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-DFT-LEVEL-DATASHEET" sheetId="1" r:id="rId4"/>
    <sheet state="visible" name="CLEAN-DFT-LEVEL-DATASHEET" sheetId="2" r:id="rId5"/>
    <sheet state="visible" name="CHEMPROP-MODEL-EVAL-BASED-ON-Cr" sheetId="3" r:id="rId6"/>
    <sheet state="visible" name="chemprop_model_evals" sheetId="4" r:id="rId7"/>
    <sheet state="visible" name="TS-Geometry-properties-of-compl" sheetId="5" r:id="rId8"/>
    <sheet state="visible" name="Raw-TS-Geometry-features" sheetId="6" r:id="rId9"/>
    <sheet state="visible" name="Sheet20" sheetId="7" r:id="rId10"/>
    <sheet state="visible" name="ligand smiles N names" sheetId="8" r:id="rId11"/>
    <sheet state="visible" name="Sheet19" sheetId="9" r:id="rId12"/>
    <sheet state="visible" name="20k_ligands" sheetId="10" r:id="rId13"/>
    <sheet state="visible" name="Sheet16" sheetId="11" r:id="rId14"/>
    <sheet state="visible" name="Sheet18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2">
      <text>
        <t xml:space="preserve">result goes to pc
	-Adeshina John</t>
      </text>
    </comment>
    <comment authorId="0" ref="I39">
      <text>
        <t xml:space="preserve">result goes to pc
	-Adeshina John</t>
      </text>
    </comment>
    <comment authorId="0" ref="I38">
      <text>
        <t xml:space="preserve">result goes to pc
	-Adeshina John</t>
      </text>
    </comment>
    <comment authorId="0" ref="I12">
      <text>
        <t xml:space="preserve">bothgoestopc as at 20/feb
	-Adeshina John</t>
      </text>
    </comment>
    <comment authorId="0" ref="F46">
      <text>
        <t xml:space="preserve">proton keeps interacting with the oxygen
	-Adeshina John</t>
      </text>
    </comment>
    <comment authorId="0" ref="G49">
      <text>
        <t xml:space="preserve">rerun the pes from step 10 of 1 cont
	-Adeshina John</t>
      </text>
    </comment>
    <comment authorId="0" ref="H34">
      <text>
        <t xml:space="preserve">rerun  ts then pes scan if ts doesn't work
	-Adeshina John</t>
      </text>
    </comment>
    <comment authorId="0" ref="F25">
      <text>
        <t xml:space="preserve">complete the RC optimization
	-Adeshina John</t>
      </text>
    </comment>
    <comment authorId="0" ref="G18">
      <text>
        <t xml:space="preserve">rerun the scan from step 7 at -0.02 step for a new ts guess structure.
	-Adeshina John</t>
      </text>
    </comment>
    <comment authorId="0" ref="G13">
      <text>
        <t xml:space="preserve">rerun the scan on smaller set from step 14 of the opt structure
	-Adeshina John</t>
      </text>
    </comment>
    <comment authorId="0" ref="H40">
      <text>
        <t xml:space="preserve">finished but proton didnt move. so rerun
	-Adeshina John</t>
      </text>
    </comment>
    <comment authorId="0" ref="E43">
      <text>
        <t xml:space="preserve">Structure couldn't hold. caved in destructively
	-Adeshina John</t>
      </text>
    </comment>
    <comment authorId="0" ref="H30">
      <text>
        <t xml:space="preserve">GOT 2ND -VE FREQ. RERUN AFTER ADJUSTING THE UNWANTED FREQ BY MANUAL SCREWING
	-Adeshina John</t>
      </text>
    </comment>
  </commentList>
</comments>
</file>

<file path=xl/sharedStrings.xml><?xml version="1.0" encoding="utf-8"?>
<sst xmlns="http://schemas.openxmlformats.org/spreadsheetml/2006/main" count="24566" uniqueCount="22606">
  <si>
    <t>COMPLETED</t>
  </si>
  <si>
    <t>Energy</t>
  </si>
  <si>
    <t>Activation energy(kcal/mol)</t>
  </si>
  <si>
    <t>Ligand_smile</t>
  </si>
  <si>
    <t>MULTI = 5</t>
  </si>
  <si>
    <t>LFeOOH</t>
  </si>
  <si>
    <t>RC</t>
  </si>
  <si>
    <t>PES</t>
  </si>
  <si>
    <t>TS</t>
  </si>
  <si>
    <t>irc</t>
  </si>
  <si>
    <t>Reactant</t>
  </si>
  <si>
    <t>Re (Kcal/mol)</t>
  </si>
  <si>
    <t>transition state</t>
  </si>
  <si>
    <t>TS (kcal/mol)</t>
  </si>
  <si>
    <t>AMIVID</t>
  </si>
  <si>
    <t>CC([Si](c1ccc(nc1)CN1CCC[C@@H]1[C@H]1CCCN1Cc1ccc(cn1)[Si](C(C)C)(C(C)C)C(C)C)(C(C)C)C(C)C)C</t>
  </si>
  <si>
    <t>Y</t>
  </si>
  <si>
    <t>y</t>
  </si>
  <si>
    <t>needs attention</t>
  </si>
  <si>
    <t>rerunning</t>
  </si>
  <si>
    <t>N</t>
  </si>
  <si>
    <t>CIRTOO</t>
  </si>
  <si>
    <t>CN1CCN(C)CCN(CC1)Cc1nc2c(n1C)cccc2</t>
  </si>
  <si>
    <t>DEQMEU</t>
  </si>
  <si>
    <t>C1OCCOCCOCCOCCOc2c(OC1)cc(cc2)c1ccc(nc1)CN1CCC[C@H]1[C@@H]1CCCN1Cc1ccc(cn1)c1ccc2c(c1)OCCOCCOCCOCCOCCO2</t>
  </si>
  <si>
    <t>DOBJIO</t>
  </si>
  <si>
    <t>CN(c1cc(Cl)c(cc1N(Cc1ccccn1)C)Cl)Cc1ccccn1</t>
  </si>
  <si>
    <t>DOBZUS</t>
  </si>
  <si>
    <t>Cn1c(CN2CCC[C@H]2[C@@H]2CCCN2Cc2nc3c(n2C)cccc3)nc2c1cccc2</t>
  </si>
  <si>
    <t>DODVUP</t>
  </si>
  <si>
    <t>COc1ccnc(c1)CN1CCC[C@H]1[C@@H]1CCCN1Cc1nccc(c1)OC</t>
  </si>
  <si>
    <t>DOQREG</t>
  </si>
  <si>
    <t>CN1CCN(C)CCN(CC1)C</t>
  </si>
  <si>
    <t>DOQRIK</t>
  </si>
  <si>
    <t>unit</t>
  </si>
  <si>
    <t>conversion factor</t>
  </si>
  <si>
    <t>DOYMOW</t>
  </si>
  <si>
    <t>CN(c1cccc2c1nc1CCCc1c2)[C@@H]1CCCC[C@H]1N(c1cccc2c1nc1CCCc1c2)C</t>
  </si>
  <si>
    <t>1 Hartree</t>
  </si>
  <si>
    <t>27.2116 eV</t>
  </si>
  <si>
    <t>DOYMUC</t>
  </si>
  <si>
    <t>CN(c1cccc2c1nc1CCCCc1c2)[C@@H]1CCCC[C@H]1N(c1cccc2c1nc1CCCCc1c2)C</t>
  </si>
  <si>
    <t>1 kcal mol-1</t>
  </si>
  <si>
    <t>4.184 J mol-1</t>
  </si>
  <si>
    <t>EBORUI</t>
  </si>
  <si>
    <t>c1ccc(nc1)CN(Cc1ccc2c(n1)cccc2)Cc1ccccn1</t>
  </si>
  <si>
    <t>1 Electron volt</t>
  </si>
  <si>
    <t>23.06035 kcal mol-1</t>
  </si>
  <si>
    <t>ECIZIC</t>
  </si>
  <si>
    <t>CC([Si](c1ccc(nc1)CN(Cc1ccc(cn1)[Si](C(C)C)(C(C)C)C(C)C)Cc1ccc(cn1)[Si](C(C)C)(C(C)C)C(C)C)(C(C)C)C(C)C)C</t>
  </si>
  <si>
    <t>running on AP</t>
  </si>
  <si>
    <t>1 Bohr</t>
  </si>
  <si>
    <t>0.529177249 Angstroms</t>
  </si>
  <si>
    <t>EDAYIS START</t>
  </si>
  <si>
    <t>CN(Cc1cccc2c1nccc2)CCN(Cc1cccc2c1nccc2)C</t>
  </si>
  <si>
    <t>627.5095 kcal/mol</t>
  </si>
  <si>
    <t>EDAYOY</t>
  </si>
  <si>
    <t>CN(c1cccc2c1nccc2)CCN(c1cccc2c1nccc2)C</t>
  </si>
  <si>
    <t>EDAYUE</t>
  </si>
  <si>
    <t>CN(c1cccc2c1nccc2)CCCN(c1cccc2c1nccc2)C</t>
  </si>
  <si>
    <t>EFEWAO</t>
  </si>
  <si>
    <t>CC(N1CCN(CCN(CC1)C(C)C)Cc1ccccn1)C</t>
  </si>
  <si>
    <t>EHULEA</t>
  </si>
  <si>
    <t>Cn1c(CN2CCC[C@H]2[C@@H]2CCCN2Cc2ccc(cn2)[Si](C(C)C)(C(C)C)C(C)C)nc2c1cccc2</t>
  </si>
  <si>
    <t>needs attention but finescan running</t>
  </si>
  <si>
    <t>FISNIG</t>
  </si>
  <si>
    <t>CN1CCN(CCN(CC1)C)Cc1cccc(n1)C</t>
  </si>
  <si>
    <t>FOXROB</t>
  </si>
  <si>
    <t>c1ccc2c(c1)nc(cc2)CN(Cc1ccc2c(n1)cccc2)Cc1ccc2c(n1)cccc2</t>
  </si>
  <si>
    <t>FUYVOM</t>
  </si>
  <si>
    <t>CN1CCN(C)Cc2cccc(CN(CC1)C)n2</t>
  </si>
  <si>
    <t>GIYDIC01</t>
  </si>
  <si>
    <t>C1CN([C@@H](C1)[C@H]1CCCN1Cc1ccccn1)Cc1ccccn1</t>
  </si>
  <si>
    <t>FAILED</t>
  </si>
  <si>
    <t>GIYDUO</t>
  </si>
  <si>
    <t>Cc1cccc(n1)CN1CCC[C@@H]1[C@H]1CCCN1Cc1cccc(n1)C</t>
  </si>
  <si>
    <t>GUFPUT</t>
  </si>
  <si>
    <t>C(SCc1ccccn1)CSCc1ccccn1</t>
  </si>
  <si>
    <t>HICRES</t>
  </si>
  <si>
    <t>CC(N1Cc2cccc(n2)CN(Cc2nc(C1)ccc2)C(C)(C)C)(C)C</t>
  </si>
  <si>
    <t>HIYCEA</t>
  </si>
  <si>
    <t>C1CNCCNCCCNCCNC1</t>
  </si>
  <si>
    <t>HOGFIV</t>
  </si>
  <si>
    <t>C=CCOCc1cccc(n1)CN(Cc1ccccn1)Cc1ccccn1</t>
  </si>
  <si>
    <t>HOXMAK</t>
  </si>
  <si>
    <t>C#Cc1ccc(cc1)CN(Cc1ccccn1)CCN(Cc1ccccn1)C</t>
  </si>
  <si>
    <t>HOXMEO</t>
  </si>
  <si>
    <t>C=Cc1ccc(cc1)CN(Cc1ccccn1)CCN(Cc1ccccn1)C</t>
  </si>
  <si>
    <t>IBEPUD</t>
  </si>
  <si>
    <t>C1=CN[C@H](C=C1)CN(Cc1ccccn1)C[C@H]1NC=CC=C1</t>
  </si>
  <si>
    <t>IWOTAR</t>
  </si>
  <si>
    <t>CN(c1cccc2c1nccc2)[C@H]1[C@@H]2CC[C@H]([C@@H]1N(c1cccc3c1nccc3)C)C2</t>
  </si>
  <si>
    <t>IWOTUL</t>
  </si>
  <si>
    <t>FCc1ccc2c(n1)c(ccc2)N([C@@H]1CCCC[C@H]1N(c1cccc2c1nc(CF)cc2)C)C</t>
  </si>
  <si>
    <t>Running on AJ</t>
  </si>
  <si>
    <t>running on AJ</t>
  </si>
  <si>
    <t>JOLROT</t>
  </si>
  <si>
    <t>CC(CN(Cc1ccccn1)CCN(CC(C)(C)C)Cc1ccccn1)(C)C</t>
  </si>
  <si>
    <t>JUNFAC</t>
  </si>
  <si>
    <t>FAILED can't work. structure is trans</t>
  </si>
  <si>
    <t>n</t>
  </si>
  <si>
    <t>KUQDUX</t>
  </si>
  <si>
    <t>CN1CCC[N@@]2CC[N@](CC1)CCCN(CC2)C</t>
  </si>
  <si>
    <t>MIPKIH</t>
  </si>
  <si>
    <t>CN1CCN(CCN(CC1)C)CC1=C[C@@H](C=CN1)N(C)C</t>
  </si>
  <si>
    <t>MIPKON</t>
  </si>
  <si>
    <t>COc1c(C)cnc(c1C)CN1CCN(C)CCN(CC1)C</t>
  </si>
  <si>
    <t>MIPKUT</t>
  </si>
  <si>
    <t>CN1CCN(CCN(CC1)C)Cc1nccc(c1)C</t>
  </si>
  <si>
    <t>MIPLAA</t>
  </si>
  <si>
    <t>CN1CCN(CCN(CC1)C)CC1=CC(=C)C=CN1</t>
  </si>
  <si>
    <t>MIPLEE</t>
  </si>
  <si>
    <t>CCOC(=O)c1ccnc(c1)CN1CCN(C)CCN(CC1)C</t>
  </si>
  <si>
    <t>MIPLII</t>
  </si>
  <si>
    <t>ON(c1ccnc(c1)CN1CCN(C)CCN(CC1)C)O</t>
  </si>
  <si>
    <t>MIPLOO</t>
  </si>
  <si>
    <t>CN1CCN(CCN(CC1)C)Cc1cccc(n1)F</t>
  </si>
  <si>
    <t>rerunning ts from stab since scf stab less than ts's</t>
  </si>
  <si>
    <t>MIPLUU</t>
  </si>
  <si>
    <t>CN1CCN(CCN(CC1)C)Cc1cccc(n1)Cl</t>
  </si>
  <si>
    <t>MIPMAB</t>
  </si>
  <si>
    <t>CN1CCN(CCN(CC1)C)Cc1cc(C)cc(n1)C</t>
  </si>
  <si>
    <t>MUHNAH</t>
  </si>
  <si>
    <t>CCNc1cccc(n1)c1cccc(n1)C(c1ccccn1)(c1ccccn1)C</t>
  </si>
  <si>
    <t>Problem structure</t>
  </si>
  <si>
    <t>NEBYOL</t>
  </si>
  <si>
    <t>c1ccc(nc1)CN1Cc2c([C@H]1[C@H]1N(Cc3ccccn3)Cc3c1cccc3)cccc2</t>
  </si>
  <si>
    <t>NELGAM</t>
  </si>
  <si>
    <t>c1ccc(nc1)CN(Cc1ccccn1)Cc1ccccn1</t>
  </si>
  <si>
    <t>NELGUG</t>
  </si>
  <si>
    <t>C1=CNC(=CC1)CN(Cc1ccccn1)CC1=CCC=CN1</t>
  </si>
  <si>
    <t>NIBJEQ</t>
  </si>
  <si>
    <t>COc1cc2CN(C)CCN(CCN(Cc(c1)n2)C)C</t>
  </si>
  <si>
    <t>ODECIJ</t>
  </si>
  <si>
    <t>CN([C@H]1CCCC[C@@H]1N(Cc1ccc(cn1)C)C)Cc1ccc(cn1)C</t>
  </si>
  <si>
    <t>structure crumbled at step 5-AJ/running at step4</t>
  </si>
  <si>
    <t>ORALAW</t>
  </si>
  <si>
    <t>CC(N(Cc1ccccn1)CCN(C(C)C)Cc1ccccn1)C</t>
  </si>
  <si>
    <t>ORALEA</t>
  </si>
  <si>
    <t>CN(Cc1cccc(n1)c1ccccn1)Cc1ccccn1</t>
  </si>
  <si>
    <t>OVERAJ</t>
  </si>
  <si>
    <t>Fc1ccccc1/N=C/c1ccccn1</t>
  </si>
  <si>
    <t xml:space="preserve">running on AB </t>
  </si>
  <si>
    <t>OYOCEL</t>
  </si>
  <si>
    <t>CN(c1cccc2c1nccc2)[C@@H]1CCCC[C@H]1N(c1cccc2c1nccc2)C</t>
  </si>
  <si>
    <t>OYOCIP</t>
  </si>
  <si>
    <t>CN(c1cccc2c1nccc2)[C@H]1CCCC[C@@H]1N(c1cccc2c1nccc2)C</t>
  </si>
  <si>
    <t>PAKKOC</t>
  </si>
  <si>
    <t>Cc1cccc(c1c1c(C)cccc1/N=C/c1ccccn1)/N=C/c1ccccn1</t>
  </si>
  <si>
    <t>Cc1ccccc1</t>
  </si>
  <si>
    <t>PAKLAP</t>
  </si>
  <si>
    <t>PEPWIS</t>
  </si>
  <si>
    <t>CN(Cc1ccon1)CCN(Cc1ccon1)C</t>
  </si>
  <si>
    <t>PEPXAL</t>
  </si>
  <si>
    <t>c1ccc(nc1)CN(Cc1cccnn1)Cc1ccccn1</t>
  </si>
  <si>
    <t>PEPXEP</t>
  </si>
  <si>
    <t>CN(Cc1cccnn1)CCN(Cc1cccnn1)C</t>
  </si>
  <si>
    <t>PERVUF</t>
  </si>
  <si>
    <t>c1csc(n1)CN(Cc1nccs1)Cc1nccs1</t>
  </si>
  <si>
    <t>running ts again. 1st ts didnt move. AJ</t>
  </si>
  <si>
    <t>PIVCED</t>
  </si>
  <si>
    <t>CN1CCN(CCN(CC1)C)Cc1ccccn1</t>
  </si>
  <si>
    <t>SAVQIR</t>
  </si>
  <si>
    <t>C(NCc1ccccn1)CNCc1ccccn1</t>
  </si>
  <si>
    <t>SEQBEX</t>
  </si>
  <si>
    <t>CC1(C)[C@H]2Cc3c([C@@H]1C2)cnc(c3)CN1CCC[C@@H]1[C@H]1CCCN1Cc1ncc2c(c1)C[C@H]1C[C@@H]2C1(C)C</t>
  </si>
  <si>
    <t>SEQBIB</t>
  </si>
  <si>
    <t>CC1(C)[C@H]2Cc3c([C@@H]1C2)cnc(c3)CN1CCC[C@H]1[C@@H]1CCCN1Cc1ncc2c(c1)C[C@H]1C[C@@H]2C1(C)C</t>
  </si>
  <si>
    <t>SEQBOH</t>
  </si>
  <si>
    <t>CN([C@@H]1CCCC[C@H]1N(Cc1ncc2c(c1)C[C@H]1C[C@@H]2C1(C)C)C)Cc1ncc2c(c1)C[C@H]1C[C@@H]2C1(C)C</t>
  </si>
  <si>
    <t>SIRPEQ</t>
  </si>
  <si>
    <t>c1ccc(nc1)c1nc2c(o1)cccc2</t>
  </si>
  <si>
    <t>SUGXUP</t>
  </si>
  <si>
    <t>CC1(C)COC(=N1)c1cccc(n1)C1=NC(CO1)(C)C</t>
  </si>
  <si>
    <t>CC#N</t>
  </si>
  <si>
    <t>SUTJUP</t>
  </si>
  <si>
    <t>CC(c1ccc2c(n1)c1ncccc1cc2)(c1ccccn1)c1ccccn1</t>
  </si>
  <si>
    <t>TEKXAK</t>
  </si>
  <si>
    <t>Fc1cccc(n1)CN(Cc1cccc(n1)F)C[C@H]1C=CC=C=N1</t>
  </si>
  <si>
    <t>TEKXEO</t>
  </si>
  <si>
    <t>Fc1cccc(n1)CN(Cc1ccccn1)C[C@H]1C=CC=C=N1</t>
  </si>
  <si>
    <t>TUVLEB</t>
  </si>
  <si>
    <t>COc1cccc(c1)c1cccc(n1)CN(Cc1ccccn1)Cc1ccccn1</t>
  </si>
  <si>
    <t>y running Stab</t>
  </si>
  <si>
    <t>UBOWEN</t>
  </si>
  <si>
    <t>CN([C@@H]1CCCC[C@H]1N(Cc1ccccn1)C)Cc1ccccn1</t>
  </si>
  <si>
    <t>UBOWIR</t>
  </si>
  <si>
    <t>CN([C@H]1CCCC[C@@H]1N(Cc1cccc(n1)C)C)Cc1cccc(n1)C</t>
  </si>
  <si>
    <t>UGIZEQ</t>
  </si>
  <si>
    <t>CN([C@H]1CCCC[C@@H]1N(Cc1ncc2c(c1)C[C@H]1C[C@@H]2C1(C)C)C)Cc1ncc2c(c1)C[C@H]1C[C@@H]2C1(C)C</t>
  </si>
  <si>
    <t>RUNNING on AB(CH4 KEEPS DANCING)</t>
  </si>
  <si>
    <t>UHEFAO</t>
  </si>
  <si>
    <t>COC(=O)[C@]12CN(C)C[C@@](C2=O)([C@@H](N([C@@H]1c1ccccn1)C)c1ccccn1)C(=O)OC</t>
  </si>
  <si>
    <t>VAVMOV</t>
  </si>
  <si>
    <t>CN(CCN(Cc1ccccn1)Cc1ccccn1)C</t>
  </si>
  <si>
    <t>VANREJ</t>
  </si>
  <si>
    <t>CN([C@@H]1CCCC[C@H]1N([C@@H](c1ccccn1)c1ccccc1)C)[C@@H](c1ccccn1)c1ccccc1</t>
  </si>
  <si>
    <t>XEFSOS</t>
  </si>
  <si>
    <t>CCn1c(CN(C[C@@H]2CCCN2Cc2nc3c(n2CC)cccc3)C)nc2c1cccc2</t>
  </si>
  <si>
    <t>XEFSUY</t>
  </si>
  <si>
    <t>CN(C[C@@H]1CCCN1Cc1ccccn1)Cc1ccccn1</t>
  </si>
  <si>
    <t>XIJQOW</t>
  </si>
  <si>
    <t>CN(Cc1ccc(cn1)C)CCN(Cc1ccc(cn1)C)C</t>
  </si>
  <si>
    <t>XIJQUC</t>
  </si>
  <si>
    <t>CN(Cc1cccc(n1)C)CCN(Cc1cccc(n1)C)C</t>
  </si>
  <si>
    <t>XUNPUT</t>
  </si>
  <si>
    <t>C1CCC(CC1)N/C=C/1\C=CC(=N1)CN(CC1=N[C@H](C=C1)C=[NH2]C1CCCCC1)CC1=N[C@@H](C=C1)C=[NH2]C1CCCCC1</t>
  </si>
  <si>
    <t>YEFFUM</t>
  </si>
  <si>
    <t>CN1CCCN(C)CCCN(Cc2nc(C1)ccc2)C</t>
  </si>
  <si>
    <t>T=83</t>
  </si>
  <si>
    <t>Ligand smile</t>
  </si>
  <si>
    <t>RC ENERGY</t>
  </si>
  <si>
    <t>TS ENERGY</t>
  </si>
  <si>
    <t>AE IN HARTREE</t>
  </si>
  <si>
    <t>COMPUTED AE IN KCAL/MOL</t>
  </si>
  <si>
    <t>MODEL PRED_AE</t>
  </si>
  <si>
    <t>ABSOLUTE ERROR</t>
  </si>
  <si>
    <t>Ligand1125</t>
  </si>
  <si>
    <t>Cc1cc(C)c(CN(Cc2ccccn2)Cc2ncc(C)c(C)c2C)nc1C</t>
  </si>
  <si>
    <t>ligand2533_DOUBLET</t>
  </si>
  <si>
    <t>CN1CCN(Cc2nc(C)c(C)c(C)c2)CCN(CC1)CCN(C)C</t>
  </si>
  <si>
    <t>ligand2533</t>
  </si>
  <si>
    <t>TOTAL</t>
  </si>
  <si>
    <t>Reactant Complex</t>
  </si>
  <si>
    <t>Index</t>
  </si>
  <si>
    <t>Refcode</t>
  </si>
  <si>
    <t>Reactant complex Energy (kcal/mol)</t>
  </si>
  <si>
    <t>transition state (kcal/mol)</t>
  </si>
  <si>
    <t>Activation energy (kcal/mol)</t>
  </si>
  <si>
    <t>EDAYIS</t>
  </si>
  <si>
    <t>Average</t>
  </si>
  <si>
    <t>Standard Deviation</t>
  </si>
  <si>
    <t>2-fold cross validation</t>
  </si>
  <si>
    <t>3-fold cross validation</t>
  </si>
  <si>
    <t>4-fold cross validation</t>
  </si>
  <si>
    <t>5-fold cross validation</t>
  </si>
  <si>
    <t>6-fold cross validation</t>
  </si>
  <si>
    <t>7-fold cross validation</t>
  </si>
  <si>
    <t>8-fold cross validation</t>
  </si>
  <si>
    <t>9-fold cross validation</t>
  </si>
  <si>
    <t>10-fold cross validation</t>
  </si>
  <si>
    <t>11-fold cross validation</t>
  </si>
  <si>
    <t>12-fold cross validation</t>
  </si>
  <si>
    <t>13-fold cross validation</t>
  </si>
  <si>
    <t>14-fold cross validation</t>
  </si>
  <si>
    <t>15-fold cross validation</t>
  </si>
  <si>
    <t>16-fold cross validation</t>
  </si>
  <si>
    <t>17-fold cross validation</t>
  </si>
  <si>
    <t>18-fold cross validation</t>
  </si>
  <si>
    <t>19-fold cross validation</t>
  </si>
  <si>
    <t>20-fold cross validation</t>
  </si>
  <si>
    <t>30-fold cross validation</t>
  </si>
  <si>
    <t>Model 0 best validation mse = 103.720621 on epoch 0</t>
  </si>
  <si>
    <t>Model 0 best validation mse = 25.143843 on epoch 25</t>
  </si>
  <si>
    <t>Model 0 best validation mse = 21.006205 on epoch 0</t>
  </si>
  <si>
    <t>Model 0 best validation mse = 32.603937 on epoch 0</t>
  </si>
  <si>
    <t>Model 0 best validation mse = 35.525550 on epoch 12</t>
  </si>
  <si>
    <t>Model 0 best validation mse = 33.044473 on epoch 8</t>
  </si>
  <si>
    <t>Model 0 best validation mse = 25.285487 on epoch 17</t>
  </si>
  <si>
    <t>Model 0 best validation mse = 27.900585 on epoch 29</t>
  </si>
  <si>
    <t>Model 0 best validation mse = 52.470072 on epoch 4</t>
  </si>
  <si>
    <t>Model 0 best validation mse = 15.004756 on epoch 29</t>
  </si>
  <si>
    <t>Model 0 best validation mse = 30.499577 on epoch 29</t>
  </si>
  <si>
    <t>Model 0 best validation mse = 17.920042 on epoch 6</t>
  </si>
  <si>
    <t>Model 0 best validation mse = 44.945567 on epoch 0</t>
  </si>
  <si>
    <t>Model 0 best validation mse = 6.805436 on epoch 13</t>
  </si>
  <si>
    <t>Model 0 best validation mse = 34.631306 on epoch 1</t>
  </si>
  <si>
    <t>Model 0 best validation mse = 6.924728 on epoch 20</t>
  </si>
  <si>
    <t>Model 0 best validation mse = 34.852532 on epoch 7</t>
  </si>
  <si>
    <t>Model 0 best validation mse = 3.128185 on epoch 0</t>
  </si>
  <si>
    <t>Model 0 best validation mse = 30.440552 on epoch 2</t>
  </si>
  <si>
    <t>Model 0 best validation mse = 12.623747 on epoch 5</t>
  </si>
  <si>
    <t>Model 0 test mse = 62.904804</t>
  </si>
  <si>
    <t>Model 0 test mse = 26.574486</t>
  </si>
  <si>
    <t>Model 0 test mse = 16.207022</t>
  </si>
  <si>
    <t>Model 0 test mse = 33.095953</t>
  </si>
  <si>
    <t>Model 0 test mse = 19.918044</t>
  </si>
  <si>
    <t>Model 0 test mse = 22.282436</t>
  </si>
  <si>
    <t>Model 0 test mse = 17.506057</t>
  </si>
  <si>
    <t>Model 0 test mse = 10.582192</t>
  </si>
  <si>
    <t>Model 0 test mse = 20.383765</t>
  </si>
  <si>
    <t>Model 0 test mse = 81.023997</t>
  </si>
  <si>
    <t>Model 0 test mse = 25.198986</t>
  </si>
  <si>
    <t>Model 0 test mse = 7.806590</t>
  </si>
  <si>
    <t>Model 0 test mse = 9.067989</t>
  </si>
  <si>
    <t>Model 0 test mse = 69.656029</t>
  </si>
  <si>
    <t>Model 0 test mse = 23.016805</t>
  </si>
  <si>
    <t>Model 0 test mse = 6.138072</t>
  </si>
  <si>
    <t>Model 0 test mse = 5.260594</t>
  </si>
  <si>
    <t>Model 0 test mse = 19.901276</t>
  </si>
  <si>
    <t>Model 0 test mse = 21.722165</t>
  </si>
  <si>
    <t>Model 0 test mse = 39.238766</t>
  </si>
  <si>
    <t>Model 0 test mae = 7.069040</t>
  </si>
  <si>
    <t>Model 0 test mae = 4.312533</t>
  </si>
  <si>
    <t>Model 0 test mae = 3.423463</t>
  </si>
  <si>
    <t>Model 0 test mae = 4.556895</t>
  </si>
  <si>
    <t>Model 0 test mae = 3.812376</t>
  </si>
  <si>
    <t>Model 0 test mae = 2.979800</t>
  </si>
  <si>
    <t>Model 0 test mae = 3.678546</t>
  </si>
  <si>
    <t>Model 0 test mae = 2.124652</t>
  </si>
  <si>
    <t>Model 0 test mae = 4.079494</t>
  </si>
  <si>
    <t>Model 0 test mae = 7.757013</t>
  </si>
  <si>
    <t>Model 0 test mae = 4.759200</t>
  </si>
  <si>
    <t>Model 0 test mae = 1.746421</t>
  </si>
  <si>
    <t>Model 0 test mae = 2.944815</t>
  </si>
  <si>
    <t>Model 0 test mae = 7.173392</t>
  </si>
  <si>
    <t>Model 0 test mae = 3.445397</t>
  </si>
  <si>
    <t>Model 0 test mae = 1.732343</t>
  </si>
  <si>
    <t>Model 0 test mae = 2.040951</t>
  </si>
  <si>
    <t>Model 0 test mae = 3.876310</t>
  </si>
  <si>
    <t>Model 0 test mae = 4.260031</t>
  </si>
  <si>
    <t>Model 0 test mae = 6.046205</t>
  </si>
  <si>
    <t>Model 0 test rmse = 7.931255</t>
  </si>
  <si>
    <t>Model 0 test rmse = 5.155045</t>
  </si>
  <si>
    <t>Model 0 test rmse = 4.025795</t>
  </si>
  <si>
    <t>Model 0 test rmse = 5.752908</t>
  </si>
  <si>
    <t>Model 0 test rmse = 4.462964</t>
  </si>
  <si>
    <t>Model 0 test rmse = 4.720428</t>
  </si>
  <si>
    <t>Model 0 test rmse = 4.184024</t>
  </si>
  <si>
    <t>Model 0 test rmse = 3.253028</t>
  </si>
  <si>
    <t>Model 0 test rmse = 4.514838</t>
  </si>
  <si>
    <t>Model 0 test rmse = 9.001333</t>
  </si>
  <si>
    <t>Model 0 test rmse = 5.019859</t>
  </si>
  <si>
    <t>Model 0 test rmse = 2.794027</t>
  </si>
  <si>
    <t>Model 0 test rmse = 3.011310</t>
  </si>
  <si>
    <t>Model 0 test rmse = 8.346019</t>
  </si>
  <si>
    <t>Model 0 test rmse = 4.797583</t>
  </si>
  <si>
    <t>Model 0 test rmse = 2.477513</t>
  </si>
  <si>
    <t>Model 0 test rmse = 2.293598</t>
  </si>
  <si>
    <t>Model 0 test rmse = 4.461085</t>
  </si>
  <si>
    <t>Model 0 test rmse = 4.660704</t>
  </si>
  <si>
    <t>Model 0 test rmse = 6.264085</t>
  </si>
  <si>
    <t>Ensemble test mse = 62.904804</t>
  </si>
  <si>
    <t>Ensemble test mse = 26.574486</t>
  </si>
  <si>
    <t>Ensemble test mse = 16.207022</t>
  </si>
  <si>
    <t>Ensemble test mse = 33.095953</t>
  </si>
  <si>
    <t>Ensemble test mse = 19.918044</t>
  </si>
  <si>
    <t>Ensemble test mse = 22.282436</t>
  </si>
  <si>
    <t>Ensemble test mse = 17.506057</t>
  </si>
  <si>
    <t>Ensemble test mse = 10.582192</t>
  </si>
  <si>
    <t>Ensemble test mse = 20.383765</t>
  </si>
  <si>
    <t>Ensemble test mse = 81.023997</t>
  </si>
  <si>
    <t>Ensemble test mse = 25.198986</t>
  </si>
  <si>
    <t>Ensemble test mse = 7.806590</t>
  </si>
  <si>
    <t>Ensemble test mse = 9.067989</t>
  </si>
  <si>
    <t>Ensemble test mse = 69.656029</t>
  </si>
  <si>
    <t>Ensemble test mse = 23.016805</t>
  </si>
  <si>
    <t>Ensemble test mse = 6.138072</t>
  </si>
  <si>
    <t>Ensemble test mse = 5.260594</t>
  </si>
  <si>
    <t>Ensemble test mse = 19.901276</t>
  </si>
  <si>
    <t>Ensemble test mse = 21.722165</t>
  </si>
  <si>
    <t>Ensemble test mse = 39.238766</t>
  </si>
  <si>
    <t>Ensemble test mae = 7.069040</t>
  </si>
  <si>
    <t>Ensemble test mae = 4.312533</t>
  </si>
  <si>
    <t>Ensemble test mae = 3.423463</t>
  </si>
  <si>
    <t>Ensemble test mae = 4.556895</t>
  </si>
  <si>
    <t>Ensemble test mae = 3.812376</t>
  </si>
  <si>
    <t>Ensemble test mae = 2.979800</t>
  </si>
  <si>
    <t>Ensemble test mae = 3.678546</t>
  </si>
  <si>
    <t>Ensemble test mae = 2.124652</t>
  </si>
  <si>
    <t>Ensemble test mae = 4.079494</t>
  </si>
  <si>
    <t>Ensemble test mae = 7.757013</t>
  </si>
  <si>
    <t>Ensemble test mae = 4.759200</t>
  </si>
  <si>
    <t>Ensemble test mae = 1.746421</t>
  </si>
  <si>
    <t>Ensemble test mae = 2.944815</t>
  </si>
  <si>
    <t>Ensemble test mae = 7.173392</t>
  </si>
  <si>
    <t>Ensemble test mae = 3.445397</t>
  </si>
  <si>
    <t>Ensemble test mae = 1.732343</t>
  </si>
  <si>
    <t>Ensemble test mae = 2.040951</t>
  </si>
  <si>
    <t>Ensemble test mae = 3.876310</t>
  </si>
  <si>
    <t>Ensemble test mae = 4.260031</t>
  </si>
  <si>
    <t>Ensemble test mae = 6.046205</t>
  </si>
  <si>
    <t>Ensemble test rmse = 7.931255</t>
  </si>
  <si>
    <t>Ensemble test rmse = 5.155045</t>
  </si>
  <si>
    <t>Ensemble test rmse = 4.025795</t>
  </si>
  <si>
    <t>Ensemble test rmse = 5.752908</t>
  </si>
  <si>
    <t>Ensemble test rmse = 4.462964</t>
  </si>
  <si>
    <t>Ensemble test rmse = 4.720428</t>
  </si>
  <si>
    <t>Ensemble test rmse = 4.184024</t>
  </si>
  <si>
    <t>Ensemble test rmse = 3.253028</t>
  </si>
  <si>
    <t>Ensemble test rmse = 4.514838</t>
  </si>
  <si>
    <t>Ensemble test rmse = 9.001333</t>
  </si>
  <si>
    <t>Ensemble test rmse = 5.019859</t>
  </si>
  <si>
    <t>Ensemble test rmse = 2.794027</t>
  </si>
  <si>
    <t>Ensemble test rmse = 3.011310</t>
  </si>
  <si>
    <t>Ensemble test rmse = 8.346019</t>
  </si>
  <si>
    <t>Ensemble test rmse = 4.797583</t>
  </si>
  <si>
    <t>Ensemble test rmse = 2.477513</t>
  </si>
  <si>
    <t>Ensemble test rmse = 2.293598</t>
  </si>
  <si>
    <t>Ensemble test rmse = 4.461085</t>
  </si>
  <si>
    <t>Ensemble test rmse = 4.660704</t>
  </si>
  <si>
    <t>Ensemble test rmse = 6.264085</t>
  </si>
  <si>
    <t>Seed 0 ==&gt; test mse = 103.720621</t>
  </si>
  <si>
    <t>Seed 0 ==&gt; test mse = 24.094746</t>
  </si>
  <si>
    <t>Seed 0 ==&gt; test mse = 22.306865</t>
  </si>
  <si>
    <t>Seed 0 ==&gt; test mse = 37.151563</t>
  </si>
  <si>
    <t>Seed 0 ==&gt; test mse = 34.080988</t>
  </si>
  <si>
    <t>Seed 0 ==&gt; test mse = 34.228938</t>
  </si>
  <si>
    <t>Seed 0 ==&gt; test mse = 25.772550</t>
  </si>
  <si>
    <t>Seed 0 ==&gt; test mse = 29.838353</t>
  </si>
  <si>
    <t>Seed 0 ==&gt; test mse = 64.149671</t>
  </si>
  <si>
    <t>Seed 0 ==&gt; test mse = 16.556056</t>
  </si>
  <si>
    <t>Seed 0 ==&gt; test mse = 32.234963</t>
  </si>
  <si>
    <t>Seed 0 ==&gt; test mse = 45.582351</t>
  </si>
  <si>
    <t>Seed 0 ==&gt; test mse = 55.816606</t>
  </si>
  <si>
    <t>Seed 0 ==&gt; test mse = 9.328828</t>
  </si>
  <si>
    <t>Seed 0 ==&gt; test mse = 41.227368</t>
  </si>
  <si>
    <t>Seed 0 ==&gt; test mse = 9.646426</t>
  </si>
  <si>
    <t>Seed 0 ==&gt; test mse = 47.631802</t>
  </si>
  <si>
    <t>Seed 0 ==&gt; test mse = 13.659176</t>
  </si>
  <si>
    <t>Seed 0 ==&gt; test mse = 32.398425</t>
  </si>
  <si>
    <t>Seed 0 ==&gt; test mse = 19.244695</t>
  </si>
  <si>
    <t>Seed 0 ==&gt; test mae = 8.697091</t>
  </si>
  <si>
    <t>Seed 0 ==&gt; test mae = 3.862218</t>
  </si>
  <si>
    <t>Seed 0 ==&gt; test mae = 3.938977</t>
  </si>
  <si>
    <t>Seed 0 ==&gt; test mae = 4.700954</t>
  </si>
  <si>
    <t>Seed 0 ==&gt; test mae = 4.700550</t>
  </si>
  <si>
    <t>Seed 0 ==&gt; test mae = 4.989553</t>
  </si>
  <si>
    <t>Seed 0 ==&gt; test mae = 4.219239</t>
  </si>
  <si>
    <t>Seed 0 ==&gt; test mae = 4.350176</t>
  </si>
  <si>
    <t>Seed 0 ==&gt; test mae = 5.948962</t>
  </si>
  <si>
    <t>Seed 0 ==&gt; test mae = 3.864676</t>
  </si>
  <si>
    <t>Seed 0 ==&gt; test mae = 5.033261</t>
  </si>
  <si>
    <t>Seed 0 ==&gt; test mae = 6.092872</t>
  </si>
  <si>
    <t>Seed 0 ==&gt; test mae = 6.011053</t>
  </si>
  <si>
    <t>Seed 0 ==&gt; test mae = 2.367954</t>
  </si>
  <si>
    <t>Seed 0 ==&gt; test mae = 5.277863</t>
  </si>
  <si>
    <t>Seed 0 ==&gt; test mae = 2.115700</t>
  </si>
  <si>
    <t>Seed 0 ==&gt; test mae = 6.124239</t>
  </si>
  <si>
    <t>Seed 0 ==&gt; test mae = 3.422079</t>
  </si>
  <si>
    <t>Seed 0 ==&gt; test mae = 5.538095</t>
  </si>
  <si>
    <t>Seed 0 ==&gt; test mae = 3.727653</t>
  </si>
  <si>
    <t>Seed 0 ==&gt; test rmse = 10.184332</t>
  </si>
  <si>
    <t>Seed 0 ==&gt; test rmse = 4.908640</t>
  </si>
  <si>
    <t>Seed 0 ==&gt; test rmse = 4.723014</t>
  </si>
  <si>
    <t>Seed 0 ==&gt; test rmse = 6.095208</t>
  </si>
  <si>
    <t>Seed 0 ==&gt; test rmse = 5.837892</t>
  </si>
  <si>
    <t>Seed 0 ==&gt; test rmse = 5.850550</t>
  </si>
  <si>
    <t>Seed 0 ==&gt; test rmse = 5.076667</t>
  </si>
  <si>
    <t>Seed 0 ==&gt; test rmse = 5.462449</t>
  </si>
  <si>
    <t>Seed 0 ==&gt; test rmse = 8.009349</t>
  </si>
  <si>
    <t>Seed 0 ==&gt; test rmse = 4.068913</t>
  </si>
  <si>
    <t>Seed 0 ==&gt; test rmse = 5.677584</t>
  </si>
  <si>
    <t>Seed 0 ==&gt; test rmse = 6.751470</t>
  </si>
  <si>
    <t>Seed 0 ==&gt; test rmse = 7.471051</t>
  </si>
  <si>
    <t>Seed 0 ==&gt; test rmse = 3.054313</t>
  </si>
  <si>
    <t>Seed 0 ==&gt; test rmse = 6.420854</t>
  </si>
  <si>
    <t>Seed 0 ==&gt; test rmse = 3.105870</t>
  </si>
  <si>
    <t>Seed 0 ==&gt; test rmse = 6.901580</t>
  </si>
  <si>
    <t>Seed 0 ==&gt; test rmse = 3.695832</t>
  </si>
  <si>
    <t>Seed 0 ==&gt; test rmse = 5.691961</t>
  </si>
  <si>
    <t>Seed 0 ==&gt; test rmse = 4.386878</t>
  </si>
  <si>
    <t>Seed 1 ==&gt; test mse = 62.904804</t>
  </si>
  <si>
    <t>Seed 1 ==&gt; test mse = 22.414783</t>
  </si>
  <si>
    <t>Seed 1 ==&gt; test mse = 8.213176</t>
  </si>
  <si>
    <t>Seed 1 ==&gt; test mse = 12.101942</t>
  </si>
  <si>
    <t>Seed 1 ==&gt; test mse = 5.753738</t>
  </si>
  <si>
    <t>Seed 1 ==&gt; test mse = 9.366288</t>
  </si>
  <si>
    <t>Seed 1 ==&gt; test mse = 8.249763</t>
  </si>
  <si>
    <t>Seed 1 ==&gt; test mse = 39.482123</t>
  </si>
  <si>
    <t>Seed 1 ==&gt; test mse = 6.017887</t>
  </si>
  <si>
    <t>Seed 1 ==&gt; test mse = 5.453332</t>
  </si>
  <si>
    <t>Seed 1 ==&gt; test mse = 2.361230</t>
  </si>
  <si>
    <t>Seed 1 ==&gt; test mse = 34.581088</t>
  </si>
  <si>
    <t>Seed 1 ==&gt; test mse = 8.940003</t>
  </si>
  <si>
    <t>Seed 1 ==&gt; test mse = 3.819592</t>
  </si>
  <si>
    <t>Seed 1 ==&gt; test mse = 12.672520</t>
  </si>
  <si>
    <t>Seed 1 ==&gt; test mse = 6.395243</t>
  </si>
  <si>
    <t>Seed 1 ==&gt; test mse = 8.939909</t>
  </si>
  <si>
    <t>Seed 1 ==&gt; test mse = 26.884281</t>
  </si>
  <si>
    <t>Seed 1 ==&gt; test mse = 14.357789</t>
  </si>
  <si>
    <t>Seed 1 ==&gt; test mse = 8.696848</t>
  </si>
  <si>
    <t>Seed 1 ==&gt; test mae = 7.069040</t>
  </si>
  <si>
    <t>Seed 1 ==&gt; test mae = 3.175156</t>
  </si>
  <si>
    <t>Seed 1 ==&gt; test mae = 2.428425</t>
  </si>
  <si>
    <t>Seed 1 ==&gt; test mae = 2.666454</t>
  </si>
  <si>
    <t>Seed 1 ==&gt; test mae = 1.944266</t>
  </si>
  <si>
    <t>Seed 1 ==&gt; test mae = 2.529312</t>
  </si>
  <si>
    <t>Seed 1 ==&gt; test mae = 2.487574</t>
  </si>
  <si>
    <t>Seed 1 ==&gt; test mae = 4.503927</t>
  </si>
  <si>
    <t>Seed 1 ==&gt; test mae = 1.944601</t>
  </si>
  <si>
    <t>Seed 1 ==&gt; test mae = 2.162820</t>
  </si>
  <si>
    <t>Seed 1 ==&gt; test mae = 1.095214</t>
  </si>
  <si>
    <t>Seed 1 ==&gt; test mae = 3.927106</t>
  </si>
  <si>
    <t>Seed 1 ==&gt; test mae = 2.644770</t>
  </si>
  <si>
    <t>Seed 1 ==&gt; test mae = 1.847537</t>
  </si>
  <si>
    <t>Seed 1 ==&gt; test mae = 2.999338</t>
  </si>
  <si>
    <t>Seed 1 ==&gt; test mae = 2.252386</t>
  </si>
  <si>
    <t>Seed 1 ==&gt; test mae = 2.626324</t>
  </si>
  <si>
    <t>Seed 1 ==&gt; test mae = 4.838541</t>
  </si>
  <si>
    <t>Seed 1 ==&gt; test mae = 3.091094</t>
  </si>
  <si>
    <t>Seed 1 ==&gt; test mae = 2.794899</t>
  </si>
  <si>
    <t>Seed 1 ==&gt; test rmse = 7.931255</t>
  </si>
  <si>
    <t>Seed 1 ==&gt; test rmse = 4.734425</t>
  </si>
  <si>
    <t>Seed 1 ==&gt; test rmse = 2.865864</t>
  </si>
  <si>
    <t>Seed 1 ==&gt; test rmse = 3.478785</t>
  </si>
  <si>
    <t>Seed 1 ==&gt; test rmse = 2.398695</t>
  </si>
  <si>
    <t>Seed 1 ==&gt; test rmse = 3.060439</t>
  </si>
  <si>
    <t>Seed 1 ==&gt; test rmse = 2.872240</t>
  </si>
  <si>
    <t>Seed 1 ==&gt; test rmse = 6.283480</t>
  </si>
  <si>
    <t>Seed 1 ==&gt; test rmse = 2.453138</t>
  </si>
  <si>
    <t>Seed 1 ==&gt; test rmse = 2.335237</t>
  </si>
  <si>
    <t>Seed 1 ==&gt; test rmse = 1.536629</t>
  </si>
  <si>
    <t>Seed 1 ==&gt; test rmse = 5.880569</t>
  </si>
  <si>
    <t>Seed 1 ==&gt; test rmse = 2.989984</t>
  </si>
  <si>
    <t>Seed 1 ==&gt; test rmse = 1.954378</t>
  </si>
  <si>
    <t>Seed 1 ==&gt; test rmse = 3.559848</t>
  </si>
  <si>
    <t>Seed 1 ==&gt; test rmse = 2.528882</t>
  </si>
  <si>
    <t>Seed 1 ==&gt; test rmse = 2.989968</t>
  </si>
  <si>
    <t>Seed 1 ==&gt; test rmse = 5.185005</t>
  </si>
  <si>
    <t>Seed 1 ==&gt; test rmse = 3.789167</t>
  </si>
  <si>
    <t>Seed 1 ==&gt; test rmse = 2.949042</t>
  </si>
  <si>
    <t>Overall test mse = 83.312713 +/- 20.407909</t>
  </si>
  <si>
    <t>Seed 2 ==&gt; test mse = 26.574486</t>
  </si>
  <si>
    <t>Seed 2 ==&gt; test mse = 43.247307</t>
  </si>
  <si>
    <t>Seed 2 ==&gt; test mse = 15.414819</t>
  </si>
  <si>
    <t>Seed 2 ==&gt; test mse = 27.938595</t>
  </si>
  <si>
    <t>Seed 2 ==&gt; test mse = 9.898626</t>
  </si>
  <si>
    <t>Seed 2 ==&gt; test mse = 49.955523</t>
  </si>
  <si>
    <t>Seed 2 ==&gt; test mse = 24.234533</t>
  </si>
  <si>
    <t>Seed 2 ==&gt; test mse = 25.991540</t>
  </si>
  <si>
    <t>Seed 2 ==&gt; test mse = 7.570969</t>
  </si>
  <si>
    <t>Seed 2 ==&gt; test mse = 38.984569</t>
  </si>
  <si>
    <t>Seed 2 ==&gt; test mse = 37.934252</t>
  </si>
  <si>
    <t>Seed 2 ==&gt; test mse = 6.178824</t>
  </si>
  <si>
    <t>Seed 2 ==&gt; test mse = 15.894742</t>
  </si>
  <si>
    <t>Seed 2 ==&gt; test mse = 5.197335</t>
  </si>
  <si>
    <t>Seed 2 ==&gt; test mse = 12.088552</t>
  </si>
  <si>
    <t>Seed 2 ==&gt; test mse = 39.451110</t>
  </si>
  <si>
    <t>Seed 2 ==&gt; test mse = 20.292063</t>
  </si>
  <si>
    <t>Seed 2 ==&gt; test mse = 31.086470</t>
  </si>
  <si>
    <t>Seed 2 ==&gt; test mse = 8.865228</t>
  </si>
  <si>
    <t>Overall test mae = 7.883066 +/- 0.814025</t>
  </si>
  <si>
    <t>Seed 2 ==&gt; test mae = 4.312533</t>
  </si>
  <si>
    <t>Seed 2 ==&gt; test mae = 4.791664</t>
  </si>
  <si>
    <t>Seed 2 ==&gt; test mae = 3.224413</t>
  </si>
  <si>
    <t>Seed 2 ==&gt; test mae = 3.986543</t>
  </si>
  <si>
    <t>Seed 2 ==&gt; test mae = 2.620231</t>
  </si>
  <si>
    <t>Seed 2 ==&gt; test mae = 4.943956</t>
  </si>
  <si>
    <t>Seed 2 ==&gt; test mae = 4.607680</t>
  </si>
  <si>
    <t>Seed 2 ==&gt; test mae = 4.487377</t>
  </si>
  <si>
    <t>Seed 2 ==&gt; test mae = 2.479326</t>
  </si>
  <si>
    <t>Seed 2 ==&gt; test mae = 4.863105</t>
  </si>
  <si>
    <t>Seed 2 ==&gt; test mae = 4.475922</t>
  </si>
  <si>
    <t>Seed 2 ==&gt; test mae = 1.911662</t>
  </si>
  <si>
    <t>Seed 2 ==&gt; test mae = 3.264581</t>
  </si>
  <si>
    <t>Seed 2 ==&gt; test mae = 1.853037</t>
  </si>
  <si>
    <t>Seed 2 ==&gt; test mae = 2.914492</t>
  </si>
  <si>
    <t>Seed 2 ==&gt; test mae = 4.846523</t>
  </si>
  <si>
    <t>Seed 2 ==&gt; test mae = 4.309844</t>
  </si>
  <si>
    <t>Seed 2 ==&gt; test mae = 4.924569</t>
  </si>
  <si>
    <t>Seed 2 ==&gt; test mae = 2.680634</t>
  </si>
  <si>
    <t>Overall test rmse = 9.057794 +/- 1.126539</t>
  </si>
  <si>
    <t>Seed 2 ==&gt; test rmse = 5.155045</t>
  </si>
  <si>
    <t>Seed 2 ==&gt; test rmse = 6.576268</t>
  </si>
  <si>
    <t>Seed 2 ==&gt; test rmse = 3.926171</t>
  </si>
  <si>
    <t>Seed 2 ==&gt; test rmse = 5.285697</t>
  </si>
  <si>
    <t>Seed 2 ==&gt; test rmse = 3.146208</t>
  </si>
  <si>
    <t>Seed 2 ==&gt; test rmse = 7.067922</t>
  </si>
  <si>
    <t>Seed 2 ==&gt; test rmse = 4.922858</t>
  </si>
  <si>
    <t>Seed 2 ==&gt; test rmse = 5.098190</t>
  </si>
  <si>
    <t>Seed 2 ==&gt; test rmse = 2.751539</t>
  </si>
  <si>
    <t>Seed 2 ==&gt; test rmse = 6.243762</t>
  </si>
  <si>
    <t>Seed 2 ==&gt; test rmse = 6.159079</t>
  </si>
  <si>
    <t>Seed 2 ==&gt; test rmse = 2.485724</t>
  </si>
  <si>
    <t>Seed 2 ==&gt; test rmse = 3.986821</t>
  </si>
  <si>
    <t>Seed 2 ==&gt; test rmse = 2.279766</t>
  </si>
  <si>
    <t>Seed 2 ==&gt; test rmse = 3.476860</t>
  </si>
  <si>
    <t>Seed 2 ==&gt; test rmse = 6.281012</t>
  </si>
  <si>
    <t>Seed 2 ==&gt; test rmse = 4.504671</t>
  </si>
  <si>
    <t>Seed 2 ==&gt; test rmse = 5.575524</t>
  </si>
  <si>
    <t>Seed 2 ==&gt; test rmse = 2.977453</t>
  </si>
  <si>
    <t>Elapsed time = 0:00:04</t>
  </si>
  <si>
    <t>Overall test mse = 24.361338 +/- 1.708622</t>
  </si>
  <si>
    <t>Seed 3 ==&gt; test mse = 16.207022</t>
  </si>
  <si>
    <t>Seed 3 ==&gt; test mse = 21.287483</t>
  </si>
  <si>
    <t>Seed 3 ==&gt; test mse = 11.587025</t>
  </si>
  <si>
    <t>Seed 3 ==&gt; test mse = 35.855755</t>
  </si>
  <si>
    <t>Seed 3 ==&gt; test mse = 14.197325</t>
  </si>
  <si>
    <t>Seed 3 ==&gt; test mse = 24.959250</t>
  </si>
  <si>
    <t>Seed 3 ==&gt; test mse = 8.594749</t>
  </si>
  <si>
    <t>Seed 3 ==&gt; test mse = 48.682180</t>
  </si>
  <si>
    <t>Seed 3 ==&gt; test mse = 7.605023</t>
  </si>
  <si>
    <t>Seed 3 ==&gt; test mse = 47.605681</t>
  </si>
  <si>
    <t>Seed 3 ==&gt; test mse = 15.781393</t>
  </si>
  <si>
    <t>Seed 3 ==&gt; test mse = 45.717040</t>
  </si>
  <si>
    <t>Seed 3 ==&gt; test mse = 10.933961</t>
  </si>
  <si>
    <t>Seed 3 ==&gt; test mse = 71.939539</t>
  </si>
  <si>
    <t>Seed 3 ==&gt; test mse = 18.982337</t>
  </si>
  <si>
    <t>Seed 3 ==&gt; test mse = 15.695316</t>
  </si>
  <si>
    <t>Seed 3 ==&gt; test mse = 15.910372</t>
  </si>
  <si>
    <t>Seed 3 ==&gt; test mse = 19.630015</t>
  </si>
  <si>
    <t>Overall test mae = 3.783302 +/- 0.467673</t>
  </si>
  <si>
    <t>Seed 3 ==&gt; test mae = 3.423463</t>
  </si>
  <si>
    <t>Seed 3 ==&gt; test mae = 3.882775</t>
  </si>
  <si>
    <t>Seed 3 ==&gt; test mae = 2.872716</t>
  </si>
  <si>
    <t>Seed 3 ==&gt; test mae = 4.275611</t>
  </si>
  <si>
    <t>Seed 3 ==&gt; test mae = 3.184772</t>
  </si>
  <si>
    <t>Seed 3 ==&gt; test mae = 4.101484</t>
  </si>
  <si>
    <t>Seed 3 ==&gt; test mae = 2.449661</t>
  </si>
  <si>
    <t>Seed 3 ==&gt; test mae = 6.145904</t>
  </si>
  <si>
    <t>Seed 3 ==&gt; test mae = 2.202585</t>
  </si>
  <si>
    <t>Seed 3 ==&gt; test mae = 6.103130</t>
  </si>
  <si>
    <t>Seed 3 ==&gt; test mae = 2.738720</t>
  </si>
  <si>
    <t>Seed 3 ==&gt; test mae = 5.844156</t>
  </si>
  <si>
    <t>Seed 3 ==&gt; test mae = 2.718143</t>
  </si>
  <si>
    <t>Seed 3 ==&gt; test mae = 7.988549</t>
  </si>
  <si>
    <t>Seed 3 ==&gt; test mae = 4.207120</t>
  </si>
  <si>
    <t>Seed 3 ==&gt; test mae = 3.523641</t>
  </si>
  <si>
    <t>Seed 3 ==&gt; test mae = 3.935321</t>
  </si>
  <si>
    <t>Seed 3 ==&gt; test mae = 4.329497</t>
  </si>
  <si>
    <t>Overall test rmse = 4.932703 +/- 0.172558</t>
  </si>
  <si>
    <t>Seed 3 ==&gt; test rmse = 4.025795</t>
  </si>
  <si>
    <t>Seed 3 ==&gt; test rmse = 4.613836</t>
  </si>
  <si>
    <t>Seed 3 ==&gt; test rmse = 3.403972</t>
  </si>
  <si>
    <t>Seed 3 ==&gt; test rmse = 5.987967</t>
  </si>
  <si>
    <t>Seed 3 ==&gt; test rmse = 3.767934</t>
  </si>
  <si>
    <t>Seed 3 ==&gt; test rmse = 4.995923</t>
  </si>
  <si>
    <t>Seed 3 ==&gt; test rmse = 2.931680</t>
  </si>
  <si>
    <t>Seed 3 ==&gt; test rmse = 6.977262</t>
  </si>
  <si>
    <t>Seed 3 ==&gt; test rmse = 2.757721</t>
  </si>
  <si>
    <t>Seed 3 ==&gt; test rmse = 6.899687</t>
  </si>
  <si>
    <t>Seed 3 ==&gt; test rmse = 3.972580</t>
  </si>
  <si>
    <t>Seed 3 ==&gt; test rmse = 6.761438</t>
  </si>
  <si>
    <t>Seed 3 ==&gt; test rmse = 3.306654</t>
  </si>
  <si>
    <t>Seed 3 ==&gt; test rmse = 8.481718</t>
  </si>
  <si>
    <t>Seed 3 ==&gt; test rmse = 4.356872</t>
  </si>
  <si>
    <t>Seed 3 ==&gt; test rmse = 3.961731</t>
  </si>
  <si>
    <t>Seed 3 ==&gt; test rmse = 3.988781</t>
  </si>
  <si>
    <t>Seed 3 ==&gt; test rmse = 4.430577</t>
  </si>
  <si>
    <t>Elapsed time = 0:00:06</t>
  </si>
  <si>
    <t>Overall test mse = 22.493593 +/- 12.982708</t>
  </si>
  <si>
    <t>Seed 4 ==&gt; test mse = 33.095953</t>
  </si>
  <si>
    <t>Seed 4 ==&gt; test mse = 41.057557</t>
  </si>
  <si>
    <t>Seed 4 ==&gt; test mse = 20.571430</t>
  </si>
  <si>
    <t>Seed 4 ==&gt; test mse = 17.935957</t>
  </si>
  <si>
    <t>Seed 4 ==&gt; test mse = 12.317332</t>
  </si>
  <si>
    <t>Seed 4 ==&gt; test mse = 48.903713</t>
  </si>
  <si>
    <t>Seed 4 ==&gt; test mse = 43.890444</t>
  </si>
  <si>
    <t>Seed 4 ==&gt; test mse = 13.186256</t>
  </si>
  <si>
    <t>Seed 4 ==&gt; test mse = 7.332097</t>
  </si>
  <si>
    <t>Seed 4 ==&gt; test mse = 22.746688</t>
  </si>
  <si>
    <t>Seed 4 ==&gt; test mse = 5.140120</t>
  </si>
  <si>
    <t>Seed 4 ==&gt; test mse = 28.545023</t>
  </si>
  <si>
    <t>Seed 4 ==&gt; test mse = 24.451609</t>
  </si>
  <si>
    <t>Seed 4 ==&gt; test mse = 22.591566</t>
  </si>
  <si>
    <t>Seed 4 ==&gt; test mse = 26.993272</t>
  </si>
  <si>
    <t>Seed 4 ==&gt; test mse = 20.832842</t>
  </si>
  <si>
    <t>Seed 4 ==&gt; test mse = 3.025351</t>
  </si>
  <si>
    <t>Overall test mae = 3.645632 +/- 0.855919</t>
  </si>
  <si>
    <t>Seed 4 ==&gt; test mae = 4.556895</t>
  </si>
  <si>
    <t>Seed 4 ==&gt; test mae = 4.674864</t>
  </si>
  <si>
    <t>Seed 4 ==&gt; test mae = 4.027577</t>
  </si>
  <si>
    <t>Seed 4 ==&gt; test mae = 3.487995</t>
  </si>
  <si>
    <t>Seed 4 ==&gt; test mae = 2.954911</t>
  </si>
  <si>
    <t>Seed 4 ==&gt; test mae = 5.422515</t>
  </si>
  <si>
    <t>Seed 4 ==&gt; test mae = 5.855726</t>
  </si>
  <si>
    <t>Seed 4 ==&gt; test mae = 3.092877</t>
  </si>
  <si>
    <t>Seed 4 ==&gt; test mae = 2.489023</t>
  </si>
  <si>
    <t>Seed 4 ==&gt; test mae = 3.250904</t>
  </si>
  <si>
    <t>Seed 4 ==&gt; test mae = 1.885052</t>
  </si>
  <si>
    <t>Seed 4 ==&gt; test mae = 4.829883</t>
  </si>
  <si>
    <t>Seed 4 ==&gt; test mae = 4.928508</t>
  </si>
  <si>
    <t>Seed 4 ==&gt; test mae = 4.404974</t>
  </si>
  <si>
    <t>Seed 4 ==&gt; test mae = 4.692656</t>
  </si>
  <si>
    <t>Seed 4 ==&gt; test mae = 3.962348</t>
  </si>
  <si>
    <t>Seed 4 ==&gt; test mae = 1.722638</t>
  </si>
  <si>
    <t>Overall test rmse = 4.547735 +/- 1.345992</t>
  </si>
  <si>
    <t>Seed 4 ==&gt; test rmse = 5.752908</t>
  </si>
  <si>
    <t>Seed 4 ==&gt; test rmse = 6.407617</t>
  </si>
  <si>
    <t>Seed 4 ==&gt; test rmse = 4.535574</t>
  </si>
  <si>
    <t>Seed 4 ==&gt; test rmse = 4.235086</t>
  </si>
  <si>
    <t>Seed 4 ==&gt; test rmse = 3.509606</t>
  </si>
  <si>
    <t>Seed 4 ==&gt; test rmse = 6.993119</t>
  </si>
  <si>
    <t>Seed 4 ==&gt; test rmse = 6.624986</t>
  </si>
  <si>
    <t>Seed 4 ==&gt; test rmse = 3.631288</t>
  </si>
  <si>
    <t>Seed 4 ==&gt; test rmse = 2.707784</t>
  </si>
  <si>
    <t>Seed 4 ==&gt; test rmse = 4.769349</t>
  </si>
  <si>
    <t>Seed 4 ==&gt; test rmse = 2.267183</t>
  </si>
  <si>
    <t>Seed 4 ==&gt; test rmse = 5.342754</t>
  </si>
  <si>
    <t>Seed 4 ==&gt; test rmse = 4.944857</t>
  </si>
  <si>
    <t>Seed 4 ==&gt; test rmse = 4.753059</t>
  </si>
  <si>
    <t>Seed 4 ==&gt; test rmse = 5.195505</t>
  </si>
  <si>
    <t>Seed 4 ==&gt; test rmse = 4.564301</t>
  </si>
  <si>
    <t>Seed 4 ==&gt; test rmse = 1.739354</t>
  </si>
  <si>
    <t>Elapsed time = 0:00:09</t>
  </si>
  <si>
    <t>Overall test mse = 23.810352 +/- 9.779029</t>
  </si>
  <si>
    <t>Seed 5 ==&gt; test mse = 19.918044</t>
  </si>
  <si>
    <t>Seed 5 ==&gt; test mse = 34.543515</t>
  </si>
  <si>
    <t>Seed 5 ==&gt; test mse = 9.662942</t>
  </si>
  <si>
    <t>Seed 5 ==&gt; test mse = 39.174716</t>
  </si>
  <si>
    <t>Seed 5 ==&gt; test mse = 17.829701</t>
  </si>
  <si>
    <t>Seed 5 ==&gt; test mse = 10.956207</t>
  </si>
  <si>
    <t>Seed 5 ==&gt; test mse = 8.926361</t>
  </si>
  <si>
    <t>Seed 5 ==&gt; test mse = 7.232382</t>
  </si>
  <si>
    <t>Seed 5 ==&gt; test mse = 46.063321</t>
  </si>
  <si>
    <t>Seed 5 ==&gt; test mse = 37.441237</t>
  </si>
  <si>
    <t>Seed 5 ==&gt; test mse = 12.809067</t>
  </si>
  <si>
    <t>Seed 5 ==&gt; test mse = 20.456088</t>
  </si>
  <si>
    <t>Seed 5 ==&gt; test mse = 22.942371</t>
  </si>
  <si>
    <t>Seed 5 ==&gt; test mse = 13.170966</t>
  </si>
  <si>
    <t>Seed 5 ==&gt; test mse = 6.984980</t>
  </si>
  <si>
    <t>Seed 5 ==&gt; test mse = 19.991130</t>
  </si>
  <si>
    <t>Overall test mae = 3.806298 +/- 0.775563</t>
  </si>
  <si>
    <t>Seed 5 ==&gt; test mae = 3.812376</t>
  </si>
  <si>
    <t>Seed 5 ==&gt; test mae = 4.988123</t>
  </si>
  <si>
    <t>Seed 5 ==&gt; test mae = 2.635741</t>
  </si>
  <si>
    <t>Seed 5 ==&gt; test mae = 4.971505</t>
  </si>
  <si>
    <t>Seed 5 ==&gt; test mae = 2.865712</t>
  </si>
  <si>
    <t>Seed 5 ==&gt; test mae = 2.862669</t>
  </si>
  <si>
    <t>Seed 5 ==&gt; test mae = 2.149842</t>
  </si>
  <si>
    <t>Seed 5 ==&gt; test mae = 2.087963</t>
  </si>
  <si>
    <t>Seed 5 ==&gt; test mae = 6.107300</t>
  </si>
  <si>
    <t>Seed 5 ==&gt; test mae = 4.136160</t>
  </si>
  <si>
    <t>Seed 5 ==&gt; test mae = 3.047416</t>
  </si>
  <si>
    <t>Seed 5 ==&gt; test mae = 4.456096</t>
  </si>
  <si>
    <t>Seed 5 ==&gt; test mae = 4.202599</t>
  </si>
  <si>
    <t>Seed 5 ==&gt; test mae = 3.155789</t>
  </si>
  <si>
    <t>Seed 5 ==&gt; test mae = 2.028116</t>
  </si>
  <si>
    <t>Seed 5 ==&gt; test mae = 4.403507</t>
  </si>
  <si>
    <t>Overall test rmse = 4.773382 +/- 1.012512</t>
  </si>
  <si>
    <t>Seed 5 ==&gt; test rmse = 4.462964</t>
  </si>
  <si>
    <t>Seed 5 ==&gt; test rmse = 5.877373</t>
  </si>
  <si>
    <t>Seed 5 ==&gt; test rmse = 3.108527</t>
  </si>
  <si>
    <t>Seed 5 ==&gt; test rmse = 6.258971</t>
  </si>
  <si>
    <t>Seed 5 ==&gt; test rmse = 4.222523</t>
  </si>
  <si>
    <t>Seed 5 ==&gt; test rmse = 3.310016</t>
  </si>
  <si>
    <t>Seed 5 ==&gt; test rmse = 2.987702</t>
  </si>
  <si>
    <t>Seed 5 ==&gt; test rmse = 2.689309</t>
  </si>
  <si>
    <t>Seed 5 ==&gt; test rmse = 6.786996</t>
  </si>
  <si>
    <t>Seed 5 ==&gt; test rmse = 6.118924</t>
  </si>
  <si>
    <t>Seed 5 ==&gt; test rmse = 3.578976</t>
  </si>
  <si>
    <t>Seed 5 ==&gt; test rmse = 4.522841</t>
  </si>
  <si>
    <t>Seed 5 ==&gt; test rmse = 4.789820</t>
  </si>
  <si>
    <t>Seed 5 ==&gt; test rmse = 3.629183</t>
  </si>
  <si>
    <t>Seed 5 ==&gt; test rmse = 2.642911</t>
  </si>
  <si>
    <t>Seed 5 ==&gt; test rmse = 4.471144</t>
  </si>
  <si>
    <t>Elapsed time = 0:00:11</t>
  </si>
  <si>
    <t>Overall test mse = 23.389324 +/- 12.312134</t>
  </si>
  <si>
    <t>Seed 6 ==&gt; test mse = 22.282436</t>
  </si>
  <si>
    <t>Seed 6 ==&gt; test mse = 44.177715</t>
  </si>
  <si>
    <t>Seed 6 ==&gt; test mse = 17.388167</t>
  </si>
  <si>
    <t>Seed 6 ==&gt; test mse = 13.247204</t>
  </si>
  <si>
    <t>Seed 6 ==&gt; test mse = 21.525902</t>
  </si>
  <si>
    <t>Seed 6 ==&gt; test mse = 33.058467</t>
  </si>
  <si>
    <t>Seed 6 ==&gt; test mse = 25.188716</t>
  </si>
  <si>
    <t>Seed 6 ==&gt; test mse = 45.329373</t>
  </si>
  <si>
    <t>Seed 6 ==&gt; test mse = 32.198463</t>
  </si>
  <si>
    <t>Seed 6 ==&gt; test mse = 32.500751</t>
  </si>
  <si>
    <t>Seed 6 ==&gt; test mse = 12.500813</t>
  </si>
  <si>
    <t>Seed 6 ==&gt; test mse = 22.956744</t>
  </si>
  <si>
    <t>Seed 6 ==&gt; test mse = 9.582943</t>
  </si>
  <si>
    <t>Seed 6 ==&gt; test mse = 14.905815</t>
  </si>
  <si>
    <t>Seed 6 ==&gt; test mse = 20.909844</t>
  </si>
  <si>
    <t>Overall test mae = 3.665219 +/- 0.983695</t>
  </si>
  <si>
    <t>Seed 6 ==&gt; test mae = 2.979800</t>
  </si>
  <si>
    <t>Seed 6 ==&gt; test mae = 5.102856</t>
  </si>
  <si>
    <t>Seed 6 ==&gt; test mae = 3.303282</t>
  </si>
  <si>
    <t>Seed 6 ==&gt; test mae = 2.938163</t>
  </si>
  <si>
    <t>Seed 6 ==&gt; test mae = 3.859519</t>
  </si>
  <si>
    <t>Seed 6 ==&gt; test mae = 4.143726</t>
  </si>
  <si>
    <t>Seed 6 ==&gt; test mae = 4.659209</t>
  </si>
  <si>
    <t>Seed 6 ==&gt; test mae = 4.858037</t>
  </si>
  <si>
    <t>Seed 6 ==&gt; test mae = 4.709300</t>
  </si>
  <si>
    <t>Seed 6 ==&gt; test mae = 4.921029</t>
  </si>
  <si>
    <t>Seed 6 ==&gt; test mae = 3.028516</t>
  </si>
  <si>
    <t>Seed 6 ==&gt; test mae = 3.867152</t>
  </si>
  <si>
    <t>Seed 6 ==&gt; test mae = 2.976925</t>
  </si>
  <si>
    <t>Seed 6 ==&gt; test mae = 3.019809</t>
  </si>
  <si>
    <t>Seed 6 ==&gt; test mae = 3.543652</t>
  </si>
  <si>
    <t>Overall test rmse = 4.632806 +/- 1.387959</t>
  </si>
  <si>
    <t>Seed 6 ==&gt; test rmse = 4.720428</t>
  </si>
  <si>
    <t>Seed 6 ==&gt; test rmse = 6.646632</t>
  </si>
  <si>
    <t>Seed 6 ==&gt; test rmse = 4.169912</t>
  </si>
  <si>
    <t>Seed 6 ==&gt; test rmse = 3.639671</t>
  </si>
  <si>
    <t>Seed 6 ==&gt; test rmse = 4.639601</t>
  </si>
  <si>
    <t>Seed 6 ==&gt; test rmse = 5.749649</t>
  </si>
  <si>
    <t>Seed 6 ==&gt; test rmse = 5.018836</t>
  </si>
  <si>
    <t>Seed 6 ==&gt; test rmse = 6.732709</t>
  </si>
  <si>
    <t>Seed 6 ==&gt; test rmse = 5.674369</t>
  </si>
  <si>
    <t>Seed 6 ==&gt; test rmse = 5.700943</t>
  </si>
  <si>
    <t>Seed 6 ==&gt; test rmse = 3.535649</t>
  </si>
  <si>
    <t>Seed 6 ==&gt; test rmse = 4.791320</t>
  </si>
  <si>
    <t>Seed 6 ==&gt; test rmse = 3.095633</t>
  </si>
  <si>
    <t>Seed 6 ==&gt; test rmse = 3.860805</t>
  </si>
  <si>
    <t>Seed 6 ==&gt; test rmse = 4.572728</t>
  </si>
  <si>
    <t>Elapsed time = 0:00:14</t>
  </si>
  <si>
    <t>Overall test mse = 23.820998 +/- 10.581864</t>
  </si>
  <si>
    <t>Seed 7 ==&gt; test mse = 17.506057</t>
  </si>
  <si>
    <t>Seed 7 ==&gt; test mse = 5.759133</t>
  </si>
  <si>
    <t>Seed 7 ==&gt; test mse = 12.983323</t>
  </si>
  <si>
    <t>Seed 7 ==&gt; test mse = 6.262498</t>
  </si>
  <si>
    <t>Seed 7 ==&gt; test mse = 10.054848</t>
  </si>
  <si>
    <t>Seed 7 ==&gt; test mse = 36.798774</t>
  </si>
  <si>
    <t>Seed 7 ==&gt; test mse = 15.959139</t>
  </si>
  <si>
    <t>Seed 7 ==&gt; test mse = 11.000570</t>
  </si>
  <si>
    <t>Seed 7 ==&gt; test mse = 19.737065</t>
  </si>
  <si>
    <t>Seed 7 ==&gt; test mse = 12.671720</t>
  </si>
  <si>
    <t>Seed 7 ==&gt; test mse = 8.694798</t>
  </si>
  <si>
    <t>Seed 7 ==&gt; test mse = 18.046857</t>
  </si>
  <si>
    <t>Seed 7 ==&gt; test mse = 19.426815</t>
  </si>
  <si>
    <t>Seed 7 ==&gt; test mse = 14.930958</t>
  </si>
  <si>
    <t>Overall test mae = 3.772887 +/- 0.984070</t>
  </si>
  <si>
    <t>Seed 7 ==&gt; test mae = 3.678546</t>
  </si>
  <si>
    <t>Seed 7 ==&gt; test mae = 2.117820</t>
  </si>
  <si>
    <t>Seed 7 ==&gt; test mae = 2.929449</t>
  </si>
  <si>
    <t>Seed 7 ==&gt; test mae = 2.146436</t>
  </si>
  <si>
    <t>Seed 7 ==&gt; test mae = 2.940041</t>
  </si>
  <si>
    <t>Seed 7 ==&gt; test mae = 4.921772</t>
  </si>
  <si>
    <t>Seed 7 ==&gt; test mae = 3.349177</t>
  </si>
  <si>
    <t>Seed 7 ==&gt; test mae = 2.971229</t>
  </si>
  <si>
    <t>Seed 7 ==&gt; test mae = 4.211026</t>
  </si>
  <si>
    <t>Seed 7 ==&gt; test mae = 2.514451</t>
  </si>
  <si>
    <t>Seed 7 ==&gt; test mae = 2.658707</t>
  </si>
  <si>
    <t>Seed 7 ==&gt; test mae = 3.778294</t>
  </si>
  <si>
    <t>Seed 7 ==&gt; test mae = 3.334980</t>
  </si>
  <si>
    <t>Seed 7 ==&gt; test mae = 3.790135</t>
  </si>
  <si>
    <t>Overall test rmse = 4.739791 +/- 1.164206</t>
  </si>
  <si>
    <t>Seed 7 ==&gt; test rmse = 4.184024</t>
  </si>
  <si>
    <t>Seed 7 ==&gt; test rmse = 2.399819</t>
  </si>
  <si>
    <t>Seed 7 ==&gt; test rmse = 3.603238</t>
  </si>
  <si>
    <t>Seed 7 ==&gt; test rmse = 2.502498</t>
  </si>
  <si>
    <t>Seed 7 ==&gt; test rmse = 3.170938</t>
  </si>
  <si>
    <t>Seed 7 ==&gt; test rmse = 6.066199</t>
  </si>
  <si>
    <t>Seed 7 ==&gt; test rmse = 3.994889</t>
  </si>
  <si>
    <t>Seed 7 ==&gt; test rmse = 3.316711</t>
  </si>
  <si>
    <t>Seed 7 ==&gt; test rmse = 4.442642</t>
  </si>
  <si>
    <t>Seed 7 ==&gt; test rmse = 3.559736</t>
  </si>
  <si>
    <t>Seed 7 ==&gt; test rmse = 2.948694</t>
  </si>
  <si>
    <t>Seed 7 ==&gt; test rmse = 4.248159</t>
  </si>
  <si>
    <t>Seed 7 ==&gt; test rmse = 4.407586</t>
  </si>
  <si>
    <t>Seed 7 ==&gt; test rmse = 3.864060</t>
  </si>
  <si>
    <t>Elapsed time = 0:00:15</t>
  </si>
  <si>
    <t>Overall test mse = 23.432229 +/- 14.620405</t>
  </si>
  <si>
    <t>Seed 8 ==&gt; test mse = 10.582192</t>
  </si>
  <si>
    <t>Seed 8 ==&gt; test mse = 26.781310</t>
  </si>
  <si>
    <t>Seed 8 ==&gt; test mse = 4.597475</t>
  </si>
  <si>
    <t>Seed 8 ==&gt; test mse = 23.510986</t>
  </si>
  <si>
    <t>Seed 8 ==&gt; test mse = 57.169051</t>
  </si>
  <si>
    <t>Seed 8 ==&gt; test mse = 12.200310</t>
  </si>
  <si>
    <t>Seed 8 ==&gt; test mse = 10.933823</t>
  </si>
  <si>
    <t>Seed 8 ==&gt; test mse = 11.603734</t>
  </si>
  <si>
    <t>Seed 8 ==&gt; test mse = 34.412114</t>
  </si>
  <si>
    <t>Seed 8 ==&gt; test mse = 16.852126</t>
  </si>
  <si>
    <t>Seed 8 ==&gt; test mse = 3.357260</t>
  </si>
  <si>
    <t>Seed 8 ==&gt; test mse = 36.460609</t>
  </si>
  <si>
    <t>Seed 8 ==&gt; test mse = 15.576929</t>
  </si>
  <si>
    <t>Overall test mae = 3.717585 +/- 0.914881</t>
  </si>
  <si>
    <t>Seed 8 ==&gt; test mae = 2.124652</t>
  </si>
  <si>
    <t>Seed 8 ==&gt; test mae = 4.242161</t>
  </si>
  <si>
    <t>Seed 8 ==&gt; test mae = 1.586148</t>
  </si>
  <si>
    <t>Seed 8 ==&gt; test mae = 4.066608</t>
  </si>
  <si>
    <t>Seed 8 ==&gt; test mae = 7.022318</t>
  </si>
  <si>
    <t>Seed 8 ==&gt; test mae = 2.642696</t>
  </si>
  <si>
    <t>Seed 8 ==&gt; test mae = 3.135140</t>
  </si>
  <si>
    <t>Seed 8 ==&gt; test mae = 3.127239</t>
  </si>
  <si>
    <t>Seed 8 ==&gt; test mae = 4.844141</t>
  </si>
  <si>
    <t>Seed 8 ==&gt; test mae = 2.843669</t>
  </si>
  <si>
    <t>Seed 8 ==&gt; test mae = 1.823467</t>
  </si>
  <si>
    <t>Seed 8 ==&gt; test mae = 5.696002</t>
  </si>
  <si>
    <t>Seed 8 ==&gt; test mae = 3.505304</t>
  </si>
  <si>
    <t>Overall test rmse = 4.619879 +/- 1.445319</t>
  </si>
  <si>
    <t>Seed 8 ==&gt; test rmse = 3.253028</t>
  </si>
  <si>
    <t>Seed 8 ==&gt; test rmse = 5.175066</t>
  </si>
  <si>
    <t>Seed 8 ==&gt; test rmse = 2.144172</t>
  </si>
  <si>
    <t>Seed 8 ==&gt; test rmse = 4.848813</t>
  </si>
  <si>
    <t>Seed 8 ==&gt; test rmse = 7.561022</t>
  </si>
  <si>
    <t>Seed 8 ==&gt; test rmse = 3.492894</t>
  </si>
  <si>
    <t>Seed 8 ==&gt; test rmse = 3.306633</t>
  </si>
  <si>
    <t>Seed 8 ==&gt; test rmse = 3.406425</t>
  </si>
  <si>
    <t>Seed 8 ==&gt; test rmse = 5.866184</t>
  </si>
  <si>
    <t>Seed 8 ==&gt; test rmse = 4.105134</t>
  </si>
  <si>
    <t>Seed 8 ==&gt; test rmse = 1.832283</t>
  </si>
  <si>
    <t>Seed 8 ==&gt; test rmse = 6.038262</t>
  </si>
  <si>
    <t>Seed 8 ==&gt; test rmse = 3.946762</t>
  </si>
  <si>
    <t>Elapsed time = 0:00:19</t>
  </si>
  <si>
    <t>Overall test mse = 22.637311 +/- 11.456610</t>
  </si>
  <si>
    <t>Seed 9 ==&gt; test mse = 20.383765</t>
  </si>
  <si>
    <t>Seed 9 ==&gt; test mse = 27.258426</t>
  </si>
  <si>
    <t>Seed 9 ==&gt; test mse = 19.666670</t>
  </si>
  <si>
    <t>Seed 9 ==&gt; test mse = 24.161486</t>
  </si>
  <si>
    <t>Seed 9 ==&gt; test mse = 10.103502</t>
  </si>
  <si>
    <t>Seed 9 ==&gt; test mse = 46.121156</t>
  </si>
  <si>
    <t>Seed 9 ==&gt; test mse = 19.631010</t>
  </si>
  <si>
    <t>Seed 9 ==&gt; test mse = 44.946454</t>
  </si>
  <si>
    <t>Seed 9 ==&gt; test mse = 7.314416</t>
  </si>
  <si>
    <t>Seed 9 ==&gt; test mse = 22.297149</t>
  </si>
  <si>
    <t>Seed 9 ==&gt; test mse = 5.797527</t>
  </si>
  <si>
    <t>Seed 9 ==&gt; test mse = 39.968306</t>
  </si>
  <si>
    <t>Overall test mae = 3.670604 +/- 1.019837</t>
  </si>
  <si>
    <t>Seed 9 ==&gt; test mae = 4.079494</t>
  </si>
  <si>
    <t>Seed 9 ==&gt; test mae = 4.171288</t>
  </si>
  <si>
    <t>Seed 9 ==&gt; test mae = 4.300840</t>
  </si>
  <si>
    <t>Seed 9 ==&gt; test mae = 3.976622</t>
  </si>
  <si>
    <t>Seed 9 ==&gt; test mae = 2.351893</t>
  </si>
  <si>
    <t>Seed 9 ==&gt; test mae = 5.515367</t>
  </si>
  <si>
    <t>Seed 9 ==&gt; test mae = 4.074334</t>
  </si>
  <si>
    <t>Seed 9 ==&gt; test mae = 6.172403</t>
  </si>
  <si>
    <t>Seed 9 ==&gt; test mae = 2.445581</t>
  </si>
  <si>
    <t>Seed 9 ==&gt; test mae = 4.492429</t>
  </si>
  <si>
    <t>Seed 9 ==&gt; test mae = 2.024222</t>
  </si>
  <si>
    <t>Seed 9 ==&gt; test mae = 5.615128</t>
  </si>
  <si>
    <t>Overall test rmse = 4.584005 +/- 1.274444</t>
  </si>
  <si>
    <t>Seed 9 ==&gt; test rmse = 4.514838</t>
  </si>
  <si>
    <t>Seed 9 ==&gt; test rmse = 5.220960</t>
  </si>
  <si>
    <t>Seed 9 ==&gt; test rmse = 4.434712</t>
  </si>
  <si>
    <t>Seed 9 ==&gt; test rmse = 4.915433</t>
  </si>
  <si>
    <t>Seed 9 ==&gt; test rmse = 3.178601</t>
  </si>
  <si>
    <t>Seed 9 ==&gt; test rmse = 6.791256</t>
  </si>
  <si>
    <t>Seed 9 ==&gt; test rmse = 4.430690</t>
  </si>
  <si>
    <t>Seed 9 ==&gt; test rmse = 6.704212</t>
  </si>
  <si>
    <t>Seed 9 ==&gt; test rmse = 2.704518</t>
  </si>
  <si>
    <t>Seed 9 ==&gt; test rmse = 4.721986</t>
  </si>
  <si>
    <t>Seed 9 ==&gt; test rmse = 2.407805</t>
  </si>
  <si>
    <t>Seed 9 ==&gt; test rmse = 6.322049</t>
  </si>
  <si>
    <t>Elapsed time = 0:00:22</t>
  </si>
  <si>
    <t>Overall test mse = 24.488286 +/- 17.579324</t>
  </si>
  <si>
    <t>Seed 10 ==&gt; test mse = 81.023997</t>
  </si>
  <si>
    <t>Seed 10 ==&gt; test mse = 92.648704</t>
  </si>
  <si>
    <t>Seed 10 ==&gt; test mse = 66.530128</t>
  </si>
  <si>
    <t>Seed 10 ==&gt; test mse = 90.080093</t>
  </si>
  <si>
    <t>Seed 10 ==&gt; test mse = 109.035258</t>
  </si>
  <si>
    <t>Seed 10 ==&gt; test mse = 92.478735</t>
  </si>
  <si>
    <t>Seed 10 ==&gt; test mse = 64.024621</t>
  </si>
  <si>
    <t>Seed 10 ==&gt; test mse = 100.489212</t>
  </si>
  <si>
    <t>Seed 10 ==&gt; test mse = 149.220491</t>
  </si>
  <si>
    <t>Seed 10 ==&gt; test mse = 96.657962</t>
  </si>
  <si>
    <t>Seed 10 ==&gt; test mse = 171.125447</t>
  </si>
  <si>
    <t>Overall test mae = 3.730810 +/- 1.248530</t>
  </si>
  <si>
    <t>Seed 10 ==&gt; test mae = 7.757013</t>
  </si>
  <si>
    <t>Seed 10 ==&gt; test mae = 6.218943</t>
  </si>
  <si>
    <t>Seed 10 ==&gt; test mae = 5.290956</t>
  </si>
  <si>
    <t>Seed 10 ==&gt; test mae = 7.291336</t>
  </si>
  <si>
    <t>Seed 10 ==&gt; test mae = 8.446348</t>
  </si>
  <si>
    <t>Seed 10 ==&gt; test mae = 8.473251</t>
  </si>
  <si>
    <t>Seed 10 ==&gt; test mae = 5.312961</t>
  </si>
  <si>
    <t>Seed 10 ==&gt; test mae = 7.015108</t>
  </si>
  <si>
    <t>Seed 10 ==&gt; test mae = 11.246795</t>
  </si>
  <si>
    <t>Seed 10 ==&gt; test mae = 5.952183</t>
  </si>
  <si>
    <t>Seed 10 ==&gt; test mae = 11.816667</t>
  </si>
  <si>
    <t>Overall test rmse = 4.664081 +/- 1.653672</t>
  </si>
  <si>
    <t>Seed 10 ==&gt; test rmse = 9.001333</t>
  </si>
  <si>
    <t>Seed 10 ==&gt; test rmse = 9.625420</t>
  </si>
  <si>
    <t>Seed 10 ==&gt; test rmse = 8.156600</t>
  </si>
  <si>
    <t>Seed 10 ==&gt; test rmse = 9.491053</t>
  </si>
  <si>
    <t>Seed 10 ==&gt; test rmse = 10.441995</t>
  </si>
  <si>
    <t>Seed 10 ==&gt; test rmse = 9.616586</t>
  </si>
  <si>
    <t>Seed 10 ==&gt; test rmse = 8.001539</t>
  </si>
  <si>
    <t>Seed 10 ==&gt; test rmse = 10.024431</t>
  </si>
  <si>
    <t>Seed 10 ==&gt; test rmse = 12.215584</t>
  </si>
  <si>
    <t>Seed 10 ==&gt; test rmse = 9.831478</t>
  </si>
  <si>
    <t>Seed 10 ==&gt; test rmse = 13.081493</t>
  </si>
  <si>
    <t>Overall test mse = 24.888862 +/- 22.952808</t>
  </si>
  <si>
    <t>Seed 11 ==&gt; test mse = 25.198986</t>
  </si>
  <si>
    <t>Seed 11 ==&gt; test mse = 7.428083</t>
  </si>
  <si>
    <t>Seed 11 ==&gt; test mse = 4.555128</t>
  </si>
  <si>
    <t>Seed 11 ==&gt; test mse = 24.093381</t>
  </si>
  <si>
    <t>Seed 11 ==&gt; test mse = 19.389959</t>
  </si>
  <si>
    <t>Seed 11 ==&gt; test mse = 6.802281</t>
  </si>
  <si>
    <t>Seed 11 ==&gt; test mse = 24.562909</t>
  </si>
  <si>
    <t>Seed 11 ==&gt; test mse = 3.618661</t>
  </si>
  <si>
    <t>Seed 11 ==&gt; test mse = 8.143041</t>
  </si>
  <si>
    <t>Seed 11 ==&gt; test mse = 8.223609</t>
  </si>
  <si>
    <t>Overall test mae = 3.899230 +/- 1.867498</t>
  </si>
  <si>
    <t>Seed 11 ==&gt; test mae = 4.759200</t>
  </si>
  <si>
    <t>Seed 11 ==&gt; test mae = 2.533683</t>
  </si>
  <si>
    <t>Seed 11 ==&gt; test mae = 1.915719</t>
  </si>
  <si>
    <t>Seed 11 ==&gt; test mae = 4.171528</t>
  </si>
  <si>
    <t>Seed 11 ==&gt; test mae = 3.721416</t>
  </si>
  <si>
    <t>Seed 11 ==&gt; test mae = 2.325850</t>
  </si>
  <si>
    <t>Seed 11 ==&gt; test mae = 4.642765</t>
  </si>
  <si>
    <t>Seed 11 ==&gt; test mae = 1.355225</t>
  </si>
  <si>
    <t>Seed 11 ==&gt; test mae = 2.557656</t>
  </si>
  <si>
    <t>Seed 11 ==&gt; test mae = 2.065107</t>
  </si>
  <si>
    <t>Overall test rmse = 4.506956 +/- 2.139207</t>
  </si>
  <si>
    <t>Seed 11 ==&gt; test rmse = 5.019859</t>
  </si>
  <si>
    <t>Seed 11 ==&gt; test rmse = 2.725451</t>
  </si>
  <si>
    <t>Seed 11 ==&gt; test rmse = 2.134275</t>
  </si>
  <si>
    <t>Seed 11 ==&gt; test rmse = 4.908501</t>
  </si>
  <si>
    <t>Seed 11 ==&gt; test rmse = 4.403403</t>
  </si>
  <si>
    <t>Seed 11 ==&gt; test rmse = 2.608118</t>
  </si>
  <si>
    <t>Seed 11 ==&gt; test rmse = 4.956098</t>
  </si>
  <si>
    <t>Seed 11 ==&gt; test rmse = 1.902278</t>
  </si>
  <si>
    <t>Seed 11 ==&gt; test rmse = 2.853601</t>
  </si>
  <si>
    <t>Seed 11 ==&gt; test rmse = 2.867684</t>
  </si>
  <si>
    <t>Elapsed time = 0:00:23</t>
  </si>
  <si>
    <t>Overall test mse = 25.619755 +/- 23.006655</t>
  </si>
  <si>
    <t>Seed 12 ==&gt; test mse = 7.806590</t>
  </si>
  <si>
    <t>Seed 12 ==&gt; test mse = 49.835344</t>
  </si>
  <si>
    <t>Seed 12 ==&gt; test mse = 29.577245</t>
  </si>
  <si>
    <t>Seed 12 ==&gt; test mse = 7.283312</t>
  </si>
  <si>
    <t>Seed 12 ==&gt; test mse = 11.495330</t>
  </si>
  <si>
    <t>Seed 12 ==&gt; test mse = 36.662145</t>
  </si>
  <si>
    <t>Seed 12 ==&gt; test mse = 1.400248</t>
  </si>
  <si>
    <t>Seed 12 ==&gt; test mse = 10.148812</t>
  </si>
  <si>
    <t>Seed 12 ==&gt; test mse = 39.738012</t>
  </si>
  <si>
    <t>Overall test mae = 3.738853 +/- 1.403800</t>
  </si>
  <si>
    <t>Seed 12 ==&gt; test mae = 1.746421</t>
  </si>
  <si>
    <t>Seed 12 ==&gt; test mae = 5.846910</t>
  </si>
  <si>
    <t>Seed 12 ==&gt; test mae = 4.180023</t>
  </si>
  <si>
    <t>Seed 12 ==&gt; test mae = 2.322314</t>
  </si>
  <si>
    <t>Seed 12 ==&gt; test mae = 3.212818</t>
  </si>
  <si>
    <t>Seed 12 ==&gt; test mae = 4.402412</t>
  </si>
  <si>
    <t>Seed 12 ==&gt; test mae = 1.149425</t>
  </si>
  <si>
    <t>Seed 12 ==&gt; test mae = 2.926580</t>
  </si>
  <si>
    <t>Seed 12 ==&gt; test mae = 5.192810</t>
  </si>
  <si>
    <t>Overall test rmse = 4.640340 +/- 2.021633</t>
  </si>
  <si>
    <t>Seed 12 ==&gt; test rmse = 2.794027</t>
  </si>
  <si>
    <t>Seed 12 ==&gt; test rmse = 7.059415</t>
  </si>
  <si>
    <t>Seed 12 ==&gt; test rmse = 5.438497</t>
  </si>
  <si>
    <t>Seed 12 ==&gt; test rmse = 2.698761</t>
  </si>
  <si>
    <t>Seed 12 ==&gt; test rmse = 3.390476</t>
  </si>
  <si>
    <t>Seed 12 ==&gt; test rmse = 6.054927</t>
  </si>
  <si>
    <t>Seed 12 ==&gt; test rmse = 1.183321</t>
  </si>
  <si>
    <t>Seed 12 ==&gt; test rmse = 3.185720</t>
  </si>
  <si>
    <t>Seed 12 ==&gt; test rmse = 6.303809</t>
  </si>
  <si>
    <t>Elapsed time = 0:00:28</t>
  </si>
  <si>
    <t>Overall test mse = 31.180821 +/- 19.273112</t>
  </si>
  <si>
    <t>Seed 13 ==&gt; test mse = 9.067989</t>
  </si>
  <si>
    <t>Seed 13 ==&gt; test mse = 22.510911</t>
  </si>
  <si>
    <t>Seed 13 ==&gt; test mse = 10.918086</t>
  </si>
  <si>
    <t>Seed 13 ==&gt; test mse = 27.221630</t>
  </si>
  <si>
    <t>Seed 13 ==&gt; test mse = 7.092707</t>
  </si>
  <si>
    <t>Seed 13 ==&gt; test mse = 6.306321</t>
  </si>
  <si>
    <t>Seed 13 ==&gt; test mse = 4.752051</t>
  </si>
  <si>
    <t>Seed 13 ==&gt; test mse = 18.516588</t>
  </si>
  <si>
    <t>Overall test mae = 4.255923 +/- 1.603770</t>
  </si>
  <si>
    <t>Seed 13 ==&gt; test mae = 2.944815</t>
  </si>
  <si>
    <t>Seed 13 ==&gt; test mae = 4.609852</t>
  </si>
  <si>
    <t>Seed 13 ==&gt; test mae = 2.747585</t>
  </si>
  <si>
    <t>Seed 13 ==&gt; test mae = 4.269832</t>
  </si>
  <si>
    <t>Seed 13 ==&gt; test mae = 2.635347</t>
  </si>
  <si>
    <t>Seed 13 ==&gt; test mae = 2.423678</t>
  </si>
  <si>
    <t>Seed 13 ==&gt; test mae = 1.831277</t>
  </si>
  <si>
    <t>Seed 13 ==&gt; test mae = 4.132200</t>
  </si>
  <si>
    <t>Overall test rmse = 5.255805 +/- 1.886089</t>
  </si>
  <si>
    <t>Seed 13 ==&gt; test rmse = 3.011310</t>
  </si>
  <si>
    <t>Seed 13 ==&gt; test rmse = 4.744566</t>
  </si>
  <si>
    <t>Seed 13 ==&gt; test rmse = 3.304253</t>
  </si>
  <si>
    <t>Seed 13 ==&gt; test rmse = 5.217435</t>
  </si>
  <si>
    <t>Seed 13 ==&gt; test rmse = 2.663214</t>
  </si>
  <si>
    <t>Seed 13 ==&gt; test rmse = 2.511239</t>
  </si>
  <si>
    <t>Seed 13 ==&gt; test rmse = 2.179920</t>
  </si>
  <si>
    <t>Seed 13 ==&gt; test rmse = 4.303091</t>
  </si>
  <si>
    <t>Elapsed time = 0:00:27</t>
  </si>
  <si>
    <t>Overall test mse = 28.046979 +/- 24.451647</t>
  </si>
  <si>
    <t>Seed 14 ==&gt; test mse = 69.656029</t>
  </si>
  <si>
    <t>Seed 14 ==&gt; test mse = 45.829409</t>
  </si>
  <si>
    <t>Seed 14 ==&gt; test mse = 41.774317</t>
  </si>
  <si>
    <t>Seed 14 ==&gt; test mse = 62.675528</t>
  </si>
  <si>
    <t>Seed 14 ==&gt; test mse = 57.410660</t>
  </si>
  <si>
    <t>Seed 14 ==&gt; test mse = 79.348902</t>
  </si>
  <si>
    <t>Seed 14 ==&gt; test mse = 86.351599</t>
  </si>
  <si>
    <t>Overall test mae = 3.847499 +/- 1.730590</t>
  </si>
  <si>
    <t>Seed 14 ==&gt; test mae = 7.173392</t>
  </si>
  <si>
    <t>Seed 14 ==&gt; test mae = 3.877884</t>
  </si>
  <si>
    <t>Seed 14 ==&gt; test mae = 6.124586</t>
  </si>
  <si>
    <t>Seed 14 ==&gt; test mae = 6.222200</t>
  </si>
  <si>
    <t>Seed 14 ==&gt; test mae = 5.790420</t>
  </si>
  <si>
    <t>Seed 14 ==&gt; test mae = 7.558641</t>
  </si>
  <si>
    <t>Seed 14 ==&gt; test mae = 7.509394</t>
  </si>
  <si>
    <t>Overall test rmse = 4.826488 +/- 2.179907</t>
  </si>
  <si>
    <t>Seed 14 ==&gt; test rmse = 8.346019</t>
  </si>
  <si>
    <t>Seed 14 ==&gt; test rmse = 6.769742</t>
  </si>
  <si>
    <t>Seed 14 ==&gt; test rmse = 6.463305</t>
  </si>
  <si>
    <t>Seed 14 ==&gt; test rmse = 7.916788</t>
  </si>
  <si>
    <t>Seed 14 ==&gt; test rmse = 7.576982</t>
  </si>
  <si>
    <t>Seed 14 ==&gt; test rmse = 8.907800</t>
  </si>
  <si>
    <t>Seed 14 ==&gt; test rmse = 9.292556</t>
  </si>
  <si>
    <t>Elapsed time = 0:00:30</t>
  </si>
  <si>
    <t>Overall test mse = 31.497893 +/- 27.200458</t>
  </si>
  <si>
    <t>Seed 15 ==&gt; test mse = 23.016805</t>
  </si>
  <si>
    <t>Seed 15 ==&gt; test mse = 7.949941</t>
  </si>
  <si>
    <t>Seed 15 ==&gt; test mse = 3.978095</t>
  </si>
  <si>
    <t>Seed 15 ==&gt; test mse = 9.857009</t>
  </si>
  <si>
    <t>Seed 15 ==&gt; test mse = 19.173201</t>
  </si>
  <si>
    <t>Seed 15 ==&gt; test mse = 2.277530</t>
  </si>
  <si>
    <t>Overall test mae = 4.283841 +/- 1.814781</t>
  </si>
  <si>
    <t>Seed 15 ==&gt; test mae = 3.445397</t>
  </si>
  <si>
    <t>Seed 15 ==&gt; test mae = 2.138548</t>
  </si>
  <si>
    <t>Seed 15 ==&gt; test mae = 1.359285</t>
  </si>
  <si>
    <t>Seed 15 ==&gt; test mae = 2.965238</t>
  </si>
  <si>
    <t>Seed 15 ==&gt; test mae = 4.034732</t>
  </si>
  <si>
    <t>Seed 15 ==&gt; test mae = 1.490080</t>
  </si>
  <si>
    <t>Overall test rmse = 5.140774 +/- 2.251742</t>
  </si>
  <si>
    <t>Seed 15 ==&gt; test rmse = 4.797583</t>
  </si>
  <si>
    <t>Seed 15 ==&gt; test rmse = 2.819564</t>
  </si>
  <si>
    <t>Seed 15 ==&gt; test rmse = 1.994516</t>
  </si>
  <si>
    <t>Seed 15 ==&gt; test rmse = 3.139587</t>
  </si>
  <si>
    <t>Seed 15 ==&gt; test rmse = 4.378721</t>
  </si>
  <si>
    <t>Seed 15 ==&gt; test rmse = 1.509149</t>
  </si>
  <si>
    <t>Elapsed time = 0:00:32</t>
  </si>
  <si>
    <t>Overall test mse = 24.610884 +/- 20.903249</t>
  </si>
  <si>
    <t>Seed 16 ==&gt; test mse = 6.138072</t>
  </si>
  <si>
    <t>Seed 16 ==&gt; test mse = 1.971604</t>
  </si>
  <si>
    <t>Seed 16 ==&gt; test mse = 36.528231</t>
  </si>
  <si>
    <t>Seed 16 ==&gt; test mse = 7.350085</t>
  </si>
  <si>
    <t>Seed 16 ==&gt; test mse = 3.426745</t>
  </si>
  <si>
    <t>Overall test mae = 3.852947 +/- 1.512248</t>
  </si>
  <si>
    <t>Seed 16 ==&gt; test mae = 1.732343</t>
  </si>
  <si>
    <t>Seed 16 ==&gt; test mae = 1.189031</t>
  </si>
  <si>
    <t>Seed 16 ==&gt; test mae = 4.887613</t>
  </si>
  <si>
    <t>Seed 16 ==&gt; test mae = 2.311874</t>
  </si>
  <si>
    <t>Seed 16 ==&gt; test mae = 1.454469</t>
  </si>
  <si>
    <t>Overall test rmse = 4.628743 +/- 1.784832</t>
  </si>
  <si>
    <t>Seed 16 ==&gt; test rmse = 2.477513</t>
  </si>
  <si>
    <t>Seed 16 ==&gt; test rmse = 1.404138</t>
  </si>
  <si>
    <t>Seed 16 ==&gt; test rmse = 6.043859</t>
  </si>
  <si>
    <t>Seed 16 ==&gt; test rmse = 2.711104</t>
  </si>
  <si>
    <t>Seed 16 ==&gt; test rmse = 1.851147</t>
  </si>
  <si>
    <t>Elapsed time = 0:00:39</t>
  </si>
  <si>
    <t>Overall test mse = 24.406750 +/- 19.897930</t>
  </si>
  <si>
    <t>Seed 17 ==&gt; test mse = 5.260594</t>
  </si>
  <si>
    <t>Seed 17 ==&gt; test mse = 15.906958</t>
  </si>
  <si>
    <t>Seed 17 ==&gt; test mse = 2.446959</t>
  </si>
  <si>
    <t>Seed 17 ==&gt; test mse = 43.445947</t>
  </si>
  <si>
    <t>Overall test mae = 3.901893 +/- 1.740874</t>
  </si>
  <si>
    <t>Seed 17 ==&gt; test mae = 2.040951</t>
  </si>
  <si>
    <t>Seed 17 ==&gt; test mae = 3.327933</t>
  </si>
  <si>
    <t>Seed 17 ==&gt; test mae = 1.555630</t>
  </si>
  <si>
    <t>Seed 17 ==&gt; test mae = 5.575976</t>
  </si>
  <si>
    <t>Overall test rmse = 4.570868 +/- 1.874544</t>
  </si>
  <si>
    <t>Seed 17 ==&gt; test rmse = 2.293598</t>
  </si>
  <si>
    <t>Seed 17 ==&gt; test rmse = 3.988353</t>
  </si>
  <si>
    <t>Seed 17 ==&gt; test rmse = 1.564276</t>
  </si>
  <si>
    <t>Seed 17 ==&gt; test rmse = 6.591354</t>
  </si>
  <si>
    <t>Elapsed time = 0:00:43</t>
  </si>
  <si>
    <t>Overall test mse = 25.502776 +/- 24.274660</t>
  </si>
  <si>
    <t>Seed 18 ==&gt; test mse = 19.901276</t>
  </si>
  <si>
    <t>Seed 18 ==&gt; test mse = 13.840902</t>
  </si>
  <si>
    <t>Seed 18 ==&gt; test mse = 57.882650</t>
  </si>
  <si>
    <t>Overall test mae = 3.762999 +/- 1.617648</t>
  </si>
  <si>
    <t>Seed 18 ==&gt; test mae = 3.876310</t>
  </si>
  <si>
    <t>Seed 18 ==&gt; test mae = 3.525550</t>
  </si>
  <si>
    <t>Seed 18 ==&gt; test mae = 6.530389</t>
  </si>
  <si>
    <t>Overall test rmse = 4.551649 +/- 2.187525</t>
  </si>
  <si>
    <t>Seed 18 ==&gt; test rmse = 4.461085</t>
  </si>
  <si>
    <t>Seed 18 ==&gt; test rmse = 3.720336</t>
  </si>
  <si>
    <t>Seed 18 ==&gt; test rmse = 7.608065</t>
  </si>
  <si>
    <t>Elapsed time = 0:00:45</t>
  </si>
  <si>
    <t>Overall test mse = 24.743639 +/- 32.004061</t>
  </si>
  <si>
    <t>Seed 19 ==&gt; test mse = 21.722165</t>
  </si>
  <si>
    <t>Seed 19 ==&gt; test mse = 17.164312</t>
  </si>
  <si>
    <t>Overall test mae = 3.896648 +/- 2.103603</t>
  </si>
  <si>
    <t>Seed 19 ==&gt; test mae = 4.260031</t>
  </si>
  <si>
    <t>Seed 19 ==&gt; test mae = 3.639825</t>
  </si>
  <si>
    <t>Overall test rmse = 4.373278 +/- 2.370249</t>
  </si>
  <si>
    <t>Seed 19 ==&gt; test rmse = 4.660704</t>
  </si>
  <si>
    <t>Seed 19 ==&gt; test rmse = 4.142983</t>
  </si>
  <si>
    <t>Elapsed time = 0:00:48</t>
  </si>
  <si>
    <t>Overall test mse = 23.087286 +/- 23.645477</t>
  </si>
  <si>
    <t>Seed 20 ==&gt; test mse = 29.990960</t>
  </si>
  <si>
    <t>Overall test mae = 3.703436 +/- 1.547486</t>
  </si>
  <si>
    <t>Seed 20 ==&gt; test mae = 3.893613</t>
  </si>
  <si>
    <t>Overall test rmse = 4.348038 +/- 2.044957</t>
  </si>
  <si>
    <t>Seed 20 ==&gt; test rmse = 5.476400</t>
  </si>
  <si>
    <t>Elapsed time = 0:00:49</t>
  </si>
  <si>
    <t>Seed 21 ==&gt; test mse = 36.887148</t>
  </si>
  <si>
    <t>Seed 21 ==&gt; test mae = 5.491202</t>
  </si>
  <si>
    <t>Seed 21 ==&gt; test rmse = 6.073479</t>
  </si>
  <si>
    <t>Seed 22 ==&gt; test mse = 10.534038</t>
  </si>
  <si>
    <t>Seed 22 ==&gt; test mae = 2.863158</t>
  </si>
  <si>
    <t>Seed 22 ==&gt; test rmse = 3.245618</t>
  </si>
  <si>
    <t>Seed 23 ==&gt; test mse = 7.045912</t>
  </si>
  <si>
    <t>Seed 23 ==&gt; test mae = 2.644447</t>
  </si>
  <si>
    <t>Seed 23 ==&gt; test rmse = 2.654414</t>
  </si>
  <si>
    <t>Seed 24 ==&gt; test mse = 54.151948</t>
  </si>
  <si>
    <t>Seed 24 ==&gt; test mae = 6.260249</t>
  </si>
  <si>
    <t>Seed 24 ==&gt; test rmse = 7.358801</t>
  </si>
  <si>
    <t>Seed 25 ==&gt; test mse = 19.777281</t>
  </si>
  <si>
    <t>Seed 25 ==&gt; test mae = 3.855351</t>
  </si>
  <si>
    <t>Seed 25 ==&gt; test rmse = 4.447165</t>
  </si>
  <si>
    <t>Seed 26 ==&gt; test mse = 23.848953</t>
  </si>
  <si>
    <t>Seed 26 ==&gt; test mae = 4.575616</t>
  </si>
  <si>
    <t>Seed 26 ==&gt; test rmse = 4.883539</t>
  </si>
  <si>
    <t>Seed 27 ==&gt; test mse = 4.751851</t>
  </si>
  <si>
    <t>Seed 27 ==&gt; test mae = 1.609313</t>
  </si>
  <si>
    <t>Seed 27 ==&gt; test rmse = 2.179874</t>
  </si>
  <si>
    <t>Seed 28 ==&gt; test mse = 32.783121</t>
  </si>
  <si>
    <t>Seed 28 ==&gt; test mae = 5.718038</t>
  </si>
  <si>
    <t>Seed 28 ==&gt; test rmse = 5.725655</t>
  </si>
  <si>
    <t>Seed 29 ==&gt; test mse = 39.238766</t>
  </si>
  <si>
    <t>Seed 29 ==&gt; test mae = 6.046205</t>
  </si>
  <si>
    <t>Seed 29 ==&gt; test rmse = 6.264085</t>
  </si>
  <si>
    <t>Overall test mse = 29.266724 +/- 32.327714</t>
  </si>
  <si>
    <t>Overall test mae = 4.282572 +/- 2.109589</t>
  </si>
  <si>
    <t>Overall test rmse = 4.850680 +/- 2.395334</t>
  </si>
  <si>
    <t>Elapsed time = 0:01:14</t>
  </si>
  <si>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</si>
  <si>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</si>
  <si>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</si>
  <si>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</si>
  <si>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</si>
  <si>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</si>
  <si>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</si>
  <si>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</si>
  <si>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</si>
  <si>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</si>
  <si>
    <t>Seed 10</t>
  </si>
  <si>
    <t>Seed 11</t>
  </si>
  <si>
    <t>Seed 12</t>
  </si>
  <si>
    <t>Seed 13</t>
  </si>
  <si>
    <t>Legends</t>
  </si>
  <si>
    <t>&lt;1.5</t>
  </si>
  <si>
    <t>1.5&lt;X&lt;2.5</t>
  </si>
  <si>
    <t>Seed 14</t>
  </si>
  <si>
    <t>2.5&lt;x&lt;3.5</t>
  </si>
  <si>
    <t>Seed 15</t>
  </si>
  <si>
    <t>Seed 16</t>
  </si>
  <si>
    <t>Seed 17</t>
  </si>
  <si>
    <t>Seed 18</t>
  </si>
  <si>
    <t>Seed 19</t>
  </si>
  <si>
    <t>Seed 20</t>
  </si>
  <si>
    <t>Seed 21</t>
  </si>
  <si>
    <t>Seed 22</t>
  </si>
  <si>
    <t>Seed 23</t>
  </si>
  <si>
    <t>Seed 24</t>
  </si>
  <si>
    <t>Seed 25</t>
  </si>
  <si>
    <t>Seed 26</t>
  </si>
  <si>
    <t>Seed 27</t>
  </si>
  <si>
    <t>Seed 28</t>
  </si>
  <si>
    <t>Seed 29</t>
  </si>
  <si>
    <t>no_of_cv_folds</t>
  </si>
  <si>
    <t xml:space="preserve">Overall test mse </t>
  </si>
  <si>
    <t>83.312713 +/- 20.407909</t>
  </si>
  <si>
    <t>24.361338 +/- 1.708622</t>
  </si>
  <si>
    <t>22.493593 +/- 12.982708</t>
  </si>
  <si>
    <t>23.810352 +/- 9.779029</t>
  </si>
  <si>
    <t>23.389324 +/- 12.312134</t>
  </si>
  <si>
    <t>23.820998 +/- 10.581864</t>
  </si>
  <si>
    <t>23.432229 +/- 14.620405</t>
  </si>
  <si>
    <t>22.637311 +/- 11.456610</t>
  </si>
  <si>
    <t>24.488286 +/- 17.579324</t>
  </si>
  <si>
    <t>24.888862 +/- 22.952808</t>
  </si>
  <si>
    <t>25.619755 +/- 23.006655</t>
  </si>
  <si>
    <t xml:space="preserve"> 31.180821 +/- 19.273112</t>
  </si>
  <si>
    <t>28.046979 +/- 24.451647</t>
  </si>
  <si>
    <t>31.497893 +/- 27.200458</t>
  </si>
  <si>
    <t>24.610884 +/- 20.903249</t>
  </si>
  <si>
    <t>24.406750 +/- 19.897930</t>
  </si>
  <si>
    <t>25.502776 +/- 24.274660</t>
  </si>
  <si>
    <t>24.743639 +/- 32.004061</t>
  </si>
  <si>
    <t>23.087286 +/- 23.645477</t>
  </si>
  <si>
    <t>29.266724 +/- 32.327714</t>
  </si>
  <si>
    <t xml:space="preserve">Overall test mae </t>
  </si>
  <si>
    <t>7.883066 +/- 0.814025</t>
  </si>
  <si>
    <t>3.783302 +/- 0.467673</t>
  </si>
  <si>
    <t>3.645632 +/- 0.855919</t>
  </si>
  <si>
    <t>3.806298 +/- 0.775563</t>
  </si>
  <si>
    <t>3.665219 +/- 0.983695</t>
  </si>
  <si>
    <t>3.772887 +/- 0.984070</t>
  </si>
  <si>
    <t>3.717585 +/- 0.914881</t>
  </si>
  <si>
    <t>3.670604 +/- 1.019837</t>
  </si>
  <si>
    <t>3.730810 +/- 1.248530</t>
  </si>
  <si>
    <t>3.899230 +/- 1.867498</t>
  </si>
  <si>
    <t>3.738853 +/- 1.403800</t>
  </si>
  <si>
    <t>4.255923 +/- 1.603770</t>
  </si>
  <si>
    <t>3.847499 +/- 1.730590</t>
  </si>
  <si>
    <t>4.283841 +/- 1.814781</t>
  </si>
  <si>
    <t>3.852947 +/- 1.512248</t>
  </si>
  <si>
    <t>3.901893 +/- 1.740874</t>
  </si>
  <si>
    <t>3.762999 +/- 1.617648</t>
  </si>
  <si>
    <t>3.896648 +/- 2.103603</t>
  </si>
  <si>
    <t>3.703436 +/- 1.547486</t>
  </si>
  <si>
    <t>4.282572 +/- 2.109589</t>
  </si>
  <si>
    <t>Overall test rmse</t>
  </si>
  <si>
    <t>9.057794 +/- 1.126539</t>
  </si>
  <si>
    <t>4.932703 +/- 0.172558</t>
  </si>
  <si>
    <t>4.547735 +/- 1.345992</t>
  </si>
  <si>
    <t>4.773382 +/- 1.012512</t>
  </si>
  <si>
    <t>4.632806 +/- 1.387959</t>
  </si>
  <si>
    <t>4.739791 +/- 1.164206</t>
  </si>
  <si>
    <t>4.619879 +/- 1.445319</t>
  </si>
  <si>
    <t>4.584005 +/- 1.274444</t>
  </si>
  <si>
    <t>4.664081 +/- 1.653672</t>
  </si>
  <si>
    <t>4.506956 +/- 2.139207</t>
  </si>
  <si>
    <t>4.640340 +/- 2.021633</t>
  </si>
  <si>
    <t>5.255805 +/- 1.886089</t>
  </si>
  <si>
    <t>4.826488 +/- 2.179907</t>
  </si>
  <si>
    <t>5.140774 +/- 2.251742</t>
  </si>
  <si>
    <t>4.628743 +/- 1.784832</t>
  </si>
  <si>
    <t>4.570868 +/- 1.874544</t>
  </si>
  <si>
    <t>4.551649 +/- 2.187525</t>
  </si>
  <si>
    <t>4.373278 +/- 2.370249</t>
  </si>
  <si>
    <t>4.348038 +/- 2.044957</t>
  </si>
  <si>
    <t>4.850680 +/- 2.395334</t>
  </si>
  <si>
    <t>Elapsed time</t>
  </si>
  <si>
    <t>Activation Energy</t>
  </si>
  <si>
    <t>Bond length METHYL HYDROGEN TO OXYGEN</t>
  </si>
  <si>
    <t>HOFe_bond_angle</t>
  </si>
  <si>
    <t>OHM &lt;</t>
  </si>
  <si>
    <t>bd btw H and methyl</t>
  </si>
  <si>
    <t xml:space="preserve"> O1FeP &lt;</t>
  </si>
  <si>
    <t>OOProton&lt;</t>
  </si>
  <si>
    <t>N1FEN2&lt;</t>
  </si>
  <si>
    <t>N3FeO2&lt;</t>
  </si>
  <si>
    <t>N4FeO1&lt;</t>
  </si>
  <si>
    <t>N3FeH&lt;</t>
  </si>
  <si>
    <t>N1Fe</t>
  </si>
  <si>
    <t>N2Fe</t>
  </si>
  <si>
    <t>N3FE</t>
  </si>
  <si>
    <t>N4FE</t>
  </si>
  <si>
    <t>FeH</t>
  </si>
  <si>
    <t>N3FeM&lt;</t>
  </si>
  <si>
    <t>T=24</t>
  </si>
  <si>
    <t>AVERAGE</t>
  </si>
  <si>
    <t>MEDIAN</t>
  </si>
  <si>
    <t>BD METHYL HYDROGEN TO OXYGEN</t>
  </si>
  <si>
    <t>HOFe&lt;</t>
  </si>
  <si>
    <t>PAKLAP01</t>
  </si>
  <si>
    <t>Model 0 best validation mse</t>
  </si>
  <si>
    <t>103.720621 on epoch 0</t>
  </si>
  <si>
    <t>25.143843 on epoch 25</t>
  </si>
  <si>
    <t>21.006205 on epoch 0</t>
  </si>
  <si>
    <t>32.603937 on epoch 0</t>
  </si>
  <si>
    <t>35.525550 on epoch 12</t>
  </si>
  <si>
    <t>33.044473 on epoch 8</t>
  </si>
  <si>
    <t>25.285487 on epoch 17</t>
  </si>
  <si>
    <t>27.900585 on epoch 29</t>
  </si>
  <si>
    <t>52.470072 on epoch 4</t>
  </si>
  <si>
    <t>15.004756 on epoch 29</t>
  </si>
  <si>
    <t>30.499577 on epoch 29</t>
  </si>
  <si>
    <t>17.920042 on epoch 6</t>
  </si>
  <si>
    <t>44.945567 on epoch 0</t>
  </si>
  <si>
    <t>6.805436 on epoch 13</t>
  </si>
  <si>
    <t>34.631306 on epoch 1</t>
  </si>
  <si>
    <t>6.924728 on epoch 20</t>
  </si>
  <si>
    <t>34.852532 on epoch 7</t>
  </si>
  <si>
    <t>3.128185 on epoch 0</t>
  </si>
  <si>
    <t>30.440552 on epoch 2</t>
  </si>
  <si>
    <t>12.623747 on epoch 5</t>
  </si>
  <si>
    <t>Model 0 test mse</t>
  </si>
  <si>
    <t>Model 0 test mae</t>
  </si>
  <si>
    <t>Model 0 test rmse</t>
  </si>
  <si>
    <t>Ensemble test mse</t>
  </si>
  <si>
    <t>Ensemble test mae</t>
  </si>
  <si>
    <t>Ensemble test rmse</t>
  </si>
  <si>
    <t>Overall test mse</t>
  </si>
  <si>
    <t>31.180821 +/- 19.273112</t>
  </si>
  <si>
    <t>Overall test mae</t>
  </si>
  <si>
    <t xml:space="preserve"> </t>
  </si>
  <si>
    <t>CC([Si](c1ccc(nc1)CN1Cc2c([C@H]1[C@H]1N(Cc3ccc(cn3)[Si](C(C)C)(C(C)C)C(C)C)Cc3c1cccc3)cccc2)(C(C)C)C(C)C)C</t>
  </si>
  <si>
    <t>Fc1ccccc1/N=C/c1ccccn1.Fc1ccccc1/N=C/c1ccccn1</t>
  </si>
  <si>
    <t>Cc1cccc(c1c1c(C)cccc1/N=C/c1ccccn1)/N=C/c1ccccn1.Cc1ccccc1</t>
  </si>
  <si>
    <t>c1ccc(cc1)c1cc2ccccc2c(c1NCc1ccccn1)c1c(NCc2ccccn2)c(cc2c1cccc2)c1ccccc1</t>
  </si>
  <si>
    <t>c1ccc(nc1)c1nc2c(o1)cccc2.c1ccc(nc1)c1nc2c(o1)cccc2</t>
  </si>
  <si>
    <t>CC1(C)COC(=N1)c1cccc(n1)C1=NC(CO1)(C)C.CC#N</t>
  </si>
  <si>
    <t>refcode</t>
  </si>
  <si>
    <t>ligand topology</t>
  </si>
  <si>
    <t>activation_energy</t>
  </si>
  <si>
    <t>M3P1</t>
  </si>
  <si>
    <t>L4</t>
  </si>
  <si>
    <t>M3</t>
  </si>
  <si>
    <t>B4</t>
  </si>
  <si>
    <t>M4</t>
  </si>
  <si>
    <t>B4P1</t>
  </si>
  <si>
    <t>L2</t>
  </si>
  <si>
    <t>M3L1</t>
  </si>
  <si>
    <t>1,1'-bis((5-(Tri-isopropylsilyl)pyridin-2-yl)methyl)-2,2'-bipyrrolidine</t>
  </si>
  <si>
    <t>2-((4,7-Dimethyl-1,4,7-triazonan-1-yl)methyl)-1-methyl-1H-benzimidazole</t>
  </si>
  <si>
    <t>1,1'-bis{[5-(2,3,5,6,8,9,11,12,14,15-decahydro-1,4,7,10,13,16-benzohexaoxacyclooctadecin-18-yl)pyridin-2-yl]methyl}-2,2'-bipyrrolidine</t>
  </si>
  <si>
    <t>cis-a-(4,5-dichloro-1,2-bis(methyl(2-pyridylmethyl)amino)benzene</t>
  </si>
  <si>
    <t>1,1'-bis((1-methyl-1H-benzimidazol-2-yl)methyl)-2,2'-bipyrrolidine</t>
  </si>
  <si>
    <t>1,1'-bis((4-methoxypyridin-2-yl)methyl)-2,2'-bipyrrolidine</t>
  </si>
  <si>
    <t>1,4,7-Trimethyl-1,4,7-triazacyclononane)</t>
  </si>
  <si>
    <t>1,4,7-Trimethyl-1,4,7-triazacyclononane</t>
  </si>
  <si>
    <t>N,N'-bis(2,3-dihydro-1H-cyclopenta[b]quinolin-5-yl)-N,N'-dimethylcyclohexane-1,2-diamine</t>
  </si>
  <si>
    <t>N,N'-dimethyl-N,N'-bis(5,6,7,8-tetrahydroacridin-4-yl)cyclohexane-1,2-diamine</t>
  </si>
  <si>
    <t>bis(2-Pyridylmethyl)(2-quinolylmethyl)amine-N,N',N'',N'''</t>
  </si>
  <si>
    <t>1-{5-[tris(propan-2-yl)silyl]pyridin-2-yl}-N,N-bis({5-[tris(propan-2-yl)silyl]pyridin-2-yl}methyl)methanamine</t>
  </si>
  <si>
    <t>N,N'-Dimethyl-N,N'-bis(8-quinolylmethyl)ethylenediamine</t>
  </si>
  <si>
    <t>N,N'-Dimethyl-N,N'-bis(8-quinolyl)ethylenediamine</t>
  </si>
  <si>
    <t>N,N'-Dimethyl-N,N'-bis(8-quinolyl)-1,3-propanediamine</t>
  </si>
  <si>
    <t>1,4-Diisopropyl-7-(2-pyridylmethyl)-1,4,7-triazacyclononane</t>
  </si>
  <si>
    <t>1,4-Dimethyl-7-((6-methylpyridin-2-yl)methyl)-1,4,7-triazonane</t>
  </si>
  <si>
    <t>1-(Quinolin-2-yl)-N,N-bis((quinolin-2-yl)methyl)methanamine</t>
  </si>
  <si>
    <t>3,6,9-trimethyl-3,6,9,15-tetraazabicyclo[9.3.1]pentadeca-1(15),11,13-triene</t>
  </si>
  <si>
    <t>1-((6-Chloropyridin-2-yl)methyl)-4,7-dimethyl-1,4,7-triazonane</t>
  </si>
  <si>
    <t>1,1'-bis(6-Methyl-2-pyridylmethyl)-(R,R)-2,2'-bipyrrolidine-N,N',N'',N'''</t>
  </si>
  <si>
    <t>S,S'-bis(2-Pyridylmethyl)-1,2-ethanedithiolato-N,N',S,S'</t>
  </si>
  <si>
    <t>3,11-Di-t-butyl-3,11,17,18-tetraazatricyclo[11.3.1.15,9]octadeca-1(17),5(18),6,8,13,15-hexaene</t>
  </si>
  <si>
    <t>1,4,8,11-tetraazacyclotetradecane</t>
  </si>
  <si>
    <t>1-(6-((allyloxy)methyl)pyridin-2-yl)-N,N-bis((pyridin-2-yl)methyl)methanamine</t>
  </si>
  <si>
    <t>N-(4-ethynylbenzyl)-N'-methyl-N,N'-bis((pyridin-2-yl)methyl)ethane-1,2-diamine</t>
  </si>
  <si>
    <t>N-methyl-N,N'-bis((pyridin-2-yl)methyl)-N'-(4-vinylbenzyl)ethane-1,2-diamine</t>
  </si>
  <si>
    <t>tris(2-Pyridylmethyl)amine-bis(trifluoromethanesulfonato)-iron(ii)</t>
  </si>
  <si>
    <t>N,N'-dimethyl-N,N'-bis(quinolin-8-yl)bicyclo[2.2.1]heptane-2,3-diamine</t>
  </si>
  <si>
    <t>N,N'-bis(2-(fluoromethyl)quinolin-8-yl)-N,N'-dimethylcyclohexane-1,2-diamine</t>
  </si>
  <si>
    <t>cis-(N,N'-bis(2,2-dimethylpropyl)-N,N'-bis((pyridin-2-yl)methyl)ethane-1,2-diamine)</t>
  </si>
  <si>
    <t>2,9-(methanothiopropanothiomethano)-1,10-phenanthroline</t>
  </si>
  <si>
    <t>4,11-Dimethyl-1,4,8,11-tetraazabicyclo[6.6.2]hexadecane</t>
  </si>
  <si>
    <t>2-((4,7-Dimethyl-1,4,7-triazonan-1-yl)methyl)-N,N-dimethylpyridin-4-amine</t>
  </si>
  <si>
    <t>1-((4-Methoxy-3,5-dimethylpyridin-2-yl)methyl)-4,7-dimethyl-1,4,7-triazonane</t>
  </si>
  <si>
    <t>1,4-Dimethyl-7-((4-methylpyridin-2-yl)methyl)-1,4,7-triazonane</t>
  </si>
  <si>
    <t>1-((4-Chloropyridin-2-yl)methyl)-4,7-dimethyl-1,4,7-triazonane</t>
  </si>
  <si>
    <t>Ethyl 2-((4,7-dimethyl-1,4,7-triazonan-1-yl)methyl)isonicotinate</t>
  </si>
  <si>
    <t>1,4-Dimethyl-7-((4-nitropyridin-2-yl)methyl)-1,4,7-triazonane</t>
  </si>
  <si>
    <t>1-((4,6-Dimethylpyridin-2-yl)methyl)-4,7-dimethyl-1,4,7-triazonane</t>
  </si>
  <si>
    <t>6'-(1,1-bis(pyridin-2-yl)ethyl)-N-ethyl-2,2'-bipyridin-6-amine</t>
  </si>
  <si>
    <t>2,2'-bis[(pyridin-2-yl)methyl]-2,2',3,3'-tetrahydro-1H,1'H-1,1'-biisoindole</t>
  </si>
  <si>
    <t>tris(2-Pyridylmethyl)amine</t>
  </si>
  <si>
    <t>bis(Acetonitrilo)-tris(2-pyridylmethyl)amine</t>
  </si>
  <si>
    <t>3-methoxy-3,6,9-trimethyl-3,6,9,15-tetraazabicyclo[9.3.1]pentadeca-1(15),11,13-triene</t>
  </si>
  <si>
    <t>N,N'-Dimethyl-N,N'-bis(5-methyl-2-pyridylmethyl)cyclohexane-1,2-diamine-N,N',N'',N'''</t>
  </si>
  <si>
    <t>N,N'-diisopropyl-N,N'-bis((pyridin-2-yl)methyl)ethane-1,2-diamine</t>
  </si>
  <si>
    <t>1-(2,2'-bipyridin-6-yl)-N-methyl-N-((pyridin-2-yl)methyl)methanamine)</t>
  </si>
  <si>
    <t>bis(2-fluoro-N-((pyridin-2-yl)methylene)aniline</t>
  </si>
  <si>
    <t>N,N'-Dimethyl-N,N'-bis(quinolin-8-yl)cyclohexane-1,2-diamine</t>
  </si>
  <si>
    <t>bis(t-Butylisocyano)-(N,N'-(6,6'-dimethylbiphenyl-2,2'-diyl)bis(2-pyridylmethyl)di-imine</t>
  </si>
  <si>
    <t>6,6'-Dimethyl-2,2'-bis(2-pyridylmethyleneamino)biphenyl)</t>
  </si>
  <si>
    <t>N,N'-Dimethyl-N,N'-bis((1,2-oxazol-3-yl)methyl)ethane-1,2-diamine)-bis(N,N-dimethylformamide-O</t>
  </si>
  <si>
    <t>1-(Pyridazin-3-yl)-N,N'-bis(pyridin-2-ylmethyl)methanamine</t>
  </si>
  <si>
    <t>bis(Acetonitrile)-(N,N'-dimethyl-N,N'-bis((pyridazin-3-yl)methyl)ethane-1,2-diamine</t>
  </si>
  <si>
    <t>1-(1,3-Thiazol-2-yl)-N,N-bis((1,3-thiazol-2-yl)methyl)methanamine</t>
  </si>
  <si>
    <t>1-(2-Pyridylmethyl)-4,7-dimethyl-1,4,7-triazacyclononane</t>
  </si>
  <si>
    <t>5,5'-((2,2'-Bipyrrolidine-1,1'-diyl)bis(methylene))bis(10,10-dimethyl-4-azatricyclo[7.1.1.02,7]undeca-2,4,6-triene</t>
  </si>
  <si>
    <t>N,N'-bis((10,10-dimethyl-4-azatricyclo[7.1.1.02,7]undeca-2,4,6-trien-5-yl)methyl)-N,N'-dimethylcyclohexane-1,2-diamine</t>
  </si>
  <si>
    <t>bis(2-(pyridin-2-yl)-1,3-benzoxazole</t>
  </si>
  <si>
    <t>acetonitrile)-(2,6-bis(4,4-dimethyl-4,5-dihydro-1,3-oxazol-2-yl)pyridine</t>
  </si>
  <si>
    <t>bis(acetonitrile)-{2-[1,1-bis(pyridin-2-yl)ethyl]-1,10-phenanthroline</t>
  </si>
  <si>
    <t>N,N-bis(6-fluoropyridin-2-ylmethyl)-N-(pyridin-2-ylmethyl)amine</t>
  </si>
  <si>
    <t>N-(6-Fluoropyridin-2-ylmethyl)-N,N-bis((pyridin-2-yl)methyl)amine</t>
  </si>
  <si>
    <t>bis(2-Pyridylmethyl)-(6-(3-methoxyphenyl)-2-pyridylmethyl)amine-N,N',N'',N'''</t>
  </si>
  <si>
    <t>(1R,2R)-(N,N'-bis(2-Pyridylmethyl)-N,N'-dimethyl-1,2-dicyclohexanediamine-N,N',N'',N''')</t>
  </si>
  <si>
    <t>(1S,2S)-(N,N'-bis(6-Methyl-2-pyridylmethyl)-N,N'-dimethyl-1,2-dicyclohexanediamine-N,N',N'',N'''</t>
  </si>
  <si>
    <t>(S,S,R)-N,N'-bis((10,10-dimethyl-4-azatricyclo[7.1.1.02,7]undeca-2,4,6-trien-5-yl)methyl)-N,N'-dimethylcyclohexane-1,2-diamine</t>
  </si>
  <si>
    <t>1,5-bis(Methoxycarbonyl)-3,7-dimethyl-2,4-bis(2-pyridyl)-3,7-diazabicyclo(3.3.1)nonan-9-one)-(pivalato)-(trifluoromethanesulfonate)-(pivalato</t>
  </si>
  <si>
    <t>N,N-dimethyl-N',N'-bis(2-pyridylmethyl)ethane-1,2-diamine</t>
  </si>
  <si>
    <t>N,N'-Dimethyl-N,N'-bis(phenyl(pyridin-2-yl)methyl)cyclohexane-1,2-diamine</t>
  </si>
  <si>
    <t>1-(1-Ethyl-1H-benzimidazol-2-yl)-N-((1-((1-ethyl-1H-benzimidazol-2-yl)methyl)pyrrolidin-2-yl)methyl)-N-methylmethanamine</t>
  </si>
  <si>
    <t>N-Methyl-1-(pyridin-2-yl)-N-((1-((pyridin-2-yl)methyl)pyrrolidin-2-yl)methyl)methanamine</t>
  </si>
  <si>
    <t>N,N'-Dimethyl-N,N'-bis(5-methyl-3-pyridylmethyl)-1,2-diaminoethane</t>
  </si>
  <si>
    <t>N,N'-Dimethyl-N,N'-bis(6-methyl-2-pyridylmethyl)-1,2-diaminoethane</t>
  </si>
  <si>
    <t>3,7,11-trimethyl-3,7,11,17-tetraazabicyclo[11.3.1]heptadeca-1(17),13,15-triene</t>
  </si>
  <si>
    <t>cis-(6,6'-Dimethyl-2,2'-bis(2-pyridylmethyleneamino)-1,1'-biphenyl-N,N',N'',N'''</t>
  </si>
  <si>
    <t>RUJZAZ</t>
  </si>
  <si>
    <t>3,3'-diphenyl-N,N'-bis((pyridin-2-yl)methyl)-1,1'-binaphthalene-2,2'-diamine</t>
  </si>
  <si>
    <t>Column1</t>
  </si>
  <si>
    <t>SMILES</t>
  </si>
  <si>
    <t>AE_Pred</t>
  </si>
  <si>
    <t>Bulk_Tani_Sim</t>
  </si>
  <si>
    <t>CF 7.9578996 0.125</t>
  </si>
  <si>
    <t>CN1CCNCCNCCC1F 7.9041142 0.24</t>
  </si>
  <si>
    <t>CN1CCCNCCNCC1F 7.9019675 0.32</t>
  </si>
  <si>
    <t>CNC1OCCOCCOCCOCCOCCOC1C 7.9012413 0.1206896551724138</t>
  </si>
  <si>
    <t>CNCC1CC2OCCOCCOCCOCCOCCOC12 7.900118 0.12698412698412698</t>
  </si>
  <si>
    <t>CN(CCF)C1CCCCC1 7.893903 0.24390243902439024</t>
  </si>
  <si>
    <t>CNCF 7.8932667 0.1</t>
  </si>
  <si>
    <t>CNC1COCCOCCOCCOCCOC(C)CO1 7.89128 0.13114754098360656</t>
  </si>
  <si>
    <t>CNC1OCCOCCOCCOCCOCCOC1C(C)(C)C 7.8884406 0.11475409836065574</t>
  </si>
  <si>
    <t>CN1CCNCCNCC1Cl 7.887106 0.24</t>
  </si>
  <si>
    <t>CN1CCCNC(F)CNCC1 7.8870697 0.28125</t>
  </si>
  <si>
    <t>CN1CCN(C)CCN(C2(C)CC3OCCOCCOCCOCCOCCOC32)CC1 7.886759 0.25806451612903225</t>
  </si>
  <si>
    <t>CN1CCNCCNC(F)CC1 7.8867207 0.2692307692307692</t>
  </si>
  <si>
    <t>CNC1OCCOCCOCCOCCOCC(C)OC1N 7.882585 0.10606060606060606</t>
  </si>
  <si>
    <t>CN1CCN(C)CCN(C2CCCCC2N(C)CF)CC1 7.8806195 0.2765957446808511</t>
  </si>
  <si>
    <t>CNC1CCCC(N(C)C2CCCC(N(C)C3CCCC(N(C)C4CCCC(N(C)C5CCCC(N(C)C6CCCC(N(C)C7CCCC(N(C)C8CCCC(N(C)C9CCCC(N(C)C%10CCCC(N(C)C%11CCCC(N(C)C%12CCCC(N(C)C%13CCCC(N(C)C%14CCCC(N(C)C%15CCCC(N(C)C%16CCCC(N(C)C%17CCCC(N(C)C%18CCCC(N(C)C%19CCCC(N(C)C%20CCCC(N(C)CCN(C)C%21CCCC(N(C)Cc%22ncc(C)cc%22C)C%21)C%20)C%19)C%18)C%17)C%16)C%15)C%14)C%13)C%12)C%11)C%10)C9)C8)C7)C6)C5)C4)C3)C2)C1 7.8805137 0.3</t>
  </si>
  <si>
    <t>CNC1OCCOCCOCC(C)OCCOCCOC1C 7.8770704 0.12698412698412698</t>
  </si>
  <si>
    <t>CNC1OCCOCCOCCOCCOC(C)COC1C 7.876797 0.14754098360655737</t>
  </si>
  <si>
    <t>CNC1OC(C)COCCOCCOCCOCCOC1C 7.876643 0.1111111111111111</t>
  </si>
  <si>
    <t>CN1CCN(C)CCN(C2CCCCC2N(C)C2C=CC=CN2)CC1 7.8758287 0.2857142857142857</t>
  </si>
  <si>
    <t>CNC1CCCCC1N1CCN(C)CCN(C)CC1 7.875267 0.3333333333333333</t>
  </si>
  <si>
    <t>CC1C=CC(C)(C)C(C)(N(C)C2CCCCC2)C1Cl 7.8746076 0.171875</t>
  </si>
  <si>
    <t>CN1CCN(C)CCN(C2CCC(N(C)CF)CC2)CC1 7.874234 0.2857142857142857</t>
  </si>
  <si>
    <t>CN(Cc1cccc(Cl)n1)C1CCCCC1N(C)C1CCC(N(C)C2CCCCC2N(C)C2CCCCC2N(C)C2CCCCC2N(C)C2C=CC=CN2)CC1 7.873117 0.4642857142857143</t>
  </si>
  <si>
    <t>CN1CCNCCN(O)CC1 7.872891 0.4</t>
  </si>
  <si>
    <t>CC(C)N1CCCC1C1CCCN1 7.8728247 0.23529411764705882</t>
  </si>
  <si>
    <t>c1ccc2c(c1)OCCOCCOCCOCCOCCO2 7.872365 0.2978723404255319</t>
  </si>
  <si>
    <t>NC1COC2C=CC=CC2OCCOC=COCCOCCO1 7.872101 0.12121212121212122</t>
  </si>
  <si>
    <t>CN(Cc1ccccn1)C1C=CC2(C)OCCOCCOCCOCCOCCOC2C1 7.8717475 0.41818181818181815</t>
  </si>
  <si>
    <t>CC1C2OCCOCCOCCOCCOCCOC2C1N(C)Cc1ccccn1 7.8717346 0.48936170212765956</t>
  </si>
  <si>
    <t>CN(C)C1CCCCC1N(C)C1(C)CCC1(C)C 7.8709497 0.2222222222222222</t>
  </si>
  <si>
    <t>CN1CCN(C)CCN(C2CCC(N(C)C3C=CC=CN3)CC2)CC1 7.8707075 0.2727272727272727</t>
  </si>
  <si>
    <t>CN1CCN(C)CCN(CCF)CC1 7.870657 0.47058823529411764</t>
  </si>
  <si>
    <t>CN1CCN(C)CCN(CC2CCCN2C)CC1 7.8704677 0.3448275862068966</t>
  </si>
  <si>
    <t>COC1COC(OC)COCCOCCOCCOC=CO1 7.8704586 0.12121212121212122</t>
  </si>
  <si>
    <t>CCN1CCCC1CN1CCN(C)CCN(C)CC1 7.870188 0.2962962962962963</t>
  </si>
  <si>
    <t>CNCCN(Cc1ccccn1)C(C)(N)C12CCC1OCCOCCOCCOCCOCCO2 7.87006 0.328125</t>
  </si>
  <si>
    <t>CC(N)C(C)N(C)C1CCCCC1N(C)C(C)C 7.8697376 0.28888888888888886</t>
  </si>
  <si>
    <t>CC(C)N1CCN(C)CCN(C2CCC(N3CCN(C)CCN(C)CC3)CC2)CC1 7.869416 0.34782608695652173</t>
  </si>
  <si>
    <t>CC(C)N1CCN(C)CCN(CNCF)CC1 7.868408 0.3111111111111111</t>
  </si>
  <si>
    <t>CC(C)N(C)C1CCC(N2CCN(C)CCN(C)CC2)CC1 7.8678513 0.2962962962962963</t>
  </si>
  <si>
    <t>CNC1OCCOCCOCCOCCOCCOC1c1cc(CF)ccn1 7.86762 0.20967741935483872</t>
  </si>
  <si>
    <t>CN(CCN(C)C1(C)CC2OCCOCCOCCOCCOCCOC21)C1CCCC(N(C)Cc2ccccn2)C1 7.8675337 0.4098360655737705</t>
  </si>
  <si>
    <t>CNC1CCCCC1N(C)C(C)C 7.8674426 0.2608695652173913</t>
  </si>
  <si>
    <t>c1cnnc(CNC2CCCCC2)c1 7.867365 0.375</t>
  </si>
  <si>
    <t>CNCCN(Cc1ccccn1)C1COCCOCCOC(C)COCCOCCO1 7.8673 0.3389830508474576</t>
  </si>
  <si>
    <t>CC(C)N(C)C1CCCC(N2CCN(C)CCN(C)CC2)C1 7.8672147 0.26666666666666666</t>
  </si>
  <si>
    <t>CC1CCC1N 7.866974 0.1111111111111111</t>
  </si>
  <si>
    <t>CC(C)N1CCN(C)CCN(CF)CC1 7.8666344 0.35</t>
  </si>
  <si>
    <t>CC1C=CCCC1(C)C 7.865984 0.12727272727272726</t>
  </si>
  <si>
    <t>CC(C)N(C)C1CCCCC1N(C)C(C)C 7.8656588 0.34210526315789475</t>
  </si>
  <si>
    <t>CC1CNCCNCCN(C)C1 7.8656397 0.24</t>
  </si>
  <si>
    <t>C=CCN1CCN(C)CCN(C)CC1 7.865624 0.42105263157894735</t>
  </si>
  <si>
    <t>CC1CCC1CN(Cc1ccccn1)C1CCCCC1 7.86526 0.5</t>
  </si>
  <si>
    <t>CN1CCCNCCNC(C)(C)C1 7.864578 0.3076923076923077</t>
  </si>
  <si>
    <t>CN(C1C=CC=CN1)C1CCCCC1N(O)CCl 7.8644423 0.22413793103448276</t>
  </si>
  <si>
    <t>CC(N)C(C)N(C)C1CCCC(N(C)C(C)C)C1 7.864263 0.18</t>
  </si>
  <si>
    <t>FCN(Cc1cccnn1)C1CCCCC1 7.8633647 0.475</t>
  </si>
  <si>
    <t>CC(N)C(C)(C)C 7.8633256 0.10344827586206896</t>
  </si>
  <si>
    <t>CNCCCN1CCN(C)CCN(C)CC1 7.863254 0.38095238095238093</t>
  </si>
  <si>
    <t>CCCCN1CCN(C)CCN(C)CC1 7.863211 0.4444444444444444</t>
  </si>
  <si>
    <t>CN1CCCNC2N=CC=CC2N(C)CC1 7.8627706 0.2894736842105263</t>
  </si>
  <si>
    <t>CCNCCN1CCN(C)CCN(C)CC1 7.862681 0.38095238095238093</t>
  </si>
  <si>
    <t>CC1C=CCC(N)C1C 7.862594 0.10416666666666667</t>
  </si>
  <si>
    <t>CC1CCC1 7.8625436 0.14705882352941177</t>
  </si>
  <si>
    <t>CN1CCN(C)CCN(CCc2ccc3c(c2)OCCOCCOCCOCCOCCO3)CC1 7.8622956 0.3389830508474576</t>
  </si>
  <si>
    <t>CN1CCN(C)CCN(Cc2cccc3c2OCCOCCOCCOCCOCCO3)CC1 7.8622456 0.3829787234042553</t>
  </si>
  <si>
    <t>CC(C)N1CCCC1C1CCCN1C1C=CC=CN1 7.862139 0.24561403508771928</t>
  </si>
  <si>
    <t>CN1CCN(C)CCN(CCl)CC1 7.862103 0.5</t>
  </si>
  <si>
    <t>C#CCN(C)CCN(C)Cc1cccc2c1OCCOCCOCCOCCOCCO2 7.8616695 0.32075471698113206</t>
  </si>
  <si>
    <t>CN1CCN(C)CCN(C2C=CC=CN2)CC1 7.8615055 0.32</t>
  </si>
  <si>
    <t>C1=CNC2(NCc3ccccn3)OCCOCCOCCOCCOCCOC2=C1 7.8614054 0.34</t>
  </si>
  <si>
    <t>CC(C)N(C)C1CCCCC1N(C)C 7.861405 0.3170731707317073</t>
  </si>
  <si>
    <t>CNC1COCCOCCOCCOCCOCC(c2cc(CF)ccn2)O1 7.8612514 0.2222222222222222</t>
  </si>
  <si>
    <t>CN(CC1=CCC=CN1)C1CCCCC1 7.8612328 0.3958333333333333</t>
  </si>
  <si>
    <t>CC(C)N1CCN(C)CCN(Cc2cncc(C3(C)CC4OCCOCCOCCOCCOCCOC43)c2)CC1 7.861046 0.2835820895522388</t>
  </si>
  <si>
    <t>CNCCN1CCN(C)CCN(C)CC1 7.8606052 0.42105263157894735</t>
  </si>
  <si>
    <t>CC(C)N1CCN(C)CCN(C(C)N2CCN(C)CCN(C)CC2)CC1 7.8605685 0.4444444444444444</t>
  </si>
  <si>
    <t>C1=CCNC=C1 7.860322 0.11363636363636363</t>
  </si>
  <si>
    <t>CNC1CCCC(N(C)C(C)C)C1 7.860283 0.18</t>
  </si>
  <si>
    <t>CN1CCN(C)CCN(Cc2ccc3c(c2)OCCOCCOCCOCCOCCO3)CC1 7.8602214 0.3684210526315789</t>
  </si>
  <si>
    <t>CN1CCNCC2N=CC=CC2N(C)CC1 7.8601646 0.23636363636363636</t>
  </si>
  <si>
    <t>CN1CCNCC2C=CC=NC2N(C)CC1 7.8598833 0.23529411764705882</t>
  </si>
  <si>
    <t>Cc1cccc2c1OCCOCCOCCOCCOCCO2 7.8598614 0.23214285714285715</t>
  </si>
  <si>
    <t>CC(C)N(C)C1CCCC(N(C)C(C)C)C1 7.859818 0.20930232558139536</t>
  </si>
  <si>
    <t>CC(C)N1CCCC1CN1CCN(C)CCN(C)CC1 7.85962 0.2857142857142857</t>
  </si>
  <si>
    <t>CC(C)N1CCN(Cc2cccc(C3(C)CC4OCCOCCOCCOCCOCCOC43)n2)CCN(C(C)C)CC1 7.8593736 0.41379310344827586</t>
  </si>
  <si>
    <t>CCCN(Cc1cccnn1)C1CCCCC1 7.859287 0.4878048780487805</t>
  </si>
  <si>
    <t>Cc1ccc2c(c1)OCCOCCOCCOCCOCCO2 7.8592105 0.34</t>
  </si>
  <si>
    <t>NC1COCCOCCOc2ccccc2OCCOCCO1 7.858976 0.2631578947368421</t>
  </si>
  <si>
    <t>CC(N)C(C)N1CCN(C)CCN(C(C)C)CC1 7.858674 0.36363636363636365</t>
  </si>
  <si>
    <t>CCNCc1cccc2c1OCCOCCOCCOCCOCCO2 7.858657 0.2222222222222222</t>
  </si>
  <si>
    <t>CNCc1cccc2c1OCCOCCOCCOCCOCCO2 7.8585773 0.23333333333333334</t>
  </si>
  <si>
    <t>CSC12C=CC=NC1N(C)CCCNCCN2 7.8583646 0.2</t>
  </si>
  <si>
    <t>CCCNCc1ccc2c(c1)OCCOCCOCCOCCOCCO2 7.8582835 0.3050847457627119</t>
  </si>
  <si>
    <t>CCN1CCN(C)CCN(C(C)C)CC1 7.8579154 0.36363636363636365</t>
  </si>
  <si>
    <t>CN1CCN(C)CCN(CCCN(C)C(C)(C)C)CC1 7.857798 0.32</t>
  </si>
  <si>
    <t>CCNCc1ccc2c(c1)OCCOCCOCCOCCOCCO2 7.857744 0.3157894736842105</t>
  </si>
  <si>
    <t>CN(C1CCCCC1N(Cc1cccc(F)n1)Cc1ncccc1F)C1CCCCC1N(C)C1CCCCC1N(C)C1CCCCC1N(C)C1CCCCC1N(C)C1CCCCC1N(C)C1CCCCC1N(Cc1ncccc1F)C1CCCCC1N(Cc1ccccn1)Cc1cccc(F)n1 7.8576164 0.4482758620689655</t>
  </si>
  <si>
    <t>C1=NCCC=C1CN(Cc1cccnn1)C1CCCCC1 7.8571744 0.36</t>
  </si>
  <si>
    <t>CNCc1ccc2c(c1)OCCOCCOCCOCCOCCO2 7.856907 0.32727272727272727</t>
  </si>
  <si>
    <t>CCNC 7.856661 0.125</t>
  </si>
  <si>
    <t>CNC1COc2ccccc2OCCOCCOCCOCCO1 7.856602 0.25</t>
  </si>
  <si>
    <t>CN(CCF)C1CCCCC1N(C)CC(C)(C)C 7.8564816 0.29545454545454547</t>
  </si>
  <si>
    <t>CC1([SiH3])CCC1 7.856332 0.13043478260869565</t>
  </si>
  <si>
    <t>CC1=C(C)C(N(C)Cc2ccccn2)C2(C)OCCOCCOCCOCCOCCOC2(C)C1C 7.8559585 0.4339622641509434</t>
  </si>
  <si>
    <t>CC(N)C(C)N(C)CCN1CCN(C)CCN(C(C)C)CC1 7.855834 0.2857142857142857</t>
  </si>
  <si>
    <t>CC(C)N(C)C1CC(CN2CCN(C)CCN(C)CC2)N(C)C1 7.855834 0.2641509433962264</t>
  </si>
  <si>
    <t>CC(C)C(C)N 7.855803 0.11428571428571428</t>
  </si>
  <si>
    <t>CN1CCN(C)CCN(CCC2=CCC=CN2)CC1 7.8557773 0.4186046511627907</t>
  </si>
  <si>
    <t>C=CCN(C)CCN(C)Cc1ccc(C2CC3OCCOCCOCCOCCOCCOC32)nc1 7.855483 0.2711864406779661</t>
  </si>
  <si>
    <t>CN(C)Cc1cccc(C2CC3OCCOCCOCCOCCOCCOC32)n1 7.8554716 0.3148148148148148</t>
  </si>
  <si>
    <t>CC(C)N(C(C)C)C1CCCCC1N(C)C1CCCCC1N(C)C 7.8554363 0.24444444444444444</t>
  </si>
  <si>
    <t>CC1(C)CCC1 7.855355 0.14285714285714285</t>
  </si>
  <si>
    <t>CNCN1CCN(C)CCN(C(C)C)CC1 7.8553495 0.3333333333333333</t>
  </si>
  <si>
    <t>CCN(Cc1cccnn1)C1CCCCC1 7.8549705 0.475</t>
  </si>
  <si>
    <t>CN1CCN(Cc2cccc(-c3ccc4c(c3)OCCOCCOCCOCCOCCO4)n2)CCN(C2COCCOCCOCCOCCOC=CO2)CC1 7.854904 0.3582089552238806</t>
  </si>
  <si>
    <t>CN1CCN(C)CCN(CC(C)(C)C)CC1 7.854742 0.4444444444444444</t>
  </si>
  <si>
    <t>CN1CCN(C)CCN(CCN(C)C(C)(C)C)CC1 7.854688 0.34782608695652173</t>
  </si>
  <si>
    <t>CC1OCCOCCOCCOCCOc2ccccc2OC1N 7.8545327 0.2459016393442623</t>
  </si>
  <si>
    <t>CC1C(N)CC1(C)C 7.8542747 0.10526315789473684</t>
  </si>
  <si>
    <t>CC(C)N(C)CCN1CCN(C)CCN(CC(C)(C)C)CC1 7.8540783 0.26666666666666666</t>
  </si>
  <si>
    <t>CNCN1CCN(C(C)C)CCN(C(C)C)CC1 7.854017 0.3684210526315789</t>
  </si>
  <si>
    <t>CC(C)N(C)CCCN1CCN(C)CCN(C)CC1 7.853973 0.32</t>
  </si>
  <si>
    <t>CNC1CCC(N(Cc2ccccn2)Cc2cccc(C3CC4OCCOCCOCCOCCOCCOC43)n2)CC1 7.853888 0.3333333333333333</t>
  </si>
  <si>
    <t>CN(CCN)C1CCCC(N(C)CC(C)(C)C)C1 7.8537645 0.1875</t>
  </si>
  <si>
    <t>CC(N)N1CCN(C)CCN(C)CC1 7.8535786 0.47058823529411764</t>
  </si>
  <si>
    <t>CCN(Cc1ccccn1)C1CCCCC1N(C)Cc1cc(C2CC3OCCOCCOCCOCCOCCOC32)ccn1 7.853546 0.5</t>
  </si>
  <si>
    <t>CN(CCF)CCN(C)Cc1cccc2c1OCCOCCOCCOCCOCCO2 7.8535175 0.3333333333333333</t>
  </si>
  <si>
    <t>CN1CCNCC2(CCCC(C)(C)C2)N(C)C2(CCCC(C)(C)C2)C1 7.853347 0.17142857142857143</t>
  </si>
  <si>
    <t>CN1CCN(C)CCN(CCCN=Cc2ccccn2)CC1 7.8529797 0.4772727272727273</t>
  </si>
  <si>
    <t>CC1CC(N)C1(C)C 7.8529544 0.1568627450980392</t>
  </si>
  <si>
    <t>CN(CF)C1CCCC(N(C)CC2=CCC=CN2)C1 7.85292 0.3584905660377358</t>
  </si>
  <si>
    <t>CN(Cc1cccnc1)C1CCC(N(C)CC2(C)CCC2)CC1 7.8528504 0.2962962962962963</t>
  </si>
  <si>
    <t>CC(C)N(C)CCN(Cc1cccnn1)C1CCCCC1 7.852836 0.4666666666666667</t>
  </si>
  <si>
    <t>CC1=CCCC2(CC=CC(C)C2)C1 7.8528 0.1111111111111111</t>
  </si>
  <si>
    <t>CN1CCN(C)CCN(C2CCC(N(C)C3=CCC=CN3)CC2)CC1 7.852767 0.2857142857142857</t>
  </si>
  <si>
    <t>CC(C)N1CCNCCN(C(C)c2ccccn2)CC1 7.8527565 0.4772727272727273</t>
  </si>
  <si>
    <t>CC(C)C(C)N(C)CCN1CCN(C)CCN(CC(C)(C)C)CC1 7.852648 0.25</t>
  </si>
  <si>
    <t>CC(C)N(C)C1CCCC(N(C)C)C1 7.852516 0.1956521739130435</t>
  </si>
  <si>
    <t>C1=COCCOc2ccccc2OCCOCCOCCO1 7.8525157 0.2692307692307692</t>
  </si>
  <si>
    <t>CN1CCN(C)CCN(C2CCCCC2N(C)c2cccc(F)c2)CC1 7.8524904 0.3275862068965517</t>
  </si>
  <si>
    <t>CN1CCN(C)CCN(C2NC=CC=C2F)CC1 7.852438 0.27586206896551724</t>
  </si>
  <si>
    <t>CC(C)C(C)C1CCC1(C)C 7.8523793 0.12244897959183673</t>
  </si>
  <si>
    <t>CN1CCCN(C)CCC2=CC=CC(C=NCC1)N2C 7.8522615 0.2826086956521739</t>
  </si>
  <si>
    <t>CC(N)c1ccc2c(c1)OCCOCCOCCOCCOCCO2 7.8520064 0.3090909090909091</t>
  </si>
  <si>
    <t>CC1=CCCC(C)C1C 7.852005 0.16279069767441862</t>
  </si>
  <si>
    <t>CN(CCF)CCN(C)Cc1ccc2c(c1)OCCOCCOCCOCCOCCO2 7.851733 0.32608695652173914</t>
  </si>
  <si>
    <t>CCNCN(C)CCN1CCN(C)CCN(C)CC1 7.8516607 0.3076923076923077</t>
  </si>
  <si>
    <t>C1=CC(CN(Cc2ccccn2)C2CCCCC2)C=CN1 7.8516264 0.4583333333333333</t>
  </si>
  <si>
    <t>CC(C)N1CCN(C)CCN(C(C)c2ccccc2)CC1 7.851625 0.38095238095238093</t>
  </si>
  <si>
    <t>CC(C)N(C)CCN1CCN(C)CCN(C)CC1 7.851393 0.34782608695652173</t>
  </si>
  <si>
    <t>CNC1OCCOCCOCCOCCOCCOC1c1cccc(C(C)(C)C)n1 7.851321 0.23333333333333334</t>
  </si>
  <si>
    <t>CN1CCN(C)CCN(C2CCC(N(C)Cc3cc(CF)ccn3)CC2)CC1 7.851312 0.34545454545454546</t>
  </si>
  <si>
    <t>CN(C)CCN1CCN(C)CCN(CC(C)(C)C)CC1 7.8512893 0.3076923076923077</t>
  </si>
  <si>
    <t>C1=COc2ccccc2OCCOCCOCCOCCO1 7.851241 0.2545454545454545</t>
  </si>
  <si>
    <t>CN1CCN(C)CCN(C2CCC(N(C)C3CCCCC3N(C)c3ccc(Cl)cn3)CC2)CC1 7.851237 0.2786885245901639</t>
  </si>
  <si>
    <t>CC(C)N1CCN(C)CCN(C(C)N)CC1 7.8511086 0.4</t>
  </si>
  <si>
    <t>CCF 7.851037 0.1111111111111111</t>
  </si>
  <si>
    <t>CN1CCNCCNC(SCc2ccccn2)CC1 7.851026 0.42857142857142855</t>
  </si>
  <si>
    <t>CN1CCN(C)CCN(Cc2cccnc2)CC1 7.850929 0.5</t>
  </si>
  <si>
    <t>Cc1ccc2c(c1C)OCCOCCOCCOCCOCCO2 7.8508754 0.2545454545454545</t>
  </si>
  <si>
    <t>CC(C)N(C)CCN(C)Cc1cccc2c1OCCOCCOCCOCCOCCO2 7.8508544 0.3269230769230769</t>
  </si>
  <si>
    <t>CN1CCN(C)CCN(CCc2ccccc2N)CC1 7.850826 0.4</t>
  </si>
  <si>
    <t>CNc1ccc2c(c1)OCCOCCOCCOCCOCCO2 7.850824 0.32075471698113206</t>
  </si>
  <si>
    <t>CN1CCN(C)CCN(Cc2ccncc2CN2CCN(C)CCN(C)CC2)CC1 7.8506904 0.47368421052631576</t>
  </si>
  <si>
    <t>CN(Cc1ccccn1)C1CCC(N(C)Cc2cccc(C3CC4OCCOCCOCCOCCOCCOC43)n2)CC1 7.8505335 0.42105263157894735</t>
  </si>
  <si>
    <t>CCOC(=O)C(=O)N1CCN(C)CCN(C(=O)C(C)N2CCN(C)CCN(C(C)C(C)N3CCN(C)CCN(C(C)C)CC3)CC2)CC1 7.8503947 0.265625</t>
  </si>
  <si>
    <t>CN1CCN(C)CCN(CCc2ccc(N)cc2)CC1 7.850333 0.35</t>
  </si>
  <si>
    <t>CN(C)CCCN1CCN(C)CCN(C)CC1 7.8502755 0.38095238095238093</t>
  </si>
  <si>
    <t>CN(CCN(C)Cc1ccc2c(c1)OCCOCCOCCOCCOCCO2)Cc1ccc2c(c1)OCCOCCOCCOCCOCCO2 7.849983 0.34146341463414637</t>
  </si>
  <si>
    <t>C=CCN(C)CCN(C)Cc1ccc2c(c1)OCCOCCOCCOCCOCCO2 7.8499274 0.2857142857142857</t>
  </si>
  <si>
    <t>CC1C=CCC(C)C1C 7.8498073 0.10869565217391304</t>
  </si>
  <si>
    <t>CC(C)N1CCN(C)CCN(CC2=CCC=CN2)CC1 7.849807 0.4666666666666667</t>
  </si>
  <si>
    <t>COC(C)N1CCN(C)CCN(C(C)C)CC1 7.849776 0.36363636363636365</t>
  </si>
  <si>
    <t>CC(C)N(C)CCN1CCN(C)CCN(C(C)C)CC1 7.8497577 0.3111111111111111</t>
  </si>
  <si>
    <t>CNCN1CCN(C)CCN(Cc2cncc(C)c2)CC1 7.8497543 0.41304347826086957</t>
  </si>
  <si>
    <t>CCCN(Cc1ccccn1)C1CCC(N(C)CCF)CC1 7.84975 0.4791666666666667</t>
  </si>
  <si>
    <t>CN1CCN(C)CCN(CC2CC(N(C)C)CN2C)CC1 7.8496075 0.3125</t>
  </si>
  <si>
    <t>CNC1OCCOCCOCCOCCOc2ccccc2OC1N 7.849607 0.234375</t>
  </si>
  <si>
    <t>CN1CCN(C)CCN(C2CCC(N(C)c3cccc(F)c3)CC2)CC1 7.849474 0.28846153846153844</t>
  </si>
  <si>
    <t>CN1CCN(C)CCN(Cc2cncc(CN3CCN(C)CCN(C)CC3)c2)CC1 7.8494573 0.4594594594594595</t>
  </si>
  <si>
    <t>CNCCN1CCN(C)CCN(Cc2ncccc2C)CC1 7.849212 0.4666666666666667</t>
  </si>
  <si>
    <t>CN1CCN(C)CCN(CCCN(C)CC(C)(C)C)CC1 7.849008 0.3076923076923077</t>
  </si>
  <si>
    <t>CNCN1CCN(C)CCN(Cc2cccnc2C)CC1 7.849003 0.4772727272727273</t>
  </si>
  <si>
    <t>CC(C)N(Cc1ccccn1)C1CCCC(N(C)C2CCCC(N(C)C)C2)C1 7.848935 0.4791666666666667</t>
  </si>
  <si>
    <t>CC(C)N(C)CCN(C)Cc1ccc2c(c1)OCCOCCOCCOCCOCCO2 7.848878 0.2916666666666667</t>
  </si>
  <si>
    <t>CC(C)C(C)N(C)CCN(C)Cc1ccc2c(c1)OCCOCCOCCOCCOCCO2 7.848843 0.28</t>
  </si>
  <si>
    <t>CC(C)N(C)CN1CCN(C)CCN(C(C)C)CC1 7.8488345 0.3181818181818182</t>
  </si>
  <si>
    <t>Cc1cccc2c1OCCOCCOCCOCCOC(N)CO2 7.848787 0.19696969696969696</t>
  </si>
  <si>
    <t>CNCN1CCN(C)CCN(Cc2ccc(C)cn2)CC1 7.848698 0.5</t>
  </si>
  <si>
    <t>CC(C)N1CCN(C(C)C)CCN(C(C)N)CC1 7.848619 0.3055555555555556</t>
  </si>
  <si>
    <t>CN1CC=NCCN(C)CCC2C=CC=C(CC1)N2C 7.8485785 0.21153846153846154</t>
  </si>
  <si>
    <t>CN(CN)CN 7.8485255 0.1724137931034483</t>
  </si>
  <si>
    <t>CN1CC2(CCCCC2)NCC2(CCC(c3ccccc3)(c3ccccn3)CC2)NCC12CCCCC2 7.8484955 0.2361111111111111</t>
  </si>
  <si>
    <t>Cc1ccc2c(c1)OCCOCCOCCOCCOC(N)CO2 7.8484035 0.3</t>
  </si>
  <si>
    <t>CC(N)N(Cc1cccnn1)C1CCCCC1 7.848403 0.4418604651162791</t>
  </si>
  <si>
    <t>Cc1ccc2c(c1)OCC(N)OCCOCCOCCOCCO2 7.848362 0.3</t>
  </si>
  <si>
    <t>CNCN1CCN(C)CCN(Cc2ncccc2C)CC1 7.8482714 0.4772727272727273</t>
  </si>
  <si>
    <t>CN(Cc1ncccc1CF)C1CCCCC1 7.8481045 0.40425531914893614</t>
  </si>
  <si>
    <t>CC(C)N(C)CCN(C)C1CCC(N(C)C(C)C)CC1 7.848081 0.1702127659574468</t>
  </si>
  <si>
    <t>Cc1cncc(CN(C)C2CCCC(N3CCN(C)CCN(C)CC3)C2)c1 7.8480268 0.2711864406779661</t>
  </si>
  <si>
    <t>Cc1cccc2c1OCCOCCOC(N)COCCOCCO2 7.847998 0.21212121212121213</t>
  </si>
  <si>
    <t>Cc1cccc2c1OCCOCCOCC(N)OCCOCCO2 7.847998 0.21212121212121213</t>
  </si>
  <si>
    <t>CNCN1CCN(C)CCN(Cc2ccc(C)nc2)CC1 7.8479624 0.41304347826086957</t>
  </si>
  <si>
    <t>CCNC(C)(C)N(C)C1CCCC(N(C)CC(C)(C)C)C1 7.8478518 0.16981132075471697</t>
  </si>
  <si>
    <t>CN1CCN(C)CCN(CCC2=NCC(C)(C)O2)CC1 7.847726 0.3191489361702128</t>
  </si>
  <si>
    <t>C1=COCCOC(NCc2cccc(-c3ccc4c(c3)OCCOCCOCCOCCOCCO4)n2)COCCOCCOCCO1 7.84767 0.3333333333333333</t>
  </si>
  <si>
    <t>Cc1ccc2c(c1)OCCOCCOC(N)COCCOCCO2 7.8475556 0.3</t>
  </si>
  <si>
    <t>Cc1ccc2c(c1)OCCOCCOCC(N)OCCOCCO2 7.8475556 0.3</t>
  </si>
  <si>
    <t>CN1CCN(C)CCN(CC2CC(N(C)Cc3ccccn3)CN2C)CC1 7.847518 0.4897959183673469</t>
  </si>
  <si>
    <t>C1=CC2OCCOCCOCCOc3ccccc3OCCOC2C=C1 7.8473945 0.26785714285714285</t>
  </si>
  <si>
    <t>CCN(Cc1ccccn1)C1CCC(N(C)CCF)CC1 7.8473725 0.48936170212765956</t>
  </si>
  <si>
    <t>CC(C)N(C)CC1=CC(N2CCN(C)CCN(C)CC2)CN=C1 7.8473315 0.2727272727272727</t>
  </si>
  <si>
    <t>CC(C)N(C)C1CCCCC1N(C(C)C)C1C=CC=CN1 7.8472714 0.25925925925925924</t>
  </si>
  <si>
    <t>CCNCC1CCC1(C)C 7.846984 0.1206896551724138</t>
  </si>
  <si>
    <t>Cc1cccc2c1OCCOCCOCCOCCOCC(N)O2 7.846937 0.2</t>
  </si>
  <si>
    <t>CN1CC=NCC2C=CC=C(CCN(C)CCC1)N2C 7.846849 0.2708333333333333</t>
  </si>
  <si>
    <t>CC1CNCCN(C)CCN(C)C1 7.8467727 0.34782608695652173</t>
  </si>
  <si>
    <t>CNCN(Cc1ccccn1)C1CCC(N(C)C(C)C)CC1 7.8467717 0.4489795918367347</t>
  </si>
  <si>
    <t>CNC1C(N(Cc2ccccn2)Cc2cccc(C3CC4OCCOCCOCCOCCOCCOC43)n2)CCCC1N(Cc1ccccn1)Cc1cccc(C2CC3OCCOCCOCCOCCOCCOC32)n1 7.8466935 0.38095238095238093</t>
  </si>
  <si>
    <t>CN1CCN(C)CCN(Cc2ccc(CNCF)nc2)CC1 7.8466897 0.41304347826086957</t>
  </si>
  <si>
    <t>CC1CCC1C 7.8465667 0.14285714285714285</t>
  </si>
  <si>
    <t>Cc1ccc2c(c1)OCCOCCOCCOCCOCC(N)O2 7.8464985 0.2833333333333333</t>
  </si>
  <si>
    <t>C1=CNC(N(Cc2cccnn2)C2CCCCC2)C=C1 7.8464174 0.3673469387755102</t>
  </si>
  <si>
    <t>Cc1ccc2c(c1)OC(N)COCCOCCOCCOCCO2 7.846416 0.2833333333333333</t>
  </si>
  <si>
    <t>CC(N)C(C)N(Cc1ccccn1)C1CCC(N(C)C(C)C)CC1 7.8464017 0.4489795918367347</t>
  </si>
  <si>
    <t>CN(Cc1ccc(CF)cn1)C1CCCCC1 7.8463864 0.5</t>
  </si>
  <si>
    <t>CN1CCN(C)CCN(C2CCC(N(C)Cc3ccc(Cl)cn3)CC2)CC1 7.8463817 0.37735849056603776</t>
  </si>
  <si>
    <t>Cc1cccc2c1OC(N)COCCOCCOCCOCCO2 7.8463793 0.21875</t>
  </si>
  <si>
    <t>C1=CC(C23CCC2OCCOCCOCCOCCOCCO3)C=C(CN(Cc2ccccn2)Cc2ccccn2)N1 7.846356 0.421875</t>
  </si>
  <si>
    <t>CC(C)N1CCN(C)CCN(Cc2cncc(C3=CC4OCCOC=COCCOCCOCCOC4C=C3)c2)CC1 7.846276 0.2676056338028169</t>
  </si>
  <si>
    <t>CC(C)Nc1ccc2c(c1)OCCOCCOCCOCCOCCO2 7.846184 0.32727272727272727</t>
  </si>
  <si>
    <t>CSC1CNC2C=CC=NC2NCCN(C)C1 7.84616 0.18867924528301888</t>
  </si>
  <si>
    <t>CN(C)Cc1ccc2c(c1)OCCOCCOCCOCCOCCO2 7.8461576 0.32727272727272727</t>
  </si>
  <si>
    <t>CC(C)N(Cc1cccnn1)C1CCCCC1 7.846143 0.4634146341463415</t>
  </si>
  <si>
    <t>Cc1ccccc1CN1CCN(C)CCN(C)CC1 7.8460674 0.5</t>
  </si>
  <si>
    <t>CNCN(Cc1ccccn1)C1CCCC(N(C)C(C)C)C1 7.84602 0.45098039215686275</t>
  </si>
  <si>
    <t>CN1CCCN(C)CCC2C=CC=C(C=NCC1)N2C 7.8459487 0.2826086956521739</t>
  </si>
  <si>
    <t>Cc1ccc(CN(C)C2CCC(N(C)Cc3cccc(C4CC5OCCOCCOCCOCCOCCOC54)n3)CC2)nc1 7.8458705 0.423728813559322</t>
  </si>
  <si>
    <t>CCC(C)C1CCC1C 7.845837 0.14583333333333334</t>
  </si>
  <si>
    <t>CCN(Cc1ccccn1)C1CCCC(N(C)CCF)C1 7.845748 0.4897959183673469</t>
  </si>
  <si>
    <t>CN(CCF)CCN(Cc1ccc2c(n1)CCC2)C1CCCCC1 7.845723 0.3225806451612903</t>
  </si>
  <si>
    <t>Cc1cnccc1CN1CCN(C)CCN(CCN(C)C(C)C)CC1 7.8456635 0.3584905660377358</t>
  </si>
  <si>
    <t>CC1=CC(C)C(C)(N(Cc2ccccn2)C2CCCCC2)C(C)(C)C1 7.84565 0.4339622641509434</t>
  </si>
  <si>
    <t>CNCc1ccc(CN(C)C2CCCCC2N(C)Cc2cccc(C34CCC3OCCOCCOCCOCCOCCO4)n2)cn1 7.8456335 0.37142857142857144</t>
  </si>
  <si>
    <t>CN(CCN(Cc1ccccn1)Cc1cccc2c1OCCOCCOCCOCCOCCO2)Cc1cccc2c1OCCOCCOCCOCCOCCO2 7.8455887 0.47058823529411764</t>
  </si>
  <si>
    <t>CC1C=CC(C)C(N)C1 7.8452144 0.10638297872340426</t>
  </si>
  <si>
    <t>CC1C=CC(C)(C)CC1(C)N(Cc1ccccn1)C1CCCCC1 7.845163 0.4423076923076923</t>
  </si>
  <si>
    <t>CN1CCN(C)CCN(CCC2=NC(C)(C)CO2)CC1 7.845109 0.30952380952380953</t>
  </si>
  <si>
    <t>COC(=O)N1CCN(C)CCN(C(=O)C(N)C(C)N2CCN(C)CCN(C)CC2)CC1 7.8450756 0.23529411764705882</t>
  </si>
  <si>
    <t>CCN(Cc1ccccn1)Cc1cccc(C2CC3OCCOCCOCCOCCOCCOC32)n1 7.8450503 0.38</t>
  </si>
  <si>
    <t>CN1CCN(C)CCN(Cc2cccnc2CN(C)Cc2cccc(C3CC4OCCOCCOCCOCCOCCOC43)n2)CC1 7.845036 0.3484848484848485</t>
  </si>
  <si>
    <t>CN1CC=NCC2=CC=CC(CCN(C)CCC1)N2C 7.8449607 0.2826086956521739</t>
  </si>
  <si>
    <t>CC(C)N(C)C1CCCCC1N(C)C1=CCC(Cl)C(C)(C)C1C 7.8449235 0.25862068965517243</t>
  </si>
  <si>
    <t>Cc1ccc2c(c1)OCCOCCOCCOCCOC(C)C(N)O2 7.8448753 0.2698412698412698</t>
  </si>
  <si>
    <t>CN(CCN)CCN 7.844808 0.2</t>
  </si>
  <si>
    <t>CN1CCN(C)CCN(C2CCCC(N(C)Cc3ccc(Cl)cn3)C2)CC1 7.844727 0.38181818181818183</t>
  </si>
  <si>
    <t>Cc1ccc2c(c1)OC(N)C(C)OCCOCCOCCOCCO2 7.8447146 0.2698412698412698</t>
  </si>
  <si>
    <t>CN1CCN(C)CCN(Cc2ccc(N)cc2)CC1 7.844713 0.4473684210526316</t>
  </si>
  <si>
    <t>CC(C)N1CCN(C)CCN(C(C)c2cncc(CN3CCN(C)CCN(C)CC3)c2)CC1 7.8446507 0.38</t>
  </si>
  <si>
    <t>CN1CCN(C)CCN(Cc2ccnc(NCF)c2)CC1 7.8446426 0.4666666666666667</t>
  </si>
  <si>
    <t>CC(C)N(C)C(C)(C)N1CCN(C)CCN(C)CC1 7.8445277 0.34782608695652173</t>
  </si>
  <si>
    <t>CC(NC1=COCCOCCOCCOCCOCCO1)c1cccc(-c2ccc3c(c2)OCCOCCOCCOCCOCCO3)n1 7.8445225 0.29577464788732394</t>
  </si>
  <si>
    <t>Cc1ccc2c(c1)OCCOCCOCCOCCOC(N)C(C)O2 7.8443866 0.2698412698412698</t>
  </si>
  <si>
    <t>Cc1cccc2c1OCCOCCOCCOCCOC(C)CO2 7.8442125 0.21875</t>
  </si>
  <si>
    <t>CN(C1=CCC=CN1)C1CCCC(N(Cc2cccnn2)C2CCCCC2)C1 7.8442025 0.35714285714285715</t>
  </si>
  <si>
    <t>CN1CCN(C)CCN(C2CC=C(c3ccc4c(c3)OCCOCCOCCOCCOCCO4)C=N2)CC1 7.8441806 0.36923076923076925</t>
  </si>
  <si>
    <t>Cc1ccc(CN2CCN(C)CCN(C)CC2)cc1 7.844078 0.5</t>
  </si>
  <si>
    <t>ON(Cc1cccc(-c2ccc3c(c2)OCCOCCOCCOCCOCCO3)n1)C1COCCOCCOCCOC=COCCO1 7.8439827 0.32432432432432434</t>
  </si>
  <si>
    <t>CN(CNCF)C1CCC(N(C)C2CCCC(N(Cc3cccc(F)n3)Cc3cccnc3F)C2)CC1 7.843886 0.2898550724637681</t>
  </si>
  <si>
    <t>Cc1ncccc1CN(C)C1CCCCC1 7.843867 0.4318181818181818</t>
  </si>
  <si>
    <t>CN1CCN(C)CCN(Cc2cnccc2F)CC1 7.843835 0.4523809523809524</t>
  </si>
  <si>
    <t>CC(C)N(CCN1CCN(C)CCN(CC(C)(C)C)CC1)Cc1cccnc1 7.843754 0.30357142857142855</t>
  </si>
  <si>
    <t>CC1=CC(CN(Cc2cccnn2)C2CCCCC2)C=CN1 7.8437486 0.3584905660377358</t>
  </si>
  <si>
    <t>CN1CCN(C)CCN(Cc2cncc(F)c2)CC1 7.843726 0.42857142857142855</t>
  </si>
  <si>
    <t>Cc1ccnc(CN(C)C2CCCCC2)c1 7.8436837 0.46511627906976744</t>
  </si>
  <si>
    <t>Cc1ccc2c(c1)OCCOCCOCCOCCOC(C)CO2 7.843563 0.3275862068965517</t>
  </si>
  <si>
    <t>CN1CCN(C)CCN(Cc2cnccc2CF)CC1 7.8435073 0.42857142857142855</t>
  </si>
  <si>
    <t>Cc1cccc2c1OCCOCCOC(C)COCCOCCO2 7.8435006 0.234375</t>
  </si>
  <si>
    <t>Cc1ccc(CN2CCN(C)CCN(CN(C)C(C)C)CC2)nc1 7.8434396 0.4583333333333333</t>
  </si>
  <si>
    <t>CCNC1=C(C)C(C)(C)CCC1 7.8430867 0.15254237288135594</t>
  </si>
  <si>
    <t>CC(C)CN(CCN1CCN(C)CCN(CC(C)(C)C)CC1)Cc1ccccn1 7.8430667 0.47058823529411764</t>
  </si>
  <si>
    <t>CC(C)N1CCN(C)CCN(C(C)c2cc(CN3CCN(C)CCN(C)CC3)ccn2)CC1 7.8430367 0.4583333333333333</t>
  </si>
  <si>
    <t>CN1CCN(C)CCN(Cc2cncc(CF)c2)CC1 7.8429656 0.40476190476190477</t>
  </si>
  <si>
    <t>CN1CCN(C)CCN(CCN(C)C(C)(C)c2ccccn2)CC1 7.8429074 0.4883720930232558</t>
  </si>
  <si>
    <t>Cc1cccnc1CN(C)C1CCCCC1 7.842891 0.4318181818181818</t>
  </si>
  <si>
    <t>Cc1ccc2c(c1)OCCOCCOCC(C)OCCOCCO2 7.8428617 0.3275862068965517</t>
  </si>
  <si>
    <t>COC(=O)C(=O)N1CCN(C)CCN(C(=O)C(C)N2CCN(C)CCN(C(=O)C(C)N3CCN(C)CCN(C(C)C)CC3)CC2)CC1 7.8428183 0.22857142857142856</t>
  </si>
  <si>
    <t>CNC1OCCOCCOCCOCCOCCOC1N(Cc1nc(C)c(C)c(C)c1C)C1C=CC=CN1 7.842771 0.20833333333333334</t>
  </si>
  <si>
    <t>CC(C)N(C)C1CCCCC1N(C)CCN(C)C(C)(C)c1ccccn1 7.8427653 0.45098039215686275</t>
  </si>
  <si>
    <t>Cc1ccc2c(c1)OC(C)COCCOCCOCCOCCO2 7.8426704 0.288135593220339</t>
  </si>
  <si>
    <t>Cc1ccc2c(c1)OCCOCCOCCOCCOCC(C)O2 7.842609 0.288135593220339</t>
  </si>
  <si>
    <t>C1=CNC(CN(Cc2ccccn2)Cc2ccccn2)=C(C2CC3OCCOCCOCCOCCOCCOC32)C1 7.8425546 0.4262295081967213</t>
  </si>
  <si>
    <t>Cc1cccnc1CN1CCN(C)CCN(CCCN(C)C)CC1 7.8424134 0.44680851063829785</t>
  </si>
  <si>
    <t>CC(C)N(C)C1CCC(N(C)Cc2cccnn2)CC1 7.8422956 0.4878048780487805</t>
  </si>
  <si>
    <t>CCc1ccc2c(c1)OCCOCCOCCOCCOCC(C)O2 7.8420305 0.29508196721311475</t>
  </si>
  <si>
    <t>CC(C)NCN1CCN(C)CCN(C(C)C)CC1 7.841938 0.32558139534883723</t>
  </si>
  <si>
    <t>CC(C)N1CCN(C)CCN(C2=CNC=CC2)CC1 7.8418107 0.2549019607843137</t>
  </si>
  <si>
    <t>CN(Cc1cccc(-c2ccc3c(c2)OCCOCCOCCOCCOCCO3)n1)C1CCCCC1N(C)Cc1cccc(C2CC3OCCOCCOCCOCCOCCOC32)n1 7.841709 0.3939393939393939</t>
  </si>
  <si>
    <t>CC(C)N(C)C1CCCC(N(C)Cc2cccnn2)C1 7.84166 0.45454545454545453</t>
  </si>
  <si>
    <t>CC(NC1COCCOCCOCCOCCOC=CO1)c1cc(-c2ccc3c(c2)OCCOCCOCCOCCOCCO3)ccn1 7.8416 0.3333333333333333</t>
  </si>
  <si>
    <t>CNCN1CCN(C)CCN(C(C)(C)c2ccccn2)CC1 7.841527 0.45652173913043476</t>
  </si>
  <si>
    <t>Cc1cccnc1CN(C)C1CCCC(NCF)C1 7.8415246 0.32727272727272727</t>
  </si>
  <si>
    <t>CN(Cc1ccccn1)Cc1cccc(C2CC3OCCOCCOCCOCCOCCOC32)n1 7.8414006 0.5</t>
  </si>
  <si>
    <t>CN1CCN(C)CCN(Cc2ccc(CF)nc2)CC1 7.8413525 0.4634146341463415</t>
  </si>
  <si>
    <t>CC(C)N(C)C1CCC(N(C)C2CCC(N(C)Cc3cccc(-c4ccc5c(c4)OCCOCCOCCOCCOCCO5)n3)CC2)CC1 7.841227 0.33783783783783783</t>
  </si>
  <si>
    <t>CN(Cc1cccc(-c2ccc3c(c2)OCCOCCOCCOCCOCCO3)n1)C1CCCCC1N(C)Cc1cccc(C23CCC2OCCOCCOCCOCCOCCO3)n1 7.8412027 0.37142857142857144</t>
  </si>
  <si>
    <t>NC1=COCCOCCOCCOCCOc2ccccc2O1 7.8411865 0.23728813559322035</t>
  </si>
  <si>
    <t>CN(Cc1cccnn1)C1CCCCC1N(C)C1C=CC=CN1 7.841124 0.46153846153846156</t>
  </si>
  <si>
    <t>CC1C=CCC(C)C1N(C)C1CCCC(N(C)Cc2ccccn2)C1 7.8410783 0.4807692307692308</t>
  </si>
  <si>
    <t>CC(N)C(C)N(C)C1CCCC(N(Cc2ccccn2)C(C)C)C1 7.8410645 0.45098039215686275</t>
  </si>
  <si>
    <t>CN1CCN(C)CCN(C2(C)CNC(C)(C)CN(C)CCN2)CC1 7.8409615 0.2857142857142857</t>
  </si>
  <si>
    <t>C#CCN(C)CCN(C)Cc1cccnc1 7.8408747 0.38095238095238093</t>
  </si>
  <si>
    <t>CC1=CCCC(C(C)C)C1C 7.8408513 0.17391304347826086</t>
  </si>
  <si>
    <t>CN1CCN(C)CCN(Cc2ccc(F)nc2)CC1 7.840838 0.5</t>
  </si>
  <si>
    <t>CN(Cc1cccc(F)n1)C1=COCCOCCOCCOCCOCC(N)O1 7.840834 0.3125</t>
  </si>
  <si>
    <t>Cc1ccncc1CN(C)CCCN1CCN(C)CCN(C)CC1 7.840827 0.3333333333333333</t>
  </si>
  <si>
    <t>CNc1ccc2c(c1)OCCOCCOCCOCCOCC(F)O2 7.840779 0.2698412698412698</t>
  </si>
  <si>
    <t>C#CCN(C)CCN(C)CC(C)(C)C 7.840727 0.21428571428571427</t>
  </si>
  <si>
    <t>CC(C)N1CCN(C(C)C)CCN(C(C)C)CC1 7.840644 0.3548387096774194</t>
  </si>
  <si>
    <t>CN1CCNC2(CCCC(C)(C)C2)CN(C)C2(CCCC(c3ccccn3)(C3(C)CCC3)C2)C1 7.840639 0.24242424242424243</t>
  </si>
  <si>
    <t>CCOC(=O)C(=O)N1CCN(C)CCN(C(=O)C(C)N2CCN(C)CCN(C(C)C)CC2)CC1 7.840596 0.2786885245901639</t>
  </si>
  <si>
    <t>Cc1ccc(CN(C)C2CCCC(N(C)Cc3ccccn3)C2)c2c1OCCOCCOCCOCCOCCO2 7.8405924 0.45454545454545453</t>
  </si>
  <si>
    <t>CN(Cc1cccc(C2CCC2(C)C)n1)C1CCCCC1 7.8403134 0.4489795918367347</t>
  </si>
  <si>
    <t>CN(CCN(C)C1C=CC=CN1)C1CCC(N(C)Cc2ccccn2)CC1 7.840259 0.49056603773584906</t>
  </si>
  <si>
    <t>CNc1ccc2c(c1)OC(c1ccc3c(c1)OCCOCCOCCOCCOCCO3)COCCOCCOCCOCCO2 7.840056 0.27692307692307694</t>
  </si>
  <si>
    <t>CCN(C)CC1CCCN1C(C)C 7.840005 0.3076923076923077</t>
  </si>
  <si>
    <t>CN(C)C1CCCC(N(C)CC(C)(C)C)C1 7.839916 0.2</t>
  </si>
  <si>
    <t>Cc1cccnc1CN(C)C1CCCC(N(C)C(C)(C)C(C)N)C1 7.839898 0.3103448275862069</t>
  </si>
  <si>
    <t>CC1=CC(C)C(C)C(C)(C)C1N(C)C1CCCC(N(C)Cc2ccccn2)C1 7.83984 0.45454545454545453</t>
  </si>
  <si>
    <t>CC(C)N(C)C1CCCCC1N(C)Cc1cccc(CN(C)C2CCCCC2N(C)C2CCCCC2N(C)Cc2cccc(-c3cccc4c3OCCOCCOCCOCCOCCO4)n2)n1 7.839833 0.4126984126984127</t>
  </si>
  <si>
    <t>Cc1ccncc1CN1CCN(C)CCN(C(C)C)CC1 7.8398185 0.44680851063829785</t>
  </si>
  <si>
    <t>CCN(Cc1ccccn1)Cc1cccc2c1OCCOCCOCCOCCOCCO2 7.8397226 0.4222222222222222</t>
  </si>
  <si>
    <t>CCNC1CCCCC1N(C)Cc1cc(C)ccn1 7.8396974 0.4791666666666667</t>
  </si>
  <si>
    <t>CC(C)C(C)c1ccccc1 7.839639 0.35</t>
  </si>
  <si>
    <t>CC1=CC(C)C(C)CC1 7.839547 0.19047619047619047</t>
  </si>
  <si>
    <t>CC(c1ccncc1C1CCC1(C)C)N1CCN(C)CCN(C(C)C(C)(N)C(C)C)CC1 7.839537 0.20512820512820512</t>
  </si>
  <si>
    <t>CC1=CCC(C)C(N(C)C2CCCC(N(C)Cc3cccnn3)C2)C1 7.839501 0.37037037037037035</t>
  </si>
  <si>
    <t>Cc1ccncc1CN1CCN(C)CCN(C)CC1 7.8394384 0.4634146341463415</t>
  </si>
  <si>
    <t>CN1CCN(C)CCN(C2CCCC(N(C)c3ccc(CF)cn3)C2)CC1 7.839331 0.26865671641791045</t>
  </si>
  <si>
    <t>Cc1cncc(CN(C)CCCN2CCN(C)CCN(C)CC2)c1 7.839288 0.3469387755102041</t>
  </si>
  <si>
    <t>CN(Cc1cccc(-c2ccc3c(c2)OCCOCCOCCOCCOCCO3)n1)C1COCCOCCOCCOC(Cl)=COCCO1 7.839258 0.3037974683544304</t>
  </si>
  <si>
    <t>CCNC1CCCCC1N(C)Cc1ncccc1C 7.8391695 0.4489795918367347</t>
  </si>
  <si>
    <t>CN(CCN(C)C1CCCC(N(C)Cc2ccccn2)C1)c1cccc2c1OCCOCCOCCOCCOCCO2 7.8391657 0.423728813559322</t>
  </si>
  <si>
    <t>CC(C)N(C)C1CCCCC1N(C)Cc1ccncc1C(C)(C)N1CCN(C)CCN(C)CC1 7.8391137 0.3333333333333333</t>
  </si>
  <si>
    <t>CC(C)C(C)c1ccnc(CN2CCCC2)c1 7.838952 0.46511627906976744</t>
  </si>
  <si>
    <t>CN(Cc1cccnn1)C1CCCCC1N(C)c1cccc2c1OCCOCCOCCOCCOCCO2 7.838935 0.41379310344827586</t>
  </si>
  <si>
    <t>CNCc1ccncc1CN1CCN(C)CCN(C)CC1 7.8388934 0.4090909090909091</t>
  </si>
  <si>
    <t>CN(CCNc1cccc2c1OCCOCCOCCOCCOCCO2)Cc1ccccn1 7.8388605 0.38596491228070173</t>
  </si>
  <si>
    <t>CC(C)C1CCC1(C)C 7.838725 0.1276595744680851</t>
  </si>
  <si>
    <t>Cc1cnc(CN(C)C2CCCCC2N(C)C2CCCCC2N(C)CN2CCN(C)CCN(Cc3ncc(C)c(C)c3C)CC2)c(C)c1 7.838724 0.40625</t>
  </si>
  <si>
    <t>Cc1cnc(CN(C)C2CCC(N3CCN(C)CCN(C)CC3)CC2)c(C)c1 7.8387003 0.3103448275862069</t>
  </si>
  <si>
    <t>Cc1cccnc1CN(C)C1CCCC(N(C)CF)C1 7.8386774 0.36</t>
  </si>
  <si>
    <t>CN(CCN(C)Cc1cccc2c1OCCOCCOCCOCCOCCO2)Cc1ccccn1 7.838673 0.41509433962264153</t>
  </si>
  <si>
    <t>Cc1cccnc1CN(C)CCCN1CCN(C)CCN(C)CC1 7.838616 0.40425531914893614</t>
  </si>
  <si>
    <t>CN1CCN(C)CCN(C(c2ccccn2)C(C)(C)C)CC1 7.838608 0.42857142857142855</t>
  </si>
  <si>
    <t>CC1C=CC(C2=CCC(C)C(C)C2)C(C)C1C 7.8385973 0.1111111111111111</t>
  </si>
  <si>
    <t>CN1CCN(C)CCN(C2CCCCC2N(C)c2ccc(Cl)cn2)CC1 7.8385363 0.3148148148148148</t>
  </si>
  <si>
    <t>CC(C)CN(C)CCN1CCN(C)CCN(C)CC1 7.838527 0.3333333333333333</t>
  </si>
  <si>
    <t>CC(C)N(C)C1CCC(N(C)Cc2cc(CF)ccn2)CC1 7.838522 0.35294117647058826</t>
  </si>
  <si>
    <t>CN1CCN(C)CCN(Cc2cncc(C(C)(C)N3CCN(C)CCN(C)CC3)c2)CC1 7.8384933 0.3617021276595745</t>
  </si>
  <si>
    <t>Cc1ccc2c(c1)OCCOCCOC1C=CC=CC1OCCOCCO2 7.8384676 0.3050847457627119</t>
  </si>
  <si>
    <t>Cc1ccc2c(c1)OCCOCCOCCOCCOC1C=CC=CC1O2 7.8384466 0.2698412698412698</t>
  </si>
  <si>
    <t>Cc1cnc(CN2CCCC2C2CCCN2CC2=NCCC=C2)cc1C 7.8383803 0.4107142857142857</t>
  </si>
  <si>
    <t>Cc1cccnc1CN(C)C1CCC(N(C)CN)CC1 7.8383756 0.3541666666666667</t>
  </si>
  <si>
    <t>Cc1ccc2c(c1)OC1C=CC=CC1OCCOCCOCCOCCO2 7.838337 0.2698412698412698</t>
  </si>
  <si>
    <t>CN1CCN(C)CCN(CCCN(C)c2ccccc2F)CC1 7.838336 0.3617021276595745</t>
  </si>
  <si>
    <t>Cc1ccc2c(c1)OCCOCCOCCOC1C=CC=CC1OCCO2 7.8382764 0.3050847457627119</t>
  </si>
  <si>
    <t>Cc1cccnc1CN(C)C1CCCCC1N(C)C(C)C 7.838254 0.5</t>
  </si>
  <si>
    <t>CC(C)N(C)CN(C)C1CCCC(N(C)C)C1 7.838205 0.19148936170212766</t>
  </si>
  <si>
    <t>Cc1ccnc(CN(C)C2CCCCC2N(C)CCN(C)CCF)c1 7.8381944 0.4897959183673469</t>
  </si>
  <si>
    <t>CC(C)N(CCN(Cc1cccnn1)C1CCCCC1)CC1=CCC=CN1 7.8381906 0.390625</t>
  </si>
  <si>
    <t>CNCc1ncccc1CN1CCN(C)CCN(C)CC1 7.83811 0.5</t>
  </si>
  <si>
    <t>Cc1cncc(CN(C)C2CCCC(N(C)CCF)C2)c1 7.838022 0.2962962962962963</t>
  </si>
  <si>
    <t>Cc1ccc(CN(C)CCCN2CCN(C)CCN(C)CC2)cn1 7.837991 0.3469387755102041</t>
  </si>
  <si>
    <t>CC(NCc1cccc(CN2CCN(C)CCN(C)CC2)n1)C(C)C(=O)c1cccc2c1OCCOCCOCCOCCOCCO2 7.83798 0.38095238095238093</t>
  </si>
  <si>
    <t>CNCCN(C)C1C=CC=CN1 7.837968 0.23529411764705882</t>
  </si>
  <si>
    <t>Cc1cncc(CN2CCN(C)CCN(C(C)C)CC2)c1 7.837941 0.41304347826086957</t>
  </si>
  <si>
    <t>CNC1CCCCC1N(C)Cc1cc(C)ccn1 7.83794 0.5</t>
  </si>
  <si>
    <t>CNCN1CCN(C)CCN(Cc2cc(C)c(C)cn2)CC1 7.8379054 0.5</t>
  </si>
  <si>
    <t>CN1CCN(C)CCN(C2CCC(N(C)Cc3cccc(C4CC(C)(C)C4)n3)CC2)CC1 7.837892 0.3389830508474576</t>
  </si>
  <si>
    <t>Cc1cnccc1CN1CCN(C)CCN(C)CC1 7.837844 0.4634146341463415</t>
  </si>
  <si>
    <t>Cc1ccncc1CN(C)CCN1CCN(C)CCN(C)CC1 7.8377924 0.3469387755102041</t>
  </si>
  <si>
    <t>CC(C)N(C)C1CCC(N(Cc2ccccn2)C(C)C)CC1 7.8377905 0.5</t>
  </si>
  <si>
    <t>Cc1cccnc1CN1CCN(C)CCN(CNC(C)C)CC1 7.8377852 0.44680851063829785</t>
  </si>
  <si>
    <t>CNC1CCC(N(C)Cc2cccc(F)n2)CC1 7.8376594 0.4166666666666667</t>
  </si>
  <si>
    <t>COC(=O)C(=O)N1CCN(C)CCN(C(=O)C(C)N2CCN(C)CCN(C(C)C)CC2)CC1 7.8376346 0.22857142857142856</t>
  </si>
  <si>
    <t>Cc1cncc(CN(C)CCN2CCN(C)CCN(CC(C)(C)C)CC2)c1 7.8375206 0.3148148148148148</t>
  </si>
  <si>
    <t>CNCCN(C)C1CCCCC1N(C)Cc1ncccc1C 7.8374977 0.4791666666666667</t>
  </si>
  <si>
    <t>CN(Cc1ccccn1)C1CCC(N(C)c2ccc3c(c2)OCCOCCOCCOCCOCCO3)CC1 7.8374605 0.4444444444444444</t>
  </si>
  <si>
    <t>CNCN1CCN(C)CCN(Cc2ccc(-c3cccc4c3OCCOCCOCCOCCOCCO4)cn2)CC1 7.837394 0.38028169014084506</t>
  </si>
  <si>
    <t>Cc1cnc(CN(C)C2CCCC(N3CCN(C)CCN(C)CC3)C2)c(C)c1 7.83739 0.3103448275862069</t>
  </si>
  <si>
    <t>CN(CCN(C)Cc1ccccn1)Cc1ccc2c(c1)OCCOCCOCCOCCOCCO2 7.837377 0.45614035087719296</t>
  </si>
  <si>
    <t>CNCN1CCN(C)CCN(Cc2nccc(C)c2C)CC1 7.8373547 0.4791666666666667</t>
  </si>
  <si>
    <t>CCN(Cc1ccccn1)C1CCCC(N(C)CCN(C)C(C)C)C1 7.837316 0.46153846153846156</t>
  </si>
  <si>
    <t>Cc1cncc(CN2CCN(C)CCN(C)CC2)c1 7.837296 0.48717948717948717</t>
  </si>
  <si>
    <t>NC1COCCOCCOCCOC=COc2ccccc2O1 7.837137 0.16923076923076924</t>
  </si>
  <si>
    <t>CN1CCN(C)CCN(C(c2ccccn2)C2CC(C)(C)C2)CC1 7.8371205 0.3829787234042553</t>
  </si>
  <si>
    <t>CNC1CCCCC1N(C)Cc1ncccc1C 7.8370905 0.46808510638297873</t>
  </si>
  <si>
    <t>Cc1cnccc1CN(C)CCN1CCN(C)CCN(C)CC1 7.8369646 0.3469387755102041</t>
  </si>
  <si>
    <t>CN1CCN(C)CCN(Cc2ccnc(C(C)(C)N3CCN(C)CCN(C)CC3)c2)CC1 7.8369536 0.4772727272727273</t>
  </si>
  <si>
    <t>CN(Cc1ccc2c(c1)OCCOCCOCCOCCOCCO2)C1CCCCC1N(C)Cc1ncccc1-c1ccc2c(c1)OCCOCCOCCOCCOCCO2 7.8369513 0.38333333333333336</t>
  </si>
  <si>
    <t>CC(C)N(C)C1CCCC(N(Cc2ccccn2)C(C)C)C1 7.8368983 0.5</t>
  </si>
  <si>
    <t>CC(C)N1CCN(C)CCN(C2=CCC=CN2)CC1 7.8368354 0.26</t>
  </si>
  <si>
    <t>C#CCNCc1cccnn1 7.836785 0.43243243243243246</t>
  </si>
  <si>
    <t>CNCc1ccc(CN2CCN(C)CCN(C)CC2)cn1 7.836771 0.4418604651162791</t>
  </si>
  <si>
    <t>CN(CCN(C)C(C)(C)c1ccccn1)Cc1cccc2c1OCCOCCOCCOCCOCCO2 7.836758 0.3684210526315789</t>
  </si>
  <si>
    <t>CNCCN(Cc1ccccn1)C(C)(N)c1cccc2c1OCCOCCOCCOCCOCCO2 7.836699 0.3387096774193548</t>
  </si>
  <si>
    <t>CN(Cc1ccccn1)C1CCC(N(C)C2C=CC=CN2)CC1 7.836651 0.5</t>
  </si>
  <si>
    <t>CNCC1CCCN1C(C)C 7.8365417 0.22</t>
  </si>
  <si>
    <t>CC(N)C(C)N(C)C1CCCC(N(C(C)C)C(C)C)C1 7.8365273 0.17647058823529413</t>
  </si>
  <si>
    <t>Cc1ccc(CN(C2CCCCC2N(C)Cc2cccc(C)n2)C23C=CC=CC2OCCOCCOCCOC=COCCO3)nc1 7.8364663 0.44285714285714284</t>
  </si>
  <si>
    <t>CC1=C(C)C(C)(C)CCC1 7.836464 0.15384615384615385</t>
  </si>
  <si>
    <t>CC(C)N(C)C1CCC(N(C)Cc2ncccc2C(C)(C)N2CCN(C)CCN(C)CC2)CC1 7.836374 0.2833333333333333</t>
  </si>
  <si>
    <t>CN1CCN(C)CCN(C(c2ccccn2)C(C)(C)N)CC1 7.836371 0.4090909090909091</t>
  </si>
  <si>
    <t>CC(C)N(C)C1CCCCC1N(C(C)C)C(C)C 7.836353 0.30952380952380953</t>
  </si>
  <si>
    <t>CNC1CCCC(N(C)Cc2ccc(F)cn2)C1 7.836297 0.42</t>
  </si>
  <si>
    <t>CN(Cc1cccc(-c2ccc3c(c2)OCCOCCOCCOCCOCCO3)n1)C1CCCCC1N(CC1=CC2OCCOCCOCCOCCOC=COC2C=C1)Cc1ccccn1 7.8362465 0.37037037037037035</t>
  </si>
  <si>
    <t>CCN1CCN(Cc2cc(-c3ccc4c(c3)OCCOCCOCCOCCOCCO4)ccn2)CCN(C(C)C)CC1 7.836221 0.44642857142857145</t>
  </si>
  <si>
    <t>Cc1cccc(CN(C)C2CC(CN3CCN(C)CCN(C)CC3)N(C)C2)n1 7.8361673 0.5</t>
  </si>
  <si>
    <t>Cc1ccc(CN2CCN(C)CCN(C)CC2)c(N)c1 7.836158 0.5</t>
  </si>
  <si>
    <t>Cc1cncc(CN(C)CCN2CCN(C)CCN(C)CC2)c1 7.836116 0.3617021276595745</t>
  </si>
  <si>
    <t>COC(=O)C(=O)N1CCN(C)CCN(C(=O)C(C)N2CCN(C)CCN(C(=O)C(C)C(C)N)CC2)CC1 7.836059 0.20512820512820512</t>
  </si>
  <si>
    <t>CNc1ccc2c(c1)OCCOCCOCCOCCOC(C)CO2 7.8360324 0.3114754098360656</t>
  </si>
  <si>
    <t>Cc1cncc(CN(C)C2CCCC(N(C)C(C)C)C2)c1 7.836026 0.2962962962962963</t>
  </si>
  <si>
    <t>CNCN1CCN(C)CCN(Cc2cc(C)cnc2C)CC1 7.8360205 0.425531914893617</t>
  </si>
  <si>
    <t>CN1CCN(C)CCN(CCC2=CC(N(C)Cc3ccccn3)C=CN2)CC1 7.836015 0.48214285714285715</t>
  </si>
  <si>
    <t>CC(C)c1cccc(CN2CCN(C)CCN(C)CC2)c1 7.8360095 0.42857142857142855</t>
  </si>
  <si>
    <t>CNC1CCC(N(C)Cc2cc(C)ccn2)CC1 7.8359146 0.3673469387755102</t>
  </si>
  <si>
    <t>CC(C)N(CCN1CCN(C)CCN(CC(C)(C)C)CC1)C(C)C 7.8358994 0.27586206896551724</t>
  </si>
  <si>
    <t>CNCN1CCN(C)CCN(Cc2cnc(C)c(C)c2)CC1 7.8357882 0.40425531914893614</t>
  </si>
  <si>
    <t>CN(Cc1cccc(C2CC3OCCOCCOCCOCCOCCOC32)n1)Cc1cccc(C2CCC2(C)C)n1 7.83571 0.30158730158730157</t>
  </si>
  <si>
    <t>Cc1cccnc1CN(C)C1CCCC(N(C)C2CCCC(N(Cc3cccnc3)C(C)C)C2)C1 7.8356633 0.28125</t>
  </si>
  <si>
    <t>c1ccc(C2CCCN2)nc1 7.8356366 0.3333333333333333</t>
  </si>
  <si>
    <t>CC(N)C(C)c1ccccc1 7.835566 0.3181818181818182</t>
  </si>
  <si>
    <t>Cc1cccnc1CN(C)CCN1CCN(C)CCN(C)CC1 7.8355117 0.4222222222222222</t>
  </si>
  <si>
    <t>CCN(Cc1ccccn1)C1CCC(N(C)CC(C)(C)C)CC1 7.835475 0.5</t>
  </si>
  <si>
    <t>Cc1cccnc1CN(C)C1CCC(N(C)C2CCCCC2N(C)Cc2ncccc2C)CC1 7.835471 0.48936170212765956</t>
  </si>
  <si>
    <t>Cc1cccnc1CN(C)C1CCCC(N(C)C(C)N)C1 7.8354483 0.3333333333333333</t>
  </si>
  <si>
    <t>CNCN1CCN(C)CCN(Cc2ccc(C)nc2C)CC1 7.8353877 0.4772727272727273</t>
  </si>
  <si>
    <t>Cc1ccc(CN2CCN(C)CCN(C)CC2)cn1 7.835378 0.48717948717948717</t>
  </si>
  <si>
    <t>CN1CCN(C)CCN(CCCN(C)Cc2cnccc2-c2cccc3c2OCCOCCOCCOCCOCCO3)CC1 7.8353634 0.25757575757575757</t>
  </si>
  <si>
    <t>CNc1ccc2c(c1)OC(C)COCCOCCOCCOCCO2 7.835291 0.27419354838709675</t>
  </si>
  <si>
    <t>CNc1ccc2c(c1)OCCOCCOCCOCCOCC(C)O2 7.8352776 0.27419354838709675</t>
  </si>
  <si>
    <t>CN1CCN(C)CCN(Cc2cccnc2C2CCC2(C)C)CC1 7.8352604 0.44680851063829785</t>
  </si>
  <si>
    <t>CN(Cc1ccc2c(c1)OCCOCCOCCOCCOCCO2)C1CCC(N(C)Cc2cc(-c3ccc4c(c3)OCCOCCOCCOCCOCCO4)ccn2)CC1 7.835219 0.4153846153846154</t>
  </si>
  <si>
    <t>CN1CCN(C)CCN(CCN(C)c2cccc(F)c2)CC1 7.835183 0.391304347826087</t>
  </si>
  <si>
    <t>Cc1cnc(CN2CCN(C)CCN(CN(C)C(C)C)CC2)cc1C 7.835182 0.4583333333333333</t>
  </si>
  <si>
    <t>CC1CC=C(N(C)C2CCCC(N(C)Cc3ccccn3)C2)C(C)C1(C)C 7.8351555 0.46296296296296297</t>
  </si>
  <si>
    <t>CNc1ccc2c(c1)OCCOCCOCC(C)OCCOCCO2 7.8351245 0.3114754098360656</t>
  </si>
  <si>
    <t>CNC1CCC(N(C)Cc2ncccc2C)CC1 7.835084 0.34</t>
  </si>
  <si>
    <t>CCC(C)C1CCC1c1cccc(CN(Cc2ccccn2)C2CCCCC2)n1 7.8350782 0.4107142857142857</t>
  </si>
  <si>
    <t>C1=COC(N(Cc2ccccn2)Cc2cccc(-c3ccc4c(c3)OCCOCCOCCOCCOCCO4)n2)COCCOCCOCCOCCO1 7.8350725 0.38028169014084506</t>
  </si>
  <si>
    <t>CN1CCN(C)CCN(CCCN(C)Cc2ncccc2-c2cccc3c2OCCOCCOCCOCCOCCO3)CC1 7.835028 0.3064516129032258</t>
  </si>
  <si>
    <t>CC(N)C(C)N1CCN(C)CCN(Cc2ncccc2C(C)(C)C)CC1 7.834971 0.4117647058823529</t>
  </si>
  <si>
    <t>CC(C)N(C)CN 7.8349495 0.20588235294117646</t>
  </si>
  <si>
    <t>C1=CC2OCCOCCOCCOCCOC=COC2(N(Cc2ccccn2)Cc2ccccn2)C=C1 7.8349233 0.328125</t>
  </si>
  <si>
    <t>Cc1cccnc1CN(C)C1CCC(N(C)C(C)C)CC1 7.8348966 0.34</t>
  </si>
  <si>
    <t>CC1CNCCN(C)CCN1CCCN(C)Cc1ccon1 7.834879 0.46938775510204084</t>
  </si>
  <si>
    <t>CNCN1CCN(C)CCN(Cc2ncc(C)cc2C)CC1 7.834809 0.4791666666666667</t>
  </si>
  <si>
    <t>Cc1ccccc1N(C)CCCN1CCN(C)CCN(C)CC1 7.8347445 0.35555555555555557</t>
  </si>
  <si>
    <t>CN(Cc1ccc2c(c1)OCCOCCOCCOCCOCCO2)Cc1ccccn1 7.8347344 0.44</t>
  </si>
  <si>
    <t>CNC1COCCOCCOCCOC=COc2ccccc2O1 7.8345995 0.16666666666666666</t>
  </si>
  <si>
    <t>CN(C)Cc1ccccc1CN1CCN(C)CCN(C)CC1 7.834523 0.46153846153846156</t>
  </si>
  <si>
    <t>CN(CCF)CCN(C)C1CCCCC1N(C)Cc1cccc(-c2ccc3c(c2)OCCOCCOCCOCCOCCO3)n1 7.8344874 0.4126984126984127</t>
  </si>
  <si>
    <t>NCCN(Cc1ccccn1)c1ccc2c(c1)OCCOCCOCCOCCOCCO2 7.8344774 0.3617021276595745</t>
  </si>
  <si>
    <t>CN(c1ccc2c(c1)OCCOCCOCCOCCOCCO2)C1CCCCC1N(CC1=CCC=CN1)Cc1ccccn1 7.8344326 0.45588235294117646</t>
  </si>
  <si>
    <t>Cc1ccnc(CN(C)C2CCCC(N(C)C(C)C)C2)c1 7.834395 0.37254901960784315</t>
  </si>
  <si>
    <t>CC(N)C(C)C(C)c1cccnc1 7.834351 0.23255813953488372</t>
  </si>
  <si>
    <t>Cc1cccnc1CN(C)C1CCCCC1N(C)CCN(C)C(C)(C)C 7.8343434 0.46938775510204084</t>
  </si>
  <si>
    <t>Cc1ccnc(CN(C)C2CCCCC2N(C)C2C=CC=CN2)c1 7.834298 0.4528301886792453</t>
  </si>
  <si>
    <t>Cc1cnc(CN(C)C2CCCC(N(C)CN3CCN(C)CCN(C(C)C)CC3)C2)c(C)c1C 7.83424 0.3492063492063492</t>
  </si>
  <si>
    <t>Cc1cnc(CN(C)C2CCC(N3CCN(C)CCN(C)CC3)CC2)c(C)c1C 7.834239 0.36363636363636365</t>
  </si>
  <si>
    <t>CN(CCN(C)C1(C)CCC1)Cc1ccccn1 7.834191 0.4666666666666667</t>
  </si>
  <si>
    <t>CNCCN(Cc1ccccn1)C1(C)CCC1 7.8341393 0.45</t>
  </si>
  <si>
    <t>CCN1CCN(C)CCN(Cc2cc(C)cnc2C)CC1 7.8341265 0.45454545454545453</t>
  </si>
  <si>
    <t>CN1CCN=CC2=CC=CC(CN(C)CC1)N2C 7.834019 0.24444444444444444</t>
  </si>
  <si>
    <t>CNC1CCCCC1N(C)Cc1ncccc1Cl 7.8340173 0.4583333333333333</t>
  </si>
  <si>
    <t>Cc1cccnc1CN(C)C1CCCC(N(C)C(C)C)C1 7.8339977 0.34615384615384615</t>
  </si>
  <si>
    <t>Cc1cccc2c1OCC(C)OCCOCCOCCOC(N)CO2 7.833975 0.18571428571428572</t>
  </si>
  <si>
    <t>CN(CCF)C1CCCCC1N(C)Cc1cccc(-c2ccc3c(c2)OCCOCCOCCOCCOCCO3)n1 7.833951 0.4406779661016949</t>
  </si>
  <si>
    <t>Cc1cc(N)cc(CN2CCN(C)CCN(C)CC2)c1 7.833933 0.48717948717948717</t>
  </si>
  <si>
    <t>C1=CNC(N(Cc2ccc3c(c2)OCCOCCOCCOCCOCCO3)Cc2ccccn2)C=C1 7.8339105 0.4262295081967213</t>
  </si>
  <si>
    <t>CC1C=CCC(C)(c2ncccc2CN2CCN(C)CCN(C)CC2)C1C 7.8338666 0.40384615384615385</t>
  </si>
  <si>
    <t>CCNC1CCCC(N(C)Cc2cc(C)ccn2)C1 7.83386 0.3584905660377358</t>
  </si>
  <si>
    <t>CN1CCN(C)CCN(Cc2ccc(Cl)c(N)c2)CC1 7.833827 0.4186046511627907</t>
  </si>
  <si>
    <t>CN1CCN(C)CCN(CCN(C)c2ccccc2F)CC1 7.833825 0.37777777777777777</t>
  </si>
  <si>
    <t>CN1CCNC(C)(C)CN(C)CC1 7.8338246 0.38095238095238093</t>
  </si>
  <si>
    <t>CN(CCF)C1CCCCC1N(C)Cc1ncccc1-c1ccc2c(c1)OCCOCCOCCOCCOCCO2 7.833808 0.3709677419354839</t>
  </si>
  <si>
    <t>CC(C)N(C)C1CCCCC1N(C)Cc1ccc2c(n1)CCC2 7.8337655 0.46938775510204084</t>
  </si>
  <si>
    <t>CN1CCN(C)CCN(Cc2ccc(C3CCC3(C)C)nc2)CC1 7.833749 0.3673469387755102</t>
  </si>
  <si>
    <t>CCN(C)C1CCCC(N(C)Cc2ncccc2C)C1 7.8336983 0.3673469387755102</t>
  </si>
  <si>
    <t>CN(Cc1cccc(C2=CCC=CN2)n1)C1CCC(N(C)Cc2cccc(C3CC4OCCOCCOCCOCCOCCOC43)n2)CC1 7.8336883 0.28169014084507044</t>
  </si>
  <si>
    <t>CNC1CCCC(N(C)Cc2cc(C)ccn2)C1 7.8336663 0.37254901960784315</t>
  </si>
  <si>
    <t>COC(=O)C(=O)C(C)C(C)N1CCN(C)CCN(C(C)C)CC1 7.8336625 0.25806451612903225</t>
  </si>
  <si>
    <t>CN1CC=NCCN(C)CC2C=CC=C(C1)N2C 7.8336167 0.22</t>
  </si>
  <si>
    <t>C1=C(C2CC3OCCOCCOCCOCCOCCOC32)NC(N(Cc2cccnc2)Cc2ccccn2)=CC1 7.8335958 0.28378378378378377</t>
  </si>
  <si>
    <t>COC(=O)N1CCN(C)CCN(C(C)C)CC1 7.83359 0.2962962962962963</t>
  </si>
  <si>
    <t>Cc1ccc(CN(C)C2CCC(N(Cc3ccc(C)cn3)C3COCCOCCOC4C=CC=CC4OC=COCCO3)CC2)nc1 7.833417 0.373134328358209</t>
  </si>
  <si>
    <t>CC(N)C(C)(c1cccnc1)C(C)N(Cc1ccccn1)C1CCCCC1 7.833409 0.39655172413793105</t>
  </si>
  <si>
    <t>CC(C)C(C)NCc1ncccc1CN1CCN(C)CCN(C)CC1 7.8334 0.44680851063829785</t>
  </si>
  <si>
    <t>CN(CCNCc1ccccn1)c1cccc2c1OCCOCCOCCOCCOCCO2 7.833368 0.42857142857142855</t>
  </si>
  <si>
    <t>CNCc1ncccc1CN(C)C1CCC(N(C)C(C)C)CC1 7.833281 0.3090909090909091</t>
  </si>
  <si>
    <t>CC(N)C(C)N(C)Cc1ccc(CN2CCN(C)CCN(C)CC2)cn1 7.833276 0.37254901960784315</t>
  </si>
  <si>
    <t>C1=C(C2CC3OCCOCCOCCOCCOCCOC32)NC(N(Cc2ccccn2)Cc2ccccn2)=CC1 7.8332653 0.328125</t>
  </si>
  <si>
    <t>CN(C)C1CCCC(N(Cc2ccccn2)CC(C)(C)C)C1 7.833225 0.5</t>
  </si>
  <si>
    <t>CN(CCN(Cc1ccccn1)c1cccc2c1OCCOCCOCCOCCOCCO2)c1cccc2c1OCCOCCOCCOCCOCCO2 7.833195 0.38181818181818183</t>
  </si>
  <si>
    <t>Cc1cnc(CN(C)C2CCCC(N3CCN(C)CCN(C)CC3)C2)c(C)c1C 7.8331437 0.3448275862068966</t>
  </si>
  <si>
    <t>CC(C1=CCC=CN1)N(C)c1ccc2c(c1)OCCOCCOCCOCCOCCO2 7.8331184 0.24285714285714285</t>
  </si>
  <si>
    <t>CN1CCN(C)CCN(Cc2cc(N)ccc2Cl)CC1 7.833079 0.4186046511627907</t>
  </si>
  <si>
    <t>CN1CCN(C)CCN(Cc2ccnc(C3CCC3(C)C)c2)CC1 7.833066 0.42857142857142855</t>
  </si>
  <si>
    <t>CN(Cc1cccc(-c2ccc3c(c2)OCCOCCOCCOCCOCCO3)n1)Cc1cccc(C2CC3OCCOCCOCCOCCOCCOC32)n1 7.833046 0.3230769230769231</t>
  </si>
  <si>
    <t>CN1CCN(C)CCN(Cc2ccc(Cl)nc2)CC1 7.8330283 0.5</t>
  </si>
  <si>
    <t>CN(CCNCc1ccccn1)c1ccc2c(c1)OCCOCCOCCOCCOCCO2 7.8329782 0.4375</t>
  </si>
  <si>
    <t>CC1C=CC(C)C(C)(NCc2ccccn2)C1C 7.832926 0.4146341463414634</t>
  </si>
  <si>
    <t>CC(C)N(Cc1ccccn1)Cc1cccc(CN(Cc2ccccn2)C(C)(N)C23CCC2OCCOCCOCCOCCOCCO3)n1 7.832868 0.3870967741935484</t>
  </si>
  <si>
    <t>Cc1cc(CN(C)C2CCC(N3CCN(C)CCN(C)CC3)CC2)nc(C)c1C 7.8328576 0.2909090909090909</t>
  </si>
  <si>
    <t>CNC1CCCCC1NCc1cc(C)c(C)cn1 7.832792 0.32653061224489793</t>
  </si>
  <si>
    <t>CN1CC=NCC2=CC=CC(CN(C)CC1)N2C 7.832792 0.21739130434782608</t>
  </si>
  <si>
    <t>CN(C)C1CCCCC1N(Cc1cccc(-c2ccc3c(c2)OCCOCCOCCOCCOCCO3)n1)C1(C)CCC1 7.8327713 0.35384615384615387</t>
  </si>
  <si>
    <t>CC(C)C(C)NCc1cc(CN2CCN(C)CCN(C)CC2)ccn1 7.8327518 0.5</t>
  </si>
  <si>
    <t>CNC1CCCC(N(C)Cc2ncccc2C)C1 7.832731 0.34615384615384615</t>
  </si>
  <si>
    <t>CN1CCN(C)CCN(Cc2ccc(Cl)cc2N)CC1 7.832603 0.4186046511627907</t>
  </si>
  <si>
    <t>C1=CCNC(N(Cc2cccnn2)C2CCCCC2)=C1 7.832553 0.3673469387755102</t>
  </si>
  <si>
    <t>CC1CC(c2cc(CN3CCN(C)CCN(C)CC3)ccn2)C1C 7.832525 0.4375</t>
  </si>
  <si>
    <t>CN(Cc1cccnn1)C1CCCC(N(C)CC(C)(C)C)C1 7.832491 0.45454545454545453</t>
  </si>
  <si>
    <t>CC1CC(c2ccc(CN3CCN(C)CCN(C)CC3)cn2)C1C 7.832479 0.375</t>
  </si>
  <si>
    <t>CCNCC1CC(C)C1CN(Cc1ccccn1)C1CCC(N(C)Cc2ncccc2C)CC1 7.832463 0.3484848484848485</t>
  </si>
  <si>
    <t>CN(Cc1ccccn1)C1CCC(N2CCCC2C2CCCN2Cc2cccc(-c3ccc4c(c3)OCCOCCOCCOCCOCCO4)n2)CC1 7.8324523 0.4805194805194805</t>
  </si>
  <si>
    <t>CC(C)C1CCC1C 7.832449 0.13333333333333333</t>
  </si>
  <si>
    <t>CNCCN(C)C1CCCCC1N(C)Cc1cccc(-c2ccc3c(c2)OCCOCCOCCOCCOCCO3)n1 7.832446 0.4262295081967213</t>
  </si>
  <si>
    <t>CC1C=CC(C)(C)C(C)(N(C)Cc2ccc(CN3CCN(C)CCN(C)CC3)cn2)C1 7.832404 0.3389830508474576</t>
  </si>
  <si>
    <t>CC(C)N(C)CCN(C)C1C=CC=CN1 7.8323703 0.23076923076923078</t>
  </si>
  <si>
    <t>CC(C)C(C)NCc1ccc(CN2CCN(C)CCN(C)CC2)cn1 7.832348 0.3958333333333333</t>
  </si>
  <si>
    <t>Cc1cc(CN2CCN(C)CCN(CF)CC2)nc(C)c1N 7.8323407 0.5</t>
  </si>
  <si>
    <t>Cc1ccc(CN(C2CCC(N(C)Cc3cccc(C)n3)CC2)C2COCCOC3C=CC=CC3OCCOCCOC=CO2)nc1 7.832306 0.33783783783783783</t>
  </si>
  <si>
    <t>COC(C)NCc1ncccc1CN1CCN(C)CCN(C)CC1 7.832243 0.42857142857142855</t>
  </si>
  <si>
    <t>CC1CC(N)C=CC12C=CC=CN2 7.832233 0.125</t>
  </si>
  <si>
    <t>CN(CCF)C1CCC(N(C)Cc2cccc(-c3ccc4c(c3)OCCOCCOCCOCCOCCO4)n2)CC1 7.832232 0.352112676056338</t>
  </si>
  <si>
    <t>CC1C=CC(C)(C)CC1C 7.8320904 0.125</t>
  </si>
  <si>
    <t>CN(CCN(Cc1ccccn1)c1cccc2c1OCCOCCOCCOCCOCCO2)C1CCC(N(C)Cc2ccccn2)CC1 7.832068 0.4067796610169492</t>
  </si>
  <si>
    <t>COC(C)NCc1ccc(CN2CCN(C)CCN(C)CC2)cn1 7.8320656 0.38</t>
  </si>
  <si>
    <t>CNCCN(Cc1ccccn1)c1cccc2c1OCCOCCOCCOCCOCCO2 7.8320193 0.36363636363636365</t>
  </si>
  <si>
    <t>CC(C)N(C)CN1CCN(C)CCN(C(c2ccccc2)c2ccccn2)CC1 7.8319993 0.40384615384615385</t>
  </si>
  <si>
    <t>CN(CCF)C1CCC(N(C)Cc2cc(-c3ccc4c(c3)OCCOCCOCCOCCOCCO4)ccn2)CC1 7.831979 0.40298507462686567</t>
  </si>
  <si>
    <t>CN1CCN(C)CCN(C(C)(C)c2cccnc2)CC1 7.831956 0.3333333333333333</t>
  </si>
  <si>
    <t>FCNCc1ncccc1CN(Cc1ccccn1)C1CCCCC1 7.8319454 0.4074074074074074</t>
  </si>
  <si>
    <t>CC(C)N(C)C1CCCCC1N(C)Cc1ccc(-c2cccc3c2OCCOCCOCCOCCOCCO3)cn1 7.8319297 0.4262295081967213</t>
  </si>
  <si>
    <t>CN1CCN(Cc2ccc(N)cn2)CCN(C(C)(C)C)CC1 7.831873 0.4772727272727273</t>
  </si>
  <si>
    <t>CCNC1C=CC=CN1 7.831858 0.2391304347826087</t>
  </si>
  <si>
    <t>CC(C)N(C)Cc1cccnc1CN1CCN(C)CCN(C)CC1 7.831858 0.45652173913043476</t>
  </si>
  <si>
    <t>CC(C)N1CCN(C)CCN(Cc2cncc(-c3ccc4c(c3)OCCOCCOCCOCCOCCO4)c2)CC1 7.8318276 0.39705882352941174</t>
  </si>
  <si>
    <t>CC(C)N(C)Cc1ccncc1CN1CCN(C)CCN(C)CC1 7.831815 0.375</t>
  </si>
  <si>
    <t>CC1C=CC(C)C(C)(NCc2ccccn2)C1(C)C 7.8317747 0.4358974358974359</t>
  </si>
  <si>
    <t>CC(C)N(C)C1=CNC(CN(C)Cc2cccc3c2OCCOCCOCCOCCOCCO3)=CC1 7.831766 0.25</t>
  </si>
  <si>
    <t>FCNCc1cccc(CN(Cc2ccccn2)C2CCCCC2)n1 7.8317256 0.43137254901960786</t>
  </si>
  <si>
    <t>CN1CCN(C)CCN(Cc2cccnc2-c2cccc3c2OCCOCCOCCOCCOCCO3)CC1 7.83166 0.3888888888888889</t>
  </si>
  <si>
    <t>c1ccc(CN(Cc2ccccn2)Cc2cccc(C3CC4OCCOCCOCCOCCOCCOC43)n2)nc1 7.831632 0.4444444444444444</t>
  </si>
  <si>
    <t>Cc1cnc(N(C)C2CCCC(N(C)CCN3CCN(C)CCN(C)CC3)C2)c(C)c1 7.83163 0.3103448275862069</t>
  </si>
  <si>
    <t>CC1C(N)CC1CN(C)Cc1ccccn1 7.8316245 0.4807692307692308</t>
  </si>
  <si>
    <t>Cc1cccnc1CN(C)C1CCCCC1N(C)Cc1cccnc1CN1CCN(C)CCN(C)CC1 7.831606 0.41818181818181815</t>
  </si>
  <si>
    <t>CN(Cc1ccc(Cl)cn1)C1CCCCC1N(C)C1C=CC=CN1 7.83157 0.5</t>
  </si>
  <si>
    <t>CC(C)N(C)Cc1ncccc1CN1CCN(C)CCN(C)CC1 7.831542 0.45652173913043476</t>
  </si>
  <si>
    <t>CN1CCN(C)CCN(Cc2cnccc2-c2cccc3c2OCCOCCOCCOCCOCCO3)CC1 7.831517 0.3392857142857143</t>
  </si>
  <si>
    <t>CC(C)N(C)C1CCCCC1N(C)Cc1cccc(-c2ccc3c(c2)OCCOCCOCCOCCOCCO3)n1 7.831496 0.4406779661016949</t>
  </si>
  <si>
    <t>CN1CCN(C)CCN(Cc2cncc(-c3cccc4c3OCCOCCOCCOCCOCCO4)c2)CC1 7.831454 0.3275862068965517</t>
  </si>
  <si>
    <t>CCCN(Cc1ccccn1)c1cccc2c1OCCOCCOCCOCCOCCO2 7.831407 0.3584905660377358</t>
  </si>
  <si>
    <t>CC(C)C(C)N(C)Cc1cc(CN2CCN(C)CCN(C)CC2)ccn1 7.831354 0.48936170212765956</t>
  </si>
  <si>
    <t>CC(C)N(C)Cc1cncc(CN2CCN(C)CCN(C)CC2)c1 7.8313465 0.3541666666666667</t>
  </si>
  <si>
    <t>FCNC1=CCC=CN1 7.8313236 0.2826086956521739</t>
  </si>
  <si>
    <t>CN1CCN(C)CCN(CC2=C(N(C)C3C=CC=CN3)CC=CN2)CC1 7.831264 0.4</t>
  </si>
  <si>
    <t>C1=CC(N(Cc2cccnn2)C2CCCCC2)=CCN1 7.8312263 0.36</t>
  </si>
  <si>
    <t>CN1CCN(Cc2cncc(C3=CC4OCCOC=COCCOCCOCCOC4C=C3)c2)CCN(Cc2cc(-c3ccc4c(c3)OCCOCCOCCOCCOCCO4)ccn2)CC1 7.8311596 0.3488372093023256</t>
  </si>
  <si>
    <t>CC(C)N1CCN(C)CCN(Cc2cc(-c3ccc4c(c3)OCCOCCOCCOCCOCCO4)ccn2)CC1 7.831154 0.45454545454545453</t>
  </si>
  <si>
    <t>CC(C)N(C)C1CCCCC1N(C)Cc1cc(-c2ccc3c(c2)OCCOCCOCCOCCOCCO3)ccn1 7.831141 0.41379310344827586</t>
  </si>
  <si>
    <t>CN1CCN(C)CCN(C2CCC(N(C)c3ccc(Cl)c(Cl)c3)CC2)CC1 7.8311095 0.25</t>
  </si>
  <si>
    <t>Cc1cccc(N(C)C2CCCC(N(C)C(C)C)C2)c1 7.8310876 0.24528301886792453</t>
  </si>
  <si>
    <t>CC(N)C(C)N(C)CCN(C)C(C)C 7.831056 0.1794871794871795</t>
  </si>
  <si>
    <t>CC(C)N(C)CCN(Cc1ccccn1)C1(C)CCC1 7.831045 0.4888888888888889</t>
  </si>
  <si>
    <t>CC(C)NCNCc1ncccc1CN1CCN(C)CCN(C)CC1 7.831023 0.42857142857142855</t>
  </si>
  <si>
    <t>CN1CCN(C)CCN(Cc2ncccc2-c2cccc3c2OCCOCCOCCOCCOCCO3)CC1 7.8310013 0.40384615384615385</t>
  </si>
  <si>
    <t>CCNC1=CC=CCN1 7.8309956 0.19607843137254902</t>
  </si>
  <si>
    <t>CC(C)N(C)C1CCC(N(C)Cc2ncccc2-c2cccc3c2OCCOCCOCCOCCOCCO3)CC1 7.830981 0.26153846153846155</t>
  </si>
  <si>
    <t>Cc1cc(CN(CCN(C)CCF)C2CCCCC2)nc(C)c1C 7.8309584 0.2830188679245283</t>
  </si>
  <si>
    <t>CC1C=CCC(C)(C)C1 7.8309493 0.125</t>
  </si>
  <si>
    <t>CN1CCN(C)CCN(Cc2cccc(-c3cccc4c3OCCOCCOCCOCCOCCO4)n2)CC1 7.8309216 0.48</t>
  </si>
  <si>
    <t>CC(C)N1CCN(C)CCN(C(C)c2ccncc2C2CCC2(C)C)CC1 7.830903 0.2711864406779661</t>
  </si>
  <si>
    <t>CNC1CCCCC1N(C(C)C)C(C)C 7.830889 0.2127659574468085</t>
  </si>
  <si>
    <t>CN1CCN(C)CCN(CC2=CCC(N(C)C3C=CC=CN3)=CN2)CC1 7.8308654 0.43636363636363634</t>
  </si>
  <si>
    <t>Cc1cccnc1CN1CCN(C)CCN(C(C)(C)c2cccnc2CN2CCN(C(C)C)CCN(C(C)C)CC2)CC1 7.8308187 0.43636363636363634</t>
  </si>
  <si>
    <t>CCCN(Cc1ccccn1)c1ccc2c(c1)OCCOCCOCCOCCOCCO2 7.830803 0.36538461538461536</t>
  </si>
  <si>
    <t>CCNCc1ncccc1CN(Cc1ccccn1)C1CCCCC1N(C)C(C)C 7.830728 0.45614035087719296</t>
  </si>
  <si>
    <t>Cc1cccnc1CN(C)C1CCCC(N(C)CCN(C)C(C)(C)C)C1 7.8306904 0.32727272727272727</t>
  </si>
  <si>
    <t>CCNCC1=CC(C)CC2(C=CC(C)C(C)(C)C2)C1C 7.8306646 0.1232876712328767</t>
  </si>
  <si>
    <t>COC(=O)C(=O)C(C)C(C)N1CCN(C)CCN(C(=O)C(C)C(C)C(C)C)CC1 7.8306127 0.21052631578947367</t>
  </si>
  <si>
    <t>CN1CCN(C)CCN(Cc2cccnc2CN(C)C(C)(C)C)CC1 7.8305917 0.45652173913043476</t>
  </si>
  <si>
    <t>CC(C)N(C)C1=CNC(CN2CCN(C)CCN(C)CC2)=CC1 7.8305616 0.42</t>
  </si>
  <si>
    <t>CN1CCN(C)CCN(Cc2ccc(-c3cccc4c3OCCOCCOCCOCCOCCO4)nc2)CC1 7.830558 0.3392857142857143</t>
  </si>
  <si>
    <t>CC1=CC(C)C(C)C(C)C1 7.830544 0.15384615384615385</t>
  </si>
  <si>
    <t>Cc1ccnc(CN(C)C2CCC(N(C)Cc3cccc(CN(C)C4CCC(N(C)C(C)C)CC4)n3)CC2)c1 7.830538 0.39622641509433965</t>
  </si>
  <si>
    <t>CC(C)N 7.8305125 0.1</t>
  </si>
  <si>
    <t>CC(C)N(C)Cc1ccc(CN2CCN(C)CCN(C)CC2)nc1 7.8305006 0.4666666666666667</t>
  </si>
  <si>
    <t>CN1CCN(C)CCN(Cc2cncc(-c3ccc4c(c3)OCCOCCOCCOCCOCCO4)c2)CC1 7.8304524 0.4426229508196721</t>
  </si>
  <si>
    <t>Cc1cccnc1CN(C)C1CCC(N(C)CCN(Cc2ccccn2)C2(C)CCC2)CC1 7.8304477 0.42105263157894735</t>
  </si>
  <si>
    <t>Cc1ccc(C)c(CN(C(C)C)C2CCCC(N3CCN(C)CCN(C)CC3)C2)n1 7.8304434 0.288135593220339</t>
  </si>
  <si>
    <t>CNCC1CC(N(C)Cc2ccccn2)CCC1N(Cc1ccccn1)C1(C)CCC1 7.83043 0.4642857142857143</t>
  </si>
  <si>
    <t>CN1CCN(C)CCN(Cc2ccc(-c3cccc4c3OCCOCCOCCOCCOCCO4)cn2)CC1 7.830425 0.421875</t>
  </si>
  <si>
    <t>CC1=CCCC(N(C)CC2=CCC=CN2)C1C 7.8303847 0.35185185185185186</t>
  </si>
  <si>
    <t>CC1=CCC(CN(C)Cc2ccccn2)C(C)C1C 7.8302965 0.45454545454545453</t>
  </si>
  <si>
    <t>Cc1cnc(CN(C)CCCN2CCN(C)CCN(C)CC2)cc1C 7.8302913 0.4090909090909091</t>
  </si>
  <si>
    <t>CN1CCN(C)CCN(Cc2cccnc2-c2ccc3c(c2)OCCOCCOCCOCCOCCO3)CC1 7.8302674 0.40625</t>
  </si>
  <si>
    <t>CN(CCF)CCN(C)CCF 7.830263 0.27586206896551724</t>
  </si>
  <si>
    <t>Cc1cc(CCN2CCN(C)CCN(C)CC2)cnc1C 7.8302436 0.38636363636363635</t>
  </si>
  <si>
    <t>CC(N)C(C)(C)N(C)CCN(C)CC(C)(C)C 7.830217 0.2</t>
  </si>
  <si>
    <t>CN1CCN(C)CCN(Cc2cnccc2CN(C)C(C)(C)C)CC1 7.83019 0.375</t>
  </si>
  <si>
    <t>CC(C)N1CCN(C)CCN(c2ccccc2F)CC1 7.8301687 0.358974358974359</t>
  </si>
  <si>
    <t>CN1CCN(C)CCN(CCCN(C)C(c2ccccc2)c2ccccn2)CC1 7.830029 0.46153846153846156</t>
  </si>
  <si>
    <t>CC1C=CC(C)(C)C(C)(NCc2ccccn2)C1C 7.830025 0.40476190476190477</t>
  </si>
  <si>
    <t>CCNCc1cccc(CN(Cc2ccccn2)C2CCCCC2N(C)C(C)C)n1 7.8300204 0.48148148148148145</t>
  </si>
  <si>
    <t>CN1CCN(C)CCN(Cc2cnccc2-c2ccc3c(c2)OCCOCCOCCOCCOCCO3)CC1 7.8300157 0.40625</t>
  </si>
  <si>
    <t>CC(c1cccnc1C1C=CNC=C1)C(C)N1CCN(C)CCN(C(C)C)CC1 7.829984 0.35714285714285715</t>
  </si>
  <si>
    <t>Cc1c(N)cncc1CN1CCN(C)CCN(C)CC1 7.829947 0.41304347826086957</t>
  </si>
  <si>
    <t>CC1C=CC(C)(C)C(C)C1(C)NCc1ccccn1 7.8299437 0.40476190476190477</t>
  </si>
  <si>
    <t>CC(C)N(C)Cc1ccc(CN2CCN(C)CCN(C)CC2)cn1 7.8299384 0.40425531914893614</t>
  </si>
  <si>
    <t>Cc1ccnc(CN(C)CCCN2CCN(C)CCN(C)CC2)c1C 7.8299327 0.3877551020408163</t>
  </si>
  <si>
    <t>CNC1CCCC(N(C)Cc2ncccc2Cl)C1 7.829914 0.33962264150943394</t>
  </si>
  <si>
    <t>CC(C)N(C)C1CCCC(N(C(C)C)C(C)C)C1 7.829895 0.1956521739130435</t>
  </si>
  <si>
    <t>CN1CCN(C)CCN(Cc2cccc(-c3ccc4c(c3)OCCOCCOCCOCCOCCO4)n2)CC1 7.829892 0.48</t>
  </si>
  <si>
    <t>Cc1cncc(CN2CCN(C)CCN(C(C)C)CC2)c1C 7.829891 0.4</t>
  </si>
  <si>
    <t>CN(CCN(Cc1ccccn1)C(C)(N)N(Cc1ccccn1)Cc1cccc2c1OCCOCCOCCOCCOCCO2)c1cccc2c1OCCOCCOCCOCCOCCO2 7.8298635 0.3181818181818182</t>
  </si>
  <si>
    <t>CC(C)N(C)C1CCC(N(C)Cc2cccc(-c3ccc4c(c3)OCCOCCOCCOCCOCCO4)n2)CC1 7.8298225 0.352112676056338</t>
  </si>
  <si>
    <t>CC(C)C 7.8298173 0.1111111111111111</t>
  </si>
  <si>
    <t>CNC1CCCCC1N(Cc1ncccc1C)C(C)C 7.8297944 0.3584905660377358</t>
  </si>
  <si>
    <t>CC(N)c1ncccc1CN1CCN(C)CCN(C)CC1 7.8296866 0.5</t>
  </si>
  <si>
    <t>CC1CC=C(N(C)C2CCCC(N(C)Cc3ccccn3)C2)CC1C 7.829684 0.49019607843137253</t>
  </si>
  <si>
    <t>CN1CCN(Cc2cc(-c3ccc4c(c3)OCCOCCOCCOCCOCCO4)ccn2)CCN(C(C)(C)C)CC1 7.829657 0.45454545454545453</t>
  </si>
  <si>
    <t>CC1C=CC(C)C(NCc2ccccn2)C1C 7.8296437 0.4594594594594595</t>
  </si>
  <si>
    <t>CC(C)N(C)C1CCC(N(C)Cc2ncccc2-c2ccc3c(c2)OCCOCCOCCOCCOCCO3)CC1 7.8296328 0.3472222222222222</t>
  </si>
  <si>
    <t>CN1CC=NCC2C=CC=C(CN(C)CC1)N2C 7.8296137 0.26666666666666666</t>
  </si>
  <si>
    <t>CN1CCN(CCCN(C)Cc2ccccn2)CC2(C=CC=CC2CCN(C)Cc2ccccn2)N(C)CC1 7.8295555 0.4</t>
  </si>
  <si>
    <t>CC(C)N(C)C1CCCC(N(C)Cc2cc(-c3cccc4c3OCCOCCOCCOCCOCCO4)ccn2)C1 7.829538 0.29850746268656714</t>
  </si>
  <si>
    <t>CN1CCN(C)CCN(Cc2ncccc2-c2ccc3c(c2)OCCOCCOCCOCCOCCO3)CC1 7.8295116 0.40625</t>
  </si>
  <si>
    <t>Cc1ccc2c(c1CN(C)Cc1ccccn1)OCCOCCOCCOCCOCCO2 7.8294888 0.41509433962264153</t>
  </si>
  <si>
    <t>CN1CCN(C)CCN(Cc2ccc(-c3ccc4c(c3)OCCOCCOCCOCCOCCO4)nc2)CC1 7.8294563 0.43548387096774194</t>
  </si>
  <si>
    <t>CC(C)N(C)C1CCC(N(C)Cc2cc(-c3ccc4c(c3)OCCOCCOCCOCCOCCO4)ccn2)CC1 7.8294487 0.40298507462686567</t>
  </si>
  <si>
    <t>CC1=CC(C)C(C)(c2ncccc2CN2CCN(C)CCN(C)CC2)CC1 7.8294315 0.40384615384615385</t>
  </si>
  <si>
    <t>COC(=O)C(=O)C(C)C(C)N1CCN(C)CCN(C(C)C(C)N2CCN(C)CCN(Cc3cc(C)c(C)c(C(C)C)n3)CC2)CC1 7.8294163 0.36764705882352944</t>
  </si>
  <si>
    <t>CNC1CCCCC1N(C)Cc1cccc(-c2ccc3c(c2)OCCOCCOCCOCCOCCO3)n1 7.829383 0.423728813559322</t>
  </si>
  <si>
    <t>Cc1ccc(CN(C)Cc2ccccn2)c2c1OCCOCCOCCOCCOCCO2 7.8293695 0.43137254901960786</t>
  </si>
  <si>
    <t>CNCC1CCCN1Cc1ncccc1C 7.829348 0.4107142857142857</t>
  </si>
  <si>
    <t>CN1CCN(C)CCN(C(C)(C)c2ccccn2)CC1 7.82934 0.46153846153846156</t>
  </si>
  <si>
    <t>CC1C=CC(c2cc(CN3CCN(C)CCN(C(C)C)CC3)ccn2)C(C)(C)C1 7.829333 0.36666666666666664</t>
  </si>
  <si>
    <t>CN1CCN(C)CCN(CC2=CCC(N(C)C)=CN2)CC1 7.829287 0.45652173913043476</t>
  </si>
  <si>
    <t>c1cncc(CN(Cc2cccnn2)C2CCCCC2)c1 7.829271 0.391304347826087</t>
  </si>
  <si>
    <t>CNCN1CCN(Cc2ccc(C)cn2)CCN(Cc2ccc(C)c(N)n2)CC1 7.8292356 0.35294117647058826</t>
  </si>
  <si>
    <t>CCNCc1ccccc1CN(Cc1ccccn1)C1CCCCC1 7.8291173 0.46</t>
  </si>
  <si>
    <t>CC(C)N1CCN(C)CCN(C(C)c2cccc(C3CCC3(C)C)n2)CC1 7.8290863 0.3</t>
  </si>
  <si>
    <t>CCCNCCN(C)CCF 7.829086 0.1794871794871795</t>
  </si>
  <si>
    <t>C1=NCCC=C1CN(Cc1ccccn1)c1ccc2c(c1)OCCOCCOCCOCCOCCO2 7.8290606 0.35714285714285715</t>
  </si>
  <si>
    <t>CN1CCN(C)CCN(CC2=C(N(C)C)CC=CN2)CC1 7.8289275 0.425531914893617</t>
  </si>
  <si>
    <t>CC1=C(C)C(C)(C)C(C)CC1 7.828905 0.1590909090909091</t>
  </si>
  <si>
    <t>CNC1CCCC(N(C)Cc2ccc(Cl)cn2)C1 7.8288717 0.42</t>
  </si>
  <si>
    <t>CNCCN(Cc1ccccn1)C1CCC(N(C)Cc2cccnn2)CC1 7.828851 0.48</t>
  </si>
  <si>
    <t>CC(C)N(C)C1CCC(N(Cc2cccnc2)Cc2ccccn2)CC1 7.8288455 0.41509433962264153</t>
  </si>
  <si>
    <t>Cc1cc(CN(C)Cc2ccccn2)c2c(c1)OCCOCCOCCOCCOCCO2 7.8288445 0.4074074074074074</t>
  </si>
  <si>
    <t>CC1C=CCC(C)(NCc2ccccn2)C1C 7.828835 0.3953488372093023</t>
  </si>
  <si>
    <t>CC(C)N(Cc1ccccn1)C1CCC(N(C)CC(C)(C)C)CC1 7.8288255 0.48936170212765956</t>
  </si>
  <si>
    <t>CC(N)c1ccc(CN2CCN(C)CCN(C)CC2)cn1 7.8288064 0.4090909090909091</t>
  </si>
  <si>
    <t>Cc1cncc(CN2CCN(C)CCN(C)CC2)c1C 7.8287973 0.46511627906976744</t>
  </si>
  <si>
    <t>C=CCN(C)CC=C 7.828787 0.17777777777777778</t>
  </si>
  <si>
    <t>CN(CCN(C)C(C)(C)c1cccnc1)c1cccc2c1OCCOCCOCCOCCOCCO2 7.8287683 0.3103448275862069</t>
  </si>
  <si>
    <t>CC1C=CC(C)C(C)(N(C)Cc2ccccn2)C1C 7.828748 0.425531914893617</t>
  </si>
  <si>
    <t>CC(C)NCc1ncccc1CN1CCN(C)CCN(C)CC1 7.82873 0.4666666666666667</t>
  </si>
  <si>
    <t>CN1CCN(C)CCN(Cc2ccc(CN(C)C(C)(C)C)nc2)CC1 7.828728 0.40425531914893614</t>
  </si>
  <si>
    <t>CC(C)N(C)C1CCCC(N(C)Cc2cc(-c3ccc4c(c3)OCCOCCOCCOCCOCCO4)ccn2)C1 7.8286643 0.4057971014492754</t>
  </si>
  <si>
    <t>CN1CCN(C)CCN(Cc2ccc(N(C)c3cccc4c3OCCOCCOCCOCCOCCO4)cn2)CC1 7.8286343 0.39285714285714285</t>
  </si>
  <si>
    <t>CC(C)N(C)C1CCCC(N(C)Cc2ncccc2-c2ccc3c(c2)OCCOCCOCCOCCOCCO3)C1 7.8286195 0.35135135135135137</t>
  </si>
  <si>
    <t>Cc1c(CN(C)Cc2ccccn2)ccc2c1OCCOCCOCCOCCOCCO2 7.8286176 0.41509433962264153</t>
  </si>
  <si>
    <t>CC1CC(CN(C)Cc2ccccn2)C1N 7.8286004 0.4807692307692308</t>
  </si>
  <si>
    <t>CN(CCF)CCN(Cc1ccccn1)C1CCCCC1N(C)Cc1ncccc1-c1ccc2c(c1)OCCOCCOCCOCCOCCO2 7.828584 0.42028985507246375</t>
  </si>
  <si>
    <t>CN1CCN(C)CCN(Cc2cccnc2C2C=CNC=C2)CC1 7.8285637 0.45652173913043476</t>
  </si>
  <si>
    <t>CN(CF)CC1=CCC=CN1 7.8284836 0.4318181818181818</t>
  </si>
  <si>
    <t>CCOC(=O)C1CN(C)C(C(=O)C(C)N)C(C(C)(C)N(Cc2ccccn2)C2CCCCC2)C1C(C)C 7.8284793 0.3108108108108108</t>
  </si>
  <si>
    <t>CC(N)C(C)c1cccnc1CNCNCF 7.8284354 0.2826086956521739</t>
  </si>
  <si>
    <t>COC(C)c1ncccc1CN1CCN(C)CCN(C(C)C)CC1 7.828432 0.4897959183673469</t>
  </si>
  <si>
    <t>CN(CCN(C)c1cccc2c1OCCOCCOCCOCCOCCO2)Cc1ccccn1 7.828431 0.4</t>
  </si>
  <si>
    <t>CC1=CCC(N(C)CCN(C)CC(C)(C)C)C(C)C1(C)C 7.8284044 0.234375</t>
  </si>
  <si>
    <t>CN(Cc1cccc(C2CC(C)(C)C2)n1)C1CCCCC1 7.828359 0.4583333333333333</t>
  </si>
  <si>
    <t>Cc1cc2c(cc1CN(C)Cc1ccccn1)OCCOCCOCCOCCOCCO2 7.828359 0.43137254901960786</t>
  </si>
  <si>
    <t>CC(C)N(CC1=CC(N(C)Cc2ccccn2)C=CN1)Cc1ccc2c(c1)OCCOCCOCCOCCOCCO2 7.8283486 0.3484848484848485</t>
  </si>
  <si>
    <t>CCOC(C)NCc1ncccc1CN1CCN(C)CCN(C)CC1 7.8283153 0.4117647058823529</t>
  </si>
  <si>
    <t>COC(C)c1ncccc1CN1CCN(C)CCN(C(c2ccccn2)C(C)C(C)N)CC1 7.828312 0.39655172413793105</t>
  </si>
  <si>
    <t>CN(CCN(Cc1ccccn1)Cc1cccc2c1OCCOCCOCCOCCOCCO2)C(C)(C)c1ccccn1 7.828298 0.41379310344827586</t>
  </si>
  <si>
    <t>CC1=CCC2(C=CC(N(C)Cc3ccccn3)C(C)C2C)CC1C 7.8282666 0.4107142857142857</t>
  </si>
  <si>
    <t>CCN(C)C1CCCC(N(C)Cc2cccc(-c3ccc4c(c3)OCCOCCOCCOCCOCCO4)n2)C1 7.82824 0.37142857142857144</t>
  </si>
  <si>
    <t>CN(CCF)CCN(Cc1ccccn1)C1CCC(N(C)Cc2ccon2)CC1 7.8282356 0.4423076923076923</t>
  </si>
  <si>
    <t>CC(C)C1=CC2(C=CN1)C=CC(C)C(C)(C)C2C 7.8282113 0.13559322033898305</t>
  </si>
  <si>
    <t>CC(CN(Cc1ccccn1)Cc1ccccn1)(c1ccc2c(c1)OCCOCCOCCOCCOCCO2)c1ccc2c(c1)OCCOCCOCCOCCOCCO2 7.828202 0.45098039215686275</t>
  </si>
  <si>
    <t>Cc1cnc(CN(C)CCCN2CCN(C)CCN(C)CC2)c(C)c1 7.8281517 0.38461538461538464</t>
  </si>
  <si>
    <t>Cc1ccc(C)c(CN(C)CCCN2CCN(C)CCN(C)CC2)n1 7.828104 0.40425531914893614</t>
  </si>
  <si>
    <t>c1ccc(CN(Cc2ccccn2)Cc2ncccc2C23CCC2OCCOCCOCCOCCOCCO3)nc1 7.828102 0.4</t>
  </si>
  <si>
    <t>c1ccc(CN(Cc2ccncc2)C2CCCCC2)nc1 7.8280654 0.5</t>
  </si>
  <si>
    <t>CC(C)C1CCC1c1ncccc1CN(Cc1ccccn1)C1CCCCC1 7.828062 0.41818181818181815</t>
  </si>
  <si>
    <t>CN(CCN(C)C1(C)CCC1)Cc1ncccc1CF 7.8280087 0.4</t>
  </si>
  <si>
    <t>CCOC(C)NCc1cc(CN2CCN(C)CCN(C)CC2)ccn1 7.828005 0.46</t>
  </si>
  <si>
    <t>CCN(Cc1cccc(-c2ccc3c(c2)OCCOCCOCCOCCOCCO3)n1)C1COCCOCCOCCOCCOc2ccccc2O1 7.8279886 0.3287671232876712</t>
  </si>
  <si>
    <t>Cc1cc(CN(C)Cc2ccccn2)cc2c1OCCOCCOCCOCCOCCO2 7.8279686 0.4074074074074074</t>
  </si>
  <si>
    <t>CC(C)NCc1ccc(CN2CCN(C)CCN(C)CC2)cn1 7.8279505 0.41304347826086957</t>
  </si>
  <si>
    <t>C=CCN(C)CCN(Cc1ccccn1)C1CCCCC1N(C)Cc1cccc(-c2cccc3c2OCCOCCOCCOCCOCCO3)n1 7.827941 0.42857142857142855</t>
  </si>
  <si>
    <t>CN1CCN(C)CCN(c2ccccc2F)CC1 7.8279114 0.4375</t>
  </si>
  <si>
    <t>CC1CC(c2ccc(CN3CCN(C)CCN(C)CC3)cn2)C1Cl 7.8278856 0.36</t>
  </si>
  <si>
    <t>COC(=O)C(=O)N1CCN(C)CCN(C(=O)C(C)N2CCN(C)CCN(C(=O)OC)CC2)CC1 7.8278623 0.2222222222222222</t>
  </si>
  <si>
    <t>CNCN1CCN(C)CCN(Cc2cc(C)c(C)c(C)n2)CC1 7.8278584 0.5</t>
  </si>
  <si>
    <t>CCN(Cc1ccccn1)c1cccc2c1OCCOCCOCCOCCOCCO2 7.82781 0.3695652173913043</t>
  </si>
  <si>
    <t>CNCN1CCN(C)CCN(Cc2c(C)ncc(C)c2C)CC1 7.827795 0.4489795918367347</t>
  </si>
  <si>
    <t>CNCCN(Cc1ccccn1)C1CCCC(N(C)Cc2cccnn2)C1 7.827683 0.45454545454545453</t>
  </si>
  <si>
    <t>CN1CCN(C)CCN(Cc2ccc(CN(C)C3CCCCC3N(C)Cc3cccc(-c4ccc5c(c4)OCCOCCOCCOCCOCCO5)n3)nc2)CC1 7.8276467 0.4230769230769231</t>
  </si>
  <si>
    <t>CN(CCN(C)C(C)(C)c1ccccn1)c1cccc2c1OCCOCCOCCOCCOCCO2 7.827632 0.3392857142857143</t>
  </si>
  <si>
    <t>CC1=C(C)C(C)C(C)(N(C)Cc2ncccc2CN2CCN(C)CCN(C)CC2)CC1C 7.827621 0.3684210526315789</t>
  </si>
  <si>
    <t>Cc1cnc(C)c(CN(C)C2CCC(N(C)CCF)CC2)c1 7.8276114 0.3333333333333333</t>
  </si>
  <si>
    <t>COC(=O)C(=O)C(C)C(C)N1CCN(C)CCN(C(=O)C(C)C(C)C)CC1 7.8275986 0.2222222222222222</t>
  </si>
  <si>
    <t>CN(CCN)CCN(C)C(C)(C)C 7.8275914 0.1891891891891892</t>
  </si>
  <si>
    <t>Cc1cccnc1CN(C)C1CCCCC1NC(C)C 7.8275795 0.4489795918367347</t>
  </si>
  <si>
    <t>CC(C)C1CCC1c1cccc(CN(Cc2ccccn2)C2CCCCC2)n1 7.827579 0.4339622641509434</t>
  </si>
  <si>
    <t>CN(CC1=CC(N(C)Cc2ccccn2)C=CN1)Cc1cccc2c1OCCOCCOCCOCCOCCO2 7.8275466 0.3484848484848485</t>
  </si>
  <si>
    <t>c1cnnc(CN(Cc2ccncc2)C2CCCCC2)c1 7.8275337 0.4090909090909091</t>
  </si>
  <si>
    <t>CC(C)[Si](c1ccc(CN(Cc2cccc(CN(C)Cc3cccc(C4CC5OCCOCCOCCOCCOCCOC54)n3)n2)Cc2ncccc2C2CC3OCCOCCOCCOCCOCCOC32)nc1)(C(C)C)C(C)C 7.8275156 0.38571428571428573</t>
  </si>
  <si>
    <t>CN(c1ccc2c(c1)OCCOCCOCCOCCOCCO2)C1CCC(N(Cc2ccccn2)Cc2ccccn2)CC1 7.827498 0.39285714285714285</t>
  </si>
  <si>
    <t>Cc1ccc(CN(C)C2CCCC(N(C)Cc3ccc(CN4CCN(C)CCN(C)CC4)cn3)C2)nc1 7.827486 0.5</t>
  </si>
  <si>
    <t>CC(C)C(C)C(C)c1ccccn1 7.827414 0.42857142857142855</t>
  </si>
  <si>
    <t>CC1=C(C)C(C)(c2cc(CN3CCN(C)CCN(C)CC3)ccn2)CCC1 7.827402 0.4230769230769231</t>
  </si>
  <si>
    <t>c1ccc(CN(Cc2ccccn2)Cc2cc(C34CCC3OCCOCCOCCOCCOCCO4)ccn2)nc1 7.827359 0.40816326530612246</t>
  </si>
  <si>
    <t>CN(C)C1CCCCC1N(C)Cc1cccc(-c2ccc3c(c2)OCCOCCOCCOCCOCCO3)n1 7.827337 0.4727272727272727</t>
  </si>
  <si>
    <t>Cc1nc(CN(C)C2CCCC(N3CCN(C)CCN(C)CC3)C2)c(C)c(C)c1C 7.827305 0.23728813559322035</t>
  </si>
  <si>
    <t>CN1CCN(C)CCN(Cc2cccnc2-c2cc(N)c3c(c2)OCCOCCOCCOCCOCCO3)CC1 7.8272853 0.3620689655172414</t>
  </si>
  <si>
    <t>Cc1ccnc(C)c1C(C)(C)N(C)CCCN1CCN(C)CCN(C)CC1 7.827265 0.36538461538461536</t>
  </si>
  <si>
    <t>CN(CC1=CC(N(C)Cc2ccccn2)C=CN1)Cc1ccc2c(c1)OCCOCCOCCOCCOCCO2 7.8272357 0.35384615384615387</t>
  </si>
  <si>
    <t>CN1CCN(Cc2ccc(CNCF)nc2)CCN(Cc2cccc(-c3ccc4c(c3)OCCOCCOCCOCCOCCO4)n2)CC1 7.827229 0.38461538461538464</t>
  </si>
  <si>
    <t>CCNCc1cccc(CN(Cc2ccccn2)C2CCC(N(C)C(C)C)CC2)n1 7.8271966 0.39285714285714285</t>
  </si>
  <si>
    <t>CN1CCN(C)CCN(Cc2ccc(-c3c(N)ccc4c3OCCOCCOCCOCCOCCO4)cn2)CC1 7.827196 0.4307692307692308</t>
  </si>
  <si>
    <t>CC1C=CC(N(C)Cc2ccccn2)C(C)(C)C1C 7.827185 0.4888888888888889</t>
  </si>
  <si>
    <t>COC(C)c1ncccc1CN1CCN(C)CCN(C)CC1 7.8271747 0.4772727272727273</t>
  </si>
  <si>
    <t>Cc1cnccc1CN(C)CCN1CCN(C)CCN(Cc2cccnc2C)CC1 7.827172 0.38181818181818183</t>
  </si>
  <si>
    <t>CN1CCN(Cc2cc(-c3ccc4c(c3)OCCOCCOCCOCCOCCO4)ccn2)CCN(Cc2cccc(CNCF)n2)CC1 7.827168 0.390625</t>
  </si>
  <si>
    <t>CC1C=CC(N(Cc2ccccn2)C2CCC(N(C)Cc3cc(-c4ccc5c(c4)OCCOCCOCCOCCOCCO5)ccn3)CC2)C(C)C1C 7.827165 0.35</t>
  </si>
  <si>
    <t>Cc1ccccc1N(C(C)C)C1CCC(N(C)C(C)C)CC1 7.8271537 0.25</t>
  </si>
  <si>
    <t>CCNCc1cccc(CN(Cc2ccccn2)C2CCCC(N(C)C(C)C)C2)n1 7.827134 0.39655172413793105</t>
  </si>
  <si>
    <t>Cc1cccnc1CN(C)C1CCCCC1N(C)CC1=CCC=CN1 7.8270617 0.45454545454545453</t>
  </si>
  <si>
    <t>CC1=CC(C)C(C)(c2cc(CN3CCN(C)CCN(C)CC3)ccn2)CC1 7.8270416 0.41509433962264153</t>
  </si>
  <si>
    <t>CN(C)C1CCCCC1N(C)Cc1ncccc1-c1ccc2c(c1)OCCOCCOCCOCCOCCO2 7.8270288 0.39655172413793105</t>
  </si>
  <si>
    <t>CC1C=CCC(C)C1(C)NCc1ccccn1 7.8269897 0.3953488372093023</t>
  </si>
  <si>
    <t>CCNc1ccc2c(c1)OCCOCCOCCOCCOCC(C(C)(C)c1ccccn1)O2 7.8269815 0.3283582089552239</t>
  </si>
  <si>
    <t>C=CCNCC1=CCC=CN1 7.8269696 0.3333333333333333</t>
  </si>
  <si>
    <t>Cc1cnc(CN(C)CCN2CCN(C)CCN(CC(C)(C)C)CC2)c(C)c1 7.8269615 0.3508771929824561</t>
  </si>
  <si>
    <t>CN(C)C1CCCCC1N(C)Cc1cc(-c2ccc3c(c2)OCCOCCOCCOCCOCCO3)ccn1 7.826944 0.4444444444444444</t>
  </si>
  <si>
    <t>CCN(Cc1ccccn1)c1ccc2c(c1)OCCOCCOCCOCCOCCO2 7.8269296 0.37777777777777777</t>
  </si>
  <si>
    <t>CN1CCN(C)CCN(Cc2ccc(C3CC(Cl)C3Cl)nc2)CC1 7.8269114 0.3673469387755102</t>
  </si>
  <si>
    <t>CC(C)C1CCC1c1ccc(CN(Cc2ccccn2)C2CCCCC2)cn1 7.826897 0.4107142857142857</t>
  </si>
  <si>
    <t>COC(=O)C(C)N1CCN(C)CCN(C(=O)OC)CC1 7.8268785 0.26666666666666666</t>
  </si>
  <si>
    <t>CC(C)C(C)c1cccnc1CNCNCF 7.8268757 0.29545454545454547</t>
  </si>
  <si>
    <t>CC1=CCC(N(C)CCN(C)CC(C)(C)C)C(C)C1C 7.8268623 0.21153846153846154</t>
  </si>
  <si>
    <t>Cc1cc(C)c(C)c(CN2CCN(C)CCN(CN(C)C(C)C)CC2)n1 7.826853 0.4375</t>
  </si>
  <si>
    <t>CC1=CCC(CN(C)CC2=CCC=CN2)C(C)C1C 7.826849 0.3392857142857143</t>
  </si>
  <si>
    <t>CNCCNCc1cccnc1 7.826806 0.35135135135135137</t>
  </si>
  <si>
    <t>Cc1c(NCc2ccccn2)ccc2c1OCCOCCOCCOCCOCCO2 7.826779 0.3617021276595745</t>
  </si>
  <si>
    <t>CC1CC(N)C1 7.8267574 0.1111111111111111</t>
  </si>
  <si>
    <t>c1ccc(CN(Cc2cccnc2)Cc2ccc3c(c2)OCCOCCOCCOCCOCCO3)cc1 7.826752 0.3076923076923077</t>
  </si>
  <si>
    <t>Cc1cnc(-c2cccc3c2OCCOCCOCCOCCOCCO3)c(CN2CCN(C)CCN(C)CC2)c1 7.8267217 0.3559322033898305</t>
  </si>
  <si>
    <t>CC1C=CC(N(C)CC2=CCC=CN2)CC1C 7.826706 0.3584905660377358</t>
  </si>
  <si>
    <t>CC1C=CCC(C)(N(C)Cc2ccccn2)C1C 7.8266973 0.4375</t>
  </si>
  <si>
    <t>CC1=CC(C)C(C)C(C)(c2ncccc2CN2CCN(C)CCN(C)CC2)C1 7.8266664 0.40384615384615385</t>
  </si>
  <si>
    <t>CN(Cc1cccc(-c2ccc3c(c2)OCCOCCOCCOCCOCCO3)n1)C1CCC(N(C)C2CCCCC2N(C)Cc2cccc(-c3ccc4c(c3)OCCOCCOCCOCCOCCO4)n2)CC1 7.8266454 0.43333333333333335</t>
  </si>
  <si>
    <t>CC(C)N(Cc1cccc(-c2ccc3c(c2)OCCOCCOCCOCCOCCO3)n1)C1CCCCC1N(C)C 7.826576 0.3611111111111111</t>
  </si>
  <si>
    <t>CCOC(=O)C(C)NCc1ncccc1CN1CCN(C)CCN(C)CC1 7.8265724 0.4426229508196721</t>
  </si>
  <si>
    <t>CC(C)C1CCC1c1cc(CN(Cc2ccccn2)C2CCCCC2)ccn1 7.8265696 0.4107142857142857</t>
  </si>
  <si>
    <t>COC(=O)C(=O)N1CCN(C)CCN(C(C)C)CC1 7.8265567 0.27586206896551724</t>
  </si>
  <si>
    <t>Cc1cncc(CN(C)CCN2CCN(C)CCN(Cc3cncc(C)c3)CC2)c1 7.826556 0.3877551020408163</t>
  </si>
  <si>
    <t>CC1=CCC(C)C(C)C1N(C)C1CCCCC1N(Cc1ccccn1)Cc1cccc(F)n1 7.8265224 0.43333333333333335</t>
  </si>
  <si>
    <t>CC(C)[SiH3] 7.8265038 0.1</t>
  </si>
  <si>
    <t>CCN(Cc1ccccn1)C1CCCCC1N(C)CCN(C)CCN(C)CCN(C)CCN(C)C1CCCCC1N(Cc1ccccn1)Cc1nc(C)c(C)c(C)c1C 7.8264565 0.5</t>
  </si>
  <si>
    <t>CN1CCN(C)CCN(CCN(C)C(c2ccccc2)c2ccccn2)CC1 7.8264565 0.48</t>
  </si>
  <si>
    <t>CC1C=CNC=C1 7.826415 0.14634146341463414</t>
  </si>
  <si>
    <t>Cc1cccc2c1OC(N)COCCOC(C(C)(C)N(C)Cc1ccccn1)COCCOCCO2 7.826403 0.30434782608695654</t>
  </si>
  <si>
    <t>CCCNCC1=CCC(c2ccccn2)C(C)C1C 7.8263626 0.3404255319148936</t>
  </si>
  <si>
    <t>CN1CCN(C)CCN(Cc2cccc(CN(C)C3CCC(N(C)Cc4cccc(-c5ccc6c(c5)OCCOCCOCCOCCOCCO6)n4)CC3)n2)CC1 7.826345 0.38095238095238093</t>
  </si>
  <si>
    <t>c1ccc(CN(Cc2ccc3c(c2)OCCOCCOCCOCCOCCO3)Cc2ccccn2)cc1 7.8263345 0.47619047619047616</t>
  </si>
  <si>
    <t>CN1C=CCC=C1 7.8263164 0.23529411764705882</t>
  </si>
  <si>
    <t>CN1CCN(C)CCN(CC2=CCC=C(N(C)C3C=CC=CN3)N2)CC1 7.8262644 0.41818181818181815</t>
  </si>
  <si>
    <t>Cc1ccc(CN2CCN(C)CCN(C)CC2)c(-c2cccc3c2OCCOCCOCCOCCOCCO3)n1 7.8262544 0.42592592592592593</t>
  </si>
  <si>
    <t>CN1CCN(C)CCN(Cc2ccc(N(C)CF)cn2)CC1 7.826254 0.4883720930232558</t>
  </si>
  <si>
    <t>Cc1ccnc(CN(C)C2CCCC(N(C)C)C2)c1 7.826251 0.40425531914893614</t>
  </si>
  <si>
    <t>CC(C)Nc1ncccc1CN1CCN(C)CCN(C)CC1 7.8262486 0.4883720930232558</t>
  </si>
  <si>
    <t>Cc1cnc(C)c(CN2CCN(C)CCN(C(C)C)CC2)c1 7.8262243 0.425531914893617</t>
  </si>
  <si>
    <t>Cc1ccc2c(c1NCc1ccccn1)OCCOCCOCCOCCOCCO2 7.8261476 0.3617021276595745</t>
  </si>
  <si>
    <t>CN(CCNCc1ncccc1-c1ccc2c(c1)OCCOCCOCCOCCOCCO2)c1ccc2c(c1)OCCOCCOCCOCCOCCO2 7.8260984 0.3150684931506849</t>
  </si>
  <si>
    <t>CC1=CC(CN(C)C2CCCC(N(Cc3ccccn3)Cc3cccc(C)n3)C2)C(C)C(C)(C)C1 7.8260474 0.390625</t>
  </si>
  <si>
    <t>CC1C=CCC(c2ccc(CN(Cc3ccccn3)C3CCCCC3)cn2)C1C 7.8260007 0.38333333333333336</t>
  </si>
  <si>
    <t>CN(CCN(C)C(C)(C)c1ccccn1)C1CCC(N(C)Cc2ccccn2)CC1 7.825989 0.5</t>
  </si>
  <si>
    <t>COC(=O)C(C)NCc1cc(CN2CCN(C)CCN(C)CC2)ccn1 7.8259754 0.49122807017543857</t>
  </si>
  <si>
    <t>Cc1cc2c(cc1NCc1ccccn1)OCCOCCOCCOCCOCCO2 7.825944 0.37777777777777777</t>
  </si>
  <si>
    <t>CC(N)C(C)(c1cccnc1)C(C)N(C)C1CCC(N(C)Cc2cccc(-c3ccc4c(c3)OCCOCCOCCOCCOCCO4)n2)CC1 7.825923 0.29545454545454547</t>
  </si>
  <si>
    <t>CN(Cc1ccc(Cl)cn1)C1COCCOCCOCCOc2ccccc2OCCO1 7.8259053 0.3448275862068966</t>
  </si>
  <si>
    <t>CN(Cc1cccc(-c2ccc3c(c2)OCCOCCOCCOCCOCCO3)n1)C1COCCOCCOCCOCCOc2ccccc2O1 7.8258967 0.3380281690140845</t>
  </si>
  <si>
    <t>CNCCN(Cc1ccccn1)C1CCCCC1N(C)Cc1cccc(-c2cccc3c2OCCOCCOCCOCCOCCO3)n1 7.8258443 0.45454545454545453</t>
  </si>
  <si>
    <t>Cc1ccc(CN2CCN(C)CCN(CN(C)C3CCCC(N(C)Cc4cc(C)c(C)c(C)n4)C3)CC2)cn1 7.82584 0.31343283582089554</t>
  </si>
  <si>
    <t>Cc1cccnc1CN(C)C1CCCC(N(C)C)C1 7.825833 0.375</t>
  </si>
  <si>
    <t>CN1CCN(C)CCN(CC2CCC(N(C)C(c3ccccn3)c3ccccn3)N2)CC1 7.825816 0.40350877192982454</t>
  </si>
  <si>
    <t>Cc1cnc(CN(C)C2CCCC(N(C)CN3CCN(C)CCN(Cc4ccc(-c5cccc6c5OCCOCCOCCOCCOCCO6)nc4)CC3)C2)c(C)c1C 7.825807 0.2857142857142857</t>
  </si>
  <si>
    <t>COC(=O)C(C)NCc1ncccc1CN1CCN(C)CCN(C)CC1 7.825756 0.39622641509433965</t>
  </si>
  <si>
    <t>CN(Cc1cccc(-c2cccc3c2OCCOCCOCCOCCOCCO3)n1)C1CCC(N(C)CN(C)C2CCCC(N(C)Cc3cccc(-c4cccc5c4OCCOCCOCCOCCOCCO5)n3)C2)CC1 7.825733 0.3387096774193548</t>
  </si>
  <si>
    <t>Cc1ncc(CN2CCN(C)CCN(C)CC2)cc1N 7.8257294 0.4418604651162791</t>
  </si>
  <si>
    <t>CN(c1cccc2c1OCCOCCOCCOCCOCCO2)C1CCCCC1N(Cc1ccc(F)nc1)Cc1ccccn1 7.825715 0.3880597014925373</t>
  </si>
  <si>
    <t>Cc1cccc(N2CCN(C)CCN(C(C)C)CC2)c1 7.8256736 0.3191489361702128</t>
  </si>
  <si>
    <t>CC1C=CC(C)C(C)(c2cc(CN3CCN(C)CCN(C)CC3)ccn2)C1 7.8256707 0.39622641509433965</t>
  </si>
  <si>
    <t>CN(c1ccc2nc(CF)ccc2c1)C1CCCCC1N(C)C1COCC(N)OCCOC=COCCOCCO1 7.8256664 0.3888888888888889</t>
  </si>
  <si>
    <t>CNCCN(Cc1ccccn1)C1CCCCC1N(C)Cc1ncccc1-c1cccc2c1OCCOCCOCCOCCOCCO2 7.8256283 0.4393939393939394</t>
  </si>
  <si>
    <t>CN1CCN(C)CCN(Cc2cnccc2C(C)(C)C)CC1 7.825627 0.4186046511627907</t>
  </si>
  <si>
    <t>CN(C)Cc1ncccc1CN1CCN(C)CCN(C)CC1 7.8255777 0.5</t>
  </si>
  <si>
    <t>CC(C)N(CCN(Cc1ccccn1)C(C)(N)N(Cc1cccc2c1OCCOCCOCCOCCOCCO2)C(C)C)Cc1ccccn1 7.8255663 0.45</t>
  </si>
  <si>
    <t>CN(C)C1CCC(N(C)Cc2cccc(-c3ccc4c(c3)OCCOCCOCCOCCOCCO4)n2)CC1 7.8255563 0.373134328358209</t>
  </si>
  <si>
    <t>C=CCN(Cc1ccccn1)C1CCCCC1N(C)Cc1cccc(-c2ccc3c(c2)OCCOCCOCCOCCOCCO3)n1 7.825535 0.46153846153846156</t>
  </si>
  <si>
    <t>CN(C)Cc1cncc(CN2CCN(C)CCN(C)CC2)c1 7.825499 0.4090909090909091</t>
  </si>
  <si>
    <t>Cc1ccc(C)c(CN(C)C2CCCC(N(C)CCF)C2)n1 7.8254786 0.34615384615384615</t>
  </si>
  <si>
    <t>CC1C=CC(C)C(C)(N(C)CCN(C)CC(C)(C)C)C1 7.8254614 0.18867924528301888</t>
  </si>
  <si>
    <t>CC1C=CC(C)(C)C(C)C1(C)N(C)Cc1cccc(-c2cccc3c2OCCOCCOCCOCCOCCO3)n1 7.8254023 0.2608695652173913</t>
  </si>
  <si>
    <t>CC(C)c1ccc(CN2CCN(C)CCN(C(C)C)CC2)cn1 7.8253417 0.44680851063829785</t>
  </si>
  <si>
    <t>Cc1nc(CN(C)C2CCCCC2N(C)CCN(C)C2(C)CCC2)c(C)c(C)c1C 7.8252773 0.35185185185185186</t>
  </si>
  <si>
    <t>CC(C)N(C)C1=CCC=C(CN2CCN(C)CCN(C)CC2)N1 7.8252373 0.4</t>
  </si>
  <si>
    <t>CC(CN(Cc1ccccn1)Cc1cccc(-c2ccc3c(c2)OCCOCCOCCOCCOCCO3)n1)(c1ccc2c(c1)OCCOCCOCCOCCOCCO2)c1ccc2c(c1)OCCOCCOCCOCCOCCO2 7.8252273 0.45454545454545453</t>
  </si>
  <si>
    <t>CN1CCN(C)CCN(Cc2cccc(CN(C)C3CCCC(N(C)Cc4cccc(-c5ccc6c(c5)OCCOCCOCCOCCOCCO6)n4)C3)n2)CC1 7.8251944 0.3815789473684211</t>
  </si>
  <si>
    <t>CCN(C)CCN(C)CCF 7.825144 0.24242424242424243</t>
  </si>
  <si>
    <t>CN(C)C1CCC(N(C)Cc2ncccc2-c2ccc3c(c2)OCCOCCOCCOCCOCCO3)CC1 7.8251367 0.36764705882352944</t>
  </si>
  <si>
    <t>Cc1cnc(-c2ccc3c(c2)OCCOCCOCCOCCOCCO3)c(CN2CCN(C)CCN(C)CC2)c1 7.8251305 0.421875</t>
  </si>
  <si>
    <t>CN1CCN(C)CCN(Cc2ccccc2N(C)C)CC1 7.825111 0.46153846153846156</t>
  </si>
  <si>
    <t>Cc1ccccc1N1CCN(C)CCN(C)CC1 7.825051 0.45161290322580644</t>
  </si>
  <si>
    <t>CC(NCc1ccccn1)C(C)(C)C 7.8250504 0.5</t>
  </si>
  <si>
    <t>Cc1ccnc(-c2ccc3c(c2)OCCOCCOCCOCCOCCO3)c1CN1CCN(C)CCN(C)CC1 7.825016 0.4</t>
  </si>
  <si>
    <t>Cc1cnc(CN2CCN(C)CCN(C(C)C)CC2)c(C)c1 7.8250074 0.4791666666666667</t>
  </si>
  <si>
    <t>CNC1C=CC=C(N(Cc2cccnn2)C2CCCCC2)N1 7.825 0.35185185185185186</t>
  </si>
  <si>
    <t>CN(CC1=CCC=C(N(C)C2C=CC=CN2)N1)Cc1ccc2c(c1)OCCOCCOCCOCCOCCO2 7.824988 0.25</t>
  </si>
  <si>
    <t>CNC(C)C 7.8249846 0.1</t>
  </si>
  <si>
    <t>Cc1cnc(CN(C)CCN2CCN(C)CCN(C(C)C)CC2)c(C)c1 7.824919 0.3508771929824561</t>
  </si>
  <si>
    <t>CC(C)(N)C(C)(C)NCc1ccccn1 7.824899 0.5</t>
  </si>
  <si>
    <t>CC1CC(CN(C)Cc2ccccn2)=CC(N)C1C 7.8248906 0.4489795918367347</t>
  </si>
  <si>
    <t>CN1CCN(C)CCN(C(C)(C)c2cccnc2-c2ccc3c(c2)OCCOCCOCCOCCOCCO3)CC1 7.8248625 0.3582089552238806</t>
  </si>
  <si>
    <t>CC(C)N1CCN(C)CCN(Cc2cccc(C3CC(C)(C)C3)n2)CC1 7.824853 0.4897959183673469</t>
  </si>
  <si>
    <t>CCNC1CCCC(N(Cc2ncccc2C)C(C)C)C1 7.8248496 0.2711864406779661</t>
  </si>
  <si>
    <t>CC(C)C(C)C(C)N(C)CCN(C)CC(C)(C)C 7.82482 0.2</t>
  </si>
  <si>
    <t>CN1CCN(C)CCN(Cc2ncc(Cl)cc2N)CC1 7.824774 0.45652173913043476</t>
  </si>
  <si>
    <t>CNC1C=CC=CN1 7.824739 0.22727272727272727</t>
  </si>
  <si>
    <t>CN(C)C1CCCC(N(C)Cc2ncccc2-c2cccc3c2OCCOCCOCCOCCOCCO3)C1 7.824672 0.2903225806451613</t>
  </si>
  <si>
    <t>FCc1cccc(CN(Cc2ccccn2)C2CCCCC2)n1 7.8246565 0.4782608695652174</t>
  </si>
  <si>
    <t>CCNCCN(C)Cc1cccnc1 7.8246303 0.3488372093023256</t>
  </si>
  <si>
    <t>CCCN(CC1=CC(N(C)Cc2ccccn2)C=CN1)c1cccc2c1OCCOCCOCCOCCOCCO2 7.824615 0.32857142857142857</t>
  </si>
  <si>
    <t>FCc1ncccc1CN(Cc1ccccn1)C1CCCCC1 7.8245845 0.4489795918367347</t>
  </si>
  <si>
    <t>CC1=CC(C)C(C)(C)CC1N(C)C1CCC(N(Cc2ccccn2)Cc2cccc(-c3ccc4c(c3)OCCOCCOCCOCCOCCO4)n2)CC1 7.824561 0.3373493975903614</t>
  </si>
  <si>
    <t>c1ccc(CN(CCC2CCCN2)Cc2ccccn2)nc1 7.8245597 0.5</t>
  </si>
  <si>
    <t>CC(C)N1CCN(Cc2cccc(C3(C)CC(Cl)C3Cl)n2)CCN(C(C)C)CC1 7.8245583 0.47058823529411764</t>
  </si>
  <si>
    <t>CC(C)Nc1cc(CN2CCN(C)CCN(C)CC2)ccn1 7.824519 0.4666666666666667</t>
  </si>
  <si>
    <t>CN(C)C1CCCC(N(C)Cc2cccc(-c3cccc4c3OCCOCCOCCOCCOCCO4)n2)C1 7.824516 0.35</t>
  </si>
  <si>
    <t>C=CCOC(=O)C(=O)C(C)C(C)NCc1cccc(CN2CCN(C)CCN(C)CC2)n1 7.824465 0.4067796610169492</t>
  </si>
  <si>
    <t>CN(CCN(C)c1cccc2c1OCCOCCOCCOCCOCCO2)Cc1ncccc1-c1cccc2c1OCCOCCOCCOCCOCCO2 7.8244452 0.35714285714285715</t>
  </si>
  <si>
    <t>CN1CCN(C)CCN(Cc2ncccc2N(C)C2CCCC(N(C)Cc3ccccn3)C2)CC1 7.824422 0.48148148148148145</t>
  </si>
  <si>
    <t>Cc1cnc(C)c(CN2CCN(C)CCN(C)CC2)c1 7.824386 0.5</t>
  </si>
  <si>
    <t>CC(C)C1=CC2(C=CCC(C)(C)C2C)C=CN1 7.824356 0.13333333333333333</t>
  </si>
  <si>
    <t>Cc1cnc(CN(C)CCN2CCN(C)CCN(C)CC2)c(C)c1 7.8243413 0.4</t>
  </si>
  <si>
    <t>CN1CCN(C)CCN(CC2=CCC=C(N(O)C3C=CC=CN3)N2)CC1 7.8242683 0.38596491228070173</t>
  </si>
  <si>
    <t>CN(C)Cc1ccc(CN2CCN(C)CCN(C)CC2)cn1 7.824268 0.45454545454545453</t>
  </si>
  <si>
    <t>Cc1cc(CN2CCN(C)CCN(C)CC2)cnc1C 7.824266 0.4634146341463415</t>
  </si>
  <si>
    <t>CN(Cc1ncccc1-c1ccc2c(c1)OCCOCCOCCOCCOCCO2)C1CCCC(c2ccc3c(c2)OCCOCCOCCOCCOCCO3)C1N(C)Cc1ccccn1 7.8241935 0.417910447761194</t>
  </si>
  <si>
    <t>CCCN(Cc1ccccn1)C1CCCCC1N(C)Cc1cccc(-c2ccc3c(c2)OCCOCCOCCOCCOCCO3)n1 7.8241305 0.47619047619047616</t>
  </si>
  <si>
    <t>Cc1cc(C)c(CN2CCN(C)CCN(C)CC2)cn1 7.8241186 0.475</t>
  </si>
  <si>
    <t>Cc1cncc(C)c1CN1CCN(C)CCN(C)CC1 7.8241124 0.4634146341463415</t>
  </si>
  <si>
    <t>C#Cc1ccc(CN(Cc2ccccn2)C2CCCCC2)nc1 7.8241014 0.4489795918367347</t>
  </si>
  <si>
    <t>CCNCC1=C(C)CCC(C)(C)C1C 7.8240943 0.1111111111111111</t>
  </si>
  <si>
    <t>Cc1cccc(CN(Cc2ccccn2)C2CCCCC2)c1 7.8240833 0.4791666666666667</t>
  </si>
  <si>
    <t>CC(C)N(C)C1=C(CN(Cc2ccc(F)cn2)C2CCCCC2)NC=CC1 7.8240466 0.31746031746031744</t>
  </si>
  <si>
    <t>CN(CCN(C)C1(C)CCC1)Cc1ncccc1-c1ccc2c(c1)OCCOCCOCCOCCOCCO2 7.8239927 0.32432432432432434</t>
  </si>
  <si>
    <t>CN1CCN(C)CCN(Cc2cccnc2C2CC(C)(C)C2)CC1 7.8239775 0.4666666666666667</t>
  </si>
  <si>
    <t>CNC1CCCCC1N(C)Cc1ncc(C)cc1C 7.8239675 0.4583333333333333</t>
  </si>
  <si>
    <t>CNCc1ccc(CN2CCN(C)CCN(Cc3cncc(C)c3)CC2)cn1 7.823922 0.4230769230769231</t>
  </si>
  <si>
    <t>CN(CCN(C)c1ccc2c(c1)OCCOCCOCCOCCOCCO2)Cc1cccc(-c2cccc3c2OCCOCCOCCOCCOCCO3)n1 7.8239193 0.3448275862068966</t>
  </si>
  <si>
    <t>CN(CCF)C1CCC(N(Cc2ccccn2)Cc2cccc(-c3cccc4c3OCCOCCOCCOCCOCCO4)n2)CC1 7.8239083 0.3939393939393939</t>
  </si>
  <si>
    <t>Cc1cccc(N2CCN(C)CCN(C)CC2)c1 7.8238716 0.38235294117647056</t>
  </si>
  <si>
    <t>CNC1CCCCC1N(C)c1cccc(CF)n1 7.823863 0.5</t>
  </si>
  <si>
    <t>Cc1cncc(CN(C(C)C)C2CCCC(N(C)C3CCCC(N(C)Cc4cc(C)cnc4C)C3)C2)c1 7.8238387 0.2857142857142857</t>
  </si>
  <si>
    <t>FCc1cc(CN(Cc2ccccn2)C2CCCCC2)ccn1 7.823762 0.4583333333333333</t>
  </si>
  <si>
    <t>Cc1cccnc1CN(C)CCN(C)C1(C)CCC1 7.823749 0.3673469387755102</t>
  </si>
  <si>
    <t>CNC1CCCC(N(Cc2ncccc2C)C(C)C)C1 7.8237333 0.2807017543859649</t>
  </si>
  <si>
    <t>CC(C)N(C)Cc1ncc(CN2CCN(C)CCN(C)CC2)cc1-c1ccc2c(c1)OCCOCCOCCOCCOCCO2 7.8237185 0.3698630136986301</t>
  </si>
  <si>
    <t>Cc1cnc(CN(C)CCCN2CCN(C)CCN(C)CC2)c(C)c1C 7.8237095 0.4489795918367347</t>
  </si>
  <si>
    <t>CN1CCN(C)CCN(CC2=CCC=C(N(C)C)N2)CC1 7.823694 0.43478260869565216</t>
  </si>
  <si>
    <t>CN1CCN(C)CCN(C(C)(C)c2cncc(-c3ccc4c(c3)OCCOCCOCCOCCOCCO4)c2)CC1 7.823694 0.390625</t>
  </si>
  <si>
    <t>CN(Cc1cccc(-c2ccc3c(c2)OCCOCCOCCOCCOCCO3)n1)C1CCCCC1N(CF)Cc1ccccn1 7.823673 0.4838709677419355</t>
  </si>
  <si>
    <t>CN(CN(Cc1ccccn1)C1CCC(N(C)Cc2cccc(-c3ccc4c(c3)OCCOCCOCCOCCOCCO4)n2)CC1)c1ccc2c(c1)OCCOCCOCCOCCOCCO2 7.8236504 0.3684210526315789</t>
  </si>
  <si>
    <t>CN1CCN(Cc2ccccn2)CCN(Cc2cccnc2N(C)c2ccc3c(c2)OCCOCCOCCOCCOCCO3)CC1 7.823613 0.49122807017543857</t>
  </si>
  <si>
    <t>CN1CCN(C)CCN(CCC2=CCC(N(C)Cc3ccccn3)=CN2)CC1 7.823581 0.46153846153846156</t>
  </si>
  <si>
    <t>Cc1cc(CN2CCN(C)CCN(C)CC2)cnc1-c1ccc2c(c1)OCCOCCOCCOCCOCCO2 7.823539 0.421875</t>
  </si>
  <si>
    <t>CN1CCN(C)CCN(Cc2cccc(N(C)C)c2)CC1 7.8235254 0.42857142857142855</t>
  </si>
  <si>
    <t>CC(C)N(C(C)C)C1CCCCC1N(C)CC1=CCC=CN1 7.823509 0.35185185185185186</t>
  </si>
  <si>
    <t>CC1C=CCCC1SCc1ccccn1 7.8234377 0.4146341463414634</t>
  </si>
  <si>
    <t>CC(C)(CN(Cc1ccccn1)Cc1ccccn1)c1cccc2c1OCCOCCOCCOCCOCCO2 7.823409 0.4423076923076923</t>
  </si>
  <si>
    <t>Cc1cc(CN2CCN(C)CCN(CC3=CCC=CN3)CC2)nc(C)c1C 7.8234 0.43137254901960786</t>
  </si>
  <si>
    <t>CNCCN(Cc1ccccn1)C1CCCC(N(C)Cc2ccon2)C1 7.8233705 0.43859649122807015</t>
  </si>
  <si>
    <t>Cc1ccc2c(c1)OC(SCc1ccccn1)COCCOCCOCCOCCO2 7.8233647 0.32075471698113206</t>
  </si>
  <si>
    <t>CC(N)C(C)C(C)N(C)Cc1cc(-c2ccc3c(c2)OCCOCCOCCOCCOCCO3)ccn1 7.823342 0.373134328358209</t>
  </si>
  <si>
    <t>Cc1ccc2c(c1)OCCOCCOCCOCCOCC(SCc1ccccn1)O2 7.823317 0.32075471698113206</t>
  </si>
  <si>
    <t>CC(N)C(C)N(C)CCN(C)CC(C)(C)C 7.8232903 0.2</t>
  </si>
  <si>
    <t>Cc1cnc(CN(C)C2CCCCC2N(CCF)CC2=CCC=CN2)c(C)c1C 7.8232894 0.3492063492063492</t>
  </si>
  <si>
    <t>CN(Cc1ccc(F)cn1)C1CCCC(N(C)C2CCCC(N(Cc3ccccn3)Cc3cccnc3F)C2)C1 7.8232894 0.423728813559322</t>
  </si>
  <si>
    <t>CC1=CCC(C)(NCc2ccccn2)C(C)C1C 7.823275 0.38636363636363635</t>
  </si>
  <si>
    <t>CNCCN(Cc1ccccn1)C1CCC(N(C)Cc2ncccc2C)CC1 7.823268 0.41818181818181815</t>
  </si>
  <si>
    <t>CC1C=C(N(C)Cc2ccccn2)C(C(C)(C)CN(Cc2ccccn2)C2CCCCC2)CC1C 7.823265 0.4067796610169492</t>
  </si>
  <si>
    <t>CN(CC1=CCC=CN1)C1CCC(N(C)Cc2cc(-c3ccc4c(c3)OCCOCCOCCOCCOCCO4)ccn2)CC1 7.8232317 0.373134328358209</t>
  </si>
  <si>
    <t>CN1CCN(C)CCN(Cc2cncc(C(C)(C)C)c2)CC1 7.8232117 0.38636363636363635</t>
  </si>
  <si>
    <t>CC(C)N(C)C1=CC=CCC1 7.8232107 0.18604651162790697</t>
  </si>
  <si>
    <t>CN(C)C1C=CC=CN1 7.8232026 0.2558139534883721</t>
  </si>
  <si>
    <t>CC1=C(C)C(C)C(C)CC1 7.8231726 0.16666666666666666</t>
  </si>
  <si>
    <t>CN(CNCc1cccc(-c2ccc3c(c2)OCCOCCOCCOCCOCCO3)n1)C1CCC(N(C)Cc2ccccn2)CC1 7.8231673 0.3698630136986301</t>
  </si>
  <si>
    <t>CNCCN(Cc1ccccn1)C(C)(N)C1CCC1(C)C 7.8231435 0.38181818181818183</t>
  </si>
  <si>
    <t>CN(Cc1cccc(-c2cccc3c2OCCOCCOCCOCCOCCO3)n1)C1CCCCC1N(Cc1ccccn1)CC1C=CNC=C1 7.8231425 0.43478260869565216</t>
  </si>
  <si>
    <t>Cc1cncc(CN(C)C2CCCC(N(CCN(C)C(C)(C)C)C(C)C)C2)c1 7.823128 0.25396825396825395</t>
  </si>
  <si>
    <t>c1cnc2c(c1)CCCC2 7.823102 0.3111111111111111</t>
  </si>
  <si>
    <t>CC1C=C(N=Cc2ccccn2)CCC1CN(C)C1CCCC(N(C)Cc2ccccn2)C1 7.8230944 0.4098360655737705</t>
  </si>
  <si>
    <t>CNC1CCCC(N(Cc2ccccn2)Cc2ccccn2)C1 7.823083 0.4888888888888889</t>
  </si>
  <si>
    <t>c1ccc(CN(Cc2ccccn2)C2COCCOCCOc3ccccc3OCCOCCO2)nc1 7.8229623 0.38636363636363635</t>
  </si>
  <si>
    <t>CC(N)C(C)(C)N(C)Cc1cc(-c2cccc3c2OCCOCCOCCOCCOCCO3)ccn1 7.822948 0.24358974358974358</t>
  </si>
  <si>
    <t>CC1C=CC(C)C2(C1)C(C)C(C)C=CC2N(C)Cc1ccccn1 7.8229346 0.4423076923076923</t>
  </si>
  <si>
    <t>CN(c1cccc2c1OCCOCCOCCOCCOCCO2)C1CCCC(N(Cc2ccccn2)Cc2cccc(F)n2)C1 7.8228655 0.35064935064935066</t>
  </si>
  <si>
    <t>CC1=CCC2(CC(N=Cc3ccccn3)C=C(C(C)(C)N(Cc3ccccn3)C3CCCCC3)C2C)CC1C 7.822863 0.32432432432432434</t>
  </si>
  <si>
    <t>CN(CCF)CCN(C)C(C)(C)C 7.822848 0.2222222222222222</t>
  </si>
  <si>
    <t>CC(C)NCNCF 7.82281 0.10416666666666667</t>
  </si>
  <si>
    <t>Cc1cnc(CN(C)C2CCCC(N(C)C(C)C)C2)c(C)c1 7.8227825 0.33962264150943394</t>
  </si>
  <si>
    <t>Cc1cc(CN(C)C2CCCCC2N(C)CCN(C)CCF)nc(C)c1C 7.8227696 0.4230769230769231</t>
  </si>
  <si>
    <t>CN(CCN(C)C1CCC(N(C)Cc2ccccn2)CC1)Cc1ncccc1-c1cccc2c1OCCOCCOCCOCCOCCO2 7.8227525 0.375</t>
  </si>
  <si>
    <t>Cc1cccnc1CN1CCN(C)CCN(Cc2cccnc2F)CC1 7.8227353 0.45652173913043476</t>
  </si>
  <si>
    <t>CNCCN(Cc1cccc(F)n1)C1CCCCC1N(C)Cc1cccc(-c2ccc3c(c2)OCCOCCOCCOCCOCCO3)n1 7.8227277 0.37142857142857144</t>
  </si>
  <si>
    <t>Cc1cccnc1CN(C)C1CCCC(N(C)CC2=CCC=CN2)C1 7.8227167 0.44642857142857145</t>
  </si>
  <si>
    <t>CC(NCc1ccccn1)C(C)(C)N 7.8226995 0.4722222222222222</t>
  </si>
  <si>
    <t>CC1C=CC(N2CCN(C)CCN(C)CC2)c2ncccc21 7.822672 0.3404255319148936</t>
  </si>
  <si>
    <t>CC(C)NCC1CCCN1C(C)C 7.8226075 0.22</t>
  </si>
  <si>
    <t>CCCNCc1cccnn1 7.8226013 0.4444444444444444</t>
  </si>
  <si>
    <t>CNCc1ccc(CNCC2CCCN2C(C)C)cn1 7.8225894 0.3389830508474576</t>
  </si>
  <si>
    <t>CCOC(=O)C(=O)C(C)C(C)N1CCN(C)CCN(C(=O)OC)CC1 7.8225336 0.27419354838709675</t>
  </si>
  <si>
    <t>CCOC(=O)C(=O)C(C)C(C)NCc1ncccc1CN1CCN(C)CCN(C)CC1 7.8225274 0.4090909090909091</t>
  </si>
  <si>
    <t>Cc1cncc(CN(C)C2=CNC=CC2CN2CCN(C)CCN(C)CC2)c1 7.822482 0.296875</t>
  </si>
  <si>
    <t>CN(Cc1ccccn1)c1cccc2c1OCCOCCOCCOCCOCCO2 7.822465 0.48936170212765956</t>
  </si>
  <si>
    <t>CC1C=CCC(C)(c2ncccc2CN(Cc2ccccn2)C2CCCCC2)C1C 7.8224244 0.38333333333333336</t>
  </si>
  <si>
    <t>CNCN1CCN(C)CCN(Cc2nc(C)c(C)c(C)c2C)CC1 7.822421 0.3877551020408163</t>
  </si>
  <si>
    <t>CNCc1ncccc1CN(Cc1ccccn1)C1CCCCC1 7.822406 0.45098039215686275</t>
  </si>
  <si>
    <t>CN1CCN(C)CCN(Cc2ccc(C3CC(C)(C)C3)nc2)CC1 7.8223753 0.3829787234042553</t>
  </si>
  <si>
    <t>Cc1cnc(CN(Cc2ccc3c(c2)OCCOCCOCCOCCOCCO3)C2CCC(N(C)Cc3cccc(-c4ccc5c(c4)OCCOCCOCCOCCOCCO5)n3)CC2)c(C)c1 7.8223205 0.3253012048192771</t>
  </si>
  <si>
    <t>CCNCCN(C)Cc1cccc(-c2cccc3c2OCCOCCOCCOCCOCCO3)n1 7.8223124 0.3392857142857143</t>
  </si>
  <si>
    <t>CC(C)N(CCN(C)CCF)Cc1cccc(-c2cccc3c2OCCOCCOCCOCCOCCO3)n1 7.822265 0.32786885245901637</t>
  </si>
  <si>
    <t>CC(C)C(C)(N)N(Cc1ccccn1)Cc1ccc(CN2CCN(C)CCN(C)CC2)cn1 7.8222494 0.5</t>
  </si>
  <si>
    <t>CN(Cc1cccc(C2=CCC=CN2)n1)Cc1cccc(C2CC3OCCOCCOCCOCCOCCOC32)n1 7.822236 0.3181818181818182</t>
  </si>
  <si>
    <t>CC1CCC1c1cccnc1CN(C)C1CCC(N(C)Cc2ccccn2)CC1 7.8222313 0.4897959183673469</t>
  </si>
  <si>
    <t>Cc1cccc(CN(C)C2C=CNC(CN(C)Cc3ccc4c(c3)OCCOCCOCCOCCOCCO4)=C2)n1 7.8222227 0.36363636363636365</t>
  </si>
  <si>
    <t>CN(CCF)CCN(C)C(C)(C)c1cccnc1 7.8222203 0.3333333333333333</t>
  </si>
  <si>
    <t>CN(Cc1ccccn1)c1ccc2c(c1)OCCOCCOCCOCCOCCO2 7.8222103 0.46808510638297873</t>
  </si>
  <si>
    <t>CCCN(Cc1ccccn1)C1CCC(N(C)Cc2cccc(-c3ccc4c(c3)OCCOCCOCCOCCOCCO4)n2)CC1 7.8222017 0.3835616438356164</t>
  </si>
  <si>
    <t>CC(C)C1(C)CC(c2cccc(CN(Cc3ccccn3)C3CCCCC3)n2)C1 7.822197 0.4107142857142857</t>
  </si>
  <si>
    <t>CN(CCF)CC1=CCC=CN1 7.822191 0.41304347826086957</t>
  </si>
  <si>
    <t>CN(CC1=CC(N(C)Cc2cccc(-c3ccc4c(c3)OCCOCCOCCOCCOCCO4)n2)C=CN1)Cc1ccc2c(c1)OCCOCCOCCOCCOCCO2 7.822177 0.2962962962962963</t>
  </si>
  <si>
    <t>c1ccc(CN(Cc2ccccn2)C2COCCOCCOCCOCCOc3ccccc3O2)nc1 7.8221745 0.38636363636363635</t>
  </si>
  <si>
    <t>CC1=CC(CN(C)Cc2ccccn2)C(C)C(C)C1 7.8221617 0.45454545454545453</t>
  </si>
  <si>
    <t>CC(N)C(C)NCc1ccccn1 7.822142 0.5</t>
  </si>
  <si>
    <t>CN(Cc1ccccn1)C1=C(CN(Cc2ccc3c(c2)OCCOCCOCCOCCOCCO3)CC(C)(C)C)NC=CC1 7.8221416 0.373134328358209</t>
  </si>
  <si>
    <t>CN(Cc1cc(CF)ccn1)CN(C)C1(C)CCC1 7.8221316 0.28846153846153844</t>
  </si>
  <si>
    <t>CCOC(=O)c1ncccc1CN1CCN(C)CCN(C(C)C)CC1 7.8221183 0.5</t>
  </si>
  <si>
    <t>C1=CNC(CN(CC2=CCC=CN2)CC2C=CC=CN2)C=C1 7.8221097 0.4583333333333333</t>
  </si>
  <si>
    <t>CN(CC1=CCC=CN1)C1CCCC(N(C)Cc2ncccc2-c2cccc3c2OCCOCCOCCOCCOCCO3)C1 7.822094 0.35714285714285715</t>
  </si>
  <si>
    <t>CCCN(Cc1ccccn1)C1CCC(N(C)Cc2ccc(-c3ccc4c(c3)OCCOCCOCCOCCOCCO4)cn2)CC1 7.822044 0.4507042253521127</t>
  </si>
  <si>
    <t>CC(C)N(C)C1=CCC=C(CN(C)C2CCCC(N(C)C3C=CC=CN3)C2)N1 7.8219743 0.19444444444444445</t>
  </si>
  <si>
    <t>CC(C)(CN(Cc1ccccn1)Cc1ccccn1)c1ccc2c(c1)OCCOCCOCCOCCOCCO2 7.8219376 0.45098039215686275</t>
  </si>
  <si>
    <t>Cc1cccc(CN(C)C2CCCC(N(C)Cc3nccc(C)c3CN3CCN(C)CCN(C)CC3)C2)n1 7.821937 0.47368421052631576</t>
  </si>
  <si>
    <t>CC1=C(C)C(C)C(C)(N(C)CCN(C)Cc2ncccc2-c2cccc3c2OCCOCCOCCOCCOCCO3)CC1 7.821922 0.2638888888888889</t>
  </si>
  <si>
    <t>Cc1cccnc1CN(Cc1ccccn1)C1CCC(N(C)C(C)C)CC1 7.8219113 0.4230769230769231</t>
  </si>
  <si>
    <t>CN1CCN(Cc2ccc(Cl)nc2)CCN(CN(C)Cc2ccc(F)nc2)CC1 7.8219085 0.36363636363636365</t>
  </si>
  <si>
    <t>Cc1cc(CN(C)CCCN2CCN(C)CCN(C)CC2)nc(C)c1C 7.8218985 0.3673469387755102</t>
  </si>
  <si>
    <t>CC1=CCC(C)(c2cc(CN3CCN(C)CCN(C)CC3)ccn2)C(C)C1 7.821872 0.41509433962264153</t>
  </si>
  <si>
    <t>CN(CCF)CCN(C)Cc1cccc(-c2ccc3c(c2)OCCOCCOCCOCCOCCO3)n1 7.821841 0.38461538461538464</t>
  </si>
  <si>
    <t>Cc1cncc(CN2CCN(C)CCN(Cc3cncc(C)c3)CC2)c1 7.8218064 0.48717948717948717</t>
  </si>
  <si>
    <t>CN1CCN(C)CCN(Cc2ccc(C(C)(C)C)nc2)CC1 7.8218026 0.42857142857142855</t>
  </si>
  <si>
    <t>CC(C)(C)C 7.8217864 0.13043478260869565</t>
  </si>
  <si>
    <t>Cc1cc(CN2CCN(C)CCN(CCN(C)C)CC2)nc(C)c1C 7.82177 0.4888888888888889</t>
  </si>
  <si>
    <t>c1cc2c(cn1)CCCC2 7.821763 0.22857142857142856</t>
  </si>
  <si>
    <t>CN1CCN(C)CCN(Cc2ccc(N(C)C)cc2)CC1 7.8217483 0.425</t>
  </si>
  <si>
    <t>CNC1CCCCC1N(C)c1cccc(F)n1 7.8217344 0.3673469387755102</t>
  </si>
  <si>
    <t>CC1C=CC(N(C)Cc2cccc(N)n2)C(C)C1C 7.8217225 0.3673469387755102</t>
  </si>
  <si>
    <t>CC(C)N(C)CCN(C)C(C)(C)C 7.8217187 0.1794871794871795</t>
  </si>
  <si>
    <t>CCOC(=O)C(=O)C(C)C(C)NCc1cccc(CN2CCN(C)CCN(C)CC2)n1 7.8217 0.46296296296296297</t>
  </si>
  <si>
    <t>CNC 7.821682 0.1111111111111111</t>
  </si>
  <si>
    <t>COC(=O)C(=O)C(C)C(C)NCc1cc(CN2CCN(C)CCN(C)CC2)ccn1 7.8216796 0.43548387096774194</t>
  </si>
  <si>
    <t>CC1C=CCC(C)(c2ccc(CN(Cc3ccccn3)C3CCCCC3)cn2)C1C 7.82166 0.3709677419354839</t>
  </si>
  <si>
    <t>c1cncc(CN(Cc2ccon2)C2CCCCC2)c1 7.821649 0.3617021276595745</t>
  </si>
  <si>
    <t>CCCN(Cc1ccccn1)C1CCC(N(C)Cc2ccon2)CC1 7.8216105 0.46153846153846156</t>
  </si>
  <si>
    <t>CN(CCN)CCN(C)CCN(C)CCN(C)CCN(C)CCN(C)CCN(C)CCN(C)CCN(C)CCN(C)CCN(C)CCN(C)CCN(C)CCN(C)CCN(C)CCN(C)CCN(C)CCN(C)CCN(C)CCN(C)CCN(C)CCN(C)CCN(C)C1CCCC(N(Cc2ccccn2)Cc2ccccn2)C1 7.821581 0.48</t>
  </si>
  <si>
    <t>CCN(CCN(Cc1ccccn1)c1cccc2c1OCCOCCOCCOCCOCCO2)Cc1cccnc1 7.8215604 0.328125</t>
  </si>
  <si>
    <t>COC(=O)C(=O)C(C)C(C)NCc1ncccc1CN1CCN(C)CCN(C)CC1 7.8215594 0.3684210526315789</t>
  </si>
  <si>
    <t>Cc1cncc(CN(C)CCN(Cc2ccccn2)C(C)(N)c2cccc3c2OCCOCCOCCOCCOCCO3)c1 7.8215456 0.3125</t>
  </si>
  <si>
    <t>Cc1cccc(CN(C)Cc2cc3c(cc2C)OCCOCCOCCOCCOCCO3)n1 7.8215203 0.4888888888888889</t>
  </si>
  <si>
    <t>CC1C=CC(C)C(C)(C)C1N(C)Cc1ccccn1 7.8215075 0.5</t>
  </si>
  <si>
    <t>CC(C)N(CCN(C)CCF)Cc1cccc(-c2ccc3c(c2)OCCOCCOCCOCCOCCO3)n1 7.8214474 0.32786885245901637</t>
  </si>
  <si>
    <t>Cc1cccnc1CN(C)CCCN1CCN(C)CCN(C)C2(C=CC=CC2CCN(C)Cc2ncccc2C)C1 7.82144 0.2835820895522388</t>
  </si>
  <si>
    <t>Cc1cnc(CN(C)C2CCCCC2N(C)Cc2ccc(CN3CCN(C)CCN(C)CC3)cn2)c(C)c1C 7.821439 0.4909090909090909</t>
  </si>
  <si>
    <t>Cc1cc(C)c(CN(C)CCCN2CCN(C)CCN(C)CC2)nc1C 7.82142 0.3469387755102041</t>
  </si>
  <si>
    <t>CN(Cc1cccnn1)c1cccc2c1OCCOCCOCCOCCOCCO2 7.8214164 0.425531914893617</t>
  </si>
  <si>
    <t>CN(C)CCN(C)C1C=CC=CN1 7.8214 0.25</t>
  </si>
  <si>
    <t>CNC1CCCCC1N(Cc1ccccn1)Cc1ncccc1F 7.8213334 0.49019607843137253</t>
  </si>
  <si>
    <t>CC(C)NCc1cccc(CN(Cc2ccccn2)C2CCC(N(C)C(C)C)CC2)n1 7.821328 0.42592592592592593</t>
  </si>
  <si>
    <t>CCN(C)CCN(C)C(C)C 7.821326 0.2</t>
  </si>
  <si>
    <t>CCCN(Cc1ccccn1)C1CCC(N(C)Cc2ncccc2-c2ccc3c(c2)OCCOCCOCCOCCOCCO3)CC1 7.8213234 0.3382352941176471</t>
  </si>
  <si>
    <t>Cc1ccncc1CN1CCN(C)CCN(Cc2ncccc2C)CC1 7.8213143 0.44680851063829785</t>
  </si>
  <si>
    <t>C1=COc2ccccc2OC(NCc2ccccn2)COCCOCCOCCO1 7.821307 0.3469387755102041</t>
  </si>
  <si>
    <t>C1=CNC(Nc2ccc3c(c2)OCCOCCOCCOCCOCCO3)C(NCc2ccccn2)=C1 7.8213034 0.32432432432432434</t>
  </si>
  <si>
    <t>CCOC(C)c1ncccc1CN1CCN(C)CCN(Cc2ncccc2C(C)C(C)N)CC1 7.821296 0.38596491228070173</t>
  </si>
  <si>
    <t>CN(CCF)CCN(C)Cc1cccnc1 7.8212824 0.4358974358974359</t>
  </si>
  <si>
    <t>CN1CCN(Cc2ccc(-c3cccc4c3OCCOCCOCCOCCOCCO4)cn2)CCN(Cc2cc(-c3ccc4c(c3)OCCOCCOCCOCCOCCO4)ccn2)CC1 7.821281 0.4714285714285714</t>
  </si>
  <si>
    <t>CN(CN(C)C1CCCC(N(CNCF)Cc2ccccn2)C1)c1cccnc1 7.821274 0.3870967741935484</t>
  </si>
  <si>
    <t>CN(CCF)CCN(C)Cc1ncccc1-c1ccc2c(c1)OCCOCCOCCOCCOCCO2 7.821272 0.32857142857142857</t>
  </si>
  <si>
    <t>Cc1cccnc1CN(Cc1ncccc1-c1ccc2c(c1)OCCOCCOCCOCCOCCO2)C1CCCCC1N(C)CCF 7.8212614 0.325</t>
  </si>
  <si>
    <t>CC1C(N)CC1c1cccc(CN(C)C2CCC(N(C)Cc3ccccn3)CC2)n1 7.8212495 0.46153846153846156</t>
  </si>
  <si>
    <t>C1=CC(N(Cc2ccccn2)c2ccc3c(c2)OCCOCCOCCOCCOCCO3)C=CN1 7.821239 0.36065573770491804</t>
  </si>
  <si>
    <t>CC(c1ccccc1)N1CCN(C)CCN(Cc2ccnc(C(C)(C)C)c2)CC1 7.821235 0.40384615384615385</t>
  </si>
  <si>
    <t>COC(=O)C(=O)C(C)C(C)NCc1ccc(CN2CCN(C)CCN(C)CC2)cn1 7.821209 0.3484848484848485</t>
  </si>
  <si>
    <t>c1ccc(CN(Cc2ccon2)C2CCCCC2)nc1 7.8212075 0.4782608695652174</t>
  </si>
  <si>
    <t>CCN(Cc1ccccn1)C1CCCCC1N(C)Cc1cccc(-c2ccc3c(c2)OCCOCCOCCOCCOCCO3)n1 7.8212066 0.4918032786885246</t>
  </si>
  <si>
    <t>Cc1cccc(CN(Cc2ccccn2)C2CCCC(N(C)C(C)C)C2)n1 7.8211975 0.4528301886792453</t>
  </si>
  <si>
    <t>CNCCN(C)C(C)(C)C 7.8211484 0.14634146341463414</t>
  </si>
  <si>
    <t>CN(C)CCN(C)C1CCCC(N(Cc2cccnc2)Cc2ccccn2)C1 7.821146 0.43636363636363634</t>
  </si>
  <si>
    <t>CC(C)NCc1cccc(CN(Cc2ccccn2)C2CCCC(N(C)C(C)C)C2)n1 7.8211308 0.4107142857142857</t>
  </si>
  <si>
    <t>CC(C)C1CC(c2cccc(CN(Cc3ccccn3)C3CCCCC3)n2)C1 7.821106 0.42592592592592593</t>
  </si>
  <si>
    <t>Cc1ccc(C)c(CN(C)C2CCCC(N(C)CCN(C)C(C)C)C2)n1 7.8210797 0.32727272727272727</t>
  </si>
  <si>
    <t>CCCN(Cc1ccccn1)C1CCC(N(C)Cc2ncccc2C)CC1 7.821056 0.4423076923076923</t>
  </si>
  <si>
    <t>CN(CCF)C1CCC(N(Cc2cccc(F)n2)Cc2cccc(F)n2)CC1 7.8210106 0.38</t>
  </si>
  <si>
    <t>CC(C)C1CC(c2ncccc2CN(Cc2ccccn2)C2CCCCC2)C1 7.820961 0.41818181818181815</t>
  </si>
  <si>
    <t>CCOC(=O)C(=O)NCc1ncccc1CN1CCN(C)CCN(C)CC1 7.8209543 0.45</t>
  </si>
  <si>
    <t>CNC1CCCC(N(C)Cc2nccc(C)c2C)C1 7.820951 0.2962962962962963</t>
  </si>
  <si>
    <t>CN(Cc1ccccn1)CC1C=CNC(c2ccc3c(c2)OCCOCCOCCOCCOCCO3)=C1 7.8209343 0.352112676056338</t>
  </si>
  <si>
    <t>CNC1CCCCC1N(Cc1ccccn1)Cc1cccc(F)n1 7.820908 0.5</t>
  </si>
  <si>
    <t>CC1C=CC(Cl)C(c2ccc(CN(Cc3ccccn3)C3CCCCC3)cn2)C1(C)C 7.8208933 0.3709677419354839</t>
  </si>
  <si>
    <t>Cc1ccnc(CN(C)C2C=CC(C)C(C)(C)C2C)c1 7.8208876 0.3269230769230769</t>
  </si>
  <si>
    <t>CN(Cc1ccc2c(c1)OCCOCCOCCOCCOCCO2)Cc1ccccc1N(C)C 7.8208838 0.2727272727272727</t>
  </si>
  <si>
    <t>CC1C(N)CC1c1ccc(CN(C)C2CCC(N(C)Cc3ccccn3)CC2)cn1 7.82088 0.43636363636363634</t>
  </si>
  <si>
    <t>CN1CCN(C)CCN(C(C)(C)c2ncccc2CN(C)C2CCCC(N(C)Cc3ncccc3-c3ccc4c(c3)OCCOCCOCCOCCOCCO4)C2)CC1 7.8208084 0.32941176470588235</t>
  </si>
  <si>
    <t>CC1C=CCC(C)(c2cc(CN(Cc3ccccn3)C3CCCCC3)ccn2)C1C 7.820784 0.3709677419354839</t>
  </si>
  <si>
    <t>CCOC(=O)C(=O)NCc1ccc(CN2CCN(C)CCN(C)CC2)cn1 7.8207603 0.4576271186440678</t>
  </si>
  <si>
    <t>CNCN1CCN(C)CCN(Cc2ccc(C(C)(C)c3ccccn3)nc2)CC1 7.8207603 0.45098039215686275</t>
  </si>
  <si>
    <t>COC(=O)C(=O)C(C)C(C)NCc1cccc(CN2CCN(C)CCN(C)CC2)n1 7.8207583 0.46153846153846156</t>
  </si>
  <si>
    <t>CN1CCN(Cc2cnccc2-c2ccc3c(c2)OCCOCCOCCOCCOCCO3)CCN(Cc2ncccc2-c2ccc3c(c2)OCCOCCOCCOCCOCCO3)CC1 7.8207173 0.3698630136986301</t>
  </si>
  <si>
    <t>CC(C)C1CCC1N=Cc1ccccn1 7.820704 0.391304347826087</t>
  </si>
  <si>
    <t>Cc1cccnc1CN(C)C1CCC(N(C)CNCc2cc(CF)ccn2)CC1 7.8206935 0.3114754098360656</t>
  </si>
  <si>
    <t>CN(CN)C(C)(C)C 7.8206863 0.13157894736842105</t>
  </si>
  <si>
    <t>CCN(CC1=C(N(C)Cc2cccnn2)CC=CN1)Cc1ccc2c(c1)OCCOCCOCCOCCOCCO2 7.8206763 0.30303030303030304</t>
  </si>
  <si>
    <t>Cc1cc(C)c(CN(C)C2CCCCC2N(C)CN)nc1C 7.8206735 0.425531914893617</t>
  </si>
  <si>
    <t>CNC1CCCCC1N(Cc1ccccn1)Cc1cccc(-c2ccc3c(c2)OCCOCCOCCOCCOCCO3)n1 7.820668 0.39436619718309857</t>
  </si>
  <si>
    <t>CC(C)N(Cc1ccccn1)C1CCCCC1N(C)Cc1cccc(-c2cccc3c2OCCOCCOCCOCCOCCO3)n1 7.820661 0.4838709677419355</t>
  </si>
  <si>
    <t>Cc1cccc(CN(Cc2cccc(CN(Cc3ccc([Si](C(C)C)(C(C)C)C(C)C)cn3)Cc3cccc(C4CC5OCCOCCOCCOCCOCCOC54)n3)n2)Cc2cccc(C3CC4OCCOCCOCCOCCOCCOC43)n2)n1 7.8206325 0.45</t>
  </si>
  <si>
    <t>CC1=CCC(C)(N(C)Cc2ccccn2)C(C)C1C 7.820632 0.42857142857142855</t>
  </si>
  <si>
    <t>Cc1ccc(CN(CCF)C2CCC(N(C)Cc3cccc(-c4ccc5c(c4)OCCOCCOCCOCCOCCO5)n3)CC2)nc1 7.8206286 0.3625</t>
  </si>
  <si>
    <t>CC1=CC(C)CC(C)(c2ncccc2CN2CCN(C)CCN(C)CC2)C1 7.820625 0.40384615384615385</t>
  </si>
  <si>
    <t>CC1C=CC2(CC1C)C(C)C=CC(C)C2N(C)Cc1ccccn1 7.8206224 0.47058823529411764</t>
  </si>
  <si>
    <t>CNCCN(C)C(C)C 7.8206215 0.18421052631578946</t>
  </si>
  <si>
    <t>COC(C)c1ncccc1CN1CCN(C)CCN(C(C)c2ccccn2)CC1 7.820611 0.4339622641509434</t>
  </si>
  <si>
    <t>CN(Cc1cccc(-c2ccc3c(c2)OCCOCCOCCOCCOCCO3)n1)C1CCCCC1N(Cc1ccccn1)C1C=CC=CN1 7.8205876 0.42857142857142855</t>
  </si>
  <si>
    <t>CC(C)N(CC1=CCC=C(N(C)Cc2cccc(C34CCC3OCCOCCOCCOCCOCCO4)n2)N1)Cc1ccccn1 7.820513 0.3287671232876712</t>
  </si>
  <si>
    <t>CN(Cc1cccnn1)c1ccc2c(c1)OCCOCCOCCOCCOCCO2 7.8205094 0.43478260869565216</t>
  </si>
  <si>
    <t>Cc1cc(CN(C)C2CCCCC2N(C)Cc2ccc(CN3CCN(C)CCN(C)CC3)cn2)nc(C)c1C 7.8204784 0.47368421052631576</t>
  </si>
  <si>
    <t>Cc1ccc(CN2CCN(C)CCN(Cc3ccc(C)nc3)CC2)nc1 7.82047 0.4782608695652174</t>
  </si>
  <si>
    <t>Cc1cc(CN2CCN(C)CCN(C)CC2)nc(C)c1-c1cccc2c1OCCOCCOCCOCCOCCO2 7.8204665 0.4107142857142857</t>
  </si>
  <si>
    <t>Cc1cnccc1CN1CCN(C)CCN(Cc2ncccc2C)CC1 7.8204584 0.44680851063829785</t>
  </si>
  <si>
    <t>CC(C)N(C)CCN(C)CCF 7.8204393 0.2222222222222222</t>
  </si>
  <si>
    <t>CCCN(Cc1ccccn1)C1CCC(N(C)Cc2cccc(C)n2)CC1 7.8204327 0.49019607843137253</t>
  </si>
  <si>
    <t>CC1=CCCC(C)(c2ncccc2CN(Cc2ccccn2)C2CCCCC2)C1C 7.8204303 0.38333333333333336</t>
  </si>
  <si>
    <t>Cc1ccccc1CN(C)C1CCCCC1N(C)Cc1cccc(-c2ccc3c(c2)OCCOCCOCCOCCOCCO3)n1 7.820422 0.45</t>
  </si>
  <si>
    <t>CC(C)N(Cc1ccccn1)C1CCCCC1N(C)Cc1cccc(-c2ccc3c(c2)OCCOCCOCCOCCOCCO3)n1 7.82042 0.4838709677419355</t>
  </si>
  <si>
    <t>CC(C)N(CCN(Cc1cccnc1)c1cccc2c1OCCOCCOCCOCCOCCO2)Cc1ccccn1 7.820409 0.4576271186440678</t>
  </si>
  <si>
    <t>CC(C)C1=CC2(C=CCC(C)C2(C)C)C=CN1 7.820405 0.13636363636363635</t>
  </si>
  <si>
    <t>CC1(C)CCC1c1cccc(CN(Cc2ccccn2)C2CCCCC2)n1 7.820405 0.4339622641509434</t>
  </si>
  <si>
    <t>CC(C)N(C)c1ccncc1CN1CCN(C)CCN(C)CC1 7.8203797 0.41304347826086957</t>
  </si>
  <si>
    <t>Cc1cnc(CN(C)C2CCC(N(C)Cc3ccccn3)CC2N(Cc2cccc(-c3ccc4c(c3)OCCOCCOCCOCCOCCO4)n2)Cc2cccc(C3CC4OCCOCCOCCOCCOCCOC43)n2)c(C)c1 7.820352 0.30337078651685395</t>
  </si>
  <si>
    <t>CC1=CC(C)CC(CN(C)Cc2ccccn2)C1C 7.8203516 0.45454545454545453</t>
  </si>
  <si>
    <t>CC1CC(c2cccc(CN(C)C3CCC(N(C)Cc4ccccn4)CC3)n2)C1C 7.8203473 0.48</t>
  </si>
  <si>
    <t>CC1=CCCC(C)(c2cccc(CN(Cc3ccccn3)C3CCCCC3)n2)C1C 7.8203173 0.38333333333333336</t>
  </si>
  <si>
    <t>CCNCc1ncccc1CN(C)C1CCCC(N(C)Cc2ccccn2)C1 7.820301 0.4807692307692308</t>
  </si>
  <si>
    <t>CC1=CC(C)C(C)C(c2ccc(CN(Cc3ccccn3)C3CCCCC3)cn2)C1 7.8202972 0.3770491803278688</t>
  </si>
  <si>
    <t>CC(C)NCc1cncc(CN2CCN(C)CCN(Cc3ccc(N)cn3)CC2)c1 7.8202877 0.38181818181818183</t>
  </si>
  <si>
    <t>CN(Cc1cccnn1)C1CCCC(N(C)C(C)(C)c2ccccn2)C1 7.820264 0.42592592592592593</t>
  </si>
  <si>
    <t>c1cnc(CN2CCCC2C2CCN(Cc3cncc(-c4ccc5c(c4)OCCOCCOCCOCCOCCO5)c3)C2)c(-c2ccc3c(c2)OCCOCCOCCOCCOCCO3)c1 7.820259 0.4864864864864865</t>
  </si>
  <si>
    <t>COC(=O)C(=O)C(C)C(C)N1CCN(C)CCN(C(=O)OC)CC1 7.8202553 0.23529411764705882</t>
  </si>
  <si>
    <t>CC(c1cccc(CNCF)n1)N1CCN(C)CCN(Cc2cccc(C(C)(C)C)n2)CC1 7.820235 0.43859649122807015</t>
  </si>
  <si>
    <t>CC(C)N(C)c1cccnc1CN1CCN(C)CCN(C)CC1 7.8202252 0.4772727272727273</t>
  </si>
  <si>
    <t>CCNCc1ccc(CN(C)C2CCCC(N(C)Cc3ccccn3)C2)cn1 7.8201976 0.4716981132075472</t>
  </si>
  <si>
    <t>CC1=CCC(N(C)CC2=CCC=CN2)CC1C 7.820191 0.35185185185185186</t>
  </si>
  <si>
    <t>CCN(C)CCN(C)CCN(C)CCN(C)CCN(C)CCN(C)CCN(C)CCN(C)CCN(C)CCN(C)CCN(C)CCN(C)CCN(C)CCN(C)CCN(C)CCN(C)CCN(C)CCN(C)CCN(C)CCN(C)CCN(C)CCN(C)CCN(C)C1CCCC(N(C)CCN(C)CC)C1 7.820181 0.2</t>
  </si>
  <si>
    <t>CN1CCN(C)CCN(Cc2cccnc2CNCc2cccc(-c3ccc4c(c3)OCCOCCOCCOCCOCCO4)n2)CC1 7.820178 0.3484848484848485</t>
  </si>
  <si>
    <t>CNCN(Cc1ccccn1)C1CCC(N(C)Cc2ncccc2C)CC1 7.8201733 0.4339622641509434</t>
  </si>
  <si>
    <t>C=CCN(C)CCN(C)Cc1cccc(-c2ccc3c(c2)OCCOCCOCCOCCOCCO3)n1 7.820153 0.36363636363636365</t>
  </si>
  <si>
    <t>CC1=CC(C)CC(C)(c2cc(CN3CCN(C)CCN(C)CC3)ccn2)C1(C)C 7.8201423 0.4074074074074074</t>
  </si>
  <si>
    <t>CNC1CCCCC1N(Cc1ccccn1)Cc1cc(-c2ccc3c(c2)OCCOCCOCCOCCOCCO3)ccn1 7.820141 0.4032258064516129</t>
  </si>
  <si>
    <t>COC(=O)N1CCN(C)CCN(C(=O)C(C)NCc2ccccn2)CC1 7.8201346 0.4230769230769231</t>
  </si>
  <si>
    <t>COC(C)NCc1ncc(CN2CCN(C)CCN(C)CC2)cc1C 7.820121 0.4528301886792453</t>
  </si>
  <si>
    <t>Cc1cccnc1CN1CCN(C)CCN(Cc2cccnc2C)CC1 7.8201137 0.4772727272727273</t>
  </si>
  <si>
    <t>Cc1cncc(CN(Cc2ccccn2)C2CCCCC2)c1 7.820065 0.46</t>
  </si>
  <si>
    <t>CNCc1cc(CN(Cc2ncccc2C)C2CCC(N(C)C(C)C)CC2)ccn1 7.820056 0.28125</t>
  </si>
  <si>
    <t>Cc1ccc(CN(C)CC2CCCN2C2C=CC=CN2)nc1 7.820027 0.42857142857142855</t>
  </si>
  <si>
    <t>CCCN(Cc1ccccn1)C1CCCC(N(C)Cc2ncccc2C)C1 7.8200145 0.4444444444444444</t>
  </si>
  <si>
    <t>Cc1cccnc1CN(C)CCN(Cc1ccccn1)C(C)(N)c1ccc2c(c1)OCCOCCOCCOCCOCCO2 7.8200035 0.3088235294117647</t>
  </si>
  <si>
    <t>c1ccc(CN(Cc2cccc(-c3ccc4c(c3)OCCOCCOCCOCCOCCO4)n2)C2COCCOCCOc3ccccc3OCCOCCO2)nc1 7.8199906 0.39705882352941174</t>
  </si>
  <si>
    <t>C=CCN(C)CCN(C)Cc1ccc(-c2cccc3c2OCCOCCOCCOCCOCCO3)nc1 7.8199873 0.2777777777777778</t>
  </si>
  <si>
    <t>Cc1cc(CN(C)C(C)C)cnc1CN1CCN(C)CCN(C)CC1 7.819956 0.45098039215686275</t>
  </si>
  <si>
    <t>Cc1cnc(CN(C)CCN2CCN(C)CCN(C)CC2)c(C)c1C 7.81995 0.46808510638297873</t>
  </si>
  <si>
    <t>CC1CC(NCc2ccccn2)C1 7.819941 0.4857142857142857</t>
  </si>
  <si>
    <t>CC1C=C(Cl)CC(C)(C)C1N 7.8199134 0.13636363636363635</t>
  </si>
  <si>
    <t>CC(C)N(C)Cc1cccnc1CN(C)C1CCC(N(C)Cc2ccccn2)CC1 7.819888 0.4897959183673469</t>
  </si>
  <si>
    <t>CC(N)C(C)N(C)Cc1ccc(-c2cccc3c2OCCOCCOCCOCCOCCO3)cn1 7.819882 0.323943661971831</t>
  </si>
  <si>
    <t>CN(CCN)Cc1ncccc1-c1cccc2c1OCCOCCOCCOCCOCCO2 7.819878 0.3157894736842105</t>
  </si>
  <si>
    <t>CC(C)N(C(C)C)C1CCCC(N(C)C)C1 7.819859 0.17391304347826086</t>
  </si>
  <si>
    <t>CC(N)C(C)(CN(Cc1ccccn1)Cc1ccccn1)N(Cc1ccccn1)Cc1cccc2c1OCCOCCOCCOCCOCCO2 7.819824 0.3770491803278688</t>
  </si>
  <si>
    <t>CC1C=CC2(CC1C)C(C)C=CC(N(Cc1ccccn1)C(C)C)C2(C)C 7.8198223 0.375</t>
  </si>
  <si>
    <t>CC1=CCC=CN1 7.8198185 0.2926829268292683</t>
  </si>
  <si>
    <t>CNC1CCCC(N(C)Cc2ncc(C)cc2C)C1 7.819808 0.33962264150943394</t>
  </si>
  <si>
    <t>CN(Cc1cccc(-c2ccc3c(c2)OCCOCCOCCOCCOCCO3)n1)C1CCCCC1NCc1cccc(-c2ccc3c(c2)OCCOCCOCCOCCOCCO3)n1 7.819805 0.4098360655737705</t>
  </si>
  <si>
    <t>COC(=O)C(=O)C(C)CNCc1ncccc1CN1CCN(C)CCN(C)CC1 7.819758 0.3684210526315789</t>
  </si>
  <si>
    <t>CC1=CCC(N(C)Cc2ccccn2)C(C)(C)C1C 7.8197412 0.48936170212765956</t>
  </si>
  <si>
    <t>CC(C)N(C)C1=CNC(N(C)CN2CCN(C)CCN(C)CC2)=CC1 7.8197265 0.30357142857142855</t>
  </si>
  <si>
    <t>CNC1CCCC(N(C)Cc2cc(C)cc(C)n2)C1 7.819723 0.37254901960784315</t>
  </si>
  <si>
    <t>CNCN(Cc1ccccn1)C1CCC(N(C)Cc2cccc(C)n2)CC1 7.819691 0.4807692307692308</t>
  </si>
  <si>
    <t>CN(CCN)CCN(C)Cc1cccnc1 7.819686 0.4</t>
  </si>
  <si>
    <t>CN(CCF)CCN(C)C(C)(C)c1ccccn1 7.819684 0.34782608695652173</t>
  </si>
  <si>
    <t>CCNCC(C)(C)N(C)Cc1ccccn1 7.8196745 0.46511627906976744</t>
  </si>
  <si>
    <t>C=CCN(C)CCN(C)Cc1cccnc1-c1ccc2c(c1)OCCOCCOCCOCCOCCO2 7.8196645 0.3559322033898305</t>
  </si>
  <si>
    <t>Cc1ccc(CN2CCN(C)CCN(Cc3ncccc3C)CC2)cn1 7.8196497 0.45652173913043476</t>
  </si>
  <si>
    <t>CC(NCc1cccc(CN2CCN(C)CCN(C)CC2)n1)C(C)c1cccc(C2CCC2(C)C)n1 7.8196297 0.423728813559322</t>
  </si>
  <si>
    <t>C=CCN(C)CCN(C)Cc1ccc(-c2ccc3c(c2)OCCOCCOCCOCCOCCO3)nc1 7.8196115 0.34285714285714286</t>
  </si>
  <si>
    <t>CC1C=CCC(C)C1(C)c1ncccc1CN(Cc1ccccn1)C1CCCCC1 7.8195877 0.38333333333333336</t>
  </si>
  <si>
    <t>CC(C)C(C)N(C)CC1=CCC=CN1 7.8195853 0.41304347826086957</t>
  </si>
  <si>
    <t>CCC1(C)CC(c2cccc(CN(Cc3ccccn3)C3CCCCC3)n2)C1 7.819569 0.41818181818181815</t>
  </si>
  <si>
    <t>CC1C=CCC(C)C1(C)c1cccc(CN(Cc2ccccn2)C2CCCCC2)n1 7.8194866 0.3898305084745763</t>
  </si>
  <si>
    <t>CCNCc1cccc(CN(C)C2CCCCC2N(C)Cc2cccc(-c3ccc4c(c3)OCCOCCOCCOCCOCCO4)n2)n1 7.8194823 0.41935483870967744</t>
  </si>
  <si>
    <t>CC(C)N(C)c1cncc(CN2CCN(C)CCN(C)CC2)c1 7.819456 0.37254901960784315</t>
  </si>
  <si>
    <t>CC(C)N(C)c1ncccc1CN1CCN(C)CCN(C)CC1 7.8194523 0.4772727272727273</t>
  </si>
  <si>
    <t>Cc1c(CN2CCN(C)CCN(C)CC2)nc(NCF)c(C)c1C 7.8194175 0.3877551020408163</t>
  </si>
  <si>
    <t>CCCN(Cc1ccccn1)C1CCCC(N(C)Cc2cccc(C)n2)C1 7.819414 0.49056603773584906</t>
  </si>
  <si>
    <t>Cc1ccc(C(C)(C)CN(Cc2ccccn2)Cc2ccccn2)c2c1OCCOCCOCCOCCOCCO2 7.819405 0.4423076923076923</t>
  </si>
  <si>
    <t>CN(Cc1ccc2c(c1)OCCOCCOCCOCCOCCO2)C1=CNCC=C1N(Cc1ccccn1)c1ccc2c(c1)OCCOCCOCCOCCOCCO2 7.8194017 0.31343283582089554</t>
  </si>
  <si>
    <t>CC1C=CC(C)C(N(C)CC2=CCC=CN2)C1C 7.819387 0.38</t>
  </si>
  <si>
    <t>FC1=CCC=CN1 7.819359 0.2926829268292683</t>
  </si>
  <si>
    <t>CC(c1ccccn1)(c1ccccn1)c1cccc(CNC2COCCOCCOCCOC=COCCO2)n1 7.8193464 0.375</t>
  </si>
  <si>
    <t>CC1=CNC=CC1c1cc(CN2CCN(C)CCN(C)CC2)ccn1 7.8193426 0.4230769230769231</t>
  </si>
  <si>
    <t>CN(CCNCc1cccnc1)CCN(C)CCN(C)CCN(C)CCN(C)CCN(C)Cc1ccccn1 7.819334 0.43859649122807015</t>
  </si>
  <si>
    <t>NC1=CC=CNC1 7.8193088 0.11363636363636363</t>
  </si>
  <si>
    <t>NC1=CC=CCN1 7.819305 0.1276595744680851</t>
  </si>
  <si>
    <t>CC(C)N(C)C1=C(CN(C)C2CCC(N(C)Cc3cccc(-c4ccc5c(c4)OCCOCCOCCOCCOCCO5)n3)CC2)NC=CC1 7.819282 0.30120481927710846</t>
  </si>
  <si>
    <t>CC(C)C(C)N(C)CCN(C)CC(C)(C)C 7.819276 0.20930232558139536</t>
  </si>
  <si>
    <t>CC1=CC(C)CC(NCc2ccccn2)C1C 7.819272 0.40476190476190477</t>
  </si>
  <si>
    <t>CC1C=CC(C)C(C)(N(C)Cc2ccccn2)C1 7.819258 0.44680851063829785</t>
  </si>
  <si>
    <t>Cc1cccnc1CN(C)C1CCCC(N(C)c2cncc(CN3CCN(C)CCN(C)CC3)c2)C1 7.819257 0.3230769230769231</t>
  </si>
  <si>
    <t>CC1C(N)CC1CN(C)Cc1cc(N)ccn1 7.81925 0.31666666666666665</t>
  </si>
  <si>
    <t>CC(NCc1cccc(CN2CCN(C)CCN(C)CC2)n1)C(C)(C)c1cccc(C2CCC2(C)C)n1 7.8192477 0.4098360655737705</t>
  </si>
  <si>
    <t>CC1CC(N(Cc2ccccn2)C2CCC(N(C)Cc3cccc(-c4cccc5c4OCCOCCOCCOCCOCCO5)n3)CC2)C1 7.819247 0.36764705882352944</t>
  </si>
  <si>
    <t>CC(C)N(C)CCN(C)C(C)(C)c1cncc(-c2cccc3c2OCCOCCOCCOCCOCCO3)c1 7.819246 0.225</t>
  </si>
  <si>
    <t>CCNCc1cccc(-c2cccc3c2OCCOCCOCCOCCOCCO3)n1 7.819227 0.23728813559322035</t>
  </si>
  <si>
    <t>CC1C=CC(C)C(N(C)Cc2cccc(-c3cccc4c3OCCOCCOCCOCCOCCO4)n2)C1C 7.819207 0.30158730158730157</t>
  </si>
  <si>
    <t>Cc1cnc(CN2CCN(C)CCN(C3CCCC(N(C)Cc4ncc(C)c(C)c4C)C3)CC2)c(C)c1 7.819184 0.38461538461538464</t>
  </si>
  <si>
    <t>CC(C)C1=CC2(C=CN1)C=CC(C)C(C)(C)C2 7.8191605 0.15254237288135594</t>
  </si>
  <si>
    <t>CN(Cc1cc(-c2ccc3c(c2)OCCOCCOCCOCCOCCO3)ccn1)c1ccc2c(c1)OCCOCCOCCOCCOCCO2 7.81916 0.4098360655737705</t>
  </si>
  <si>
    <t>CN(Cc1cccc(-c2ccc3c(c2)OCCOCCOCCOCCOCCO3)n1)C1CCC(N(Cc2ccc(Cl)cn2)CN(C)C2CCCCC2N(C)Cc2cccc(-c3ccc4c(c3)OCCOCCOCCOCCOCCO4)n2)CC1 7.81911 0.3614457831325301</t>
  </si>
  <si>
    <t>CC1=CC(C)C(C(C)(C)N(C)CC2=CCC=CN2)CC1C 7.8191004 0.3275862068965517</t>
  </si>
  <si>
    <t>CC1=CC(C)(C)C(C)(C(C)N(C)Cc2ccccn2)C(C)C1 7.8190966 0.40384615384615385</t>
  </si>
  <si>
    <t>c1ccc(CN(Cc2cccc(-c3ccc4c(c3)OCCOCCOCCOCCOCCO4)n2)C2COCCOCCOCCOCCOc3ccccc3O2)nc1 7.8190966 0.39705882352941174</t>
  </si>
  <si>
    <t>Cc1ccc2c(c1CN(C)C1CCCCC1N(C)Cc1ccc3ncccc3c1)OCCOCCOCCOCCOCCO2 7.819069 0.35384615384615387</t>
  </si>
  <si>
    <t>Cc1cccnc1CN(C)C1CCCCC1N(C)Cc1ccc(C2CC(N)C2C)nc1 7.819054 0.38333333333333336</t>
  </si>
  <si>
    <t>CC(C)C1=CC2(C=CCC(C)(C)C2(C)C)C=CN1 7.8190527 0.14545454545454545</t>
  </si>
  <si>
    <t>CC1=CCC(CN(C)C2CCC(N(C)Cc3ccon3)CC2)C(C)=C1C 7.819051 0.3877551020408163</t>
  </si>
  <si>
    <t>CC1=C(C)C(C)CC2(C1)C(C)C(C)=C(C)C(C)(C)C2c1ncccc1CN1CCN(C)CCN(C)CC1 7.8190455 0.3442622950819672</t>
  </si>
  <si>
    <t>CN(CCN)CC(C)(C)C 7.819034 0.23684210526315788</t>
  </si>
  <si>
    <t>CN(Cc1cc(-c2cccc3c2OCCOCCOCCOCCOCCO3)ccn1)C1CCCC(NCc2ccccn2)C1 7.819022 0.34782608695652173</t>
  </si>
  <si>
    <t>CN(Cc1cccc(-c2ccc3c(c2)OCCOCCOCCOCCOCCO3)n1)C1CCCCC1N(C)C1=CCC=CN1 7.8189917 0.38235294117647056</t>
  </si>
  <si>
    <t>Cc1ccc2c(c1-c1ncccc1CN(Cc1ccccn1)C1CCCCC1)OCCOCCOCCOCCOCCO2 7.8189836 0.359375</t>
  </si>
  <si>
    <t>Cc1cccnc1CN(Cc1ccccn1)C1CCCCC1 7.8189745 0.5</t>
  </si>
  <si>
    <t>Cc1ccc2c(c1CN(Cc1ccccn1)Cc1ccccn1)OCCOCCOCCOCCOCCO2 7.818969 0.46511627906976744</t>
  </si>
  <si>
    <t>CC1=CC(C)C(C)CC1CN(C)Cc1ccccn1 7.8189583 0.45454545454545453</t>
  </si>
  <si>
    <t>CC(c1ccon1)C(C)C(C)c1ncccc1CN1CCN(C)CCN(C)CC1 7.8189564 0.4230769230769231</t>
  </si>
  <si>
    <t>CN(Cc1ccccn1)c1cc2c(c(C3CCC3(C)C)c1)OCCOCCOCCOCCOCCO2 7.8189263 0.36065573770491804</t>
  </si>
  <si>
    <t>CCN(C)CCN1CCN(C)CCN(Cc2cccc3ncccc23)CC1 7.8189197 0.42</t>
  </si>
  <si>
    <t>COC(=O)C(=O)C(C)NCc1cc(CN2CCN(C)CCN(C)CC2)ccn1 7.8189163 0.45</t>
  </si>
  <si>
    <t>CCC1=NC(C2=C(C)C(C)C(c3ncccc3CN3CCN(C)CCN(C)CC3)CC2)CO1 7.8189063 0.3230769230769231</t>
  </si>
  <si>
    <t>CN(Cc1ccccn1)C1CCC(N(C)Cc2cccc(-c3cccc4c3OCCOCCOCCOCCOCCO4)n2)CC1 7.8189 0.43103448275862066</t>
  </si>
  <si>
    <t>Cc1ccccc1CN(C)C1CCC(N(C)Cc2cccc(-c3ccc4c(c3)OCCOCCOCCOCCOCCO4)n2)CC1 7.818892 0.3424657534246575</t>
  </si>
  <si>
    <t>CC(C)NC1C=CC=CN1 7.8188868 0.2127659574468085</t>
  </si>
  <si>
    <t>CC(C)N(C)CCN(C)Cc1ncccc1-c1cccc2c1OCCOCCOCCOCCOCCO2 7.818883 0.3220338983050847</t>
  </si>
  <si>
    <t>Cc1cnccc1CN(C)CC1CCCN1C(C)C 7.818868 0.3898305084745763</t>
  </si>
  <si>
    <t>CN(Cc1cccc(-c2cccc3c2OCCOCCOCCOCCOCCO3)n1)C1CCCCC1N(C)Cc1cccc(-c2cccc3c2OCCOCCOCCOCCOCCO3)n1 7.81886 0.5</t>
  </si>
  <si>
    <t>CCN(Cc1ccccn1)C1CCC(N(C)Cc2cccc(-c3cccc4c3OCCOCCOCCOCCOCCO4)n2)CC1 7.8188562 0.38461538461538464</t>
  </si>
  <si>
    <t>CN1CCN(Cc2cc(-c3ccc4c(c3)OCCOCCOCCOCCOCCO4)ccn2)CCN(Cc2cnccc2C(C)(C)C)CC1 7.8188443 0.3972602739726027</t>
  </si>
  <si>
    <t>CN1CCN(Cc2cc(N(O)c3ccc4c(c3)OCCOCCOCCOCCOCCO4)ccn2)CCN(Cc2cccc(-c3ccc4c(c3)OCCOCCOCCOCCOCCO4)n2)CC1 7.818834 0.484375</t>
  </si>
  <si>
    <t>CNCCNCc1cccc(CF)n1 7.818832 0.4166666666666667</t>
  </si>
  <si>
    <t>CCN(Cc1cccc(CN2CCN(C)CCN(C)CC2)n1)Cc1cccc(-c2ccc3c(c2)OCCOCCOCCOCCOCCO3)n1 7.8188267 0.4</t>
  </si>
  <si>
    <t>CN(CCN(Cc1ccccn1)c1cccc2c1OCCOCCOCCOCCOCCO2)Cc1ccccn1 7.81881 0.39285714285714285</t>
  </si>
  <si>
    <t>Cc1cc(C)c(CN(C)C2CCCC(N(C)C(C)C(C)N)C2)nc1C 7.8188024 0.2542372881355932</t>
  </si>
  <si>
    <t>CC1=CC(C)C(C)C(N(C)CC2=CCC=CN2)C1 7.818796 0.34545454545454546</t>
  </si>
  <si>
    <t>CC1C(c2cncc(CN3CCN(C)CCN(C)CC3)c2)=CCC(N(C)Cc2ccccn2)C1C 7.8187923 0.43333333333333335</t>
  </si>
  <si>
    <t>CN(CCN)Cc1ncccc1-c1ccc2c(c1)OCCOCCOCCOCCOCCO2 7.818788 0.3382352941176471</t>
  </si>
  <si>
    <t>CC1C=CC(C)(c2cccc(CN(Cc3ccccn3)C3CCCCC3)n2)CC1C 7.8187766 0.3898305084745763</t>
  </si>
  <si>
    <t>C=CCN(C)CCN(Cc1ccccn1)C(C)(N)N(Cc1ccccn1)c1ccc2c(c1)OCCOCCOCCOCCOCCO2 7.8187733 0.32894736842105265</t>
  </si>
  <si>
    <t>CNC1CCCCC1N(Cc1ccccn1)Cc1ncccc1C 7.81875 0.5</t>
  </si>
  <si>
    <t>Cc1cncc(CN(C)CC2CCCN2C(C)C)c1 7.81873 0.3442622950819672</t>
  </si>
  <si>
    <t>CN(Cc1cccc(-c2cccc3c2OCCOCCOCCOCCOCCO3)n1)C1CCCCC1N(C)Cc1ncccc1-c1cccc2c1OCCOCCOCCOCCOCCO2 7.81872 0.4262295081967213</t>
  </si>
  <si>
    <t>CCN(Cc1ccccn1)C1CCC(N(C)Cc2cccc(-c3ccc4c(c3)OCCOCCOCCOCCOCCO4)n2)CC1 7.8187184 0.39436619718309857</t>
  </si>
  <si>
    <t>CC(NCc1ncccc1CN1CCN(C)CCN(C)CC1)c1cccnc1CF 7.81871 0.39622641509433965</t>
  </si>
  <si>
    <t>Cc1ccc(CN(Cc2cccnn2)C2CCCCC2)nc1 7.818698 0.5</t>
  </si>
  <si>
    <t>Cc1cc(CN(C)CCN2CCN(C)CCN(C)CC2)nc(C)c1C 7.818675 0.3829787234042553</t>
  </si>
  <si>
    <t>CN(CC1=C(N(C)Cc2ccccn2)CC=CN1)Cc1cccc2c1OCCOCCOCCOCCOCCO2 7.8186607 0.32857142857142857</t>
  </si>
  <si>
    <t>CC1C=CC(C)(C)C(C)C1N(C)Cc1ccccn1 7.8186417 0.4888888888888889</t>
  </si>
  <si>
    <t>CCNCc1cc(CN(C)C2CCCC(N(C)Cc3cccnn3)C2)ccn1 7.818626 0.37037037037037035</t>
  </si>
  <si>
    <t>Cc1ccccc1CN(C)C1CCCCC1N(C)Cc1ccon1 7.818613 0.48936170212765956</t>
  </si>
  <si>
    <t>CN(Cc1ncccc1-c1cccc2c1OCCOCCOCCOCCOCCO2)C1CCC(N(C)CC(C)(C)c2ccccn2)CC1 7.818608 0.2753623188405797</t>
  </si>
  <si>
    <t>CC1C=CC(C)C(N(C)Cc2cc(-c3ccc4c(c3)OCCOCCOCCOCCOCCO4)ccn2)C1C 7.8186073 0.3880597014925373</t>
  </si>
  <si>
    <t>CC1=CC(C)CC(C)(c2cc(CN3CCN(C)CCN(C)CC3)ccn2)C1 7.8185773 0.4074074074074074</t>
  </si>
  <si>
    <t>FCc1ccccc1 7.8185687 0.3157894736842105</t>
  </si>
  <si>
    <t>CN(CC1=CCC(N(C)C2C=CC=CN2)=CN1)c1cccc2c1OCCOCCOCCOCCOCCO2 7.818567 0.21794871794871795</t>
  </si>
  <si>
    <t>COC(=O)C(=O)C(C)NCc1ncccc1CN1CCN(C)CCN(C)CC1 7.818567 0.38181818181818183</t>
  </si>
  <si>
    <t>CN(CC1=C(N(C)C2C=CC=CN2)CC=CN1)c1ccc2c(c1)OCCOCCOCCOCCOCCO2 7.818551 0.2564102564102564</t>
  </si>
  <si>
    <t>CC1=CC(c2ncccc2CN(Cc2ccccn2)C2CCCCC2)C(C)C(C)C1 7.818542 0.3898305084745763</t>
  </si>
  <si>
    <t>CN(CCN)CCN(C)C(C)(C)c1ccccn1 7.8185234 0.34782608695652173</t>
  </si>
  <si>
    <t>CN(Cc1ccccn1)C1CCC(N(C)Cc2cccc(-c3ccc4c(c3)OCCOCCOCCOCCOCCO4)n2)CC1 7.8185177 0.4375</t>
  </si>
  <si>
    <t>CC1=CC(C)C(CN(C)Cc2ccccn2)CC1C 7.8185153 0.45454545454545453</t>
  </si>
  <si>
    <t>CC1C=CC2(CC1)CC1(C=CC(C)C3(C=CC(C)C(C)(C)C3)C1)C=C(N(Cc1ccccn1)C(C)C)C2C 7.8184576 0.31343283582089554</t>
  </si>
  <si>
    <t>CN(Cc1ccccn1)C1CCC(N(C)Cc2ncccc2-c2cccc3c2OCCOCCOCCOCCOCCO3)CC1 7.8184485 0.41379310344827586</t>
  </si>
  <si>
    <t>CC(c1ccccn1)(c1ccccn1)c1cccc(CNC2COCCOCCOCCOCCOC=CO2)n1 7.8184085 0.375</t>
  </si>
  <si>
    <t>CCNCc1cccc(-c2ccc3c(c2)OCCOCCOCCOCCOCCO3)n1 7.8183947 0.36507936507936506</t>
  </si>
  <si>
    <t>CN(CCN(C)C(C)(C)C)Cc1ncccc1-c1ccc2c(c1)OCCOCCOCCOCCOCCO2 7.8183928 0.323943661971831</t>
  </si>
  <si>
    <t>Cc1cnc(CN(C)C2CCCC(N(C)Cc3ccc(CN4CCN(C)CCN(C)CC4)cn3)C2)c(C)c1C 7.8183794 0.3870967741935484</t>
  </si>
  <si>
    <t>CN(Cc1cc(CF)ccn1)C1CCCCC1N(C)Cc1cc(-c2ccc3c(c2)OCCOCCOCCOCCOCCO3)ccn1 7.818365 0.41379310344827586</t>
  </si>
  <si>
    <t>CN(CC1=CCC(N(C)C2C=CC=CN2)=CN1)c1ccc2c(c1)OCCOCCOCCOCCOCCO2 7.818355 0.25</t>
  </si>
  <si>
    <t>Cc1cc(CN(C)C2CCCC(N(C)CF)C2)nc(C)c1C 7.8183503 0.3269230769230769</t>
  </si>
  <si>
    <t>CN(Cc1cccc(-c2ccc3c(c2)OCCOCCOCCOCCOCCO3)n1)C1CCCCC1N(CC1=CCC=CN1)Cc1ccccn1 7.818346 0.4166666666666667</t>
  </si>
  <si>
    <t>CN(Cc1ncccc1CF)C1CCCCC1N(C)Cc1ncccc1-c1cccc2c1OCCOCCOCCOCCOCCO2 7.8183413 0.3709677419354839</t>
  </si>
  <si>
    <t>Cc1cncc(CN(C)C2CCCCC2N(C)Cc2cccnn2)c1 7.818339 0.48</t>
  </si>
  <si>
    <t>CC(C)N(C)CCN(C)Cc1cccnc1 7.8183374 0.3902439024390244</t>
  </si>
  <si>
    <t>CN(Cc1cccc(-c2ccc3c(c2)OCCOCCOCCOCCOCCO3)n1)C1CCCCC1N(C)Cc1cccc(-c2ccc3c(c2)OCCOCCOCCOCCOCCO3)n1 7.8183246 0.5</t>
  </si>
  <si>
    <t>CN(Cc1ccccn1)C1C=CNC(CN(Cc2ccccn2)Cc2cccc3c2OCCOCCOCCOCCOCCO3)=C1 7.818321 0.39705882352941174</t>
  </si>
  <si>
    <t>CC(C)N(C)c1ccc(CN2CCN(C)CCN(C)CC2)cn1 7.8183203 0.4222222222222222</t>
  </si>
  <si>
    <t>CN1CCN(C)CCN(Cc2cnccc2N(C)O)CC1 7.818318 0.4375</t>
  </si>
  <si>
    <t>CC1CC(N)C1CN(C)Cc1ccccn1 7.8183155 0.4807692307692308</t>
  </si>
  <si>
    <t>CN(Cc1cccc(CF)n1)C1CCCCC1N(C)Cc1cccc(-c2ccc3c(c2)OCCOCCOCCOCCOCCO3)n1 7.8182983 0.4482758620689655</t>
  </si>
  <si>
    <t>CN1CCN(C)CCN(Cc2cnc(Cl)c(Cl)c2)CC1 7.8182974 0.4186046511627907</t>
  </si>
  <si>
    <t>Cc1cc(CN(C)C2CCC(N(C)C3CCCCC3N(Cc3ccccn3)Cc3cccc(F)n3)CC2)nc(C)c1C 7.8182926 0.45161290322580644</t>
  </si>
  <si>
    <t>CC(C)NCc1ncccc1CN(Cc1ccccn1)C1CCCCC1 7.818276 0.4339622641509434</t>
  </si>
  <si>
    <t>CC(C)NCc1cccc(CN(Cc2ccccn2)C2CCCCC2)n1 7.8182716 0.46</t>
  </si>
  <si>
    <t>CC1C=CC(C)(C)C(C(C)(C)C)C1CN(C)Cc1ccccn1 7.8182616 0.4</t>
  </si>
  <si>
    <t>CCNCc1cccc(CN(C)C2CCC(N(C)Cc3cccc(-c4ccc5c(c4)OCCOCCOCCOCCOCCO5)n3)CC2)n1 7.818258 0.33783783783783783</t>
  </si>
  <si>
    <t>Cc1ccc(CN(C)C2CCCC(N(Cc3ccccn3)Cc3cccc(CN4CCN(C)CCN(C)CC4)n3)C2)nc1 7.818258 0.45</t>
  </si>
  <si>
    <t>CN(CN(C)C1CCCCC1N(C)C1C=CC=CN1)c1cc(Cl)ccn1 7.8182435 0.3114754098360656</t>
  </si>
  <si>
    <t>CN1CCN(C)CCN(C(C)(C)N(C)C2CCCCC2N(C)c2ccc3cccnc3c2)CC1 7.8182373 0.42857142857142855</t>
  </si>
  <si>
    <t>Cc1ccc(CN(CCF)C2CCC(N(C)Cc3ncccc3C)CC2)nc1 7.818218 0.42857142857142855</t>
  </si>
  <si>
    <t>Cc1cnc(CN(C)C2CCC(N(CCN(C)CCF)Cc3ccccn3)CC2)c(C)c1C 7.8182125 0.3898305084745763</t>
  </si>
  <si>
    <t>CC(C)N(Cc1ccccn1)C1CCC(N(C)Cc2cccc(-c3cccc4c3OCCOCCOCCOCCOCCO4)n2)CC1 7.8181963 0.3787878787878788</t>
  </si>
  <si>
    <t>CN(CCF)Cc1cccc(-c2ccc3c(c2)OCCOCCOCCOCCOCCO3)n1 7.8181953 0.37254901960784315</t>
  </si>
  <si>
    <t>CC1=CC(C)C(C)CC1NCc1ccccn1 7.8181868 0.40476190476190477</t>
  </si>
  <si>
    <t>CN(Cc1ccccn1)C1CCC(N(C)Cc2cc(-c3ccc4c(c3)OCCOCCOCCOCCOCCO4)ccn2)CC1 7.818185 0.43636363636363634</t>
  </si>
  <si>
    <t>CN(Cc1ccccn1)C1CCC(N(C)Cc2cccc(C3CCC3(C)C)n2)CC1 7.8181696 0.48</t>
  </si>
  <si>
    <t>CN1CCN(Cc2cc(-c3ccc4c(c3)OCCOCCOCCOCCOCCO4)ccn2)CCN(Cc2cc(C(C)(C)C)ccn2)CC1 7.8181677 0.45454545454545453</t>
  </si>
  <si>
    <t>Cc1cccc(CN(C)C2CCCC(N(C)Cc3cccc(-c4cccc5c4OCCOCCOCCOCCOCCO5)n3)C2)c1 7.818159 0.3333333333333333</t>
  </si>
  <si>
    <t>CC(C)c1cc(CN2CCN(C)CCN(Cc3cc(C(C)C(C)C)ccn3)CC2)ccn1 7.8181314 0.5</t>
  </si>
  <si>
    <t>Cc1nc(CN(C)C2CCCCC2N(C)CCN(C)CCF)c(C)c(C)c1C 7.818125 0.36538461538461536</t>
  </si>
  <si>
    <t>CN(CC1=C(N(C)Cc2ccccn2)CC=CN1)Cc1ccc2c(c1)OCCOCCOCCOCCOCCO2 7.818121 0.34375</t>
  </si>
  <si>
    <t>CNCc1ncccc1CN(C)C1CCC(N(C)Cc2ccccn2)CC1 7.8181067 0.5</t>
  </si>
  <si>
    <t>CN(Cc1ccc(-c2ccc3c(c2)OCCOCCOCCOCCOCCO3)nc1)C1CCC(N(C)Cc2ccccn2)CC1 7.8180594 0.39344262295081966</t>
  </si>
  <si>
    <t>CNC(C)(C)N(C)C1CCC(N(C)Cc2cc(C)c(C)c(C)n2)CC1 7.818056 0.3090909090909091</t>
  </si>
  <si>
    <t>CC(C)C(c1ccccn1)N(C)C1CCCC(N(C)Cc2cccnn2)C1 7.818055 0.4107142857142857</t>
  </si>
  <si>
    <t>C#CCNCc1ncccc1CN1CCN(C)CCN(Cc2ncccc2C(C)(C)c2ccccn2)CC1 7.818052 0.3898305084745763</t>
  </si>
  <si>
    <t>CN1CCN(C)CCN(C(C)(C)c2cncc(C3CCC3(C)C)c2)CC1 7.8180385 0.2222222222222222</t>
  </si>
  <si>
    <t>CC(C)N(Cc1ccccn1)C1CCC(N(C)Cc2cccc(-c3ccc4c(c3)OCCOCCOCCOCCOCCO4)n2)CC1 7.8180184 0.39436619718309857</t>
  </si>
  <si>
    <t>CC(C)C1=CC2(C=CN1)C=CC(C)(C)C(C)C2 7.8180084 0.13559322033898305</t>
  </si>
  <si>
    <t>CNc1cccc(CN2CCN(C)CCN(Cc3cccc(-c4ccc5c(c4)OCCOCCOCCOCCOCCO5)n3)CC2)n1 7.817996 0.41379310344827586</t>
  </si>
  <si>
    <t>Cc1cc(CN(C)C2CCC(N(C)C3C=CC=CN3)CC2)nc(C)c1C 7.8179836 0.26666666666666666</t>
  </si>
  <si>
    <t>Cc1cnc(CN(C)C2CCC(N(C)C(C)C)CC2)c(C)c1C 7.817975 0.3137254901960784</t>
  </si>
  <si>
    <t>CC1C=CC(C)C(C)(NCc2ccccn2)C1 7.8179746 0.40476190476190477</t>
  </si>
  <si>
    <t>CN(Cc1ccc(C2=CC3OCCOC=COCCOCCOCCOC3C=C2)cn1)Cc1cccnc1-c1ccc2c(c1)OCCOCCOCCOCCOCCO2 7.8179703 0.3493975903614458</t>
  </si>
  <si>
    <t>CNCc1cc(CN(Cc2ccccn2)C(C)(N)c2ccc3c(c2)OCCOCCOCCOCCOCCO3)ccn1 7.817957 0.30303030303030304</t>
  </si>
  <si>
    <t>CC(C)C(C)N(C)Cc1cccc(-c2cccc3c2OCCOCCOCCOCCOCCO3)n1 7.8179445 0.3050847457627119</t>
  </si>
  <si>
    <t>CN(Cc1ccc(-c2cccc3c2OCCOCCOCCOCCOCCO3)cn1)C1CCCCC1N(C)Cc1ccc(-c2cccc3c2OCCOCCOCCOCCOCCO3)cn1 7.817928 0.48148148148148145</t>
  </si>
  <si>
    <t>CCN(Cc1ccccn1)C1CCC(N(C)Cc2ncccc2-c2ccc3c(c2)OCCOCCOCCOCCOCCO3)CC1 7.8179197 0.3484848484848485</t>
  </si>
  <si>
    <t>CN(Cc1cccc(CN(C)C2CCCCC2N(C)Cc2cccc(-c3ccc4c(c3)OCCOCCOCCOCCOCCO4)n2)n1)C1CCC(N(C)Cc2cccc(-c3ccc4c(c3)OCCOCCOCCOCCOCCO4)n2)CC1 7.8179116 0.45614035087719296</t>
  </si>
  <si>
    <t>CC(C)N(Cc1ccccn1)C1CCC(N(C)Cc2cc(-c3ccc4c(c3)OCCOCCOCCOCCOCCO4)ccn2)CC1 7.8179073 0.3870967741935484</t>
  </si>
  <si>
    <t>CN(Cc1cc(-c2ccc3c(c2)OCCOCCOCCOCCOCCO3)ccn1)C1CCCCC1N(C)Cc1cccc(-c2ccc3c(c2)OCCOCCOCCOCCOCCO3)n1 7.817901 0.4406779661016949</t>
  </si>
  <si>
    <t>CCC(C)(c1ccccn1)c1cccc(CN(CCF)C2CCCCC2)n1 7.8178973 0.3559322033898305</t>
  </si>
  <si>
    <t>CN(Cc1ccccn1)C1CCCC(N(Cc2ccccn2)CC2C=CNC=C2)C1 7.817887 0.49019607843137253</t>
  </si>
  <si>
    <t>CCNC(C)C(C)C 7.817864 0.10869565217391304</t>
  </si>
  <si>
    <t>CN(Cc1cccc(C2CC3OCCOCCOCCOCCOCCOC32)n1)C1CCC(N(C)c2ccc3nc(CF)ccc3c2)CC1 7.8178635 0.2987012987012987</t>
  </si>
  <si>
    <t>Cc1nc(CN(C)CCCN2CCN(C)CCN(C)CC2)c(C)c(C)c1C 7.8178606 0.30612244897959184</t>
  </si>
  <si>
    <t>Cc1cc(N(C)CCCN2CCN(C)CCN(C)CC2)cc(C)c1C 7.817842 0.32608695652173914</t>
  </si>
  <si>
    <t>CC1C=CC(C)(C)C(N(C)CC2=CCC=CN2)C1C 7.817824 0.3392857142857143</t>
  </si>
  <si>
    <t>CN1CCN(Cc2cc(-c3ccc4c(c3)OCCOCCOCCOCCOCCO4)ccn2)CCN(C(C)(C)c2cccnc2C2CCC2(C)C)CC1 7.8178234 0.3614457831325301</t>
  </si>
  <si>
    <t>CN(Cc1ccc(-c2ccc3c(c2)OCCOCCOCCOCCOCCO3)cn1)C1CCCCC1N(C)Cc1cccc(-c2ccc3c(c2)OCCOCCOCCOCCOCCO3)n1 7.8178015 0.5</t>
  </si>
  <si>
    <t>Cc1cc(C)c(CN2CCN(C)CCN(C(C)C)CC2)nc1C 7.8178005 0.41304347826086957</t>
  </si>
  <si>
    <t>NC1=CNCC=C1 7.8177958 0.11363636363636363</t>
  </si>
  <si>
    <t>CN(C)C1CCC(N(C)Cc2cccc(C3CC(C)(C)C3)n2)CC1 7.8177876 0.4</t>
  </si>
  <si>
    <t>CN(CC1=CCC(N(C)Cc2ccccn2)=CN1)Cc1cccc2c1OCCOCCOCCOCCOCCO2 7.817784 0.3484848484848485</t>
  </si>
  <si>
    <t>CNCN(Cc1cccc(C)n1)C1CCC(N(C)Cc2cccc(-c3ccc4c(c3)OCCOCCOCCOCCOCCO4)n2)CC1 7.817779 0.3787878787878788</t>
  </si>
  <si>
    <t>CN(Cc1cccc(-c2ccc3c(c2)OCCOCCOCCOCCOCCO3)n1)C1CCCCC1N(C)Cc1ncccc1-c1ccc2c(c1)OCCOCCOCCOCCOCCO2 7.8177757 0.4126984126984127</t>
  </si>
  <si>
    <t>CC(C)N(Cc1ccccn1)C1CCC(N(C)Cc2ccc(-c3ccc4c(c3)OCCOCCOCCOCCOCCO4)cn2)CC1 7.817764 0.463768115942029</t>
  </si>
  <si>
    <t>Cc1cccnc1CN(C)C1CCC(N(CF)Cc2ccccn2)CC1 7.817763 0.45098039215686275</t>
  </si>
  <si>
    <t>CN(c1ccc2nc(CF)ccc2c1)C1CCC(N(Cc2ccccn2)C2COCCOCCOCCOCCOC=CO2)CC1 7.817753 0.3150684931506849</t>
  </si>
  <si>
    <t>Cc1ccc(CN(C)C2CCCC(N(CF)Cc3ccccn3)C2)nc1 7.8177414 0.5</t>
  </si>
  <si>
    <t>Cc1ccc(CN(C2=CCC=C(CN3CCN(C)CCN(C)CC3)N2)C2CCCC(N(C)Cc3ccccn3)C2)nc1 7.81774 0.38235294117647056</t>
  </si>
  <si>
    <t>CNCC1C(N(C)Cc2ncccc2C)CCN1C 7.8177366 0.34545454545454546</t>
  </si>
  <si>
    <t>CN(CCN(Cc1ccccn1)c1ccc2c(c1)OCCOCCOCCOCCOCCO2)Cc1ccccn1 7.81773 0.39344262295081966</t>
  </si>
  <si>
    <t>CCN(C)CC1=CCC(N(C)C2CCCC(N(C)Cc3cccnn3)C2)=CN1 7.81773 0.3620689655172414</t>
  </si>
  <si>
    <t>CNCc1cccc(CN(C)C2CCCCC2N(C)Cc2cccc(-c3cccc4c3OCCOCCOCCOCCOCCO4)n2)n1 7.817722 0.43333333333333335</t>
  </si>
  <si>
    <t>Cc1cnc(C)c(CN2CCN(C)CCN(C)CC2)c1N 7.8177195 0.4666666666666667</t>
  </si>
  <si>
    <t>CC(C)N(C)CCN(C)Cc1cc(-c2ccc3c(c2)OCCOCCOCCOCCOCCO3)ccn1 7.8177133 0.3787878787878788</t>
  </si>
  <si>
    <t>CN(CCN)CCN(C)CC(C)(C)C 7.817713 0.225</t>
  </si>
  <si>
    <t>CN(Cc1ccccn1)C1CCC(N(C)Cc2ncccc2-c2ccc3c(c2)OCCOCCOCCOCCOCCO3)CC1 7.8177114 0.4067796610169492</t>
  </si>
  <si>
    <t>CC1C=CC(C)(N(C)Cc2ccccn2)CC1C 7.8177114 0.4375</t>
  </si>
  <si>
    <t>CNC1CCCC(N(Cc2ccccn2)Cc2ncccc2F)C1 7.8177013 0.4</t>
  </si>
  <si>
    <t>CC1=C(C)C(C)C(NCc2ccccn2)CC1 7.817701 0.40476190476190477</t>
  </si>
  <si>
    <t>CC(C)N(C)CCN(C)Cc1ncccc1-c1ccc2c(c1)OCCOCCOCCOCCOCCO2 7.8176847 0.323943661971831</t>
  </si>
  <si>
    <t>CNCCN(C)Cc1ncccc1-c1cccc2c1OCCOCCOCCOCCOCCO2 7.81768 0.3050847457627119</t>
  </si>
  <si>
    <t>Cc1cc(CN2CCN(C)CCN(C)CC2)c(C)nc1C 7.817679 0.48717948717948717</t>
  </si>
  <si>
    <t>CN1CCN(C)CCN(Cc2cccnc2CN(C)C(C)(C)c2cccnc2CN(C)C2CCC(N(C)Cc3cccc(-c4ccc5c(c4)OCCOCCOCCOCCOCCO5)n3)CC2)CC1 7.8176746 0.3118279569892473</t>
  </si>
  <si>
    <t>CCNCc1cc(-c2ccc3c(c2)OCCOCCOCCOCCOCCO3)ccn1 7.8176656 0.423728813559322</t>
  </si>
  <si>
    <t>Cc1cccnc1CN(C)C1=C(CCN2CCN(C)CCN(C)CC2)NC=CC1 7.8176594 0.3220338983050847</t>
  </si>
  <si>
    <t>CC(c1ccc(CNC2COCCOCCOCCOC=COCCO2)nc1)(c1ccccn1)c1ccccn1 7.817642 0.2898550724637681</t>
  </si>
  <si>
    <t>CN(Cc1ccccn1)C1CCCC(N(C)Cc2cccc(CN(C)C3CCCC(N(C)Cc4cccc(-c5cccc6c5OCCOCCOCCOCCOCCO6)n4)C3)n2)C1 7.8176265 0.4166666666666667</t>
  </si>
  <si>
    <t>CNC1CCCC(Cl)C1N(Cc1ccccn1)Cc1ccccn1 7.8176255 0.4583333333333333</t>
  </si>
  <si>
    <t>CN(Cc1cccc(-c2cccc3c2OCCOCCOCCOCCOCCO3)n1)C1CCC(N(C)Cc2cccc(-c3cccc4c3OCCOCCOCCOCCOCCO4)n2)CC1 7.8176184 0.35714285714285715</t>
  </si>
  <si>
    <t>Cc1cc(CN(C)C2C=CNC(CCN3CCN(C)CCN(C)CC3)=C2)nc(C)c1C 7.8176036 0.46551724137931033</t>
  </si>
  <si>
    <t>Cc1ccc(CN(C)CC2CCCN2C(C)C)cn1 7.8175936 0.3898305084745763</t>
  </si>
  <si>
    <t>CN(Cc1cccc(-c2ccc3c(c2)OCCOCCOCCOCCOCCO3)n1)C1CCC(N(C)C2=CCC=CN2)CC1 7.817578 0.3125</t>
  </si>
  <si>
    <t>Cc1ncccc1CN(C)CC1CCCN1C(C)C 7.8175735 0.4642857142857143</t>
  </si>
  <si>
    <t>CCCN(CC1=CCC=CN1)CC1=CCC=CN1 7.8175616 0.5</t>
  </si>
  <si>
    <t>CC1=C(C)C(C)C(CN(C)CC2=CCC=CN2)CC1 7.8175497 0.3333333333333333</t>
  </si>
  <si>
    <t>COC(=O)c1ccncc1CN1CCN(C)CCN(C)CC1 7.817544 0.41818181818181815</t>
  </si>
  <si>
    <t>CC(C)C(C)N(C)Cc1ncccc1-c1cccc2c1OCCOCCOCCOCCOCCO2 7.8175263 0.25</t>
  </si>
  <si>
    <t>CC(NCF)NCc1ccccn1 7.8175235 0.4857142857142857</t>
  </si>
  <si>
    <t>COC(=O)C(=O)NCc1cc(CN2CCN(C)CCN(C)CC2)ccn1 7.817518 0.48214285714285715</t>
  </si>
  <si>
    <t>CN(Cc1cc(-c2ccc3c(c2)OCCOCCOCCOCCOCCO3)ccn1)C1CCCCC1N(C)Cc1cc(-c2ccc3c(c2)OCCOCCOCCOCCOCCO3)ccn1 7.8175077 0.47058823529411764</t>
  </si>
  <si>
    <t>CC(C)C(c1cccnc1)N(C)CCN(C)CCN 7.8175025 0.2978723404255319</t>
  </si>
  <si>
    <t>CNCc1ncc(CN2CCN(C)CCN(C)CC2)c(C)c1C 7.817501 0.46808510638297873</t>
  </si>
  <si>
    <t>CN(CCN(C)CC(C)(C)C)Cc1ncccc1-c1cccc2c1OCCOCCOCCOCCOCCO2 7.8175006 0.3220338983050847</t>
  </si>
  <si>
    <t>CN(Cc1cccc(C2CC3OCCOCCOCCOCCOCCOC32)n1)C1CCCCC1N(C)c1ccc2nccc(CF)c2c1 7.8174963 0.3466666666666667</t>
  </si>
  <si>
    <t>CNCc1cccc(CN(C)C2CCCCC2N(C)Cc2cccc(-c3ccc4c(c3)OCCOCCOCCOCCOCCO4)n2)n1 7.81749 0.43333333333333335</t>
  </si>
  <si>
    <t>CN(Cc1ncccc1-c1cccc2c1OCCOCCOCCOCCOCCO2)C1CCC(N(C)Cc2ncccc2-c2cccc3c2OCCOCCOCCOCCOCCO3)CC1 7.8174825 0.29310344827586204</t>
  </si>
  <si>
    <t>CC(C)N(Cc1ccccn1)C1CCC(N(C)Cc2ncccc2-c2ccc3c(c2)OCCOCCOCCOCCOCCO3)CC1 7.8174767 0.3484848484848485</t>
  </si>
  <si>
    <t>CN(C)CCN 7.8174667 0.21875</t>
  </si>
  <si>
    <t>Cc1cccnc1CN(C)CC1CCCN1C(C)C 7.8174467 0.45614035087719296</t>
  </si>
  <si>
    <t>Cc1cc(CN(C)C2CCCC(N(C)Cc3ccc(CN4CCN(C)CCN(C)CC4)cn3)C2)nc(C)c1C 7.817429 0.3492063492063492</t>
  </si>
  <si>
    <t>Cc1cccnc1CN(C)C1=CNC(CCN2CCN(C)CCN(C)CC2)=CC1 7.8174224 0.3220338983050847</t>
  </si>
  <si>
    <t>CNC1CCCC(N(Cc2ccccn2)Cc2cccc(F)n2)C1 7.817418 0.421875</t>
  </si>
  <si>
    <t>CN(Cc1ccccn1)C1CCCC(N(C)C2=CCC=CN2)C1 7.817414 0.4909090909090909</t>
  </si>
  <si>
    <t>CCN(Cc1cccc(CN(C)C2CCCCC2N(C)Cc2cccc(-c3ccc4c(c3)OCCOCCOCCOCCOCCO4)n2)n1)C1CCC(N(C)Cc2ncccc2C)CC1 7.817412 0.36</t>
  </si>
  <si>
    <t>CN(CCF)Cc1ncccc1-c1ccc2c(c1)OCCOCCOCCOCCOCCO2 7.817409 0.3382352941176471</t>
  </si>
  <si>
    <t>Cc1cnc(CN(C)C2CCCC(N(CNCF)Cc3ccccn3)C2)c(C)c1C 7.817405 0.4</t>
  </si>
  <si>
    <t>CC(C)N(Cc1cccc(CN2CCN(C)CCN(C)CC2)n1)Cc1cccc(-c2ccc3c(c2)OCCOCCOCCOCCOCCO3)n1 7.817403 0.4098360655737705</t>
  </si>
  <si>
    <t>Cc1ncc(CN2CCN(C)CCN(C)CC2)c(C)c1C 7.8173714 0.46511627906976744</t>
  </si>
  <si>
    <t>CNCCN(Cc1ccccn1)C(C)(N)C1CC(C)(C)C1 7.8173714 0.39622641509433965</t>
  </si>
  <si>
    <t>CNC1CCCCC1N(C)Cc1ncc(C)c(C)c1C 7.8173537 0.4375</t>
  </si>
  <si>
    <t>Cc1ccc(CNCc2ccc(CN3CCN(C)CCN(C)CC3)cn2)nc1 7.817345 0.44680851063829785</t>
  </si>
  <si>
    <t>COC(C)NCCN(C)Cc1ccccn1 7.8173413 0.4883720930232558</t>
  </si>
  <si>
    <t>CC(C)C(C)N(C)Cc1cccc(-c2ccc3c(c2)OCCOCCOCCOCCOCCO3)n1 7.8173313 0.34328358208955223</t>
  </si>
  <si>
    <t>CC1C=CC(C)(C)C(N(C)Cc2ccccn2)C1C 7.8173203 0.4782608695652174</t>
  </si>
  <si>
    <t>CC(C)N(C)CC(C)(C)N(C)CC(C)(C)C 7.8172827 0.1951219512195122</t>
  </si>
  <si>
    <t>Cc1cnc(CN(C)C2CCCC(N(CCN(C)CCF)Cc3ccccn3)C2)c(C)c1C 7.8172703 0.39344262295081966</t>
  </si>
  <si>
    <t>CC1=CC(C)CC(N(C)Cc2ncccc2-c2cccc3c2OCCOCCOCCOCCOCCO3)C1C 7.817247 0.26865671641791045</t>
  </si>
  <si>
    <t>CN(Cc1cccc(-c2ccc3c(c2)OCCOCCOCCOCCOCCO3)n1)C1CCC(N(C)Cc2cccc(-c3cccc4c3OCCOCCOCCOCCOCCO4)n2)CC1 7.817239 0.3424657534246575</t>
  </si>
  <si>
    <t>CNCc1ncccc1CN(C)C1CCCC(N(C)Cc2ccccn2)C1 7.8172317 0.5</t>
  </si>
  <si>
    <t>CN(Cc1cc(-c2cccc3c2OCCOCCOCCOCCOCCO3)ccn1)C1CCC(N(C)Cc2cc(-c3cccc4c3OCCOCCOCCOCCOCCO4)ccn2)CC1 7.8172293 0.3220338983050847</t>
  </si>
  <si>
    <t>CNCN1CCN(Cc2cc(C)c(C)cn2)CCN(Cc2cc(C)c(C)c(C)n2)CC1 7.8172274 0.35294117647058826</t>
  </si>
  <si>
    <t>CN(CC1=CCC(N(C)Cc2ccccn2)=CN1)Cc1ccc2c(c1)OCCOCCOCCOCCOCCO2 7.817223 0.34375</t>
  </si>
  <si>
    <t>CC1C=CC(C)C2(C1)C(C)C=CC(C)C2N(C)Cc1ccccn1 7.817223 0.46938775510204084</t>
  </si>
  <si>
    <t>CC(C)N(CC1=CC(N(C)Cc2cccc(-c3ccc4c(c3)OCCOCCOCCOCCOCCO4)n2)C=CN1)c1ccc2c(c1)OCCOCCOCCOCCOCCO2 7.8172216 0.2857142857142857</t>
  </si>
  <si>
    <t>CN1CCN(C)CCN(C(c2ccccc2)c2ccccn2)CC1 7.8172145 0.42857142857142855</t>
  </si>
  <si>
    <t>CN(CCN(C)C(C)(C)C)CC(C)(C)C 7.817201 0.23076923076923078</t>
  </si>
  <si>
    <t>CN(Cc1ncccc1-c1ccc2c(c1)OCCOCCOCCOCCOCCO2)C1CCCCC1N(C)Cc1ncccc1-c1ccc2c(c1)OCCOCCOCCOCCOCCO2 7.8171945 0.41818181818181815</t>
  </si>
  <si>
    <t>Cc1cncc(CN2CCN(C)CCN(Cc3ncccc3N)CC2)c1C 7.817187 0.41818181818181815</t>
  </si>
  <si>
    <t>CN(CF)Cc1cccc(-c2ccc3c(c2)OCCOCCOCCOCCOCCO3)n1 7.8171854 0.37037037037037035</t>
  </si>
  <si>
    <t>Cc1ccc(CN(C)CC2CCCN2C(C)C)nc1 7.817171 0.4897959183673469</t>
  </si>
  <si>
    <t>CCN(Cc1cccc(CF)n1)C1CCC(N(C)Cc2cccc(-c3ccc4c(c3)OCCOCCOCCOCCOCCO4)n2)CC1 7.8171663 0.3246753246753247</t>
  </si>
  <si>
    <t>CCCNCC1=C(C)C(C)CCC1c1ccccn1 7.8171654 0.34782608695652173</t>
  </si>
  <si>
    <t>CCNC1CCCCC1N(C)Cc1nc(C)c(C)cc1C 7.8171587 0.36538461538461536</t>
  </si>
  <si>
    <t>CCC(C)N(C)Cc1cccc(-c2ccc3c(c2)OCCOCCOCCOCCOCCO3)n1 7.8171563 0.3382352941176471</t>
  </si>
  <si>
    <t>CC(C)C1=CC2(C=CN1)C=CC(C)(C)C(C)(C)C2 7.817155 0.16981132075471697</t>
  </si>
  <si>
    <t>C=CCN(Cc1ccccn1)C1CCCCC1N(Cc1ccccn1)Cc1cccc(-c2ccc3c(c2)OCCOCCOCCOCCOCCO3)n1 7.81715 0.3698630136986301</t>
  </si>
  <si>
    <t>Cc1cc(CN(C)CC2CCCN2C(C)C)ccn1 7.8171344 0.4067796610169492</t>
  </si>
  <si>
    <t>CN(Cc1ccc(-c2cccc3c2OCCOCCOCCOCCOCCO3)cn1)C1CCC(N(C)Cc2cccc(-c3cccc4c3OCCOCCOCCOCCOCCO4)n2)CC1 7.817123 0.33783783783783783</t>
  </si>
  <si>
    <t>CCN1CCN(C)CCN(Cc2ncccc2C(C)(C)c2ccccn2)CC1 7.817117 0.4791666666666667</t>
  </si>
  <si>
    <t>CN(Cc1ccccn1)C1CCCC(N(C)Cc2ncccc2-c2cccc3c2OCCOCCOCCOCCOCCO3)C1 7.817111 0.423728813559322</t>
  </si>
  <si>
    <t>CCNCc1cccc(CN(C)C2CCCC(N(C)Cc3cccc(-c4ccc5c(c4)OCCOCCOCCOCCOCCO5)n3)C2)n1 7.817102 0.34210526315789475</t>
  </si>
  <si>
    <t>CC(C)N(C)CCN(C)C(C)C 7.8170657 0.21875</t>
  </si>
  <si>
    <t>CC(C)C(C)C1CCC1(C)c1cccc(C2CCC2(C)C)n1 7.8170633 0.23076923076923078</t>
  </si>
  <si>
    <t>CNC1CCC(N(Cc2ccccn2)Cc2cccc(C3CCC3C)n2)C(N(Cc2ccccn2)Cc2cccc(C3CCC3C)n2)C1N(Cc1ccccn1)Cc1cccc(C2CC3OCCOCCOCCOCCOCCOC32)n1 7.8170567 0.29333333333333333</t>
  </si>
  <si>
    <t>c1cnc2c3c(ccc2c1)OCCOCCOCCOCCOCCO3 7.817045 0.3191489361702128</t>
  </si>
  <si>
    <t>CN1CCN(C)CCN(Cc2cncc(N(C)O)c2)CC1 7.8170443 0.44680851063829785</t>
  </si>
  <si>
    <t>CCN(Cc1cccc(CF)n1)C1CCC(N(C)Cc2cc(-c3ccc4c(c3)OCCOCCOCCOCCOCCO4)ccn2)CC1 7.8170414 0.34615384615384615</t>
  </si>
  <si>
    <t>CN1CCN(C)CCN(Cc2cccnc2N(C)O)CC1 7.817041 0.5</t>
  </si>
  <si>
    <t>CN(Cc1cccc(CN(C)C2CCC(N(C)Cc3cccc(-c4ccc5c(c4)OCCOCCOCCOCCOCCO5)n3)CC2)n1)C1CCC(N(C)Cc2cccc(-c3ccc4c(c3)OCCOCCOCCOCCOCCO4)n2)CC1 7.8170185 0.38461538461538464</t>
  </si>
  <si>
    <t>CN(Cc1cccc(F)n1)c1ccc2c(c1)OCCOCCOCCOCCOCCO2 7.817015 0.3333333333333333</t>
  </si>
  <si>
    <t>CN(Cc1cc(CF)ccn1)C1CCC(N(C)Cc2cc(-c3cccc4c3OCCOCCOCCOCCOCCO4)ccn2)CC1 7.8170114 0.2878787878787879</t>
  </si>
  <si>
    <t>CC(C(=O)C(=O)C(=O)C(=O)C(=O)C(C)C(=O)C(C)C(=O)c1cccc(C2CCC2(C)C)n1)C(=O)C(=O)C(=O)C(C)C(C)C(C)C(C)C(C)C(C)C(C)C(C)C(C)C(C)C(C)C(C)C(C)C(C)C(C)C(C)C(C)C(C)C 7.817008 0.1875</t>
  </si>
  <si>
    <t>COC(=O)C(=O)NCc1ncccc1CN1CCN(C)CCN(C)CC1 7.817002 0.4117647058823529</t>
  </si>
  <si>
    <t>CN(Cc1cccc(CN(C)C(C)(C)C)n1)C1CCC(N(C)Cc2cccc(-c3ccc4c(c3)OCCOCCOCCOCCOCCO4)n2)CC1 7.81698 0.3472222222222222</t>
  </si>
  <si>
    <t>CCN(Cc1cccc(CF)n1)C1CCC(N(C)Cc2ccc(-c3ccc4c(c3)OCCOCCOCCOCCOCCO4)cn2)CC1 7.816971 0.4383561643835616</t>
  </si>
  <si>
    <t>CN(Cc1cccc(-c2ccc3c(c2)OCCOCCOCCOCCOCCO3)n1)C1CCC(N(C)Cc2cccc(-c3ccc4c(c3)OCCOCCOCCOCCOCCO4)n2)CC1 7.816966 0.390625</t>
  </si>
  <si>
    <t>Cc1ccnc(CN(Cc2ncccc2C)C2CCCC(N(C)C(C)C)C2)c1 7.816943 0.3114754098360656</t>
  </si>
  <si>
    <t>CNCCN(C)Cc1cccnc1-c1ccc2c(c1)OCCOCCOCCOCCOCCO2 7.8169317 0.3448275862068966</t>
  </si>
  <si>
    <t>CC1=CCC(C)C(c2ncccc2CN(Cc2ccccn2)C2CCCCC2)C1C 7.81693 0.3898305084745763</t>
  </si>
  <si>
    <t>CN(C)C1CCCC(N(Cc2ccccn2)Cc2cccc(-c3ccc4c(c3)OCCOCCOCCOCCOCCO4)n2)C1 7.8169255 0.42028985507246375</t>
  </si>
  <si>
    <t>CC1=CC(C)CC(c2cc(CN(Cc3ccccn3)C3CCCCC3)ccn2)C1C 7.81689 0.4</t>
  </si>
  <si>
    <t>CCC(C)c1ccccn1 7.8168855 0.42857142857142855</t>
  </si>
  <si>
    <t>CN(CC1=CC(N(C)Cc2ccccn2)C=CN1)c1ccc2c(c1)OCCOCCOCCOCCOCCO2 7.816871 0.359375</t>
  </si>
  <si>
    <t>CC1=CC(N(C)Cc2ccccn2)C(C)(C)C(C)C1C 7.816869 0.46808510638297873</t>
  </si>
  <si>
    <t>Cc1ccc2c(c1N(C)Cc1ccccn1)OCCOCCOCCOCCOCCO2 7.8168564 0.4117647058823529</t>
  </si>
  <si>
    <t>CCNCc1cc(CN(C)C2CCC(N(C)Cc3cc(C)ccn3)CC2)ccn1 7.816854 0.35185185185185186</t>
  </si>
  <si>
    <t>Cc1cc2c(cc1-c1ccc(CN(Cc3ccccn3)C3CCCCC3)cn1)OCCOCCOCCOCCOCCO2 7.816847 0.35384615384615387</t>
  </si>
  <si>
    <t>CN(Cc1ncccc1CF)C1CCC(N(C)Cc2ncccc2-c2cccc3c2OCCOCCOCCOCCOCCO3)CC1 7.816844 0.26153846153846155</t>
  </si>
  <si>
    <t>COC(=O)C(C)NCc1cc(C)c(CN2CCN(C)CCN(C)CC2)cn1 7.816834 0.4032258064516129</t>
  </si>
  <si>
    <t>CNc1ncc(CN2CCN(C)CCN(C)CC2)cc1C 7.816828 0.4222222222222222</t>
  </si>
  <si>
    <t>CNCc1ncccc1CN(C)C1CCCCC1N(C)Cc1ncccc1-c1ccc2c(c1)OCCOCCOCCOCCOCCO2 7.8168263 0.3484848484848485</t>
  </si>
  <si>
    <t>CN(Cc1cccc(CF)n1)C1CCC(N(C)Cc2cccc(-c3cccc4c3OCCOCCOCCOCCOCCO4)n2)CC1 7.816822 0.3225806451612903</t>
  </si>
  <si>
    <t>Cc1cncc(CN(C)C2CCCC(N(Cc3ccccn3)Cc3cccc(CN4CCN(C)CCN(C)CC4)n3)C2)c1C 7.8167973 0.421875</t>
  </si>
  <si>
    <t>CNCCN(C)C(C)(C)c1cccnc1 7.816797 0.2608695652173913</t>
  </si>
  <si>
    <t>CCCN(C)CCN(C)Cc1cccnc1 7.816782 0.41025641025641024</t>
  </si>
  <si>
    <t>CC1=CC(C)C(C)CC1c1ncccc1CN(Cc1ccccn1)C1CCCCC1 7.8167753 0.3898305084745763</t>
  </si>
  <si>
    <t>CCNCCN(C)CC(C)(C)C 7.8167753 0.21428571428571427</t>
  </si>
  <si>
    <t>CN(Cc1cc(CF)ccn1)C1CCC(N(C)Cc2cc(-c3ccc4c(c3)OCCOCCOCCOCCOCCO4)ccn2)CC1 7.8167744 0.40298507462686567</t>
  </si>
  <si>
    <t>Cc1cccnc1CN(C)C1CCCCC1N(C)Cc1cccc(-c2cccc3c2OCCOCCOCCOCCOCCO3)n1 7.8167696 0.42857142857142855</t>
  </si>
  <si>
    <t>CN(Cc1ccccn1)C1C=CNC(CN(Cc2ccccn2)CC(C)(C)c2ccc3c(c2)OCCOCCOCCOCCOCCO3)=C1 7.816762 0.375</t>
  </si>
  <si>
    <t>COC(=O)N1CCN(C)CCN(C(=O)OC)CC1 7.816759 0.4</t>
  </si>
  <si>
    <t>Cc1cnc(C)c(CN2CCN(C)CCN(Cc3cccnc3C)CC2)c1 7.8167543 0.4782608695652174</t>
  </si>
  <si>
    <t>CC1=CC(C)C(C)(c2ncccc2CN(Cc2ccccn2)C2CCCCC2)CC1 7.81675 0.38333333333333336</t>
  </si>
  <si>
    <t>CNCCN(C)Cc1cccnc1 7.816743 0.36585365853658536</t>
  </si>
  <si>
    <t>CN(Cc1cccc(CF)n1)C1CCC(N(C)Cc2cccc(-c3ccc4c(c3)OCCOCCOCCOCCOCCO4)n2)CC1 7.81673 0.35714285714285715</t>
  </si>
  <si>
    <t>CNCC1CCC(N(C)Cc2ncccc2C)N1C 7.8167243 0.30357142857142855</t>
  </si>
  <si>
    <t>CNCc1cc(CN(C)C2CCCCC2N(C)Cc2ncccc2C)ccn1 7.816718 0.4807692307692308</t>
  </si>
  <si>
    <t>CC(C)C(C)N(C)Cc1cc(-c2ccc3c(c2)OCCOCCOCCOCCOCCO3)ccn1 7.8167095 0.3968253968253968</t>
  </si>
  <si>
    <t>Cc1cc2c(c(N(C)Cc3ccccn3)c1)OCCOCCOCCOCCOCCO2 7.8167076 0.4897959183673469</t>
  </si>
  <si>
    <t>CC1C=CC(N(C)Cc2ccccn2)C(C)C1C(C)(C)C 7.8166595 0.46808510638297873</t>
  </si>
  <si>
    <t>CN(Cc1cccnn1)C1CCCC(N(C)C2=CCC=CN2)C1 7.816638 0.37735849056603776</t>
  </si>
  <si>
    <t>CC1=CC(N(C)Cc2cccc(-c3ccc4c(c3)OCCOCCOCCOCCOCCO4)n2)C(C)C(C)C1 7.816633 0.32</t>
  </si>
  <si>
    <t>CN(Cc1ncccc1-c1cccc2c1OCCOCCOCCOCCOCCO2)C1CCCC(N(C)Cc2ncccc2-c2cccc3c2OCCOCCOCCOCCOCCO3)C1 7.8166275 0.3050847457627119</t>
  </si>
  <si>
    <t>CCNCc1cccnn1 7.8166223 0.47058823529411764</t>
  </si>
  <si>
    <t>CCNCc1ncccc1-c1ccc2c(c1)OCCOCCOCCOCCOCCO2 7.816622 0.359375</t>
  </si>
  <si>
    <t>CNC1CC(N(C)Cc2ccccn2)CC(N(Cc2ncccc2C)C2(C)CCC2)C1 7.816611 0.39344262295081966</t>
  </si>
  <si>
    <t>FCN(Cc1ccccn1)C1CCCCC1N(Cc1ccccn1)Cc1cccc(-c2cccc3c2OCCOCCOCCOCCOCCO3)n1 7.8166037 0.38095238095238093</t>
  </si>
  <si>
    <t>Cc1cc(C)c(CN2CCN(C)CCN(C)CC2)nc1C 7.816602 0.48717948717948717</t>
  </si>
  <si>
    <t>CN(Cc1ccc2c(c1)OCCOCCOCCOCCOCCO2)Cc1ncccc1N(C)C 7.8166003 0.29411764705882354</t>
  </si>
  <si>
    <t>CN(Cc1cccc(-c2ccc3c(c2)OCCOCCOCCOCCOCCO3)n1)C1CCC(N(C)Cc2cccc(C3CCC3(C)C)n2)CC1 7.8165956 0.32894736842105265</t>
  </si>
  <si>
    <t>CN(Cc1cccc(-c2ccc3c(c2)OCCOCCOCCOCCOCCO3)n1)C1CCCC(N(C)Cc2cccc(-c3cccc4c3OCCOCCOCCOCCOCCO4)n2)C1 7.8165593 0.35135135135135137</t>
  </si>
  <si>
    <t>CC1=CC(C)CC2(CC=CC(C)C2N(C)Cc2ccccn2)C1 7.8165503 0.4107142857142857</t>
  </si>
  <si>
    <t>Cc1cccnc1CN(C)C1CCCCC1N(C)Cc1cccc(-c2ccc3c(c2)OCCOCCOCCOCCOCCO3)n1 7.816546 0.42857142857142855</t>
  </si>
  <si>
    <t>CN(Cc1cc(-c2ccc3c(c2)OCCOCCOCCOCCOCCO3)ccn1)C1CCC(N(C)Cc2cccc(-c3ccc4c(c3)OCCOCCOCCOCCOCCO4)n2)CC1 7.8165445 0.38571428571428573</t>
  </si>
  <si>
    <t>CN(C)CCCN(C)Cc1ncccc1-c1cccc2c1OCCOCCOCCOCCOCCO2 7.8165426 0.3103448275862069</t>
  </si>
  <si>
    <t>CN(Cc1cc(-c2ccc3c(c2)OCCOCCOCCOCCOCCO3)ccn1)C1CCC(N(C)Cc2cccc(CF)n2)CC1 7.8165307 0.38028169014084506</t>
  </si>
  <si>
    <t>CC(C)C(C)CN(CCN(C)CC(C)(C)C)CC(C)(C)C 7.8165307 0.27906976744186046</t>
  </si>
  <si>
    <t>CN(Cc1ccc2c(c1)OCCOCCOCCOCCOCCO2)Cc1cccc(N(C)C)n1 7.816521 0.3333333333333333</t>
  </si>
  <si>
    <t>CC1C=C(C(C)(C)C)C(C)C(C)C1 7.8165193 0.15789473684210525</t>
  </si>
  <si>
    <t>CN(Cc1ccc(-c2ccc3c(c2)OCCOCCOCCOCCOCCO3)cn1)C1CCC(N(C)Cc2cccc(CF)n2)CC1 7.816502 0.48484848484848486</t>
  </si>
  <si>
    <t>Cc1cnccc1N1CCN(C)CCN(C)CC1 7.816502 0.4</t>
  </si>
  <si>
    <t>CNC1CCC(N(Cc2ccccn2)Cc2ncccc2C)CC1 7.8164988 0.40384615384615385</t>
  </si>
  <si>
    <t>CCOC(=O)C(=O)N1CCN(C)CCN(C(=O)C(C)NCc2ccccn2)CC1 7.8164954 0.38596491228070173</t>
  </si>
  <si>
    <t>CNCc1ncccc1CN(C)C1CCCCC1N(C)Cc1ncccc1C 7.816485 0.46</t>
  </si>
  <si>
    <t>CN1CCN(C)CCN(Cc2ccc(CN(C)Cc3cccc(-c4ccc5c(c4)OCCOCCOCCOCCOCCO5)n3)nc2)CC1 7.816484 0.410958904109589</t>
  </si>
  <si>
    <t>Cc1ccc(N(C)Cc2ccccn2)c2c1OCCOCCOCCOCCOCCO2 7.8164816 0.48936170212765956</t>
  </si>
  <si>
    <t>CN(Cc1cccc(-c2ccc3c(c2)OCCOCCOCCOCCOCCO3)n1)C1CCC(N(CC2=CCC=CN2)Cc2ccccn2)CC1 7.816479 0.4189189189189189</t>
  </si>
  <si>
    <t>CN(Cc1ccc(-c2ccc3c(c2)OCCOCCOCCOCCOCCO3)cn1)C1CCC(N(C)Cc2cccc(-c3ccc4c(c3)OCCOCCOCCOCCOCCO4)n2)CC1 7.816477 0.49230769230769234</t>
  </si>
  <si>
    <t>CC1=CC(C)C(C)(c2cccc(CN(Cc3ccccn3)C3CCCCC3)n2)CC1 7.81646 0.3898305084745763</t>
  </si>
  <si>
    <t>CCNCc1ncccc1CN(C)C1CCC(N(C)Cc2ncccc2C)CC1 7.81646 0.30357142857142855</t>
  </si>
  <si>
    <t>CC1CC(C)(C)C1 7.8164415 0.11764705882352941</t>
  </si>
  <si>
    <t>Cc1cncc(CN(C)C2CCCCC2N(C)CC2=C(N(C)C(C)C)CC=CN2)c1 7.816437 0.35</t>
  </si>
  <si>
    <t>C=CCN(C)Cc1cccc(CN(Cc2ccc([Si](C(C)C)(C(C)C)C(C)C)cn2)Cc2cccc(C3CC4OCCOCCOCCOCCOCCOC43)n2)n1 7.816427 0.4090909090909091</t>
  </si>
  <si>
    <t>CCNCc1cc(CN(C)C2CCC(N(C)Cc3ncccc3C)CC2)ccn1 7.8164225 0.3275862068965517</t>
  </si>
  <si>
    <t>C=CCN(C)Cc1cccc(-c2ccc3c(c2)OCCOCCOCCOCCOCCO3)n1 7.816414 0.3448275862068966</t>
  </si>
  <si>
    <t>CC(C)C(C)CN(CCN(C)Cc1ncccc1-c1ccc2c(c1)OCCOCCOCCOCCOCCO2)Cc1ccccn1 7.816399 0.359375</t>
  </si>
  <si>
    <t>CC(C)C(C)N(C)Cc1ncccc1-c1ccc2c(c1)OCCOCCOCCOCCOCCO2 7.816388 0.3382352941176471</t>
  </si>
  <si>
    <t>CN1CCN(C)CCN(Cc2cnccc2N(O)O)CC1 7.816386 0.4782608695652174</t>
  </si>
  <si>
    <t>Cc1cccc(CN(C)C2CCCC(N(CF)Cc3ccccn3)C2)n1 7.8163843 0.5</t>
  </si>
  <si>
    <t>Cc1ccc(CN2CCN(C)CCN(Cc3ccc(C)c(C)n3)CC2)cn1 7.8163834 0.5</t>
  </si>
  <si>
    <t>Fc1cccc(CN(Cc2ccccn2)C2CCCCC2N(Cc2ccccn2)c2ccc3c(c2)OCCOCCOCCOCCOCCO3)n1 7.8163257 0.375</t>
  </si>
  <si>
    <t>CNCc1cccc(CN(C)C2CCC(N(C)Cc3cccc(-c4cccc5c4OCCOCCOCCOCCOCCO5)n3)CC2)n1 7.816313 0.3125</t>
  </si>
  <si>
    <t>CN(CC1=CCC=CN1)CC1C=CNC=C1 7.8163085 0.38</t>
  </si>
  <si>
    <t>CN(Cc1cccc(-c2ccc3c(c2)OCCOCCOCCOCCOCCO3)n1)C1CCCC(N(C)Cc2cccc(-c3ccc4c(c3)OCCOCCOCCOCCOCCO4)n2)C1 7.816299 0.3939393939393939</t>
  </si>
  <si>
    <t>CNCc1ncccc1CN(C)C1=CNC=C(CN2CCN(C)CCN(C)CC2)C1 7.816285 0.3559322033898305</t>
  </si>
  <si>
    <t>FCN(Cc1ccccn1)C1CCCCC1N(Cc1ccccn1)Cc1cc(-c2cccc3c2OCCOCCOCCOCCOCCO3)ccn1 7.8162775 0.375</t>
  </si>
  <si>
    <t>Cc1ccc(CN2CCN(C)CCN(Cc3ccnc(C)c3C)CC2)cn1 7.816269 0.42857142857142855</t>
  </si>
  <si>
    <t>CC1N=COC1c1ncccc1CN1CCN(C)CCN(C)CC1 7.816257 0.4375</t>
  </si>
  <si>
    <t>FCN(Cc1ccccn1)C1CCCCC1N(Cc1ccccn1)Cc1cccc(-c2ccc3c(c2)OCCOCCOCCOCCOCCO3)n1 7.816254 0.38571428571428573</t>
  </si>
  <si>
    <t>CC1=CCCC(SCc2ccccn2)C1 7.816248 0.4146341463414634</t>
  </si>
  <si>
    <t>CCNCc1cccc(CN(C)C2CCC(N(C)Cc3cc(C)ccn3)CC2)n1 7.8162346 0.38181818181818183</t>
  </si>
  <si>
    <t>CC(C)N(C)CC1=CC(N(C)C(C)C)C=CN1 7.816215 0.3829787234042553</t>
  </si>
  <si>
    <t>CC(C)C(C)CN(C)Cc1cccc(-c2ccc3c(c2)OCCOCCOCCOCCOCCO3)n1 7.8162093 0.3448275862068966</t>
  </si>
  <si>
    <t>CN1CCN(C)CCN(Cc2cnccc2N(C)C)CC1 7.8162007 0.4523809523809524</t>
  </si>
  <si>
    <t>Cc1cccnc1CN(C)C1CCCCC1N(C)Cc1cc(-c2ccc3c(c2)OCCOCCOCCOCCOCCO3)ccn1 7.816197 0.43333333333333335</t>
  </si>
  <si>
    <t>CN(Cc1cc(-c2ccc3c(c2)OCCOCCOCCOCCOCCO3)ccn1)C1CCC(N(C)Cc2cc(-c3ccc4c(c3)OCCOCCOCCOCCOCCO4)ccn2)CC1 7.816189 0.45</t>
  </si>
  <si>
    <t>CCN(Cc1cccc(CN(C)C2CCC(N(C)Cc3cccc(C)n3)CC2)n1)C1CCC(N(C)Cc2cccc(-c3ccc4c(c3)OCCOCCOCCOCCOCCO4)n2)CC1 7.816189 0.390625</t>
  </si>
  <si>
    <t>C1=CCNC(N(Cc2ccccn2)c2cccc3c2OCCOCCOCCOCCOCCO3)=C1 7.816176 0.3148148148148148</t>
  </si>
  <si>
    <t>CN(Cc1ccc(-c2cccc3c2OCCOCCOCCOCCOCCO3)cn1)C1CCCC(N(C)Cc2cc(-c3cccc4c3OCCOCCOCCOCCOCCO4)ccn2)C1 7.8161674 0.36486486486486486</t>
  </si>
  <si>
    <t>CN(CCN(Cc1ccccn1)c1ccc2c(c1)OCCOCCOCCOCCOCCO2)Cc1cccnn1 7.8161616 0.4807692307692308</t>
  </si>
  <si>
    <t>Cc1cccc(CN(C)CC2CCCN2C(C)C)n1 7.8161197 0.4897959183673469</t>
  </si>
  <si>
    <t>CN(Cc1cccc(C2CCC2(C)C)n1)C1CCC(N(C)Cc2cccc(C3CCC3(C)C)n2)CC1 7.816078 0.4166666666666667</t>
  </si>
  <si>
    <t>CC(C)C(C)N(C)CC1=CC(N(C)Cc2cccc(-c3ccc4c(c3)OCCOCCOCCOCCOCCO4)n2)C=CN1 7.8160644 0.2926829268292683</t>
  </si>
  <si>
    <t>CNC1CCC(N(C)Cc2ncc(C)c(C)c2C)CC1 7.8160586 0.3137254901960784</t>
  </si>
  <si>
    <t>CNCc1cccc(CN(C)C2CCC(N(C)Cc3cccc(-c4ccc5c(c4)OCCOCCOCCOCCOCCO5)n3)CC2)n1 7.816024 0.3472222222222222</t>
  </si>
  <si>
    <t>CC(C)C1(C)N=COC1c1ncccc1CN1CCN(C)CCN(C)CC1 7.816019 0.3888888888888889</t>
  </si>
  <si>
    <t>CCNCc1cc(CN(C)C2CCCC(N(C)Cc3cc(C)ccn3)C2)ccn1 7.816012 0.3333333333333333</t>
  </si>
  <si>
    <t>C=CCNCc1cccc(CN(Cc2ccccn2)C2CCCCC2N(C)Cc2cccc(-c3cccc4c3OCCOCCOCCOCCOCCO4)n2)n1 7.8160114 0.4166666666666667</t>
  </si>
  <si>
    <t>CNc1cc(CN2CCN(C)CCN(C)CC2)cnc1C 7.81601 0.4222222222222222</t>
  </si>
  <si>
    <t>CN1CCN(C)CCN(Cc2ccc(CN(C)Cc3cc(-c4ccc5c(c4)OCCOCCOCCOCCOCCO5)ccn3)nc2)CC1 7.816003 0.4492753623188406</t>
  </si>
  <si>
    <t>CC1=CC(C)(N(C)Cc2ccccn2)C(C)(C)C(C)C1C 7.815993 0.40816326530612246</t>
  </si>
  <si>
    <t>CNCc1cc(CN(C)C2CCC(N(C)Cc3ncccc3-c3ccc4c(c3)OCCOCCOCCOCCOCCO4)CC2)ccn1 7.8159914 0.3333333333333333</t>
  </si>
  <si>
    <t>CC1=CC(C)C(C)C(C)C1(C)N(C)Cc1ccccn1 7.8159876 0.40816326530612246</t>
  </si>
  <si>
    <t>Cc1ccnc(CN(C)C2CCC(N(C)Cc3cc(-c4cccc5c4OCCOCCOCCOCCOCCO5)ccn3)CC2)c1 7.815969 0.296875</t>
  </si>
  <si>
    <t>CNCc1cccc(-c2cccc3c2OCCOCCOCCOCCOCCO3)n1 7.815949 0.24561403508771928</t>
  </si>
  <si>
    <t>COC(C)C1CC(C(C)C)C(C(C)(C)NCc2ccccn2)N(C)C1C(C)C 7.8159466 0.3090909090909091</t>
  </si>
  <si>
    <t>Cc1cncc(CN(C)C2CCC(N(C)Cc3cccc(-c4ccc5c(c4)OCCOCCOCCOCCOCCO5)n3)CC2)c1 7.8159337 0.3466666666666667</t>
  </si>
  <si>
    <t>CCNCc1ccc(CN(C)C2CCC(N(C)Cc3ncccc3C)CC2)cn1 7.815904 0.31666666666666665</t>
  </si>
  <si>
    <t>CC1=C(C)CC2(C=CC(C)C(C)(C)C2N(C)Cc2ccccn2)CC1 7.8159018 0.41818181818181815</t>
  </si>
  <si>
    <t>COC(=O)c1ncccc1CN1CCN(C)CCN(C)CC1 7.815887 0.4666666666666667</t>
  </si>
  <si>
    <t>CC1=CC(C)C(C)(NCc2ccccn2)C(C)C1 7.8158846 0.3953488372093023</t>
  </si>
  <si>
    <t>CC1CC(NCc2ccccn2)C1C(C)(C)C 7.8158846 0.4146341463414634</t>
  </si>
  <si>
    <t>Cc1nc(CN2CCN(C)CCN(CCN(Cc3ccccn3)C(C)C)CC2)c(C)c(C)c1C 7.8158736 0.49056603773584906</t>
  </si>
  <si>
    <t>CNCc1cc(C)c(CN2CCN(C)CCN(C)CC2)c(C)n1 7.8158727 0.4444444444444444</t>
  </si>
  <si>
    <t>CN(CC1=CCC=CN1)CC1C=CC=CN1 7.81587 0.3584905660377358</t>
  </si>
  <si>
    <t>CNCc1ncc(-c2cccc3c2OCCOCCOCCOCCOCCO3)cc1-c1cccc2c1OCCOCCOCCOCCOCCO2 7.815868 0.29411764705882354</t>
  </si>
  <si>
    <t>CC1=CC(C)C(C)C(C)(N(C)Cc2ccccn2)C1 7.815841 0.42857142857142855</t>
  </si>
  <si>
    <t>Cc1c(N(C)Cc2ccccn2)ccc2c1OCCOCCOCCOCCOCCO2 7.815841 0.46938775510204084</t>
  </si>
  <si>
    <t>Cc1cncc(CN2CCN(C)CCN(Cc3cnc(C)c(C)c3)CC2)c1 7.815834 0.425531914893617</t>
  </si>
  <si>
    <t>CCNCc1cccc(CN(C)C2CCC(N(C)Cc3ncccc3C)CC2)n1 7.8158307 0.375</t>
  </si>
  <si>
    <t>CN1CCN(C)CCN(Cc2ccc(N(C)O)nc2)CC1 7.8158298 0.4782608695652174</t>
  </si>
  <si>
    <t>CNC1CCCCC1N(Cc1ncccc1C)Cc1ncccc1-c1ccc2c(c1)OCCOCCOCCOCCOCCO2 7.8157964 0.33766233766233766</t>
  </si>
  <si>
    <t>COC(=O)c1cc(CN2CCN(C)CCN(C)CC2)ccn1 7.815792 0.5</t>
  </si>
  <si>
    <t>CN(CCN)CCN(C)CCN(C)CCN(C)CCN(C)CCN(C)CCN(C)CCN(C)CCN(C)CCN(C)CCN(C)CCN(C)CCN(C)CCN(C)CCN(C)CCN(C)CCN(C)CCN(C)CCN(C)CCN(C)CCN(C)CCN(C)CCN(C)CCN(C)CCNCc1cccnc1 7.8157754 0.2978723404255319</t>
  </si>
  <si>
    <t>CC1=CC(C)C(C)(c2ccc(CN(Cc3ccccn3)C3CCCCC3)cn2)CC1 7.8157496 0.3709677419354839</t>
  </si>
  <si>
    <t>C1=CC(c2cccc3c2OCCOCCOCCOCCOCCO3)C=C(CN(Cc2ccccn2)Cc2ccccn2)N1 7.8157244 0.43548387096774194</t>
  </si>
  <si>
    <t>CNC1CCCCC1N(Cc1cccc(C)n1)Cc1ncccc1CF 7.8157206 0.45614035087719296</t>
  </si>
  <si>
    <t>CN(CCF)CCN(Cc1ccccn1)C(C)(C)C 7.8157187 0.4772727272727273</t>
  </si>
  <si>
    <t>CC1C=CCC(C)(c2ccccn2)C1C 7.8156886 0.2653061224489796</t>
  </si>
  <si>
    <t>C=CCN(C)CCN(Cc1cccc(CN(Cc2ccccn2)Cc2ccc([Si](C(C)C)(C(C)C)C(C)C)cn2)n1)Cc1cccc(C2CC3OCCOCCOCCOCCOCCOC32)n1 7.815688 0.36486486486486486</t>
  </si>
  <si>
    <t>CN(CCF)CCN(Cc1ccccn1)Cc1cccc(-c2cccc3c2OCCOCCOCCOCCOCCO3)n1 7.8156877 0.4426229508196721</t>
  </si>
  <si>
    <t>CNCc1ncccc1CN(C)C1CCCC(N(C)Cc2cccnn2)C1 7.815675 0.38461538461538464</t>
  </si>
  <si>
    <t>CN(CN(Cc1ccccn1)Cc1ccccn1)c1cccc2c1OCCOCCOCCOCCOCCO2 7.8156633 0.41304347826086957</t>
  </si>
  <si>
    <t>CC1=CCCC(C)(C)C1(C)c1cc(CN(Cc2ccccn2)C2CCCCC2)ccn1 7.815657 0.3709677419354839</t>
  </si>
  <si>
    <t>CN(CNCc1cc(C(C)(C)C)ccn1)C1CCC(N(C)Cc2cc(-c3ccc4c(c3)OCCOCCOCCOCCOCCO4)ccn2)CC1 7.815642 0.35526315789473684</t>
  </si>
  <si>
    <t>Cc1cnccc1CN(C)C1CCC(N(C)Cc2cccc(-c3ccc4c(c3)OCCOCCOCCOCCOCCO4)n2)CC1 7.8156276 0.3466666666666667</t>
  </si>
  <si>
    <t>CC(C)NCCN(C)Cc1ncccc1-c1cccc2c1OCCOCCOCCOCCOCCO2 7.8156238 0.2903225806451613</t>
  </si>
  <si>
    <t>CC(C)N(CCN(C)CC(C)(C)C)Cc1ccccc1 7.815607 0.4146341463414634</t>
  </si>
  <si>
    <t>Cc1ccnc(CN(C)C2CCCC(N(C)C)C2)c1C 7.815607 0.32</t>
  </si>
  <si>
    <t>Cc1cnccc1CN1CCN(C)CCN(Cc2cccnc2C(C)(C)C)CC1 7.8156037 0.42</t>
  </si>
  <si>
    <t>CC1C=CC(C)C(C)(c2ccc(CN(Cc3ccccn3)C3CCCCC3)cn2)C1 7.8155994 0.3770491803278688</t>
  </si>
  <si>
    <t>CC(C)N1CCN(C)CCN(C(C)c2ccc(C3=CCC=CN3)nc2)CC1 7.81559 0.2711864406779661</t>
  </si>
  <si>
    <t>CCCN(CC1=CCC(N(C)Cc2ccccn2)=CN1)c1cccc2c1OCCOCCOCCOCCOCCO2 7.8155828 0.3188405797101449</t>
  </si>
  <si>
    <t>COC(=O)C(C)NCc1cc(C(=O)C(C)N2CCN(C)CCN(C(C)C)CC2)ccn1 7.815581 0.421875</t>
  </si>
  <si>
    <t>CC(C)C(C)N(C)CC1=CC(N(C)Cc2ccc(-c3ccc4c(c3)OCCOCCOCCOCCOCCO4)cn2)C=CN1 7.8155704 0.4189189189189189</t>
  </si>
  <si>
    <t>CN(Cc1ccon1)C1CCC(N(Cc2ccccn2)CC(C)(C)C)CC1 7.815568 0.4528301886792453</t>
  </si>
  <si>
    <t>CCNC1C(N(C)Cc2cc(C)ccn2)CCCC1N(Cc1cc(C)ccn1)C(C)C 7.815568 0.39285714285714285</t>
  </si>
  <si>
    <t>Cc1ccc(CN2CCN(C)CCN(Cc3cnc(C)c(C)c3)CC2)nc1 7.815554 0.48936170212765956</t>
  </si>
  <si>
    <t>Cc1cncc(CN(C)C2CCC(N(C)Cc3cc(-c4ccc5c(c4)OCCOCCOCCOCCOCCO5)ccn3)CC2)c1 7.8155494 0.39436619718309857</t>
  </si>
  <si>
    <t>CCNCc1ncccc1CN(C)C1CCCC(N(C)Cc2ncccc2C)C1 7.81554 0.3103448275862069</t>
  </si>
  <si>
    <t>Cc1cnccc1CN1CCN(C)CCN(Cc2ncccc2C(C)(C)C)CC1 7.8155375 0.40384615384615385</t>
  </si>
  <si>
    <t>Cc1ccc(CN2CCN(C)CCN(Cc3ncccc3C)CC2)c(C)n1 7.8155193 0.4583333333333333</t>
  </si>
  <si>
    <t>CN(Cc1ccccn1)Cc1cccc(CN(Cc2ccccn2)Cc2cccc(C34CCC3OCCOCCOCCOCCOCCO4)n2)n1 7.815512 0.4098360655737705</t>
  </si>
  <si>
    <t>C=CCOC(=O)C(=O)C(=O)C(C)NCc1cccc(CN2CCN(C)CCN(C)CC2)n1 7.8154993 0.4067796610169492</t>
  </si>
  <si>
    <t>CN(CCF)CCN(Cc1ccccn1)Cc1cccc(-c2ccc3c(c2)OCCOCCOCCOCCOCCO3)n1 7.815497 0.44776119402985076</t>
  </si>
  <si>
    <t>Cc1cnc(CN(C)CC2=C(F)C=CC(c3ccc4c(c3)OCCOCCOCCOCCOCCO4)C2)cc1C 7.8154697 0.3157894736842105</t>
  </si>
  <si>
    <t>Cc1cc(CN(C)C2CCCC(N(C)C(C)C)C2)nc(C)c1C 7.815463 0.3148148148148148</t>
  </si>
  <si>
    <t>CC(C)C(C)CN(C)Cc1cc(-c2ccc3c(c2)OCCOCCOCCOCCOCCO3)ccn1 7.815455 0.390625</t>
  </si>
  <si>
    <t>CC1=CCC(C)C(N(C)Cc2cccc(-c3ccc4c(c3)OCCOCCOCCOCCOCCO4)n2)C1C 7.8154163 0.32</t>
  </si>
  <si>
    <t>CN(CCN)C1=CNC=CC1CN(Cc1ccccn1)C1(C)CCC1 7.8154163 0.3548387096774194</t>
  </si>
  <si>
    <t>CN1CCN(C)CCN(Cc2cccnc2C2OC=NC2(C)C)CC1 7.815401 0.42</t>
  </si>
  <si>
    <t>CCNCCN(C)CCN(C)CCN(C)CCN(C)CCN(C)CCN(C)CCN(C)CCN(C)CCN(C)CCN(C)CCN(C)CCN(C)CCNC 7.8153996 0.18421052631578946</t>
  </si>
  <si>
    <t>c1ccc(CN(Cc2ccccn2)c2cccc3c2OCCOCCOCCOCCOCCO3)cc1 7.81539 0.3617021276595745</t>
  </si>
  <si>
    <t>CN(Cc1ncccc1-c1cccc2c1OCCOCCOCCOCCOCCO2)C(C)(C)C 7.8153877 0.25862068965517243</t>
  </si>
  <si>
    <t>CN(Cc1ccc2c(c1)OCCOCCOCCOCCOCCO2)Cc1cc(N(C)C)ccn1 7.8153853 0.3275862068965517</t>
  </si>
  <si>
    <t>CN(CC1=CCC=C(N(C)C2C=CC=CN2)N1)c1ccc2c(c1)OCCOCCOCCOCCOCCO2 7.815381 0.25316455696202533</t>
  </si>
  <si>
    <t>CN1CCN(C)CCN(CC2=C(N(C)c3cccc(F)c3)CC=CN2)CC1 7.8153768 0.35714285714285715</t>
  </si>
  <si>
    <t>C=CCN(C)Cc1cccc(CN(C)C2CCC(N(C)Cc3ccccn3)CC2)n1 7.815367 0.5</t>
  </si>
  <si>
    <t>Cc1nc(CN(C)C2CCCCC2N(CF)CC2=CCC=CN2)c(C)c(C)c1C 7.8153667 0.3225806451612903</t>
  </si>
  <si>
    <t>CC1C=CC(c2cccc(CN(Cc3ccccn3)C3CCC(N(C)Cc4ccc(-c5ccc6c(c5)OCCOCCOCCOCCOCCO6)cn4)CC3)n2)C(C)C1C 7.815366 0.3855421686746988</t>
  </si>
  <si>
    <t>Cc1cnc(CN2CCN(C)CCN(Cc3cccnc3C)CC2)c(C)c1 7.815364 0.44</t>
  </si>
  <si>
    <t>CNC1CCCCC1N(Cc1ccccn1)Cc1ccc(C)c(F)n1 7.8153486 0.4716981132075472</t>
  </si>
  <si>
    <t>CNC1CCCCC1N(C)Cc1cc(C)c(C)c(C)n1 7.8153486 0.42857142857142855</t>
  </si>
  <si>
    <t>CC1N=COC1c1cc(CN2CCN(C)CCN(C)CC2)ccn1 7.8153477 0.42</t>
  </si>
  <si>
    <t>Cc1cncc(CN(C)C2=CNC=C(CN3CCN(C)CCN(C)CC3)C2)c1 7.815342 0.3333333333333333</t>
  </si>
  <si>
    <t>CCN(C)Cc1ncccc1-c1cccc2c1OCCOCCOCCOCCOCCO2 7.815326 0.2857142857142857</t>
  </si>
  <si>
    <t>CN1CCN(C)CCN(Cc2cccnc2C2=CCC=CN2)CC1 7.815312 0.42857142857142855</t>
  </si>
  <si>
    <t>CC1=CC(N(C)Cc2ccccn2)CC(C)(C)C1C 7.815297 0.5</t>
  </si>
  <si>
    <t>CC(C)N(C)CC1=CCC=CN1 7.815292 0.4318181818181818</t>
  </si>
  <si>
    <t>CCNC1CCCC(N(C)Cc2ncccc2C)C1N(C)Cc1ncccc1C 7.8152833 0.39622641509433965</t>
  </si>
  <si>
    <t>CN(c1ccc2c(c1)OCCOCCOCCOCCOCCO2)C1CCC(N(Cc2ccccn2)Cc2ccc(-c3ccc4c(c3)OCCOCCOCCOCCOC=CO4)cn2)CC1 7.815278 0.4155844155844156</t>
  </si>
  <si>
    <t>FCN(Cc1ccccn1)C1CCCCC1N(Cc1ccccn1)Cc1ncccc1-c1ccc2c(c1)OCCOCCOCCOCCOCCO2 7.8152366 0.375</t>
  </si>
  <si>
    <t>CCN(C)Cc1cccc(-c2ccc3c(c2)OCCOCCOCCOCCOCCO3)n1 7.8152204 0.37037037037037035</t>
  </si>
  <si>
    <t>Cc1ccc(CN(C)C2CCC(N(C)Cc3cccc(-c4ccc5c(c4)OCCOCCOCCOCCOCCO5)n3)CC2)nc1 7.815203 0.4142857142857143</t>
  </si>
  <si>
    <t>CNCc1cc(-c2cccc3c2OCCOCCOCCOCCOCCO3)ccn1 7.8151965 0.27941176470588236</t>
  </si>
  <si>
    <t>CC(C)N(C)Cc1cccc(-c2cccc3c2OCCOCCOCCOCCOCCO3)n1 7.8151865 0.3157894736842105</t>
  </si>
  <si>
    <t>CC(C)N(C)CCN(C)C(C)(C)c1cccnc1 7.815182 0.2708333333333333</t>
  </si>
  <si>
    <t>CC(C)C1(C)N=COC1c1cc(CN2CCN(C)CCN(C)CC2)ccn1 7.815181 0.375</t>
  </si>
  <si>
    <t>CCN(C)C1CCCC(N(C)Cc2cc(C)c(C)c(C)n2)C1 7.815177 0.3333333333333333</t>
  </si>
  <si>
    <t>CN1CCN(C)CCN(Cc2ccc(C3=CCC=CN3)nc2)CC1 7.815174 0.35294117647058826</t>
  </si>
  <si>
    <t>Cc1cccnc1CN(CCN(C)CCF)C1CCCCC1N(C)Cc1ncc(C)c(C)c1C 7.815165 0.4</t>
  </si>
  <si>
    <t>CC1C=CC(SCc2ccccn2)CC1 7.8151627 0.4473684210526316</t>
  </si>
  <si>
    <t>Cc1cncc(CN(C)C2CCCC(N(C)Cc3cccc(-c4cccc5c4OCCOCCOCCOCCOCCO5)n3)C2)c1 7.8151627 0.3188405797101449</t>
  </si>
  <si>
    <t>Cc1cc(CN(C)C2CCC(N(C)Cc3cc(-c4ccc5c(c4)OCCOCCOCCOCCOCCO5)ccn3)CC2)ccn1 7.8151593 0.391304347826087</t>
  </si>
  <si>
    <t>Cc1cncc(CN2CCN(C)CCN(Cc3cccnc3C(C)(C)C)CC2)c1 7.8151503 0.4074074074074074</t>
  </si>
  <si>
    <t>NC1=CCNC=C1 7.815145 0.13953488372093023</t>
  </si>
  <si>
    <t>CN(Cc1ccon1)C1CCCCC1N(C)Cc1cccc(-c2ccc3c(c2)OCCOCCOCCOCCOCCO3)n1 7.8151336 0.4406779661016949</t>
  </si>
  <si>
    <t>Cc1cc(C)nc(CN2CCCC2C2CCN(Cc3ccncc3C)C2)c1 7.8151255 0.4067796610169492</t>
  </si>
  <si>
    <t>CNCc1cccc(CN(C)C2=C(CN3CCN(C)CCN(C)CC3)NC=CC2)n1 7.8151116 0.3793103448275862</t>
  </si>
  <si>
    <t>CCNCCN(Cc1ccccn1)Cc1cc(-c2cccc3c2OCCOCCOCCOCCOCCO3)ccn1 7.8151073 0.3548387096774194</t>
  </si>
  <si>
    <t>CN(CCN(Cc1ccccn1)C(C)(N)c1ccccn1)c1cccc2c1OCCOCCOCCOCCOCCO2 7.815106 0.3492063492063492</t>
  </si>
  <si>
    <t>CN(CC1=CCC=C(N(C)Cc2ccccn2)N1)Cc1cccc2c1OCCOCCOCCOCCOCCO2 7.8150997 0.3333333333333333</t>
  </si>
  <si>
    <t>CC(C)c1cccc(CN(Cc2ccccn2)C2CCCCC2)n1 7.8150973 0.4791666666666667</t>
  </si>
  <si>
    <t>CC1=C(C)C(C)C(C)(c2ncccc2CN(Cc2ccccn2)C2CCCCC2)CC1 7.815092 0.38333333333333336</t>
  </si>
  <si>
    <t>CN(CCF)CCN(Cc1ccccn1)Cc1cc(-c2ccc3c(c2)OCCOCCOCCOCCOCCO3)ccn1 7.8150907 0.42105263157894735</t>
  </si>
  <si>
    <t>CNCc1ncccc1-c1cccc2c1OCCOCCOCCOCCOCCO2 7.8150816 0.23529411764705882</t>
  </si>
  <si>
    <t>CN(Cc1cccc(-c2ccc3c(c2)OCCOCCOCCOCCOCCO3)n1)C1CCC(NCc2ccccn2)C2(C=CC=CN2)C1 7.81507 0.3218390804597701</t>
  </si>
  <si>
    <t>C#CCNCc1cccc(CN(Cc2ccccn2)C2CCC(N(C)Cc3ncccc3C)CC2)n1 7.8150687 0.36507936507936506</t>
  </si>
  <si>
    <t>CCN(C)CCN(C)C1CCC(N(C)Cc2nc(C)c(C)c(C)c2C)CC1 7.8150673 0.24489795918367346</t>
  </si>
  <si>
    <t>CNC1CCCCC1N(Cc1cccc(F)n1)Cc1ncccc1C 7.8150644 0.3728813559322034</t>
  </si>
  <si>
    <t>CN(Cc1cccc(CN(C)C(C)(C)c2cccnc2CN(Cc2ccc([SiH3])cn2)C2CCCCC2N(C)Cc2cccc(-c3ccc4c(c3)OCCOCCOCCOCCOCCO4)n2)n1)Cc1cccc(C23CCC2OCCOCCOCCOCCOCCO3)n1 7.8150578 0.2608695652173913</t>
  </si>
  <si>
    <t>CC(C)NCc1ncccc1CN(C)C1CCCC(N(C)Cc2ccccn2)C1 7.815052 0.4807692307692308</t>
  </si>
  <si>
    <t>CN1CCN(C)CCN(Cc2cncc(N(C)C)c2)CC1 7.8150477 0.40425531914893614</t>
  </si>
  <si>
    <t>Cc1cccc(CN(C)C2CCC(N(C)Cc3cccc(-c4cccc5c4OCCOCCOCCOCCOCCO5)n3)CC2)n1 7.8150344 0.44642857142857145</t>
  </si>
  <si>
    <t>CN(Cc1cccc(-c2ccc3c(c2)OCCOCCOCCOCCOCCO3)n1)C(C)(C)C 7.815032 0.35384615384615387</t>
  </si>
  <si>
    <t>CC1=CC2(CC=C(C)C(C)C2)C(N(C)Cc2ccccn2)CC1C 7.815021 0.42592592592592593</t>
  </si>
  <si>
    <t>CN1CCN(C)CCN(CC2=CCC(N(C)c3cccc(F)c3)=CN2)CC1 7.815016 0.38181818181818183</t>
  </si>
  <si>
    <t>C1=CNC(CN(CC2=CCC=CN2)CC2C=CNC=C2)=CC1 7.814999 0.45652173913043476</t>
  </si>
  <si>
    <t>CC1C=CC(C)(C)C(C)C1c1cncc(CN(CC2=CCC=CN2)C2CCCCC2N(C)Cc2ccccn2)c1 7.814994 0.4166666666666667</t>
  </si>
  <si>
    <t>Cc1cc(N(C)Cc2ccccn2)cc2c1OCCOCCOCCOCCOCCO2 7.814981 0.43137254901960786</t>
  </si>
  <si>
    <t>Cc1cccnc1CN(C)C1CCC(N(C)Cc2cccc(-c3ccc4c(c3)OCCOCCOCCOCCOCCO4)n2)CC1 7.8149776 0.3466666666666667</t>
  </si>
  <si>
    <t>CNCc1cccc(-c2ccc3c(c2)OCCOCCOCCOCCOCCO3)n1 7.8149776 0.3770491803278688</t>
  </si>
  <si>
    <t>CN(CCF)CCN(Cc1ccccn1)Cc1ncccc1-c1cccc2c1OCCOCCOCCOCCOCCO2 7.814974 0.4</t>
  </si>
  <si>
    <t>CNCc1cccc(CN(C)C2CCCC(N(C)Cc3cccc(-c4ccc5c(c4)OCCOCCOCCOCCOCCO5)n3)C2)n1 7.8149624 0.35135135135135137</t>
  </si>
  <si>
    <t>CCCN(CCN(C)CC(C)(C)C)CC(C)(C)C 7.814959 0.3076923076923077</t>
  </si>
  <si>
    <t>CN(CCN(Cc1ccccn1)C1C=CC=CN1)C(C)(C)N 7.814957 0.4727272727272727</t>
  </si>
  <si>
    <t>CCCN(C)Cc1cccc(-c2ccc3c(c2)OCCOCCOCCOCCOCCO3)n1 7.8149533 0.37254901960784315</t>
  </si>
  <si>
    <t>CC1C=CC(CN(C)Cc2cccc(C(C)(C)C)n2)C(C)C1C 7.814945 0.3541666666666667</t>
  </si>
  <si>
    <t>CN1CCN(C)CCN(Cc2ccc(C3OC=NC3(C)C)nc2)CC1 7.8149414 0.34615384615384615</t>
  </si>
  <si>
    <t>CCNCc1cccc(CN(C)C2CCCC(N(C)Cc3ncccc3C)C2)n1 7.8149376 0.3793103448275862</t>
  </si>
  <si>
    <t>CC(C)N(C)CN(C)C(C)C 7.8148727 0.18181818181818182</t>
  </si>
  <si>
    <t>Cc1cccnc1CN(C)CCN(Cc1ccccn1)c1cccc2c1OCCOCCOCCOCCOCCO2 7.814856 0.3230769230769231</t>
  </si>
  <si>
    <t>Cc1ccc(CN(C)C2CCC(N(C)Cc3cc(-c4ccc5c(c4)OCCOCCOCCOCCOCCO5)ccn3)CC2)nc1 7.814853 0.45454545454545453</t>
  </si>
  <si>
    <t>Cc1cncc(CN(C)C2CCC(N(C)Cc3cccnn3)CC2)c1 7.814823 0.425531914893617</t>
  </si>
  <si>
    <t>CNC1CCCC(N(Cc2ccccn2)Cc2ncccc2C)C1 7.8148203 0.4074074074074074</t>
  </si>
  <si>
    <t>Cc1cncc(CN(C)C2=C(CN3CCN(C)CCN(C)CC3)NC=CC2)c1 7.814815 0.3275862068965517</t>
  </si>
  <si>
    <t>CN(CCF)CC1=CC(N(C)Cc2cccc(-c3ccc4c(c3)OCCOCCOCCOCCOCCO4)n2)C=CN1 7.8148117 0.2926829268292683</t>
  </si>
  <si>
    <t>CNCCN(C)C1CCCCC1N(C)Cc1nc(C)c(C)c(C)c1C 7.8147936 0.38</t>
  </si>
  <si>
    <t>Cc1ccccc1CN(C)C1CCC(N(C)Cc2ccon2)CC1 7.814781 0.4418604651162791</t>
  </si>
  <si>
    <t>CC(C)N(C)Cc1cc(-c2cccc3c2OCCOCCOCCOCCOCCO3)ccn1 7.8147655 0.27586206896551724</t>
  </si>
  <si>
    <t>CCN(C)CCN(C)CC(C)(C)C 7.8147593 0.23684210526315788</t>
  </si>
  <si>
    <t>Cc1cnc(CN(C)C2CCCC(N(Cc3ccccn3)Cc3cccc(CN4CCN(C)CCN(C)CC4)n3)C2)c(C)c1 7.814759 0.421875</t>
  </si>
  <si>
    <t>Cc1cccc(CN(C)C2CCC(N(C)Cc3cccc(-c4ccc5c(c4)OCCOCCOCCOCCOCCO5)n3)CC2)n1 7.8147407 0.44642857142857145</t>
  </si>
  <si>
    <t>CCN(Cc1ccccn1)C1CCC(N(C)Cc2ncccc2C)CC1 7.814723 0.46</t>
  </si>
  <si>
    <t>CC(C)N(Cc1ccccn1)C1CCC(N(C)Cc2ncccc2F)CC1 7.814722 0.4423076923076923</t>
  </si>
  <si>
    <t>CCNCNCc1ccc(C)cn1 7.8146987 0.43243243243243246</t>
  </si>
  <si>
    <t>Cc1cncc(CN(C)C2CCCCC2N(C)Cc2ncccc2C)c1 7.8146973 0.45098039215686275</t>
  </si>
  <si>
    <t>CCOC(=O)C(=O)C(=O)C(C)NCc1ncccc1CN1CCN(C)CCN(C)CC1 7.814696 0.4090909090909091</t>
  </si>
  <si>
    <t>CC(C)NCCN1CCN(C)CCN(Cc2ccc3cccnc3c2)CC1 7.814695 0.39622641509433965</t>
  </si>
  <si>
    <t>Cc1ccnc(C2CC(C)(C)C2)c1CN1CCN(C)CCN(C)CC1 7.8146935 0.4375</t>
  </si>
  <si>
    <t>Cc1cncc(CN(C)CCN2CCN(C)CCN(Cc3cc(C)c(C)c(C)n3)CC2)c1 7.814685 0.41818181818181815</t>
  </si>
  <si>
    <t>CC(N)C(C)N(CCN(Cc1ccccn1)C(C)(N)N(CCN(C)CCN(C)CCN(C)CCN(C)CCN(C)CCN(C)CCN(C)CCN(C)CC(C)(C)C)Cc1ccccn1)Cc1ccccn1 7.8146806 0.49019607843137253</t>
  </si>
  <si>
    <t>CC1C=CC(C)(NCc2ccccn2)CC1C 7.814661 0.3953488372093023</t>
  </si>
  <si>
    <t>CC(C)N(C)Cc1ncccc1-c1cccc2c1OCCOCCOCCOCCOCCO2 7.81466 0.26785714285714285</t>
  </si>
  <si>
    <t>CC(C)N(C)Cc1cccc(-c2ccc3c(c2)OCCOCCOCCOCCOCCO3)n1 7.8146577 0.35384615384615387</t>
  </si>
  <si>
    <t>CN(Cc1ccccn1)C1=CC(c2ccc3c(c2)OCCOCCOCCOCCOCCO3)C=CN1 7.8146563 0.36065573770491804</t>
  </si>
  <si>
    <t>CN(Cc1ccc(Cl)cn1)C1CCCCC1N(C)Cc1cccc(-c2ccc3c(c2)OCCOCCOCCOCCOCCO3)n1 7.8146453 0.4166666666666667</t>
  </si>
  <si>
    <t>Cc1ncccc1CN(C)C1CCC(N(C)Cc2ncccc2-c2ccc3c(c2)OCCOCCOCCOCCOCCO3)CC1 7.814645 0.3424657534246575</t>
  </si>
  <si>
    <t>CN1CCN(C)CCN(Cc2ccc(N(C)C)nc2)CC1 7.8146353 0.4634146341463415</t>
  </si>
  <si>
    <t>CC1=CCC(C)C(N(C)Cc2ncccc2-c2ccc3c(c2)OCCOCCOCCOCCOCCO3)C1C 7.814635 0.3157894736842105</t>
  </si>
  <si>
    <t>Cc1cccnc1CN(C)C1CCC(N(C)Cc2cc(-c3ccc4c(c3)OCCOCCOCCOCCOCCO4)ccn2)CC1 7.8146286 0.38028169014084506</t>
  </si>
  <si>
    <t>CC(N)C(C)(C)c1cccnc1 7.8146114 0.23255813953488372</t>
  </si>
  <si>
    <t>Cc1cnc(CN(C)C2CCC(N(C)CC(C)(C)C)CC2)c(C)c1 7.8146057 0.3333333333333333</t>
  </si>
  <si>
    <t>Cc1nc(CN(C)CCN2CCN(C)CCN(C)CC2)c(C)c(C)c1C 7.8146 0.3191489361702128</t>
  </si>
  <si>
    <t>Cc1cccnc1CN(C)C1CCCC(N(C)Cc2cccnc2)C1 7.8146 0.3333333333333333</t>
  </si>
  <si>
    <t>CC(C)NCc1ccc(CN(C)C2CCCC(N(C)Cc3ccccn3)C2)cn1 7.8145933 0.4716981132075472</t>
  </si>
  <si>
    <t>CC1C=CC(C)(C)C(c2cccc(CN(Cc3ccccn3)C3CCCCC3N(C)Cc3cccc(-c4ccc5c(c4)OCCOCCOCCOCCOCCO5)n3)n2)C1(C)C 7.814591 0.40540540540540543</t>
  </si>
  <si>
    <t>Cc1cncc(CN(C)C2CCCC(N(C)Cc3cc(-c4ccc5c(c4)OCCOCCOCCOCCOCCO5)ccn3)C2)c1 7.8145857 0.3972602739726027</t>
  </si>
  <si>
    <t>CCOC(=O)C(=O)C(=O)C(C)NCc1ccc(CN2CCN(C)CCN(C)CC2)cn1 7.8145814 0.4153846153846154</t>
  </si>
  <si>
    <t>CN(Cc1cccc(CN(Cc2ccc([SiH3])cn2)Cc2cccc(C3CC4OCCOCCOCCOCCOCCOC43)n2)n1)Cc1cccc(-c2ccc3c(c2)OCCOCCOCCOCCOCCO3)n1 7.8145785 0.32558139534883723</t>
  </si>
  <si>
    <t>Cc1cccnc1CN(C)C1CCC(N(C)Cc2ccc(-c3ccc4c(c3)OCCOCCOCCOCCOCCO4)cn2)CC1 7.814553 0.47761194029850745</t>
  </si>
  <si>
    <t>CC1C=CC(C)C(C)(c2cc(CN(Cc3ccccn3)C3CCCCC3)ccn2)C1 7.814551 0.3770491803278688</t>
  </si>
  <si>
    <t>Cc1c(CN2CCN(C)CCN(C)CC2)cnc(CN(C)C(C)C)c1C 7.814545 0.43137254901960786</t>
  </si>
  <si>
    <t>CN1CCN(C)CCN(Cc2ccnc(C3OC=NC3(C)C)c2)CC1 7.814514 0.40384615384615385</t>
  </si>
  <si>
    <t>CN(CC1=CCC=C(N(C)Cc2ccccn2)N1)Cc1ccc2c(c1)OCCOCCOCCOCCOCCO2 7.8145113 0.3492063492063492</t>
  </si>
  <si>
    <t>CN(C)Cc1cncc(CN(C)C2CCCCC2N(C)Cc2ncccc2-c2cccc3c2OCCOCCOCCOCCOCCO3)c1 7.8145094 0.3484848484848485</t>
  </si>
  <si>
    <t>Cc1cccnc1CN(C)C1CCC(N(C)Cc2cccc(C3CCC3(C)C)n2)CC1 7.8145037 0.3559322033898305</t>
  </si>
  <si>
    <t>Cc1cnc(C2CCC2(C)C)c(CN(Cc2ccccn2)C2CCCCC2)c1C 7.814496 0.39655172413793105</t>
  </si>
  <si>
    <t>CC(C)N(Cc1cccc(CN2CCN(C)CCN(C)CC2)n1)Cc1cccc(C2CCC2(C)C)n1 7.8144946 0.45454545454545453</t>
  </si>
  <si>
    <t>CC1CC(N)C1CSCc1ccccn1 7.8144927 0.48717948717948717</t>
  </si>
  <si>
    <t>CCN(C)C1CCCC(N(C)Cc2nc(C)c(C)cc2C)C1 7.814452 0.28846153846153844</t>
  </si>
  <si>
    <t>CC(C)N(C)Cc1ccc(-c2cccc3c2OCCOCCOCCOCCOCCO3)cn1 7.8144307 0.34328358208955223</t>
  </si>
  <si>
    <t>CC(C)N1CCN(C)CCN(C(C)c2ccc(C3=CCC=CN3)cn2)CC1 7.8144264 0.2711864406779661</t>
  </si>
  <si>
    <t>CC1=CC(C)CC(C)(C)C1 7.8144164 0.15555555555555556</t>
  </si>
  <si>
    <t>CCN(Cc1ccccn1)C1CCC(N(C)Cc2ccon2)CC1 7.8144155 0.48</t>
  </si>
  <si>
    <t>CCN(C)Cc1cc(-c2ccc3c(c2)OCCOCCOCCOCCOCCO3)ccn1 7.814411 0.4166666666666667</t>
  </si>
  <si>
    <t>CNCCN(Cc1ccccn1)C1CCC(N(C)Cc2ncc(C)c(C)c2C)CC1 7.8144083 0.40350877192982454</t>
  </si>
  <si>
    <t>Cc1cccc(CN(C)C2CCC(N(C)Cc3cc(-c4ccc5c(c4)OCCOCCOCCOCCOCCO5)ccn3)CC2)n1 7.814406 0.423728813559322</t>
  </si>
  <si>
    <t>Cc1ccc(CN(C)C2CCCC(N(C)Cc3cccc(-c4cccc5c4OCCOCCOCCOCCOCCO5)n3)C2)nc1 7.8143935 0.41935483870967744</t>
  </si>
  <si>
    <t>CN(CCF)CCN(Cc1ccccn1)Cc1ncccc1-c1ccc2c(c1)OCCOCCOCCOCCOCCO2 7.8143787 0.39344262295081966</t>
  </si>
  <si>
    <t>CNCc1ccc(-c2cccc3c2OCCOCCOCCOCCOCCO3)cn1 7.814373 0.36507936507936506</t>
  </si>
  <si>
    <t>Cc1cc(CN2CCN(C)CCN(Cc3ccc(N)cn3)CC2)cnc1C 7.8143506 0.44</t>
  </si>
  <si>
    <t>CNCN1CCN(Cc2ncc(C)c(C)c2C)CCN(Cc2ncc(C)c(C)c2C)CC1 7.8143296 0.5</t>
  </si>
  <si>
    <t>CC(C)NCc1ncccc1CN(C)C1CCCC(N(C)Cc2ncccc2-c2cccc3c2OCCOCCOCCOCCOCCO3)C1 7.8143196 0.25</t>
  </si>
  <si>
    <t>CNCCN(C)C(C)(C)c1ccccn1 7.814312 0.35555555555555557</t>
  </si>
  <si>
    <t>CN(CCN(Cc1ccccn1)Cc1ncccc1-c1cccc2c1OCCOCCOCCOCCOCCO2)CC(C)(C)C 7.814303 0.45</t>
  </si>
  <si>
    <t>CC(C)N(C)CCN(C)CC1=CCC=CN1 7.8142843 0.3877551020408163</t>
  </si>
  <si>
    <t>Cc1cncc(CN(C)C2CCCC(N(Cc3ccccn3)C(C)C)C2)c1 7.814284 0.42857142857142855</t>
  </si>
  <si>
    <t>CNC1CCCCC1N(C)Cc1nc(C)c(C)cc1C 7.814274 0.3877551020408163</t>
  </si>
  <si>
    <t>CN(Cc1ncccc1-c1ccc2c(c1)OCCOCCOCCOCCOCCO2)C(C)(C)C 7.8142595 0.3484848484848485</t>
  </si>
  <si>
    <t>CC(C)N(C)CCN1C2C=CC=CC2=CC1(C)C 7.814256 0.18518518518518517</t>
  </si>
  <si>
    <t>CN(Cc1cccc(-c2ccc3c(c2)OCCOCCOCCOCCOCCO3)n1)C1CCCCC1Nc1cccc(CF)n1 7.8142514 0.3787878787878788</t>
  </si>
  <si>
    <t>CC(C)NCN1CCN(C)CCN(C(C)(c2ccccn2)c2ccccn2)CC1 7.814231 0.42857142857142855</t>
  </si>
  <si>
    <t>CCNCc1cc(CN(C)C2CCCC(N(C)Cc3ccon3)C2)ccn1 7.814228 0.3584905660377358</t>
  </si>
  <si>
    <t>CNCCN(C)CCN(C)CCN(C)CCN(C)CCN(C)CCN(C)CCN(C)CCN(C)CCN(C)CCN(C)CCN(C)CCN(C)CCN(C)CCN(C)CCN(C)CCN(C)CCN(C)CCN(C)CCN(C)CCN(C)CCN(C)CCN(C)CCN(C)CCN(C)CCN 7.8142233 0.1891891891891892</t>
  </si>
  <si>
    <t>CCOC(=O)C(=O)C(=O)C(C)NCc1cccc(CN2CCN(C)CCN(C)CC2)n1 7.8142123 0.46296296296296297</t>
  </si>
  <si>
    <t>CN(Cc1cccc(-c2ccc3c(c2)OCCOCCOCCOCCOCCO3)n1)C1CCCCC1N(Cc1ccccn1)Cc1ccccc1F 7.8142104 0.45454545454545453</t>
  </si>
  <si>
    <t>CN(Cc1cc(-c2ccc3c(c2)OCCOCCOCCOCCOCCO3)ccn1)C(C)(C)C 7.8142004 0.4098360655737705</t>
  </si>
  <si>
    <t>C=CCN(Cc1ccccn1)C1CCC(N(Cc2ccccn2)Cc2cccc(-c3ccc4c(c3)OCCOCCOCCOCCOCCO4)n2)CC1 7.8141847 0.38028169014084506</t>
  </si>
  <si>
    <t>CC1C=CC(C(C)(C)C)C(C)(C)C1N(C)Cc1ccccn1 7.814184 0.48936170212765956</t>
  </si>
  <si>
    <t>CN(Cc1cccnc1)C1CCCC(N(C)Cc2ccon2)C1 7.8141837 0.40425531914893614</t>
  </si>
  <si>
    <t>CC(C)C(C)(c1cccnc1)N(C)C1CCC(N(Cc2ccccn2)Cc2cccc(-c3ccc4c(c3)OCCOCCOCCOCCOCCO4)n2)CC1 7.814183 0.3333333333333333</t>
  </si>
  <si>
    <t>c1ccc2c(c1)OCCOCCOc1ccccc1OCCOCCO2 7.8141813 0.2978723404255319</t>
  </si>
  <si>
    <t>C1=C(CN(Cc2ccccn2)Cc2cccc(-c3ccc4c(c3)OCCOCCOCCOCCOCCO4)n2)C=C(c2ccc3c(c2)OCCOCCOCCOCCOCCO3)CC1 7.814163 0.43478260869565216</t>
  </si>
  <si>
    <t>CC(C)N(C)C1=CCC=C(CN(C)C2CCCC(N(C)Cc3ccccn3)C2)N1 7.8141603 0.45454545454545453</t>
  </si>
  <si>
    <t>CC(C)(c1cccc(CN(Cc2ccccn2)Cc2cccc(-c3ccc4c(c3)OCCOCCOCCOCCOCCO4)n2)n1)c1cccc(C2CC3OCCOCCOCCOCCOCCOC32)n1 7.8141575 0.3974358974358974</t>
  </si>
  <si>
    <t>Cc1ccc(CN(C)C2=C(CN(C)Cc3ccc4c(c3)OCCOCCOCCOCCOCCO4)NC=CC2)nc1 7.8141336 0.3387096774193548</t>
  </si>
  <si>
    <t>CC(C)N(C)Cc1ccc(-c2ccc3c(c2)OCCOCCOCCOCCOCCO3)nc1 7.814106 0.375</t>
  </si>
  <si>
    <t>Cc1ccc(CN(C)C2CCCC(N(C)Cc3cccc(-c4ccc5c(c4)OCCOCCOCCOCCOCCO5)n3)C2)nc1 7.8141055 0.4166666666666667</t>
  </si>
  <si>
    <t>CN(C1=CCC=CN1)C1CCCC(N(C)C2=CCC=CN2)C1 7.8141036 0.2549019607843137</t>
  </si>
  <si>
    <t>CC1C=CCC(c2cccc(CN(Cc3ccccn3)C3CCC(N(C)Cc4ccc(-c5ccc6c(c5)OCCOCCOCCOCCOCCO6)cn4)CC3)n2)C1(C)C 7.8140945 0.367816091954023</t>
  </si>
  <si>
    <t>Cc1cccnc1CN(C)C1CCCC(N(C)Cc2cccc(-c3cccc4c3OCCOCCOCCOCCOCCO4)n2)C1 7.814085 0.3235294117647059</t>
  </si>
  <si>
    <t>CCOC(=O)C(=O)C(=O)C(C)N1CCN(C)CCN(C(=O)C(C)C(C)C(=O)C(=O)C(C)C(C)C(C)C)CC1 7.8140774 0.25</t>
  </si>
  <si>
    <t>Cc1cc(C)c(CN(C)C2CCCC(N(C)C(C)C)C2)nc1C 7.8140726 0.2727272727272727</t>
  </si>
  <si>
    <t>CNCC1=CCC=CN1 7.814069 0.37209302325581395</t>
  </si>
  <si>
    <t>CC(C)N(C)Cc1cncc(C2CC(C)(C)C2)c1CN1CCN(C)CCN(C)CC1 7.814063 0.2857142857142857</t>
  </si>
  <si>
    <t>CNCc1cc(CN(C)C2CCC(N(C)Cc3cc(C)ccn3)CC2)ccn1 7.814062 0.36538461538461536</t>
  </si>
  <si>
    <t>Cc1cccc(CN(C)C2CCCC(N(C)Cc3cc(C)ccn3)C2)c1 7.814057 0.39215686274509803</t>
  </si>
  <si>
    <t>CC1=C(C)C(C)C(N(C)CC2=CCC=CN2)CC1 7.814051 0.34545454545454546</t>
  </si>
  <si>
    <t>CCOC(=O)C(C)NCc1cc(C(C)NCc2cc(CN3CCN(C)CCN(C)CC3)ccn2)ccn1 7.814039 0.49206349206349204</t>
  </si>
  <si>
    <t>COC(=O)C(=O)N1CCN(C)CCN(C(C)=O)CC1 7.8140182 0.3076923076923077</t>
  </si>
  <si>
    <t>CC(CN(Cc1ccccn1)Cc1ccccn1)(c1ccccc1)c1cccc2c1OCCOCCOCCOCCOCCO2 7.8140006 0.4107142857142857</t>
  </si>
  <si>
    <t>CNCc1cc(-c2ccc3c(c2)OCCOCCOCCOCCOCCO3)ccn1 7.8140006 0.43859649122807015</t>
  </si>
  <si>
    <t>CC1=CC(C)CCC1(C)c1ccc(CN(Cc2ccccn2)C2CCCCC2)cn1 7.8139997 0.3709677419354839</t>
  </si>
  <si>
    <t>CCNCCN(C)CCN(C)CCN(C)CCN(C)CCN(C)CCN(C)CCN(C)CCN(C)CCN(C)CCN(C)CCN(C)CCN(C)CCN(C)CCN(C)CCN(C)CCN(C)CCN(C)CCN(C)CCN(C)CCN(C)CCN(C)CCN(C)CCN(C)CCN(C)CCNC 7.8139873 0.18421052631578946</t>
  </si>
  <si>
    <t>CC(C)c1cccc(CNCNCF)n1 7.813986 0.29545454545454547</t>
  </si>
  <si>
    <t>CCNC1=C(C)CC(C)(C)CC1 7.8139763 0.14814814814814814</t>
  </si>
  <si>
    <t>Cc1cc2c(c(-c3ccc(CN(C)C4CCC(N(C)Cc5ccc(-c6ccc7c(c6)OCCOCCOCCOCCOCCO7)cn5)CC4)cn3)c1)OCCOCCOCCOCCOCCO2 7.813967 0.4266666666666667</t>
  </si>
  <si>
    <t>CC1=CC(C)(N(C)Cc2ccccn2)C(C)C(C)C1 7.813957 0.42857142857142855</t>
  </si>
  <si>
    <t>CC1=CC(C)C(C)(C)C(C)C1N(C)Cc1ccccn1 7.813954 0.46808510638297873</t>
  </si>
  <si>
    <t>Cc1cc(C)c(C)c(CN(C)CN(C)C2CCCC(N(C)C(C)C)C2)n1 7.81393 0.2711864406779661</t>
  </si>
  <si>
    <t>CN(Cc1ccc(-c2ccc3c(c2)OCCOCCOCCOCCOCCO3)cn1)C1CCCCC1Nc1cccc(CF)n1 7.8139105 0.44</t>
  </si>
  <si>
    <t>Cc1cnc(C(C)(C)C)c(CN2CCN(C)CCN(C)CC2)c1 7.813902 0.45454545454545453</t>
  </si>
  <si>
    <t>Cc1cccnc1CN(C)C1CCCC(N(C)Cc2cccc(-c3ccc4c(c3)OCCOCCOCCOCCOCCO4)n2)C1 7.8138967 0.35064935064935066</t>
  </si>
  <si>
    <t>CN(Cc1ccccn1)C1CCC(N(C)Cc2ccc(C3CC(Cl)C3Cl)cn2)CC1 7.8138947 0.47058823529411764</t>
  </si>
  <si>
    <t>c1ccc(CN(Cc2ccccn2)c2ccc3c(c2)OCCOCCOCCOCCOCCO3)cc1 7.813891 0.3695652173913043</t>
  </si>
  <si>
    <t>Cc1cccnc1CNCC1CCCN1Cc1cccc(-c2ccc3c(c2)OCCOCCOCCOCCOCCO3)n1 7.8138876 0.4473684210526316</t>
  </si>
  <si>
    <t>Cc1cccnc1CN1CCN(C)CCN(Cc2c(C)ccnc2C)CC1 7.8138866 0.45652173913043476</t>
  </si>
  <si>
    <t>Cc1cccc(CN(C)C2CCCC(N(C)Cc3cccc(-c4cccc5c4OCCOCCOCCOCCOCCO5)n3)C2)n1 7.8138847 0.45614035087719296</t>
  </si>
  <si>
    <t>Cc1cncc(CN(C)C2CCCC(N(C)Cc3cccnn3)C2)c1 7.813872 0.4</t>
  </si>
  <si>
    <t>CCN(C)Cc1cc(CN(C)C2CCC(N(C)Cc3cc(C)ccn3)CC2)ccn1 7.8138556 0.4</t>
  </si>
  <si>
    <t>CN(Cc1cccc(C2=CCC=CN2)n1)C1CCCCC1 7.813853 0.41509433962264153</t>
  </si>
  <si>
    <t>CCNCc1cccc(CN(Cc2ccccn2)c2cccc3c2OCCOCCOCCOCCOCCO3)n1 7.813852 0.3387096774193548</t>
  </si>
  <si>
    <t>Cc1ccnc(CN(C)C2CCC(N(C)Cc3cccc(CN(C)C4CCC(N(C)Cc5cccc(-c6ccc7c(c6)OCCOCCOCCOCCOCCO7)n5)CC4)n3)CC2)c1C 7.813844 0.33766233766233766</t>
  </si>
  <si>
    <t>Cc1cnc(CN(C)C2CCCC(N(C)C)C2)c(C)c1 7.8138437 0.3673469387755102</t>
  </si>
  <si>
    <t>CC(C)c1ncccc1CN(Cc1ccccn1)C1CCCCC1 7.81384 0.4791666666666667</t>
  </si>
  <si>
    <t>Cc1cccnc1CN(C)C1=C(CN(C)Cc2ccc3c(c2)OCCOCCOCCOCCOCCO3)NC=CC1 7.8138328 0.24096385542168675</t>
  </si>
  <si>
    <t>Cc1cccnc1CN(C)C1CCCC(N(C)Cc2ncccc2-c2cccc3c2OCCOCCOCCOCCOCCO3)C1 7.8138294 0.28125</t>
  </si>
  <si>
    <t>CC(C)N(C)Cc1cc(N2CCN(C)CCN(C)CC2)ccn1 7.8138094 0.42</t>
  </si>
  <si>
    <t>CN(Cc1ccon1)C1CCC(N(C)Cc2cccc(-c3cccc4c3OCCOCCOCCOCCOCCO4)n2)CC1 7.8138075 0.3275862068965517</t>
  </si>
  <si>
    <t>Cc1ccc(CN(C)C2=C(CN3CCN(C)CCN(C)CC3)NC=CC2)cn1 7.813807 0.3275862068965517</t>
  </si>
  <si>
    <t>CC(C)C(C)(c1cccnc1)N(Cc1ccccn1)C1CCCCC1N(C)Cc1cccc(-c2ccc3c(c2)OCCOCCOCCOCCOCCO3)n1 7.813805 0.4</t>
  </si>
  <si>
    <t>CC(C)N(C)Cc1cc(-c2ccc3c(c2)OCCOCCOCCOCCOCCO3)ccn1 7.813802 0.4098360655737705</t>
  </si>
  <si>
    <t>CC1=C(C)C(C)CC(c2ncccc2CN(Cc2ccccn2)C2CCCCC2)C1 7.8138013 0.3898305084745763</t>
  </si>
  <si>
    <t>Cc1cncc(CN(C)C2CCC(N(C)Cc3cccc(CF)n3)CC2)c1 7.8138 0.39622641509433965</t>
  </si>
  <si>
    <t>CCOC(=O)C(=O)C(=O)C(C)N1CCN(C)CCN(C(=O)OC)CC1 7.813786 0.27419354838709675</t>
  </si>
  <si>
    <t>CCN(Cc1cccc(CN(Cc2ccccn2)C2CCC(N(C)Cc3cccc(-c4ccc5c(c4)OCCOCCOCCOCCOCCO5)n3)CC2)n1)C1CCC(N(C)Cc2cccc(-c3ccc4c(c3)OCCOCCOCCOCCOCCO4)n2)CC1 7.8137712 0.3835616438356164</t>
  </si>
  <si>
    <t>C=CCNCCN(C)Cc1cnccc1C 7.813771 0.29411764705882354</t>
  </si>
  <si>
    <t>CC1C=CC(C)(C)CC1(C)NCc1ccccn1 7.81373 0.3953488372093023</t>
  </si>
  <si>
    <t>CNC1CCCCC1N(Cc1ccccn1)Cc1nccc(C)c1C 7.813707 0.49019607843137253</t>
  </si>
  <si>
    <t>Cc1ccccc1CN(C)CCN(C)C(C)C 7.813702 0.38095238095238093</t>
  </si>
  <si>
    <t>CNC1CCCCC1N(Cc1cc(C)ccn1)Cc1cc(C)ccn1 7.8136907 0.3877551020408163</t>
  </si>
  <si>
    <t>CC1=CC(c2cccc(CN(C)C3CCC(N(C)Cc4ncccc4C)CC3)n2)CC(C)(C)C1(C)C 7.813688 0.328125</t>
  </si>
  <si>
    <t>COC(=O)C(=O)C(C)c1cc(CN2CCN(C)CCN(C)CC2)ccn1 7.81368 0.423728813559322</t>
  </si>
  <si>
    <t>c1ccc2c(c1)OCCOCCOCCOc1ccccc1OCCO2 7.813672 0.2978723404255319</t>
  </si>
  <si>
    <t>CC(C)C(C)C1=CC(N(C)Cc2ccc(-c3ccc4c(c3)OCCOCCOCCOCCOCCO4)cn2)C=CN1 7.81367 0.43661971830985913</t>
  </si>
  <si>
    <t>Cc1cccnc1CN(C)C1CCCC(N(Cc2cccnc2)C(C)C)C1 7.813669 0.29508196721311475</t>
  </si>
  <si>
    <t>CN(Cc1cccc(CN(Cc2ccccn2)C2CCC(N(C)Cc3cccc(-c4ccc5c(c4)OCCOCCOCCOCCOCCO5)n3)CC2)n1)C1CCC(N(C)Cc2cccc(-c3ccc4c(c3)OCCOCCOCCOCCOCCO4)n2)CC1 7.8136683 0.4057971014492754</t>
  </si>
  <si>
    <t>CN(Cc1cccc(-c2ccc3c(c2)OCCOCCOCCOCCOCCO3)n1)C1CCC(N(Cc2ccccn2)Cc2cccc(CNCF)n2)CC1 7.813657 0.3611111111111111</t>
  </si>
  <si>
    <t>Cc1cccc(CN(C)C2CCCC(N(C)Cc3cccc(-c4ccc5c(c4)OCCOCCOCCOCCOCCO5)n3)C2)n1 7.813632 0.4482758620689655</t>
  </si>
  <si>
    <t>C=CCN(C)CCN(Cc1ccccn1)Cc1cccc(-c2ccc3c(c2)OCCOCCOCCOCCOCCO3)n1 7.8136287 0.43478260869565216</t>
  </si>
  <si>
    <t>Cc1cncc(CN(C)C2=CNC(CN3CCN(C)CCN(C)CC3)=CC2)c1 7.813618 0.3508771929824561</t>
  </si>
  <si>
    <t>Cc1cccc(CN(C)C2=C(CN(C)Cc3ccc4c(c3)OCCOCCOCCOCCOCCO4)NC=CC2)n1 7.8136144 0.3387096774193548</t>
  </si>
  <si>
    <t>CN(Cc1ccccn1)C1CCC(N(C)Cc2cccc(C3CC(Cl)C3Cl)n2)CC1 7.813612 0.47058823529411764</t>
  </si>
  <si>
    <t>COC(=O)C(=O)C(C)c1ncccc1CN1CCN(C)CCN(C)CC1 7.813606 0.4117647058823529</t>
  </si>
  <si>
    <t>Cc1cccnc1CN(C)C1=CNC(CN(C)Cc2cccc3c2OCCOCCOCCOCCOCCO3)=CC1 7.813595 0.2898550724637681</t>
  </si>
  <si>
    <t>CC(C)N(C)Cc1ncccc1-c1ccc2c(c1)OCCOCCOCCOCCOCCO2 7.813588 0.3484848484848485</t>
  </si>
  <si>
    <t>CN(CCN)Cc1cccnc1 7.8135834 0.38461538461538464</t>
  </si>
  <si>
    <t>CC1=C(C)C(C)C(C)(c2cc(CN(Cc3ccccn3)C3CCCCC3)ccn2)CC1 7.8135734 0.36507936507936506</t>
  </si>
  <si>
    <t>C=CCN(C)Cc1cccc(CN(Cc2cccc(-c3ccc4c(c3)OCCOCCOCCOCCOCCO4)n2)C2CCCCC2N(C)Cc2cccc(-c3ccc4c(c3)OCCOCCOCCOCCOCCO4)n2)n1 7.813569 0.3880597014925373</t>
  </si>
  <si>
    <t>C=CCNCc1cccc(CN(Cc2ccccn2)C2CCC(N(C)Cc3cccc(-c4ccc5c(c4)OCCOCCOCCOCCOCCO5)n3)CC2)n1 7.8135643 0.34146341463414637</t>
  </si>
  <si>
    <t>CNCc1cc(CN(C)C2CCC(N(C)Cc3ncccc3C)CC2)ccn1 7.8135343 0.3392857142857143</t>
  </si>
  <si>
    <t>CC(N)C(C)CN(Cc1ccccn1)Cc1ccc(-c2ccc3c(c2)OCCOCCOCCOCCOCCO3)cn1 7.8135314 0.44776119402985076</t>
  </si>
  <si>
    <t>COC1(C)N=COC1c1ncccc1CN1CCN(C)CCN(C)CC1 7.813485 0.3888888888888889</t>
  </si>
  <si>
    <t>CNCc1ncccc1-c1ccc2c(c1)OCCOCCOCCOCCOCCO2 7.813473 0.3709677419354839</t>
  </si>
  <si>
    <t>CN(Cc1cccc(-c2ccc3c(c2)OCCOCCOCCOCCOCCO3)n1)C1C=CNC=C1 7.8134727 0.34285714285714286</t>
  </si>
  <si>
    <t>C1=CC(N(Cc2ccccn2)c2ccc3c(c2)OCCOCCOCCOCCOCCO3)=CCN1 7.8134637 0.3230769230769231</t>
  </si>
  <si>
    <t>CNC1CCC(N(C)Cc2cc(C)c(C)c(C)n2)CC1 7.8134537 0.3076923076923077</t>
  </si>
  <si>
    <t>Cc1cccnc1CN(C)C1=CNC=C(CN2CCN(C)CCN(C)CC2)C1 7.8134527 0.38181818181818183</t>
  </si>
  <si>
    <t>Cc1cnc(CN(C)Cc2ccc3c(c2)OCCOCCOCCOCCOCCO3)c(CN(C)Cc2ccccn2)c1 7.813438 0.3492063492063492</t>
  </si>
  <si>
    <t>CNCc1ncccc1CN(C)C1CCC(N(C)Cc2ncccc2C)CC1 7.813431 0.3148148148148148</t>
  </si>
  <si>
    <t>CC(C)C1N=COC1c1ncccc1CN1CCN(C)CCN(C)CC1 7.8134265 0.4117647058823529</t>
  </si>
  <si>
    <t>Cc1ccc(CN(C)C2=C(CN3CCN(C)CCN(C)CC3)NC=CC2)nc1 7.813426 0.40384615384615385</t>
  </si>
  <si>
    <t>CC(CN(Cc1ccccn1)Cc1ccccn1)(c1ccccc1)c1ccc2c(c1)OCCOCCOCCOCCOCCO2 7.813421 0.42592592592592593</t>
  </si>
  <si>
    <t>Cc1cncc(C)c1CN1CCN(C)CCN(Cc2ccc(N)cn2)CC1 7.8134127 0.45652173913043476</t>
  </si>
  <si>
    <t>Cc1nc(CN(C)C2CCCCC2N(C)C(C)C)c(C)c(C)c1C 7.813404 0.3958333333333333</t>
  </si>
  <si>
    <t>Cc1cccnc1CN(C)C1CCC(N(Cc2ccccn2)C(C)C)CC1 7.813397 0.45098039215686275</t>
  </si>
  <si>
    <t>CNC1CCCC(N(Cc2cccc(F)n2)Cc2cccc(F)n2)C1 7.8133965 0.35294117647058826</t>
  </si>
  <si>
    <t>CN(Cc1cccc(F)n1)C1CCC(N(C)Cc2cccc(CF)n2)CC1 7.813379 0.43478260869565216</t>
  </si>
  <si>
    <t>CC(C)C(C)(c1cccnc1)C(C)N 7.813368 0.20408163265306123</t>
  </si>
  <si>
    <t>CNC1CCCC(N(C)Cc2cc(C)ccn2)C1N(C)Cc1cc(C)ccn1 7.8133674 0.44</t>
  </si>
  <si>
    <t>CC1=CCC2(CC1C)C(C)=C(C)CCC2N(C)Cc1ccccn1 7.8133616 0.43636363636363634</t>
  </si>
  <si>
    <t>CNC1CCCCC1N(C)c1ncccc1Cl 7.813357 0.40816326530612246</t>
  </si>
  <si>
    <t>CN(Cc1ccon1)C1CCC(N(C)Cc2cccc(-c3ccc4c(c3)OCCOCCOCCOCCOCCO4)n2)CC1 7.8133206 0.352112676056338</t>
  </si>
  <si>
    <t>CNC1CCCCC1N(C)c1ccc(Cl)cn1 7.8133054 0.34</t>
  </si>
  <si>
    <t>CC(C)N(Cc1cccc(CN(C)C2CCC(N(C)Cc3cccc(-c4ccc5c(c4)OCCOCCOCCOCCOCCO5)n3)CC2)n1)C(C)C 7.8132935 0.3472222222222222</t>
  </si>
  <si>
    <t>Cc1nc(CN(C)C2CCC(N(C)CN)CC2)c(C)c(C)c1C 7.813282 0.26</t>
  </si>
  <si>
    <t>CN1CCN(Cc2ccc(N(C)C)cn2)CCN(Cc2cccc(-c3ccc4c(c3)OCCOCCOCCOCCOCCO4)n2)CC1 7.813275 0.44285714285714284</t>
  </si>
  <si>
    <t>Cc1cncc(CN(C)C2CCCC(N(C)Cc3ncccc3CF)C2)c1 7.8132715 0.29508196721311475</t>
  </si>
  <si>
    <t>C=C1C=CNC(CN(C)C2CCC(N(C)Cc3ccccn3)CC2)=C1 7.8132505 0.48</t>
  </si>
  <si>
    <t>Cc1cc2c(c(N(C)Cc3ccccn3)c1C)OCCOCCOCCOCCOCCO2 7.813244 0.4230769230769231</t>
  </si>
  <si>
    <t>CC(N)c1cccc(CN(C)C2CCCC(N(C)Cc3cccc(-c4ccc5c(c4)OCCOCCOCCOCCOCCO5)n3)C2)n1 7.8132215 0.34210526315789475</t>
  </si>
  <si>
    <t>Cc1cncc(CN2CCN(C)CCN(Cc3ccc(C(C)(C)C)nc3)CC2)c1 7.813218 0.4117647058823529</t>
  </si>
  <si>
    <t>CNCCN(C)CCN(C)CCN(C)CCN(C)CCN(C)CCN(C)CCN(C)CCN(C)CCN(C)CCN(C)CCN(C)CCN(C)CCN(C)CCN(C)CCN(C)CCN(C)CCN(C)CCN(C)CCN(C)CCN(C)CCN(C)CCNC(C)(N)N(CCNC)Cc1ccccn1 7.8132043 0.4117647058823529</t>
  </si>
  <si>
    <t>Cc1nc(CN(C)C2CCC(N(Cc3ccccn3)C3CCC3C)CC2)c(C)c(C)c1C 7.8132024 0.42857142857142855</t>
  </si>
  <si>
    <t>CN(CCF)C1CCCC(N(Cc2ccccn2)c2ccccc2F)C1 7.8131957 0.4528301886792453</t>
  </si>
  <si>
    <t>CC1C=CC(C)(C)C(c2cccc(CN(Cc3ccccn3)C3CCC(N(C)Cc4cccc(-c5ccc6c(c5)OCCOCCOCCOCCOCCO6)n4)CC3)n2)C1(C)C 7.813186 0.3333333333333333</t>
  </si>
  <si>
    <t>CN(C1=CCC=CN1)C1CCCCC1N(C)C1=CC(Cl)C=CN1 7.81318 0.25</t>
  </si>
  <si>
    <t>CC1=C(C)C(C)CC(c2cc(CN(Cc3ccccn3)C3CCCCC3)ccn2)C1 7.8131766 0.3770491803278688</t>
  </si>
  <si>
    <t>CN(CCNCc1cccc(-c2ccc3c(c2)OCCOCCOCCOCCOCCO3)n1)Cc1cccc(-c2ccc3c(c2)OCCOCCOCCOCCOCCO3)n1 7.813153 0.3392857142857143</t>
  </si>
  <si>
    <t>CC(N)C(C)(c1cccnc1)C(C)N 7.813134 0.2127659574468085</t>
  </si>
  <si>
    <t>Cc1cnc(CN2CCN(C)CCN(Cc3cncc(C)c3C)CC2)cc1C 7.813134 0.46808510638297873</t>
  </si>
  <si>
    <t>Cc1cnc(CN(C)C2CCCCC2N(C)Cc2cc(-c3ccc4c(c3)OCCOCCOCCOCCOCCO4)ccn2)cc1C 7.8131313 0.4482758620689655</t>
  </si>
  <si>
    <t>CC1CC(N)C1c1cccc(CN(C)C2CCC(N(C)Cc3ccccn3)CC2)n1 7.81312 0.46153846153846156</t>
  </si>
  <si>
    <t>C1=CC(CN(Cc2ccccn2)Cc2ccccn2)C(c2cccc3c2OCCOCCOCCOCCOCCO3)=CN1 7.813117 0.36363636363636365</t>
  </si>
  <si>
    <t>CCOC1(C)N=COC1c1ncccc1CN1CCN(C)CCN(C)CC1 7.813108 0.375</t>
  </si>
  <si>
    <t>CN(Cc1cccc(-c2ccc3c(c2)OCCOCCOCCOCCOCCO3)n1)C1C=CC=CN1 7.813101 0.3472222222222222</t>
  </si>
  <si>
    <t>c1ccc(CN(Cc2cccnc2)c2cccc3c2OCCOCCOCCOCCOCCO3)nc1 7.8130865 0.3269230769230769</t>
  </si>
  <si>
    <t>CNCCN(C)CCN(C)CCN(C)CCN(C)CCN(C)CCN(C)CCN(C)CCN(C)CCN(C)CCN(C)CCN(C)CCN(C)CCN(C)CCN(C)CCN(C)CCN(C)CCN(C)CCN(C)CCN(C)CCN(C)CCN(C)CCN(C)CCN(C)CCN(C)CCNC 7.813074 0.21875</t>
  </si>
  <si>
    <t>Cc1cc(CN(C)C2CCCC(N(C)Cc3ccc(CN4CCN(C)CCN(C)CC4)c(C)n3)C2)nc(C)c1C 7.8130727 0.3333333333333333</t>
  </si>
  <si>
    <t>Cc1cccnc1CN(C)C1=CNC(CN(C)Cc2ccc3c(c2)OCCOCCOCCOCCOCCO3)=CC1 7.8130527 0.24096385542168675</t>
  </si>
  <si>
    <t>CNC1CCCCC1N(Cc1ncccc1C)Cc1ncccc1C 7.81305 0.3877551020408163</t>
  </si>
  <si>
    <t>CC(C)C(C)CN(Cc1ccccn1)Cc1ncccc1-c1cccc2c1OCCOCCOCCOCCOCCO2 7.813027 0.35185185185185186</t>
  </si>
  <si>
    <t>C#CCN(C)Cc1ncccc1C(C)(C)C 7.8130226 0.3191489361702128</t>
  </si>
  <si>
    <t>COC(=O)C(=O)N1CCN(C)CCN(C(=O)C(C)NCc2ccccn2)CC1 7.8129973 0.4074074074074074</t>
  </si>
  <si>
    <t>Cc1cnc(CN(C)C2CCCCC2N(C)Cc2cccc(-c3ccc4c(c3)OCCOCCOCCOCCOCCO4)n2)c(C)c1 7.812988 0.421875</t>
  </si>
  <si>
    <t>CNC1CCCC(N(C)Cc2ncc(C)c(C)c2C)C1 7.812987 0.32075471698113206</t>
  </si>
  <si>
    <t>Cc1ccc(CN(C)C2CCCCC2N(C)Cc2cccc(-c3ccc4c(c3)OCCOCCOCCOCCOCCO4)n2)nc1C 7.8129816 0.4576271186440678</t>
  </si>
  <si>
    <t>CN(Cc1ncccc1-c1cccc2c1OCCOCCOCCOCCOCCO2)C1CCCCC1N(Cc1ccccn1)Cc1ccccn1 7.8129706 0.5</t>
  </si>
  <si>
    <t>CNC1C(N(C)Cc2cc(C)ccn2)CCCC1N(C)Cc1cc(C)ccn1 7.812956 0.4782608695652174</t>
  </si>
  <si>
    <t>COC(=O)C1C(C(=O)C(C)N)C(C(=O)C(C)N)CN(C)C1C(C)(C)C 7.812952 0.21212121212121213</t>
  </si>
  <si>
    <t>CN(CC1=CCC(N(C)c2ccc3c(c2)OCCOCCOCCOCCOCCO3)=CN1)Cc1ccccn1 7.812948 0.359375</t>
  </si>
  <si>
    <t>CC(C)N(C)Cc1ccc(N2CCN(C)CCN(C)CC2)cn1 7.8129463 0.35555555555555557</t>
  </si>
  <si>
    <t>CC(C)N(C)CC1=CC(N(C)Cc2cccc(-c3ccc4c(c3)OCCOCCOCCOCCOCCO4)n2)C=CN1 7.812943 0.3</t>
  </si>
  <si>
    <t>CC(N)C1=CCC=CN1 7.8129354 0.2608695652173913</t>
  </si>
  <si>
    <t>Cc1cncc(CN(C)C2CCCCC2N(C)Cc2ccon2)c1 7.8129253 0.4897959183673469</t>
  </si>
  <si>
    <t>CN(CCNCc1ccccn1)Cc1ncccc1-c1cccc2c1OCCOCCOCCOCCOCCO2 7.812916 0.375</t>
  </si>
  <si>
    <t>CCCNCC1=CC(C)CC(C)C1c1ccccn1 7.812914 0.34782608695652173</t>
  </si>
  <si>
    <t>CN(Cc1cc(-c2ccc3c(c2)OCCOCCOCCOCCOCCO3)ccn1)C1CCC(N(C)Cc2ccon2)CC1 7.8129025 0.4090909090909091</t>
  </si>
  <si>
    <t>CC1=CCC(C)C(C)(c2cccc(CN(Cc3ccccn3)C3CCCCC3)n2)C1 7.8128963 0.38333333333333336</t>
  </si>
  <si>
    <t>CN(CCF)CCN(Cc1cccc(F)n1)Cc1cccc(-c2ccc3c(c2)OCCOCCOCCOCCOCCO3)n1 7.8128505 0.3194444444444444</t>
  </si>
  <si>
    <t>CC(C)C1N=COC1c1cc(CN2CCN(C)CCN(C)CC2)ccn1 7.8128495 0.3888888888888889</t>
  </si>
  <si>
    <t>CN(CCNCc1ccccn1)Cc1cccc(-c2ccc3c(c2)OCCOCCOCCOCCOCCO3)n1 7.812832 0.4262295081967213</t>
  </si>
  <si>
    <t>CNCc1cc(CN(C)C2CCC(N(C)Cc3ccon3)CC2)ccn1 7.812826 0.3958333333333333</t>
  </si>
  <si>
    <t>Cc1cccc(CN(C)C2=CNC(CN(C)Cc3ccc4c(c3)OCCOCCOCCOCCOCCO4)=CC2)n1 7.8128123 0.3442622950819672</t>
  </si>
  <si>
    <t>CCOC(=O)C(C)NCc1ccc(C(C)NCc2ccc(CN3CCN(C)CCN(C)CC3)cn2)cn1 7.812798 0.40298507462686567</t>
  </si>
  <si>
    <t>CC(C)N(C)CCN(C)CC(C)(C)C 7.8127933 0.21951219512195122</t>
  </si>
  <si>
    <t>Cc1nc(CN2CCN(C)CCN(C)CC2)c(C)c(C)c1C 7.8127728 0.4523809523809524</t>
  </si>
  <si>
    <t>COC(=O)C1CN(C)C(C(=O)C(C)N)C(C(C)(C)N(Cc2ccccn2)Cc2cc(-c3ccc4c(c3)OCCOCCOCCOCCOCCO4)ccn2)C1C(C)C 7.8127723 0.28125</t>
  </si>
  <si>
    <t>CC(C)N(C)CCN(C)C(C)(C)c1ccccn1 7.8127584 0.3953488372093023</t>
  </si>
  <si>
    <t>Cc1cccc(CN(C)C2CCC(N(Cc3ccccn3)C(C)C)CC2)n1 7.8127527 0.5</t>
  </si>
  <si>
    <t>CCNC1CC(N(C)Cc2ncccc2C)CCC1N(C)Cc1ncccc1C 7.812748 0.34545454545454546</t>
  </si>
  <si>
    <t>CC(C)(C)CN(CCN(CC(C)(C)C)CC(C)(C)N)CC(C)(C)C 7.8127036 0.34285714285714286</t>
  </si>
  <si>
    <t>CC(C)C(C)N(Cc1ccccn1)Cc1cccc(-c2ccc3c(c2)OCCOCCOCCOCCOCCO3)n1 7.8126955 0.4375</t>
  </si>
  <si>
    <t>Cc1ccncc1CN(Cc1ncccc1C)C1CCCC(N(C)CCN(C)C)C1 7.812694 0.2857142857142857</t>
  </si>
  <si>
    <t>CNc1ccc(CN2CCN(C)CCN(Cc3ccc(N)cn3)CC2)cn1 7.8126874 0.42</t>
  </si>
  <si>
    <t>CC(C)(C)c1ncccc1CN(Cc1ccccn1)C1CCCCC1 7.8126645 0.46938775510204084</t>
  </si>
  <si>
    <t>CN(CCNCc1ncccc1-c1cccc2c1OCCOCCOCCOCCOCCO2)Cc1ccccn1 7.812657 0.34375</t>
  </si>
  <si>
    <t>CC1=C(C)C(N=Cc2ccccn2)CCC1CN(C)C(C)C 7.8126473 0.3333333333333333</t>
  </si>
  <si>
    <t>CN(Cc1ccon1)C1CCC(N(C)Cc2ncccc2-c2ccc3c(c2)OCCOCCOCCOCCOCCO3)CC1 7.812645 0.3561643835616438</t>
  </si>
  <si>
    <t>CC(C)NCc1cccc(-c2ccc3c(c2)OCCOCCOCCOCCOCCO3)n1 7.8126316 0.38095238095238093</t>
  </si>
  <si>
    <t>CN1CCN(Cc2ccc(CN(C)Cc3ccc(CF)nc3)nc2)CCN(Cc2cccc(-c3ccc4c(c3)OCCOCCOCCOCCOCCO4)n2)CC1 7.8126287 0.375</t>
  </si>
  <si>
    <t>C=CCN(C)CC1=CC(N(C)Cc2cccc(-c3ccc4c(c3)OCCOCCOCCOCCOCCO4)n2)C=CN1 7.8126197 0.2891566265060241</t>
  </si>
  <si>
    <t>CCCN(CC1=CCC=C(N(C)Cc2ccccn2)N1)c1ccc2c(c1)OCCOCCOCCOCCOCCO2 7.8126183 0.3283582089552239</t>
  </si>
  <si>
    <t>CNCCNCc1ccc(C)cn1 7.812617 0.43243243243243246</t>
  </si>
  <si>
    <t>CCOC(=O)C(C)NCc1ncccc1C(C)NCc1ncccc1CN1CCN(C)CCN(C)CC1 7.812609 0.39705882352941174</t>
  </si>
  <si>
    <t>CNCc1cc(CN(C)C(C)C)c(-c2ccc3c(c2)OCCOCCOCCOCCOCCO3)c(-c2ccc3c(c2)OCCOCCOCCOCCOCCO3)n1 7.8126073 0.3150684931506849</t>
  </si>
  <si>
    <t>CCNCc1cccc(C2CCC2(C)C)n1 7.81258 0.2641509433962264</t>
  </si>
  <si>
    <t>CC(C(=O)C(=O)C(=O)C(=O)C(C)C(C)C(C)C(C)C(C)C(C)C(C)C(C)C(C)C(C)C)C(=O)c1cccc(C2CCC2(C)C)n1 7.8125653 0.2</t>
  </si>
  <si>
    <t>Cc1cccnc1CN(C)C1CCCCC1N(C)Cc1cccnc1CN(C)CC(C)C 7.8125515 0.4339622641509434</t>
  </si>
  <si>
    <t>CC(C)NCc1ncccc1-c1cccc2c1OCCOCCOCCOCCOCCO2 7.812551 0.24285714285714285</t>
  </si>
  <si>
    <t>CNCCN(C)CCN(C)CCN(C)CCN(C)CCN(C)CCN(C)CCN(C)CCN(C)CCN(C)CCN(C)CCN(C)CCN(C)CCN(C)CCN(C)CCN(C)CCN(C)CCN(C)CCN(C)CCN(C)CCN(C)CCN(C)CCN(C)CCN(C)CCN(C)C(C)C 7.812547 0.1794871794871795</t>
  </si>
  <si>
    <t>CC1=CC(N(C)Cc2ccccn2)C(C)C(C)(C)C1 7.812537 0.48936170212765956</t>
  </si>
  <si>
    <t>CCNC1=C(C)CC(C)CC1c1ncccc1CN(Cc1ccccn1)C1CCCCC1 7.8125315 0.35384615384615387</t>
  </si>
  <si>
    <t>CN(CCCN(C)Cc1ncccc1-c1cccc2c1OCCOCCOCCOCCOCCO2)Cc1ccccn1 7.8125305 0.36666666666666664</t>
  </si>
  <si>
    <t>CNCc1ncccc1CN(C)C1CCCC(N(C)Cc2ncccc2C)C1 7.8125296 0.32142857142857145</t>
  </si>
  <si>
    <t>C=CCNCCN(C)Cc1ccc(C)nc1 7.812516 0.32608695652173914</t>
  </si>
  <si>
    <t>CC1CC(N)C1c1cccc(CN(C)C2CCCC(N(C)Cc3ccccn3)C2)n1 7.812497 0.4716981132075472</t>
  </si>
  <si>
    <t>CNCc1ncccc1CN(C)C1CCC(N(C)Cc2ccon2)CC1 7.8124747 0.37254901960784315</t>
  </si>
  <si>
    <t>CN(Cc1cccc(-c2ccc3c(c2)OCCOCCOCCOCCOCCO3)n1)C1CCCCC1N(C)Cc1ccc2c(n1)CCC2 7.812469 0.4126984126984127</t>
  </si>
  <si>
    <t>CN1CCN(C)CCN(Cc2ccnc(CNC(C)(C)c3ccnc(C4CCC4(C)C)c3)c2)CC1 7.812442 0.3709677419354839</t>
  </si>
  <si>
    <t>Cc1cnc(CN(C)C2CCC(N(CCN)Cc3ccon3)CC2)c(C)c1 7.812432 0.36363636363636365</t>
  </si>
  <si>
    <t>Cc1ccc(CN(C)C2=CNC(CN3CCN(C)CCN(C)CC3)=CC2)nc1 7.812425 0.40384615384615385</t>
  </si>
  <si>
    <t>CNCc1cccc(CN(Cc2ccccn2)C2CCCCC2N(C)Cc2cccc(-c3cccc4c3OCCOCCOCCOCCOCCO4)n2)n1 7.8124237 0.45454545454545453</t>
  </si>
  <si>
    <t>CNCNCc1ccc(CF)cn1 7.8124022 0.3076923076923077</t>
  </si>
  <si>
    <t>c1ccc(CN(Cc2ccccn2)c2cccc3c2OCCOCCOCCOCCOCCO3)nc1 7.8123794 0.40476190476190477</t>
  </si>
  <si>
    <t>CC1=CC(C)CC(C)(N(C)Cc2ccccn2)C1C 7.812373 0.42857142857142855</t>
  </si>
  <si>
    <t>CC(C)N(C)CC(C)(C)C 7.8123703 0.21621621621621623</t>
  </si>
  <si>
    <t>CN(Cc1cccc(-c2ccc3c(c2)OCCOCCOCCOCCOCCO3)n1)C1CCC(N(C)Cc2cccc(C(C)(C)C)n2)CC1 7.812355 0.3472222222222222</t>
  </si>
  <si>
    <t>CCNC1=CC(C)C(Cl)C(SCc2ccccn2)C1 7.812349 0.3469387755102041</t>
  </si>
  <si>
    <t>CC1CC(c2ccc(CN(C)C3CCC(N(C)Cc4ccccn4)CC3)nc2)C1 7.8123436 0.5</t>
  </si>
  <si>
    <t>CN(C)c1ccc(CN(C)C2CCC(N(C)C3C=CC=CN3)CC2)nc1 7.8123384 0.35714285714285715</t>
  </si>
  <si>
    <t>CN(CCF)CCN(C)Cc1cncc(F)c1 7.812323 0.34146341463414637</t>
  </si>
  <si>
    <t>CCN(Cc1cc(C(C)(C)C)ccn1)C1CCC(N(C)Cc2cc(-c3ccc4c(c3)OCCOCCOCCOCCOCCO4)ccn2)CC1 7.8123217 0.36486486486486486</t>
  </si>
  <si>
    <t>CC1C=CC(C)C(c2ncccc2CN(C)C2CCCC(N(C)Cc3ccon3)C2)C1 7.812314 0.3220338983050847</t>
  </si>
  <si>
    <t>CNC1CCCCC1NCc1nc(C)c(C)c(C)c1C 7.812313 0.21153846153846154</t>
  </si>
  <si>
    <t>CCNCc1ncccc1C(C)C(C)C 7.812292 0.325</t>
  </si>
  <si>
    <t>COC(C)NCc1ccccn1 7.812268 0.5</t>
  </si>
  <si>
    <t>Cc1nc(CN(C)C2C=CNC(CN(C)Cc3ccc4c(c3)OCCOCCOCCOCCOCCO4)=C2)c(C)c(C)c1C 7.8122654 0.2916666666666667</t>
  </si>
  <si>
    <t>CC(N)C(C)c1cccnc1CN(Cc1ccccn1)C1CCC(N(C)Cc2ccc(-c3ccc4c(c3)OCCOCCOCCOCCOCCO4)cn2)CC1 7.8122554 0.4</t>
  </si>
  <si>
    <t>CN(CCN(Cc1ccccn1)C1C=CC=CN1)C1CCC(N(C)c2cccc(F)c2)CC1 7.812237 0.38235294117647056</t>
  </si>
  <si>
    <t>Cc1cccc(CN(C)C2CCCC(N(Cc3ccccn3)C(C)C)C2)n1 7.812212 0.5</t>
  </si>
  <si>
    <t>CN(C)CCN(C)Cc1cccc(-c2ccc3c(c2)OCCOCCOCCOCCOCCO3)n1 7.812209 0.4</t>
  </si>
  <si>
    <t>CN(CCF)CCN(Cc1ccccn1)C(C)(C)N 7.8121953 0.45652173913043476</t>
  </si>
  <si>
    <t>CCN(CCN(C)CC(C)(C)C)CC(C)(C)C 7.812193 0.3157894736842105</t>
  </si>
  <si>
    <t>CN(C)CCN(C)CCN(C)CCN(C)CCN(C)CCN(C)CCN(C)CCN(C)CCN(C)CCN(C)CCN(C)CCN(C)CCN(C)CCN(C)CCN(C)CCN(C)CCN(C)CCN(C)CCN(C)CCN(C)CCN(C)CCN(C)CCN(C)CCN(C)CCN(C)CCN 7.812185 0.22857142857142856</t>
  </si>
  <si>
    <t>CN(Cc1ccccn1)c1cc2c(c(C(C)(C)C)c1)OCCOCCOCCOCCOCCO2 7.812183 0.41509433962264153</t>
  </si>
  <si>
    <t>CC1=CC(C)C(C)(NCc2ccccn2)CC1C 7.812168 0.38636363636363635</t>
  </si>
  <si>
    <t>CC1=CC(C)C(C)(C)CC1(C)c1cc(CN(Cc2ccccn2)C2CCCCC2)ccn1 7.8121552 0.36507936507936506</t>
  </si>
  <si>
    <t>CN(Cc1ncccc1-c1ccc2c(c1)OCCOCCOCCOCCOCCO2)C1C=CC=CN1 7.8121533 0.3424657534246575</t>
  </si>
  <si>
    <t>CC1=CC(C)C(c2cccc(CN(C)C3CCC(N(C)Cc4ccccn4)CC3)n2)C(C)C1 7.8121448 0.43636363636363634</t>
  </si>
  <si>
    <t>CCNCc1cccc(CN(Cc2cccc(-c3ccc4c(c3)OCCOCCOCCOCCOCCO4)n2)C2CCC(N(C)Cc3cccc(-c4ccc5c(c4)OCCOCCOCCOCCOCCO5)n3)CC2)n1 7.812135 0.32051282051282054</t>
  </si>
  <si>
    <t>CCCN(Cc1cccc(CN(Cc2ccc([SiH3])cn2)C2CCC(N(C)Cc3cccc(C)n3)CC2)n1)C1CCC(N(C)Cc2cccc(-c3ccc4c(c3)OCCOCCOCCOCCOCCO4)n2)CC1 7.812134 0.3333333333333333</t>
  </si>
  <si>
    <t>CNCc1cccc(CN(C)C2CCCC(N(C)Cc3ncccc3C)C2)n1 7.8121305 0.39285714285714285</t>
  </si>
  <si>
    <t>CNC1CCCCC1N(Cc1cccc(C)n1)Cc1ncccc1C 7.8121233 0.49056603773584906</t>
  </si>
  <si>
    <t>CN(Cc1ccc(-c2cccc3c2OCCOCCOCCOCCOCCO3)cn1)C1CCCC(N(C)Cc2ccon2)C1 7.812123 0.36486486486486486</t>
  </si>
  <si>
    <t>CN(Cc1cccc(-c2ccc3c(c2)OCCOCCOCCOCCOCCO3)n1)C1CCCCC1N(Cc1ccccn1)Cc1cccc(CF)n1 7.812122 0.46875</t>
  </si>
  <si>
    <t>CN1CCN(C)CCN(Cc2ccnc(C3=NC(C4C=CNC=C4)CO3)c2)CC1 7.8121076 0.3620689655172414</t>
  </si>
  <si>
    <t>CN(CCNCc1ccc(-c2ccc3c(c2)OCCOCCOCCOCCOCCO3)cn1)Cc1ccc(-c2ccc3c(c2)OCCOCCOCCOCCOCCO3)cn1 7.8121076 0.4838709677419355</t>
  </si>
  <si>
    <t>CNCC1C(N(C)Cc2ncccc2C)CCN1C(C)C 7.812073 0.3275862068965517</t>
  </si>
  <si>
    <t>CC=CCN(C)CCN(C)Cc1cccnc1 7.812047 0.37209302325581395</t>
  </si>
  <si>
    <t>CN(CCNCc1ccc(-c2ccc3c(c2)OCCOCCOCCOCCOCCO3)cn1)Cc1cc(-c2ccc3c(c2)OCCOCCOCCOCCOCCO3)ccn1 7.8120327 0.44776119402985076</t>
  </si>
  <si>
    <t>CC(C)N(CCN(C)Cc1cncc(-c2cccc3c2OCCOCCOCCOCCOCCO3)c1)C(C)C 7.8120284 0.24675324675324675</t>
  </si>
  <si>
    <t>COC(=O)c1cc(CN2CCN(C)CCN(Cc3cc(C)c(CN4CCN(C)CCN(C)CC4)c(C(C)(C)C)n3)CC2)ccn1 7.812026 0.43283582089552236</t>
  </si>
  <si>
    <t>Cc1ccc2c(c1N(C)Cc1cc(N)ccn1)OCCOCCOCCOCCOCCO2 7.8120165 0.2857142857142857</t>
  </si>
  <si>
    <t>CNCc1cccc(CN(Cc2ccccn2)C2CCCCC2N(C)Cc2cccc(-c3ccc4c(c3)OCCOCCOCCOCCOCCO4)n2)n1 7.8120146 0.45454545454545453</t>
  </si>
  <si>
    <t>CN(Cc1cccc(-c2ccc3c(c2)OCCOCCOCCOCCOCCO3)n1)C1CCC(N(Cc2ccccn2)Cc2ccccc2F)CC1 7.812004 0.37142857142857144</t>
  </si>
  <si>
    <t>C=CCN(C)CCN(C)CC(C)(C)C 7.8119893 0.21428571428571427</t>
  </si>
  <si>
    <t>CC1C=CCC(C)(c2ncccc2CN(Cc2ccccn2)c2ccc3c(c2)OCCOCCOCCOCCOCCO3)C1C 7.8119874 0.273972602739726</t>
  </si>
  <si>
    <t>c1ccc(CN(Cc2ccncc2)c2cccc3c2OCCOCCOCCOCCOCCO3)nc1 7.811981 0.3469387755102041</t>
  </si>
  <si>
    <t>CCNC1CCCCC1N(Cc1ccccn1)Cc1nc(C)c(C)cc1C 7.8119802 0.44642857142857145</t>
  </si>
  <si>
    <t>CNc1ccc(CN(Cc2ccccn2)C2COCCOCCOCCOCCOc3ccccc3O2)nc1 7.81198 0.31746031746031744</t>
  </si>
  <si>
    <t>COc1ccnc(C)c1CN1CCN(C)CCN(C)CC1 7.8119664 0.4883720930232558</t>
  </si>
  <si>
    <t>CC1C=CC(C)C(C(C)(C)c2ccccn2)C1C 7.8119535 0.35555555555555557</t>
  </si>
  <si>
    <t>CNC1CCCCC1N(Cc1ccccn1)Cc1ncc(C)cc1C 7.8119507 0.46296296296296297</t>
  </si>
  <si>
    <t>CCNC1CCCCC1N(C)Cc1nc(C)c(C)c(C)c1C 7.8119187 0.35294117647058826</t>
  </si>
  <si>
    <t>C1=CC(CN(Cc2ccccn2)Cc2ccccn2)C=C(c2cccc3c2OCCOCCOCCOCCOCCO3)N1 7.811912 0.38461538461538464</t>
  </si>
  <si>
    <t>Cc1ccccc1N(C)C1CCCCC1N(C)Cc1cccc(-c2ccc3c(c2)OCCOCCOCCOCCOCCO3)n1 7.8119006 0.43548387096774194</t>
  </si>
  <si>
    <t>CC1CC(c2cccc(CN(C)C3CCC(N(C)Cc4ccccn4)CC3)n2)C1 7.8119 0.5</t>
  </si>
  <si>
    <t>COC(=O)C(=O)C(=O)C(C)NCc1cc(CN2CCN(C)CCN(C)CC2)ccn1 7.811898 0.43548387096774194</t>
  </si>
  <si>
    <t>C=CCN(C)CCN(Cc1ccccn1)C(C)(C)c1cnccc1-c1ccc2c(c1)OCCOCCOCCOCCOCCO2 7.8118973 0.30864197530864196</t>
  </si>
  <si>
    <t>CC1CC(N)C1CN(C)Cc1cccc(F)n1 7.8118887 0.3877551020408163</t>
  </si>
  <si>
    <t>Cc1cccnc1CN(C)C1CCC(N(C)C2=CCC=CN2)CC1 7.8118854 0.35</t>
  </si>
  <si>
    <t>CN(Cc1cccc(CN(Cc2ccccn2)Cc2cccc(C(C)(C)C)n2)n1)Cc1cccc(C2CC3OCCOCCOCCOCCOCCOC32)n1 7.8118844 0.40625</t>
  </si>
  <si>
    <t>CNc1cccnc1CN1CCN(C)CCN(Cc2cncc(C)c2C)CC1 7.811873 0.40350877192982454</t>
  </si>
  <si>
    <t>Cc1cnc(CN(Cc2cccnn2)C2CCCCC2)cc1C 7.81187 0.40816326530612246</t>
  </si>
  <si>
    <t>C=Cc1cc2c(cc1N(C)Cc1ccccn1)OCCOCCOCCOCCOCCO2 7.811854 0.48</t>
  </si>
  <si>
    <t>CC(C)N(Cc1cccc(C(C)(C)C)n1)C1CCC(N(C)Cc2cccc(-c3ccc4c(c3)OCCOCCOCCOCCOCCO4)n2)CC1 7.811835 0.31645569620253167</t>
  </si>
  <si>
    <t>CNCc1cccc(CN(C)C2CCC(N(C)Cc3ccon3)CC2)n1 7.811834 0.41304347826086957</t>
  </si>
  <si>
    <t>CCNCCN(C)Cc1cncc(C)c1 7.8118277 0.3181818181818182</t>
  </si>
  <si>
    <t>CC1=CC(C)C(C)(N(C)Cc2ccccn2)CC1C 7.8118258 0.42857142857142855</t>
  </si>
  <si>
    <t>CN(CCNCc1ccccn1)Cc1cc(-c2ccc3c(c2)OCCOCCOCCOCCOCCO3)ccn1 7.811823 0.3888888888888889</t>
  </si>
  <si>
    <t>C=CCN(C)CCN(Cc1ccccn1)C(C)(C)c1cncc(-c2cccc3c2OCCOCCOCCOCCOCCO3)c1 7.8118196 0.30120481927710846</t>
  </si>
  <si>
    <t>CN(CCN(CC(C)(C)C)CC(C)(C)C)CC(C)(C)C 7.8118196 0.34285714285714286</t>
  </si>
  <si>
    <t>Cc1ccc(N2CCN(C)CCN(C)CC2)cc1C 7.811818 0.3333333333333333</t>
  </si>
  <si>
    <t>Cc1cc(CN(C)C2CCCCC2N(C)C)nc(C)c1C 7.8118157 0.5</t>
  </si>
  <si>
    <t>CCNCC1=NCC(C)(C)O1 7.811788 0.18181818181818182</t>
  </si>
  <si>
    <t>CC(C)C(C)(c1cccnc1)N(Cc1ccccn1)C1CCC(N(C)Cc2cccc(-c3ccc4c(c3)OCCOCCOCCOCCOCCO4)n2)CC1 7.811782 0.32941176470588235</t>
  </si>
  <si>
    <t>Cc1cccnc1CN(C)C1=CNC(CN2CCN(C)CCN(C)CC2)=CC1 7.811779 0.375</t>
  </si>
  <si>
    <t>Cc1ccc(CN(C)C2CCCC(N(Cc3ccccn3)C(C)N)C2)nc1 7.811777 0.48148148148148145</t>
  </si>
  <si>
    <t>CC1=CC(C)C(C)(N(C)Cc2ccccn2)C(C)C1 7.8117485 0.4375</t>
  </si>
  <si>
    <t>CCNCc1cccc(CN(Cc2ccccn2)C2CCC(N(C)Cc3cccc(-c4ccc5c(c4)OCCOCCOCCOCCOCCO5)n3)CC2)n1 7.811747 0.358974358974359</t>
  </si>
  <si>
    <t>CN(Cc1ncccc1-c1cccc2c1OCCOCCOCCOCCOCCO2)C1CCCCC1N(Cc1ccccn1)Cc1ccc(F)cn1 7.8117337 0.43283582089552236</t>
  </si>
  <si>
    <t>Cc1ccc(CN(C)C2CCC(N(C)C3=CCC=CN3)CC2)nc1 7.8117266 0.49019607843137253</t>
  </si>
  <si>
    <t>Cc1nc(CN(C)C2CCC(N(CCN)Cc3ccccn3)CC2)c(C)c(C)c1C 7.811717 0.4107142857142857</t>
  </si>
  <si>
    <t>CC1=CC(C)CC(C)C1N(C)Cc1cccc(-c2ccc3c(c2)OCCOCCOCCOCCOCCO3)n1 7.811687 0.33783783783783783</t>
  </si>
  <si>
    <t>CC(C)N(C)Cc1cccc(CN(Cc2ccccn2)C2CCC(N(C)Cc3cccc(-c4ccc5c(c4)OCCOCCOCCOCCOCCO5)n3)CC2)n1 7.8116765 0.3684210526315789</t>
  </si>
  <si>
    <t>CC1=C(C)C(C)C(C)(N(C)Cc2ccccn2)CC1 7.811675 0.4583333333333333</t>
  </si>
  <si>
    <t>CN(Cc1cc(-c2ccc3c(c2)OCCOCCOCCOCCOCCO3)ccn1)C1CCCCC1N(Cc1ccccn1)Cc1cccc(CF)n1 7.811666 0.46875</t>
  </si>
  <si>
    <t>CNCc1cccc(CN(Cc2ccccn2)C2CCCCC2N(C)Cc2cc(-c3ccc4c(c3)OCCOCCOCCOCCOCCO4)ccn2)n1 7.8116646 0.45454545454545453</t>
  </si>
  <si>
    <t>Cc1nc(CN(C)C2CCCCC2N(CCN)Cc2cccc(F)n2)c(C)c(C)c1C 7.8116646 0.45614035087719296</t>
  </si>
  <si>
    <t>CCNC1=C(C)C(C)CC(N(C)Cc2ccccn2)C1 7.811663 0.45098039215686275</t>
  </si>
  <si>
    <t>CNCCN(Cc1ccccn1)Cc1cc(-c2cccc3c2OCCOCCOCCOCCOCCO3)ccn1 7.811654 0.36666666666666664</t>
  </si>
  <si>
    <t>CCCN(Cc1ccccn1)C1CCCC(N(C)Cc2ncc(C)c(C)c2C)C1 7.811644 0.42857142857142855</t>
  </si>
  <si>
    <t>COC(=O)C(=O)C(=O)C(C)NCc1ncccc1CN1CCN(C)CCN(C)CC1 7.81164 0.3684210526315789</t>
  </si>
  <si>
    <t>c1ccc(CN(Cc2cccnc2)c2ccc3c(c2)OCCOCCOCCOCCOCCO3)nc1 7.8116236 0.3333333333333333</t>
  </si>
  <si>
    <t>CC(C)c1ccncc1CN1CCN(C)CCN(Cc2cccc(CN(C)C)n2)CC1 7.8116226 0.4528301886792453</t>
  </si>
  <si>
    <t>CNCc1ncccc1CN(Cc1ccccn1)C1CCCCC1N(C)Cc1ncccc1-c1cccc2c1OCCOCCOCCOCCOCCO2 7.8116207 0.42028985507246375</t>
  </si>
  <si>
    <t>Cc1ccc(CN(C)C2CCC(N(C)Cc3cccc(-c4ccc5c(c4)OCCOCCOCCOCCOCCO5)n3)CC2)nc1C 7.811611 0.36619718309859156</t>
  </si>
  <si>
    <t>CN(C)Cc1ccc(CN(C)C2CCCC(N(C)Cc3cccc(-c4cccc5c4OCCOCCOCCOCCOCCO5)n3)C2)cn1 7.811607 0.3</t>
  </si>
  <si>
    <t>CC1=C(CN(C)Cc2ccccn2)C(C)C(C)CC1 7.81159 0.46808510638297873</t>
  </si>
  <si>
    <t>c1cncc(CN(Cc2cccnn2)c2cccc3c2OCCOCCOCCOCCOCCO3)c1 7.811565 0.32142857142857145</t>
  </si>
  <si>
    <t>FCCN(Cc1ccccn1)Cc1cccc(-c2cccc3c2OCCOCCOCCOCCOCCO3)n1 7.8115625 0.41379310344827586</t>
  </si>
  <si>
    <t>CC1=CC(C)CC(C)C1CN(C)Cc1ccccn1 7.8115616 0.45454545454545453</t>
  </si>
  <si>
    <t>COC(=O)C(=O)C(=O)C(C)NCc1ccc(CN2CCN(C)CCN(C)CC2)cn1 7.811559 0.3484848484848485</t>
  </si>
  <si>
    <t>Cc1ccc2c(c1N(Cc1ccccn1)Cc1ncccc1-c1cccc3c1OCCOCCOCCOCCOCCO3)OCCOCCOCCOCCOCCO2 7.811556 0.2982456140350877</t>
  </si>
  <si>
    <t>CNC1C(N(C)Cc2cc(C)ccn2)CCCC1N(Cc1cc(C)ccn1)C(C)C 7.8115544 0.4074074074074074</t>
  </si>
  <si>
    <t>Cc1cnc(CN(C)C2CCC(N(C)Cc3cccc(-c4ccc5c(c4)OCCOCCOCCOCCOCCO5)n3)CC2)c(C)c1 7.8115535 0.36</t>
  </si>
  <si>
    <t>C1=COCCOC(N(Cc2ccccn2)Cc2cccc(-c3ccc4c(c3)OCCOCCOCCOCCOCCO4)n2)COCCOc2ccccc2OCCO1 7.811545 0.3698630136986301</t>
  </si>
  <si>
    <t>Cc1ccccc1N(Cc1ccccn1)C1CCCC(N(C)C(C)C)C1 7.8115425 0.4423076923076923</t>
  </si>
  <si>
    <t>CC(N)c1ccccc1 7.8115425 0.35</t>
  </si>
  <si>
    <t>Cc1cccnc1CN(C)C1CCC(N(C)CCN(C)Cc2nccc(C)c2C)CC1 7.8115387 0.3333333333333333</t>
  </si>
  <si>
    <t>CC(C)NC1=CC=CCN1 7.8115177 0.14583333333333334</t>
  </si>
  <si>
    <t>CC1=C(NCc2ccccn2)CCCC1C 7.8115087 0.40476190476190477</t>
  </si>
  <si>
    <t>CC1=CC(C)CC(C)C1(C)NCc1ccccn1 7.811495 0.4186046511627907</t>
  </si>
  <si>
    <t>CC(C)C(C)N(Cc1ccccn1)Cc1ncccc1-c1ccc2c(c1)OCCOCCOCCOCCOCCO2 7.811491 0.38596491228070173</t>
  </si>
  <si>
    <t>CNc1ccc(-c2ccc(CN(C)C3CCC(N(C)Cc4ccccn4)CC3)cn2)c2c1OCCOCCOCCOCCOCCO2 7.8114896 0.375</t>
  </si>
  <si>
    <t>Cc1ccc(CN(Cc2cccc(CN(C)C3CCC(N(C)Cc4cccc(-c5ccc6c(c5)OCCOCCOCCOCCOCCO6)n4)CC3)n2)C2CCCCC2N(C)Cc2cccc(-c3ccc4c(c3)OCCOCCOCCOCCOCCO4)n2)nc1C 7.8114777 0.39705882352941174</t>
  </si>
  <si>
    <t>Cc1cncc(CN(C)C2CCCC(N(C)CC3=CCC(N(C)C(C)C)=CN3)C2)c1 7.8114696 0.23880597014925373</t>
  </si>
  <si>
    <t>Cc1ccncc1C(C)(C)N(C)Cc1ccncc1CN1CCN(C)CCN(C)CC1 7.8114467 0.3392857142857143</t>
  </si>
  <si>
    <t>CC1C=CC(C)(N(Cc2ccccn2)Cc2ccccn2)C(C)C1C 7.8114233 0.4358974358974359</t>
  </si>
  <si>
    <t>Cc1cnc(CN2CCN(C)CCN(Cc3cccnc3C(C)N)CC2)c(C)c1 7.81142 0.39285714285714285</t>
  </si>
  <si>
    <t>Cc1cncc(CN2CCN(C)CCN(Cc3cc(C)c(C)c(C)n3)CC2)c1 7.8113947 0.48936170212765956</t>
  </si>
  <si>
    <t>CN(CCF)CCN(C)Cc1ccc(F)nc1 7.811386 0.4</t>
  </si>
  <si>
    <t>CNCCN(Cc1ccccn1)Cc1ncccc1-c1cccc2c1OCCOCCOCCOCCOCCO2 7.811343 0.3728813559322034</t>
  </si>
  <si>
    <t>COC(=O)C(=O)C(=O)C(C)NCc1cccc(CN2CCN(C)CCN(C)CC2)n1 7.811337 0.46153846153846156</t>
  </si>
  <si>
    <t>CC(C)N(Cc1cccc(C(C)(C)C)n1)C1CCC(N(C)Cc2ncccc2-c2ccc3c(c2)OCCOCCOCCOCCOCCO3)CC1 7.811329 0.30952380952380953</t>
  </si>
  <si>
    <t>CC(C)N(Cc1ccc(N)cn1)Cc1ccc(CN2CCN(C)CCN(C)CC2)cn1 7.8113146 0.36538461538461536</t>
  </si>
  <si>
    <t>C=CCNCCN(C)Cc1cncc(C)c1 7.8113036 0.2978723404255319</t>
  </si>
  <si>
    <t>CC(C)NCc1ncccc1-c1ccc2c(c1)OCCOCCOCCOCCOCCO2 7.8113008 0.375</t>
  </si>
  <si>
    <t>CNCc1ncccc1CN(C)C1CCCCC1N(C)Cc1nccc(C)c1C 7.811287 0.4339622641509434</t>
  </si>
  <si>
    <t>Cc1cc2c(c(C)c1N(C)Cc1ccccn1)OCCOCCOCCOCCOCCO2 7.8112855 0.43137254901960786</t>
  </si>
  <si>
    <t>Cc1cc(C)c(CN(C)C2CCCCC2N(C)C)nc1C 7.811279 0.4444444444444444</t>
  </si>
  <si>
    <t>CN(C)CCN(C)Cc1ncccc1-c1ccc2c(c1)OCCOCCOCCOCCOCCO2 7.8112745 0.34328358208955223</t>
  </si>
  <si>
    <t>Cc1cnc(CN2CCN(C)CCN(Cc3cncc(C)c3C)CC2)c(C)c1 7.811269 0.48</t>
  </si>
  <si>
    <t>CCNCc1cccc(CN(Cc2ccccn2)C2CCCC(N(C)Cc3cccc(-c4cccc5c4OCCOCCOCCOCCOCCO5)n3)C2)n1 7.811262 0.3424657534246575</t>
  </si>
  <si>
    <t>CC(C)CN(CCN(C)CC(C)(C)C)Cc1cccnc1 7.811252 0.35294117647058826</t>
  </si>
  <si>
    <t>CCN(Cc1cccc(CN(C)C2CCC(N(C)Cc3cccc(-c4ccc5c(c4)OCCOCCOCCOCCOCCO5)n3)CC2)n1)Cc1cccc(-c2ccc3c(c2)OCCOCCOCCOCCOCCO3)n1 7.8112493 0.352112676056338</t>
  </si>
  <si>
    <t>CC(c1ccccn1)(c1ccccn1)c1cccnc1C1COC(Nc2ccccc2)COCCOCCOCCOCCO1 7.8112235 0.296875</t>
  </si>
  <si>
    <t>Cc1cc(CN2CCN(C)CCN(Cc3cc(C)c(C)c(C)n3)CC2)ccn1 7.81122 0.5</t>
  </si>
  <si>
    <t>CN(C)CCN1CCN(C)CCN(Cc2ccc3ncccc3c2)CC1 7.8112154 0.4528301886792453</t>
  </si>
  <si>
    <t>Cc1cc(CN2CCN(C)CCN(Cc3ncccc3C)CC2)c(C)nc1C 7.811214 0.4375</t>
  </si>
  <si>
    <t>Cc1ccc(CN(Cc2ccccn2)C2CCCCC2N(C)Cc2cccc(-c3ccc4c(c3)OCCOCCOCCOCCOCCO4)n2)nc1 7.811209 0.4696969696969697</t>
  </si>
  <si>
    <t>Cc1cccnc1CN(C)CCCN(C)C(C)(C)C 7.8112073 0.3617021276595745</t>
  </si>
  <si>
    <t>Cc1cnc(CN(C)C2CCCC(N(CCN)Cc3ccon3)C2)c(C)c1 7.811203 0.3448275862068966</t>
  </si>
  <si>
    <t>Cc1cccnc1CN(C)c1c(C)ccc2c1OCCOCCOCCOCCOCCO2 7.8112 0.2608695652173913</t>
  </si>
  <si>
    <t>CN1CCN(CC(C)(C)C)CCN(C(C)(c2ccccn2)c2ccccn2)CC1 7.8111734 0.4772727272727273</t>
  </si>
  <si>
    <t>CC1=CC(c2cccc(CN(C)C3CCC(N(Cc4ccccn4)Cc4ncccc4-c4ccc5c(c4)OCCOCCOCCOCCOCCO5)CC3)n2)CCC1C 7.811158 0.2926829268292683</t>
  </si>
  <si>
    <t>Cc1cccc(CN(Cc2ccccn2)C2CCCCC2N(C)Cc2cccc(-c3cccc4c3OCCOCCOCCOCCOCCO4)n2)n1 7.8111486 0.49206349206349204</t>
  </si>
  <si>
    <t>CN1CCN(C)CCN(C(c2ccccn2)c2ccccn2)CC1 7.811146 0.47368421052631576</t>
  </si>
  <si>
    <t>CC1C=CC(C)C(C)(N(Cc2ccccn2)Cc2ccccn2)C1C 7.8111377 0.4358974358974359</t>
  </si>
  <si>
    <t>CNC1CCCCC1N(Cc1cc(C)c(C)cn1)Cc1cccc(F)n1 7.8111305 0.3793103448275862</t>
  </si>
  <si>
    <t>CN(Cc1cccc(-c2ccc3c(c2)OCCOCCOCCOCCOCCO3)n1)C1=CNC(CN(C)C2CCCCC2N(C)Cc2ccccn2)=CC1 7.811123 0.42857142857142855</t>
  </si>
  <si>
    <t>CCCNCC1=C(C)CCC(C)C1c1ccccn1 7.8111143 0.3333333333333333</t>
  </si>
  <si>
    <t>CC1=CC(C)C(C)C(C)(C)C1N(C)Cc1ccccn1 7.81111 0.46808510638297873</t>
  </si>
  <si>
    <t>CC1=CC(C)C(C)C(N(C)Cc2ccccn2)C1(C)C 7.8111053 0.46808510638297873</t>
  </si>
  <si>
    <t>Cc1cccc(CN(C)C2CCCC(N(C)C3=CCC=CN3)C2)n1 7.8111033 0.49056603773584906</t>
  </si>
  <si>
    <t>CNCc1ncc(CN(C)C2CCCC(N(C)Cc3ccccn3)C2)cc1C 7.811099 0.45454545454545453</t>
  </si>
  <si>
    <t>CN(Cc1cc(-c2ccc3c(c2)OCCOCCOCCOCCOCCO3)ccn1)C1CCC(N(C)Cc2cccc(C3CC(C)(C)C3)n2)CC1 7.81109 0.3684210526315789</t>
  </si>
  <si>
    <t>CC(C)N(Cc1cc(C(C)(C)C)ccn1)C1CCC(N(C)Cc2cc(-c3ccc4c(c3)OCCOCCOCCOCCOCCO4)ccn2)CC1 7.8110886 0.36486486486486486</t>
  </si>
  <si>
    <t>Cc1cc(CN2CCN(C)CCN(C)CC2)cnc1C1CC(C)(C)C1 7.811077 0.40384615384615385</t>
  </si>
  <si>
    <t>Cc1cccnc1CN(C)C1CCC(N(C)Cc2cccnc2CNC(C)C)CC1 7.811065 0.32142857142857145</t>
  </si>
  <si>
    <t>CC1=CC(C)C(CN(C)CC2=CC(N(C)Cc3ccccn3)C=CN2)CC1 7.811059 0.39344262295081966</t>
  </si>
  <si>
    <t>Fc1ccccc1N(Cc1ccccn1)C1CCCCC1N(Cc1ccccn1)c1ccc2c(c1)OCCOCCOCCOCCOCCO2 7.8110533 0.4</t>
  </si>
  <si>
    <t>c1ccc(CN(Cc2cccnn2)c2cccc3c2OCCOCCOCCOCCOCCO3)nc1 7.81104 0.4897959183673469</t>
  </si>
  <si>
    <t>CC1=CCC(C)(c2ccccn2)C(C)C1C 7.8110337 0.26</t>
  </si>
  <si>
    <t>Cc1cccnc1CN(O)C1=CNC(CN2CCN(C)CCN(C)CC2)=CC1 7.8110313 0.3684210526315789</t>
  </si>
  <si>
    <t>Cc1cc(-c2ccc(CN(Cc3ccccn3)C3CCCCC3N(C)Cc3cccc(-c4ccc5c(c4)OCCOCCOCCOCCOCCO5)n3)cn2)cc2c1OCCOCCOCCOCCOCCO2 7.8110294 0.39473684210526316</t>
  </si>
  <si>
    <t>CN(Cc1cccc(-c2cccc3c2OCCOCCOCCOCCOCCO3)n1)C1CCC(N(Cc2ccccn2)Cc2ccccn2)CC1 7.811029 0.4032258064516129</t>
  </si>
  <si>
    <t>CC1(C)CC(c2cccc(CN(Cc3ccccn3)C3CCCCC3)n2)C1 7.8110256 0.4423076923076923</t>
  </si>
  <si>
    <t>CC(C)C(C)(c1cccnc1)N(Cc1ccccn1)C1CCCC(N(C)Cc2cccc(-c3ccc4c(c3)OCCOCCOCCOCCOCCO4)n2)C1 7.811012 0.3181818181818182</t>
  </si>
  <si>
    <t>CCNCc1cc(CN(Cc2ccccn2)C2CCC(N(C)Cc3ncccc3-c3ccc4c(c3)OCCOCCOCCOCCOCCO4)CC2)ccn1 7.8110037 0.2987012987012987</t>
  </si>
  <si>
    <t>CC(C)N(CC1=C(N(C)Cc2ccccn2)CC=CN1)c1ccc2c(c1)OCCOCCOCCOCCOCCO2 7.8109956 0.3333333333333333</t>
  </si>
  <si>
    <t>CCNCc1cccc(CN(Cc2ccccn2)C2CCC(N(C)Cc3ncccc3-c3ccc4c(c3)OCCOCCOCCOCCOCCO4)CC2)n1 7.8109903 0.3026315789473684</t>
  </si>
  <si>
    <t>CN(CN(Cc1ccccn1)Cc1cc(N)ccn1)c1cccc2c1OCCOCCOCCOCCOCCO2 7.810988 0.36065573770491804</t>
  </si>
  <si>
    <t>CC(C)N(CC1=CCC(N(C)Cc2ccccn2)=CN1)c1cccc2c1OCCOCCOCCOCCOCCO2 7.8109584 0.3283582089552239</t>
  </si>
  <si>
    <t>CC1C=CC(C)C(C)(c2cc(CN3CCN(C)CCN(Cc4ccc(C(C)(C)C)cn4)CC3)ccn2)C1 7.8109465 0.35384615384615387</t>
  </si>
  <si>
    <t>Cc1cnc(CN(C)C2CCC(N(C)Cc3cc(-c4ccc5c(c4)OCCOCCOCCOCCOCCO5)ccn3)CC2)c(C)c1 7.8109455 0.39436619718309857</t>
  </si>
  <si>
    <t>CC(C)C(C)(c1cccnc1)N(Cc1ccccn1)C1CCC(N(C)Cc2ncccc2-c2ccc3c(c2)OCCOCCOCCOCCOCCO3)CC1 7.810936 0.30337078651685395</t>
  </si>
  <si>
    <t>CN1CCN(C)CCN(Cc2ccc(N(C)C(C)(C)c3ccc(CN(C)C4CCC(N(C)Cc5ccccn5)CC4)nc3)cn2)CC1 7.810936 0.49122807017543857</t>
  </si>
  <si>
    <t>CC1C=CC(c2cccc(CN(Cc3ccccn3)C3CCC(N(C)Cc4cccc(-c5ccc6c(c5)OCCOCCOCCOCCOCCO6)n4)CC3)n2)C(C)(C)C1 7.8109355 0.32941176470588235</t>
  </si>
  <si>
    <t>CN(Cc1cccc(CF)n1)C1CCC(N(Cc2ccc(-c3cccc4c3OCCOCCOCCOCCOCCO4)cn2)Cc2ccc(-c3cccc4c3OCCOCCOCCOCCOCCO4)cn2)CC1 7.810921 0.31645569620253167</t>
  </si>
  <si>
    <t>CCNCc1ccc(CN(Cc2ccccn2)C2CCCC(N(C)Cc3cccc(-c4cccc5c4OCCOCCOCCOCCOCCO5)n3)C2)cn1 7.8109174 0.3125</t>
  </si>
  <si>
    <t>CC1C(N)CC1c1cccc(CN(Cc2ccccn2)C2CCCC(N(C)Cc3cccc(-c4ccc5c(c4)OCCOCCOCCOCCOCCO5)n3)C2)n1 7.810914 0.3493975903614458</t>
  </si>
  <si>
    <t>CCNCc1cccc(CN(Cc2ccccn2)C2CCCC(N(C)Cc3cccc(-c4ccc5c(c4)OCCOCCOCCOCCOCCO5)n3)C2)n1 7.810909 0.3625</t>
  </si>
  <si>
    <t>CC1=CC(C)C(NCc2ccccn2)C(C)C1 7.8108935 0.40476190476190477</t>
  </si>
  <si>
    <t>CNCC1=CC(N(C)Cc2cccc(-c3ccc4c(c3)OCCOCCOCCOCCOCCO4)n2)C=CN1 7.810891 0.3037974683544304</t>
  </si>
  <si>
    <t>CC(C)C(C)N(C)Cc1cccc(C2CCC2(C)C)n1 7.8108835 0.33962264150943394</t>
  </si>
  <si>
    <t>CC(C)C(C)c1cccnc1CN1CCN(C)CCN(Cc2cccnc2C2OC=NC2(C)C)CC1 7.8108745 0.3548387096774194</t>
  </si>
  <si>
    <t>Cc1cncc(CN2CCN(C)CCN(CCN(C)Cc3cc(C)c(C)c(C)n3)CC2)c1C 7.810862 0.3508771929824561</t>
  </si>
  <si>
    <t>Cc1cnc(CN(C)C2CCC(N(C)Cc3ncccc3-c3ccc4c(c3)OCCOCCOCCOCCOCCO4)CC2)c(C)c1 7.8108478 0.35135135135135137</t>
  </si>
  <si>
    <t>Cc1cccnc1CN(Cc1ccccn1)C1CCCCC1N(C)Cc1cccc(-c2ccc3c(c2)OCCOCCOCCOCCOCCO3)n1 7.8108425 0.44776119402985076</t>
  </si>
  <si>
    <t>CC1=CCC2(C(C)C1C)C(C)(C)C=CC(c1nccc(CN(Cc3ccccn3)C3CCCCC3)c1C)C21CCC(C)=C(C)C1C 7.810841 0.2804878048780488</t>
  </si>
  <si>
    <t>CC(C)N(CCN(C)Cc1cccc(-c2ccc3c(c2)OCCOCCOCCOCCOCCO3)n1)Cc1cccc(-c2ccc3c(c2)OCCOCCOCCOCCOCCO3)n1 7.8108315 0.36363636363636365</t>
  </si>
  <si>
    <t>FCN(Cc1ccccn1)C1CCCCC1N(Cc1ccccn1)Cc1ncccc1F 7.8108253 0.5</t>
  </si>
  <si>
    <t>CNC1CCCC(N(C)Cc2cc(C)c(C)c(C)n2)C1 7.8108244 0.3148148148148148</t>
  </si>
  <si>
    <t>CC1(C)CC(c2ncccc2CN(Cc2ccccn2)C2CCCCC2)C1 7.810808 0.4339622641509434</t>
  </si>
  <si>
    <t>FCCN(Cc1ccccn1)Cc1ncccc1-c1cccc2c1OCCOCCOCCOCCOCCO2 7.810805 0.3684210526315789</t>
  </si>
  <si>
    <t>CCNCc1ncccc1CN(Cc1ccccn1)C1CCC(N(C)Cc2ncccc2-c2ccc3c(c2)OCCOCCOCCOCCOCCO3)CC1 7.8107786 0.3026315789473684</t>
  </si>
  <si>
    <t>CN(CCN(C)C(C)(C)c1ccccn1)Cc1cccc(-c2cccc3c2OCCOCCOCCOCCOCCO3)n1 7.8107734 0.3968253968253968</t>
  </si>
  <si>
    <t>Cc1cnc(CN(C)C2CCCC(N(C)Cc3cccc(-c4cccc5c4OCCOCCOCCOCCOCCO5)n3)C2)c(C)c1 7.810772 0.3142857142857143</t>
  </si>
  <si>
    <t>CN(c1cccc(Cl)n1)C1CCC(N(C)C2C=CC=CN2)CC1 7.810765 0.24193548387096775</t>
  </si>
  <si>
    <t>CN(CCN(C)Cc1ncccc1-c1cccc2c1OCCOCCOCCOCCOCCO2)Cc1ncccc1-c1cccc2c1OCCOCCOCCOCCOCCO2 7.810748 0.36538461538461536</t>
  </si>
  <si>
    <t>CCN(C)C1CCC(N(C)Cc2nc(C)c(C)c(C)c2C)CC1 7.810742 0.2653061224489796</t>
  </si>
  <si>
    <t>Cc1cccc(CN(Cc2ccccn2)C2CCCCC2N(C)Cc2cccc(-c3ccc4c(c3)OCCOCCOCCOCCOCCO4)n2)n1 7.81074 0.49206349206349204</t>
  </si>
  <si>
    <t>c1ccc(CN(Cc2ccccn2)c2ccc3c(c2)OCCOCCOCCOCCOCCO3)nc1 7.8107305 0.4146341463414634</t>
  </si>
  <si>
    <t>Cc1cncc(CN2CCN(C)CCN(C)CC2)c1N(C)C(C)C 7.81073 0.36538461538461536</t>
  </si>
  <si>
    <t>CCCN(Cc1ccccn1)C1CCC(N(C)Cc2cc(C)c(C)c(C)n2)CC1 7.810726 0.43636363636363634</t>
  </si>
  <si>
    <t>CN1CCN(C)CCN(C2CCC(N(C)c3ccc4cccnc4c3)CC2)CC1 7.810719 0.3157894736842105</t>
  </si>
  <si>
    <t>CN(CC1=CCC=CN1)C1C=CC=CN1 7.8107104 0.37254901960784315</t>
  </si>
  <si>
    <t>Cc1cncc(CN(C)C2CCC(N(C)Cc3ncccc3C)CC2)c1 7.810708 0.3090909090909091</t>
  </si>
  <si>
    <t>CC(C)N(Cc1ccc(CN2CCN(C)CCN(C)CC2)cn1)Cc1ncccc1N 7.8107014 0.4</t>
  </si>
  <si>
    <t>CN(Cc1cccc(CN(C)C2CCCCC2N(C)Cc2cccc(-c3ccc4c(c3)OCCOCCOCCOCCOCCO4)n2)n1)Cc1cccc(-c2ccc3c(c2)OCCOCCOCCOCCOCCO3)n1 7.8107 0.4642857142857143</t>
  </si>
  <si>
    <t>Cc1ccc(CN(Cc2ccccn2)C2CCCCC2N(C)Cc2cc(-c3ccc4c(c3)OCCOCCOCCOCCOCCO4)ccn2)nc1 7.8106885 0.49206349206349204</t>
  </si>
  <si>
    <t>Cc1cnc(CN2CCN(C)CCN(Cc3cnc(C)c(C)c3)CC2)cc1C 7.8106794 0.4782608695652174</t>
  </si>
  <si>
    <t>Cc1cccnc1CN(C)C1CCCC(N(C)CC2=CCC(N(C)C(C)C)=CN2)C1 7.81067 0.28125</t>
  </si>
  <si>
    <t>CNCCN(Cc1ccccn1)C(C)(C)c1cnccc1-c1cccc2c1OCCOCCOCCOCCOCCO2 7.8106575 0.30434782608695654</t>
  </si>
  <si>
    <t>C1=CC(CN(Cc2ccccn2)Cc2ccccn2)C=C(c2ccc3c(c2)OCCOCCOCCOCCOCCO3)N1 7.810648 0.36923076923076925</t>
  </si>
  <si>
    <t>CC(N)c1ncccc1CN(C)C1CCCC(N(C)Cc2ccccn2)C1 7.810647 0.5</t>
  </si>
  <si>
    <t>CC(C)C1COC(C2C=CNC=C2)=N1 7.8106375 0.14285714285714285</t>
  </si>
  <si>
    <t>Cc1cc2c(c(-c3cccc(CN(Cc4ccccn4)C4CCC(N(C)Cc5cccc(-c6ccc7c(c6)OCCOCCOCCOCCOCCO7)n5)CC4)n3)c1)OCCOCCOCCOCCOCCO2 7.8106256 0.35</t>
  </si>
  <si>
    <t>Cc1ccc(CN(C)C2CCCC(N(C)CN(C)Cc3cccc(C4CC(Cl)C4Cl)n3)C2)nc1 7.8106256 0.4262295081967213</t>
  </si>
  <si>
    <t>CCNCc1cccc(CN(C)C2CCC(N(C)Cc3nccc(C)c3C)CC2)n1 7.810584 0.3684210526315789</t>
  </si>
  <si>
    <t>CN(Cc1ccccn1)C1CCC(N(Cc2ccccn2)Cc2cccc(-c3ccc4c(c3)OCCOCCOCCOCCOCCO4)n2)CC1 7.8105817 0.4117647058823529</t>
  </si>
  <si>
    <t>CC1=NCC(c2cc(CN3CCN(C)CCN(C)CC3)ccn2)O1 7.810576 0.44</t>
  </si>
  <si>
    <t>C=CCN(C)CCN(C)Cc1cccnc1 7.8105702 0.38095238095238093</t>
  </si>
  <si>
    <t>CN(Cc1cccc(-c2ccc3c(c2)OCCOCCOCCOCCOCCO3)n1)C1CCC(N(Cc2ccc(N)cn2)Cc2cccc(-c3ccc4c(c3)OCCOCCOCCOCCOCCO4)n2)CC1 7.810568 0.38666666666666666</t>
  </si>
  <si>
    <t>CCNCCN(Cc1ccccn1)C(C)(N)N(CCN(C)C(C)C)C(C)C 7.810558 0.4074074074074074</t>
  </si>
  <si>
    <t>CN(Cc1cccc(-c2ccc3c(c2)OCCOCCOCCOCCOCCO3)n1)C1CCC(N(Cc2ccccn2)Cc2ccccn2)CC1 7.810558 0.4117647058823529</t>
  </si>
  <si>
    <t>CNC1CCCCC1N(Cc1ccccn1)Cc1cccc(C2C(Cl)CC2Cl)n1 7.810556 0.45454545454545453</t>
  </si>
  <si>
    <t>Cc1cccnc1CN1CCN(C)CCN(Cc2cc(C)c(C)c(C)n2)CC1 7.8105507 0.48936170212765956</t>
  </si>
  <si>
    <t>CC(C)N(CCN(C)Cc1cccc(-c2ccc3c(c2)OCCOCCOCCOCCOCCO3)n1)Cc1ccccn1 7.8105483 0.47368421052631576</t>
  </si>
  <si>
    <t>Cc1cncc(CN(C)C2CCC(N(Cc3cccc(-c4ccc5c(c4)OCCOCCOCCOCCOCCO5)n3)Cc3cccc(-c4ccc5c(c4)OCCOCCOCCOCCOCCO5)n3)CC2)c1 7.810545 0.3333333333333333</t>
  </si>
  <si>
    <t>Cc1nc(CN(C)C2CCCC(N(C)CCN(C)C(C)C)C2)c(C)c(C)c1C 7.810532 0.24561403508771928</t>
  </si>
  <si>
    <t>CC1C=CC2(C=CC(C)C(N(Cc3ccccn3)Cc3ccccn3)C2C)CC1 7.810524 0.40384615384615385</t>
  </si>
  <si>
    <t>c1ccc(CN(Cc2ccncc2)c2ccc3c(c2)OCCOCCOCCOCCOCCO3)nc1 7.8105063 0.3541666666666667</t>
  </si>
  <si>
    <t>Cc1cccnc1CN(C)C1CCC(N(C)Cc2cccnc2C)CC1 7.8104897 0.34</t>
  </si>
  <si>
    <t>CNCc1cccc(CN(Cc2ccccn2)C2CCC(N(C)Cc3cccc(-c4cccc5c4OCCOCCOCCOCCOCCO5)n3)CC2)n1 7.810465 0.35714285714285715</t>
  </si>
  <si>
    <t>Cc1ccc(-c2cccc(CN(C)C3CCC(N(Cc4ccccn4)Cc4cccc(-c5ccc6c(c5)OCCOCCOCCOCCOCCO6)n4)CC3)n2)c2c1OCCOCCOCCOCCOCCO2 7.8104606 0.35</t>
  </si>
  <si>
    <t>CC1C=CC2(C=CNC(C(C)C)=C2)C(C)(C)C1 7.8104463 0.1724137931034483</t>
  </si>
  <si>
    <t>Cc1cccc(CN(C)C2CCCCC2N(Cc2ccccn2)Cc2ccc(-c3ccc4c(c3)OCCOCCOCCOCCOCCO4)cn2)n1 7.8104415 0.484375</t>
  </si>
  <si>
    <t>Cc1ccncc1CN(C)CCN(C)CCN 7.81044 0.35714285714285715</t>
  </si>
  <si>
    <t>CN(CCF)C1CCCCC1N(C)Cc1ccc2ncccc2c1 7.8104296 0.45098039215686275</t>
  </si>
  <si>
    <t>CC(C)N(CCN(C)Cc1ncccc1-c1cccc2c1OCCOCCOCCOCCOCCO2)Cc1ccccn1 7.810428 0.48214285714285715</t>
  </si>
  <si>
    <t>Cc1cccnc1CN(C)C1CCCC(N(C)Cc2cccnc2CNC(C)C)C1 7.810426 0.3103448275862069</t>
  </si>
  <si>
    <t>CNCc1ncccc1CN(C)C1CCCCC1N(C)Cc1nc(C)ccc1C 7.8104115 0.43636363636363634</t>
  </si>
  <si>
    <t>CNC1CCCCC1N(Cc1ccccn1)Cc1ncc(C)c(C)c1C 7.810403 0.4807692307692308</t>
  </si>
  <si>
    <t>CC(N)C(C)N(C)Cc1ncccc1N 7.810395 0.3111111111111111</t>
  </si>
  <si>
    <t>CN(Cc1ncccc1-c1cccc2c1OCCOCCOCCOCCOCCO2)C1CCC(N(Cc2ccccn2)Cc2ccccn2)CC1 7.8103933 0.3709677419354839</t>
  </si>
  <si>
    <t>CC1C=CC(Cl)CC1SCc1ccccn1 7.81039 0.43902439024390244</t>
  </si>
  <si>
    <t>CN(CCN(C)Cc1ccc2ncccc2c1)Cc1ccc2c(c1)OCCOCCOCCOCCOCCO2 7.8103867 0.37037037037037035</t>
  </si>
  <si>
    <t>CN(CCN(C)Cc1cccc(-c2ccc3c(c2)OCCOCCOCCOCCOCCO3)n1)Cc1cccc(-c2ccc3c(c2)OCCOCCOCCOCCOCCO3)n1 7.810383 0.425531914893617</t>
  </si>
  <si>
    <t>Cc1cccnc1CN(Cc1ncccc1C)C1CCCCC1N(C)C 7.810381 0.4444444444444444</t>
  </si>
  <si>
    <t>Cc1cnc(CN(Cc2cccnn2)C2CCCCC2)c(C)c1 7.8103743 0.37254901960784315</t>
  </si>
  <si>
    <t>CN(CC1=CCC=C(N(C)c2cccc3c2OCCOCCOCCOCCOCCO3)N1)Cc1ccccn1 7.81036 0.359375</t>
  </si>
  <si>
    <t>CCN(Cc1ccccn1)CN(C)C1CCCC(N(C)Cc2nc(C)c(C)cc2C)C1 7.8103585 0.41379310344827586</t>
  </si>
  <si>
    <t>CN(CCN(C)C(C)(C)c1cncc(-c2cccc3c2OCCOCCOCCOCCOCCO3)c1)Cc1cc(-c2ccc3c(c2)OCCOCCOCCOCCOCCO3)ccn1 7.810358 0.30952380952380953</t>
  </si>
  <si>
    <t>COC(=O)C(C)NCc1ccc(C(=O)C(=O)C(C)N2CCN(C)CCN(C(C)OC)CC2)cn1 7.8103566 0.2876712328767123</t>
  </si>
  <si>
    <t>CCCN(C)Cc1cccc(CN(Cc2ccccn2)C2CCCC(N(C)Cc3cccc(-c4ccc5c(c4)OCCOCCOCCOCCOCCO5)n3)C2)n1 7.8103566 0.375</t>
  </si>
  <si>
    <t>CN1CCN(C)CCN(Cc2cccnc2CN(C)Cc2ccon2)CC1 7.8103495 0.4375</t>
  </si>
  <si>
    <t>CC(C)N(Cc1cc(C(C)(C)C)ccn1)C1CCCC(N(C)Cc2cc(-c3ccc4c(c3)OCCOCCOCCOCCOCCO4)ccn2)C1 7.810348 0.3684210526315789</t>
  </si>
  <si>
    <t>Cc1ccnc(CN(C)C2CCCC(N(C)Cc3ccc(CNC(C)C)nc3)C2)c1 7.8103275 0.3728813559322034</t>
  </si>
  <si>
    <t>Cc1ccc(C)c(CN(C)C2CCCC(N(C)CN(C)C3CCCC(N(C)Cc4nc(C)c(C)c(C)c4C)C3)C2)n1 7.810308 0.32142857142857145</t>
  </si>
  <si>
    <t>CNCC(C)(C)C 7.8103004 0.1388888888888889</t>
  </si>
  <si>
    <t>CN1CCN(Cc2cccc(-c3ccc4c(c3)OCCOCCOCCOCCOCCO4)n2)CCN(Cc2cccc(C(C)(C)c3ccccn3)n2)CC1 7.8102946 0.41935483870967744</t>
  </si>
  <si>
    <t>CN1CCN(Cc2ccc(-c3ccc4c(c3)OCCOCCOCCOCCOCCO4)cn2)CCN(C(c2ccccn2)c2ccccn2)CC1 7.810287 0.5</t>
  </si>
  <si>
    <t>CNCc1cc(CN(Cc2ccccn2)C2CCC(N(C)Cc3cc(-c4cccc5c4OCCOCCOCCOCCOCCO5)ccn3)CC2)ccn1 7.8102837 0.32432432432432434</t>
  </si>
  <si>
    <t>CC(C)N1CCN(C)CCN(C(C)(c2cccnc2)c2ccccn2)CC1 7.8102736 0.38181818181818183</t>
  </si>
  <si>
    <t>Cc1cccc(CN(C)C2=CCC=C(CN(C)Cc3ccc4c(c3)OCCOCCOCCOCCOCCO4)N2)n1 7.810271 0.3442622950819672</t>
  </si>
  <si>
    <t>Cc1cccnc1CN(C)C1C(C)C=CC(C)C1C 7.8102627 0.3</t>
  </si>
  <si>
    <t>CN(CNCc1ncccc1-c1cccc2c1OCCOCCOCCOCCOCCO2)Cc1ccccn1 7.810235 0.3548387096774194</t>
  </si>
  <si>
    <t>CC(C)NCc1cccc(CN(Cc2ccccn2)C2CCC(N(C)Cc3cccc(-c4cccc5c4OCCOCCOCCOCCOCCO5)n3)CC2)n1 7.8102202 0.3472222222222222</t>
  </si>
  <si>
    <t>CNCc1cccc(CN(Cc2ccccn2)C2CCC(N(C)Cc3cc(-c4cccc5c4OCCOCCOCCOCCOCCO5)ccn3)CC2)n1 7.8102026 0.3287671232876712</t>
  </si>
  <si>
    <t>CC(c1ccccn1)(c1ccccn1)c1cccc(CNC23C=CC=CC2OCCOCCOCCOC=COCCO3)n1 7.8101892 0.32</t>
  </si>
  <si>
    <t>CNCc1ncccc1CN(Cc1ccccn1)C1CCC(N(C)Cc2cccc(-c3cccc4c3OCCOCCOCCOCCOCCO4)n2)CC1 7.810187 0.32894736842105265</t>
  </si>
  <si>
    <t>CNCc1cc(CN(Cc2ccccn2)C2CCC(N(C)Cc3cccc(-c4ccc5c(c4)OCCOCCOCCOCCOCCO5)n3)CC2)ccn1 7.810179 0.35</t>
  </si>
  <si>
    <t>Cc1cc(CN(C)C2CCC(N(Cc3ccc(CN4CCN(C)CCN(C)CC4)cn3)Cc3cccc(F)n3)CC2)nc(C)c1C 7.8101635 0.417910447761194</t>
  </si>
  <si>
    <t>Cc1cncc(CN(C)C2CCCC(N(C)Cc3ncccc3C)C2)c1 7.810155 0.3157894736842105</t>
  </si>
  <si>
    <t>CC(C)C1=CC(N(C)Cc2cccc(-c3ccc4c(c3)OCCOCCOCCOCCOCCO4)n2)C=CN1 7.810153 0.3116883116883117</t>
  </si>
  <si>
    <t>CCNCc1ncccc1C(C)(C)C(C)N 7.8101497 0.29545454545454547</t>
  </si>
  <si>
    <t>Cc1cc(CN(C)C2CCCCC2N(C)Cc2cccc(-c3ccc4c(c3)OCCOCCOCCOCCOCCO4)n2)nc(C)c1C 7.8101497 0.4426229508196721</t>
  </si>
  <si>
    <t>CC(C)C(C)c1cccnn1 7.8101397 0.3939393939393939</t>
  </si>
  <si>
    <t>Cc1ccc(C2CCC2)nc1 7.810134 0.41025641025641024</t>
  </si>
  <si>
    <t>CCCN(Cc1ccccn1)Cc1cccc(-c2cccc3c2OCCOCCOCCOCCOCCO3)n1 7.81013 0.41379310344827586</t>
  </si>
  <si>
    <t>CC1=C(C)C(c2ncccc2CN(Cc2ccccn2)C2CCCCC2)CC(C)C1 7.8101206 0.3898305084745763</t>
  </si>
  <si>
    <t>CC1=CC(C)CC(C)C1c1ccc(CN(Cc2ccccn2)C2CCCCC2)cn1 7.810118 0.3898305084745763</t>
  </si>
  <si>
    <t>CC(C)c1cc(CN(C)C2CCC(N(C)Cc3ccccn3)CC2)ccn1 7.8101025 0.5</t>
  </si>
  <si>
    <t>CN(Cc1cccc(-c2ccc3c(c2)OCCOCCOCCOCCOCCO3)n1)C1C=CNC(C(C)(C)C)=C1 7.8101006 0.3116883116883117</t>
  </si>
  <si>
    <t>CN1CCN(Cc2cc(-c3ccc4c(c3)OCCOCCOCCOCCOCCO4)ccn2)CCN(C(c2ccccn2)c2ccccn2)CC1 7.8100996 0.4406779661016949</t>
  </si>
  <si>
    <t>CNCc1cccc(CN(Cc2ccccn2)C2CCC(N(C)Cc3cccc(-c4ccc5c(c4)OCCOCCOCCOCCOCCO5)n3)CC2)n1 7.8100863 0.3684210526315789</t>
  </si>
  <si>
    <t>Cc1cccnc1CN(C)c1ccc2c(c1C)OCCOCCOCCOCCOCCO2 7.810076 0.2807017543859649</t>
  </si>
  <si>
    <t>CC1(C)CCC1c1cc2c(cc1N(Cc1ccccn1)Cc1ccccn1)OCCOCCOCCOCCOCCO2 7.8100705 0.3559322033898305</t>
  </si>
  <si>
    <t>Cc1ccnc(CN(C)C2CCC(N(C)Cc3cc(C)ccn3)CC2)c1 7.8100634 0.42857142857142855</t>
  </si>
  <si>
    <t>CC1(C)CC(c2ccc(CN(Cc3ccccn3)C3CCCCC3)cn2)C1 7.810058 0.41818181818181815</t>
  </si>
  <si>
    <t>CCCNCc1ccon1 7.810055 0.42857142857142855</t>
  </si>
  <si>
    <t>Cc1ccnc(CN(C)C2CCCC(N(C)Cc3cc(C)ccn3)C2)c1 7.8100476 0.4318181818181818</t>
  </si>
  <si>
    <t>CNCc1cc(CN(Cc2ccccn2)C2CCC(N(C)Cc3ccc(-c4ccc5c(c4)OCCOCCOCCOCCOCCO5)cn3)CC2)ccn1 7.8100405 0.41025641025641024</t>
  </si>
  <si>
    <t>CCNC(C)N(Cc1ccccn1)C1CCC(N(C)C(c2ccccc2)c2ccccn2)CC1 7.8100395 0.49122807017543857</t>
  </si>
  <si>
    <t>CNCc1cc(CN(Cc2cccc(F)n2)C2CCCCC2N(C)Cc2cc(-c3ccc4c(c3)OCCOCCOCCOCCOCCO4)ccn2)ccn1 7.810023 0.3466666666666667</t>
  </si>
  <si>
    <t>CC(C)NCCN(C)Cc1cccnc1 7.8100185 0.3409090909090909</t>
  </si>
  <si>
    <t>c1cncc(CN(Cc2cccnn2)c2ccc3c(c2)OCCOCCOCCOCCOCCO3)c1 7.8100166 0.35185185185185186</t>
  </si>
  <si>
    <t>CN(CCN(C)Cc1cnccc1-c1cccc2c1OCCOCCOCCOCCOCCO2)Cc1ccccn1 7.81001 0.3548387096774194</t>
  </si>
  <si>
    <t>CC1C=CCC(C)C1c1cccc(CN(Cc2ccccn2)C2CCC(N(C)Cc3ccc(-c4ccc5c(c4)OCCOCCOCCOCCOCCO5)cn3)CC2)n1 7.8100095 0.37209302325581395</t>
  </si>
  <si>
    <t>CC1C(N)CC1CN(C)CC1=CCC(N(C)C(C)C)=CN1 7.810009 0.18333333333333332</t>
  </si>
  <si>
    <t>CNC1CCCC(N(Cc2ccccn2)Cc2cccc(C3CC(C)(C)C3)n2)C1 7.809993 0.3728813559322034</t>
  </si>
  <si>
    <t>Cc1ccnc(CN(C)C2CCC(N(C)Cc3ncccc3C)CC2)c1 7.8099775 0.4</t>
  </si>
  <si>
    <t>CN(Cc1cccc(CN(C)C2CCC(N(C)Cc3cccc(-c4cccc5c4OCCOCCOCCOCCOCCO5)n3)CC2)n1)Cc1cccc(-c2cccc3c2OCCOCCOCCOCCOCCO3)n1 7.8099504 0.3559322033898305</t>
  </si>
  <si>
    <t>CN(Cc1ccccn1)C1=C(CN(C)C2CCC(N(C)Cc3cccc(-c4ccc5c(c4)OCCOCCOCCOCCOCCO5)n3)CC2)NC=CC1 7.809946 0.345679012345679</t>
  </si>
  <si>
    <t>CC(C)NCc1cccc(CN(Cc2ccccn2)C2CCC(N(C)Cc3cccc(-c4ccc5c(c4)OCCOCCOCCOCCOCCO5)n3)CC2)n1 7.8099456 0.35443037974683544</t>
  </si>
  <si>
    <t>CN1CCN(C)CCN(CN(C)C2=CCC(N(C)Cc3ccccn3)=CN2)CC1 7.8099337 0.46153846153846156</t>
  </si>
  <si>
    <t>CC1C=CC(N(C)Cc2cccc(C(C)(C)C)n2)C(C)C1(C)C 7.809933 0.3333333333333333</t>
  </si>
  <si>
    <t>CC1CC(C)C(C)C=C1c1cc(CN(Cc2ccccn2)C2CCCCC2)ccn1 7.809931 0.38333333333333336</t>
  </si>
  <si>
    <t>CC1C=CC(C)C(N(C)Cc2cc(N)ccn2)C1C 7.8099294 0.32</t>
  </si>
  <si>
    <t>CNC1CCCC(N(Cc2ccccn2)Cc2nccc(C)c2C)C1 7.8099236 0.4</t>
  </si>
  <si>
    <t>Cc1cncc(CN(C)C2CCC(N(Cc3ccccn3)Cc3cccc(-c4ccc5c(c4)OCCOCCOCCOCCOCCO5)n3)CC2)c1 7.8099213 0.35443037974683544</t>
  </si>
  <si>
    <t>Cc1cnc(CN(C)C2CCCC(N(C)Cc3cc(-c4ccc5c(c4)OCCOCCOCCOCCOCCO5)ccn3)C2)c(C)c1 7.80992 0.3972602739726027</t>
  </si>
  <si>
    <t>CN(Cc1ccccn1)C1CCC(N(C)Cc2ccc(C3CC(C)(C)C3)cn2)CC1 7.8099146 0.4897959183673469</t>
  </si>
  <si>
    <t>Cc1cc(CN(Cc2cccnn2)C2CCCCC2)cnc1C 7.809911 0.37254901960784315</t>
  </si>
  <si>
    <t>Cc1cnc(CN(C)C2CCCC(N(C)Cc3ccc(-c4ccc5c(c4)OCCOCCOCCOCCOCCO5)cn3)C2)c(C)c1 7.809907 0.4852941176470588</t>
  </si>
  <si>
    <t>CN(CCN(C)CC(C)(C)C)CC(C)(C)C 7.8099036 0.2647058823529412</t>
  </si>
  <si>
    <t>Cc1cccc(CN(Cc2ccccn2)C2CCCCC2N(C)Cc2ncccc2-c2ccc3c(c2)OCCOCCOCCOCCOCCO3)n1 7.809901 0.44776119402985076</t>
  </si>
  <si>
    <t>CN(CCN(C)Cc1cccc(-c2ccc3c(c2)OCCOCCOCCOCCOCCO3)n1)Cc1ccc(-c2ccc3c(c2)OCCOCCOCCOCCOCCO3)cn1 7.809875 0.46875</t>
  </si>
  <si>
    <t>CN1CCN(C)CCN(C2CCCCC2N(C)c2ccc3ncc(CF)cc3c2)CC1 7.8098702 0.3181818181818182</t>
  </si>
  <si>
    <t>CN(Cc1cccc(-c2ccc3c(c2)OCCOCCOCCOCCOCCO3)n1)C1CCC(N(Cc2ccccn2)Cc2cccc(CF)n2)CC1 7.809868 0.3880597014925373</t>
  </si>
  <si>
    <t>COC(=O)C(=O)C(=O)C(C)N1CCN(C)CCN(C(=O)OC)CC1 7.809843 0.23529411764705882</t>
  </si>
  <si>
    <t>Cc1ccc(N(C)C2CCCC(N(C)C(C)C)C2)nc1C 7.809835 0.24074074074074073</t>
  </si>
  <si>
    <t>CNCc1ncccc1CN(C)C1CCCCC1N(C)Cc1ncc(C)cc1C 7.8098187 0.42857142857142855</t>
  </si>
  <si>
    <t>Cc1ccc(C)c(CN(C)C2CCC(N(C)C3CCCCC3N(Cc3nc(C)ccc3C)Cc3nc(C)ccc3C)CC2)n1 7.809818 0.4117647058823529</t>
  </si>
  <si>
    <t>CC1=CCC(C)C(N(C)CC2=CCC=CN2)C1C 7.809792 0.3584905660377358</t>
  </si>
  <si>
    <t>CC1C=CCC(C)C1(C)c1ccccn1 7.809792 0.2653061224489796</t>
  </si>
  <si>
    <t>Cc1ccnc(CN(C)C2CCC(N(C)Cc3ccnc(C)c3)CC2)c1 7.809792 0.3877551020408163</t>
  </si>
  <si>
    <t>CCNCc1ncccc1C(C)(C)c1ncccc1CN1CCN(C)CCN(C)CC1 7.80979 0.3888888888888889</t>
  </si>
  <si>
    <t>CC1=CCC2(CC(N(C)Cc3ccccn3)=CC(C)C2C)CC1C 7.8097887 0.38596491228070173</t>
  </si>
  <si>
    <t>CN(Cc1ccccn1)C1CCC(N(C)Cc2cccc(C3CC(C)(C)C3)n2)CC1 7.8097816 0.4897959183673469</t>
  </si>
  <si>
    <t>CCNCC1=C(C)C(C)(C)CC(N(C)Cc2ccccn2)C1C 7.8097544 0.4807692307692308</t>
  </si>
  <si>
    <t>CCNCCN(C)Cc1cc(C)ccn1 7.809752 0.4222222222222222</t>
  </si>
  <si>
    <t>CNC1CCCC(N(C)Cc2nc(C)c(C)cc2C)C1 7.8097334 0.2777777777777778</t>
  </si>
  <si>
    <t>CNCN(Cc1ccccn1)C1CCCC(N(C)Cc2cc(C)c(C)c(C)n2)C1 7.8097153 0.43103448275862066</t>
  </si>
  <si>
    <t>CN1CCN(Cc2ccc(C3=CC4OCCOCCOCCOCCOC=COC4C=C3)cn2)CCN(Cc2cccc(C(C)(c3ccccn3)c3ccccn3)n2)CC1 7.8097153 0.36</t>
  </si>
  <si>
    <t>CC1=CCC(C)C(N(C)Cc2ccccn2)C1(C)C 7.809712 0.48936170212765956</t>
  </si>
  <si>
    <t>CC(C)N(C)CCN(Cc1ccccn1)C(C)(N)N(Cc1ccccn1)CN(C)C(C)C 7.8097053 0.4782608695652174</t>
  </si>
  <si>
    <t>Cc1ccnc(CN(C)C2CCCC(N(C)Cc3ncccc3C)C2)c1 7.809704 0.40384615384615385</t>
  </si>
  <si>
    <t>Cc1ccc(CN(C)C2CCCC(N(C)Cc3ncccc3C)C2)cn1 7.8096905 0.3333333333333333</t>
  </si>
  <si>
    <t>Cc1cc(CN(C)C2CCC(N(C)Cc3ncccc3C)CC2)ccn1 7.8096795 0.32075471698113206</t>
  </si>
  <si>
    <t>CCOC(=O)C1CN(C)C(C(=O)C(C)N)C(C(=O)C(C)N)C1C(C)C 7.8096747 0.21212121212121213</t>
  </si>
  <si>
    <t>CC(C)c1ncccc1CN1CCN(C)CCN(Cc2ncccc2C(C)(C)C)CC1 7.8096666 0.42</t>
  </si>
  <si>
    <t>CC1=C(N)CCC(N(C)CC2=CCC=CN2)C1C 7.8096642 0.3333333333333333</t>
  </si>
  <si>
    <t>Cc1c(CN(C)C2CCC(N(C)Cc3ccccn3)CC2)nc(-c2ccc3c(c2)OCCOCCOCCOCCOCCO3)c(C)c1C 7.8096633 0.38095238095238093</t>
  </si>
  <si>
    <t>CNCc1ncccc1CN(Cc1ccccn1)C1CCC(N(C)Cc2ncccc2-c2cccc3c2OCCOCCOCCOCCOCCO3)CC1 7.8096533 0.3150684931506849</t>
  </si>
  <si>
    <t>Cc1cnc(CN(C)C2CCCC(N(C)CNCc3ncccc3C)C2)c(C)c1 7.8096447 0.3064516129032258</t>
  </si>
  <si>
    <t>CNCc1cccc(CN(Cc2ccccn2)C2CCCC(N(C)Cc3cccc(-c4cccc5c4OCCOCCOCCOCCOCCO5)n3)C2)n1 7.8096437 0.352112676056338</t>
  </si>
  <si>
    <t>Cc1cccnc1CN(C)C1CCC(N(C)Cc2ncccc2C)CC1 7.8096266 0.3953488372093023</t>
  </si>
  <si>
    <t>CN(CCF)CCN(Cc1cccc(-c2ccc3c(c2)OCCOCCOCCOCCOCCO3)n1)C1CCCCC1N(C)Cc1ccc2ncccc2c1 7.8096232 0.3125</t>
  </si>
  <si>
    <t>COC(=O)C(=O)N1CCN(C)CCN(C(=O)OC)CC1 7.8096194 0.3076923076923077</t>
  </si>
  <si>
    <t>CC(C)N(CCN(Cc1ccccn1)Cc1ncccc1-c1cccc2c1OCCOCCOCCOCCOCCO2)C(C)C 7.8096046 0.3898305084745763</t>
  </si>
  <si>
    <t>Cc1cncc(CN(C)C2CCC(N(C)Cc3cccnn3)CC2)c1C 7.8096046 0.425531914893617</t>
  </si>
  <si>
    <t>CC(C)Nc1ncccc1CN1CCN(C)CCN(Cc2ncccc2C(C)(C)C)CC1 7.8096 0.3888888888888889</t>
  </si>
  <si>
    <t>CC1=C(C)C(C)(C)C(C)(N(C)Cc2ccccn2)C(C)C1C 7.8095913 0.40816326530612246</t>
  </si>
  <si>
    <t>CN(Cc1cccc(CN(C)C2CCC(N(C)Cc3ccc(-c4cccc5c4OCCOCCOCCOCCOCCO5)cn3)CC2)n1)Cc1cccc(-c2cccc3c2OCCOCCOCCOCCOCCO3)n1 7.8095903 0.34328358208955223</t>
  </si>
  <si>
    <t>CCN(Cc1cccc(-c2ccc3c(c2)OCCOCCOCCOCCOCCO3)n1)Cc1cccc(-c2ccc3c(c2)OCCOCCOCCOCCOCCO3)n1 7.80958 0.3898305084745763</t>
  </si>
  <si>
    <t>Cc1cccnc1CN(CN(C)C(C)C)C1CCCCC1N(C)Cc1ncc(C)c(C)c1C 7.809568 0.41379310344827586</t>
  </si>
  <si>
    <t>CC1C=CC(N(C)Cc2cc(C(C)(C)C)ccn2)C(C)C1C 7.809557 0.3018867924528302</t>
  </si>
  <si>
    <t>CC1CCC=C(c2cc(CN(C)C3CCC(N(C)Cc4ccon4)CC3)ccn2)C1C 7.809556 0.3392857142857143</t>
  </si>
  <si>
    <t>CC(C)(C)CN(Cc1ccccn1)Cc1ncccc1-c1cccc2c1OCCOCCOCCOCCOCCO2 7.809552 0.4727272727272727</t>
  </si>
  <si>
    <t>CC(C)C1=CC(N(C)Cc2ccc(-c3ccc4c(c3)OCCOCCOCCOCCOCCO4)cn2)C=CN1 7.80953 0.4492753623188406</t>
  </si>
  <si>
    <t>CC(C)NCc1cccc(CN(Cc2ccccn2)C2CCC(N(C)Cc3ccc(-c4ccc5c(c4)OCCOCCOCCOCCOCCO5)cn3)CC2)n1 7.8095293 0.4177215189873418</t>
  </si>
  <si>
    <t>CNCc1cc(CN2CCN(C)CCN(Cc3nc(C)c(C)c(C)c3C)CC2)ccn1 7.809527 0.46153846153846156</t>
  </si>
  <si>
    <t>CCNCCN(C)Cc1ncccc1C 7.809519 0.3695652173913043</t>
  </si>
  <si>
    <t>CC1=CC(C)C2(C=C(C)C3(CC(c4ncccc4CN4CCN(C)CCN(C)CC4)C(C)=CC34CC(C)=C(C)C(C)C4)C(C)C2)CC1 7.80951 0.2692307692307692</t>
  </si>
  <si>
    <t>C=CCN(Cc1ccccn1)Cc1cccc(-c2ccc3c(c2)OCCOCCOCCOCCOCCO3)n1 7.8094926 0.4603174603174603</t>
  </si>
  <si>
    <t>Cc1ccc(CN(Cc2ccccn2)C2CCC(N(C)Cc3cccc(-c4cccc5c4OCCOCCOCCOCCOCCO5)n3)CC2)nc1 7.809485 0.35714285714285715</t>
  </si>
  <si>
    <t>Fc1ccccc1 7.809483 0.375</t>
  </si>
  <si>
    <t>Cc1ccc(CN(C)C2CCC(N(C)Cc3cccc(-c4ccc5c(c4)OCCOCCOCCOCCOCCO5)n3)CC2N(C)Cc2cccc(-c3ccc4c(c3)OCCOCCOCCOCCOCCO4)n2)nc1 7.8094807 0.4307692307692308</t>
  </si>
  <si>
    <t>CC(NCc1cccc(CN2CCN(C)CCN(C)CC2)n1)C(=O)c1cccc(C2CCC2(C)C)n1 7.8094788 0.3968253968253968</t>
  </si>
  <si>
    <t>CC(C)NCCN(C)C(C)C 7.8094745 0.1794871794871795</t>
  </si>
  <si>
    <t>Cc1ccc(CN(C)C2CCC(N(Cc3ccccn3)Cc3cccc(-c4cccc5c4OCCOCCOCCOCCOCCO5)n3)CC2)nc1 7.8094726 0.35714285714285715</t>
  </si>
  <si>
    <t>CCCN(Cc1ccccn1)C1CCC(N(C)Cc2nccc(C)c2C(C)(C)C)CC1 7.809472 0.39655172413793105</t>
  </si>
  <si>
    <t>Cc1cncc(CN(Cc2ccccn2)C2CCC(N(C)Cc3ncccc3-c3cccc4c3OCCOCCOCCOCCOCCO4)CC2)c1 7.809471 0.30666666666666664</t>
  </si>
  <si>
    <t>CN(CC1=CCC=CN1)Cc1cccc(-c2ccc3c(c2)OCCOCCOCCOCCOCCO3)n1 7.809464 0.36923076923076925</t>
  </si>
  <si>
    <t>CC(C)C1=CC(N(C)Cc2cc(-c3ccc4c(c3)OCCOCCOCCOCCOCCO4)ccn2)C=CN1 7.809464 0.35135135135135137</t>
  </si>
  <si>
    <t>Cc1cncc(CN(C)C2CCCC(N(Cc3ccccn3)Cc3cccc(-c4cccc5c4OCCOCCOCCOCCOCCO5)n3)C2)c1 7.809458 0.32894736842105265</t>
  </si>
  <si>
    <t>Cc1ccnc(CN(C)C2CCC(N(Cc3ccccn3)C(C)C)CC2)c1C 7.8094563 0.4339622641509434</t>
  </si>
  <si>
    <t>Cc1cccnc1CN(C)C1CCCCC1N(C)Cc1cccnc1CN(C)C 7.8094482 0.48936170212765956</t>
  </si>
  <si>
    <t>CNCc1cc(CN(Cc2ccccn2)C2CCC(N(C)Cc3ncccc3-c3ccc4c(c3)OCCOCCOCCOCCOCCO4)CC2)ccn1 7.8094416 0.30666666666666664</t>
  </si>
  <si>
    <t>CC1=CC(N(C)Cc2cc(N)ccn2)CC(C)C1C 7.8094397 0.32075471698113206</t>
  </si>
  <si>
    <t>CC1C=CC(C)(C)C(C)C1(C)N(Cc1ccccn1)Cc1ccccn1 7.8094373 0.425</t>
  </si>
  <si>
    <t>CC(C)CN(C)Cc1ncccc1-c1ccc2c(c1)OCCOCCOCCOCCOCCO2 7.8094273 0.34328358208955223</t>
  </si>
  <si>
    <t>C=CCN(C)CCN(C)Cc1ccccc1C 7.809409 0.37209302325581395</t>
  </si>
  <si>
    <t>CN(Cc1ccccn1)C(C)(C)C(C)(C)NCc1ccccn1 7.809399 0.46511627906976744</t>
  </si>
  <si>
    <t>CC(C)C(C)(C1C=CCC(C)(C)C1)N(Cc1ccccn1)Cc1ccccn1 7.8093967 0.38461538461538464</t>
  </si>
  <si>
    <t>CN(CCN(C)Cc1ncccc1-c1cccc2c1OCCOCCOCCOCCOCCO2)Cc1ccccn1 7.809388 0.3793103448275862</t>
  </si>
  <si>
    <t>CNCc1ncccc1CN(Cc1ccccn1)C1CCCC(N(C)Cc2cccc(-c3cccc4c3OCCOCCOCCOCCOCCO4)n2)C1 7.8093863 0.3246753246753247</t>
  </si>
  <si>
    <t>Cc1cccnc1CN(C)C1CCC(N(C)Cc2cccc(-c3ccc4c(c3)OCCOCCOCCOCCOCCO4)n2)CC1N(C)Cc1cccc(-c2ccc3c(c2)OCCOCCOCCOCCOCCO3)n1 7.809372 0.3380281690140845</t>
  </si>
  <si>
    <t>CNC1CCCCC1N(C)Cc1nc(C)c(C)c(C)c1C 7.809372 0.3673469387755102</t>
  </si>
  <si>
    <t>CN(Cc1ccccn1)C1C=CNC(CN(Cc2ccccn2)c2cccc3c2OCCOCCOCCOCCOCCO3)=C1 7.8093348 0.3484848484848485</t>
  </si>
  <si>
    <t>CC(N)C(C)c1cccnn1 7.809326 0.37142857142857144</t>
  </si>
  <si>
    <t>Cc1cncc(CN(C)CC2=CC(N(C)C3CCCC(N(C)Cc4ccccn4)C3)C=CN2)c1 7.80932 0.36764705882352944</t>
  </si>
  <si>
    <t>CCOC(C)NCc1ccccn1 7.809318 0.4722222222222222</t>
  </si>
  <si>
    <t>CCCN(Cc1ccccn1)Cc1cccc(-c2ccc3c(c2)OCCOCCOCCOCCOCCO3)n1 7.809314 0.4918032786885246</t>
  </si>
  <si>
    <t>CNC1=CC=CCN1 7.8093133 0.13333333333333333</t>
  </si>
  <si>
    <t>CN(CCN(C)Cc1ccc(-c2ccc3c(c2)OCCOCCOCCOCCOCCO3)cn1)Cc1ccccn1 7.8093085 0.4918032786885246</t>
  </si>
  <si>
    <t>CNCc1cccc(CN(Cc2ccccn2)C2CCC(N(C)Cc3ncccc3-c3ccc4c(c3)OCCOCCOCCOCCOCCO4)CC2)n1 7.8092995 0.3108108108108108</t>
  </si>
  <si>
    <t>Cc1cc(CN(C)C2CCCC(N(C)c3cncc(CN4CCN(C)CCN(C)CC4)c3)C2)nc(C)c1C 7.809298 0.30303030303030304</t>
  </si>
  <si>
    <t>Cc1nc(CN(C)C2CCCC(N(C)C(C)C)C2)c(C)c(C)c1C 7.809282 0.25925925925925924</t>
  </si>
  <si>
    <t>CN(CCF)CCN(Cc1ccccn1)C(C)(N)N 7.8092804 0.45652173913043476</t>
  </si>
  <si>
    <t>CNCc1cccc(CN(Cc2cccc(C)n2)C2CCCCC2N(C)Cc2cccc(-c3ccc4c(c3)OCCOCCOCCOCCOCCO4)n2)n1 7.809271 0.484375</t>
  </si>
  <si>
    <t>CC1=C(C)C(C)C(C)(N(C)Cc2ccccn2)C(C)(C)C1C 7.8092694 0.4358974358974359</t>
  </si>
  <si>
    <t>CNC1CCCC(N(Cc2ccccn2)Cc2nc(C)ccc2C)C1 7.8092604 0.38596491228070173</t>
  </si>
  <si>
    <t>CN(Cc1cccc(CN(Cc2ccccn2)Cc2cccc(C(C)(C)C)n2)n1)Cc1cccc(C23CCC2OCCOCCOCCOCCOCCO3)n1 7.80926 0.36231884057971014</t>
  </si>
  <si>
    <t>CN(CCN(C)Cc1ncccc1-c1ccc2c(c1)OCCOCCOCCOCCOCCO2)Cc1ncccc1-c1ccc2c(c1)OCCOCCOCCOCCOCCO2 7.8092566 0.359375</t>
  </si>
  <si>
    <t>c1ccc(CN(Cc2cccnn2)c2ccc3c(c2)OCCOCCOCCOCCOCCO3)nc1 7.8092403 0.5</t>
  </si>
  <si>
    <t>CN(Cc1cccc(-c2ccc3c(c2)OCCOCCOCCOCCOCCO3)n1)C1CCC(N(Cc2ccccn2)Cc2cccc(F)n2)CC1 7.809239 0.3880597014925373</t>
  </si>
  <si>
    <t>CC1=CC(C)C(N)C=C1CN(C)CCN(C)C(C)(C)C 7.809215 0.25</t>
  </si>
  <si>
    <t>CNCc1cc(CN(Cc2ccccn2)c2ccc3c(c2)OCCOCCOCCOCCOCCO3)ccn1 7.80921 0.3148148148148148</t>
  </si>
  <si>
    <t>CC(N)C(C)N(C)CCN(C)C(c1ccccc1)c1ccccn1 7.809208 0.4791666666666667</t>
  </si>
  <si>
    <t>Cc1cnc(CN(C)C2CCCC(N(Cc3ccccn3)C(C)C)C2)cc1C 7.809194 0.4807692307692308</t>
  </si>
  <si>
    <t>CC(C)NCc1cccc(CN(Cc2ccccn2)C2CCCC(N(C)Cc3cccc(-c4ccc5c(c4)OCCOCCOCCOCCOCCO5)n3)C2)n1 7.8091927 0.3625</t>
  </si>
  <si>
    <t>Cc1cc(CN(C)C2CCCCC2N(C)Cc2cccnc2C2CCC2)nc(C)c1C 7.809192 0.46296296296296297</t>
  </si>
  <si>
    <t>CC1=CC(C)CC(C)(c2ccc(CN(Cc3ccccn3)C3CCCCC3)cn2)C1 7.80919 0.36507936507936506</t>
  </si>
  <si>
    <t>Cc1cnc(CN(C)C2CCC(N(C)Cc3ncccc3-c3cccc4c3OCCOCCOCCOCCOCCO4)CC2)c(C)c1C 7.8091884 0.26865671641791045</t>
  </si>
  <si>
    <t>CN(CC1=CCC=C(N(C)C2C=CC=CN2)N1)C1CCCC(N(C)Cc2ccccn2)C1 7.809184 0.4032258064516129</t>
  </si>
  <si>
    <t>CC1=CC(C)CC(C)C1NCc1ccccn1 7.809174 0.40476190476190477</t>
  </si>
  <si>
    <t>CC(C)C1=CC2(C=CN1)C=CC(C)(C)CC2C 7.8091693 0.13559322033898305</t>
  </si>
  <si>
    <t>CNC1COCCOCCOCCOCCOCC(c2cccc(CN(Cc3ccccn3)C3CCC(N(C)c4ccc5nc(CF)ccc5c4)CC3)n2)O1 7.8091545 0.3076923076923077</t>
  </si>
  <si>
    <t>Cc1ccc(CN(Cc2ccccn2)C2CCC(N(C)Cc3cccc(-c4ccc5c(c4)OCCOCCOCCOCCOCCO5)n3)CC2)nc1 7.8091245 0.3684210526315789</t>
  </si>
  <si>
    <t>Cc1ccc(CN(C)C2CCC(N(Cc3ccccn3)Cc3cccc(-c4ccc5c(c4)OCCOCCOCCOCCOCCO5)n3)CC2)nc1 7.8091154 0.3684210526315789</t>
  </si>
  <si>
    <t>CC1C=CC(C)C(C)(c2cccc(CN(Cc3ccccn3)C3CCC(N(C)Cc4cccc(-c5ccc6c(c5)OCCOCCOCCOCCOCCO6)n4)CC3)n2)C1 7.8091083 0.32558139534883723</t>
  </si>
  <si>
    <t>CNCc1cc(CN(Cc2cccc(C)n2)C2CCCCC2N(C)Cc2cc(-c3ccc4c(c3)OCCOCCOCCOCCOCCO4)ccn2)ccn1 7.8091073 0.44285714285714284</t>
  </si>
  <si>
    <t>CC(c1ccnc(CNCF)c1)N(C)Cc1cc(-c2ccc3c(c2)OCCOCCOCCOCCOCCO3)ccn1 7.809099 0.3333333333333333</t>
  </si>
  <si>
    <t>Cc1cc(CN2CCN(C)CCN(CN(C)C3C(N(C)Cc4ccccn4)CCCC3N(Cc3ccccn3)Cc3cc(C)c(C)c(C)n3)CC2)c(C)nc1C 7.809095 0.3888888888888889</t>
  </si>
  <si>
    <t>Cc1cncc(CN(C)C2CCC(N(C)Cc3ccon3)CC2)c1 7.8090835 0.4222222222222222</t>
  </si>
  <si>
    <t>CNCN(Cc1ccccn1)C1CCCC(N(C)Cc2nc(C)c(C)cc2C)C1 7.809083 0.41379310344827586</t>
  </si>
  <si>
    <t>Cc1cncc(CN(C)C2CCC(N(C)Cc3cccc(CF)n3)CC2)c1C 7.8090744 0.39622641509433965</t>
  </si>
  <si>
    <t>CN(CCN(Cc1ccccn1)C1(C)CCC1)Cc1ccccn1 7.809072 0.46153846153846156</t>
  </si>
  <si>
    <t>CCc1cccc(CN(Cc2ccccn2)C2CCC(N(C)Cc3cccc(-c4ccc5c(c4)OCCOCCOCCOCCOCCO5)n3)CC2)n1 7.8090634 0.3835616438356164</t>
  </si>
  <si>
    <t>Cc1cncc(CN(C)C2CCCC(N(Cc3ccccn3)Cc3cccc(-c4ccc5c(c4)OCCOCCOCCOCCOCCO5)n3)C2)c1 7.809053 0.35802469135802467</t>
  </si>
  <si>
    <t>CC1=CCC(C)(C)C(N(C)Cc2ccccn2)C1C 7.8090487 0.48936170212765956</t>
  </si>
  <si>
    <t>CC(C)NC1=CNCC=C1 7.809047 0.1320754716981132</t>
  </si>
  <si>
    <t>COC(=O)C1CN(C)C(C(C)(C)NCc2ccccn2)C(C(C)C)C1C(C)C 7.8090434 0.3055555555555556</t>
  </si>
  <si>
    <t>CN(C)Cc1cccnc1-c1cccc2c1OCCOCCOCCOCCOCCO2 7.80904 0.3148148148148148</t>
  </si>
  <si>
    <t>CC1C=CC(N(C)Cc2ccccn2)C(C)C1c1cnccc1CN(C)C1CCCC(N(C)Cc2ccccn2)C1 7.809039 0.423728813559322</t>
  </si>
  <si>
    <t>CN(C)CCN(C)CF 7.809034 0.25806451612903225</t>
  </si>
  <si>
    <t>CC1=CC2(C=CNC(C(C)C)=C2)C(C)C(C)(C)C1 7.8090253 0.13793103448275862</t>
  </si>
  <si>
    <t>Cc1cc(C)c(C)c(CN(C)C2CCCCC2N(Cc2ccccn2)CC2C=CNC=C2)n1 7.8090224 0.4915254237288136</t>
  </si>
  <si>
    <t>CCCN(C)CCN(C)CC(C)(C)C 7.809022 0.23076923076923078</t>
  </si>
  <si>
    <t>CCNCC(C)(C)C 7.8090196 0.1590909090909091</t>
  </si>
  <si>
    <t>Cc1ccnc(CN(C)C(C)(C)C(C)N)c1 7.8089786 0.3617021276595745</t>
  </si>
  <si>
    <t>COC(=O)C(C)NCc1ncc(CN2CCN(C)CCN(C)CC2)c(C)c1C 7.8089776 0.42857142857142855</t>
  </si>
  <si>
    <t>CCN(Cc1ccccn1)C1CCCC(N(C)CN(C)c2ccccn2)C1 7.80897 0.47058823529411764</t>
  </si>
  <si>
    <t>CNCc1cc(CN(C)C2CCCCC2N(C)Cc2nc(-c3ccc4c(c3)OCCOCCOCCOCCOCCO4)c(C)c(C)c2C)ccn1 7.808967 0.3333333333333333</t>
  </si>
  <si>
    <t>CN(CCN(C)Cc1cc(-c2ccc3c(c2)OCCOCCOCCOCCOCCO3)ccn1)Cc1ccccn1 7.8089647 0.3870967741935484</t>
  </si>
  <si>
    <t>CCNCc1cccc(CN(Cc2cccc(C)n2)C2CCC(N(C)Cc3cccc(-c4ccc5c(c4)OCCOCCOCCOCCOCCO5)n3)CC2)n1 7.8089623 0.35714285714285715</t>
  </si>
  <si>
    <t>CC1=C(C)C(C)CC(CN(C)Cc2ccccn2)C1 7.808955 0.45454545454545453</t>
  </si>
  <si>
    <t>Cc1cncc(CN(Cc2ccccn2)C2CCCC(N(C)Cc3cccc(-c4ccc5c(c4)OCCOCCOCCOCCOCCO5)n3)C2)c1 7.808934 0.35365853658536583</t>
  </si>
  <si>
    <t>CC(C)(c1cccc(CNCNCF)n1)c1cccc(-c2ccc3c(c2)OCCOCCOCCOCCOCCO3)n1 7.8089314 0.3108108108108108</t>
  </si>
  <si>
    <t>CCN(C)C1CCCC(N(C)Cc2nc(C)c(C)c(C)c2C)C1 7.808887 0.27450980392156865</t>
  </si>
  <si>
    <t>CCNCc1cccc(C(C)C(C)N)n1 7.8088818 0.2926829268292683</t>
  </si>
  <si>
    <t>CNCCN(Cc1ccccn1)C1CCC(N(C)Cc2nc(C)c(C)c(C)c2C)CC1 7.808872 0.39655172413793105</t>
  </si>
  <si>
    <t>Cc1ccc(C)c(N(C)C2CCCCC2N(C)Cc2cccc(-c3ccc4c(c3)OCCOCCOCCOCCOCCO4)n2)c1 7.8088574 0.42857142857142855</t>
  </si>
  <si>
    <t>Cc1cccnc1CN(C)C1CCCC(N(C)Cc2ncccc2C)C1 7.8088546 0.4</t>
  </si>
  <si>
    <t>CN1CCN(C)CCN(C2CCCCC2N(C)c2cccc3ncc(CF)cc23)CC1 7.8088474 0.375</t>
  </si>
  <si>
    <t>CC(C)C(C)(C)c1cccnc1 7.8088474 0.24390243902439024</t>
  </si>
  <si>
    <t>CCNCc1cc(CN(C)C2CCCC(N(C)Cc3ncc(C)cc3C)C2)ccn1 7.808825 0.3225806451612903</t>
  </si>
  <si>
    <t>CCCN(CCN(Cc1ccccn1)Cc1cccc(-c2cccc3c2OCCOCCOCCOCCOCCO3)n1)Cc1ccccn1 7.808815 0.40350877192982454</t>
  </si>
  <si>
    <t>CNCCN(Cc1cc(C)ccn1)C1CCC(N(C)Cc2ncc(C)c(C)c2C)CC1 7.8088074 0.296875</t>
  </si>
  <si>
    <t>CC1=CCC(C)C(C)C12C=CNC(C(C)C)=C2 7.808804 0.13333333333333333</t>
  </si>
  <si>
    <t>CNC1CCCCC1N(Cc1ccccn1)Cc1cc(C)c(C)c(C)n1 7.808801 0.4716981132075472</t>
  </si>
  <si>
    <t>Cc1cncc(CN(Cc2ccccn2)C2CCC(N(C)Cc3ncccc3-c3ccc4c(c3)OCCOCCOCCOCCOCCO4)CC2)c1 7.808789 0.3176470588235294</t>
  </si>
  <si>
    <t>Cc1ccnc(CN(Cc2nc(C)c(C)c(C)c2C)C2CCCCC2NCF)c1 7.8087816 0.30158730158730157</t>
  </si>
  <si>
    <t>Cc1cccc(CN(C)C2=C(CN(C)C3CCCCC3N(C)Cc3cccc(-c4ccc5c(c4)OCCOCCOCCOCCOCCO5)n3)NC=CC2)n1 7.808772 0.4492753623188406</t>
  </si>
  <si>
    <t>C=C1C=CNC(CN(C)C2CCCC(N(C)Cc3ccc(C)cn3)C2)=C1 7.80877 0.49056603773584906</t>
  </si>
  <si>
    <t>CN(C)Cc1cnccc1-c1cccc2c1OCCOCCOCCOCCOCCO2 7.8087616 0.22857142857142856</t>
  </si>
  <si>
    <t>CC1C=C(C(C)(C)c2ccccn2)CC(C)C1C 7.8087435 0.32653061224489793</t>
  </si>
  <si>
    <t>CN1CCN(Cc2cccc(-c3ccc4c(c3)OCCOCCOCCOCCOCCO4)n2)CCN(C(C)(C)c2ccc(CN(Cc3cccc(-c4ccc5c(c4)OCCOCCOCCOCCOCCO5)n3)Cc3cccc(-c4ccc5c(c4)OCCOCCOCCOCCOCCO5)n3)nc2)CC1 7.8087378 0.37037037037037035</t>
  </si>
  <si>
    <t>CNCc1cc(CN(Cc2cccc(-c3ccc4c(c3)OCCOCCOCCOCCOCCO4)n2)C2CCC(N(C)Cc3cc(CF)ccn3)CC2)ccn1 7.80873 0.29545454545454547</t>
  </si>
  <si>
    <t>CN(CCN(C)Cc1ncccc1-c1ccc2c(c1)OCCOCCOCCOCCOCCO2)Cc1ccccn1 7.8087144 0.36363636363636365</t>
  </si>
  <si>
    <t>Cc1cc(C)c(CN(C)CN2CCN(C)CCN(Cc3cncc(C)c3C)CC2)nc1C 7.808709 0.35</t>
  </si>
  <si>
    <t>CC(C)(C)CN(Cc1cccnc1)Cc1ncccc1-c1ccc2c(c1)OCCOCCOCCOCCOCCO2 7.8087063 0.32</t>
  </si>
  <si>
    <t>CC(C)N1CCN(C)CCN(C(C)(c2ccccn2)c2ccccn2)CC1 7.8087044 0.45652173913043476</t>
  </si>
  <si>
    <t>CN(C)Cc1cccc(-c2cccc3c2OCCOCCOCCOCCOCCO3)n1 7.8086996 0.33962264150943394</t>
  </si>
  <si>
    <t>Cc1ccc(CN(Cc2ccccn2)C2CCCC(N(C)Cc3cccc(-c4cccc5c4OCCOCCOCCOCCOCCO5)n3)C2)nc1 7.8086824 0.36619718309859156</t>
  </si>
  <si>
    <t>Cc1ccc(CN(C)C2CCCC(N(Cc3ccccn3)Cc3cccc(-c4cccc5c4OCCOCCOCCOCCOCCO5)n3)C2)nc1 7.8086724 0.36619718309859156</t>
  </si>
  <si>
    <t>Cc1cc(C)c(CN(C)C2CCCCC2N(C)Cc2ncccc2CN(C)CCN)nc1C 7.8086715 0.39655172413793105</t>
  </si>
  <si>
    <t>CCOC(=O)c1ccc(CN(Cc2ccccn2)C2CCCCC2N(C)C2CCC(N(C)Cc3ncc(C)c(C)c3C)CC2)cn1 7.8086696 0.375</t>
  </si>
  <si>
    <t>C=CCN(Cc1ccccn1)C1CCCCC1N(Cc1ccccn1)Cc1ncccc1C 7.8086557 0.49019607843137253</t>
  </si>
  <si>
    <t>CCN(Cc1cc(-c2ccc3c(c2)OCCOCCOCCOCCOCCO3)ccn1)Cc1ncccc1-c1ccc2c(c1)OCCOCCOCCOCCOCCO2 7.808635 0.35714285714285715</t>
  </si>
  <si>
    <t>Cc1cc(CN(C)C2CCC(N(Cc3ncccc3C)C(C)C)CC2)ccn1 7.808632 0.288135593220339</t>
  </si>
  <si>
    <t>CNC1CCCC(N(Cc2cccc(C)n2)Cc2ncccc2C)C1 7.808631 0.40350877192982454</t>
  </si>
  <si>
    <t>Cc1cc(CN(C)C2CCC(N(C)Cc3ccc(-c4cccc5c4OCCOCCOCCOCCOCCO5)cn3)CC2)nc(C)c1C 7.8086243 0.33766233766233766</t>
  </si>
  <si>
    <t>CN1CCN(Cc2ccc3c(c2)OCCOCCOCCOCCOCCO3)CCN(Cc2cnccc2-c2ccccc2N=Cc2ccccn2)CC1 7.808617 0.3194444444444444</t>
  </si>
  <si>
    <t>FCN(Cc1ccccn1)Cc1cc(-c2cccc3c2OCCOCCOCCOCCOCCO3)ccn1 7.808615 0.37254901960784315</t>
  </si>
  <si>
    <t>CCCN(Cc1ccccn1)Cc1cc(-c2ccc3c(c2)OCCOCCOCCOCCOCCO3)ccn1 7.808607 0.41509433962264153</t>
  </si>
  <si>
    <t>CN(C)Cc1cncc(-c2ccc3c(c2)OCCOCCOCCOCCOCCO3)c1 7.808606 0.4067796610169492</t>
  </si>
  <si>
    <t>Cc1cccnc1CN(Cc1ccccn1)C1CCC(N(C)Cc2cccc(-c3ccc4c(c3)OCCOCCOCCOCCOCCO4)n2)CC1 7.808605 0.36363636363636365</t>
  </si>
  <si>
    <t>CNC1=CC(N(C)C(C)C)NC=C1 7.8086033 0.16666666666666666</t>
  </si>
  <si>
    <t>CNCCN(C)CC(C)(C)C 7.8086 0.225</t>
  </si>
  <si>
    <t>CC1(C)CCC1C(C)(C)c1ccccn1 7.8085837 0.34782608695652173</t>
  </si>
  <si>
    <t>Cc1ccc(CN(Cc2ccccn2)C2CCC(N(C)Cc3cc(-c4ccc5c(c4)OCCOCCOCCOCCOCCO5)ccn3)CC2)nc1 7.8085694 0.4</t>
  </si>
  <si>
    <t>CCNCc1ccc(CN(C)C2CCCC(N(C)Cc3nc(C)ccc3C)C2)cn1 7.808568 0.3225806451612903</t>
  </si>
  <si>
    <t>Cc1cccc(CN(C)C2CCC(N(Cc3ccccn3)Cc3cccc(-c4ccc5c(c4)OCCOCCOCCOCCOCCO5)n3)CC2)n1 7.808559 0.3835616438356164</t>
  </si>
  <si>
    <t>CC1C=CC2C=CC=NC2C1N(C)Cc1ccccn1 7.808557 0.44</t>
  </si>
  <si>
    <t>CC1(C)CCC1c1ccccn1 7.808556 0.3269230769230769</t>
  </si>
  <si>
    <t>CN(Cc1ccccn1)C1CCC(N(Cc2ccccn2)Cc2cccc(C3C=CCCC3(C)C)n2)CC1 7.8085427 0.4067796610169492</t>
  </si>
  <si>
    <t>Cc1cccc(CN(Cc2ccccn2)C2CCC(N(C)Cc3cccc(-c4ccc5c(c4)OCCOCCOCCOCCOCCO5)n3)CC2)n1 7.8085423 0.3835616438356164</t>
  </si>
  <si>
    <t>CNC1CCCC(N(Cc2ccccn2)Cc2ncc(C)cc2C)C1 7.808536 0.3793103448275862</t>
  </si>
  <si>
    <t>CC(C)(C)CN(Cc1ccccn1)Cc1ncccc1-c1ccc2c(c1)OCCOCCOCCOCCOCCO2 7.8085265 0.4642857142857143</t>
  </si>
  <si>
    <t>Cc1cccnc1CN(C)C1CCC(N(C)Cc2cc(-c3cccc4c3OCCOCCOCCOCCOCCO4)ccn2)C(N(C)Cc2ccccn2)C1 7.808526 0.375</t>
  </si>
  <si>
    <t>CN(Cc1cccc(-c2cccc3c2OCCOCCOCCOCCOCCO3)n1)Cc1cccc(-c2cccc3c2OCCOCCOCCOCCOCCO3)n1 7.80851 0.42</t>
  </si>
  <si>
    <t>CCNC1CC(N(C)Cc2ncc(C)c(C)c2C)CCC1N(C)Cc1ccccn1 7.808492 0.45614035087719296</t>
  </si>
  <si>
    <t>CC(C)N(Cc1cccc(-c2ccc3c(c2)OCCOCCOCCOCCOCCO3)n1)Cc1cccc(-c2ccc3c(c2)OCCOCCOCCOCCOCCO3)n1 7.808486 0.359375</t>
  </si>
  <si>
    <t>CC1=CC(C)(c2cccc(CN(Cc3ccccn3)C3CCC(N(C)Cc4cccc(-c5ccc6c(c5)OCCOCCOCCOCCOCCO6)n4)CC3)n2)C(C)CC1C 7.808477 0.3181818181818182</t>
  </si>
  <si>
    <t>c1ccc(CNCc2cccc(-c3ccc4c(c3)OCCOCCOCCOCCOCCO4)n2)nc1 7.8084764 0.3958333333333333</t>
  </si>
  <si>
    <t>Cc1cccnc1CN(C)C1CCC(N(Cc2ccccn2)Cc2cccc(-c3ccc4c(c3)OCCOCCOCCOCCOCCO4)n2)CC1 7.8084764 0.3684210526315789</t>
  </si>
  <si>
    <t>CC1=C(c2cc(CN(Cc3ccccn3)C3CCCCC3)ccn2)C(C)CCC1C 7.8084693 0.40350877192982454</t>
  </si>
  <si>
    <t>Cc1cc(C)c(CN(C)C2CCC(N(C)Cc3cccc(-c4ccc5c(c4)OCCOCCOCCOCCOCCO5)n3)CC2)nc1C 7.808458 0.3333333333333333</t>
  </si>
  <si>
    <t>Cc1cncc(CN(Cc2ccccn2)C2CCCC(N(C)Cc3cc(-c4ccc5c(c4)OCCOCCOCCOCCOCCO5)ccn3)C2)c1 7.8084526 0.3493975903614458</t>
  </si>
  <si>
    <t>CN(O)C1C=CNC(CN(C)C2C=CC=CN2)=C1 7.8084435 0.33962264150943394</t>
  </si>
  <si>
    <t>C1=CC(CN(Cc2ccccn2)Cc2cccc(-c3cccc4c3OCCOCCOCCOCCOCCO4)n2)C=CN1 7.808442 0.36619718309859156</t>
  </si>
  <si>
    <t>CN(C)Cc1ccc(-c2cccc3c2OCCOCCOCCOCCOCCO3)nc1 7.808438 0.2463768115942029</t>
  </si>
  <si>
    <t>CC(C)N(C)CCN(CC(C)(C)C)C(C)C 7.8084364 0.2564102564102564</t>
  </si>
  <si>
    <t>CN(CCSCc1ccccn1)Cc1cccc(-c2ccc3c(c2)OCCOCCOCCOCCOCCO3)n1 7.80843 0.4262295081967213</t>
  </si>
  <si>
    <t>Cc1cncc(CN(C)CCN(C)C2CCCC(N(Cc3ccccn3)Cc3ccccn3)C2)c1 7.8084297 0.41379310344827586</t>
  </si>
  <si>
    <t>Cc1ccc(CN(Cc2ccccn2)C2CCCCC2N(C)Cc2cccc(-c3ccc4c(c3)OCCOCCOCCOCCOCCO4)n2)nc1C 7.8084126 0.45454545454545453</t>
  </si>
  <si>
    <t>COC(=O)C1C(C(C)C)C(C(C)(C)NCc2ccccn2)CN(C)C1C(=O)C(C)N 7.8084087 0.2857142857142857</t>
  </si>
  <si>
    <t>Cc1ccc(CN(C)C2=CCC=C(CN3CCN(C)CCN(C)CC3)N2)nc1 7.8084064 0.4117647058823529</t>
  </si>
  <si>
    <t>CCN(C)Cc1cccc(C2CCC2(C)C)n1 7.808398 0.37777777777777777</t>
  </si>
  <si>
    <t>CNCc1cc(CN(C)C2CCC(N(C)Cc3cc(C)c(C)cn3)CC2)ccn1 7.8083854 0.36363636363636365</t>
  </si>
  <si>
    <t>CCOC(C)c1cccc(CN(Cc2ccccn2)C2CCCCC2N(C)Cc2cccc(-c3ccc4c(c3)OCCOCCOCCOCCOCCO4)n2)n1 7.80837 0.4166666666666667</t>
  </si>
  <si>
    <t>Cc1cc(CN(C)Cc2cccc(C(C)(C)c3ccccn3)n2)cc2c1OCCOCCOCCOCCOCCO2 7.808369 0.359375</t>
  </si>
  <si>
    <t>CNC1CCCCC1N(Cc1ccccn1)Cc1nc(C)c(C)cc1C 7.8083634 0.4716981132075472</t>
  </si>
  <si>
    <t>Cc1ccc(N2CCN(C)CCN(C(C)C)CC2)c(C)c1C 7.8083506 0.2926829268292683</t>
  </si>
  <si>
    <t>CNCc1cccc(CN(Cc2cccc(F)n2)C2CCC(N(C)Cc3cccc(-c4ccc5c(c4)OCCOCCOCCOCCOCCO5)n3)CC2)n1 7.8083415 0.3048780487804878</t>
  </si>
  <si>
    <t>Cc1cc(CN(C)C2CCC(N(C)Cc3cc(-c4ccc5c(c4)OCCOCCOCCOCCOCCO5)ccn3)CC2)c(C)nc1C 7.808339 0.375</t>
  </si>
  <si>
    <t>CN(C)Cc1cccc(-c2ccc3c(c2)OCCOCCOCCOCCOCCO3)n1 7.8083167 0.3770491803278688</t>
  </si>
  <si>
    <t>CC1=CC(N(C)CC2=CC(N(C)Cc3ccccn3)C=CN2)CC(C)C1C 7.8083076 0.39655172413793105</t>
  </si>
  <si>
    <t>Cc1cccnc1CN(C)C1CCC(N(C)Cc2cccc(-c3ccc4c(c3)OCCOCCOCCOCCOCCO4)n2)CC1N(C)Cc1ccccn1 7.8083057 0.38028169014084506</t>
  </si>
  <si>
    <t>Cc1cnc(N(C)C2CCCC(N(C)C(C)C)C2)c(C)c1 7.808304 0.2830188679245283</t>
  </si>
  <si>
    <t>COC(=O)C1CN(C)C(C(C)C)C(C(=O)C(C)N)C1C(=O)C(C)N 7.8082952 0.22580645161290322</t>
  </si>
  <si>
    <t>Cc1ccc(CN(Cc2nc(C)ccc2C)C2CCCCC2)nc1 7.808291 0.4897959183673469</t>
  </si>
  <si>
    <t>Fc1ccc(CN(Cc2ccccn2)C2CCCCC2N(Cc2cccc(-c3ccc4c(c3)OCCOCCOCCOCCOCCO4)n2)Cc2cccc(-c3ccc4c(c3)OCCOCCOCCOCCOCCO4)n2)nc1 7.808284 0.4</t>
  </si>
  <si>
    <t>Cc1ccc(CN(Cc2ccccn2)C2CCC(N(C)Cc3ncccc3-c3ccc4c(c3)OCCOCCOCCOCCOCCO4)CC2)nc1 7.808263 0.3670886075949367</t>
  </si>
  <si>
    <t>C=C1C=CNC(CN(C)C2CCC(N(C)Cc3ncccc3C)CC2)=C1 7.808261 0.3333333333333333</t>
  </si>
  <si>
    <t>CNCCN(Cc1ccccn1)C1CCCC(N(C)Cc2nc(C)c(C)c(C)c2C)C1 7.8082485 0.4</t>
  </si>
  <si>
    <t>Cc1ccc(CN(Cc2ccccn2)C2CCCC(N(C)Cc3cccc(-c4ccc5c(c4)OCCOCCOCCOCCOCCO5)n3)C2)nc1 7.808247 0.3717948717948718</t>
  </si>
  <si>
    <t>COC(C)c1ncccc1CN1CCN(C)CCN(Cc2cccc(C(C)NCc3ccccn3)n2)CC1 7.8082457 0.4576271186440678</t>
  </si>
  <si>
    <t>CNCCN(Cc1ccccn1)C(C)(C)c1cc(-c2ccc3c(c2)OCCOCCOCCOCCOCCO3)ccn1 7.8082433 0.32894736842105265</t>
  </si>
  <si>
    <t>Cc1ccnc(CN(C)CCNCc2ccc(-c3ccc4c(c3)OCCOCCOCCOCCOCCO4)cn2)c1 7.808241 0.42857142857142855</t>
  </si>
  <si>
    <t>Cc1cncc(CN2CCN(C)CCN(C3CCC(N(C)Cc4cc(-c5ccccn5)ccn4)CC3)CC2)c1C 7.8082366 0.36231884057971014</t>
  </si>
  <si>
    <t>Cc1ccc(CN(C)C2CCCC(N(Cc3ccccn3)Cc3cccc(-c4ccc5c(c4)OCCOCCOCCOCCOCCO5)n3)C2)nc1 7.8082314 0.3717948717948718</t>
  </si>
  <si>
    <t>Cc1cccc(CN(C)C2CCCC(N(Cc3ccccn3)Cc3cccc(-c4cccc5c4OCCOCCOCCOCCOCCO5)n3)C2)n1 7.808207 0.38235294117647056</t>
  </si>
  <si>
    <t>Cc1cncc(CN(C)C2CCCC(N(C)Cc3ccon3)C2)c1 7.8081923 0.3958333333333333</t>
  </si>
  <si>
    <t>Cc1cnccc1CN(C)CCN(C)C1CCCC(N(Cc2ccccn2)Cc2ccccn2)C1 7.8081913 0.42105263157894735</t>
  </si>
  <si>
    <t>CC(C)C1=CC2C=CC3(C=CC(C)C(C)(C)C3)C(c3cccc(CN(Cc4ccccn4)C4CCCCC4)n3)C2=CN1 7.808172 0.2948717948717949</t>
  </si>
  <si>
    <t>CN(Cc1cccc(C2CC3OCCOCCOCCOCCOCCOC32)n1)c1cccnc1CN(Cc1ccccn1)Cc1cccnc1C1CCC1(C)C 7.8081717 0.2839506172839506</t>
  </si>
  <si>
    <t>CN1CCN(C)CCN(Cc2cnccc2C(C)(C)c2ccccn2)CC1 7.80816 0.48936170212765956</t>
  </si>
  <si>
    <t>FCCN(CC1=CCC=CN1)Cc1cccnc1 7.8081594 0.4807692307692308</t>
  </si>
  <si>
    <t>Cc1cnc(CN(C)C2CCCC(N(C)C)C2)c(C)c1C 7.808157 0.3469387755102041</t>
  </si>
  <si>
    <t>Cc1cc2c(c(N(Cc3ccccn3)Cc3ccccn3)c1)OCCOCCOCCOCCOCCO2 7.8081555 0.39215686274509803</t>
  </si>
  <si>
    <t>Cc1cnc(CN(C)C2CCC(N(Cc3ccccn3)C(C)C)CC2)c(C)c1 7.8081493 0.42592592592592593</t>
  </si>
  <si>
    <t>Cc1cccnc1CN(C)C1CCC(N(Cc2ccccn2)Cc2ccc(-c3ccc4c(c3)OCCOCCOCCOCCOCCO4)cn2)CC1 7.8081436 0.43243243243243246</t>
  </si>
  <si>
    <t>Cc1ccc(CN(Cc2ccccn2)C2CCCC(N(C)Cc3ncccc3-c3cccc4c3OCCOCCOCCOCCOCCO4)C2)nc1 7.808126 0.352112676056338</t>
  </si>
  <si>
    <t>CC(C)C(C)N(C)CC1=C(N(C)Cc2cccc(-c3ccc4c(c3)OCCOCCOCCOCCOCCO4)n2)CC=CN1 7.8081255 0.2804878048780488</t>
  </si>
  <si>
    <t>Fc1cccc(CN(Cc2ccccn2)C2CCCCC2N(Cc2cccc(-c3ccc4c(c3)OCCOCCOCCOCCOCCO4)n2)Cc2cccc(-c3ccc4c(c3)OCCOCCOCCOCCOCCO4)n2)n1 7.808125 0.38028169014084506</t>
  </si>
  <si>
    <t>CC(C)CN(Cc1ccccn1)Cc1cccc(-c2cccc3c2OCCOCCOCCOCCOCCO3)n1 7.808114 0.41379310344827586</t>
  </si>
  <si>
    <t>CN(Cc1ccccn1)C1=C(CN(C)c2cccc3c2OCCOCCOCCOCCOCCO3)NC=CC1 7.808108 0.3709677419354839</t>
  </si>
  <si>
    <t>CCCN(Cc1ccccn1)Cc1ncccc1-c1ccc2c(c1)OCCOCCOCCOCCOCCO2 7.808106 0.38596491228070173</t>
  </si>
  <si>
    <t>CC(C)C1(C)COC(c2cccc(CN3CCN(C)CCN(C)CC3)n2)=N1 7.808098 0.48</t>
  </si>
  <si>
    <t>CC(C)C1CN=C(C2N=C(C3C4(CC=CC35C=CCCC5(C)C)C(C)C=CCC4C)OC2C)O1 7.8080926 0.11904761904761904</t>
  </si>
  <si>
    <t>Cc1cncc(CN(C)C2=CNC=C(CN3CCN(C)CCN(Cc4ccccn4)CC3)C2)c1 7.8080783 0.4745762711864407</t>
  </si>
  <si>
    <t>CN(C)Cc1cc(-c2cccc3c2OCCOCCOCCOCCOCCO3)ccn1 7.808075 0.27941176470588236</t>
  </si>
  <si>
    <t>CN(C)Cc1ncccc1-c1cccc2c1OCCOCCOCCOCCOCCO2 7.80807 0.2777777777777778</t>
  </si>
  <si>
    <t>CN(C)Cc1ccc(-c2cccc3c2OCCOCCOCCOCCOCCO3)cn1 7.8080697 0.36507936507936506</t>
  </si>
  <si>
    <t>CNCc1cccc(N(C)C2CCCC(N(C)Cc3cccc(-c4cccc5c4OCCOCCOCCOCCOCCO5)n3)C2)n1 7.808066 0.29577464788732394</t>
  </si>
  <si>
    <t>CC1=C(C)C(C)C(C)C(C)(N(C)Cc2ccccn2)C1 7.8080554 0.42857142857142855</t>
  </si>
  <si>
    <t>CC1=CC(N(C)Cc2ccccn2)C(C)(C)C(C)C1 7.8080535 0.5</t>
  </si>
  <si>
    <t>CC(c1cccc(-c2cccc(NCF)n2)n1)C(C)N1CCN(C)CCN(C(C)C)CC1 7.808043 0.3103448275862069</t>
  </si>
  <si>
    <t>CC(C)Nc1cccc(CN2CCN(C)CCN(Cc3cccc(C(C)(C)C)n3)CC2)n1 7.8080325 0.5</t>
  </si>
  <si>
    <t>CC1=C(C)C(C)(N(C)Cc2ccccn2)C(C)(C)C(C)C1C 7.808031 0.40816326530612246</t>
  </si>
  <si>
    <t>CCN(C)CCN(C)CCN(C)CCN(C)CCN(C)CCN(C)CCN(C)CCN(C)CCN(C)CCN(C)CCN(C)CCN(C)CCN(C)CCN(C)CCN(C)CCN(C)CCN(C)CCN(C)CCN(C)CCN(C)CCN(C)CCN(C)CCN(C)CCN(C)C1=CNC(CN(C)C)=CC1 7.808018 0.22448979591836735</t>
  </si>
  <si>
    <t>Cc1ccc(CN(Cc2ccccn2)C2CCCCC2N(C)Cc2cc(-c3ccc4c(c3)OCCOCCOCCOCCOCCO4)ccn2)nc1C 7.8080173 0.46153846153846156</t>
  </si>
  <si>
    <t>CN(C)Cc1cccnc1-c1ccc2c(c1)OCCOCCOCCOCCOCCO2 7.8080144 0.3709677419354839</t>
  </si>
  <si>
    <t>Cc1cnc(CN(C)C2CCCC(N(C)Cc3cccnn3)C2)cc1C 7.8080034 0.4166666666666667</t>
  </si>
  <si>
    <t>CNCCN(Cc1cc(C)ccn1)C1CCC(N(C)Cc2cc(C)c(C)c(C)n2)CC1 7.80799 0.28125</t>
  </si>
  <si>
    <t>CC1C=CC(N(C)Cc2ccc(C(C)(C)C)cn2)C(C)C1(C)C 7.8079853 0.3333333333333333</t>
  </si>
  <si>
    <t>Cc1cc(C)c(CN(Cc2ccccn2)C2CCCCC2N(C)Cc2cc(-c3ccc4c(c3)OCCOCCOCCOCCOCCO4)ccn2)cn1 7.807975 0.44776119402985076</t>
  </si>
  <si>
    <t>CN(Cc1ccccn1)C1=C(CN(C)c2ccc3c(c2)OCCOCCOCCOCCOCCO3)NC=CC1 7.807971 0.3548387096774194</t>
  </si>
  <si>
    <t>Cc1ccc2c(c1N(Cc1ccccn1)Cc1ccccn1)OCCOCCOCCOCCOCCO2 7.807957 0.37777777777777777</t>
  </si>
  <si>
    <t>CNC1CCCC(N(Cc2cccc(C)n2)Cc2cccc(C)n2)C1 7.8079557 0.5</t>
  </si>
  <si>
    <t>CNCc1cc(CN(Cc2cc(C)ccn2)C2CCC(N(C)Cc3cc(-c4ccc5c(c4)OCCOCCOCCOCCOCCO5)ccn3)CC2)ccn1 7.807953 0.3375</t>
  </si>
  <si>
    <t>Cc1cc(C)c(C)c(CN(C)C2CCCCC2N(C)Cc2ccon2)c1 7.807946 0.45098039215686275</t>
  </si>
  <si>
    <t>CC(C)N(C)CN(Cc1ccc(N)cn1)C(C)(C)N(C)C(C)C 7.8079424 0.3333333333333333</t>
  </si>
  <si>
    <t>CN1CCN(C)CCN(Cc2cccnc2CNC(C)(C)c2cccnc2C2CC(C)(C)C2)CC1 7.8079414 0.35</t>
  </si>
  <si>
    <t>CC1=CC(C)(C)C(N(C)Cc2ccccn2)CC1C 7.8079176 0.48936170212765956</t>
  </si>
  <si>
    <t>C=CCN(Cc1ccccn1)Cc1ncccc1CN(Cc1ccccn1)C1CCCCC1N(C)Cc1cccc(-c2ccc3c(c2)OCCOCCOCCOCCOCCO3)n1 7.8079085 0.38961038961038963</t>
  </si>
  <si>
    <t>Cc1cnccc1CN(C)C1CCCC(N(C)Cc2ccon2)C1 7.8079047 0.3877551020408163</t>
  </si>
  <si>
    <t>CC1=CC(N(C)Cc2ccccn2)C(C)CC12CCC(C)=C(C)C2 7.8078985 0.41818181818181815</t>
  </si>
  <si>
    <t>CN(Cc1cccc(CF)n1)C1CCC(N(C)Cc2cccc(C3CC(C)(C)C3)n2)CC1 7.807891 0.37735849056603776</t>
  </si>
  <si>
    <t>CC1=CC(c2cccc(CN(Cc3cccc(C(C)(C)C)n3)C3CCC(N(C)Cc4ccc(-c5ccc6c(c5)OCCOCCOCCOCCOCCO6)cn4)CC3)n2)CC(C)(C)C1(C)C 7.807889 0.3516483516483517</t>
  </si>
  <si>
    <t>CC(c1ccccn1)(c1ccccn1)c1cccc(CNC2C=C3OCCOCCOCCOCCOCCOC3=CN2)n1 7.8078756 0.3582089552238806</t>
  </si>
  <si>
    <t>Cc1cc(CN(Cc2ccccn2)C2CCC(N(C)Cc3ncccc3-c3ccc4c(c3)OCCOCCOCCOCCOCCO4)CC2)ccn1 7.8078713 0.3150684931506849</t>
  </si>
  <si>
    <t>CCN(Cc1ccccn1)Cc1cccc(-c2cccc3c2OCCOCCOCCOCCOCCO3)n1 7.807859 0.42857142857142855</t>
  </si>
  <si>
    <t>Cc1cc(CN(C)C2CCC(N(C)C)CC2)nc(C)c1C 7.8078585 0.3333333333333333</t>
  </si>
  <si>
    <t>Cc1cccnc1CN(C)CCNCc1cc(-c2ccc3c(c2)OCCOCCOCCOCCOCCO3)ccn1 7.8078566 0.32894736842105265</t>
  </si>
  <si>
    <t>CN(Cc1ccc(Cl)cn1)C1CCCC(N(C)C2=CCC=CN2)C1 7.807839 0.3559322033898305</t>
  </si>
  <si>
    <t>CCNCc1ncccc1C(C)(C)C(C)C 7.807837 0.30952380952380953</t>
  </si>
  <si>
    <t>CN(Cc1ccc(C2CC(C)(C)C2)cn1)C1CCC(N(C)Cc2cccc(CF)n2)CC1 7.807835 0.3448275862068966</t>
  </si>
  <si>
    <t>CC(C)C1(C)COC(c2cc(CN3CCN(C)CCN(C)CC3)ccn2)=N1 7.8078294 0.38181818181818183</t>
  </si>
  <si>
    <t>Cc1cc(CN(C)C2CCC(N(C)Cc3ccon3)CC2)ccn1 7.8078203 0.4222222222222222</t>
  </si>
  <si>
    <t>CC1C=CC(N(C)Cc2ncccc2C(C)(C)C)C(C)(C)C1C 7.8078117 0.2631578947368421</t>
  </si>
  <si>
    <t>CC1=CCC2(C=CCC3(C=CC(C(C)(CN(Cc4ccccn4)Cc4ccccn4)c4ccccn4)CC34C(C)C=CCC4C)C2C)CC12CC=CC(C)C2C 7.8078046 0.2857142857142857</t>
  </si>
  <si>
    <t>Cc1cccc(CN(C)C2CCCC(N(Cc3ccccn3)Cc3cccc(-c4ccc5c(c4)OCCOCCOCCOCCOCCO5)n3)C2)n1 7.8078036 0.38666666666666666</t>
  </si>
  <si>
    <t>CC(C)C(C)N(C)CC1=CC(N(C)Cc2ccccn2)C=CN1 7.807796 0.41509433962264153</t>
  </si>
  <si>
    <t>CC(C)N(CC1=CCC=C(N(C)Cc2ccccn2)N1)c1ccc2c(c1)OCCOCCOCCOCCOCCO2 7.807791 0.3333333333333333</t>
  </si>
  <si>
    <t>Fc1ccc(N(Cc2cccnn2)C2CCCCC2)cc1 7.8077893 0.4318181818181818</t>
  </si>
  <si>
    <t>Cc1nc(CN(C)C2CCCCC2N(C)Cc2cccc(-c3ccc4c(c3)OCCOCCOCCOCCOCCO4)n2)c(C)c(C)c1C 7.8077826 0.43548387096774194</t>
  </si>
  <si>
    <t>CN1CCN(Cc2cccc(C3CC(C)(C)C3)n2)CCN(Cc2cccc(C(C)(C)C)n2)CC1 7.8077745 0.48</t>
  </si>
  <si>
    <t>CNc1c(C)cc(C)nc1CN1CCN(C)CCN(C)CC1 7.80776 0.5</t>
  </si>
  <si>
    <t>CNCc1ccc(-c2cc(CN(C)C3CCCCC3)c(-c3cccc4c3OCCOCCOCCOCCOCCO4)cn2)c(-c2cccc3c2OCCOCCOCCOCCOCCO3)n1 7.807751 0.26744186046511625</t>
  </si>
  <si>
    <t>Cc1cnc(C)c(CN(C)C2CCCC(N(C)Cc3cccnn3)C2)c1 7.8077354 0.39215686274509803</t>
  </si>
  <si>
    <t>CN(Cc1ncccc1-c1cccc2c1OCCOCCOCCOCCOCCO2)Cc1ncccc1-c1cccc2c1OCCOCCOCCOCCOCCO2 7.8077335 0.3018867924528302</t>
  </si>
  <si>
    <t>Cc1cccnc1CN(C)C1CCCC(N(Cc2ccccn2)Cc2cccc(-c3ccc4c(c3)OCCOCCOCCOCCOCCO4)n2)C1 7.807722 0.3717948717948718</t>
  </si>
  <si>
    <t>COC(=O)C1CN(C)C(C(C)(C)NCc2ccccn2)C(C(C)(C)C)C1C(C)C 7.807709 0.3076923076923077</t>
  </si>
  <si>
    <t>Cc1ccc(CN(Cc2ccccn2)C2CCCCC2N(C)Cc2ncccc2-c2ccc3c(c2)OCCOCCOCCOCCOCCO3)nc1C 7.8076863 0.42028985507246375</t>
  </si>
  <si>
    <t>CC1=CCC(CN(Cc2ccccn2)C2CCCC(N(C)Cc3ccccn3)C2)=CN1 7.807685 0.46296296296296297</t>
  </si>
  <si>
    <t>Cc1cccnc1CN(C)C1=CCC=C(CN2CCN(C)CCN(C)CC2)N1 7.807672 0.38181818181818183</t>
  </si>
  <si>
    <t>Cc1ncccc1CN(C)C1CCC(N(Cc2ccccn2)Cc2ncccc2-c2ccc3c(c2)OCCOCCOCCOCCOCCO3)CC1 7.807659 0.323943661971831</t>
  </si>
  <si>
    <t>CCOC(=O)C1CC(C(C)(C)C)C(C(=O)C(C)C)N(C)C1C(=O)C(C)N 7.8076587 0.208955223880597</t>
  </si>
  <si>
    <t>CN(Cc1cccc(-c2ccc3c(c2)OCCOCCOCCOCCOCCO3)n1)C1=CNC(CN(C)C2CCCCC2N(Cc2ccccn2)Cc2cccc(-c3ccc4c(c3)OCCOCCOCCOCCOCCO4)n2)=CC1 7.807654 0.3918918918918919</t>
  </si>
  <si>
    <t>CC(C)N(CCN(C)CC(C)(C)C)Cc1cccnc1 7.807648 0.391304347826087</t>
  </si>
  <si>
    <t>Cc1cnc(CN(C)C2CCCC(N(Cc3ccccn3)C(C)C)C2)c(C)c1 7.8076425 0.42857142857142855</t>
  </si>
  <si>
    <t>CC(C)c1cc(CN2CCN(C)CCN(Cc3cc(C(C)(C)C)ccn3)CC2)ccn1 7.807641 0.5</t>
  </si>
  <si>
    <t>CNCc1cccc(CN(Cc2cccc(C)n2)C2CCC(N(C)Cc3ncccc3-c3cccc4c3OCCOCCOCCOCCOCCO4)CC2)n1 7.8076377 0.3287671232876712</t>
  </si>
  <si>
    <t>CC(C)c1cccc(CN(Cc2ccccn2)C2CCC(N(C)Cc3cccc(-c4ccc5c(c4)OCCOCCOCCOCCOCCO5)n3)CC2)n1 7.8076262 0.3684210526315789</t>
  </si>
  <si>
    <t>CNCc1cccc(CN(Cc2cccc(C)n2)C2CCC(N(C)Cc3cccc(-c4ccc5c(c4)OCCOCCOCCOCCOCCO5)n3)CC2)n1 7.8076224 0.36764705882352944</t>
  </si>
  <si>
    <t>CCCN(Cc1ccccn1)C1CCC(N(C)Cc2ccccn2)CC1N(C)Cc1ncccc1C 7.8076215 0.4642857142857143</t>
  </si>
  <si>
    <t>CCNCc1cc(C(C)(C)C(C)N)ccn1 7.8076215 0.32558139534883723</t>
  </si>
  <si>
    <t>CNCc1cc(CN(Cc2cccc(C)n2)C2CCC(N(C)Cc3cccc(-c4ccc5c(c4)OCCOCCOCCOCCOCCO5)n3)CC2)ccn1 7.8076124 0.3333333333333333</t>
  </si>
  <si>
    <t>Cc1cnc(CN(Cc2ccccn2)C2CCCCC2N(C)Cc2ncccc2-c2ccc3c(c2)OCCOCCOCCOCCOCCO3)c(C)c1 7.8076067 0.4142857142857143</t>
  </si>
  <si>
    <t>CC(C)C(C)(N)c1cccnc1 7.807602 0.2127659574468085</t>
  </si>
  <si>
    <t>CN1CCN(C)CCN(C(C)(C)c2ccc(C3CC(C)(C)C3)nc2)CC1 7.807597 0.25</t>
  </si>
  <si>
    <t>Cc1cccnc1CN(C)C(C)(C)C(C)N 7.807596 0.2978723404255319</t>
  </si>
  <si>
    <t>CC(C)c1ncccc1CN1CCN(C)CCN(Cc2ccc(C(C)(C)C)cn2)CC1 7.80759 0.48</t>
  </si>
  <si>
    <t>CN(Cc1cccc(C2=CCC=CN2)n1)C1CCC(N(C)C2C=CC=CN2)CC1 7.807587 0.3076923076923077</t>
  </si>
  <si>
    <t>CNC1CCC(N(C)Cc2nc(C)c(C)c(C)c2C)CC1 7.807586 0.25</t>
  </si>
  <si>
    <t>Cc1ccc2c(c1)OCCOCCOCCOCCOC(C(C)(c1ccccn1)c1ccccn1)CO2 7.807586 0.2857142857142857</t>
  </si>
  <si>
    <t>CN(C)Cc1cnccc1-c1ccc2c(c1)OCCOCCOCCOCCOCCO2 7.807585 0.3709677419354839</t>
  </si>
  <si>
    <t>C1=CC(CN(Cc2ccccn2)Cc2ccc(-c3ccc4c(c3)OCCOCCOCCOCCOCCO4)cn2)C=CN1 7.8075843 0.45588235294117646</t>
  </si>
  <si>
    <t>CNCc1ccc(CN(Cc2cc(C)ccn2)C2CCC(N(C)Cc3cc(-c4ccc5c(c4)OCCOCCOCCOCCOCCO5)ccn3)CC2)cn1 7.807564 0.37037037037037035</t>
  </si>
  <si>
    <t>CC1=C(C)C(C)CC(NCc2ccccn2)C1 7.8075633 0.40476190476190477</t>
  </si>
  <si>
    <t>Cc1c(C)c(C)c(N(C)CN2CCN(C)CCN(Cc3ncccc3-c3cccc4c3OCCOCCOCCOCCOCCO4)CC2)c(C)c1C 7.8075514 0.3230769230769231</t>
  </si>
  <si>
    <t>C1=CC(CN(Cc2ccccn2)Cc2ncccc2-c2cccc3c2OCCOCCOCCOCCOCCO3)C=CN1 7.8075476 0.35294117647058826</t>
  </si>
  <si>
    <t>C=CCNCNCc1cccc(C(C)(C)C)n1 7.8075333 0.26666666666666666</t>
  </si>
  <si>
    <t>CN1CCN(C)CCN(C2CCC(N(C)c3ccc4cc(CF)cnc4c3)CC2)CC1 7.807531 0.265625</t>
  </si>
  <si>
    <t>CNC1CCC(N(C)Cc2ncccc2C)CC1N(C(C)C)C(C)C 7.807527 0.3050847457627119</t>
  </si>
  <si>
    <t>Cc1cnc(CN2CCN(C)CCN(Cc3cncc(C(C)C)c3)CC2)c(C)c1C 7.8075247 0.5</t>
  </si>
  <si>
    <t>CC(C)CN(CCN(C)CC(C)(C)C)CC(C)(C)C 7.807518 0.2926829268292683</t>
  </si>
  <si>
    <t>CNCc1ncccc1CN(C)C1CCCC(N(C)Cc2nccc(C)c2C)C1 7.8075137 0.3050847457627119</t>
  </si>
  <si>
    <t>CN(Cc1cc(-c2ccc3c(c2)OCCOCCOCCOCCOCCO3)ccn1)CN(C)Cc1ncccc1-c1ccc2c(c1)OCCOCCOCCOCCOCCO2 7.807513 0.35714285714285715</t>
  </si>
  <si>
    <t>CN(Cc1ccccn1)C1CCC(N(C)CN(Cc2ccccn2)C2CCC(N(C)Cc3ccccn3)CC2N(Cc2ccccn2)C(C)(C)c2ccccn2)CC1 7.8075023 0.43859649122807015</t>
  </si>
  <si>
    <t>CNCc1cccc(CN(Cc2cccc(N)n2)C2CCC(N(C)Cc3cc(-c4ccc5c(c4)OCCOCCOCCOCCOCCO5)ccn3)CC2)n1 7.807495 0.3253012048192771</t>
  </si>
  <si>
    <t>Cc1cccc2c1OCCOCCOc1ccccc1OCCOCCO2 7.8074923 0.24561403508771928</t>
  </si>
  <si>
    <t>CN(Cc1ccccc1)Cc1cc(-c2cccc3c2OCCOCCOCCOCCOCCO3)ccn1 7.8074865 0.3114754098360656</t>
  </si>
  <si>
    <t>C=Cc1ccc(CN(Cc2ccccn2)C2CCCCC2N(C)Cc2cccc(-c3ccc4c(c3)OCCOCCOCCOCCOCCO4)n2)nc1 7.807473 0.43478260869565216</t>
  </si>
  <si>
    <t>Cc1cncc(CN(C)C2CCC(N(Cc3ccccn3)Cc3cccc(-c4ccc5c(c4)OCCOCCOCCOCCOCCO5)n3)CC2)c1C 7.8074694 0.35</t>
  </si>
  <si>
    <t>CN1CCN(C)CCN(C2CCC(N(C)c3ccc4ncc(CF)cc4c3)CC2)CC1 7.8074565 0.28125</t>
  </si>
  <si>
    <t>CN1CCN(C)CCN(C2CCCCC2N(C)c2ccc3c(CF)ccnc3c2)CC1 7.807435 0.30303030303030304</t>
  </si>
  <si>
    <t>CN(Cc1ccccn1)C1=CCC=C(CN(C)C2CCC(N(C)Cc3cccc(-c4ccc5c(c4)OCCOCCOCCOCCOCCO5)n3)CC2)N1 7.8074293 0.35</t>
  </si>
  <si>
    <t>CC(N)C(C)N(C)CC1=CCC(N(C)C2C=CC=CN2)=CN1 7.8074236 0.21212121212121213</t>
  </si>
  <si>
    <t>CC(C)CN(Cc1ccccn1)Cc1cccc(-c2ccc3c(c2)OCCOCCOCCOCCOCCO3)n1 7.8074126 0.4918032786885246</t>
  </si>
  <si>
    <t>CN1CCN(C)CCN(C2CCC(N(C)c3cccc4cc(CF)cnc34)CC2)CC1 7.8074107 0.359375</t>
  </si>
  <si>
    <t>Cc1ncccc1CN(C)C1CCCC(N(C)Cc2ccon2)C1 7.807406 0.3877551020408163</t>
  </si>
  <si>
    <t>CCNCc1cccc(CN(Cc2ccccn2)C2CCCC(N(C)Cc3ccccn3)C2)n1 7.8074026 0.4716981132075472</t>
  </si>
  <si>
    <t>COC(=O)C(=O)NCc1ncc(CN2CCN(C)CCN(C)CC2)cc1C 7.8073993 0.43636363636363634</t>
  </si>
  <si>
    <t>CN(Cc1cccc(-c2ccc3c(c2)OCCOCCOCCOCCOCCO3)n1)C1=CNC=CC1C(C)(C)C 7.807399 0.3076923076923077</t>
  </si>
  <si>
    <t>CN1CCN(C)CCN(Cc2ccc(C3=NCC(C)(C)O3)nc2)CC1 7.807398 0.35294117647058826</t>
  </si>
  <si>
    <t>C1=CC(CN(Cc2ccccn2)Cc2cc(-c3ccc4c(c3)OCCOCCOCCOCCOCCO4)ccn2)C=CN1 7.8073936 0.36923076923076925</t>
  </si>
  <si>
    <t>CC(C)C1=CC2(C=CN1)C=CC(C)(C)CC2(C)C 7.8073826 0.14814814814814814</t>
  </si>
  <si>
    <t>CN(CCN(C)C(C)(C)c1ccccn1)CC(C)(C)C 7.8073688 0.4523809523809524</t>
  </si>
  <si>
    <t>CCCN(C)C1CCC(N(Cc2ccccn2)Cc2nc(C)c(C)c(C)c2C)CC1 7.8073654 0.41818181818181815</t>
  </si>
  <si>
    <t>CN(Cc1cccc(C2=CCC=CN2)n1)C1CCCCC1N(C)Cc1cccc(-c2ccc3c(c2)OCCOCCOCCOCCOCCO3)n1 7.8073597 0.3939393939393939</t>
  </si>
  <si>
    <t>Cc1cc2c(c(N(C)Cc3ncccc3C(C)(C)C)c1)OCCOCCOCCOCCOCCO2 7.807359 0.2786885245901639</t>
  </si>
  <si>
    <t>CN(C)Cc1cc(-c2ccc3c(c2)OCCOCCOCCOCCOCCO3)ccn1 7.8073497 0.43859649122807015</t>
  </si>
  <si>
    <t>CNCc1cc(CN(C)C2CCC(N(C)Cc3nc(C)ccc3C)CC2)ccn1 7.807344 0.3050847457627119</t>
  </si>
  <si>
    <t>CN1CCN(C)CCN(Cc2cncc(C(C)(C)c3ccccn3)c2)CC1 7.807342 0.4791666666666667</t>
  </si>
  <si>
    <t>Cc1ccncc1CN(C)CCN(C)C(C)C 7.8073397 0.3488372093023256</t>
  </si>
  <si>
    <t>CC1=CC(C)C(C)C(N(C)CC2=CC(N(C)Cc3ccccn3)C=CN2)C1 7.8073196 0.44642857142857145</t>
  </si>
  <si>
    <t>CCN(C)CCN(C)CN(C)CCN(C)CCN(C)CCN(C)CCN(C)CN(C)CCN(C)CCN(C)CCN(C)CCN(C)CN(C)CCN(C)CCN(C)CCN(C)CCN(C)CN(C)CCN(C)CCN(C)CCN(C)CCN(C)CN(C)CCN(C)CCN(C)CCN(C)C 7.807309 0.21621621621621623</t>
  </si>
  <si>
    <t>COC(=O)C(C)NCc1cc(C)c(CN2CCN(C)CCN(C)CC2)c(C)n1 7.8073077 0.38095238095238093</t>
  </si>
  <si>
    <t>CN(Cc1cccc(C2=CCC=CN2)n1)C1CCCCC1N(C)Cc1cccc(-c2cccc3c2OCCOCCOCCOCCOCCO3)n1 7.807306 0.3939393939393939</t>
  </si>
  <si>
    <t>CCNCc1ncccc1CN(Cc1ccccn1)C1CCCC(N(C)Cc2ccccn2)C1 7.807306 0.44642857142857145</t>
  </si>
  <si>
    <t>CC(C)N(C)Cc1cccc(N(C)C2CCC(N(C)Cc3ccccn3)CC2)n1 7.8073015 0.47058823529411764</t>
  </si>
  <si>
    <t>CNCN(CCN(C)C(C)C)C(C)C 7.8072963 0.2564102564102564</t>
  </si>
  <si>
    <t>Cc1cccnc1CN(C)C1CCCC(N(C)Cc2ncccc2C(C)C)C1 7.8072915 0.33962264150943394</t>
  </si>
  <si>
    <t>Cc1cc(C)c(CN(C)C2CCCC(N(C)Cc3ncccc3N3CCN(C)CCN(C)CC3)C2)nc1C 7.807288 0.2857142857142857</t>
  </si>
  <si>
    <t>Cc1cc(C)c(CN(C)C2CCCC(N(C)Cc3cccnn3)C2)cn1 7.807287 0.39215686274509803</t>
  </si>
  <si>
    <t>CNC1C(N(Cc2ccccn2)Cc2ncccc2C)CCCC1N(Cc1ncccc1C)C1(C)CCC1 7.807278 0.4</t>
  </si>
  <si>
    <t>CN(C)Cc1cccc(CN(Cc2ccccn2)C2CCC(N(C)Cc3cccc(-c4ccc5c(c4)OCCOCCOCCOCCOCCO5)n3)CC2)n1 7.8072753 0.3888888888888889</t>
  </si>
  <si>
    <t>CN(Cc1ccccn1)C1=CNC(CN(C)c2cccc3c2OCCOCCOCCOCCOCCO3)=CC1 7.8072705 0.3709677419354839</t>
  </si>
  <si>
    <t>CC1CC(C)C(C)C=C1CN(C)CC1=CCC=CN1 7.807242 0.34545454545454546</t>
  </si>
  <si>
    <t>CCC1CC(C)(c2ccccn2)CC=C1C 7.807237 0.2692307692307692</t>
  </si>
  <si>
    <t>CN(Cc1cccc(-c2ccc3c(c2)OCCOCCOCCOCCOCCO3)n1)Cc1cccc(-c2ccc3c(c2)OCCOCCOCCOCCOCCO3)n1 7.807229 0.42</t>
  </si>
  <si>
    <t>Cc1cc(CNCc2ccc(CN3CCN(C)CCN(C)CC3)cn2)nc(C)c1C 7.807228 0.3888888888888889</t>
  </si>
  <si>
    <t>CN(Cc1cc(-c2cccc3c2OCCOCCOCCOCCOCCO3)ccn1)C1CCCCC1N(C)Cc1cccc(C2=CCC=CN2)n1 7.8072248 0.35135135135135137</t>
  </si>
  <si>
    <t>CNC1CCC(N(Cc2ccc(C)cn2)Cc2nc(C)ccc2C)CC1 7.807223 0.4</t>
  </si>
  <si>
    <t>CNC1CCCC(N(Cc2ccccn2)Cc2ncc(C)c(C)c2C)C1 7.8071947 0.39285714285714285</t>
  </si>
  <si>
    <t>Cc1cccnc1CN(C)C1CCC(N(C)Cc2ccon2)CC1 7.807193 0.41304347826086957</t>
  </si>
  <si>
    <t>CC(C)Nc1cccc(CN2CCN(C)CCN(Cc3cc(C(C)(C)C)ccn3)CC2)n1 7.807185 0.46296296296296297</t>
  </si>
  <si>
    <t>CN1CCN(Cc2ccccn2)CCN(Cc2cccc(N(C)Cc3ncccc3-c3cccc4c3OCCOCCOCCOCCOCCO4)n2)CC1 7.807179 0.4444444444444444</t>
  </si>
  <si>
    <t>CCCN(Cc1ccccn1)C1CCC(N(C)Cc2nc(C)c(C)c(C)c2C)CC1 7.8071723 0.41818181818181815</t>
  </si>
  <si>
    <t>CN(CCN(Cc1ccccn1)Cc1cccc(-c2ccc3c(c2)OCCOCCOCCOCCOCCO3)n1)Cc1cccc(-c2ccc3c(c2)OCCOCCOCCOCCOCCO3)n1 7.8071685 0.47619047619047616</t>
  </si>
  <si>
    <t>CN(Cc1ccc(-c2ccc3c(c2)OCCOCCOCCOCCOCCO3)cn1)C1CCC(N(Cc2ccccn2)Cc2cccc(C(C)(C)C)n2)CC1 7.8071547 0.4155844155844156</t>
  </si>
  <si>
    <t>CC(C)c1cccc(CN(Cc2ccccn2)C2CCC(N(C)Cc3cc(-c4ccc5c(c4)OCCOCCOCCOCCOCCO5)ccn3)CC2)n1 7.8071456 0.34285714285714286</t>
  </si>
  <si>
    <t>CN(Cc1ccccn1)C1CCCC(N(C)c2cccc(F)c2)C1 7.8071337 0.5</t>
  </si>
  <si>
    <t>CC1=C(C)CC(C)CC1 7.8071303 0.14285714285714285</t>
  </si>
  <si>
    <t>CCNCc1cccc(CF)n1 7.80713 0.3333333333333333</t>
  </si>
  <si>
    <t>Cc1cc(CN(C)C2CCCC(N(C)Cc3ccon3)C2)ccn1 7.807125 0.3958333333333333</t>
  </si>
  <si>
    <t>CN(Cc1ccon1)C1CCC(N(Cc2ccccn2)Cc2ccc(-c3cccc4c3OCCOCCOCCOCCOCCO4)cn2)CC1 7.8070817 0.3380281690140845</t>
  </si>
  <si>
    <t>CN(C)Cc1ncccc1-c1ccc2c(c1)OCCOCCOCCOCCOCCO2 7.807078 0.3709677419354839</t>
  </si>
  <si>
    <t>CCCN(C)C1CCCCC1N(Cc1cccc(F)n1)Cc1nc(C)c(C)c(C)c1C 7.807072 0.43859649122807015</t>
  </si>
  <si>
    <t>CN(Cc1ccccn1)C1=CNC(CN(C)c2ccc3c(c2)OCCOCCOCCOCCOCCO3)=CC1 7.80707 0.3548387096774194</t>
  </si>
  <si>
    <t>CC(C)c1cc(CN2CCN(C)CCN(Cc3ccc(C(C)(C)C)cn3)CC2)ccn1 7.807061 0.42592592592592593</t>
  </si>
  <si>
    <t>CC1=C(C)C(C)C(C)(N(C)CC2=CCC=CN2)CC1C 7.807056 0.3392857142857143</t>
  </si>
  <si>
    <t>Cc1ccc2c(c1)OCCOCCOc1ccccc1OCCOCCO2 7.807049 0.32075471698113206</t>
  </si>
  <si>
    <t>CC(C)CN(Cc1ccccn1)Cc1ccc(-c2ccc3c(c2)OCCOCCOCCOCCOCCO3)cn1 7.807046 0.47619047619047616</t>
  </si>
  <si>
    <t>CC1CC=C(N(C)Cc2ccccn2)C2(C=CC(C)C(C)(C)C2)C1C 7.8070455 0.39285714285714285</t>
  </si>
  <si>
    <t>Cc1c(N(C)Cc2cc(N)ccn2)cc2c(c1C)OCCOCCOCCOCCOCCO2 7.8070445 0.3157894736842105</t>
  </si>
  <si>
    <t>CCCN(CCN(C)CC(C)(C)C)C(C)C 7.807043 0.2682926829268293</t>
  </si>
  <si>
    <t>CCNc1cccc(CN(Cc2cccc(C)n2)C2CCC(N(C)Cc3cccc(-c4ccc5c(c4)OCCOCCOCCOCCOCCO5)n3)CC2)n1 7.807033 0.36231884057971014</t>
  </si>
  <si>
    <t>CCNCc1cccc(CN(Cc2ccccn2)C2CCCC(N(C)Cc3cccnn3)C2)n1 7.807023 0.4166666666666667</t>
  </si>
  <si>
    <t>C1=CNC(CN(Cc2ccccn2)Cc2ccccn2)=C(c2ccc3c(c2)OCCOCCOCCOCCOCCO3)C1 7.807003 0.4262295081967213</t>
  </si>
  <si>
    <t>CN1CCN(C)CCN(C2CCC(N(C)c3ccc4cc5c(nc4c3)CCCC5)CC2)CC1 7.8069854 0.38333333333333336</t>
  </si>
  <si>
    <t>Cc1cc(CN(C)C2CCC(N(Cc3ccccn3)Cc3cccnc3CN(C)C3(C)CC=CC(C)C3C)CC2)nc(C)c1C 7.8069844 0.3157894736842105</t>
  </si>
  <si>
    <t>CNCc1cccc(CN(Cc2cccc(C)n2)C2CCC(N(C)Cc3ncccc3-c3ccc4c(c3)OCCOCCOCCOCCOCCO4)CC2)n1 7.8069825 0.32</t>
  </si>
  <si>
    <t>COC(=O)C1CN(C)C(C(=O)C(C)N)C(c2cccc(CN3CCN(C)CCN(C)CC3)n2)C1c1ccccn1 7.806977 0.4</t>
  </si>
  <si>
    <t>Cc1ccc(CNCN(C)C2CCCC(N(C)Cc3ncc(C)c(C)c3C)C2)nc1 7.8069725 0.45454545454545453</t>
  </si>
  <si>
    <t>CC1=CC2(C=CNC(C(C)C)=C2)C(C)(C)CC1 7.8069615 0.14285714285714285</t>
  </si>
  <si>
    <t>Cc1cccnc1CN(Cc1ccccn1)C1CCCC(N(C)Cc2ncccc2-c2ccc3c(c2)OCCOCCOCCOCCOCCO3)C1 7.806948 0.3380281690140845</t>
  </si>
  <si>
    <t>CC(C)N(C)C1=CCC=C(CN(C)C2C=CC(C)C(C)(C)C2)N1 7.8069477 0.18461538461538463</t>
  </si>
  <si>
    <t>CNCc1ccc2c(n1)CCCC2 7.8069377 0.29411764705882354</t>
  </si>
  <si>
    <t>CN(Cc1cccc(-c2ccc3c(c2)OCCOCCOCCOCCOCCO3)n1)C1C=CNC(CN(Cc2ccccn2)CC(C)(C)C)=C1 7.806908 0.375</t>
  </si>
  <si>
    <t>CN(Cc1cc(-c2ccc3c(c2)OCCOCCOCCOCCOCCO3)ccn1)CN(Cc1cc(-c2ccc3c(c2)OCCOCCOCCOCCOCCO3)ccn1)Cc1cc(-c2ccc3c(c2)OCCOCCOCCOCCOCCO3)ccn1 7.8068924 0.4032258064516129</t>
  </si>
  <si>
    <t>CNC1=CNC2(C=C1)CCC2C 7.8068905 0.16071428571428573</t>
  </si>
  <si>
    <t>CNCc1ncccc1CN(C)C1CCCC(N(C)Cc2nc(C)ccc2C)C1 7.8068833 0.3114754098360656</t>
  </si>
  <si>
    <t>CN(Cc1cccnn1)C1CCCC(N(C)c2cccc(F)c2)C1 7.806882 0.42</t>
  </si>
  <si>
    <t>CCN(Cc1ccccn1)Cc1ncccc1-c1cccc2c1OCCOCCOCCOCCOCCO2 7.8068814 0.38</t>
  </si>
  <si>
    <t>CNC1CCC(N(Cc2ccccn2)Cc2ccccn2)C2CCCCC12N(Cc1ccccn1)Cc1ccccn1 7.8068748 0.4528301886792453</t>
  </si>
  <si>
    <t>CC1=CC(CN(C)C)CC(C)(C)C1 7.806829 0.1875</t>
  </si>
  <si>
    <t>COC(=O)C1CN(C)C(C(C)C)C(C(C)(C)NCc2ccccn2)C1C(C)(C)C 7.806826 0.3013698630136986</t>
  </si>
  <si>
    <t>CN(C)CC1=CC(N(C)Cc2ncccc2-c2cccc3c2OCCOCCOCCOCCOCCO3)C=CN1 7.806811 0.2638888888888889</t>
  </si>
  <si>
    <t>Cc1cnc(CN2CCN(C)CCN(Cc3cncc(N(C)C(C)C)c3)CC2)cc1C 7.8068085 0.4</t>
  </si>
  <si>
    <t>COCC(C)NCc1ccccn1 7.8067865 0.4722222222222222</t>
  </si>
  <si>
    <t>Cc1cc(CN(C)C2=C(CN3CCN(C)CCN(C)CC3)NC=CC2)cnc1C 7.80675 0.31746031746031744</t>
  </si>
  <si>
    <t>CN(C)C1CCCC(N(Cc2ccccn2)Cc2ncccc2C(C)(C)C)C1 7.806746 0.4339622641509434</t>
  </si>
  <si>
    <t>CNCc1nccc2c1CCCC2 7.806744 0.22916666666666666</t>
  </si>
  <si>
    <t>CN(Cc1ccc(-c2ccc3c(c2)OCCOCCOCCOCCOCCO3)cn1)Cc1cccc(-c2ccc3c(c2)OCCOCCOCCOCCOCCO3)n1 7.8067226 0.4838709677419355</t>
  </si>
  <si>
    <t>Cc1cnc(C)c(CN(Cc2ccccn2)C2CCC(N(C)Cc3cccc(-c4ccc5c(c4)OCCOCCOCCOCCOCCO5)n3)CC2)c1 7.806722 0.3670886075949367</t>
  </si>
  <si>
    <t>CCOC(=O)C1CN(C)C(C(=O)C2(C)COC(c3cccc(CN4CCN(C)CCN(C)CC4)n3)=N2)C(C(C)C)C1C(C)C 7.8066883 0.33783783783783783</t>
  </si>
  <si>
    <t>Cc1cccc(CN(C)C2CCCC(N(Cc3ccccn3)Cc3cccc(CN4CCN(C)CCN(Cc5ccc(C)c(C)n5)CC4)n3)C2)n1 7.806686 0.4603174603174603</t>
  </si>
  <si>
    <t>CN(Cc1ccc(Cl)cn1)C1=CNC(CN(C)C2CCCCC2N(C)Cc2cccc(-c3ccc4c(c3)OCCOCCOCCOCCOCCO4)n2)=CC1 7.806678 0.3409090909090909</t>
  </si>
  <si>
    <t>CN(Cc1cccc(-c2ccc3c(c2)OCCOCCOCCOCCOCCO3)n1)C1CCCCC1N(Cc1ccccn1)c1cccc(F)c1 7.806665 0.44776119402985076</t>
  </si>
  <si>
    <t>Cc1cnc(CN(C)C2CCCC(N(C)Cc3cccnn3)C2)c(C)c1 7.8066597 0.39215686274509803</t>
  </si>
  <si>
    <t>CN1CCN(C)CCN(C2CCC(N(C)c3ccc4ccc(CF)nc4c3)CC2)CC1 7.8066564 0.35</t>
  </si>
  <si>
    <t>CNCCN(Cc1cccc(C)n1)C1CCC(N(C)Cc2nc(C)c(C)cc2C)CC1 7.80665 0.42105263157894735</t>
  </si>
  <si>
    <t>CC1C=C(N(C)CC2=CCC=CN2)CCC1C 7.806648 0.35185185185185186</t>
  </si>
  <si>
    <t>C=Cc1ccc(CN(Cc2ccccn2)C2CCCCC2N(C)Cc2ncccc2-c2ccc3c(c2)OCCOCCOCCOCCOCCO3)nc1 7.806647 0.4142857142857143</t>
  </si>
  <si>
    <t>CNCc1cccc(CN(Cc2ccccn2)C2CCC(N(C)Cc3cccc(C4CCC4C)n3)CC2)n1 7.806643 0.4067796610169492</t>
  </si>
  <si>
    <t>CC1=C(C)C(C)(N(Cc2ccccn2)C2CCCC(N(C)Cc3nc(C)cc(C)c3C)C2)CC(C)C1C 7.8066344 0.34782608695652173</t>
  </si>
  <si>
    <t>Cc1ccc(CN(Cc2ncccc2C)C2CCC(N(C)Cc3cccc(-c4ccc5c(c4)OCCOCCOCCOCCOCCO5)n3)CC2)nc1 7.8066306 0.34523809523809523</t>
  </si>
  <si>
    <t>CN(C)C1CCCC(N(Cc2ccccn2)Cc2cccc(C3CC(C)(C)C3)n2)C1 7.8066216 0.4107142857142857</t>
  </si>
  <si>
    <t>CC1C=CC(N(C)Cc2cccc(C(C)(C)C)n2)C(C)(C)C1C 7.8066206 0.3333333333333333</t>
  </si>
  <si>
    <t>Cc1cc(CN(C)C2CCCC(N(C)Cc3cccnn3)C2)cnc1C 7.8066015 0.39215686274509803</t>
  </si>
  <si>
    <t>Cc1ccc(CN(C)C2CCC(N(Cc3ccccn3)Cc3cccc(-c4ccc5c(c4)OCCOCCOCCOCCOCCO5)n3)CC2)nc1C 7.8066 0.3684210526315789</t>
  </si>
  <si>
    <t>CC(C)N(C)Cc1cccc(N(C)C2CCCC(N(C)Cc3ccccn3)C2)n1 7.8065987 0.4716981132075472</t>
  </si>
  <si>
    <t>Cc1ccc(CN(Cc2ccccn2)C2CCC(N(C)Cc3cccc(-c4ccc5c(c4)OCCOCCOCCOCCOCCO5)n3)CC2)nc1C 7.8065906 0.3684210526315789</t>
  </si>
  <si>
    <t>CN(Cc1ncccc1-c1cccc2c1OCCOCCOCCOCCOCCO2)C1CCCCC1N(Cc1ccccn1)c1ccccc1F 7.806587 0.4393939393939394</t>
  </si>
  <si>
    <t>CC1C=CCC(C)(N(Cc2ccccn2)Cc2ccccn2)C1C 7.806586 0.4166666666666667</t>
  </si>
  <si>
    <t>CN(c1ccc(Cl)cn1)C1CCCCC1N(C)C1CCCCC1N(C)c1ccc(Cl)cn1 7.806582 0.3695652173913043</t>
  </si>
  <si>
    <t>CCN(Cc1cccc(-c2ccc3c(c2)OCCOCCOCCOCCOCCO3)n1)Cc1cccc(C2CCC2(C)C)n1 7.806572 0.3333333333333333</t>
  </si>
  <si>
    <t>CCOC(C)c1cccc(CN(Cc2ccccn2)C2CCC(N(C)Cc3ccc(-c4ccc5c(c4)OCCOCCOCCOCCOCCO5)cn3)CC2)n1 7.806558 0.3855421686746988</t>
  </si>
  <si>
    <t>CN(Cc1cccc(-c2ccc3c(c2)OCCOCCOCCOCCOCCO3)n1)Cc1ncccc1-c1ccc2c(c1)OCCOCCOCCOCCOCCO2 7.8065557 0.4067796610169492</t>
  </si>
  <si>
    <t>Fc1ccccc1CN(Cc1ccccn1)C1CCCCC1N(Cc1ccccn1)Cc1ncccc1-c1ccc2c(c1)OCCOCCOCCOCCOCCO2 7.806545 0.3582089552238806</t>
  </si>
  <si>
    <t>CN(Cc1ccc(-c2ccc3c(c2)OCCOCCOCCOCCOCCO3)cn1)Cc1cccnc1-c1ccc2c(c1)OCCOCCOCCOCCOCCO2 7.806545 0.46875</t>
  </si>
  <si>
    <t>CN(C)Cc1ccc(CN(Cc2ccccn2)C2CCC(N(C)Cc3ccc(-c4ccc5c(c4)OCCOCCOCCOCCOCCO5)cn3)CC2)cn1 7.8065352 0.43243243243243246</t>
  </si>
  <si>
    <t>CC(C1=CCC=CN1)c1ccc(CNCNCc2cc(-c3ccc4c(c3)OCCOCCOCCOCCOCCO4)ccn2)nc1 7.8065224 0.35</t>
  </si>
  <si>
    <t>Cc1ccc(CN(C)C2CCC(N(Cc3cccc(C)n3)Cc3cccc(-c4ccc5c(c4)OCCOCCOCCOCCOCCO5)n3)CC2)nc1 7.806522 0.3717948717948718</t>
  </si>
  <si>
    <t>CC1=CC(C)(C)C(C)CC12C=CNC(C(C)C)=C2 7.806517 0.13114754098360656</t>
  </si>
  <si>
    <t>CN(C)Cc1cccc(CN(Cc2ccccn2)C2CCC(N(C)Cc3ncccc3-c3ccc4c(c3)OCCOCCOCCOCCOCCO4)CC2)n1 7.806513 0.32857142857142857</t>
  </si>
  <si>
    <t>Cc1cccc(-c2ccc3c(c2)OCCOCCOCC(N)OCCOCCO3)n1 7.8064976 0.3283582089552239</t>
  </si>
  <si>
    <t>Cc1ccc(CN(Cc2ccccn2)C2CCC(N(C)C3CCC(N(Cc4cccc(F)n4)Cc4cccnc4F)CC3)CC2)nc1C 7.8064833 0.3698630136986301</t>
  </si>
  <si>
    <t>CC(C)C1COC(C(C)C(C)C)=N1 7.806483 0.16071428571428573</t>
  </si>
  <si>
    <t>Cc1cc(C)c(CN(C)C2=C(CN3CCN(C)CCN(C)CC3)NC=CC2)cn1 7.8064733 0.3220338983050847</t>
  </si>
  <si>
    <t>CC1=CC(C)C(N(C)Cc2ccccn2)C(CN(C)Cc2ccccn2)C1C 7.806455 0.44</t>
  </si>
  <si>
    <t>Cc1cncc(CN(C)C2CCCC(N(C)Cc3cccc(C4CC(C)(C)C4)n3)C2)c1 7.806437 0.36065573770491804</t>
  </si>
  <si>
    <t>CN(Cc1cccc(F)n1)C1CCC(N(Cc2cccc(F)n2)C2CCC(N(Cc3cccc(F)n3)Cc3cccc(F)n3)CC2)CC1 7.8064313 0.40816326530612246</t>
  </si>
  <si>
    <t>Cc1cccnc1CN(C)C1CCCC(N(C)Cc2ccon2)C1 7.80643 0.3877551020408163</t>
  </si>
  <si>
    <t>CC(C)C(C)(c1cccnc1)N(C)Cc1cccc(-c2ccc3c(c2)OCCOCCOCCOCCOCCO3)n1 7.8064294 0.3076923076923077</t>
  </si>
  <si>
    <t>CCCN(Cc1ccccn1)C1CCCC(N(C)Cc2nc(C)c(C)c(C)c2C)C1 7.8064284 0.42105263157894735</t>
  </si>
  <si>
    <t>CC(C)N(Cc1ccccn1)Cc1cccc(-c2cccc3c2OCCOCCOCCOCCOCCO3)n1 7.806428 0.4528301886792453</t>
  </si>
  <si>
    <t>COC(=O)C(=O)C(C)C1(C)N=COC1c1cccnc1CN1CCN(C)CCN(C)CC1 7.8064113 0.3287671232876712</t>
  </si>
  <si>
    <t>C1=CNC(NC2C=CC=CN2)C=C1 7.806407 0.23809523809523808</t>
  </si>
  <si>
    <t>Cc1cncc(CN(C)C2CCCC(N(Cc3ccccn3)Cc3cccc(CNCF)n3)C2)c1 7.8063974 0.3582089552238806</t>
  </si>
  <si>
    <t>Cc1cncc(CN(Cc2ncccc2C)C2CCC(N(C)Cc3ncccc3-c3ccc4c(c3)OCCOCCOCCOCCOCCO4)CC2)c1 7.8063936 0.30952380952380953</t>
  </si>
  <si>
    <t>Cc1cnc(CN(C)C2CCCCC2N(C)Cc2ncccc2CF)c(C)c1C 7.8063846 0.47058823529411764</t>
  </si>
  <si>
    <t>Cc1cnc(CN(C)C2CCC(N(Cc3ccccn3)Cc3cccc(-c4ccc5c(c4)OCCOCCOCCOCCOCCO5)n3)CC2)c(C)c1 7.806384 0.35443037974683544</t>
  </si>
  <si>
    <t>COC(=O)C1CN(C)C(C(C)C)C(C(C)(C)C)C1C(C)(C)NCc1ccccn1 7.8063765 0.3125</t>
  </si>
  <si>
    <t>Cc1cccnc1CN(C)C1CCCC(N(Cc2ccccn2)Cc2cccc(C3(C)C(C)C=CC(C)C3(C)C)n2)C1 7.8063707 0.35294117647058826</t>
  </si>
  <si>
    <t>CCN(Cc1ccccn1)Cc1cc(-c2ccc3c(c2)OCCOCCOCCOCCOCCO3)ccn1 7.806367 0.40425531914893614</t>
  </si>
  <si>
    <t>C=CCN(C)CCN(Cc1cncc(-c2ccccc2N(C)C)c1)Cc1cccc2c1OCCOCCOCCOCCOCCO2 7.806362 0.2682926829268293</t>
  </si>
  <si>
    <t>CN1CCN(C)CCN(CCc2ccc3ncccc3c2)CC1 7.8063436 0.4222222222222222</t>
  </si>
  <si>
    <t>CCN(Cc1cc(C)ccn1)C1CCCCC1N(C)Cc1cc(C)c(C)c(C)n1 7.8063426 0.43636363636363634</t>
  </si>
  <si>
    <t>CN(Cc1ccccc1)Cc1cc(-c2ccc3c(c2)OCCOCCOCCOCCOCCO3)ccn1 7.8063416 0.390625</t>
  </si>
  <si>
    <t>CC1=CCCC(C)(C)C12C=CNC(C(C)C)=C2 7.8063126 0.14035087719298245</t>
  </si>
  <si>
    <t>Cc1ccc(CN(C)C2CCC(N(C)Cc3cccc(-c4ccc5c(c4)OCCOCCOCCOCCOCCO5)n3)CC2N(C)Cc2ccc(C)cn2)nc1 7.8063073 0.4307692307692308</t>
  </si>
  <si>
    <t>CC1=C(C)C2(C)OCCOCCOCCOCCOCCOC2(c2cccc(CN(Cc3ccccn3)Cc3ccccn3)n2)C2=CNC(C(C)(C)C)=CC21 7.806304 0.3048780487804878</t>
  </si>
  <si>
    <t>CC(C)N(C)Cc1ncccc1N(C)C1CCCC(N(C)Cc2ccccn2)C1 7.8062983 0.4716981132075472</t>
  </si>
  <si>
    <t>Cc1cccnc1CN(C)CCN(C)CCF 7.806296 0.425</t>
  </si>
  <si>
    <t>CN1CCN(C)CCN(CC2CCC(N(C)c3ccc4ncccc4c3)N2C)CC1 7.8062906 0.3442622950819672</t>
  </si>
  <si>
    <t>Cc1ccc(CN(C)C2CCC(N(Cc3ccccn3)Cc3ccc(-c4ccc5c(c4)OCCOCCOCCOCCOCCO5)cn3)CC2)nc1C 7.806278 0.4266666666666667</t>
  </si>
  <si>
    <t>CNC1CCCC(N(Cc2ccccn2)Cc2nc(C)cc(C)c2C)C1 7.806254 0.3728813559322034</t>
  </si>
  <si>
    <t>Cc1cnc(CN(C)C2CCCC(N(Cc3ccccn3)CC3C=CNC=C3)C2)c(C)c1C 7.8062487 0.3870967741935484</t>
  </si>
  <si>
    <t>Cc1cc(CNC(C)(C)NCc2ccc(CN3CCN(C)CCN(C)CC3)cn2)nc(C)c1C 7.80623 0.3620689655172414</t>
  </si>
  <si>
    <t>CC(C)N(C)Cc1ccc(N(C)C2CCCC(N(C)Cc3ccccn3)C2)cn1 7.8062277 0.4716981132075472</t>
  </si>
  <si>
    <t>CCN(Cc1ccccn1)C1CCC(N(C)Cc2cc(C)c(C)c(C)n2)CC1 7.806224 0.4528301886792453</t>
  </si>
  <si>
    <t>CN1CCN(C)CCN(CC2CCC(N(C)c3ccc4cccnc4c3)N2C)CC1 7.8062205 0.3275862068965517</t>
  </si>
  <si>
    <t>CN1CCN(C)CCN(C2CCCC(N(C)c3cccc4cc(CF)cnc34)C2)CC1 7.806214 0.36363636363636365</t>
  </si>
  <si>
    <t>CC1=CCC=C(N(C)C2CCCC(N(C)Cc3cccc(C)n3)C2)N1 7.8062053 0.5</t>
  </si>
  <si>
    <t>CC1N=COC1CN(C)CCN(C)CC(C)(C)C 7.806191 0.22448979591836735</t>
  </si>
  <si>
    <t>CCOC(=O)C1CN(C)C(C(=O)C(C)N)C(C(C)(C)NCc2ccccn2)C1C(C)C 7.806181 0.2692307692307692</t>
  </si>
  <si>
    <t>Cc1cc(CN(C)C2CCC(N(Cc3ccccn3)Cc3cc(-c4ccc5c(c4)OCCOCCOCCOCCOCCO5)ccn3)CC2)c(C)cn1 7.806179 0.35443037974683544</t>
  </si>
  <si>
    <t>CN1CCN(C)CCN(C2CCC(N(C)c3cccc4nccc(CF)c34)CC2)CC1 7.806177 0.2835820895522388</t>
  </si>
  <si>
    <t>CCOC(=O)C(C)NCc1nc(CN2CCN(C)CCN(C)CC2)c(C)c(C)c1C 7.8061666 0.38333333333333336</t>
  </si>
  <si>
    <t>CC1=C(C)C(C)C(N(C)Cc2cc(C)ccn2)CC1 7.8061495 0.40816326530612246</t>
  </si>
  <si>
    <t>CN1CCN(C)CCN(C2CCC(N(C)c3cccc4ncc(CF)cc34)CC2)CC1 7.8061385 0.27941176470588236</t>
  </si>
  <si>
    <t>CN1CCN(C)CCN(Cc2cccc(N=Cc3ccccn3)c2)CC1 7.8061247 0.4791666666666667</t>
  </si>
  <si>
    <t>Cc1ccnc(CN(C)C2=CNC(CN3CCN(C)CCN(C)CC3)=CC2)c1C 7.8061233 0.3620689655172414</t>
  </si>
  <si>
    <t>CCOC(C)c1ncccc1CN(Cc1ccccn1)C1CCC(N(C)Cc2ncccc2-c2cccc3c2OCCOCCOCCOCCOCCO3)CC1 7.8061223 0.2911392405063291</t>
  </si>
  <si>
    <t>Cc1ccc(C)c(CN(Cc2ccccn2)C2CCC(N(C)Cc3ccc(-c4ccc5c(c4)OCCOCCOCCOCCOCCO5)cn3)CC2)n1 7.8061213 0.41025641025641024</t>
  </si>
  <si>
    <t>CCN(Cc1ccccn1)C1CCC(N(C)Cc2nc(C)c(C)cc2C)CC1 7.8061194 0.42592592592592593</t>
  </si>
  <si>
    <t>CNCCNC(C)C 7.806111 0.10869565217391304</t>
  </si>
  <si>
    <t>CNCc1ncccc1CN(C)C1CCCCC1N(C)Cc1ncc(C)c(C)c1C 7.806104 0.4444444444444444</t>
  </si>
  <si>
    <t>CC1=CC(C(C)(C)c2cc(CN3CCN(C)CCN(C)CC3)ccn2)CC=C1NCc1ccccn1 7.806089 0.4262295081967213</t>
  </si>
  <si>
    <t>CNCc1nc(CN(C)C2CCC(N(C)Cc3ccccn3)CC2)c(C)cc1C 7.806088 0.47058823529411764</t>
  </si>
  <si>
    <t>Cc1ccc(CN(Cc2ncccc2C)C2CCC(N(C)Cc3cc(-c4ccc5c(c4)OCCOCCOCCOCCOCCO5)ccn3)CC2)nc1 7.806079 0.375</t>
  </si>
  <si>
    <t>Cc1cc(CN(C)C2CCCC(N(C)C)C2)nc(C)c1C 7.8060784 0.34</t>
  </si>
  <si>
    <t>Cc1ccc(CN(Cc2ccccn2)C2CCCC(N(C)Cc3cccc(-c4cccc5c4OCCOCCOCCOCCOCCO5)n3)C2)nc1C 7.8060775 0.352112676056338</t>
  </si>
  <si>
    <t>CN(Cc1ccon1)C1CCC(N(Cc2ccccn2)Cc2ncccc2-c2ccc3c(c2)OCCOCCOCCOCCOCCO3)CC1 7.8060765 0.34285714285714286</t>
  </si>
  <si>
    <t>CN(Cc1ccc([SiH3])cn1)C1CCC(N(C)Cc2cc([SiH3])c([SiH3])cn2)CC1 7.806073 0.425531914893617</t>
  </si>
  <si>
    <t>FCN(Cc1ccccn1)C1CCCC(N(Cc2ccccn2)Cc2cccc(F)n2)C1 7.806073 0.45</t>
  </si>
  <si>
    <t>Cc1ccnc(CN(Cc2ccccn2)C2CCCC(N(C)C)C2)c1C 7.806071 0.45098039215686275</t>
  </si>
  <si>
    <t>CN(Cc1ccccc1)Cc1ncccc1-c1ccc2c(c1)OCCOCCOCCOCCOCCO2 7.80607 0.3382352941176471</t>
  </si>
  <si>
    <t>CNCc1cc(CN(C)C2CCCCC2N(C)Cc2ncc(C)c(C)c2C)ccn1 7.806051 0.4444444444444444</t>
  </si>
  <si>
    <t>Cc1ccc(CN(Cc2ccccn2)C2CCC(N(C)Cc3cc(-c4ccc5c(c4)OCCOCCOCCOCCOCCO5)ccn3)CC2)nc1C 7.806048 0.35443037974683544</t>
  </si>
  <si>
    <t>Cc1ccc(CN(C)C2CCC(N(Cc3ccccn3)Cc3cc(-c4ccc5c(c4)OCCOCCOCCOCCOCCO5)ccn3)CC2)nc1C 7.8060436 0.35443037974683544</t>
  </si>
  <si>
    <t>CN(Cc1cc(-c2ccc3c(c2)OCCOCCOCCOCCOCCO3)ccn1)Cc1ncccc1-c1ccc2c(c1)OCCOCCOCCOCCOCCO2 7.806042 0.36764705882352944</t>
  </si>
  <si>
    <t>Cc1cccnc1CN(C)Cc1cccc(CN(C)C2CCC(N(C)Cc3cccc(-c4ccc5c(c4)OCCOCCOCCOCCOCCO5)n3)CC2)n1 7.8060403 0.35294117647058826</t>
  </si>
  <si>
    <t>CC(C)N(Cc1ccccn1)C1CCC(N(Cc2ccncc2)Cc2ccccn2)CC1 7.806034 0.4375</t>
  </si>
  <si>
    <t>CN(Cc1cccc(-c2ccc3c(c2)OCCOCCOCCOCCOCCO3)n1)C1CCC(N(Cc2ccccn2)Cc2cccc(C3CC(C)(C)C3)n2)CC1 7.8060303 0.35443037974683544</t>
  </si>
  <si>
    <t>CC1=C(C)CC(CN(C)Cc2ccccn2)C(C)C1 7.806028 0.4807692307692308</t>
  </si>
  <si>
    <t>Cc1cncc(CN2CCN(C)CCN(C)CC2)c1N(C)C 7.806026 0.3958333333333333</t>
  </si>
  <si>
    <t>CCN(Cc1ccccn1)C1CCCC(N(C)Cc2cc(C)c(C)c(C)n2)C1 7.8060203 0.45454545454545453</t>
  </si>
  <si>
    <t>CN(Cc1cc(-c2ccc3c(c2)OCCOCCOCCOCCOCCO3)ccn1)Cc1cc(-c2ccc3c(c2)OCCOCCOCCOCCOCCO3)ccn1 7.8060074 0.43859649122807015</t>
  </si>
  <si>
    <t>COC(=O)C1CC(C(C)C)C(C(C)C)N(C)C1C(C)(C)NCc1ccccn1 7.805994 0.3013698630136986</t>
  </si>
  <si>
    <t>CNC1CCCC(NCc2nc(C)c(C)c(C)c2C)C1 7.805994 0.18181818181818182</t>
  </si>
  <si>
    <t>CCNCC1=NC(C(C)C)CO1 7.8059874 0.14583333333333334</t>
  </si>
  <si>
    <t>FCc1cccc(CN(Cc2ccccn2)C2CCCCC2N(Cc2ccccn2)Cc2cccc(-c3ccc4c(c3)OCCOCCOCCOCCOCCO4)n2)n1 7.805984 0.38028169014084506</t>
  </si>
  <si>
    <t>CNCc1ncccc1C(C)C(C)C 7.805983 0.3076923076923077</t>
  </si>
  <si>
    <t>CC1CC(c2ccc(CN(Cc3ccccn3)C3CCC(N(C)Cc4cccc(-c5ccc6c(c5)OCCOCCOCCOCCOCCO6)n4)CC3)nc2)C1 7.805983 0.34146341463414637</t>
  </si>
  <si>
    <t>CC(C)(C)N(Cc1ccccn1)Cc1ncccc1-c1cccc2c1OCCOCCOCCOCCOCCO2 7.805982 0.3389830508474576</t>
  </si>
  <si>
    <t>CC1C=CC(N(C)Cc2cc(C(C)(C)C)ccn2)C(C)(C)C1C 7.8059764 0.2857142857142857</t>
  </si>
  <si>
    <t>CNC1C=CC(F)=CN1 7.805973 0.12</t>
  </si>
  <si>
    <t>CNCC1CCC(N(C)Cc2ncccc2C)N1C(C)C 7.8059688 0.29310344827586204</t>
  </si>
  <si>
    <t>Cc1cncc(CN(C)C2=CNC(CN3CCN(C)CCN(Cc4cncc(F)c4)CC3)=CC2)c1 7.8059525 0.3076923076923077</t>
  </si>
  <si>
    <t>CC1=CCC2(CC(C)=CCC23C=CC(C)CC32C=CC(C)C(C)C23C=CC(C)C(C)C3N(C)Cc2ccccn2)C2(CC=C(C)C(C)C2)C1 7.80595 0.2911392405063291</t>
  </si>
  <si>
    <t>CN(Cc1ncccc1-c1ccc2c(c1)OCCOCCOCCOCCOCCO2)Cc1ncccc1-c1ccc2c(c1)OCCOCCOCCOCCOCCO2 7.8059444 0.3709677419354839</t>
  </si>
  <si>
    <t>CNC1CCCC(N(Cc2cc(C)cc(C)n2)Cc2cccc(F)n2)C1 7.8059444 0.3559322033898305</t>
  </si>
  <si>
    <t>CN(C)CCN(C)CCF 7.805941 0.25</t>
  </si>
  <si>
    <t>Cc1cccnc1CN(C)CCN(C)Cc1cncc(-c2cccc3c2OCCOCCOCCOCCOCCO3)c1 7.80594 0.2835820895522388</t>
  </si>
  <si>
    <t>Cc1ccccc1N(Cc1cccnn1)C1CCCCC1 7.805938 0.4222222222222222</t>
  </si>
  <si>
    <t>Cc1cccnc1CN(Cc1ncccc1C)C1CCC(N(C)Cc2ncccc2-c2cccc3c2OCCOCCOCCOCCOCCO3)CC1 7.8059278 0.2537313432835821</t>
  </si>
  <si>
    <t>Cc1ccnc(CN(C)C2CC(N(C)Cc3cc(-c4ccc5c(c4)OCCOCCOCCOCCOCCO5)ccn3)CCC2N(C)Cc2ncccc2C)c1 7.8059173 0.32926829268292684</t>
  </si>
  <si>
    <t>Cc1cccnc1CN(C)CCN(C)Cc1cccc(-c2cccc3c2OCCOCCOCCOCCOCCO3)n1 7.805916 0.3709677419354839</t>
  </si>
  <si>
    <t>Cc1cc(CN(C)C2CCCC(N(Cc3ccccn3)Cc3ccc(-c4cccc5c4OCCOCCOCCOCCOCCO5)cn3)C2)cnc1C 7.805906 0.3157894736842105</t>
  </si>
  <si>
    <t>Cc1cncc(CNCC2CCCN2Cc2ncccc2C)c1 7.8059 0.3382352941176471</t>
  </si>
  <si>
    <t>CC(C)N(Cc1ccnc(C(C)(C)N2CCN(C)CCN(C)CC2)c1)Cc1ccccn1 7.805899 0.47058823529411764</t>
  </si>
  <si>
    <t>CCNCc1cccc(CN(Cc2ccc3c(c2)OCCOCCOCCOCCOCCO3)C2CCC(N(C)c3ccc4ncccc4c3)CC2)n1 7.8058896 0.25842696629213485</t>
  </si>
  <si>
    <t>C=CCN(C)Cc1cc(CN(C)C2CCCCC2N(C)Cc2cc(C)c(C)c(C)n2)ccn1 7.8058677 0.41379310344827586</t>
  </si>
  <si>
    <t>Cc1ccc(CN(C)C2=CNC(CN3CCN(C)CCN(C)CC3)=CC2)nc1C 7.8058634 0.35714285714285715</t>
  </si>
  <si>
    <t>CN(C1=CC=CNC1N(Cc1ccccn1)Cc1ccccn1)c1cccc2c1OCCOCCOCCOCCOCCO2 7.8058624 0.3382352941176471</t>
  </si>
  <si>
    <t>Cc1cc(C)c(C)c(CN(C)C2CCCC(N(C)Cc3ccccn3)C2)n1 7.80586 0.5</t>
  </si>
  <si>
    <t>COC(=O)C(=O)C(C)C1(C)N=COC1c1cccc(CN2CCN(C)CCN(C)CC2)n1 7.805858 0.39344262295081966</t>
  </si>
  <si>
    <t>CNCN(Cc1ccccn1)C1CCC(N(C)Cc2nc(C)c(C)c(C)c2C)CC1 7.805856 0.4107142857142857</t>
  </si>
  <si>
    <t>Cc1cccc(CN(C)C2CCCC(N(Cc3ccccn3)Cc3ccc(C(C)(C)N(C)Cc4ccc(CN5CCN(C)CCN(C)CC5)cn4)cn3)C2)n1 7.8058505 0.36486486486486486</t>
  </si>
  <si>
    <t>Cc1cncc(CN(C)CCN(C)C(C)C)c1 7.8058357 0.35714285714285715</t>
  </si>
  <si>
    <t>Cc1ccc(CN(Cc2ccccn2)C2CCCCC2N(C)Cc2cccc(-c3ccc4c(c3)OCCOCCOCCOCCOCCO4)n2)nc1C(C)(C)C 7.8058357 0.42857142857142855</t>
  </si>
  <si>
    <t>CN(Cc1cccc(-c2ccc3c(c2)OCCOCCOCCOCCOCCO3)n1)C(C)(C)c1cccnc1 7.80582 0.32432432432432434</t>
  </si>
  <si>
    <t>CC(C)C(C)(c1cccnc1)N(C)Cc1cc(-c2ccc3c(c2)OCCOCCOCCOCCOCCO3)ccn1 7.805819 0.35135135135135137</t>
  </si>
  <si>
    <t>Cc1cc(CN(C)C2=CNC(CN3CCN(C)CCN(C)CC3)=CC2)cnc1C 7.80581 0.3387096774193548</t>
  </si>
  <si>
    <t>CC(C)NC(C)(C)N(CCN(C)C(C)C)Cc1ccccn1 7.805801 0.4888888888888889</t>
  </si>
  <si>
    <t>Cc1nc(CN(C)C2CCCCC2N(C)C)c(C)c(C)c1C 7.8057923 0.4318181818181818</t>
  </si>
  <si>
    <t>CC(C)(c1cccc(CNC2COCCOCCOCCOCCOc3ccccc3O2)n1)c1cccc(CN(Cc2cccc(-c3ccc4c(c3)OCCOCCOCCOCCOCCO4)n2)Cc2cccc(-c3ccc4c(c3)OCCOCCOCCOCCOCCO4)n2)n1 7.8057923 0.3246753246753247</t>
  </si>
  <si>
    <t>CCC(C)c1cccc(C2CCC2(C)C)n1 7.80579 0.24489795918367346</t>
  </si>
  <si>
    <t>Cc1cncc(CN(C)CCN(Cc2ccccn2)C2CCCC(N(C)Cc3cncc(C)c3)C2)c1 7.805787 0.4067796610169492</t>
  </si>
  <si>
    <t>Cc1c(C)c(C)c(N(C)CCN(Cc2ccccn2)C(C)(N)N(Cc2cccc3c2OCCOCCOCCOCCOCCO3)C(C)C)c(C)c1C 7.805786 0.3142857142857143</t>
  </si>
  <si>
    <t>Cc1cc(NCc2ccccn2)ccc1CN(C)C1CCCC(N(C)Cc2cccc(-c3cccc4c3OCCOCCOCCOCCOCCO4)n2)C1 7.8057847 0.3116883116883117</t>
  </si>
  <si>
    <t>CNC1CCCC(N(Cc2ccccn2)Cc2cc(C)c(C)c(C)n2)C1 7.8057833 0.38596491228070173</t>
  </si>
  <si>
    <t>Cc1cccc(N(Cc2cccnn2)C2CCCCC2)c1 7.805778 0.40425531914893614</t>
  </si>
  <si>
    <t>CNCc1cccc(C2CCC2(C)C)n1 7.8057766 0.27450980392156865</t>
  </si>
  <si>
    <t>Cc1cccc(CN(C)C2CCCC(N(Cc3ccccn3)Cc3cccc(-c4cc(C)c5c(c4)OCCOCCOCCOCCOCCO5)n3)C2)n1 7.8057766 0.3611111111111111</t>
  </si>
  <si>
    <t>CN(Cc1ccc(N(C)C)cn1)Cc1ccncc1C1=CC2OCCOCCOCCOCCOC=COC2C=C1 7.805774 0.2535211267605634</t>
  </si>
  <si>
    <t>CC1=CC(C)C(CN(C)Cc2ccccn2)C=C1 7.805773 0.43636363636363634</t>
  </si>
  <si>
    <t>CC(N)C(C)C(C)N(C)Cc1ncccc1C(C)(C)C 7.8057666 0.29411764705882354</t>
  </si>
  <si>
    <t>Cc1cc2c(cc1N(C)Cc1ncccc1C(C)(C)C)OCCOCCOCCOCCOCCO2 7.805754 0.29310344827586204</t>
  </si>
  <si>
    <t>CCN(Cc1ccccn1)C1CCCC(N(C)Cc2nc(C)c(C)cc2C)C1 7.8057494 0.42857142857142855</t>
  </si>
  <si>
    <t>CCCN(Cc1ccccn1)c1cc2c(cc1CN(Cc1ccccn1)Cc1ccccn1)OCCOCCOCCOCCOCCO2 7.805741 0.4166666666666667</t>
  </si>
  <si>
    <t>Cc1ccc(CN(Cc2ccccn2)C2CCCC(N(C)Cc3cccc(-c4ccc5c(c4)OCCOCCOCCOCCOCCO5)n3)C2)nc1C 7.8057394 0.3717948717948718</t>
  </si>
  <si>
    <t>Cc1cnc(CN(C)C2CCC(N(Cc3ccccn3)Cc3cc(-c4ccc5c(c4)OCCOCCOCCOCCOCCO5)ccn3)CC2)c(C)c1 7.8057384 0.35</t>
  </si>
  <si>
    <t>COC(=O)C(=O)C(C)C1(C)N=COC1c1cc(CN2CCN(C)CCN(C)CC2)ccn1 7.805725 0.36619718309859156</t>
  </si>
  <si>
    <t>CN(Cc1cccc(-c2ccc3c(c2)OCCOCCOCCOCCOCCO3)n1)C1CCC(N(Cc2ccccn2)Cc2cccc(CSC3C=CC=CN3)n2)CC1 7.8057184 0.3218390804597701</t>
  </si>
  <si>
    <t>Cc1ccc(CN(C)C2CCC(N(Cc3ccccn3)Cc3ncccc3-c3ccc4c(c3)OCCOCCOCCOCCOCCO4)CC2)nc1C 7.805718 0.3287671232876712</t>
  </si>
  <si>
    <t>Cc1ccnc(CN(C)CCN(C)CCF)c1 7.8057156 0.47368421052631576</t>
  </si>
  <si>
    <t>CC1C(Cl)=CC(N(C)Cc2ccccn2)CC1(C)C 7.80571 0.4791666666666667</t>
  </si>
  <si>
    <t>COC(=O)C(=O)C(C)C(C)NCc1cc(C)c(CN2CCN(C)CCN(C)CC2)c(C)n1 7.8057065 0.3382352941176471</t>
  </si>
  <si>
    <t>Cc1cc(CN(C)C2CCC(N(C)Cc3nc(C)ccc3C)CC2)ccn1 7.805706 0.3148148148148148</t>
  </si>
  <si>
    <t>Cc1cccnc1CNCN(C)C1CCCC(N(C)Cc2cc(C)c(C)c(C)n2)C1 7.805704 0.3225806451612903</t>
  </si>
  <si>
    <t>Cc1cc(CN(Cc2cccnc2)C2CCCC(N(C)CCN(C)C)C2)nc(C)c1C 7.805702 0.26865671641791045</t>
  </si>
  <si>
    <t>Cc1cncc(CN(C)C2CCCC(N(C)CCN(C)Cc3nc(C)c(C)cc3C)C2)c1 7.8057 0.2542372881355932</t>
  </si>
  <si>
    <t>Cc1cnc(CN(C)C2CCCC(N(Cc3ccccn3)Cc3cccc(-c4ccc5c(c4)OCCOCCOCCOCCOCCO5)n3)C2)c(C)c1 7.805689 0.35802469135802467</t>
  </si>
  <si>
    <t>CC1=CC(C)C2(CC(C)C(c3ccc(CN(Cc4ccccn4)C4CCCCC4)cn3)=CC23CC(C)C(C)=CC3C)C(C)C1 7.805689 0.2987012987012987</t>
  </si>
  <si>
    <t>Cc1cc(C)c(CN(C)C2CCCCC2N(Cc2ccccn2)Cc2cccc(-c3ccc4c(c3)OCCOCCOCCOCCOCCO4)n2)nc1C 7.805671 0.42028985507246375</t>
  </si>
  <si>
    <t>Clc1ccc2c(c1N(Cc1ccccn1)Cc1ccccn1)OCCOCCOCCOCCOCCO2 7.805652 0.39215686274509803</t>
  </si>
  <si>
    <t>CC(C)N(Cc1ccccn1)Cc1cccc(-c2ccc3c(c2)OCCOCCOCCOCCOCCO3)n1 7.805645 0.4528301886792453</t>
  </si>
  <si>
    <t>Cc1cnc(CN(Cc2ccccn2)C2CCC(N(C)Cc3ncccc3-c3ccc4c(c3)OCCOCCOCCOCCOCCO4)CC2)c(C)c1 7.805642 0.32142857142857145</t>
  </si>
  <si>
    <t>CC(C)C(C)(c1cccnc1)N(C)Cc1ncccc1-c1ccc2c(c1)OCCOCCOCCOCCOCCO2 7.8056397 0.3157894736842105</t>
  </si>
  <si>
    <t>CCN(Cc1ccccn1)Cc1ncccc1-c1ccc2c(c1)OCCOCCOCCOCCOCCO2 7.805632 0.37254901960784315</t>
  </si>
  <si>
    <t>CN(Cc1cccc(C2=CCC=CN2)n1)C1CCC(N(C)Cc2cccc(-c3ccc4c(c3)OCCOCCOCCOCCOCCO4)n2)CC1 7.80561 0.32051282051282054</t>
  </si>
  <si>
    <t>Cc1ccc(CN(C)CCN(C)Cc2cccc(-c3ccc4c(c3)OCCOCCOCCOCCOCCO4)n2)nc1 7.805607 0.4807692307692308</t>
  </si>
  <si>
    <t>Cc1ccc(C)c(CN(Cc2ccc(CN3CCN(C)CCN(C)CC3)cn2)C2CCCC(N(C)Cc3ncc(C)c(C)c3C)C2)n1 7.805606 0.3424657534246575</t>
  </si>
  <si>
    <t>Cc1cncc(CN2CCN(C)CCN(Cc3ccc(N(C)C)cn3)CC2)c1 7.80559 0.45098039215686275</t>
  </si>
  <si>
    <t>CC1=C(C)C(C)C(CN(Cc2ccccn2)Cc2ccccn2)CC1 7.80559 0.475</t>
  </si>
  <si>
    <t>CC(C)N(C)Cc1cccc(CN(Cc2ccccn2)C2CCCC(N(C)Cc3ccccn3)C2)n1 7.80559 0.49019607843137253</t>
  </si>
  <si>
    <t>CC(NCc1ccccn1)C1C=CNC=C1 7.8055854 0.425</t>
  </si>
  <si>
    <t>CCNCc1cccc(C(C)(C)C(C)C)n1 7.8055835 0.3076923076923077</t>
  </si>
  <si>
    <t>Cc1cnccc1CN(C)CCN(C)C(C)(C)C 7.8055816 0.3488372093023256</t>
  </si>
  <si>
    <t>CCN=Cc1ccccc1 7.8055744 0.2916666666666667</t>
  </si>
  <si>
    <t>CCNC(C)c1ccccn1 7.805566 0.39473684210526316</t>
  </si>
  <si>
    <t>CN(Cc1ccc(-c2ccc3c(c2)OCCOCCOCCOCCOCCO3)cn1)C(C)(C)c1cccnc1 7.805557 0.45454545454545453</t>
  </si>
  <si>
    <t>CNC1CCCC(N(Cc2ccccn2)Cc2nc(C)c(C)cc2C)C1 7.805535 0.38596491228070173</t>
  </si>
  <si>
    <t>Cc1cncc(CN(C)C2CCCC(N(CC3=CCC=CN3)Cc3ccccn3)C2)c1 7.8055344 0.47692307692307695</t>
  </si>
  <si>
    <t>CC1=C(C)C(C)(N(C)Cc2ccccn2)CC(C)C1C 7.8055143 0.42857142857142855</t>
  </si>
  <si>
    <t>CN(Cc1cccc(-c2ccc3c(c2)OCCOCCOCCOCCOCCO3)n1)C1=C(CN(C)C(C)(C)C)NC=CC1 7.805514 0.2839506172839506</t>
  </si>
  <si>
    <t>CN1CCN(C)CCN(C2CCC(N(C)c3cccc4nc(CF)ccc34)CC2)CC1 7.805513 0.39344262295081966</t>
  </si>
  <si>
    <t>CN1CCN(C)CCN(C2CCC(N(C)c3cccc4c(CF)ccnc34)CC2)CC1 7.805511 0.32786885245901637</t>
  </si>
  <si>
    <t>Cc1cccnc1CN1CCN(C)CCN(Cc2cccnc2N(C)C)CC1 7.805511 0.4375</t>
  </si>
  <si>
    <t>Cc1cc(C)c(CN(C)C2CCC(N(C)Cc3ncccc3C)CC2)cn1 7.805509 0.3148148148148148</t>
  </si>
  <si>
    <t>Cc1ccc(CN(Cc2ccccn2)C2CCCC(N(C)Cc3ccc(-c4ccc5c(c4)OCCOCCOCCOCCOCCO5)cn3)C2)nc1C 7.805507 0.42857142857142855</t>
  </si>
  <si>
    <t>Cc1cncc(CN(C)CCN(Cc2ccccn2)C2CCC(N(C)Cc3ncccc3C)CC2)c1 7.8055024 0.359375</t>
  </si>
  <si>
    <t>Cc1cnc(C)c(CN(C)C2CCCC(N(Cc3ccccn3)Cc3cc(-c4ccc5c(c4)OCCOCCOCCOCCOCCO5)ccn3)C2)c1 7.805501 0.35365853658536583</t>
  </si>
  <si>
    <t>CN(Cc1cccc(C2=CCC=CN2)n1)C1CCC(N(C)Cc2cccc(-c3cccc4c3OCCOCCOCCOCCOCCO4)n2)CC1 7.805498 0.2857142857142857</t>
  </si>
  <si>
    <t>CC(C)C(C)(N)N(CCN(C)Cc1ccccn1)Cc1ccccn1 7.805488 0.4772727272727273</t>
  </si>
  <si>
    <t>CN(Cc1cc(-c2ccc3c(c2)OCCOCCOCCOCCOCCO3)ccn1)C1CCC(N(C)Cc2cccc(C3=CCC=CN3)n2)CC1 7.8054843 0.32926829268292684</t>
  </si>
  <si>
    <t>CN(Cc1cc(C2=CCC=CN2)ccn1)C1CCC(N(C)Cc2cc(-c3ccc4c(c3)OCCOCCOCCOCCOCCO4)ccn2)CC1 7.80548 0.36486486486486486</t>
  </si>
  <si>
    <t>CN1CCN(C)CCN(Cc2cccnc2C2=NC(C)(C)CO2)CC1 7.8054795 0.42857142857142855</t>
  </si>
  <si>
    <t>C=CCN(C)Cc1ncccc1C(C)C(C)C 7.805478 0.3125</t>
  </si>
  <si>
    <t>Cc1c(CN(C)C2CCCCC2N(C)Cc2ccon2)nc(-c2ccc3c(c2)OCCOCCOCCOCCOCCO3)c(C)c1C 7.805478 0.35384615384615387</t>
  </si>
  <si>
    <t>CNCN(Cc1ccccn1)C1CCCC(N(C)Cc2nc(C)c(C)c(C)c2C)C1 7.805476 0.41379310344827586</t>
  </si>
  <si>
    <t>Cc1cc(CN(C)C2CCCCC2N(C)Cc2cc(CF)ccn2)nc(C)c1C 7.8054743 0.47058823529411764</t>
  </si>
  <si>
    <t>Cc1ccnc(CN(C)C2CCC(N(C)Cc3cc(C)cc(C)n3)CC2)c1 7.8054705 0.3877551020408163</t>
  </si>
  <si>
    <t>Cc1cncc(CN(C)C2CCCC(N(C)Cc3nc(C)ccc3C)C2)c1 7.8054676 0.3157894736842105</t>
  </si>
  <si>
    <t>Cc1cnc(CN2CCN(C)CCN(Cc3ccc(CN(C)C)nc3)CC2)c(C)c1C 7.8054643 0.5</t>
  </si>
  <si>
    <t>CN(C)CCF 7.8054605 0.21875</t>
  </si>
  <si>
    <t>CN1CCN(C)CCN(CC2C(N(C)c3ccc4ncccc4c3)CCN2C)CC1 7.80546 0.3442622950819672</t>
  </si>
  <si>
    <t>CC(C)C(C)N=Cc1ccccn1 7.8054585 0.45</t>
  </si>
  <si>
    <t>Cc1ccc(CN(CCN(C)Cc2cc(-c3ccc4c(c3)OCCOCCOCCOCCOCCO4)ccn2)C(C)C)nc1 7.8054585 0.43859649122807015</t>
  </si>
  <si>
    <t>Cc1cccnc1CN(C)CCN(C)Cc1ncccc1-c1cccc2c1OCCOCCOCCOCCOCCO2 7.8054466 0.3333333333333333</t>
  </si>
  <si>
    <t>Cc1cc(C)c(CN(C)CC2CCCN2C(C)C)cn1 7.805446 0.36666666666666664</t>
  </si>
  <si>
    <t>CCN(C)CCN(C)Cc1ncccc1C 7.8054395 0.43902439024390244</t>
  </si>
  <si>
    <t>CNC1CCCCC1N(Cc1ccccn1)Cc1nc(C)c(C)c(C)c1C 7.8054385 0.4716981132075472</t>
  </si>
  <si>
    <t>CCOC(=O)C1CN(C)C(C(=O)C(C)N)C(C(=O)C(C)N)C1C(=O)C(C)N 7.8054194 0.2222222222222222</t>
  </si>
  <si>
    <t>CN(Cc1ccc(C2=CCC=CN2)cn1)C1CCC(N(C)Cc2cc(-c3ccc4c(c3)OCCOCCOCCOCCOCCO4)ccn2)CC1 7.8054175 0.41333333333333333</t>
  </si>
  <si>
    <t>CNCc1ncccc1CN(C)C1CCCCC1N(C)Cc1cc(C)c(C)c(C)n1 7.805414 0.44642857142857145</t>
  </si>
  <si>
    <t>c1ccc2c(c1)OCCOCCOCCOCCOc1ccccc1O2 7.8054137 0.28</t>
  </si>
  <si>
    <t>Cc1cnc(CN(Cc2ccc(CN3CCN(C)CCN(C)CC3)cn2)C2CCCC(N(C)Cc3cc(C)c(C)c(C)n3)C2)cc1C 7.8054037 0.3194444444444444</t>
  </si>
  <si>
    <t>CNc1cncc(CN2CCN(C)CCN(Cc3nc(C)c(C)cc3C)CC2)c1 7.8054037 0.375</t>
  </si>
  <si>
    <t>CNC1CCCCC1N(Cc1cc(C)c(C)cn1)Cc1cc(C)c(C)cn1 7.805402 0.4166666666666667</t>
  </si>
  <si>
    <t>CN1CCN(C)CCN(CC2C(N(C)c3ccc4cccnc4c3)CCN2C)CC1 7.805399 0.32786885245901637</t>
  </si>
  <si>
    <t>Cc1cccnc1CN(C)C1CCC(N(Cc2ccccn2)Cc2cccc(CNCF)n2)CC1 7.8053937 0.3770491803278688</t>
  </si>
  <si>
    <t>Cc1ccc(C)c(CN(C)C2=CNC(CN3CCN(C)CCN(C)CC3)=CC2)n1 7.805391 0.38181818181818183</t>
  </si>
  <si>
    <t>Cc1cccc(CN(C)CCN(C)Cc2ccc(-c3cccc4c3OCCOCCOCCOCCOCCO4)cn2)n1 7.8053875 0.4807692307692308</t>
  </si>
  <si>
    <t>Cc1cnc(C)c(C)c1CN(Cc1cccnn1)C1CCCCC1 7.805386 0.38461538461538464</t>
  </si>
  <si>
    <t>CN(Cc1ccc(C2=CCC=CN2)cn1)C1CCC(N(C)Cc2cc(-c3cccc4c3OCCOCCOCCOCCOCCO4)ccn2)CC1 7.8053827 0.3023255813953488</t>
  </si>
  <si>
    <t>Cc1cccc(CN(Cc2ccccn2)C2CCCCC2N(C)c2cc(Cl)ncc2CN2CCN(C)CCN(C)CC2)n1 7.805382 0.40298507462686567</t>
  </si>
  <si>
    <t>Cc1cc(C)c(CN(C)C2CCCC(N(C)C)C2)nc1C 7.805381 0.29411764705882354</t>
  </si>
  <si>
    <t>Cc1cccnc1CN(C)CCN(C)Cc1cccc(-c2ccc3c(c2)OCCOCCOCCOCCOCCO3)n1 7.805377 0.3709677419354839</t>
  </si>
  <si>
    <t>Cc1cncc(CN(CC2=CCC=CN2)C2CCCC(N(C)Cc3ccccn3)C2)c1 7.8053746 0.47692307692307695</t>
  </si>
  <si>
    <t>CN(Cc1ccc(-c2ccc3c(c2)OCCOCCOCCOCCOCCO3)cn1)C1CCC(N(C)Cc2cccc(C3=CCC=CN3)n2)CC1 7.8053718 0.4155844155844156</t>
  </si>
  <si>
    <t>Cc1cccnc1CN(C)CCN(C)C1CCCC(N(C)Cc2cc(C)c(C)c(C)n2)C1 7.8053665 0.32786885245901637</t>
  </si>
  <si>
    <t>Cc1cnccc1CN(C)CCN(C)C(C)C 7.805365 0.3488372093023256</t>
  </si>
  <si>
    <t>CC1=CC(C)C(C)(C)C(C)C1N(C)Cc1ccc(C)cn1 7.8053584 0.48936170212765956</t>
  </si>
  <si>
    <t>CCCN(C)CCN(C)Cc1cnccc1C 7.805345 0.36585365853658536</t>
  </si>
  <si>
    <t>Cc1cnc(CN(C)C2CCC(N(Cc3ccccn3)C(C)C)CC2)c(C)c1C 7.8053255 0.4339622641509434</t>
  </si>
  <si>
    <t>Cc1nc(N(C)O)ccc1CN1CCN(C)CCN(C)CC1 7.8053203 0.4222222222222222</t>
  </si>
  <si>
    <t>CC(C)N(Cc1ccccn1)Cc1ccc(-c2ccc3c(c2)OCCOCCOCCOCCOCCO3)cn1 7.8053055 0.4838709677419355</t>
  </si>
  <si>
    <t>Cc1cncc(CN(C)C2CCCC(N(C)Cc3ncccc3C(C)(C)C)C2)c1 7.8052874 0.29508196721311475</t>
  </si>
  <si>
    <t>CNCc1cc(CN(C)C2CCCCC2N(C)Cc2cc(C)c(C)c(C)n2)ccn1 7.805278 0.4444444444444444</t>
  </si>
  <si>
    <t>Cc1cc(CN(Cc2ccccn2)C2CCCCC2)cnc1C1CC(C)(C)C1 7.805276 0.39655172413793105</t>
  </si>
  <si>
    <t>CCN(Cc1ccccn1)C1=CCC(CN(C)C2CCC(N(C)Cc3ncccc3C)CC2)C(C)=C1C 7.8052745 0.36507936507936506</t>
  </si>
  <si>
    <t>CCCN(Cc1cccnn1)C1C=CC=CN1 7.8052487 0.4444444444444444</t>
  </si>
  <si>
    <t>Cc1cccnc1CN(Cc1ccccn1)C1CCC(N(CF)Cc2ccccn2)CC1 7.805234 0.42</t>
  </si>
  <si>
    <t>COC(=O)C1CN(C)C(C(=O)C(C)N)C(C(C)(C)NCc2ccccn2)C1C(C)C 7.8052154 0.2894736842105263</t>
  </si>
  <si>
    <t>CN(Cc1cc(-c2ccc3c(c2)OCCOCCOCCOCCOCCO3)ccn1)C(C)(C)c1cccnc1 7.805211 0.37142857142857144</t>
  </si>
  <si>
    <t>FC1=CNC=CC1CN(Cc1ccccn1)Cc1cccc(-c2ccc3c(c2)OCCOCCOCCOCCOCCO3)n1 7.8052073 0.410958904109589</t>
  </si>
  <si>
    <t>CC(C)N(Cc1ccccn1)Cc1ncccc1-c1cccc2c1OCCOCCOCCOCCOCCO2 7.805204 0.46153846153846156</t>
  </si>
  <si>
    <t>Cc1cncc(CN(Cc2ccccn2)C2CCC(N(C)Cc3ncccc3C)CC2N(C)C(C)C)c1 7.805202 0.34782608695652173</t>
  </si>
  <si>
    <t>CC1C(N(C)Cc2ccccn2)=CCC(C)(C)C1(C)C 7.8052015 0.44680851063829785</t>
  </si>
  <si>
    <t>Cc1cnc(CN(C)CC2CCCN2C(C)C)c(C)c1 7.805198 0.36065573770491804</t>
  </si>
  <si>
    <t>CN(CCF)CCN(Cc1ccccn1)C1CCCCC1N(C)Cc1ccc2cccnc2c1 7.8051953 0.5</t>
  </si>
  <si>
    <t>Cc1cnc(CN(C)C2=C(CN3CCN(C)CCN(C)CC3)NC=CC2)c(C)c1 7.8051896 0.36065573770491804</t>
  </si>
  <si>
    <t>Cc1cc(CN(C)C2CCCC(N(C)Cc3ccccn3)C2)c(C)c(C)c1N 7.8051867 0.49019607843137253</t>
  </si>
  <si>
    <t>Cc1cncc(CN(C)CCN(C)C(C)(C)C)c1 7.805178 0.35714285714285715</t>
  </si>
  <si>
    <t>CC(C)N(Cc1ccccn1)Cc1cc(-c2ccc3c(c2)OCCOCCOCCOCCOCCO3)ccn1 7.8051686 0.48</t>
  </si>
  <si>
    <t>CC1C=C(NCc2ccccn2)C(C)C(C)C1 7.8051615 0.4146341463414634</t>
  </si>
  <si>
    <t>Cc1cc(CN(C)C2CCCCC2N(C)Cc2ncccc2F)nc(C)c1C 7.8051424 0.4807692307692308</t>
  </si>
  <si>
    <t>Cc1cccnc1CN(CCN(C)CCF)C(C)C 7.8051295 0.4772727272727273</t>
  </si>
  <si>
    <t>Cc1cncc(CN(C)C2CCCC(N(Cc3ccccn3)C(C)C)C2N(C)Cc2ccccn2)c1 7.8051214 0.5</t>
  </si>
  <si>
    <t>CC(C)C1=CC2C=CC(C)(C)C(C)(C)C2=CN1 7.805117 0.14285714285714285</t>
  </si>
  <si>
    <t>Cc1ccnc(C2CCC2(C)C)c1C(=O)C(C)NCc1cc(CN2CCN(C)CCN(C)CC2)ccn1 7.8051043 0.36</t>
  </si>
  <si>
    <t>CC(C)[Si](c1ccc(CN(Cc2ccccn2)C2CCC(N(C)Cc3ccc(-c4ccc5c(c4)OCCOCCOCCOCCOCCO5)cn3)CC2)nc1)(C(C)C)C(C)C 7.805101 0.42105263157894735</t>
  </si>
  <si>
    <t>CN(C)CCCN(C)CC(C)(C)C 7.8050885 0.23076923076923078</t>
  </si>
  <si>
    <t>CN1CCN(C)CCN(C2CCC(N(C)c3ccc4nccc(CF)c4c3)CC2)CC1 7.805076 0.30158730158730157</t>
  </si>
  <si>
    <t>COC(=O)C(=O)N1CCN(C)CCN(C(=O)C(C)N=Cc2ccccn2)CC1 7.805065 0.3382352941176471</t>
  </si>
  <si>
    <t>CC(C)N(CCN(C)CC(C)(C)C)CC(C)(C)C 7.805061 0.2894736842105263</t>
  </si>
  <si>
    <t>CC(C)C(C)N(C)CC1=CCC=C(N(C)Cc2cccc(-c3ccc4c(c3)OCCOCCOCCOCCOCCO4)n2)N1 7.805057 0.2804878048780488</t>
  </si>
  <si>
    <t>Cc1cnc(CN(Cc2cc(C)c(C)c(C)n2)C2CCCCC2N(C)C2CCCCC2N(C)Cc2cc(C)c(C)c(C)n2)cc1C 7.805052 0.4807692307692308</t>
  </si>
  <si>
    <t>C=Cc1ccc(CN(Cc2ccccn2)C2CCC(N(C)Cc3cccc(-c4ccc5c(c4)OCCOCCOCCOCCOCCO5)n3)CC2)nc1 7.8050494 0.35443037974683544</t>
  </si>
  <si>
    <t>CCN(Cc1ccccn1)C1=C(C23CCC2OCCOCCOCCOCCOCCO3)C(Cl)C(Cl)C(N(C)Cc2ccccn2)=C1N(C)Cc1ccccn1 7.8050427 0.3142857142857143</t>
  </si>
  <si>
    <t>CC(C)N(Cc1ccccn1)Cc1ncc(C(C)(C)C)cc1CN1CCN(C)CCN(C)CC1 7.8050284 0.48148148148148145</t>
  </si>
  <si>
    <t>CN1CCN(C)CCN(C2CCC(N(C)c3ccc4c(CF)ccnc4c3)CC2)CC1 7.8050246 0.3064516129032258</t>
  </si>
  <si>
    <t>CC(c1ncccc1CN(Cc1ccccn1)Cc1ccccn1)C(C)(N)c1ccc2c(c1)OCCOCCOCC(N)OCCOCCO2 7.8050175 0.29850746268656714</t>
  </si>
  <si>
    <t>C=Cc1ccc(CN(Cc2ccccn2)C2CCCC(N(C)Cc3cccc(-c4cccc5c4OCCOCCOCCOCCOCCO5)n3)C2)nc1 7.805001 0.33783783783783783</t>
  </si>
  <si>
    <t>Cc1ccc(C)c(CN(C)C2CCCC(N(C)Cc3ncccc3C)C2)n1 7.804987 0.36538461538461536</t>
  </si>
  <si>
    <t>Cc1ccc(CN(Cc2cccc(C(C)(C)C)n2)C2CCC(N(C)Cc3cccc(-c4ccc5c(c4)OCCOCCOCCOCCOCCO5)n3)CC2)nc1 7.8049808 0.35802469135802467</t>
  </si>
  <si>
    <t>CNCc1ncccc1C(C)(C)C(C)N 7.8049726 0.27906976744186046</t>
  </si>
  <si>
    <t>CN(Cc1ccc(-c2cccc3c2OCCOCCOCCOCCOCCO3)cn1)C1CCC(N(C)c2cccnc2Cl)CC1 7.8049674 0.32051282051282054</t>
  </si>
  <si>
    <t>CC1=CCC(C)C(C)(C)C12C=CNC(C(C)C)=C2 7.804964 0.13114754098360656</t>
  </si>
  <si>
    <t>Cc1cc(C)c(C)c(CN(C)C2CCCC(N(Cc3ccccn3)CC3C=CNC=C3)C2)n1 7.804959 0.36923076923076925</t>
  </si>
  <si>
    <t>Cc1cc(C)c(CN(C)C2CCCC(N(C)Cc3ncccc3C)C2)cn1 7.8049464 0.32142857142857145</t>
  </si>
  <si>
    <t>CN1CCN(C)CCN(C2CCCC(N(C)c3cccc4ncc(CF)cc34)C2)CC1 7.804945 0.2857142857142857</t>
  </si>
  <si>
    <t>CN(Cc1ncccc1-c1ccc2c(c1)OCCOCCOCCOCCOCCO2)C(C)(C)c1cccnc1 7.804935 0.3287671232876712</t>
  </si>
  <si>
    <t>CN(Cc1ncccc1-c1cccc2c1OCCOCCOCCOCCOCCO2)C(C)(C)c1ccccn1 7.8049316 0.2857142857142857</t>
  </si>
  <si>
    <t>CC(C)CN(CC1=CCC=CN1)CC1=CCC=CN1 7.804915 0.5</t>
  </si>
  <si>
    <t>CCC(C)C1=NCC(C)(C)O1 7.8049145 0.1590909090909091</t>
  </si>
  <si>
    <t>Cc1cnc(CN(C)C2CCC(N(C)Cc3ccnc(CNC(C)C)c3)CC2)cc1C 7.804908 0.3684210526315789</t>
  </si>
  <si>
    <t>CNCc1ncccc1CN(C)C1CCCCC1N(C)Cc1nc(C)c(C)cc1C 7.804905 0.41818181818181815</t>
  </si>
  <si>
    <t>CC1=C(C)C(C)CC2(CCC(c3cc(C)c(CN4CCN(C)CCN(C)CC4)c(C)n3)=CC23CC(C(C)(C)C)C=CC3(C)C)C1 7.804882 0.2564102564102564</t>
  </si>
  <si>
    <t>CCNCc1ccc(CN(C)C2CCCC(N(C)Cc3ncc(C)c(C)c3C)C2)cn1 7.804882 0.35</t>
  </si>
  <si>
    <t>Cc1cccnc1CN(C)C1CCCCC1N(C)c1cccc(CN(C)C(C)C)n1 7.804881 0.4642857142857143</t>
  </si>
  <si>
    <t>CCN1CCN(C)CCN(Cc2cnccc2-c2cccc(N)c2)CC1 7.804879 0.35185185185185186</t>
  </si>
  <si>
    <t>CC1N=COC1CN(C)CCSCc1ccccn1 7.804873 0.4772727272727273</t>
  </si>
  <si>
    <t>CCNCc1cccc(CN(C)Cc2cccc(-c3ccc4c(c3)OCCOCCOCCOCCOCCO4)n2)n1 7.8048706 0.35</t>
  </si>
  <si>
    <t>CNCc1cc2c(cn1)CCCC2 7.8048673 0.25</t>
  </si>
  <si>
    <t>Cc1cnc(CN(C)C2CCCC(N(Cc3ccccn3)Cc3ncccc3-c3ccc4c(c3)OCCOCCOCCOCCOCCO4)C2)c(C)c1 7.804866 0.32558139534883723</t>
  </si>
  <si>
    <t>CNc1ccc(C)nc1CN(Cc1ccccn1)C1CCCCC1 7.804862 0.4339622641509434</t>
  </si>
  <si>
    <t>CNCc1cc(CN(C)C2CCCCC2N(C)Cc2nc(C)c(C)cc2C)ccn1 7.8048296 0.42592592592592593</t>
  </si>
  <si>
    <t>COC(=O)C1CN(C)C(C(=O)C(C)N)C(C(=O)C(C)N)C1C(=O)C(C)N 7.8048253 0.22580645161290322</t>
  </si>
  <si>
    <t>c1ccc(CNCN(Cc2ccccn2)Cc2cccc(-c3ccc4c(c3)OCCOCCOCCOCCOCCO4)n2)nc1 7.80482 0.453125</t>
  </si>
  <si>
    <t>CC(C)N(CCN(Cc1ccccn1)Cc1cccc(-c2ccc3c(c2)OCCOCCOCCOCCOCCO3)n1)Cc1ccccn1 7.8048153 0.48214285714285715</t>
  </si>
  <si>
    <t>CC(N)C(C)N(C)CC1=C(N(C)C(C)C)CC=CN1 7.804801 0.19230769230769232</t>
  </si>
  <si>
    <t>Cc1cc(C)c(C2CC(C)(C)C2)nc1CN1CCN(C)CCN(C)CC1 7.804798 0.3958333333333333</t>
  </si>
  <si>
    <t>Cc1cccnc1CN(C(C)C)C1CCC(N(C)Cc2cncc(C)c2C)CC1 7.804772 0.2786885245901639</t>
  </si>
  <si>
    <t>CNC1=CCNC=C1 7.8047566 0.15555555555555556</t>
  </si>
  <si>
    <t>CN(CC1=CC(N(C)C(c2ccccc2)c2ccccn2)C=CN1)c1ccc2c(c1)OCCOCCOCCOCCOCCO2 7.8047485 0.38571428571428573</t>
  </si>
  <si>
    <t>CC1C(N(C)Cc2ccccn2)=CCC(C)(C)C1C 7.8047466 0.44680851063829785</t>
  </si>
  <si>
    <t>CC(C)N(C)CC1=C(N(C)Cc2cccc(-c3ccc4c(c3)OCCOCCOCCOCCOCCO4)n2)CC=CN1 7.804743 0.2875</t>
  </si>
  <si>
    <t>Cc1c(N(Cc2ccccn2)Cc2cccnn2)ccc2c1OCCOCCOCCOCCOCCO2 7.8047347 0.46153846153846156</t>
  </si>
  <si>
    <t>Cc1cnc(CN(C)C2CCCC(N(Cc3cccnc3)C(C)C)C2)c(C)c1C 7.8047123 0.2857142857142857</t>
  </si>
  <si>
    <t>CN(Cc1ccccn1)C1=CCC=C(CN(C)c2cccc3c2OCCOCCOCCOCCOCCO3)N1 7.804709 0.3770491803278688</t>
  </si>
  <si>
    <t>CC(C)C1=CC2(C=CN1)C=CC(NCc1ccc(CN(Cc3ccccn3)Cc3cccc(-c4ccc5c(c4)OCCOCCOCCOCCOCCO5)n3)cn1)C(C)C2(C)C 7.8046985 0.31313131313131315</t>
  </si>
  <si>
    <t>CN(Cc1cccc(C2=CCC=CN2)n1)C1CCCC(N(C)Cc2cccc(-c3ccc4c(c3)OCCOCCOCCOCCOCCO4)n2)C1 7.8046927 0.325</t>
  </si>
  <si>
    <t>CC1=C(C)C(C)(C)CC(N(C)Cc2ccccn2)C1 7.804689 0.5</t>
  </si>
  <si>
    <t>Cc1ccc(CNCC2CCCN2Cc2ncccc2C)nc1 7.804687 0.36923076923076925</t>
  </si>
  <si>
    <t>Cc1cnc(CN(C)C2CCC(N(C)Cc3ncccc3C)CC2)c(C)c1 7.8046484 0.35294117647058826</t>
  </si>
  <si>
    <t>Cc1cc(CN2CCN(C)CCN(Cc3ccnc(C(C)C)c3)CC2)nc(C)c1C 7.804647 0.46153846153846156</t>
  </si>
  <si>
    <t>CC1=C(CN(C)Cc2cc(C)ccn2)C(C)C(C)CC1 7.804643 0.37254901960784315</t>
  </si>
  <si>
    <t>CNCCN(C)Cc1cnccc1C 7.804642 0.32608695652173914</t>
  </si>
  <si>
    <t>CC(C)N(CCN(Cc1ccccn1)Cc1ncccc1-c1cccc2c1OCCOCCOCCOCCOCCO2)Cc1ccccn1 7.804641 0.48214285714285715</t>
  </si>
  <si>
    <t>CNCc1ccc(CN(C)C2CCCCC2N(C)Cc2cc(C)c(C)c(C)n2)cn1 7.804639 0.48148148148148145</t>
  </si>
  <si>
    <t>Cc1c(CN(C)CCN)nc(-c2ccc3c(c2)OCCOCCOCCOCCOCCO3)c(C)c1C 7.8046384 0.3188405797101449</t>
  </si>
  <si>
    <t>CN(CCNCc1ccc(C(C)(C)C)cn1)Cc1ccc(-c2ccc3c(c2)OCCOCCOCCOCCOCCO3)cn1 7.8046308 0.42857142857142855</t>
  </si>
  <si>
    <t>CN(Cc1cccc(CN(C)C2C(N(C)Cc3ccccn3)CCCC2N(C)Cc2ccccn2)n1)C1CCC(N(C)Cc2ccccn2)C(N(Cc2ccccn2)Cc2cccc(-c3ccc4c(c3)OCCOCCOCCOCCOCCO4)n2)C1 7.804623 0.4084507042253521</t>
  </si>
  <si>
    <t>Cc1cccnc1CN(C)CCN(C)C(C)(C)C 7.804621 0.4090909090909091</t>
  </si>
  <si>
    <t>CN(CCN(Cc1ccccn1)Cc1cccc(-c2cccc3c2OCCOCCOCCOCCOCCO3)n1)Cc1ccccn1 7.804607 0.47368421052631576</t>
  </si>
  <si>
    <t>Cc1ccc(CNCC2CCCN2Cc2ncccc2C)cn1 7.8046036 0.35384615384615387</t>
  </si>
  <si>
    <t>Cc1cccnc1CN(Cc1ccccn1)C1CCCC(N(CF)Cc2ccccn2)C1 7.8046 0.4230769230769231</t>
  </si>
  <si>
    <t>CNC1CCCC(N(C)Cc2nc(C)c(C)c(C)c2C)C1 7.8045754 0.25925925925925924</t>
  </si>
  <si>
    <t>CN1CCN(Cc2cc(C(C)(C)C)ccn2)CCN(c2ccccc2F)CC1 7.8045692 0.49019607843137253</t>
  </si>
  <si>
    <t>CNCc1cccc(N(C)C2CCCC(N(C)Cc3ccccn3)C2)n1 7.8045573 0.4807692307692308</t>
  </si>
  <si>
    <t>Cc1cc(C)nc(CN(C)C2CCCC(N(C)Cc3ccnc(C)c3)C2)c1 7.804554 0.37037037037037035</t>
  </si>
  <si>
    <t>CC(C)(C)CN(CC1=CCC=CN1)CC1=CCC=CN1 7.804546 0.5</t>
  </si>
  <si>
    <t>Cc1cncc(CN(C)CCN(Cc2ccccn2)C2(C)CCC2)c1 7.804544 0.36923076923076925</t>
  </si>
  <si>
    <t>C1=CNC(C2C=CNC=C2)=CC1 7.804543 0.2553191489361702</t>
  </si>
  <si>
    <t>CN(CCN(Cc1ccccn1)Cc1ccccn1)Cc1cccc(-c2cccc3c2OCCOCCOCCOCCOCCO3)n1 7.804543 0.47368421052631576</t>
  </si>
  <si>
    <t>CC1=C(C)C(C)C2(CC(C)C=CC2C)C(C)C1N(C)Cc1ccccn1 7.8045106 0.4339622641509434</t>
  </si>
  <si>
    <t>Cc1ccnc(CN(C)C2=CNC(CN(C)c3ccc4c(c3)OCCOCCOCCOCCOCCO4)=CC2)c1 7.804509 0.26582278481012656</t>
  </si>
  <si>
    <t>CN(Cc1ccc(-c2cccc3c2OCCOCCOCCOCCOCCO3)nc1)Cc1ccccn1 7.8045 0.41379310344827586</t>
  </si>
  <si>
    <t>CC1C=CC(=O)CC1(C)c1ccc(CN(Cc2ccccn2)C2CCCCC2)cn1 7.8044987 0.359375</t>
  </si>
  <si>
    <t>Cc1cnc(CN(C)C2CCC(N(Cc3ccccn3)Cc3cccc(-c4ccc5c(c4)OCCOCCOCCOCCOCCO5)n3)CC2)c(C)c1C 7.804492 0.358974358974359</t>
  </si>
  <si>
    <t>CN(Cc1ccccn1)Cc1cnccc1-c1cccc2c1OCCOCCOCCOCCOCCO2 7.8044915 0.3898305084745763</t>
  </si>
  <si>
    <t>CC1=CC(C)C(N(C)CC2=CCC=CN2)C(C)C1 7.8044906 0.35185185185185186</t>
  </si>
  <si>
    <t>CN(Cc1ccccn1)C1=CCC=C(CN(C)c2ccc3c(c2)OCCOCCOCCOCCOCCO3)N1 7.8044906 0.36065573770491804</t>
  </si>
  <si>
    <t>Cc1ccnc(CN(C)C2CCCCC2N(C)Cc2cc(C)c(C)c(C)n2)c1 7.804482 0.5</t>
  </si>
  <si>
    <t>Cc1cnc(CN(C)C2CCCC(N(Cc3ccccn3)C(C)C)C2)c(C)c1C 7.8044744 0.43636363636363634</t>
  </si>
  <si>
    <t>Cc1ccc(CN(Cc2cccc(C(C)(C)C)n2)C2CCC(N(C)Cc3ccc(-c4ccc5c(c4)OCCOCCOCCOCCOCCO5)cn3)CC2)nc1 7.804467 0.42105263157894735</t>
  </si>
  <si>
    <t>CCN(Cc1cccc(C2CCC2(C)C)n1)C1CCC(N(C)Cc2cc(C)c(C)c(C)n2)CC1 7.8044662 0.3230769230769231</t>
  </si>
  <si>
    <t>CCOC1(C)COC(c2ncccc2CN2CCN(C)CCN(C)CC2)=N1 7.804454 0.38181818181818183</t>
  </si>
  <si>
    <t>CCNCc1cc(CN(C)Cc2cc(-c3ccc4c(c3)OCCOCCOCCOCCOCCO4)ccn2)ccn1 7.8044467 0.35714285714285715</t>
  </si>
  <si>
    <t>CC(C)NCC1=CCC=CN1 7.8044405 0.34782608695652173</t>
  </si>
  <si>
    <t>CCNCc1cc(CN(C)C2CCCC(N(C)Cc3nc(C)cc(C)c3C)C2)ccn1 7.8044353 0.28125</t>
  </si>
  <si>
    <t>Cc1ccc(N2CCN(C)CCN(Cc3ccc(C)cn3)CC2)cc1 7.8044324 0.5</t>
  </si>
  <si>
    <t>C=CCN(C)CC1=C(N(C)Cc2cccc(-c3ccc4c(c3)OCCOCCOCCOCCOCCO4)n2)CC=CN1 7.804431 0.27380952380952384</t>
  </si>
  <si>
    <t>Cc1cc(CN(C)CCN(C)C(C)C)ccn1 7.804428 0.3488372093023256</t>
  </si>
  <si>
    <t>CNCc1ncccc1N(C)C1CCCC(N(C)Cc2ccccn2)C1 7.804426 0.4807692307692308</t>
  </si>
  <si>
    <t>CNCc1cccc(CN(Cc2ccccn2)C2CCC(N(C)Cc3cccc(C4CCC4(C)C)n3)CC2)n1 7.8044243 0.3870967741935484</t>
  </si>
  <si>
    <t>CN(Cc1ccccn1)C1C=CNC(C(C)(C)C2CCC2(C)C)=C1 7.8044147 0.42105263157894735</t>
  </si>
  <si>
    <t>CC1=C(c2cc(CN(Cc3ccccn3)C3CCCCC3)ccn2)CC(C)CC1C 7.8043985 0.3770491803278688</t>
  </si>
  <si>
    <t>CC(C)C(C)(c1cccnc1)N(C)CC1=CC(N(C)Cc2cccc(-c3ccc4c(c3)OCCOCCOCCOCCOCCO4)n2)C=CN1 7.8043976 0.26881720430107525</t>
  </si>
  <si>
    <t>CCN(CCN(C)CC(C)(C)C)Cc1ncccc1C 7.8043737 0.425531914893617</t>
  </si>
  <si>
    <t>CN(Cc1cccc(-c2ccc3c(c2)OCCOCCOCCOCCOCCO3)n1)C1CCCCC1N(Cc1ccccn1)c1cccc(CF)n1 7.80437 0.44776119402985076</t>
  </si>
  <si>
    <t>CNCc1cccc(CN(Cc2ccccn2)C2CCC(N(C)Cc3ccccn3)CC2)n1 7.8043547 0.4897959183673469</t>
  </si>
  <si>
    <t>CC1=CC(C)C(C)C(N(C)C2CC(N(C)Cc3ccccn3)CC(N(Cc3ccccn3)Cc3nc(C)c(C)cc3C)C2)C1 7.8043537 0.3582089552238806</t>
  </si>
  <si>
    <t>CNCc1ncccc1CN(Cc1ccccn1)C1CCC(N(C)Cc2ccccn2)CC1 7.8043513 0.46153846153846156</t>
  </si>
  <si>
    <t>COC(=O)C(C)NCc1nc(CN2CCN(C)CCN(C)CC2)c(C)c(C)c1C 7.8043075 0.38181818181818183</t>
  </si>
  <si>
    <t>Cc1cccnc1CN(Cc1ccccn1)C1CCC(N(C)Cc2ncccc2C(C)C(C)C)CC1 7.804294 0.40350877192982454</t>
  </si>
  <si>
    <t>CN(CCN(Cc1ccccn1)Cc1ncccc1-c1cccc2c1OCCOCCOCCOCCOCCO2)Cc1cccnc1 7.8042912 0.3835616438356164</t>
  </si>
  <si>
    <t>Cc1cc(C)c(N(C)C2CCC(N(C)Cc3cccc(-c4ccc5c(c4)OCCOCCOCCOCCOCCO5)n3)CC2)c(C)c1 7.804283 0.33783783783783783</t>
  </si>
  <si>
    <t>CCNCc1cc(C(C)(C)C(C)C)ccn1 7.8042808 0.34146341463414637</t>
  </si>
  <si>
    <t>CC1=CC(C)C(=O)C(C(C)(C)NCc2ccccn2)C1 7.804277 0.3541666666666667</t>
  </si>
  <si>
    <t>CN1CCN(C)CCN(Cc2ccnc(C3=NC(C)(C)CO3)c2)CC1 7.804272 0.4166666666666667</t>
  </si>
  <si>
    <t>Cc1cncc(CN(C)C2CCCCC2N(C)Cc2cc(C)c(C)c(C)n2)c1 7.80427 0.45098039215686275</t>
  </si>
  <si>
    <t>CN(Cc1ccccn1)Cc1cc(-c2cccc3c2OCCOCCOCCOCCOCCO3)ccn1 7.8042564 0.4107142857142857</t>
  </si>
  <si>
    <t>CN(CCN(Cc1ccccn1)Cc1cccc2c1OCCOCCOCCOCCOCCO2)Cc1cccc2ncccc12 7.804256 0.4117647058823529</t>
  </si>
  <si>
    <t>CN(Cc1ccc2c(c1)OCCOCCOCCOCCOCCO2)Cc1ccc2ncccc2c1 7.8042545 0.3090909090909091</t>
  </si>
  <si>
    <t>CCNCc1ncccc1CN(C)C1CCCC(N(C)Cc2nc(C)c(C)cc2C)C1 7.804242 0.28125</t>
  </si>
  <si>
    <t>Cc1cnccc1CN(C)CCN(Cc1ccccn1)C1(C)CCC1 7.8042407 0.3684210526315789</t>
  </si>
  <si>
    <t>C1=CC(N(Cc2ccccn2)Cc2cccc(-c3ccc4c(c3)OCCOCCOCCOCCOCCO4)n2)C=CN1 7.8042355 0.39705882352941174</t>
  </si>
  <si>
    <t>CNCN(Cc1ncccc1C)C1CCCCC1N(C)Cc1nc(C)c(C)c(C)c1C 7.8042336 0.39655172413793105</t>
  </si>
  <si>
    <t>CC(C)C(C)(c1cccnc1)N(Cc1cccc(-c2ccc3c(c2)OCCOCCOCCOCCOCCO3)n1)Cc1cccc(-c2ccc3c(c2)OCCOCCOCCOCCOCCO3)n1 7.8042235 0.3116883116883117</t>
  </si>
  <si>
    <t>CCCNCC1=CC(N(C)Cc2ccccn2)C=CN1 7.8042154 0.4074074074074074</t>
  </si>
  <si>
    <t>CN(CCN(Cc1ccccn1)Cc1cccc(-c2ccc3c(c2)OCCOCCOCCOCCOCCO3)n1)C(C)(C)c1ccccn1 7.804212 0.42857142857142855</t>
  </si>
  <si>
    <t>CC(C)N(Cc1ccccn1)Cc1ncccc1-c1ccc2c(c1)OCCOCCOCCOCCOCCO2 7.8042107 0.4528301886792453</t>
  </si>
  <si>
    <t>CN1CCN(C)CCN(CC2C(N(C)c3cccc4ncccc34)CCN2C)CC1 7.804204 0.3559322033898305</t>
  </si>
  <si>
    <t>CN(CC1=CC(N(C)Cc2cccc(-c3ccc4c(c3)OCCOCCOCCOCCOCCO4)n2)C=CN1)Cc1ccccc1 7.8042026 0.2926829268292683</t>
  </si>
  <si>
    <t>CN1CCN(C)CCN(Cc2ccc(C3=NC(C)(C)CO3)nc2)CC1 7.804198 0.425531914893617</t>
  </si>
  <si>
    <t>Cc1cccnc1CN(C)C1CCC(N(Cc2ccccn2)Cc2ncccc2C(C)C(C)C)CC1 7.804188 0.40350877192982454</t>
  </si>
  <si>
    <t>CN1CCN(C)CCN(C2CCCC(N(C)c3cccc4nc(CF)ccc34)C2)CC1 7.804185 0.3968253968253968</t>
  </si>
  <si>
    <t>Cc1cc(CN(C)C2CCCC(N(C)Cc3ncccc3C)C2)cnc1C 7.804185 0.32142857142857145</t>
  </si>
  <si>
    <t>Cc1cnc(CN(C)C2=CNC(CN3CCN(C)CCN(C)CC3)=CC2)c(C)c1 7.804178 0.36065573770491804</t>
  </si>
  <si>
    <t>CNCc1ccc(CN(Cc2cccc(-c3ccc4c(c3)OCCOCCOCCOCCOCCO4)n2)C(C)C)nc1 7.804173 0.36</t>
  </si>
  <si>
    <t>CC1C=CC(c2cc(CN(C)CC3=CCC=CN3)ccn2)C(C)C1N 7.8041625 0.35384615384615387</t>
  </si>
  <si>
    <t>Cc1cc2c(c(N(C)CC3=CCC(N(C)Cc4ccccn4)=CN3)c1)OCCOCCOCCOCCOCCO2 7.8041406 0.375</t>
  </si>
  <si>
    <t>Cc1cnc(CN(C)C2CCCC(N(C)C3=CCC=CN3)C2)c(C)c1 7.8041315 0.2903225806451613</t>
  </si>
  <si>
    <t>CNC1CCCC(N(Cc2ncccc2C)Cc2ncc(C)cc2C)C1 7.804123 0.2786885245901639</t>
  </si>
  <si>
    <t>CC(C)N(C)CC1=C(N(C)Cc2ccc(-c3ccc4c(c3)OCCOCCOCCOCCOCCO4)cn2)CC=CN1 7.8041115 0.4225352112676056</t>
  </si>
  <si>
    <t>CC1=C(C(C)(C)C)CC(NCc2ccccn2)CC1C 7.8041105 0.3695652173913043</t>
  </si>
  <si>
    <t>Cc1cncc(CN2CCN(C)CCN(CN(C)c3ccc(Cl)c(Cl)c3)CC2)c1 7.804095 0.3508771929824561</t>
  </si>
  <si>
    <t>Cc1ncccc1CN(C)CCN(Cc1ccccn1)C(C)(N)C1CCC1(C)C 7.8040915 0.3548387096774194</t>
  </si>
  <si>
    <t>CC(C)N(CC1=CC(N(C)Cc2cccc(-c3ccc4c(c3)OCCOCCOCCOCCOCCO4)n2)C=CN1)Cc1ccccn1 7.8040895 0.35</t>
  </si>
  <si>
    <t>CC1=CNC=CC1CN(Cc1ccccn1)C1CCCC(N(C)Cc2ncc(C)c(C)c2C)C1 7.804086 0.36363636363636365</t>
  </si>
  <si>
    <t>Cc1cccc(CN(C)Cc2cccc(-c3ccc4c(c3)OCCOCCOCCOCCOCCO4)n2)c1 7.8040385 0.3559322033898305</t>
  </si>
  <si>
    <t>C1=CNC(N(Cc2ccccn2)Cc2cccc(-c3ccc4c(c3)OCCOCCOCCOCCOCCO4)n2)C=C1 7.8040376 0.3880597014925373</t>
  </si>
  <si>
    <t>CN(Cc1cccc(-c2ccccc2)n1)C1CCCCC1 7.8040366 0.4888888888888889</t>
  </si>
  <si>
    <t>CC(C)N(C)Cc1cccc(CN(C)Cc2cccc(-c3ccc4c(c3)OCCOCCOCCOCCOCCO4)n2)n1 7.8040204 0.3620689655172414</t>
  </si>
  <si>
    <t>CC1COC(c2cc(CN3CCN(C)CCN(C)CC3)ccn2)=N1 7.804014 0.4117647058823529</t>
  </si>
  <si>
    <t>CN(CC1=CCC=C(N(C)C(c2ccccc2)c2ccccn2)N1)Cc1ccc2c(c1)OCCOCCOCCOCCOCCO2 7.804002 0.3333333333333333</t>
  </si>
  <si>
    <t>C1=CC(N(Cc2ccccn2)Cc2ccc(-c3ccc4c(c3)OCCOCCOCCOCCOCCO4)cn2)C=CN1 7.804001 0.4696969696969697</t>
  </si>
  <si>
    <t>Cc1cnc(CN(C)C2CCCC(N(C)Cc3ncccc3C)C2)c(C)c1 7.8039927 0.3584905660377358</t>
  </si>
  <si>
    <t>Cc1ccc(CN2CCCC2CNCc2ncccc2C)nc1 7.803988 0.4126984126984127</t>
  </si>
  <si>
    <t>Cc1ccnc(CN(C)CCN(C)C(C)C)c1 7.8039823 0.45</t>
  </si>
  <si>
    <t>CC(C)N(CC1=CC(N(C)Cc2ccccn2)C=CN1)Cc1ccc(-c2ccc3c(c2)OCCOCCOCCOCCOCCO3)nc1 7.8039804 0.30666666666666664</t>
  </si>
  <si>
    <t>Cc1ccnc(CN2CCCC2CNCc2ccnc(C)c2)c1 7.803978 0.41379310344827586</t>
  </si>
  <si>
    <t>CNCc1ncccc1CN(Cc1ccccn1)C1CCC(N(C)Cc2cccnn2)CC1 7.803973 0.43636363636363634</t>
  </si>
  <si>
    <t>CN(Cc1cccc(-c2ccc3c(c2)OCCOCCOCCOCCOCCO3)n1)C1=CC=CNC1 7.8039722 0.3333333333333333</t>
  </si>
  <si>
    <t>CC1=CCC=C(CN(Cc2ccccn2)C2CCCC(N(C)Cc3ccccn3)C2)N1 7.803959 0.46296296296296297</t>
  </si>
  <si>
    <t>CNC1CCC(N(Cc2ccccn2)Cc2nc(C)c(C)c(C)c2C)CC1 7.8039384 0.38181818181818183</t>
  </si>
  <si>
    <t>CC1=C(C)C(N(C)Cc2ccccn2)C(C)(C)C(C)(C)C1C 7.8039365 0.4888888888888889</t>
  </si>
  <si>
    <t>CCN(Cc1cc(CF)ccn1)C1CCC(N(C)Cc2ncc(C)c(C)c2C)CC1 7.803927 0.2903225806451613</t>
  </si>
  <si>
    <t>CCN(CC1=CC(N(C)Cc2ncccc2-c2ccc3c(c2)OCCOCCOCCOCCOCCO3)C=CN1)Cc1ccccn1 7.803926 0.33766233766233766</t>
  </si>
  <si>
    <t>CN(Cc1ccccn1)Cc1ncccc1-c1cccc2c1OCCOCCOCCOCCOCCO2 7.8039207 0.41818181818181815</t>
  </si>
  <si>
    <t>CN(Cc1ccccn1)C1CCCC(N(Cc2cncc(F)c2)Cc2ccccn2)C1 7.803909 0.46296296296296297</t>
  </si>
  <si>
    <t>Cc1ccccc1CN(C)Cc1cccc(-c2ccc3c(c2)OCCOCCOCCOCCOCCO3)n1 7.803909 0.3793103448275862</t>
  </si>
  <si>
    <t>CCCN(Cc1ccccn1)C1CCC(N(C)Cc2ncccc2C)CC1N(C)Cc1ncccc1C 7.803907 0.44642857142857145</t>
  </si>
  <si>
    <t>COc1cc(C)nc(C)c1CN1CCN(C)CCN(C)CC1 7.8039055 0.5</t>
  </si>
  <si>
    <t>Cc1cccc(CN(C)C2=C(CN(C)c3ccc4c(c3)OCCOCCOCCOCCOCCO4)NC=CC2)n1 7.8039045 0.32786885245901637</t>
  </si>
  <si>
    <t>Cc1cccnc1CN(C)CCN(C)C(C)C 7.803903 0.4090909090909091</t>
  </si>
  <si>
    <t>CNCN(Cc1ncccc1C)C1CCCC(N(C)Cc2nc(C)cc(C)c2C)C1 7.8039026 0.27692307692307694</t>
  </si>
  <si>
    <t>Cc1cccc(CNCC2CCCN2Cc2ncccc2C)n1 7.8038974 0.48148148148148145</t>
  </si>
  <si>
    <t>Cc1ccnc(CN(C)C2CCCCC2N(C)Cc2cccnc2CN(C)C)c1C 7.8038898 0.46</t>
  </si>
  <si>
    <t>CN(CCN(Cc1ccccn1)Cc1cccc(-c2ccc3c(c2)OCCOCCOCCOCCOCCO3)n1)Cc1ccccn1 7.8038335 0.47619047619047616</t>
  </si>
  <si>
    <t>Cc1cc(CN(C)CCN(C)C(C)(C)C)ccn1 7.8038335 0.3488372093023256</t>
  </si>
  <si>
    <t>Cc1ccnc(CN2CCCC2CNCc2ncccc2C)c1 7.80382 0.4126984126984127</t>
  </si>
  <si>
    <t>Cc1nc(CN(C)C2CCCC(N(Cc3ccccn3)CC3C=CNC=C3)C2)c(C)c(C)c1C 7.803818 0.38095238095238093</t>
  </si>
  <si>
    <t>Cc1cccnc1CNCN(C)C(C)C 7.803811 0.30434782608695654</t>
  </si>
  <si>
    <t>Cc1cccc(CN(Cc2cccc(CN(C)C)n2)C2CCC(N(C)Cc3ncccc3-c3ccc4c(c3)OCCOCCOCCOCCOCCO4)CC2)n1 7.8038077 0.3380281690140845</t>
  </si>
  <si>
    <t>Cc1cnc(CN(C)C2CCCC(N(C)CCN(C)Cc3nc(C)ccc3C)C2)c(C)c1 7.8038006 0.32142857142857145</t>
  </si>
  <si>
    <t>CN(CCN(Cc1ccccn1)Cc1ncccc1-c1cccc2c1OCCOCCOCCOCCOCCO2)Cc1ccccn1 7.8037977 0.4307692307692308</t>
  </si>
  <si>
    <t>Cc1cc(CN(C)C2CCCCC2N(C)Cc2nc(C)cc(C)c2C)ccn1 7.8037906 0.4230769230769231</t>
  </si>
  <si>
    <t>CN(CCN(C)Cc1ncccc1C(C)(C)C)Cc1cccnc1-c1ccc2c(c1)OCCOCCOCCOCCOCCO2 7.8037896 0.3387096774193548</t>
  </si>
  <si>
    <t>Cc1cc(C)c(CN(C)C2CCC(N(Cc3ccccn3)Cc3cccc(-c4ccc5c(c4)OCCOCCOCCOCCOCCO5)n3)CC2)nc1C 7.8037796 0.358974358974359</t>
  </si>
  <si>
    <t>CN(Cc1cccc(-c2ccc3c(c2)OCCOCCOCCOCCOCCO3)n1)Cc1cccc(C2CCC2(C)C)n1 7.8037777 0.3424657534246575</t>
  </si>
  <si>
    <t>Cc1cccnc1CN(C)C1CCCCC1N(C)c1ccccc1F 7.8037734 0.48</t>
  </si>
  <si>
    <t>CCOC(=O)C(=O)C(C)C1(C)COC(c2cncc(CN3CCN(C)CCN(C)CC3)c2)=N1 7.8037558 0.3424657534246575</t>
  </si>
  <si>
    <t>CC(c1ccccn1)(c1ccccn1)c1cccc(CNCc2ccc3c(c2)OCCOCCOCCOCCOCCO3)n1 7.803743 0.375</t>
  </si>
  <si>
    <t>CNCc1ncccc1CN(Cc1ccccn1)C1CCCC(N(C)Cc2ccccn2)C1 7.803741 0.46296296296296297</t>
  </si>
  <si>
    <t>CC(C)(CN(Cc1ccccn1)Cc1cccc(-c2ccc3c(c2)OCCOCCOCCOCCOCCO3)n1)c1ccc(-c2ccc3c(c2)OCCOCCOCCOCCOCCO3)cn1 7.80373 0.42857142857142855</t>
  </si>
  <si>
    <t>Cc1ccc(CN(CC2=CC(N(C)Cc3ccccn3)C=CN2)c2cccc3c2OCCOCCOCCOCCOCCO3)nc1C 7.803719 0.3026315789473684</t>
  </si>
  <si>
    <t>Cc1cccnc1CN(C)C1=CNC(CN(C)c2cccc3c2OCCOCCOCCOCCOCCO3)=CC1 7.8037176 0.26865671641791045</t>
  </si>
  <si>
    <t>Cc1ccnc(CN(C)CCN(Cc2ccccn2)C2(C)CCC2)c1 7.8036885 0.39622641509433965</t>
  </si>
  <si>
    <t>Cc1cccnc1CN(C)C1CCCCC1N(C)Cc1nc(C2CCC2(C)C)c(C)cc1C 7.8036876 0.40350877192982454</t>
  </si>
  <si>
    <t>CCN(Cc1cc(CF)ccn1)C1CCCCC1N(C)Cc1nc(C)c(C)c(C)c1C 7.8036866 0.3898305084745763</t>
  </si>
  <si>
    <t>Cc1ccnc(CN(Cc2ccc(C)c(C)n2)C2CCC(N(C)Cc3cc(-c4ccc5c(c4)OCCOCCOCCOCCOCCO5)ccn3)CC2)c1 7.8036757 0.36363636363636365</t>
  </si>
  <si>
    <t>CNCc1ncccc1N(C)C1CCCCC1N(C)Cc1cc(C)ccn1 7.803674 0.48148148148148145</t>
  </si>
  <si>
    <t>CC(N)C(C)(c1cccnc1)C(C)N(C)Cc1ccccn1 7.8036714 0.4</t>
  </si>
  <si>
    <t>Cc1cnc(CN(C)C2CCC(N(C)Cc3ncccc3CF)CC2)c(C)c1C 7.803657 0.32727272727272727</t>
  </si>
  <si>
    <t>CNCc1cccc(CN(Cc2cccc(-c3ccc4c(c3)OCCOCCOCCOCCOCCO4)n2)C2C=CC=CN2)n1 7.803651 0.31645569620253167</t>
  </si>
  <si>
    <t>C1=CNC(N(Cc2ccccn2)Cc2ncccc2-c2cccc3c2OCCOCCOCCOCCOCCO3)C=C1 7.8036375 0.3880597014925373</t>
  </si>
  <si>
    <t>CC1C=CC2(CC1)CC(C)C=CC21CCC(N(C)Cc2ccccn2)=C(C(C)(C)C)C1C 7.803636 0.3492063492063492</t>
  </si>
  <si>
    <t>Cc1cc(CN(Cc2ccccn2)C2CCC(N(CNCF)Cc3ccccn3)CC2)nc(C)c1C 7.803628 0.3620689655172414</t>
  </si>
  <si>
    <t>Cc1ccc(CN(C)C2CCCC(N(Cc3ccccn3)Cc3cccc(-c4ccc5c(c4)OCCOCCOCCOCCOCCO5)n3)C2N(C)Cc2ccccn2)nc1 7.8036203 0.4084507042253521</t>
  </si>
  <si>
    <t>Cc1cnc(C)c(CN(C)CCN(C)C2CCCC(N(Cc3ccccn3)Cc3ccccn3)C2)c1 7.803598 0.41379310344827586</t>
  </si>
  <si>
    <t>Cc1ccccc1CN(C)Cc1ccc(-c2ccc3c(c2)OCCOCCOCCOCCOCCO3)cn1 7.803586 0.4838709677419355</t>
  </si>
  <si>
    <t>CNCC1CC(N(C)Cc2ccc(C)cn2)CN1Cc1ccccn1 7.80358 0.421875</t>
  </si>
  <si>
    <t>CNCc1nc(CN(C)C2CCC(N(C)Cc3cccnn3)CC2)c(C)cc1C 7.8035703 0.39215686274509803</t>
  </si>
  <si>
    <t>CC1=C(C)C(C)C(N(C)Cc2ccccn2)C(CN(C)Cc2ccccn2)C1C 7.8035626 0.46808510638297873</t>
  </si>
  <si>
    <t>COC(=O)C1CC(C(C)(C)NCc2ccccn2)C(C(=O)C(C)N)N(C)C1C(C)C 7.8035607 0.2894736842105263</t>
  </si>
  <si>
    <t>CNC1CCCCC1N(Cc1ncccc1C)Cc1nc(C)c(C)cc1C 7.803553 0.3333333333333333</t>
  </si>
  <si>
    <t>Cc1cnc(CN(C)C2CCCCC2N(CC2=CCC=CN2)Cc2ccccn2)c(C)c1C 7.803551 0.5</t>
  </si>
  <si>
    <t>C1=CNC(N(Cc2ccccn2)Cc2cc(-c3ccc4c(c3)OCCOCCOCCOCCOCCO4)ccn2)C=C1 7.8035445 0.40625</t>
  </si>
  <si>
    <t>C1=CNC(N(Cc2ccccn2)c2ccc3c(c2)OCCOCCOCCOCCOCCO3)C(NCc2ccccn2)=C1 7.8035345 0.32857142857142857</t>
  </si>
  <si>
    <t>CCOC(C)c1cc(C)c(CN(Cc2ccccn2)C2CCCCC2)c(C)n1 7.8035197 0.3770491803278688</t>
  </si>
  <si>
    <t>c1ccc(CN(Cc2ccc(-c3ccc4c(c3)OCCOCCOCCOCCOCCO4)cn2)Cc2cccc(-c3ccc4c(c3)OCCOCCOCCOCCOCCO4)n2)nc1 7.803512 0.4918032786885246</t>
  </si>
  <si>
    <t>Cc1cc(C)c(CN(C)C2CCCC(N(Cc3ccccn3)Cc3cccc(-c4cccc5c4OCCOCCOCCOCCOCCO5)n3)C2)nc1C 7.803507 0.3333333333333333</t>
  </si>
  <si>
    <t>CC1C=CC(C)C(C)(c2ccccn2)C1 7.8034973 0.2708333333333333</t>
  </si>
  <si>
    <t>C=CCN(C)Cc1nc(CN(C)C2CCCCC2N(C)Cc2nccc(C)c2C)cc(C)c1C 7.8034873 0.39655172413793105</t>
  </si>
  <si>
    <t>CC1=CC(CN(C)Cc2cccc(C(C)(C)C)n2)CC(C)C1C 7.8034835 0.35294117647058826</t>
  </si>
  <si>
    <t>Cc1ccc(CN(C)Cc2cccc(-c3ccc4c(c3)OCCOCCOCCOCCOCCO4)n2)cc1 7.8034744 0.3620689655172414</t>
  </si>
  <si>
    <t>Cc1cc(CN(C)C2CCC(N(C)Cc3cccnn3)CC2)nc(C)c1C 7.8034625 0.43478260869565216</t>
  </si>
  <si>
    <t>COC(C)c1ccccn1 7.803438 0.3888888888888889</t>
  </si>
  <si>
    <t>Cc1cc(CN(C)C2CCC(N(Cc3ccccn3)C(C)C)CC2)nc(C)c1C 7.803429 0.4528301886792453</t>
  </si>
  <si>
    <t>CNc1cccc(CN(Cc2ccccn2)c2cccc3c2OCCOCCOCCOCCOCCO3)n1 7.803418 0.3620689655172414</t>
  </si>
  <si>
    <t>CC(C)NCN(C)C(C)C 7.8034167 0.1891891891891892</t>
  </si>
  <si>
    <t>CNCc1cc(CN(C)C2CCC(N(C)Cc3ncc(C)c(C)c3C)CC2)ccn1 7.8033924 0.3103448275862069</t>
  </si>
  <si>
    <t>CN1CCN(C)CCN(CC2CCC(N(C)c3ccc4cc(CF)cnc4c3)N2C)CC1 7.803391 0.2835820895522388</t>
  </si>
  <si>
    <t>CNCC1CCC(N(C)Cc2cc(C)ccn2)N1Cc1ccccn1 7.8033752 0.40350877192982454</t>
  </si>
  <si>
    <t>COCC(C)c1ccccn1 7.8033752 0.39473684210526316</t>
  </si>
  <si>
    <t>CN(Cc1ncccc1-c1cccc2c1OCCOCCOCCOCCOCCO2)C1=CC=CCN1 7.8033614 0.234375</t>
  </si>
  <si>
    <t>Cc1cccnc1CNCC1CCCN1Cc1ncccc1C 7.8033595 0.39655172413793105</t>
  </si>
  <si>
    <t>CC(C)NCc1ncccc1N(C)C1CCCC(N(C)Cc2ccccn2)C1 7.8033543 0.46296296296296297</t>
  </si>
  <si>
    <t>CNCc1cccc(C(C)C(C)N)n1 7.803349 0.2857142857142857</t>
  </si>
  <si>
    <t>Cc1cc(C)c(CN(Cc2ccccn2)C2CCC(N(C)Cc3cc(-c4ccc5c(c4)OCCOCCOCCOCCOCCO5)ccn3)CC2)nc1C 7.8033366 0.3380281690140845</t>
  </si>
  <si>
    <t>CC(C)N(C)C1C=CNC(CN(C)Cc2ccccn2)=C1 7.803329 0.42857142857142855</t>
  </si>
  <si>
    <t>Cc1cccc(CN(Cc2ccccn2)C2CCC(N(C)Cc3cccc(C4CCC4C)n3)CC2)n1 7.803328 0.43859649122807015</t>
  </si>
  <si>
    <t>C#Cc1ccc(NCc2ccccn2)c(CN(Cc2ccccn2)C2CCCCC2N(C)Cc2cccc(-c3ccc4c(c3)OCCOCCOCCOCCOCCO4)n2)c1 7.8033094 0.38461538461538464</t>
  </si>
  <si>
    <t>CN(Cc1ccc(-c2ccc3c(c2)OCCOCCOCCOCCOCCO3)cn1)C1CCCC(N(Cc2ccccn2)c2ccccc2F)C1 7.803302 0.4342105263157895</t>
  </si>
  <si>
    <t>CC(N)C(C)N(C)CC1=CCC(N(C)C(C)C)=CN1 7.8032975 0.18867924528301888</t>
  </si>
  <si>
    <t>CC1=CC(C)C(C)C(C)(c2ccccn2)C1 7.803295 0.26</t>
  </si>
  <si>
    <t>CN(C)CCN(C)C(C)(C)C 7.803293 0.23529411764705882</t>
  </si>
  <si>
    <t>Cc1cccnc1CN(C)CCN(Cc1ccccn1)C1(C)CCC1 7.803291 0.3888888888888889</t>
  </si>
  <si>
    <t>CC1CC=C(N(C)Cc2ccccn2)C(C)C1(C)C 7.8032846 0.44680851063829785</t>
  </si>
  <si>
    <t>CC1=CC(CN(Cc2ccccn2)C2CCCC(N(C)Cc3cc(C)c(C)c(C)n3)C2)C=CN1 7.8032794 0.373134328358209</t>
  </si>
  <si>
    <t>CNC1CCC(N(Cc2cc(C)c(C)cn2)Cc2cc(C)c(C)cn2)CC1 7.8032775 0.32</t>
  </si>
  <si>
    <t>Cc1ccc(C2=CCC=CN2)nc1CN(CC1=CCC=CN1)C1CCCCC1 7.8032494 0.3333333333333333</t>
  </si>
  <si>
    <t>CC1=CC(CN(C)CC2=CC(N(C)Cc3cc(C)ccn3)C=CN2)C(C)C(C)C1 7.803242 0.2857142857142857</t>
  </si>
  <si>
    <t>CC(C)NCc1cncc(CN(C)CCN)c1 7.8032384 0.2553191489361702</t>
  </si>
  <si>
    <t>Cc1ccc(CN2CCN(C)CCN(CN(C)c3ccc(Cl)c(Cl)c3)CC2)nc1 7.8032255 0.42592592592592593</t>
  </si>
  <si>
    <t>Cc1cnc(C)c(CN(C)C2CCC(N(C)Cc3ccon3)CC2)c1 7.803215 0.40425531914893614</t>
  </si>
  <si>
    <t>CN1CCN(C)CCN(CC2CC(N(C)c3ccc4ncccc4c3)CN2C)CC1 7.8032107 0.3387096774193548</t>
  </si>
  <si>
    <t>C=CCN(C)Cc1cccc(CN(C)C2CCC(N(C)Cc3cc(C)c(C)c(C)n3)CC2)n1 7.8031898 0.375</t>
  </si>
  <si>
    <t>CC1=CCC(N(C)Cc2ncccc2C(C)(C)C)C(C)C1N 7.803176 0.3392857142857143</t>
  </si>
  <si>
    <t>CN(Cc1ccccn1)Cc1cc(-c2ccc3c(c2)OCCOCCOCCOCCOCCO3)ccn1 7.803175 0.41509433962264153</t>
  </si>
  <si>
    <t>CC(C)N(CC1=CCC=CN1)CC1=CCC=CN1 7.8031683 0.4418604651162791</t>
  </si>
  <si>
    <t>Cc1cccc(CNCN(C)C2CCC(N(C)Cc3nc(C)c(C)c(C)c3C)CC2)n1 7.8031645 0.42592592592592593</t>
  </si>
  <si>
    <t>CNc1cc2c(c(-c3cccc(CN(C)C4CCC(N(C)Cc5cc(C)c(C)c(C)n5)CC4)n3)c1)OCCOCCOCCOCCOCCO2 7.803164 0.2916666666666667</t>
  </si>
  <si>
    <t>CC1=C(C(C)(C)C)C(C)C(C)CC1C 7.8031588 0.1282051282051282</t>
  </si>
  <si>
    <t>CC1=CC(C)(C)C(C)(C)CC12C=CNC(C(C)C)=C2 7.8031554 0.14545454545454545</t>
  </si>
  <si>
    <t>CC(C)N(Cc1cc(C(C)(C)c2ccccn2)ccn1)C1CCCC(N(C)Cc2cc(-c3cccc4c3OCCOCCOCCOCCOCCO4)ccn2)C1 7.8031554 0.2911392405063291</t>
  </si>
  <si>
    <t>CN1CCN(C)CCN(CC2CC(N(C)c3ccc4cccnc4c3)CN2C)CC1 7.803151 0.3220338983050847</t>
  </si>
  <si>
    <t>Cc1c(CN2CCN(C)CCN(C)CC2)nc(C2CC(C)(C)C2)c(C)c1C 7.803135 0.37254901960784315</t>
  </si>
  <si>
    <t>CC(c1ccnc(CNCc2ccc3c(c2)OCCOCCOCCOCCOCCO3)c1)(c1ccccn1)c1ccccn1 7.803132 0.2982456140350877</t>
  </si>
  <si>
    <t>FCc1cccnc1 7.803129 0.25</t>
  </si>
  <si>
    <t>CC(N)C(C)C(C)N(C)Cc1ccc(C(C)(C)C)cn1 7.803128 0.3404255319148936</t>
  </si>
  <si>
    <t>CN(Cc1cccc(-c2ccccc2)n1)C1CCCCC1N(C)Cc1cccc(-c2ccc3c(c2)OCCOCCOCCOCCOCCO3)n1 7.803115 0.4642857142857143</t>
  </si>
  <si>
    <t>CC1C=CC(C)C(N(C)Cc2ncccc2C(C)(C)C)C1C 7.8031077 0.2830188679245283</t>
  </si>
  <si>
    <t>CN(Cc1cccc(CN(Cc2cccc(-c3cccc4c3OCCOCCOCCOCCOCCO4)n2)Cc2cccc(-c3cccc4c3OCCOCCOCCOCCOCCO4)n2)n1)Cc1cccc(-c2cccc3c2OCCOCCOCCOCCOCCO3)n1 7.803103 0.3888888888888889</t>
  </si>
  <si>
    <t>Cc1cc([SiH3])nc(CN(C)C2CCCCC2N(C)Cc2nccc(C)c2C)c1 7.803098 0.4528301886792453</t>
  </si>
  <si>
    <t>Cc1ccnc(CN(C)CC2=CC=NCC2)c1 7.8030977 0.3877551020408163</t>
  </si>
  <si>
    <t>CC1C=CC(C)C(C)(c2cccc(CN(Cc3ccccn3)Cc3cccc(-c4ccc5c(c4)OCCOCCOCCOCCOCCO5)n3)n2)C1(C)C 7.8030767 0.4305555555555556</t>
  </si>
  <si>
    <t>Cc1cccc(CN(C)C2CCCC(N(Cc3ccccn3)Cc3cccc(-c4ccc5c(c4)OCCOCCOCCOCCOCCO5)n3)C2N(C)Cc2ccccn2)n1 7.803076 0.4264705882352941</t>
  </si>
  <si>
    <t>Cc1cncc(CN(C)C2CCCC(N(Cc3ccccn3)Cc3ccccn3)C2)c1 7.803072 0.4528301886792453</t>
  </si>
  <si>
    <t>CN(Cc1ccc(-c2ccccc2)cn1)C1CCCCC1N(C)Cc1cccc(-c2cccc3c2OCCOCCOCCOCCOCCO3)n1 7.8030634 0.40625</t>
  </si>
  <si>
    <t>Cc1cccc(CN(Cc2cccc(-c3ccc4c(c3)OCCOCCOCCOCCOCCO4)n2)C2CCC(N(C)c3cccc(CN(C)C(C)C)n3)CC2)n1 7.803062 0.3194444444444444</t>
  </si>
  <si>
    <t>Cc1ccccc1CN(C)Cc1cc(-c2ccc3c(c2)OCCOCCOCCOCCOCCO3)ccn1 7.80306 0.373134328358209</t>
  </si>
  <si>
    <t>CCNC1=C(C)C(N(C)Cc2ccccn2)C(C)(C)C(C)C1 7.8030586 0.4339622641509434</t>
  </si>
  <si>
    <t>Cc1cccnc1CN(C)C1CCC(N(Cc2ccccn2)C(C)(c2cccnc2)C(C)C)CC1 7.803052 0.36507936507936506</t>
  </si>
  <si>
    <t>CNC1OCCOCCOCCOCCOc2ccccc2OC1N(Cc1nc(C)ccc1C)Cc1nc(C)ccc1C 7.803042 0.22388059701492538</t>
  </si>
  <si>
    <t>Cc1cc(CN(Cc2ccccn2)C2CCCC(N(C)Cc3cc(-c4ccc5c(c4)OCCOCCOCCOCCOCCO5)ccn3)C2)c(C)nc1C 7.8030305 0.3424657534246575</t>
  </si>
  <si>
    <t>Cc1cc(CN(C)C2CCC(N(Cc3cc(-c4ccc5c(c4)OCCOCCOCCOCCOCCO5)ccn3)Cc3ncccc3C)CC2)cnc1C 7.8030148 0.3373493975903614</t>
  </si>
  <si>
    <t>CC1=CC(C)CC(C)C1N(C)CC1=CCC=CN1 7.803013 0.34545454545454546</t>
  </si>
  <si>
    <t>CC(C)C1CCC1c1cccc(CN(Cc2ccccn2)Cc2cccc(-c3ccc4c(c3)OCCOCCOCCOCCOCCO4)n2)n1 7.8030043 0.44285714285714284</t>
  </si>
  <si>
    <t>Cc1cncc(CN(C)C2CCC(N(C)Cc3ccccn3)C(N(Cc3cccc(-c4ccc5c(c4)OCCOCCOCCOCCOCCO5)n3)Cc3cccc(C4CCC4(C)C)n3)C2)c1 7.802993 0.30337078651685395</t>
  </si>
  <si>
    <t>CCC1=NC(C(C)C)CO1 7.802984 0.15384615384615385</t>
  </si>
  <si>
    <t>CC1=C(C)C(C)(C)C(N(C)Cc2ncccc2C)CC1 7.8029685 0.32075471698113206</t>
  </si>
  <si>
    <t>C=CCN(C)Cc1cccc(CN(C)C2CCCC(N(C)Cc3cc(C)c(C)c(C)n3)C2)n1 7.802966 0.3793103448275862</t>
  </si>
  <si>
    <t>CN(Cc1ccccn1)Cc1cccnc1-c1ccc2c(c1)OCCOCCOCCOCCOCCO2 7.8029623 0.38596491228070173</t>
  </si>
  <si>
    <t>Cc1cnc(CN(C)Cc2ccncc2CN2CCN(C)CCN(C)CC2)c(C)c1C 7.802958 0.43636363636363634</t>
  </si>
  <si>
    <t>Cc1cccc(CN(Cc2cccc(-c3ccc4c(c3)OCCOCCOCCOCCOCCO4)n2)C(C)N(CCN(C)Cc2cccc(-c3ccc4c(c3)OCCOCCOCCOCCOCCO4)n2)Cc2ccccn2)n1 7.8029437 0.40298507462686567</t>
  </si>
  <si>
    <t>CCCN(C)C1=CCC=C(CN(C)Cc2cccc(-c3ccc4c(c3)OCCOCCOCCOCCOCCO4)n2)N1 7.8029394 0.30434782608695654</t>
  </si>
  <si>
    <t>CC(C)N(CC1=CC(N(O)Cc2cccc(-c3ccc4c(c3)OCCOCCOCCOCCOCCO4)n2)C=CN1)Cc1ccccn1 7.802939 0.345679012345679</t>
  </si>
  <si>
    <t>Cc1cc(C)c(CN(C)C2CCC(N(C)Cc3cccnn3)CC2)nc1C 7.8029323 0.425531914893617</t>
  </si>
  <si>
    <t>CNC1CC(N(Cc2ccccn2)Cc2cccc(F)n2)CCC1N(C)Cc1ccccn1 7.8029056 0.4727272727272727</t>
  </si>
  <si>
    <t>CCOC(=O)c1ncccc1CN(Cc1ccccn1)C1CCCCC1 7.8029027 0.4107142857142857</t>
  </si>
  <si>
    <t>Cc1cnc(CN(C)C2=C(CN3CCN(C)CCN(C)CC3)NC=CC2)c(C)c1C 7.802897 0.41379310344827586</t>
  </si>
  <si>
    <t>CC(C)C1=C(N(C)c2ccc(CN3CCN(C)CCN(C)CC3)cn2)CC=CN1 7.802892 0.3442622950819672</t>
  </si>
  <si>
    <t>CC(C)C(C)N(CC1=C(N(C)Cc2cccc(-c3ccc4c(c3)OCCOCCOCCOCCOCCO4)n2)CC=CN1)Cc1ccccn1 7.8028913 0.345679012345679</t>
  </si>
  <si>
    <t>CN(Cc1ncccc1-c1ccc2c(c1)OCCOCCOCCOCCOCCO2)C1CCCC(N(C)C2CCCC(N(C)c3cccc4ncc(CF)cc34)C2)C1 7.802873 0.2967032967032967</t>
  </si>
  <si>
    <t>CCC(C)C(C)N(C)Cc1cc(C(C)(C)C)ccn1 7.8028593 0.2857142857142857</t>
  </si>
  <si>
    <t>C=CCN(C)CCN(C)Cc1ccc(C)nc1 7.8028593 0.38095238095238093</t>
  </si>
  <si>
    <t>CNCc1cc(C)c(-c2cccc3c2OCCOCCOCCOCCOCCO3)c(C)n1 7.802854 0.2361111111111111</t>
  </si>
  <si>
    <t>CNCC1CCC(N(C)Cc2ncccc2C)N1Cc1ccccn1 7.80285 0.38461538461538464</t>
  </si>
  <si>
    <t>CNC1CCCCC1N(Cc1ncc(C)cc1C)Cc1nc(C)ccc1C 7.8028464 0.3448275862068966</t>
  </si>
  <si>
    <t>FCNCc1cccc(CN(Cc2ccccn2)Cc2cccc(-c3cccc4c3OCCOCCOCCOCCOCCO4)n2)n1 7.8028464 0.38095238095238093</t>
  </si>
  <si>
    <t>Cc1cncc(CN(C)C2CCC(N(C)Cc3ccccn3)CC2N(Cc2ccccn2)C(C)C)c1 7.802843 0.46551724137931033</t>
  </si>
  <si>
    <t>FCNc1cccc(CN(Cc2cccc(-c3ccc4c(c3)OCCOCCOCCOCCOCCO4)n2)Cc2cccc(-c3ccc4c(c3)OCCOCCOCCOCCOCCO4)n2)n1 7.80284 0.35384615384615387</t>
  </si>
  <si>
    <t>Cc1cc(C)c(CN(CN2CCN(C)CCN(Cc3nc(C)c(C)c(C)c3C)CC2)C2CCCC(N(C)Cc3cc(C)c(C)c(C)n3)C2)nc1C 7.8028297 0.2972972972972973</t>
  </si>
  <si>
    <t>Cc1cc(CN(C)C2CCCC(N(Cc3ccccn3)C(C)C)C2)nc(C)c1C 7.802829 0.45454545454545453</t>
  </si>
  <si>
    <t>Cc1ccc(CN(Cc2ccccn2)C2CCCC(N(C)Cc3ncccc3-c3ccc4c(c3)OCCOCCOCCOCCOCCO4)C2N(C)Cc2ccccn2)nc1 7.8028173 0.4027777777777778</t>
  </si>
  <si>
    <t>CC1C=C(N(C)Cc2ccccn2)CCC1C 7.802814 0.4888888888888889</t>
  </si>
  <si>
    <t>Cc1cnc(CN(C)C2CCCC(N(C)Cc3cccc(F)n3)C2)c(C)c1C 7.8027945 0.4</t>
  </si>
  <si>
    <t>CC1=CCC(C)(C)CC12C=CNC(C(C)C)=C2 7.802792 0.1206896551724138</t>
  </si>
  <si>
    <t>Cc1ccccc1CN(C)Cc1ncccc1-c1ccc2c(c1)OCCOCCOCCOCCOCCO2 7.80279 0.323943661971831</t>
  </si>
  <si>
    <t>CCN(CC1=CC(N(C)Cc2ccccn2)C=CN1)CC(C)(C)C 7.8027883 0.4807692307692308</t>
  </si>
  <si>
    <t>CNCc1cc(CN(C)C2CCCC(N(C)Cc3ncc(C)c(C)c3C)C2)ccn1 7.802777 0.31666666666666665</t>
  </si>
  <si>
    <t>CN(Cc1cccc(-c2cccc3c2OCCOCCOCCOCCOCCO3)n1)C1=CNC=CC1 7.8027644 0.2727272727272727</t>
  </si>
  <si>
    <t>CNCCN(C)Cc1ccc(C)nc1 7.802751 0.36585365853658536</t>
  </si>
  <si>
    <t>CN(CC1=CC(N(C)Cc2ccccn2)C=CN1)Cc1cccc(-c2cccc3c2OCCOCCOCCOCCOCCO3)n1 7.8027396 0.4117647058823529</t>
  </si>
  <si>
    <t>CN(Cc1cccnn1)Cc1ncccc1-c1cccc2c1OCCOCCOCCOCCOCCO2 7.8027363 0.4230769230769231</t>
  </si>
  <si>
    <t>CNCc1ncccc1CN(C)C1CCCC(N(C)Cc2ncc(C)c(C)c2C)C1 7.802736 0.31666666666666665</t>
  </si>
  <si>
    <t>CN(CC1=CC(N(C)Cc2cccc(-c3cccc4c3OCCOCCOCCOCCOCCO4)n2)C=CN1)Cc1ccccn1 7.8027325 0.4117647058823529</t>
  </si>
  <si>
    <t>CCN(Cc1ccccn1)C1CCC(N(C)Cc2nc(C)c(C)c(C)c2C)CC1 7.8027306 0.4339622641509434</t>
  </si>
  <si>
    <t>Cc1ccc(CN(CN2CCN(C)CCN(Cc3cc(N)ccn3)CC2)C2=CNC(C(C)N)=CC2)nc1C 7.802727 0.37142857142857144</t>
  </si>
  <si>
    <t>CNCc1cccc(CN(C)Cc2cccc(-c3cccc4c3OCCOCCOCCOCCOCCO4)n2)n1 7.80272 0.3620689655172414</t>
  </si>
  <si>
    <t>Fc1cccc(CN(Cc2ccccn2)C2CCCC(N(Cc3ccccn3)Cc3cccc(-c4cccc5c4OCCOCCOCCOCCOCCO5)n3)C2)n1 7.802719 0.36923076923076925</t>
  </si>
  <si>
    <t>Cc1ccnc(CN(Cc2ccncc2C(C)(C)N2CCN(C)CCN(C)CC2)C2CCC(N(C)Cc3nc(C)c(C)c(C)c3C)CC2)c1 7.802715 0.32432432432432434</t>
  </si>
  <si>
    <t>CNCc1cccc(C(C)C(C)C)n1 7.802707 0.3</t>
  </si>
  <si>
    <t>CNCNCc1cccc(C)n1 7.8027062 0.45714285714285713</t>
  </si>
  <si>
    <t>CC(C)N(C)CCN(C)CCN(C)C 7.8026924 0.21621621621621623</t>
  </si>
  <si>
    <t>CCOC(=O)c1cccc(CN(Cc2ccccn2)C2CCC(N(C)Cc3cccc(-c4cccc5c4OCCOCCOCCOCCOCCO5)n3)CC2)n1 7.8026905 0.3246753246753247</t>
  </si>
  <si>
    <t>CNCc1cccc(CN(Cc2ccccn2)C2CCC(N(C)Cc3ncccc3CF)CC2)n1 7.8026905 0.3770491803278688</t>
  </si>
  <si>
    <t>Cc1cc(C)c(CN(C)C2CCC(N(C)Cc3ccon3)CC2)cn1 7.802681 0.40425531914893614</t>
  </si>
  <si>
    <t>C1=CNC(N(Cc2ccccn2)Cc2ncccc2-c2ccc3c(c2)OCCOCCOCCOCCOCCO3)C=C1 7.802677 0.38235294117647056</t>
  </si>
  <si>
    <t>CN(Cc1ccc(-c2ccc3c(c2)OCCOCCOCCOCCOCCO3)cn1)C1CCCCC1N(C)Cc1cccc(-c2ccccc2)n1 7.802665 0.4782608695652174</t>
  </si>
  <si>
    <t>CC(C)NCc1cccc(CN(Cc2cccc(-c3ccc4c(c3)OCCOCCOCCOCCOCCO4)n2)Cc2cccc(-c3ccc4c(c3)OCCOCCOCCOCCOCCO4)n2)n1 7.802665 0.36363636363636365</t>
  </si>
  <si>
    <t>CN(Cc1ccccn1)Cc1ncccc1-c1ccc2c(c1)OCCOCCOCCOCCOCCO2 7.802662 0.38596491228070173</t>
  </si>
  <si>
    <t>CNCc1cccc(CN(Cc2ccccn2)C2CCC(N(C)Cc3cccc(CF)n3)CC2)n1 7.802661 0.4444444444444444</t>
  </si>
  <si>
    <t>Cc1cncc(CN(C)C2CCCC(N(C)CCN(C)Cc3nc(C)c(C)c(C)c3C)C2)c1 7.8026466 0.2542372881355932</t>
  </si>
  <si>
    <t>CN1CCN(CCCN(C)c2ccc3cccnc3c2)CCN(C)C(F)C1 7.8026395 0.3064516129032258</t>
  </si>
  <si>
    <t>Cc1cccnc1CN(C)C1CCC(N(Cc2cccnc2)Cc2ccccn2)CC1 7.8026385 0.4107142857142857</t>
  </si>
  <si>
    <t>Cc1ccc(CN(C)Cc2cc(-c3ccc4c(c3)OCCOCCOCCOCCOCCO4)ccn2)cc1 7.802633 0.38461538461538464</t>
  </si>
  <si>
    <t>COC(=O)C(C)NCc1ccc(C(=O)C(C)N2CCN(C)CCN(C(C)c3ccccn3)CC2)c(C)n1 7.8026304 0.2898550724637681</t>
  </si>
  <si>
    <t>CC(NCc1ccccn1)c1cccnc1CNCNCF 7.8026257 0.391304347826087</t>
  </si>
  <si>
    <t>FCN(Cc1ccccn1)C1CCCCC1N(Cc1ccccn1)c1ccccc1F 7.8026247 0.4897959183673469</t>
  </si>
  <si>
    <t>CCN(Cc1cc(C)ccn1)C1CCCCC1N(C)Cc1nc(C)c(C)c(C)c1C 7.8026247 0.4107142857142857</t>
  </si>
  <si>
    <t>CNCc1ncccc1CN(C)C1CCC(N(C)Cc2nc(C)cc(C)c2C)CC1 7.8026147 0.2833333333333333</t>
  </si>
  <si>
    <t>CC(C)C1=CC2(C=CN1)C=CC(C)(C)C(c1cccc(CN(Cc3ccccn3)C3CCCCC3)n1)C2c1cccc(CN(Cc2ccccn2)C2CCCCC2)n1 7.8026056 0.3333333333333333</t>
  </si>
  <si>
    <t>CN(CCF)CCN(Cc1cccc(F)n1)C1CCCCC1N(C)Cc1ccc2ncccc2c1 7.8026047 0.38461538461538464</t>
  </si>
  <si>
    <t>CN(Cc1ccc2cccnc2c1)C1CCCCC1N(C)CC1C=CNC=C1 7.802588 0.41818181818181815</t>
  </si>
  <si>
    <t>Cc1cncc(CN(C)CCN(C)C2C=CC=CN2)c1 7.802585 0.29411764705882354</t>
  </si>
  <si>
    <t>Cc1cc(C)c(CN(C)C2CCC(N(Cc3ccccn3)C(C)C)CC2)nc1C 7.80258 0.42592592592592593</t>
  </si>
  <si>
    <t>COC(=O)C(=O)C(C)C(C)NCc1nc(CN2CCN(C)CCN(C)CC2)c(C)c(C)c1C 7.8025794 0.3559322033898305</t>
  </si>
  <si>
    <t>CNCc1ccc(CN(C)Cc2cccc(-c3cccc4c3OCCOCCOCCOCCOCCO4)n2)cn1 7.8025756 0.3384615384615385</t>
  </si>
  <si>
    <t>Cc1cc(CN(C)C2CCCCC2N(CC2=CCC=CN2)Cc2ccccn2)nc(C)c1C 7.8025637 0.5</t>
  </si>
  <si>
    <t>CCNCc1cccc(-c2cc(NCc3ccccn3)cc3c2OCCOCCOCCOCCOCCO3)n1 7.8025556 0.3333333333333333</t>
  </si>
  <si>
    <t>Cc1ccccc1N(C)C1CCCC(N(C)Cc2cccnn2)C1 7.802527 0.4166666666666667</t>
  </si>
  <si>
    <t>Cc1cc(C)c(CN(C)C2CCC(N(C)Cc3ncccc3CF)CC2)nc1C 7.802516 0.30357142857142855</t>
  </si>
  <si>
    <t>CCOC(=O)c1cccc(CN(Cc2ccccn2)C2CCC(N(C)Cc3cccc(-c4ccc5c(c4)OCCOCCOCCOCCOCCO5)n3)CC2)n1 7.802513 0.35365853658536583</t>
  </si>
  <si>
    <t>CNCc1ncccc1CN(C)C1CCC(N(C)Cc2cc(C)c(C)c(C)n2)CC1 7.8025074 0.31666666666666665</t>
  </si>
  <si>
    <t>CN(Cc1ncccc1-c1cccc2c1OCCOCCOCCOCCOCCO2)C1=CNC(C(C)(C)N)=CC1 7.8025074 0.2318840579710145</t>
  </si>
  <si>
    <t>Cc1cnc(CN(C)C2CCC(N(C)Cc3cccc(C4CC(C)C4)n3)CC2)c(C)c1 7.802493 0.3559322033898305</t>
  </si>
  <si>
    <t>CC(C)C(C)(CN(Cc1ccccn1)Cc1cccc(-c2ccc3c(c2)OCCOCCOCCOCCOCCO3)n1)c1ccccn1 7.802492 0.43478260869565216</t>
  </si>
  <si>
    <t>Cc1ccc(CN(C)C2CCC(N(Cc3ccccn3)Cc3ccccn3)CC2)cn1 7.8024607 0.46938775510204084</t>
  </si>
  <si>
    <t>CN(Cc1ccccn1)C1=CC(CN(C)C2CCCC(N(C)Cc3ccccn3)C2)C=CN1 7.802454 0.45454545454545453</t>
  </si>
  <si>
    <t>CC1C=CC(c2ccccn2)C(N(C)Cc2ccccn2)C1C 7.8024445 0.46808510638297873</t>
  </si>
  <si>
    <t>CC1=CC(c2cccc(CN(Cc3ccccn3)C3CCC(N(C)Cc4ccon4)CC3)n2)C(C)C(C)C1 7.8024216 0.35294117647058826</t>
  </si>
  <si>
    <t>c1ccc(C2=NC(C3CCCN3)CO2)nc1 7.8024178 0.28</t>
  </si>
  <si>
    <t>CNCc1cccc(CN(Cc2cccc(-c3ccc4c(c3)OCCOCCOCCOCCOCCO4)n2)Cc2cccc(-c3ccc4c(c3)OCCOCCOCCOCCOCCO4)n2)n1 7.8024173 0.38095238095238093</t>
  </si>
  <si>
    <t>Cc1cncc2c1CCCC2 7.8024073 0.20408163265306123</t>
  </si>
  <si>
    <t>CC1=CCC(N(C)Cc2cccc(C(C)(C)C)n2)C(C)(C)C1C 7.8024063 0.36363636363636365</t>
  </si>
  <si>
    <t>CC1C=CC(C)C(N(C)Cc2cccc(C(C)(C)C)n2)C1C 7.8023915 0.36</t>
  </si>
  <si>
    <t>Cc1cc(CN(C)C2CCC(N(C)Cc3cc(CF)ccn3)CC2)nc(C)c1C 7.802386 0.32727272727272727</t>
  </si>
  <si>
    <t>Cc1cnc(C2CCC2(C)C)c(C(=O)C(C)NCc2ncccc2CN2CCN(C)CCN(C)CC2)c1C 7.8023844 0.2987012987012987</t>
  </si>
  <si>
    <t>Cc1nccc2c1CCCC2 7.8023834 0.2619047619047619</t>
  </si>
  <si>
    <t>Cc1cc(CN(Cc2cccnc2)C2CCCC(N(C)C)C2)nc(C)c1C 7.8023787 0.2698412698412698</t>
  </si>
  <si>
    <t>CCNC1CC(N(C)Cc2nc(C)c(C)c(C)c2C)CCC1N(C)Cc1ccccn1 7.802374 0.4482758620689655</t>
  </si>
  <si>
    <t>CNC1CCCC(N(Cc2ccccn2)Cc2nc(C)c(C)c(C)c2C)C1 7.80236 0.38596491228070173</t>
  </si>
  <si>
    <t>Cc1ccc(CN(CCNCF)Cc2ccccn2)nc1 7.8023586 0.4888888888888889</t>
  </si>
  <si>
    <t>C=CCNCc1cccc(CN(Cc2ccccn2)C2CCC(N(C)Cc3ncccc3C)CC2)n1 7.802336 0.36764705882352944</t>
  </si>
  <si>
    <t>CNCCN(C(C)C)C(C)(N)N(Cc1ccccn1)CN(C)CNCc1ccccn1 7.802329 0.38596491228070173</t>
  </si>
  <si>
    <t>Cc1cnc(CN(C)C2CCCCC2N(Cc2ccccn2)Cc2cccc(CNCF)n2)c(C)c1C 7.802318 0.4915254237288136</t>
  </si>
  <si>
    <t>Cc1cncc(CN(Cc2cccc(C(C)(C)C)n2)C2CCC(N(C)Cc3ccc(-c4ccc5c(c4)OCCOCCOCCOCCOCCO5)cn3)CC2)c1C 7.8023176 0.38095238095238093</t>
  </si>
  <si>
    <t>CC1=NCC(C(C)NCc2ccccn2)O1 7.8023047 0.38636363636363635</t>
  </si>
  <si>
    <t>CCNCc1cccc(CN(Cc2ccccn2)C2CCC(N(C)Cc3ncccc3C)CC2)n1 7.8022976 0.38333333333333336</t>
  </si>
  <si>
    <t>CN(CC1=CC(N(C)Cc2ccccn2)C=CN1)Cc1cccc(-c2ccc3c(c2)OCCOCCOCCOCCOCCO3)n1 7.8022947 0.417910447761194</t>
  </si>
  <si>
    <t>CN(CC1=CC(N(C)Cc2cccc(-c3ccc4c(c3)OCCOCCOCCOCCOCCO4)n2)C=CN1)Cc1ccccn1 7.802289 0.417910447761194</t>
  </si>
  <si>
    <t>CNCc1cc(CN(C)C2CCC(N(C)Cc3nc(C)cc(C)c3C)CC2)ccn1 7.802265 0.2833333333333333</t>
  </si>
  <si>
    <t>CCNCc1cc(CN(Cc2ccccn2)C2CCC(N(C)Cc3ncccc3C)CC2)ccn1 7.802264 0.3709677419354839</t>
  </si>
  <si>
    <t>FCNCc1cccc(CN(Cc2ccccn2)Cc2cccc(-c3ccc4c(c3)OCCOCCOCCOCCOCCO4)n2)n1 7.8022547 0.45454545454545453</t>
  </si>
  <si>
    <t>CCNCc1ncccc1CN(Cc1ccccn1)C1CCC(N(C)Cc2ncccc2C)CC1 7.8022466 0.38333333333333336</t>
  </si>
  <si>
    <t>CC1CC=C(N(C)Cc2ccccn2)C(C)C1C 7.8022447 0.4666666666666667</t>
  </si>
  <si>
    <t>Cc1ccc(CN(C)C2CCC(N(Cc3ccccn3)Cc3cccc(-c4ccc5c(c4)OCCOCCOCCOCCOCCO5)n3)C(N(C)Cc3ccccn3)C2)nc1 7.8022394 0.36486486486486486</t>
  </si>
  <si>
    <t>Cc1ccc(N(C)C2CCCCC2N(C)Cc2cccnn2)nc1CN(C)C(C)C 7.8022385 0.43103448275862066</t>
  </si>
  <si>
    <t>CNC1NC=CC=C1N(C)Cc1cccc(-c2ccc3c(c2)OCCOCCOCCOCCOCCO3)n1 7.8022385 0.34210526315789475</t>
  </si>
  <si>
    <t>CNCCN(C)Cc1cncc(C)c1 7.8022375 0.3333333333333333</t>
  </si>
  <si>
    <t>CNCc1cc(CN(Cc2cc(C)c(C)c(C)n2)C2CCC(N(C)Cc3cc(-c4ccc5c(c4)OCCOCCOCCOCCOCCO5)ccn3)CC2)ccn1 7.802235 0.313953488372093</t>
  </si>
  <si>
    <t>Cc1cnc(CN(C)C2CCCCC2N(Cc2ccccn2)Cc2cccnc2CNCF)c(C)c1C 7.8022327 0.47540983606557374</t>
  </si>
  <si>
    <t>Cc1cc(C)c(CN(C)C2CCCC(N(C)Cc3cccnn3)C2)nc1C 7.802208 0.4</t>
  </si>
  <si>
    <t>Cc1cc(CN(C)C2CCCCC2N(C)CN(Cc2cc(C)c(C)c(C)n2)C2CCCCC2N(C)Cc2cc(C)c(C)c(C)n2)nc(C)c1C 7.8022037 0.4583333333333333</t>
  </si>
  <si>
    <t>CN(CC1=CCC=CN1)CC1=CCC=CN1 7.8021946 0.475</t>
  </si>
  <si>
    <t>CC(C)NCc1cccc(CN(C)Cc2cccc(-c3ccc4c(c3)OCCOCCOCCOCCOCCO4)n2)n1 7.802189 0.3442622950819672</t>
  </si>
  <si>
    <t>CC1C=CCC(C)(c2cccc(CN(Cc3ccccn3)Cc3cccc(-c4ccc5c(c4)OCCOCCOCCOCCOCCO5)n3)n2)C1C 7.802189 0.41333333333333333</t>
  </si>
  <si>
    <t>CNCC1CCC(N(C)Cc2cccc(C)n2)N1Cc1ccccn1 7.802185 0.44642857142857145</t>
  </si>
  <si>
    <t>CNCc1cc(CN(C)C2CCC(N(C)Cc3cc(C)c(C)c(C)n3)CC2)ccn1 7.8021774 0.3103448275862069</t>
  </si>
  <si>
    <t>C=CCN(C)CCN(C)Cc1cncc(C)c1 7.8021727 0.3488372093023256</t>
  </si>
  <si>
    <t>Cc1cnc(CN(C)C2CCC(N(CCN(C)Cc3ccccn3)Cc3ccccn3)CC2)c(C)c1C 7.80217 0.41818181818181815</t>
  </si>
  <si>
    <t>Cc1cncc(CN(Cc2ccccn2)C2CCC(N(C)Cc3cccc(C4CCC4(C)C)n3)CC2)c1 7.8021665 0.3582089552238806</t>
  </si>
  <si>
    <t>Cc1cc(C)c(C)c(CN(C)C2CCCCC2N(CC2=CCC=CN2)Cc2ccccn2)n1 7.8021655 0.47692307692307695</t>
  </si>
  <si>
    <t>CNCc1ccc(CN(Cc2ccccn2)C2CCC(N(C)Cc3cccc(C4CC(Cl)C4Cl)n3)CC2)cn1 7.8021636 0.34285714285714286</t>
  </si>
  <si>
    <t>CC(C)C(C)N(CC1=C(N(C)Cc2ncccc2-c2ccc3c(c2)OCCOCCOCCOCCOCCO3)CC=CN1)Cc1ccccn1 7.802163 0.2972972972972973</t>
  </si>
  <si>
    <t>Cc1cc(Cl)c2c(c1N(Cc1ccccn1)Cc1ccccn1)OCCOCCOCCOCCOCCO2 7.80216 0.44</t>
  </si>
  <si>
    <t>Cc1cc(CN(C)C2=C(CN3CCN(C)CCN(C)CC3)NC=CC2)nc(C)c1C 7.8021493 0.3448275862068966</t>
  </si>
  <si>
    <t>FCNCc1cc(CN(Cc2ccccn2)Cc2cccc(-c3ccc4c(c3)OCCOCCOCCOCCOCCO4)n2)ccn1 7.8021474 0.42857142857142855</t>
  </si>
  <si>
    <t>CN(Cc1ccccn1)Cc1cccc(N(C)c2ccc3c(c2)OCCOCCOCCOCCOCCO3)n1 7.802142 0.45454545454545453</t>
  </si>
  <si>
    <t>CCNC(C)N(C)Cc1cc(C)ccn1 7.8021383 0.3617021276595745</t>
  </si>
  <si>
    <t>CCN(CC1=CC(N(C)Cc2ncccc2C)C=CN1)Cc1cccc(-c2ccc3c(c2)OCCOCCOCCOCCOCCO3)n1 7.802136 0.3058823529411765</t>
  </si>
  <si>
    <t>CN(Cc1cccc(-c2ccc3c(c2)OCCOCCOCCOCCOCCO3)n1)C1CCC(N(Cc2ccccn2)c2ccnc(CF)c2)CC1 7.8021336 0.36619718309859156</t>
  </si>
  <si>
    <t>Cc1cncc(CN(C)C2CCC(N(C)Cc3ncc(C)c(C)c3C)CC2)c1 7.8021317 0.3148148148148148</t>
  </si>
  <si>
    <t>CC(C)N(Cc1cccc(CN(C)Cc2cccc(-c3ccc4c(c3)OCCOCCOCCOCCOCCO4)n2)n1)Cc1cccc(-c2ccc3c(c2)OCCOCCOCCOCCOCCO3)n1 7.8021293 0.3620689655172414</t>
  </si>
  <si>
    <t>CC1=CC(C)(C)C(C)C(N(C)Cc2ncccc2C(C)(C)C)C1 7.802116 0.3157894736842105</t>
  </si>
  <si>
    <t>CC1=NCC(C(C)N(C)Cc2ccccn2)O1 7.8021054 0.4375</t>
  </si>
  <si>
    <t>CN(Cc1cccc(C2CC(C)(C)C2)n1)C1CCC(N(C)Cc2cccc(C3CC(C)(C)C3)n2)CC1 7.8021007 0.425531914893617</t>
  </si>
  <si>
    <t>Cc1cnccc1CN(C)C1CCCC(N(Cc2ccccn2)Cc2ccccn2)C1 7.8020954 0.46153846153846156</t>
  </si>
  <si>
    <t>CNCc1cccc(CN(C)Cc2cccc(-c3ccc4c(c3)OCCOCCOCCOCCOCCO4)n2)n1 7.8020773 0.3620689655172414</t>
  </si>
  <si>
    <t>Cc1ccnc(CN(C)C2CCCC(N(C)Cc3ncc(C)c(C)c3C)C2)c1 7.802073 0.3888888888888889</t>
  </si>
  <si>
    <t>CC1=CC(C(C)N(C)Cc2cc(C(C)(C)C)ccn2)C(C)C(C)(C)C1 7.8020477 0.23809523809523808</t>
  </si>
  <si>
    <t>CCN(Cc1ccccn1)C1CCCC(N(C)Cc2nc(C)c(C)c(C)c2C)C1 7.8020473 0.43636363636363634</t>
  </si>
  <si>
    <t>Cc1cc(CN(C)C2CCCC(N(Cc3ccc(CN4CCN(C)CCN(C)CC4)cn3)Cc3cc(C)c(C)c(C)n3)C2)nc(C)c1C 7.802018 0.3333333333333333</t>
  </si>
  <si>
    <t>C=CCN(C)CCN(C)Cc1cccnc1C 7.8020177 0.5</t>
  </si>
  <si>
    <t>Cc1ccc(CN(C)C2CCC(N(C)Cc3ccccn3)CC2N(Cc2ccccn2)Cc2cccc(-c3ccc4c(c3)OCCOCCOCCOCCOCCO4)n2)nc1 7.8020105 0.3835616438356164</t>
  </si>
  <si>
    <t>Cc1nc(CN(C)C2CCC(N(C)C)CC2)c(C)c(C)c1C 7.801998 0.2708333333333333</t>
  </si>
  <si>
    <t>CNCc1cccnn1 7.8019953 0.5</t>
  </si>
  <si>
    <t>CC1=C(C)C(C)CC2(C1)C(C)C(C)=C(C)C(N(C)Cc1ccccn1)C2C 7.80199 0.42592592592592593</t>
  </si>
  <si>
    <t>CN(Cc1cccnn1)C1CCCC(N(Cc2ccccn2)Cc2cccnc2F)C1 7.801988 0.46296296296296297</t>
  </si>
  <si>
    <t>C=CCNCc1cccc(CN(Cc2ccccn2)C2CCC(N(C)Cc3cccc(C)n3)CC2)n1 7.8019753 0.4166666666666667</t>
  </si>
  <si>
    <t>Cc1cc(CN(Cc2ccccn2)C2CCCC(N(C)C)C2)nc(C)c1C 7.801971 0.4339622641509434</t>
  </si>
  <si>
    <t>CN(Cc1cccc(-c2cccc3c2OCCOCCOCCOCCOCCO3)n1)C1=CNC(C(C)(C)C)=CC1 7.801964 0.2647058823529412</t>
  </si>
  <si>
    <t>CN1CCN(C)CCN(CC2C(N(C)c3ccc4ncc(CF)cc4c3)CCN2C)CC1 7.801946 0.29850746268656714</t>
  </si>
  <si>
    <t>CNCc1cccc(CN(C)C2CCC(N(C)Cc3cc(C)c(C)c(C)n3)CC2)n1 7.801946 0.39622641509433965</t>
  </si>
  <si>
    <t>CN1CCN(Cc2cccnc2C2OC=NC2(C)C)CCN(Cc2ncccc2C(C)(C)C)CC1 7.801936 0.3442622950819672</t>
  </si>
  <si>
    <t>Cc1cnc(CN(C)C2CCC(N(C)Cc3ccon3)CC2)c(C)c1 7.801933 0.40425531914893614</t>
  </si>
  <si>
    <t>CC(C)(C)N1C2=CC=CC1C=NCC1=CC=CC(CN=C2)N1C(C)(C)C 7.801931 0.18867924528301888</t>
  </si>
  <si>
    <t>Cc1c(CN2CCN(C)CCN(C)CC2)nc(C(C)(C)C)c(C)c1C 7.801929 0.41304347826086957</t>
  </si>
  <si>
    <t>Cc1cncc(C(C)(C)N(C)c2cccnc2CN2CCN(C)CCN(C)CC2)c1 7.8019176 0.38596491228070173</t>
  </si>
  <si>
    <t>Cc1cc(C)c(CN(C)C2CCCC(N(Cc3ccccn3)C(C)C)C2)nc1C 7.801902 0.42857142857142855</t>
  </si>
  <si>
    <t>CNCc1ccc(CN(C)Cc2cccc(-c3ccc4c(c3)OCCOCCOCCOCCOCCO4)n2)cn1 7.8019004 0.3698630136986301</t>
  </si>
  <si>
    <t>CN(CC1=CC(N(C)Cc2ccccn2)C=CN1)Cc1cc(-c2ccc3c(c2)OCCOCCOCCOCCOCCO3)ccn1 7.8018947 0.3333333333333333</t>
  </si>
  <si>
    <t>FCNCc1ccc(CN(Cc2ccccn2)Cc2cccc(-c3ccc4c(c3)OCCOCCOCCOCCOCCO4)n2)cn1 7.8018894 0.410958904109589</t>
  </si>
  <si>
    <t>FCc1ncccc1-c1ccc2c(c1)OCCOCCOCC(NCc1ccccn1)OCCOCCO2 7.8018866 0.3246753246753247</t>
  </si>
  <si>
    <t>CCN(Cc1nc(C)c(C)c(C)c1C)C1CCCCC1N(C)Cc1ccc([SiH3])cn1 7.8018727 0.5</t>
  </si>
  <si>
    <t>CC1=CCC(N(C)Cc2ncccc2C(C)(C)C)CC1C 7.80186 0.2807017543859649</t>
  </si>
  <si>
    <t>Cc1cc(C)c(CN(C)C2CCCC(N(C)Cc3ccon3)C2)cn1 7.8018594 0.38</t>
  </si>
  <si>
    <t>CN(Cc1cccc(-c2ccc3c(c2)OCCOCCOCCOCCOCCO3)n1)C1CCCCC1N(Cc1ccccn1)Cc1cccc(C2=CCC=CN2)n1 7.801837 0.4166666666666667</t>
  </si>
  <si>
    <t>Cc1cccc(N2CCN(C)CCN(Cc3ncccc3C(C)(C)C)CC2)c1 7.801835 0.4339622641509434</t>
  </si>
  <si>
    <t>CCN(Cc1ccc(CF)cn1)C1CCCC(N(C)Cc2cc(C)c(C)c(C)n2)C1 7.8018327 0.3492063492063492</t>
  </si>
  <si>
    <t>COC(=O)C(=O)C(C)C(C)NC(C)C(C)N 7.8018303 0.13559322033898305</t>
  </si>
  <si>
    <t>CC(N)C(C)(c1cccnc1)c1ncccc1CN(Cc1ccccn1)C1CCCCC1 7.801829 0.36507936507936506</t>
  </si>
  <si>
    <t>CN1CCN(C)CCN(Cc2cnccc2N(C)Cc2ncccc2CF)CC1 7.8018284 0.4074074074074074</t>
  </si>
  <si>
    <t>Cc1cccnc1CN(C)C1CCCCC1N(CCN(C)Cc1cc(C)c(C)c(C)n1)Cc1ccccn1 7.8018246 0.4915254237288136</t>
  </si>
  <si>
    <t>CCNCc1cccc(CN(Cc2ccccn2)C2CCC(N(C)Cc3cccc(C)n3)CC2)n1 7.801823 0.44642857142857145</t>
  </si>
  <si>
    <t>CN(Cc1cccc(-c2ccc3c(c2)OCCOCCOCCOCCOCCO3)n1)C1=CNC(C(C)(C)C)=CC1 7.8018117 0.2987012987012987</t>
  </si>
  <si>
    <t>CNCc1cc(CN(C)C2CCCC(N(C)Cc3cc(C)c(C)c(C)n3)C2)ccn1 7.8018093 0.31666666666666665</t>
  </si>
  <si>
    <t>Cc1ccc2c(n1)CCCC2 7.801801 0.3333333333333333</t>
  </si>
  <si>
    <t>CCOC(=O)c1cc(CN(Cc2ccccn2)C2CCCCC2)ccn1 7.801793 0.39655172413793105</t>
  </si>
  <si>
    <t>Cc1ccc(CN(C)C2CCC(N(CC3=CCC=CN3)Cc3ccon3)CC2)nc1 7.801782 0.4032258064516129</t>
  </si>
  <si>
    <t>CN(CCF)CCN(C)C1CCCCC1N(C)c1cccc2ncccc12 7.801779 0.46296296296296297</t>
  </si>
  <si>
    <t>Cc1cnc(CN(C)C2=CNC(CN3CCN(C)CCN(C)CC3)=CC2)c(C)c1C 7.8017745 0.41379310344827586</t>
  </si>
  <si>
    <t>CN(CCN(C)c1ccc2cccnc2c1)Cc1cccc2c1OCCOCCOCCOCCOCCO2 7.801774 0.41379310344827586</t>
  </si>
  <si>
    <t>CNC1CCC(N(C)Cc2cc(C)ccn2)CC1N(Cc1ccccn1)Cc1ccccn1 7.801771 0.45454545454545453</t>
  </si>
  <si>
    <t>Cc1cccnc1CN(C)C1CCCC(N(C)c2cccnc2CN(C)C(C)C)C1 7.801754 0.32786885245901637</t>
  </si>
  <si>
    <t>Cc1cnc(CN(C)C2CCC(N(Cc3ncccc3C)C(C)C)CC2)c(C)c1 7.8017473 0.3103448275862069</t>
  </si>
  <si>
    <t>Cc1cccnc1CN(C)C1CCC(N(C)Cc2ncc(C)c(C)c2C)CC1 7.801735 0.36</t>
  </si>
  <si>
    <t>Cc1nc(CN2CCN(C)CCN(Cc3ccc(CN(C)C)nc3)CC2)c(C)c(C)c1C 7.80173 0.40350877192982454</t>
  </si>
  <si>
    <t>CCNCc1ccon1 7.8017273 0.45454545454545453</t>
  </si>
  <si>
    <t>Cc1cc(CN(C)C2CCC(N(C)Cc3cccnc3C)CC2)nc(C)c1C 7.8017035 0.3584905660377358</t>
  </si>
  <si>
    <t>CCNCc1ccc(CN(Cc2ccccn2)C2CCCC(N(C)Cc3ccc(C)cn3)C2)cn1 7.8016977 0.41935483870967744</t>
  </si>
  <si>
    <t>CC(N)C(C)(c1cccnc1)c1ccc(CN(Cc2ccccn2)C2CCCCC2)cn1 7.80168 0.35384615384615387</t>
  </si>
  <si>
    <t>Fc1cccc(N(Cc2ccccn2)C2CCCCC2N(Cc2cncc(-c3cccc4c3OCCOCCOCCOCCOCCO4)c2)Cc2ccccn2)c1 7.8016796 0.3116883116883117</t>
  </si>
  <si>
    <t>CCCN(C)CCN(C)Cc1ncccc1C 7.8016787 0.42857142857142855</t>
  </si>
  <si>
    <t>Cc1cc(CN(C)C2CCCC(N(C)Cc3cc(CF)ccn3)C2)nc(C)c1C 7.801674 0.3333333333333333</t>
  </si>
  <si>
    <t>Cc1cc(CN(Cc2ccccn2)Cc2ncccc2CN2CCN(C)CCN(C)CC2)ccn1 7.801669 0.49056603773584906</t>
  </si>
  <si>
    <t>CC1=CC(C)C(CN(Cc2ccccn2)Cc2ccccn2)C(C)C1 7.8016586 0.48717948717948717</t>
  </si>
  <si>
    <t>CNC1CCCCC1N(Cc1cc(C)ccn1)Cc1nc(C)c(C)c(C)c1C 7.801657 0.31666666666666665</t>
  </si>
  <si>
    <t>Cc1ccc(CN(C)C2CCCC(N(Cc3ccc(CN(C)C(C)(C)C)nc3)Cc3ccccn3)C2)nc1 7.8016524 0.43333333333333335</t>
  </si>
  <si>
    <t>Cc1cnc(CN(C)C2CCCC(N(C)Cc3cccnc3C)C2)c(C)c1C 7.8016233 0.34545454545454546</t>
  </si>
  <si>
    <t>CNCc1cc(CN(C)C2CCC(N(C)Cc3nc(C)c(C)cc3C)CC2)ccn1 7.8016033 0.29310344827586204</t>
  </si>
  <si>
    <t>Cc1cncc(CN(C)C2CCCC(N(C)Cc3ncc(C)c(C)c3C)C2)c1 7.801603 0.32142857142857145</t>
  </si>
  <si>
    <t>CCNCc1cc(CN(C)C2CCC(N(C)Cc3nc(C)c(C)c(C)c3C)CC2)ccn1 7.8015947 0.2786885245901639</t>
  </si>
  <si>
    <t>Cc1ccc(C)c(CN(C)C2=CCC=C(CN3CCN(C)CCN(C)CC3)N2)n1 7.8015914 0.38181818181818183</t>
  </si>
  <si>
    <t>Cc1cnccc1CN(C)C1CCCC(N(C)Cc2ncc(C)c(C)c2C)C1 7.80159 0.32142857142857145</t>
  </si>
  <si>
    <t>C=CCN(C)Cc1cccc(C(C)C(C)C)n1 7.8015847 0.43902439024390244</t>
  </si>
  <si>
    <t>COC(=O)C1C(C(=O)C(C)N)CC(C(=O)C(C)N)N(C)C1C(=O)C(C)N 7.801577 0.2222222222222222</t>
  </si>
  <si>
    <t>Cc1ccnc(CN(C)C2CCC(N(C)Cc3cc(C)c(C)c(C)n3)CC2)c1 7.801576 0.34615384615384615</t>
  </si>
  <si>
    <t>CC1=CC(C)(c2ccccn2)CCC1C 7.80157 0.2857142857142857</t>
  </si>
  <si>
    <t>CCNCc1ncccc1CN(Cc1ccccn1)C1CCCCC1N(C)Cc1nccc(C)c1C 7.801567 0.5</t>
  </si>
  <si>
    <t>CCN(Cc1cccc(-c2ccc3c(c2)OCCOCCOCCOCCOCCO3)n1)Cc1cccc(C(C)(C)C)n1 7.801567 0.34328358208955223</t>
  </si>
  <si>
    <t>CN(CCF)CCN(C)C(c1ccccc1)c1ccccn1 7.80155 0.4791666666666667</t>
  </si>
  <si>
    <t>CNCc1ncccc1CN(C)C(C)C 7.801549 0.37777777777777777</t>
  </si>
  <si>
    <t>Cc1ccc(CN(C)C2CCCC(N(Cc3ccccn3)Cc3cccc(CN(C)C(C)C)n3)C2)nc1 7.801549 0.4406779661016949</t>
  </si>
  <si>
    <t>Cc1cccnc1CN(C)C1CCC(N(Cc2ccccn2)Cc2cccnc2CN(C)CN)CC1 7.8015375 0.3898305084745763</t>
  </si>
  <si>
    <t>Cc1ccc(CN2CCN(C)CCN(CC3=CCC(N(C)Cc4cncc(C)c4C)=CN3)CC2)nc1 7.8015337 0.3283582089552239</t>
  </si>
  <si>
    <t>Cc1cccnc1CN(Cc1ccccn1)C1CC(N(C)Cc2ccccn2)CCC1N(C)Cc1cccc(-c2ccc3c(c2)OCCOCCOCCOCCOCCO3)n1 7.801523 0.36486486486486486</t>
  </si>
  <si>
    <t>CN(CC1=CC(N(C)C(c2ccccn2)c2ccccn2)C=CN1)c1ccc2c(c1)OCCOCCOCCOCCOCCO2 7.8015227 0.30985915492957744</t>
  </si>
  <si>
    <t>CNCc1cc(CN(C)Cc2cc(-c3ccc4c(c3)OCCOCCOCCOCCOCCO4)ccn2)ccn1 7.801512 0.36764705882352944</t>
  </si>
  <si>
    <t>Cc1nc(CN(C)C2CCC(N(C)Cc3cccc(C4CC(C)C4N)n3)CC2)c(C)c(C)c1C 7.801512 0.35</t>
  </si>
  <si>
    <t>C=CCNCc1cccc(CN(Cc2ccccn2)C2CCCC(N(C)Cc3cccc(C)n3)C2)n1 7.8015103 0.41935483870967744</t>
  </si>
  <si>
    <t>CNCc1cc(CN(C)C2CCCCC2N(C)Cc2nc(C)c(C)c(C)c2C)ccn1 7.801505 0.41818181818181815</t>
  </si>
  <si>
    <t>CC(C)N(C)CCN(C(C)C)C(C)N 7.801505 0.175</t>
  </si>
  <si>
    <t>CCN(Cc1ccccn1)Cc1ncccc1CN(C)C1CCC(N(C)Cc2ncccc2C)CC1 7.801496 0.41818181818181815</t>
  </si>
  <si>
    <t>CN1CCN(C)CCN(Cc2ccc(CN(Cc3ccc(F)nc3)Cc3ccc(F)nc3)nc2)CC1 7.801495 0.42</t>
  </si>
  <si>
    <t>CC1C=CCC(C)(c2ncccc2CN(Cc2ccccn2)Cc2cccc(-c3ccc4c(c3)OCCOCCOCCOCCOCCO4)n2)C1C 7.8014894 0.3924050632911392</t>
  </si>
  <si>
    <t>CNCc1ncccc1CN(C)C1CCCCC1N(C)Cc1nc(C)c(C)c(C)c1C 7.8014855 0.41818181818181815</t>
  </si>
  <si>
    <t>CCNC1CC(N(C)Cc2cc(C)ccn2)CCC1N(Cc1ccccn1)Cc1ncccc1C 7.8014855 0.38461538461538464</t>
  </si>
  <si>
    <t>CCNCc1cc(CN(Cc2ccccn2)C2CCCC(N(C)Cc3ncccc3C)C2)ccn1 7.801477 0.375</t>
  </si>
  <si>
    <t>CCNCc1cccc(CN(Cc2ccccn2)C2CCCC(N(C)Cc3ncccc3C)C2)n1 7.801471 0.3870967741935484</t>
  </si>
  <si>
    <t>Cc1cnc(C)c(C)c1CN(C)C1=CNC=C(CN2CCN(C)CCN(C)CC2)C1 7.8014607 0.36666666666666664</t>
  </si>
  <si>
    <t>c1ccc(CN(Cc2ccccn2)Cc2cccc(-c3ccc4c(c3)OCCOCCOCCOCCOCCO4)n2)cc1 7.801458 0.5</t>
  </si>
  <si>
    <t>Cc1cccnc1CN(C)C1CCC(N(Cc2ccccn2)Cc2cccc(C3(C)C=CC(C)CC3(C)C)n2)CC1 7.8014574 0.3333333333333333</t>
  </si>
  <si>
    <t>Cc1cccnc1CN(Cc1cc(C)c(C)c(C)n1)C1CCCCC1N(C)CCN(C)Cc1ccccn1 7.801455 0.4666666666666667</t>
  </si>
  <si>
    <t>Cc1nccc(CN(C)C2CCCC(N(C)Cc3ccon3)C2)c1C 7.8014393 0.3958333333333333</t>
  </si>
  <si>
    <t>CN(Cc1ccccn1)Cc1cccc(CN(Cc2cccc(CN(Cc3ccccn3)Cc3cccc(CN(Cc4ccccn4)Cc4cccc(C5CC6OCCOCCOCCOCCOCCOC65)n4)n3)n2)Cc2cccc(-c3cccc4c3OCCOCCOCCOCCOCCO4)n2)n1 7.801426 0.4057971014492754</t>
  </si>
  <si>
    <t>CCNCc1ncccc1-c1cc(NCc2ccccn2)cc2c1OCCOCCOCCOCCOCCO2 7.8014 0.3103448275862069</t>
  </si>
  <si>
    <t>c1ccc(CN(Cc2ccccn2)Cc2ncccc2-c2cccc3c2OCCOCCOCCOCCOCCO3)cc1 7.8014 0.4</t>
  </si>
  <si>
    <t>Cc1cc(CN(C)C2CCC(N(C)C3=CCC=CN3)CC2)nc(C)c1C 7.801399 0.265625</t>
  </si>
  <si>
    <t>Cc1ccc(CN(C)CCN(Cc2ccccn2)Cc2cccc(-c3cccc4c3OCCOCCOCCOCCOCCO4)n2)nc1 7.801386 0.4153846153846154</t>
  </si>
  <si>
    <t>CC1C=CC(C)(c2cccc(CN(Cc3ccccn3)Cc3cccc(-c4ccc5c(c4)OCCOCCOCCOCCOCCO5)n3)n2)CC1C(C)(C)C 7.8013825 0.3974358974358974</t>
  </si>
  <si>
    <t>CNC(C)(C)N(Cc1cc(C)ccn1)C1CCCC(N(C)Cc2cc(C)c(C)c(C)n2)C1 7.8013763 0.2878787878787879</t>
  </si>
  <si>
    <t>CCCN(C)Cc1ncccc1C(C)(C)C(C)C 7.8013606 0.35555555555555557</t>
  </si>
  <si>
    <t>CC1=CC(C)CC2(C1)C(CN(Cc1ccccn1)Cc1ccccn1)C(CN(C)Cc1cccnn1)C=CC21CCC(C)C=C1C 7.801355 0.37142857142857144</t>
  </si>
  <si>
    <t>CNCCN(C)Cc1ncccc1F 7.801353 0.38095238095238093</t>
  </si>
  <si>
    <t>Cc1cccnc1CN(Cc1ncc(C)c(C)c1C)C1CCC(N(C)Cc2cc(-c3ccc4c(c3)OCCOCCOCCOCCOCCO4)ccn2)CC1 7.8013506 0.345679012345679</t>
  </si>
  <si>
    <t>CN(CC1=NCC(C)(C)O1)CC(C)(C)C 7.8013463 0.2608695652173913</t>
  </si>
  <si>
    <t>Cc1cc(C)c(CN(C)C2=C(CN3CCN(C)CCN(C)CC3)NC=CC2)nc1C 7.801332 0.3275862068965517</t>
  </si>
  <si>
    <t>CN1CCN(Cc2ccc(C3=CC4OCCOC=COCCOCCOCCOC4C=C3)cn2)CCN(Cc2cccc(-c3cccc(N=Cc4ccccn4)c3)n2)CC1 7.801327 0.32926829268292684</t>
  </si>
  <si>
    <t>CC(C)N(C)Cc1cccc(CF)n1 7.8013134 0.43243243243243246</t>
  </si>
  <si>
    <t>CN(Cc1cccc(-c2ccccc2)n1)C1CCC(N(C)Cc2cccc(-c3ccc4c(c3)OCCOCCOCCOCCOCCO4)n2)CC1 7.801312 0.36764705882352944</t>
  </si>
  <si>
    <t>Cc1cccc(CN(CCN(Cc2ccccn2)C(C)C)Cc2cccc(-c3ccc4c(c3)OCCOCCOCCOCCOCCO4)n2)n1 7.801306 0.4426229508196721</t>
  </si>
  <si>
    <t>CN(CC1=C(N(Cc2ccccn2)C2=CCC=CN2)CC=CN1)c1cccc2c1OCCOCCOCCOCCOCCO2 7.801298 0.3698630136986301</t>
  </si>
  <si>
    <t>CNCc1ccc(CN(C)C2CCCC(N(C)Cc3cc(C)c(C)c(C)n3)C2)cn1 7.801291 0.35</t>
  </si>
  <si>
    <t>CNCc1nc(-c2cccc3c2OCCOCCOCCOCCOCCO3)c(C)c(C)c1C 7.8012886 0.20833333333333334</t>
  </si>
  <si>
    <t>CN(CCNCc1ncccc1C(C)(C)C)CC(C)(C)C 7.8012757 0.34</t>
  </si>
  <si>
    <t>CNCc1nc(CN(C)C2CCCCC2N(C)Cc2ncccc2C)c(C)c(C)c1C 7.801272 0.4423076923076923</t>
  </si>
  <si>
    <t>CC1CC=C(N(C)Cc2ccccn2)C(C)(C)C1C 7.801271 0.44680851063829785</t>
  </si>
  <si>
    <t>Cc1cccnc1CN(Cc1cccc(-c2ccc3c(c2)OCCOCCOCCOCCOCCO3)n1)C(C)C 7.80126 0.34285714285714286</t>
  </si>
  <si>
    <t>CN(Cc1ncccc1-c1ccccc1)C1CCCCC1 7.801258 0.425531914893617</t>
  </si>
  <si>
    <t>Cc1cc(-c2cccc3c2OCCOCCOCCOCCOCCO3)c(C)nc1CN(C)CCN(C)C 7.80124 0.2982456140350877</t>
  </si>
  <si>
    <t>CN(Cc1ccccn1)C1=CCC=C(CN(C)C2CCC(N(Cc3ccccn3)Cc3cccc(-c4cccc5c4OCCOCCOCCOCCOCCO5)n3)CC2)N1 7.801234 0.3246753246753247</t>
  </si>
  <si>
    <t>CN(C)Cc1ccc2ccc(N(C)C3CCCC(N(C)C4CCC(N(C)Cc5cccc(-c6ccc7c(c6)OCCOCCOCCOCCOCCO7)n5)CC4)C3)cc2n1 7.8012214 0.3176470588235294</t>
  </si>
  <si>
    <t>CC(C)C(C)N(C)Cc1cc(-c2cc3c(cc2N(C)Cc2cc(-c4ccc5c(c4)OCCOCCOCCOCCOCCO5)ccn2)OCCOCCOCCOCCOCCO3)ccn1 7.8012214 0.3424657534246575</t>
  </si>
  <si>
    <t>Cc1cccnc1CN(C)C1CCC(N(C)Cc2ccccn2)C(N(Cc2ccccn2)Cc2ccc(-c3ccc4c(c3)OCCOCCOCCOCCOCCO4)cn2)C1 7.801217 0.3950617283950617</t>
  </si>
  <si>
    <t>CNCc1cc(CN(C)C(C)C)ccn1 7.8011975 0.3409090909090909</t>
  </si>
  <si>
    <t>CN(Cc1ccc(-c2ccc3c(c2)OCCOCCOCCOCCOCCO3)cn1)C1=CNC(C(C)(C)C)=CC1 7.8011928 0.43478260869565216</t>
  </si>
  <si>
    <t>CN(Cc1cc(-c2ccc3c(c2)OCCOCCOCCOCCOCCO3)ccn1)Cc1nc(-c2ccc3c(c2)OCCOCCOCCOCCOCCO3)ccc1C(C)(C)C 7.801191 0.3424657534246575</t>
  </si>
  <si>
    <t>CNC1CCCC(N(C)Cc2cc(C)c(C)c(C)n2)C1N(C)Cc1cc(C)ccn1 7.8011804 0.36666666666666664</t>
  </si>
  <si>
    <t>CC(C)N(Cc1cccc(-c2cccc3c2OCCOCCOCCOCCOCCO3)n1)Cc1cccc(C(C)(C)C)n1 7.80118 0.2786885245901639</t>
  </si>
  <si>
    <t>CN(Cc1cccc(CF)n1)Cc1cccc(-c2ccc3c(c2)OCCOCCOCCOCCOCCO3)n1 7.801178 0.38181818181818183</t>
  </si>
  <si>
    <t>Cc1cccc(-c2cccc(CN(C)C3CCCCC3N(C)Cc3cccc(-c4ccc5c(c4)OCCOCCOCCOCCOCCO5)n3)n2)c1 7.801178 0.47368421052631576</t>
  </si>
  <si>
    <t>Cc1ccnc(CN(C)C2CCC(N(C)Cc3nc(C)c(C)cc3C)CC2)c1 7.801177 0.33962264150943394</t>
  </si>
  <si>
    <t>Cc1cccnc1CN(C)C1CCC(N(Cc2ccccn2)Cc2ccccc2F)CC1 7.8011756 0.43636363636363634</t>
  </si>
  <si>
    <t>Cc1cc(C)c(CN(C)C2CCC(N(Cc3cccc(F)n3)C3CCC(N(Cc4cccc(F)n4)Cc4cccnc4F)CC3)CC2)nc1C 7.8011646 0.2857142857142857</t>
  </si>
  <si>
    <t>CN1CCN(C)CCN(Cc2ccc(CNCc3cccc(C4=CCC=CN4)n3)nc2)CC1 7.8011603 0.3548387096774194</t>
  </si>
  <si>
    <t>CC1C=CCC(N=Cc2ccccn2)C1CN(C)Cc1cccnn1 7.8011546 0.38596491228070173</t>
  </si>
  <si>
    <t>Cc1nc(CN(C)C2CCCCC2N(CC2=CCC=CN2)Cc2ccccn2)c(C)c(C)c1C 7.801138 0.49206349206349204</t>
  </si>
  <si>
    <t>Cc1cc(CN(C)C2=CNC(CN3CCN(C)CCN(C)CC3)=CC2)c(C)nc1C 7.801137 0.3559322033898305</t>
  </si>
  <si>
    <t>CN(CC1=CCC=C(N(C)Cc2ncccc2-c2cccc3c2OCCOCCOCCOCCOCCO3)N1)CC(C)(C)C 7.8011336 0.2361111111111111</t>
  </si>
  <si>
    <t>Cc1ccc(CN(C)C2CCC(N(Cc3ccccn3)Cc3cccc(-c4ccc5c(c4)OCCOCCOCCOCCOCCO5)n3)CC2N(Cc2cccc(C)n2)Cc2cccc(-c3ccc4c(c3)OCCOCCOCCOCCOCCO4)n2)nc1 7.801132 0.36363636363636365</t>
  </si>
  <si>
    <t>CNCCN(Cc1cc(C)ccn1)C(C)C 7.801128 0.47619047619047616</t>
  </si>
  <si>
    <t>C=CCN(C)CC1=CCC=C(N(C)Cc2cccc(-c3ccc4c(c3)OCCOCCOCCOCCOCCO4)n2)N1 7.8010807 0.27710843373493976</t>
  </si>
  <si>
    <t>CC(C)N(Cc1cccc(CN(C)C2CCC(N(C)Cc3cc(-c4ccc5cccnc5c4)ccn3)CC2)n1)Cc1cccc(C2CC3OCCOCCOCCOCCOCCOC32)n1 7.801073 0.2692307692307692</t>
  </si>
  <si>
    <t>CCCN(Cc1ccccn1)C1=CNC(CN(C)Cc2cccc(-c3ccc4c(c3)OCCOCCOCCOCCOCCO4)n2)=CC1 7.8010726 0.39436619718309857</t>
  </si>
  <si>
    <t>CNC1CCCCC1N(Cc1ccc(C)cn1)Cc1nc(C)c(C)c(C)c1C 7.8010626 0.49056603773584906</t>
  </si>
  <si>
    <t>CCNC1=CC(C)CC(C)C1c1ccccn1 7.8010583 0.32727272727272727</t>
  </si>
  <si>
    <t>CCN(Cc1cccc(CN(C)C2CCC(N(C)Cc3ccccn3)CC2)n1)Cc1cccc(C2CC(C)C2)n1 7.8010283 0.43636363636363634</t>
  </si>
  <si>
    <t>Cc1cncc(CN(C)C2CCC(N(C)Cc3cc(C)c(C)c(C)n3)CC2)c1 7.8010235 0.3090909090909091</t>
  </si>
  <si>
    <t>Cc1ccc(CN(C)C2CCC(N(Cc3ccccn3)Cc3cccnn3)CC2)nc1 7.8010225 0.48</t>
  </si>
  <si>
    <t>Cc1ccnc(CN(C)C2CCCC(N(C)Cc3cc(C)c(C)c(C)n3)C2)c1 7.801021 0.35185185185185186</t>
  </si>
  <si>
    <t>CC(C)(C)CNCc1cccc(CN(Cc2ccccn2)Cc2ccc(-c3ccc4c(c3)OCCOCCOCCOCCOCCO4)cn2)n1 7.8010197 0.40540540540540543</t>
  </si>
  <si>
    <t>Cc1cccnc1CN(C)C1CCCC(N(Cc2ccnc(CN(C)C(C)C)c2)Cc2ccccn2)C1 7.801012 0.38095238095238093</t>
  </si>
  <si>
    <t>Cc1ccc(CN(C)C2CCCC(N(CC3=CCC=CN3)Cc3ccccn3)C2)nc1C 7.8010025 0.49206349206349204</t>
  </si>
  <si>
    <t>CC(C)(C)C1=C(CN(Cc2ccccn2)Cc2cccc(-c3ccc4c(c3)OCCOCCOCCOCCOCCO4)n2)NC=CC1 7.80099 0.4246575342465753</t>
  </si>
  <si>
    <t>Cc1cc(CN(C)C2CCCC(N(C)Cc3ccon3)C2)cnc1C 7.8009844 0.38</t>
  </si>
  <si>
    <t>CNCc1ccc(CN(C)C2CCC(N(C)Cc3nc(C)c(C)cc3C)CC2)cn1 7.8009834 0.3275862068965517</t>
  </si>
  <si>
    <t>c1ccc(CN(Cc2ccccn2)Cc2ccc(-c3ccc4c(c3)OCCOCCOCCOCCOCCO4)cn2)cc1 7.8009834 0.4838709677419355</t>
  </si>
  <si>
    <t>CCOC(C)c1ccccn1 7.800982 0.39473684210526316</t>
  </si>
  <si>
    <t>CCNCc1cccc(CN(Cc2ccccn2)C2CCCC(N(C)Cc3cccc(C)n3)C2)n1 7.8009787 0.4482758620689655</t>
  </si>
  <si>
    <t>CCCN(Cc1ccccn1)C1=C(CN(C)Cc2cccc(-c3ccc4c(c3)OCCOCCOCCOCCOCCO4)n2)NC=CC1 7.8009753 0.3888888888888889</t>
  </si>
  <si>
    <t>Cc1cccnc1CN(C)C1CCC(N(C)Cc2cc(C)c(C)c(C)n2)CC1 7.80097 0.3584905660377358</t>
  </si>
  <si>
    <t>Cc1cnc(C)c(CN(C)C2CCCC(N(C)Cc3ccccn3)C2N(Cc2ccccn2)Cc2ncccc2-c2cccc3c2OCCOCCOCCOCCOCCO3)c1 7.8009624 0.3835616438356164</t>
  </si>
  <si>
    <t>CNC1CCCCC1N(Cc1cccc(C)n1)Cc1nc(C)c(C)c(C)c1C 7.8009624 0.5</t>
  </si>
  <si>
    <t>CN(CCF)CN(C)Cc1cccc(N)n1 7.8009586 0.46153846153846156</t>
  </si>
  <si>
    <t>CCN(Cc1cccc(C)n1)C1CCCC(N(C)Cc2cc(C)c(C)c(C)n2)C1 7.8009567 0.48148148148148145</t>
  </si>
  <si>
    <t>CC1CC(C)C1 7.8009562 0.14285714285714285</t>
  </si>
  <si>
    <t>CC1=CC(C)C(N(Cc2ccccn2)Cc2cccc(N(C)C3CCCC(N(Cc4ccccn4)Cc4cccc(-c5ccc6c(c5)OCCOCCOCCOCCOCCO6)n4)C3)n2)C(C)C1 7.8009367 0.32954545454545453</t>
  </si>
  <si>
    <t>Cc1ncccc1CN(C)C1CCCC(N(Cc2ccccn2)Cc2cccnn2)C1 7.8009343 0.46153846153846156</t>
  </si>
  <si>
    <t>CN(C)CCN(C)C(C)(C)c1cccnc1 7.800933 0.32558139534883723</t>
  </si>
  <si>
    <t>Cc1cccnc1CN(Cc1ncccc1C)C1CCCCC1N(C)Cc1ccc2c(n1)CCCC2 7.80093 0.45454545454545453</t>
  </si>
  <si>
    <t>Cc1cc(CN(C)C2CCC(N(C)Cc3cc(C)c(C)c(C)n3)CC2)ccn1 7.800914 0.32727272727272727</t>
  </si>
  <si>
    <t>Cc1cccc(CN(C)C2CCCC(N(Cc3ccccn3)Cc3cccc(CN(C)C(C)C)n3)C2)n1 7.8009076 0.4642857142857143</t>
  </si>
  <si>
    <t>Cc1ccc(CN(C)C2CCCC(N(Cc3ccccn3)Cc3cccc(C4CCC4(C)C)n3)C2)nc1 7.800906 0.40625</t>
  </si>
  <si>
    <t>CC(C)NCCN(C)CC(C)(C)C 7.8008866 0.20930232558139536</t>
  </si>
  <si>
    <t>CCNC1=C(C)C(C)CC(C)C1 7.80088 0.16981132075471697</t>
  </si>
  <si>
    <t>CN(CCN(C)c1cccc2ncccc12)Cc1cccc2c1OCCOCCOCCOCCOCCO2 7.8008733 0.40350877192982454</t>
  </si>
  <si>
    <t>CNC1CCCC(N(C)Cc2cc(C)ccn2)C1N(Cc1ccccn1)Cc1ncccc1C 7.8008704 0.4666666666666667</t>
  </si>
  <si>
    <t>CN(CC1=CCC(N(C)Cc2cccc(-c3ccc4c(c3)OCCOCCOCCOCCOCCO4)n2)=CN1)Cc1cccc(-c2ccc3c(c2)OCCOCCOCCOCCOCCO3)n1 7.800848 0.3181818181818182</t>
  </si>
  <si>
    <t>Cc1cccnc1CN(C)C1CCCC(N(C)Cc2ncc(C)c(C)c2C)C1 7.800848 0.36538461538461536</t>
  </si>
  <si>
    <t>Cc1cc(CN(C)C2=CNC(CN3CCN(C)CCN(C)CC3)=CC2)nc(C)c1C 7.800841 0.3508771929824561</t>
  </si>
  <si>
    <t>CN(CCN(C)c1ccc2cccnc2c1)Cc1ccc2c(c1)OCCOCCOCCOCCOCCO2 7.8008375 0.3333333333333333</t>
  </si>
  <si>
    <t>CC1=CC(C)C(c2ccc3c(c2)OCCOCCOCCOCCOCCO3)C(c2ccc(CN(C)Cc3ccccn3)cn2)=C1 7.800821 0.3194444444444444</t>
  </si>
  <si>
    <t>CN(C)Cc1ncccc1N(C)C1CCCC(N(Cc2cccnc2)Cc2cccc(-c3cccc4c3OCCOCCOCCOCCOCCO4)n2)C1 7.8008184 0.25609756097560976</t>
  </si>
  <si>
    <t>CC1C=CC=CC1N(C)CC1=CC(N(C)Cc2ccccn2)C=CN1 7.8008 0.4</t>
  </si>
  <si>
    <t>CN(CCN(C)c1ccc2ncccc2c1)Cc1ccc2c(c1)OCCOCCOCCOCCOCCO2 7.800799 0.3389830508474576</t>
  </si>
  <si>
    <t>Cc1cc(CN(C)Cc2ccc(CN3CCN(C)CCN(C)CC3)cn2)nc(C)c1C 7.800798 0.3888888888888889</t>
  </si>
  <si>
    <t>Cc1cc2c(c(-c3cccnc3CN(C)Cc3ccccn3)c1)OCCOCCOCCOCCOCCO2 7.8007803 0.36666666666666664</t>
  </si>
  <si>
    <t>CN(Cc1cccc(CN(C)Cc2cccc(-c3ccc4c(c3)OCCOCCOCCOCCOCCO4)n2)n1)Cc1cccc(-c2ccc3c(c2)OCCOCCOCCOCCOCCO3)n1 7.800777 0.4117647058823529</t>
  </si>
  <si>
    <t>Cc1cnc(CN(C)C2CCCC(N(C)Cc3ccon3)C2)c(C)c1 7.8007655 0.38181818181818183</t>
  </si>
  <si>
    <t>CNC1C=CC=C(N(C)Cc2cccc(-c3ccc4c(c3)OCCOCCOCCOCCOCCO4)n2)N1 7.800761 0.3076923076923077</t>
  </si>
  <si>
    <t>CNC1C(N(Cc2ncccc2C)Cc2ncccc2C)CCCC1N(Cc1ncccc1C)C1CC(C(C)(C)C)=CC(C)(C)C1 7.8007517 0.2535211267605634</t>
  </si>
  <si>
    <t>Cc1cncc(CN(C)Cc2cccc(-c3ccc4c(c3)OCCOCCOCCOCCOCCO4)n2)c1 7.800739 0.3387096774193548</t>
  </si>
  <si>
    <t>CNC1CCCC(N(C)Cc2ccccn2)C1N(Cc1nc(C)c(C)c(C)c1C)C1C=CC=CN1 7.8007345 0.417910447761194</t>
  </si>
  <si>
    <t>Cc1cncc(CN(C)C2CCC(N(Cc3ccccn3)Cc3ncccc3CF)CC2)c1 7.800729 0.36507936507936506</t>
  </si>
  <si>
    <t>Cc1cccc(CN(CCN(C)Cc2ccccn2)Cc2cccc(-c3cccc4c3OCCOCCOCCOCCOCCO4)n2)n1 7.8007283 0.43548387096774194</t>
  </si>
  <si>
    <t>Cc1cc(C)c(CN(C)C2CCC(N(C)Cc3ncccc3C)CC2)nc1C 7.8007207 0.3269230769230769</t>
  </si>
  <si>
    <t>CCNC1CCCCC1N(Cc1cc(C)c(C)cn1)Cc1nc(C)c(C)c(C)c1C 7.800715 0.32786885245901637</t>
  </si>
  <si>
    <t>Cc1cnc(CN(C)CCN(C)Cc2ncccc2-c2ccc3c(c2)OCCOCCOCCOCCOCCO3)c(C)c1 7.80071 0.3287671232876712</t>
  </si>
  <si>
    <t>Cc1cncc(CN(C)C2CCC(N(C)Cc3nc(C)c(C)cc3C)CC2)c1 7.8007045 0.26785714285714285</t>
  </si>
  <si>
    <t>CN1CCN(C)CCN(CC(C)(C)Nc2cccc3cccnc23)CC1 7.800693 0.3877551020408163</t>
  </si>
  <si>
    <t>CN(CCF)CCN(Cc1ccccn1)C(C)(C)c1ccccn1 7.800688 0.4375</t>
  </si>
  <si>
    <t>CN(Cc1ccccn1)C1=C(CN(Cc2ccccn2)c2cccc3c2OCCOCCOCCOCCOCCO3)NC=CC1 7.80068 0.3384615384615385</t>
  </si>
  <si>
    <t>Cc1ccc(C)c(CN(C)CCN(Cc2ccccn2)C2(C)CCC2)n1 7.8006735 0.37735849056603776</t>
  </si>
  <si>
    <t>CC(C)N(C)Cc1ccc(CF)cn1 7.8006606 0.41025641025641024</t>
  </si>
  <si>
    <t>CC(C)N(C)Cc1ncc(C(C)(C)C)cc1CN(Cc1ccccn1)C1CCC(N)CC1 7.800655 0.36507936507936506</t>
  </si>
  <si>
    <t>Cc1ccc(C2CC(C)(C)C2)c(CN(C)C2CCC(N(C)Cc3ncccc3C)CC2)n1 7.8006535 0.3220338983050847</t>
  </si>
  <si>
    <t>CC1=CCC2(C(C)=C(C)C(N(C)Cc3ccccn3)C(C)(C)C2C)C(C)C1 7.8006363 0.4107142857142857</t>
  </si>
  <si>
    <t>CC(C)N(C)CC1=CC(N(C)Cc2ccccn2)C=CN1 7.800625 0.43137254901960786</t>
  </si>
  <si>
    <t>Cc1cnc(-c2cccc3c2OCCOCCOCCOCCOCCO3)c(CN(C)Cc2ccccn2)c1 7.8006244 0.3709677419354839</t>
  </si>
  <si>
    <t>CC(N)C(C)C(C)N(Cc1ccccn1)Cc1ncccc1C(C)(C)C 7.800622 0.46808510638297873</t>
  </si>
  <si>
    <t>Cc1cncc(CN(C)C2CCCC(N(C)Cc3cc(C)c(C)c(C)n3)C2)c1 7.8006167 0.3157894736842105</t>
  </si>
  <si>
    <t>c1ccc(CN(Cc2ccccn2)Cc2cc(-c3ccc4c(c3)OCCOCCOCCOCCOCCO4)ccn2)cc1 7.8006086 0.425531914893617</t>
  </si>
  <si>
    <t>Cc1ncccc1N1CCN(C)CCN(Cc2ccc(N)cn2)CC1 7.8005986 0.5</t>
  </si>
  <si>
    <t>CNC1CCCCC1N(Cc1ncccc1C)Cc1nc(C)c(C)c(C)c1C 7.8005958 0.3275862068965517</t>
  </si>
  <si>
    <t>CNC1CCCC(N(Cc2cccc(C)n2)Cc2nc(C)c(C)cc2C)C1 7.8005686 0.4107142857142857</t>
  </si>
  <si>
    <t>Cc1ccnc(CN(C)C2C=CNC(CN(C)C(C)C(C)C)=C2)c1 7.8005557 0.2857142857142857</t>
  </si>
  <si>
    <t>Cc1ccnc(CN(C)C2CCCCC2N(C)Cc2nc(C)c(C)c(C)c2C)c1 7.800554 0.4897959183673469</t>
  </si>
  <si>
    <t>CC(CN(Cc1ccccn1)Cc1ccccn1)(c1ccc2c(c1)OCCOCCOCCOCCOCCO2)C(C)(c1ccccn1)c1ccccn1 7.8005443 0.40350877192982454</t>
  </si>
  <si>
    <t>CCCN(Cc1ccccn1)c1ccc2c(c1-c1cccc(CN(Cc3ccccn3)C3CCCCC3N(C)Cc3ncccc3C)n1)OCCOCCOCCOCCOCCO2 7.8005385 0.37662337662337664</t>
  </si>
  <si>
    <t>Cc1cc2c(c(-c3ccc(CN(C)Cc4ccccn4)cn3)c1)OCCOCCOCCOCCOCCO2 7.8005295 0.3709677419354839</t>
  </si>
  <si>
    <t>CCCN(Cc1ccc2ncccc2c1)c1ccc2c(c1)OCCOCCOCCOCCOCCO2 7.8005257 0.273972602739726</t>
  </si>
  <si>
    <t>Cc1ccc(CN(C)CCN(Cc2ccccn2)Cc2cccc(-c3ccc4c(c3)OCCOCCOCCOCCOCCO4)n2)nc1 7.800513 0.4225352112676056</t>
  </si>
  <si>
    <t>CNCN(Cc1ncccc1C)C1CCCC(N(C)Cc2nc(C)c(C)c(C)c2C)C1 7.8005085 0.28125</t>
  </si>
  <si>
    <t>Cc1cccnc1CN(C)C1CC(N(Cc2ccccn2)Cc2ncccc2C)CC(N(C)C(C)C)C1 7.8005056 0.39285714285714285</t>
  </si>
  <si>
    <t>CC(C)N(Cc1cccc(-c2ccc3c(c2)OCCOCCOCCOCCOCCO3)n1)Cc1cccc(C(C)(C)C)n1 7.800502 0.3194444444444444</t>
  </si>
  <si>
    <t>CC(C)N(Cc1cccc(CN(Cc2ccccn2)C2CCC(N(C)Cc3cccc(-c4ccc5c(c4)OCCOCCOCCOCCOCCO5)n3)CC2)n1)Cc1cccc(C2CC(C)(C)C2)n1 7.8005013 0.3218390804597701</t>
  </si>
  <si>
    <t>Cc1cc(C)c(C)c(CN(C)C2CCCC(N(C)Cc3ncccc3C)C2)n1 7.8004985 0.32727272727272727</t>
  </si>
  <si>
    <t>CC(C)N(C)CN(C)Cc1ncccc1N 7.8004937 0.3333333333333333</t>
  </si>
  <si>
    <t>Cc1cncc(CN(C)C2CCC(N(Cc3ccc(CF)nc3)Cc3ccccn3)CC2)c1 7.8004923 0.3709677419354839</t>
  </si>
  <si>
    <t>CN(Cc1cccc(-c2ccc3c(c2)OCCOCCOCCOCCOCCO3)n1)C1=C(C(C)(C)C)NC=CC1 7.800488 0.2948717948717949</t>
  </si>
  <si>
    <t>CCNCc1cccc(CN(Cc2ccccn2)Cc2cccc(-c3ccc4c(c3)OCCOCCOCCOCCOCCO4)n2)n1 7.800484 0.47692307692307695</t>
  </si>
  <si>
    <t>COC1(C)N=COC1c1ncc(CN2CCN(C)CCN(C)CC2)c(C)c1C 7.8004746 0.3728813559322034</t>
  </si>
  <si>
    <t>CCN(Cc1cc(-c2ccc3c(c2)OCCOCCOCCOCCOCCO3)ccn1)Cc1cc(C(C)(C)C)ccn1 7.8004746 0.3787878787878788</t>
  </si>
  <si>
    <t>CNCc1cccc(CN(C)C2CC(N(C)Cc3ccccn3)CC(N(C)Cc3ccccn3)C2)n1 7.8004737 0.5</t>
  </si>
  <si>
    <t>Cc1cncc(CN(C)C2CCC(N(Cc3ccccn3)Cc3cccnc3F)CC2)c1 7.800457 0.38333333333333336</t>
  </si>
  <si>
    <t>COC(=O)C(=O)C(C)C1(C)COC(c2cncc(CN3CCN(C)CCN(C)CC3)c2)=N1 7.8004503 0.28</t>
  </si>
  <si>
    <t>Cc1cc(CN(C)C2CCCC(N(C)Cc3cc(C)c(C)c(C)n3)C2)ccn1 7.800443 0.3333333333333333</t>
  </si>
  <si>
    <t>Cc1cnc(CN(C)CCN(C)C2CCCC(N(C)Cc3ncc(C)c(C)c3C)C2)c(C)c1 7.8004336 0.33962264150943394</t>
  </si>
  <si>
    <t>CCNCCN(Cc1ccccn1)Cc1ccon1 7.8004317 0.4888888888888889</t>
  </si>
  <si>
    <t>CN1CCN(C)CCN(Cc2cccnc2CN(C)C2CCCCC2N(C)c2ccc3ccc(CF)nc3c2)CC1 7.8004265 0.39436619718309857</t>
  </si>
  <si>
    <t>CC(C)N(C)CCN(C)C 7.8004155 0.23529411764705882</t>
  </si>
  <si>
    <t>CC1C=CCC(C)C1(C)c1cccc(CN(Cc2ccccn2)Cc2cccc(-c3ccc4c(c3)OCCOCCOCCOCCOCCO4)n2)n1 7.800403 0.41333333333333333</t>
  </si>
  <si>
    <t>Cc1ccc(CN(C)Cc2cccnc2-c2cccc3c2OCCOCCOCCOCCOCCO3)nc1 7.800399 0.39285714285714285</t>
  </si>
  <si>
    <t>CNC1C(N(C)Cc2ccccn2)CCCC1N(Cc1nc(C)c(C)c(C)c1C)C1C=CC=CN1 7.8003955 0.4307692307692308</t>
  </si>
  <si>
    <t>Cc1cc(C)c(C)c(CN(C)C2CCCC(N(C)C3=CCC=CN3)C2)n1 7.8003798 0.25</t>
  </si>
  <si>
    <t>CC(C)N(Cc1ccccn1)Cc1ncccc1N(C)C1CCCCC1N(Cc1ccccn1)Cc1cccc(-c2cccc3c2OCCOCCOCCOCCOCCO3)n1 7.8003793 0.3466666666666667</t>
  </si>
  <si>
    <t>Cc1cccc(CN(C)C2CCC(N(Cc3ccc(C4CCC4(C)C)nc3)Cc3ccccn3)CC2)n1 7.800379 0.38461538461538464</t>
  </si>
  <si>
    <t>CCNCc1cc(CN(Cc2ccccn2)Cc2cccc(-c3ccc4c(c3)OCCOCCOCCOCCOCCO4)n2)ccn1 7.8003745 0.4492753623188406</t>
  </si>
  <si>
    <t>Cc1cnccc1CN(C)CCN(Cc1ccccn1)C(C)(C)c1cnccc1-c1cccc2c1OCCOCCOCCOCCOCCO2 7.8003716 0.28</t>
  </si>
  <si>
    <t>COC(=O)C(=O)C(C)C1(C)COC(c2cnccc2CN2CCN(C)CCN(C)CC2)=N1 7.8003654 0.2972972972972973</t>
  </si>
  <si>
    <t>Cc1cc(CN2CCN(C)CCN(Cc3cccc(C(C)(C)C)n3)CC2)nc(C2CC(C)(C)C2)c1C 7.8003583 0.44642857142857145</t>
  </si>
  <si>
    <t>Cc1cncc(CN(C)CC2=CC(N(C)Cc3cccc(-c4ccc5c(c4)OCCOCCOCCOCCOCCO5)n3)C=CN2)c1 7.8003564 0.28735632183908044</t>
  </si>
  <si>
    <t>CC1(C)CC(c2ccc(CN(Cc3cccc(-c4ccc5c(c4)OCCOCCOCCOCCOCCO5)n3)Cc3cccc(-c4ccc5c(c4)OCCOCCOCCOCCOCCO5)n3)c(CN(Cc3cccc(-c4ccc5c(c4)OCCOCCOCCOCCOCCO5)n3)Cc3cccc(-c4ccc5c(c4)OCCOCCOCCOCCOCCO5)n3)n2)C1 7.8003526 0.3246753246753247</t>
  </si>
  <si>
    <t>CN1CCN(C)CCN(Cc2ccc(CN(C)C3CCCCC3N(C)c3cccc4ncccc34)nc2)CC1 7.800349 0.4126984126984127</t>
  </si>
  <si>
    <t>CCNc1ncccc1C(C)(C(C)C)C(C)C 7.800338 0.3333333333333333</t>
  </si>
  <si>
    <t>C1=CCNC(NC2C=CC=CN2)=C1 7.8003345 0.22641509433962265</t>
  </si>
  <si>
    <t>Cc1ccc(CN(Cc2ccc(-c3cccc4c3OCCOCCOCCOCCOCCO4)cn2)C2CCCC(N(Cc3ccc(F)nc3)Cc3ccccn3)C2)nc1 7.800334 0.29545454545454547</t>
  </si>
  <si>
    <t>Fc1ccc(N(Cc2ccccn2)C2CCCCC2N(Cc2ccccn2)Cc2cccc(-c3ccc4c(c3)OCCOCCOCCOCCOCCO4)n2)cc1 7.800326 0.35064935064935066</t>
  </si>
  <si>
    <t>Cc1cnc(C)c(CN(C)C2CCCC(N(CC3=CCC=CN3)Cc3ccccn3)C2)c1 7.800311 0.47692307692307695</t>
  </si>
  <si>
    <t>Cc1cncc(CN(C)C2CCC(N(Cc3cc(C)ccn3)Cc3cc(CN(C)Cc4cccc(-c5ccc6c(c5)OCCOCCOCCOCCOCCO6)n4)ccn3)CC2)c1 7.8003078 0.2967032967032967</t>
  </si>
  <si>
    <t>Cc1ccc(-c2ccc3c(c2)OC(NCc2ccccn2)COCCOCCOCCOCCO3)nc1 7.8003073 0.3333333333333333</t>
  </si>
  <si>
    <t>CC1=NCC(C(C)(C)N(C)Cc2ccccn2)O1 7.800285 0.4375</t>
  </si>
  <si>
    <t>CNCCN(C)Cc1cc(C)ccn1 7.8002768 0.425</t>
  </si>
  <si>
    <t>CN(Cc1ccc2ncccc2c1)C1CCCCC1N(C)Cc1cccc(-c2ccc3c(c2)OCCOCCOCCOCCOCCO3)n1 7.8002715 0.3939393939393939</t>
  </si>
  <si>
    <t>CN(CCN(Cc1ccccn1)c1cccc2c1OCCOCCOCCOCCOCCO2)c1cc(Cl)cc(Cl)c1 7.800256 0.4</t>
  </si>
  <si>
    <t>CC1=CCC(C)C(N(C)Cc2ncccc2C)C1(C)C 7.8002534 0.2909090909090909</t>
  </si>
  <si>
    <t>CCN(CCN(C)CC(C)(C)C)C(C)C 7.8002367 0.275</t>
  </si>
  <si>
    <t>CC1C=C(N(C)CC2=CCC=CN2)CC(C)C1C 7.8002286 0.35185185185185186</t>
  </si>
  <si>
    <t>Cc1cccnc1CN(C)C1CCCC(N(C)Cc2cc(C)c(C)c(C)n2)C1 7.800218 0.36363636363636365</t>
  </si>
  <si>
    <t>CNCCN(C)Cc1ncccc1C 7.8002086 0.38636363636363635</t>
  </si>
  <si>
    <t>Cc1ccc(CN(Cc2ccccn2)C2CCCC(N(C)Cc3ccccn3)C2)nc1C1CCC1(C)C 7.800195 0.423728813559322</t>
  </si>
  <si>
    <t>Cc1ccnc(CN(Cc2cccnc2)C2CCCCC2N(C)Cc2ccon2)c1 7.800192 0.423728813559322</t>
  </si>
  <si>
    <t>Cc1cccnc1CN(C)C1CC(N(C)Cc2ccccn2)CC(N(CF)Cc2ccccn2)C1 7.800184 0.4423076923076923</t>
  </si>
  <si>
    <t>CN1CCN(C)CCN(Cc2cnc(Cl)cc2N(C)C)CC1 7.800172 0.41304347826086957</t>
  </si>
  <si>
    <t>COC(C)c1cccc(CN(Cc2ccccn2)C2CCCCC2N(C)Cc2ncccc2C)n1 7.8001604 0.5</t>
  </si>
  <si>
    <t>Cc1cc(CN(C)Cc2cccc(-c3ccc4c(c3)OCCOCCOCCOCCOCCO4)n2)ccn1 7.8001523 0.38333333333333336</t>
  </si>
  <si>
    <t>CN(Cc1ccccn1)C1=CNC(CN(Cc2ccccn2)c2cccc3c2OCCOCCOCCOCCOCCO3)=CC1 7.800152 0.3384615384615385</t>
  </si>
  <si>
    <t>Fc1cccc(CN(CC2=CCC=CN2)Cc2cccc(-c3ccc4c(c3)OCCOCCOCCOCCOCCO4)n2)n1 7.8001485 0.4307692307692308</t>
  </si>
  <si>
    <t>CN(CCN)Cc1ncccc1N 7.8001466 0.40476190476190477</t>
  </si>
  <si>
    <t>Cc1cc(C)c(CN(C)C2=CNC(CN3CCN(C)CCN(C)CC3)=CC2)nc1C 7.8001227 0.35</t>
  </si>
  <si>
    <t>CN(Cc1ccccn1)C(C)(C)N(CF)Cc1ccccn1 7.8001204 0.47619047619047616</t>
  </si>
  <si>
    <t>Cc1nc(CN(C)C2CCCCC2N(Cc2ccccn2)Cc2cccc(CNCF)n2)c(C)c(C)c1C 7.8001113 0.4915254237288136</t>
  </si>
  <si>
    <t>Cc1nc(CN(C)C2CCCC(N(C)C)C2)c(C)c(C)c1C 7.800108 0.28</t>
  </si>
  <si>
    <t>c1ccc(CN(Cc2ccccn2)Cc2cccc(-c3cccc4c3OCCOCCOCCOCCOCCO4)n2)nc1 7.8001056 0.4444444444444444</t>
  </si>
  <si>
    <t>CC(N)C(C)(c1cccnc1)c1ncccc1CN(C)C1CCCC(N(C)Cc2ccccn2)C1 7.800104 0.4032258064516129</t>
  </si>
  <si>
    <t>Cc1cnccc1CN(C)Cc1ncccc1-c1cccc2c1OCCOCCOCCOCCOCCO2 7.800103 0.2857142857142857</t>
  </si>
  <si>
    <t>COC(=O)C(=O)C(C)c1cc(CN(Cc2ccccn2)C2CCCCC2)ccn1 7.800091 0.3709677419354839</t>
  </si>
  <si>
    <t>Cc1cncc(CN(C)CCN(Cc2ccccn2)C2CCCC(N(C)Cc3ncc(C)c(C)c3C)C2)c1 7.8000865 0.3582089552238806</t>
  </si>
  <si>
    <t>CC(C)(C)c1cccnc1CN(Cc1ccccn1)C1CCCC(N(CF)Cc2ccccn2)C1 7.8000784 0.4</t>
  </si>
  <si>
    <t>Cc1cc(C)c(C)c(CN(C)C2CCCCC2N(C)Cc2ccon2)n1 7.8000684 0.47058823529411764</t>
  </si>
  <si>
    <t>C=CCN(C)CCN(Cc1ccccn1)Cc1cccc(CN(Cc2ccccn2)Cc2cccc(-c3cccc4c3OCCOCCOCCOCCOCCO4)n2)n1 7.800059 0.4057971014492754</t>
  </si>
  <si>
    <t>CCN(Cc1cccc(CN(Cc2cccc(-c3ccc4c(c3)OCCOCCOCCOCCOCCO4)n2)c2ccc3ncccc3c2)n1)Cc1cccc(C2CC3OCCOCCOCCOCCOCCOC32)n1 7.800045 0.29545454545454547</t>
  </si>
  <si>
    <t>Cc1ccc(CN(C)Cc2ncccc2-c2cccc3c2OCCOCCOCCOCCOCCO3)nc1 7.8000417 0.4074074074074074</t>
  </si>
  <si>
    <t>Cc1cc(C(C)(C)c2cc(CN3CCN(C)CCN(C)CC3)ccn2)ccc1N 7.800017 0.43137254901960786</t>
  </si>
  <si>
    <t>CC(N)C(C)(c1ccccn1)c1ncccc1CN(Cc1ccccn1)C1CCCCC1 7.8000145 0.3898305084745763</t>
  </si>
  <si>
    <t>Cc1ccc(CN(C)Cc2cccc(-c3ccc4c(c3)OCCOCCOCCOCCOCCO4)n2)nc1 7.8000035 0.41509433962264153</t>
  </si>
  <si>
    <t>CCNCc1ncccc1CN(Cc1ccccn1)Cc1cc(-c2cccc3c2OCCOCCOCCOCCOCCO3)ccn1 7.799993 0.31746031746031744</t>
  </si>
  <si>
    <t>CC(C)C(C)(c1ccccn1)C1C=CNC=C1 7.799992 0.3333333333333333</t>
  </si>
  <si>
    <t>Cc1cnc(CN(C)CC2CCCN2C(C)C)c(C)c1C 7.799989 0.3898305084745763</t>
  </si>
  <si>
    <t>COC(=O)C(=O)C(C)C1(C)COC(c2ccc(CN3CCN(C)CCN(C)CC3)nc2)=N1 7.7999773 0.3333333333333333</t>
  </si>
  <si>
    <t>CC(C)N(Cc1cc(C(C)(C)C)ccn1)Cc1cccc(-c2ccc3c(c2)OCCOCCOCCOCCOCCO3)n1 7.799975 0.3333333333333333</t>
  </si>
  <si>
    <t>Cc1nc(CN(C)C2CCC(N(C)Cc3ncccc3C3(C)CCC3)CC2)c(C)c(C)c1C 7.799974 0.3050847457627119</t>
  </si>
  <si>
    <t>Cc1cc(C)c(CN(C)C2CCCC(N(C)CC3=C(N(C)C(C)C)CC=CN3)C2)nc1C 7.799971 0.22388059701492538</t>
  </si>
  <si>
    <t>CN(Cc1ccccn1)CC1C=CNC=C1 7.799971 0.48</t>
  </si>
  <si>
    <t>CN(Cc1ccc(-c2ccc3c(c2)OCCOCCOCCOCCOCCO3)cn1)CN(Cc1ccccn1)C(C)(C)c1cccnc1 7.79997 0.39473684210526316</t>
  </si>
  <si>
    <t>CN(Cc1ccon1)C1CCC(N(Cc2ccccn2)Cc2cccnn2)CC1 7.799969 0.47058823529411764</t>
  </si>
  <si>
    <t>Cc1cccc(CN(C)C2C=CNC(CN(C)C(C)C(C)C)=C2)n1 7.799953 0.42592592592592593</t>
  </si>
  <si>
    <t>CNC1CCCCC1N(Cc1nc(C)ccc1C)Cc1nc(C)cc(C)c1C 7.7999496 0.3392857142857143</t>
  </si>
  <si>
    <t>CC(C)Nc1cccc(CN(Cc2cccc(-c3ccc4c(c3)OCCOCCOCCOCCOCCO4)n2)Cc2cccc(-c3ccc4c(c3)OCCOCCOCCOCCOCCO4)n2)n1 7.7999415 0.36923076923076925</t>
  </si>
  <si>
    <t>Cc1ccc(CN(Cc2ccccn2)C2CCCC(N(C)Cc3cccc(C)c3)C2)nc1 7.799938 0.43859649122807015</t>
  </si>
  <si>
    <t>CC(C)NCc1cccc(-c2ccc(NCc3ccccn3)c3c2OCCOCCOCCOCCOCCO3)n1 7.7999263 0.3125</t>
  </si>
  <si>
    <t>Cc1ccc(CN(C)CC2=CC(N(C)Cc3cccc(-c4ccc5c(c4)OCCOCCOCCOCCOCCO5)n3)C=CN2)nc1 7.7999144 0.3373493975903614</t>
  </si>
  <si>
    <t>CCN(Cc1ccccn1)C1CCC(N(C)Cc2ncccc2C)CC1N(C)Cc1ncccc1C 7.7999134 0.46296296296296297</t>
  </si>
  <si>
    <t>Cc1cc(CN(C)C2CCCC(N(C)Cc3nc(C)c(C)cc3C)C2)ccn1 7.799912 0.29310344827586204</t>
  </si>
  <si>
    <t>CC(N)C(C)(c1cccnc1)c1cccc(CN(Cc2ccc([SiH3])cn2)C2CCC(N(C)Cc3cccc(-c4ccc5c(c4)OCCOCCOCCOCCOCCO5)n3)CC2)n1 7.799901 0.29591836734693877</t>
  </si>
  <si>
    <t>CC1C=CC(C)(C)C(N(C)Cc2cccc(C(C)(C)C)n2)C1C 7.799901 0.32727272727272727</t>
  </si>
  <si>
    <t>Cc1ccc(CN(Cc2ccccn2)C2CCC(N(C)Cc3cccc(CF)n3)CC2)nc1 7.799882 0.45454545454545453</t>
  </si>
  <si>
    <t>Cc1ccc(C)c(CN(C)Cc2cccc(-c3ccc4c(c3)OCCOCCOCCOCCOCCO4)n2)c1 7.7998796 0.35</t>
  </si>
  <si>
    <t>CCNC1C(N(C)Cc2ncccc2C)CCCC1N(Cc1ncccc1C)Cc1ncccc1C 7.7998796 0.39622641509433965</t>
  </si>
  <si>
    <t>CC1C=CC(C)(c2cccc(CN(Cc3ccccn3)Cc3ccc(-c4ccc5c(c4)OCCOCCOCCOCCOCCO5)cn3)n2)CC1C 7.7998724 0.3875</t>
  </si>
  <si>
    <t>Cc1cccnc1CN(C)CCN(Cc1ccccn1)Cc1ncccc1-c1cccc2c1OCCOCCOCCOCCOCCO2 7.79986 0.39344262295081966</t>
  </si>
  <si>
    <t>Cc1ccc(CN(C)C2CCC(N(Cc3ccccn3)Cc3cccc(CF)n3)CC2)nc1 7.7998524 0.45454545454545453</t>
  </si>
  <si>
    <t>Cc1cncc(CN(C)CCN(C)C2CCCC(N(Cc3cccc(C)n3)Cc3cccc(C)n3)C2)c1 7.7998486 0.4528301886792453</t>
  </si>
  <si>
    <t>CCN(Cc1cc(CF)ccn1)C1CCC(N(C)Cc2nc(C)c(C)c(C)c2C)CC1 7.799845 0.2698412698412698</t>
  </si>
  <si>
    <t>CC(C)N(C)Cc1ccnc(CN(C)C(C)C)c1 7.799843 0.38461538461538464</t>
  </si>
  <si>
    <t>CN(Cc1ccc(-c2ccc3c(c2)OCCOCCOCCOCCOCCO3)cn1)C1=C(C(C)(C)C)NC=CC1 7.7998304 0.43478260869565216</t>
  </si>
  <si>
    <t>CN(Cc1ccc2ncccc2c1)C1CCCCC1N(C)Cc1cc(-c2ccc3c(c2)OCCOCCOCCOCCOCCO3)ccn1 7.79983 0.40625</t>
  </si>
  <si>
    <t>Cc1ccc(CN(C)C2CCC(N(Cc3ccccn3)Cc3cccc(-c4ccc5c(c4)OCCOCCOCCOCCOCCO5)n3)C(N(C)Cc3ccccn3)C2)nc1C 7.799825 0.35135135135135137</t>
  </si>
  <si>
    <t>CN(CCN(C)c1cccc2ccc(CF)nc12)Cc1cccc2c1OCCOCCOCCOCCOCCO2 7.799825 0.421875</t>
  </si>
  <si>
    <t>Cc1cccnc1CN(C)C1CCCCC1N(C)Cc1nc(C)c(C)c(C)c1C 7.7998223 0.4791666666666667</t>
  </si>
  <si>
    <t>CNCc1cc(CN(Cc2ccccn2)C2CCC(N(C)Cc3ncccc3C)CC2)ccn1 7.7998185 0.38333333333333336</t>
  </si>
  <si>
    <t>Cc1cnc(C)c(CN(C)C2CCCC(N(Cc3ccccn3)Cc3cccc(C4CCC4C)n3)C2)c1 7.7998133 0.3582089552238806</t>
  </si>
  <si>
    <t>CC1=C(C)C(C)CC(C)(N(C)Cc2ccccn2)C1 7.7997985 0.42857142857142855</t>
  </si>
  <si>
    <t>Cc1cnc(CN(Cc2nc(C)c(C)cc2C)C2CCC(N(C)C3CCCCC3N(Cc3ccccn3)Cc3ncc(C)c(C)c3C)CC2)c(C)c1 7.7997985 0.3880597014925373</t>
  </si>
  <si>
    <t>CN1CCN(C)CCN(CCCN(C)c2ccc3ncccc3c2)CC1 7.7997775 0.3888888888888889</t>
  </si>
  <si>
    <t>Cc1cc(C)c(CN(C)C2CCCC(N(C)Cc3ncccc3C)C2)nc1C 7.799777 0.3333333333333333</t>
  </si>
  <si>
    <t>CCOC(=O)C(=O)C(C)C(C)NCc1cccc(CNCNCc2cccc(-c3cc(NCc4ccccn4)cc4c3OCCOCCOCCOCCOCCO4)n2)n1 7.799775 0.24050632911392406</t>
  </si>
  <si>
    <t>Cc1cccnc1CN(C)C1CCC(N(O)c2cccnc2CN(C)C(C)C)CC1 7.7997417 0.2903225806451613</t>
  </si>
  <si>
    <t>CNC1C=C(F)C=CN1 7.7997346 0.14</t>
  </si>
  <si>
    <t>Cc1ccnc(CN(Cc2ccc(CN(Cc3ccc(-c4ccc5c(c4)OCCOCCOCCOCCOCCO5)cn3)Cc3ncccc3C)nc2)C2CCCC(N(C)Cc3cc(-c4ccc5c(c4)OCCOCCOCCOCCOCCO5)ccn3)C2)c1 7.799734 0.36666666666666664</t>
  </si>
  <si>
    <t>Cc1cnc(CN(C)CCN(C)Cc2cccc(-c3cccc4c3OCCOCCOCCOCCOCCO4)n2)c(C)c1C 7.799726 0.3559322033898305</t>
  </si>
  <si>
    <t>CN(Cc1cccc(-c2cccc3c2OCCOCCOCCOCCOCCO3)n1)CC1C=CNC=C1N(C)Cc1ccccn1 7.79972 0.391304347826087</t>
  </si>
  <si>
    <t>CCNCc1cc(CN(Cc2ccccn2)Cc2cc(-c3ccc4c(c3)OCCOCCOCCOCCOCCO4)ccn2)ccn1 7.799718 0.35714285714285715</t>
  </si>
  <si>
    <t>COC(=O)C(=O)C(C)C1(C)COC(c2cccnc2CN2CCN(C)CCN(C)CC2)=N1 7.7996917 0.328125</t>
  </si>
  <si>
    <t>Cc1cc(CN(C)C2CCCCC2N(C)Cc2ccon2)nc(C)c1C 7.7996902 0.46</t>
  </si>
  <si>
    <t>CN1CCN(C)CCN(CCCN(C)c2ccc3cccnc3c2)CC1 7.799674 0.37254901960784315</t>
  </si>
  <si>
    <t>CC(c1ccccn1)N1CCN(C)CCN(Cc2cccc(C(C)(C)c3cccc(C4CCC4(C)C)n3)n2)CC1 7.7996655 0.4</t>
  </si>
  <si>
    <t>CN(Cc1cc(-c2ccc3c(c2)OCCOCCOCCOCCOCCO3)ccn1)C1=C(C(C)(C)C)NC=CC1 7.799659 0.33783783783783783</t>
  </si>
  <si>
    <t>CN(Cc1cccc(-c2ccc3c(c2)OCCOCCOCCOCCOCCO3)n1)C1=CCC=CN1 7.799651 0.3108108108108108</t>
  </si>
  <si>
    <t>Cc1cccnc1CN(C)CCN(C)C1CCCC(N(Cc2ccccn2)Cc2ncc(C)c(C)c2C)C1 7.799648 0.3870967741935484</t>
  </si>
  <si>
    <t>Cc1ncccc1CN(C)Cc1cccc(-c2ccc3c(c2)OCCOCCOCCOCCOCCO3)n1 7.799645 0.4067796610169492</t>
  </si>
  <si>
    <t>CC1C=CC(C)C(C)(N(Cc2ccccn2)Cc2ccccn2)C1 7.799643 0.425531914893617</t>
  </si>
  <si>
    <t>CN1CCN(C)CCN(Cc2ccc(CN(C)C3CCCCC3N(C)c3ccc4ccc(CF)nc4c3)nc2)CC1 7.7996387 0.40625</t>
  </si>
  <si>
    <t>CN(Cc1cccc(-c2cccc3c2OCCOCCOCCOCCOCCO3)n1)Cc1ncccc1C(C)(C)C 7.799638 0.3870967741935484</t>
  </si>
  <si>
    <t>CC(C)N(C)CN(Cc1ncccc1N)C(C)C 7.7996364 0.4186046511627907</t>
  </si>
  <si>
    <t>CCOC(C)c1cccc(CN(Cc2ccccn2)C2CCCCC2N(C)Cc2ncccc2C)n1 7.799635 0.48333333333333334</t>
  </si>
  <si>
    <t>Cc1cc(CN(C)CCN(Cc2ccccn2)C2(C)CCC2)cnc1C 7.799631 0.36923076923076925</t>
  </si>
  <si>
    <t>CC(C)C(C)N(C)CC1=CCC(N(C)C(C)C)=CN1 7.7996283 0.19607843137254902</t>
  </si>
  <si>
    <t>CNCc1ncccc1CN(Cc1ccccn1)C1CCC(N(C)Cc2ncccc2C)CC1 7.799627 0.39655172413793105</t>
  </si>
  <si>
    <t>c1ccc(CN(Cc2ccccn2)Cc2cccnc2-c2cccc3c2OCCOCCOCCOCCOCCO3)nc1 7.799625 0.425531914893617</t>
  </si>
  <si>
    <t>CC1=CC(C)C(C)(c2cccc(CN(Cc3ccccn3)C3CCC(N(C)Cc4ncccc4C)CC3)n2)CC1 7.7996225 0.3382352941176471</t>
  </si>
  <si>
    <t>c1ccc(CN(Cc2cccnc2)Cc2cccc(-c3ccc4c(c3)OCCOCCOCCOCCOCCO4)n2)nc1 7.7996206 0.46153846153846156</t>
  </si>
  <si>
    <t>Cc1ccc(C)c(CN(C)C2CCCC(N(C)Cc3cccnc3CN(C)C)C2)n1 7.799617 0.3275862068965517</t>
  </si>
  <si>
    <t>CNCc1cccc(CN(Cc2ccccn2)C2CCC(N(C)Cc3ncccc3C)CC2)n1 7.7996054 0.39655172413793105</t>
  </si>
  <si>
    <t>Cc1cccc(-c2cccc(CN(C)C3CCC(N(C)Cc4cccc(-c5ccc6c(c5)OCCOCCOCCOCCOCCO6)n4)CC3)n2)c1 7.7995977 0.35714285714285715</t>
  </si>
  <si>
    <t>Cc1cccnc1CN(C)CCF 7.799596 0.41025641025641024</t>
  </si>
  <si>
    <t>Cc1cncc(CN(C)CCN(Cc2ccccn2)C(C)(C)c2cccnc2-c2ccc3c(c2)OCCOCCOCCOCCOCCO3)c1 7.7995906 0.30120481927710846</t>
  </si>
  <si>
    <t>Nc1cccnc1CN(CCNCF)Cc1ccccn1 7.7995906 0.4523809523809524</t>
  </si>
  <si>
    <t>Cc1ccnc(CN(C)Cc2cc(-c3ccc4c(c3)OCCOCCOCCOCCOCCO4)ccn2)c1 7.7995796 0.4032258064516129</t>
  </si>
  <si>
    <t>CNC1CCC(N(Cc2cc(C)ccn2)Cc2nc(C)c(C)c(C)c2C)CC1 7.799576 0.3050847457627119</t>
  </si>
  <si>
    <t>Nc1ccc(CN(CCNCF)Cc2ccccn2)nc1 7.799567 0.4634146341463415</t>
  </si>
  <si>
    <t>Cc1nc(CN(C)C2CCC(N(C)Cc3ncccc3CF)CC2)c(C)c(C)c1C 7.799547 0.3090909090909091</t>
  </si>
  <si>
    <t>CC1=CC(N(C)Cc2ccccn2)C(C)C(C)C12C=CNC(C(C)C)=C2 7.7995386 0.36666666666666664</t>
  </si>
  <si>
    <t>CC1=CC(C)CC2(C=CC(C)C(N(Cc3ccccn3)Cc3ccccn3)C23CC(C)=CC(C)C3)C1 7.7995276 0.3389830508474576</t>
  </si>
  <si>
    <t>CN(Cc1cccc(-c2ccc3c(c2)OCCOCCOCCOCCOCCO3)n1)C1CCC(N(Cc2ccccn2)Cc2cccc(C3=CCC=CN3)n2)CC1 7.799496 0.34615384615384615</t>
  </si>
  <si>
    <t>Cc1nc(CN2CCN(C)CCN(c3ccccc3F)CC2)c(C)c(C)c1C 7.7994943 0.4117647058823529</t>
  </si>
  <si>
    <t>Cc1ccnc(CN(C)C2CCCCC2N(C)Cc2ncc(C)c(C)c2C)c1C 7.7994905 0.5</t>
  </si>
  <si>
    <t>COC(=O)c1cccc(CN(Cc2ccccn2)C2CCC(N(C)Cc3ncccc3-c3ccc4c(c3)OCCOCCOCCOCCOCCO4)CC2)n1 7.799485 0.2911392405063291</t>
  </si>
  <si>
    <t>c1ccc(CN(Cc2ccccn2)Cc2cnccc2-c2cccc3c2OCCOCCOCCOCCOCCO3)nc1 7.799482 0.40816326530612246</t>
  </si>
  <si>
    <t>CCCN(Cc1ccccn1)C1=CNC=CC1CN(Cc1ccccn1)Cc1cccc(-c2ccc3c(c2)OCCOCCOCCOCCOCCO3)n1 7.7994795 0.3924050632911392</t>
  </si>
  <si>
    <t>CC1=CC(C)C(C)C(C)(N(Cc2ccccn2)Cc2ccccn2)C1 7.7994714 0.40816326530612246</t>
  </si>
  <si>
    <t>Cc1ccc(CN(C)Cc2ccc(-c3ccc4c(c3)OCCOCCOCCOCCOCCO4)nc2)nc1 7.799463 0.41509433962264153</t>
  </si>
  <si>
    <t>Cc1cccnc1CN(C)CCN(C)C1CCC(N(Cc2cccnc2)Cc2cc(C)c(C)c(C)n2)CC1 7.799453 0.2753623188405797</t>
  </si>
  <si>
    <t>CCCNCc1cc(C(C)(C)C)ccn1 7.799452 0.39473684210526316</t>
  </si>
  <si>
    <t>CN(Cc1ccc2ncccc2c1)C1CCC(N(C)CC(C)(C)C)CC1 7.799439 0.3148148148148148</t>
  </si>
  <si>
    <t>CCCNCC1=C(c2ccc(CN(Cc3ccccn3)Cc3ccccn3)cn2)C2(C=CC(C)C(C)C2C)C(C)C(C)C1C 7.799431 0.31746031746031744</t>
  </si>
  <si>
    <t>c1ccc(CN(Cc2cccnc2)Cc2ncccc2-c2cccc3c2OCCOCCOCCOCCOCCO3)nc1 7.7994204 0.37037037037037035</t>
  </si>
  <si>
    <t>Cc1cccnc1CN(C)C1CCC(N(Cc2ccccn2)Cc2cccnc2CNC(C)C)CC1 7.799405 0.4</t>
  </si>
  <si>
    <t>CC1=CCCC(N(C)CC2=C(N(C)Cc3ccccn3)CC=CN2)C1C 7.7994018 0.423728813559322</t>
  </si>
  <si>
    <t>CC1=CC(C)C(C)(c2ccc(CN(Cc3ccccn3)C3CCC(N(C)Cc4ncccc4C)CC3)cn2)CC1 7.7994003 0.323943661971831</t>
  </si>
  <si>
    <t>c1ccc(CN(Cc2ccccn2)Cc2ccc(-c3cccc4c3OCCOCCOCCOCCOCCO4)cn2)nc1 7.799387 0.43478260869565216</t>
  </si>
  <si>
    <t>Cc1cccc(CN(C)Cc2cccc(-c3ccc4c(c3)OCCOCCOCCOCCOCCO4)n2)n1 7.799384 0.4583333333333333</t>
  </si>
  <si>
    <t>CN(Cc1ncccc1N)Cc1ncccc1-c1cccc2c1OCCOCCOCCOCCOCCO2 7.7993793 0.2711864406779661</t>
  </si>
  <si>
    <t>COC(=O)C(=O)C(C)C1(C)COC(c2cc(CN3CCN(C)CCN(C)CC3)ccn2)=N1 7.7993793 0.3472222222222222</t>
  </si>
  <si>
    <t>CN(Cc1cccc(-c2ccc3c(c2)OCCOCCOCCOCCOCCO3)n1)C1NC=CC=C1NCc1ccccn1 7.7993736 0.34177215189873417</t>
  </si>
  <si>
    <t>Cc1cnc(CN(C)CCN(Cc2ccccn2)C2(C)CCC2)c(C)c1 7.7993727 0.37037037037037035</t>
  </si>
  <si>
    <t>Cc1ccc(N(C)C2CCCC(N(C)Cc3cc(C)ccn3)C2)cc1 7.799366 0.38461538461538464</t>
  </si>
  <si>
    <t>CC1=CC(N(C)Cc2cc(C(C)(C)C)ccn2)CC(C)C1C 7.7993574 0.3090909090909091</t>
  </si>
  <si>
    <t>CC(C)N(Cc1ccc(C(C)(C)C)cn1)Cc1cccc(-c2ccc3c(c2)OCCOCCOCCOCCOCCO3)n1 7.799327 0.3698630136986301</t>
  </si>
  <si>
    <t>Cc1cnc(CN(CN(C)C(C)C)C2CCCCC2N(C)Cc2nc(C)c(C)c(C)c2C)c(C)c1 7.799313 0.3770491803278688</t>
  </si>
  <si>
    <t>CNCc1ncccc1CN(C)C1CCC(N(C)Cc2nc(C)c(C)c(C)c2C)CC1 7.7993064 0.29310344827586204</t>
  </si>
  <si>
    <t>CN(Cc1ncccc1-c1ccc2c(c1)OCCOCCOCCOCCOCCO2)C1=CNC=CC1CN(C)C(C)(C)c1ccccn1 7.7993026 0.2696629213483146</t>
  </si>
  <si>
    <t>CN(Cc1cccc(-c2cccc3c2OCCOCCOCCOCCOCCO3)n1)Cc1cccc(C(C)(C)C)n1 7.7992983 0.3620689655172414</t>
  </si>
  <si>
    <t>Cc1ccc(CN(C)C2CCC(N(Cc3ccc(CF)nc3)Cc3ccccn3)CC2)nc1 7.7992973 0.44642857142857145</t>
  </si>
  <si>
    <t>Cc1ccc(CN(C)C2CC(N(C)Cc3ccccn3)CC(N(Cc3ccccn3)Cc3cccc(-c4ccc5c(c4)OCCOCCOCCOCCOCCO5)n3)C2)nc1 7.799283 0.37333333333333335</t>
  </si>
  <si>
    <t>c1ccc(CN(Cc2ccccn2)Cc2cc(-c3cccc4c3OCCOCCOCCOCCOCCO4)ccn2)nc1 7.799283 0.43478260869565216</t>
  </si>
  <si>
    <t>CN(Cc1ncccc1-c1ccccc1)C1CCCC(N(C)Cc2ncccc2-c2cccc3c2OCCOCCOCCOCCOCCO3)C1 7.7992826 0.296875</t>
  </si>
  <si>
    <t>Cc1ccc(CN(Cc2cccc(C(C)(C)C)n2)C2CCCCC2N(Cc2cccc(C)n2)Cc2cccc(-c3ccc4c(c3)OCCOCCOCCOCCOCCO4)n2)nc1 7.7992826 0.37037037037037035</t>
  </si>
  <si>
    <t>COC(=O)C(=O)N(Cc1ccccn1)C1CCCCC1N(Cc1ccccn1)C(C)C 7.7992797 0.4716981132075472</t>
  </si>
  <si>
    <t>CCC(C)C1=NC(C)(C)CO1 7.7992764 0.34210526315789475</t>
  </si>
  <si>
    <t>Cc1cccnc1CN(C)C1CCC(N(Cc2ccccn2)Cc2cccc(CNC(C)C)n2)CC1 7.7992754 0.4</t>
  </si>
  <si>
    <t>CC(C)NCc1ncccc1-c1ccc(NCc2ccccn2)c2c1OCCOCCOCCOCCOCCO2 7.7992754 0.2982456140350877</t>
  </si>
  <si>
    <t>Fc1ccccc1CN(Cc1ccccn1)Cc1cccc(-c2ccc3c(c2)OCCOCCOCCOCCOCCO3)n1 7.79926 0.46875</t>
  </si>
  <si>
    <t>Cc1cccnc1CN(C)Cc1ncccc1-c1cccc2c1OCCOCCOCCOCCOCCO2 7.799253 0.27586206896551724</t>
  </si>
  <si>
    <t>Cc1cccnc1CN(C)CCN 7.799252 0.40476190476190477</t>
  </si>
  <si>
    <t>Cc1cnc(CN2CCN(C)CCN(Cc3cncc(N(C)C)c3)CC2)c(C)c1 7.7992473 0.41818181818181815</t>
  </si>
  <si>
    <t>C1=CNC(c2ncccc2-c2cccc3c2OCCOCCOCCOCCOCCO3)=CC1 7.799245 0.2903225806451613</t>
  </si>
  <si>
    <t>CN(CCN(C)c1ccc2nc(CF)ccc2c1)Cc1ccc2c(c1)OCCOCCOCCOCCOCCO2 7.7992415 0.29310344827586204</t>
  </si>
  <si>
    <t>Cc1cccnc1CN(C)C1C=CNC(CN(C)Cc2ncccc2-c2cccc3c2OCCOCCOCCOCCOCCO3)=C1 7.799239 0.2597402597402597</t>
  </si>
  <si>
    <t>CN1CCN(C)CCN(Cc2cnccc2CN(C)C2CCCCC2N(C)c2cccc3nc(CF)ccc23)CC1 7.799236 0.4225352112676056</t>
  </si>
  <si>
    <t>CN(Cc1cccc(-c2ccc3c(c2)OCCOCCOCCOCCOCCO3)n1)CC1C=CNC=C1N(C)Cc1ccccn1 7.7992353 0.38571428571428573</t>
  </si>
  <si>
    <t>CN(C)CCN(C)Cc1cccnc1 7.7992325 0.43243243243243246</t>
  </si>
  <si>
    <t>CNCc1cccc(CN(Cc2ccccn2)C2CCC(N(C)Cc3cccc(C)n3)CC2)n1 7.799229 0.46296296296296297</t>
  </si>
  <si>
    <t>CNCNCc1ncccc1CN(Cc1ccccn1)C1CCC(N(C)Cc2nc(C)c(C)cc2C)CC1 7.799229 0.3484848484848485</t>
  </si>
  <si>
    <t>CC(C)N(Cc1cccc(CN(Cc2ccccn2)Cc2cccc(-c3ccc4c(c3)OCCOCCOCCOCCOCCO4)n2)n1)Cc1cccc(-c2ccc3c(c2)OCCOCCOCCOCCOCCO3)n1 7.799229 0.49206349206349204</t>
  </si>
  <si>
    <t>CCNCc1cc(CN(Cc2ccccn2)Cc2ncccc2-c2ccc3c(c2)OCCOCCOCCOCCOCCO3)ccn1 7.7992187 0.32786885245901637</t>
  </si>
  <si>
    <t>CC(C)(CN(Cc1ccccn1)Cc1cccc(-c2ccc3c(c2)OCCOCCOCCOCCOCCO3)n1)c1ccccn1 7.799218 0.45454545454545453</t>
  </si>
  <si>
    <t>Cc1cccnc1CN(C)Cc1cccc(-c2ccc3c(c2)OCCOCCOCCOCCOCCO3)n1 7.7992144 0.4067796610169492</t>
  </si>
  <si>
    <t>CNCc1cccc(N(C)C2CCCCC2N(C)Cc2cc(C)c(C)cn2)n1 7.799207 0.4727272727272727</t>
  </si>
  <si>
    <t>CNCC1=NCC(C)(C)O1 7.799197 0.1951219512195122</t>
  </si>
  <si>
    <t>CNCc1ncccc1CN(Cc1ccccn1)C1CCC(N(C)Cc2ccon2)CC1 7.7991815 0.39344262295081966</t>
  </si>
  <si>
    <t>CN(Cc1ncccc1-c1cccc2c1OCCOCCOCCOCCOCCO2)Cc1ncccc1C(C)(C)C 7.7991805 0.26229508196721313</t>
  </si>
  <si>
    <t>CC(C)N(Cc1cc(-c2ccc3c(c2)OCCOCCOCCOCCOCCO3)ccn1)Cc1cc(C(C)(C)C)ccn1 7.7991796 0.373134328358209</t>
  </si>
  <si>
    <t>CN(CCF)CCN(C)c1ccccc1F 7.7991786 0.34146341463414637</t>
  </si>
  <si>
    <t>COC(=O)c1ncccc1CN(Cc1ccccn1)C1CCCCC1 7.7991776 0.42592592592592593</t>
  </si>
  <si>
    <t>c1ccc(CN(Cc2ccccn2)Cc2ncccc2-c2cccc3c2OCCOCCOCCOCCOCCO3)nc1 7.7991753 0.4444444444444444</t>
  </si>
  <si>
    <t>CC1=CCC2(CC1C)C(C)C=CC(C)C2(C)c1ccc(CN(Cc2ccccn2)Cc2cccc(-c3ccc4c(c3)OCCOCCOCCOCCOCCO4)n2)cn1 7.7991743 0.34831460674157305</t>
  </si>
  <si>
    <t>Cc1ccc(CN(Cc2ccccn2)C2CCC(N(C)Cc3cccc(C4CC(Cl)C4Cl)n3)CC2)nc1 7.799149 0.3968253968253968</t>
  </si>
  <si>
    <t>C=CCN(C)Cc1cccc(CN(Cc2ccccn2)C2CCC(N(C)Cc3ncccc3C)CC2)n1 7.7991476 0.39344262295081966</t>
  </si>
  <si>
    <t>Cc1cc(C)c(CN(Cc2ccccn2)C2CCCCC2N(CF)Cc2ccccn2)nc1C 7.799143 0.4807692307692308</t>
  </si>
  <si>
    <t>CN(CCF)Cc1ncccc1N 7.799139 0.4</t>
  </si>
  <si>
    <t>CNCc1ccc(CN(Cc2ccccn2)C2CCC(N(C)Cc3cccc(C)n3)CC2)cn1 7.799123 0.4098360655737705</t>
  </si>
  <si>
    <t>Cc1cc(CN(Cc2cc(C)c(C)c(C)n2)C2CCCCC2N(C)C2CCCCC2N(C)c2ccc(Cl)nc2)cnc1C 7.7991223 0.2857142857142857</t>
  </si>
  <si>
    <t>Cc1cnc(CN(C)C2CCCC(N(CC3=CCC=CN3)Cc3ccccn3)C2)c(C)c1 7.7991214 0.47692307692307695</t>
  </si>
  <si>
    <t>Cc1cccnc1CN(C)CCN(C)CC(C)(C)C 7.7991076 0.4090909090909091</t>
  </si>
  <si>
    <t>Cc1nc(CN(C)C2CCC(N(Cc3ccccn3)C(C)C)CC2)c(C)c(C)c1C 7.7991037 0.42592592592592593</t>
  </si>
  <si>
    <t>Cc1cc(CN(Cc2ccccn2)C2CCCCC2N(CF)Cc2ccccn2)nc(C)c1C 7.7991 0.49019607843137253</t>
  </si>
  <si>
    <t>CNCc1nc(-c2ccc3c(c2)OCCOCCOCCOCCOCCO3)c(C)c(C)c1C 7.7990956 0.3492063492063492</t>
  </si>
  <si>
    <t>Cc1ccc(CN(C)Cc2cccc(-c3ccc4c(c3)OCCOCCOCCOCCOCCO4)n2)c(C)c1 7.7990837 0.3442622950819672</t>
  </si>
  <si>
    <t>CN(Cc1cccc(C(C)(C)C)n1)Cc1ncccc1-c1cccc2c1OCCOCCOCCOCCOCCO2 7.7990804 0.3333333333333333</t>
  </si>
  <si>
    <t>CNCc1cccc(CN(Cc2ccccn2)C2CCC(N(C)Cc3ccon3)CC2)n1 7.799077 0.41379310344827586</t>
  </si>
  <si>
    <t>Cc1ccc(CN(C)CCN(Cc2ccccn2)C(C)(C)c2cccnc2-c2ccc3c(c2)OCCOCCOCCOCCOCCO3)nc1 7.7990727 0.38461538461538464</t>
  </si>
  <si>
    <t>CN(CCN(C)c1ccc2cc(CF)cnc2c1)Cc1ccc2c(c1)OCCOCCOCCOCCOCCO2 7.799071 0.27631578947368424</t>
  </si>
  <si>
    <t>CCN(Cc1cc(C)ccn1)C1CCC(N(C)Cc2nc(C)c(C)c(C)c2C)CC1 7.799069 0.3050847457627119</t>
  </si>
  <si>
    <t>CNC1CC(N(C)Cc2ncccc2C)CC(N(C)Cc2ncc(C)cc2C)C1 7.799052 0.288135593220339</t>
  </si>
  <si>
    <t>CNCc1cccc(CN(Cc2ccccn2)C2CCCC(N(C)Cc3ncccc3C)C2)n1 7.799052 0.4</t>
  </si>
  <si>
    <t>CC(C)C1=CCC=C(N(C)Cc2cccc(-c3ccc4c(c3)OCCOCCOCCOCCOCCO4)n2)N1 7.7990417 0.2987012987012987</t>
  </si>
  <si>
    <t>CCNCc1cc(-c2cc(CN(C)C3CCC(N(C)Cc4cc(-c5ccc6c(c5)OCCOCCOCCOCCOCCO6)ccn4)CC3)ccn2)ccn1 7.79904 0.35064935064935066</t>
  </si>
  <si>
    <t>CC1C=C(C(C)(C)c2ccccn2)CC(N(C)Cc2ccccn2)C1C 7.799039 0.5</t>
  </si>
  <si>
    <t>CC(C)C(C)c1ccnc(CNC(C)C(C)c2ccnc(C3CCC3(C)C)c2)c1 7.7990313 0.22388059701492538</t>
  </si>
  <si>
    <t>CNC1CCCCC1N(Cc1cc(C)cc(C)n1)Cc1cc(C)c(C)c(C)n1 7.7990303 0.3333333333333333</t>
  </si>
  <si>
    <t>Cc1nc(CN(Cc2ccccn2)C2CCCC(N(C)C)C2)c(C)c(C)c1C 7.799027 0.4339622641509434</t>
  </si>
  <si>
    <t>Cc1nc(CN(C)C2CCC(N(C)Cc3cc(CF)ccn3)CC2)c(C)c(C)c1C 7.799023 0.32142857142857145</t>
  </si>
  <si>
    <t>COC(=O)c1cccc(CN(Cc2ccccn2)C2CCCCC2)n1 7.7990174 0.4339622641509434</t>
  </si>
  <si>
    <t>CN(CCN(C)c1ccc2ncc(CF)cc2c1)Cc1ccc2c(c1)OCCOCCOCCOCCOCCO2 7.799014 0.2727272727272727</t>
  </si>
  <si>
    <t>COC(C)c1ccc(CN2CCN(C)CCN(Cc3ncccc3C(C)(C)c3ccccn3)CC2)cn1 7.7990103 0.3709677419354839</t>
  </si>
  <si>
    <t>Cc1ccc(CN(C)C2CCCC(N(Cc3ccc(CNC(C)C)nc3)Cc3ccccn3)C2)nc1 7.7989955 0.41935483870967744</t>
  </si>
  <si>
    <t>CCN(Cc1ccccn1)Cc1cc(N(C)C2CCC(N(Cc3ccccn3)Cc3cc(-c4cccc5c4OCCOCCOCCOCCOCCO5)ccn3)CC2)ccn1 7.7989855 0.2972972972972973</t>
  </si>
  <si>
    <t>CC(C)N(C)CC1=CC(N(C)Cc2cccnn2)C=CN1 7.7989745 0.40816326530612246</t>
  </si>
  <si>
    <t>Cc1ccc(CN(C)Cc2ncccc2-c2ccc3c(c2)OCCOCCOCCOCCOCCO3)nc1 7.798969 0.4</t>
  </si>
  <si>
    <t>Cc1ncccc1CN(C)Cc1cccnc1-c1ccc2c(c1)OCCOCCOCCOCCOCCO2 7.7989583 0.34328358208955223</t>
  </si>
  <si>
    <t>CC(C)NCc1cc(-c2cc(NCc3ccccn3)cc3c2OCCOCCOCCOCCOCCO3)ccn1 7.798945 0.30985915492957744</t>
  </si>
  <si>
    <t>CN(Cc1ccccn1)C1C=CNC(CN(C)C(C)(C)C)=C1 7.7989388 0.43137254901960786</t>
  </si>
  <si>
    <t>COC(=O)C1CN(C)C(C(C)C)C(c2cc(CN(Cc3cc(-c4ccc5c(c4)OCCOCCOCCOCCOCCO5)ccn3)Cc3ncccc3C)ccn2)C1c1ccc(CN2CCN(C)CCN(C)CC2)cn1 7.798928 0.2702702702702703</t>
  </si>
  <si>
    <t>CN1CCN(C)CCN(Cc2ccc3cccnc3c2)CC1 7.798926 0.5</t>
  </si>
  <si>
    <t>CNc1cccnc1CNCc1cccc(-c2ccc3c(c2)OCCOCCOCCOCCOCCO3)n1 7.798922 0.3287671232876712</t>
  </si>
  <si>
    <t>CC(N)C(C)(C)N(C)Cc1ncccc1C(C)(C)C 7.7989163 0.2916666666666667</t>
  </si>
  <si>
    <t>CCCN(C)CC1=CC(N(C)Cc2ccccn2)C=CN1 7.7989125 0.4230769230769231</t>
  </si>
  <si>
    <t>CN(Cc1cccc(F)n1)C1CCCC(N(Cc2ccccn2)Cc2ccc(F)cn2)C1 7.798912 0.44642857142857145</t>
  </si>
  <si>
    <t>Cc1cc2c(c(-c3cccc(CN(C)C4CCCCC4N(C)Cc4ccc5ncccc5c4)n3)c1)OCCOCCOCCOCCOCCO2 7.798904 0.38571428571428573</t>
  </si>
  <si>
    <t>CNCC1C(N(C)Cc2nc(C)c(C)cc2C)CCN1Cc1ccccn1 7.7988973 0.40298507462686567</t>
  </si>
  <si>
    <t>Cc1ccc(CN(CC2=CCC=C(CN(C)Cc3cccc(-c4ccc5c(c4)OCCOCCOCCOCCOCCO5)n3)N2)Cc2cccc(-c3ccc4c(c3)OCCOCCOCCOCCOCCO4)n2)nc1 7.7988944 0.3333333333333333</t>
  </si>
  <si>
    <t>CN(CCN(C)C(C)(C)c1cccnc1)Cc1ccccn1 7.7988935 0.4375</t>
  </si>
  <si>
    <t>Cc1cccnc1CN(C)Cc1ccc(-c2ccc3c(c2)OCCOCCOCCOCCOCCO3)cn1 7.7988915 0.46875</t>
  </si>
  <si>
    <t>CCCN(CC1=CCC=C(N(C)Cc2cccc(C)n2)N1)C1CCC(N(C)Cc2ccccn2)CC1 7.798891 0.3787878787878788</t>
  </si>
  <si>
    <t>CCN(C)Cc1cc(C)ccn1 7.79888 0.46153846153846156</t>
  </si>
  <si>
    <t>Cc1cccnc1CN(CCN(C)Cc1cccnc1-c1ccc2c(c1)OCCOCCOCCOCCOCCO2)Cc1ccccn1 7.7988753 0.375</t>
  </si>
  <si>
    <t>CCOC(C)NCc1cc(-c2ccc(CN3CCN(C)CCN(C)CC3)nc2)ccn1 7.7988734 0.421875</t>
  </si>
  <si>
    <t>Cc1ccc(CN(Cc2ccccn2)C2CCCC(N(Cc3ccccn3)Cc3cccc(-c4ccc5c(c4)OCCOCCOCCOCCOCCO5)n3)C2N(C)Cc2ccccn2)nc1 7.798873 0.4</t>
  </si>
  <si>
    <t>CNCc1cc(CN(C)C2CCC(N(C)Cc3nc(C)c(C)c(C)c3C)CC2)ccn1 7.7988715 0.288135593220339</t>
  </si>
  <si>
    <t>COC(C)c1ncccc1CN1CCN(C)CCN(Cc2ncccc2C(C)(C)c2ccccn2)CC1 7.79887 0.3898305084745763</t>
  </si>
  <si>
    <t>Cc1cc(C)c(CN(C)C2CCC(N(C)Cc3cccc(C4CC(Cl)C4Cl)n3)CC2)nc1C 7.7988696 0.35</t>
  </si>
  <si>
    <t>Cc1ccnc(CN(C)C2CCC(N(Cc3ccccn3)Cc3cccc(CN(C)C(C)C)n3)CC2)c1C 7.798869 0.3898305084745763</t>
  </si>
  <si>
    <t>Cc1cnc(CN(C)C2CCCC(N(Cc3ccccn3)Cc3cccnc3CNCF)C2)c(C)c1C 7.798869 0.3582089552238806</t>
  </si>
  <si>
    <t>Cc1cncc(CN(C)C2CCCC(N(Cc3ccccn3)Cc3ncccc3F)C2)c1 7.798865 0.38095238095238093</t>
  </si>
  <si>
    <t>Cc1cccc(CN(C2CCC(N(C)Cc3cccc(-c4ccc5c(c4)OCCOCCOCCOCCOCCO5)n3)CC2)C(C)(C)c2cccnc2CN(Cc2ncccc2C)C(C)C)n1 7.7988625 0.2976190476190476</t>
  </si>
  <si>
    <t>Cc1cccc(C)c1CN(C)CCN(C)C(C)C 7.7988586 0.39473684210526316</t>
  </si>
  <si>
    <t>CC(C)N(Cc1ccc(-c2ccc3c(c2)OCCOCCOCCOCCOCCO3)cn1)Cc1ccc(C(C)(C)C)cn1 7.798853 0.47619047619047616</t>
  </si>
  <si>
    <t>C1=C2OCCOCCOCCOCCOCCOC2=CC(Nc2cc(C(c3ccccn3)c3ccccn3)ccn2)N1 7.7988486 0.25</t>
  </si>
  <si>
    <t>CC1=CC2(C=CNC(C(C)C)=C2)C(C)C(N(C)Cc2ccccn2)C1 7.7988367 0.43103448275862066</t>
  </si>
  <si>
    <t>FC1=C(CN(Cc2ccccn2)Cc2cccc(-c3ccc4c(c3)OCCOCCOCCOCCOCCO4)n2)NC=CC1 7.7988143 0.4225352112676056</t>
  </si>
  <si>
    <t>CNCC1CC(N(C)Cc2ncccc2C)CN1Cc1cc(C)ccn1 7.798806 0.3387096774193548</t>
  </si>
  <si>
    <t>CCN(Cc1ccccn1)C1CCC(N(C)Cc2ncccc2C)C(N(C)Cc2ncccc2C)C1 7.7988043 0.5</t>
  </si>
  <si>
    <t>CN(CCF)CCN(Cc1cnccc1F)Cc1ncccc1F 7.798801 0.3333333333333333</t>
  </si>
  <si>
    <t>Cc1ccnc(CN(C)C2CCC(N(C)c3ccccc3C)CC2)c1 7.7988 0.39215686274509803</t>
  </si>
  <si>
    <t>CN(Cc1ccccn1)C1=CC=CNC1N(Cc1ccccn1)c1ccc2c(c1)OCCOCCOCCOCCOCCO2 7.798791 0.34375</t>
  </si>
  <si>
    <t>CC1=CC(C)C(C)(N(Cc2ccccn2)Cc2ccccn2)CC1 7.7987847 0.40816326530612246</t>
  </si>
  <si>
    <t>Cc1cccnc1CN(Cc1ccc(N(C)C)cn1)C1CCC(N(C)Cc2cc(-c3ccc4c(c3)OCCOCCOCCOCCOCCO4)ccn2)CC1 7.7987843 0.36585365853658536</t>
  </si>
  <si>
    <t>CN(CCN(C)C(C)(C)c1ccc2c(c1)OCCOCCOCCOCCOCCO2)c1ccc2nccc(CF)c2c1 7.798781 0.24691358024691357</t>
  </si>
  <si>
    <t>Cc1cccnc1CN(C)C1C=CNC(CN(C)C(C)C(C)C)=C1 7.798779 0.2857142857142857</t>
  </si>
  <si>
    <t>CN(Cc1cccc(-c2ccc3c(c2)OCCOCCOCCOCCOCCO3)n1)Cc1ncccc1C(C)(C)C 7.7987747 0.3870967741935484</t>
  </si>
  <si>
    <t>Cc1cccnc1CN(C)C1CCCC(N(Cc2ccccn2)Cc2cccnc2CNC(C)C)C1 7.798768 0.3870967741935484</t>
  </si>
  <si>
    <t>CCNCC1=CC(N(C)Cc2ccccn2)C=CN1 7.798768 0.4230769230769231</t>
  </si>
  <si>
    <t>CN(Cc1cccc(-c2ccc3c(c2)OCCOCCOCCOCCOCCO3)n1)C1CCC(N(C)Cc2cccc(-c3ccccn3)n2)CC1 7.7987638 0.4482758620689655</t>
  </si>
  <si>
    <t>CC1CC(C(C)(C)C)=CCC1N=Cc1ccccn1 7.79876 0.33962264150943394</t>
  </si>
  <si>
    <t>Cc1ccnc(CN(C)C2CCCC(N(C)c3ccccc3C)C2)c1 7.798758 0.39622641509433965</t>
  </si>
  <si>
    <t>CN(C)Cc1ncccc1CN(C)Cc1ncccc1-c1cccc2c1OCCOCCOCCOCCOCCO2 7.798755 0.3275862068965517</t>
  </si>
  <si>
    <t>CCCN(C)CCN(Cc1ccccn1)C(C)(C)c1ccccn1 7.7987504 0.44680851063829785</t>
  </si>
  <si>
    <t>CC(C)NCc1ccc(-c2cc(NCc3ccccn3)cc3c2OCCOCCOCCOCCOCCO3)cn1 7.7987494 0.3333333333333333</t>
  </si>
  <si>
    <t>Cc1cnc(CN(C)C2CCC(N(C)Cc3ccccn3)CC2N(Cc2ccccn2)Cc2cccc(-c3cccc4c3OCCOCCOCCOCCOCCO4)n2)c(C)c1C 7.7987485 0.35526315789473684</t>
  </si>
  <si>
    <t>CCN(Cc1cccc(CN(C)C2CCC(N(C)Cc3nc(C)c(C)c(C)c3C)CC2)n1)C1CCC(N(C)Cc2nc(C)c(C)c(C)c2C)CC1 7.7987447 0.39622641509433965</t>
  </si>
  <si>
    <t>CC(C)NCc1cccc(-c2cc(NCc3ccccn3)c3c(c2)OCCOCCOCCOCCOCCO3)n1 7.7987404 0.3150684931506849</t>
  </si>
  <si>
    <t>CN(Cc1ccccn1)C1=C(CN(C)C2CCCC(N(C)Cc3ccccn3)C2)NC=CC1 7.7987356 0.4716981132075472</t>
  </si>
  <si>
    <t>FCc1cccc(N(Cc2ccccn2)C2CCCCC2N(Cc2ccccn2)Cc2cc(-c3ccc4c(c3)OCCOCCOCCOCCOCCO4)ccn2)n1 7.798734 0.35</t>
  </si>
  <si>
    <t>Cc1cccnc1CN(C)C1CCC(N(Cc2ccccn2)Cc2cccc(C3C(C)CC3N)n2)CC1 7.7987156 0.35384615384615387</t>
  </si>
  <si>
    <t>CN1CCN(C)CCN(Cc2ccc3ncccc3c2)CC1 7.7987103 0.5</t>
  </si>
  <si>
    <t>CC(C)NC1=CCC=CN1 7.7987084 0.2553191489361702</t>
  </si>
  <si>
    <t>Cc1ccc(CN(Cc2ccc3c(c2)OCCOCCOCCOCCOCCO3)Cc2ccccn2)c(N(C)Cc2ccccn2)c1 7.7987037 0.423728813559322</t>
  </si>
  <si>
    <t>CCNC1CCCC(N(Cc2ncccc2C)Cc2ncccc2C)C1N(C)Cc1ncccc1C 7.798703 0.35714285714285715</t>
  </si>
  <si>
    <t>CNCc1cccc(CN(C)C2CCC(N(C)Cc3nc(C)c(C)c(C)c3C)CC2)n1 7.7987022 0.39622641509433965</t>
  </si>
  <si>
    <t>Cc1ccc(CN(C)C2CCC(N(C)Cc3ccccn3)C(N(Cc3ccccn3)Cc3ncccc3-c3ccc4c(c3)OCCOCCOCCOCCOCCO4)C2)nc1C 7.7987003 0.35526315789473684</t>
  </si>
  <si>
    <t>CC1=C(C)CC(C)(N(C)Cc2ccccn2)C(C)C1 7.7986903 0.4375</t>
  </si>
  <si>
    <t>Cc1cnccc1CN(C)CCN(Cc1ccccn1)C(C)(C)c1cncc(-c2ccc3c(c2)OCCOCCOCCOCCOCCO3)c1 7.7986865 0.3023255813953488</t>
  </si>
  <si>
    <t>CCNCc1ccc(CN(Cc2ncccc2C)C2CCC(N(C)Cc3ncccc3C)CC2)cn1 7.7986794 0.296875</t>
  </si>
  <si>
    <t>CN1CCN(C)CCN(CCCN(C)c2cccc3ncccc23)CC1 7.798675 0.4583333333333333</t>
  </si>
  <si>
    <t>CC1=CC(N(C)Cc2ncccc2C(C)(C)C)CC(C)C1(C)C 7.798668 0.2711864406779661</t>
  </si>
  <si>
    <t>CN(CCN(C)c1cccc2ncc(CF)cc12)Cc1cccc2c1OCCOCCOCCOCCOCCO2 7.798656 0.30303030303030304</t>
  </si>
  <si>
    <t>CCNCc1cc(CN(Cc2ccccn2)C2CCCCC2N(C)Cc2nc(C)c(C)cc2C)ccn1 7.7986555 0.47540983606557374</t>
  </si>
  <si>
    <t>CNCc1ncccc1CN(Cc1ccccn1)C1CCCC(N(C)Cc2cccc(C)n2)C1 7.7986517 0.41935483870967744</t>
  </si>
  <si>
    <t>CCN(C)Cc1ncccc1N 7.798645 0.35714285714285715</t>
  </si>
  <si>
    <t>CC1=CC2(C=CNC(C(C)C)=C2)CC(C)(C)C1 7.798634 0.12280701754385964</t>
  </si>
  <si>
    <t>CNC1CC(N(Cc2ccccn2)Cc2cccc(C3C(Cl)CC3Cl)n2)CCC1N(C)Cc1ccccn1 7.7986317 0.4406779661016949</t>
  </si>
  <si>
    <t>Cc1nc(CN(C)C2CCCCC2N(C)Cc2cccc(C3C(C)CC3N)n2)c(C)c(C)c1C 7.7986307 0.48214285714285715</t>
  </si>
  <si>
    <t>CCN(Cc1ccccn1)C1=CC(CN(C)C(C)C)C=CN1 7.798618 0.39622641509433965</t>
  </si>
  <si>
    <t>Cc1cccnc1CN(Cc1ncccc1C)CN(C)C1CCC(N(C)Cc2ncccc2C)CC1 7.7986135 0.3469387755102041</t>
  </si>
  <si>
    <t>Cc1cc(CN(C)CCN(C)Cc2cccc(-c3ccc4c(c3)OCCOCCOCCOCCOCCO4)n2)nc(C)c1C 7.7986093 0.375</t>
  </si>
  <si>
    <t>Cc1cccc(CN(C)Cc2cccnc2-c2ccc3c(c2)OCCOCCOCCOCCOCCO3)n1 7.798606 0.4</t>
  </si>
  <si>
    <t>Cc1ccc(C)c(C(=O)N2CCN(C)CCN(C(C)C(=O)C(=O)C(C)N)CC2)n1 7.7986026 0.27586206896551724</t>
  </si>
  <si>
    <t>Cc1ccc2c(c1)OCCOCCOCCOCCOc1ccccc1O2 7.7986016 0.30357142857142855</t>
  </si>
  <si>
    <t>Cc1ncccc1CN(C)Cc1ncccc1-c1ccc2c(c1)OCCOCCOCCOCCOCCO2 7.7986 0.32857142857142857</t>
  </si>
  <si>
    <t>COC(C)c1cc(CN2CCN(C)CCN(Cc3ncccc3C(C)(C)c3ccccn3)CC2)ccn1 7.798593 0.3709677419354839</t>
  </si>
  <si>
    <t>CCNCc1ncccc1CN(Cc1ccccn1)C1CCCCC1N(C)Cc1nc(C)c(C)cc1C 7.798589 0.46774193548387094</t>
  </si>
  <si>
    <t>Cc1ccc2nc(CN(C)C3CCCCC3N(C)Cc3ccc(-c4ccc5c(c4)OCCOCCOCCOCCOCCO5)cn3)ccc2c1 7.7985845 0.48333333333333334</t>
  </si>
  <si>
    <t>CCC(C)(c1ccccn1)c1ncccc1CN(Cc1ccccn1)C1CCCCC1 7.798572 0.4107142857142857</t>
  </si>
  <si>
    <t>CC(C)N(Cc1ccc(N)cn1)Cc1ncccc1C(C)(C)N(C)Cc1ccc(CN2CCN(C)CCN(C)CC2)cn1 7.798568 0.3283582089552239</t>
  </si>
  <si>
    <t>Cc1ccc(CN(C)C2CCC(N(Cc3ccccn3)Cc3cccnc3C3CCC3(C)C)CC2)nc1C 7.7985597 0.36923076923076925</t>
  </si>
  <si>
    <t>CNCc1cccc(CN(Cc2ccccn2)Cc2cccc(-c3cccc4c3OCCOCCOCCOCCOCCO4)n2)n1 7.798538 0.40298507462686567</t>
  </si>
  <si>
    <t>CN(CCCN(Cc1ccc2c(c1)OCCOCCOCCOCCOCCO2)Cc1ccccn1)c1ccc2ncccc2c1 7.7985373 0.36507936507936506</t>
  </si>
  <si>
    <t>Cc1cccnc1CN(C)CN(C)C(C)C 7.7984977 0.3409090909090909</t>
  </si>
  <si>
    <t>CCNC1CCCCC1N(Cc1cc(C)c(C)c(C)n1)Cc1nc(C)c(C)cc1C 7.798496 0.27419354838709675</t>
  </si>
  <si>
    <t>CC(C)C1=CCC=C(N(C)Cc2cc(-c3ccc4c(c3)OCCOCCOCCOCCOCCO4)ccn2)N1 7.7984953 0.3424657534246575</t>
  </si>
  <si>
    <t>CCC(C)N(C)CC1=CC(N(C)Cc2cc(C)ccn2)C=CN1 7.7984934 0.28125</t>
  </si>
  <si>
    <t>CC1=CC2(CC(C)C1)C(CN(C)Cc1cccnc1)=CC(C)C(C)C2N(C)Cc1ccccn1 7.798493 0.3382352941176471</t>
  </si>
  <si>
    <t>Cc1cnccc1CN(C)C1CCCC(N(Cc2ccccn2)Cc2cnccc2F)C1 7.7984815 0.4</t>
  </si>
  <si>
    <t>CN1CCN(Cc2nc3ccccc3o2)CCN(Cc2ncccc2-c2ccc3c(c2)OCCOCCOCCOCCOCCO3)CC1 7.798479 0.35064935064935066</t>
  </si>
  <si>
    <t>Cc1ccc(CN(C)C2CCC(N(Cc3cccc(C)n3)C(C)C)C(N(C)Cc3ccccn3)C2)nc1 7.7984734 0.4426229508196721</t>
  </si>
  <si>
    <t>CNCc1cccc(CN(Cc2ccccn2)C2CCCC(N(C)Cc3cccc(C)n3)C2)n1 7.798471 0.4642857142857143</t>
  </si>
  <si>
    <t>Cc1cncc(CN(C)C2CCC(N(Cc3ccccn3)Cc3ccccn3)CC2)c1C 7.7984695 0.45098039215686275</t>
  </si>
  <si>
    <t>CC1=C(c2cccc(CN(Cc3ccccn3)C3CCCCC3N(C)Cc3nc(C)c(C)c(C)c3C)n2)CCC2(C(C)C=CC(C)C2C)C1(C)C 7.798468 0.38666666666666666</t>
  </si>
  <si>
    <t>CCOC(=O)c1ncccc1CN1CCN(C)CCN(Cc2cccc(C(C)NCc3ccccn3)n2)CC1 7.798467 0.4507042253521127</t>
  </si>
  <si>
    <t>Cc1cccc(CN(C)C2CCCC(N(Cc3ccccn3)Cc3cccnc3CNC(C)C)C2)n1 7.7984605 0.40625</t>
  </si>
  <si>
    <t>CC1=CC(C)CC(C)(C)C1N(C)Cc1ccccn1 7.7984533 0.48936170212765956</t>
  </si>
  <si>
    <t>CC1=CCC(C)C(c2cccc(CN(Cc3ccccn3)C3CCC(N(C)Cc4nccc(C)c4C)CC3)n2)C1C 7.798449 0.3382352941176471</t>
  </si>
  <si>
    <t>CC1C=CCC(C)C1(C)c1cc(CN(Cc2ccccn2)Cc2cc(-c3ccc4c(c3)OCCOCCOCCOCCOCCO4)ccn2)ccn1 7.7984486 0.3058823529411765</t>
  </si>
  <si>
    <t>Cc1cnc(CN(C)CCN(Cc2ccccn2)C2CCCC(N(C)Cc3ccon3)C2)c(C)c1 7.798447 0.373134328358209</t>
  </si>
  <si>
    <t>CCN(Cc1cc(C)ccn1)C1CCCC(N(C)Cc2nc(C)c(C)c(C)c2C)C1 7.798441 0.2903225806451613</t>
  </si>
  <si>
    <t>CNC1C=CC(Cl)=CN1 7.7984266 0.11764705882352941</t>
  </si>
  <si>
    <t>Cc1cncc(CN(Cc2ccccn2)C2CCCC(N(C)Cc3ccncc3C)C2)c1 7.79842 0.3870967741935484</t>
  </si>
  <si>
    <t>CN(Cc1ccc(N)cn1)Cc1ncccc1-c1ccc2c(c1)OCCOCCOCCOCCOCCO2 7.7984123 0.38571428571428573</t>
  </si>
  <si>
    <t>CC1C=CNC(CN(C)CCN(C)Cc2ccccn2)=C1 7.798402 0.42857142857142855</t>
  </si>
  <si>
    <t>CNCc1cccc(CN(Cc2ccccn2)C2(C)CCC2)n1 7.7983947 0.4117647058823529</t>
  </si>
  <si>
    <t>CC(C)N(C)CN(Cc1ccccn1)C(C)(N)N(C(C)C)C(C)C 7.7983828 0.4666666666666667</t>
  </si>
  <si>
    <t>CN(CCN(C)c1cccc2nc(CF)ccc12)Cc1cccc2c1OCCOCCOCCOCCOCCO2 7.798362 0.3125</t>
  </si>
  <si>
    <t>CC(C)N(CCN(C)Cc1cccnc1)Cc1cccnc1 7.7983613 0.42857142857142855</t>
  </si>
  <si>
    <t>CC(C)NCc1ccc(-c2cc(NCc3ccccn3)c3c(c2)OCCOCCOCCOCCOCCO3)cn1 7.7983594 0.375</t>
  </si>
  <si>
    <t>CNC1OCCOCCOCCOCCOCCOC1N(Cc1ccccn1)Cc1ccc2cccc(N(C)CCN(C)Cc3nc(C)c(C)c(C)c3C)c2n1 7.798343 0.32</t>
  </si>
  <si>
    <t>c1ccc(CN(Cc2ccccn2)Cc2cc(-c3ccc4c(c3)OCCOCCOCCOCCOCCO4)ccn2)nc1 7.798339 0.47619047619047616</t>
  </si>
  <si>
    <t>CN(Cc1cccc(-c2ccc3c(c2)OCCOCCOCCOCCOCCO3)n1)Cc1cccc(C(C)(C)C)n1 7.798329 0.3620689655172414</t>
  </si>
  <si>
    <t>CCCN(Cc1ccccn1)C1=CCC(C)C(C)C1C1=NC(C)(C)CO1 7.7983274 0.31746031746031744</t>
  </si>
  <si>
    <t>CN(Cc1cc(-c2ccccn2)ccn1)C1CCC(N(C)Cc2cccc(-c3ccc4c(c3)OCCOCCOCCOCCOCCO4)n2)CC1 7.7983255 0.3968253968253968</t>
  </si>
  <si>
    <t>Cc1ccnc(CN(C)C2CCC(N(C)Cc3nc(C)c(C)c(C)c3C)CC2)c1 7.798319 0.33962264150943394</t>
  </si>
  <si>
    <t>CC(N)C(C)N(C)Cc1ncccc1C(C)(C)C 7.7983055 0.2916666666666667</t>
  </si>
  <si>
    <t>CC1=CC(C)C(N(Cc2ccccn2)Cc2ccccn2)CC1C 7.7983055 0.45652173913043476</t>
  </si>
  <si>
    <t>CC1C=CC(N(C)Cc2cccc(C(C)(C)c3ccccn3)n2)C(C)C1(C)C 7.798304 0.3508771929824561</t>
  </si>
  <si>
    <t>CN(Cc1ccc(-c2ccc3c(c2)OCCOCCOCCOCCOCCO3)cn1)C1CCC(N(C)Cc2cccc(-c3ccccn3)n2)CC1 7.798303 0.45714285714285713</t>
  </si>
  <si>
    <t>CCNc1cccnn1 7.798296 0.37142857142857144</t>
  </si>
  <si>
    <t>CN(C1=CCC=CN1)C1CCCC(N(Cc2ccccn2)Cc2ccccn2)C1 7.7982893 0.4909090909090909</t>
  </si>
  <si>
    <t>Cc1cccc(C)c1CN(C)Cc1cc(-c2ccc3c(c2)OCCOCCOCCOCCOCCO3)ccn1 7.7982726 0.3787878787878788</t>
  </si>
  <si>
    <t>CC(C)C(C)N(Cc1ncccc1-c1cccc2c1OCCOCCOCCOCCOCCO2)Cc1ncccc1C(C)(C)c1ccccn1 7.798271 0.2647058823529412</t>
  </si>
  <si>
    <t>Cc1cncc(CN(C)C2CCC(N(Cc3ccccn3)Cc3ncccc3C)CC2)c1 7.7982674 0.3898305084745763</t>
  </si>
  <si>
    <t>CN(Cc1ccccn1)C1=CCC=C(CN(Cc2ccccn2)c2cccc3c2OCCOCCOCCOCCOCCO3)N1 7.7982593 0.34375</t>
  </si>
  <si>
    <t>CC1=C(CN(C)C2CCC(N(C)Cc3ccccn3)CC2N(Cc2ccccn2)Cc2nc(C)c(C)c(C)c2C)CC(C)CC1C 7.7982473 0.4090909090909091</t>
  </si>
  <si>
    <t>Cc1cc(CN(Cc2ccccn2)C2CCC(N(C)Cc3cccc(F)n3)CC2)ccn1 7.7982426 0.41379310344827586</t>
  </si>
  <si>
    <t>CC1(C)CCC1C1=CNC=CC1CN(Cc1ccccn1)Cc1ccccn1 7.7982416 0.4067796610169492</t>
  </si>
  <si>
    <t>Cc1cc(CN(C)C2CCCC(N(Cc3ccnc(CNCF)c3)Cc3ccccn3)C2)nc(C)c1C 7.798232 0.373134328358209</t>
  </si>
  <si>
    <t>CNCc1cccc(CN(C)C2CCCC(N(C)Cc3nc(C)c(C)c(C)c3C)C2)n1 7.798229 0.4</t>
  </si>
  <si>
    <t>Cc1cccnc1CNCC1CCCN1Cc1ncc(C)c(C)c1C 7.798229 0.375</t>
  </si>
  <si>
    <t>CC(C)NCc1ncccc1-c1ccc2c(c1NCc1ccccn1)OCCOCCOCCOCCOCCO2 7.7982273 0.3142857142857143</t>
  </si>
  <si>
    <t>Cc1cnc(CN(C)C2CCC(N(Cc3ccc(C4CCC4(C)C)nc3)Cc3ccccn3)CC2)c(C)c1 7.798211 0.3333333333333333</t>
  </si>
  <si>
    <t>CC1=CC(C)CCC1(C)c1cccc(CN(Cc2ccccn2)C2CCC(N(C)Cc3ncccc3C)CC2)n1 7.798207 0.3382352941176471</t>
  </si>
  <si>
    <t>CN(C)CC1=C(N(C)Cc2ccc(-c3ccc4c(c3)OCCOCCOCCOCCOCCO4)cn2)CC=CN1 7.798193 0.4411764705882353</t>
  </si>
  <si>
    <t>C=CCN(C)Cc1cccc(CN(Cc2ccccn2)C2CCCC(N(C)Cc3cccc(C)n3)C2)n1 7.798189 0.4406779661016949</t>
  </si>
  <si>
    <t>Cc1cccnc1CN(C)Cc1ncccc1-c1ccc2c(c1)OCCOCCOCCOCCOCCO2 7.7981863 0.34328358208955223</t>
  </si>
  <si>
    <t>Cc1nc(CN(C)C2CCC(N(C)Cc3cccc(CN(C)C(C)C)n3)CC2)c(C)c(C)c1C 7.798176 0.39622641509433965</t>
  </si>
  <si>
    <t>Cc1ccc(CN(C)C2CCC(N(C)Cc3ncccc3C)CC2N(Cc2ccccn2)C(C)C)nc1 7.798175 0.45901639344262296</t>
  </si>
  <si>
    <t>CNCC1CCC(N(C)Cc2cc(C)c(C)c(C)n2)N1C 7.798168 0.27586206896551724</t>
  </si>
  <si>
    <t>CN(Cc1cc(-c2cccc3c2OCCOCCOCCOCCOCCO3)ccn1)Cc1cc(C(C)(C)C)ccn1 7.79816 0.28125</t>
  </si>
  <si>
    <t>Cc1cc(CN(Cc2ccccn2)Cc2cccc(N(C)Cc3ccccn3)n2)c2c(c1)OCCOCCOCCOCCOCCO2 7.798157 0.36363636363636365</t>
  </si>
  <si>
    <t>C1=CNC(CN(Cc2cccnn2)C2C=CC=CN2)C=C1 7.7981477 0.5</t>
  </si>
  <si>
    <t>CC(C)NCc1cccc(CN(Cc2ccccn2)Cc2cccc(-c3ccc4c(c3)OCCOCCOCCOCCOCCO4)n2)n1 7.7981467 0.4696969696969697</t>
  </si>
  <si>
    <t>C1=CNC(c2cccc(-c3ccc4c(c3)OCCOCCOCCOCCOCCO4)n2)=CC1 7.7981467 0.3181818181818182</t>
  </si>
  <si>
    <t>CC1=CC(C)CC(N(C)C2CCC(N(C)c3ccc4cccnc4c3)CC2)C1C 7.7981424 0.3114754098360656</t>
  </si>
  <si>
    <t>CN(Cc1cccc(-c2ccc3c(c2)OCCOCCOCCOCCOCCO3)n1)C1CCCCC1N(Cc1ccccn1)Cc1cccc(-c2ccccc2)n1 7.798141 0.4918032786885246</t>
  </si>
  <si>
    <t>CC1=C(C)C(N(C)Cc2ccccn2)C(C)C(C)(C)C1 7.798133 0.48936170212765956</t>
  </si>
  <si>
    <t>Cc1cc2c(cc1-c1ccc(CN(C)Cc3ccccn3)cn1)OCCOCCOCCOCCOCCO2 7.79813 0.3898305084745763</t>
  </si>
  <si>
    <t>CCOC(=O)c1ccc(CN2CCN(C)CCN(Cc3ncccc3C(C)NCc3ccccn3)CC2)cn1 7.798126 0.4189189189189189</t>
  </si>
  <si>
    <t>Cc1cncc(CN(C)CCN(Cc2ccccn2)C(C)N(Cc2ccccn2)Cc2cccc(-c3ccc4c(c3)OCCOCCOCCOCCOCCO4)n2)c1 7.7981253 0.35135135135135137</t>
  </si>
  <si>
    <t>c1ccc(CN(Cc2cccnc2)Cc2ncccc2-c2ccc3c(c2)OCCOCCOCCOCCOCCO3)nc1 7.798122 0.36363636363636365</t>
  </si>
  <si>
    <t>CNCc1cc(C(C)(C)C)c(CN(C)Cc2ccccn2)c(-c2ccc3c(c2)OCCOCCOCCOCCOCCO3)n1 7.7981114 0.3382352941176471</t>
  </si>
  <si>
    <t>Cc1cncc(CN(C)CCN(C)C2CCCC(N(Cc3ccccn3)Cc3nc(C)c(C)c(C)c3C)C2)c1 7.798109 0.34782608695652173</t>
  </si>
  <si>
    <t>CC1=C(C)C(C)C(C)(C)C(N(C)Cc2ncccc2C)C1 7.7980866 0.3148148148148148</t>
  </si>
  <si>
    <t>CC(C)C(C)N(C)Cc1ccc(N(C)Cc2cccc(-c3ccc4c(c3)OCCOCCOCCOCCOCCO4)n2)cn1 7.798081 0.36486486486486486</t>
  </si>
  <si>
    <t>Cc1cc(CN(C)C2CCCC(N(Cc3ccccn3)Cc3cccc(CNCF)n3)C2)nc(C)c1C 7.798081 0.38461538461538464</t>
  </si>
  <si>
    <t>CN1CCN(C)CCN(CCCN(C)c2ccc3cc(CF)cnc3c2)CC1 7.7980785 0.31666666666666665</t>
  </si>
  <si>
    <t>CCNC1CCCCC1N(Cc1nc(C)c(C)cc1C)Cc1nc(C)c(C)cc1C 7.798077 0.2962962962962963</t>
  </si>
  <si>
    <t>Cc1nc(CN(C)C2CCCCC2N(CCN(C)CCF)Cc2nc(C)c(C)c(C)c2C)c(C)c(C)c1C 7.7980685 0.34545454545454546</t>
  </si>
  <si>
    <t>CCOCc1cccc(CN(Cc2ccccn2)Cc2cccc(-c3ccc4c(c3)OCCOCCOCCOCCOCCO4)n2)n1 7.798067 0.5</t>
  </si>
  <si>
    <t>CC(C)NCc1cc(-c2cc(NCc3ccccn3)c3c(c2)OCCOCCOCCOCCOCCO3)ccn1 7.798057 0.29577464788732394</t>
  </si>
  <si>
    <t>CCC(C)N(C)CC1=CC(N(C)Cc2cccc(C)n2)C=CN1 7.7980566 0.41818181818181815</t>
  </si>
  <si>
    <t>CN1CCN(C)CCN(CCCN(C)c2ccc3ncc(CF)cc3c2)CC1 7.7980447 0.3333333333333333</t>
  </si>
  <si>
    <t>CN(C)c1cccc(-c2ccc(CN(Cc3ccc4c(c3)OCCOCCOCCOCCOCCO4)Cc3cccc(-c4ccc5c(c4)OCCOCCOCCOCCOCCO5)n3)nc2)c1 7.7980447 0.40540540540540543</t>
  </si>
  <si>
    <t>CCNCCN(C)Cc1cc(C)cnc1C 7.7980385 0.37209302325581395</t>
  </si>
  <si>
    <t>COC(C)c1ncccc1CN1CCN(C)CCN(Cc2cc(C(C)(C)c3ccccn3)ccn2)CC1 7.798038 0.4406779661016949</t>
  </si>
  <si>
    <t>CN1CCN(C)CCN(CCCN(C)c2ccc3nc(CF)ccc3c2)CC1 7.798017 0.3333333333333333</t>
  </si>
  <si>
    <t>CN(Cc1cccc(-c2ccc3c(c2)OCCOCCOCCOCCOCCO3)n1)C1=CCC=C(CN(Cc2ccccn2)CC(C)(C)C)N1 7.7980165 0.38461538461538464</t>
  </si>
  <si>
    <t>CC1=CCC2(CC=CCC2C)C2(C=CC3(C(C)C=CC4(CC=CC(C)C4C)C3C)C3(C(C)CC=CC34CC=CCC4C)C2c2ncccc2CN(Cc2ccccn2)Cc2ccccn2)C1 7.7980156 0.25</t>
  </si>
  <si>
    <t>Cc1ccc(CN(C)C2CC(N(C)Cc3ccccn3)CC(N(Cc3ccccn3)C(C)C)C2)nc1 7.798013 0.47058823529411764</t>
  </si>
  <si>
    <t>CC1=CC(C)(C)CC(CN(C)CC2=CC(N(C)Cc3ncccc3C)C=CN2)C1C 7.798007 0.2916666666666667</t>
  </si>
  <si>
    <t>CNCc1ncccc1CN(Cc1ccccn1)Cc1cccc(-c2cccc3c2OCCOCCOCCOCCOCCO3)n1 7.798004 0.3698630136986301</t>
  </si>
  <si>
    <t>Cc1cc(C)c(CN(C)C2CCCCC2N(C)Cc2cc(C)c(C)c(C)n2)cn1 7.797999 0.45098039215686275</t>
  </si>
  <si>
    <t>CC(C)C(C)c1cccc(N(C)Cc2cccc(-c3ccc4c(c3)OCCOCCOCCOCCOCCO4)n2)c1 7.7979965 0.3150684931506849</t>
  </si>
  <si>
    <t>CCNCc1ncccc1CN(Cc1ccccn1)C1CCCC(N(C)Cc2ncc(C)cc2C)C1 7.797986 0.35294117647058826</t>
  </si>
  <si>
    <t>CNC1CCCC(N(C)Cc2cc(C)ccn2)C1N(Cc1cc(C)ccn1)Cc1cc(C)ccn1 7.797986 0.4230769230769231</t>
  </si>
  <si>
    <t>Cc1nc(CN(C)C2=CNC(CN3CCN(C)CCN(C)CC3)=CC2)c(C)c(C)c1C 7.7979665 0.3559322033898305</t>
  </si>
  <si>
    <t>Cc1cc(C)nc(CN(C)C2CCCC(N(C)Cc3ccnc(CN(C)C)c3)C2)c1 7.7979603 0.35714285714285715</t>
  </si>
  <si>
    <t>Cc1cnc(CN(C)C2CCC(N(Cc3cc(-c4ccc5c(c4)OCCOCCOCCOCCOCCO5)ccn3)Cc3cc(C)c(C)c(C)n3)CC2)c(C)c1 7.797957 0.3373493975903614</t>
  </si>
  <si>
    <t>COC(=O)c1cc(CN(Cc2ccccn2)C2CCCCC2)ccn1 7.797944 0.4107142857142857</t>
  </si>
  <si>
    <t>CC(N)C(C)c1cccc(N(C)C(C)C)c1 7.7979364 0.25</t>
  </si>
  <si>
    <t>CNC1CC(N(Cc2ncccc2C)C(C)C)CCC1N(Cc1ccccn1)Cc1ncccc1C 7.797935 0.3548387096774194</t>
  </si>
  <si>
    <t>CC1=NC(C(C)NCc2ccccn2)CO1 7.7979236 0.38636363636363635</t>
  </si>
  <si>
    <t>Cc1ccc(C)c(N(C)C2CCCC(N(C)Cc3ccccn3)C2)c1 7.797921 0.5</t>
  </si>
  <si>
    <t>CNCc1cccc(CN(Cc2ccccn2)Cc2ccc(-c3cccc4c3OCCOCCOCCOCCOCCO4)cn2)n1 7.7979207 0.359375</t>
  </si>
  <si>
    <t>CC1CC=C(N(C)CC2=CCC=CN2)C2N=CC=CC12 7.7979107 0.32786885245901637</t>
  </si>
  <si>
    <t>Cc1ccc(CN(Cc2cc(-c3ccc4c(c3)OCCOCCOCCOCCOCCO4)ccn2)C2CC(N(C)Cc3ncc(C)cc3C)CCC2N(C)Cc2ccccn2)nc1 7.797901 0.358974358974359</t>
  </si>
  <si>
    <t>CN(CCF)Cc1ncccc1C(C)(C)C 7.7978888 0.38095238095238093</t>
  </si>
  <si>
    <t>CN1CCN(C)CCN(Cc2ccc3nc(CF)ccc3c2)CC1 7.7978835 0.425531914893617</t>
  </si>
  <si>
    <t>CC1=C(CN(Cc2ccccn2)Cc2cccc(-c3ccc4c(c3)OCCOCCOCCOCCOCCO4)n2)NC=CC1 7.797881 0.44285714285714284</t>
  </si>
  <si>
    <t>CCOC(=O)c1cc(CN2CCN(C)CCN(Cc3cccc(C(C)NCc4ccccn4)n3)CC2)ccn1 7.797881 0.4788732394366197</t>
  </si>
  <si>
    <t>Cc1cnc(CN(C)C2CCCC(N(Cc3ccccn3)Cc3cccc(CN(C)C(C)(C)C)n3)C2)c(C)c1 7.797878 0.375</t>
  </si>
  <si>
    <t>CC(C)NCc1cccnn1 7.7978745 0.45714285714285713</t>
  </si>
  <si>
    <t>CCNCc1cc(CN(Cc2ccccn2)C2CCCCC2N(C)Cc2nc(C)c(C)c(C)c2C)ccn1 7.797869 0.47540983606557374</t>
  </si>
  <si>
    <t>Cc1cc(CN(C)C(C)(c2cccnc2)C(C)C)nc(C)c1-c1cccc2c1OCCOCCOCCOCCOCCO2 7.797866 0.20224719101123595</t>
  </si>
  <si>
    <t>CC1=C(C)C(C)(C)C(N(C)Cc2cc(C)ccn2)CC1C 7.7978644 0.33962264150943394</t>
  </si>
  <si>
    <t>Cc1ccc(C)c(CN(C)C2CCCC(N(Cc3ccccn3)Cc3cccnc3C(C)(C)C(C)N)C2)n1 7.7978635 0.34782608695652173</t>
  </si>
  <si>
    <t>CNC1CC(N(C)Cc2ccccn2)CCC1N(Cc1nc(C)c(C)c(C)c1C)C(C)C 7.7978597 0.4032258064516129</t>
  </si>
  <si>
    <t>Cc1cc(C)c(CN(C)C2CCCC(N(CC3=CCC=CN3)Cc3ccccn3)C2)nc1C 7.797858 0.47692307692307695</t>
  </si>
  <si>
    <t>CC1=CC(C)CCC1(C)c1ccccn1 7.7978578 0.2857142857142857</t>
  </si>
  <si>
    <t>Cc1cc(C)c(CN(C)C2CCCC(N(Cc3ccnc(CNCF)c3)Cc3ccccn3)C2)nc1C 7.797857 0.35294117647058826</t>
  </si>
  <si>
    <t>C=CCNC1C(N(C)Cc2ccccn2)CCCC1N(Cc1ccccn1)Cc1nc(C)c(C)c(C)c1C 7.797853 0.4745762711864407</t>
  </si>
  <si>
    <t>CNCN(Cc1cccc(F)n1)C1C=CC=CN1 7.797851 0.3793103448275862</t>
  </si>
  <si>
    <t>Cc1ccc(CN(Cc2cccc(-c3ccc4c(c3)OCCOCCOCCOCCOCCO4)n2)C2CCC(N(C)Cc3cccc(-c4ccc5c(c4)OCCOCCOCCOCCOCCO5)n3)CC2)nc1-c1ccccn1 7.7978435 0.35</t>
  </si>
  <si>
    <t>COC(C)c1cc(CN2CCN(C)CCN(Cc3cc(C(C)(C)c4ccccn4)ccn3)CC2)ccn1 7.7978296 0.4406779661016949</t>
  </si>
  <si>
    <t>CNCc1cccc(CN(Cc2ccccn2)Cc2cc(-c3cccc4c3OCCOCCOCCOCCOCCO4)ccn2)n1 7.7978215 0.36619718309859156</t>
  </si>
  <si>
    <t>Cc1cc(C)c(C)c(CN(C)C2CCC(N(C)Cc3ccon3)CC2)n1 7.7978215 0.40425531914893614</t>
  </si>
  <si>
    <t>Cc1nc(CN(C)C2CCCC(N(Cc3ccccn3)Cc3cccnc3CN(C)CCN)C2)c(C)c(C)c1C 7.7978187 0.35294117647058826</t>
  </si>
  <si>
    <t>CC1=C(C)C(C)C(N(Cc2ccccn2)Cc2ccccn2)CC1 7.7978115 0.4888888888888889</t>
  </si>
  <si>
    <t>c1ccc(CN(Cc2ccccn2)Cc2ncccc2-c2ccc3c(c2)OCCOCCOCCOCCOCCO3)nc1 7.79781 0.43478260869565216</t>
  </si>
  <si>
    <t>CCN(Cc1ccc2c(n1)CCC2)C1CCCCC1N(C)Cc1nc(C)c(C)c(C)c1C 7.7978077 0.3898305084745763</t>
  </si>
  <si>
    <t>CN(Cc1cc(-c2ccc3c(c2)OCCOCCOCCOCCOCCO3)ccn1)C1CCC(N(C)Cc2cc(-c3ccccn3)ccn2)CC1 7.797798 0.391304347826087</t>
  </si>
  <si>
    <t>CNCNCc1ncccc1C(C)(C)C 7.7977824 0.3</t>
  </si>
  <si>
    <t>Cc1cccnc1CN(Cc1ccccn1)C1CCC(N(C)Cc2cccc(F)n2)CC1 7.7977715 0.42857142857142855</t>
  </si>
  <si>
    <t>Cc1nc(CN(Cc2ccccn2)C2CCCCC2N(CF)Cc2ccccn2)c(C)c(C)c1C 7.797766 0.49019607843137253</t>
  </si>
  <si>
    <t>Cc1ccnc(CN(CN(C)C(C)C)C(C)C)c1 7.797756 0.42857142857142855</t>
  </si>
  <si>
    <t>CC(C)N(C)CCN(Cc1ccccn1)C(C)(N)c1cccnc1 7.7977552 0.43137254901960786</t>
  </si>
  <si>
    <t>CC(C)NCc1ncccc1-c1cc2c(cc1NCc1ccccn1)OCCOCCOCCOCCOCCO2 7.797754 0.30434782608695654</t>
  </si>
  <si>
    <t>CN(Cc1ccon1)Cc1ncccc1-c1cccc2c1OCCOCCOCCOCCOCCO2 7.7977495 0.39622641509433965</t>
  </si>
  <si>
    <t>CC(C)NCC1=NCC(C(C)C)O1 7.7977386 0.16363636363636364</t>
  </si>
  <si>
    <t>CNCc1cccc(CN(Cc2ccccn2)Cc2ncccc2-c2cccc3c2OCCOCCOCCOCCOCCO3)n1 7.7977343 0.35714285714285715</t>
  </si>
  <si>
    <t>Fc1ccccc1N(Cc1ccccn1)C1CCCC(N(Cc2ccccn2)Cc2cccc(-c3ccc4c(c3)OCCOCCOCCOCCOCCO4)n2)C1 7.797722 0.36363636363636365</t>
  </si>
  <si>
    <t>CNCc1cc(CN(Cc2ccccn2)Cc2cc(-c3cccc4c3OCCOCCOCCOCCOCCO4)ccn2)ccn1 7.7977204 0.3448275862068966</t>
  </si>
  <si>
    <t>CN(CCN(C)c1ccc2nccc(CF)c2c1)Cc1cccc2c1OCCOCCOCCOCCOCCO2 7.7977176 0.30303030303030304</t>
  </si>
  <si>
    <t>CC(C)NCc1ncccc1-c1cc(NCc2ccccn2)c2c(c1)OCCOCCOCCOCCOCCO2 7.797717 0.3055555555555556</t>
  </si>
  <si>
    <t>CC1=CCC(C)C(C)(c2ncccc2CN(Cc2ccccn2)Cc2ccc(-c3ccc4c(c3)OCCOCCOCCOCCOCCO4)cn2)C1C 7.7977147 0.38271604938271603</t>
  </si>
  <si>
    <t>Cc1cccnc1CN(C)CCN(C)C1CCCC(N(Cc2ccccn2)Cc2nc(C)c(C)c(C)c2C)C1 7.797707 0.375</t>
  </si>
  <si>
    <t>CC(C)C(C)(c1cccnc1)c1cccc(CN(Cc2cccc(-c3ccc4c(c3)OCCOCCOCCOCCOCCO4)n2)Cc2cccc(-c3cccc4c3OCCOCCOCCOCCOCCO4)n2)n1 7.7977037 0.29411764705882354</t>
  </si>
  <si>
    <t>CNCc1cccc(CN(Cc2ccccn2)Cc2cccc(-c3ccc4c(c3)OCCOCCOCCOCCOCCO4)n2)n1 7.7977014 0.49206349206349204</t>
  </si>
  <si>
    <t>CN(Cc1ccc(-c2ccc3c(c2)OCCOCCOCCOCCOCCO3)cn1)Cc1cccc(C(C)(C)C)n1 7.7976933 0.46153846153846156</t>
  </si>
  <si>
    <t>Cc1cccc(CN(C)C2CCC(N(Cc3ccccn3)Cc3cccc(F)n3)CC2)n1 7.797692 0.4807692307692308</t>
  </si>
  <si>
    <t>CC(C)N(Cc1ccccn1)c1cc2c(c(N(C)Cc3ccccn3)c1)OCCOCCOCCOCCOCCO2 7.7976847 0.43636363636363634</t>
  </si>
  <si>
    <t>Cc1nc(CN(C)C2CCCC(N(C)Cc3ncccc3F)C2)c(C)c(C)c1C 7.797681 0.32142857142857145</t>
  </si>
  <si>
    <t>Cc1cc(CN(C)C2CCC(N(C)Cc3nc(C)c(C)c(C)c3C)CC2)ccn1 7.797679 0.2857142857142857</t>
  </si>
  <si>
    <t>CC1C=CC(C)C(C)(c2ncccc2CN(Cc2ccccn2)Cc2ncccc2-c2cccc3c2OCCOCCOCCOCCOCCO3)C1 7.797672 0.29411764705882354</t>
  </si>
  <si>
    <t>Cc1ccc(CN(C)Cc2ccc(CN(C)Cc3cccc(CN4CCN(C)CCN(C)CC4)n3)nc2)nc1 7.797672 0.5</t>
  </si>
  <si>
    <t>CN1CCN(Cc2cccc(-c3cccc(N(C)C)c3)n2)CCN(Cc2cccc(-c3ccc4c(c3)OCCOCCOCCOCCOCCO4)n2)CC1 7.7976713 0.4067796610169492</t>
  </si>
  <si>
    <t>CN(Cc1ccccn1)C1=CNC(CN(C)C2CCCC(N(C)Cc3ccccn3)C2)=CC1 7.7976675 0.4716981132075472</t>
  </si>
  <si>
    <t>CN(CCN(C)C(c1ccccc1)c1ccccn1)CC(C)(C)C 7.7976637 0.46938775510204084</t>
  </si>
  <si>
    <t>CC(C)CN(C)CC1=CCC=CN1 7.79766 0.4222222222222222</t>
  </si>
  <si>
    <t>Cc1cccnc1CN(C)C1CC(N(C)Cc2ccccn2)CC(N(Cc2ccccn2)C(C)C)C1 7.7976565 0.4423076923076923</t>
  </si>
  <si>
    <t>CC1C=C(N(C)Cc2ccccn2)CC(C)(C)C1C 7.7976465 0.44680851063829785</t>
  </si>
  <si>
    <t>CN1CCN(Cc2ccc(-c3ccc4c(c3)OCCOCCOCCOCCOCCO4)cn2)CCN(Cc2cccc(-c3ccccc3N(C)C)n2)CC1 7.7976394 0.4657534246575342</t>
  </si>
  <si>
    <t>CC1=CC(C)C(C)(c2ncccc2CN(Cc2ccccn2)C2CCC(N(C)Cc3ncccc3C)CC2)CC1(C)C 7.7976365 0.3382352941176471</t>
  </si>
  <si>
    <t>CC1=CCC(C)(C)C(C)(c2cc(CN(Cc3ccccn3)Cc3ccc(-c4ccc5c(c4)OCCOCCOCCOCCOCCO5)cn3)ccn2)C1C 7.7976313 0.37349397590361444</t>
  </si>
  <si>
    <t>Cc1cccnc1CN(C)C1CCC(N(C)Cc2ccccn2)C(N(Cc2ncccc2C)C(C)C)C1 7.7976227 0.5</t>
  </si>
  <si>
    <t>Cc1cccnc1CN(C)C1CCC(N(C)Cc2nc(C)c(C)c(C)c2C)CC1 7.797616 0.3269230769230769</t>
  </si>
  <si>
    <t>CNCN(CCN(C)C1CCCC(N(C)Cc2nc(C)c(C)c(C)c2C)C1)Cc1nc(C)c(C)cc1C 7.797613 0.23076923076923078</t>
  </si>
  <si>
    <t>CN(Cc1ccc(-c2cccc3c2OCCOCCOCCOCCOCCO3)cn1)Cc1ccc(C(C)(C)C)cn1 7.7976074 0.323943661971831</t>
  </si>
  <si>
    <t>CCN(Cc1cccc(CN(Cc2ccccn2)Cc2cccc(-c3ccc4c(c3)OCCOCCOCCOCCOCCO4)n2)n1)C(C)C 7.7975936 0.4696969696969697</t>
  </si>
  <si>
    <t>CN(C)Cc1cccc(CNCF)n1 7.7975917 0.42105263157894735</t>
  </si>
  <si>
    <t>Cc1cccc(C2CCC2(C)C)n1 7.797585 0.3409090909090909</t>
  </si>
  <si>
    <t>CN1CCN(Cc2cc(-c3ccc4c(c3)OCCOCCOCCOCCOCCO4)ccn2)CCN(Cc2cnccc2-c2ccccc2N(C)C)CC1 7.797583 0.3625</t>
  </si>
  <si>
    <t>CC1=C(N(C)Cc2ccccn2)CCC(C)C1(C)C 7.797582 0.4583333333333333</t>
  </si>
  <si>
    <t>CC1C=CCC(C)C1(C)N(Cc1ccccn1)Cc1ncccc1C(C)(C)C 7.79758 0.3389830508474576</t>
  </si>
  <si>
    <t>CNC1CC(N(Cc2ccccn2)Cc2ccccn2)CCC1N(Cc1ccccn1)Cc1ccccn1 7.797578 0.46808510638297873</t>
  </si>
  <si>
    <t>CC1C=C(Cl)C(Cl)CC1N(C)C 7.7975774 0.18</t>
  </si>
  <si>
    <t>CN(Cc1ccc(-c2ccc3c(c2)OCCOCCOCCOCCOCCO3)cn1)C1CCC(N(C)Cc2ccc(-c3ccccn3)cn2)CC1 7.7975597 0.49230769230769234</t>
  </si>
  <si>
    <t>Cc1ccc(CN2CCN(C)CCN(Cc3ccc(C4=NC(C)(C)CO4)nc3)CC2)nc1 7.7975454 0.3728813559322034</t>
  </si>
  <si>
    <t>Cc1cccnc1CN(C)C(C)(N)N(C)C(C)C 7.7975435 0.3125</t>
  </si>
  <si>
    <t>CCNc1ccc(CN(Cc2ccccn2)Cc2cccc(-c3cccc4c3OCCOCCOCCOCCOCCO4)n2)cn1 7.797539 0.36764705882352944</t>
  </si>
  <si>
    <t>CNC1C(N(Cc2ccccn2)Cc2cccc(C3CC(Cl)C3Cl)n2)CCCC1N(Cc1ccccn1)Cc1cccc(C2CC(Cl)C2Cl)n1 7.797537 0.42105263157894735</t>
  </si>
  <si>
    <t>CNCc1cc(CN(Cc2ccccn2)Cc2cccc(-c3ccc4c(c3)OCCOCCOCCOCCOCCO4)n2)ccn1 7.7975307 0.4626865671641791</t>
  </si>
  <si>
    <t>CC1=C(CN(C)C2CCC(N(C)Cc3ccc4cccnc4c3)CC2)C(C)C(C)C=C1 7.797528 0.2698412698412698</t>
  </si>
  <si>
    <t>CCNc1cccc(CN(Cc2ccccn2)C2CCC(N(C)Cc3ncccc3C)CC2)n1 7.797524 0.3898305084745763</t>
  </si>
  <si>
    <t>CC(C)N(Cc1cccc(CN(Cc2ccc([SiH3])cn2)Cc2cc(-c3ccc4c(c3)OCCOCCOCCOCCOCCO4)ccn2)n1)Cc1cccc(-c2ccc3c(c2)OCCOCCOCCOCCOCCO3)n1 7.7975235 0.36363636363636365</t>
  </si>
  <si>
    <t>CN(CCF)CCN(C)CCN(C)CC1=CCC=C(N(C)Cc2ccccn2)N1 7.797521 0.39655172413793105</t>
  </si>
  <si>
    <t>CC1=CC(C)(C)CC(N(C)Cc2cc(C)ccn2)C1C 7.797505 0.36538461538461536</t>
  </si>
  <si>
    <t>CN(Cc1cccc(F)n1)C1CCC(N(Cc2cccc(F)n2)Cc2cccnc2F)CC1 7.7975006 0.37037037037037035</t>
  </si>
  <si>
    <t>Cc1cncc(CN(C)C2CCCC(N(Cc3ccccn3)Cc3ncccc3C)C2)c1 7.7974935 0.39344262295081966</t>
  </si>
  <si>
    <t>CCN(C)CCN(C)C1CCCC(N(Cc2ncc(C)c(C)c2C)Cc2nc(C)c(C)c(C)c2C)C1 7.797492 0.265625</t>
  </si>
  <si>
    <t>FCc1cccc(CN(Cc2ccccn2)Cc2cccc(-c3ccc4c(c3)OCCOCCOCCOCCOCCO4)n2)n1 7.7974887 0.4918032786885246</t>
  </si>
  <si>
    <t>CC(C)N(C)CN1CCN(C)CCN(CCN(C)c2cccc3nccc(CN(C)C)c23)CC1 7.797469 0.29850746268656714</t>
  </si>
  <si>
    <t>Cc1cncc(CN(C)C2CCCC(N(Cc3ccccn3)Cc3ncccc3N)C2)c1 7.797464 0.38095238095238093</t>
  </si>
  <si>
    <t>CC1=C(C)C(C)(NCc2ccccn2)CC(C)C1 7.7974615 0.38636363636363635</t>
  </si>
  <si>
    <t>Cc1nc(CN(C)C2CCCC(N(CC3=CCC=CN3)Cc3ccccn3)C2)c(C)c(C)c1C 7.797461 0.484375</t>
  </si>
  <si>
    <t>CC1CC(c2cccc(CN(C)Cc3cccc(-c4ccc5c(c4)OCCOCCOCCOCCOCCO5)n3)n2)C1 7.7974586 0.3442622950819672</t>
  </si>
  <si>
    <t>C=Cc1ccc(CN(Cc2ccccn2)C2CCC(N(C)Cc3cccc(C4CCC4(C)C)n3)CC2)nc1 7.7974286 0.36923076923076925</t>
  </si>
  <si>
    <t>CC(N)C(C)(c1cccnc1)c1ncccc1CN(Cc1ccccn1)C1CCCC(N(C)C2C=CC=CN2)C1 7.797427 0.32098765432098764</t>
  </si>
  <si>
    <t>CC(C)N(C)Cc1cc(-c2cccnc2CN2CCN(C)CCN(C)CC2)ccn1 7.7974224 0.4339622641509434</t>
  </si>
  <si>
    <t>Cc1ccc(CN(C)c2cncc(CN3CCN(C)CCN(C)CC3)c2)nc1 7.7974052 0.42857142857142855</t>
  </si>
  <si>
    <t>Cc1cncc(CN(C)CCNC(C)C)c1 7.7973943 0.3111111111111111</t>
  </si>
  <si>
    <t>C#Cc1ccc(CN(Cc2ccccn2)C2CCCCC2N(C)Cc2nc(C)c(C)cc2C)nc1 7.797393 0.4915254237288136</t>
  </si>
  <si>
    <t>CN(Cc1cccc(F)n1)C1CCC(N(Cc2cccc(F)n2)Cc2cccc(F)n2)CC1 7.79739 0.4444444444444444</t>
  </si>
  <si>
    <t>CCNCc1cccc(CN(Cc2ccccn2)C2CCC(N(C)Cc3ncc(C)c(C)c3C)CC2)n1 7.797389 0.3709677419354839</t>
  </si>
  <si>
    <t>CN(CCF)CCN(Cc1ncccc1F)Cc1ncccc1F 7.797381 0.38636363636363635</t>
  </si>
  <si>
    <t>COC(=O)C1C(c2ccccn2)CC(C(C)(C)C)N(C)C1C(C)(C)NCc1ccccn1 7.797367 0.35714285714285715</t>
  </si>
  <si>
    <t>Cc1cccnc1CN(C)C1CCC(N(Cc2ccccn2)Cc2ncccc2F)CC1 7.797361 0.42592592592592593</t>
  </si>
  <si>
    <t>Cc1ccc(-c2cccc(CN(C)Cc3cccc(N)n3)n2)c2c1OCCOCCOCCOCCOCCO2 7.797354 0.3684210526315789</t>
  </si>
  <si>
    <t>CC1=CC(N(C)Cc2ncccc2C(C)(C)C)C(C)C(C)C1 7.797352 0.2807017543859649</t>
  </si>
  <si>
    <t>CN1CCN(C)CCN(CC2CC(N(C)c3ccc4nccc(CF)c4c3)CN2C)CC1 7.797326 0.31343283582089554</t>
  </si>
  <si>
    <t>CNC1CC(N(C)Cc2ccccn2)CC(N(Cc2ccccn2)Cc2ncccc2C)C1 7.797324 0.41818181818181815</t>
  </si>
  <si>
    <t>CN1CCN(C)CCN(CC2CC(N(C)c3ccc4c(CF)ccnc4c3)CN2C)CC1 7.7973194 0.3181818181818182</t>
  </si>
  <si>
    <t>CC1=CC(N(C)CC2=CCC(N(C)Cc3ccccn3)=CN2)CCC1 7.797319 0.4067796610169492</t>
  </si>
  <si>
    <t>CN(Cc1cccc(-c2ccc3c(c2)OCCOCCOCCOCCOCCO3)n1)C1=CNC(CN(Cc2ccccn2)Cc2cccc(-c3ccc4c(c3)OCCOCCOCCOCCOCCO4)n2)=CC1 7.7973123 0.4305555555555556</t>
  </si>
  <si>
    <t>CCNc1cc(C(C)(C)C(C)C)ccn1 7.7973123 0.3333333333333333</t>
  </si>
  <si>
    <t>Cc1cnc(CN(C)C2CCCCC2N(C)Cc2nc(C)cc(C)c2C)c(C)c1 7.797312 0.46938775510204084</t>
  </si>
  <si>
    <t>CNC1CCCCC1N(Cc1cc(C)c(C)cn1)Cc1nc(C)c(C)c(C)c1C 7.797309 0.3389830508474576</t>
  </si>
  <si>
    <t>CN(CCF)CCN(Cc1ccccn1)C(C)(C)c1ccon1 7.797304 0.4</t>
  </si>
  <si>
    <t>Cc1cnc(CN(C)C2CCCC(N(Cc3ccccn3)Cc3cccc(CN(C)C(C)C)n3)C2)c(C)c1 7.7973027 0.375</t>
  </si>
  <si>
    <t>C1=CNC(N(Cc2ccccn2)Cc2ccccn2)C(N(Cc2ccccn2)c2cccc3c2OCCOCCOCCOCCOCCO3)=C1 7.797301 0.34328358208955223</t>
  </si>
  <si>
    <t>CNCc1ncccc1-c1ccc2c(c1NCc1ccccn1)OCCOCCOCCOCCOCCO2 7.7972937 0.3283582089552239</t>
  </si>
  <si>
    <t>Cc1cncc(CN(C)C2CCCC(N(C)Cc3nc(C)c(C)c(C)c3C)C2)c1 7.797288 0.27586206896551724</t>
  </si>
  <si>
    <t>CCNC(C)C 7.797285 0.11627906976744186</t>
  </si>
  <si>
    <t>CN(C1=CCC=CN1)C1CCC(N(Cc2ccccn2)Cc2cccc(F)n2)CC1 7.797282 0.4426229508196721</t>
  </si>
  <si>
    <t>CNCN(Cc1ncccc1F)C1C=CC=CN1 7.797282 0.3448275862068966</t>
  </si>
  <si>
    <t>CC1C=CC(C)(C)C(N(C)Cc2cccc(C(C)(C)C)n2)C1 7.7972803 0.34545454545454546</t>
  </si>
  <si>
    <t>CNCc1cccc(N(C)C2CCCCC2N(C)Cc2ncc(C)cc2C)n1 7.797259 0.43103448275862066</t>
  </si>
  <si>
    <t>CCN(Cc1ncccc1C)C1CCCC(N(C)Cc2nc(C)c(C)c(C)c2C)C1 7.797256 0.29508196721311475</t>
  </si>
  <si>
    <t>CN(Cc1ccc(F)nc1)C1CCCC(N(Cc2cccc(F)n2)Cc2cccnc2F)C1 7.7972555 0.3076923076923077</t>
  </si>
  <si>
    <t>CC(C)N(Cc1cccc2c1OCCOCCOCCOCCOCCO2)C(C)(N)N(CCN(C)c1cccc2ncccc12)Cc1ccccn1 7.7972527 0.2972972972972973</t>
  </si>
  <si>
    <t>CN1CCN(C)CCN(Cc2cccnc2-c2ccccc2N)CC1 7.7972484 0.5</t>
  </si>
  <si>
    <t>Cc1cc(CN(C)C2CCC(N(C)Cc3ccon3)CC2)nc(C)c1C 7.7972407 0.4222222222222222</t>
  </si>
  <si>
    <t>CCOC(=O)N(C(C)C)C1CCC(N(C)C(c2ccccn2)c2ccccn2)CC1 7.7972383 0.40350877192982454</t>
  </si>
  <si>
    <t>Cc1ccnc(CN(C)C2CCC(N(C)Cc3ncc(C)c(C)c3C)CC2)c1C 7.7972293 0.34</t>
  </si>
  <si>
    <t>CN(Cc1ccc(C(C)(C)C)nc1)Cc1cccc(-c2ccc3c(c2)OCCOCCOCCOCCOCCO3)n1 7.797229 0.34375</t>
  </si>
  <si>
    <t>CN1CCN(Cc2ccc(-c3cccc(N(C)C)c3)nc2)CCN(Cc2cccc(-c3ccc4c(c3)OCCOCCOCCOCCOCCO4)n2)CC1 7.7972283 0.35</t>
  </si>
  <si>
    <t>CCNCc1ncccc1CN(C)C1C=CC=CN1 7.797225 0.3389830508474576</t>
  </si>
  <si>
    <t>Cc1cc(CN(C)C2=CCC=C(CN3CCN(C)CCN(C)CC3)N2)nc(C)c1C 7.797211 0.3508771929824561</t>
  </si>
  <si>
    <t>CN1CCN(C)CCN(CCCN(C)c2ccc3ccc(CF)nc3c2)CC1 7.7972083 0.3333333333333333</t>
  </si>
  <si>
    <t>CCN(Cc1cc(CN(Cc2ccccn2)C2CCCCC2N(C)Cc2cc(C)c(C)c(C)n2)ccn1)C(C)C 7.7972064 0.4838709677419355</t>
  </si>
  <si>
    <t>Cc1nc(CN(C)C2CCCCC2N(Cc2ccccn2)Cc2cccnc2CN(C)C(C)C)c(C)c(C)c1C 7.797202 0.48333333333333334</t>
  </si>
  <si>
    <t>CNC1CC(N(C)Cc2ccccn2)CC(N(Cc2ccccn2)C(C)(C)c2ccccn2)C1 7.7971992 0.42592592592592593</t>
  </si>
  <si>
    <t>Cc1ccc(CN(C)CC2=CCC(N(C)Cc3ccc(CN4CCN(C)CCN(C)CC4)cn3)=CN2)nc1 7.7971916 0.3793103448275862</t>
  </si>
  <si>
    <t>CN(Cc1cncc(C(C)(C)C)c1)Cc1cc(-c2ccc3c(c2)OCCOCCOCCOCCOCCO3)ccn1 7.7971883 0.36619718309859156</t>
  </si>
  <si>
    <t>CC1=CCC(C)C(N(C)Cc2ncccc2C(C)(C)C)C1 7.79717 0.32727272727272727</t>
  </si>
  <si>
    <t>CCN(Cc1cc(CN(C)C2CCC(N(C)Cc3ncccc3C)CC2)ccn1)Cc1ncccc1C 7.797162 0.3333333333333333</t>
  </si>
  <si>
    <t>COC(=O)C1C(C(C)C)CC(c2ccccn2)N(C)C1C(C)(C)NCc1ccccn1 7.7971487 0.3472222222222222</t>
  </si>
  <si>
    <t>Cc1cnc(CN(C)C2CCC(N(C)Cc3cc(C)c(C)c(C)n3)CC2)cc1C 7.797142 0.3877551020408163</t>
  </si>
  <si>
    <t>Cc1cnccc1CN(C)C1CCC(N(Cc2ccccn2)Cc2ncccc2C)CC1 7.7971416 0.40350877192982454</t>
  </si>
  <si>
    <t>CC1=C(CNCCN(Cc2ncccc2C)CC(C)(C)C)C(C)CC(C)C1 7.7971306 0.3442622950819672</t>
  </si>
  <si>
    <t>CN(Cc1ccccn1)Cc1cccc(N(C)C2CCC(N(Cc3ccccn3)Cc3cccc(-c4ccc5c(c4)OCCOCCOCCOCCOCCO5)n3)CC2)n1 7.797128 0.4307692307692308</t>
  </si>
  <si>
    <t>CN(CCN(C)C(C)(C)c1ccccn1)Cc1ccccn1 7.7971253 0.5</t>
  </si>
  <si>
    <t>Cc1cccc(CN(Cc2nc(C)c(C)cc2C)C2CCCC(N(C)C)C2)n1 7.797105 0.4528301886792453</t>
  </si>
  <si>
    <t>CN(CCN(C)c1ccc2nccc(CF)c2c1)Cc1ccc2c(c1)OCCOCCOCCOCCOCCO2 7.797103 0.29508196721311475</t>
  </si>
  <si>
    <t>COC(=O)c1cc(C)c(CN2CCN(C)CCN(C)CC2)c(C)n1 7.797094 0.4107142857142857</t>
  </si>
  <si>
    <t>CC1=C(N(C)Cc2ccccn2)C2(CCC1C)C(C)C=CCC2C 7.797094 0.4107142857142857</t>
  </si>
  <si>
    <t>CC(C)N(CC1=C(N(C)Cc2cccc(-c3cccc4c3OCCOCCOCCOCCOCCO4)n2)CC=CN1)Cc1ccccn1 7.797091 0.34285714285714286</t>
  </si>
  <si>
    <t>CN(CC1=CC(N(C)Cc2ccccn2)C=CN1)CC(C)(C)C 7.797089 0.46</t>
  </si>
  <si>
    <t>CN(c1ccc2ncccc2c1)C1CCCCC1N(Cc1ccccn1)CC1CCCN1 7.797082 0.43333333333333335</t>
  </si>
  <si>
    <t>CN(C)CCN(C)CC(C)(C)C 7.7970676 0.24324324324324326</t>
  </si>
  <si>
    <t>CC1C=CC(C)C(C)(c2cc(CN(Cc3ccccn3)Cc3ccc(-c4ccc5c(c4)OCCOCCOCCOCCOCCO5)cn3)ccn2)C1 7.7970643 0.38271604938271603</t>
  </si>
  <si>
    <t>Cc1cccnc1CN(C)C1CCCC(N(Cc2ccccn2)Cc2cc(F)ccn2)C1 7.7970586 0.42105263157894735</t>
  </si>
  <si>
    <t>Fc1cccc(CN(Cc2ccccn2)Cc2cccc(-c3cccc4c3OCCOCCOCCOCCOCCO4)n2)n1 7.797032 0.41379310344827586</t>
  </si>
  <si>
    <t>Cc1nc(CN(C)C2CCCC(N(C)Cc3ccc(C(C)(C)C(C)N)nc3)C2)c(C)c(C)c1C 7.7970304 0.2537313432835821</t>
  </si>
  <si>
    <t>CCNc1cccc(CN(Cc2ccccn2)C2CCCC(N(C)Cc3ncccc3C)C2)n1 7.7970304 0.39344262295081966</t>
  </si>
  <si>
    <t>CC1=CC(C)C2(CC1)C(C)CC(N(C)Cc1ccccn1)=CC21C=C(C(C)C)C(C)CC1 7.797019 0.3235294117647059</t>
  </si>
  <si>
    <t>CN(Cc1cccc(-c2ccc3c(c2)OCCOCCOCCOCCOCCO3)n1)CC1C=CNC(N(C)Cc2ccccn2)=C1 7.797019 0.391304347826087</t>
  </si>
  <si>
    <t>CC1=C(C)CC(N(C)Cc2ncccc2C(C)(C)C)CC1 7.797003 0.3148148148148148</t>
  </si>
  <si>
    <t>CC1CC(N)C1CN(Cc1ccccn1)Cc1cc(N)ccn1 7.797 0.4222222222222222</t>
  </si>
  <si>
    <t>Cc1cc(C)c(C)c(CN(C)C2=CCC=C(CN3CCN(C)CCN(C)CC3)N2)n1 7.796996 0.375</t>
  </si>
  <si>
    <t>Cc1cccc(CN(C)C2CCCC(N(Cc3ccccn3)Cc3cccc(F)n3)C2)n1 7.796996 0.48148148148148145</t>
  </si>
  <si>
    <t>CC(N)C(C)N(C)Cc1cccc(C(C)(C)C)n1 7.7969933 0.3409090909090909</t>
  </si>
  <si>
    <t>CC1=C(c2ncccc2CN(Cc2ccccn2)C2CCC(N(C)Cc3ncccc3C)CC2)CCC(C)C1C 7.7969923 0.3484848484848485</t>
  </si>
  <si>
    <t>CN(Cc1cccc(CN(C)C2CCCCC2N(C)Cc2cccc(-c3ccc4c(c3)OCCOCCOCCOCCOCCO4)n2)n1)c1ccc(Cl)c(Cl)c1 7.7969804 0.3939393939393939</t>
  </si>
  <si>
    <t>Cc1cccc(N(C)C2CCCCC2N(C)Cc2ccon2)c1C 7.7969785 0.47058823529411764</t>
  </si>
  <si>
    <t>CCNc1cccc(CN(Cc2ccccn2)C2CCCC(N(C)Cc3cccc(C)n3)C2)n1 7.796972 0.45614035087719296</t>
  </si>
  <si>
    <t>CNCc1cc(CN(Cc2ccccn2)C2CCCCC2N(C)Cc2ncc(C)c(C)c2C)ccn1 7.7969704 0.5</t>
  </si>
  <si>
    <t>CN(Cc1ncccc1-c1ccc2c(c1)OCCOCCOCCOCCOCCO2)Cc1ncccc1N(C)CCF 7.79697 0.3108108108108108</t>
  </si>
  <si>
    <t>Cc1ccc(CN(Cc2ccccn2)C2CCC(N(C)Cc3cccc(C)n3)CC2)nc1 7.7969575 0.4716981132075472</t>
  </si>
  <si>
    <t>FCNc1cc(CN(Cc2ccccn2)Cc2ccc(-c3ccc4c(c3)OCCOCCOCCOCCOCCO4)cn2)ccn1 7.796956 0.410958904109589</t>
  </si>
  <si>
    <t>CC(C)C1CC(c2ncccc2CN(Cc2ccccn2)Cc2ncccc2-c2ccc3c(c2)OCCOCCOCCOCCOCCO3)C1 7.7969503 0.3076923076923077</t>
  </si>
  <si>
    <t>CC1C=C2N=CC=CC2C(CN(C)Cc2cc(C(C)(C)C)ccn2)C1C 7.7969494 0.25</t>
  </si>
  <si>
    <t>Cc1cc(C)c(CN(C)C2CCC(N(C)Cc3ccon3)CC2)nc1C 7.796925 0.41304347826086957</t>
  </si>
  <si>
    <t>Cc1ccc(CN(C)C2CCC(N(Cc3ccccn3)Cc3ncccc3C)CC2)nc1 7.79692 0.46296296296296297</t>
  </si>
  <si>
    <t>CN1CCN(C)CCN(Cc2ccc(CN(C)C3CCCC(N(C)c4ccc5ccc(CF)nc5c4)C3)nc2)CC1 7.79692 0.3055555555555556</t>
  </si>
  <si>
    <t>Cc1ccc(CN(C)C2CCC(N(Cc3ccccn3)Cc3ncccc3C)CC2)cn1 7.7969184 0.4107142857142857</t>
  </si>
  <si>
    <t>CN1CCN(Cc2cc(-c3ccc4c(c3)OCCOCCOCCOCCOCCO4)ccn2)CCN(Cc2cnccc2-c2cccc(N(C)C)c2)CC1 7.7968855 0.3698630136986301</t>
  </si>
  <si>
    <t>CN1CCN(C)CCN(Cc2ccc(CN(C)C(C)(C)c3ccc(C4=CCC=CN4)nc3)nc2)CC1 7.7968736 0.2876712328767123</t>
  </si>
  <si>
    <t>CC(N)C(C)N(C)CC1=CCC=C(N(C)C(C)C)N1 7.7968717 0.19230769230769232</t>
  </si>
  <si>
    <t>CNCc1ccc(C(C)(C)c2ccccn2)c(-c2ccc3c(c2)OCCOCCOCCOCCOCCO3)n1 7.796871 0.3424657534246575</t>
  </si>
  <si>
    <t>Cc1ccc(CN(Cc2ccccn2)C2CCC(N(C)Cc3ncccc3C)CC2)nc1 7.7968655 0.4444444444444444</t>
  </si>
  <si>
    <t>Cc1ncccc1CN(C)C1CCCC(N(C)Cc2nc(C)c(C)c(C)c2C)C1 7.7968626 0.3333333333333333</t>
  </si>
  <si>
    <t>CN(C)C1CCCCC1N(C)Cc1ccc2ncccc2c1 7.79686 0.48936170212765956</t>
  </si>
  <si>
    <t>CCNCc1ncccc1C 7.7968574 0.3333333333333333</t>
  </si>
  <si>
    <t>CNCc1cc(CN(Cc2ccccn2)Cc2cc(-c3ccc4c(c3)OCCOCCOCCOCCOCCO4)ccn2)ccn1 7.7968473 0.37037037037037035</t>
  </si>
  <si>
    <t>CN1CCN(Cc2cc(-c3ccc4c(c3)OCCOCCOCCOCCOCCO4)ccn2)CCN(Cc2cccnc2-c2cccc(N(C)C)c2)CC1 7.7968464 0.38028169014084506</t>
  </si>
  <si>
    <t>CN1CCN(C)CCN(Cc2cnccc2-c2ccccc2N)CC1 7.7968454 0.43478260869565216</t>
  </si>
  <si>
    <t>Cc1cnc(CN(C)C2CCCCC2N(C)Cc2nc(C)c(C)cc2C)c(C)c1 7.7968388 0.48936170212765956</t>
  </si>
  <si>
    <t>CN(Cc1cc(-c2ccc3c(c2)OCCOCCOCCOCCOCCO3)ccn1)Cc1cc(C(C)(C)C)ccn1 7.796836 0.390625</t>
  </si>
  <si>
    <t>CNCc1ncccc1CN(Cc1ccccn1)C1CCCCC1N(C)Cc1ncc(C)c(C)c1C 7.7968354 0.5</t>
  </si>
  <si>
    <t>CNC1CCC(N(Cc2ccccn2)Cc2ccccn2)CC1N(Cc1ccccn1)Cc1ccccn1 7.7968297 0.46808510638297873</t>
  </si>
  <si>
    <t>CNC1C(N(C)Cc2cc(C)ccn2)CCCC1N(Cc1ncccc1C)Cc1ncccc1C 7.796824 0.42105263157894735</t>
  </si>
  <si>
    <t>CNC1=CC=CC(N(C)C)N1 7.7968225 0.18</t>
  </si>
  <si>
    <t>CN(CCN(C)Cc1cccnc1)Cc1cccnc1 7.7968016 0.47058823529411764</t>
  </si>
  <si>
    <t>Cc1cccnc1CN(C)CCNC(C)C 7.7967954 0.3617021276595745</t>
  </si>
  <si>
    <t>Cc1cccnc1CN(C)C1CCCC(N(Cc2ccccn2)Cc2cccc(F)n2)C1 7.79679 0.41379310344827586</t>
  </si>
  <si>
    <t>CN1CCN(C)CCN(Cc2ccc(-c3ccccc3N)nc2)CC1 7.7967877 0.43478260869565216</t>
  </si>
  <si>
    <t>Cc1ccnc(CN(C)CCN(C)CCN)c1C 7.796785 0.35714285714285715</t>
  </si>
  <si>
    <t>CCCN(Cc1ccccn1)c1ccc2c(c1-c1cccc(CN(Cc3ccccn3)Cc3cccc(-c4ccc5c(c4)OCCOCCOCCOCCOCCO5)n3)n1)OCCOCCOCCOCCOCCO2 7.796776 0.4246575342465753</t>
  </si>
  <si>
    <t>CNCc1ncc(CN(C)C2CCC(N(C)Cc3ncc(C)c(C)c3C)CC2)cc1C 7.7967753 0.27586206896551724</t>
  </si>
  <si>
    <t>CN(CCF)CCN(Cc1cccc(F)n1)Cc1cccc(F)n1 7.7967753 0.48717948717948717</t>
  </si>
  <si>
    <t>CN1CCN(Cc2cc(-c3cccc(N(C)C)c3)ccn2)CCN(Cc2cc(-c3ccc4c(c3)OCCOCCOCCOCCOCCO4)ccn2)CC1 7.7967753 0.4426229508196721</t>
  </si>
  <si>
    <t>CN(Cc1ccccn1)C1C=CNC(CN(Cc2ccccn2)Cc2cccc(-c3ccc4c(c3)OCCOCCOCCOCCOCCO4)n2)=C1 7.7967696 0.4246575342465753</t>
  </si>
  <si>
    <t>CN1CCN(Cc2cc(N(O)c3ccc4c(c3)OCCOCCOCCOCCOCCO4)ccn2)CCN(Cc2cccc(C(C)(c3ccccn3)c3ccccn3)n2)CC1 7.7967687 0.4492753623188406</t>
  </si>
  <si>
    <t>Cc1cccnc1CN(C)c1cncc(CN2CCN(C)CCN(C)CC2)c1 7.7967634 0.3888888888888889</t>
  </si>
  <si>
    <t>CN(CC1=CCC=C(N(O)Cc2cccnn2)N1)C1CCCCC1N(C)C1=CCC=CN1 7.7967625 0.359375</t>
  </si>
  <si>
    <t>Cc1cc(CN(C)C2CCC(N(C)Cc3nccc(C)c3C)CC2)nc(C)c1C 7.7967362 0.3148148148148148</t>
  </si>
  <si>
    <t>CNCc1cc(CN(Cc2ccccn2)C(C)(N)C2CC(C)(C)C2)ccn1 7.7967086 0.3389830508474576</t>
  </si>
  <si>
    <t>CN(Cc1cccc(-c2ccc3c(c2)OCCOCCOCCOCCOCCO3)n1)c1ccccc1 7.796697 0.3492063492063492</t>
  </si>
  <si>
    <t>Cc1ccc(CN(Cc2cccc(F)n2)C2CCC(N(C)Cc3cccc(CF)n3)CC2)nc1 7.7966933 0.45454545454545453</t>
  </si>
  <si>
    <t>Cc1cnc(CN(C)CCN(C)C2CCCC(N(Cc3ccccn3)Cc3ncc(C)c(C)c3C)C2)c(C)c1 7.796689 0.375</t>
  </si>
  <si>
    <t>CCNC1CC(N(C)Cc2cc(C)ccn2)CC(N(C)Cc2cc(C)c(C)c(C)n2)C1 7.7966814 0.29508196721311475</t>
  </si>
  <si>
    <t>Cc1cc(C)c(C)c(CN(C)C2CCCCC2N(C)c2ccccc2F)n1 7.7966666 0.42592592592592593</t>
  </si>
  <si>
    <t>CCNCc1cc(CN(Cc2ccccn2)C2CCCC(N(C)Cc3ncc(C)c(C)c3C)C2)ccn1 7.7966533 0.36363636363636365</t>
  </si>
  <si>
    <t>Cc1cc(CN(C)C2CCC(N(Cc3ccccn3)Cc3ncccc3C)CC2)ccn1 7.796645 0.40350877192982454</t>
  </si>
  <si>
    <t>CC(NCc1ccccn1)C(C)(C)c1ccccn1 7.7966247 0.4594594594594595</t>
  </si>
  <si>
    <t>CN(CC1=C(N(C)C(c2ccccc2)c2ccccn2)CC=CN1)c1ccc2c(c1)OCCOCCOCCOCCOCCO2 7.7966166 0.3333333333333333</t>
  </si>
  <si>
    <t>CN(Cc1ccc(-c2ccc3c(c2)OCCOCCOCCOCCOCCO3)cn1)Cc1ccc(C(C)(C)C)cn1 7.7966127 0.5</t>
  </si>
  <si>
    <t>COC(C)c1cc(CN(Cc2ccccn2)C2CCC(N(C)Cc3ncccc3C)CC2)ccn1 7.796597 0.35384615384615387</t>
  </si>
  <si>
    <t>Cc1cnc(CN(C)C2CCC(N(Cc3cc(C)c(C)cn3)C(C)C)CC2)c(C)c1 7.7965956 0.36363636363636365</t>
  </si>
  <si>
    <t>Cc1cccnc1CN(Cc1ccccn1)C1CCC(N(C)Cc2cccnc2C)CC1 7.796565 0.42592592592592593</t>
  </si>
  <si>
    <t>CC1=CC(N(C)Cc2cc(C(C)(C)C)ccn2)CC(C)C1(C)C 7.7965536 0.29310344827586204</t>
  </si>
  <si>
    <t>CC(C)N(C)C1=CCC=C(CN(Cc2ccccn2)C2(C)CCC2)N1 7.796552 0.4074074074074074</t>
  </si>
  <si>
    <t>CN(C1=CCC=CN1)C1CCCC(N(Cc2ccccn2)Cc2cccc(F)n2)C1 7.796542 0.421875</t>
  </si>
  <si>
    <t>CC(C)N(C)CC1C=CNC=C1N(C)C1=CCC=CN1 7.79654 0.2222222222222222</t>
  </si>
  <si>
    <t>CN(Cc1cccc(F)n1)C1CCCC(N(Cc2cccc(F)n2)Cc2cccc(F)n2)C1 7.7965384 0.44680851063829785</t>
  </si>
  <si>
    <t>CNCc1cccc(CN(Cc2ccccn2)Cc2ncccc2-c2ccc3c(c2)OCCOCCOCCOCCOCCO3)n1 7.796528 0.3611111111111111</t>
  </si>
  <si>
    <t>CC1=CC(C)CC(C)(c2cccc(CN3CCN(C)CCN(Cc4cccc(C(C)(C)c5ccccn5)n4)CC3)n2)C1 7.796527 0.41935483870967744</t>
  </si>
  <si>
    <t>CC1C=CC2(CC1)CC(C)C(C)C=C2N(Cc1ccccn1)Cc1ccccn1 7.7965207 0.38181818181818183</t>
  </si>
  <si>
    <t>Cc1ccc(CN(Cc2cccc(F)n2)C2CCC(N(C)Cc3cccc(F)n3)CC2)nc1 7.7965198 0.5</t>
  </si>
  <si>
    <t>CCNCC1=CCC(N(C)C(C)C)=CN1 7.796519 0.17307692307692307</t>
  </si>
  <si>
    <t>CNCc1cc(CN(Cc2cc(C)ccn2)C2CCC(N(C)Cc3ncccc3C)CC2)ccn1 7.7965183 0.2923076923076923</t>
  </si>
  <si>
    <t>CN1CCN(C)CCN(CCCN(C)c2cccc3ncc(CF)cc23)CC1 7.79651 0.3333333333333333</t>
  </si>
  <si>
    <t>CC(C)c1ccccn1 7.7965097 0.4375</t>
  </si>
  <si>
    <t>CN(Cc1cccc(-c2ccc3c(c2)OCCOCCOCCOCCOCCO3)n1)C1=CC=CNC1NCc1ccccn1 7.796494 0.358974358974359</t>
  </si>
  <si>
    <t>C=CCN(C)Cc1cccc(-c2cccc(N(C)C3CCC(N(C)Cc4cccc(-c5ccc6c(c5)OCCOCCOCCOCCOCCO6)n4)CC3)c2)n1 7.7964935 0.3048780487804878</t>
  </si>
  <si>
    <t>CC(C)C(C)N(C)Cc1ncccc1C(C)(C)C 7.7964892 0.30434782608695654</t>
  </si>
  <si>
    <t>COCC(C)c1cccc(CN(Cc2ccccn2)Cc2cccc(-c3ccc4c(c3)OCCOCCOCCOCCOCCO4)n2)n1 7.796489 0.4925373134328358</t>
  </si>
  <si>
    <t>CN1CCN(C)CCN(Cc2cncc(-c3ccccc3N)c2)CC1 7.7964787 0.3958333333333333</t>
  </si>
  <si>
    <t>CN(Cc1cccc(-c2ccc3c(c2)OCCOCCOCCOCCOCCO3)n1)C1CCCCC1N(Cc1ccccn1)Cc1ccc2ccccc2n1 7.7964754 0.45454545454545453</t>
  </si>
  <si>
    <t>CNCc1cccc(CN(Cc2ccccn2)C2CCC(N(C)Cc3nccc(C)c3C)CC2)n1 7.796459 0.3898305084745763</t>
  </si>
  <si>
    <t>CN(C)CCN(C)Cc1ncccc1CF 7.796444 0.4878048780487805</t>
  </si>
  <si>
    <t>Cc1cnccc1CN(C)C1CCCC(N(Cc2ccccn2)Cc2ncccc2C)C1 7.7964416 0.4067796610169492</t>
  </si>
  <si>
    <t>CNCc1cc(CN(Cc2ccccn2)Cc2ncccc2-c2ccc3c(c2)OCCOCCOCCOCCOCCO3)ccn1 7.7964406 0.3389830508474576</t>
  </si>
  <si>
    <t>CC(C)N(CCN1CCN(C)CCN(C)CC1)c1cccc2ncccc12 7.796436 0.37254901960784315</t>
  </si>
  <si>
    <t>Cc1cnc(CN(C)C2CCC(N(Cc3ccccn3)Cc3ccccn3)CC2)c(C)c1 7.796436 0.45098039215686275</t>
  </si>
  <si>
    <t>CCNCc1ncccc1CN(Cc1ccccn1)C1CCCC(N(C)Cc2ncc(C)c(C)c2C)C1 7.796431 0.36363636363636365</t>
  </si>
  <si>
    <t>CN(Cc1cc(-c2ccc3c(c2)OCCOCCOCCOCCOCCO3)ccn1)Cc1ccon1 7.79643 0.44680851063829785</t>
  </si>
  <si>
    <t>Cc1ccc(C)c(CN(C)C2CCC(N(Cc3ccccn3)Cc3ccccn3)CC2)n1 7.796409 0.46</t>
  </si>
  <si>
    <t>CCOC(C)c1ncccc1CN(Cc1ccccn1)C1CCC(N(C)Cc2ncccc2C)CC1 7.7963967 0.359375</t>
  </si>
  <si>
    <t>CCNCc1ccc(CN(Cc2ccccn2)C2CCCC(N(C)Cc3ncc(C)c(C)c3C)C2)cn1 7.7963853 0.3582089552238806</t>
  </si>
  <si>
    <t>Cc1cnc(CN(C)Cc2ncccc2-c2cccc3c2OCCOCCOCCOCCOCCO3)cc1C 7.796372 0.296875</t>
  </si>
  <si>
    <t>CNC1CCCCC1N(Cc1ncc(C)c(C)c1C)Cc1ncc(C)c(C)c1C 7.796369 0.36</t>
  </si>
  <si>
    <t>CN(CCC1=NCC(C)(C)O1)Cc1ccccn1 7.796346 0.4444444444444444</t>
  </si>
  <si>
    <t>CNCc1ncccc1CN(Cc1ccccn1)C1CCC(N(C)Cc2nc(C)ccc2C)CC1 7.7963324 0.36507936507936506</t>
  </si>
  <si>
    <t>COC(=O)C1CN(C)C(c2ccc(CN3CCN(C)CCN(C)CC3)cn2)C(c2cc(C)c(C)c(C)n2)C1C(C)C 7.796328 0.3026315789473684</t>
  </si>
  <si>
    <t>CC(C)N(C)Cc1ncccc1N 7.7963233 0.36585365853658536</t>
  </si>
  <si>
    <t>Cc1cccc(-c2cccc(CN(C)C3CCCCC3N(Cc3ccccn3)Cc3cccc(-c4ccc5c(c4)OCCOCCOCCOCCOCCO5)n3)n2)c1 7.7963147 0.46875</t>
  </si>
  <si>
    <t>Cc1cnc(CN(C)CC2=CC(N(C)Cc3cccc(-c4ccc5c(c4)OCCOCCOCCOCCOCCO5)n3)C=CN2)c(C)c1 7.796309 0.2988505747126437</t>
  </si>
  <si>
    <t>CCN(Cc1ccccn1)Cc1cc(N(C)C2CCC(N(C)Cc3ccccn3)CC2)ccn1 7.796307 0.48</t>
  </si>
  <si>
    <t>CNC1CC(N(Cc2ccccn2)Cc2ccccn2)CC(N(Cc2ccccn2)Cc2ccccn2)C1C 7.7963037 0.4375</t>
  </si>
  <si>
    <t>CCNCc1cccc(CN(Cc2ccccn2)C2CCC(N(C)Cc3cc(C)c(C)c(C)n3)CC2)n1 7.79629 0.3870967741935484</t>
  </si>
  <si>
    <t>Cc1cc(C)c(C)c(CN(C)C2CCCC(N(C)Cc3cc(C)c(C)cn3)C2)n1 7.7962847 0.37037037037037035</t>
  </si>
  <si>
    <t>Cc1cccnc1CN(C)C1CCCC(N(C)Cc2nc(C)c(C)c(C)c2C)C1 7.796283 0.3333333333333333</t>
  </si>
  <si>
    <t>Cc1cnc(CN(C)C2CCCC(N(C)Cc3cccnc3CN(C)C)C2)c(C)c1C 7.796277 0.3333333333333333</t>
  </si>
  <si>
    <t>Cc1ccc(CN(C)CC2=CC(N(C)C(C)C)C=CN2)nc1 7.796272 0.46808510638297873</t>
  </si>
  <si>
    <t>CCNC(C)N(C)CC1=C(N(C)C(C)C)CC=CN1 7.796262 0.2</t>
  </si>
  <si>
    <t>CC(C)N(CC1=CCC(N(C)Cc2ncccc2-c2cccc3c2OCCOCCOCCOCCOCCO3)=CN1)Cc1ccccn1 7.796256 0.34285714285714286</t>
  </si>
  <si>
    <t>CC(c1ccccc1)c1ccccc1 7.7962503 0.3888888888888889</t>
  </si>
  <si>
    <t>Cc1cccnc1CN(C)C1CCCCC1N(C)c1cccc2ncc(CN3CCN(C)CCN(C)CC3)cc12 7.7962484 0.36231884057971014</t>
  </si>
  <si>
    <t>Cc1ccnc(CN(C)CCN(C)CCF)c1C 7.7962475 0.3902439024390244</t>
  </si>
  <si>
    <t>Cc1ccc(CN(C)C2CCCC(N(Cc3ccccn3)Cc3ncccc3C)C2)cn1 7.796239 0.41379310344827586</t>
  </si>
  <si>
    <t>Nc1cccnc1CN(CNCF)Cc1ccccn1 7.796236 0.475</t>
  </si>
  <si>
    <t>CN(CNCc1ncccc1C(C)(C)c1ccccn1)Cc1ncccc1-c1cccc2c1OCCOCCOCCOCCOCCO2 7.796234 0.24324324324324326</t>
  </si>
  <si>
    <t>Cc1cnc(CN(C)C2CCCC(N(C)Cc3ccon3)C2)c(C)c1C 7.79622 0.3877551020408163</t>
  </si>
  <si>
    <t>Fc1cccc(CN(Cc2ccccn2)Cc2cccc(-c3ccc4c(c3)OCCOCCOCCOCCOCCO4)n2)n1 7.7962103 0.4918032786885246</t>
  </si>
  <si>
    <t>Fc1cccc(CN(Cc2ccccn2)Cc2ncccc2-c2cccc3c2OCCOCCOCCOCCOCCO3)n1 7.7962093 0.4</t>
  </si>
  <si>
    <t>Cc1ccc(CN(Cc2ccccn2)C2CCCC(N(C)Cc3ccccn3)C2)nc1C 7.7962074 0.5</t>
  </si>
  <si>
    <t>Fc1ccncc1CN(Cc1ccccn1)C1CCCCC1N(Cc1ccccn1)Cc1cccnc1F 7.7962046 0.46153846153846156</t>
  </si>
  <si>
    <t>CCNCc1ccc(CN(Cc2ccccn2)C2CCC(N(C)Cc3cc(C)c(C)c(C)n3)CC2)cn1 7.796203 0.3582089552238806</t>
  </si>
  <si>
    <t>COC(=O)c1cc(CN2CCN(C)CCN(Cc3cc(C(C)NCc4ccccn4)ccn3)CC2)ccn1 7.796195 0.4426229508196721</t>
  </si>
  <si>
    <t>Cc1ccc(CN(Cc2ccccn2)C2CCCC(N(C)Cc3cccc(C)n3)C2)nc1 7.796178 0.4727272727272727</t>
  </si>
  <si>
    <t>CNCc1cccc(CN(Cc2ncccc2C)C2CCC(N(C)Cc3ncccc3C)CC2)n1 7.7961674 0.3389830508474576</t>
  </si>
  <si>
    <t>Cc1ncccc1CN(C)CC1=CC(N(C)C(C)C)C=CN1 7.796166 0.32142857142857145</t>
  </si>
  <si>
    <t>CC1=CC(c2cc(CN(Cc3ccccn3)C3CCC(N(C)Cc4nc(C)c(C)c(C)c4C)CC3)ccn2)CC(C)C1C 7.7961597 0.3150684931506849</t>
  </si>
  <si>
    <t>CNCc1cccc(CN(Cc2ccccn2)C2CCC(N(C)Cc3nc(C)ccc3C)CC2)n1 7.7961574 0.38333333333333336</t>
  </si>
  <si>
    <t>CN(C)C1CCCC(N(C)Cc2cccc(-c3ccccc3)n2)C1 7.796153 0.42857142857142855</t>
  </si>
  <si>
    <t>Cc1ccc(CN(C)C2CCCC(N(Cc3ccccn3)Cc3cccc(C)n3)C2)nc1 7.7961507 0.4727272727272727</t>
  </si>
  <si>
    <t>Cc1ccc(C)c(CN(C)C2CCCC(N(C)Cc3ncc(C)c(C)c3C)C2)n1 7.7961364 0.3333333333333333</t>
  </si>
  <si>
    <t>Cc1cnc(C)c(CN(C)C2CCC(N(C)Cc3cc(C)c(C)c(C)n3)CC2)c1 7.79613 0.3584905660377358</t>
  </si>
  <si>
    <t>Cc1cnc(C)c(CN(C)C2CCCC(N(Cc3ccccn3)Cc3ccccn3)C2)c1 7.7961235 0.4528301886792453</t>
  </si>
  <si>
    <t>CC(Nc1ccc2ncccc2c1)N1CCN(C)CCN(C)CC1 7.796115 0.3137254901960784</t>
  </si>
  <si>
    <t>Cc1cc(CN(C)C2CCCC(N(C)Cc3ccc(C)c(C)c3C)C2)nc(C)c1C 7.796115 0.32727272727272727</t>
  </si>
  <si>
    <t>Cc1cc(C)c(C)c(CN(C)C2CCCC(N(Cc3cccnc3CNCF)Cc3ncccc3C)C2)n1 7.796111 0.25</t>
  </si>
  <si>
    <t>CNCc1cc(CN(C)Cc2nc(C)c(C)c(C)c2C)c(-c2ccc3c(c2)OCCOCCOCCOCCOCCO3)c(-c2ccc3c(c2)OCCOCCOCCOCCOCCO3)n1 7.7961106 0.2875</t>
  </si>
  <si>
    <t>CC1=CC(C)C(N(C)Cc2ncccc2C(C)(C)C)CC1C 7.7961087 0.32727272727272727</t>
  </si>
  <si>
    <t>CCN1C(CNC)CCC1N(C)Cc1nc(C)c(C)cc1C 7.796097 0.23333333333333334</t>
  </si>
  <si>
    <t>Cc1ccccc1N(C)C1CCCC(N(C)Cc2ccon2)C1 7.7960777 0.3958333333333333</t>
  </si>
  <si>
    <t>COC(=O)C1CN(C)C(C(C)=O)C(C(=O)C(C)N)C1C(C)=O 7.7960763 0.2153846153846154</t>
  </si>
  <si>
    <t>CCNCc1cccc(CN(Cc2ccccn2)C2CCC(N(C)Cc3nc(C)c(C)cc3C)CC2)n1 7.796064 0.36507936507936506</t>
  </si>
  <si>
    <t>Cc1cc(N2CCN(C)CCN(C)CC2)ccc1N(C)C(C)C 7.7960634 0.26</t>
  </si>
  <si>
    <t>CC(C)(c1ccccn1)c1ncccc1CN(Cc1ccccn1)C1CCCCC1 7.7960577 0.4423076923076923</t>
  </si>
  <si>
    <t>CC1=C(C)C(N(C)CC2=CCC=CN2)CC(C)C1 7.7960534 0.34545454545454546</t>
  </si>
  <si>
    <t>Cc1ccnc(CN(C)C2CCC(N(Cc3ccc(CNC(C)C)nc3)Cc3ccccn3)CC2)c1C 7.7960463 0.36923076923076925</t>
  </si>
  <si>
    <t>CN1CCN(C)CCN(Cc2cncc(-c3cccc(N)c3)c2)CC1 7.796044 0.3877551020408163</t>
  </si>
  <si>
    <t>CC(c1ccccn1)(c1ccccn1)c1cccc(CN2CCCC2C2CCCN2)n1 7.7960386 0.49056603773584906</t>
  </si>
  <si>
    <t>CN(C1=CC=CNC1NCc1cccc(CN(Cc2ccccn2)Cc2cccc(N)n2)n1)c1ccc2c(c1)OCCOCCOCCOCCOCCO2 7.796031 0.30864197530864196</t>
  </si>
  <si>
    <t>CC(C)c1ncccc1CN1CCN(C)CCN(Cc2ncccc2C(C)(C)c2ccccn2)CC1 7.796026 0.42592592592592593</t>
  </si>
  <si>
    <t>CC1C=CC(c2ccc(CN(C)Cc3cc(N)ccn3)nc2)C(C)C1C 7.796023 0.3269230769230769</t>
  </si>
  <si>
    <t>Cc1cncc(CN(C)CC2=CC(N(C)C(C)C)C=CN2)c1 7.796017 0.3220338983050847</t>
  </si>
  <si>
    <t>Cc1cccnc1CN(C)C1CCC(N(Cc2ccccn2)Cc2ncccc2C)CC1 7.796011 0.4791666666666667</t>
  </si>
  <si>
    <t>CCN(Cc1ccccn1)C1CCC(N(C)Cc2ncccc2C)CC1N(C)Cc1ncc(C)cc1C 7.795998 0.4032258064516129</t>
  </si>
  <si>
    <t>Cc1cccc(CN(Cc2ccccn2)C2CCC(N(C)Cc3ncccc3C)CC2)n1 7.7959957 0.4444444444444444</t>
  </si>
  <si>
    <t>CNC(C)(C)c1cc(CN(Cc2ccccn2)C2CCC(N(C)Cc3ncccc3C)CC2)ccn1 7.795987 0.35384615384615387</t>
  </si>
  <si>
    <t>Cc1ccnc(CN(C)C2CCCC(N(C)Cc3ncc(C)c(C)c3C)C2)c1C 7.795973 0.34615384615384615</t>
  </si>
  <si>
    <t>Cc1ccnc(CN(C)C(C)(C)C(C)N)c1C 7.795965 0.24489795918367346</t>
  </si>
  <si>
    <t>C1=CCNC(N(Cc2ccccn2)Cc2cccc(-c3cccc4c3OCCOCCOCCOCCOCCO4)n2)=C1 7.795964 0.35384615384615387</t>
  </si>
  <si>
    <t>Cc1nc(CN(C)C2CCCC(N(Cc3ccccn3)CN(C)Cc3ccccn3)C2)c(C)c(C)c1C 7.7959547 0.42105263157894735</t>
  </si>
  <si>
    <t>CC(C)C(C)c1cccc(CN(Cc2cccc(-c3ccc4c(c3)OCCOCCOCCOCCOCCO4)n2)Cc2cccc(C(C)(C)C)n2)n1 7.795954 0.3333333333333333</t>
  </si>
  <si>
    <t>CC(C)C1CCC1c1cccc(CN2CCN(C)CCN(Cc3cccc(C(C)(c4ccccn4)c4ccccn4)n3)CC2)n1 7.795951 0.45614035087719296</t>
  </si>
  <si>
    <t>CN(CC1=CCC(N(C)C(c2ccccc2)c2ccccn2)=CN1)c1ccc2c(c1)OCCOCCOCCOCCOCCO2 7.795948 0.3333333333333333</t>
  </si>
  <si>
    <t>CNCc1c(-c2cc(CN(Cc3ccccn3)Cc3ccccn3)ccn2)ccc2c1OCCOCCOCCOCCOCCO2 7.795944 0.35714285714285715</t>
  </si>
  <si>
    <t>CN(Cc1ccon1)Cc1ncccc1-c1ccc2c(c1)OCCOCCOCCOCCOCCO2 7.7959423 0.39622641509433965</t>
  </si>
  <si>
    <t>Cc1cc(CN(C)C2CCCC(N(Cc3ccccn3)Cc3ncccc3C)C2)ccn1 7.795941 0.4067796610169492</t>
  </si>
  <si>
    <t>Cc1cc(CN(C)C2CCCC(N(C)Cc3ccon3)C2)nc(C)c1C 7.795939 0.3958333333333333</t>
  </si>
  <si>
    <t>CCNCc1ccc(CN(Cc2ccccn2)C2CCC(N(C)Cc3nc(C)c(C)cc3C)CC2)cn1 7.7959294 0.3382352941176471</t>
  </si>
  <si>
    <t>Cc1cccnc1CN(CCN(C)C(C)(c1cccnc1)C(C)C)C(C)C 7.7959185 0.39622641509433965</t>
  </si>
  <si>
    <t>CNC1CC(N(C)Cc2ccccn2)CC(N(C)Cc2nc(C)c(C)c(C)c2C)C1 7.7959013 0.42592592592592593</t>
  </si>
  <si>
    <t>CNCc1ccc(CN(Cc2ccccn2)C2CCC(N(C)Cc3nc(C)ccc3C)CC2)cn1 7.7958984 0.35384615384615387</t>
  </si>
  <si>
    <t>CCOC(=O)C(=O)C(C)C(C)NCc1ccccn1 7.7958922 0.37777777777777777</t>
  </si>
  <si>
    <t>Cc1ccc(CN(CCN(C)CC(C)(C)C)C(C)C)cn1 7.795891 0.3617021276595745</t>
  </si>
  <si>
    <t>Cc1ccc(CN(Cc2ccccn2)Cc2cccc(-c3ccc4c(c3)OCCOCCOCCOCCOCCO4)n2)nc1C1CCC1(C)C 7.7958875 0.4383561643835616</t>
  </si>
  <si>
    <t>Cc1ccc(CN(Cc2ncccc2C)C2CCCCC2N(Cc2ncccc2C)C(C)C)nc1 7.7958627 0.48148148148148145</t>
  </si>
  <si>
    <t>CN(CC1=C(CN(Cc2ccccn2)Cc2cccc(-c3ccc4c(c3)OCCOCCOCCOCCOCCO4)n2)NC=CC1)Cc1ccccn1 7.795861 0.4246575342465753</t>
  </si>
  <si>
    <t>Cc1nc(CN(C)C2CCC(N(Cc3ccccn3)Cc3cccc(C4CCC4C)n3)CC2)c(C)c(C)c1C 7.795839 0.36507936507936506</t>
  </si>
  <si>
    <t>CC(C)N(Cc1cc(-c2ccc3c(c2)OCCOCCOCCOCCOCCO3)ccn1)CN(C)C1CCC(N(C)c2ccc3ncccc3c2)CC1 7.795838 0.3373493975903614</t>
  </si>
  <si>
    <t>CN1CCN(C)CCN(CCCN(C)c2cccc3nccc(CF)c23)CC1 7.7958364 0.3392857142857143</t>
  </si>
  <si>
    <t>Cc1ccc(C)c(CN(C)Cc2ncccc2-c2cccc3c2OCCOCCOCCOCCOCCO3)n1 7.7958317 0.27419354838709675</t>
  </si>
  <si>
    <t>c1ccncc1 7.795825 0.20833333333333334</t>
  </si>
  <si>
    <t>CCCN(CC1=CCC=C(N(C)Cc2nc(C)c(C)c(C)c2C)N1)C1CCCCC1N(C)Cc1ccccn1 7.795803 0.46153846153846156</t>
  </si>
  <si>
    <t>Cc1cncc(CN(C)C2CC(N(C)Cc3ccccn3)CC(N(Cc3ccccn3)C(C)C)C2)c1C 7.7957983 0.4107142857142857</t>
  </si>
  <si>
    <t>CC(C)N(C)CC1=C(N(Cc2ccccn2)CN(C)C(C)C)CC=CN1 7.7957835 0.4117647058823529</t>
  </si>
  <si>
    <t>Fc1cccc(CN(Cc2ccccn2)C2CCCCC2N(Cc2ccccn2)Cc2cccnc2F)n1 7.7957835 0.48</t>
  </si>
  <si>
    <t>Cc1ccc(CN(C)C2CC(N(C)Cc3ncccc3C)CCC2N(Cc2ccc(C)cn2)C(C)C)nc1 7.7957544 0.46551724137931033</t>
  </si>
  <si>
    <t>Cc1cccnc1CN(C)C1CCC(N(Cc2ccccn2)Cc2ncccc2N)CC1 7.795754 0.42592592592592593</t>
  </si>
  <si>
    <t>CC1=C(C)C(C)C(N(C)Cc2ccccn2)C(CN(Cc2ccccn2)Cc2ccccn2)C1C 7.7957487 0.475</t>
  </si>
  <si>
    <t>Cc1cncc(CN(C)Cc2cccc(N(C)C3CCC(N(Cc4ccccn4)Cc4cccc(-c5ccc6c(c5)OCCOCCOCCOCCOCCO6)n4)CC3)n2)c1 7.7957473 0.36363636363636365</t>
  </si>
  <si>
    <t>CN1CCN(C)CCN(Cc2ccc(-c3cccc(N)c3)nc2)CC1 7.795741 0.3877551020408163</t>
  </si>
  <si>
    <t>COC(=O)c1ncccc1CN1CCN(C)CCN(Cc2cccc(C(C)NCc3ccccn3)n2)CC1 7.795736 0.4426229508196721</t>
  </si>
  <si>
    <t>CC1=CC(C)CC(C)(C)C1(C)c1cccc(CN(Cc2ccccn2)Cc2cccc(-c3ccc4c(c3)OCCOCCOCCOCCOCCO4)n2)n1 7.795735 0.40789473684210525</t>
  </si>
  <si>
    <t>C1=CNC(c2cccc(CN(Cc3ccccn3)C3CCCCC3)n2)=CC1 7.7957335 0.47368421052631576</t>
  </si>
  <si>
    <t>Cc1cc(C)nc(CN(C)CC2=CCCN=C2)c1 7.7957306 0.43478260869565216</t>
  </si>
  <si>
    <t>CNCc1cc(CN(Cc2cccc(C)n2)C2CCC(N(C)Cc3ncccc3C)CC2)ccn1 7.795722 0.375</t>
  </si>
  <si>
    <t>CNCc1cc(CF)ccn1 7.7957163 0.2972972972972973</t>
  </si>
  <si>
    <t>CC(N)C(C)c1cccnc1CN(Cc1cc(-c2ccc3c(c2)OCCOCCOCCOCCOCCO3)ccn1)Cc1cc(C(C)(C)C)ccn1 7.7957067 0.3125</t>
  </si>
  <si>
    <t>CCNCc1cc(CN(Cc2ccccn2)C2CCCC(N(C)Cc3cc(C)c(C)c(C)n3)C2)ccn1 7.7956996 0.3787878787878788</t>
  </si>
  <si>
    <t>Cc1ccnc(CN(Cc2ccccn2)CC(C)C(C)N)c1 7.795697 0.475</t>
  </si>
  <si>
    <t>CNCCN(Cc1ccccn1)C(C)(N)c1ccccc1 7.7956967 0.44680851063829785</t>
  </si>
  <si>
    <t>CCN(C)CC1=C(N(C)C(C)C)CC=CN1 7.795693 0.20408163265306123</t>
  </si>
  <si>
    <t>COC(=O)c1ncccc1CN1CCN(C)CCN(Cc2ncccc2C(C)NCc2ccccn2)CC1 7.795687 0.4262295081967213</t>
  </si>
  <si>
    <t>CN1CCN(C)CCN(Cc2ccc(-c3cccc(N)c3)cn2)CC1 7.7956867 0.4888888888888889</t>
  </si>
  <si>
    <t>Cc1ccc(C)c(CN(C)C2CCCC(N(Cc3ccccn3)Cc3ccccn3)C2)n1 7.7956753 0.46153846153846156</t>
  </si>
  <si>
    <t>CN(CCN)Cc1cccc(C(C)(C)C)n1 7.7956734 0.5</t>
  </si>
  <si>
    <t>Cc1cc(C)c(CN(C)C2CCCC(N(Cc3ccccn3)Cc3ccccn3)C2)cn1 7.7956715 0.4528301886792453</t>
  </si>
  <si>
    <t>Cc1cnc(CN(Cc2ccccn2)C2CCCC(N(C)Cc3ccccn3)C2)c(C)c1 7.7956686 0.4716981132075472</t>
  </si>
  <si>
    <t>CNCc1cccc(CN(Cc2cccc(C)n2)C2CCC(N(C)Cc3ncccc3C)CC2)n1 7.7956676 0.41379310344827586</t>
  </si>
  <si>
    <t>Cc1cccc(C)c1N(C)C1CCCCC1N(C)Cc1ccon1 7.7956676 0.5</t>
  </si>
  <si>
    <t>CN1CCN(C)CCN(CCCN(C)c2cccc3nc(CF)ccc23)CC1 7.7956576 0.36363636363636365</t>
  </si>
  <si>
    <t>CC(C)c1cc2c(c(-c3cccc(CN(Cc4ccccn4)Cc4ccccn4)n3)c1)OCCOCCOCCOCCOCCO2 7.795653 0.4307692307692308</t>
  </si>
  <si>
    <t>Cc1cccnc1CN(C)C(C)C(C)(c1cccnc1)C(C)N 7.79561 0.24561403508771928</t>
  </si>
  <si>
    <t>CC1=CC(C)CC(C)(c2cc(CN(Cc3ccccn3)Cc3ccc(-c4ccc5c(c4)OCCOCCOCCOCCOCCO5)cn3)ccn2)C1C 7.7956076 0.37349397590361444</t>
  </si>
  <si>
    <t>Cc1cnc(CN(C)C2CCCC(N(Cc3ccccn3)Cc3ccccn3)C2)c(C)c1 7.7955966 0.4528301886792453</t>
  </si>
  <si>
    <t>CC(c1cccc(-c2ccc3c(c2)OCCOCCOCCOCCOCCO3)n1)c1ncccc1CN(Cc1ccccn1)Cc1ccc(-c2ccc3c(c2)OCCOCCOCCOCCOCCO3)cn1 7.7955937 0.37662337662337664</t>
  </si>
  <si>
    <t>Cc1ccc(CN(C)C2CCCC(N(C)Cc3cc(C)c(C)c(C)n3)C2)nc1C 7.7955937 0.37254901960784315</t>
  </si>
  <si>
    <t>Cc1cccnc1-c1cccc(CN(C)C2CCC(N(C)Cc3ccc(-c4ccc5c(c4)OCCOCCOCCOCCOCCO5)cn3)CC2)n1 7.7955904 0.43243243243243246</t>
  </si>
  <si>
    <t>CC(C)c1cccc(CN(Cc2ccccn2)Cc2cccc(-c3ccc4c(c3)OCCOCCOCCOCCOCCO4)n2)n1 7.795584 0.49206349206349204</t>
  </si>
  <si>
    <t>Fc1cccnc1CN(Cc1ccccn1)C1CCCCC1N(Cc1ccccn1)Cc1cccnc1F 7.7955766 0.48</t>
  </si>
  <si>
    <t>Cc1cc(C)nc(CN(C)C2CCC(N(C)Cc3cc(C)c(C)c(C)n3)CC2)c1 7.795576 0.36</t>
  </si>
  <si>
    <t>CCN(CCN(C)Cc1cncc(C)c1)Cc1ccccn1 7.795566 0.48936170212765956</t>
  </si>
  <si>
    <t>COC(=O)C(=O)C(=O)C1(C)N=COC1c1cccnc1CN1CCN(C)CCN(C)CC1 7.795558 0.3387096774193548</t>
  </si>
  <si>
    <t>Cc1cc(C)c(CN(C)C2CCCC(N(C)Cc3ccon3)C2)nc1C 7.795551 0.3877551020408163</t>
  </si>
  <si>
    <t>Cc1cncc(CN(C)C(C)C)c1 7.7955465 0.2682926829268293</t>
  </si>
  <si>
    <t>CN(Cc1cccc(-c2ccc3c(c2)OCCOCCOCCOCCOCCO3)n1)c1cccc(CN(CNCF)Cc2ccccn2)n1 7.795542 0.410958904109589</t>
  </si>
  <si>
    <t>CN1CCN(Cc2cccc(C3CC(C)(C)C3)n2)CCN(Cc2cccc(C(C)(C)c3ccccn3)n2)CC1 7.7955303 0.48148148148148145</t>
  </si>
  <si>
    <t>Cc1cccnc1CN(C)CCCN(C)C 7.795525 0.3953488372093023</t>
  </si>
  <si>
    <t>CC(C)N(C)c1cccc(-c2ccnc(C(C)(C)N3CCN(C)CCN(Cc4cc(-c5ccc6c(c5)OCCOCCOCCOCCOCCO6)ccn4)CC3)c2)c1 7.795524 0.35526315789473684</t>
  </si>
  <si>
    <t>CC(C)C(NCc1ccccn1)c1ccnc(CNCF)c1 7.7955203 0.4418604651162791</t>
  </si>
  <si>
    <t>CN(CF)Cc1ncccc1C(C)(C)C 7.7955174 0.3333333333333333</t>
  </si>
  <si>
    <t>Cc1cc(C(=O)C(C)C(=O)C(=O)C(=O)C(C)C(C)C(C)C(C)C(C)C(C)C(C)C)cnc1C1CC(C)(C)C1 7.7955146 0.15789473684210525</t>
  </si>
  <si>
    <t>Cc1cccc(CN(C)C2=C(CN(C(C)C)C3CCC(N(C)Cc4ccccn4)CC3)NC=CC2)n1 7.7955103 0.38461538461538464</t>
  </si>
  <si>
    <t>CC(C)N(C)CN(Cc1ccccn1)C(C)(C)c1cccnc1 7.795505 0.42857142857142855</t>
  </si>
  <si>
    <t>CN(CCNCc1ccccn1)Cc1cncc(F)c1 7.795496 0.4666666666666667</t>
  </si>
  <si>
    <t>Cc1ccc(C)c(CN(C)C2CCCC(N(C)Cc3cc(C)c(C)c(C)n3)C2)n1 7.79549 0.37037037037037035</t>
  </si>
  <si>
    <t>CCNCc1ncccc1C(C)(C)C 7.7954893 0.3076923076923077</t>
  </si>
  <si>
    <t>CC1C=CC(c2ccc(CN(C)Cc3ccccn3)cn2)CC1C 7.7954845 0.42592592592592593</t>
  </si>
  <si>
    <t>Cc1cc(C)c(CN(C)C2CCC(N(C)Cc3ccc4c(n3)CCC4)CC2)nc1C 7.795484 0.3333333333333333</t>
  </si>
  <si>
    <t>Cc1ccc(CN(C)Cc2cccc(-c3ccc4c(c3)OCCOCCOCCOCCOCCO4)n2)nc1C 7.7954817 0.3620689655172414</t>
  </si>
  <si>
    <t>CCOC(C)c1cccc(CN(Cc2ccccn2)Cc2cccc(-c3ccc4c(c3)OCCOCCOCCOCCOCCO4)n2)n1 7.795481 0.47058823529411764</t>
  </si>
  <si>
    <t>Cc1cc(CN(C)C2CCC(N(C)Cc3ccc4c(n3)CCC4)CC2)nc(C)c1C 7.7954698 0.3392857142857143</t>
  </si>
  <si>
    <t>Cc1cnc(CN(C)C2CCCC(N(C)Cc3nc(C)c(C)cc3C)C2)cc1C 7.795466 0.37735849056603776</t>
  </si>
  <si>
    <t>CC(C)N(C)Cc1cncc(-c2ccc3c(c2N(C)Cc2ccccn2)OCCOCCOCCOCCOCCO3)c1 7.7954593 0.3283582089552239</t>
  </si>
  <si>
    <t>Cc1ccc(CN(Cc2ccccn2)Cc2cccc(-c3ccc4c(c3)OCCOCCOCCOCCOCCO4)n2)nc1 7.795459 0.49206349206349204</t>
  </si>
  <si>
    <t>Fc1cccc(CN(Cc2ccccn2)Cc2cc(-c3ccc4c(c3)OCCOCCOCCOCCOCCO4)ccn2)n1 7.7954383 0.4117647058823529</t>
  </si>
  <si>
    <t>CC(C)N(C)CC1=C(N(C)C(C)C)CC=CN1 7.7954383 0.2127659574468085</t>
  </si>
  <si>
    <t>CNC1CCCCC1N(Cc1ncc(C)cc1C)Cc1nc(C)c(C)c(C)c1C 7.795436 0.3220338983050847</t>
  </si>
  <si>
    <t>Cc1nc(CN(C)C2CCCCC2N(C)Cc2ccon2)c(C)c(C)c1C 7.7954354 0.46</t>
  </si>
  <si>
    <t>COCc1ccc2c(c1-c1ncccc1CN(Cc1ccccn1)Cc1ccccn1)OCCOCCOCCOCCOCCO2 7.795425 0.37037037037037035</t>
  </si>
  <si>
    <t>CNCc1cccc(CF)n1 7.795419 0.32608695652173914</t>
  </si>
  <si>
    <t>CCCN(Cc1ccccn1)C1CCC(N(C)Cc2ncccc2C)C(N(Cc2ccccn2)Cc2ncccc2C)C1 7.795413 0.4642857142857143</t>
  </si>
  <si>
    <t>CN1CCN(C)CCN(Cc2cccnc2-c2cccc(N)c2)CC1 7.7954006 0.44680851063829785</t>
  </si>
  <si>
    <t>CCNCCN(C)Cc1ncc(C)cc1C 7.7953973 0.37209302325581395</t>
  </si>
  <si>
    <t>CC(C)N(C)CN(C)CC1=C(N(C)C(C)C)CC=CN1 7.7953963 0.19607843137254902</t>
  </si>
  <si>
    <t>CCNCc1cc(CN(Cc2ccccn2)C2CCCC(N(C)Cc3nc(C)c(C)cc3C)C2)ccn1 7.7953954 0.3582089552238806</t>
  </si>
  <si>
    <t>CC1=CC(N(C)Cc2cc(C(C)(C)C)ccn2)C(C)C(C)(C)C1 7.7953954 0.29310344827586204</t>
  </si>
  <si>
    <t>CN1CCN(C)CCN(CC2=CCC(N(C)C(c3ccccn3)c3ccccn3)=CN2)CC1 7.7953944 0.4339622641509434</t>
  </si>
  <si>
    <t>CC(C)N(CCN(C)c1ccc2nccc(CN(C)C)c2c1)Cc1cccc2c1OCCOCCOCCOCCOCCO2 7.795388 0.27941176470588236</t>
  </si>
  <si>
    <t>Cc1cc(N)ccc1N1CCN(C)CCN(Cc2ncccc2C(C)(C)C)CC1 7.7953806 0.375</t>
  </si>
  <si>
    <t>Cc1cccc(CN(C)C2CCC(N(C)Cc3cccc(C(C)(c4cccnc4)C(C)N)n3)CC2)n1 7.795374 0.423728813559322</t>
  </si>
  <si>
    <t>CCNCc1cccc(CN(Cc2ccccn2)C2CCC(N(C)Cc3nc(C)c(C)c(C)c3C)CC2)n1 7.795366 0.3709677419354839</t>
  </si>
  <si>
    <t>CN1CCN(Cc2cccc(C3=NC(C)(C)CO3)n2)CCN(Cc2cccc(C(C)(C)C)n2)CC1 7.7953606 0.5</t>
  </si>
  <si>
    <t>CCN(CCN(Cc1ncccc1C(C)(C)C)CC(C)(C)C)Cc1ncccc1C 7.7953496 0.4583333333333333</t>
  </si>
  <si>
    <t>Cc1cnc(CN(C)Cc2cccc(-c3ccc4c(c3)OCCOCCOCCOCCOCCO4)n2)c(C)c1 7.7953434 0.3548387096774194</t>
  </si>
  <si>
    <t>CCNCc1ncccc1CN(Cc1ccccn1)C1CCCC(N(C)Cc2nc(C)c(C)cc2C)C1 7.795341 0.35294117647058826</t>
  </si>
  <si>
    <t>Cc1cnc(CN(C)C2CCC(N(Cc3ccccn3)Cc3cccnc3CF)CC2)cc1C 7.79534 0.4067796610169492</t>
  </si>
  <si>
    <t>CNCc1cccc(CN(Cc2ccccn2)C(C)(C)c2ccc(-c3ccc4c(c3)OCCOCCOCCOCCOCCO4)nc2)n1 7.7953334 0.32051282051282054</t>
  </si>
  <si>
    <t>C=CCNCc1ncccc1C(C)(C)C 7.795325 0.27906976744186046</t>
  </si>
  <si>
    <t>CC(C)N1CCN(C)CCN(CN(C)c2ccc3ncccc3c2)CC1 7.7953176 0.4074074074074074</t>
  </si>
  <si>
    <t>Cc1cccc(C(C)C)c1 7.795316 0.36363636363636365</t>
  </si>
  <si>
    <t>CC(C)C(C)C(C)N(C)Cc1ncccc1C(C)(C)c1ccccn1 7.795311 0.3090909090909091</t>
  </si>
  <si>
    <t>Cc1cccnc1CN(C)C1CCCC(N(Cc2ccccn2)Cc2ncccc2C)C1 7.795309 0.48</t>
  </si>
  <si>
    <t>CC1=CC(N=Cc2ccccn2)CC(C(C)(C)N(C)Cc2ccccn2)C12CCC(C)=C(C)C2 7.7953024 0.3</t>
  </si>
  <si>
    <t>CNCc1ncccc1N(C)C1CCC(N(Cc2cccnc2)Cc2ccccn2)CC1 7.7952967 0.36065573770491804</t>
  </si>
  <si>
    <t>Cc1cnccc1CN(C)C(C)C 7.79529 0.27906976744186046</t>
  </si>
  <si>
    <t>CCNCc1cccc(CN(Cc2ccccn2)C2CCCC(N(C)Cc3nc(C)c(C)cc3C)C2)n1 7.79529 0.36923076923076925</t>
  </si>
  <si>
    <t>CC(C)N(C)CCN(Cc1ccccn1)Cc1cnccc1C(C)(C)C 7.7952805 0.4897959183673469</t>
  </si>
  <si>
    <t>CC(N)C(C)N(C)Cc1cc(C(C)(C)C)ccn1 7.795261 0.2916666666666667</t>
  </si>
  <si>
    <t>CN(Cc1cc(-c2ccc3c(c2)OCCOCCOCCOCCOCCO3)ccn1)Cc1cccc(CN(C)C(C)(C)c2ccccn2)n1 7.7952576 0.375</t>
  </si>
  <si>
    <t>COC(=O)c1cc(CN2CCN(C)CCN(Cc3cccc(C(C)NCc4ccccn4)n3)CC2)ccn1 7.7952495 0.42857142857142855</t>
  </si>
  <si>
    <t>CCNCc1ncccc1CN(Cc1ccccn1)C1CCC(N(C)Cc2nc(C)c(C)c(C)c2C)CC1 7.7952476 0.35384615384615387</t>
  </si>
  <si>
    <t>C=C1C=CNC(CNCC)=C1 7.7952466 0.45</t>
  </si>
  <si>
    <t>CN(Cc1cccc(-c2ccc3c(c2)OCCOCCOCCOCCOCCO3)n1)C1=CNC(CN(C)C(C)(C)c2ccccn2)=CC1 7.795239 0.32</t>
  </si>
  <si>
    <t>Cc1ccc(CN(Cc2ccccn2)C2CCC(N(C)Cc3ccon3)CC2)nc1 7.7952294 0.45454545454545453</t>
  </si>
  <si>
    <t>Cc1cc(-c2cccc3c2OCCOCCOCCOCCOCCO3)c(C)nc1CN(C)C 7.7952285 0.23214285714285715</t>
  </si>
  <si>
    <t>CCN(Cc1ccccn1)Cc1cccc(CN(Cc2ccccn2)Cc2cccc(-c3cccc4c3OCCOCCOCCOCCOCCO4)n2)n1 7.7952285 0.421875</t>
  </si>
  <si>
    <t>CNCc1cc(CN(Cc2cc(C)ccn2)C2CCCCC2N(C)Cc2cc(C)cc(C)n2)ccn1 7.795225 0.4166666666666667</t>
  </si>
  <si>
    <t>Cc1cnc(CN(C)C2CCCC(N(C)Cc3ncc(C)c(C)c3C)C2)c(C)c1 7.795219 0.37254901960784315</t>
  </si>
  <si>
    <t>Cc1cnc(CN(C)C2CCC(N(C)Cc3cc(C)c(C)c(C)n3)CC2)c(C)c1 7.795212 0.3584905660377358</t>
  </si>
  <si>
    <t>CN1CCN(C)CCN(Cc2cccnc2-c2ccc(N)cc2)CC1 7.795212 0.4772727272727273</t>
  </si>
  <si>
    <t>Cc1nc(CN(Cc2ccc(F)cn2)C2CCCCC2N(C)Cc2nccc3c2CCCC3)c(C)c(C)c1C 7.795209 0.3939393939393939</t>
  </si>
  <si>
    <t>Cc1cc(C)c(CN(C)C2CCCC(N(C)Cc3cc(C)c(C)c(C)n3)C2)cn1 7.7952027 0.3157894736842105</t>
  </si>
  <si>
    <t>CNCc1ncccc1CN(Cc1cc(C)ccn1)C1CCCCC1N(C)Cc1ncc(C)c(C)c1C 7.7951965 0.4</t>
  </si>
  <si>
    <t>CN(Cc1cccc(-c2ccc3c(c2)OCCOCCOCCOCCOCCO3)n1)C1CCC(N(Cc2ccccn2)Cc2cccc(C(C)(C3=CCC=CN3)c3ccccn3)n2)CC1 7.7951927 0.3103448275862069</t>
  </si>
  <si>
    <t>CC1=CC(C)CC(N(C)Cc2cc(C(C)(C)C)ccn2)C1C 7.795192 0.35185185185185186</t>
  </si>
  <si>
    <t>CN1CCN(C)CCN(Cc2ccc(-c3ccc(N)cc3)nc2)CC1 7.79519 0.391304347826087</t>
  </si>
  <si>
    <t>CC(C)N1CCN(C)CCN(CN(C)c2ccc3cccnc3c2)CC1 7.7951894 0.4</t>
  </si>
  <si>
    <t>CCCN(C)Cc1ncccc1CN(Cc1ccccn1)C1CCCC(N(C)Cc2nc(C)c(C)c(C)c2C)C1 7.7951884 0.3582089552238806</t>
  </si>
  <si>
    <t>CC1=CC(C)(C)CC(C)(C)C1c1cccc(CN(C)C2CCCCC2N(C)Cc2nc(C)c(C)c(C)c2C)n1 7.7951884 0.46551724137931033</t>
  </si>
  <si>
    <t>Cc1ccccc1CNCCN(C)Cc1ccccn1 7.7951837 0.4634146341463415</t>
  </si>
  <si>
    <t>Cc1cnc(CN(Cc2ccccn2)Cc2ccc(CN3CCN(C)CCN(C)CC3)cn2)c(C)c1C 7.7951818 0.5</t>
  </si>
  <si>
    <t>CNC1=CNC(F)C=C1 7.795177 0.11764705882352941</t>
  </si>
  <si>
    <t>CC(C)C(NCc1ccccn1)c1cccc(CNCF)n1 7.795174 0.4418604651162791</t>
  </si>
  <si>
    <t>Cc1ccc(N(C)C2CCCC(N(C)Cc3ncccc3C)C2)cc1C 7.7951713 0.32142857142857145</t>
  </si>
  <si>
    <t>CC1=C(C)C(CN(C)Cc2ccccn2)C(C)C=C1 7.795165 0.43636363636363634</t>
  </si>
  <si>
    <t>Cc1cccc(CN(C)C2=C(CN(C(C)C)C3CCCC(N(C)Cc4ccccn4)C3)NC=CC2)n1 7.79515 0.3880597014925373</t>
  </si>
  <si>
    <t>CN1CCN(C)CCN(Cc2cncc(-c3ccc(N)cc3)c2)CC1 7.7951455 0.375</t>
  </si>
  <si>
    <t>CNCc1ncccc1CN(Cc1ccccn1)C1CCCC(N(C)Cc2ncc(C)cc2C)C1 7.795136 0.36363636363636365</t>
  </si>
  <si>
    <t>CCN(Cc1ccccn1)C1=CCC=C(CN(C)Cc2cccc(-c3ccc4c(c3)OCCOCCOCCOCCOCCO4)n2)N1 7.7951336 0.4057971014492754</t>
  </si>
  <si>
    <t>CNc1cccnc1CN(C)Cc1cc(-c2ccc3c(c2)OCCOCCOCCOCCOCCO3)ccn1 7.795122 0.352112676056338</t>
  </si>
  <si>
    <t>CC1=CCC2(CC(C3C4(C=C(C5C=Cc6ccc(C)cc6C56CC(C)C=CC65CC=CC(C)C5)CC35CC(C)C=CC53CC=CC(C)C3)CC=CC(C)C43CC=CC(C)C3)=CCC2C2=CC(C)(C)C(c3ncccc3CN(Cc3ccccn3)Cc3ccccn3)C3(C(C)C(C)C=CC34CC=CC(C)C4C)C23CC=C(C)C(C)C3C)CC1C 7.7951155 0.17518248175182483</t>
  </si>
  <si>
    <t>CC1=C(N(C)Cc2ccccn2)CCC(C)C1C 7.795115 0.4782608695652174</t>
  </si>
  <si>
    <t>CN(Cc1ccccc1)C1C=CC=CN1 7.7950897 0.3541666666666667</t>
  </si>
  <si>
    <t>Cc1ccc(CN(CC2=CCC=C(N(C)C3CCCC(N(Cc4ccccn4)Cc4ncccc4C)C3)N2)C2CCCC(N(C)Cc3ccccn3)C2)nc1 7.7950892 0.3611111111111111</t>
  </si>
  <si>
    <t>CN(Cc1ccc(CN(C)Cc2ccccn2)nc1)Cc1ccc(-c2cccc3c2OCCOCCOCCOCCOCCO3)cn1 7.7950816 0.3770491803278688</t>
  </si>
  <si>
    <t>COC(=O)C(=O)C(=O)C1(C)N=COC1c1cc(CN2CCN(C)CCN(C)CC2)ccn1 7.7950807 0.37142857142857144</t>
  </si>
  <si>
    <t>CCNCc1ccc(CN(Cc2ccccn2)C2CCCC(N(C)Cc3nc(C)c(C)cc3C)C2)cn1 7.795074 0.34285714285714286</t>
  </si>
  <si>
    <t>Cc1cncc(CN(C)CC2=C(N(C)C3CCC(N(C)Cc4cccc(C)n4)CC3)CC=CN2)c1 7.795068 0.3787878787878788</t>
  </si>
  <si>
    <t>Cc1cc(C)nc(CN(C)C2CCC(N(C)Cc3nc(C)c(C)cc3C)CC2)c1 7.7950535 0.34615384615384615</t>
  </si>
  <si>
    <t>CC1=CC(C)CC2(C=CC3(C(C)C=CC(C)C3C)C(c3cccc(CN(Cc4ccccn4)C4CCCCC4)n3)C2c2cccc(CN(Cc3ccccn3)Cc3ccccn3)n2)C1C 7.79505 0.2948717948717949</t>
  </si>
  <si>
    <t>CNC1CCCCC1N(Cc1cc(C)c(C)c(C)n1)Cc1nc(C)c(C)cc1C 7.7950444 0.288135593220339</t>
  </si>
  <si>
    <t>CCN(C)Cc1cc(CN(Cc2ccccn2)C2CCC(N(C)Cc3nc(C)c(C)cc3C)CC2)ccn1 7.795042 0.36507936507936506</t>
  </si>
  <si>
    <t>CN1CCN(C)CCN(CCCN(C)c2ccc3nccc(CF)c3c2)CC1 7.795041 0.3559322033898305</t>
  </si>
  <si>
    <t>Cc1ccc(CN(C)C2CCCC(N(Cc3ccccn3)Cc3cccc(C4CC(C)C4)n3)C2N(C)Cc2ccccn2)nc1 7.795041 0.47540983606557374</t>
  </si>
  <si>
    <t>CN1CCN(Cc2cc(N(O)c3ccc4c(c3)OCCOCCOCCOCCOCCO4)ccn2)CCN(Cc2cccc(-c3cccc(Cl)c3Cl)n2)CC1 7.7950354 0.44285714285714284</t>
  </si>
  <si>
    <t>C1=CCNC(N(Cc2ccccn2)Cc2ncccc2-c2cccc3c2OCCOCCOCCOCCOCCO3)=C1 7.7950344 0.2833333333333333</t>
  </si>
  <si>
    <t>CC(N)c1cccnc1 7.7950287 0.225</t>
  </si>
  <si>
    <t>Cc1cnc(CN(C)C2CCCCC2N(C)CC2=C(N(C)Cc3ccccn3)CC=CN2)c(C)c1C 7.795018 0.5</t>
  </si>
  <si>
    <t>CN(Cc1ccccn1)C1=CCC=C(CN(C)C2CCCC(N(C)Cc3ccccn3)C2)N1 7.79501 0.4807692307692308</t>
  </si>
  <si>
    <t>CC(C)c1cc(CN2CCN(C)CCN(Cc3cc(C(C)(C)c4ccccn4)ccn3)CC2)ccn1 7.795005 0.4727272727272727</t>
  </si>
  <si>
    <t>CN(C)C1=CC=CNC1N(Cc1ccccn1)Cc1ncccc1-c1ccc2c(c1)OCCOCCOCCOCCOCCO2 7.794984 0.3375</t>
  </si>
  <si>
    <t>CNCc1ncc(CN(C)C2CCCC(N(C)Cc3nc(C)c(C)cc3C)C2)cc1C 7.794984 0.26229508196721313</t>
  </si>
  <si>
    <t>CNCC1=NC(C)(C)CO1 7.7949715 0.3611111111111111</t>
  </si>
  <si>
    <t>Cc1cc(CN(C)C2CCC(N(C)Cc3nc(C)c(C)cc3C)CC2)cnc1C 7.7949643 0.2777777777777778</t>
  </si>
  <si>
    <t>CN(Cc1cccc(-c2ccc3c(c2)OCCOCCOCCOCCOCCO3)n1)Cc1cccc(N(C)Cc2cccc(-c3ccc4c(c3)OCCOCCOCCOCCOCCO4)n2)n1 7.794964 0.3684210526315789</t>
  </si>
  <si>
    <t>CN1CCN(C)CCN(CCN(C)c2ccc3ncccc3c2)CC1 7.7949557 0.40384615384615385</t>
  </si>
  <si>
    <t>CCNCc1ccc(CN(Cc2ncccc2C)C2CCCC(N(C)Cc3nc(C)ccc3C)C2)cn1 7.794944 0.273972602739726</t>
  </si>
  <si>
    <t>CN(CCF)Cc1cc(N)ccn1 7.794941 0.38461538461538464</t>
  </si>
  <si>
    <t>CC(C)N(Cc1ccccn1)Cc1cccc(N(C)C2CCC(N(C)Cc3ccccn3)CC2)n1 7.7949343 0.5</t>
  </si>
  <si>
    <t>CCNC1CCCCC1N(Cc1nc(C)c(C)cc1C)Cc1nc(C)c(C)c(C)c1C 7.794933 0.26666666666666666</t>
  </si>
  <si>
    <t>CCNC1C(N(C)Cc2cc(C)ccn2)CCCC1N(Cc1cc(C)ccn1)Cc1nc(C)c(C)c(C)c1C 7.794928 0.3548387096774194</t>
  </si>
  <si>
    <t>CNCc1ccc(CF)cn1 7.794924 0.3076923076923077</t>
  </si>
  <si>
    <t>CN(Cc1ccccn1)C1=CCC=C(CN(C)C2CCC(N(C)Cc3ccccn3)CC2)N1 7.7949004 0.48</t>
  </si>
  <si>
    <t>CN1CCN(C)CCN(Cc2cnccc2-c2cccc(N)c2)CC1 7.794895 0.38</t>
  </si>
  <si>
    <t>C1=CNC(c2ncccc2CN(Cc2ccccn2)C2CCCCC2)=CC1 7.794882 0.46551724137931033</t>
  </si>
  <si>
    <t>Cc1cncc(CN(C)C2CCC(N(Cc3ccccn3)Cc3ncccc3C(C)(C)C)CC2)c1 7.7948723 0.36507936507936506</t>
  </si>
  <si>
    <t>Cc1nc(CN(C)C2CCCCC2N(C)Cc2ncccc2CN(C)C)c(C)c(C)c1C 7.794872 0.45098039215686275</t>
  </si>
  <si>
    <t>Fc1ncccc1CN(Cc1ccccn1)Cc1ncccc1-c1ccc2c(c1)OCCOCCOCCOCCOCCO2 7.794853 0.3728813559322034</t>
  </si>
  <si>
    <t>CC1=C(CN(C)Cc2ccccn2)C(C)CC(C)C1 7.7948475 0.4583333333333333</t>
  </si>
  <si>
    <t>Cc1ccc(CN(C)C2CCCC(N(C)Cc3nc(C)c(C)cc3C)C2)nc1C 7.794847 0.36538461538461536</t>
  </si>
  <si>
    <t>CN(Cc1ccccn1)Cc1ncccc1CN(C)Cc1ncccc1-c1cccc2c1OCCOCCOCCOCCOCCO2 7.794845 0.38333333333333336</t>
  </si>
  <si>
    <t>Cc1cnc(C2CC(C)(C)C2)c(C(=O)C(C)NCc2cc(CN3CCN(C)CCN(C)CC3)ccn2)c1C 7.7948437 0.35526315789473684</t>
  </si>
  <si>
    <t>CN1CCN(Cc2ccnc(C(C)(C)C)c2)CCN(Cc2ncccc2C(C)(C)c2ccccn2)CC1 7.7948422 0.4339622641509434</t>
  </si>
  <si>
    <t>CNCc1cccc(CN(Cc2cccc(F)n2)Cc2cccc(-c3ccc4c(c3)OCCOCCOCCOCCOCCO4)n2)n1 7.7948365 0.34782608695652173</t>
  </si>
  <si>
    <t>CN(Cc1ncccc1-c1ccc2c(c1)OCCOCCOCCOCCOCCO2)C1=C(CN(C)C(C)(C)c2ccccn2)NC=CC1 7.7948356 0.26436781609195403</t>
  </si>
  <si>
    <t>CC1=C(C)C(C)C(N(C)Cc2cc(C(C)(C)C)ccn2)CC1 7.794835 0.37735849056603776</t>
  </si>
  <si>
    <t>Cc1cncc(CN(C)C2CCC(N(Cc3ccccn3)Cc3cccc(C(C)(C)C)n3)CC2)c1 7.7948246 0.3709677419354839</t>
  </si>
  <si>
    <t>Cc1cccnc1CN(C)CC1=CC(N(C)C(C)C)C=CN1 7.7948236 0.31666666666666665</t>
  </si>
  <si>
    <t>CN(C)Cc1cnc2cccc(N(C)CCN(C)Cc3cccc4c3OCCOCCOCCOCCOCCO4)c2c1 7.794822 0.3076923076923077</t>
  </si>
  <si>
    <t>CC(C)c1ccc(CN2CCN(C)CCN(Cc3ccc(C(C)(C)c4ccccn4)cn3)CC2)cn1 7.7948055 0.4642857142857143</t>
  </si>
  <si>
    <t>Cc1ncccc1CN1CCN(C)CCN(C2CCCC(N(C)c3ccc4c(C)ccnc4c3)C2)CC1 7.7947955 0.3108108108108108</t>
  </si>
  <si>
    <t>CC1=CCC2(C(c3ccc(CN(Cc4ccccn4)C4CCCCC4)cn3)C=CC(c3cc(CN(Cc4ccccn4)Cc4ccccn4)ccn3)C23C(C)C=CC(C)C3C)C(C)C1C 7.794788 0.26744186046511625</t>
  </si>
  <si>
    <t>CN1CCN(C)CCN(CCCN(C)c2ccc3c(CF)ccnc3c2)CC1 7.794784 0.3620689655172414</t>
  </si>
  <si>
    <t>Cc1c(CN(C)C2CCCC(N(C)Cc3ccccn3)C2)cccc1NCc1ccccn1 7.794771 0.4716981132075472</t>
  </si>
  <si>
    <t>CNCc1cccc(CN(Cc2cccc(N)n2)C2CCC(N(C)Cc3cccc(C)n3)CC2)n1 7.7947507 0.4716981132075472</t>
  </si>
  <si>
    <t>CC(C)N(C)Cc1cccc(N(C)Cc2cccc(-c3ccc4c(c3)OCCOCCOCCOCCOCCO4)n2)n1 7.7947507 0.3194444444444444</t>
  </si>
  <si>
    <t>CNC1CCCC(N(C)Cc2ccc(Cl)cn2)C1N(C)Cc1nc(C)c(C)c(C)c1C 7.794745 0.4166666666666667</t>
  </si>
  <si>
    <t>CNCc1cc(CN(Cc2ccccn2)C2CCCCC2N(C)Cc2nc(C)c(C)c(C)c2C)ccn1 7.7947392 0.4915254237288136</t>
  </si>
  <si>
    <t>CC(N)C(C)N(C)Cc1ccc(C(C)(C)C)cn1 7.7947273 0.35555555555555557</t>
  </si>
  <si>
    <t>Cc1ccc(NCc2ccccn2)c(CN(C)C2CCCC(N(C)Cc3ccccn3)C2)c1 7.7947264 0.4716981132075472</t>
  </si>
  <si>
    <t>CCN(Cc1ccccn1)c1ccc2c(c1-c1cccc(CN(Cc3ccccn3)Cc3cccc(-c4ccc5c(c4)OCCOCCOCCOCCOCCO5)n3)n1)OCCOCCOCCOCCOCCO2 7.7947164 0.43661971830985913</t>
  </si>
  <si>
    <t>CC(C)C(C)N(CC1=CC(N(C)Cc2ccccn2)C=CN1)Cc1ccccn1 7.794715 0.43137254901960786</t>
  </si>
  <si>
    <t>CN1CCN(C)CCN(CCN(C)c2ccc3cccnc3c2)CC1 7.794714 0.3877551020408163</t>
  </si>
  <si>
    <t>CNCc1ncccc1CN(Cc1ccccn1)C1CCCCC1N(C)Cc1nc(C)c(C)c(C)c1C 7.794714 0.4915254237288136</t>
  </si>
  <si>
    <t>CC(C)CN(C)CC1=CC(N(C)Cc2ccccn2)C=CN1 7.794709 0.41509433962264153</t>
  </si>
  <si>
    <t>Cc1cccnc1CN(Cc1ccccn1)C1CCC(N(C)Cc2ccon2)CC1 7.794707 0.42857142857142855</t>
  </si>
  <si>
    <t>Cc1ccc(CN(Cc2ccccn2)C2CCC(N(C)Cc3cccc(C4CC(C)(C)C4)n3)CC2)nc1 7.7947035 0.4098360655737705</t>
  </si>
  <si>
    <t>CC1=CCCC(C)=C1CN(C)C1CCCC(N(Cc2ccccn2)Cc2ncccc2C)C1N(C)Cc1ccccn1 7.794698 0.4666666666666667</t>
  </si>
  <si>
    <t>CC1CC(C)(C)C(C)C=C1N(C)Cc1ccccn1 7.7946897 0.44680851063829785</t>
  </si>
  <si>
    <t>CC1=Cc2cccnc2C(N(C)C2CCCC(N(C)Cc3cc(C)ccn3)C2)C1 7.794684 0.3387096774193548</t>
  </si>
  <si>
    <t>CN1CCN(Cc2cc(C(C)(C)C)ccn2)CCN(Cc2cccc(C3=NC(C)(C)CO3)n2)CC1 7.7946744 0.44642857142857145</t>
  </si>
  <si>
    <t>Fc1cccc(CN(Cc2ccccn2)C2CCCC(N(Cc3ccccn3)Cc3ccccn3)C2)n1 7.794662 0.48214285714285715</t>
  </si>
  <si>
    <t>COC(C)c1cccc(CN(Cc2ccccn2)Cc2cc(-c3ccc4c(c3)OCCOCCOCCOCCOCCO4)ccn2)n1 7.794661 0.4</t>
  </si>
  <si>
    <t>CN(C)Cc1cccc(CN(Cc2ccccn2)Cc2cccc(-c3cccc4c3OCCOCCOCCOCCOCCO4)n2)n1 7.7946587 0.43859649122807015</t>
  </si>
  <si>
    <t>Cc1cnc(CN(C)C2CCC(N(C)Cc3nc(C)c(C)cc3C)CC2)c(C)c1 7.794652 0.3333333333333333</t>
  </si>
  <si>
    <t>CC1C=C(N(C)Cc2ccccn2)C(C)C(C)(C)C1 7.794651 0.44680851063829785</t>
  </si>
  <si>
    <t>Cc1cnc(CN(C)C2CCCCC2N(C)Cc2c(C)ncc(C)c2C)c(C)c1C 7.794651 0.46808510638297873</t>
  </si>
  <si>
    <t>Cc1cccc(CN(Cc2nc(C)c(C)c(C)c2C)C2CCCC(N(C)C)C2)n1 7.794645 0.46153846153846156</t>
  </si>
  <si>
    <t>CN1CCN(C)CCN(CCc2nc3ccccc3o2)CC1 7.7946367 0.43478260869565216</t>
  </si>
  <si>
    <t>Cc1cc(CN(C)C2CCC(N(C)Cc3ccccn3)CC2)ccc1NCc1ccccn1 7.794616 0.46153846153846156</t>
  </si>
  <si>
    <t>CNCC(C)(C)c1ncccc1CN(Cc1ccccn1)C1CCCC(N(C)Cc2ncc(C)c(C)c2C)C1 7.7946134 0.34782608695652173</t>
  </si>
  <si>
    <t>CCN(C)Cc1ncccc1CN(Cc1ccccn1)C1CCCC(N(C)Cc2nc(C)c(C)c(C)c2C)C1 7.794606 0.36923076923076925</t>
  </si>
  <si>
    <t>Cc1ccc(C)c(CN(C)C(C)C(C)N)n1 7.794597 0.3023255813953488</t>
  </si>
  <si>
    <t>Cc1cccnc1CN(C)C1CCCC(N(Cc2cccc(F)n2)Cc2cccc(F)n2)C1 7.794596 0.3620689655172414</t>
  </si>
  <si>
    <t>Cc1cc(C)c(CN(C)C2CCC(N(C)Cc3cncc(CN(C)C)c3)CC2)nc1C 7.7945924 0.24561403508771928</t>
  </si>
  <si>
    <t>Cc1cncc(N(C)C2CCCC(N(C)Cc3ccccn3)C2)c1C 7.794589 0.49019607843137253</t>
  </si>
  <si>
    <t>CN(CC1=CCC(N(C)Cc2ccccn2)=CN1)Cc1cncc(-c2cccc3c2OCCOCCOCCOCCOCCO3)c1 7.794589 0.2987012987012987</t>
  </si>
  <si>
    <t>CN1CCN(C)CCN(Cc2cnccc2-c2ccc(N)cc2)CC1 7.7945814 0.3829787234042553</t>
  </si>
  <si>
    <t>Cc1cccnc1CN(C)CN(Cc1ncccc1C)Cc1ncccc1-c1cccc2c1OCCOCCOCCOCCOCCO2 7.7945733 0.25396825396825395</t>
  </si>
  <si>
    <t>CN(C)C1=CCC=C(CN(Cc2ccccn2)Cc2cccc(-c3cccc4c3OCCOCCOCCOCCOCCO4)n2)N1 7.794572 0.38571428571428573</t>
  </si>
  <si>
    <t>CC(N)C(C)CN(Cc1ccccn1)Cc1ncccc1N 7.79457 0.4634146341463415</t>
  </si>
  <si>
    <t>CCNCC1=CC(N(C)Cc2cc(C)ccn2)C=CN1 7.7945695 0.2903225806451613</t>
  </si>
  <si>
    <t>Cc1cccnc1CN(C)C1CCC(N(Cc2ccccn2)Cc2cccc(C3CC(C)(C)C3)n2)CC1 7.7945495 0.3709677419354839</t>
  </si>
  <si>
    <t>CNCc1ncccc1N(C)C1CCCC(N(Cc2cccnc2)Cc2ccccn2)C1 7.7945433 0.36507936507936506</t>
  </si>
  <si>
    <t>CN(CC1=C(N(C)Cc2ccccn2)CC=CN1)Cc1cccc(-c2ccc3c(c2)OCCOCCOCCOCCOCCO3)n1 7.7945404 0.417910447761194</t>
  </si>
  <si>
    <t>Cc1ccc(C)c(CN(C)Cc2cc(-c3ccc4c(c3)OCCOCCOCCOCCOCCO4)ccn2)n1 7.794536 0.36231884057971014</t>
  </si>
  <si>
    <t>COC(=O)C1CN(C)C(c2cccc(CN3CCN(C)CCN(C)CC3)n2)C(c2ccccn2)C1c1ccccn1 7.7945266 0.4482758620689655</t>
  </si>
  <si>
    <t>CN(CCN)Cc1cncc(C(C)(C)C)c1 7.794524 0.2727272727272727</t>
  </si>
  <si>
    <t>Cc1cnc(CN(C)Cc2ncccc2-c2ccc3c(c2)OCCOCCOCCOCCOCCO3)c(C)c1 7.794519 0.3380281690140845</t>
  </si>
  <si>
    <t>CN(CC1=CNC=C(N(C)Cc2ccccn2)C1)Cc1ccc(-c2cccc3c2OCCOCCOCCOCCOCCO3)cn1 7.7945175 0.3194444444444444</t>
  </si>
  <si>
    <t>CNCN(Cc1ccc(N)cn1)C(C)C 7.794516 0.40476190476190477</t>
  </si>
  <si>
    <t>CC1(C)CC(c2cccc(CN(Cc3ccccn3)Cc3cccc(-c4ccc5c(c4)OCCOCCOCCOCCOCCO5)n3)n2)C1 7.7945156 0.4626865671641791</t>
  </si>
  <si>
    <t>CC1=C(C)C(N(C)Cc2ccccn2)C(C)(C)CC1C 7.7945123 0.5</t>
  </si>
  <si>
    <t>CNC1CCCCC1N(Cc1nc(C)c(C)cc1C)Cc1nc(C)c(C)cc1C 7.7945104 0.3137254901960784</t>
  </si>
  <si>
    <t>Cc1cnc(CN(C)C2CCCC(N(C)Cc3cc(C)c(C)c(C)n3)C2)c(C)c1 7.794493 0.36363636363636365</t>
  </si>
  <si>
    <t>Cc1ccc(C)c(CN(C)C2CCC(N(Cc3ccccn3)Cc3cccc(CF)n3)CC2)n1 7.7944818 0.39655172413793105</t>
  </si>
  <si>
    <t>Cc1cnc(CN(C)C2CCC(N(Cc3ccccn3)Cc3cccnc3CNC(C)C)CC2)c(C)c1C 7.7944803 0.375</t>
  </si>
  <si>
    <t>Cc1ccc(CN(C)C2CCC(N(Cc3ccccn3)Cc3cc(-c4ccc5c(c4)OCCOCCOCCOCCOCCO5)ccn3)C(N(C)Cc3cc(C)c(C)c(C)n3)C2)nc1C 7.79448 0.3291139240506329</t>
  </si>
  <si>
    <t>Cc1cncc(CN(C)C2CCCC(N(Cc3ccccn3)Cc3ncccc3C)C2N(Cc2ccccn2)C(C)C)c1 7.794478 0.4090909090909091</t>
  </si>
  <si>
    <t>Cc1cnc(CN(C)Cc2cc(-c3ccc4c(c3)OCCOCCOCCOCCOCCO4)ccn2)c(C)c1 7.794466 0.38235294117647056</t>
  </si>
  <si>
    <t>CCOC(C)c1ncccc1CN(Cc1ccccn1)Cc1cccc(-c2ccc3c(c2)OCCOCCOCCOCCOCCO3)n1 7.7944603 0.4444444444444444</t>
  </si>
  <si>
    <t>CCCN(C)Cc1cccc(CN(Cc2ccccn2)C2CCCC(N(C)Cc3nc(C)c(C)c(C)c3C)C2)n1 7.7944574 0.38095238095238093</t>
  </si>
  <si>
    <t>Cc1ccc(CN(C)C2=CNC(CN(C)C3CC=CC(C)C3C)=CC2)nc1 7.7944546 0.4166666666666667</t>
  </si>
  <si>
    <t>CN1CCN(C)CCN(Cc2ncccc2-c2cccc(N)c2)CC1 7.7944493 0.44680851063829785</t>
  </si>
  <si>
    <t>CNCc1cc(CN(Cc2ccccn2)C2CCC(N(C)Cc3ncc(C)c(C)c3C)CC2)ccn1 7.794449 0.3709677419354839</t>
  </si>
  <si>
    <t>Cc1cccnc1CN(C)C1CCCC(N(Cc2cncc(CN(C)C)c2)Cc2ccccn2)C1 7.7944436 0.39344262295081966</t>
  </si>
  <si>
    <t>COC(=O)C1C(c2ccccn2)C(c2ccc(CN3CCN(C)CCN(C)CC3)cn2)CN(C)C1c1ccccn1 7.794441 0.359375</t>
  </si>
  <si>
    <t>Cc1cccnc1CN(Cc1ccccn1)C1CCC(N(C)Cc2cncc(C)c2C)CC1 7.7944407 0.39655172413793105</t>
  </si>
  <si>
    <t>CC1C=CCC(C)C1c1ccccc1CN(C)Cc1ccccn1 7.794439 0.41509433962264153</t>
  </si>
  <si>
    <t>CC1=C(C)C(C)(c2ccccn2)CC(C)C1C 7.794437 0.2653061224489796</t>
  </si>
  <si>
    <t>CCNCC1=CC(N(C)Cc2cccc(C)n2)C=CN1 7.794432 0.4339622641509434</t>
  </si>
  <si>
    <t>Cc1ccccc1-c1cc(CN2CCN(C)CCN(C)CC2)ccn1 7.7944174 0.4782608695652174</t>
  </si>
  <si>
    <t>CCNCc1cccc(C(C)(C)C)n1 7.794414 0.32653061224489793</t>
  </si>
  <si>
    <t>CCNCc1cccc(CN(Cc2cccc(C)n2)C2CCC(N(C)Cc3cc(C)c(C)c(C)n3)CC2)n1 7.794408 0.423728813559322</t>
  </si>
  <si>
    <t>CN(C)Cc1ccc(CN(Cc2ccccn2)Cc2cccc(-c3cccc4c3OCCOCCOCCOCCOCCO4)n2)cn1 7.7944074 0.4126984126984127</t>
  </si>
  <si>
    <t>CC(C)N(C)CCN(C(C)C)C(C)C 7.794398 0.19444444444444445</t>
  </si>
  <si>
    <t>CNCc1ncccc1CN(Cc1ccccn1)C1CCC(N(C)Cc2ncc(C)c(C)c2C)CC1 7.7943916 0.3709677419354839</t>
  </si>
  <si>
    <t>Cc1cc(CN(C)CCN2CCN(C)CCN(Cc3ccc4cccnc4c3)CC2)cnc1C 7.7943907 0.3442622950819672</t>
  </si>
  <si>
    <t>CC(C)N(CC1=CCC=C(N(C)Cc2cccc(-c3ccc4c(c3)OCCOCCOCCOCCOCCO4)n2)N1)Cc1ccccn1 7.7943845 0.35443037974683544</t>
  </si>
  <si>
    <t>CC(C)N(C)CC1=CCC(N(C)C(C)C)=CN1 7.794382 0.20833333333333334</t>
  </si>
  <si>
    <t>CC(c1ccccn1)C1C=CNC=C1 7.7943783 0.3404255319148936</t>
  </si>
  <si>
    <t>Cc1ccc(CN(C)Cc2ccccn2)c(CN(C)Cc2cccc(-c3ccc4c(c3)OCCOCCOCCOCCOCCO4)n2)c1 7.794378 0.4745762711864407</t>
  </si>
  <si>
    <t>CN1CCN(Cc2cc(C(C)(C)c3ccccn3)ccn2)CCN(Cc2cccc(C3CC(C)(C)C3)n2)CC1 7.794376 0.4576271186440678</t>
  </si>
  <si>
    <t>Cc1cnc(CN(C)C2CCCC(N(C)Cc3nc(C)cc(C)c3C)C2)c(C)c1 7.794374 0.32727272727272727</t>
  </si>
  <si>
    <t>CC(N)C(C)N(Cc1ccccn1)C(C)(N)N(Cc1ccccn1)C(C)C 7.794372 0.4883720930232558</t>
  </si>
  <si>
    <t>CC(C)c1cc(CN2CCN(C)CCN(Cc3ccc(C(C)(C)c4ccccn4)cn3)CC2)ccn1 7.7943716 0.45614035087719296</t>
  </si>
  <si>
    <t>CNc1ccc(CN(C)C2CCCC(N(C)Cc3cc(C)c(C)c(C)n3)C2)nc1 7.7943563 0.39285714285714285</t>
  </si>
  <si>
    <t>COCc1cc2c(c(-c3ncccc3CN(Cc3ccccn3)Cc3ccccn3)c1)OCCOCCOCCOCCOCCO2 7.794354 0.35714285714285715</t>
  </si>
  <si>
    <t>CC(C)C(C)(c1cccnc1)N(C)CC1=CCC=CN1 7.7943397 0.40350877192982454</t>
  </si>
  <si>
    <t>Cc1cccnc1CN(C)C1CCCC(N(C)CC2=CCC(N(C)Cc3ccccn3)=CN2)C1 7.794335 0.39344262295081966</t>
  </si>
  <si>
    <t>CNCc1cccc(CN(Cc2ccccn2)C2CCC(N(C)Cc3ncc(C)c(C)c3C)CC2)n1 7.7942977 0.38333333333333336</t>
  </si>
  <si>
    <t>C=CCNCc1cccc(C(C)(C)C)n1 7.794297 0.2857142857142857</t>
  </si>
  <si>
    <t>CCCNCc1ccccc1CN(C)Cc1ccccn1 7.794289 0.4782608695652174</t>
  </si>
  <si>
    <t>Cc1ccc(CN(C)Cc2cccc(N(C)C(C)(C)c3ccc(CN(C)C4CCC(N(C)Cc5cccc(-c6ccc7c(c6)OCCOCCOCCOCCOCCO7)n5)CC4)nc3)n2)nc1 7.794288 0.3333333333333333</t>
  </si>
  <si>
    <t>Cc1cncc(CN(Cc2ccccn2)C2CCC(N(C)Cc3ccc(C)c(C)n3)CC2)c1 7.7942657 0.4</t>
  </si>
  <si>
    <t>CNCN(Cc1ncccc1N)C(C)C 7.794247 0.42857142857142855</t>
  </si>
  <si>
    <t>Cc1cnc(CN(C)C2CC(N(C)Cc3cc(-c4ccc5c(c4)OCCOCCOCCOCCOCCO5)ccn3)CCC2N(Cc2ccc(N)cn2)Cc2ccc(C)c(C)n2)cc1C 7.7942467 0.3409090909090909</t>
  </si>
  <si>
    <t>CN(Cc1cccc(-c2ccc3c(c2)OCCOCCOCCOCCOCCO3)n1)C1=C(CN(CC2=CCC=CN2)Cc2ccccn2)NC=CC1 7.79423 0.4794520547945205</t>
  </si>
  <si>
    <t>CC1=CC(CN(C)CC2=C(N(C)Cc3ccc(C)cn3)CC=CN2)CC(C)C1C 7.794228 0.35</t>
  </si>
  <si>
    <t>Cc1cccc(N(C)C2CCCC(N(C)Cc3ncc(C)c(C)c3C)C2)c1 7.794216 0.3275862068965517</t>
  </si>
  <si>
    <t>CN(Cc1cccnn1)C1CCCCC1N(Cc1ncccc1-c1cccc2c1OCCOCCOCCOCCOCCO2)Cc1cccc2ncccc12 7.7941914 0.3561643835616438</t>
  </si>
  <si>
    <t>CN(CC1=CCC(N(CC2=CCC=CN2)Cc2ccccn2)=CN1)Cc1cccc(-c2ccc3c(c2)OCCOCCOCCOCCOCCO3)n1 7.7941885 0.41333333333333333</t>
  </si>
  <si>
    <t>CN(CC1=CCC(N(C)Cc2ccccn2)=CN1)Cc1cccc(-c2cccc3c2OCCOCCOCCOCCOCCO3)n1 7.7941875 0.42424242424242425</t>
  </si>
  <si>
    <t>CC(C)[Si](c1ccc(CN2CCN(C)CCN(Cc3cccc(C(C)(C)c4ccccn4)n3)CC2)nc1)(C(C)C)C(C)C 7.7941875 0.5</t>
  </si>
  <si>
    <t>CC1=C(c2ncccc2CN(C)C2CCCC(N(C)Cc3nc(C)ccc3C)C2)C(C)C(C)(C)C(N(C)Cc2ccccn2)C1 7.7941813 0.3472222222222222</t>
  </si>
  <si>
    <t>CN(CC1=CNC=C(N(C)Cc2ccccn2)C1)Cc1ncccc1-c1cccc2c1OCCOCCOCCOCCOCCO2 7.7941794 0.30985915492957744</t>
  </si>
  <si>
    <t>CNCc1cc(CN(Cc2cc(C)ccn2)C2CCCCC2N(C)Cc2cc(C)c(C)c(C)n2)ccn1 7.7941737 0.38095238095238093</t>
  </si>
  <si>
    <t>Cc1cc(C)c(CN(C)CC2=CC(N(C)Cc3cccc(-c4ccc5c(c4)OCCOCCOCCOCCOCCO5)n3)C=CN2)nc1C 7.7941647 0.27586206896551724</t>
  </si>
  <si>
    <t>Cc1cc(CN(C)C2CCC(N(C)c3ccc(CN(CNCF)Cc4ccccn4)nc3)CC2)nc(C)c1C 7.7941647 0.35294117647058826</t>
  </si>
  <si>
    <t>CNCc1ncccc1N(C)C1CCCCC1N(Cc1cccnc1)Cc1cnccc1C 7.7941623 0.36923076923076925</t>
  </si>
  <si>
    <t>CC(C)N(C)CNCc1cc(C(C)(C)C)ccn1 7.7941537 0.28888888888888886</t>
  </si>
  <si>
    <t>Cc1cccc(-c2cccc(CN(Cc3ccccn3)C3CCC(N(C)Cc4cccc(-c5ccc6c(c5)OCCOCCOCCOCCOCCO6)n4)CC3)n2)c1 7.7941513 0.3972602739726027</t>
  </si>
  <si>
    <t>CNC1CC(N(C)Cc2cccc(C)n2)CC(N(Cc2ccccn2)Cc2cccc(C)n2)C1 7.794146 0.4444444444444444</t>
  </si>
  <si>
    <t>CN(CC1=CC(N(C)Cc2ccccn2)C=CN1)CC1C=CNC=C1 7.7941403 0.4</t>
  </si>
  <si>
    <t>Cc1ccc(CN(C)CC2=CC(N(C)C(C)C)C=CN2)cc1C 7.794134 0.35714285714285715</t>
  </si>
  <si>
    <t>CCNCc1cccc(-c2cc3c(c(N(C)Cc4ccccn4)c2)OCCOCCOCCOCCOCCO3)n1 7.794123 0.38095238095238093</t>
  </si>
  <si>
    <t>Cc1cncc(CN(C)C2CCC(N(Cc3ccccn3)Cc3cc(C(C)(C)C)ccn3)CC2)c1 7.7941113 0.3770491803278688</t>
  </si>
  <si>
    <t>CC(C)C(C)N(Cc1ccccn1)Cc1cc(N(C)Cc2cccc(-c3ccc4c(c3)OCCOCCOCCOCCOCCO4)n2)ccn1 7.7941113 0.3783783783783784</t>
  </si>
  <si>
    <t>Cc1ccc(CN(Cc2ccccn2)C2CCC(N(C)Cc3ncccc3C(C)(C)C)CC2)nc1 7.794104 0.41379310344827586</t>
  </si>
  <si>
    <t>CN(Cc1ccccc1N(C)C)Cc1ncccc1-c1ccc2c(c1)OCCOCCOCCOCCOCCO2 7.794101 0.3194444444444444</t>
  </si>
  <si>
    <t>Cc1nc(CN(C)C2CCC(N(C)Cc3ccc(C4CC(C)C4)cn3)CC2)c(C)c(C)c1C 7.7940884 0.3684210526315789</t>
  </si>
  <si>
    <t>CNCc1cccc(N(C)C2CCCC(N(C)Cc3ncc(C)cc3C)C2)n1 7.7940845 0.3125</t>
  </si>
  <si>
    <t>Cc1nc(CN(C)C2CCCC(N(Cc3ccccn3)Cc3cccnc3CN(C)C(C)C)C2)c(C)c(C)c1C 7.7940826 0.36363636363636365</t>
  </si>
  <si>
    <t>CCNCc1cc(CN(Cc2cc(C)ccn2)C2CCCC(N(C)Cc3nc(C)c(C)cc3C)C2)ccn1 7.7940803 0.2676056338028169</t>
  </si>
  <si>
    <t>CN1CCN(Cc2ccnc(C3=NC(C)(C)CO3)c2)CCN(Cc2cc(C(C)(C)C)ccn2)CC1 7.7940755 0.423728813559322</t>
  </si>
  <si>
    <t>CN(C)Cc1ccc2cc(N(C)C3CCCCC3N(Cc3ccc(-c4ccc5c(c4)OCCOCCOCCOCCOCCO5)cn3)Cc3cccc(-c4ccc5c(c4)OCCOCCOCCOCCOCCO5)n3)ccc2n1 7.7940607 0.4074074074074074</t>
  </si>
  <si>
    <t>Cc1ccc(CN(C)C2CCC(N(Cc3ccccn3)Cc3cccc(C(C)(C)C)n3)CC2)nc1 7.7940574 0.44642857142857145</t>
  </si>
  <si>
    <t>CN(Cc1cccc(C2=CCC=CN2)n1)C1CCC(N(C)Cc2cccc(C3CC(Cl)C3Cl)n2)CC1 7.794056 0.3076923076923077</t>
  </si>
  <si>
    <t>Cc1nc(CN(C)Cc2cccc(CN(Cc3ccc([SiH3])cn3)C3CCC(N(C)Cc4cccc(-c5ccc6c(c5)OCCOCCOCCOCCOCCO6)n4)CC3)n2)c(C)c(C)c1C 7.794053 0.32222222222222224</t>
  </si>
  <si>
    <t>CNC1=CCC=CN1 7.794028 0.2727272727272727</t>
  </si>
  <si>
    <t>CC(c1cccnc1CNCF)N(C)Cc1ccccn1 7.7940245 0.40816326530612246</t>
  </si>
  <si>
    <t>COC(=O)C1CN(C)C(c2ccc(CN3CCN(C)CCN(C)CC3)cn2)C(c2ccccn2)C1c1ccccn1 7.7940025 0.3709677419354839</t>
  </si>
  <si>
    <t>Cc1cnc(C)c(CN(C)C2CCCC(N(Cc3ccccn3)Cc3cccc(F)n3)C2)c1 7.7939987 0.3870967741935484</t>
  </si>
  <si>
    <t>Cc1cccc(CN(C)C2CCC(N(Cc3ccnc(C(C)N)c3)Cc3ccccn3)CC2)n1 7.7939863 0.4032258064516129</t>
  </si>
  <si>
    <t>Cc1cccnc1CN(C)C1CCC(N(Cc2ccccn2)Cc2cccnc2CN(C)C)CC1 7.7939677 0.41818181818181815</t>
  </si>
  <si>
    <t>CC(C)C(C)CN(Cc1ccccn1)Cc1ncccc1C(C)(C)C 7.793958 0.4583333333333333</t>
  </si>
  <si>
    <t>CN1CCN(C)CCN(CCN(C)c2cccc3ncccc23)CC1 7.7939577 0.43478260869565216</t>
  </si>
  <si>
    <t>Cc1cccc(CN(C)C2CCC(N(Cc3ccccn3)Cc3cccc(C4CC(C)(C)C4)n3)CC2)n1 7.793945 0.43103448275862066</t>
  </si>
  <si>
    <t>COC(=O)c1cccc(C(=O)C(C)NCc2cccc(CN3CCN(C)CCN(C)CC3)n2)n1 7.793929 0.43636363636363634</t>
  </si>
  <si>
    <t>Cc1cc2c(cc1N(Cc1ccccn1)Cc1ncccc1N(C)C)OCCOCCOCCOCCOCCO2 7.7939262 0.3620689655172414</t>
  </si>
  <si>
    <t>Cc1cccnc1-c1ccc(CN2CCN(C)CCN(C)CC2)cc1 7.793918 0.4883720930232558</t>
  </si>
  <si>
    <t>CCCN(C)Cc1ccc2cccc(N(C)C3CCCCC3N(C)Cc3cccc(-c4ccc5c(c4)OCCOCCOCCOCCOCCO5)n3)c2n1 7.7939034 0.4583333333333333</t>
  </si>
  <si>
    <t>CC(NCc1ccccn1)c1ccccc1 7.793895 0.5</t>
  </si>
  <si>
    <t>COC(=O)C1CN(C)C(c2ncccc2CN2CCN(C)CCN(C)CC2)C(c2ccccn2)C1c1ccccn1 7.793893 0.3770491803278688</t>
  </si>
  <si>
    <t>Cc1cccnc1CN(Cc1ccccn1)C1CC(N(C)Cc2ccccn2)CC(N(C)Cc2cccc(C3C(C)C=CCC3(C)C)n2)C1 7.7938776 0.32857142857142857</t>
  </si>
  <si>
    <t>CNCc1cccc(N(C)C2CCCCC2N(C)Cc2cc(C)c(C)c(C)n2)n1 7.793875 0.4727272727272727</t>
  </si>
  <si>
    <t>C=C1C=CNC(CN(C)C(C)C)=C1 7.7938747 0.42857142857142855</t>
  </si>
  <si>
    <t>CN(CC1=CCC(N(C)Cc2cccc(-c3ccc4c(c3)OCCOCCOCCOCCOCCO4)n2)=CN1)Cc1ncccc1CF 7.793867 0.3116883116883117</t>
  </si>
  <si>
    <t>Cc1ccc(CN(C)C2CCCC(N(C)CC3=C(N(C)Cc4ccccn4)NC=CC3)C2)nc1 7.7938623 0.4262295081967213</t>
  </si>
  <si>
    <t>CNCc1cc(CN(Cc2cc(C)ccn2)C2CCC(N(C)Cc3cc(C(C)(C)C)ccn3)CC2)ccn1 7.793859 0.296875</t>
  </si>
  <si>
    <t>CC(C)c1cc(CN(Cc2ccccn2)Cc2ccc(-c3ccc4c(c3)OCCOCCOCCOCCOCCO4)cn2)ccn1 7.7938576 0.4225352112676056</t>
  </si>
  <si>
    <t>COC(C)c1cccnn1 7.793854 0.32432432432432434</t>
  </si>
  <si>
    <t>CN1CCN(Cc2ccc(C(C)(C)C)cn2)CCN(Cc2cccc(C3=NC(C)(C)CO3)n2)CC1 7.7938504 0.45454545454545453</t>
  </si>
  <si>
    <t>COC(C)c1cc(C)c(CN2CCN(C)CCN(Cc3cc(C(C)(C)c4ccccn4)ccn3)CC2)cn1 7.7938476 0.4126984126984127</t>
  </si>
  <si>
    <t>Cc1nc(CN(C)C2CCC(N(Cc3ccccn3)Cc3cccc(CN(C)C(C)C)n3)CC2)c(C)c(C)c1C 7.79384 0.38333333333333336</t>
  </si>
  <si>
    <t>Cc1ccc(CN(Cc2cccc(C)n2)C2CCCC(N(C)Cc3cccc(CF)n3)C2)cn1 7.793828 0.45614035087719296</t>
  </si>
  <si>
    <t>COC(=O)C1CN(C)C(c2cc(CN3CCN(C)CCN(C)CC3)ccn2)C(c2ccccn2)C1c1ccccn1 7.7938123 0.38333333333333336</t>
  </si>
  <si>
    <t>CCOC(C)c1cccc(CN(Cc2ccccn2)C2CCC(N(C)Cc3ccc(C)c(C)n3)CC2)n1 7.7938085 0.38095238095238093</t>
  </si>
  <si>
    <t>CCN(C)CC1=CCC(N(C)C(C)C)=CN1 7.7937913 0.20833333333333334</t>
  </si>
  <si>
    <t>CN(Cc1ccccn1)C1=CNC=CC1CN(C)C1CCCC(N(Cc2ccccn2)Cc2ccccn2)C1 7.7937865 0.41379310344827586</t>
  </si>
  <si>
    <t>CCN(Cc1ccccn1)C1CCC(N(C)Cc2ncccc2F)CC1N(C)Cc1nc(C)c(C)c(C)c1C 7.793786 0.38461538461538464</t>
  </si>
  <si>
    <t>Cc1cnc(CN(C)C2CCC(N(Cc3ccccn3)Cc3ccccn3)CC2)c(C)c1C 7.7937784 0.46938775510204084</t>
  </si>
  <si>
    <t>CNCc1ncccc1CF 7.79377 0.3023255813953488</t>
  </si>
  <si>
    <t>CC1C=CC(C)C2(C=CC(c3ccc(CN(C)Cc4ccccn4)cn3)C3(C(C)C=CC(C)C3C)C23C(C)C=CC(C)C3C)C1N(C)Cc1ccccn1 7.7937603 0.323943661971831</t>
  </si>
  <si>
    <t>CC(C)N(C)Cc1cc(N(C)Cc2cccc(-c3ccc4c(c3)OCCOCCOCCOCCOCCO4)n2)ccn1 7.793756 0.3333333333333333</t>
  </si>
  <si>
    <t>Cc1cnc(CN(C)C2CCCC(N(Cc3cccnc3)Cc3ccccn3)C2)c(C)c1C 7.7937484 0.4</t>
  </si>
  <si>
    <t>Cc1cnc(CN(C)CCN(C)C(C)C)cc1C 7.793742 0.5</t>
  </si>
  <si>
    <t>Cc1cnc(CN(C)C2CCC(N(C)Cc3ccccn3)CC2N(Cc2ncccc2C)C(C)C)c(C)c1 7.793735 0.43548387096774194</t>
  </si>
  <si>
    <t>CN(CCF)CCN(C)C1CCCC(N(C)c2cccc3nc(CF)ccc23)C1 7.793735 0.4032258064516129</t>
  </si>
  <si>
    <t>COC(C)c1ncccc1CN(Cc1ccccn1)Cc1cc(-c2ccc3c(c2)OCCOCCOCCOCCOCCO3)ccn1 7.7937336 0.3389830508474576</t>
  </si>
  <si>
    <t>CC(C)(c1cccc(CNCc2cccc(-c3ccc4c(c3)OCCOCCOCCOCCOCCO4)n2)n1)c1cccc(C2CCC2(C)C)n1 7.7937317 0.3125</t>
  </si>
  <si>
    <t>Cc1cnc(CN(C)C2CCC(N(C)Cc3nc(C)c(C)c(C)c3C)CC2)cc1C 7.793729 0.36538461538461536</t>
  </si>
  <si>
    <t>Cc1cnc(CN(C)C2CCCCC2N(C)Cc2nc(C)c(C)c(C)c2C)c(C)c1 7.793718 0.46938775510204084</t>
  </si>
  <si>
    <t>Cc1cnc(CN(C)C2CCCC(N(C)Cc3nc(C)c(C)cc3C)C2)c(C)c1 7.7937 0.33962264150943394</t>
  </si>
  <si>
    <t>Cc1ccc(CN(C)C2C=CNC(CN(C)C(C)C)=C2)nc1 7.7937 0.4423076923076923</t>
  </si>
  <si>
    <t>CN(Cc1cc(-c2ccc3c(c2)OCCOCCOCCOCCOCCO3)ccn1)Cc1cc(N(C)Cc2cc(-c3ccc4c(c3)OCCOCCOCCOCCOCCO4)ccn2)ccn1 7.7936993 0.390625</t>
  </si>
  <si>
    <t>CC(C)(c1ccccn1)c1ncccc1CN(Cc1ccccn1)C1CCCCC1N(CF)Cc1ccccn1 7.793697 0.45454545454545453</t>
  </si>
  <si>
    <t>CCCN(C)Cc1ccc2ccc(N(C)C3CCCCC3N(C)Cc3cccc(-c4ccc5c(c4)OCCOCCOCCOCCOCCO5)n3)cc2n1 7.7936954 0.3611111111111111</t>
  </si>
  <si>
    <t>CC(C)N1CCN(C)CCN(CCN(C)c2ccc3nccc(CF)c3c2)CC1 7.7936935 0.328125</t>
  </si>
  <si>
    <t>Cc1cc(N)c(-c2ccc3c(c2)OCCOCCOCCOCCOCCO3)c(C)c1CN(C)Cc1ccccn1 7.793687 0.34375</t>
  </si>
  <si>
    <t>C=Cc1ccc(CN(Cc2ccccn2)Cc2cccc(-c3ccc4c(c3)OCCOCCOCCOCCOCCO4)n2)cc1 7.7936745 0.4696969696969697</t>
  </si>
  <si>
    <t>CNC1CCC(N(Cc2ncccc2C)Cc2ncccc2C)CC1N(C)Cc1ncccc1C 7.7936735 0.34545454545454546</t>
  </si>
  <si>
    <t>Cc1ccc(C2(C)N=COC2c2ncccc2CN2CCN(C)CCN(C)CC2)cc1 7.7936735 0.375</t>
  </si>
  <si>
    <t>Fc1ccc(CN(Cc2cccc(F)n2)C2CCCCC2N(Cc2ccccn2)Cc2cccnc2F)cn1 7.793673 0.4067796610169492</t>
  </si>
  <si>
    <t>Cc1cnc(CN(C)C2CCCC(N(Cc3ccccn3)Cc3cccnc3F)C2)c(C)c1 7.7936487 0.3870967741935484</t>
  </si>
  <si>
    <t>CN1CCN(Cc2ccc(N(C)C)cn2)CCN(c2ccccc2F)CC1 7.793636 0.46</t>
  </si>
  <si>
    <t>Cc1ccccc1C(C)(C)c1cccc(CN(Cc2ccccn2)C2CCCCC2)n1 7.7936225 0.41818181818181815</t>
  </si>
  <si>
    <t>Cc1ccnc2ccc(N(C)C3CC(CN4CCN(C)CCN(C)CC4)N(C)C3)cc12 7.7936172 0.328125</t>
  </si>
  <si>
    <t>Cc1cnc(CN(C)CCN(C)C(C)(C)C)cc1C 7.7936025 0.5</t>
  </si>
  <si>
    <t>Cc1cnc(CN(CCNCF)Cc2ccccn2)c(C)c1 7.7935925 0.44</t>
  </si>
  <si>
    <t>CCCNCC1=NC(C2=NC(C(C)C)CO2)C(C)O1 7.793591 0.14545454545454545</t>
  </si>
  <si>
    <t>CN(CC1=CCC(N(C)Cc2ccccn2)=CN1)Cc1ncccc1-c1cccc2c1OCCOCCOCCOCCOCCO2 7.7935905 0.323943661971831</t>
  </si>
  <si>
    <t>Cc1ccc(N2CCN(C)CCN(Cc3ccc(C(C)(C)C)cn3)CC2)cc1N 7.7935853 0.39285714285714285</t>
  </si>
  <si>
    <t>Cc1cnc(CN(Cc2ccccn2)C2CCCC(N(C)Cc3ccncc3C)C2)cc1C 7.7935777 0.41379310344827586</t>
  </si>
  <si>
    <t>CN(CCN(Cc1ccccn1)C1C=CC=CN1)Cc1ccccc1 7.793569 0.48148148148148145</t>
  </si>
  <si>
    <t>Cc1ccc(CN(C)C2CCCC(N(Cc3ccccn3)Cc3cccc(C(C)(C)C)n3)C2)nc1 7.793564 0.4482758620689655</t>
  </si>
  <si>
    <t>CCN(Cc1cccc(-c2ccc3c(c2)OCCOCCOCCOCCOCCO3)n1)C1CCCCC1N(C)c1ccc2nc(CF)ccc2c1 7.793563 0.3815789473684211</t>
  </si>
  <si>
    <t>CN(Cc1ncccc1-c1ccc2c(c1)OCCOCCOCCOCCOCCO2)C1CCC(N(Cc2ccccn2)Cc2ccc3ccccc3n2)CC1 7.7935557 0.391304347826087</t>
  </si>
  <si>
    <t>Fc1ccc(CN(Cc2ccccn2)C2CCCCC2N(Cc2cccc(F)n2)Cc2cccc(F)n2)nc1 7.793548 0.48</t>
  </si>
  <si>
    <t>COCC(=O)C(=O)C(C)C(C)NCc1ccccn1 7.793546 0.37777777777777777</t>
  </si>
  <si>
    <t>Cc1ccnc(CN(CCF)Cc2cccnc2)c1 7.7935414 0.34</t>
  </si>
  <si>
    <t>CCN(Cc1ccccn1)Cc1cccc(C2CCC2(C)C)n1 7.793535 0.4318181818181818</t>
  </si>
  <si>
    <t>CC(C)(C)c1ccc(CN(Cc2ccccn2)C2CCCCC2N(Cc2ccccn2)Cc2ccccc2F)cn1 7.7935343 0.44642857142857145</t>
  </si>
  <si>
    <t>CNCc1nc(C2CCC2(C)C)c(CN(Cc2ccccn2)Cc2cc(-c3ccc4c(c3)OCCOCCOCCOCCOCCO4)ccn2)c(C)c1C 7.793531 0.3</t>
  </si>
  <si>
    <t>Cc1cccc(CN(Cc2ccccn2)C2CCCC(N(C)C3=CCC=CN3)C2)n1 7.793528 0.42857142857142855</t>
  </si>
  <si>
    <t>C1=CNC(CN(Cc2cccc(-c3ccc4c(c3)OCCOCCOCCOCCOCCO4)n2)c2ccccc2)=CC1 7.7935276 0.373134328358209</t>
  </si>
  <si>
    <t>Cc1nc(CN(C)C2CCC(N(Cc3ccccn3)Cc3cccc(C4(C)CC(C)C=CC4C)n3)CC2)c(C)c(C)c1C 7.793526 0.3333333333333333</t>
  </si>
  <si>
    <t>COC(C)c1nc(CN2CCN(C)CCN(Cc3cc(C(C)(C)c4ccccn4)ccn3)CC2)ccc1C 7.793517 0.4262295081967213</t>
  </si>
  <si>
    <t>CNC1CCCC(N(C)Cc2cc(C)ccn2)C1N(Cc1ccccn1)Cc1nc(C)c(C)c(C)c1C 7.7935166 0.4444444444444444</t>
  </si>
  <si>
    <t>Cc1cc(CN(C)C2CCC(N(Cc3ccnc(C4(C)C=CC(C)CC4C)c3)Cc3ccccn3)CC2)nc(C)c1C 7.7935147 0.3287671232876712</t>
  </si>
  <si>
    <t>Cc1cc(NCc2ccccn2)ccc1CN(C)C1CCCC(N(C)Cc2ccccn2)C1 7.793509 0.46296296296296297</t>
  </si>
  <si>
    <t>CC(C)(C1=CC(N(Cc2ccccn2)Cc2cccc(-c3ccc4c(c3)OCCOCCOCCOCCOCCO4)n2)C=CN1)c1ccccn1 7.7935047 0.35443037974683544</t>
  </si>
  <si>
    <t>CN(Cc1ccccn1)C1CCCC(N(C)C2CCCC(N(Cc3ccccn3)Cc3cccc(-c4cccc(Cl)c4Cl)n3)C2)C1 7.7935047 0.4166666666666667</t>
  </si>
  <si>
    <t>Cc1cccnc1CN(C)C1CCCC(N(C)CC2=C(N(C)Cc3ccccn3)NC=CC2)C1 7.7935023 0.3870967741935484</t>
  </si>
  <si>
    <t>Cc1cc(C)c(CN(C)C2CCCC(N(CC3=CCC(N)=CN3)Cc3ccccn3)C2)nc1C 7.793498 0.34782608695652173</t>
  </si>
  <si>
    <t>COC(=O)C1CN(C)C(c2ccccn2)C(c2cc(CN3CCN(C)CCN(C)CC3)ccn2)C1c1ccccn1 7.7934785 0.3770491803278688</t>
  </si>
  <si>
    <t>CN(Cc1cc(-c2ccc3c(c2)OCCOCCOCCOCCOCCO3)ccn1)C1CCC(N(C)Cc2cc(-c3ccon3)ccn2)CC1 7.7934766 0.391304347826087</t>
  </si>
  <si>
    <t>CN(CC1=CCC(N(C)C(c2ccccn2)c2ccccn2)=CN1)c1cccc2c1OCCOCCOCCOCCOCCO2 7.793472 0.273972602739726</t>
  </si>
  <si>
    <t>Cc1cccnc1CN(C)C(C)C 7.7934694 0.375</t>
  </si>
  <si>
    <t>CN(C)Cc1ncccc1CN(Cc1ccccn1)Cc1ncccc1-c1cccc2c1OCCOCCOCCOCCOCCO2 7.7934613 0.36666666666666664</t>
  </si>
  <si>
    <t>Cc1ccc(CN(Cc2cc(C)ccn2)C2CCC(N(C)Cc3ncccc3C)CC2)nc1 7.793452 0.42105263157894735</t>
  </si>
  <si>
    <t>CC(C)N(C)Cc1ccc2c(n1)CCC2 7.7934284 0.32075471698113206</t>
  </si>
  <si>
    <t>CC(C)C(C)N(C)Cc1cc(C(C)(C)C)ccn1 7.793427 0.30434782608695654</t>
  </si>
  <si>
    <t>CN1CCN(C)CCN(Cc2cnc3cc(N(C)C4CCC(N(C)Cc5ccon5)CC4)ccc3c2)CC1 7.7934194 0.3333333333333333</t>
  </si>
  <si>
    <t>CNCc1cc(CN(Cc2ccccn2)C2CCC(N(C)Cc3cc(C)c(C)c(C)n3)CC2)ccn1 7.7934165 0.3870967741935484</t>
  </si>
  <si>
    <t>CNC1CCCC(N(Cc2ncc(C)c(C)c2C)Cc2ncc(C)c(C)c2C)C1 7.7934146 0.2777777777777778</t>
  </si>
  <si>
    <t>CN(Cc1ccnc(N(C)Cc2cc(-c3ccc4c(c3)OCCOCCOCCOCCOCCO4)ccn2)c1)Cc1cc(-c2ccc3c(c2)OCCOCCOCCOCCOCCO3)ccn1 7.79341 0.36764705882352944</t>
  </si>
  <si>
    <t>Cc1cnc(C)c(CN(C)CCN(C)C(C)C)c1 7.7934074 0.4146341463414634</t>
  </si>
  <si>
    <t>CN(CC1=C(N(C)C(c2ccccn2)c2ccccn2)CC=CN1)c1ccc2c(c1)OCCOCCOCCOCCOCCO2 7.7934074 0.2777777777777778</t>
  </si>
  <si>
    <t>Cc1nc(CN(C)CC2CCCN2C(C)C)c(C)c(C)c1C 7.793406 0.3333333333333333</t>
  </si>
  <si>
    <t>Cc1cc(CN(C)C2CCC(N(Cc3ccccn3)C(C)(c3ccccn3)C(C)C)CC2)nc(C)c1C 7.7934055 0.3870967741935484</t>
  </si>
  <si>
    <t>COC(=O)C1CN(C)C(C(=O)C(C)N)C(C(C)(C)NCc2ccccn2)C1c1ccccn1 7.7934027 0.32894736842105265</t>
  </si>
  <si>
    <t>Cc1cnc(CN(C)C2CC(N(C)Cc3ccccn3)CC(N(Cc3ccccn3)C(C)C)C2)c(C)c1 7.793394 0.41818181818181815</t>
  </si>
  <si>
    <t>CN1C=CCC=C1N(Cc1ccccn1)C1CCCC(N(C)C2=CCC=CN2)C1 7.7933936 0.421875</t>
  </si>
  <si>
    <t>CC1=CCC(C(C)(C)C)C=C1NCc1ccccn1 7.793389 0.37777777777777777</t>
  </si>
  <si>
    <t>CNC1C(N(C)Cc2cc(C)ccn2)CCCC1N(Cc1ccccn1)Cc1nc(C)c(C)c(C)c1C 7.7933884 0.4666666666666667</t>
  </si>
  <si>
    <t>CNC1C(N(C)Cc2ncccc2C)CCCC1N(Cc1ccccn1)Cc1cc(C)c(C)c(C)n1 7.7933855 0.45</t>
  </si>
  <si>
    <t>CNCN(Cc1cc(C)ccn1)C(C)C 7.793381 0.42857142857142855</t>
  </si>
  <si>
    <t>CN(CCF)CCN(Cc1ccccn1)C1CCCCC1N(C)c1ccc2cccnc2c1 7.793378 0.43333333333333335</t>
  </si>
  <si>
    <t>Cc1cccnc1CN(C)C1CCC(N(C)Cc2cccnc2CN(C)Cc2ccon2)CC1 7.7933755 0.40384615384615385</t>
  </si>
  <si>
    <t>CNCc1cccc(CN(Cc2ccccn2)C2CCCC(N(C)Cc3ncc(C)c(C)c3C)C2)n1 7.7933517 0.3870967741935484</t>
  </si>
  <si>
    <t>CN1CCN(C)CCN(C(C)(C)c2cccnc2CN(C)C2CCCCC2N(C)c2ccc3ccc(CF)nc3c2)CC1 7.793351 0.4027777777777778</t>
  </si>
  <si>
    <t>CC(C)N(C(C)C)C(C)NCc1ccccn1 7.7933507 0.5</t>
  </si>
  <si>
    <t>Cc1cc(C)nc(CN(C)CC2=NCCC=C2)c1 7.7933455 0.3829787234042553</t>
  </si>
  <si>
    <t>CC1C=C(N(C)Cc2ccccn2)C(C)C(C)C1 7.79334 0.4666666666666667</t>
  </si>
  <si>
    <t>Cc1ccnc(CN(C)CCN(C)C(C)(C)C)c1C 7.793338 0.3488372093023256</t>
  </si>
  <si>
    <t>CC1(C)COC(c2cccc(CN(Cc3cccc(-c4ccc5c(c4)OCCOCCOCCOCCOCCO5)n3)Cc3cccc(-c4ccc5c(c4)OCCOCCOCCOCCOCCO5)n3)n2)=N1 7.7933135 0.4807692307692308</t>
  </si>
  <si>
    <t>Cc1cccc(CN(C)C2CCC(N(Cc3ccccn3)Cc3cccc(CN(C)C)n3)CC2)n1 7.7933044 0.5</t>
  </si>
  <si>
    <t>Cc1ccc(C)c(CN(C)CCN(C)C(C)C)n1 7.793303 0.425</t>
  </si>
  <si>
    <t>CC1=CCC2(C=CC(C)C(N(Cc3ccccn3)Cc3ccc(C(C)(C)C)cn3)C2(C)C)C(C)C1 7.793302 0.31343283582089554</t>
  </si>
  <si>
    <t>CN(CCF)CCN(Cc1ccccn1)C1CCCCC1N(C)c1ccc2ncccc2c1 7.793283 0.4406779661016949</t>
  </si>
  <si>
    <t>Fc1cncc(CN(Cc2ccccn2)C2CCCC(N(Cc3ccccn3)Cc3cccnc3F)C2)c1 7.793269 0.3559322033898305</t>
  </si>
  <si>
    <t>CN1CCN(C)CCN(CCN(C)c2ccc3nc(CF)ccc3c2)CC1 7.793265 0.34615384615384615</t>
  </si>
  <si>
    <t>CC(C)N(Cc1cccc(-c2ccc3c(c2)OCCOCCOCCOCCOCCO3)n1)C1CCCCC1N(C)c1ccc2nc(CF)ccc2c1 7.7932477 0.37662337662337664</t>
  </si>
  <si>
    <t>CNC1CC(N(Cc2ccccn2)Cc2ccccn2)CC(N(Cc2ccccn2)Cc2ccccn2)C1 7.7932453 0.4594594594594595</t>
  </si>
  <si>
    <t>CN(CCN)Cc1cc(C(C)(C)C)ccn1 7.793243 0.35714285714285715</t>
  </si>
  <si>
    <t>Cc1ccnc(CN(C)C2C=CNC(CN(C)C(C)C)=C2)c1 7.793238 0.29508196721311475</t>
  </si>
  <si>
    <t>Cc1cc(CN(C)C2CCC(N(Cc3ccccn3)Cc3cc(C(C)(C)C)ccn3)CC2)ccn1 7.7932343 0.39655172413793105</t>
  </si>
  <si>
    <t>CCN(C)CCN1CCN(C)CCN(c2ccc3nccc(C)c3c2)CC1 7.793211 0.35714285714285715</t>
  </si>
  <si>
    <t>CN(CCN(C)Cc1cccc(-c2cccc3c2OCCOCCOCCOCCOCCO3)n1)Cc1cccc(-c2ccccc2)n1 7.793203 0.37735849056603776</t>
  </si>
  <si>
    <t>CC1CC(C2=CC(CN(Cc3ccccn3)Cc3ccccn3)C=CN2)C1 7.793191 0.42857142857142855</t>
  </si>
  <si>
    <t>Cc1ccc(CN(C)C2CCC(N(Cc3ccccn3)Cc3nccc(C)c3C)CC2)nc1 7.7931733 0.45454545454545453</t>
  </si>
  <si>
    <t>CC(C)(C)c1cccc(CN(CNCF)Cc2ccccn2)n1 7.7931676 0.4583333333333333</t>
  </si>
  <si>
    <t>CNCc1cccc(CN(Cc2ccccn2)C2CCC(N(C)Cc3nc(C)cc(C)c3C)CC2)n1 7.7931666 0.3709677419354839</t>
  </si>
  <si>
    <t>COC(=O)c1cc(CN(Cc2ccccn2)C2CCCC(N(C)C)C2)ccn1 7.793165 0.3898305084745763</t>
  </si>
  <si>
    <t>CC1=C(C)C(C)C(C)(C)C(N(C)C2CCC(N(C)Cc3ccccn3)C(N(Cc3cc(C)c(C)c(C)n3)Cc3nc(C)c(C)c(C)c3C)C2)C1 7.7931547 0.36</t>
  </si>
  <si>
    <t>CN(CCNCc1ncccc1-c1cccc2c1OCCOCCOCCOCCOCCO2)c1c(Cl)cccc1Cl 7.793152 0.24615384615384617</t>
  </si>
  <si>
    <t>CCN(Cc1ccccn1)C1=CC(Cl)C(Cl)C(C2CCC2(C)C)=C1N(C)Cc1ncccc1-c1ccc2c(c1)OCCOCCOCCOCCOCCO2 7.793142 0.28421052631578947</t>
  </si>
  <si>
    <t>CC1=C(N(C)Cc2ccccn2)CCC(C)(C)C1C 7.793139 0.4375</t>
  </si>
  <si>
    <t>Cc1nc(CN(C)C2CCC(N(C)Cc3ccon3)CC2)c(C)c(C)c1C 7.7931376 0.4222222222222222</t>
  </si>
  <si>
    <t>CN(Cc1cccc(-c2cccc3c2OCCOCCOCCOCCOCCO3)n1)c1cccc(-c2cccc(CN(Cc3ccccn3)C3C=CNC(C(C)(C)c4ccc5c(c4)OCCOCCOCCOCCOCCO5)=C3)n2)c1 7.793135 0.30851063829787234</t>
  </si>
  <si>
    <t>CN1CCN(C)CCN(Cc2cnccc2-c2cccc(F)c2N)CC1 7.793122 0.4117647058823529</t>
  </si>
  <si>
    <t>Cc1cccc(CN(C)C2C=CNC(CN(C)C(C)C)=C2)n1 7.793119 0.4423076923076923</t>
  </si>
  <si>
    <t>COCc1cccc(CN(Cc2cccc(F)n2)Cc2cccc(-c3cccc4c3OCCOCCOCCOCCOCCO4)n2)n1 7.79311 0.3188405797101449</t>
  </si>
  <si>
    <t>CC1(C)COC(c2cccc(CN(Cc3ccc(-c4ccc5c(c4)OCCOCCOCCOCCOCCO5)cn3)Cc3cccc(-c4ccc5c(c4)OCCOCCOCCOCCOCCO5)n3)n2)=N1 7.793109 0.4166666666666667</t>
  </si>
  <si>
    <t>CNC1CC(N(C)Cc2ccccn2)CCC1N(Cc1ccccn1)Cc1nc(C)c(C)c(C)c1C 7.793101 0.423728813559322</t>
  </si>
  <si>
    <t>Cc1cnc(CN(C)CCN(C)CCF)c(C)c1 7.7930846 0.46153846153846156</t>
  </si>
  <si>
    <t>CNCc1cccc(N(C)C2CCCCC2N(Cc2ccc(C)nc2)Cc2ccccn2)n1 7.793074 0.4262295081967213</t>
  </si>
  <si>
    <t>CNCc1cccc(CN(Cc2ccccn2)C2CCC(N(C)Cc3cc(C)c(C)c(C)n3)CC2)n1 7.7930717 0.4</t>
  </si>
  <si>
    <t>C=CCN(C)CCN(C)C(c1ccccc1)c1ccccn1 7.7930713 0.46</t>
  </si>
  <si>
    <t>CN(c1ccc2nc(CF)ccc2c1)C1CCC(N(Cc2ccccn2)Cc2cccc(C(C)(C)c3ccc4c(c3)OCCOCCOCCOCCOCCO4)n2)CC1 7.7930713 0.3</t>
  </si>
  <si>
    <t>CCNCC1=CC(N(C)Cc2ncccc2C)C=CN1 7.793067 0.2903225806451613</t>
  </si>
  <si>
    <t>CC1=CC(CN(C)Cc2cccc(C(C)(C)c3ccccn3)n2)CCC1C 7.7930627 0.3728813559322034</t>
  </si>
  <si>
    <t>Cc1ccc(N(C)C2CCCC(N(C)Cc3ccon3)C2)cc1C 7.793051 0.3877551020408163</t>
  </si>
  <si>
    <t>Cc1cnc(CN(C)Cc2cc(N(C)C3CCC(N(Cc4ccccn4)Cc4cccc(-c5ccc6c(c5)OCCOCCOCCOCCOCCO6)n4)CC3)ccn2)c(C)c1 7.7930503 0.35443037974683544</t>
  </si>
  <si>
    <t>CNCc1ccc(CN(Cc2ccccn2)C2CCC(N(C)Cc3cc(C)c(C)c(C)n3)CC2)cn1 7.793042 0.36923076923076925</t>
  </si>
  <si>
    <t>CC(C)(C)N 7.793039 0.12</t>
  </si>
  <si>
    <t>CN(CCF)CCN(Cc1ccccn1)C1CCCCC1N(C)c1ccc2nc(CF)ccc2c1 7.7930346 0.4262295081967213</t>
  </si>
  <si>
    <t>Cc1cccnc1CN(C)CCN(C)CC1=CCC=CN1 7.793026 0.49019607843137253</t>
  </si>
  <si>
    <t>CNCc1cc(CN(Cc2cc(C)ccn2)C2CCCCC2N(C)Cc2nc(C)c(C)c(C)c2C)ccn1 7.7930217 0.359375</t>
  </si>
  <si>
    <t>CC(C)N(C)Cc1cc(N(C)Cc2cc(-c3ccc4c(c3)OCCOCCOCCOCCOCCO4)ccn2)ccn1 7.7930217 0.36764705882352944</t>
  </si>
  <si>
    <t>CC1CC(C)C(C)C=C1N(C)Cc1ccccn1 7.793013 0.4666666666666667</t>
  </si>
  <si>
    <t>CC(C)N(C)CN(C(C)C)C(C)C 7.793012 0.16666666666666666</t>
  </si>
  <si>
    <t>CCN(C)Cc1ncccc1C(C)(C)C 7.793004 0.3409090909090909</t>
  </si>
  <si>
    <t>CNCc1ncccc1CN(Cc1ccccn1)C1CCC(N(C)Cc2nc(C)c(C)cc2C)CC1 7.7930026 0.36507936507936506</t>
  </si>
  <si>
    <t>Cc1ccc(CN(Cc2ccccn2)C2CCCC(N(C)Cc3cc(C)c(C)cn3)C2)cn1 7.7930026 0.43103448275862066</t>
  </si>
  <si>
    <t>CC1=CCC(C)C(C)C1N(C)Cc1cc(C(C)(C)C)ccn1 7.792998 0.3090909090909091</t>
  </si>
  <si>
    <t>CN(Cc1cc(-c2ccc3c(c2)OCCOCCOCCOCCOCCO3)ccn1)Cc1ccnc2ccc(N(C)Cc3ccc4c(c3)OCCOCCOCCOCCOCCO4)cc12 7.7929964 0.32051282051282054</t>
  </si>
  <si>
    <t>CC1=C(C)C(C)(C)C(N(C)CC2=CC(N(C)Cc3ccccn3)C=CN2)C(C)C1 7.7929935 0.3709677419354839</t>
  </si>
  <si>
    <t>Cc1cc(C)c(CN(C)CCN(C)C(C)C)cn1 7.7929845 0.3488372093023256</t>
  </si>
  <si>
    <t>CC1=C(C)C(C)C(C)(N(C)Cc2cc(C(C)(C)C)ccn2)CC1 7.792972 0.2711864406779661</t>
  </si>
  <si>
    <t>CCN(Cc1cccc(C)n1)Cc1cccc(CN(C)C2CCCC(N(C)Cc3cc(C)c(C)c(C)n3)C2)n1 7.7929688 0.48148148148148145</t>
  </si>
  <si>
    <t>CN(CCF)C1CCCCC1N(C)c1ccc2cccnc2c1 7.7929606 0.46153846153846156</t>
  </si>
  <si>
    <t>CNCCN(Cc1ccccn1)Cc1ncccc1F 7.792957 0.5</t>
  </si>
  <si>
    <t>Cc1ccnc(CN(Cc2ccccn2)C2CCC(N(C)c3ccc(CN(C)C(C)C)nc3)CC2)c1 7.792951 0.36065573770491804</t>
  </si>
  <si>
    <t>CC1C=CC(C)(c2cccc(CN(Cc3ccccn3)Cc3ccccn3)n2)C(C)C1(C)C 7.792947 0.46511627906976744</t>
  </si>
  <si>
    <t>CNCc1cc(CN(Cc2ccccn2)C2CCC(N(C)Cc3nc(C)c(C)cc3C)CC2)ccn1 7.792937 0.3709677419354839</t>
  </si>
  <si>
    <t>CC1=CC(C)CC(N(C)Cc2cc(C(C)(C)C)ccn2)C1(C)C 7.7929335 0.29310344827586204</t>
  </si>
  <si>
    <t>Cc1cnc(CN(Cc2ccccc2N(C)C)C2CCC(N(Cc3ccccn3)Cc3ncccc3-c3ccc4c(c3)OCCOCCOCCOCCOCCO4)CC2)c(C)c1 7.7929273 0.30337078651685395</t>
  </si>
  <si>
    <t>CC1C=C(N(C)CC2=CCC=CN2)C(C)C(C)C1 7.7929196 0.35185185185185186</t>
  </si>
  <si>
    <t>Cc1cnc(CN(C)Cc2cccc(-c3ccc4c(c3)OCCOCCOCCOCCOCCO4)n2)c(C)c1C 7.792916 0.3770491803278688</t>
  </si>
  <si>
    <t>CN(CF)Cc1cc(C(C)(C)C)ccn1 7.792911 0.32608695652173914</t>
  </si>
  <si>
    <t>CC(C)N(Cc1ccccn1)Cc1ccc(N(C)C2CCC(N(C)Cc3cccc(C4CC(Cl)C4Cl)n3)CC2)cn1 7.792895 0.375</t>
  </si>
  <si>
    <t>CCCN(C)Cc1ncccc1C(C)(C)C 7.792891 0.38636363636363635</t>
  </si>
  <si>
    <t>Cc1ccnc(CN(CCN(C)C(C)C)Cc2cccc(C)n2)c1 7.7928796 0.45652173913043476</t>
  </si>
  <si>
    <t>CN(CCF)C1CCCCC1N(C)c1ccc2ncccc2c1 7.7928743 0.47058823529411764</t>
  </si>
  <si>
    <t>Cc1cccc(C(C)(C)c2cc(CN(Cc3ccccn3)C3CCCCC3)ccn2)c1 7.7928615 0.38333333333333336</t>
  </si>
  <si>
    <t>CC(C)C(C)N(C)Cc1ccc(C(C)(C)C)cn1 7.7928505 0.37209302325581395</t>
  </si>
  <si>
    <t>Cc1cc(C)c(C)c(CN(C)C2CCC(N(C)Cc3cnc(CN(C)C(C)C)c(C)c3C)CC2)n1 7.792845 0.23809523809523808</t>
  </si>
  <si>
    <t>CCCN(Cc1ccccn1)C1CCC(N(C)Cc2ccc3ncccc3c2)CC1 7.7928333 0.40350877192982454</t>
  </si>
  <si>
    <t>Cc1ccccc1N(C)CCN(C)C(C)C 7.79283 0.35</t>
  </si>
  <si>
    <t>Cc1ccc(C)c(CN(Cc2ccc(CN3CCN(C)CCN(C)CC3)cn2)Cc2ncccc2N)n1 7.7928185 0.3709677419354839</t>
  </si>
  <si>
    <t>CC(N)C(C)(C)N(C)CC1=CCC(N(C)Cc2ccccn2)=CN1 7.792808 0.3770491803278688</t>
  </si>
  <si>
    <t>CC(C)N(CCN(C)CC(C)(C)C)C(C)C 7.7928066 0.21951219512195122</t>
  </si>
  <si>
    <t>Cc1cc(CN(C)C2CCC(N(Cc3ccccn3)Cc3cccc(CNC(C)C)n3)CC2)nc(C)c1C 7.792806 0.4032258064516129</t>
  </si>
  <si>
    <t>C1=COC2C=CC(c3ccc(CNCC4CCCN4Cc4ccc(-c5ccc(N=Cc6ccccn6)cc5)cn4)nc3)=CC2OCCOCCOCCOCCO1 7.7928004 0.3263157894736842</t>
  </si>
  <si>
    <t>CC1=CC2N=CC=CC2C(N(C)Cc2cc(C(C)(C)C)ccn2)C1C 7.7928 0.25</t>
  </si>
  <si>
    <t>Cc1cc(C)c(CN(C)Cc2cccc(-c3cccc4c3OCCOCCOCCOCCOCCO4)n2)nc1C 7.792788 0.3387096774193548</t>
  </si>
  <si>
    <t>Cc1ccc(CN(Cc2ncccc2C)C2CCC(N(C)Cc3ncccc3C)CC2)nc1 7.792787 0.47058823529411764</t>
  </si>
  <si>
    <t>Cc1cccc(CN(C)C2=C(CN(C)C3CCC(N(C)Cc4cccc(C)n4)CC3)NC=CC2)n1 7.792783 0.4807692307692308</t>
  </si>
  <si>
    <t>CN(CC1=CCC(N(C)C(c2ccccn2)c2ccccn2)=CN1)c1ccc2c(c1)OCCOCCOCCOCCOCCO2 7.792782 0.2777777777777778</t>
  </si>
  <si>
    <t>CNCC1C(N(C)Cc2nc(C)c(C)cc2C)CCN1C(C)C 7.792778 0.26666666666666666</t>
  </si>
  <si>
    <t>CC(C)N(Cc1cccc(-c2ccc3c(c2)OCCOCCOCCOCCOCCO3)n1)Cc1cccc(C(C)(C)c2ccccn2)n1 7.7927775 0.3611111111111111</t>
  </si>
  <si>
    <t>CC(C)(C)c1cccnc1CN(CNCF)Cc1ccccn1 7.7927704 0.4489795918367347</t>
  </si>
  <si>
    <t>C=CCNCC1=CC(N(C)Cc2cccc(C)n2)C=CN1 7.792768 0.40350877192982454</t>
  </si>
  <si>
    <t>CNC1CCCCC1N(Cc1cccc(C)n1)Cc1cccc(C(C)(C)c2ccccn2)n1 7.7927623 0.45614035087719296</t>
  </si>
  <si>
    <t>CN(Cc1ccccn1)C1CCC(N(C)Cc2cccc(C3=CCC=CN3)n2)CC1 7.7927585 0.48214285714285715</t>
  </si>
  <si>
    <t>Cc1ccc2cccnc2c1CN1CCN(C)CCN(C)CC1 7.792751 0.4883720930232558</t>
  </si>
  <si>
    <t>Cc1ccc(C)c(C(C)c2ncccc2CN2CCN(C)CCN(Cc3ncccc3C(C)(C)C)CC2)c1C 7.792747 0.3559322033898305</t>
  </si>
  <si>
    <t>CC(N)C(C)CN(Cc1ccccn1)Cc1ncccc1C(C)(C)C 7.7927413 0.44</t>
  </si>
  <si>
    <t>Cc1ccc(C)c(CN(C)C2CCCC(N(C)CC3=CNC=C(N(C)Cc4ccccn4)C3)C2)n1 7.7927384 0.375</t>
  </si>
  <si>
    <t>CN(C)Cc1ncccc1CN(Cc1ccccn1)C1CCC(N(C)Cc2ccon2)CC1 7.792733 0.41379310344827586</t>
  </si>
  <si>
    <t>CCNC1C(N(C)Cc2ccccn2)CCCC1N(Cc1nc(C)c(C)cc1C)Cc1nc(C)c(C)cc1C 7.792729 0.5</t>
  </si>
  <si>
    <t>CC(C)C1=CC(N(C)CC2=C(N(C)C(C)C)CC=CN2)C=CN1 7.7927265 0.288135593220339</t>
  </si>
  <si>
    <t>CC1CC(N=Cc2ccccn2)C(C)C=C1C(C)(C)N(C)Cc1ccccn1 7.7927184 0.35</t>
  </si>
  <si>
    <t>Cc1cncc(CN(C)C2=CNC(CN(C)Cc3cccc(-c4ccc5c(c4)OCCOCCOCCOCCOCCO5)n3)=CC2)c1 7.792707 0.27586206896551724</t>
  </si>
  <si>
    <t>C#CCN(C)CC1=CCC(N(C)Cc2ccccn2)=CN1 7.792706 0.39655172413793105</t>
  </si>
  <si>
    <t>Cc1cnc(N(C)C2CCCC(N(C)Cc3ccccn3)C2)c(C)c1 7.7927055 0.49019607843137253</t>
  </si>
  <si>
    <t>CNCc1cccc(CN(Cc2ccccn2)C2CCC(N(C)Cc3nc(C)c(C)cc3C)CC2)n1 7.792703 0.38333333333333336</t>
  </si>
  <si>
    <t>CN(Cc1cccc(-c2ccc3c(c2)OCCOCCOCCOCCOCCO3)n1)C1CCCCC1N(C)c1ccc2cccnc2c1 7.792698 0.38235294117647056</t>
  </si>
  <si>
    <t>CC1=CCC2(N(C)CC3=CCC=CN3)N=CC=CC2(C)C1 7.7926965 0.35</t>
  </si>
  <si>
    <t>C=CCN(C)CC1=CC(N(C)Cc2ccccn2)C=CN1 7.7926965 0.4074074074074074</t>
  </si>
  <si>
    <t>Cc1ccnc(CN(C)c2cncc(CN3CCN(C)CCN(C)CC3)c2)c1C 7.792686 0.4</t>
  </si>
  <si>
    <t>CC(C)N(C)Cc1cnc2ccc(N(C)C3CCCCC3N(C)Cc3ncccc3-c3ccc4c(c3)OCCOCCOCCOCCOCCO4)cc2c1 7.7926817 0.3</t>
  </si>
  <si>
    <t>CN(CCNC1C=CC=CN1)C1CCCCC1N(C)c1cccc2ncccc12 7.7926774 0.4032258064516129</t>
  </si>
  <si>
    <t>CC1=CC(C)CC(C)(c2cccc(C3CCC3(C)C)n2)C1 7.792634 0.21818181818181817</t>
  </si>
  <si>
    <t>CC1=CCCC(C)C12C(C)=CC(C)C(C(C)(C)CN(Cc1ccccn1)Cc1ccccn1)C2N(C)Cc1ccccn1 7.7926183 0.3870967741935484</t>
  </si>
  <si>
    <t>CNC1CC(N(Cc2ccccn2)Cc2nc(C)c(C)c(C)c2C)CCC1N(C)Cc1ccccn1 7.792613 0.4482758620689655</t>
  </si>
  <si>
    <t>CNCc1cc(CN(Cc2ccccn2)C2CCCC(N(C)Cc3cc(C)c(C)c(C)n3)C2)ccn1 7.7925963 0.390625</t>
  </si>
  <si>
    <t>COC(=O)c1cccc(NCc2cc(CN3CCN(C)CCN(C)CC3)ccn2)n1 7.7925897 0.4444444444444444</t>
  </si>
  <si>
    <t>CNCc1ccc(CN(Cc2ccccn2)C2CCC(N(C)Cc3nc(C)c(C)cc3C)CC2)cn1 7.792589 0.35384615384615387</t>
  </si>
  <si>
    <t>Cc1ccccc1N(C)CCN(C)CC(C)(C)C 7.792586 0.3333333333333333</t>
  </si>
  <si>
    <t>CN(CNCF)C1CCCCC1N(C)c1ccc2nccc(CF)c2c1 7.7925744 0.3230769230769231</t>
  </si>
  <si>
    <t>CCN(Cc1ccccn1)Cc1cccc(C2CC(C)C2Cl)n1 7.7925706 0.4222222222222222</t>
  </si>
  <si>
    <t>Cc1cc(C)c(C)c(CN(C)C2CCC(N(Cc3ccccn3)Cc3ccccn3)CC2)n1 7.792559 0.4423076923076923</t>
  </si>
  <si>
    <t>CNCc1nc(C)c(CN(Cc2ccccn2)C2CCC(N(C)Cc3cccnn3)CC2)c(C)c1C 7.7925563 0.39344262295081966</t>
  </si>
  <si>
    <t>C1=CNC(N(Cc2ccccn2)Cc2cccc(-c3ccc4c(c3)OCCOCCOCCOCCOCCO4)n2)=CC1 7.792549 0.4090909090909091</t>
  </si>
  <si>
    <t>Cc1cccc(CN(C)C2CCC(N(Cc3ccccn3)Cc3ccc(C)c(C)n3)CC2)n1 7.7925487 0.4716981132075472</t>
  </si>
  <si>
    <t>CC1=C(C)CC(C)C(C)C1 7.792546 0.15</t>
  </si>
  <si>
    <t>CC(C)C(C)CN(Cc1ccccn1)Cc1ccc(C(C)(C)C)cn1 7.792543 0.46808510638297873</t>
  </si>
  <si>
    <t>Cc1cc(N(C)C2CCCC(N(C)Cc3ccccn3)C2)cc(C)c1N 7.792541 0.5</t>
  </si>
  <si>
    <t>Cc1cnc(CN(C)C2CCC(N(Cc3ccccn3)Cc3cccnc3F)CC2)c(C)c1C 7.7925367 0.39655172413793105</t>
  </si>
  <si>
    <t>CN1CCN(C)CCN(Cc2cccnc2-c2ccc(N)c(F)c2)CC1 7.792536 0.42</t>
  </si>
  <si>
    <t>CN(Cc1ncccc1-c1cccc2c1OCCOCCOCCOCCOCCO2)C1CCCCC1N(C)c1ccc2cccnc2c1 7.792532 0.36231884057971014</t>
  </si>
  <si>
    <t>COC(=O)C1CC(c2ccccn2)C(c2cccc(CN3CCN(C)CCN(C)CC3)n2)N(C)C1c1ccccn1 7.792521 0.4406779661016949</t>
  </si>
  <si>
    <t>CCCN(C)C1CC(N(C)Cc2ncccc2C)CC(N(Cc2ncccc2C)Cc2ncc(C)c(C)c2C)C1 7.7925177 0.2786885245901639</t>
  </si>
  <si>
    <t>CN(Cc1cccc(-c2ccc3c(c2)OCCOCCOCCOCCOCCO3)n1)C1CCCCC1N(C)c1ccc2ncccc2c1 7.792516 0.3880597014925373</t>
  </si>
  <si>
    <t>Cc1cccc(CN(CCN(C)C(C)C)Cc2ncccc2C)n1 7.7925158 0.44680851063829785</t>
  </si>
  <si>
    <t>CCCN(Cc1ccccn1)C1CCC(N(C)Cc2ncccc2C)CC1N(Cc1ncccc1C)Cc1ncccc1C 7.7925153 0.41379310344827586</t>
  </si>
  <si>
    <t>CN(Cc1cc(-c2cccc3c2OCCOCCOCCOCCOCCO3)ccn1)C1CCCCC1N(C)c1ccc2ncccc2c1 7.792509 0.37681159420289856</t>
  </si>
  <si>
    <t>Nc1cccnc1CN(Cc1cccc(F)n1)Cc1cccc(-c2cccc3c2OCCOCCOCCOCCOCCO3)n1 7.7925043 0.3076923076923077</t>
  </si>
  <si>
    <t>Cc1cc(CN(C)C2CCC(N(Cc3ccccn3)Cc3ncccc3C)CC2)cnc1C 7.7924924 0.39655172413793105</t>
  </si>
  <si>
    <t>Cc1ccccn1 7.792488 0.38461538461538464</t>
  </si>
  <si>
    <t>CNC1NC=CC=C1N(C)C1CCCCC1N(Cc1ccccn1)c1ccccc1F 7.792487 0.4426229508196721</t>
  </si>
  <si>
    <t>CCCN(C)CC1=CC(N(C)Cc2cccc(C)n2)C=CN1 7.7924833 0.48936170212765956</t>
  </si>
  <si>
    <t>Cc1cccnc1CN(Cc1ccccn1)C1CCC(N(C)c2cccnc2CN(C)C(C)C)CC1 7.792459 0.3728813559322034</t>
  </si>
  <si>
    <t>Cc1ccc(CN(C)C2CCCC(N(C)CC3=CCC(N(C)Cc4ccccn4)=CN3)C2)nc1C 7.79245 0.4032258064516129</t>
  </si>
  <si>
    <t>CC1C=CC(C(C)(C)c2ncccc2CN(C)Cc2ccccn2)C(N(C)Cc2ccccn2)C1C 7.792448 0.3793103448275862</t>
  </si>
  <si>
    <t>Cc1cc(C)c(CN(C)C2CCC(N(Cc3ccccn3)Cc3ncccc3C)CC2)cn1 7.7924457 0.39655172413793105</t>
  </si>
  <si>
    <t>Cc1cnc(CN(Cc2ccccn2)C2CCC(N(C)Cc3cccc(C)n3)CC2)c(C)c1 7.7924385 0.43103448275862066</t>
  </si>
  <si>
    <t>CN1CCN(C)CCN(C(C)(C)c2cnccc2CN(C)C2CCCCC2N(C)c2cccc3nc(CF)ccc23)CC1 7.7924385 0.43661971830985913</t>
  </si>
  <si>
    <t>CC1=C(N(C)Cc2ccccn2)CC(C)C(C)(C)C1C 7.7924376 0.4583333333333333</t>
  </si>
  <si>
    <t>Cc1ccccc1N 7.792435 0.3684210526315789</t>
  </si>
  <si>
    <t>Cc1cccnc1CN(CCN(C)C(C)C)Cc1ncccc1C 7.7924166 0.3953488372093023</t>
  </si>
  <si>
    <t>CCN(Cc1cccc(CN(Cc2ccccn2)C2CCC(N(C)Cc3nc(C)c(C)c(C)c3C)CC2)n1)C(C)C 7.7924156 0.41379310344827586</t>
  </si>
  <si>
    <t>CC1C=CC(N)C(C)C1C(C)(C)CN(Cc1ccccn1)C1CCC(N(C)c2ccc3nc(CN(C)C)ccc3c2)CC1 7.792413 0.3287671232876712</t>
  </si>
  <si>
    <t>CNCC1C(N(C)Cc2nc(C)c(C)c(C)c2C)CCN1C 7.792412 0.2631578947368421</t>
  </si>
  <si>
    <t>Cc1ccc(CNCCN(C)Cc2ccccn2)cn1 7.79239 0.44642857142857145</t>
  </si>
  <si>
    <t>Cc1cccc(N)c1CN(C)CC1=CC(N(C)C(C)C)C=CN1 7.7923856 0.31666666666666665</t>
  </si>
  <si>
    <t>Cc1cnc(CN(C)C2CCC(N(Cc3ccccn3)Cc3cccc(C)n3)CC2)c(C)c1 7.7923803 0.41379310344827586</t>
  </si>
  <si>
    <t>Cc1cc(C)c(CN(Cc2ccccn2)C2CCC(N(C)Cc3ccccn3)CC2)nc1C 7.792376 0.47058823529411764</t>
  </si>
  <si>
    <t>CN(CCNCc1ncccc1F)Cc1ccccn1 7.792375 0.4523809523809524</t>
  </si>
  <si>
    <t>CN1CCN(C)CCN(C(C)(C)c2cccnc2CN(C)C2CCC(N(C)c3ccc4nc(CF)ccc4c3)CC2)CC1 7.7923574 0.2987012987012987</t>
  </si>
  <si>
    <t>CC(NCc1ccccn1)c1cccc(CNCF)n1 7.7923527 0.4523809523809524</t>
  </si>
  <si>
    <t>Cc1cc(C)c(CN(C)C2CCCCC2N(Cc2ncccc2C)Cc2ncccc2C)cn1 7.7923455 0.4339622641509434</t>
  </si>
  <si>
    <t>Cc1cnc(CN(C)C2CCCC(N(Cc3cccnc3)Cc3ccc(C)nc3)C2)c(C)c1 7.7923408 0.2923076923076923</t>
  </si>
  <si>
    <t>CN(Cc1cccc(-c2ccc3c(c2)OCCOCCOCCOCCOCCO3)n1)C1CCCCC1N(C)c1ccc2cc(CF)cnc2c1 7.7923355 0.3561643835616438</t>
  </si>
  <si>
    <t>CNCc1ncccc1CN(Cc1cc(-c2ccc3c(c2)OCCOCCOCCOCCOCCO3)ccn1)Cc1ncccc1C 7.7923236 0.32051282051282054</t>
  </si>
  <si>
    <t>CNC1CCCCC1N(Cc1ncc(C)c(C)c1C)Cc1nc(C)c(C)c(C)c1C 7.7923217 0.3157894736842105</t>
  </si>
  <si>
    <t>CN(CCF)CCN(Cc1ccccn1)C(C)(N)N(Cc1ccccn1)Cc1cccc(CF)n1 7.7923117 0.4528301886792453</t>
  </si>
  <si>
    <t>CNCc1cccc(CN(Cc2ccccn2)C2CCCC(N(C)Cc3cc(C)c(C)c(C)n3)C2)n1 7.792309 0.4032258064516129</t>
  </si>
  <si>
    <t>CC1=C(C)C(C(C)(C)N(Cc2ccccn2)Cc2ccccn2)C(C)CC1 7.7923 0.42</t>
  </si>
  <si>
    <t>Cc1cnc(CN(C)C2CCC(N(Cc3ccccn3)Cc3ncccc3C)CC2)c(C)c1 7.792298 0.4107142857142857</t>
  </si>
  <si>
    <t>CNc1ccc(CN(Cc2ccccn2)C2CCC(N(C)Cc3cccc(C)n3)CC2)nc1 7.7922945 0.43859649122807015</t>
  </si>
  <si>
    <t>CN1CCN(C)CCN(Cc2cncc(-c3cc(N)ccc3F)c2)CC1 7.79229 0.3584905660377358</t>
  </si>
  <si>
    <t>CN(Cc1ncccc1-c1cccc2c1OCCOCCOCCOCCOCCO2)C1CCCCC1N(C)c1ccc2ncccc2c1 7.7922893 0.36764705882352944</t>
  </si>
  <si>
    <t>CN(Cc1ccc(-c2ccc3c(c2)OCCOCCOCCOCCOCCO3)cn1)C1CCCCC1N(C)c1ccc2cc(CF)cnc2c1 7.792279 0.4342105263157895</t>
  </si>
  <si>
    <t>Cc1cncc(CN(C)C2CCCC(N(C)CC3=CCC(N(C)Cc4cccc(C)n4)=CN3)C2)c1 7.7922735 0.38461538461538464</t>
  </si>
  <si>
    <t>CNCN(Cc1ncccc1C)C(C)C 7.7922587 0.42857142857142855</t>
  </si>
  <si>
    <t>CN(Cc1cc(-c2ccc3c(c2)OCCOCCOCCOCCOCCO3)ccn1)C1CCCCC1N(C)c1ccc2cccnc2c1 7.7922535 0.3939393939393939</t>
  </si>
  <si>
    <t>Cc1cc(C)c(CN(Cc2ccccn2)C2CCC(N(C)Cc3ncccc3C)CC2)cn1 7.792251 0.39655172413793105</t>
  </si>
  <si>
    <t>CC1C=CC(C)(c2cccc(CN(Cc3ccccn3)Cc3ccccn3)n2)C(C)(C)C1C 7.7922435 0.45454545454545453</t>
  </si>
  <si>
    <t>CNCC1CCC(N(C)Cc2nc(C)c(C)c(C)c2C)N1C 7.7922378 0.22413793103448276</t>
  </si>
  <si>
    <t>CN1CCN(C)CCN(Cc2cnccc2-c2cccc(N)c2F)CC1 7.7922373 0.44</t>
  </si>
  <si>
    <t>CNCc1cc(CN(Cc2ccccn2)C2CCCC(N(C)Cc3nc(C)c(C)cc3C)C2)ccn1 7.792234 0.375</t>
  </si>
  <si>
    <t>CC(N1CCN(C)CCN(C)CC1)N(C)c1ccc2ncccc2c1 7.792225 0.32727272727272727</t>
  </si>
  <si>
    <t>CN(Cc1ccc(-c2cccc3c2OCCOCCOCCOCCOCCO3)cn1)C1CCCCC1N(C)c1ccc2cc(CF)cnc2c1 7.7922225 0.3466666666666667</t>
  </si>
  <si>
    <t>Cc1cc(C)c(CN(C)C2CCC(N(Cc3ccccn3)Cc3ccccn3)CC2)nc1C 7.7922077 0.45098039215686275</t>
  </si>
  <si>
    <t>CNC1CC(N(C)Cc2ccc(C)cn2)CCC1N(Cc1ccccn1)Cc1nc(C)c(C)cc1C 7.7921987 0.3939393939393939</t>
  </si>
  <si>
    <t>C1=CNC(N(Cc2ccccn2)Cc2ncccc2-c2cccc3c2OCCOCCOCCOCCOCCO3)=CC1 7.792195 0.4090909090909091</t>
  </si>
  <si>
    <t>Cc1cnc(CN(C)C(C)C(C)N)c(C)c1 7.7921863 0.29545454545454547</t>
  </si>
  <si>
    <t>Cc1cccnc1CN(C)C1CCC(N(Cc2ncccc2C)Cc2ncccc2C)CC1 7.7921853 0.3617021276595745</t>
  </si>
  <si>
    <t>Cc1cc(CN(Cc2ccccn2)C2CCC(N(C)Cc3ncccc3C)CC2)cnc1C 7.7921853 0.39655172413793105</t>
  </si>
  <si>
    <t>CC1=CC(C)(C)C(CN(Cc2ccccn2)Cc2ccccn2)C(C)C1N(C)Cc1ccccn1 7.7921844 0.4230769230769231</t>
  </si>
  <si>
    <t>CC(C)C(C)NCc1ccc(NC2C=CC=CN2)cn1 7.7921834 0.288135593220339</t>
  </si>
  <si>
    <t>Cc1cncc(CN(C)C2CCC(N(Cc3ccccn3)Cc3ncc(C)c(C)c3C)CC2)c1 7.792182 0.38333333333333336</t>
  </si>
  <si>
    <t>Cc1cc2c(c(-c3cccc(CN(Cc4ccccn4)Cc4cc(N)ccn4)n3)c1)OCCOCCOCCOCCOCCO2 7.7921753 0.4</t>
  </si>
  <si>
    <t>C=Nc1cccc(-c2cncc(CN3CCN(C)CCN(C)CC3)c2)c1 7.7921734 0.36538461538461536</t>
  </si>
  <si>
    <t>CNC1CCCC(N(Cc2ncc(C)cc2C)Cc2nc(C)c(C)c(C)c2C)C1 7.7921724 0.25396825396825395</t>
  </si>
  <si>
    <t>CCNCC1=NCC(c2ccccn2)O1 7.7921715 0.3137254901960784</t>
  </si>
  <si>
    <t>CCNc1ncc(C(C)C(C)N)cc1C 7.792165 0.1896551724137931</t>
  </si>
  <si>
    <t>Cc1ccnc(CN(C)CCN(C)C(C)C)c1C 7.7921586 0.3488372093023256</t>
  </si>
  <si>
    <t>Cc1cccnc1CN(C)C1CCCCC1N(C)Cc1cc(C2=NC(C)(C)CO2)ccn1 7.792158 0.4406779661016949</t>
  </si>
  <si>
    <t>Cc1cccnc1CN(Cc1ccc(F)cn1)Cc1ncccc1-c1cccc2c1OCCOCCOCCOCCOCCO2 7.7921567 0.26666666666666666</t>
  </si>
  <si>
    <t>Cc1cc(CN(C)CN(C)C2CCCC(N(C)Cc3cc(C)c(C)c(C)n3)C2)nc(C)c1C 7.7921486 0.32075471698113206</t>
  </si>
  <si>
    <t>CNC1=CC(N(C)C)NC=C1 7.792141 0.20408163265306123</t>
  </si>
  <si>
    <t>CN(Cc1cccc(-c2ccc3c(c2)OCCOCCOCCOCCOCCO3)n1)C1CCCCC1N(C)c1ccc2ncc(CF)cc2c1 7.7921305 0.35135135135135137</t>
  </si>
  <si>
    <t>Cc1cnc(CN(CCN(C)C(C)C)C(C)C)cc1C 7.792126 0.4634146341463415</t>
  </si>
  <si>
    <t>CCCN(Cc1ccccn1)c1c(-c2cc(CN(C)Cc3ccccn3)ccn2)ccc2c1OCCOCCOCCOCCOCCO2 7.7921233 0.3582089552238806</t>
  </si>
  <si>
    <t>COC(=O)C1C(c2ccccn2)CC(c2ccccn2)N(C)C1c1ncccc1CN1CCN(C)CCN(C)CC1 7.792116 0.3709677419354839</t>
  </si>
  <si>
    <t>CC1=C(CN(C)Cc2ccccn2)CCC=C1C(C)(C)C 7.7921157 0.44</t>
  </si>
  <si>
    <t>CN(Cc1ccc(-c2ccc3c(c2)OCCOCCOCCOCCOCCO3)cn1)C1CCCCC1N(C)c1ccc2ncc(CF)cc2c1 7.792112 0.42857142857142855</t>
  </si>
  <si>
    <t>CC1=CC(Cl)C(Cl)C(N(C)C2CCCCC2N(C)c2ccc3ccc(CF)nc3c2)C1C 7.7921114 0.42857142857142855</t>
  </si>
  <si>
    <t>CNCc1ncccc1CN(Cc1ccccn1)C1CCC(N(C)Cc2nc(C)c(C)c(C)c2C)CC1 7.7920938 0.36507936507936506</t>
  </si>
  <si>
    <t>Cc1ccc(CN(C)CC2=C(N(C)Cc3cccc(-c4ccc5c(c4)OCCOCCOCCOCCOCCO5)n3)CC=CN2)nc1 7.792091 0.32142857142857145</t>
  </si>
  <si>
    <t>CN(CCF)CCN(Cc1ccccn1)C1CCCCC1N(C)c1cccc2ncccc12 7.7920856 0.4406779661016949</t>
  </si>
  <si>
    <t>CCNCC1=CCC(N(C)CC(C)(C)C)=CN1 7.7920856 0.18518518518518517</t>
  </si>
  <si>
    <t>CN1CCN(Cc2ccccn2)CCN(Cc2cc(N(C)Cc3cccc(C4CC(C)(C)C4)n3)ccn2)CC1 7.792076 0.49122807017543857</t>
  </si>
  <si>
    <t>CN(Cc1cccc(-c2ccc3c(c2)OCCOCCOCCOCCOCCO3)n1)C1CCCCC1N(C)c1ccc2nc(CF)ccc2c1 7.792075 0.3972602739726027</t>
  </si>
  <si>
    <t>CN1CCN(C)CCN(C(C)(C)c2ccc(CN(C)C3CCCCC3N(C)c3ccc4ccc(CF)nc4c3)nc2)CC1 7.7920704 0.4</t>
  </si>
  <si>
    <t>C1=CC(NCNCc2ccccn2)=CCN1 7.7920704 0.475</t>
  </si>
  <si>
    <t>C=CCNCc1cc(C(C)(C)C)ccn1 7.79207 0.30952380952380953</t>
  </si>
  <si>
    <t>CN(Cc1cc(-c2ccc3c(c2)OCCOCCOCCOCCOCCO3)ccn1)C1CCCCC1N(C)c1ccc2ncccc2c1 7.7920656 0.4</t>
  </si>
  <si>
    <t>CN(Cc1cccc(-c2cccc3c2OCCOCCOCCOCCOCCO3)n1)Cc1cccc(N(C)C)n1 7.7920647 0.375</t>
  </si>
  <si>
    <t>CNCc1cccc(CN(Cc2ccccn2)C2CCC(N(C)Cc3nc(C)c(C)c(C)c3C)CC2)n1 7.792059 0.38333333333333336</t>
  </si>
  <si>
    <t>CC1=CC(C)C2(CC1)CC(C)C(C)=C(C)C2(C)N(Cc1ccccn1)Cc1ncccc1C 7.792053 0.29850746268656714</t>
  </si>
  <si>
    <t>CN(Cc1cccnn1)C1CCCC(N(Cc2ccccn2)c2ccccc2F)C1 7.792053 0.45454545454545453</t>
  </si>
  <si>
    <t>CNCc1cncc(C)c1 7.7920465 0.2</t>
  </si>
  <si>
    <t>CCNCc1cc(C(C)(C)C)ccn1 7.792045 0.34210526315789475</t>
  </si>
  <si>
    <t>CC(C)N(Cc1ccc(-c2ccc3c(c2)OCCOCCOCCOCCOCCO3)cn1)Cc1ccc(N(C)C)cn1 7.79204 0.4838709677419355</t>
  </si>
  <si>
    <t>Cc1cc(-c2cc(CN3CCN(C)CCN(C)CC3)ccn2)ccn1 7.792039 0.4888888888888889</t>
  </si>
  <si>
    <t>CN(Cc1ccc(-c2ccc3c(c2)OCCOCCOCCOCCOCCO3)cn1)C1CCCCC1N(C)c1ccc2nc(CF)ccc2c1 7.792037 0.44594594594594594</t>
  </si>
  <si>
    <t>CNC1CCCC(N(C)Cc2cc(C)ccn2)C1N(Cc1cc(C)ccn1)Cc1cc(C)c(C)c(C)n1 7.792036 0.3548387096774194</t>
  </si>
  <si>
    <t>CC(C)N(C)CC1C=CNC=C1N(C)Cc1cccnn1 7.792036 0.4</t>
  </si>
  <si>
    <t>CNCCN(Cc1ccccn1)Cc1cccc(C2CC(C)(C)C2)n1 7.7920337 0.43137254901960786</t>
  </si>
  <si>
    <t>CC(N1CCN(C)CCN(C)CC1)N(C)c1cccc2cccnc12 7.7920303 0.4772727272727273</t>
  </si>
  <si>
    <t>CN(Cc1cccc(-c2cccc3c2OCCOCCOCCOCCOCCO3)n1)C1CCCCC1N(C)c1ccc2nc(CF)ccc2c1 7.792022 0.3918918918918919</t>
  </si>
  <si>
    <t>CNCc1cc(CN(Cc2ccccn2)C2CCC(N(C)Cc3nc(C)c(C)c(C)c3C)CC2)ccn1 7.7920218 0.36507936507936506</t>
  </si>
  <si>
    <t>CC(C)C(C)(c1ccccn1)C(C)CN(Cc1ccccn1)Cc1ccccn1 7.792021 0.5</t>
  </si>
  <si>
    <t>CN(Cc1ccc(-c2cccc3c2OCCOCCOCCOCCOCCO3)cn1)C1CCCCC1N(C)c1ccc2ncc(CF)cc2c1 7.7920117 0.34210526315789475</t>
  </si>
  <si>
    <t>Cc1ccc(CN(C)C2CCCC(N(Cc3ccccn3)Cc3ncc(C)cc3C)C2)nc1 7.791986 0.45614035087719296</t>
  </si>
  <si>
    <t>Cc1cccc(CN(Cc2ncccc2C)C2CCC(N(C)Cc3ncccc3C)CC2)n1 7.791986 0.47058823529411764</t>
  </si>
  <si>
    <t>Cc1cc(C)c(CN(C)Cc2cccc(-c3ccc4c(c3)OCCOCCOCCOCCOCCO4)n2)nc1C 7.791983 0.3442622950819672</t>
  </si>
  <si>
    <t>CNC1CCCC(N(Cc2cc(C)c(C)c(C)n2)Cc2cc(C)c(C)c(C)n2)C1 7.791967 0.25</t>
  </si>
  <si>
    <t>CC(C)N(Cc1ccccn1)Cc1cccc(CN(Cc2ccccn2)C2CCC(N(C)Cc3cccc(C4CC(C)(C)C4)n3)CC2)n1 7.7919583 0.41379310344827586</t>
  </si>
  <si>
    <t>Cc1ccccc1C 7.7919416 0.5</t>
  </si>
  <si>
    <t>CN(Cc1ncccc1-c1cccc2c1OCCOCCOCCOCCOCCO2)C1CCCCC1N(C)c1ccc2cc(CF)cnc2c1 7.7919354 0.3116883116883117</t>
  </si>
  <si>
    <t>CN(Cc1cc(-c2ccc3c(c2)OCCOCCOCCOCCOCCO3)ccn1)C1CCCCC1N(C)c1ccc2nc(CF)ccc2c1 7.7919354 0.3670886075949367</t>
  </si>
  <si>
    <t>CNCc1cccc(CN(Cc2cccc(C)n2)C2CCC(N(C)Cc3ncc(C)c(C)c3C)CC2)n1 7.791928 0.4067796610169492</t>
  </si>
  <si>
    <t>Cc1cccnc1CN(C)C1C=CNC(CN(C)C(C)C)=C1 7.791926 0.29508196721311475</t>
  </si>
  <si>
    <t>CC(C)N(C)Cc1cccc(C2CC(C)(C)C2)n1 7.791922 0.34</t>
  </si>
  <si>
    <t>CC1CC=CC2(C=CCC(C)C2(C)c2cc(CN(Cc3ccccn3)Cc3ccccn3)ccn2)C1C 7.791916 0.38461538461538464</t>
  </si>
  <si>
    <t>C=Cc1ccc(CN(Cc2ccccn2)C2CCC(N(C)Cc3cccc(F)n3)CC2)nc1 7.7919154 0.4153846153846154</t>
  </si>
  <si>
    <t>Cc1cnc(CN(C)CCN(C)C(C)(C)C)c(C)c1 7.791912 0.4146341463414634</t>
  </si>
  <si>
    <t>Cc1ccc(C)c(N(C)C2CCCCC2N(C)Cc2ccon2)c1C 7.79191 0.43137254901960786</t>
  </si>
  <si>
    <t>CNCc1nccc(-c2ccc3c(c2)OCCOCCOCCOCCOCCO3)c1C(C)(C)c1cc(CN(Cc2cc(-c3ccc4c(c3)OCCOCCOCCOCCOCCO4)ccn2)Cc2ncccc2C)ccn1 7.7919 0.2717391304347826</t>
  </si>
  <si>
    <t>Cc1cnc(CN(C)C2CCC(N(Cc3ccccn3)Cc3cccc(F)n3)CC2)c(C)c1C 7.7918954 0.39655172413793105</t>
  </si>
  <si>
    <t>CC1=CC(c2ccccn2)CC(C2=CC(C)CCC2C)C1c1ccc(CN(C)CCN(C)Cc2cccnn2)cn1 7.791893 0.36764705882352944</t>
  </si>
  <si>
    <t>Cc1cncc(CN(C)C2CCC(N(C)Cc3ccccn3)CC2N(Cc2ccccn2)Cc2cccc(C3CC(C)(C)C3)n2)c1 7.7918816 0.391304347826087</t>
  </si>
  <si>
    <t>CN(Cc1ncccc1-c1ccc2c(c1)OCCOCCOCCOCCOCCO2)c1ccccc1F 7.7918816 0.323943661971831</t>
  </si>
  <si>
    <t>CN1CCN(C)CCN(C(C)(C)c2cccnc2CN(C)C2CCCCC2N(C)c2ccc3c(CF)ccnc3c2)CC1 7.7918653 0.3194444444444444</t>
  </si>
  <si>
    <t>CC(C)Nc1cccc(CN2CCN(C)CCN(C(C)(c3ccccn3)c3ccccn3)CC2)n1 7.7918596 0.49056603773584906</t>
  </si>
  <si>
    <t>CNCc1ccc(C)c(CN(Cc2ccccn2)C2CCCC(N(C)Cc3ncc(C)c(C)c3C)C2)n1 7.791855 0.36923076923076925</t>
  </si>
  <si>
    <t>CC(NCc1ccccn1)c1cccnc1CNCF 7.7918544 0.4186046511627907</t>
  </si>
  <si>
    <t>CC1=C(CN(C)Cc2ccccn2)C(C)CC(NCc2ccccn2)C1 7.7918515 0.4074074074074074</t>
  </si>
  <si>
    <t>CN(CC1=CCC=C(N(C)Cc2ccccn2)N1)Cc1cccc(-c2ccc3c(c2)OCCOCCOCCOCCOCCO3)n1 7.791848 0.42424242424242425</t>
  </si>
  <si>
    <t>Cc1cccnc1CN(C)C1CCC(N(C)Cc2cccc(CN(C)Cc3nccc(C)c3C)n2)CC1 7.791845 0.3684210526315789</t>
  </si>
  <si>
    <t>CNCc1cccc(CN(Cc2ccccn2)C2CCCC(N(C)Cc3nc(C)c(C)cc3C)C2)n1 7.791844 0.3870967741935484</t>
  </si>
  <si>
    <t>CN(Cc1cccc(-c2ccc3c(c2)OCCOCCOCCOCCOCCO3)n1)C1CCCCC1N(C)c1ccc2ccc(CF)nc2c1 7.7918406 0.4027777777777778</t>
  </si>
  <si>
    <t>CNC1C(N(C)Cc2cc(C)ccn2)CCCC1N(Cc1cc(C)ccn1)Cc1cc(C)c(C)c(C)n1 7.7918386 0.3728813559322034</t>
  </si>
  <si>
    <t>CN(CC1=CCC=C(N(C)Cc2ccccn2)N1)Cc1cc(-c2cccc3c2OCCOCCOCCOCCOCCO3)ccn1 7.791838 0.3194444444444444</t>
  </si>
  <si>
    <t>COC(=O)C1CC(c2ccccn2)C(c2ncccc2CN2CCN(C)CCN(C)CC2)N(C)C1c1ccccn1 7.7918363 0.3709677419354839</t>
  </si>
  <si>
    <t>CNCc1ccc(CN(Cc2ccccn2)C2CCCC(N(C)Cc3nc(C)c(C)cc3C)C2)cn1 7.791829 0.3582089552238806</t>
  </si>
  <si>
    <t>Cc1cccc(CN(C)CC2=C(N(C)Cc3cccc(-c4ccc5c(c4)OCCOCCOCCOCCOCCO5)n3)CC=CN2)n1 7.791828 0.3384615384615385</t>
  </si>
  <si>
    <t>CN(Cc1ccc2ncccc2c1)c1ccc2c(c1)OCCOCCOCCOCCOCCO2 7.791825 0.2898550724637681</t>
  </si>
  <si>
    <t>CN(Cc1ccc(-c2ccc3c(c2)OCCOCCOCCOCCOCCO3)cn1)C1CCCCC1N(C)c1ccc2ccc(CF)nc2c1 7.791821 0.4520547945205479</t>
  </si>
  <si>
    <t>CC1C=CC(C)(c2cccc(CN(Cc3ccccn3)Cc3ccccn3)n2)C(C)C1C 7.7918196 0.45454545454545453</t>
  </si>
  <si>
    <t>CC1=C(C)C(C)CC(C)(c2ncccc2CN(Cc2ccccn2)Cc2cc(-c3ccc4c(c3)OCCOCCOCCOCCOCCO4)ccn2)C1 7.7918196 0.3058823529411765</t>
  </si>
  <si>
    <t>Cc1cccnc1CN(C)C1=CNC(CN(C)C2CCCC(N(C)Cc3ncccc3C)C2)=CC1 7.791811 0.29508196721311475</t>
  </si>
  <si>
    <t>CNCc1ccc(CN(Cc2ccccn2)C2CCC(N(C)Cc3nc(C)c(C)c(C)c3C)CC2)cn1 7.7918086 0.35384615384615387</t>
  </si>
  <si>
    <t>Cc1cncc(-c2cc(CN3CCN(C)CCN(C)CC3)ccn2)c1 7.791808 0.48936170212765956</t>
  </si>
  <si>
    <t>CN(CCN)Cc1ccc(N(C)C(C)(C)C)nc1 7.7918053 0.3409090909090909</t>
  </si>
  <si>
    <t>Cc1cc(CN(C)CCN(C)C(C)(C)C)cnc1C 7.791804 0.3488372093023256</t>
  </si>
  <si>
    <t>CC(C)N(C)c1cccc(-c2ncccc2CN2CCN(C)CCN(C)CC2)c1 7.791801 0.39622641509433965</t>
  </si>
  <si>
    <t>CC(C)[Si](c1cccc(CN2CCN(C)CCN(Cc3ncccc3[Si](C(C)C)(C(C)C)C(C)C)CC2)n1)(C(C)C)C(C)C 7.791798 0.48</t>
  </si>
  <si>
    <t>CC=CCN(C)C 7.79179 0.1388888888888889</t>
  </si>
  <si>
    <t>CN(CC1=CCC=C(N(C)Cc2ncccc2-c2cccc3c2OCCOCCOCCOCCOCCO3)N1)Cc1ccccn1 7.7917857 0.32857142857142857</t>
  </si>
  <si>
    <t>CCCNCC1=CC(N(C)Cc2nc(C)ccc2C)C=CN1 7.7917714 0.2857142857142857</t>
  </si>
  <si>
    <t>CNCc1cccc(CN(Cc2cccc(F)n2)C2CCC(N(C)Cc3nc(C)c(C)cc3C)CC2)n1 7.791767 0.31746031746031744</t>
  </si>
  <si>
    <t>Cc1cc(CN(C)C2CCCC(N(Cc3ccccn3)Cc3ccccn3)C2)nc(C)c1C 7.791765 0.4807692307692308</t>
  </si>
  <si>
    <t>CCCN(C)CC1=CC(N(C)Cc2ncccc2C)C=CN1 7.7917647 0.3114754098360656</t>
  </si>
  <si>
    <t>CN(Cc1ncccc1-c1cccc2c1OCCOCCOCCOCCOCCO2)C1CCCCC1N(C)c1ccc2nc(CF)ccc2c1 7.791755 0.3815789473684211</t>
  </si>
  <si>
    <t>CN(Cc1ncccc1-c1ccc2c(c1)OCCOCCOCCOCCOCCO2)C1CCCCC1N(C)c1ccc2cccnc2c1 7.791754 0.34285714285714286</t>
  </si>
  <si>
    <t>Cc1ccc2c(N(C)CCCN3CCN(C)CCN(C)CC3)cccc2n1 7.791754 0.42</t>
  </si>
  <si>
    <t>CN(Cc1cccc(N(C)C)n1)Cc1ncccc1-c1cccc2c1OCCOCCOCCOCCOCCO2 7.7917533 0.3442622950819672</t>
  </si>
  <si>
    <t>C=Nc1ccccc1-c1ccc(CN2CCN(C)CCN(C)CC2)cn1 7.791751 0.40816326530612246</t>
  </si>
  <si>
    <t>Cc1cnc(CN(C)C2CCCC(N(Cc3ccccn3)Cc3cccnc3F)C2)c(C)c1C 7.791749 0.4</t>
  </si>
  <si>
    <t>CN(Cc1ccc(-c2ccc3c(c2)OCCOCCOCCOCCOCCO3)cn1)C1CCCCC1N(C)c1cccc2cc(CF)cnc12 7.7917404 0.4246575342465753</t>
  </si>
  <si>
    <t>COc1c(C)cnc(C(=O)C(C)C(=O)C(C)C(=O)C(=O)C(=O)C(C)C(C)C(C)C(=O)C(=O)C(=O)C(=O)C(C)C(C)C(C)C(C)C(C)C(C)C(C)C(C)C(C)C(C)C)c1C 7.791737 0.2698412698412698</t>
  </si>
  <si>
    <t>CN(C)c1cccc(-c2cccc(CN(C)C3CCCC(N(C)Cc4cccc(-c5ccc6c(c5)OCCOCCOCCOCCOCCO6)n4)C3)n2)c1 7.7917314 0.3561643835616438</t>
  </si>
  <si>
    <t>Cc1cccc(CN(C)CCSCc2ccccn2)c1 7.7917075 0.5</t>
  </si>
  <si>
    <t>CC1C=C2N=CC=CC2(N(C)Cc2ccccn2)CC1C(C)(C)C 7.7916946 0.3620689655172414</t>
  </si>
  <si>
    <t>CN(c1cccc(F)c1)C1CCCC(N(Cc2ccccn2)Cc2cccc(F)n2)C1 7.7916946 0.39655172413793105</t>
  </si>
  <si>
    <t>Cc1ccncc1CN(C)CCN(C)C 7.7916913 0.38461538461538464</t>
  </si>
  <si>
    <t>CCN(C)CC1=CC(N(C)Cc2ncccc2C)C=CN1 7.791691 0.3220338983050847</t>
  </si>
  <si>
    <t>CN(Cc1cc(-c2ccc3c(c2)OCCOCCOCCOCCOCCO3)ccn1)C1CCCCC1N(C)c1ccc2ccc(CF)nc2c1 7.791687 0.3717948717948718</t>
  </si>
  <si>
    <t>CCNC1CCCCC1N(Cc1nc(C)c(C)c(C)c1C)Cc1nc(C)c(C)c(C)c1C 7.791679 0.2830188679245283</t>
  </si>
  <si>
    <t>C=Nc1ccccc1-c1ncccc1CN1CCN(C)CCN(C)CC1 7.7916613 0.46808510638297873</t>
  </si>
  <si>
    <t>C1=CNC(CN(CC2=CCC=CN2)C2=CCNC=C2)=CC1 7.79166 0.3958333333333333</t>
  </si>
  <si>
    <t>CN(Cc1ncccc1-c1cccc2c1OCCOCCOCCOCCOCCO2)C1CCCCC1N(C)c1cccc2ncccc12 7.791657 0.373134328358209</t>
  </si>
  <si>
    <t>CN(c1ccccc1F)C1CCC(N(Cc2ccnc(F)c2)Cc2ccccn2)CC1 7.791654 0.38596491228070173</t>
  </si>
  <si>
    <t>Cc1ccccc1N(C)Cc1cccc(-c2ccc3c(c2)OCCOCCOCCOCCOCCO3)n1 7.7916427 0.3333333333333333</t>
  </si>
  <si>
    <t>Cc1cc(N2CCN(C)CCN(C)CC2)cc(N(C)C(C)C)c1C 7.7916393 0.2653061224489796</t>
  </si>
  <si>
    <t>Cc1cccc(CN(C)Cc2ccc(CN(C)Cc3cccc(-c4ccc5c(c4)OCCOCCOCCOCCOCCO5)n3)nc2)n1 7.791639 0.3793103448275862</t>
  </si>
  <si>
    <t>Cc1nc(CN(C)C2CCCC(N(C)Cc3cccnc3CN(C)C)C2)c(C)c(C)c1C 7.791627 0.3103448275862069</t>
  </si>
  <si>
    <t>CN(Cc1ncccc1-c1ccc2c(c1)OCCOCCOCCOCCOCCO2)C1CCCCC1N(C)c1ccc2cc(CF)cnc2c1 7.791626 0.313953488372093</t>
  </si>
  <si>
    <t>Cc1cncc(CN(CN2CCN(C)CCN(Cc3cc(C)c(C)c(C)n3)CC2)C2CCC(N(C)c3ccc4ncccc4c3)CC2)c1 7.7916074 0.30864197530864196</t>
  </si>
  <si>
    <t>CC1=C(C)CC(C)(c2ncccc2CN(Cc2ccccn2)Cc2ncccc2-c2cccc3c2OCCOCCOCCOCCOCCO3)C(C)C1 7.791607 0.29850746268656714</t>
  </si>
  <si>
    <t>Cc1cccc(CN(C)C2=CNC(CN(C)C3CCCC(N(C)Cc4ncccc4C)C3)=CC2)n1 7.7916064 0.3968253968253968</t>
  </si>
  <si>
    <t>Cc1cccc(CN(C)C2=CCC=C(CN(C)C3CCCC(N(C)Cc4ccccn4)C3)N2)n1 7.7915897 0.43333333333333335</t>
  </si>
  <si>
    <t>Cc1cc(C)c(CN(C)C2CCCC(N(Cc3ccccn3)Cc3ncccc3C)C2)cn1 7.791587 0.4</t>
  </si>
  <si>
    <t>CN(CCN(Cc1ccccn1)Cc1cc(-c2cccc3c2OCCOCCOCCOCCOCCO3)ccn1)Cc1cc(C(C)(C)c2ccccn2)ccn1 7.791568 0.358974358974359</t>
  </si>
  <si>
    <t>CC(C)(NCc1ccccn1)c1ccccc1 7.7915673 0.5</t>
  </si>
  <si>
    <t>COC(=O)C(=O)C(C)C(C)NCc1ccccn1 7.791567 0.40476190476190477</t>
  </si>
  <si>
    <t>Cc1cc(-c2ccc(CN3CCN(C)CCN(C)CC3)cn2)ccc1N 7.791562 0.39215686274509803</t>
  </si>
  <si>
    <t>CN(Cc1ncccc1-c1cccc2c1OCCOCCOCCOCCOCCO2)C1CCCCC1N(C)c1ccc2ccc(CF)nc2c1 7.791556 0.38666666666666666</t>
  </si>
  <si>
    <t>CC(N)C(C)N(Cc1ccccn1)Cc1cccc(C(C)(C)C)n1 7.7915554 0.4888888888888889</t>
  </si>
  <si>
    <t>CN(Cc1ccc(-c2cccc3c2OCCOCCOCCOCCOCCO3)cn1)Cc1cccc(N(C)C)n1 7.7915525 0.3225806451612903</t>
  </si>
  <si>
    <t>CN(Cc1cccc(-c2ccc3c(c2)OCCOCCOCCOCCOCCO3)n1)C1CCC(N(C)c2ccc3cccnc3c2)CC1 7.7915525 0.325</t>
  </si>
  <si>
    <t>COC(C)c1nc(CN2CCN(C)CCN(Cc3cccc(C(C)(C)c4ccccn4)n3)CC2)c(C)c(C)c1C 7.7915525 0.43333333333333335</t>
  </si>
  <si>
    <t>CCN(Cc1ccccn1)Cc1cccc(N(C)C2CCC(N(C)Cc3cccc(C)n3)CC2)n1 7.7915454 0.45454545454545453</t>
  </si>
  <si>
    <t>CN(Cc1ncccc1-c1ccc2c(c1)OCCOCCOCCOCCOCCO2)C1CCCCC1N(C)c1ccc2ncccc2c1 7.7915444 0.34782608695652173</t>
  </si>
  <si>
    <t>CN(CCN(Cc1ccccn1)Cc1cccc(C2CCC2(C)C)n1)Cc1ccccn1 7.791542 0.48</t>
  </si>
  <si>
    <t>CN1CCN(C)CCN(Cc2cccnc2CN(C)C(C)(C)c2cccnc2CN(Cc2ccccn2)Cc2ncccc2N)CC1 7.7915225 0.4262295081967213</t>
  </si>
  <si>
    <t>CNC1CC(N(C)Cc2cc(C)ccn2)CCC1N(Cc1ccccn1)Cc1nc(C)c(C)c(C)c1C 7.791521 0.3787878787878788</t>
  </si>
  <si>
    <t>COC(C)c1cc(C)c(CN2CCN(C)CCN(Cc3ncccc3C(C)(C)c3ccccn3)CC2)c(C)n1 7.791518 0.3484848484848485</t>
  </si>
  <si>
    <t>CN(CC1=CCC=C(N(C)Cc2ccccn2)N1)Cc1ncccc1-c1cccc2c1OCCOCCOCCOCCOCCO2 7.7915144 0.3108108108108108</t>
  </si>
  <si>
    <t>Cc1cccnc1CN(C)CC1=CCC(N(C)Cc2cccc(-c3ccc4c(c3)OCCOCCOCCOCCOCCO4)n2)=CN1 7.791513 0.30666666666666664</t>
  </si>
  <si>
    <t>Cc1ccnc(CN(CCN(C)CCF)Cc2ncccc2F)c1C 7.7915025 0.3269230769230769</t>
  </si>
  <si>
    <t>CC1C=C(N(C)Cc2ccccn2)C(C)(C)CC1C 7.7914915 0.44680851063829785</t>
  </si>
  <si>
    <t>Cc1cnc(CN(C)C2CCCC(N(C)Cc3ncc(C)c(C)c3C)C2)c(C)c1C 7.7914906 0.3695652173913043</t>
  </si>
  <si>
    <t>CNCc1cnccc1C 7.79149 0.21052631578947367</t>
  </si>
  <si>
    <t>Cc1cc(-c2ccncc2CN2CCN(C)CCN(C)CC2)ccc1N 7.791488 0.38461538461538464</t>
  </si>
  <si>
    <t>Cc1nc(CN(C)C2CCCC(N(C)Cc3ccon3)C2)c(C)c(C)c1C 7.7914867 0.3958333333333333</t>
  </si>
  <si>
    <t>CC1=CC(C)C(CSCc2ccccn2)CC1N=Cc1ccccn1 7.7914834 0.39215686274509803</t>
  </si>
  <si>
    <t>CN(Cc1ccc(-c2cccc3c2OCCOCCOCCOCCOCCO3)cn1)Cc1ncccc1N(C)C 7.7914815 0.30666666666666664</t>
  </si>
  <si>
    <t>Cc1ccc(C)c(CN(Cc2ccccn2)C2CCC(N(C)Cc3cncc(C)c3C)CC2)n1 7.7914805 0.3770491803278688</t>
  </si>
  <si>
    <t>CN(C)Cc1ccc2ccc(N(C)C3CCCCC3N(Cc3ccc(-c4ccc5c(c4)OCCOCCOCCOCCOCCO5)cn3)C3C=CC=CN3)cc2n1 7.7914667 0.40963855421686746</t>
  </si>
  <si>
    <t>CN(Cc1ccccn1)c1cc2c(c(-c3cccc(CN(Cc4ccccn4)Cc4cccc(-c5ccc6c(c5)OCCOCCOCCOCCOCCO6)n4)n3)c1)OCCOCCOCCOCCOCCO2 7.791466 0.44285714285714284</t>
  </si>
  <si>
    <t>COC(=O)C1C(c2cc(CN3CCN(C)CCN(C)CC3)ccn2)C(CN(C)Cc2ccccn2)C(c2ccccn2)N(C)C1c1ccccn1 7.791461 0.37681159420289856</t>
  </si>
  <si>
    <t>C=Nc1cccc(-c2ccc(CN3CCN(C)CCN(C)CC3)cn2)c1 7.791459 0.36538461538461536</t>
  </si>
  <si>
    <t>CC(C)c1cccc(CN(Cc2cccc(-c3ccc4c(c3)OCCOCCOCCOCCOCCO4)n2)Cc2cccc(C(C)(C)C)n2)n1 7.7914333 0.3380281690140845</t>
  </si>
  <si>
    <t>Cc1ccc(C)c(CN(C)C2CCCC(N(Cc3ccccn3)Cc3ncccc3C)C2)n1 7.7914276 0.42105263157894735</t>
  </si>
  <si>
    <t>Cc1cnc(CN(Cc2ccccn2)C2CCCC(N(C)Cc3ncccc3C)C2)c(C)c1 7.791425 0.41379310344827586</t>
  </si>
  <si>
    <t>CN(Cc1ncccc1-c1ccc2c(c1)OCCOCCOCCOCCOCCO2)C1CCCCC1N(C)c1ccc2ncc(CF)cc2c1 7.791422 0.3103448275862069</t>
  </si>
  <si>
    <t>CNC1CCCCC1N(Cc1cc(C)c(C)c(C)n1)Cc1nc(C)c(C)c(C)c1C 7.7914205 0.288135593220339</t>
  </si>
  <si>
    <t>CC(CN(Cc1ccccn1)Cc1ccccn1)(c1ccccn1)c1ncccc1-c1cccc2c1OCCOCCOCCOCCOCCO2 7.79142 0.3770491803278688</t>
  </si>
  <si>
    <t>CN(Cc1ncccc1-c1ccc2c(c1)OCCOCCOCCOCCOCCO2)C1CCCCC1N(C)c1ccc2nc(CF)ccc2c1 7.7914157 0.36363636363636365</t>
  </si>
  <si>
    <t>CC(C)C1=CC(NCc2ccccn2)C=CN1 7.7914124 0.38636363636363635</t>
  </si>
  <si>
    <t>CN(Cc1ncccc1-c1cccc2c1OCCOCCOCCOCCOCCO2)Cc1ncccc1N(C)C 7.7914095 0.2807017543859649</t>
  </si>
  <si>
    <t>CNCc1ncccc1CN(Cc1ccccn1)C1CCCC(N(C)Cc2nc(C)c(C)c(C)c2C)C1 7.7913957 0.36923076923076925</t>
  </si>
  <si>
    <t>Cc1cccc(CN(C)C2=CCC=C(CN(C)C3CCC(N(C)Cc4ccccn4)CC3)N2)n1 7.7913933 0.43103448275862066</t>
  </si>
  <si>
    <t>Cc1cc(C)c(CN(C)Cc2ncccc2-c2ccc3c(c2)OCCOCCOCCOCCOCCO3)nc1C 7.791389 0.3194444444444444</t>
  </si>
  <si>
    <t>Cc1ccnc(CN(C)C2C=CNC(CN(C)C(C)C(C)C)=C2)c1C 7.7913833 0.2857142857142857</t>
  </si>
  <si>
    <t>C=CCN(Cc1ccccn1)Cc1ncccc1N(C)Cc1cccc(-c2cccc3c2OCCOCCOCCOCCOCCO3)n1 7.7913704 0.352112676056338</t>
  </si>
  <si>
    <t>Cc1cncc(CN(C)C2CCCC(N(Cc3ccccn3)Cc3ncc(C)c(C)c3C)C2)c1 7.791368 0.3870967741935484</t>
  </si>
  <si>
    <t>CNCCN(Cc1ccccn1)C(C)(C)c1ccccn1 7.79135 0.4666666666666667</t>
  </si>
  <si>
    <t>CC1=CC(C)C(N(C)CC2=CC(N(C)Cc3nc(C)ccc3C)C=CN2)CC1C 7.7913494 0.2835820895522388</t>
  </si>
  <si>
    <t>Cc1nc(CN(C)C2CCC(N(Cc3ccc4c(n3)CCC4)C(C)C)CC2)c(C)c(C)c1C 7.7913475 0.2898550724637681</t>
  </si>
  <si>
    <t>CCN(Cc1cc(-c2ccc3c(c2)OCCOCCOCCOCCOCCO3)ccn1)C1CCC(N(C)c2ccc3nc(CF)ccc3c2)CC1 7.791346 0.345679012345679</t>
  </si>
  <si>
    <t>CN(Cc1cccc(-c2ccc3c(c2)OCCOCCOCCOCCOCCO3)n1)C1CCC(N(C)c2ccc3ncccc3c2)CC1 7.791343 0.3291139240506329</t>
  </si>
  <si>
    <t>CC(C)N(Cc1cccc(-c2ccc3c(c2)OCCOCCOCCOCCOCCO3)n1)C1CCC(N(C)c2cccc3cccnc23)CC1 7.791341 0.37681159420289856</t>
  </si>
  <si>
    <t>CC(C)N(Cc1cccc(-c2ccc3c(c2)OCCOCCOCCOCCOCCO3)n1)C1CCC(N(C)c2ccc3nc(CF)ccc3c2)CC1 7.7913365 0.30952380952380953</t>
  </si>
  <si>
    <t>Cc1cnc(CN(Cc2ccccn2)C2CCCC(N(C)Cc3cccc(C)n3)C2)c(C)c1 7.791333 0.43333333333333335</t>
  </si>
  <si>
    <t>CC(NCc1ccccn1)C1=CNC=CC1 7.791327 0.38636363636363635</t>
  </si>
  <si>
    <t>C=CC1=CCC=CN1 7.791325 0.2727272727272727</t>
  </si>
  <si>
    <t>Cc1ccc(CN(Cc2ncccc2C)C2CCC(N(C)Cc3ccon3)CC2)nc1 7.791323 0.423728813559322</t>
  </si>
  <si>
    <t>CC1C(N)CC1c1ccc(CN(C)Cc2ccccn2)cn1 7.791318 0.4339622641509434</t>
  </si>
  <si>
    <t>Cc1ccncc1NC1CCC(NCc2nc(C)c(C)c(C)c2C)CC1 7.791313 0.1774193548387097</t>
  </si>
  <si>
    <t>CC1=C(N=Cc2ccccn2)CCCC1CN(C)Cc1cccnn1 7.7913127 0.38596491228070173</t>
  </si>
  <si>
    <t>Cc1cnc(CN(C)C2CCC(N(C)Cc3ccccn3)C(N(Cc3ccccn3)Cc3cccc(C4CC(Cl)C4Cl)n3)C2)c(C)c1 7.791309 0.38571428571428573</t>
  </si>
  <si>
    <t>CCN(Cc1cc(CN(C)C2CCC(N(C)Cc3nc(C)c(C)c(C)c3C)CC2)ccn1)Cc1ncccc1C 7.7913046 0.2878787878787879</t>
  </si>
  <si>
    <t>Cc1cccc(CN(C)C2=CNC(CN(C)Cc3cccc(-c4ccc5c(c4)OCCOCCOCCOCCOCCO5)n3)=CC2)n1 7.7912993 0.34375</t>
  </si>
  <si>
    <t>CN(CCF)CCN(Cc1ccccn1)C1CCCCC1N(C)c1cccc2ncc(CF)cc12 7.791299 0.4</t>
  </si>
  <si>
    <t>C=Nc1cccc(-c2ccc(CN3CCN(C)CCN(C)CC3)nc2)c1 7.791295 0.4583333333333333</t>
  </si>
  <si>
    <t>CN(Cc1cncc(N(C)C)c1)Cc1ncccc1-c1cccc2c1OCCOCCOCCOCCOCCO2 7.7912807 0.23880597014925373</t>
  </si>
  <si>
    <t>Cc1cccc(CN(C)C2CCC(N(C)CC3=CCC=C(N(C)Cc4ccccn4)N3)CC2)n1 7.7912745 0.43103448275862066</t>
  </si>
  <si>
    <t>CC(C)N(Cc1cc(-c2ccc3c(c2)OCCOCCOCCOCCOCCO3)ccn1)Cc1cc(C(C)(C)c2ccccn2)ccn1 7.791273 0.36065573770491804</t>
  </si>
  <si>
    <t>CNCc1cc(CN(Cc2cc(C)ccn2)C2CCC(N(C)Cc3cc(C)c(C)c(C)n3)CC2)ccn1 7.7912693 0.2878787878787879</t>
  </si>
  <si>
    <t>CNCc1cc(CN(Cc2cc(C)ccn2)C2CCC(N(C)Cc3nc(C)c(C)cc3C)CC2)ccn1 7.791268 0.2923076923076923</t>
  </si>
  <si>
    <t>Cc1cc(CN(Cc2nc(C)c(C)c(C)c2C)C2CCCCC2N(CF)Cc2ccccn2)nc(C)c1C 7.7912517 0.43103448275862066</t>
  </si>
  <si>
    <t>CNCC1CCC(N(C)Cc2ccccn2)N1Cc1nc(C)c(C)c(C)c1C 7.7912507 0.4067796610169492</t>
  </si>
  <si>
    <t>Cc1nc(CN(C)C2CCC(N(Cc3cccnc3)Cc3ccccn3)CC2)c(C)c(C)c1C 7.7912498 0.38333333333333336</t>
  </si>
  <si>
    <t>CC(C)C1CCC1c1cccc(CN(Cc2ccccn2)Cc2ccccn2)n1 7.7912407 0.4878048780487805</t>
  </si>
  <si>
    <t>c1ccc(N(Cc2ccccn2)Cc2cccc(-c3ccc4c(c3)OCCOCCOCCOCCOCCO4)n2)cc1 7.791236 0.43548387096774194</t>
  </si>
  <si>
    <t>CC1=CC(C)C(C)C(C)(N(C)CC2=CCC(N(C)Cc3ccccn3)=CN2)C1 7.7912297 0.3382352941176471</t>
  </si>
  <si>
    <t>CC(C)C1=NCC(C)(C)O1 7.7912254 0.175</t>
  </si>
  <si>
    <t>CN(Cc1ncccc1-c1ccc2c(c1)OCCOCCOCCOCCOCCO2)C1CCCCC1N(C)c1ccc2ccc(CF)nc2c1 7.7912183 0.3684210526315789</t>
  </si>
  <si>
    <t>CN(C)Cc1cccc(C2CCC2(C)C)n1 7.791215 0.3829787234042553</t>
  </si>
  <si>
    <t>Cc1ccc(CN(C)C2CCC(N(C)Cc3ccccn3)CC2N(Cc2ccccn2)Cc2ncccc2F)nc1 7.7912145 0.4745762711864407</t>
  </si>
  <si>
    <t>Cc1ccc(N)c(-c2ccncc2CN2CCN(C)CCN(C)CC2)c1 7.791213 0.4489795918367347</t>
  </si>
  <si>
    <t>Cc1ccc(CN(C)CCN)c(C)n1 7.791211 0.42105263157894735</t>
  </si>
  <si>
    <t>Cc1cccc(N(C)CCN(Cc2ccccc2)CC(C)(C)C)c1 7.7912045 0.3958333333333333</t>
  </si>
  <si>
    <t>Cc1cc(N)cc(CN(C)CC2=CC=NCC2)n1 7.79119 0.30612244897959184</t>
  </si>
  <si>
    <t>CCNCc1cccc(-c2cccc(-c3ccc4c(c3)OCCOCCOCCOCCOCCO4)n2)n1 7.79119 0.35384615384615387</t>
  </si>
  <si>
    <t>CNC1C(N(C)Cc2cc(C)ccn2)CCCC1N(Cc1cc(C)ccn1)Cc1nc(C)c(C)c(C)c1C 7.7911882 0.36666666666666664</t>
  </si>
  <si>
    <t>CN(Cc1ccc(N(C)C)nc1)Cc1cccc(-c2cccc3c2OCCOCCOCCOCCOCCO3)n1 7.7911882 0.36065573770491804</t>
  </si>
  <si>
    <t>CCNC1C(N(C)Cc2ccccn2)CCCC1N(Cc1nc(C)c(C)cc1C)Cc1nc(C)c(C)c(C)c1C 7.791181 0.45161290322580644</t>
  </si>
  <si>
    <t>Cc1nc(CN(C)C2CCCCC2N(Cc2ccccn2)Cc2cccc(C3CC(C)(C)C3)n2)c(C)c(C)c1C 7.791179 0.48333333333333334</t>
  </si>
  <si>
    <t>Cc1cncc(C)c1CN(C)CCN(C)C(C)C 7.791174 0.35</t>
  </si>
  <si>
    <t>CC(C)C1=CC(N(C)Cc2ccccn2)C=CN1 7.7911725 0.4583333333333333</t>
  </si>
  <si>
    <t>CC1=CC(C)(C)C(N(C)Cc2ccccn2)CC12C=CNC(C(C)C)=C2 7.791172 0.38333333333333336</t>
  </si>
  <si>
    <t>CC1=CC(c2cc(CN(C)C3CCC(N(C)Cc4ccccn4)CC3N(Cc3ccccn3)Cc3nc(C)c(C)cc3C)ccn2)C(C)C(C)C1 7.791167 0.35526315789473684</t>
  </si>
  <si>
    <t>CC(C)C(c1ccccn1)N(C)CCN(Cc1ccccn1)C(C)(N)N(CCN(C)C)Cc1ccccn1 7.7911663 0.46938775510204084</t>
  </si>
  <si>
    <t>CN(Cc1cccc(-c2ccc3c(c2)OCCOCCOCCOCCOCCO3)n1)Cc1cccc(N(C)C)n1 7.791157 0.375</t>
  </si>
  <si>
    <t>CC(C)(c1ccccn1)c1cccc(CNCNCF)n1 7.7911563 0.3953488372093023</t>
  </si>
  <si>
    <t>CCNC1CC(N(Cc2ncccc2C)Cc2nc(C)c(C)c(C)c2C)CCC1N(C)Cc1ncccc1C 7.7911544 0.2878787878787879</t>
  </si>
  <si>
    <t>CN1CCN(C)CCN(CCN(C)c2cccc3ncc(CF)cc23)CC1 7.7911425 0.3157894736842105</t>
  </si>
  <si>
    <t>CC1C=CC(Cl)C(C)(c2cc(NCNCc3ccccn3)ccn2)C1(C)C 7.791127 0.37735849056603776</t>
  </si>
  <si>
    <t>CN(Cc1cccc(-c2ccc3c(c2)OCCOCCOCCOCCOCCO3)n1)Cc1ncccc1N(C)C 7.7911263 0.4</t>
  </si>
  <si>
    <t>CC1=CCC2(C(C)C1C)C(c1ncccc1CN(Cc1ccccn1)Cc1ccccn1)C(c1ncccc1CN(Cc1ccccn1)C1CCCCC1)C=CC21CC(C)C(C)C=C1C 7.791108 0.27380952380952384</t>
  </si>
  <si>
    <t>CNCc1cc(CN(Cc2cc(C)ccn2)C2CCC(N(C)Cc3ncccc3-c3cccc(-c4ccc5c(c4)OCCOCCOCCOCCOCCO5)n3)CC2)ccn1 7.7911077 0.2736842105263158</t>
  </si>
  <si>
    <t>Cc1cncc(CN(C)C2CC(N(C)Cc3ccccn3)CC(N(Cc3ccccn3)Cc3ccccn3)C2)c1 7.791101 0.4423076923076923</t>
  </si>
  <si>
    <t>CC1=CCC(C(C)(C)N(C)Cc2ccccn2)C(C)=C1C 7.791099 0.42857142857142855</t>
  </si>
  <si>
    <t>CN(CCCN(C)Cc1cccc(-c2ccc3c(c2)OCCOCCOCCOCCOCCO3)n1)Cc1ccc2ncccc2c1 7.791094 0.34328358208955223</t>
  </si>
  <si>
    <t>CNCc1ccc2c(n1)CCC2 7.7910905 0.29411764705882354</t>
  </si>
  <si>
    <t>Cc1ccc(N(C)C2CCCCC2N(C)Cc2ccon2)c(C)c1C 7.791079 0.4230769230769231</t>
  </si>
  <si>
    <t>CN(Cc1cc(-c2ccc3c(c2)OCCOCCOCCOCCOCCO3)ccn1)C1CCC(N(C)c2ccc3cccnc3c2)CC1 7.7910657 0.35064935064935066</t>
  </si>
  <si>
    <t>Cc1cnc(CN(C)C2CCCC(N(C)Cc3c(C)ncc(C)c3C)C2)c(C)c1C 7.791055 0.32075471698113206</t>
  </si>
  <si>
    <t>c1cc(CN(Cc2cccc(-c3ccc4c(c3)OCCOCCOCCOCCOCCO4)n2)Cc2ccc3ccccc3n2)nc(-c2ccc3c(c2)OCCOCCOCCOCCOCCO3)c1 7.791051 0.48936170212765956</t>
  </si>
  <si>
    <t>CNC1CCCC(N(Cc2nc(C)c(C)cc2C)Cc2nc(C)c(C)cc2C)C1 7.7910395 0.23636363636363636</t>
  </si>
  <si>
    <t>CN(Cc1ccccn1)c1cc(-c2ccc(CN(Cc3ccccn3)Cc3ccc(-c4ccc5c(c4)OCCOCCOCCOCCOCCO5)cn3)cn2)cc2c1OCCOCCOCCOCCOCCO2 7.7910385 0.379746835443038</t>
  </si>
  <si>
    <t>Cc1cc(-c2ncccc2CN2CCN(C)CCN(C)CC2)ccc1N 7.7910333 0.42857142857142855</t>
  </si>
  <si>
    <t>CNCc1cccc(CN(Cc2cccc(C)n2)C2CCC(N(C)Cc3cc(C)c(C)c(C)n3)CC2)n1 7.791033 0.43859649122807015</t>
  </si>
  <si>
    <t>CNCc1cccc(CN(Cc2cccc(C)n2)C2CCC(N(C)Cc3nc(C)c(C)cc3C)CC2)n1 7.791032 0.42105263157894735</t>
  </si>
  <si>
    <t>CCN(Cc1ccccn1)c1ccccc1CN(C)Cc1cc(-c2ccc3c(c2)OCCOCCOCCOCCOCCO3)ccn1 7.791032 0.3466666666666667</t>
  </si>
  <si>
    <t>CN(C)c1cccc(-c2cccnc2CN(C)C2CCCC(N(C)Cc3cccc(-c4ccc5c(c4)OCCOCCOCCOCCOCCO5)n3)C2)c1 7.79103 0.32142857142857145</t>
  </si>
  <si>
    <t>CNC1CCCCC1N(Cc1nc(C)c(C)cc1C)Cc1nc(C)c(C)c(C)c1C 7.7910275 0.2807017543859649</t>
  </si>
  <si>
    <t>Cc1cnc(CN(C)C2CCCC(N(Cc3ccccn3)Cc3cccc(C(C)(C)C)n3)C2)cc1C 7.791027 0.4166666666666667</t>
  </si>
  <si>
    <t>CN(Cc1cc(N(C)C)ccn1)Cc1cccc(-c2cccc3c2OCCOCCOCCOCCOCCO3)n1 7.791027 0.4067796610169492</t>
  </si>
  <si>
    <t>Cc1cc(CN(C)C2CCCC(N(C)Cc3ncc(C)c(C)c3C)C2)nc(C)c1C 7.791022 0.34545454545454546</t>
  </si>
  <si>
    <t>CNC1CC(N(Cc2ccccn2)Cc2cccc(C3CC(C)(C)C3)n2)CCC1N(Cc1ccccn1)Cc1ncccc1C 7.7910156 0.30985915492957744</t>
  </si>
  <si>
    <t>CN(C1=CCC=C(CN(Cc2ccccn2)C(C)(N)N(Cc2ccccn2)c2cccc(F)c2)N1)c1cccc2c1OCCOCCOCCOCCOCCO2 7.79101 0.26436781609195403</t>
  </si>
  <si>
    <t>CC(C)N1CCN(C)CCN(C(C)c2cncc(-c3cncc(C(C)(C)C)c3)c2)CC1 7.791009 0.24561403508771928</t>
  </si>
  <si>
    <t>CN(Cc1ccccn1)C1C=CNC(C(C)(C)C)=C1 7.791 0.4583333333333333</t>
  </si>
  <si>
    <t>CCOC(C)c1cccc(CN(Cc2ccccn2)C2CCC(N(C)Cc3cc(C)c(C)c(C)n3)CC2)n1 7.7909794 0.36363636363636365</t>
  </si>
  <si>
    <t>CNCc1ccc(F)cn1 7.7909756 0.32432432432432434</t>
  </si>
  <si>
    <t>CC(C)N(C)C1=CNC(N(C)CN(C)C2C=CC=CN2)=CC1 7.7909756 0.19696969696969696</t>
  </si>
  <si>
    <t>Cc1nc(CN(C)C2CCC(N(Cc3ccccn3)Cc3ccccn3)CC2)c(C)c(C)c1C 7.7909713 0.46</t>
  </si>
  <si>
    <t>CN(Cc1cccc(-c2cccc3c2OCCOCCOCCOCCOCCO3)n1)C1CCC(N(C)c2ccc3nc(CF)ccc3c2)CC1 7.7909684 0.2948717948717949</t>
  </si>
  <si>
    <t>CC(C)N(C)CCN(C)CC1=CNC=C(N(C)Cc2ccccn2)C1 7.790964 0.4230769230769231</t>
  </si>
  <si>
    <t>Cc1cncc(CN(C)CCN(C)Cc2cccnc2)c1 7.7909636 0.38095238095238093</t>
  </si>
  <si>
    <t>CN(Cc1ncccc1-c1ccc2c(c1)OCCOCCOCCOCCOCCO2)C1CCCCC1N(C)c1cccc2ncccc12 7.7909555 0.36231884057971014</t>
  </si>
  <si>
    <t>CC(C)NCNCc1ncccc1C(C)(C)C 7.7909536 0.2727272727272727</t>
  </si>
  <si>
    <t>CN1CCN(Cc2ccc(-c3ccc4c(c3)OCCOCCOCCOCCOCCO4)cn2)CCN(Cc2cccc(-c3cccc(N=Cc4ccccn4)c3)n2)CC1 7.79095 0.4146341463414634</t>
  </si>
  <si>
    <t>CC(C)c1cccc(C2CCC2(C)C)n1 7.7909403 0.26666666666666666</t>
  </si>
  <si>
    <t>CC(N)C(C)CN(Cc1ccccn1)Cc1ncccc1N(C)C(C)C 7.79094 0.4791666666666667</t>
  </si>
  <si>
    <t>Cc1cnccc1CN(C)C1CCCC(N(Cc2ccccn2)Cc2ncc(C)c(C)c2C)C1 7.79094 0.4</t>
  </si>
  <si>
    <t>Cc1ccc2c(c1-c1ncccc1CN(C)C1CCCCC1N(C)c1ccc3cccnc3c1)OCCOCCOCCOCCOCCO2 7.79093 0.32432432432432434</t>
  </si>
  <si>
    <t>Cc1cnc(CN(C)C2CCC(N(Cc3ccccn3)Cc3cccc(C(C)C)n3)CC2)c(C)c1 7.7909284 0.3709677419354839</t>
  </si>
  <si>
    <t>CCCN(C)CCN(C)Cc1nc(C)ccc1C 7.7909226 0.4473684210526316</t>
  </si>
  <si>
    <t>CC1=NC(C(C)C)CO1 7.7909203 0.14634146341463414</t>
  </si>
  <si>
    <t>CC1=CC(N(C)Cc2cc(C(C)(C)C)ccn2)C(C)CC1C 7.790917 0.30357142857142855</t>
  </si>
  <si>
    <t>CN(Cc1cc(-c2ccc3c(c2)OCCOCCOCCOCCOCCO3)ccn1)c1cc(CN(Cc2ccccn2)Cc2cc(-c3ccc4c(c3)OCCOCCOCCOCCOCCO4)ccn2)ccn1 7.790905 0.36363636363636365</t>
  </si>
  <si>
    <t>CCCN(Cc1ccccn1)c1cc2ncccc2c(C2CC3OCCOCCOCCOCCOCCOC32)c1N(Cc1ccccn1)Cc1ccccn1 7.790904 0.2898550724637681</t>
  </si>
  <si>
    <t>CNCc1ccc(C)c(CN(Cc2ccccn2)C2CCC(N(C)Cc3nc(C)c(C)c(C)c3C)CC2)n1 7.790898 0.359375</t>
  </si>
  <si>
    <t>CCNCN(Cc1ccccn1)Cc1ncccc1N 7.7908897 0.475</t>
  </si>
  <si>
    <t>CN(CC1=CC(N(C)C2C=CC=CN2)C=CN1)Cc1cccnn1 7.790888 0.4230769230769231</t>
  </si>
  <si>
    <t>CN(CC1=CCC=C(N(C)C(c2ccccn2)c2ccccn2)N1)c1ccc2c(c1)OCCOCCOCCOCCOCCO2 7.790887 0.28169014084507044</t>
  </si>
  <si>
    <t>Cc1cnc(CN(C)C2CCC(N(Cc3ccnc(C4CC(C)(C)C4)c3)Cc3ccccn3)CC2)c(C)c1 7.7908816 0.3382352941176471</t>
  </si>
  <si>
    <t>Cc1cnc(CN(C)CCN(C)C(C)C)c(C)c1 7.7908754 0.4146341463414634</t>
  </si>
  <si>
    <t>CN(Cc1cccc(-c2ccc3c(c2)OCCOCCOCCOCCOCCO3)n1)Cc1cccnc1N(C)C 7.7908735 0.4</t>
  </si>
  <si>
    <t>CN(Cc1cc(-c2ccc3c(c2)OCCOCCOCCOCCOCCO3)ccn1)C1CCC(N(C)c2ccc3ncccc3c2)CC1 7.790866 0.35526315789473684</t>
  </si>
  <si>
    <t>Cc1ccnc2ccc(N(C)CCCN3CCN(C)CCN(C)CC3)cc12 7.790862 0.37735849056603776</t>
  </si>
  <si>
    <t>C=Nc1cccc(-c2ncccc2CN2CCN(C)CCN(C)CC2)c1 7.790853 0.42</t>
  </si>
  <si>
    <t>CN(Cc1ccc(N(C)C)nc1)Cc1ncccc1-c1cccc2c1OCCOCCOCCOCCOCCO2 7.7908387 0.25757575757575757</t>
  </si>
  <si>
    <t>CN(Cc1cccc(-c2ccc3c(c2)OCCOCCOCCOCCOCCO3)n1)C1CCC(N(C)c2ccc3ncc(CF)cc3c2)CC1 7.7908316 0.32142857142857145</t>
  </si>
  <si>
    <t>CNCc1cc(CN(C)C2C=CC=CN2)ccn1 7.7908225 0.35714285714285715</t>
  </si>
  <si>
    <t>CNC1CC(N(C)Cc2ccccn2)CC(N(Cc2ccccn2)Cc2cc(C)c(C)c(C)n2)C1 7.7908216 0.39655172413793105</t>
  </si>
  <si>
    <t>CC(C)[Si](c1ccc(CN2CCN(C)CCN(Cc3cccc([Si](C(C)C)(C(C)C)C(C)C)n3)CC2)nc1)(C(C)C)C(C)C 7.7908196 0.4897959183673469</t>
  </si>
  <si>
    <t>CNCc1cc(CN(Cc2cccc(C)n2)C2CCC(N(C)Cc3cc(C)c(C)c(C)n3)CC2)ccn1 7.790815 0.390625</t>
  </si>
  <si>
    <t>CCNC1CC(N(C)Cc2cc(C)ccn2)CC(N(Cc2cc(C)ccn2)Cc2nc(C)ccc2C)C1 7.790801 0.2727272727272727</t>
  </si>
  <si>
    <t>CN(Cc1ccc(-c2cccc3c2OCCOCCOCCOCCOCCO3)cn1)C1CCC(N(C)c2ccc3ncc(CF)cc3c2)CC1 7.790797 0.2988505747126437</t>
  </si>
  <si>
    <t>CN(Cc1cccc(-c2ccc3c(c2)OCCOCCOCCOCCOCCO3)n1)C1=CC=C(NCc2ccccn2)CN1 7.7907944 0.36</t>
  </si>
  <si>
    <t>Cc1cc(C)c(CN(C)C2CC(N(C)Cc3ccccn3)CC(N(C)Cc3ccccn3)C2)nc1C 7.790793 0.4791666666666667</t>
  </si>
  <si>
    <t>CN(CC1=CCC=C(N(C)Cc2ccccn2)N1)Cc1ncccc1-c1ccc2c(c1)OCCOCCOCCOCCOCCO2 7.790783 0.3142857142857143</t>
  </si>
  <si>
    <t>CC1CC(C)C(C)(C)C=C1N(C)Cc1ccccn1 7.790781 0.44680851063829785</t>
  </si>
  <si>
    <t>CN(Cc1cccc(-c2ccc3c(c2)OCCOCCOCCOCCOCCO3)n1)C1CCC(N(C)c2ccc3nc(CF)ccc3c2)CC1 7.7907662 0.32098765432098764</t>
  </si>
  <si>
    <t>CN(Cc1ccc(-c2ccc3c(c2)OCCOCCOCCOCCOCCO3)cn1)Cc1cccc(N(C)C)n1 7.790763 0.47619047619047616</t>
  </si>
  <si>
    <t>CNCc1cc(CN(Cc2cc(C)ccn2)C2CCCC(N(C)Cc3cc(C)c(C)c(C)n3)C2)ccn1 7.7907586 0.2753623188405797</t>
  </si>
  <si>
    <t>Cc1ccc(C)c(CN(Cc2ccccn2)Cc2cc(-c3ccc4c(c3)OCCOCCOCCOCCOCCO4)ccn2)c1C 7.7907476 0.37735849056603776</t>
  </si>
  <si>
    <t>Cc1ccnc(CN(C)C2C=CNC(CN(Cc3ccccn3)C(C)C(C)C)=C2)c1 7.790744 0.3728813559322034</t>
  </si>
  <si>
    <t>CC1=NCCC(CN(C)Cc2cc(C)cc(C)n2)=C1 7.7907248 0.3829787234042553</t>
  </si>
  <si>
    <t>CN(Cc1ccc(-c2ccc3c(c2)OCCOCCOCCOCCOCCO3)cn1)Cc1ncccc1N(C)C 7.7907176 0.46153846153846156</t>
  </si>
  <si>
    <t>Cc1ccnc(CN(C)CCN)c1C 7.7907104 0.34146341463414637</t>
  </si>
  <si>
    <t>Cc1ccc(-c2ncccc2CN2CCN(C)CCN(C)CC2)cc1N 7.7906995 0.42857142857142855</t>
  </si>
  <si>
    <t>CN1CCN(Cc2cccc(-c3ccc4c(c3)OCCOCCOCCOCCOCCO4)n2)CCN(Cc2cccnc2-c2cccc(N=Cc3ccccn3)c2)CC1 7.790696 0.34210526315789475</t>
  </si>
  <si>
    <t>CN1CCN(Cc2cncc(-c3cccc(N=Cc4ccccn4)c3)c2)CCN(Cc2cc(-c3ccc4c(c3)OCCOCCOCCOCCOCCO4)ccn2)CC1 7.790693 0.3466666666666667</t>
  </si>
  <si>
    <t>CN(Cc1cc(N(C)C)ccn1)Cc1ncccc1-c1cccc2c1OCCOCCOCCOCCOCCO2 7.790677 0.296875</t>
  </si>
  <si>
    <t>CC1=CC2C=CC=NC2(C)CC1N(C)Cc1ncccc1C(C)(C)C 7.790677 0.24242424242424243</t>
  </si>
  <si>
    <t>Cc1ccccc1N(C)Cc1ncccc1-c1ccc2c(c1)OCCOCCOCCOCCOCCO2 7.7906675 0.32857142857142857</t>
  </si>
  <si>
    <t>CN(C)Cc1cccnc1CN(Cc1ccccn1)C(C)(N)C1CC(C)(C)C1 7.7906666 0.3620689655172414</t>
  </si>
  <si>
    <t>CNCc1cc(C)c(CN(Cc2ccccn2)C2CCC(N(C)Cc3ccon3)CC2)c(C)n1 7.7906613 0.36363636363636365</t>
  </si>
  <si>
    <t>CN(Cc1ccc(N(C)C)cn1)Cc1ncccc1-c1cccc2c1OCCOCCOCCOCCOCCO2 7.7906604 0.30158730158730157</t>
  </si>
  <si>
    <t>CNC1CCCC(N(Cc2ccccn2)Cc2cc(C)c(C)cn2)C1N(Cc1ccccn1)Cc1cc(C)ccn1 7.7906423 0.4067796610169492</t>
  </si>
  <si>
    <t>CNCc1nc(CN(Cc2ccccn2)C2CCC(N(C)Cc3ccon3)CC2)c(C)c(C)c1C 7.790641 0.38095238095238093</t>
  </si>
  <si>
    <t>Cc1cc(C)c(C2=NC(C)(C)CO2)nc1CN1CCN(C)CCN(C)CC1 7.7906337 0.36538461538461536</t>
  </si>
  <si>
    <t>CN(Cc1cc(-c2ccc3c(c2)OCCOCCOCCOCCOCCO3)ccn1)C1CCC(N(C)c2ccc3cc(CF)cnc3c2)CC1 7.7906113 0.35</t>
  </si>
  <si>
    <t>CC(c1cccc(C2CCC2(C)C)n1)C(C)N(Cc1ccccn1)Cc1ccccn1 7.790611 0.45098039215686275</t>
  </si>
  <si>
    <t>Cc1ccnc2cccc(N(C)CCCN3CCN(C)CCN(C)CC3)c12 7.7906036 0.3584905660377358</t>
  </si>
  <si>
    <t>Cc1ccc(CN(CC2=CC(N(C)Cc3ccccn3)C=CN2)C2(C)CCC2)nc1 7.790599 0.3968253968253968</t>
  </si>
  <si>
    <t>CNCc1ccc(CN(Cc2cccc(C)n2)C2CCC(N(C)Cc3cc(C)c(C)c(C)n3)CC2)cn1 7.7905984 0.38461538461538464</t>
  </si>
  <si>
    <t>CCN(Cc1ccccn1)Cc1cccc(N(C)C2CCCC(N(C)Cc3cccc(C)n3)C2)n1 7.790598 0.45614035087719296</t>
  </si>
  <si>
    <t>CNC1CCC(N(Cc2ncc(C)c(C)c2C)Cc2nc(C)c(C)c(C)c2C)CC1 7.790597 0.23728813559322035</t>
  </si>
  <si>
    <t>CN(Cc1cccc(C2=CCC=CN2)n1)Cc1cccc(-c2cccc3c2OCCOCCOCCOCCOCCO3)n1 7.7905884 0.328125</t>
  </si>
  <si>
    <t>CN(CC1=CC(N(C)Cc2ccccn2)C=CN1)C1C=CNC(C(C)(C)C)=C1 7.790585 0.41509433962264153</t>
  </si>
  <si>
    <t>CC(C)(C)C1=CC(NCc2ccccn2)C=CN1 7.7905817 0.38636363636363635</t>
  </si>
  <si>
    <t>CN1CCN(C)CCN(C(C)(C)c2cccnc2CN(C)C2CCC(N(C)c3ccc4nccc(CF)c4c3)CC2)CC1 7.7905807 0.24050632911392406</t>
  </si>
  <si>
    <t>CN(Cc1cccc(-c2ccc3c(c2)OCCOCCOCCOCCOCCO3)n1)C1CCC(N(C)c2ccc3ccc(CF)nc3c2)CC1 7.79058 0.325</t>
  </si>
  <si>
    <t>CN(Cc1ccccn1)Cc1cccnc1CNCF 7.7905784 0.46808510638297873</t>
  </si>
  <si>
    <t>CN(C)CC(C)(C)C 7.790576 0.24242424242424243</t>
  </si>
  <si>
    <t>CN(Cc1cccc(-c2ccc3c(c2)OCCOCCOCCOCCOCCO3)n1)C1CCCCC1N(C)c1cccc2nc(CF)ccc12 7.790575 0.410958904109589</t>
  </si>
  <si>
    <t>CCNCc1ccc(C(C)(C)C)cn1 7.79056 0.3157894736842105</t>
  </si>
  <si>
    <t>CN(Cc1cccc(-c2ccc3c(c2)OCCOCCOCCOCCOCCO3)n1)C1CCC(N(C)c2cccc3ccc(CF)nc23)CC1 7.7905564 0.4492753623188406</t>
  </si>
  <si>
    <t>CC(C)(C)c1cccc(C2CCC2(C)C)n1 7.790545 0.26666666666666666</t>
  </si>
  <si>
    <t>CC(C)C1(C)N=COC1c1ncccc1CN(Cc1ccccn1)Cc1cccc(-c2ccc3c(c2)OCCOCCOCCOCCOCCO3)n1 7.7905426 0.3875</t>
  </si>
  <si>
    <t>CNC1CC(N(Cc2ccccn2)Cc2nc(C)c(C)c(C)c2C)CCC1N(C)Cc1ncccc1C 7.7905407 0.38461538461538464</t>
  </si>
  <si>
    <t>CCOC(C)NCc1cc(C(C)NCc2ccccn2)ccn1 7.7905393 0.3695652173913043</t>
  </si>
  <si>
    <t>CC(C)C1=CC2(C=CN1)CC(C)C(N(C)Cc1ccc(-c3ccc4c(c3)OCCOCCOCCOCCOCCO4)cn1)c1ncccc12 7.7905326 0.3563218390804598</t>
  </si>
  <si>
    <t>CNCc1ccc(CN(Cc2cc(C)ccn2)C2CCCC(N(C)Cc3cc(C)c(C)c(C)n3)C2)cn1 7.7905316 0.30985915492957744</t>
  </si>
  <si>
    <t>CN(Cc1cccc(N(C)C)n1)Cc1ncccc1-c1ccc2c(c1)OCCOCCOCCOCCOCCO2 7.790531 0.3333333333333333</t>
  </si>
  <si>
    <t>CN(Cc1ccc(-c2ccc3c(c2)OCCOCCOCCOCCOCCO3)cn1)C1CCC(N(C)c2ccc3nc(CF)ccc3c2)CC1 7.7905273 0.4383561643835616</t>
  </si>
  <si>
    <t>Cc1ccnc(CN(C)C2CCC(N(Cc3ccccn3)Cc3cccc(CN(C)C)n3)CC2)c1C 7.7905254 0.41818181818181815</t>
  </si>
  <si>
    <t>Cc1ccncc1CN(C)CCN(C)Cc1ccccn1 7.790522 0.46511627906976744</t>
  </si>
  <si>
    <t>Cc1c(N)cccc1-c1ccc(CN2CCN(C)CCN(C)CC2)cn1 7.79052 0.4</t>
  </si>
  <si>
    <t>CNCc1cc(CN(Cc2cccc(F)n2)C2CCC(N(C)Cc3nc(C)c(C)c(C)c3C)CC2)ccn1 7.790515 0.28169014084507044</t>
  </si>
  <si>
    <t>CN(Cc1cc(-c2ccc3c(c2)OCCOCCOCCOCCOCCO3)ccn1)C1CCC(N(C)c2ccc3nc(CF)ccc3c2)CC1 7.790512 0.358974358974359</t>
  </si>
  <si>
    <t>CC(C)N(C)CC1=CCC(N(C)CC(C)(C)C)=CN1 7.7905073 0.20754716981132076</t>
  </si>
  <si>
    <t>CNC1C(N(C)Cc2cc(C)c(C)c(C)n2)CCCC1N(C)Cc1cc(C)c(C)c(C)n1 7.7904973 0.40816326530612246</t>
  </si>
  <si>
    <t>CN1CCN(Cc2cccc(-c3ccc4c(c3)OCCOCCOCCOCCOCCO4)n2)CCN(Cc2cnccc2-c2cccc(N=Cc3ccccn3)c2)CC1 7.790488 0.3291139240506329</t>
  </si>
  <si>
    <t>CCCNCCN(C)Cc1ncc(C)c(C)c1C 7.790488 0.3409090909090909</t>
  </si>
  <si>
    <t>CN1CCN(C)CCN(CCN(C)c2cccc3nc(CF)ccc23)CC1 7.7904844 0.37735849056603776</t>
  </si>
  <si>
    <t>Cc1cc(CN(C)C2CCC(N(Cc3ccccn3)Cc3nc(C)cc(C)c3C)CC2)ccn1 7.790483 0.38333333333333336</t>
  </si>
  <si>
    <t>CC1(C)CC(c2cccc(CN(Cc3cccc(-c4ccc5c(c4)OCCOCCOCCOCCOCCO5)n3)Cc3cccc(C(C)(C)C)n3)n2)C1 7.7904797 0.32051282051282054</t>
  </si>
  <si>
    <t>CC1=C(N(C)Cc2ccccn2)CC(C)(C)C(C)C1C 7.7904744 0.4375</t>
  </si>
  <si>
    <t>Cc1nc(CN(C)C2CCC(N(Cc3ccccn3)Cc3cccnc3F)CC2)c(C)c(C)c1C 7.7904725 0.3898305084745763</t>
  </si>
  <si>
    <t>Cc1cnc(CN(C)C2CC(N(C)Cc3ncccc3C)CC(N(C(C)C)C(C)C)C2)c(C)c1 7.790467 0.288135593220339</t>
  </si>
  <si>
    <t>Cc1ccc(CN(C)C2CCC(N(C)Cc3cccc(C4=CCC=CN4)n3)CC2)nc1 7.790458 0.43859649122807015</t>
  </si>
  <si>
    <t>Cc1cc(C)c(C)c(CN(C)C2CCCC(N(C)Cc3cc(C)c(C)c(C)n3)C2)n1 7.790457 0.3333333333333333</t>
  </si>
  <si>
    <t>CC1C=CCC(c2ncccc2CN(C)Cc2cccc(N)n2)C1C 7.790454 0.35</t>
  </si>
  <si>
    <t>CC(N)c1ccccn1 7.7904525 0.4117647058823529</t>
  </si>
  <si>
    <t>CNCc1cccc(CN(Cc2cccc(C)n2)C2CCCC(N(C)Cc3cc(C)c(C)c(C)n3)C2)n1 7.790444 0.4406779661016949</t>
  </si>
  <si>
    <t>CN(Cc1ncccc1-c1ccc2c(c1)OCCOCCOCCOCCOCCO2)C1CCC(N(C)c2ccc3cccnc3c2)CC1 7.7904425 0.31645569620253167</t>
  </si>
  <si>
    <t>CN(Cc1cccnn1)C1C=CC=CN1 7.790438 0.4878048780487805</t>
  </si>
  <si>
    <t>Cc1nc(CN(C)C2CCC(N(Cc3ccccn3)Cc3ccc(F)cn3)CC2)c(C)c(C)c1C 7.7904277 0.3898305084745763</t>
  </si>
  <si>
    <t>CN(Cc1cc(-c2ccc3c(c2)OCCOCCOCCOCCOCCO3)ccn1)Cc1cccc(N(C)C)n1 7.790427 0.36764705882352944</t>
  </si>
  <si>
    <t>Cc1ccnc(CN(C)C2C=CNC(CN(C)C(C)(C)C)=C2)c1 7.7904253 0.29508196721311475</t>
  </si>
  <si>
    <t>Cc1cccnc1CN(C)C(C)(C)C 7.790422 0.32558139534883723</t>
  </si>
  <si>
    <t>CC1=CCC(C)C=C1CN(C)Cc1ccccn1 7.790421 0.4583333333333333</t>
  </si>
  <si>
    <t>CNCc1nccc2c1CCC2 7.7904196 0.22916666666666666</t>
  </si>
  <si>
    <t>CNCc1cc(CN(Cc2ccccn2)C2CCC(N(C)Cc3ncccc3C)CC2N(C)Cc2ncccc2C)ccn1 7.790414 0.390625</t>
  </si>
  <si>
    <t>Cc1ccc(CN(C)C2CCC(N(C)Cc3ccccn3)C(N(Cc3ccccn3)Cc3ncccc3C)C2)nc1 7.790405 0.49122807017543857</t>
  </si>
  <si>
    <t>CC(C)c1cccc(CN(Cc2ccc(-c3ccc4c(c3)OCCOCCOCCOCCOCCO4)cn2)Cc2cc(C(C)(C)C)ccn2)n1 7.790398 0.4</t>
  </si>
  <si>
    <t>Cc1ccccc1N(C)C1CC(N(C)Cc2ccccn2)CC(N(Cc2ccccn2)C(C)C)C1 7.790395 0.4339622641509434</t>
  </si>
  <si>
    <t>CN(Cc1ncccc1-c1ccc2c(c1)OCCOCCOCCOCCOCCO2)Cc1ncccc1N(C)C 7.7903886 0.3382352941176471</t>
  </si>
  <si>
    <t>CN(Cc1cc(-c2ccc3c(c2)OCCOCCOCCOCCOCCO3)ccn1)Cc1ncccc1N(C)C 7.7903748 0.36231884057971014</t>
  </si>
  <si>
    <t>CNCc1cccc(N(C)C2CCCC(N(C)Cc3nc(C)c(C)cc3C)C2)n1 7.7903748 0.32786885245901637</t>
  </si>
  <si>
    <t>CC(C)C(C)(c1cccnc1)N(C)Cc1ccccn1 7.7903748 0.43478260869565216</t>
  </si>
  <si>
    <t>CN(Cc1cccc(C2CC(C)(C)C2)n1)C1CCCC(N(Cc2cccc(F)n2)Cc2cccc(C(C)(C)C)n2)C1 7.79037 0.31343283582089554</t>
  </si>
  <si>
    <t>Cc1cnc(CN(C)C2CCC(N(Cc3ccc(C4CC(C)(C)C4)nc3)Cc3ccccn3)CC2)c(C)c1C 7.790369 0.3484848484848485</t>
  </si>
  <si>
    <t>Cc1cc(C)c(CN(C)C2CC(N(C)Cc3ccccn3)CC(N(Cc3ccccn3)C(C)C)C2)nc1C 7.7903643 0.41818181818181815</t>
  </si>
  <si>
    <t>Cc1c(N)cccc1-c1ncccc1CN1CCN(C)CCN(C)CC1 7.7903576 0.4375</t>
  </si>
  <si>
    <t>Cc1ccc(CN(Cc2ncc(C)c(C)c2C)C2CCCC(N(C)Cc3ccccn3)C2)nc1 7.790353 0.45614035087719296</t>
  </si>
  <si>
    <t>CN(CCF)C1CCC(N(C)c2ccc3cccnc3c2)CC1 7.790344 0.32142857142857145</t>
  </si>
  <si>
    <t>Cc1cncc(CN(C)C2CCC(N(Cc3ccccn3)Cc3nc(C)c(C)c(C)c3C)CC2)c1 7.7903414 0.3709677419354839</t>
  </si>
  <si>
    <t>CN1CCN(Cc2cc(-c3cccc(N=Cc4ccccn4)c3)ccn2)CCN(Cc2ncccc2-c2cccc3c2OCCOCCOCCOCCOCCO3)CC1 7.7903404 0.35135135135135137</t>
  </si>
  <si>
    <t>Cc1cc(CN(C)C2CCCC(N(Cc3ccccn3)Cc3cccc(F)n3)C2)nc(C)c1C 7.790339 0.4166666666666667</t>
  </si>
  <si>
    <t>Cc1cncc(CN(C)Cc2ccc(N(C)C(C)(C)c3cccnc3CN3CCN(C)CCN(C)CC3)cn2)c1 7.7903385 0.3382352941176471</t>
  </si>
  <si>
    <t>Cc1ccc(CN(C)C2CCC(N(C)Cc3ccccn3)CC2N(Cc2ccccn2)Cc2cccc(C)n2)nc1 7.790337 0.5</t>
  </si>
  <si>
    <t>CN(Cc1cc(-c2cccc3c2OCCOCCOCCOCCOCCO3)ccn1)Cc1cc(N(C)C)ccn1 7.790336 0.2903225806451613</t>
  </si>
  <si>
    <t>CNC1CC(N(C)Cc2ccccn2)CC(N(Cc2ccccn2)Cc2nc(C)c(C)cc2C)C1 7.7903347 0.39655172413793105</t>
  </si>
  <si>
    <t>COC(C)c1nc(CN2CCN(C)CCN(Cc3cc(C(C)(C)c4ccccn4)ccn3)CC2)c(C)c(C)c1C 7.790331 0.4126984126984127</t>
  </si>
  <si>
    <t>CCOC(=O)c1cc(CN2CCN(C)CCN(Cc3cccc(C(C)(C)c4ccccn4)n3)CC2)ccn1 7.790323 0.4925373134328358</t>
  </si>
  <si>
    <t>CN(Cc1ccc(-c2ccc3c(c2)OCCOCCOCCOCCOCCO3)cn1)C1CCC(N(C)c2ccc3ccc(CF)nc3c2)CC1 7.7903156 0.4444444444444444</t>
  </si>
  <si>
    <t>C=Nc1cccc(-c2ccncc2CN2CCN(C)CCN(C)CC2)c1 7.790315 0.3584905660377358</t>
  </si>
  <si>
    <t>Cc1ccc(N)cc1-c1cncc(CN2CCN(C)CCN(C)CC2)c1 7.79031 0.36538461538461536</t>
  </si>
  <si>
    <t>Cc1cccnc1CN(C)c1ccc(-c2cccc(CN(Cc3ccccn3)Cc3cccc(-c4ccc5c(c4)OCCOCCOCCOCCOCCO5)n3)n2)c2c1OCCOCCOCCOCCOCCO2 7.79031 0.3974358974358974</t>
  </si>
  <si>
    <t>Cc1ccc(CN(C)C2CCCC(N(Cc3ccccn3)Cc3ncc(C)c(C)c3C)C2)nc1 7.7903075 0.45614035087719296</t>
  </si>
  <si>
    <t>CN(Cc1cc(-c2ccc3c(c2)OCCOCCOCCOCCOCCO3)ccn1)C1CCC(N(C)c2ccc3ccc(CF)nc3c2)CC1 7.7903037 0.36363636363636365</t>
  </si>
  <si>
    <t>Cc1cncc(CN(C)C2CCCC(N(Cc3ccccn3)Cc3nc(C)c(C)cc3C)C2)c1 7.790302 0.375</t>
  </si>
  <si>
    <t>CN(Cc1cc(-c2ccc3c(c2)OCCOCCOCCOCCOCCO3)ccn1)C1CCC(N(C)c2cccc3ccc(CF)nc23)CC1 7.790301 0.44285714285714284</t>
  </si>
  <si>
    <t>CN(CCF)CCN(Cc1ncccc1F)C1CCCCC1N(C)c1ccc2nc(CF)ccc2c1 7.7903 0.4057971014492754</t>
  </si>
  <si>
    <t>Cc1cc(C)c(CN(Cc2ccccn2)C2CCC(N(C)Cc3cccnc3C)CC2)nc1C 7.7902966 0.39655172413793105</t>
  </si>
  <si>
    <t>c1ccc(N(Cc2ccccn2)Cc2cc(-c3ccc4c(c3)OCCOCCOCCOCCOCCO4)ccn2)cc1 7.790285 0.40625</t>
  </si>
  <si>
    <t>Cc1nc(C)c(CN(C)Cc2cccc(-c3cccc4c3OCCOCCOCCOCCOCCO4)n2)c(C)c1C 7.7902794 0.3442622950819672</t>
  </si>
  <si>
    <t>Cc1ccc(CN(Cc2cccc(C(C)(C)c3ccc(CN(Cc4cccc(C)n4)C4CCC(N(C)Cc5cccc(-c6ccc7c(c6)OCCOCCOCCOCCOCCO7)n5)CC4)nc3)n2)C(C)C)nc1 7.7902784 0.29896907216494845</t>
  </si>
  <si>
    <t>CN(Cc1ccc(-c2cccc3c2OCCOCCOCCOCCOCCO3)cn1)C1CCC(N(C)c2cccc3cc(CF)cnc23)CC1 7.790277 0.3125</t>
  </si>
  <si>
    <t>Cc1cncc(CN(C)C2=CNC(CN(C)Cc3cccc(-c4ccc5c(c4)OCCOCCOCCOCCOCCO5)n3)=CC2)c1C 7.790273 0.2727272727272727</t>
  </si>
  <si>
    <t>CC1=C(C)CC(C)(C)C(N(C)Cc2ncccc2C)C1 7.790266 0.3018867924528302</t>
  </si>
  <si>
    <t>Cc1cc(CN(C)C2CCCC(N(Cc3ccccn3)Cc3ncc(C)c(C)c3C)C2)ccn1 7.790264 0.39344262295081966</t>
  </si>
  <si>
    <t>Cc1nc(CN(C)C2CCCC(N(Cc3ccccn3)Cc3ccccn3)C2)c(C)c(C)c1C 7.7902536 0.46153846153846156</t>
  </si>
  <si>
    <t>Cc1ccc(CN(C)C2CCC(N(Cc3ccccn3)Cc3nc(C)c(C)cc3C)CC2)nc1 7.7902403 0.43103448275862066</t>
  </si>
  <si>
    <t>CN(Cc1ccc(-c2ccc3c(c2)OCCOCCOCCOCCOCCO3)cn1)C1CCCCC1N(C)c1ccc2c(CF)ccnc2c1 7.7902303 0.42857142857142855</t>
  </si>
  <si>
    <t>CN(Cc1ncccc1-c1ccc2c(c1)OCCOCCOCCOCCOCCO2)C1CCC(N(C)c2ccc3ncccc3c2)CC1 7.790227 0.32051282051282054</t>
  </si>
  <si>
    <t>CC(C)C1N=COC1c1cc(CN(Cc2ccccn2)Cc2cccc(-c3ccc4c(c3)OCCOCCOCCOCCOCCO4)n2)ccn1 7.7902226 0.4025974025974026</t>
  </si>
  <si>
    <t>CNCc1ncccc1CN(Cc1ncccc1C)C1CCC(N(C)Cc2nc(C)c(C)c(C)c2C)CC1 7.7902217 0.25757575757575757</t>
  </si>
  <si>
    <t>c1ccc2nc(CN(Cc3cc(-c4ccc5c(c4)OCCOCCOCCOCCOCCO5)ccn3)Cc3cc(-c4ccc5c(c4)OCCOCCOCCOCCOCCO5)ccn3)ccc2c1 7.7902217 0.5</t>
  </si>
  <si>
    <t>CN1CCN(C)CCN(CCN(C)c2cccc3nccc(CF)c23)CC1 7.790219 0.3333333333333333</t>
  </si>
  <si>
    <t>CNC1CC(N(C)Cc2cc(C)ccn2)CCC1N(Cc1cc(C)ccn1)Cc1cc(C)c(C)c(C)n1 7.790217 0.2923076923076923</t>
  </si>
  <si>
    <t>Cc1cccnc1CN(C)CCN(Cc1cccnc1)C(C)C 7.79021 0.40816326530612246</t>
  </si>
  <si>
    <t>CN(Cc1cccc(-c2ccc3c(c2)OCCOCCOCCOCCOCCO3)n1)C1CCCCC1N(C)c1ccc2nccc(CF)c2c1 7.7902083 0.35135135135135137</t>
  </si>
  <si>
    <t>Cc1ccc(CN(Cc2ccccn2)C2CCCC(N(C)Cc3ncc(C)c(C)c3C)C2)nc1 7.790206 0.43859649122807015</t>
  </si>
  <si>
    <t>CC1=C(C)C2(C=CNC(C(C)C)=C2)C(N(C)Cc2ccccn2)CC1 7.7902017 0.4067796610169492</t>
  </si>
  <si>
    <t>Cc1cc(C)c(CN(C)C2CCCC(N(C)Cc3ncc(C)c(C)c3C)C2)nc1C 7.790201 0.3090909090909091</t>
  </si>
  <si>
    <t>Cc1ncccc1CN(C)CCN(C)Cc1cccnc1 7.790199 0.4883720930232558</t>
  </si>
  <si>
    <t>CC(C)N(CCN(C)Cc1ccc2ncccc2c1)Cc1cccc(-c2ccc3c(c2)OCCOCCOCCOCCOCCO3)n1 7.790191 0.3382352941176471</t>
  </si>
  <si>
    <t>CN1CCN(Cc2cccc(-c3ccc4c(c3)OCCOCCOCCOCCOCCO4)n2)CCN(Cc2cccnc2-c2ccc(N=Cc3ccccn3)cc2)CC1 7.7901897 0.35135135135135137</t>
  </si>
  <si>
    <t>Cc1cncc(CN(C)C2CCCC(N(Cc3ccccn3)Cc3cc(C)c(C)c(C)n3)C2)c1 7.790186 0.38095238095238093</t>
  </si>
  <si>
    <t>Cc1ccc(CN(Cc2ccccn2)C2CCC(N(C)Cc3cc(C)c(C)c(C)n3)CC2)nc1 7.790177 0.43859649122807015</t>
  </si>
  <si>
    <t>CN(Cc1ccc(N(C)C)cn1)Cc1cccc(-c2ccc3c(c2)OCCOCCOCCOCCOCCO3)n1 7.790162 0.40298507462686567</t>
  </si>
  <si>
    <t>CCN(Cc1cc(-c2ccc3c(c2)OCCOCCOCCOCCOCCO3)ccn1)C1CCCCC1N(C)c1ccc2ccc(CN(C)C)nc2c1 7.7901587 0.3625</t>
  </si>
  <si>
    <t>Cc1cccc(CN(Cc2ccccn2)C2CCCC(N(Cc3ccccn3)Cc3cccc(F)n3)C2)n1 7.79013 0.4423076923076923</t>
  </si>
  <si>
    <t>CN(Cc1ncccc1-c1ccc2c(c1)OCCOCCOCCOCCOCCO2)C1CCC(N(C)c2ccc3nc(CF)ccc3c2)CC1 7.7901235 0.3253012048192771</t>
  </si>
  <si>
    <t>CN(Cc1ncccc1-c1ccc2c(c1)OCCOCCOCCOCCOCCO2)C1CCC(N(C)c2ccc3ncc(CF)cc3c2)CC1 7.7901187 0.3023255813953488</t>
  </si>
  <si>
    <t>Cc1ccc(N)cc1-c1ccncc1CN1CCN(C)CCN(C)CC1 7.790118 0.39215686274509803</t>
  </si>
  <si>
    <t>Cc1ccc(CN(Cc2ccccn2)C2CCC(N(C)Cc3nc(C)c(C)cc3C)CC2)nc1 7.790116 0.41379310344827586</t>
  </si>
  <si>
    <t>Cc1cc(C)c(CN(Cc2cccnn2)C2CCC(N(C)Cc3cccnc3C)CC2)nc1C 7.790106 0.3448275862068966</t>
  </si>
  <si>
    <t>CCCN(Cc1ccccn1)c1c(-c2ncccc2CN(Cc2ccccn2)Cc2ccccn2)ccc2c1OCCOCCOCCOCCOCCO2 7.7901034 0.3508771929824561</t>
  </si>
  <si>
    <t>CN(Cc1cc(-c2ccc3c(c2)OCCOCCOCCOCCOCCO3)ccn1)C1CCCCC1N(C)c1ccc2c(CF)ccnc2c1 7.7901 0.35</t>
  </si>
  <si>
    <t>Cc1cc(CN(C)CCN(Cc2ncccc2C)C2CCC(N(C)Cc3nc(C)c(C)c(C)c3C)CC2)c(C)nc1C 7.7901 0.3230769230769231</t>
  </si>
  <si>
    <t>CNCc1cccc(CN(Cc2cccc(C)n2)C2CCC(N(C)Cc3nc(C)c(C)c(C)c3C)CC2)n1 7.790099 0.42105263157894735</t>
  </si>
  <si>
    <t>CN(Cc1cc(N(C)C)ccn1)Cc1cccc(-c2ccc3c(c2)OCCOCCOCCOCCOCCO3)n1 7.7900987 0.41379310344827586</t>
  </si>
  <si>
    <t>Cc1cccc(CN(Cc2ccc(CN(C)C)nc2)Cc2cccc(-c3ccc4c(c3)OCCOCCOCCOCCOCCO4)n2)n1 7.7900953 0.3611111111111111</t>
  </si>
  <si>
    <t>CNCc1cc(C)ccn1 7.790092 0.4594594594594595</t>
  </si>
  <si>
    <t>Cc1ccnc2cc(N(C)CCCN3CCN(C)CCN(C)CC3)ccc12 7.79008 0.37735849056603776</t>
  </si>
  <si>
    <t>Cc1cnc(CN(C)C2CCC(N(Cc3ccccn3)Cc3cccc(C(C)(C)C)n3)CC2)c(C)c1 7.7900763 0.3709677419354839</t>
  </si>
  <si>
    <t>CC1=CC(N=Cc2ccccn2)CCC1c1ccc(CN(C)C(C)C)cn1 7.7900743 0.2835820895522388</t>
  </si>
  <si>
    <t>CC(C)C1(C)N=COC1c1ncccc1CN(Cc1ccccn1)Cc1cc(-c2ccc3c(c2)OCCOCCOCCOCCOCCO3)ccn1 7.790073 0.3023255813953488</t>
  </si>
  <si>
    <t>Cc1ccc(CN(C)C2CC(N(C)Cc3ccccn3)CC(N(Cc3ccccn3)Cc3ccccn3)C2)cn1 7.7900696 0.46</t>
  </si>
  <si>
    <t>CN(Cc1cc(-c2ccc3c(c2)OCCOCCOCCOCCOCCO3)ccn1)C1CCCCC1N(C)c1ccc2nccc(CF)c2c1 7.790057 0.345679012345679</t>
  </si>
  <si>
    <t>Cc1ccc(CN(C)C2CCC(N(Cc3ccccn3)Cc3cc(C)c(C)c(C)n3)CC2)nc1 7.7900543 0.43859649122807015</t>
  </si>
  <si>
    <t>CN(CCF)CCN(Cc1ccccn1)C(C)(N)N(Cc1ccccn1)C(C)(C)c1ccccn1 7.79005 0.38181818181818183</t>
  </si>
  <si>
    <t>C=Cc1ccc(CN(Cc2ccccn2)C2CCC(N(C)Cc3ncccc3C)CC2)nc1 7.790042 0.4</t>
  </si>
  <si>
    <t>CN1CCN(Cc2ccc(-c3ccc4c(c3)OCCOCCOCCOCCOCCO4)cn2)CCN(Cc2cc(-c3ccccc3N=Cc3ccccn3)ccn2)CC1 7.790042 0.425</t>
  </si>
  <si>
    <t>Cc1ccnc(CN(Cc2cc(C(C)(C)C)ccn2)C2CCC(N(C)Cc3ncccc3C)CC2)c1 7.790032 0.3064516129032258</t>
  </si>
  <si>
    <t>CNCc1cc(CN(Cc2cc(C)ccn2)C2CCC(N(C)Cc3nc(C)c(C)c(C)c3C)CC2)ccn1 7.7900314 0.2878787878787879</t>
  </si>
  <si>
    <t>CN1CCN(Cc2cc(-c3ccc4c(c3)OCCOCCOCCOCCOCCO4)ccn2)CCN(Cc2cccnc2-c2cccc(N=Cc3ccccn3)c2)CC1 7.790029 0.35135135135135137</t>
  </si>
  <si>
    <t>CN1CCN(Cc2ccc(-c3ccc4c(c3)OCCOCCOCCOCCOCCO4)cn2)CCN(Cc2cnccc2-c2cccc(N=Cc3ccccn3)c2)CC1 7.7900143 0.4</t>
  </si>
  <si>
    <t>Cc1cc(C)c(C)c(CN(C)C2CCC(N(Cc3ccccn3)Cc3cccnc3C3CC(C)(C)C3)CC2)n1 7.7900095 0.3382352941176471</t>
  </si>
  <si>
    <t>Cc1cccnc1CN(C)C1CCCC(N(Cc2ccccn2)Cc2ncc(C)c(C)c2C)C1 7.7900033 0.42105263157894735</t>
  </si>
  <si>
    <t>C=Nc1cccc(-c2cccnc2CN2CCN(C)CCN(C)CC2)c1 7.7900033 0.42</t>
  </si>
  <si>
    <t>Cc1cnc(CN(C(C)C)C2CC(N(C)Cc3ccnc(C)c3)CC(N(C)Cc3ccccn3)C2)c(C)c1 7.789986 0.36507936507936506</t>
  </si>
  <si>
    <t>CC(C)c1cccnn1 7.7899737 0.36363636363636365</t>
  </si>
  <si>
    <t>CN(Cc1cccc(Cl)n1)C1CCCCC1N(C)Cc1cccc(C2=CCC=CN2)n1 7.789968 0.48148148148148145</t>
  </si>
  <si>
    <t>CC1C=CC2(C)C=CC=NC2(N(C)Cc2ccccn2)C1 7.7899666 0.38181818181818183</t>
  </si>
  <si>
    <t>CN(CCF)CCN(Cc1ncccc1F)C1CCCCC1N(C)c1ccc2ccc(CF)nc2c1 7.789964 0.4057971014492754</t>
  </si>
  <si>
    <t>Cc1cnc(CN(C)C2CCC(N(Cc3ccccn3)Cc3ncccc3C(C)(C)C)CC2)c(C)c1 7.7899623 0.3709677419354839</t>
  </si>
  <si>
    <t>CC1=CC(C)CC(N(C)CC2=C(N(C)Cc3ccccn3)CC=CN2)C1C 7.789958 0.4</t>
  </si>
  <si>
    <t>Cc1cc(-c2cc(CN3CCN(C)CCN(C)CC3)ccn2)ccc1N 7.789954 0.4489795918367347</t>
  </si>
  <si>
    <t>Cc1cncc(CN(Cc2ccccn2)C2CCC(N(C)Cc3nc(C)c(C)c(C)c3C)CC2)c1 7.7899523 0.3709677419354839</t>
  </si>
  <si>
    <t>CCNCCN(Cc1ccccn1)C(C)(N)N(CCN(C)Cc1nc(C)c(C)c(C)c1C)Cc1ccccn1 7.789946 0.3387096774193548</t>
  </si>
  <si>
    <t>Cc1cnc(CN(C)CN(C)Cc2cc(CN(C)C3CCCC(N(C)Cc4cc(C)c(C)c(C)n4)C3)ccn2)cc1C 7.7899423 0.3333333333333333</t>
  </si>
  <si>
    <t>CN(Cc1ncccc1-c1ccc2c(c1)OCCOCCOCCOCCOCCO2)C1CCCCC1N(C)c1cccc2nc(CF)ccc12 7.7899423 0.38961038961038963</t>
  </si>
  <si>
    <t>CN1CCN(c2ccccc2F)CCN(C2CCCC(N(C)c3cccc4nc(CF)ccc34)C2)CC1 7.789937 0.33783783783783783</t>
  </si>
  <si>
    <t>CCNCC1=NC(c2ccccn2)CO1 7.789934 0.3111111111111111</t>
  </si>
  <si>
    <t>CN(Cc1ccc(-c2ccc3c(c2)OCCOCCOCCOCCOCCO3)cn1)C1CCCC(N(C)c2ccc3ncccc3c2)C1 7.789933 0.44594594594594594</t>
  </si>
  <si>
    <t>CN(Cc1ncccc1-c1ccc2c(c1)OCCOCCOCCOCCOCCO2)C1CCC(N(C)c2ccc3ccc(CF)nc3c2)CC1 7.7899218 0.32926829268292684</t>
  </si>
  <si>
    <t>Cc1cccc(CN(Cc2ccccn2)C2CCCC(N(Cc3ccccn3)Cc3ccc(F)cn3)C2)n1 7.789921 0.41818181818181815</t>
  </si>
  <si>
    <t>CN(CCN(C)c1ccc2nc(CF)ccc2c1)c1ccc2c(c1)OCCOCCOCCOCCOCCO2 7.7899184 0.3181818181818182</t>
  </si>
  <si>
    <t>CC1C=CCC(C)C1c1cccc(CN(C)C2CCC(N(C)Cc3ccc4ncccc4c3)CC2)n1 7.789918 0.29850746268656714</t>
  </si>
  <si>
    <t>Cc1ccnc(CN(Cc2ncccc2C)C2CCC(N(C)Cc3ncc(C)cc3C)CC2)c1 7.7899175 0.3114754098360656</t>
  </si>
  <si>
    <t>Cc1cnc(CN(C)Cc2cccc(-c3ccc4c(c3)OCCOCCOCCOCCOCCO4)n2)c(-c2cccc(-c3ccc4c(c3)OCCOCCOCCOCCOCCO4)n2)c1 7.7899175 0.34375</t>
  </si>
  <si>
    <t>Cc1ccc(N)cc1-c1ccc(CN2CCN(C)CCN(C)CC2)cn1 7.7899146 0.39215686274509803</t>
  </si>
  <si>
    <t>Cc1cncc(CN(C)C2CCCC(N(Cc3ccccn3)c3cccc(F)c3)C2)c1 7.7899146 0.38095238095238093</t>
  </si>
  <si>
    <t>Cc1ccc(CN(Cc2ccon2)C2CCCC(N(C)Cc3ccccn3)C2)nc1C 7.78991 0.423728813559322</t>
  </si>
  <si>
    <t>Cc1cncc(CN(CCN(C)C(C)(c2cccnc2)C(C)C)Cc2ccccn2)c1 7.7899046 0.41379310344827586</t>
  </si>
  <si>
    <t>CN(Cc1ccc(C2=CCC=CN2)cn1)Cc1cccc(-c2cccc3c2OCCOCCOCCOCCOCCO3)n1 7.789903 0.32857142857142857</t>
  </si>
  <si>
    <t>CNC1CC(N(Cc2ccccn2)Cc2ncccc2C)CCC1N(Cc1ccccn1)Cc1ncccc1C 7.7899003 0.39285714285714285</t>
  </si>
  <si>
    <t>Cc1cncc(CN(C)CCN(C)Cc2ccccn2)c1 7.789898 0.4807692307692308</t>
  </si>
  <si>
    <t>CC(C)C(C)C(C)c1cc(CN(Cc2cc(C(C)(C)C)ccn2)CC(C)(C)C)ccn1 7.789887 0.3888888888888889</t>
  </si>
  <si>
    <t>CN(CC1=CC(N(C)C2C=CC=CN2)C=CN1)Cc1ccccn1 7.7898865 0.45614035087719296</t>
  </si>
  <si>
    <t>CC(C)C(C)c1cccnc1CN(Cc1cccc(-c2ccc3c(c2)OCCOCCOCCOCCOCCO3)n1)C1CCC(N(C)c2ccc3nc(CF)ccc3c2)CC1 7.789884 0.28125</t>
  </si>
  <si>
    <t>Cc1nc(CN(Cc2nc(C)c(C)c(C)c2C)C2CCCCC2N(CF)Cc2ccccn2)c(C)c(C)c1C 7.7898808 0.49019607843137253</t>
  </si>
  <si>
    <t>C=CCN(C)Cc1ncccc1C(C)(C)C 7.789878 0.3125</t>
  </si>
  <si>
    <t>Cc1nc(CN(C)C2CCC(N(Cc3ccccn3)Cc3cccc(F)n3)CC2)c(C)c(C)c1C 7.7898774 0.39655172413793105</t>
  </si>
  <si>
    <t>CC(C)C(C)(c1cccnc1)c1cccc(CN(Cc2ccccn2)Cc2cccc(-c3ccc4c(c3)OCCOCCOCCOCCOCCO4)n2)n1 7.7898765 0.40789473684210525</t>
  </si>
  <si>
    <t>CC(C)C1N=COC1c1ncccc1CN(Cc1ccccn1)Cc1cc(-c2ccc3c(c2)OCCOCCOCCOCCOCCO3)ccn1 7.789871 0.3132530120481928</t>
  </si>
  <si>
    <t>Cc1cccnc1CN(Cc1ccnc(C(C)C)c1)Cc1cc(-c2ccc3c(c2)OCCOCCOCCOCCOCCO3)ccn1 7.789868 0.31645569620253167</t>
  </si>
  <si>
    <t>CC1=CCC2(CC3(C=C(C)C(C)CC34C(c3ncccc3CN(Cc3ccccn3)Cc3ccccn3)C(C)C=CC4(C)C)CC=C2C)C2(CC=C(C)C3(CC=C(C)CC34CC=C(C)C3(CC=C(C)CC35CC=C(C)C3(CC=C(C)CC36CC=C(C)C(C)C6)C5)C4)C2)C1 7.7898645 0.25</t>
  </si>
  <si>
    <t>CC(N)C(C)C1=CCC(N(C)CC2=CCC=CN2)=CN1 7.789861 0.3508771929824561</t>
  </si>
  <si>
    <t>Cc1cccnc1CN(Cc1cccc(C(C)(C)C)n1)Cc1ncccc1-c1ccc2c(c1)OCCOCCOCCOCCOCCO2 7.789856 0.3037974683544304</t>
  </si>
  <si>
    <t>C=Cc1ccc(CN(Cc2ccccn2)C2CCCCC2N(Cc2ccccn2)Cc2cccnc2F)nc1 7.7898536 0.4528301886792453</t>
  </si>
  <si>
    <t>CNCc1cccc(CN(Cc2ccc(N)cn2)C2CCC(N(C)Cc3cc(C)c(C)c(C)n3)CC2)n1 7.7898493 0.3088235294117647</t>
  </si>
  <si>
    <t>CC(C)N1CCN(C)CCN(Cc2ccc(-c3cccc(N(C)C)c3)cn2)CC1 7.789845 0.46296296296296297</t>
  </si>
  <si>
    <t>CC(C)C(C)N(C)CC1=C(N(C)Cc2ccccn2)CC=CN1 7.7898426 0.4107142857142857</t>
  </si>
  <si>
    <t>CN(Cc1cc(-c2ccc3c(c2)OCCOCCOCCOCCOCCO3)ccn1)C1CCCCC1N(C)c1cccc2c(CF)ccnc12 7.7898397 0.37333333333333335</t>
  </si>
  <si>
    <t>Cc1ccc(CN(C)C2CCC(N(Cc3ccccn3)Cc3nc(C)c(C)c(C)c3C)CC2)nc1 7.789839 0.43859649122807015</t>
  </si>
  <si>
    <t>Cc1ccc(CN(C)Cc2cccnc2CN(C)Cc2cccc(-c3cc(N)c4c(c3)OCCOCCOCCOCCOCCO4)n2)nc1 7.789834 0.3472222222222222</t>
  </si>
  <si>
    <t>Cc1nc(CN(C)Cc2cccnc2-c2ccc3c(c2)OCCOCCOCCOCCOCCO3)c(C)c(C)c1C 7.789826 0.3108108108108108</t>
  </si>
  <si>
    <t>CCNC1CCC(N(Cc2nc(C)c(C)cc2C)Cc2nc(C)c(C)cc2C)CC1N(C)Cc1ccccn1 7.7898197 0.43333333333333335</t>
  </si>
  <si>
    <t>Cc1ccc(CN(C)C2CCCC(N(C)Cc3cccc(C4=CCC=CN4)n3)C2)nc1 7.789817 0.4406779661016949</t>
  </si>
  <si>
    <t>CN(Cc1cccc(C2=CCC=CN2)n1)Cc1cccc(-c2ccc3c(c2)OCCOCCOCCOCCOCCO3)n1 7.789816 0.328125</t>
  </si>
  <si>
    <t>CN1CCN(c2ccccc2F)CCN(C2CCC(N(C)c3cccc4c(CF)ccnc34)CC2)CC1 7.789814 0.2777777777777778</t>
  </si>
  <si>
    <t>CCN=Cc1ccccn1 7.789813 0.47368421052631576</t>
  </si>
  <si>
    <t>CC(C)C1=CC(N(C)CC2=CC(N(C)Cc3ccccn3)C=CN2)C=CN1 7.7898107 0.41509433962264153</t>
  </si>
  <si>
    <t>CN(CCNc1ccc(F)cc1)Cc1ccccn1 7.789795 0.47619047619047616</t>
  </si>
  <si>
    <t>Cc1ncccc1CN(C)C1CCC(N(Cc2ccccn2)Cc2nc(C)c(C)c(C)c2C)CC1 7.7897916 0.4107142857142857</t>
  </si>
  <si>
    <t>CC1=C(N(C)Cc2ccccn2)C(C)C(C)CC1 7.7897887 0.4782608695652174</t>
  </si>
  <si>
    <t>CN1CCN(C)CCN(CN(C)c2ccc3cccnc3c2)CC1 7.7897806 0.3958333333333333</t>
  </si>
  <si>
    <t>Cc1cnccc1CN(C)C1CCCC(N(Cc2ccccn2)Cc2cc(C)c(C)c(C)n2)C1 7.789777 0.3870967741935484</t>
  </si>
  <si>
    <t>Cc1nc(CN(C)C2CCCC(N(Cc3ccccn3)Cc3cccnc3F)C2)c(C)c(C)c1C 7.7897754 0.39344262295081966</t>
  </si>
  <si>
    <t>CN(Cc1ccccn1)Cc1cccc(CN(Cc2cccc(CNCc3ccccn3)n2)Cc2cccc(-c3ccc4c(c3)OCCOCCOCCOCCOCCO4)n2)n1 7.7897696 0.4626865671641791</t>
  </si>
  <si>
    <t>Cc1cccc(CN(C)C2CCCC(N(Cc3ccccn3)Cc3ncc(C)c(C)c3C)C2)n1 7.7897696 0.4482758620689655</t>
  </si>
  <si>
    <t>CC1C=CC(C)C(N(C)Cc2cc(C(C)(C)c3ccccn3)ccn2)C1C 7.789768 0.35714285714285715</t>
  </si>
  <si>
    <t>CN1CCN(C)CCN(CCN(C)c2ccc3nccc(CF)c3c2)CC1 7.7897606 0.3684210526315789</t>
  </si>
  <si>
    <t>C=Nc1ccc(-c2ccc(CN3CCN(C)CCN(C)CC3)cn2)cc1 7.789758 0.3673469387755102</t>
  </si>
  <si>
    <t>CC(C)N(Cc1cc(C(C)(C)C(C)C)ccn1)CC(C)(C)C 7.789757 0.4318181818181818</t>
  </si>
  <si>
    <t>Cc1cncc(CN(C)C2CCCC(N(Cc3ccccn3)Cc3nc(C)c(C)c(C)c3C)C2)c1 7.789742 0.375</t>
  </si>
  <si>
    <t>CN1CCN(C)CCN(Cc2ccc(-c3ccc(N)cc3F)nc2)CC1 7.7897396 0.3584905660377358</t>
  </si>
  <si>
    <t>Cc1cccc(CN(Cc2ncccc2C)C2CCC(N(C)Cc3nc(C)ccc3C)CC2)n1 7.789739 0.43636363636363634</t>
  </si>
  <si>
    <t>Cc1ccc(CN(Cc2ccccn2)Cc2cccc(CN(C)C3CCC(N(C)Cc4ncccc4C)CC3)n2)nc1 7.789735 0.43859649122807015</t>
  </si>
  <si>
    <t>CNCc1cc(CN(Cc2ncccc2C)C2CCC(N(C)Cc3nc(C)c(C)c(C)c3C)CC2)ccn1 7.7897267 0.2753623188405797</t>
  </si>
  <si>
    <t>CN(c1ccc2nc3c(cc2c1)CCC3)C1CCC(N(Cc2ccccn2)C2(C)CCCCC2)CC1 7.7897253 0.34328358208955223</t>
  </si>
  <si>
    <t>CN1CCN(C)CCN(C(C)(C)c2cncc(CN(C)C3CCCC(N(C)c4ccc5c(CF)ccnc5c4)C3)c2)CC1 7.7897086 0.23170731707317074</t>
  </si>
  <si>
    <t>CC1=CC(C)C2(C=CC(c3ncc(C)cc3CN(Cc3ccccn3)C3CCCCC3)C(c3ccc(CN(Cc4ccccn4)Cc4ccccn4)cn3)C23CC=C(C)C(C)C3C)CC1C 7.7897034 0.24731182795698925</t>
  </si>
  <si>
    <t>Cc1cccc(CN(C)C2CCC(N(Cc3ccccn3)Cc3nc(C)c(C)cc3C)CC2)n1 7.789701 0.43859649122807015</t>
  </si>
  <si>
    <t>CNCc1ccc(C)cn1 7.7896843 0.5</t>
  </si>
  <si>
    <t>CN(CCF)CCN(Cc1ccccn1)c1ccc(F)cc1 7.7896824 0.43478260869565216</t>
  </si>
  <si>
    <t>CN(Cc1cccc(-c2ccc3c(c2)OCCOCCOCCOCCOCCO3)n1)C1CCCC(N(C)c2ccc3nc(CF)ccc3c2)C1 7.7896824 0.3253012048192771</t>
  </si>
  <si>
    <t>Cc1cc(C)c(CN(C)C2CCC(N(Cc3ccccn3)Cc3ncccc3C)CC2)nc1C 7.7896748 0.40350877192982454</t>
  </si>
  <si>
    <t>Cc1cccnc1CN(Cc1ccccn1)C1CCC(N(C)Cc2cc(C)c(C)c(C)n2)CC1 7.7896748 0.42105263157894735</t>
  </si>
  <si>
    <t>C1=CC(NCc2ccccn2)NC(N(Cc2ccccn2)Cc2cccc(-c3ccc4c(c3)OCCOCCOCCOCCOCCO4)n2)=C1 7.789674 0.34615384615384615</t>
  </si>
  <si>
    <t>CN(Cc1ccc(C2CC(C)(C)C2)cn1)C1CCC(N(C)Cc2cccc(C3=CCC=CN3)n2)CC1 7.789669 0.30985915492957744</t>
  </si>
  <si>
    <t>CN(Cc1ccc(-c2ccc3c(c2)OCCOCCOCCOCCOCCO3)cn1)C1CCCC(N(C)c2ccc3ncc(CF)cc3c2)C1 7.789666 0.4230769230769231</t>
  </si>
  <si>
    <t>c1ccc(N(Cc2ccccn2)Cc2ncccc2-c2ccc3c(c2)OCCOCCOCCOCCOCCO3)cc1 7.789661 0.36231884057971014</t>
  </si>
  <si>
    <t>Cc1cccc(CN(C)C2CCC(N(Cc3ccccn3)Cc3cccc(C(C)(c4cccnc4)C(C)N)n3)CC2)n1 7.7896576 0.36231884057971014</t>
  </si>
  <si>
    <t>Cc1ccc(CN(Cc2ccccn2)C2CCC(N(C)Cc3nc(C)c(C)c(C)c3C)CC2)nc1 7.789651 0.42105263157894735</t>
  </si>
  <si>
    <t>Cc1cccnc1CN(Cc1ccccn1)Cc1ccc(-c2cc3c(c(N(C)Cc4cccc(-c5ccc6c(c5)OCCOCCOCCOCCOCCO6)n4)c2)OCCOCCOCCOCCOCCO3)cn1 7.7896504 0.38271604938271603</t>
  </si>
  <si>
    <t>CN(Cc1ccc(-c2ccc3c(c2)OCCOCCOCCOCCOCCO3)cn1)Cc1cc(N(C)C)ccn1 7.7896504 0.4838709677419355</t>
  </si>
  <si>
    <t>CCNc1ccc(C)cn1 7.789645 0.37142857142857144</t>
  </si>
  <si>
    <t>Cc1cnc(CN(Cc2ccccn2)C2CCC(N(C)Cc3nc(C)ccc3C)CC2)c(C)c1 7.789644 0.38333333333333336</t>
  </si>
  <si>
    <t>CN1CCN(C)CCN(CCN(C)c2cccc3c(CF)ccnc23)CC1 7.7896357 0.39215686274509803</t>
  </si>
  <si>
    <t>Cc1cnc(CN(C)CCN(C)C(C)C(C)C)c(C)c1C 7.789631 0.37209302325581395</t>
  </si>
  <si>
    <t>COC(=O)C1CC(C(C)=O)C(C(=O)C(C)N)N(C)C1C(C)=O 7.7896285 0.2222222222222222</t>
  </si>
  <si>
    <t>Cc1cc(CN2CCN(C)CCN(C)CC2)cc2ncccc12 7.7896166 0.4772727272727273</t>
  </si>
  <si>
    <t>CC1=CC(C)CC(CN(C)Cc2ccccn2)=C1 7.78961 0.4583333333333333</t>
  </si>
  <si>
    <t>CN(C)Cc1cccnc1N(C)Cc1cncc(-c2cccc3c2OCCOCCOCCOCCOCCO3)c1 7.7896037 0.25</t>
  </si>
  <si>
    <t>Cc1cc(C)c(CN(C)C2CCCC(N(C)Cc3cc(C)c(C)c(C)n3)C2)nc1C 7.7896023 0.3090909090909091</t>
  </si>
  <si>
    <t>CNCc1cc(CN(Cc2cc(C)ccn2)C2CCCC(N(C)Cc3nc(C)c(C)c(C)c3C)C2)ccn1 7.789598 0.2753623188405797</t>
  </si>
  <si>
    <t>COC(=O)c1ncc(CN2CCN(C)CCN(Cc3cc(C(C)NCc4ccccn4)ccn3)CC2)c(C)c1C 7.7895975 0.4246575342465753</t>
  </si>
  <si>
    <t>CNCc1ccc(N(C)C2CCCC(N(C)Cc3nc(C)c(C)cc3C)C2)cn1 7.789583 0.3225806451612903</t>
  </si>
  <si>
    <t>CC1=C(CN(C)C)CC(C)CC1C 7.7895765 0.19148936170212766</t>
  </si>
  <si>
    <t>CN1CCN(Cc2cc(-c3ccc4c(c3)OCCOCCOCCOCCOCCO4)ccn2)CCN(Cc2ncccc2-c2cccc(N=Cc3ccccn3)c2)CC1 7.789576 0.35135135135135137</t>
  </si>
  <si>
    <t>CC1=CCC2(C(c3cc(CN(Cc4cc(-c5ccc6c(c5)OCCOCCOCCOCCOCCO6)ccn4)Cc4ccc5ccccc5n4)ccn3)C=CC(C)C2(C)C)C(C)C1C 7.789575 0.2988505747126437</t>
  </si>
  <si>
    <t>CC(C)(CN(Cc1ccccn1)c1ccc2ncccc2c1)c1ccc2c(c1)OCCOCCOCCOCCOCCO2 7.789565 0.328125</t>
  </si>
  <si>
    <t>CC(C)C1CCC1c1cc(CN(Cc2ccccn2)Cc2ccccn2)ccn1 7.7895603 0.45454545454545453</t>
  </si>
  <si>
    <t>Cc1cccnc1CN(C)CC1=CCC=C(N(C)Cc2cccc(-c3cccc4c3OCCOCCOCCOCCOCCO4)n2)N1 7.789559 0.30666666666666664</t>
  </si>
  <si>
    <t>Cc1cnccc1CN(Cc1ccccn1)C1CCCC(N(C)Cc2nc(C)c(C)cc2C)C1 7.789558 0.38095238095238093</t>
  </si>
  <si>
    <t>Cc1cncc(CN(C)C2CCCC(N(Cc3cc(C)ccn3)Cc3ncc(C)c(C)c3C)C2)c1 7.789553 0.29850746268656714</t>
  </si>
  <si>
    <t>CNC1CC(N(Cc2ccccn2)Cc2cccc(C)n2)CCC1N(Cc1ccccn1)Cc1cccc(C)n1 7.789545 0.41818181818181815</t>
  </si>
  <si>
    <t>CN(Cc1ccc(-c2ccc3c(c2)OCCOCCOCCOCCOCCO3)cn1)C1CCCC(N(C)c2ccc3nc(CF)ccc3c2)C1 7.7895446 0.44</t>
  </si>
  <si>
    <t>CN(Cc1cccc(C2=CCC=CN2)n1)C1CCC(N(C)Cc2cccc(C3CC(C)(C)C3)n2)CC1 7.7895446 0.31746031746031744</t>
  </si>
  <si>
    <t>CN1CCN(C)CCN(CCN(C)c2ccc3c(CF)ccnc3c2)CC1 7.789542 0.375</t>
  </si>
  <si>
    <t>CNC1CC(N(C)Cc2cc(C)ccn2)CCC1N(Cc1cc(C)ccn1)Cc1nc(C)c(C)c(C)c1C 7.7895346 0.2878787878787879</t>
  </si>
  <si>
    <t>CN(Cc1ncccc1-c1ccc2c(c1)OCCOCCOCCOCCOCCO2)C1CCCCC1N(C)c1ccc2c(CF)ccnc2c1 7.789534 0.30666666666666664</t>
  </si>
  <si>
    <t>Cc1cccc(CN(Cc2ccccn2)C2CCC(N(C)Cc3nc(C)c(C)cc3C)CC2)n1 7.7895327 0.42105263157894735</t>
  </si>
  <si>
    <t>Cc1cccc(CN(C)C2CCC(N(Cc3ccccn3)Cc3cc(C)c(C)c(C)n3)CC2)n1 7.7895136 0.44642857142857145</t>
  </si>
  <si>
    <t>CC1=CNC=CC1c1cccc(CN(Cc2ccccn2)C2CCCC(N(C)Cc3ccccn3)C2)n1 7.7895117 0.4098360655737705</t>
  </si>
  <si>
    <t>CCNc1cc(C)c(CN(Cc2ccccn2)C2CCC(N(C)Cc3nc(C)c(C)c(C)c3C)CC2)cn1 7.7895036 0.3382352941176471</t>
  </si>
  <si>
    <t>CCNCc1ccccc1CN(C)Cc1ccccn1 7.789492 0.5</t>
  </si>
  <si>
    <t>Cc1cc(CN(C)C2CCC(N(Cc3ccccn3)Cc3nc(C)c(C)c(C)c3C)CC2)ccn1 7.7894897 0.38333333333333336</t>
  </si>
  <si>
    <t>CN(Cc1cc(-c2ccc3c(c2)OCCOCCOCCOCCOCCO3)ccn1)C1CCCC(N(C)c2ccc3nc(CF)ccc3c2)C1 7.7894874 0.3625</t>
  </si>
  <si>
    <t>CN(Cc1ncccc1-c1ccc2c(c1)OCCOCCOCCOCCOCCO2)C1CCCCC1N(C)c1ccc2nccc(CF)c2c1 7.789484 0.3026315789473684</t>
  </si>
  <si>
    <t>CC(C)c1cc(CN(Cc2cc(-c3ccc4c(c3)OCCOCCOCCOCCOCCO4)ccn2)Cc2ncccc2C(C)(C)C)ccn1 7.7894807 0.3048780487804878</t>
  </si>
  <si>
    <t>CNCc1cccc(N(C)C2CCCC(N(Cc3ccc(C)nc3)Cc3ccccn3)C2)n1 7.789479 0.35384615384615387</t>
  </si>
  <si>
    <t>CCCN(Cc1ccccn1)c1c(-c2cc(CN(Cc3ccccn3)Cc3ccccn3)ccn2)ccc2c1OCCOCCOCCOCCOCCO2 7.7894735 0.3389830508474576</t>
  </si>
  <si>
    <t>CC(C)N(Cc1cccc(-c2ccc3c(c2)OCCOCCOCCOCCOCCO3)n1)C1CCC(N(C)c2ccc3nccc(CF)c3c2)CC1 7.7894673 0.29545454545454547</t>
  </si>
  <si>
    <t>C=Cc1ccc(CN(Cc2ccccn2)C2CCCC(N(C)Cc3cccc(C)n3)C2)nc1 7.789444 0.4406779661016949</t>
  </si>
  <si>
    <t>Cc1ccc(CN(C)C2CCCC(N(Cc3ccccn3)Cc3nc(C)c(C)cc3C)C2)nc1 7.7894425 0.43333333333333335</t>
  </si>
  <si>
    <t>Cc1ccc(CN(Cc2ccccn2)C2CCCC(N(C)Cc3cc(C)c(C)c(C)n3)C2)nc1 7.7894344 0.4406779661016949</t>
  </si>
  <si>
    <t>CC1C=CC(C)C(C)(c2ncccc2CN(Cc2ccccn2)Cc2ccccn2)C1(C)C 7.789429 0.47619047619047616</t>
  </si>
  <si>
    <t>Cc1ccc(CN(C)Cc2ccc(CN(C)C3CCC(N(C)Cc4nc(C)c(C)cc4C)CC3)cn2)nc1 7.789429 0.43636363636363634</t>
  </si>
  <si>
    <t>Cc1cc(C)c(C)c(CN(Cc2ccccn2)C2CCCC(N(C)Cc3ncccc3C)C2)n1 7.789423 0.4</t>
  </si>
  <si>
    <t>CNCC1C(N(C)Cc2nc(C)c(C)c(C)c2C)CCN1C(C)C 7.7894177 0.25</t>
  </si>
  <si>
    <t>Cc1cccnc1CN(Cc1cccc(F)n1)C1CCC(N(C)Cc2ncc(C)c(C)c2C)CC1 7.789415 0.32</t>
  </si>
  <si>
    <t>CC(N)C(C)N(C)CC1=CCC(N(C)Cc2ccccn2)=CN1 7.7894077 0.3898305084745763</t>
  </si>
  <si>
    <t>Cc1cncc(CN(Cc2ccccn2)C2CCCC(N(C)Cc3nc(C)c(C)c(C)c3C)C2)c1 7.7894053 0.375</t>
  </si>
  <si>
    <t>CNCC1=C(N(C)C(C)C)CC=CN1 7.7894015 0.1836734693877551</t>
  </si>
  <si>
    <t>CCN(Cc1cc(-c2ccc3c(c2)OCCOCCOCCOCCOCCO3)ccn1)C1CCC(N(C)c2ccc3nccc(CF)c3c2)CC1 7.78939 0.3253012048192771</t>
  </si>
  <si>
    <t>CNC1C=C(Cl)C=CN1 7.789383 0.14</t>
  </si>
  <si>
    <t>Cc1cnccc1CN(C)CCN(C)Cc1ccccn1 7.7893825 0.46511627906976744</t>
  </si>
  <si>
    <t>Cc1ccc(CN(C)C2CCC(N(Cc3cccc(F)n3)Cc3nc(C)c(C)cc3C)CC2)nc1 7.789358 0.4098360655737705</t>
  </si>
  <si>
    <t>Cc1ccc(CN(Cc2ccccn2)C2CCCC(N(C)Cc3nc(C)c(C)cc3C)C2)nc1 7.789355 0.4166666666666667</t>
  </si>
  <si>
    <t>CN(C)C1=CCC(CN(C)C(C)(C)C)=CN1 7.78933 0.18518518518518517</t>
  </si>
  <si>
    <t>C=Nc1ccc(-c2ncccc2CN2CCN(C)CCN(C)CC2)cc1 7.7893276 0.44680851063829785</t>
  </si>
  <si>
    <t>Cc1cc(CN(C)C2CCCCC2N(C)Cc2nc(C)c(C)c(C)c2C)nc(C)c1C 7.7893248 0.4583333333333333</t>
  </si>
  <si>
    <t>Cc1ccc(CN(C)C2CCCC(N(Cc3ccccn3)Cc3cc(C)c(C)c(C)n3)C2)nc1 7.7893248 0.4406779661016949</t>
  </si>
  <si>
    <t>CN(Cc1ccc(-c2ccc3c(c2)OCCOCCOCCOCCOCCO3)cn1)C1CCCC(N(C)c2cccc3ccc(CF)nc23)C1 7.7893205 0.4507042253521127</t>
  </si>
  <si>
    <t>CNCCN(Cc1ccccn1)Cc1ncccc1N 7.789307 0.5</t>
  </si>
  <si>
    <t>CCNCCN(Cc1ccccn1)Cc1ncc(C)c(C)c1C 7.7893004 0.46808510638297873</t>
  </si>
  <si>
    <t>Cc1cc(CN(C)C2CCCC(N(Cc3ccccn3)Cc3nc(C)c(C)cc3C)C2)ccn1 7.789292 0.3870967741935484</t>
  </si>
  <si>
    <t>CC1=CC(C)C(CN(C)CC2=C(N(C)Cc3cccc(C)n3)CC=CN2)CC1C 7.789291 0.35</t>
  </si>
  <si>
    <t>Cc1cc(CN(C)CCN)cnc1C 7.7892838 0.34146341463414637</t>
  </si>
  <si>
    <t>CC1=C(N(C)Cc2ccccn2)C(C)C(C)(C)CC1 7.7892723 0.4375</t>
  </si>
  <si>
    <t>Cc1cccnc1CN(C)CC1=CCC=C(N(C)Cc2cccc(-c3ccc4c(c3)OCCOCCOCCOCCOCCO4)n2)N1 7.789272 0.30666666666666664</t>
  </si>
  <si>
    <t>Cc1cnccc1CN(C)C1CCCC(N(Cc2ccccn2)Cc2nc(C)c(C)c(C)c2C)C1 7.7892685 0.38095238095238093</t>
  </si>
  <si>
    <t>Cc1ccc(-c2ccc(CN3CCN(C)CCN(C)CC3)cn2)c(N)c1 7.7892613 0.4489795918367347</t>
  </si>
  <si>
    <t>CN(Cc1cc(-c2ccc3c(c2)OCCOCCOCCOCCOCCO3)ccn1)C1CCCC(N(C)c2ccc3ccc(CF)nc3c2)C1 7.78926 0.3670886075949367</t>
  </si>
  <si>
    <t>Cc1nc(CN(C)C2CCCC(N(Cc3ccccn3)Cc3cccc(F)n3)C2)c(C)c(C)c1C 7.789252 0.4</t>
  </si>
  <si>
    <t>Cc1nc(CN(C)C2CCCCC2N(Cc2cccnc2)Cc2ccon2)c(C)c(C)c1C 7.7892427 0.359375</t>
  </si>
  <si>
    <t>CNCc1cccc(CN(C)C2CCCCC2N(C)Cc2ccc3ncccc3c2)n1 7.789241 0.48148148148148145</t>
  </si>
  <si>
    <t>CC(C)c1cc(CN(Cc2cc(-c3ccc4c(c3)OCCOCCOCCOCCOCCO4)ccn2)Cc2cc(C(C)(C)C)ccn2)ccn1 7.78924 0.3333333333333333</t>
  </si>
  <si>
    <t>Cc1cccnc1CN(CCN(C)CCF)C1CCCCC1N(C)c1ccc2nc(CF)ccc2c1 7.789239 0.4057971014492754</t>
  </si>
  <si>
    <t>Cc1cccc(CN(C)C2CCC(N(Cc3ccccn3)Cc3nc(C)c(C)c(C)c3C)CC2)n1 7.789222 0.44642857142857145</t>
  </si>
  <si>
    <t>Cc1ccc(CN(C)CCN(C)C)cn1 7.789221 0.43243243243243246</t>
  </si>
  <si>
    <t>Cc1ccnc(CN(Cc2cc(C(C)C(C)C)ccn2)CC(C)(C)C)c1 7.789213 0.44680851063829785</t>
  </si>
  <si>
    <t>CN(C)Cc1ccc2cc(N(C)C3CCCCC3N(C)Cc3cccc(-c4ccc5c(c4)OCCOCCOCCOCCOCCO5)n3)ccc2n1 7.7892084 0.38235294117647056</t>
  </si>
  <si>
    <t>Cc1cccnc1CN(C)C1CCC(N(Cc2ccccn2)Cc2nc(C)c(C)c(C)c2C)CC1 7.789206 0.40350877192982454</t>
  </si>
  <si>
    <t>CNCc1cccc(CN(Cc2cccc(N)n2)C2CCC(N(C)Cc3nc(C)c(C)c(C)c3C)CC2)n1 7.789203 0.31746031746031744</t>
  </si>
  <si>
    <t>CN(CCNCc1ncccc1C(C)(C)C)Cc1ccccn1 7.789202 0.4222222222222222</t>
  </si>
  <si>
    <t>CN(Cc1cc(-c2ccc3c(c2)OCCOCCOCCOCCOCCO3)ccn1)Cc1cc(N(C)C)ccn1 7.789191 0.3968253968253968</t>
  </si>
  <si>
    <t>CN(Cc1ncccc1-c1cccc2c1OCCOCCOCCOCCOCCO2)C1CCCC(N(C)c2cccc3ncccc23)C1 7.7891874 0.2777777777777778</t>
  </si>
  <si>
    <t>Cc1cccnc1CN(C)C1=CC=CC(NCCN(C)C(C)C)N1 7.789187 0.25806451612903225</t>
  </si>
  <si>
    <t>CNC1C(N(C)Cc2ccc(Cl)cn2)CCCC1N(Cc1ccc(Cl)cn1)Cc1cc(C)c(C)cn1 7.789184 0.46296296296296297</t>
  </si>
  <si>
    <t>CNC1C(N(Cc2ccccn2)Cc2ccccn2)CCCC1N(Cc1ccccn1)c1cccc(F)c1 7.7891808 0.43636363636363634</t>
  </si>
  <si>
    <t>Cc1cnc(CN(CCN(C)C(C)C)Cc2ncccc2C)cc1C 7.7891774 0.4</t>
  </si>
  <si>
    <t>Cc1cccc(N)c1-c1ncccc1CN1CCN(C)CCN(C)CC1 7.789176 0.44680851063829785</t>
  </si>
  <si>
    <t>CCN(C)Cc1cc(C(C)(C)C)ccn1 7.78917 0.32608695652173914</t>
  </si>
  <si>
    <t>Cc1ccc(CN(Cc2cc([SiH3])cc([SiH3])n2)C2CCCCC2N(C)Cc2ccc([SiH3])c([SiH3])n2)nc1C 7.789165 0.43103448275862066</t>
  </si>
  <si>
    <t>CC1=CC(C)=C(CN(C)Cc2ccccn2)CC1C(C)(C)C 7.789152 0.43137254901960786</t>
  </si>
  <si>
    <t>Cc1ccc(N(C)C2C=CC=CN2)c(N(C)C2CCCCC2)c1Cl 7.7891517 0.21875</t>
  </si>
  <si>
    <t>CN(CCF)CCN(Cc1ccccn1)C1CCCC(N(C)c2ccc3ccc(CF)nc3c2)C1 7.789151 0.375</t>
  </si>
  <si>
    <t>CNC(C)(C)c1cc(CN(Cc2ccccn2)C2CCC(N(C)Cc3nc(C)c(C)c(C)c3C)CC2)ccn1 7.7891436 0.3382352941176471</t>
  </si>
  <si>
    <t>CCOC(C)c1cccc(CNCc2cccc(-c3cccc(CN4CCN(C)CCN(C)CC4)n3)n2)n1 7.789138 0.4807692307692308</t>
  </si>
  <si>
    <t>CNC1C(N(C)Cc2ccc(Cl)cn2)CCCC1N(Cc1ccc(Cl)cn1)Cc1ccc(Cl)cn1 7.7891226 0.5</t>
  </si>
  <si>
    <t>Cc1cccnc1CN(C)C1CCC(N(Cc2ccccn2)Cc2cccc(C(C)(c3cccnc3)C(C)C)n2)CC1 7.78912 0.32857142857142857</t>
  </si>
  <si>
    <t>COC(=O)C1CN(C)C(C(=O)c2cc(CN3CCN(C)CCN(C)CC3)ccn2)C(c2ccccn2)C1c1ccccn1 7.789117 0.359375</t>
  </si>
  <si>
    <t>Cc1nc(CN(Cc2cccc(-c3ccc4c(c3)OCCOCCOCCOCCOCCO4)n2)C(C)(c2cccnc2)C(C)C)c(C)c(C)c1C 7.7891145 0.2727272727272727</t>
  </si>
  <si>
    <t>CCNC1CC(N(Cc2ccccn2)Cc2cccc(C)n2)CC(N(Cc2ccccn2)C(C)(C)c2ccccn2)C1 7.7891135 0.32857142857142857</t>
  </si>
  <si>
    <t>CN(C)Cc1cccnc1N(C)Cc1cccc(-c2cccc3c2OCCOCCOCCOCCOCCO3)n1 7.789112 0.3333333333333333</t>
  </si>
  <si>
    <t>CNCCN(Cc1ccccn1)C(C)(N)c1ccccn1 7.789111 0.44680851063829785</t>
  </si>
  <si>
    <t>Cc1ccc(C)c(CN(Cc2cccc(-c3ccc4c(c3)OCCOCCOCCOCCOCCO4)n2)Cc2cccc(C(C)C)n2)n1 7.7891083 0.3287671232876712</t>
  </si>
  <si>
    <t>Cc1ncccc1CN(C)C1CCCC(N(Cc2ccccn2)Cc2nc(C)c(C)c(C)c2C)C1 7.7891083 0.41379310344827586</t>
  </si>
  <si>
    <t>CC1=CCC(N(C)C2=CNC=CC2CN(C)C2C=CC=CN2)=CN1 7.7890973 0.2028985507246377</t>
  </si>
  <si>
    <t>CN(CCN(C)c1cccc2ncc(CF)cc12)c1cccc2c1OCCOCCOCCOCCOCCO2 7.789097 0.3050847457627119</t>
  </si>
  <si>
    <t>CN(Cc1ncccc1-c1ccc2c(c1)OCCOCCOCCOCCOCCO2)C1CCCC(N(C)c2ccc3nc(CF)ccc3c2)C1 7.7890964 0.32941176470588235</t>
  </si>
  <si>
    <t>CNCC1=CC(N(C)Cc2ccccn2)C=CN1 7.78909 0.44</t>
  </si>
  <si>
    <t>CN(Cc1ccccn1)C1=CC=CNC1N(Cc1ccccn1)Cc1cccc(-c2ccc3c(c2)OCCOCCOCCOCCOCCO3)n1 7.7890816 0.37333333333333335</t>
  </si>
  <si>
    <t>CNCc1nc(C)c(CN(Cc2ccccn2)C2CCC(N(C)Cc3ccon3)CC2)c(C)c1C 7.7890797 0.36363636363636365</t>
  </si>
  <si>
    <t>CNCc1ncccc1CN(C)C1C=CC=CN1 7.789077 0.3508771929824561</t>
  </si>
  <si>
    <t>Cc1ccc(CN(C)C2CCCC(N(Cc3ccccn3)Cc3nc(C)c(C)c(C)c3C)C2)nc1 7.7890735 0.4406779661016949</t>
  </si>
  <si>
    <t>CNC1CC(N(C)Cc2ccccn2)CC(N(Cc2ccccn2)Cc2nc(C)c(C)c(C)c2C)C1 7.789072 0.39655172413793105</t>
  </si>
  <si>
    <t>Cc1ccnc(CN(CNCF)Cc2ccccn2)c1C 7.7890654 0.4523809523809524</t>
  </si>
  <si>
    <t>Cc1cccnc1CN(Cc1ccccn1)C1CCC(N(C)Cc2nc(C)c(C)c(C)c2C)CC1 7.7890635 0.40350877192982454</t>
  </si>
  <si>
    <t>CN(C)Cc1ccc2cccc(N(C)C3CCCCC3N(C)Cc3cccc(-c4ccc5c(c4)OCCOCCOCCOCCOCCO5)n3)c2n1 7.789063 0.47058823529411764</t>
  </si>
  <si>
    <t>Cc1ccccc1CN(C)Cc1cc(C(C)C(C)C)ccn1 7.789055 0.37254901960784315</t>
  </si>
  <si>
    <t>CC(C)(c1cccc(NCc2ccccn2)c1)c1ncccc1-c1ccc2c(c1)OCCOCCOCCOCCOCCO2 7.7890453 0.3076923076923077</t>
  </si>
  <si>
    <t>CNCc1ccc2cccc(N(C)C3CCCCC3N(Cc3ccccn3)Cc3cccc(-c4ccc5c(c4)OCCOCCOCCOCCOCCO5)n3)c2n1 7.789045 0.4050632911392405</t>
  </si>
  <si>
    <t>CN1CCN(C)CCN(Cc2cc(N(O)C3CCCCC3N(C)c3ccc4ccc(CF)nc4c3)ccn2)CC1 7.789028 0.5</t>
  </si>
  <si>
    <t>CC(C)[Si](c1ccc(CN(Cc2nccc3ncccc23)C2CCCCC2N(C)Cc2cccc(-c3ccc4c(c3)OCCOCCOCCOCCOCCO4)n2)nc1)(C(C)C)C(C)C 7.7890244 0.32142857142857145</t>
  </si>
  <si>
    <t>Cc1cccc(CN(C)C2CCCC(N(C)Cc3cccc(C4=CCC=CN4)n3)C2)n1 7.789023 0.48148148148148145</t>
  </si>
  <si>
    <t>CNCc1cc(CN(Cc2cc(C)c(C)cn2)C2CCC(N(C)Cc3cc(C)c(C)c(C)n3)CC2)ccn1 7.789017 0.29850746268656714</t>
  </si>
  <si>
    <t>CN(Cc1ccccn1)C1CCC(N(C)Cc2cc(-c3ccc4c(c3)OCCOCCOCCOCCOCCO4)ccn2)C(c2ccc3ncccc3c2)C1 7.7890043 0.3611111111111111</t>
  </si>
  <si>
    <t>Cc1cccnc1CN(Cc1ccccn1)C1CCCC(N(C)Cc2cc(C)c(C)c(C)n2)C1 7.789003 0.423728813559322</t>
  </si>
  <si>
    <t>CCN(Cc1ccccn1)C1CCC(N(C)Cc2nc(C)c(C)cc2C)CC1N(C)Cc1nc(C)c(C)cc1C 7.789001 0.43103448275862066</t>
  </si>
  <si>
    <t>Cc1cc(CN(C)C2CCCC(N(C)c3ccc(CF)nc3)C2)nc(C)c1C 7.7889915 0.35</t>
  </si>
  <si>
    <t>CN(Cc1ccccn1)C1=CNC=C(CN(Cc2ccccn2)Cc2cccc(-c3cccc4c3OCCOCCOCCOCCOCCO4)n2)C1 7.788986 0.36231884057971014</t>
  </si>
  <si>
    <t>CN(Cc1cccc(-c2ccc3c(c2)OCCOCCOCCOCCOCCO3)n1)C1CCC(N(C)c2ccc3c(CF)ccnc3c2)CC1 7.7889814 0.30952380952380953</t>
  </si>
  <si>
    <t>CC(C)C(C)N(C)CC1=CCC(N(C)Cc2ccccn2)=CN1 7.788975 0.40350877192982454</t>
  </si>
  <si>
    <t>CCNCCN(Cc1ccccn1)Cc1cc(C)cnc1C(C)(C)C 7.7889695 0.4423076923076923</t>
  </si>
  <si>
    <t>CNC1C(N(Cc2cccc(C)n2)Cc2cccc(C)n2)CCCC1N(Cc1ccccn1)Cc1cccc(C2CC(C)(C)C2)n1 7.7889614 0.4166666666666667</t>
  </si>
  <si>
    <t>CN1CCN(C)CCN(Cc2cncc(-c3ccc(Cl)c(N)c3)c2)CC1 7.7889566 0.36538461538461536</t>
  </si>
  <si>
    <t>CN(C)Cc1ccc2ccc(N(C)C3CCCCC3N(C)Cc3cccc(-c4ccc5c(c4)OCCOCCOCCOCCOCCO5)n3)cc2n1 7.7889547 0.3880597014925373</t>
  </si>
  <si>
    <t>Cc1cccc(C2(C)COC(c3cccc(CN4CCN(C)CCN(C)CC4)n3)=N2)c1 7.7889533 0.46296296296296297</t>
  </si>
  <si>
    <t>Cc1cnc(CN(Cc2ncc(C)cc2C)C2CCC(N(Cc3ccccn3)C(C)C)CC2)c(C)c1 7.788951 0.40384615384615385</t>
  </si>
  <si>
    <t>Cc1cc(C)c(CN(Cc2ccccn2)C2CCCC(N(C)Cc3ncccc3C)C2)nc1C 7.7889504 0.4067796610169492</t>
  </si>
  <si>
    <t>CCNC1CC(N(C)Cc2cc(C)ccn2)CC(N(Cc2cc(C)ccn2)Cc2nc(C)c(C)cc2C)C1 7.7889404 0.2727272727272727</t>
  </si>
  <si>
    <t>CNCc1cccc(C2CC(C)(C)C2)n1 7.7889395 0.2608695652173913</t>
  </si>
  <si>
    <t>Cc1cccnc1CN(C)C1=CCC=C(CN(C)Cc2ncccc2-c2cccc3c2OCCOCCOCCOCCOCCO3)N1 7.7889347 0.21621621621621623</t>
  </si>
  <si>
    <t>Cc1ccc(C)c(CN(C)C2CCCC(N(Cc3nc(C)c(C)c(C)c3C)C(C)C)C2N(C)Cc2ccccn2)n1 7.7889247 0.4444444444444444</t>
  </si>
  <si>
    <t>CC1=CC(C)C(CN(C)Cc2ccccn2)C(C)=C1 7.78892 0.43636363636363634</t>
  </si>
  <si>
    <t>CCN(Cc1ccccn1)Cc1cccc(N(C)Cc2ncccc2-c2cccc3c2OCCOCCOCCOCCOCCO3)n1 7.788913 0.3283582089552239</t>
  </si>
  <si>
    <t>Cc1ccc(CN(Cc2ccccn2)C2CCC(N(C)Cc3ncccc3C(C)(c3ccccn3)C(C)C)CC2)nc1 7.7889085 0.36363636363636365</t>
  </si>
  <si>
    <t>Cc1cccc(CN(Cc2ccccn2)C2CCCC(N(C)Cc3cc(C)c(C)c(C)n3)C2)n1 7.7889066 0.4482758620689655</t>
  </si>
  <si>
    <t>Cc1ccc(CN(Cc2ccccn2)C2CCCC(N(C)Cc3nc(C)c(C)c(C)c3C)C2)nc1 7.788905 0.423728813559322</t>
  </si>
  <si>
    <t>Cc1cc(C)c(CN(C)C2CCCC(N(Cc3ccccn3)Cc3ncccc3C)C2)nc1C 7.7888937 0.4067796610169492</t>
  </si>
  <si>
    <t>CCNC1C(N(Cc2ncccc2C)Cc2ncccc2C)CCCC1N(Cc1ncccc1C)Cc1ncccc1C 7.788888 0.35294117647058826</t>
  </si>
  <si>
    <t>CN(C)Cc1ccc2cc(N(C)C3CCCCC3N(C)Cc3ccc(-c4ccc5c(c4)OCCOCCOCCOCCOCCO5)cn3)ccc2n1 7.7888846 0.4520547945205479</t>
  </si>
  <si>
    <t>CCN(Cc1ccccn1)c1cccc(CN(Cc2ccccn2)Cc2cccc(-c3ccc4c(c3)OCCOCCOCCOCCOCCO4)n2)c1 7.7888823 0.4492753623188406</t>
  </si>
  <si>
    <t>C=CCN(C)Cc1cccc(CN(C)Cc2cccc(C3CCC3(C)C)n2)n1 7.7888794 0.34545454545454546</t>
  </si>
  <si>
    <t>CN(Cc1cccnc1)C1CCCCC1N(C)Cc1cccc2ncccc12 7.7888765 0.45098039215686275</t>
  </si>
  <si>
    <t>CC(C)NCNC(C)C 7.788873 0.11904761904761904</t>
  </si>
  <si>
    <t>C=CCNCNCc1cccc(-c2ccc(CN(C)C3CCC(N(C)Cc4cc(C)c(C)c(C)n4)CC3)nc2)n1 7.7888675 0.2876712328767123</t>
  </si>
  <si>
    <t>Cc1cncc(CN(C)C2CC(N(C)Cc3ccccn3)CC(N(Cc3ccccn3)Cc3cccc(F)n3)C2)c1 7.788866 0.3770491803278688</t>
  </si>
  <si>
    <t>CC1=CC(C)CC2(C1)CC1(CC=C2c2ncccc2CN(Cc2ccccn2)Cc2ccccn2)CC(C)=CC2(CC=C(C)C(C)C2)C1(C)C 7.7888646 0.2777777777777778</t>
  </si>
  <si>
    <t>Cc1cc(C)c(CN(C)C2CCC(N(Cc3ccnc(C4CC(C)(C)C4)c3)Cc3ccccn3)CC2)nc1C 7.7888637 0.3382352941176471</t>
  </si>
  <si>
    <t>CC1CC(C)(C)C(Cl)C=C1N(C)Cc1ccccn1 7.7888613 0.4583333333333333</t>
  </si>
  <si>
    <t>Cc1cnc(C)c(CN(C)C2CCCC(N(Cc3ccccn3)Cc3ncc(C)c(C)c3C)C2)c1 7.788856 0.3870967741935484</t>
  </si>
  <si>
    <t>Cc1ccc(CN(C)C2CC(N(C)Cc3ccccn3)CC(N(C)Cc3cc(C)c(C)c(C)n3)C2)nc1 7.7888546 0.4444444444444444</t>
  </si>
  <si>
    <t>CC1=CCC(C)C(C)C12CC(c1cccc(CN(Cc3ccccn3)Cc3ccccn3)n1)C1(C=C2c2cccc(CN(Cc3ccccn3)C3CCCCC3)n2)C(C)C=CC(C)C1C 7.788853 0.3103448275862069</t>
  </si>
  <si>
    <t>CCN(Cc1ccccn1)C1CCC(N(C)Cc2ncccc2C)CC1N(Cc1ncccc1C)Cc1ncccc1C 7.7888527 0.42857142857142855</t>
  </si>
  <si>
    <t>CCOC(C)NCc1ncccc1C(C)NCc1ccccn1 7.7888517 0.3617021276595745</t>
  </si>
  <si>
    <t>CN(Cc1ccccn1)c1ccccc1-c1cccc(CN(C)C2CCCCC2N(C)Cc2cccc(-c3ccc4c(c3)OCCOCCOCCOCCOCCO4)n2)n1 7.788843 0.46875</t>
  </si>
  <si>
    <t>C=CCNCNCc1cccc(-c2ccc(CN(Cc3ccccn3)C3CCCCC3N(C)Cc3cccc(C)n3)nc2)n1 7.788838 0.4492753623188406</t>
  </si>
  <si>
    <t>CC(C)CNCc1ncccc1C(C)(C)C 7.788832 0.2857142857142857</t>
  </si>
  <si>
    <t>CCNC1CCC(N(C)Cc2ncccc2C)C(N(Cc2ncc(C)c(C)c2C)Cc2ncc(C)c(C)c2C)C1 7.788826 0.3387096774193548</t>
  </si>
  <si>
    <t>Cc1cnc(CN(C)C2CCCC(N(Cc3ccccn3)Cc3cccnc3CN(C)C)C2)c(C)c1C 7.788826 0.39344262295081966</t>
  </si>
  <si>
    <t>CCCN(C)Cc1cc(C(C)(C)C)ccn1 7.7888255 0.36585365853658536</t>
  </si>
  <si>
    <t>CCN(C)Cc1ccc(C(C)(C)C)cn1 7.7888227 0.4594594594594595</t>
  </si>
  <si>
    <t>CC1=CC(N(C)Cc2ncccc2C(C)(C)c2ccccn2)CC(C)C1C 7.7888217 0.3</t>
  </si>
  <si>
    <t>CN1CCN(C)CCN(Cc2cncc(-c3ccc(N)c(Cl)c3)c2)CC1 7.7888217 0.36538461538461536</t>
  </si>
  <si>
    <t>CC1=CC(C)CC(C)(c2cc(CN(Cc3ccccn3)C3CCC(N(C)Cc4nc(C)c(C)c(C)c4C)CC3)ccn2)C1 7.788821 0.30666666666666664</t>
  </si>
  <si>
    <t>Fc1ccccn1 7.7888093 0.38461538461538464</t>
  </si>
  <si>
    <t>Cc1cc(CN(C)C2CCCC(N(Cc3ccccn3)Cc3nc(C)c(C)c(C)c3C)C2)ccn1 7.788808 0.3870967741935484</t>
  </si>
  <si>
    <t>C=Nc1ccc(-c2ccncc2CN2CCN(C)CCN(C)CC2)cc1 7.7887993 0.36</t>
  </si>
  <si>
    <t>CC1=C(C)C(C)C2(CC1)C(c1cccc(CN(Cc3ccccn3)C3CCCCC3)n1)C=CC(c1cccc(CN(Cc3ccccn3)Cc3ccccn3)n1)C21C(C)C=CC(C)(C)C12CC(C)C=CC2C 7.788795 0.26744186046511625</t>
  </si>
  <si>
    <t>CC(c1ccccc1)(c1ccccn1)c1cccc(CN(Cc2ccccn2)c2ccc3c(c2)OCCOCCOCCOCCOCCO3)n1 7.788791 0.3384615384615385</t>
  </si>
  <si>
    <t>CN(C)C1=C(CN(C)C2C=CC=CN2)NC=CC1 7.7887897 0.24561403508771928</t>
  </si>
  <si>
    <t>CN(Cc1cc(-c2ccc3c(c2)OCCOCCOCCOCCOCCO3)ccn1)C1CCC(N(C)c2ccc3c(CF)ccnc3c2)CC1 7.788785 0.34177215189873417</t>
  </si>
  <si>
    <t>CCNC1=C(C)CC(C)(C)CC1N=Cc1ccccn1 7.7887673 0.3392857142857143</t>
  </si>
  <si>
    <t>CN(Cc1ccc(-c2ccc3c(c2)OCCOCCOCCOCCOCCO3)cn1)C1CCC(N(C)c2ccc3nccc(CF)c3c2)CC1 7.788766 0.4155844155844156</t>
  </si>
  <si>
    <t>CN1CCN(Cc2cc(-c3ccc4c(c3)OCCOCCOCCOCCOCCO4)ccn2)CCN(C(C)(C)c2cccnc2-c2cccc(N=Cc3ccccn3)c2)CC1 7.788763 0.325</t>
  </si>
  <si>
    <t>CN(Cc1ncccc1-c1ccc2c(c1)OCCOCCOCCOCCOCCO2)C1CCCC(N(C)c2cccc3ccc(CF)nc23)C1 7.7887588 0.4266666666666667</t>
  </si>
  <si>
    <t>C=CCN(C)CC1=CC(N(C)Cc2cccc(C)n2)C=CN1 7.788747 0.41818181818181815</t>
  </si>
  <si>
    <t>CC(NCc1ccccn1)C1=CCC=CN1 7.7887444 0.4897959183673469</t>
  </si>
  <si>
    <t>Cc1ccncc1 7.788739 0.4117647058823529</t>
  </si>
  <si>
    <t>CC1=CCC(C)C=C1CN(C)CC1=CC(N(C)Cc2ccccn2)C=CN1 7.788729 0.3770491803278688</t>
  </si>
  <si>
    <t>Cc1ccnc(CN(C(C)C)C2CC(N(C)Cc3ncccc3C)CCC2N(Cc2ccccn2)Cc2ncccc2C)c1 7.7887244 0.36363636363636365</t>
  </si>
  <si>
    <t>CNC1CCCCC1N(Cc1nc(C)c(C)c(C)c1[SiH3])Cc1nc(C)c([SiH3])c([SiH3])c1[SiH3] 7.7887177 0.25862068965517243</t>
  </si>
  <si>
    <t>CC1=CCCC(CN(C)Cc2ncccc2C)=C1C 7.7887063 0.28846153846153844</t>
  </si>
  <si>
    <t>CNCc1cccc(CNCc2cccc(N(C)Cc3cccc(-c4ccc5c(c4)OCCOCCOCCOCCOCCO5)n3)n2)n1 7.788699 0.30666666666666664</t>
  </si>
  <si>
    <t>CNC1CCCCC1N(Cc1nc([SiH3])c([SiH3])c(C)c1C)Cc1nc(C)c([SiH3])c([SiH3])c1C 7.788686 0.25</t>
  </si>
  <si>
    <t>CN(Cc1cccc(C2=CCC=CN2)n1)C1CCC(N(C)Cc2cccc(C(C)(C)C)n2)CC1 7.78868 0.3333333333333333</t>
  </si>
  <si>
    <t>Cc1cc(CN(C)C2CCCC(N(C)Cc3nc(C)c(C)c(C)c3C)C2)nc2c1CCC2 7.7886753 0.2833333333333333</t>
  </si>
  <si>
    <t>CN(Cc1cc(-c2ccc3c(c2)OCCOCCOCCOCCOCCO3)ccn1)C1CCC(N(C)c2ccc3nccc(CF)c3c2)CC1 7.7886662 0.3375</t>
  </si>
  <si>
    <t>CC1=C(C)C(C)CC(N(C)Cc2cc(C(C)(C)C)ccn2)C1 7.7886558 0.30357142857142855</t>
  </si>
  <si>
    <t>CC1=C(C)C(C)(C)CC(N(C)Cc2cc(C(C)(C)C)ccn2)C1 7.788645 0.2982456140350877</t>
  </si>
  <si>
    <t>CCNC1CC(N(C)Cc2cc(C)ccn2)CC(N(Cc2cc(C)ccn2)Cc2cc(C)c(C)c(C)n2)C1 7.788639 0.27692307692307694</t>
  </si>
  <si>
    <t>CC(C)N(Cc1ccccn1)Cc1cccc(N(C)Cc2cccc(-c3cccc4c3OCCOCCOCCOCCOCCO4)n2)n1 7.7886314 0.39344262295081966</t>
  </si>
  <si>
    <t>CC1=CC(CN(Cc2ccccn2)C2CCC(N(C)c3ccc4cc(CF)cnc4c3)CC2)C(N(C)Cc2ccccn2)C(C)C1C 7.788631 0.32432432432432434</t>
  </si>
  <si>
    <t>CCNCc1cc(CN(Cc2cc(C)c(C)c(C)n2)C2CCCC(N(C)Cc3cc(C)c(C)c(C)n3)C2)ccn1 7.788626 0.2878787878787879</t>
  </si>
  <si>
    <t>CN1CCN(C)CCN(Cc2cnccc2-c2cccc(N)c2Cl)CC1 7.7886252 0.4117647058823529</t>
  </si>
  <si>
    <t>CNCc1cccc(F)n1 7.7886252 0.4594594594594595</t>
  </si>
  <si>
    <t>Cc1c(CN(C)Cc2cccc(-c3cccc4c3OCCOCCOCCOCCOCCO4)n2)nc(C(C)(C)C)c(C)c1C 7.7886186 0.3230769230769231</t>
  </si>
  <si>
    <t>CN(C)Cc1ccc2cccc(N(C)C3CCCCC3N(C)Cc3cc(-c4ccc5c(c4)OCCOCCOCCOCCOCCO5)ccn3)c2n1 7.7886086 0.45714285714285713</t>
  </si>
  <si>
    <t>CCNCCN(C)Cc1ncc(C)c(C)c1C 7.7886066 0.3488372093023256</t>
  </si>
  <si>
    <t>Cc1c(C)c(C)c(N(C)C2CCC(N(C)Cc3cccnn3)CC2)c(C)c1C 7.7885995 0.46511627906976744</t>
  </si>
  <si>
    <t>Fc1cccnc1 7.7885923 0.23529411764705882</t>
  </si>
  <si>
    <t>CC(C)C(C)c1cccnc1CN(Cc1cccc(C(C)(C)C)n1)CC(C)(C)C 7.788581 0.4230769230769231</t>
  </si>
  <si>
    <t>Cc1ccc(CN(C)C2CCC(N(Cc3cc(C)ccn3)Cc3cc(C)c(C)c(C)n3)CC2)nc1 7.788568 0.43859649122807015</t>
  </si>
  <si>
    <t>Cc1cnc(CN(C)c2cccnc2CN2CCN(Cc3ncccc3C)CCN(C3C=CC=CN3)CC2)c(C)c1 7.7885647 0.26666666666666666</t>
  </si>
  <si>
    <t>CCN(CCN(C)Cc1ncccc1C)Cc1ncccc1C 7.788563 0.4090909090909091</t>
  </si>
  <si>
    <t>CN1CCN(C)CCN(Cc2cncc(-c3cccc(N)c3Cl)c2)CC1 7.788557 0.40384615384615385</t>
  </si>
  <si>
    <t>CN(CCN(C)c1cccc2nccc(CF)c12)c1cccc2c1OCCOCCOCCOCCOCCO2 7.7885466 0.3103448275862069</t>
  </si>
  <si>
    <t>CN(C)Cc1ccc2cc(N(C)C3CCC(N(C)Cc4cccc(-c5cccc6c5OCCOCCOCCOCCOCCO6)n4)CC3)ccc2n1 7.7885427 0.273972602739726</t>
  </si>
  <si>
    <t>Cc1cnccc1CN(C)CCN(Cc1ccccn1)C(C)(C)C 7.788538 0.4117647058823529</t>
  </si>
  <si>
    <t>CNCN(Cc1ccccn1)Cc1cccc(C2CC(C)(C)C2)n1 7.7885337 0.4222222222222222</t>
  </si>
  <si>
    <t>CC(C)N(Cc1ccccn1)Cc1ccc2cccc(N(C)C3CCC(N(C)Cc4cccc(-c5ccc6c(c5)OCCOCCOCCOCCOCCO6)n4)CC3)c2n1 7.7885327 0.3493975903614458</t>
  </si>
  <si>
    <t>CN(c1ccc2nc(CF)ccc2c1)C1CCCCC1N(Cc1ccccn1)Cc1ccc(-c2cccc3c2OCCOCCOCCOCCOCCO3)cn1 7.7885265 0.35365853658536583</t>
  </si>
  <si>
    <t>CC(C)(C1=CC2(C=CN1)C=CC(c1ccc(CN(Cc3ccccn3)Cc3ccccn3)cn1)C(c1cc(CN(Cc3ccccn3)Cc3ccccn3)ccn1)C2(C)C)c1ccc2c(c1)OCCOCCOCCOCCOCCO2 7.7885184 0.2553191489361702</t>
  </si>
  <si>
    <t>CNCc1cccc(C)n1 7.788518 0.5</t>
  </si>
  <si>
    <t>Cc1cccnc1 7.7885165 0.4</t>
  </si>
  <si>
    <t>Cc1cnc(C)c(CN(C)C2CCCC(N(Cc3ccccn3)Cc3nc(C)cc(C)c3C)C2)c1 7.788516 0.36923076923076925</t>
  </si>
  <si>
    <t>c1ccc(-c2cccc(-c3ccc4c(c3)OCCOCCOCCOCCOCCO4)n2)nc1 7.788515 0.3728813559322034</t>
  </si>
  <si>
    <t>CC(C)N(C)C1CCC(N(C)c2ccc3cccnc3c2)CC1 7.788503 0.33962264150943394</t>
  </si>
  <si>
    <t>CCOC1(C)N=COC1c1ncccc1CN(Cc1ccccn1)Cc1ccc(-c2ccc3c(c2)OCCOCCOCCOCCOCCO3)cn1 7.7884917 0.36904761904761907</t>
  </si>
  <si>
    <t>Cc1nccc(CN(C)CCN(C)CC(C)(C)C)c1C 7.788488 0.37777777777777777</t>
  </si>
  <si>
    <t>Cc1cncc(CN(C)CCN(C)C)c1 7.788488 0.39473684210526316</t>
  </si>
  <si>
    <t>CC1C(N)CC1C(C)(c1ccccn1)N(C)C1CCCC(N(C)c2ccc3cccnc3c2)C1 7.7884684 0.3181818181818182</t>
  </si>
  <si>
    <t>Cc1cccnc1CN(C)C1CCCC(N(Cc2ccccn2)Cc2nc(C)c(C)c(C)c2C)C1 7.7884636 0.4067796610169492</t>
  </si>
  <si>
    <t>CN(Cc1ccccn1)Cc1cc(N(C)C(C)(C)c2cnccc2-c2ccc3c(c2)OCCOCCOCCOCCOCCO3)ccn1 7.788455 0.30985915492957744</t>
  </si>
  <si>
    <t>Cc1cc(CN(C)C2CCC(N(C)c3ccc4nc(CN5CCN(C)CCN(C)CC5)ccc4c3)CC2)nc(C)c1C 7.788454 0.3492063492063492</t>
  </si>
  <si>
    <t>CNC1C(N(C)Cc2cc(C)c(C)cn2)CCCC1N(Cc1cc(C)ccn1)Cc1nc(C)c(C)c(C)c1C 7.788436 0.38461538461538464</t>
  </si>
  <si>
    <t>Cc1cnc(CN(C)C2CCCC(N(Cc3ccccn3)Cc3ncc(C)cc3C)C2)c(C)c1 7.788435 0.4444444444444444</t>
  </si>
  <si>
    <t>CC1C=CC(C)(C)C(C)(c2cccc(CN(Cc3ccccn3)Cc3ccccn3)n2)C1C 7.788433 0.45454545454545453</t>
  </si>
  <si>
    <t>C=CCN(C)Cc1cccc(C(C)(C)C)n1 7.7884307 0.4146341463414634</t>
  </si>
  <si>
    <t>CNC1CCCC(N(Cc2ccccn2)Cc2ncccc2C)C1N(Cc1ncccc1C)Cc1ncccc1C 7.7884297 0.4444444444444444</t>
  </si>
  <si>
    <t>CN(Cc1ccccn1)C1CCC(N(C)CN(Cc2ccccn2)C2CCC(N(C)Cc3ccccn3)CC2N(C)c2cccc3nccc(CF)c23)CC1 7.7884274 0.3787878787878788</t>
  </si>
  <si>
    <t>COC(=O)c1cc(CN(Cc2ccccn2)Cc2cc(CN3CCN(C)CCN(C)CC3)ccn2)ccn1 7.7884216 0.4727272727272727</t>
  </si>
  <si>
    <t>Cc1nc(CN(Cc2cc(-c3ccc4c(c3)OCCOCCOCCOCCOCCO4)ccn2)C(C)(c2cccnc2)C(C)C)c(C)c(C)c1C 7.7884207 0.3058823529411765</t>
  </si>
  <si>
    <t>Cc1ccc(-c2cccnc2CN2CCN(C)CCN(C)CC2)c(N)c1 7.788416 0.4791666666666667</t>
  </si>
  <si>
    <t>Cc1cc(CN(Cc2cc(C)c(C)c(C)n2)C2CCCC(N(C)c3c(Cl)ncc(CN4CCN(C)CCN(C)CC4)c3C)C2)nc(C)c1C 7.788412 0.3055555555555556</t>
  </si>
  <si>
    <t>Cc1ccnc(CN(C)CCN(C)CC(C)(C)C)c1C 7.7884116 0.3488372093023256</t>
  </si>
  <si>
    <t>Cc1ccc(C)c(CN(Cc2ccccn2)C2CCC(N(C)Cc3cc(C)c(C)c(C)n3)CC2)n1 7.788375 0.4067796610169492</t>
  </si>
  <si>
    <t>Cc1cccnc1CN(CCN(C)Cc1cncc(C)c1C)CC(C)(C)C 7.7883673 0.41509433962264153</t>
  </si>
  <si>
    <t>CC1=CC(C)(C)C2(CCC3(CC=C(C)C(C)C3C)C(c3ncccc3CN(Cc3ccccn3)C3CCCCC3)=C2c2ncccc2CN(Cc2ccccn2)Cc2ccccn2)C2(CC=CC(C)C2C)C1 7.7883635 0.25274725274725274</t>
  </si>
  <si>
    <t>Cc1cccnc1CN(Cc1cc(C(C)(C(C)C)C(C)C)ccn1)C(C)C(C)c1ccnc(C2CCC2(C)C)c1 7.788359 0.2676056338028169</t>
  </si>
  <si>
    <t>COCc1cccc(CN(Cc2ccccn2)C2CCC(N(C)Cc3ncccc3C)CC2N(C)Cc2ncccc2C)n1 7.7883534 0.4032258064516129</t>
  </si>
  <si>
    <t>CNCCN(Cc1ccccn1)Cc1ncccc1C(C)(C)C 7.788352 0.48936170212765956</t>
  </si>
  <si>
    <t>CNC1CCCCC1N(Cc1nc(C)c([SiH3])c(C)c1C)Cc1nc([SiH3])c(C)c(C)c1[SiH3] 7.788349 0.25</t>
  </si>
  <si>
    <t>Cc1cc(CN(C)C2CCCCC2N(C)Cc2cccc(C3=CCC=CN3)n2)nc(C)c1C 7.7883487 0.46551724137931033</t>
  </si>
  <si>
    <t>CC1C=CC(C)(C)C(C)C1(C)c1cccc(CN(Cc2ccccn2)Cc2ccccn2)n1 7.788346 0.45454545454545453</t>
  </si>
  <si>
    <t>CC(C)N(C)CN(C)CC1=CCC=C(N(C)C(C)C)N1 7.7883444 0.19607843137254902</t>
  </si>
  <si>
    <t>CNC1CCC(N(C)Cc2cc(C)c(C)c(C)n2)CC1N(C)Cc1cc(C)c(C)c(C)n1 7.788328 0.32727272727272727</t>
  </si>
  <si>
    <t>Cc1ccc(CN(C)C2CCC(N(Cc3ccccn3)Cc3ncccc3C)CC2N(Cc2cccc(C)n2)C(C)C)nc1 7.788327 0.4</t>
  </si>
  <si>
    <t>CC1=C(C)C(CN(Cc2ccccn2)Cc2ncccc2N)C(N(C)Cc2ccccn2)CC1C 7.788324 0.43859649122807015</t>
  </si>
  <si>
    <t>CNC1CCCC(N(Cc2nc(C)c(C)c(C)c2C)C(C)C)C1N(C(C)C)C(C)C 7.78832 0.2542372881355932</t>
  </si>
  <si>
    <t>CCCN(C)C1CC(N(Cc2ccccn2)Cc2ncccc2C)CC(N(Cc2ncccc2C)Cc2ncccc2C)C1 7.788314 0.41509433962264153</t>
  </si>
  <si>
    <t>Cc1ccnc(CN(Cc2ncccc2C)C2CCC(N(C)Cc3cc(C)c(C)c(C)n3)CC2)c1 7.788304 0.31746031746031744</t>
  </si>
  <si>
    <t>CC1=CC(SCc2ccccn2)CC(SCc2ccccn2)C1 7.788303 0.4146341463414634</t>
  </si>
  <si>
    <t>CCN(Cc1nc(C)c(C)c(C)c1C)C1CCCCC1N(C)Cc1nc(C)c(C)c(C)c1C 7.788297 0.3958333333333333</t>
  </si>
  <si>
    <t>CNc1cccc(CN(Cc2ccccn2)C2CCC(N(C)Cc3nc(C)ccc3C)CC2)n1 7.7882895 0.3898305084745763</t>
  </si>
  <si>
    <t>Cc1ccncc1CN(C)CCN(Cc1cnccc1C)C(C)C 7.788288 0.38636363636363635</t>
  </si>
  <si>
    <t>CN1CCN(C)CCN(Cc2ccc(-c3ccc(Cl)c(N)c3)nc2)CC1 7.7882857 0.3584905660377358</t>
  </si>
  <si>
    <t>COC(=O)C1C(c2ccc(C)c(C)n2)C(c2ccc(CN3CCN(C)CCN(C)CC3)cn2)CN(C)C1c1ccccn1 7.78828 0.3194444444444444</t>
  </si>
  <si>
    <t>CN(CN)C1NC=CC=C1NCc1ccccn1 7.7882752 0.39285714285714285</t>
  </si>
  <si>
    <t>CNCCN(Cc1cccc(F)n1)Cc1cccc(F)n1 7.7882586 0.4375</t>
  </si>
  <si>
    <t>CNC1CCC(N(Cc2nc(C)c([SiH3])c(C)c2[SiH3])Cc2nc([SiH3])c([SiH3])c(C)c2[SiH3])CC1 7.788256 0.18333333333333332</t>
  </si>
  <si>
    <t>Cc1cncc(CN(C)CCN(Cc2ccccn2)C(C)NCc2ccccn2)c1 7.788244 0.4528301886792453</t>
  </si>
  <si>
    <t>CC1=CC(C)CC(CNCc2cc(C(C)(C)c3ccccn3)ccn2)C1 7.7882433 0.2982456140350877</t>
  </si>
  <si>
    <t>Cc1cc(C)c(CN(C)C2CCC(N(Cc3ccccn3)Cc3nc(C)c(C)cc3C)CC2)cn1 7.7882404 0.3770491803278688</t>
  </si>
  <si>
    <t>CN(Cc1ccccn1)C1C=CNC(CN(C)C2C=CC=CN2)=C1 7.788238 0.4642857142857143</t>
  </si>
  <si>
    <t>CN(Cc1ccccn1)C1=CNC(CN(Cc2ccccn2)Cc2cccc(-c3ccc4c(c3)OCCOCCOCCOCCOCCO4)n2)=CC1 7.7882285 0.4305555555555556</t>
  </si>
  <si>
    <t>CC(C)(c1cccc(CN(Cc2ccccn2)Cc2cccc(-c3ccc4c(c3)OCCOCCOCCOCCOCCO4)n2)n1)c1cccc(C2CCC2(C)C)n1 7.7882257 0.4025974025974026</t>
  </si>
  <si>
    <t>Cc1ccc(CN(C)C2CCC(N(C)Cc3ccccn3)CC2N(Cc2cccc(C)n2)Cc2cccc(C)n2)nc1 7.7881994 0.5</t>
  </si>
  <si>
    <t>CN(C)Cc1ccc2cc(N(C)C3CCC(N(C)Cc4cccc(-c5ccc6c(c5)OCCOCCOCCOCCOCCO6)n4)CC3)ccc2n1 7.788191 0.3291139240506329</t>
  </si>
  <si>
    <t>c1ccnnc1 7.7881866 0.25</t>
  </si>
  <si>
    <t>COC(=O)C(=O)C(C)C(C)NCc1cc(CNCc2cc(C(C)C(C)N)ccn2)ccn1 7.7881846 0.23728813559322035</t>
  </si>
  <si>
    <t>CC(C)(C)c1ccccn1 7.788181 0.47058823529411764</t>
  </si>
  <si>
    <t>Cc1cc(CN(C)CCN(C)Cc2ccccn2)ccn1 7.7881794 0.5</t>
  </si>
  <si>
    <t>Cc1ccnc2cc(N(C)C3CCCCC3N(Cc3ccccn3)CC3CC(N)C3C)ccc12 7.7881756 0.3939393939393939</t>
  </si>
  <si>
    <t>C=CCOCc1ncccc1CNCc1ccccn1 7.788175 0.49019607843137253</t>
  </si>
  <si>
    <t>CN(Cc1ncccc1-c1ccc2c(c1)OCCOCCOCCOCCOCCO2)C1CCC(N(C)c2ccc3nccc(CF)c3c2)CC1 7.788174 0.29069767441860467</t>
  </si>
  <si>
    <t>Cc1ccc(CN(Cc2ccccn2)C2CCC(N(C)Cc3cc(C)c(C)c(C)n3)CC2)nc1C 7.788149 0.43636363636363634</t>
  </si>
  <si>
    <t>Cc1ccc(CN(C)C2CCC(N(C)Cc3ccccn3)C(N(Cc3cccc(C)n3)Cc3ncccc3C)C2)nc1 7.78814 0.4375</t>
  </si>
  <si>
    <t>CN(Cc1cccc(-c2ccc3c(c2)OCCOCCOCCOCCOCCO3)n1)CN(Cc1ccccn1)Cc1cc(N(C)C(C)(C)c2cccnc2)ccn1 7.7881384 0.3614457831325301</t>
  </si>
  <si>
    <t>Cc1cc(CN(C)CCN(C)CCN)nc(C)c1C 7.7881246 0.3902439024390244</t>
  </si>
  <si>
    <t>CN(Cc1ccc(-c2cccc3c2OCCOCCOCCOCCOCCO3)cn1)C1CCCC(N(C)c2cccc3nc(CF)ccc23)C1 7.788123 0.3125</t>
  </si>
  <si>
    <t>Cc1cncc(CN(C)CCN(Cc2ccccn2)C(C)(C)C)c1 7.788115 0.40384615384615385</t>
  </si>
  <si>
    <t>CNCc1cc(CN(Cc2ncc(C)cc2C)C2CCCC(N(C)Cc3ncc(C)c(C)c3C)C2)ccn1 7.788113 0.30434782608695654</t>
  </si>
  <si>
    <t>CN(Cc1cccc(C2=CCC=CN2)n1)C1CCC(N(C)Cc2cccc(C3C(Cl)CC3Cl)n2)CC1 7.7881107 0.3230769230769231</t>
  </si>
  <si>
    <t>CN(c1ccc2nc(CF)ccc2c1)C1CCCCC1N(Cc1ccccn1)Cc1ccc(-c2ccc3c(c2)OCCOCCOCCOCCOCCO3)cn1 7.7881002 0.4074074074074074</t>
  </si>
  <si>
    <t>Cc1ccc(CN(Cc2ccccn2)C2CCC(N(C)Cc3nc(C)c(C)cc3C)CC2)nc1C 7.7880993 0.4107142857142857</t>
  </si>
  <si>
    <t>CN(Cc1cccc(-c2ccc3ncccc3c2)n1)C1CCC(N(Cc2ccc(-c3ccc4c(c3)OCCOCCOCCOCCOCCO4)cn2)Cc2cccc(-c3ccc4c(c3)OCCOCCOCCOCCOCCO4)n2)CC1 7.788098 0.4050632911392405</t>
  </si>
  <si>
    <t>Cc1cncc(CN(C)C2CCCC(N(Cc3cncc(C)c3)Cc3nc(C)c(C)c(C)c3C)C2)c1 7.7880974 0.25806451612903225</t>
  </si>
  <si>
    <t>Cc1cnc(CN(C)CCN(C)CC(C)(C)C)cc1C 7.78809 0.5</t>
  </si>
  <si>
    <t>CN1CCN(C)CCN(Cc2ccc(-c3ccc(N)c(Cl)c3)nc2)CC1 7.788086 0.38461538461538464</t>
  </si>
  <si>
    <t>CN(CCN(C)Cc1cccc(-c2ccc3c(c2)OCCOCCOCCOCCOCCO3)n1)Cc1ccc2ncccc2c1 7.7880754 0.35384615384615387</t>
  </si>
  <si>
    <t>Fc1ccccc1N(Cc1ccccn1)Cc1ncccc1-c1ccc2c(c1)OCCOCCOCCOCCOCCO2 7.788066 0.3424657534246575</t>
  </si>
  <si>
    <t>CC(N)c1cccnn1 7.7880626 0.34285714285714286</t>
  </si>
  <si>
    <t>Cc1cc(C)c(CN(Cc2ncccc2C)C2CCC(N(C)Cc3ncccc3C)CC2)nc1C 7.788055 0.30357142857142855</t>
  </si>
  <si>
    <t>CCN(Cc1ccccn1)Cc1ncccc1N(C)Cc1cc(-c2cccc3c2OCCOCCOCCOCCOCCO3)ccn1 7.788055 0.3582089552238806</t>
  </si>
  <si>
    <t>CC(C)N(Cc1ccccn1)Cc1cccc(N(C)Cc2cccc(-c3ccc4c(c3)OCCOCCOCCOCCOCCO4)n2)n1 7.788055 0.4</t>
  </si>
  <si>
    <t>CC1C=CC(C)(C)C(C)(c2ncccc2CN(Cc2ccccn2)Cc2ccccn2)C1C 7.7880526 0.4444444444444444</t>
  </si>
  <si>
    <t>CCN(Cc1ccccn1)Cc1ccc2cccc(N(C)C3CCC(N(C)Cc4ncccc4-c4ccc5c(c4)OCCOCCOCCOCCOCCO5)CC3)c2n1 7.788035 0.3058823529411765</t>
  </si>
  <si>
    <t>Cc1cccc(CN(Cc2ccccn2)Cc2cc(CN(C)Cc3cc(-c4cccc5c4OCCOCCOCCOCCOCCO5)ccn3)ccn2)n1 7.7880087 0.36764705882352944</t>
  </si>
  <si>
    <t>Cc1cnc(CN(Cc2ccccn2)C2CCC(N(C)Cc3ccccn3)CC2)c(CN(Cc2ccccn2)Cc2ccccn2)c1 7.7880087 0.43636363636363634</t>
  </si>
  <si>
    <t>CCN(Cc1ccccn1)C1CCC(N(C)Cc2ncccc2C)C(N(Cc2ncccc2C)Cc2ncccc2C)C1 7.788003 0.48148148148148145</t>
  </si>
  <si>
    <t>Fc1ccccc1N(Cc1ccccn1)C1CCCCC1N(Cc1ccccn1)Cc1cccnc1F 7.7880025 0.4528301886792453</t>
  </si>
  <si>
    <t>Cc1ccc(CN(Cc2ncccc2C)C2CCC(N(C)Cc3ncccc3C)C3N=CC=CC32)nc1 7.788001 0.4262295081967213</t>
  </si>
  <si>
    <t>CN(C)Cc1ccc2c(N(C)C3CCCCC3N(C)Cc3cccc(-c4ccc5c(c4)OCCOCCOCCOCCOCCO5)n3)cccc2n1 7.7879977 0.37681159420289856</t>
  </si>
  <si>
    <t>Cc1c(CN(C)Cc2ncccc2-c2cccc3c2OCCOCCOCCOCCOCCO3)nc(C(C)(C)C)c(C)c1C 7.7879953 0.25757575757575757</t>
  </si>
  <si>
    <t>CC(C)N(C)Cc1ncccc1C(C)(C)C 7.7879906 0.3488372093023256</t>
  </si>
  <si>
    <t>CNCc1nc(CN(C)C2CCCCC2N(C)Cc2nc(C)c(C)c(C)c2C)c(C)c(C)c1C 7.787984 0.3877551020408163</t>
  </si>
  <si>
    <t>CN(C)Cc1ccc2ccc(N(C)C3CCC(N(C)Cc4cccc(-c5ccc6c(c5)OCCOCCOCCOCCOCCO6)n4)CC3)cc2n1 7.787977 0.3333333333333333</t>
  </si>
  <si>
    <t>Cc1cc(CN(Cc2ccc(CN3CCN(C)CCN(C)CC3)nc2)Cc2cc(C)c(C)c(C)n2)nc(C)c1C 7.7879663 0.4074074074074074</t>
  </si>
  <si>
    <t>CCNC1CCCC(N(Cc2ncccc2C)Cc2ncccc2C)C1N(Cc1ncccc1C)Cc1ncccc1C 7.7879615 0.32727272727272727</t>
  </si>
  <si>
    <t>CC1C=CC(C)C(N(C)CCN(C)Cc2cccc3ncccc23)C1 7.7879486 0.41509433962264153</t>
  </si>
  <si>
    <t>CNC1CCCC(N(Cc2cc(C)c(C)c(C)n2)Cc2nc(C)c(C)c(C)c2C)C1 7.7879477 0.2222222222222222</t>
  </si>
  <si>
    <t>CN1CCN(C)CCN(Cc2cnccc2-c2ccc(Cl)c(N)c2)CC1 7.78794 0.35185185185185186</t>
  </si>
  <si>
    <t>CC1=C(NCc2ccccn2)CC(C)(C)CC1C(C)(C)N(C)Cc1ccccn1 7.787938 0.3684210526315789</t>
  </si>
  <si>
    <t>CC(C)N(Cc1ccccn1)Cc1ccc2cc(N(C)C3CCC(N(C)Cc4ncccc4-c4ccc5c(c4)OCCOCCOCCOCCOCCO5)CC3)ccc2n1 7.7879357 0.32894736842105265</t>
  </si>
  <si>
    <t>CNc1cccc(CN(Cc2cccc(F)n2)C2CCC(N(C)Cc3cccc(C4C(Cl)CC4Cl)n3)CC2)n1 7.7879353 0.31746031746031744</t>
  </si>
  <si>
    <t>Cc1ccc(CN(Cc2ncccc2C)C2CCC(N(C)Cc3nccc(C)c3C(C)(C)C)CC2)nc1 7.787932 0.39344262295081966</t>
  </si>
  <si>
    <t>Cc1cnc(CN(C)C2CCCC(N(Cc3ccccn3)Cc3cc(C)c(C)c(C)n3)C2)cc1C 7.787929 0.43859649122807015</t>
  </si>
  <si>
    <t>CN(Cc1ncccc1-c1cccc2c1OCCOCCOCCOCCOCCO2)C1CCCC(N(C)c2cccc3nc(CF)ccc23)C1 7.7879252 0.3125</t>
  </si>
  <si>
    <t>CCNCc1ncccc1CN(C)Cc1cccnc1 7.7879243 0.35294117647058826</t>
  </si>
  <si>
    <t>CN(CN)C1C=CC=C(NCc2ccccn2)N1 7.787917 0.3541666666666667</t>
  </si>
  <si>
    <t>CNCc1nc(CN(Cc2ccccn2)C2CCC(N(C)Cc3nc(C)c(C)cc3C)CC2)c(C)c(C)c1C 7.787917 0.36507936507936506</t>
  </si>
  <si>
    <t>CN1CCN(C)CCN(Cc2cnccc2-c2ccc(N)c(Cl)c2)CC1 7.787912 0.37735849056603776</t>
  </si>
  <si>
    <t>CC(C)N(Cc1cccc(-c2ccc3c(c2)OCCOCCOCCOCCOCCO3)n1)C1CCC(N(C)c2ccc3nc(CN(C)C)ccc3c2)CC1 7.78791 0.3170731707317073</t>
  </si>
  <si>
    <t>Cc1ccc(CN(C)C2CCC(N(C)Cc3ccccn3)C(N(Cc3ncccc3C)Cc3ncccc3C)C2)nc1 7.7879066 0.5</t>
  </si>
  <si>
    <t>Cc1cccnc1CN(C)CCN(C)Cc1ccccn1 7.787901 0.5</t>
  </si>
  <si>
    <t>Cc1cccnc1CN(C)CCN(Cc1ccccn1)C(C)(C)C 7.7878957 0.4375</t>
  </si>
  <si>
    <t>C=CCNCNCc1cccc(C(C)(C)c2ccccn2)n1 7.787893 0.3617021276595745</t>
  </si>
  <si>
    <t>CC1=C(N(C)Cc2ccccn2)C(C)(C)CC(C(C)(C)C)C1 7.7878914 0.44</t>
  </si>
  <si>
    <t>Cc1cccnc1CN(C)C1CCC(N(Cc2ccnc(C(C)(c3cccnc3)C(C)N)c2)Cc2ccccn2)CC1 7.787884 0.3108108108108108</t>
  </si>
  <si>
    <t>Cc1cnc(CN(Cc2nc(C)c(C)cc2C)C2CCC(N(C)Cc3ccccn3)CC2)c(C)c1 7.7878785 0.42105263157894735</t>
  </si>
  <si>
    <t>CN1CCN(C)CCN(Cc2cccnc2-c2cccc(N)c2Cl)CC1 7.78787 0.42857142857142855</t>
  </si>
  <si>
    <t>COC(=O)c1cc(CN2CCN(C)CCN(Cc3cccc(C(C)N=Cc4ccccn4)n3)CC2)ccn1 7.7878623 0.38235294117647056</t>
  </si>
  <si>
    <t>CNC1C(N(Cc2ccccn2)Cc2ccccn2)CCC(N(Cc2ccccn2)Cc2ccccn2)C1N(Cc1ccccn1)Cc1ccccn1 7.7878475 0.5</t>
  </si>
  <si>
    <t>CNC1CCCCC1N(Cc1nc(C)c(C)c(C)c1C)Cc1nc(C)c([SiH3])c([SiH3])c1[SiH3] 7.7878437 0.2542372881355932</t>
  </si>
  <si>
    <t>Cc1nc(CN(C)C2CCCC(N(Cc3cccc(F)n3)Cc3cccc(F)n3)C2)c(C)c(C)c1C 7.787839 0.3684210526315789</t>
  </si>
  <si>
    <t>Cc1nc(CN(Cc2ccccn2)C2CCC(N(C)C3=CCC=CN3)CC2)c(C)c(C)c1C 7.787839 0.421875</t>
  </si>
  <si>
    <t>Cc1cnc(CN(C)C2CCC(N(Cc3ccccn3)Cc3nc(C)c(C)cc3C)CC2)c(C)c1 7.787835 0.3898305084745763</t>
  </si>
  <si>
    <t>CN(Cc1cc(-c2ccc3c(c2)OCCOCCOCCOCCOCCO3)ccn1)C1CCCC(N(C)c2ccc3c(CF)ccnc3c2)C1 7.7878227 0.345679012345679</t>
  </si>
  <si>
    <t>CN(c1ccc2ncccc2c1)C1CCCCC1N(Cc1ccccn1)Cc1ccc(-c2ccc3c(c2)OCCOCCOCCOCCOCCO3)cn1 7.7878094 0.42857142857142855</t>
  </si>
  <si>
    <t>COC(=O)c1cc(CN2CCN(C)CCN(Cc3ncc(C(C)NCc4ccccn4)c(C)c3C)CC2)ccn1 7.7878065 0.3880597014925373</t>
  </si>
  <si>
    <t>Cc1cncc(C(C)(C)N(C)CCN(C)C)c1 7.787805 0.25</t>
  </si>
  <si>
    <t>Cc1cnc(C)c(CN(C)C2CCCC(N(Cc3ccccn3)Cc3cc(C)c(C)c(C)n3)C2)c1 7.7877884 0.3870967741935484</t>
  </si>
  <si>
    <t>CNC1CC(N(Cc2ccccn2)Cc2cccc(F)n2)CC(N(Cc2ccccn2)Cc2cccc(F)n2)C1 7.787786 0.4666666666666667</t>
  </si>
  <si>
    <t>Cc1cccc(CN(Cc2ncccc2C)C2CCC(N(C)Cc3cc(C)c(C)c(C)n3)CC2)n1 7.787786 0.423728813559322</t>
  </si>
  <si>
    <t>CN1CCN(Cc2ccc(C3OC=NC3(C)C)nc2)CCN(Cc2cc(C(C)(C)c3ccccn3)ccn2)CC1 7.787775 0.3880597014925373</t>
  </si>
  <si>
    <t>CN1CCN(C)CCN(Cc2ccc(-c3cccc(N)c3Cl)nc2)CC1 7.7877703 0.4117647058823529</t>
  </si>
  <si>
    <t>CNCCN(C)Cc1nccc(C)c1C 7.787767 0.32558139534883723</t>
  </si>
  <si>
    <t>CCNCc1cccc(CN(Cc2ccccn2)C2CCC(N(C)Cc3cccc(-c4ccccc4)n3)CC2)n1 7.787758 0.423728813559322</t>
  </si>
  <si>
    <t>Cc1ccc(C)c(N(C)Cc2cccc(-c3ccc4c(c3)OCCOCCOCCOCCOCCO4)n2)c1 7.7877536 0.34285714285714286</t>
  </si>
  <si>
    <t>Cc1cccnc1CN(C)C1CCC(N(Cc2ccc(C(C)(c3ccccn3)C(C)N)nc2)Cc2ccccn2)CC1 7.78775 0.3333333333333333</t>
  </si>
  <si>
    <t>Cc1ccc(NCc2ccccn2)c(CN(Cc2ccccn2)Cc2cc(-c3cccc4c3OCCOCCOCCOCCOCCO4)ccn2)c1 7.7877474 0.31746031746031744</t>
  </si>
  <si>
    <t>Cc1cc(C)c(CN(C)C2CCCC(N(Cc3ccccn3)Cc3nc(C)c(C)cc3C)C2)cn1 7.7877364 0.38095238095238093</t>
  </si>
  <si>
    <t>CN1CCN(C)CCN(Cc2cccnc2-c2ccc(N)c(Cl)c2)CC1 7.787732 0.4489795918367347</t>
  </si>
  <si>
    <t>CC1C=CC(C)C(C)(c2cc(CN(Cc3ccccn3)Cc3ccccn3)ccn2)C1(C)C 7.787729 0.45454545454545453</t>
  </si>
  <si>
    <t>CCN(Cc1ccccn1)Cc1cccc(C2CC(Cl)C2Cl)n1 7.787725 0.4318181818181818</t>
  </si>
  <si>
    <t>CN1CCN(C)CCN(Cc2cncc(-c3cccc(Cl)c3N)c2)CC1 7.787721 0.40384615384615385</t>
  </si>
  <si>
    <t>CN(C)Cc1ccc2cc(N(C)C3CCC(N(C)Cc4ccc(-c5ccc6c(c5)OCCOCCOCCOCCOCCO6)cn4)CC3)ccc2n1 7.787714 0.4444444444444444</t>
  </si>
  <si>
    <t>CC1=C(CN(C)C2CCC(N(C)Cc3ccc4ncccc4c3)CC2)C(C)CC(C(C)(C)C)=C1 7.7877064 0.2537313432835821</t>
  </si>
  <si>
    <t>CN(Cc1cc(-c2ccc3c(c2)OCCOCCOCCOCCOCCO3)ccn1)C1CCCC(N(C)c2ccc3nccc(CF)c3c2)C1 7.787702 0.34146341463414637</t>
  </si>
  <si>
    <t>CN1CCN(C)CCN(Cc2cccnc2-c2ccc(Cl)c(N)c2)CC1 7.787701 0.42</t>
  </si>
  <si>
    <t>Cc1cccnc1CN(C)CCN(C)C 7.7877007 0.45</t>
  </si>
  <si>
    <t>C=CCNCc1cc(C(C)(C)N(C)Cc2ccccn2)ccn1 7.787692 0.39622641509433965</t>
  </si>
  <si>
    <t>Cc1ccc(N(C)C2CCCC(N(C)Cc3ccon3)C2)c(C)c1C 7.787691 0.3877551020408163</t>
  </si>
  <si>
    <t>CC(C)N(C)CC1=CNC(N(C)C)=CC1 7.7876897 0.1875</t>
  </si>
  <si>
    <t>CN1CCN(C)CCN(Cc2cccnc2-c2cc(Cl)ccc2N)CC1 7.787677 0.42</t>
  </si>
  <si>
    <t>Cc1cnc(C)c(CN(Cc2ccccn2)C2CCC(N(C)Cc3nc(C)c(C)c(C)c3C)CC2)c1 7.7876754 0.3770491803278688</t>
  </si>
  <si>
    <t>Cc1cncc(CN(C)CCN(Cc2ccccn2)C(C)N(Cc2ccccn2)C(C)C)c1 7.7876706 0.49019607843137253</t>
  </si>
  <si>
    <t>CN(Cc1cccc(-c2ccc3c(c2)OCCOCCOCCOCCOCCO3)n1)C1=CNC(CN(C)C2CCCCC2N(C)c2ccc3nc(CF)ccc3c2)=CC1 7.787667 0.3372093023255814</t>
  </si>
  <si>
    <t>CC1C=CC(C)C2(C=CC3(CC4(C=CCCC4C)C=CC3C(C)(C)C)C(c3cccc(CN(Cc4ccccn4)Cc4ccccn4)n3)C2c2cccc(CN(Cc3ccccn3)Cc3ccccn3)n2)C1C 7.7876563 0.29411764705882354</t>
  </si>
  <si>
    <t>Cc1nc(CN(C)C2CCC(N(Cc3ccccn3)Cc3cccc(C(C)C)n3)CC2)c(C)c(C)c1C 7.7876515 0.38333333333333336</t>
  </si>
  <si>
    <t>CC(C)Nc1ccccn1 7.787647 0.3611111111111111</t>
  </si>
  <si>
    <t>CN(Cc1cccc(-c2ccc3c(c2)OCCOCCOCCOCCOCCO3)n1)C1=CNC(CN(C)C2CCCCC2N(C)c2ccc3cc(CF)cnc3c2)=CC1 7.787626 0.29347826086956524</t>
  </si>
  <si>
    <t>Cc1ccc(C)c(CN(C)C2CCCC(N(Cc3ccccn3)Cc3cc(C)c(C)c(C)n3)C2)n1 7.787617 0.39344262295081966</t>
  </si>
  <si>
    <t>Cc1ccc(CN(C)C2CCCC(N(Cc3ccccn3)Cc3cccc(CN(C)Cc4cccc(C)n4)n3)C2)nc1 7.787617 0.4406779661016949</t>
  </si>
  <si>
    <t>CN1CCN(C)CCN(CCc2nc3ncccc3o2)CC1 7.7876067 0.41304347826086957</t>
  </si>
  <si>
    <t>CC(C)(C1=CC2(C=CN1)C=CC(C)(C)C(c1cc(CN(Cc3ccccn3)Cc3ccccn3)ccn1)C2c1ncccc1CN(Cc1ccccn1)Cc1ccccn1)c1ccc2c(c1)OCCOCCOCCOCCOCCO2 7.7875867 0.25806451612903225</t>
  </si>
  <si>
    <t>Cc1nc(CN(Cc2nc(C)c(C)c(C)c2C)C2CCCCC2N)c(C)c(C)c1C 7.787577 0.30612244897959184</t>
  </si>
  <si>
    <t>Cc1ccc(CN(Cc2ccccn2)C2CCCC(N(C)Cc3cc(C)c(C)c(C)n3)C2)nc1C 7.787574 0.43859649122807015</t>
  </si>
  <si>
    <t>Fc1cccc(CN(Cc2ccccn2)C2CCCCC2N(Cc2ccccn2)c2ccccc2F)n1 7.787573 0.4528301886792453</t>
  </si>
  <si>
    <t>Cc1cncc(N(C)C2CC(N(C)Cc3ccccn3)CC(N(Cc3ccccn3)C(C)C)C2)c1 7.7875724 0.40350877192982454</t>
  </si>
  <si>
    <t>CN1CCN(C)CCN(Cc2cccnc2-c2cccc(Cl)c2N)CC1 7.787569 0.42857142857142855</t>
  </si>
  <si>
    <t>CC(C)C1=NC(C2=NC(C(C)C)CO2)CO1 7.787566 0.14035087719298245</t>
  </si>
  <si>
    <t>Cc1cnc(CN(C)CCN(C)CCF)c(C)c1C 7.7875648 0.4358974358974359</t>
  </si>
  <si>
    <t>CNC1CCCC(N(Cc2nc(C)c(C)cc2C)Cc2nc(C)c(C)c(C)c2C)C1 7.7875586 0.21311475409836064</t>
  </si>
  <si>
    <t>Cc1ccccc1CN(C)C1CCCCC1N(C)Cc1ccc2ncccc2c1 7.7875547 0.46153846153846156</t>
  </si>
  <si>
    <t>CC1C=C(N(C)Cc2ccccn2)C(C)(C)C(Cl)C1 7.7875543 0.4583333333333333</t>
  </si>
  <si>
    <t>CN(Cc1ncccc1-c1cccc2c1OCCOCCOCCOCCOCCO2)C1CCCC(N(C)c2ccc3nccc(CF)c3c2)C1 7.7875466 0.2222222222222222</t>
  </si>
  <si>
    <t>Cc1ccc(CN(C)C2CCC(N(C)Cc3ccccn3)C(N(Cc3ccccn3)Cc3ncccc3C)C2)nc1C 7.787546 0.46551724137931033</t>
  </si>
  <si>
    <t>CC1=CC(C)C2(C=C(C)CCC23CC2(C=C(c4cc(CN(Cc5ccccn5)Cc5ccccn5)ccn4)C3c3cc(CN(Cc4ccccn4)C4CCCCC4)ccn3)CC=C(C)C3(C=C(C)CC4(CC(C)C(C)C=C4C)C3(C)C)C2C)CC1 7.787544 0.21367521367521367</t>
  </si>
  <si>
    <t>C=CCN(C)CC1=CC(N(C)Cc2ncccc2C)C=CN1 7.787527 0.30158730158730157</t>
  </si>
  <si>
    <t>Cc1cc(N)ccc1-c1ccc(CN2CCN(C)CCN(C)CC2)cn1 7.7875233 0.39215686274509803</t>
  </si>
  <si>
    <t>Cc1ccc(CN(Cc2ccccn2)C2CCCC(N(C)Cc3nc(C)c(C)cc3C)C2)nc1C 7.7875223 0.41379310344827586</t>
  </si>
  <si>
    <t>CN(C)Cc1ccc2cc(N(C)C3CCC(N(C)Cc4cc(-c5ccc6c(c5)OCCOCCOCCOCCOCCO6)ccn4)CC3)ccc2n1 7.78752 0.36363636363636365</t>
  </si>
  <si>
    <t>CCN(Cc1cccc(CN(Cc2ccc([SiH3])cn2)Cc2cccc(-c3ccc4c(c3)OCCOCCOCCOCCOCCO4)n2)n1)Cc1ncccc1C 7.7875195 0.358974358974359</t>
  </si>
  <si>
    <t>COC(C)c1cccc(CN2CCN(C)CCN(Cc3cccc(C(C)(c4ccccn4)c4ccccn4)n3)CC2)n1 7.7875185 0.49056603773584906</t>
  </si>
  <si>
    <t>Cc1ccc(N(C)Cc2cccc(-c3ccc4c(c3)OCCOCCOCCOCCOCCO4)n2)cc1C 7.7875175 0.32857142857142857</t>
  </si>
  <si>
    <t>Cc1cc(C)c(CN(C)C2CCCC(N(Cc3ccccn3)Cc3cc(C)c(C)c(C)n3)C2)cn1 7.7875156 0.3870967741935484</t>
  </si>
  <si>
    <t>CN(c1cccc2cccnc12)C1CCCCC1N(Cc1ccccn1)Cc1ncccc1-c1ccc2c(c1)OCCOCCOCCOCCOCCO2 7.787506 0.47058823529411764</t>
  </si>
  <si>
    <t>CN1CCN(C)CCN(CCc2nc3cccnc3o2)CC1 7.7875056 0.41304347826086957</t>
  </si>
  <si>
    <t>Cc1cc(CN(C)C2CCC(N(Cc3ccnc(C4=CCC(C)(C)CC4C)c3)Cc3ccccn3)CC2)nc(C)c1C 7.7875047 0.32432432432432434</t>
  </si>
  <si>
    <t>CN1CCN(C)CCN(Cc2cncc(-c3cc(Cl)ccc3N)c2)CC1 7.787496 0.36538461538461536</t>
  </si>
  <si>
    <t>Cc1ccc2c(c1)OCCOCCOCC(N)OCC(C(C)(C)c1cccc(CN(Cc3ccccn3)C3CCC(N(C)c4ccc5ncc(CN(C)C)cc5c4)CC3)n1)OCCO2 7.7874956 0.22448979591836735</t>
  </si>
  <si>
    <t>CN(C)CCN(C)Cc1ccc(C2CC(C)(C)C2)nc1 7.787492 0.3191489361702128</t>
  </si>
  <si>
    <t>CN(C)Cc1ccc2cc(N(C)C3CCC(N(C)Cc4ncccc4-c4ccc5c(c4)OCCOCCOCCOCCOCCO5)CC3)ccc2n1 7.787487 0.32926829268292684</t>
  </si>
  <si>
    <t>CN1CCN(Cc2ccc(CN(Cc3ccccn3)Cc3cccc(-c4cccc(N(C)C)c4)n3)nc2)CCN(Cc2cc(-c3ccc4c(c3)OCCOCCOCCOCCOCCO4)ccn2)CC1 7.7874866 0.37209302325581395</t>
  </si>
  <si>
    <t>Cc1ccc(CN(C)C2CCC(N(Cc3ccccn3)Cc3nc(C)c(C)c(C)c3C)CC2)nc1C 7.7874813 0.42105263157894735</t>
  </si>
  <si>
    <t>CCCN(C)CC1=CC(N(C)Cc2cc(C)c(C)cn2)C=CN1 7.7874794 0.32075471698113206</t>
  </si>
  <si>
    <t>Cc1ccc(CN(C)CCN(C)CC(C)(C)C)c(C)c1C 7.78747 0.3111111111111111</t>
  </si>
  <si>
    <t>CNC1C(N(C)Cc2ccccn2)CCCC1N(Cc1nc(C)c(C)cc1C)Cc1nc(C)c(C)c(C)c1C 7.787461 0.4745762711864407</t>
  </si>
  <si>
    <t>Cc1cc(C)c(CN(C)C2CCCC(N(Cc3ccccn3)Cc3ccc(N)cn3)C2)nc1C 7.787456 0.3870967741935484</t>
  </si>
  <si>
    <t>CC(C)(C1=CC2(C=CN1)C=CC(C)(C)C(c1cccc(CN(Cc3ccccn3)Cc3ccccn3)n1)C2c1cccc(CN(Cc2ccccn2)Cc2cccc(-c3ccc4c(c3)OCCOCCOCCOCCOCCO4)n2)n1)c1cccc(-c2ccc3c(c2)OCCOCCOCCOCCOCCO3)n1 7.787448 0.3522727272727273</t>
  </si>
  <si>
    <t>Cc1cnc(C)c(CN(C)C2CCCC(N(Cc3ccccn3)Cc3nc(C)c(C)c(C)c3C)C2)c1 7.787436 0.38095238095238093</t>
  </si>
  <si>
    <t>CNC1CCCCC1N(Cc1nc(C)c(C)c(C)c1C)Cc1nc(C)c([SiH3])c(C)c1C 7.7874312 0.2631578947368421</t>
  </si>
  <si>
    <t>CN(Cc1cccc(-c2ccc3c(c2)OCCOCCOCCOCCOCCO3)n1)C1=CNC(CN(C)C2CCCCC2N(C)c2ccc3ccc(CF)nc3c2)=CC1 7.787428 0.3411764705882353</t>
  </si>
  <si>
    <t>C#CCN(C)Cc1ncccc1C(C)(C)c1ccccn1 7.7874274 0.32075471698113206</t>
  </si>
  <si>
    <t>CCNC1CCCC(N(Cc2nc(C)c(C)c(C)c2C)Cc2nc(C)c(C)c(C)c2C)C1 7.787393 0.21052631578947367</t>
  </si>
  <si>
    <t>CC1C=CCC(C)(c2cccc(CN(Cc3ccccn3)Cc3ccccn3)n2)C1C 7.787384 0.4444444444444444</t>
  </si>
  <si>
    <t>CC(C)N(C)CC1=CCC=C(N(C)C(C)C)N1 7.7873616 0.2127659574468085</t>
  </si>
  <si>
    <t>Cc1cncc(CN(C)C2CCCC(N(C)Cc3ccccn3)C2N(Cc2ccccn2)c2ccccc2F)c1 7.78736 0.4827586206896552</t>
  </si>
  <si>
    <t>CC1=NCC(C(C)N(C)Cc2cc(C(C)(C)C)ccn2)O1 7.7873588 0.2542372881355932</t>
  </si>
  <si>
    <t>Cc1cc(C)c(CN(Cc2ccccn2)C2CCC(N(C)Cc3nc(C)c(C)c(C)c3C)CC2)cn1 7.787355 0.3709677419354839</t>
  </si>
  <si>
    <t>CNC1CCCCC1N(Cc1nc(C)c(C)c(C)c1C)Cc1nc(C)c(C)c(C)c1C 7.787349 0.29411764705882354</t>
  </si>
  <si>
    <t>CNC1CCCCC1N(Cc1nc(C)c(C)c(C)c1C)Cc1nc(C)c([SiH3])c([SiH3])c1C 7.7873344 0.25862068965517243</t>
  </si>
  <si>
    <t>Cc1ccnc(CN(Cc2ccnc(C)c2)C2CCC(N(C)Cc3nc(C)c(C)c(C)c3C)CC2)c1 7.787321 0.30158730158730157</t>
  </si>
  <si>
    <t>Cc1cnc(CN(C)C2CCCC(N(Cc3ccccn3)Cc3nc(C)c(C)cc3C)C2)c(C)c1 7.787299 0.39344262295081966</t>
  </si>
  <si>
    <t>Cc1cc(N)cc(-c2cc(C)c(CN3CCN(C)CCN(C)CC3)cn2)c1 7.787298 0.4</t>
  </si>
  <si>
    <t>CNCc1nc(CN(C)C(C)C)ccc1C 7.787284 0.28888888888888886</t>
  </si>
  <si>
    <t>CN(Cc1ccc2c(c1)OCCOCCOCCOCCOCCO2)Cc1cc(-c2cccc(N=Cc3ccccn3)c2)ccn1 7.7872796 0.29577464788732394</t>
  </si>
  <si>
    <t>CN(C)Cc1ccc2ccc(N(C)C3CCC(N(C)Cc4ncccc4-c4ccc5c(c4)OCCOCCOCCOCCOCCO5)CC3)cc2n1 7.7872787 0.3333333333333333</t>
  </si>
  <si>
    <t>CN(C)Cc1ccc2c(N(C)C3CCC(N(C)Cc4cccc(-c5cccc6c5OCCOCCOCCOCCOCCO6)n4)CC3)cccc2n1 7.787278 0.273972602739726</t>
  </si>
  <si>
    <t>Cc1cccc(C(C)(c2ccccn2)c2ncccc2CN2CCN(C)CCN(C)CC2)c1 7.7872734 0.42592592592592593</t>
  </si>
  <si>
    <t>CN1CCN(C)CCN(Cc2cncc(-c3cc(N)ccc3Cl)c2)CC1 7.787271 0.3584905660377358</t>
  </si>
  <si>
    <t>CCC 7.7872605 0.1111111111111111</t>
  </si>
  <si>
    <t>Cc1nc(CN(C)C2CCC(N(Cc3cccc(F)n3)Cc3ncccc3N)CC2)c(C)c(C)c1C 7.7872586 0.29850746268656714</t>
  </si>
  <si>
    <t>CC(C)[Si](c1ccc(CN(Cc2ccc([Si](C(C)C)(C(C)C)C(C)C)cn2)Cc2cccc(-c3ccc4c(c3)OCCOCCOCCOCCOCCO4)n2)nc1)(C(C)C)C(C)C 7.787257 0.5</t>
  </si>
  <si>
    <t>CNCc1cccc(CN(Cc2ccccn2)C2CCC(N(C)Cc3ccccn3)C(N(Cc3ccccn3)Cc3ncccc3C)C2)n1 7.7872562 0.4426229508196721</t>
  </si>
  <si>
    <t>CN1CCN(C)CCN(Cc2ccc(-c3cc(Cl)ccc3N)nc2)CC1 7.787255 0.3584905660377358</t>
  </si>
  <si>
    <t>CCN(Cc1ccccn1)Cc1cccc(CN(Cc2ccccn2)C2CCC(N(C)Cc3nc(C)c(C)cc3C)CC2)n1 7.7872496 0.38333333333333336</t>
  </si>
  <si>
    <t>CN(Cc1ccccn1)C1=CCC=C(CN(Cc2ccccn2)Cc2cccc(-c3cccc4c3OCCOCCOCCOCCOCCO4)n2)N1 7.7872477 0.38028169014084506</t>
  </si>
  <si>
    <t>Cc1cnc(CN(C)C2CCC(N(Cc3ccccn3)Cc3cccc(CN(C)C(C)(C)c4ccccn4)n3)CC2)c(C)c1 7.7872467 0.3484848484848485</t>
  </si>
  <si>
    <t>CCNCCN(Cc1ccccn1)Cc1nc(C)c(C)cc1C 7.7872276 0.4489795918367347</t>
  </si>
  <si>
    <t>Cc1cccnc1CN(CF)C1CCCCC1N(Cc1nc(C)c(C)c(C)c1C)Cc1nc(C)c(C)c(C)c1C 7.7872214 0.3392857142857143</t>
  </si>
  <si>
    <t>Cc1cncc(CN(C)CC2=CC(N(C)C3C=CC=CN3)C=CN2)c1 7.7872205 0.296875</t>
  </si>
  <si>
    <t>CCN(Cc1cccc(C2CCC2(C)C)n1)Cc1cccc(C(C)(C)C)n1 7.78722 0.29310344827586204</t>
  </si>
  <si>
    <t>CN1CCN(C)CCN(Cc2ccc(-c3cccc(Cl)c3N)nc2)CC1 7.787216 0.4117647058823529</t>
  </si>
  <si>
    <t>CC1CC(C)(C)C(C)C=C1N(Cc1ccccn1)Cc1ccccn1 7.787214 0.4166666666666667</t>
  </si>
  <si>
    <t>Cc1cc(C)c(CN(C)C2CCC(N(Cc3ccnc(C(C)C)c3)Cc3ccccn3)CC2)nc1C 7.787213 0.359375</t>
  </si>
  <si>
    <t>CN(Cc1ncccc1-c1ccc2c(c1)OCCOCCOCCOCCOCCO2)C1CCCC(N(C)c2ccc3nccc(CF)c3c2)C1 7.7872047 0.29545454545454547</t>
  </si>
  <si>
    <t>CC1=CC(C)C2(C=C(C)C3(C=CC4(CC(C)C(C)=CC45CC(C)=CCC5C)C(c4ncccc4CN(Cc4ccccn4)Cc4ccccn4)C34CC(C)=CCC4C)C3(CC=C(C)C(C)C3)C2)CC1 7.7872043 0.22916666666666666</t>
  </si>
  <si>
    <t>CC(N=Cc1ccccn1)C(C)c1cccc(C2CCC2(C)C)n1 7.787204 0.3333333333333333</t>
  </si>
  <si>
    <t>CN1CCN(C)CCN(Cc2cccnc2-c2c(N)cccc2Cl)CC1 7.787203 0.42857142857142855</t>
  </si>
  <si>
    <t>CC1=CC(c2cccc(CN(C)C3CCC(N(C)Cc4ccc5ncccc5c4)CC3)n2)C(C)C(N(C)Cc2ccccn2)C1C 7.7871976 0.34782608695652173</t>
  </si>
  <si>
    <t>Cc1cc(C)c(CN(C)C2CCCC(N(Cc3ccccn3)Cc3nc(C)c(C)c(C)c3C)C2)cn1 7.7871933 0.375</t>
  </si>
  <si>
    <t>CN1CCN(Cc2cccc(C(C)(C)c3ccccn3)n2)CCN(Cc2cccc(C(C)(C)c3cccc(C4CCC4(C)C)n3)n2)CC1 7.7871866 0.4642857142857143</t>
  </si>
  <si>
    <t>CN(CCF)C1CCCCC1N(C)c1ccc2c(CF)ccnc2c1 7.787183 0.3442622950819672</t>
  </si>
  <si>
    <t>CC(C)N(Cc1ccccn1)Cc1cc(N(C)Cc2cccc(-c3ccc4c(c3)OCCOCCOCCOCCOCCO4)n2)ccn1 7.787168 0.3888888888888889</t>
  </si>
  <si>
    <t>Cc1ccc(CN(Cc2ncccc2C)C2CCCCC2N(C)Cc2ncccc2C(C)(c2ccccn2)C(C)C)nc1 7.7871647 0.46153846153846156</t>
  </si>
  <si>
    <t>Cc1cncc(CN(C)C2CCCC(N(C)CC3=CCC(N(C)Cc4nc(C)c(C)cc4C)=CN3)C2)c1 7.7871513 0.2191780821917808</t>
  </si>
  <si>
    <t>Cc1ccc(N(C)Cc2cccc(-c3ccc4c(c3)OCCOCCOCCOCCOCCO4)n2)c(C)c1 7.787146 0.323943661971831</t>
  </si>
  <si>
    <t>CC(C)N(CCN(C)C(c1ccccc1)c1ccccn1)Cc1cccnc1 7.787144 0.44</t>
  </si>
  <si>
    <t>CC1C=CC(Cl)C(SCc2ccccn2)C1SCc1ccccn1 7.7871366 0.425</t>
  </si>
  <si>
    <t>Cc1nc(CN(C)C2CCCC(N(Cc3ccccn3)Cc3cccnc3CN(C)C)C2)c(C)c(C)c1C 7.7871256 0.3870967741935484</t>
  </si>
  <si>
    <t>CNC1NC=CC=C1N(C)C 7.787119 0.17647058823529413</t>
  </si>
  <si>
    <t>COC(=O)C1CC(C(C)C)C(=O)N(C)C1C(=O)C(C)NCc1ccccn1 7.787108 0.3150684931506849</t>
  </si>
  <si>
    <t>CC(C)C1=CC2(C=CN1)C=CC(c1cccc(CN(Cc3ccccn3)Cc3ccccn3)n1)C(c1cccc(CN(Cc3ccccn3)C3CCCCC3)n1)C2(C)C 7.7871075 0.30666666666666664</t>
  </si>
  <si>
    <t>Cc1ccc(CN(C)C2CCCC(N(Cc3ccccn3)Cc3cc(C)c(C)c(C)n3)C2N(C)Cc2ccccn2)nc1 7.7871056 0.5</t>
  </si>
  <si>
    <t>CC(C)C(C)(c1cccnc1)N(Cc1cc(-c2ccc3c(c2)OCCOCCOCCOCCOCCO3)ccn1)Cc1cc(C(C)(C)c2ccccn2)ccn1 7.787105 0.30952380952380953</t>
  </si>
  <si>
    <t>Fc1ccccc1N(Cc1ccccn1)C1CCCCC1N(Cc1ccccn1)Cc1ncccc1F 7.787102 0.46153846153846156</t>
  </si>
  <si>
    <t>Cc1ccncc1CN(C)CCN(C)Cc1cnccc1C 7.7870965 0.4166666666666667</t>
  </si>
  <si>
    <t>Cc1ccc(C)c(CN(CCN(C)CCF)Cc2nc(C)ccc2C)n1 7.7870955 0.4146341463414634</t>
  </si>
  <si>
    <t>Cc1ccc(CN(C)C2=CNC=CC2CN(C)C(C)C)nc1 7.7870946 0.4</t>
  </si>
  <si>
    <t>CCCN(Cc1ccccn1)Cc1cccc(CN(Cc2ccccn2)Cc2cccc(CN(Cc3cccc(-c4cccc5c4OCCOCCOCCOCCOCCO5)n3)C(C)(C)c3ccccn3)n2)n1 7.787091 0.35064935064935066</t>
  </si>
  <si>
    <t>Cc1cnc(CN(C)C2CCC(N(Cc3ccccn3)Cc3nc(C)c(C)c(C)c3C)CC2)c(C)c1 7.7870893 0.3770491803278688</t>
  </si>
  <si>
    <t>CNCc1ncc(CN(Cc2ccccn2)C2CCCC(N(C)Cc3nc(C)c(C)c(C)c3C)C2)c(C)c1C 7.7870784 0.36363636363636365</t>
  </si>
  <si>
    <t>CCNCCN(C)Cc1cc(C)c(C)c(C)n1 7.787074 0.3409090909090909</t>
  </si>
  <si>
    <t>CCCN(Cc1ccccn1)c1cc2c(c(-c3cccc(CN(Cc4ccccn4)Cc4ccc(F)cn4)n3)c1)OCCOCCOCCOCCOCCO2 7.7870717 0.358974358974359</t>
  </si>
  <si>
    <t>Cc1cnc(CN(CCN(C)C(C)C)Cc2ncccc2C)c(C)c1 7.787054 0.3333333333333333</t>
  </si>
  <si>
    <t>Cc1cccc(N(C)C2CC(N(C)Cc3ccccn3)CC(N(Cc3ccccn3)C(C)C)C2)c1C 7.787046 0.4107142857142857</t>
  </si>
  <si>
    <t>CCOC(=O)c1cccc(CN(Cc2ccccn2)Cc2cccc(-c3ccc4c(c3)OCCOCCOCCOCCOCCO4)n2)n1 7.7870383 0.463768115942029</t>
  </si>
  <si>
    <t>CN(C)Cc1ccc(N(C)Cc2cccc(-c3ccc4c(c3)OCCOCCOCCOCCOCCO4)n2)cn1 7.787027 0.39705882352941174</t>
  </si>
  <si>
    <t>Cc1cncc(CN(C)C2CCC(N(C)Cc3ccccn3)CC2N(Cc2ccccn2)Cc2ncc(C)c(C)c2C)c1 7.7870226 0.42857142857142855</t>
  </si>
  <si>
    <t>Cc1ccccc1N(Cc1ccccn1)C1CCC(N(C)Cc2ncccc2C)CC1 7.7870135 0.45098039215686275</t>
  </si>
  <si>
    <t>Cc1cc(CN(C)C2CC(N(C)Cc3cc(C)c(C)cn3)CC(N(C)Cc3nc(C)ccc3C)C2)ccn1 7.787012 0.3114754098360656</t>
  </si>
  <si>
    <t>CNCc1ncccc1C(C)(C)C 7.7870092 0.2894736842105263</t>
  </si>
  <si>
    <t>Cc1cnc(CN(C)C2CCCC(N(Cc3ccccn3)Cc3cc(C)c(C)c(C)n3)C2)c(C)c1 7.786998 0.3870967741935484</t>
  </si>
  <si>
    <t>CC(C)C1(C)COC(c2cccc(CN(Cc3ccccn3)Cc3cccc(-c4ccc5c(c4)OCCOCCOCCOCCOCCO5)n3)n2)=N1 7.786992 0.43661971830985913</t>
  </si>
  <si>
    <t>Cc1cc(CN(C)C2CCCCC2N(C)Cc2ccc(CN(C)Cc3ncc(C)c(C)c3C)nc2)nc(C)c1C 7.7869916 0.47368421052631576</t>
  </si>
  <si>
    <t>Cc1ccc(CN(C)CC2=CC(N(C)C3C=CC=CN3)C=CN2)nc1 7.786988 0.4230769230769231</t>
  </si>
  <si>
    <t>CC1=C(N(C)Cc2ccccn2)C(C)C(C)(C)CC1C 7.7869854 0.4375</t>
  </si>
  <si>
    <t>Cc1ccc(N(C)Cc2ncccc2-c2ccc3c(c2)OCCOCCOCCOCCOCCO3)cc1C 7.786971 0.323943661971831</t>
  </si>
  <si>
    <t>CCNCc1ccc(CN(C)Cc2ccccn2)cn1 7.7869706 0.4583333333333333</t>
  </si>
  <si>
    <t>CN(CNCc1cccc(C(C)(C)C)n1)C1CCC(N(C)Cc2cc(-c3ccccn3)ccn2)CC1 7.786968 0.359375</t>
  </si>
  <si>
    <t>COC(=O)c1ncccc1CN1CCN(C)CCN(Cc2ncccc2C(C)(C)c2ccccn2)CC1 7.786967 0.38333333333333336</t>
  </si>
  <si>
    <t>CC(C)(C)c1ccnc(CN(CNCF)Cc2cc(C(C)(C)C)ccn2)c1 7.7869635 0.3333333333333333</t>
  </si>
  <si>
    <t>Cc1ccc(-c2ccc(CN(Cc3ccccn3)C3CCCCC3N(C)c3ccc4ncccc4c3)cn2)c2c1OCCOCCOCCOCCOCCO2 7.7869534 0.33766233766233766</t>
  </si>
  <si>
    <t>CN(Cc1ccccn1)Cc1cccc(N(C)Cc2cccc(-c3cccc4c3OCCOCCOCCOCCOCCO4)n2)n1 7.786949 0.49122807017543857</t>
  </si>
  <si>
    <t>C#CCNCc1ncccc1CN(Cc1ccccn1)Cc1ncccc1C 7.7869387 0.43478260869565216</t>
  </si>
  <si>
    <t>CNCc1nc(CN(Cc2ccccn2)C2CCC(N(C)Cc3nc(C)c(C)c(C)c3C)CC2)c(C)cc1C 7.7869334 0.359375</t>
  </si>
  <si>
    <t>CN(C)c1cccc(-c2ccc(CN(Cc3ccccn3)C3CCCC(N(C)Cc4cccc(-c5cccc6c5OCCOCCOCCOCCOCCO6)n4)C3)cn2)c1 7.786932 0.32954545454545453</t>
  </si>
  <si>
    <t>COC(=O)C1CN(C)C(C(=O)C(C)C)C(=O)C1C(=O)OC 7.7869143 0.24193548387096775</t>
  </si>
  <si>
    <t>Cc1cnc(CN(Cc2ccccn2)C2CCC(N(C)Cc3nc(C)c(C)c(C)c3C)CC2)c(C)c1 7.786912 0.3770491803278688</t>
  </si>
  <si>
    <t>Cc1cc(CN(Cc2ccccn2)C2CCCCC2N(Cc2ccccn2)Cc2cccc(F)n2)nc(C)c1C 7.7868943 0.46296296296296297</t>
  </si>
  <si>
    <t>CC1=C(C)C2(C=CNC(C(C)C)=C2)CC(C)(C)C1 7.786889 0.1206896551724138</t>
  </si>
  <si>
    <t>CNC1CC(N(Cc2ccccn2)Cc2ncccc2C)CCC1N(Cc1ncccc1C)Cc1ncccc1C 7.7868843 0.39285714285714285</t>
  </si>
  <si>
    <t>CNCc1cc(-c2cccc(-c3ccc4c(c3)OCCOCCOCCOCCOCCO4)n2)ccn1 7.786865 0.36923076923076925</t>
  </si>
  <si>
    <t>CC(C)N(C)Cc1cncc(C(C)(C)C)c1 7.786862 0.2127659574468085</t>
  </si>
  <si>
    <t>Cc1cccc(CN(Cc2ccc(CN(C)C)nc2)C2CCCC(N(C)Cc3nccc(C)c3C)C2)n1 7.7868547 0.390625</t>
  </si>
  <si>
    <t>C1=CC(NCc2ccccn2)C=CN1 7.786852 0.4857142857142857</t>
  </si>
  <si>
    <t>CC(C)C1(C)COC(c2ncccc2CN(Cc2ccccn2)Cc2cccc(-c3ccc4c(c3)OCCOCCOCCOCCOCCO4)n2)=N1 7.786847 0.4025974025974026</t>
  </si>
  <si>
    <t>CN(c1ccc2nc(CF)ccc2c1)C1CCC(N(Cc2ccccn2)Cc2cccc(-c3ccc4c(c3)OCCOCCOCCOCCOCCO4)n2)CC1 7.786847 0.3466666666666667</t>
  </si>
  <si>
    <t>Cc1cccnc1CN(C)C1CC(N(Cc2ccccn2)Cc2ncccc2C)CC(N(Cc2ccccn2)C(C)C)C1 7.786843 0.38596491228070173</t>
  </si>
  <si>
    <t>CC(C)C(C)c1cc(C(C)(C)C)cnc1C1CCC1(C)C 7.7868385 0.19117647058823528</t>
  </si>
  <si>
    <t>COC(C)c1ncccc1CN1CCN(C)CCN(Cc2ncccc2C(C)(c2ccccn2)c2ccccn2)CC1 7.7868357 0.3898305084745763</t>
  </si>
  <si>
    <t>CCNCc1ncccc1CN(C)Cc1ccccn1 7.786834 0.46808510638297873</t>
  </si>
  <si>
    <t>CN(c1cccc2cc(CF)cnc12)C1CCC(N(Cc2ccccn2)Cc2nc(C3CCC3(C)C)ccc2-c2ccc3c(c2)OCCOCCOCCOCCOCCO3)CC1 7.786818 0.2621359223300971</t>
  </si>
  <si>
    <t>CN1CCN(C)CCN(Cc2cncc(-c3cc(N)cc(Cl)c3)c2)CC1 7.7868123 0.34615384615384615</t>
  </si>
  <si>
    <t>CC(C)(c1cccc(CNCc2cccc(-c3cccc4c3OCCOCCOCCOCCOCCO4)n2)n1)c1cccc(CN(Cc2ccccn2)Cc2ccccn2)n1 7.78681 0.3698630136986301</t>
  </si>
  <si>
    <t>Cc1cccc(CN(C)C2CCC(N(Cc3ccccn3)Cc3cccc(C4CCC4C)n3)CC2N(Cc2cccc(C)n2)Cc2cccc(C)n2)n1 7.7867937 0.4666666666666667</t>
  </si>
  <si>
    <t>CN1CCN(C)CCN(Cc2ccc(-c3cc(Cl)ccc3N)cn2)CC1 7.7867913 0.42857142857142855</t>
  </si>
  <si>
    <t>CN(CC1=CNC(N(C)CCN)=CC1)Cc1ccccn1 7.7867837 0.4339622641509434</t>
  </si>
  <si>
    <t>CN(C)Cc1ccc2cccc(N(C)C3CCCCC3N(Cc3ccccn3)Cc3cccc(-c4cccc5c4OCCOCCOCCOCCOCCO5)n3)c2n1 7.7867675 0.4266666666666667</t>
  </si>
  <si>
    <t>Cc1ccc(CN(Cc2ccccn2)Cc2ncccc2CN(C)C2CCC(N(C)Cc3ncccc3C)CC2)nc1C 7.7867594 0.38333333333333336</t>
  </si>
  <si>
    <t>Cc1cccnc1CN(C)C1=CNC(CN(C)C(C)(C)C(C)N)=CC1 7.786753 0.2463768115942029</t>
  </si>
  <si>
    <t>CCCN(CC1=CC(N(C)Cc2ccccn2)C=CN1)Cc1ccccn1 7.786751 0.46938775510204084</t>
  </si>
  <si>
    <t>CC(C)N(C)Cc1cccc(CN(C(C)C)C(C)C)n1 7.7867494 0.4444444444444444</t>
  </si>
  <si>
    <t>CCN(Cc1ccccn1)C1=C(CN(C)C(C)C)CC=CN1 7.786742 0.40384615384615385</t>
  </si>
  <si>
    <t>COC1(C)N=COC1c1ncccc1CN(Cc1ccccn1)Cc1cc(-c2ccc3c(c2)OCCOCCOCCOCCOCCO3)ccn1 7.7867303 0.3023255813953488</t>
  </si>
  <si>
    <t>CCN(Cc1ccccn1)Cc1ncccc1N(C)Cc1ncccc1-c1ccc2c(c1)OCCOCCOCCOCCOCCO2 7.786729 0.359375</t>
  </si>
  <si>
    <t>CCN(Cc1ccccn1)Cc1cccc(CN(Cc2ccccn2)C2CCCC(N(C)Cc3nc(C)c(C)cc3C)C2)n1 7.7867084 0.3870967741935484</t>
  </si>
  <si>
    <t>Cc1cc(C)c(C)c(CN(C)CCN(C)CCF)n1 7.7867084 0.3902439024390244</t>
  </si>
  <si>
    <t>CNCNCc1cc(CN(Cc2cc(C)ccn2)C(C)C)ccn1 7.7867002 0.36</t>
  </si>
  <si>
    <t>CN1CCN(C)CCN(Cc2ccc(-c3cc(N)ccc3Cl)nc2)CC1 7.7866964 0.3584905660377358</t>
  </si>
  <si>
    <t>C=Cc1ccc(N(C)Cc2cccc(-c3ccc4c(c3)OCCOCCOCCOCCOCCO4)n2)cc1 7.786695 0.3194444444444444</t>
  </si>
  <si>
    <t>COC(C)CN(Cc1ccccn1)Cc1ncccc1C(C)(C)C 7.7866793 0.44</t>
  </si>
  <si>
    <t>CC1C=CCC(C)(c2ccc(CN(Cc3ccccn3)Cc3ccccn3)cn2)C1C 7.7866764 0.4166666666666667</t>
  </si>
  <si>
    <t>Cc1cncc(CN(C)C2=CNC(CN(Cc3ccccn3)Cc3cccc(-c4ccc5c(c4)OCCOCCOCCOCCOCCO5)n3)=CC2)c1 7.7866716 0.37349397590361444</t>
  </si>
  <si>
    <t>Cc1cccc(-c2ccc(CN(Cc3ccccn3)C3CCCCC3)cn2)c1 7.786671 0.40350877192982454</t>
  </si>
  <si>
    <t>CCN(Cc1cccc(C2CC(C)C2Cl)n1)Cc1ncccc1C 7.786664 0.2903225806451613</t>
  </si>
  <si>
    <t>CCNCc1cccc(CN(Cc2ccccn2)C2CCC(N(C)Cc3ccc(-c4ccccc4)cn3)CC2)n1 7.78666 0.39344262295081966</t>
  </si>
  <si>
    <t>CCOC(C)c1ncccc1CN1CCN(C)CCN(Cc2ncccc2C(C)(c2ccccn2)c2ccccn2)CC1 7.786655 0.38333333333333336</t>
  </si>
  <si>
    <t>CN(C)c1ccc(CN(Cc2ccc(-c3cccc4c3OCCOCCOCCOCCOCCO4)nc2)Cc2ccccn2)nc1 7.786652 0.3448275862068966</t>
  </si>
  <si>
    <t>CC(C)N(C)C1CCC(N(C)c2ccc3nc4c(cc3c2)CCCC4)CC1 7.7866507 0.39655172413793105</t>
  </si>
  <si>
    <t>Cc1ccc(C)c(N(Cc2ccccn2)C2CCC(N(C)Cc3ccccn3)CC2)c1 7.7866473 0.4897959183673469</t>
  </si>
  <si>
    <t>CCC(C)C(C)N(C)CC1=CC(N(C)Cc2nc(C)c(C)c(C)c2C)C=CN1 7.786642 0.28125</t>
  </si>
  <si>
    <t>Cc1nc(CN(CC(C)(C)C)C(C)(N)N(CCN(C)C(C)C)Cc2ccccn2)c(C)c(C)c1C 7.78664 0.4067796610169492</t>
  </si>
  <si>
    <t>C=Cc1cccnc1CN(Cc1ccccn1)C1CCCCC1N(C)Cc1nc(C)c(C)cc1C 7.78664 0.4915254237288136</t>
  </si>
  <si>
    <t>COC(C)c1ccc(CN2CCN(C)CCN(Cc3cccc(C(C)(c4ccccn4)c4ccccn4)n3)CC2)cn1 7.786633 0.4406779661016949</t>
  </si>
  <si>
    <t>CC1CCC1N(Cc1ccccn1)C1CCC(N(C)c2ccc3cccnc3c2)CC1 7.7866306 0.40350877192982454</t>
  </si>
  <si>
    <t>CC1=C(NCc2ccccn2)CC(CN(Cc2ccccn2)Cc2ccccn2)CC1C 7.7866244 0.41304347826086957</t>
  </si>
  <si>
    <t>CNC1C(N(Cc2ccc(C)cn2)Cc2cccc(C)n2)CCCC1N(Cc1cccc(C)n1)Cc1cccc(C)n1 7.7866187 0.5</t>
  </si>
  <si>
    <t>CN(Cc1ccc(C2=CC3OC=COCCOCCOCCOCCOC3C=C2)cn1)Cc1ccc(-c2ccc(N(C)C)cc2)cn1 7.7866178 0.28125</t>
  </si>
  <si>
    <t>Cc1cccc(CNCCCN(C)Cc2ncc(C)c(C)c2C)n1 7.786615 0.4583333333333333</t>
  </si>
  <si>
    <t>CC(C)N(C)C1CCCC(N(C)c2cccc3ncccc23)C1 7.7866144 0.37735849056603776</t>
  </si>
  <si>
    <t>CN(Cc1ccccn1)C1=CCC=C(CN(Cc2ccccn2)Cc2cccc(-c3ccc4c(c3)OCCOCCOCCOCCOCCO4)n2)N1 7.7866077 0.4305555555555556</t>
  </si>
  <si>
    <t>Cc1cccnc1CN(Cc1ccccn1)C1CC(N(C)Cc2ccccn2)CC(N(C)Cc2cccnc2C)C1 7.7865963 0.41818181818181815</t>
  </si>
  <si>
    <t>Cc1ccc(CN(Cc2ncccc2C)C2CC(N(C)Cc3cncc(C)c3)CC(N(C)Cc3ccccn3)C2)nc1 7.7865844 0.36923076923076925</t>
  </si>
  <si>
    <t>Cc1nc(CN(C)C2CCCC(N(Cc3cccc(F)n3)Cc3ncccc3N)C2)c(C)c(C)c1C 7.786583 0.30434782608695654</t>
  </si>
  <si>
    <t>Cc1cc(CN(Cc2ccccn2)C2CCC(N(C)Cc3nc(C)c(C)c(C)c3C)CC2)cnc1C 7.786574 0.3770491803278688</t>
  </si>
  <si>
    <t>CC(C)(c1ccccn1)N(Cc1ccccn1)C1CCCCC1N(Cc1ccccn1)c1ccccc1F 7.786566 0.46296296296296297</t>
  </si>
  <si>
    <t>Cc1ccc(CN(C)C2CC(N(C)Cc3ccccn3)CC(N(Cc3ccccn3)Cc3cccc(C)n3)C2)nc1 7.786566 0.4444444444444444</t>
  </si>
  <si>
    <t>FCc1cccc(N(Cc2ccccn2)Cc2ccc(-c3ccc4c(c3)OCCOCCOCCOCCOCCO4)cn2)n1 7.786565 0.44776119402985076</t>
  </si>
  <si>
    <t>Cc1cnc(CN(C)C2CCCC(N(Cc3ccccn3)Cc3nc(C)c(C)c(C)c3C)C2)c(C)c1 7.7865586 0.38095238095238093</t>
  </si>
  <si>
    <t>COC(=O)C(=O)C(C)c1cccc(CN(Cc2ccccn2)Cc2cc(-c3ccc4c(c3)OCCOCCOCCOCCOCCO4)ccn2)n1 7.786557 0.36363636363636365</t>
  </si>
  <si>
    <t>CNCCNC1C=CC=C(N(C)Cc2ccccn2)N1 7.786554 0.39622641509433965</t>
  </si>
  <si>
    <t>CC1C=CC=C(N(C)Cc2ccccn2)C1C 7.78655 0.4883720930232558</t>
  </si>
  <si>
    <t>Cc1cnccc1CN(C)C1=CNC=CC1CN(C)C(C)C 7.786548 0.19672131147540983</t>
  </si>
  <si>
    <t>Cc1ccnc(CN(C)C2CCCCC2N(C)c2cccc(CN(C)Cc3ncccc3C)n2)c1 7.7865353 0.4576271186440678</t>
  </si>
  <si>
    <t>Cc1ccc(CN2CCN(C)CCN(Cc3ccnc(-c4ccccc4C)c3)CC2)nc1 7.786522 0.4716981132075472</t>
  </si>
  <si>
    <t>Nc1ccccc1F 7.7865186 0.2647058823529412</t>
  </si>
  <si>
    <t>CC1C=CCC(C)(c2ncccc2CN(Cc2ccccn2)Cc2ccccn2)C1C 7.7865057 0.43478260869565216</t>
  </si>
  <si>
    <t>CCNCCN(C)Cc1nc(C)c(C)cc1C 7.786505 0.28888888888888886</t>
  </si>
  <si>
    <t>Cc1nc(CN(C)C2CCCC(N(Cc3ccc(CN(C)C)nc3)Cc3ccccn3)C2)c(C)c(C)c1C 7.786502 0.38095238095238093</t>
  </si>
  <si>
    <t>Cc1cc(CN(C)C2CCCC(N(Cc3ccccn3)Cc3nc(C)c(C)c(C)c3C)C2)cnc1C 7.7864985 0.38095238095238093</t>
  </si>
  <si>
    <t>CNc1cncc(CN(Cc2ccccn2)C2CCC(N(C)Cc3cc(C)c(C)c(C)n3)CC2)c1 7.786496 0.36923076923076925</t>
  </si>
  <si>
    <t>Cc1ccccc1CN(C)Cc1cccc(N(C)Cc2cccc(-c3ccc4c(c3)OCCOCCOCCOCCOCCO4)n2)n1 7.7864933 0.3384615384615385</t>
  </si>
  <si>
    <t>Cc1cc(C)c(C)c(-c2ncccc2CN2CCN(C)CCN(C)CC2)c1 7.7864823 0.4489795918367347</t>
  </si>
  <si>
    <t>Cc1cc(CN(C)CCN(C)CCF)nc(C)c1C 7.786475 0.4</t>
  </si>
  <si>
    <t>CC(N)C(C)C(C)N(Cc1ccccn1)Cc1cccc(C(C)(C)c2ccccn2)n1 7.786468 0.4489795918367347</t>
  </si>
  <si>
    <t>CCN(Cc1ccccn1)C1CC(N(C)Cc2ccccn2)CC(N(Cc2ccccn2)Cc2ncc(C)c(C)c2C)C1 7.7864633 0.42592592592592593</t>
  </si>
  <si>
    <t>CC1C=C(N(C)Cc2ccccn2)C(C(C)(C)CN(Cc2ccccn2)Cc2ccon2)CC1C 7.7864566 0.3770491803278688</t>
  </si>
  <si>
    <t>C=CCN(C)Cc1cc(C(C)(C)C)ccn1 7.786456 0.32142857142857145</t>
  </si>
  <si>
    <t>CN(c1ccc2nc(CF)ccc2c1)C1CCC(N(Cc2ccccn2)Cc2ccc(-c3ccc4c(c3)OCCOCCOCCOCCOCCO4)cn2)CC1 7.786456 0.4</t>
  </si>
  <si>
    <t>Cc1cccc(CN(C)CC2=CC(N(C)C3C=CC=CN3)C=CN2)n1 7.786456 0.4230769230769231</t>
  </si>
  <si>
    <t>c1ccc(C2N=C(CC3CCN(Cc4ccccn4)C3)OC2CN(Cc2ccccn2)Cc2ccccn2)cc1 7.786442 0.36231884057971014</t>
  </si>
  <si>
    <t>CN(c1ccc2nccc(CF)c2c1)C1CCCCC1N(Cc1ccccn1)Cc1cccc(-c2ccc3c(c2)OCCOCCOCCOCCOCCO3)n1 7.786436 0.3333333333333333</t>
  </si>
  <si>
    <t>CC(C)N(C)C1CCC(N(C)c2ccc3nc(CF)ccc3c2)CC1 7.786429 0.3684210526315789</t>
  </si>
  <si>
    <t>CC(C)C1COC(c2cccc(CN(Cc3ccccn3)Cc3cccc(-c4ccc5c(c4)OCCOCCOCCOCCOCCO5)n3)n2)=N1 7.7864127 0.44285714285714284</t>
  </si>
  <si>
    <t>Cc1ccc(CN(C)C2CCC(N(C)Cc3ccc(C4CC(C)(C)C4)nc3CN(Cc3ccccn3)Cc3ncccc3F)CC2)nc1 7.7863975 0.3424657534246575</t>
  </si>
  <si>
    <t>CNCc1ccc(C2CC(C)(C)C2)c(C(C)C(C)C)n1 7.786386 0.21052631578947367</t>
  </si>
  <si>
    <t>Cc1cnc(CN(Cc2ccccn2)C2CCCC(N(C)Cc3nc(C)c(C)c(C)c3C)C2)c(C)c1 7.786383 0.38095238095238093</t>
  </si>
  <si>
    <t>CC1=CCC(C)(C)C2(C=CC(c3ncccc3CN(Cc3ccccn3)Cc3ccccn3)C(C)C2C)C12C(C)C=CCC2C 7.7863774 0.3116883116883117</t>
  </si>
  <si>
    <t>Fc1ccccc1N(Cc1ccccn1)C1CCCC(N(Cc2ccccn2)Cc2cccnn2)C1 7.786376 0.47058823529411764</t>
  </si>
  <si>
    <t>Cc1ccnc(CN(C)CCN(C)C)c1 7.7863727 0.5</t>
  </si>
  <si>
    <t>CC1=C(C)C(C)CC2(C=CC(c3cc(CN(Cc4ccccn4)C4CCCCC4)ccn3)C(c3ccc(CN(Cc4ccccn4)Cc4ccccn4)cn3)C23CCC(C)=C(C)C3C)C1 7.786372 0.26136363636363635</t>
  </si>
  <si>
    <t>CC(N)C(C)CN(C)CC1=CCC(N(C)Cc2ccccn2)=CN1 7.7863626 0.3770491803278688</t>
  </si>
  <si>
    <t>Cc1cc(C)c(C)c(CN(Cc2ccccn2)C2CCCC(N(C)Cc3nc(C)c(C)cc3C)C2)n1 7.786352 0.3870967741935484</t>
  </si>
  <si>
    <t>Cc1ccc(CN(CC2=C(N(C)Cc3ccccn3)CC=CN2)C2CCCCC2N(C)Cc2cccc(C)n2)nc1 7.7863493 0.4696969696969697</t>
  </si>
  <si>
    <t>Cc1cnc(CN(C)CCN(C)C(C)(c2cccnc2)C(C)C)c(C)c1C 7.786346 0.3090909090909091</t>
  </si>
  <si>
    <t>CN(Cc1ccccn1)Cc1ncccc1N(C)Cc1cncc(-c2cccc3c2OCCOCCOCCOCCOCCO3)c1 7.7863383 0.3333333333333333</t>
  </si>
  <si>
    <t>CN1C=CC(CN(C)Cc2ncccc2N)C=C1 7.7863383 0.3</t>
  </si>
  <si>
    <t>CC1CC(NCc2ccccn2)C=C(c2cccnc2CN(CCNCc2ccccn2)Cc2ccccn2)C1C 7.7863297 0.3620689655172414</t>
  </si>
  <si>
    <t>Cc1cccc(CN(Cc2ccccn2)C2CCCC(N(C)Cc3ccccn3)C2N(C)Cc2nc(C)c(C)cc2C)n1 7.7863216 0.5</t>
  </si>
  <si>
    <t>CC1C=CC(C)(C)C(C)(c2cc(CN(Cc3ccccn3)Cc3ccccn3)ccn2)C1C 7.786317 0.43478260869565216</t>
  </si>
  <si>
    <t>CN(C)C1=C(CN(C)C2C=CC=CN2)CC=CN1 7.786317 0.2413793103448276</t>
  </si>
  <si>
    <t>CNCc1cc(CN(C)C2CCC(N(C)Cc3ccc4cccnc4c3)CC2)ccn1 7.7863154 0.3333333333333333</t>
  </si>
  <si>
    <t>CC(C)C(C)(c1cccnc1)N(C)CC1=CC(N(C)Cc2ccccn2)C=CN1 7.7863135 0.34375</t>
  </si>
  <si>
    <t>COC(C)c1cc(CN2CCN(C)CCN(Cc3cccc(C(C)(c4ccccn4)c4ccccn4)n3)CC2)ccn1 7.7863107 0.4406779661016949</t>
  </si>
  <si>
    <t>Cc1cc([SiH3])nc(CN(Cc2nc([SiH3])c(C)c(C)c2C)C2CCCCC2N(C)Cc2ccc([SiH3])c([SiH3])n2)c1 7.786309 0.3870967741935484</t>
  </si>
  <si>
    <t>Cc1cnc(CN(C)C2CCC(N(C)Cc3cccc(C4=CCC=CN4)n3)CC2)c(C)c1C 7.7863073 0.3283582089552239</t>
  </si>
  <si>
    <t>CC1C=CC(C)C(C)(c2cccc(CN(C)Cc3ccccn3)n2)C1 7.786307 0.49019607843137253</t>
  </si>
  <si>
    <t>Cc1cc(C)c(CN(Cc2ccccn2)C2CCC(N(C)Cc3cc(C)c(C)c(C)n3)CC2)nc1C 7.786304 0.41379310344827586</t>
  </si>
  <si>
    <t>C=Cc1ccc(CN(Cc2ccccn2)C2CCC(N(C)Cc3nccc(C)c3C)CC2)nc1 7.786289 0.3939393939393939</t>
  </si>
  <si>
    <t>Cc1cnc(CN(C)C2CCCC(N(C)Cc3cccc(C4=CCC=CN4)n3)C2)c(C)c1 7.7862854 0.3283582089552239</t>
  </si>
  <si>
    <t>CCNc1ncccc1C 7.7862806 0.32608695652173914</t>
  </si>
  <si>
    <t>CC(C)N(C)Cc1cccc(C(C)(C)C)n1 7.7862782 0.375</t>
  </si>
  <si>
    <t>Cc1ccc(CN(C)C2CCC(N(Cc3ccccn3)Cc3cc(CN(C)C(C)(C)c4cccnc4CN(C)C4CCC(N(C)Cc5ccccn5)CC4N(Cc4ccccn4)Cc4nc(C)c(C)c(C)c4C)ccn3)CC2)nc1 7.786274 0.3373493975903614</t>
  </si>
  <si>
    <t>Cc1ccc(CN(C)CCN(C)C2CCC(N(Cc3nc(C)c(C)cc3C)Cc3nc(C)c(C)c(C)c3C)CC2N(C)Cc2ccccn2)nc1 7.7862678 0.3888888888888889</t>
  </si>
  <si>
    <t>CC(C)C(C)(C)c1nc(C2CCC2(C)C)ccc1C(C)(C)C 7.786267 0.20408163265306123</t>
  </si>
  <si>
    <t>Cc1ccccc1C(C)(C)C 7.786267 0.3333333333333333</t>
  </si>
  <si>
    <t>Cc1ccc(CN(C)C2CCCC(N(Cc3ccccn3)Cc3cccc(CN(C)C(C)(C)c4cccnc4C)n3)C2)nc1 7.7862597 0.3939393939393939</t>
  </si>
  <si>
    <t>CN(Cc1ccccn1)Cc1cccc(N(C)Cc2ncccc2-c2cccc3c2OCCOCCOCCOCCOCCO3)n1 7.7862597 0.4098360655737705</t>
  </si>
  <si>
    <t>CN(c1ccc2nc(CF)ccc2c1)C1CCC(N(Cc2ccccn2)Cc2cc(-c3ccc4c(c3)OCCOCCOCCOCCOCCO4)ccn2)CC1 7.786259 0.3333333333333333</t>
  </si>
  <si>
    <t>C=Cc1cccnc1CN(Cc1ccccn1)C1CCC(N(C)Cc2nccc(C)c2C)CC1 7.7862577 0.3898305084745763</t>
  </si>
  <si>
    <t>CN(CNCc1ncccc1C(C)(C)C)C1CCC(N(C)Cc2ncccc2-c2ccccn2)CC1 7.7862577 0.3064516129032258</t>
  </si>
  <si>
    <t>CN(CCN(C)C1(C)CCC1)Cc1cccc2ncccc12 7.786252 0.4583333333333333</t>
  </si>
  <si>
    <t>CCCN(Cc1ccccn1)c1ccc2c(c1-c1cccc(CN(Cc3ccccn3)Cc3ncccc3C)n1)OCCOCCOCCOCCOCCO2 7.7862496 0.34615384615384615</t>
  </si>
  <si>
    <t>Cc1ccc(CN(C2CCC(N(C)c3ccc4nc(-c5cccc(C)n5)ccc4c3)CC2)C2COCCOC3C=CC=CC3OCCOCCOC=CO2)nc1 7.786242 0.26744186046511625</t>
  </si>
  <si>
    <t>CCN(Cc1ccccn1)C1CCC(N(C)Cc2nc(C)c(C)c(C)c2C)C(N(C)Cc2cc(C)c(C)c(C)n2)C1 7.7862344 0.43548387096774194</t>
  </si>
  <si>
    <t>CC(C)C1COC(c2cccc(CN3CCN(C)CCN(Cc4cc(C(C)(C)c5ccccn5)ccn4)CC3)n2)=N1 7.786227 0.4090909090909091</t>
  </si>
  <si>
    <t>CN(Cc1ccccn1)Cc1cccc(N(C)Cc2ccc(-c3cccc4c3OCCOCCOCCOCCOCCO4)cn2)n1 7.786226 0.3968253968253968</t>
  </si>
  <si>
    <t>CCNC1C(N(C)Cc2cc(C)ccn2)CCCC1N(Cc1nc(C)c(C)c(C)c1C)Cc1nc(C)c(C)c(C)c1C 7.786226 0.3548387096774194</t>
  </si>
  <si>
    <t>CN(CCNc1ccc2ncccc2c1)Cc1cccc(-c2ccc3c(c2)OCCOCCOCCOCCOCCO3)n1 7.786224 0.3382352941176471</t>
  </si>
  <si>
    <t>Cc1cc(C)c(C)c(CN(C)C2CCC(N(Cc3ccccn3)Cc3cccnc3CN(Cc3ccccn3)C(C)C)CC2)n1 7.7862225 0.4166666666666667</t>
  </si>
  <si>
    <t>Cc1ccc(N(C)Cc2cc(-c3ccc4c(c3)OCCOCCOCCOCCOCCO4)ccn2)c(C)c1 7.786221 0.373134328358209</t>
  </si>
  <si>
    <t>Cc1cnc(CN(C)CCCN(C)CC(C)(C)C)c(C)c1C 7.786211 0.3409090909090909</t>
  </si>
  <si>
    <t>CCN(Cc1cc(C(C)(C)C)ccn1)Cc1cccc(C2CCC2(C)C)n1 7.786209 0.30434782608695654</t>
  </si>
  <si>
    <t>CN(Cc1ccccn1)Cc1ncccc1N(C)Cc1cccc(-c2cccc3c2OCCOCCOCCOCCOCCO3)n1 7.7862024 0.45901639344262296</t>
  </si>
  <si>
    <t>CN(CCNc1ccc2ncccc2c1)Cc1ncccc1-c1cccc2c1OCCOCCOCCOCCOCCO2 7.786202 0.29411764705882354</t>
  </si>
  <si>
    <t>CCN(CC1=C(N(C)Cc2ccccn2)CC=CN1)CC(C)(C)C 7.786195 0.4807692307692308</t>
  </si>
  <si>
    <t>CCN(Cc1ccccn1)c1cccnc1CN(Cc1ccccn1)Cc1cccc(-c2ccc3c(c2)OCCOCCOCCOCCOCCO3)n1 7.786194 0.4492753623188406</t>
  </si>
  <si>
    <t>Cc1cc(NCc2ccccn2)ccc1C(C)(C)N(C)C1CC(N(C)Cc2ccccn2)CC(N(Cc2ccccn2)C(C)C)C1 7.78618 0.3484848484848485</t>
  </si>
  <si>
    <t>CCNc1nc(C)ccc1C(C)(C(C)C)C(C)C 7.7861786 0.25925925925925924</t>
  </si>
  <si>
    <t>Cc1cc(CN(Cc2ccccn2)C2CCCC(N(C)Cc3nc(C)c(C)c(C)c3C)C2)cnc1C 7.7861767 0.38095238095238093</t>
  </si>
  <si>
    <t>CCNC1CC(N(C)Cc2ccccn2)CC(N(Cc2nc(C)c(C)cc2C)Cc2nc(C)c(C)cc2C)C1 7.7861743 0.38333333333333336</t>
  </si>
  <si>
    <t>Cc1cncc(CN(C)C2CC(N(C)Cc3ccccn3)CC(N(Cc3ccccn3)Cc3ccc(C)c(C)n3)C2)c1 7.7861433 0.3770491803278688</t>
  </si>
  <si>
    <t>CN(CCN(Cc1ccccn1)c1ccc2ncccc2c1)c1cccc2c1OCCOCCOCCOCCOCCO2 7.7861414 0.3492063492063492</t>
  </si>
  <si>
    <t>CN(CNCc1cc(C(C)(C)C)ccn1)C1CCC(N(C)Cc2cc(-c3ccccn3)ccn2)CC1 7.7861295 0.3548387096774194</t>
  </si>
  <si>
    <t>CCOC(C)c1nc(CN(Cc2ccccn2)Cc2ccccn2)ccc1CN(Cc1ccccn1)Cc1cccc(-c2ccc3c(c2)OCCOCCOCCOCCOCCO3)n1 7.786126 0.4444444444444444</t>
  </si>
  <si>
    <t>CN(CC1=CCC=CN1)C1=CCNC=C1 7.78612 0.3877551020408163</t>
  </si>
  <si>
    <t>C=CCN(C)CCN(C)CC1=C(N(C)Cc2ccccn2)NC=CC1 7.7861195 0.4126984126984127</t>
  </si>
  <si>
    <t>COCc1cccc(CN2CCC(C3CCCN3Cc3cc(C(C)(c4ccccn4)c4ccccn4)ccn3)C2)n1 7.7861075 0.4090909090909091</t>
  </si>
  <si>
    <t>FCc1ncccc1N(Cc1ccccn1)Cc1ncccc1-c1cccc2c1OCCOCCOCCOCCOCCO2 7.786107 0.30357142857142855</t>
  </si>
  <si>
    <t>Cc1cc(C)c(CN(C)C2CCC(N(Cc3ccccn3)Cc3cc(C)c(C)c(C)n3)CC2)nc1C 7.786101 0.39655172413793105</t>
  </si>
  <si>
    <t>Cc1ccc(CN(Cc2cc(C)c(C)c(C)n2)C2CCCC(N(C)Cc3ccc(C)c(C)n3)C2)cn1 7.786096 0.3076923076923077</t>
  </si>
  <si>
    <t>COC(C)c1ncccc1CN1CCN(C)CCN(Cc2cc(C(C)(c3ccccn3)c3ccccn3)ccn2)CC1 7.7860937 0.4406779661016949</t>
  </si>
  <si>
    <t>Cc1cnccc1CN(C)C1=CNC=CC1CN(C)C(C)(C)C 7.786081 0.19117647058823528</t>
  </si>
  <si>
    <t>CNCc1cc(CN(C)C2CCC(N(C)Cc3ccc4ncccc4c3)CC2)ccn1 7.7860785 0.3333333333333333</t>
  </si>
  <si>
    <t>Cc1cccnc1CN(Cc1ccc(N)cn1)C1CCCC(N(C)Cc2cc(C)c(C)c(C)n2)C1 7.7860713 0.3235294117647059</t>
  </si>
  <si>
    <t>CC(C)N(C)C1CCC(N(C)c2ccc3ncc(CF)cc3c2)CC1 7.7860627 0.24615384615384617</t>
  </si>
  <si>
    <t>CN(Cc1ccccn1)CN(Cc1ccccn1)Cc1cc(N(C)Cc2cccc(-c3ccc4c(c3)OCCOCCOCCOCCOCCO4)n2)ccn1 7.7860594 0.4225352112676056</t>
  </si>
  <si>
    <t>CNCc1cc(CN(Cc2nc(C)c(C)cc2C)C2CCC(N(C)Cc3nc(C)c(C)cc3C)CC2)ccn1 7.7860546 0.27419354838709675</t>
  </si>
  <si>
    <t>CN(Cc1ccccn1)Cc1cccc(N(C)Cc2cccc(-c3ccc4c(c3)OCCOCCOCCOCCOCCO4)n2)n1 7.786049 0.49122807017543857</t>
  </si>
  <si>
    <t>CN(Cc1ccccn1)Cc1ncccc1N(C)Cc1ccc(-c2cccc3c2OCCOCCOCCOCCOCCO3)nc1 7.7860475 0.35294117647058826</t>
  </si>
  <si>
    <t>Cc1cccnc1CN(C)C1CC(N(C)Cc2ccccn2)CC(N(Cc2cccc(F)n2)Cc2cccnc2F)C1 7.7860427 0.36507936507936506</t>
  </si>
  <si>
    <t>CC(C)C(C)N(C)Cc1ncccc1C(C)(C)c1ccccn1 7.786042 0.32075471698113206</t>
  </si>
  <si>
    <t>Cc1cc(C)c(C)c(CN(C)C2CCCC(N(C)Cc3nc(C)c(C)c(C)c3C)C2)n1 7.7860417 0.2962962962962963</t>
  </si>
  <si>
    <t>CC(C)NC1=C(N(C)C(C)C)C=CNC1 7.7860384 0.16326530612244897</t>
  </si>
  <si>
    <t>CN(CCN(Cc1ccccn1)c1cccc2ncccc12)c1cccc2c1OCCOCCOCCOCCOCCO2 7.786034 0.3333333333333333</t>
  </si>
  <si>
    <t>CN(c1ccc2ncc(CF)cc2c1)C1CCC(N(Cc2ccccn2)Cc2ccc(-c3ccc4c(c3)OCCOCCOCCOCCOCCO4)cn2)CC1 7.7860165 0.3855421686746988</t>
  </si>
  <si>
    <t>CNCc1nc(CN(Cc2ccccn2)C2CCC(N(C)Cc3nc(C)c(C)c(C)c3C)CC2)c(C)c(C)c1C 7.7860165 0.3898305084745763</t>
  </si>
  <si>
    <t>CN(c1cccc2cc(CF)cnc12)C1CCC(N(Cc2ccccn2)Cc2ccc(-c3ccc4c(c3)OCCOCCOCCOCCOCCO4)cn2)CC1 7.7860126 0.3855421686746988</t>
  </si>
  <si>
    <t>CN1CCN(C)CCN(Cc2cncc(-c3ccc(Cl)c(Cl)c3)c2)CC1 7.7860103 0.3877551020408163</t>
  </si>
  <si>
    <t>CC1=C(C)CC(N(C)Cc2ncccc2C(C)(C)C)C(C)C1 7.786008 0.34615384615384615</t>
  </si>
  <si>
    <t>Cc1cc(CN(C)CCN(C)Cc2cccc(C3CCC3(C)C)n2)nc(C)c1C 7.786006 0.4117647058823529</t>
  </si>
  <si>
    <t>CN(Cc1cc(-c2ccc3c(c2)OCCOCCOCCOCCOCCO3)ccn1)C1=CC(c2cccc(N(C)C)c2)CC=C1 7.7860007 0.3333333333333333</t>
  </si>
  <si>
    <t>COC(=O)c1cc(CN2CCN(C)CCN(Cc3ncccc3C(C)(C)c3ccccn3)CC2)ccn1 7.7859855 0.36507936507936506</t>
  </si>
  <si>
    <t>Cc1cc(CN(C)C2CCCC(N(Cc3ccccn3)Cc3ncc(N)c(C)c3C)C2)cnc1C 7.7859845 0.36923076923076925</t>
  </si>
  <si>
    <t>Cc1cccc(C(C)NCc2ccccn2)c1 7.785984 0.425</t>
  </si>
  <si>
    <t>Cc1cnc(CN(C)C2C(N(C)Cc3ccccn3)CCCC2N(Cc2ncccc2C)Cc2ncccc2C)c(C)c1 7.785978 0.5</t>
  </si>
  <si>
    <t>CN1CCN(C)CCN(Cc2cccnc2CN(C)Cc2cccc(-c3cccc(N)c3)n2)CC1 7.7859735 0.39344262295081966</t>
  </si>
  <si>
    <t>CC1C=C(N(C)Cc2ccccn2)C2C=CC=NC2C1 7.78595 0.39622641509433965</t>
  </si>
  <si>
    <t>Cc1cncc(CN(Cc2ccon2)C2CCC(N(C)Cc3cc(C)c(C)c(C)n3)CC2)c1 7.7859397 0.3220338983050847</t>
  </si>
  <si>
    <t>Fc1cccc(N(Cc2ccccn2)C2CCCCC2N(Cc2ccc3ncccc3c2)Cc2ccc(-c3ccc4c(c3)OCCOCCOCCOCCOCCO4)cn2)c1 7.785936 0.38372093023255816</t>
  </si>
  <si>
    <t>CNC1C(N(Cc2ncccc2C)Cc2ncccc2C)CCCC1N(Cc1ncccc1C)Cc1ncccc1C 7.785934 0.3673469387755102</t>
  </si>
  <si>
    <t>CCOC(=O)C1CN(C)C(C(=O)C2(C)COC(c3cc(CN4CCN(C)CCN(C)CC4)ccn3)=N2)C(c2ccccn2)C1c1ccccn1 7.785931 0.34523809523809523</t>
  </si>
  <si>
    <t>Cc1cncc(CN(C)C2CC(N(C)Cc3ccccn3)CC(N(Cc3cccc(C)n3)Cc3cccc(C)n3)C2)c1 7.7859206 0.4067796610169492</t>
  </si>
  <si>
    <t>CC1N=C(CCC2CN(C)CCN(C)CCN2Cc2nc3ccccc3n2C)OC1C 7.7859197 0.49122807017543857</t>
  </si>
  <si>
    <t>Cc1ccnc2cccc(N(C)C3CCCC(N(Cc4ccccn4)C(C)C(C)C(C)N)C3)c12 7.7858996 0.3484848484848485</t>
  </si>
  <si>
    <t>CCOC(C)c1ncccc1CN1CCN(C)CCN(Cc2cc(C(C)(c3ccccn3)c3ccccn3)ccn2)CC1 7.7858973 0.4262295081967213</t>
  </si>
  <si>
    <t>Cc1cccc(CN(Cc2cccc(CN(C)C)n2)C2CCC(N(C)Cc3cc(C)c(C)c(C)n3)CC2)n1 7.7858973 0.4716981132075472</t>
  </si>
  <si>
    <t>CNC1C(N(C)Cc2ccccn2)CCCC1N(c1ccc2cccnc2c1)C1(C)CCC1 7.7858953 0.4666666666666667</t>
  </si>
  <si>
    <t>Cc1ccc(CN(C)C2CCCC(N(C)Cc3cc(C)c(C)c(C)n3)C2)c(NCc2ccccn2)c1 7.785895 0.375</t>
  </si>
  <si>
    <t>Cc1cccc(CN(C)C2C=CNC(CN(C)C3C=CNC(C(C)C)=C3)=C2)n1 7.785882 0.42592592592592593</t>
  </si>
  <si>
    <t>CN(CCNCc1ccccn1)CCN(Cc1ccccn1)c1cccc(F)c1 7.78588 0.45652173913043476</t>
  </si>
  <si>
    <t>Cc1cnc(CN(C)C2CCCCC2N(Cc2ccccn2)Cc2cccc(C(C)(c3cccnc3)C(C)N)n2)c(C)c1C 7.7858753 0.4142857142857143</t>
  </si>
  <si>
    <t>Cc1cccnc1CN(C)CCN(C(C)C)C(C)C 7.785871 0.4090909090909091</t>
  </si>
  <si>
    <t>CCN(Cc1ccccn1)C1=CC(N(C)Cc2cccc(C3CCC3(C)C)n2)C(Cl)C(C2CCC2(C)C)=C1C 7.785868 0.34782608695652173</t>
  </si>
  <si>
    <t>CNC1CCCC(N(Cc2ncccc2C)Cc2ncccc2C)C1N(Cc1ncccc1C)Cc1ncccc1C 7.7858653 0.33962264150943394</t>
  </si>
  <si>
    <t>CCN(Cc1cc(C)c(C)c(C)n1)C(C)(C)C1C(C)C(C(=O)OC)CN(C)C1C(=O)C(C)N 7.7858577 0.1839080459770115</t>
  </si>
  <si>
    <t>CN(Cc1ccccn1)Cc1cccc(N(C)Cc2ccc(-c3ccc4c(c3)OCCOCCOCCOCCOCCO4)nc2)n1 7.785851 0.40625</t>
  </si>
  <si>
    <t>CN(C)Cc1ccnc2cc(N(C)C3CCC(N(C)Cc4cc(-c5ccc6c(c5)OCCOCCOCCOCCOCCO6)ccn4)CC3)ccc12 7.785825 0.34615384615384615</t>
  </si>
  <si>
    <t>CC1=C(C)C(C)C(N(C)CC2=CC(N(C)Cc3nc(C)c(C)c(C)c3C)C=CN2)CC1 7.78582 0.2835820895522388</t>
  </si>
  <si>
    <t>Cc1ccc(CN(Cc2cccc(CN(Cc3cccc(C)n3)C(C)C)n2)C2CCCC(N(C)Cc3ncccc3C)C2)nc1 7.7858195 0.36764705882352944</t>
  </si>
  <si>
    <t>Cc1cccc(CN(Cc2cccc(C(C)(c3cccnc3)C(C)N)n2)C2CCC(N(C)Cc3ncccc3C)CC2)n1 7.7858152 0.3333333333333333</t>
  </si>
  <si>
    <t>CC(C)N(C)CC1C=CNC=C1N(C)Cc1ccc(N)cn1 7.785779 0.2807017543859649</t>
  </si>
  <si>
    <t>Cc1cc(C)c(CN(Cc2ccccn2)C2CCCC(N(C)Cc3cc(C)c(C)c(C)n3)C2)nc1C 7.7857757 0.4166666666666667</t>
  </si>
  <si>
    <t>Cc1cncc(CN(C)C2CCCC(N(C)Cc3ccccn3)C2N(Cc2ccccn2)Cc2nc(C)c(C)c(C)c2C)c1 7.7857757 0.45901639344262296</t>
  </si>
  <si>
    <t>CC(C)(C1=CC2(C=CN1)C=CC(C)(C)C(c1cc(CN(Cc3ccccn3)Cc3cc(-c4ccc5c(c4)OCCOCCOCCOCCOCCO5)ccn3)ccn1)C2c1cc(CN(Cc2ccccn2)Cc2ccccn2)ccn1)c1ccc(-c2ccc3c(c2)OCCOCCOCCOCCOCCO3)cn1 7.785766 0.29292929292929293</t>
  </si>
  <si>
    <t>COCC(C)(CN(Cc1ccccn1)Cc1cccc(C(C)(c2ccccn2)c2ccccn2)n1)c1cccc(CN(Cc2cccc(-c3ccc4c(c3)OCCOCCOCCOCCOCCO4)n2)Cc2cccc(-c3ccc4c(c3)OCCOCCOCCOCCOCCO4)n2)n1 7.78575 0.44</t>
  </si>
  <si>
    <t>CCNc1ccc(C(C)(C)C(C)N)c(C)n1 7.7857494 0.32075471698113206</t>
  </si>
  <si>
    <t>CNc1ccccc1 7.785749 0.3888888888888889</t>
  </si>
  <si>
    <t>CN1CCN(C)CCN(Cc2ccc(-c3cc(N)cc(Cl)c3)nc2)CC1 7.785741 0.3584905660377358</t>
  </si>
  <si>
    <t>CN(Cc1ccccn1)Cc1cc(N(C)Cc2cccc(-c3cccc4c3OCCOCCOCCOCCOCCO4)n2)ccn1 7.78574 0.4666666666666667</t>
  </si>
  <si>
    <t>Cc1cccnc1CN(Cc1ncccc1C(C)C(C)N)C(C)C 7.7857347 0.4222222222222222</t>
  </si>
  <si>
    <t>Cc1nc(CN(Cc2ccccn2)C2C(N(C)Cc3ccccn3)CCCC2N(C)Cc2ccc(F)cn2)c(C)c(C)c1C 7.785734 0.4827586206896552</t>
  </si>
  <si>
    <t>CNCc1cc(CN(Cc2cc(C)c(C)c(C)n2)C2CCCC(N(C)Cc3cc(C)c(C)c(C)n3)C2)ccn1 7.785729 0.296875</t>
  </si>
  <si>
    <t>CN1CCN(C)CCN(Cc2ccc(CN(C)Cc3cccc(-c4ccccc4N)n3)nc2)CC1 7.7857146 0.41379310344827586</t>
  </si>
  <si>
    <t>CC1=CC(C)C(C)(C)C(C)(c2ncccc2CN(Cc2ccccn2)Cc2ccccn2)C1C 7.785709 0.4444444444444444</t>
  </si>
  <si>
    <t>CN(C)Cc1ccc2cc(N(C)C3CCCCC3N(Cc3ccccn3)Cc3ccc(-c4ccc5c(c4)OCCOCCOCCOCCOCCO5)cn3)ccc2n1 7.785705 0.4125</t>
  </si>
  <si>
    <t>CC(C)N(C)Cc1ccnc(CN(C)C)c1 7.7857018 0.36585365853658536</t>
  </si>
  <si>
    <t>FCc1ccc(N(Cc2ccccn2)Cc2cccc(-c3ccc4c(c3)OCCOCCOCCOCCOCCO4)n2)cn1 7.7856913 0.391304347826087</t>
  </si>
  <si>
    <t>Cc1cccc(N2CCN(C)CCN(Cc3ncccc3C(C)(C)c3ccccn3)CC2)c1 7.785682 0.40350877192982454</t>
  </si>
  <si>
    <t>Cc1cccnc1CN(C)C1=CNC=CC1CN(C)C(C)C 7.7856674 0.25862068965517243</t>
  </si>
  <si>
    <t>CN1CCN(C)CCN(Cc2cccnc2-c2ccc(Cl)cc2N)CC1 7.7856593 0.42</t>
  </si>
  <si>
    <t>Cc1cnc(CN(C)C2CCCC(N(Cc3ccccn3)Cc3c(C)cnc(C)c3C)C2)c(C)c1C 7.785652 0.4067796610169492</t>
  </si>
  <si>
    <t>Cc1ccnc(CN(C)Cc2ncccc2N(C)C(C)(C)c2ccc(-c3ccc4c(c3)OCCOCCOCCOCCOCCO4)nc2)c1 7.785652 0.29411764705882354</t>
  </si>
  <si>
    <t>CNCc1cccc(C(C)(C)C)n1 7.7856517 0.2857142857142857</t>
  </si>
  <si>
    <t>CCN(Cc1ccccn1)Cc1cccc(N(C)C2CCC(N(C)Cc3cc(C)c(C)c(C)n3)CC2)n1 7.785643 0.39344262295081966</t>
  </si>
  <si>
    <t>CN1CCN(C)CCN(Cc2ccc(-c3c(N)cccc3Cl)nc2)CC1 7.7856417 0.42</t>
  </si>
  <si>
    <t>CC1=CC(C)C(C)(c2cccc(CN(Cc3ccccn3)Cc3ccccn3)n2)C(C)C1(C)C 7.785637 0.4444444444444444</t>
  </si>
  <si>
    <t>CC1=C(N(C)CC2=CCC=CN2)CCC(C)C1 7.785627 0.34545454545454546</t>
  </si>
  <si>
    <t>Cc1cncc(CN(C)C2CCCCC2N(C)Cc2ccc3cccnc3c2)c1 7.785625 0.42592592592592593</t>
  </si>
  <si>
    <t>Cc1cc(N(C)c2cncc(CN3CCN(C)CCN(C)CC3)c2)cnc1C 7.7856226 0.3888888888888889</t>
  </si>
  <si>
    <t>Cc1cnc(CN(C)CCCN(C)Cc2ncccc2CF)c(C)c1C 7.7856054 0.37254901960784315</t>
  </si>
  <si>
    <t>CNCc1ncccc1C 7.7856007 0.3142857142857143</t>
  </si>
  <si>
    <t>Cc1cc(C)c(CN(C)C2CCCC(N(Cc3ccccn3)Cc3cc(C)c(C)c(C)n3)C2)nc1C 7.7856007 0.4</t>
  </si>
  <si>
    <t>CCN(Cc1ccccn1)C1CC(N(C)Cc2cc(C)c(C)c(C)n2)CC(N(C)Cc2cc(C)c(C)c(C)n2)C1 7.7855988 0.42592592592592593</t>
  </si>
  <si>
    <t>CN1CCN(C)CCN(Cc2cnccc2-c2ccc(Cl)cc2N)CC1 7.785598 0.3584905660377358</t>
  </si>
  <si>
    <t>CCN(C)CCN(C)Cc1ncc(C)c(C)c1C 7.785593 0.42105263157894735</t>
  </si>
  <si>
    <t>Nc1c(Cl)cccc1N1CCC(CCN(Cc2ccccn2)Cc2ccccn2)C1 7.785589 0.375</t>
  </si>
  <si>
    <t>CCN(Cc1ccccn1)Cc1cccc(N(C)C2CCC(N(C)Cc3nc(C)c(C)cc3C)CC2)n1 7.7855873 0.3709677419354839</t>
  </si>
  <si>
    <t>CC1=C(N(C)Cc2ccccn2)C(C)(C)C(C(C)(C)c2ncccc2CN(Cc2ccccn2)C2CCC(N(C)Cc3ncccc3C)CC2)CC1C 7.785582 0.32</t>
  </si>
  <si>
    <t>Cc1cc(C)c(CN(C)C2CCCC(N(Cc3ccccn3)Cc3cccnc3CN(Cc3ccccn3)C(C)C)C2)nc1C 7.7855816 0.375</t>
  </si>
  <si>
    <t>CNCc1ccc(CN(Cc2cc(C)c(C)c(C)n2)C2CCC(N(C)Cc3cc(C)c(C)c(C)n3)CC2)cn1 7.7855806 0.3225806451612903</t>
  </si>
  <si>
    <t>COC(C)c1cc(CN2CCN(C)CCN(Cc3cc(C(C)(c4ccccn4)c4ccccn4)ccn3)CC2)ccn1 7.7855797 0.4406779661016949</t>
  </si>
  <si>
    <t>Cc1nc(CN(Cc2ccccn2)C2CCCC(N(C)Cc3ccon3)C2)c(C)c(C)c1C 7.7855673 0.4098360655737705</t>
  </si>
  <si>
    <t>CN(C)Cc1nccc2cccc(N(C)C3CCCCC3N(Cc3ccccn3)Cc3cccc(-c4cccc5c4OCCOCCOCCOCCOCCO5)n3)c12 7.7855597 0.34210526315789475</t>
  </si>
  <si>
    <t>Cc1ccnc(CN(C)C2CCCC(N(Cc3ccccn3)Cc3cccc(C(C)(c4cccnc4)C(C)N)n3)C2)c1C 7.7855425 0.3157894736842105</t>
  </si>
  <si>
    <t>Cc1cc(C)c(CN(C)C2=C(CN(C)C3CCCC(N(C)Cc4cc(C)c(C)c(C)n4)C3)NC=CC2)cn1 7.7855377 0.2465753424657534</t>
  </si>
  <si>
    <t>Cc1cnc(CN(C)CCN(Cc2ccccn2)C(C)(C)c2cnccc2CN(Cc2ccccn2)Cc2cccc(-c3ccc4c(c3)OCCOCCOCCOCCOCCO4)n2)c(C)c1 7.7855315 0.34831460674157305</t>
  </si>
  <si>
    <t>CCN(Cc1cc(C)ccn1)Cc1nc(CN(C)C2CCC(N(C)Cc3nc(C)c(C)c(C)c3C)CC2)c(C)c(C)c1C 7.785526 0.3</t>
  </si>
  <si>
    <t>CC(C)C(C)c1cncc(CN(Cc2cc(C(C)(C)C)ccn2)CC(C)(C)C)c1 7.7855206 0.38181818181818183</t>
  </si>
  <si>
    <t>CCOC(=O)c1cc(CN(Cc2ccccn2)C2CCC(N(C)Cc3ncccc3C)CC2)ccn1 7.7855134 0.34328358208955223</t>
  </si>
  <si>
    <t>CC1CC(c2cccc(CN(C)C3CCCCC3N(C)Cc3ccc4cccnc4c3)n2)C1 7.7855134 0.45614035087719296</t>
  </si>
  <si>
    <t>CC(C)N1CCCC1CN(C)C1=CCC=C(c2ccccn2)N1 7.7855124 0.3582089552238806</t>
  </si>
  <si>
    <t>Cc1ccnc(CN(CN(C)C(C)C)C(C)C)c1C 7.785507 0.36363636363636365</t>
  </si>
  <si>
    <t>CNCCN(C)Cc1cc(C)cc(C)n1 7.785498 0.4358974358974359</t>
  </si>
  <si>
    <t>CN(Cc1ccccn1)Cc1ccc(N(C)Cc2cccc(-c3cccc4c3OCCOCCOCCOCCOCCO4)n2)cn1 7.7854967 0.4745762711864407</t>
  </si>
  <si>
    <t>Cc1cnc(CN(C)C2CC(N(C)Cc3ccccn3)CC(N(Cc3ccccn3)Cc3cnccc3C)C2)c(C)c1 7.785496 0.3770491803278688</t>
  </si>
  <si>
    <t>Cc1ccc(CN(Cc2ccccn2)C2CC(N(C)Cc3ccccn3)CC(N(Cc3ccccn3)Cc3cccc(C4CC(Cl)C4Cl)n3)C2)nc1 7.785487 0.38095238095238093</t>
  </si>
  <si>
    <t>Cc1cnc(CN(C)C2CCC(N(Cc3ccccn3)c3ccccc3F)CC2)c(C)c1 7.785481 0.3898305084745763</t>
  </si>
  <si>
    <t>Cc1cnc(CN(C)C2NC=CC=C2N(Cc2ccccn2)Cc2cccnn2)c(-c2ccc3c(c2)OCCOCCOCCOCCOCCO3)c1 7.7854786 0.32222222222222224</t>
  </si>
  <si>
    <t>Cc1cc(CN(C)C2CCC(N(C)Cc3cccc(C4=CCC=CN4)n3)CC2)nc(C)c1C 7.785465 0.3387096774193548</t>
  </si>
  <si>
    <t>CN(Cc1ccccn1)Cc1ncccc1N(C)Cc1ncccc1-c1cccc2c1OCCOCCOCCOCCOCCO2 7.785462 0.3709677419354839</t>
  </si>
  <si>
    <t>CC1CCC1N(Cc1ccccn1)C1CCC(N(C)c2ccc3nc(CF)ccc3c2)CC1 7.78546 0.3709677419354839</t>
  </si>
  <si>
    <t>CCN(Cc1ccccn1)Cc1ncccc1N(C)C1CCCC(N(C)Cc2ncc(C)c(C)c2C)C1 7.785449 0.38095238095238093</t>
  </si>
  <si>
    <t>CNC1CCC(N(Cc2nc(C)c(C)c(C)c2C)Cc2nc(C)c(C)c(C)c2C)CC1 7.7854486 0.20754716981132076</t>
  </si>
  <si>
    <t>CN(C)Cc1ccc(CN(C)C(C)(C)C)cn1 7.785437 0.38461538461538464</t>
  </si>
  <si>
    <t>Cc1cncc(CN(C)C2=CNC=C(CN(C)C(C)C(C)C)C2)c1 7.7854295 0.20634920634920634</t>
  </si>
  <si>
    <t>Cc1cccc(-c2cccc(CN(C)C3CCCC(N(C)Cc4ccccn4)C3)n2)c1 7.7854257 0.5</t>
  </si>
  <si>
    <t>CCc1ccccc1CN(C)CC1=CCC=CN1 7.785425 0.4583333333333333</t>
  </si>
  <si>
    <t>CC1=CC(C)C(CN(C)Cc2cc(N)ccn2)C=C1C 7.785412 0.29508196721311475</t>
  </si>
  <si>
    <t>CN1C=CCC(CN(C)Cc2ccccn2)=C1 7.7853904 0.46808510638297873</t>
  </si>
  <si>
    <t>CN(Cc1cccc(-c2ccc3c(c2)OCCOCCOCCOCCOCCO3)n1)Cc1ccc(C2=NC(=O)C(=O)O2)c(-c2ccc3c(c2)OCCOCCOCCOCCOCCO3)n1 7.785386 0.3088235294117647</t>
  </si>
  <si>
    <t>CN(Cc1ccccn1)C1CCC(N(C)c2cccc(CN(Cc3ccccn3)Cc3ccc(F)cn3)n2)CC1 7.7853765 0.42857142857142855</t>
  </si>
  <si>
    <t>CC(C)N(Cc1ccccn1)C1CCC(N(C)Cc2cccc3ncccc23)CC1 7.7853646 0.42592592592592593</t>
  </si>
  <si>
    <t>CNCCN(Cc1ccccn1)Cc1nccc(C)c1C 7.7853646 0.4888888888888889</t>
  </si>
  <si>
    <t>CCOC(C)c1cc(CN2CCN(C)CCN(Cc3cc(C(C)(c4ccccn4)c4ccccn4)ccn3)CC2)ccn1 7.7853565 0.4262295081967213</t>
  </si>
  <si>
    <t>COC(=O)C1CN(C)C2C=CC=CC2(C(C)(C)NCc2cc(C)c(C)c(C)n2)C1C(=O)OC 7.7853537 0.19047619047619047</t>
  </si>
  <si>
    <t>CN(Cc1ccccn1)c1cccc(CN(Cc2ccccn2)Cc2ncccc2-c2cccc3c2OCCOCCOCCOCCOCCO3)c1 7.7853518 0.3389830508474576</t>
  </si>
  <si>
    <t>CN(CC1=CNC=CC1)Cc1ccccn1 7.7853513 0.4782608695652174</t>
  </si>
  <si>
    <t>CN(C)Cc1ccc2cc(N(C)C3CCC(N(Cc4ccccn4)Cc4cccc(-c5cccc6c5OCCOCCOCCOCCOCCO6)n4)CC3)ccc2n1 7.7853494 0.3333333333333333</t>
  </si>
  <si>
    <t>Cc1cnc(CN(C)CCN(C)CC2=CCC=CN2)c(C)c1C 7.785348 0.41509433962264153</t>
  </si>
  <si>
    <t>Cc1cnc(CN(C)CC2=CC(N(C)C(C)C)C=CN2)c(C)c1 7.785339 0.31666666666666665</t>
  </si>
  <si>
    <t>CN(CCF)C1CCCC(N(C)c2cccc3ncc(CF)cc23)C1 7.7853384 0.3076923076923077</t>
  </si>
  <si>
    <t>CN(C)Cc1cc2cccc(N(C)C3CCCCC3N(Cc3ccccn3)Cc3cccc(-c4ccc5c(c4)OCCOCCOCCOCCOCCO5)n3)c2cn1 7.7853374 0.3493975903614458</t>
  </si>
  <si>
    <t>CC1CC(c2cccc(CN(C)C3CCCCC3N(C)Cc3ccc4ncccc4c3)n2)C1 7.7853365 0.45614035087719296</t>
  </si>
  <si>
    <t>CC(C)N(C)c1ccccc1-c1ccncc1C(C)(C)N1CCN(C)CCN(C)CC1 7.7853346 0.25862068965517243</t>
  </si>
  <si>
    <t>Cc1ccc(CN(C)C2=CNC(CN(C)C(C)C(C)N)=CC2)nc1 7.785334 0.37735849056603776</t>
  </si>
  <si>
    <t>CC1CC(N)C1CN(Cc1ccccn1)C1CCCC(N(C)c2ccc3cc(CF)cnc3c2)C1 7.785332 0.3194444444444444</t>
  </si>
  <si>
    <t>Cc1cnccc1CN(C)CCN(C(C)C)C(C)(N)N(CC1=CCC=CN1)Cc1ccccn1 7.785326 0.44285714285714284</t>
  </si>
  <si>
    <t>Cc1cccnc1CN(C)C1CCC(N(C)Cc2cccc(-c3ccccc3)n2)CC1 7.7853255 0.4074074074074074</t>
  </si>
  <si>
    <t>COC(=O)C1CN(C)C(c2ccc(CN3CCN(C)CCN(C)CC3)cn2)C(c2cc(C)c(C)c(C)n2)C1c1ccccn1 7.785324 0.3150684931506849</t>
  </si>
  <si>
    <t>CN(C)c1cccc(-c2cccc(CN(Cc3cccc(-c4ccc5c(c4)OCCOCCOCCOCCOCCO5)n3)Cc3cccc(-c4ccc5c(c4)OCCOCCOCCOCCOCCO5)n3)n2)c1 7.7853127 0.4032258064516129</t>
  </si>
  <si>
    <t>Cc1cccc(CNCCN(C)Cc2ncccc2C)n1 7.7853093 0.4888888888888889</t>
  </si>
  <si>
    <t>CCOC(=O)C(C)NCc1cc(C(C)NCc2ccccn2)ccn1 7.7853026 0.34</t>
  </si>
  <si>
    <t>CN1CCN(C)CCN(Cc2cncc(-c3c(N)cccc3Cl)c2)CC1 7.785302 0.4117647058823529</t>
  </si>
  <si>
    <t>CCN(Cc1ccccn1)Cc1ccc2cccc(N(Cc3ccccn3)C3CCCCC3N(C)Cc3ncccc3-c3ccc4c(c3)OCCOCCOCCOCCOCCO4)c2n1 7.7852964 0.3717948717948718</t>
  </si>
  <si>
    <t>Cc1ccncc1C(C)(C)N(C)CCN(C)C 7.7852936 0.28888888888888886</t>
  </si>
  <si>
    <t>CC(C)N(C)CC1=CCC(N(Cc2ccccn2)C(C)C)=CN1 7.7852883 0.42857142857142855</t>
  </si>
  <si>
    <t>Cc1ncc(-c2cccc(N)c2N)cc1CN1CCN(C)CCN(C)CC1 7.7852626 0.38461538461538464</t>
  </si>
  <si>
    <t>CNCc1cc(-c2cc(-c3ccc4c(c3)OCCOCCOCCOCCOCCO4)ccn2)ccn1 7.785254 0.4032258064516129</t>
  </si>
  <si>
    <t>Cc1nc(CN(Cc2ccccn2)C2CCCCC2N(Cc2ccccn2)Cc2cccc(CF)n2)c(C)c(C)c1C 7.7852516 0.46296296296296297</t>
  </si>
  <si>
    <t>COCc1cccc(-c2cccc(CN(Cc3ccccn3)C3CCCCC3)n2)n1 7.7852507 0.5</t>
  </si>
  <si>
    <t>CN(CCNc1ccc2nc(CF)ccc2c1)Cc1cccc(-c2ccc3c(c2)OCCOCCOCCOCCOCCO3)n1 7.785249 0.3</t>
  </si>
  <si>
    <t>Cc1ccc(CN(C)C2CC(N(C)Cc3ccccn3)CC(N(Cc3ccc(C)nc3)Cc3ncccc3C)C2)nc1 7.7852407 0.3870967741935484</t>
  </si>
  <si>
    <t>CC(C)C(C)c1cccc(CN(Cc2cc(C(C)(C)C)ccn2)CC(C)(C)C)n1 7.78523 0.43137254901960786</t>
  </si>
  <si>
    <t>CC(c1ccccn1)(c1ccccn1)c1cccc(CN(Cc2ccccn2)c2ccc3c(c2)OCCOCCOCCOCCOCCO3)n1 7.785227 0.36923076923076925</t>
  </si>
  <si>
    <t>CN(CCNc1ccc2ncccc2c1)Cc1cc(-c2ccc3c(c2)OCCOCCOCCOCCOCCO3)ccn1 7.7852097 0.3246753246753247</t>
  </si>
  <si>
    <t>Cc1ccnc(CN(Cc2ncccc2C(C)C(C)C)C(C)C)c1 7.7852097 0.45652173913043476</t>
  </si>
  <si>
    <t>CC(C)C(C)N(C)Cc1cccc(-c2ccccc2N(C)Cc2cccc(-c3cccc4c3OCCOCCOCCOCCOCCO4)n2)n1 7.7852 0.2878787878787879</t>
  </si>
  <si>
    <t>CC(C)C1=CC2(C=CN1)C(N(C)Cc1ccccn1)=CCC(C)C2C 7.785198 0.35</t>
  </si>
  <si>
    <t>Cc1ccnc(CN(C)CCN(C(C)C)C(C)C)c1 7.7851963 0.45</t>
  </si>
  <si>
    <t>CN(Cc1ccccn1)Cc1cccc(N(C)Cc2cc(-c3ccc4c(c3)OCCOCCOCCOCCOCCO4)ccn2)n1 7.785194 0.4166666666666667</t>
  </si>
  <si>
    <t>CNc1cncc(CN(Cc2ccccn2)C2CCC(N(C)Cc3nc(C)c(C)c(C)c3C)CC2)c1 7.785187 0.3484848484848485</t>
  </si>
  <si>
    <t>Cc1ccnc2c(N(C)CCN3CCN(C)CCN(C)CC3)cccc12 7.7851768 0.4166666666666667</t>
  </si>
  <si>
    <t>Cc1cccnc1CN(C)C1=CC(C)CC(C)C1C 7.7851763 0.2777777777777778</t>
  </si>
  <si>
    <t>C#CCN(C)Cc1cc(C(C)(C)c2ccccn2)ccn1 7.785173 0.36666666666666664</t>
  </si>
  <si>
    <t>C=CCN(C)CCN(C)C(c1ccccn1)c1ccccn1 7.7851634 0.38</t>
  </si>
  <si>
    <t>CN1CCN(C)CCN(Cc2ccc(-c3ccc(Cl)c(Cl)c3)nc2)CC1 7.7851524 0.38</t>
  </si>
  <si>
    <t>CNCc1ccon1 7.7851443 0.4838709677419355</t>
  </si>
  <si>
    <t>CC1=CC(C)C(CN(C)Cc2cc(C(C)(C)c3ccccn3)ccn2)C(C)C1 7.785143 0.3333333333333333</t>
  </si>
  <si>
    <t>CN1CCN(C)CCN(Cc2cccnc2-c2cc(N)cc(Cl)c2)CC1 7.7851343 0.42</t>
  </si>
  <si>
    <t>CN1CCN(C)CCN(Cc2cncc(-c3cccc(N(C)C)c3)c2)CC1 7.785132 0.37254901960784315</t>
  </si>
  <si>
    <t>Cc1cccc(CN(Cc2cccc(-c3ccc4c(c3)OCCOCCOCCOCCOCCO4)n2)Cc2nc(C)c(C)n2C)n1 7.7851305 0.3333333333333333</t>
  </si>
  <si>
    <t>Cc1nc(CN(C)C2CCCCC2N(C)Cc2nc(C)c(C)c(C)c2C)c(C)c(C)c1C 7.7851305 0.4634146341463415</t>
  </si>
  <si>
    <t>Cc1cccc(CN(Cc2cccc(CN(C)Cc3ncccc3C)n2)Cc2cccc(-c3cccc4c3OCCOCCOCCOCCOCCO4)n2)n1 7.785129 0.3582089552238806</t>
  </si>
  <si>
    <t>Cc1cccc(CN(C)C2CCC(N(Cc3ccccn3)Cc3cc(C)c(C)c(C)n3)CC2N(C)Cc2ccccn2)n1 7.7851286 0.4827586206896552</t>
  </si>
  <si>
    <t>Cc1cccc(CN(C)C2C=CNC(C(C)C)=C2)n1 7.785125 0.46938775510204084</t>
  </si>
  <si>
    <t>CN1CCN(Cc2cccc(C3=NCC(C)(C)O3)n2)CCN(Cc2cccc(C(C)(C)c3ccccn3)n2)CC1 7.785122 0.4482758620689655</t>
  </si>
  <si>
    <t>Cc1cncc(CN(C)C2CCC(N(C)Cc3ccccn3)CC2N(Cc2ccccn2)c2ccccc2F)c1 7.7851152 0.43548387096774194</t>
  </si>
  <si>
    <t>Cc1ccc(N(C)C2CCC(N(C)Cc3nc(C)c(C)c(C)c3C)CC2)nc1 7.785115 0.40384615384615385</t>
  </si>
  <si>
    <t>CN1CCN(C)CCN(Cc2ccc(-c3cccc(Cl)c3Cl)nc2)CC1 7.7851057 0.42857142857142855</t>
  </si>
  <si>
    <t>Cc1ccc(CN(C)C2CC(N(C)Cc3ccccn3)CC(N(Cc3ccccn3)Cc3nc(C)ccc3C)C2)nc1 7.785097 0.41379310344827586</t>
  </si>
  <si>
    <t>CN1CCN(C)CCN(Cc2cncc(-c3ccc(Cl)cc3N)c2)CC1 7.7850947 0.3584905660377358</t>
  </si>
  <si>
    <t>Cc1ccc(CN(CCF)C2CCC(N(C)Cc3ccc4ncccc4c3)CC2)nc1C 7.7850943 0.26865671641791045</t>
  </si>
  <si>
    <t>c1ccc(C2CCC2c2ccccn2)nc1 7.785094 0.3611111111111111</t>
  </si>
  <si>
    <t>Cc1cc(C)c(CN(Cc2ccccn2)C2CCC(N(C)Cc3nc(C)c(C)c(C)c3C)CC2)nc1C 7.785093 0.39655172413793105</t>
  </si>
  <si>
    <t>Cc1cccnc1CN(Cc1ncccc1C(C)C(C)C)C(C)C 7.7850914 0.4418604651162791</t>
  </si>
  <si>
    <t>Cc1cccc(CN(Cc2ccccn2)Cc2cccc(CN(C)C(C)C(C)C)n2)n1 7.785087 0.5</t>
  </si>
  <si>
    <t>CN(Cc1cccc(CN(C)C2CCC(N(C)Cc3cccc(-c4ccc5c(c4)OCCOCCOCCOCCOCCO5)n3)CC2)n1)c1ccc2ncccc2c1 7.785085 0.325</t>
  </si>
  <si>
    <t>CC1=CC(NCc2ccccn2)CC(c2ccc(CN(C)Cc3ccccn3)cn2)C1C 7.7850847 0.3770491803278688</t>
  </si>
  <si>
    <t>Cc1cc(NCc2ccccn2)cc(-c2cccc(CN(Cc3ccccn3)C3CCCC(N(C)Cc4cccc(-c5ccc6c(c5)OCCOCCOCCOCCOCCO6)n4)C3)n2)c1 7.7850723 0.34523809523809523</t>
  </si>
  <si>
    <t>CN1CCN(C)CCN(CC2NC=CC=C2N(C)c2ccc3cccnc3c2)CC1 7.7850666 0.3384615384615385</t>
  </si>
  <si>
    <t>Cc1cnc(CN(C)C2CCC(N(Cc3ccccn3)Cc3cccc(CN(C)Cc4ncccc4C)n3)CC2)c(C)c1 7.7850647 0.4032258064516129</t>
  </si>
  <si>
    <t>Cc1cnccc1CN(C)CCN(Cc1ncccc1C)C(C)C 7.7850647 0.42857142857142855</t>
  </si>
  <si>
    <t>CN1CCN(C)CCN(Cc2ccc(-c3ccc(Cl)cc3N)nc2)CC1 7.785062 0.3584905660377358</t>
  </si>
  <si>
    <t>Cc1cccc(CN(C)CCN(Cc2ccccn2)C(C)(c2cccnc2)C(C)C)n1 7.7850385 0.4716981132075472</t>
  </si>
  <si>
    <t>CCN(Cc1ccccn1)Cc1cccc(N(C)C2CCC(N(C)Cc3nc(C)c(C)c(C)c3C)CC2)n1 7.785035 0.3770491803278688</t>
  </si>
  <si>
    <t>CNC1C(N(Cc2ncccc2C)Cc2ncccc2C)CCC(C)C1N(Cc1ncccc1C)Cc1ncccc1C 7.7850327 0.2857142857142857</t>
  </si>
  <si>
    <t>CNCC1=CC(N(C)Cc2cccc(C)n2)C=CN1 7.785031 0.45098039215686275</t>
  </si>
  <si>
    <t>Cc1cccnc1CN(CCN(C)Cc1cccnc1C)C(C)C 7.785027 0.45652173913043476</t>
  </si>
  <si>
    <t>CNC(c1ccccc1)c1cccnc1CNCF 7.785021 0.2826086956521739</t>
  </si>
  <si>
    <t>CC1=C(C)CC(C)(N(Cc2ccccn2)Cc2ccccn2)C(C)C1 7.7850156 0.4166666666666667</t>
  </si>
  <si>
    <t>CNCC1=CC(N(C)Cc2cc(C)ccn2)C=CN1 7.7850113 0.3</t>
  </si>
  <si>
    <t>CN(Cc1ccc(-c2ccccc2)nc1)Cc1cc(-c2ccc3c(c2)OCCOCCOCCOCCOCCO3)ccn1 7.784998 0.36619718309859156</t>
  </si>
  <si>
    <t>CN(Cc1ccccn1)Cc1cccc(N(O)Cc2ncccc2-c2cccc3c2OCCOCCOCCOCCOCCO3)n1 7.7849956 0.3968253968253968</t>
  </si>
  <si>
    <t>CN1CCN(C)CCN(Cc2ccc(-c3ccccc3N(C)C)nc2)CC1 7.784994 0.4166666666666667</t>
  </si>
  <si>
    <t>CCN(CCN(C)Cc1cc(C)c(C)cn1)Cc1cc(C)ccn1 7.784993 0.4772727272727273</t>
  </si>
  <si>
    <t>CC(N)N(CC1=CCC(N(C)C(C)C)=CN1)Cc1ccccn1 7.7849927 0.48</t>
  </si>
  <si>
    <t>COC(=O)C1CN(C)C(C(=O)C(C)N)C(C(=O)OC)C1=O 7.7849894 0.25396825396825395</t>
  </si>
  <si>
    <t>Cc1cc(CNCCN(C)Cc2ncccc2C)ccn1 7.784987 0.3148148148148148</t>
  </si>
  <si>
    <t>Cc1cccnc1CN(C)Cc1cccc(N(C)C(C)(C)c2ccc(-c3ccc4c(c3)OCCOCCOCCOCCOCCO4)nc2)n1 7.7849836 0.29069767441860467</t>
  </si>
  <si>
    <t>Cc1ccc(CN(Cc2ccccn2)Cc2ncccc2CN(C)Cc2cccc(-c3ccc4c(c3)OCCOCCOCCOCCOCCO4)n2)nc1C 7.784983 0.40789473684210525</t>
  </si>
  <si>
    <t>CNCCN(Cc1cc(C)ccn1)C(C)(N)N(Cc1cc(C)ccn1)C(C)C 7.7849803 0.2982456140350877</t>
  </si>
  <si>
    <t>CNCc1cccc(CN(Cc2nc(C)c(C)c(C)c2C)C2CCCCC2N(C)Cc2nc(C)c(C)c(C)c2C)n1 7.784973 0.48148148148148145</t>
  </si>
  <si>
    <t>CN(Cc1ccccn1)Cc1cccc(N(C)Cc2ncccc2-c2ccc3c(c2)OCCOCCOCCOCCOCCO3)n1 7.7849636 0.3968253968253968</t>
  </si>
  <si>
    <t>CCN(Cc1ccccn1)Cc1cccc(N(C)C2CCCC(N(C)Cc3nc(C)c(C)cc3C)C2)n1 7.78496 0.375</t>
  </si>
  <si>
    <t>CCCN(C)C1=C(CN(C)Cc2ccccn2)NC=CC1 7.78496 0.41509433962264153</t>
  </si>
  <si>
    <t>CN(CCN)Cc1ccccc1N(C)C 7.7849574 0.36585365853658536</t>
  </si>
  <si>
    <t>Cc1cncc(CN(C)C2=CNC(CN(C)C(C)C(C)C)=CC2)c1 7.7849555 0.18461538461538463</t>
  </si>
  <si>
    <t>Cc1ccc(CN(C)C2CCCC(N(Cc3ccccn3)Cc3nc(C)c(C)c(C)c3C)C2N(C)Cc2ccccn2)nc1 7.7849545 0.5</t>
  </si>
  <si>
    <t>CN(CCNc1ccc2ncccc2c1)Cc1ncccc1-c1ccc2c(c1)OCCOCCOCCOCCOCCO2 7.784951 0.2875</t>
  </si>
  <si>
    <t>Cc1cc2c(c(-c3ccc(CN(Cc4ccccn4)Cc4cccc(N(C)C)n4)nc3)c1)OCCOCCOCCOCCOCCO2 7.784946 0.35135135135135137</t>
  </si>
  <si>
    <t>Cc1ccc(CN(C)C2CCC(N(C)Cc3ccccn3)CC2N(Cc2ncccc2C)Cc2ncccc2C)nc1C 7.7849445 0.47368421052631576</t>
  </si>
  <si>
    <t>Cc1cccnc1CN(C)CC1C=CNC(N(C)C(C)C)=C1 7.784935 0.2807017543859649</t>
  </si>
  <si>
    <t>CN(C)CCN(C)Cc1ncccc1C(C)(C)C 7.784923 0.4186046511627907</t>
  </si>
  <si>
    <t>CNCC1=CCC=C(N(C)C2C=CC=CN2)N1 7.7849145 0.21311475409836064</t>
  </si>
  <si>
    <t>CNC1CC(N(C)Cc2ncc(C)c(C)c2C)CC(N(C)Cc2ncc(C)c(C)c2C)C1 7.784913 0.28846153846153844</t>
  </si>
  <si>
    <t>CC(C)NCC1=C(N(C)C(C)C)CC=CN1 7.7849083 0.18</t>
  </si>
  <si>
    <t>Cc1ccncc1CN(C)CCN(C)Cc1ncccc1C 7.7849073 0.4444444444444444</t>
  </si>
  <si>
    <t>COc1ccnc(CN(Cc2cccc(F)n2)C2CCCCC2N(C)Cc2cc(C)c(C)c(C)n2)c1 7.7849064 0.421875</t>
  </si>
  <si>
    <t>CN(Cc1ncccc1C(C)(C)c1ccccn1)C1CCC(N(Cc2ccccn2)C(C)(C)c2ccccn2)CC1 7.7849064 0.40350877192982454</t>
  </si>
  <si>
    <t>CC1=CC(C)C(C)(c2cccc(CN(C)Cc3ccccn3)n2)CC1 7.784905 0.4807692307692308</t>
  </si>
  <si>
    <t>CC1C=C(N(C)C2CCCC(N(C)Cc3ccccn3)C2)c2ncccc2C1Cl 7.784903 0.43859649122807015</t>
  </si>
  <si>
    <t>COC(C)c1cc(CN2CCN(C)CCN(Cc3ccc(C(C)(c4ccccn4)c4ccccn4)cn3)CC2)ccn1 7.7849 0.43333333333333335</t>
  </si>
  <si>
    <t>CCC1(C)COC(c2cccc(CN(Cc3ccccn3)Cc3cccc(-c4ccc5c(c4)OCCOCCOCCOCCOCCO5)n3)n2)=N1 7.7848854 0.44285714285714284</t>
  </si>
  <si>
    <t>CC(N)C(C)N(C)CC1=CCC=C(N(C)Cc2ccccn2)N1 7.7848835 0.39655172413793105</t>
  </si>
  <si>
    <t>CNCc1cc(CN(Cc2nc(C)c(C)c(C)c2C)C2CCCCC2N(C)Cc2nc(C)c(C)c(C)c2C)ccn1 7.784879 0.3898305084745763</t>
  </si>
  <si>
    <t>CC1=CC(C)CC(C)C12C(c1ccc(CN(Cc3ccccn3)Cc3ccccn3)cn1)C(c1ccc(CN(Cc3ccccn3)C3CCCCC3)cn1)C=CC21CCC(C)=C(C)C1C 7.784874 0.26744186046511625</t>
  </si>
  <si>
    <t>Cc1ccnc(CN(C)C2C=CNC(C(C)C)=C2)c1 7.7848654 0.3090909090909091</t>
  </si>
  <si>
    <t>Cc1ccnc2cccc(N(C)CCN3CCN(C)CCN(C)CC3)c12 7.784865 0.36538461538461536</t>
  </si>
  <si>
    <t>Cc1ccc(CN(C)C2CC(N(C)Cc3ccccn3)CC(N(Cc3cccc(C)n3)Cc3cccc(C)n3)C2)nc1 7.78486 0.4444444444444444</t>
  </si>
  <si>
    <t>CC1=CC2(C=CNC(C(C)C)=C2)C(c2ccccn2)CC1C 7.784853 0.2608695652173913</t>
  </si>
  <si>
    <t>CC1CCC1N(Cc1ccccn1)C1CCC(N(C)c2ccc3ncc(CF)cc3c2)CC1 7.784836 0.35384615384615387</t>
  </si>
  <si>
    <t>COCC(C)(CN(Cc1ccccn1)Cc1ccccn1)c1cccc(C2CCC2(C)C)n1 7.784831 0.38333333333333336</t>
  </si>
  <si>
    <t>Cc1c(CN(C)C2CCC(N(Cc3ccccn3)Cc3ccc([Si](C(C)C)(C(C)C)C(C)C)cn3)CC2)nc([SiH3])c([SiH3])c1[SiH3] 7.7848215 0.3870967741935484</t>
  </si>
  <si>
    <t>CN(C)Cc1ccc2cc(N(C)C3CCCCC3N(C)CCF)ccc2n1 7.7848034 0.42105263157894735</t>
  </si>
  <si>
    <t>CN(Cc1ccccn1)Cc1ccc(N(C)Cc2ccc(-c3cccc4c3OCCOCCOCCOCCOCCO4)cn2)cn1 7.7848015 0.3709677419354839</t>
  </si>
  <si>
    <t>Cc1cnc(C)c(CN(C)C2CCCC(N(Cc3ccccn3)Cc3ccccn3)C2N(Cc2ccccn2)C(C)(C)c2ccccn2)c1 7.7848005 0.43548387096774194</t>
  </si>
  <si>
    <t>CN(Cc1ccccn1)Cc1cc(N(C)Cc2cccc(-c3ccc4c(c3)OCCOCCOCCOCCOCCO4)n2)ccn1 7.7847986 0.4745762711864407</t>
  </si>
  <si>
    <t>COC(=O)C(=O)C(C)CNCc1ccccn1 7.784791 0.475</t>
  </si>
  <si>
    <t>CC(C)C(C)N(C)Cc1cccc(-c2cccc(N(C)Cc3cccc(-c4ccc5c(c4)OCCOCCOCCOCCOCCO5)n3)c2)n1 7.784789 0.30666666666666664</t>
  </si>
  <si>
    <t>Cc1cnc(CN(C)C2CCCC(N(C)Cc3ccc(C4=CCC=CN4)cn3)C2)c(C)c1C 7.7847886 0.3492063492063492</t>
  </si>
  <si>
    <t>Cc1ccccc1CN(C)Cc1cc(C(C)(C)C(C)C)ccn1 7.7847853 0.3584905660377358</t>
  </si>
  <si>
    <t>CNCc1ncccc1F 7.784785 0.3055555555555556</t>
  </si>
  <si>
    <t>CN(Cc1ccccn1)Cc1ccc(N(C)Cc2ncccc2-c2cccc3c2OCCOCCOCCOCCOCCO3)cn1 7.7847805 0.36507936507936506</t>
  </si>
  <si>
    <t>CC(C)c1cccc(CN(Cc2cccc(-c3ccc4c(c3)OCCOCCOCCOCCOCCO4)n2)C2CCC(N(C)c3ccc4nc(CF)ccc4c3)CC2)n1 7.7847776 0.29213483146067415</t>
  </si>
  <si>
    <t>Cc1cc(C)c(CN(C)C2CCC(N(Cc3ncccc3C)Cc3ncc(C)c(C)c3C)CC2)nc1C 7.784755 0.2857142857142857</t>
  </si>
  <si>
    <t>CC1=NCC(C(C)N=Cc2ccccn2)O1 7.784745 0.37254901960784315</t>
  </si>
  <si>
    <t>Cc1c(C)c(C)c(N(C)C2CCCCC2N(C)Cc2ccon2)c(C)c1C 7.7847395 0.4583333333333333</t>
  </si>
  <si>
    <t>Cc1cccc(N(C)Cc2ccccn2)c1CN(C)Cc1ccc(-c2ccc3c(c2)OCCOCCOCCOCCOCCO3)cn1 7.784739 0.410958904109589</t>
  </si>
  <si>
    <t>C=Cc1ccc(CN(Cc2ccccn2)C2CCC(N(C)Cc3ncc(C)c(C)c3C)CC2)nc1 7.7847376 0.3939393939393939</t>
  </si>
  <si>
    <t>CN(Cc1ccccn1)Cc1ncccc1N(C)Cc1cccnc1-c1ccc2c(c1)OCCOCCOCCOCCOCCO2 7.7847347 0.36507936507936506</t>
  </si>
  <si>
    <t>Cc1cccnc1CN(CCN(C)C(C)(c1cccnc1)C(C)C)Cc1ncccc1C 7.784733 0.3090909090909091</t>
  </si>
  <si>
    <t>Cc1cncc(CN(C)C2CCCC(N(C)Cc3ccccn3)C2N(Cc2cc(C)c(C)c(C)n2)Cc2ncccc2C)c1 7.78473 0.417910447761194</t>
  </si>
  <si>
    <t>FCc1cc(-c2cc3c(cc2NCc2ccccn2)OCCOCCOCCOCCOCCO3)cc(NCc2ccccn2)n1 7.7847295 0.3484848484848485</t>
  </si>
  <si>
    <t>Cc1cc(CN(C)CCCN(C)Cc2nc(C)ccc2C)ccn1 7.7847276 0.3404255319148936</t>
  </si>
  <si>
    <t>CN(CCN(Cc1ccccn1)c1ccc2c(c1)OCCOCCOCCOCCOCCO2)c1ccc2nc(CF)ccc2c1 7.7847157 0.359375</t>
  </si>
  <si>
    <t>CC(N)N(Cc1ccccn1)C(C)(N)N(C(C)C)C(C)C 7.784697 0.5</t>
  </si>
  <si>
    <t>CN(C)Cc1ccc2cc(N(C)C3CCC(N(Cc4ccccn4)Cc4cccc(-c5ccc6c(c5)OCCOCCOCCOCCOCCO6)n4)CC3)ccc2n1 7.7846956 0.35</t>
  </si>
  <si>
    <t>Cc1cc(C)c(C)c(CN(C)C2C=CNC(CN(C)C(C)C(C)C)=C2)n1 7.78468 0.2857142857142857</t>
  </si>
  <si>
    <t>CC1=CCC(N(C)CC2=C(N(C)Cc3ncccc3C)CC=CN2)C(C)C1 7.7846766 0.26865671641791045</t>
  </si>
  <si>
    <t>CC(C)C(C)(c1cccnc1)N(Cc1ccccn1)Cc1cccc(N(C)Cc2cccc(-c3ccc4c(c3)OCCOCCOCCOCCOCCO4)n2)n1 7.7846694 0.3373493975903614</t>
  </si>
  <si>
    <t>CN1CCN(CC2=CCC=CN2)CCN(Cc2ccc(-c3cccc(NCc4ccccn4)c3)cn2)CC1 7.7846694 0.4444444444444444</t>
  </si>
  <si>
    <t>Cc1cccnc1CN(C)C1CCCC(N(C)Cc2ccccn2)C1N(Cc1ccccn1)Cc1nc(C)c(C)c(C)c1C 7.78466 0.5</t>
  </si>
  <si>
    <t>Cc1cccc(CNCCCN(C)Cc2cc(C)c(C)c(C)n2)n1 7.784646 0.5</t>
  </si>
  <si>
    <t>CC(C)C(C)(C)CN(Cc1ccccn1)Cc1ncccc1C(C)(C)c1ccccn1 7.7846413 0.46938775510204084</t>
  </si>
  <si>
    <t>CN(C)c1cc2c(c(-c3cccc(CN(Cc4ccccn4)Cc4cccc(F)n4)n3)c1)OCCOCCOCCOCCOCCO2 7.78464 0.4126984126984127</t>
  </si>
  <si>
    <t>Cc1ccnc(CN(C)C2CCC(N(Cc3cc(C)ccn3)Cc3cc(C)c(C)cn3)CC2N(C)Cc2cc(C)ccn2)c1 7.784622 0.4528301886792453</t>
  </si>
  <si>
    <t>CC(C)C1=NC(C)(C)CO1 7.784621 0.38235294117647056</t>
  </si>
  <si>
    <t>CN(C)C1=CCC=C(CN(C)C2C=CC=CN2)N1 7.78462 0.2413793103448276</t>
  </si>
  <si>
    <t>CNc1cccc(CN(Cc2ccccn2)C2CCC(N(C)Cc3nc(C)c(C)cc3C)CC2)n1 7.784618 0.3898305084745763</t>
  </si>
  <si>
    <t>CN(Cc1ccccn1)Cc1ccc(N(C)Cc2cccc(-c3ccc4c(c3)OCCOCCOCCOCCOCCO4)n2)cn1 7.7846065 0.4745762711864407</t>
  </si>
  <si>
    <t>CNC1CC(N(Cc2cccc(C)n2)Cc2cccc(C)n2)CCC1N(Cc1cccc(C)n1)Cc1cccc(C)n1 7.7846055 0.4791666666666667</t>
  </si>
  <si>
    <t>COC(=O)C1CN(C)C(C(=O)C(C)N)C(=O)C1C(=O)OC 7.7846003 0.25396825396825395</t>
  </si>
  <si>
    <t>CN1CCN(C)CC(CCC2=NC(C)(C)CO2)N(Cc2nc3ccccc3n2C)CC1 7.7846 0.49122807017543857</t>
  </si>
  <si>
    <t>CN1CCN(C)CCN(Cc2ncccc2-c2cccc(Cl)c2Cl)CC1 7.7846 0.4666666666666667</t>
  </si>
  <si>
    <t>CN1CCN(C)CCN(Cc2ccc(-c3ccc(Cl)cc3N)cn2)CC1 7.784596 0.42857142857142855</t>
  </si>
  <si>
    <t>CCCN(Cc1ccccn1)c1cc2c(cc1-c1cccc(CN(Cc3ccccn3)Cc3ncccc3C)n1)OCCOCCOCCOCCOCCO2 7.784595 0.37333333333333335</t>
  </si>
  <si>
    <t>Cc1cnc(CN(C)C2CCC(N(C)Cc3ccccn3)CC2N(Cc2ncccc2C)Cc2ncccc2C)c(C)c1 7.784585 0.46551724137931033</t>
  </si>
  <si>
    <t>CC1C=CCC2(C=CC(C)C(C)C23C(c2ncccc2CN(Cc2ccccn2)Cc2ccccn2)C=CC2(C=CC(C(C)(C)C)CC2(C)C)C3c2ncccc2CN(Cc2ccccn2)Cc2ccccn2)C1C 7.7845836 0.3125</t>
  </si>
  <si>
    <t>CC1=C(C)CC(N(C)CC2=CCC=C(N(C)Cc3ccccn3)N2)CC1 7.784583 0.39655172413793105</t>
  </si>
  <si>
    <t>Cc1ccnc(CN(C)C2CCC(N(C)Cc3cc(-c4ccccc4)ccn3)CC2)c1 7.7845736 0.40816326530612246</t>
  </si>
  <si>
    <t>Cc1cccc(CN(C)C2CCC(N(Cc3ccccn3)Cc3ccccn3)CC2N(Cc2ccccn2)Cc2ncccc2C)n1 7.784562 0.49122807017543857</t>
  </si>
  <si>
    <t>Cc1ccc(CN(Cc2ccccn2)Cc2ncccc2CN(C)C2CCC(N(Cc3ccccn3)Cc3ncccc3C)CC2)nc1 7.7845473 0.38095238095238093</t>
  </si>
  <si>
    <t>Cc1cccnc1CN(Cc1ccccn1)Cc1cccc(CN(C)Cc2cccc(-c3ccc4c(c3N)OCCOCCOCCOCCOCCO4)n2)n1 7.784539 0.417910447761194</t>
  </si>
  <si>
    <t>Cc1cncc(CN(C)C2=CNC(CN(Cc3ccccn3)Cc3ccccn3)=CC2)c1-c1ccc2c(c1)OCCOCCOCCOCCOCCO2 7.7845383 0.35064935064935066</t>
  </si>
  <si>
    <t>CN(Cc1ncccc1-c1ccon1)C1CCCCC1 7.7845345 0.3584905660377358</t>
  </si>
  <si>
    <t>CNC1C(N(C)Cc2cc(C)ccn2)CCCC1N(Cc1nc(C)c(C)cc1C)Cc1nc(C)c(C)c(C)c1C 7.7845325 0.3384615384615385</t>
  </si>
  <si>
    <t>CN1CCN(C)CCN(Cc2ccc(-c3cccc(N(C)C)c3)cn2)CC1 7.784532 0.46808510638297873</t>
  </si>
  <si>
    <t>CNCc1cccc(CN(Cc2ccccn2)C2CCC(N(C)Cc3cccc(-c4ccccc4)n3)CC2)n1 7.7845287 0.43859649122807015</t>
  </si>
  <si>
    <t>Cc1ccnc2cc(N(C)CCN3CCN(C)CCN(C)CC3)ccc12 7.784528 0.39215686274509803</t>
  </si>
  <si>
    <t>Cc1cncc(CN(Cc2ccccn2)C2CCCCC2N(C)c2c(C)ccc(C)c2C)c1 7.7845273 0.45614035087719296</t>
  </si>
  <si>
    <t>Cc1ccnc(CN(Cc2ccnc(CN(C)C)c2)C2CCC(N(C)Cc3nc(C)c(C)c(C)c3C)CC2)c1 7.784519 0.32786885245901637</t>
  </si>
  <si>
    <t>CN1CCN(C)CCN(Cc2ccc(-c3cccc(N(C)C)c3)nc2)CC1 7.7845144 0.38181818181818183</t>
  </si>
  <si>
    <t>CC(C)C(C)C1=CC2(CCC(C)(C)C=C2c2ncccc2CN(Cc2ccccn2)Cc2cc(C(C)(C)C(C)C)ccn2)CC(C)(C)C1 7.7845125 0.2898550724637681</t>
  </si>
  <si>
    <t>CC1=CC(C)CC(C)C12C(c1ccc(CN(Cc3ccccn3)Cc3ccccn3)cn1)C(c1cc(CN(Cc3ccccn3)C3CCCCC3)ccn1)C=CC21CCC(C)=C(C)C1C 7.784502 0.25274725274725274</t>
  </si>
  <si>
    <t>CC(N)N(Cc1ccccn1)C(C)(N)N(CCN(C)Cc1ccccn1)Cc1ccccn1 7.7844973 0.4375</t>
  </si>
  <si>
    <t>CC(N)C(C)c1cccnc1C1OC=NC1(C)C 7.7844853 0.22641509433962265</t>
  </si>
  <si>
    <t>CC1=CC(c2ncccc2CN(C)Cc2ccccn2)C(C)C(C)C1N(C)Cc1ccccn1 7.784485 0.4</t>
  </si>
  <si>
    <t>Cc1cccnc1CN(C)C1CCC(N(C)Cc2ncccc2C)C(N(Cc2ncccc2C)Cc2ncccc2C)C1 7.7844834 0.4</t>
  </si>
  <si>
    <t>Cc1cc(CN(C)C2CCC(N(C)c3cccnc3Cl)CC2)nc(C)c1C 7.7844806 0.3275862068965517</t>
  </si>
  <si>
    <t>CNC1N=CC=CC1CN(C)Cc1nc(C)c(C)cc1C 7.784478 0.2</t>
  </si>
  <si>
    <t>Cc1nc(CN(Cc2ccccn2)C2CCCCC2N(C)c2ccccc2F)c(C)c(C)c1C 7.7844663 0.45614035087719296</t>
  </si>
  <si>
    <t>CCN(CCN(C)CC(C)(C)C)Cc1cc(C)c(C)c(C)n1 7.7844615 0.34</t>
  </si>
  <si>
    <t>Cc1cccc(CN(Cc2ccccn2)C2CC(N(C)Cc3ccccn3)CC(N(C)Cc3ccc(C)c(C)n3)C2)n1 7.784455 0.4444444444444444</t>
  </si>
  <si>
    <t>Cc1cccc(CN(Cc2ccc(C(C)C(C)C)cn2)C(C)C)n1 7.7844515 0.4318181818181818</t>
  </si>
  <si>
    <t>CNCCN(Cc1ccccn1)C(C)(N)N(Cc1nc(C)c(C)c(C)c1C)CC(C)(C)C 7.784449 0.42105263157894735</t>
  </si>
  <si>
    <t>CC1=CCC(C)(c2ncccc2CN(Cc2ccccn2)Cc2ccccn2)C(C)C1C 7.784445 0.43478260869565216</t>
  </si>
  <si>
    <t>CN1CCN(C)CCN(Cc2cccnc2-c2ccc(Cl)c(Cl)c2)CC1 7.784443 0.44680851063829785</t>
  </si>
  <si>
    <t>CC1=C(N(C)Cc2ccccn2)C(C)(C)C(C)CC1C 7.784437 0.4583333333333333</t>
  </si>
  <si>
    <t>CCC1=NC(C2=CCC(c3cccc(CN(Cc4ccccn4)Cc4ccccn4)n3)C(C)C2C)CO1 7.784434 0.3508771929824561</t>
  </si>
  <si>
    <t>Cc1cc(C)c(CN(C)C2CCCC(N(C)C3CCCC(N(C)c4cccc5ccc(CN(C)C)nc45)C3)C2)nc1C 7.7844315 0.4090909090909091</t>
  </si>
  <si>
    <t>Cc1cc(C)c(CN(C)C2=C(CN(Cc3ccccn3)Cc3cccc(-c4ccc5c(c4)OCCOCCOCCOCCOCCO5)n3)NC=CC2)cn1 7.784425 0.36904761904761907</t>
  </si>
  <si>
    <t>Cc1cc(CN(CCF)Cc2cc(C(C)C(C)N)ccn2)nc(C)c1C 7.784423 0.2982456140350877</t>
  </si>
  <si>
    <t>CC1CCC1N(Cc1ccccn1)C1CCCC(N(C)c2ccc3cc(CF)cnc3c2)C1 7.784413 0.36923076923076925</t>
  </si>
  <si>
    <t>Cc1ccnc(C2CCC2(C)C)c1C(C)(C)C(C)N(Cc1ccccn1)Cc1ccccn1 7.784413 0.4</t>
  </si>
  <si>
    <t>CC1=C(c2ccccn2)CCC(N(CCN(C)Cc2ncccc2C)Cc2ccccn2)C1C 7.784412 0.3709677419354839</t>
  </si>
  <si>
    <t>COCC(=O)OC 7.784403 0.14</t>
  </si>
  <si>
    <t>Cc1ccc(CN(C)C2CC(N(C)Cc3ncccc3C)CC(N(Cc3cccc(F)n3)Cc3cnccc3F)C2)nc1 7.7843966 0.3380281690140845</t>
  </si>
  <si>
    <t>Cc1ccncc1CN(Cc1cccnc1)C1CCCC(N(C)c2cccnc2CN(C)C)C1 7.784395 0.27941176470588236</t>
  </si>
  <si>
    <t>Cc1cnc(CN(C)C2CC(N(C)Cc3ccccn3)CC(N(Cc3ccccn3)Cc3cccc(C)n3)C2)c(C)c1 7.784394 0.4067796610169492</t>
  </si>
  <si>
    <t>CN1CCN(C)CCN(Cc2cccnc2-c2ccccc2N(C)C)CC1 7.78439 0.4782608695652174</t>
  </si>
  <si>
    <t>Cc1cncc(CN(C)C2C=CC=CN2)c1 7.7843866 0.26785714285714285</t>
  </si>
  <si>
    <t>Cc1cccc(CN(C)C2=CCC=C(CN(C)C3CCC(N(C)Cc4cc(C)c(C)c(C)n4)CC3)N2)n1 7.7843766 0.4098360655737705</t>
  </si>
  <si>
    <t>Cc1cc(C)c(C)c(CN(C)C2CCCCC2N(Cc2ccccn2)Cc2cccnc2C(C)(c2cccnc2)C(C)N)n1 7.7843757 0.3918918918918919</t>
  </si>
  <si>
    <t>CC1=CC(C)C(C)C(c2cccc(CN(Cc3ccccn3)Cc3ccccn3)n2)C1 7.784363 0.45454545454545453</t>
  </si>
  <si>
    <t>Cc1ccc(CN(C)C2=CCC=C(CN(Cc3ccccn3)Cc3cccc(-c4ccc5c(c4)OCCOCCOCCOCCOCCO5)n3)N2)nc1 7.7843623 0.3875</t>
  </si>
  <si>
    <t>CN(CCN(CC(C)(C)C)CC(C)(C)C)Cc1ccc2ncccc2c1 7.7843614 0.4375</t>
  </si>
  <si>
    <t>CC(C)N(Cc1cccc2ncccc12)C1CCC(N(C)Cc2cccnn2)CC1 7.784357 0.37037037037037035</t>
  </si>
  <si>
    <t>Cc1cc(C)c(CN(C)C2CCCC(N(Cc3ccccn3)Cc3nc(C)c(C)c(C)c3C)C2)nc1C 7.784348 0.4</t>
  </si>
  <si>
    <t>CN1CCN(Cc2cccc(C3=NC(C)(C)CO3)n2)CCN(Cc2cccc(C3=NCC(C)(C)O3)n2)CC1 7.784343 0.49019607843137253</t>
  </si>
  <si>
    <t>CC(C)C(C)N(C)CC1=CCC=C(N(C)Cc2ccccn2)N1 7.784333 0.4107142857142857</t>
  </si>
  <si>
    <t>CNCCN(C)Cc1ncc(C)cc1C 7.784322 0.3902439024390244</t>
  </si>
  <si>
    <t>CN(CCN(Cc1ccccn1)Cc1cccc(C2CC(C)(C)C2)n1)Cc1ccccn1 7.7843146 0.5</t>
  </si>
  <si>
    <t>CNCc1ncccc1N(C)C1CCCCC1N(Cc1ccccn1)Cc1nc(C)c(C)c(C)c1C 7.7842927 0.4262295081967213</t>
  </si>
  <si>
    <t>CC1(C)CC(c2ccc(CN(Cc3ccccn3)Cc3ccccn3)c(CN(Cc3ccccn3)Cc3cccc(-c4ccc5c(c4)OCCOCCOCCOCCOCCO5)n3)n2)C1 7.7842884 0.4189189189189189</t>
  </si>
  <si>
    <t>Cc1ccnc(CN(C)CCNCc2ncccc2C)c1 7.784286 0.3584905660377358</t>
  </si>
  <si>
    <t>Cc1cc(CN(Cc2ncc(C)c(C)c2C)CN(C)C2CCCC(N(C)Cc3ncc(C)c(C)c3C)C2)nc(C)c1C 7.784283 0.2903225806451613</t>
  </si>
  <si>
    <t>CC1=CC(N(C)Cc2ccccn2)C=CN1 7.784276 0.4888888888888889</t>
  </si>
  <si>
    <t>Cc1cc(CN(C)CC2=CCC(N(C)c3ncccc3CN3CCN(C)CCN(Cc4ccccn4)CC3)=CN2)nc(C)c1C 7.784261 0.4117647058823529</t>
  </si>
  <si>
    <t>CC(C)C1COC(C2OC(c3cccc(CN(Cc4ccccn4)Cc4cccc(-c5ccc6c(c5)OCCOCCOCCOCCOCCO6)n4)n3)=NC2C(C)C)=N1 7.784259 0.3924050632911392</t>
  </si>
  <si>
    <t>Cc1ccc(CN(C)Cc2cccc(N(C)Cc3cccc(-c4cccc5c4OCCOCCOCCOCCOCCO5)n3)n2)nc1 7.784254 0.36666666666666664</t>
  </si>
  <si>
    <t>CC(C)N(C)Cc1ccc(N(Cc2ccccn2)C2(C)CCC2)nc1 7.784247 0.40384615384615385</t>
  </si>
  <si>
    <t>Cc1cccc(CN(Cc2cccc(-c3ccc4c(c3)OCCOCCOCCOCCOCCO4)n2)C2CCC(N(C)c3ccc4nc(CF)ccc4c3)CC2)n1 7.7842445 0.30985915492957744</t>
  </si>
  <si>
    <t>CCN(Cc1cccc(C2=NC(C)(C)CO2)n1)C1CCCCC1N(C)Cc1nc(C)c(C)c(C)c1C 7.7842436 0.4166666666666667</t>
  </si>
  <si>
    <t>COC(=O)c1cccc(CN(Cc2ccccn2)Cc2cccc(-c3ccc4c(c3)OCCOCCOCCOCCOCCO4)n2)n1 7.784225 0.5</t>
  </si>
  <si>
    <t>CNC1CCC(N(C)Cc2nc(C)c(C)c(C)c2C)CC1N(C)Cc1cc(C)c(C)c(C)n1 7.7842135 0.2903225806451613</t>
  </si>
  <si>
    <t>CC(C)N(C)Cc1cc(C(C)(C)C)ccn1 7.7842016 0.3488372093023256</t>
  </si>
  <si>
    <t>CC1=CC(C)CC(CN(Cc2ccccn2)C2CCC(N(C)c3ccc4nccc(C)c4c3)CC2)C1C 7.784189 0.3142857142857143</t>
  </si>
  <si>
    <t>CCN(C)CCN(C)Cc1nc(C)c(C)cc1C 7.78418 0.35</t>
  </si>
  <si>
    <t>Cc1cccc(CN(Cc2ccccn2)Cc2cccc(CN(C)C3CCC(N(Cc4ccccn4)Cc4ncccc4C)CC3)n2)n1 7.7841687 0.43103448275862066</t>
  </si>
  <si>
    <t>Cc1cncc(CN(C)Cc2cccc(N(C)Cc3cccc(-c4ccc5c(c4)OCCOCCOCCOCCOCCO5)n3)n2)c1 7.784165 0.30434782608695654</t>
  </si>
  <si>
    <t>CN(c1ccc2nccc(CF)c2c1)C1CCC(N(Cc2ccccn2)Cc2cc(-c3ccc4c(c3)OCCOCCOCCOCCOCCO4)ccn2)CC1 7.7841625 0.313953488372093</t>
  </si>
  <si>
    <t>Cc1cc(C)c(CN(C)C2CC(N(C)Cc3ccccn3)CC(N(Cc3ccccn3)Cc3ccccn3)C2)nc1C 7.7841625 0.4423076923076923</t>
  </si>
  <si>
    <t>CCN(Cc1ccccn1)c1ccc2c(c1-c1cc(CN(Cc3ccccn3)Cc3cccc(F)n3)ccn1)OCCOCCOCCOCCOCCO2 7.7841587 0.3472222222222222</t>
  </si>
  <si>
    <t>CC(C)N(C)C1CCCCC1N(C)c1cccc2c(CF)ccnc12 7.784154 0.5</t>
  </si>
  <si>
    <t>CN(c1cccc2c(CF)ccnc12)C1CCC(N(Cc2ccccn2)Cc2ncccc2-c2ccc3c(c2)OCCOCCOCCOCCOCCO3)CC1 7.78415 0.2826086956521739</t>
  </si>
  <si>
    <t>CCCNCC1=CCC(N(C)Cc2ccccn2)=CN1 7.784138 0.3888888888888889</t>
  </si>
  <si>
    <t>Cc1cccc(CN(Cc2cccc(C)n2)C2CC(N(C)Cc3ccccn3)CC(N(C)Cc3ncccc3C)C2)n1 7.784138 0.43636363636363634</t>
  </si>
  <si>
    <t>Cc1nc(CN(C)C2CCC(N(C)Cc3cccc(C4=CCC=CN4)n3)CC2)c(C)c(C)c1C 7.7841344 0.3387096774193548</t>
  </si>
  <si>
    <t>CNCc1cccc(N)n1 7.784121 0.2894736842105263</t>
  </si>
  <si>
    <t>CCN(Cc1ccccn1)Cc1ccc2cccc(N(C)C3CCC(N(Cc4ccccn4)Cc4ncccc4-c4ccc5c(c4)OCCOCCOCCOCCOCCO5)CC3)c2n1 7.784118 0.3023255813953488</t>
  </si>
  <si>
    <t>Cc1cnc(CNCCN(C)CC(C)(C)C)c(C)c1C 7.7841015 0.27450980392156865</t>
  </si>
  <si>
    <t>CN1CCN(C)CCN(Cc2cccnc2-c2cccc(N(C)C)c2)CC1 7.7840886 0.42857142857142855</t>
  </si>
  <si>
    <t>Cc1cnc(CN(CN(C)C(C)C)C(C)C)c(C)c1 7.7840843 0.3181818181818182</t>
  </si>
  <si>
    <t>CCNCN(C)C1CCCC(N(C)c2cccc3c(CF)ccnc23)C1 7.7840767 0.3387096774193548</t>
  </si>
  <si>
    <t>COC(=O)C1CC(c2ccccn2)C(c2ccccn2)N(C)C1c1cc(CN(Cc2ccccn2)C2CCCCC2)ccn1 7.784064 0.3194444444444444</t>
  </si>
  <si>
    <t>Cc1cncc(CN(C)C2CC(N(C)Cc3ccccn3)CC(N(Cc3ccccn3)Cc3ncc(C)c(C)c3C)C2)c1 7.7840543 0.3770491803278688</t>
  </si>
  <si>
    <t>Cc1cnc(CN(C)CCN(C)C(C)(C)c2ccccn2)c(C)c1 7.784053 0.3673469387755102</t>
  </si>
  <si>
    <t>CC(C)N(C)c1cccc(-c2cncc(C(C)(C)N3CCN(C)CCN(C)CC3)c2)c1 7.784051 0.25925925925925924</t>
  </si>
  <si>
    <t>CNCCN(Cc1ccccn1)C(C)(N)c1ccon1 7.784048 0.39622641509433965</t>
  </si>
  <si>
    <t>CC1(C)CC(c2cccc(CN(Cc3cccc(-c4ccc5c(c4)OCCOCCOCCOCCOCCO5)n3)Cc3cccc(C(C)(C)c4ccccn4)n3)n2)C1 7.7840433 0.37662337662337664</t>
  </si>
  <si>
    <t>CC(C)C1=CC2(C=CN1)C=CC(c1cccc(CN(Cc3ccccn3)Cc3ccccn3)n1)C(c1cccc(CN(Cc3ccccn3)Cc3cccc(-c4cccc5c4OCCOCCOCCOCCOCCO5)n3)n1)C2(C)C 7.784043 0.2967032967032967</t>
  </si>
  <si>
    <t>CN(C)Cc1nccc2cc(N(C)C3CCC(N(Cc4ccccn4)Cc4cccc(-c5cccc6c5OCCOCCOCCOCCOCCO6)n4)CC3)ccc12 7.784034 0.32051282051282054</t>
  </si>
  <si>
    <t>CNCCN(Cc1ccccn1)Cc1ncc(C)cc1C 7.784031 0.46808510638297873</t>
  </si>
  <si>
    <t>CC(NCc1ccccn1)c1ccccn1 7.784026 0.5</t>
  </si>
  <si>
    <t>COC(=O)C(C)NCc1cc(C(C)N)ccn1 7.7840123 0.2786885245901639</t>
  </si>
  <si>
    <t>CCN(CCN(C)Cc1nc(C)c(C)cc1C)Cc1ccccn1 7.783996 0.5</t>
  </si>
  <si>
    <t>Cc1ccc(CN(Cc2cccc(C(C)C(C)C)n2)C(C)C)nc1 7.7839894 0.4418604651162791</t>
  </si>
  <si>
    <t>CCC1=NC(C2=CC(c3cccc(CN(Cc4ccccn4)Cc4ccccn4)n3)CC(C)C2C)CO1 7.783989 0.3508771929824561</t>
  </si>
  <si>
    <t>CC(C)NCCN(C)Cc1ccccc1N(C)C 7.7839856 0.32608695652173914</t>
  </si>
  <si>
    <t>Cc1cccnc1CN(C)C1CC(N(C)Cc2ccccn2)CC(N(Cc2ccccn2)Cc2nccc(C)c2C)C1 7.783985 0.42592592592592593</t>
  </si>
  <si>
    <t>Cc1cccc(CN(C)C2=CNC(CN(C)C(C)C(C)N)=CC2)n1 7.7839794 0.38461538461538464</t>
  </si>
  <si>
    <t>CC1=CC(C)C2(C=C(c3cccc(CN(Cc4ccccn4)C4CCCCC4)n3)C(c3ccc(CN(Cc4ccccn4)Cc4ccccn4)cn3)C3(CCC(C)=C(C)C3C)C2)C(C)C1 7.7839556 0.28421052631578947</t>
  </si>
  <si>
    <t>CCCN(CC1=CC(N(C)Cc2cccc(C)n2)C=CN1)Cc1ccccn1 7.783952 0.40350877192982454</t>
  </si>
  <si>
    <t>Cc1ccc(CN(Cc2ccccn2)C2=CNC(CN(C)Cc3cccc(-c4ccc5c(c4)OCCOCCOCCOCCOCCO5)n3)=CC2)nc1C 7.783952 0.3835616438356164</t>
  </si>
  <si>
    <t>Cc1ccc(CN(C)CC2=CCC=CN2)cc1 7.7839513 0.4166666666666667</t>
  </si>
  <si>
    <t>Cc1cccnc1CNCCN(C)Cc1ncccc1C 7.7839484 0.3695652173913043</t>
  </si>
  <si>
    <t>Cc1ccc(C)c(CN(CCF)Cc2ccccn2)n1 7.783948 0.5</t>
  </si>
  <si>
    <t>CNC1CC(N(Cc2ccccn2)Cc2ccccn2)CC(N(Cc2ccccn2)Cc2ncc(C)c(C)c2C)C1 7.7839465 0.36363636363636365</t>
  </si>
  <si>
    <t>CC1=CNC=CC1CSCc1ccccn1 7.7839403 0.4634146341463415</t>
  </si>
  <si>
    <t>Cc1cncc(CN(C)C2CCCC(N(Cc3nc(C)c(C)cc3C)Cc3nc(C)c(C)cc3C)C2)c1 7.7839394 0.26229508196721313</t>
  </si>
  <si>
    <t>CNc1cc2c(c(-c3cccc(CN(Cc4ccccn4)C4CCCCC4N(C)c4ccc5nc(CF)ccc5c4)n3)c1)OCCOCCOCCOCCOCCO2 7.783933 0.3411764705882353</t>
  </si>
  <si>
    <t>Cc1ccc(CN(C)C2C=CNC(C(C)N)=C2)nc1 7.783932 0.45098039215686275</t>
  </si>
  <si>
    <t>Cc1ccc(C)c(CN(Cc2ncc(C)c(C)c2C)C2CCCC(N(C)Cc3cnc(C)c(C)c3)C2)n1 7.7839303 0.26865671641791045</t>
  </si>
  <si>
    <t>CNC1C=CC=C(N(C)C)N1 7.783929 0.1568627450980392</t>
  </si>
  <si>
    <t>Cc1ccccc1CN(C)CC1=C(N(C)C(C)C)CC=CN1 7.78391 0.2545454545454545</t>
  </si>
  <si>
    <t>Cc1cc(CN2CCN(C)CCN(Cc3cc(C(C)(c4ccccn4)c4ccccn4)ccn3)CC2)ccn1 7.783909 0.5</t>
  </si>
  <si>
    <t>CCCNCC1=C(N(C)Cc2ccccn2)CC=CN1 7.7839084 0.40350877192982454</t>
  </si>
  <si>
    <t>CNc1cccc(CN(Cc2cccc(F)n2)C2CCC(N(C)Cc3nc(C)c(C)cc3C)CC2)n1 7.783899 0.3225806451612903</t>
  </si>
  <si>
    <t>CC(C)C(C)N(C)CCN(C)Cc1cccc2ncccc12 7.7838926 0.4888888888888889</t>
  </si>
  <si>
    <t>Fc1ccncc1CN(Cc1ccccn1)C1CCCC(N(Cc2ccccn2)c2ccccc2F)C1 7.7838845 0.35</t>
  </si>
  <si>
    <t>Cc1cnc(CN(CN(C)Cc2nc(C)c(C)cc2C)C(C)(N)N(CCN(C)C(C)C)Cc2ccccn2)cc1C 7.783883 0.3333333333333333</t>
  </si>
  <si>
    <t>CC(C)N(C)C1CCC(N(C)c2cccc3ncc(CF)cc23)CC1 7.783878 0.30158730158730157</t>
  </si>
  <si>
    <t>Cc1cncc(CN(C)C2CCC(N(Cc3ncc(C)c(C)c3C)Cc3nc(C)c(C)c(C)c3C)CC2)c1 7.783876 0.265625</t>
  </si>
  <si>
    <t>CC1=C(C)CC2(C=CC3(C(C)C=CC(C)C3C)C(c3cccc(CN(Cc4ccccn4)C4CCCCC4)n3)C2c2cccc(CN(Cc3ccccn3)C3CCC(N(C)c4ccc5nc(CF)ccc5c4)CC3)n2)C(C)C1 7.783875 0.2553191489361702</t>
  </si>
  <si>
    <t>CN(c1ccc2nccc(CF)c2c1)C1CCC(N(Cc2ccccn2)Cc2ncccc2-c2ccc3c(c2)OCCOCCOCCOCCOCCO3)CC1 7.7838736 0.2826086956521739</t>
  </si>
  <si>
    <t>CNCc1cccc(CN(Cc2ccccn2)C2CCCC(N(C)Cc3cccc(C4=CCC=CN4)n3)C2)n1 7.7838564 0.38028169014084506</t>
  </si>
  <si>
    <t>Cc1ccc(CN(C)C2CC(N(C)Cc3ccc(C)nc3)CC(N(Cc3ccc(C)cn3)Cc3ccc(C)cn3)C2)nc1 7.783855 0.4897959183673469</t>
  </si>
  <si>
    <t>COC(=O)c1cc(CN(Cc2ccccn2)Cc2cc(-c3cccc4c3OCCOCCOCCOCCOCCO4)ccn2)ccn1 7.7838516 0.33766233766233766</t>
  </si>
  <si>
    <t>Cc1ccc(CN(C)C2CCC(N(C)Cc3ccccn3)C(N(C)Cc3cccc(C4=CCC=CN4)n3)C2)nc1 7.783851 0.42424242424242425</t>
  </si>
  <si>
    <t>Cc1cnc(CN(CCN(C)C(C)(c2cccnc2)C(C)C)Cc2ccccn2)c(C)c1 7.7838435 0.4067796610169492</t>
  </si>
  <si>
    <t>CCN(Cc1ccccn1)C1CCCC(N(Cc2nc(C)c(C)c(C)c2C)Cc2nc(C)c(C)c(C)c2C)C1 7.783823 0.4074074074074074</t>
  </si>
  <si>
    <t>CN1CCN(C)CCN(Cc2cnccc2-c2cccc(N(C)C)c2)CC1 7.7838225 0.375</t>
  </si>
  <si>
    <t>Cc1cc(C)c(CN(Cc2ccccn2)C2CCCC(N(Cc3ccccn3)Cc3cccnc3F)C2)nc1C 7.7838116 0.36666666666666664</t>
  </si>
  <si>
    <t>Cc1cccnc1CN(Cc1cccc(C(C)(C)C)n1)C1CCC(N(Cc2cccc(-c3ccc4c(c3)OCCOCCOCCOCCOCCO4)n2)Cc2ncccc2-c2ccccn2)CC1 7.783807 0.3023255813953488</t>
  </si>
  <si>
    <t>CCN(CC1=CC(N(C)Cc2ccccn2)C=CN1)Cc1ccccn1 7.7838016 0.4716981132075472</t>
  </si>
  <si>
    <t>CNC1CCCC(N(Cc2nc(C)c(C)c(C)c2C)Cc2nc(C)c(C)c(C)c2C)C1 7.783793 0.21818181818181817</t>
  </si>
  <si>
    <t>C=Cc1ccc(CN(Cc2ccccn2)C2CCC(N(C)Cc3nc(C)c(C)cc3C)CC2)nc1 7.783791 0.37681159420289856</t>
  </si>
  <si>
    <t>Cc1ccc(N)c(N(C)CCN(C)C(C)C)c1 7.7837763 0.2727272727272727</t>
  </si>
  <si>
    <t>CC(C)N(C)c1ccc2nc(CN(C)C(C)(C)c3cccnc3CN(C)C3CCC(N(C)C(C)C)CC3)ccc2c1 7.783774 0.2714285714285714</t>
  </si>
  <si>
    <t>CC(C)C1=CC2C(c3cccc(CN(Cc4ccc5c(c4)OCCOCCOCCOCCOCCO5)Cc4ccc5ccccc5n4)n3)=CC(C)(C)C(N(C)Cc3ccccn3)C2=CN1 7.7837577 0.3488372093023256</t>
  </si>
  <si>
    <t>CCCN(CC1=CCC(N(C)Cc2ccccn2)=CN1)C(C)C 7.783755 0.5</t>
  </si>
  <si>
    <t>CN(c1ccc2ccc(CF)nc2c1)C1CCCCC1N(C)C1C=CNC=C1 7.7837496 0.47368421052631576</t>
  </si>
  <si>
    <t>CC(C)(C)C1=CC2(C=CN1)C=CC(c1cccc(CN(Cc3ccccn3)Cc3cccc(-c4ccc5c(c4)OCCOCCOCCOCCOCCO5)n3)n1)C(c1cccc(CN(Cc3ccccn3)Cc3ccccn3)n1)C2(C)C 7.7837477 0.36046511627906974</t>
  </si>
  <si>
    <t>C=CCN(CC1=CC(N(C)Cc2ccccn2)C=CN1)Cc1ccccn1 7.783744 0.43859649122807015</t>
  </si>
  <si>
    <t>Cc1cnccc1CN1CCN(C)CCN(CCN(C)c2ccc3c(CF)ccnc3c2)CC1 7.783739 0.3492063492063492</t>
  </si>
  <si>
    <t>Cc1cc(C)c(C)c(CN(C)C2CCCC(N(C)c3cccnc3CN(C)C)C2)n1 7.783726 0.3225806451612903</t>
  </si>
  <si>
    <t>CC(C)N(C)Cc1ccc(C(C)(C)C)cn1 7.783721 0.3902439024390244</t>
  </si>
  <si>
    <t>Cc1ccc(CN(C)C2=CNC(CN(C)C(C)C(C)C)=CC2)nc1 7.78372 0.39215686274509803</t>
  </si>
  <si>
    <t>CC(C)N(C)C1=C(CN(C)Cc2ccccn2)NC=CC1 7.783718 0.46808510638297873</t>
  </si>
  <si>
    <t>CN(Cc1cccc(-c2ccc3c(c2)OCCOCCOCCOCCOCCO3)n1)C1CCCCC1N(C)Cc1cccc(-c2ccc3cccnc3c2)n1 7.783713 0.41935483870967744</t>
  </si>
  <si>
    <t>CN(Cc1ccccn1)Cc1cc(N(C)Cc2ncccc2-c2ccc3c(c2)OCCOCCOCCOCCOCCO3)ccn1 7.783704 0.3384615384615385</t>
  </si>
  <si>
    <t>CC1=C(N(C)C2C=CC=CN2)CC=CN1 7.783694 0.21428571428571427</t>
  </si>
  <si>
    <t>CN(Cc1ccccn1)C1CCC(N(Cc2ccccn2)Cc2cccc(C3=CCC=CN3)n2)CC1 7.7836905 0.45</t>
  </si>
  <si>
    <t>Cc1cncc(CN(Cc2ccccn2)C2CCCC(N(Cc3ccccn3)c3ccccc3F)C2)c1 7.7836742 0.3492063492063492</t>
  </si>
  <si>
    <t>Cc1ccnc(CN(Cc2nc(C)c(C)c(C)c2C)C2CCCC(N(C)Cc3ccccn3)C2N(C)Cc2ccnc(C)c2)c1 7.783669 0.42424242424242425</t>
  </si>
  <si>
    <t>Cc1nc(CN(C)C2CCC(N(Cc3ccccn3)Cc3cccc(CN(Cc4cccc(C5CC(C)(C)C5)n4)C(C)C)n3)CC2)c(C)c(C)c1C 7.783668 0.3582089552238806</t>
  </si>
  <si>
    <t>Cc1ccc(C)c(N(Cc2ccccn2)Cc2cccc(-c3ccc4c(c3)OCCOCCOCCOCCOCCO4)n2)c1 7.7836676 0.4117647058823529</t>
  </si>
  <si>
    <t>Cc1cccnc1CN(C)Cc1cccc(N(C)Cc2cccc(-c3cccc4c3OCCOCCOCCOCCOCCO4)n2)n1 7.783662 0.36363636363636365</t>
  </si>
  <si>
    <t>CC(C)C(C)N(C)CCN(C)Cc1ccc2ncccc2c1 7.7836256 0.40816326530612246</t>
  </si>
  <si>
    <t>CNC1C(N(C)Cc2cc(C)c(C)c(C)n2)CCCC1N(Cc1cc(C)c(C)cn1)Cc1cc(C)c(C)c(C)n1 7.7836056 0.4107142857142857</t>
  </si>
  <si>
    <t>COC(=O)C1C(=O)CC(C(=O)OC)N(C)C1C(=O)C(C)N 7.7836013 0.26229508196721313</t>
  </si>
  <si>
    <t>CC1=C(CN(C)Cc2cc(C(C)(C)c3ccccn3)ccn2)C(C)C(C)CC1 7.7835956 0.3225806451612903</t>
  </si>
  <si>
    <t>CC(C)N1CCN(C)CCN(C(C)c2cncc(-c3cncc(NC4=CCC=CN4)c3)c2)CC1 7.783589 0.208955223880597</t>
  </si>
  <si>
    <t>Cc1cccc(CN(C)C2=C(CN(C)C(C)C(C)C)NC=CC2)n1 7.783586 0.4</t>
  </si>
  <si>
    <t>CC1=C(C)CC(C)(c2ccccn2)C(C)C1 7.7835827 0.2653061224489796</t>
  </si>
  <si>
    <t>CNC1C(N(Cc2ncccc2C)Cc2ncccc2C)CCCC1N(Cc1ncccc1C)Cc1ncc(C)cc1C 7.78358 0.3333333333333333</t>
  </si>
  <si>
    <t>Cc1cnc(CN(C)CCNCc2ccc(-c3ccc4c(c3)OCCOCCOCCOCCOCCO4)cn2)c(C)c1-c1ccccn1 7.7835736 0.375</t>
  </si>
  <si>
    <t>Cc1cc(CN(C)CCN(Cc2ccccn2)C(C)(C)C)cnc1C 7.783566 0.40384615384615385</t>
  </si>
  <si>
    <t>CC1C=CCC(C)C1(C)c1ccc(CN(Cc2ccccn2)Cc2ccccn2)cn1 7.7835555 0.4166666666666667</t>
  </si>
  <si>
    <t>Cc1cnc(CN(C)CCNCc2ccccn2)c(C)c1 7.783553 0.4772727272727273</t>
  </si>
  <si>
    <t>CN1CCN(C)CCN(Cc2ccc(-c3ccc(N(C)C)cc3)nc2)CC1 7.7835503 0.38461538461538464</t>
  </si>
  <si>
    <t>CC(C)C(C)N(C)Cc1ccc(-c2cccc(N(C)Cc3cc(-c4ccc5c(c4)OCCOCCOCCOCCOCCO5)ccn3)c2)cn1 7.783539 0.40540540540540543</t>
  </si>
  <si>
    <t>CCC1=CCCC(C)(c2ncccc2CN(Cc2ccccn2)Cc2ccccn2)C1C 7.7835255 0.40816326530612246</t>
  </si>
  <si>
    <t>Cc1ccccc1-c1cccc(CN(C)C2CCCC(N(C)Cc3ccccn3)C2)n1 7.7835183 0.5</t>
  </si>
  <si>
    <t>Cc1ccc(CN(C)C2CCC(N(C)Cc3ccccn3)CC2N(Cc2ccccn2)Cc2nc(C)c(C)c(C)c2C)nc1 7.783514 0.4666666666666667</t>
  </si>
  <si>
    <t>CCOC(=O)C(C)NCc1ncccc1C(C)NCc1ccccn1 7.78351 0.3333333333333333</t>
  </si>
  <si>
    <t>CN(CCN(Cc1ccccn1)C(C)(C)c1ccccn1)Cc1ccccn1 7.7834964 0.4772727272727273</t>
  </si>
  <si>
    <t>CC(NC1C=CC=CN1)c1ccccn1 7.7834945 0.37254901960784315</t>
  </si>
  <si>
    <t>CN(C1=CNC=CC1C1=CCC=CN1)C1C=CC=CN1 7.7834945 0.203125</t>
  </si>
  <si>
    <t>Cc1cnc(C)c(CN(C)CCN)c1C 7.783493 0.375</t>
  </si>
  <si>
    <t>Cc1nccc(CN(C)C2CCCC(N(Cc3ccccn3)c3ccccc3F)C2)c1C 7.783491 0.4067796610169492</t>
  </si>
  <si>
    <t>CCCN(C)C1CCC(N(C)Cc2ccccn2)C(N(Cc2ccc3cccnc3c2)Cc2ncccc2C)C1 7.783485 0.40298507462686567</t>
  </si>
  <si>
    <t>CN(C)CC1=CC(N(C)Cc2ccccn2)C=CN1 7.7834787 0.46808510638297873</t>
  </si>
  <si>
    <t>Cc1cncc(CN(C)C2CC(N(C)Cc3ccccn3)CC(N(Cc3ccccn3)Cc3cc(C)c(C)c(C)n3)C2)c1 7.7834744 0.3709677419354839</t>
  </si>
  <si>
    <t>CC(NCc1ccccn1)c1cccnc1NCF 7.7834697 0.3953488372093023</t>
  </si>
  <si>
    <t>CC(C)C1=CC2(C=CN1)C=CC(c1cccc(CN(Cc3ccccn3)Cc3cccc(-c4ccc5c(c4)OCCOCCOCCOCCOCCO5)n3)n1)C(c1cccc(CN(Cc3ccccn3)Cc3ccccn3)n1)C2(C)C 7.783444 0.36046511627906974</t>
  </si>
  <si>
    <t>CC(C)C1=CC2(C=CN1)C=CC(c1cccc(CN(Cc3ccccn3)Cc3ccccn3)n1)C(c1cccc(CN(Cc3ccccn3)Cc3cccc(-c4ccc5c(c4)OCCOCCOCCOCCOCCO5)n3)n1)C2(C)C 7.783444 0.36046511627906974</t>
  </si>
  <si>
    <t>COC(=O)C1CN(C)C(C(C)(C)NCc2ccccn2)C(c2cc(C)c(C)c(C)n2)C1C(C)C 7.783444 0.27058823529411763</t>
  </si>
  <si>
    <t>Cc1ccnc(CN(Cc2ncccc2C(C)(C)C(C)C)C(C)C)c1 7.783442 0.4375</t>
  </si>
  <si>
    <t>Cc1cncc(CN(C)CCN(C)Cc2ncccc2C)c1 7.7834344 0.3695652173913043</t>
  </si>
  <si>
    <t>CCNCc1ccccc1CN(C)Cc1cc(C)ccn1 7.7834334 0.35294117647058826</t>
  </si>
  <si>
    <t>CC1C(N)CC1c1ccc(CN(C)Cc2cc(N)ccn2)cn1 7.783432 0.2786885245901639</t>
  </si>
  <si>
    <t>Cc1cccnc1CN(Cc1ccccn1)C1CCCC(N(C)c2cccnc2CN(Cc2ccccn2)C(C)C)C1 7.7834306 0.42105263157894735</t>
  </si>
  <si>
    <t>CN(c1ccc2nc(CF)ccc2c1)C1CCCCC1N(C)C1C=CC=CN1 7.783419 0.4426229508196721</t>
  </si>
  <si>
    <t>CC(N)C(C)(c1cccnc1)N(C)Cc1ncccc1N 7.7834177 0.25925925925925924</t>
  </si>
  <si>
    <t>Cc1ccc(CN(Cc2cncc(C)c2)C2CC(N(C)Cc3ccccn3)CC(N(C)Cc3ncc(C)cc3C)C2)nc1 7.783415 0.375</t>
  </si>
  <si>
    <t>Cc1cccc(-c2cccc(CN(C)Cc3cccc(-c4ccc5c(c4)OCCOCCOCCOCCOCCO5)n3)n2)c1 7.7834115 0.375</t>
  </si>
  <si>
    <t>CC1=CC(CN(C)Cc2cc(C)c(C)cn2)CC(C)C1N(C)Cc1cc(C)c(C)cn1 7.7834015 0.34545454545454546</t>
  </si>
  <si>
    <t>CNc1ccc(CN(Cc2cccc(C)n2)C2CCC(N(C)Cc3cc(C)c(C)c(C)n3)CC2)nc1 7.7833986 0.4032258064516129</t>
  </si>
  <si>
    <t>CN1CCN(C)CCN(Cc2cccnc2-c2ccc(N(C)C)cc2)CC1 7.783396 0.45652173913043476</t>
  </si>
  <si>
    <t>Cc1cnc(CN(C)C2=CNC(CN(Cc3ccccn3)Cc3cccc(-c4ccc5c(c4)OCCOCCOCCOCCOCCO5)n3)=CC2)c(C)c1 7.7833843 0.37349397590361444</t>
  </si>
  <si>
    <t>CNCC1=CC(N(C)Cc2ncccc2C)C=CN1 7.783381 0.3</t>
  </si>
  <si>
    <t>Cc1cncc(CN(C)C2CCC(N(C)Cc3ccccn3)CC2N(Cc2nccc(C)c2C)Cc2nccc(C)c2C)c1 7.7833753 0.42857142857142855</t>
  </si>
  <si>
    <t>Cc1ccc(CN(C)C2CC(N(C)Cc3ncccc3C)CC(N(Cc3ccc(C)cn3)Cc3ccc(C)cn3)C2)nc1 7.7833676 0.47058823529411764</t>
  </si>
  <si>
    <t>CCCN(Cc1ccccn1)c1ccc2c(c1-c1cccc(CN(Cc3ccccn3)Cc3nccc(C)c3C)n1)OCCOCCOCCOCCOCCO2 7.783367 0.3375</t>
  </si>
  <si>
    <t>CNc1cccc(CN(Cc2cccc(F)n2)C2CCCC(N(C)Cc3cc(C)c(C)c(C)n3)C2)n1 7.783364 0.34375</t>
  </si>
  <si>
    <t>Cc1cccnc1CN(C)C1C=CNC(C(C)C)=C1 7.7833633 0.26785714285714285</t>
  </si>
  <si>
    <t>Cc1ccc(CN(C)C2CCC(N(C)Cc3ccccn3)CC2N(Cc2ccccn2)Cc2ncc(Cl)c(C)c2C)nc1 7.7833543 0.45901639344262296</t>
  </si>
  <si>
    <t>Cc1ccc(CN(C)Cc2cccc(N(C)Cc3cccc(-c4ccc5c(c4)OCCOCCOCCOCCOCCO5)n3)n2)nc1 7.7833524 0.36666666666666664</t>
  </si>
  <si>
    <t>COC(=O)C1CC(c2ccccn2)C(C(=O)C(C)N)N(C)C1C(C)(C)N(Cc1ccccn1)Cc1ccccn1 7.783347 0.32894736842105265</t>
  </si>
  <si>
    <t>CC(C)C(C)c1cc(CN(Cc2cc(C(C)(C)C)ccn2)CC(C)(C)C)ccn1 7.7833457 0.40384615384615385</t>
  </si>
  <si>
    <t>CCC(C)C(C)C(C)C(C)C(C)C(C)C(C)C(C)C(C)C(C)C(C)C(C)C(=O)C(=O)C(=O)C(C)C(=O)C(=O)C(=O)C(=O)C(=O)C(=O)C(C)C(C)C(C)C(C)C(=O)C(=O)C(C)C(=O)C(=O)C(=O)C(=O)c1ccnc(C2CCC2(C)C)c1C1=NC(=O)C(=O)O1 7.783341 0.1702127659574468</t>
  </si>
  <si>
    <t>Cc1nc(CN(Cc2nc(C)c(C)c(C)c2C)C2CCCCC2NC2CCCCC2N(Cc2nc(C)c(C)c(C)c2C)Cc2nc(C)c(C)c(C)c2C)c(C)c(C)c1C 7.783339 0.3</t>
  </si>
  <si>
    <t>CCN(Cc1cc(-c2ccc3c(c2)OCCOCCOCCOCCOCCO3)ccn1)Cc1ccc2cc(N(C)Cc3cccc(-c4ccc5c(c4)OCCOCCOCCOCCOCCO5)n3)ccc2n1 7.7833347 0.3333333333333333</t>
  </si>
  <si>
    <t>CC1(C)COC(c2cccc(CN(Cc3ccccn3)Cc3cccc(-c4cccc5c4OCCOCCOCCOCCOCCO5)n3)n2)=N1 7.7833285 0.423728813559322</t>
  </si>
  <si>
    <t>CCN(Cc1ccc2ncccc2c1)Cc1ncccc1-c1ccc2c(c1)OCCOCCOCCOCCOCCO2 7.783326 0.3026315789473684</t>
  </si>
  <si>
    <t>CN1CCN(C)CCN(Cc2ncccc2-c2cccc(N(C)C)c2)CC1 7.7833223 0.42857142857142855</t>
  </si>
  <si>
    <t>CN1CCN(C)CCN(Cc2ccc(-c3cccc(NCc4ccccn4)c3)nc2)CC1 7.783322 0.49056603773584906</t>
  </si>
  <si>
    <t>Cc1cnc(CN(Cc2cccc(CN(Cc3ccc([Si](C(C)C)(C(C)C)C(C)C)cn3)Cc3cccc(-c4ccc5c(c4)OCCOCCOCCOCCOCCO5)n3)n2)Cc2cccc(C3CCC3(C)C)n2)c(C)c1 7.783318 0.3375</t>
  </si>
  <si>
    <t>CN(CN(C)C1CCCCC1N(C)C)c1cccc2ncc3c(c12)CCCC3 7.783316 0.3492063492063492</t>
  </si>
  <si>
    <t>CNC1CC(N(C)Cc2ccccn2)CC(N(Cc2nc(C)c(C)cc2C)Cc2nc(C)c(C)cc2C)C1 7.7833076 0.40350877192982454</t>
  </si>
  <si>
    <t>CC(C)C1COC(c2ncccc2CN(Cc2cc(-c3ccc4c(c3)OCCOCCOCCOCCOCCO4)ccn2)Cc2ncccc2C(C)(C)C)=N1 7.783304 0.29213483146067415</t>
  </si>
  <si>
    <t>CC1=C(c2cc(CN(Cc3ccccn3)C3CCCC(N(C)Cc4ccon4)C3)ccn2)C(C)CC(C)C1 7.7833037 0.352112676056338</t>
  </si>
  <si>
    <t>CNCCN(Cc1ccccn1)C(C)(N)N(Cc1ncc(C)cc1C)C(C)C 7.783303 0.3728813559322034</t>
  </si>
  <si>
    <t>CC(C)C1CC(c2ncccc2CN(Cc2ccccn2)Cc2ccccn2)C1 7.7833004 0.4878048780487805</t>
  </si>
  <si>
    <t>Cc1cncc(CN(C)CN(C)CC2=CCC(N(C)C(C)C)=CN2)c1 7.7832966 0.22413793103448276</t>
  </si>
  <si>
    <t>CC1C=CCC(C)(N(Cc2ccccn2)C2CCC(N(C)c3cccc4nccc(CN(C)C)c34)CC2)C1C 7.7832937 0.30985915492957744</t>
  </si>
  <si>
    <t>Cc1cccc(N(C)CC2=CC(N(C)C(C)C)C=CN2)c1 7.7832856 0.3103448275862069</t>
  </si>
  <si>
    <t>Cc1ccc(CN(C)C2CC(N(C)Cc3cccc(C)n3)CC(N(Cc3ccc(C)cn3)Cc3ccc(C)cn3)C2)nc1 7.783284 0.4897959183673469</t>
  </si>
  <si>
    <t>CCC(C)C(C)N(Cc1ccccn1)Cc1cc(C(C)(C)c2ccccn2)ccn1 7.7832747 0.44</t>
  </si>
  <si>
    <t>Cc1cccnc1CN(C)C1=CNC(CN(C)C(C)C(C)N)=CC1 7.783256 0.2537313432835821</t>
  </si>
  <si>
    <t>Cc1cccc(CN(Cc2ccccn2)C2CCCC(N(C)c3cccnc3CN(Cc3ccccn3)C(C)C)C2)n1 7.78325 0.4067796610169492</t>
  </si>
  <si>
    <t>CCN1CCN(C)CCN(c2ccc3c(CF)ccnc3c2)CC1 7.7832494 0.3584905660377358</t>
  </si>
  <si>
    <t>CN1CCN(C)CCN(Cc2ccc(-c3ccc(N(C)C)cc3)cn2)CC1 7.7832475 0.4883720930232558</t>
  </si>
  <si>
    <t>CNC1CC(N(C)Cc2ccccn2)CCC1N(Cc1nc(C)c(C)c(C)c1C)Cc1nc(C)c(C)c(C)c1C 7.7832456 0.43103448275862066</t>
  </si>
  <si>
    <t>COC(=O)C(=O)C(C)CN(C)Cc1ccccn1 7.783245 0.43478260869565216</t>
  </si>
  <si>
    <t>CC(C)NCc1ncccc1C(C)(C)C 7.7832446 0.2682926829268293</t>
  </si>
  <si>
    <t>CNCc1ccc(CN(C)C2=CNC=CC2C(C)(C)C)cn1 7.7832417 0.24561403508771928</t>
  </si>
  <si>
    <t>Cc1cccc(CN(C)CC2=CCC=CN2)c1 7.7832327 0.42</t>
  </si>
  <si>
    <t>Cc1cncc(CN(C)C2CC(N(C)Cc3ccccn3)CC(N(Cc3ccccn3)Cc3nc(C)c(C)cc3C)C2)c1 7.783232 0.36507936507936506</t>
  </si>
  <si>
    <t>CC(N)C(C)(c1ccccn1)C(C)N=Cc1ccccn1 7.783227 0.3877551020408163</t>
  </si>
  <si>
    <t>C=Cc1ccc(CN(Cc2cccc(-c3cccc(N(C)C)c3)n2)C2CCC(N(C)Cc3cccc(-c4ccc5c(c4)OCCOCCOCCOCCOCCO5)n3)CC2)nc1 7.7832246 0.34523809523809523</t>
  </si>
  <si>
    <t>CC1=CC(C)CC(N(C)Cc2cc(C(C)(C)c3ccccn3)ccn2)C1C 7.783221 0.39655172413793105</t>
  </si>
  <si>
    <t>CC1=C(C)C(N(C)Cc2ncccc2C(C)(C)C)C(C)(C)CC1C 7.7832184 0.27586206896551724</t>
  </si>
  <si>
    <t>CN(Cc1cccc(-c2ccc3c(c2)OCCOCCOCCOCCOCCO3)n1)Cc1ccc2ccccc2n1 7.783214 0.38461538461538464</t>
  </si>
  <si>
    <t>Cc1ccc(CN(Cc2ncc(C)c(C)c2C)C2CCC(N(C)Cc3nc(C)c(C)c(C)c3C)CC2)nc1 7.7832108 0.42857142857142855</t>
  </si>
  <si>
    <t>Cc1ccc(CN(CC2=CCC=C(N(C)Cc3ccccn3)N2)C2CCC(N(C)Cc3ccccn3)CC2)nc1 7.7832046 0.4032258064516129</t>
  </si>
  <si>
    <t>CC1=C(C(C)(C)N(C)Cc2ccccn2)C(C)(C)CC(N=Cc2ccccn2)C1 7.7831974 0.3387096774193548</t>
  </si>
  <si>
    <t>CCOC1(C)COC(c2ncccc2CN(Cc2ccccn2)Cc2cccc(-c3ccc4c(c3)OCCOCCOCCOCCOCCO4)n2)=N1 7.7831964 0.41025641025641024</t>
  </si>
  <si>
    <t>CC1=C(C)C(C)(c2ccccn2)CC(C)C1 7.783175 0.2653061224489796</t>
  </si>
  <si>
    <t>CC1C=CC(c2ccc(CN(Cc3ccccn3)C3CCC(N(C)c4ccc5nc(CF)ccc5c4)CC3)nc2)C(C)C1C 7.783168 0.3194444444444444</t>
  </si>
  <si>
    <t>Cc1cccnc1CN(C)C1=C(CN(C)C(C)C(C)C)NC=CC1 7.7831473 0.265625</t>
  </si>
  <si>
    <t>CC(C)C1=CC2(C=CN1)CC(C)C(C)C=C2N(C)Cc1ccccn1 7.7831445 0.3442622950819672</t>
  </si>
  <si>
    <t>Cc1ccc(CN(C)C2C(N(C)Cc3ccccn3)CCCC2N(Cc2ccccn2)Cc2nc(C)c(C)c(C)c2C)nc1C 7.7831373 0.4827586206896552</t>
  </si>
  <si>
    <t>Cc1cnc(CN(C)CCN(C)C(C)C)c(C)c1C 7.783136 0.3902439024390244</t>
  </si>
  <si>
    <t>CC(C)C1CCC1c1ncccc1CN(Cc1ccccn1)Cc1ncccc1C(C)(C)C 7.783136 0.37735849056603776</t>
  </si>
  <si>
    <t>Cc1cccnc1CN(C)C1CCCC(N(C)Cc2ccc(-c3ccccc3)cn2)C1 7.783123 0.4</t>
  </si>
  <si>
    <t>CC1=CC(C)CCC1N(C)Cc1ncccc1C(C)(C)c1ccccn1 7.7831182 0.3220338983050847</t>
  </si>
  <si>
    <t>CC(C)C(C)N(C)Cc1cc(C(C)(C)c2ccccn2)ccn1 7.7831125 0.37254901960784315</t>
  </si>
  <si>
    <t>Cc1cccnc1CN(Cc1ncccc1C)C1CCCC(N(Cc2ncccc2C)Cc2ncccc2C)C1N(C)C 7.7830863 0.40425531914893614</t>
  </si>
  <si>
    <t>Cc1cncc(CN(C)C2CCCC(N(Cc3ncc(C)c(C)c3C)Cc3nc(C)c(C)c(C)c3C)C2)c1 7.783086 0.2727272727272727</t>
  </si>
  <si>
    <t>Cc1ccc(N(C)CC2=CC(N(C)C(C)C)C=CN2)cc1 7.783085 0.3333333333333333</t>
  </si>
  <si>
    <t>C=Cc1ccc(CN(Cc2ccccn2)C2CCC(N(C)Cc3nc(C)c(C)c(C)c3C)CC2)nc1 7.783078 0.38235294117647056</t>
  </si>
  <si>
    <t>Cc1cncc(CN(Cc2ccccn2)C2CCCCC2N(C)c2ccc3nccc(CF)c3c2)c1-c1ccc2c(c1)OCCOCCOCCOCCOCCO2 7.7830772 0.30952380952380953</t>
  </si>
  <si>
    <t>Cc1ccccc1-c1cc(CN(C)C2CCC(N(C)Cc3ccccn3)CC2)ccn1 7.783066 0.47058823529411764</t>
  </si>
  <si>
    <t>Cc1cnccc1CN(C)Cc1ncccc1N(C)Cc1ncccc1-c1cccc2c1OCCOCCOCCOCCOCCO2 7.783057 0.2571428571428571</t>
  </si>
  <si>
    <t>Cc1cccc(CN(C)C2=C(CN(C)C3CCC(N(Cc4ccccn4)Cc4cccc(C)n4)CC3)NC=CC2)n1 7.78305 0.38095238095238093</t>
  </si>
  <si>
    <t>Cc1cc(CN(C)C2CCCCC2N(C)Cc2cccc3ncccc23)ccn1 7.7830424 0.4339622641509434</t>
  </si>
  <si>
    <t>Cc1ccc(CNCCl)nc1CNCc1ccccn1 7.7830386 0.475</t>
  </si>
  <si>
    <t>CC1=CCC(C)C=C1CN(C)Cc1cccc(N)n1 7.7830358 0.375</t>
  </si>
  <si>
    <t>Cc1ccccc1N(C)C1CCCC(N(Cc2ccccn2)Cc2nccc(C)c2C)C1 7.7830315 0.4107142857142857</t>
  </si>
  <si>
    <t>CCNCc1cc(CN(Cc2cc(C)ccn2)C(C)C)ccn1 7.7830224 0.3673469387755102</t>
  </si>
  <si>
    <t>Cc1cccnc1CN(C)C1CCCCC1N(C)Cc1ccc2ncccc2c1 7.7830124 0.4423076923076923</t>
  </si>
  <si>
    <t>FCc1ccc2cccc(N(Cc3cccc(-c4ccc5c(c4)OCCOCCOCCOCCOCCO5)n3)Cc3cccc(-c4ccc5c(c4)OCCOCCOCCOCCOCCO5)n3)c2n1 7.7829995 0.38461538461538464</t>
  </si>
  <si>
    <t>CCCN(Cc1ccccn1)C1CCCCC1N(C)c1ccc2nc(CF)ccc2c1 7.7829967 0.4482758620689655</t>
  </si>
  <si>
    <t>CCN(Cc1cc(-c2ccc3c(c2)OCCOCCOCCOCCOCCO3)ccn1)Cc1ccc2cccc(N(C)Cc3cc(-c4ccc5c(c4)OCCOCCOCCOCCOCCO5)ccn3)c2n1 7.7829914 0.34210526315789475</t>
  </si>
  <si>
    <t>CCNCc1ncccc1C(C)(C)N(C)Cc1ncccc1C 7.7829814 0.2545454545454545</t>
  </si>
  <si>
    <t>CCOC(=O)C1CN(C)C(CN(C)Cc2ccccn2)C(c2ccccn2)C1c1ccccn1 7.7829776 0.38235294117647056</t>
  </si>
  <si>
    <t>FC1=CC(CN(Cc2ccccn2)Cc2ccccn2)C=CN1 7.7829757 0.4897959183673469</t>
  </si>
  <si>
    <t>CC(C)N(C)CC1=CC(N(C)C(c2ccccc2)c2ccccn2)C=CN1 7.782968 0.4642857142857143</t>
  </si>
  <si>
    <t>COC(C)c1ccc(C)c(CN2CCN(C)CCN(Cc3ncccc3C(C)(c3ccccn3)c3ccccn3)CC2)n1 7.7829633 0.3709677419354839</t>
  </si>
  <si>
    <t>Cc1ncccc1CN(C)C1CCCCC1N(C)Cc1cccc2ncccc12 7.7829566 0.48936170212765956</t>
  </si>
  <si>
    <t>CC1=CC(C)C2(CC1)C(c1cc(CN(Cc3ccccn3)C3CCCC(N(C)c4ccc5nc(CN(C)C)ccc5c4)C3)ccn1)C=CC(C1C(C)=CC(C)CC1C)C21CC(C)=C(C)C(C)C1 7.782952 0.22429906542056074</t>
  </si>
  <si>
    <t>Cc1ccc(CN(C)C2CCC(N(C)Cc3ccccn3)CC2N(Cc2nc(C)ccc2C)Cc2nc(C)ccc2C)nc1 7.782951 0.4745762711864407</t>
  </si>
  <si>
    <t>Cc1cccnc1CN(C)Cc1cccc(N(C)Cc2cccc(-c3ccc4c(c3)OCCOCCOCCOCCOCCO4)n2)n1 7.782927 0.36363636363636365</t>
  </si>
  <si>
    <t>CC1=CC(C)C(C)C(N(C)Cc2ccccn2)C1c1cnccc1CN(C)Cc1ccccn1 7.782923 0.3728813559322034</t>
  </si>
  <si>
    <t>Cc1cccc(CN(C)Cc2cccc(N(C)Cc3cccc(-c4ccc5c(c4)OCCOCCOCCOCCOCCO5)n3)n2)n1 7.782923 0.4</t>
  </si>
  <si>
    <t>CCNc1ccc(CN(Cc2ccccn2)C2CCC(N(C)Cc3cccc(-c4ccccc4)n3)CC2)cn1 7.782917 0.38461538461538464</t>
  </si>
  <si>
    <t>CC1=CC(C)CCC1(C)N(C)Cc1cccc(C2=CCC=CN2)n1 7.782912 0.29411764705882354</t>
  </si>
  <si>
    <t>Cc1cccc(CN(C)C2C=CNC(CN(Cc3ccccn3)CC(C)(C)C)=C2)n1 7.782898 0.45614035087719296</t>
  </si>
  <si>
    <t>Nc1nc2c(c(N)c1N)CCCC2 7.782893 0.18</t>
  </si>
  <si>
    <t>COC(=O)c1cccc(CN(Cc2ccccn2)Cc2ncccc2-c2ccc3c(c2)OCCOCCOCCOCCOCCO3)n1 7.7828918 0.37333333333333335</t>
  </si>
  <si>
    <t>CC(C)C1=CC2(C=CN1)C=CC(c1cccc(CN(Cc3ccccn3)Cc3ccccn3)n1)C(C)(C)C2c1cccc(CN(Cc2ccccn2)Cc2cccc(-c3ccc4c(c3)OCCOCCOCCOCCOCCO4)n2)n1 7.7828865 0.36470588235294116</t>
  </si>
  <si>
    <t>CNC1CC(N(Cc2nc(C)c(C)c(C)c2C)Cc2nc(C)c(C)c(C)c2C)CCC1N(C)Cc1ccccn1 7.7828856 0.45614035087719296</t>
  </si>
  <si>
    <t>COC(=O)c1cc(CN(Cc2ccccn2)Cc2cc(-c3ccc4c(c3)OCCOCCOCCOCCOCCO4)ccn2)ccn1 7.782883 0.3389830508474576</t>
  </si>
  <si>
    <t>CCNCc1ncc(C)cc1C 7.7828684 0.24390243902439024</t>
  </si>
  <si>
    <t>CC(C)N(C)Cc1cncc(N(C)C(C)(C)C)c1 7.782866 0.20408163265306123</t>
  </si>
  <si>
    <t>CN(Cc1ccc(-c2ccc3c(c2)OCCOCCOCCOCCOCCO3)cn1)C(C)(C)N(C)c1ccc2cccnc2c1 7.782851 0.410958904109589</t>
  </si>
  <si>
    <t>CN(CCF)Cc1cccc(N(C)C2C=CC=CN2)n1 7.782839 0.3958333333333333</t>
  </si>
  <si>
    <t>Cc1cc(C)c(C)c(CN(C)CCN(C)C(C)C)n1 7.7828317 0.3488372093023256</t>
  </si>
  <si>
    <t>Cc1ccc(CN(C)C2CCC(N(C)Cc3nc(C)ccc3C)C(N(Cc3cccc(C)n3)Cc3cccc(C)n3)C2)nc1 7.7828255 0.4745762711864407</t>
  </si>
  <si>
    <t>Cc1cnc(CN(C)C2=CNC(CN(Cc3ccccn3)Cc3cccc(-c4ccc5c(c4)OCCOCCOCCOCCOCCO5)n3)=CC2)c(C)c1C 7.7828093 0.3780487804878049</t>
  </si>
  <si>
    <t>Cc1ccccc1CN(C)CC1=CCC=CN1 7.782809 0.4583333333333333</t>
  </si>
  <si>
    <t>Cc1ccnc(CN(C)CCN(C)Cc2ncccc2C)c1 7.7827964 0.4186046511627907</t>
  </si>
  <si>
    <t>CNCc1cc(C(C)(C)C)ccn1 7.7827716 0.2894736842105263</t>
  </si>
  <si>
    <t>CCCN(Cc1ccccn1)c1ccc(-c2ccc3c(c2)OCCOCCOCCOCCOCCO3)c(Cl)c1-c1cccc(CN(Cc2ccccn2)Cc2cccc(-c3ccc4c(c3)OCCOCCOCCOCCOCCO4)n2)n1 7.7827497 0.4025974025974026</t>
  </si>
  <si>
    <t>Cc1cccc(CN(C)C2=CNC(CN(C)C(C)C(C)C)=CC2)n1 7.7827473 0.4</t>
  </si>
  <si>
    <t>CN(CCF)CC1=CCC(N(C)Cc2ccccn2)=CN1 7.7827454 0.4074074074074074</t>
  </si>
  <si>
    <t>CC1=CCC(C)C2(C=CC3(CCC(C)=C(C)C3C)C(c3ncccc3CN(Cc3ccccn3)C3CCCCC3)C2c2ncccc2CN(Cc2ccccn2)C2CCCCC2N(C)c2cccc3c(CF)ccnc23)C1(C)C 7.7827353 0.28</t>
  </si>
  <si>
    <t>Cc1cc(CN2CCN(C)CCN(C)CC2)cnc1-c1cccc(N)c1Cl 7.782734 0.3888888888888889</t>
  </si>
  <si>
    <t>Cc1cccnc1CN(C)CCN(C)Cc1ncccc1C 7.7827287 0.4864864864864865</t>
  </si>
  <si>
    <t>Cc1cccnc1CN(Cc1cccc(-c2ccc3c(c2)OCCOCCOCCOCCOCCO3)n1)C1CCC(N(C)c2ccc3nc(CN(C)C)ccc3c2)CC1 7.7827277 0.3</t>
  </si>
  <si>
    <t>Cc1ccc(CN(C)C2CC(N(C)Cc3ccccn3)CC(N(Cc3ccccn3)Cc3cc(C)c(C)c(C)n3)C2)nc1 7.782724 0.41379310344827586</t>
  </si>
  <si>
    <t>CCN1CCN(C)CCN(Cc2cc(-c3cccc(N=Cc4ccccn4)c3)ccn2)CC1 7.782723 0.4727272727272727</t>
  </si>
  <si>
    <t>CNC1C(N(C)Cc2nc(C)c(C)c(C)c2C)CCCC1N(C)Cc1nc(C)c(C)c(C)c1C 7.7827115 0.3469387755102041</t>
  </si>
  <si>
    <t>CC(C)(NCc1ccccn1)c1ccccn1 7.7827086 0.5</t>
  </si>
  <si>
    <t>Cc1cccnc1CN(Cc1nc(C)c(C)c(C)c1C)C1CCCCC1N(C)Cc1nc(C)c(C)c(C)c1C 7.7827044 0.4423076923076923</t>
  </si>
  <si>
    <t>Cc1cc(C)c(N(C)Cc2cc(-c3ccc4c(c3)OCCOCCOCCOCCOCCO4)ccn2)c(C)c1 7.782703 0.390625</t>
  </si>
  <si>
    <t>C1=CCNC(N(Cc2cccnn2)CC2C=CC=CN2)=C1 7.78269 0.43859649122807015</t>
  </si>
  <si>
    <t>CC(C)C1=CC2(C=CN1)C=CC(C)(C)C(c1cccc(CN(Cc3ccccn3)Cc3ccccn3)n1)C2c1cccc(CN(Cc2ccccn2)Cc2cccc(-c3ccc4c(c3)OCCOCCOCCOCCOCCO4)n2)n1 7.782682 0.36904761904761907</t>
  </si>
  <si>
    <t>CC(C)C1=CC2(C=CN1)C=CC(C)(C)C(c1cccc(CN(Cc3ccccn3)Cc3cccc(-c4ccc5c(c4)OCCOCCOCCOCCOCCO5)n3)n1)C2c1cccc(CN(Cc2ccccn2)Cc2ccccn2)n1 7.782682 0.36904761904761907</t>
  </si>
  <si>
    <t>CCCNCc1cccc(C(C)(C)c2ccccn2)n1 7.782662 0.475</t>
  </si>
  <si>
    <t>CN(Cc1cc(-c2ccc3c(c2)OCCOCCOCCOCCOCCO3)ccn1)C1CCCCC1N(C)Cc1cc(-c2cccc3cccnc23)ccn1 7.7826586 0.4126984126984127</t>
  </si>
  <si>
    <t>CC(c1ccccc1)c1ccccn1 7.7826524 0.46153846153846156</t>
  </si>
  <si>
    <t>CCN(Cc1ccccn1)c1ccccc1CN(C)C(C)C 7.782647 0.4772727272727273</t>
  </si>
  <si>
    <t>Cc1ccc(CN(C)C2CC(N(C)Cc3ccccn3)CC(N(Cc3ccccn3)Cc3nc(C)c(C)cc3C)C2)cn1 7.782637 0.3709677419354839</t>
  </si>
  <si>
    <t>CC(C)N(C)C1=CNC(CN(C)Cc2ccccn2)=CC1 7.782633 0.4583333333333333</t>
  </si>
  <si>
    <t>CC1=CCC(C)C2(C=CC3(C(C)C=CC4(C(C)C=CCC4C)C3C)C(c3cccc(CN(Cc4ccccn4)Cc4ccccn4)n3)C2c2cccc(CN(Cc3ccccn3)Cc3ccccn3)n2)C1C 7.7826285 0.3246753246753247</t>
  </si>
  <si>
    <t>Cc1cccnc1CN(Cc1cccnc1)C1CCCC(N(C)c2ccnc(CN(C)C)c2)C1 7.782627 0.27941176470588236</t>
  </si>
  <si>
    <t>Cc1nc(CN(C)C2CCC(N(C)c3ccnc(CN(Cc4ccccn4)C(C)C)c3)CC2)c(C)c(C)c1C 7.7825985 0.41379310344827586</t>
  </si>
  <si>
    <t>CCNCc1cccc(CN(Cc2ccccn2)C2C=CC=CN2)n1 7.7825904 0.4642857142857143</t>
  </si>
  <si>
    <t>CCNCc1cc(CN(Cc2ncccc2C)C(C)C)ccn1 7.782587 0.37254901960784315</t>
  </si>
  <si>
    <t>Cc1ccc(CN(CC2=CCC=C(N(C)Cc3ccccn3)N2)C2CCCC(N(C)Cc3ccccn3)C2)nc1 7.7825813 0.40625</t>
  </si>
  <si>
    <t>Cc1cnc(CN(Cc2ccccn2)C(C)(N)N(Cc2ccccn2)C(C)(N)N(Cc2ccccn2)C(C)(N)N(Cc2ccccn2)Cc2ccc(CN3CCN(C)CCN(C)CC3)cn2)c(C)c1 7.7825794 0.40625</t>
  </si>
  <si>
    <t>CN1CCN(Cc2cccc(C3=NC(C)(C)CO3)n2)CCN(Cc2cccc(C(C)(C)c3ccccn3)n2)CC1 7.7825546 0.4482758620689655</t>
  </si>
  <si>
    <t>Cc1cc(CNCCN(C)CC(C)(C)C)nc(C)c1C 7.782554 0.24528301886792453</t>
  </si>
  <si>
    <t>Cc1cc(CN(C)CCN(C)Cc2ncccc2C)ccn1 7.7825513 0.3829787234042553</t>
  </si>
  <si>
    <t>CC1(C)COC(c2cccc(CN(Cc3ccccn3)Cc3cccc(-c4ccc5c(c4)OCCOCCOCCOCCOCCO5)n3)n2)=N1 7.7825394 0.4626865671641791</t>
  </si>
  <si>
    <t>Cc1ccnc(CN(C)C2C=CNC(C(C)(C)C)=C2)c1 7.782538 0.3090909090909091</t>
  </si>
  <si>
    <t>Cc1cccnc1CN(C)Cc1ccc(N(C)Cc2cccc(-c3cccc4c3OCCOCCOCCOCCOCCO4)n2)cn1 7.7825346 0.36764705882352944</t>
  </si>
  <si>
    <t>CC(C)(C)N1CCN=CC2C=CC=C(c3cccc(n3)C1)N2C(C)(C)C 7.7825284 0.4166666666666667</t>
  </si>
  <si>
    <t>Cc1ccnc(CN(C)CCN(C)Cc2ccccn2)c1C 7.7825174 0.47619047619047616</t>
  </si>
  <si>
    <t>CCN(CCN(C)Cc1nc(C)c(C)c(C)c1C)Cc1ccccn1 7.7825165 0.5</t>
  </si>
  <si>
    <t>CN(Cc1cccc(C2CC(Cl)C2Cl)n1)Cc1cccc(C2CC(Cl)C2Cl)n1 7.7825165 0.41304347826086957</t>
  </si>
  <si>
    <t>Cc1cccnc1CN(Cc1cccc(-c2ccc3c(c2)OCCOCCOCCOCCOCCO3)n1)C1CCC(N(C)c2cccc3ccc(CN(C)C)nc23)CC1 7.782516 0.30952380952380953</t>
  </si>
  <si>
    <t>CN(Cc1ccccn1)C1=CNC=CC1CN(C)C1C=CC=CN1 7.782515 0.47368421052631576</t>
  </si>
  <si>
    <t>Cc1cnc(CN(C)CCN)c(C)c1C 7.7824993 0.38461538461538464</t>
  </si>
  <si>
    <t>Cc1cnc(CN(C)C2CCCC(N(Cc3ccccn3)Cc3cccnc3C(C)(c3cccnc3)C(C)N)C2)c(C)c1C 7.782486 0.3157894736842105</t>
  </si>
  <si>
    <t>CNC1C(N(C)Cc2nc(C)ccc2C)CCCC1N(Cc1nc(C)c(C)cc1C)Cc1nc(C)c(C)cc1C 7.7824645 0.3684210526315789</t>
  </si>
  <si>
    <t>CNCc1cccc(CN(Cc2nc(C)c(C)c(C)c2C)C2CCC(N(C)Cc3nc(C)c(C)c(C)c3C)CC2)n1 7.782462 0.3448275862068966</t>
  </si>
  <si>
    <t>Cc1ccccc1N(Cc1ccccn1)C1CCC(N(C)Cc2nccc(C)c2C)CC1 7.7824597 0.42592592592592593</t>
  </si>
  <si>
    <t>CNCc1ccc(C)c(CN(Cc2nc(C)c(C)c(C)c2C)C2CCCCC2N(C)Cc2nc(C)c(C)c(C)c2C)n1 7.782459 0.3793103448275862</t>
  </si>
  <si>
    <t>Cc1cncc(CN(C)C2CCC(N(C)Cc3ccc4ncccc4c3)CC2)c1 7.7824492 0.29310344827586204</t>
  </si>
  <si>
    <t>CN(CF)CC1=C(N(C)Cc2ccccn2)CC=CN1 7.7824335 0.41818181818181815</t>
  </si>
  <si>
    <t>CC1=C(N(C)Cc2ccccn2)CC(C)CC1(C)C 7.78243 0.4375</t>
  </si>
  <si>
    <t>CC1=C(C)C(N(C)Cc2ncccc2C(C)(C)c2ccccn2)CCC1C 7.782418 0.3333333333333333</t>
  </si>
  <si>
    <t>CNCc1cc(CN(Cc2nc(C)c(C)c(C)c2C)C2CCC(N(C)Cc3nc(C)c(C)c(C)c3C)CC2)ccn1 7.782415 0.2698412698412698</t>
  </si>
  <si>
    <t>CNC1C(N(Cc2ccccn2)Cc2ncc(C)cc2C)CCCC1N(Cc1ccccn1)Cc1nc(C)c(C)c(C)c1C 7.782401 0.3870967741935484</t>
  </si>
  <si>
    <t>CC1=CC(C)CC2(C=CC3(C(C)C=CC4(C(C)C=CCC4C)C3C)C(c3cccc(CN(Cc4ccccn4)Cc4ccccn4)n3)C2c2cccc(CN(Cc3ccccn3)Cc3ccccn3)n2)C1C 7.7823935 0.30120481927710846</t>
  </si>
  <si>
    <t>CC1(C)COC(c2ncccc2CN(Cc2ccccn2)Cc2cccc(-c3ccc4c(c3)OCCOCCOCCOCCOCCO4)n2)=N1 7.7823887 0.4246575342465753</t>
  </si>
  <si>
    <t>Cc1cc(CN(C)CCN)c(C)nc1C 7.7823853 0.3181818181818182</t>
  </si>
  <si>
    <t>CNc1cnc(CN(Cc2ccccn2)C2CCC(N(C)Cc3nc(C)c(C)c(C)c3C)CC2)c(C)c1 7.782368 0.35384615384615387</t>
  </si>
  <si>
    <t>Cc1cccnn1 7.7823663 0.4</t>
  </si>
  <si>
    <t>CCCNCc1cccc(CN(Cc2ccccn2)Cc2cccc(C)n2)n1 7.7823567 0.4878048780487805</t>
  </si>
  <si>
    <t>Cc1cnc(CN(C)C2=CNC(CN(C)C3CCCC(N(C)Cc4ncc(C)c(C)c4C)C3)=CC2)c(C)c1C 7.7823553 0.2698412698412698</t>
  </si>
  <si>
    <t>CCN(Cc1cccc(-c2ccc3c(c2)OCCOCCOCCOCCOCCO3)n1)C1CCC(N(C)Cc2cccc(-c3ccc4ncccc4c3)n2)CC1 7.7823544 0.32098765432098764</t>
  </si>
  <si>
    <t>CNC1C(N(Cc2ccc(C)cn2)Cc2cccc(C)n2)CCCC1N(Cc1ccc(C)cn1)Cc1nc(C)c(C)cc1C 7.782352 0.4166666666666667</t>
  </si>
  <si>
    <t>CC1=CC(C)C(N(C)CC2=CC(N(C)Cc3cc(C)c(C)c(C)n3)C=CN2)C(C)C1 7.7823505 0.27941176470588236</t>
  </si>
  <si>
    <t>CCN(Cc1cccc(-c2cccc3c2OCCOCCOCCOCCOCCO3)n1)C1CCC(N(C)Cc2cc(-c3cccc4ncccc34)ccn2)CC1 7.78235 0.2716049382716049</t>
  </si>
  <si>
    <t>Cc1cc(CN(C)CCN(C)C(C)C)nc(C)c1C 7.782337 0.38095238095238093</t>
  </si>
  <si>
    <t>Cc1cnccc1CN(C)C1C=CC=CN1 7.7823296 0.3090909090909091</t>
  </si>
  <si>
    <t>CC1=CC(C)C2(C=CC3(CC=C(C)C(C)C3C)C(c3cccc(CN(C)Cc4ccccn4)n3)C2c2ccc(CN(C)Cc3ccccn3)cn2)C(C)C1 7.782327 0.34210526315789475</t>
  </si>
  <si>
    <t>COC(C)c1ccc(C)c(CN2CCN(C)CCN(Cc3cc(C(C)(c4ccccn4)c4ccccn4)ccn3)CC2)n1 7.782324 0.4126984126984127</t>
  </si>
  <si>
    <t>Cc1cccnc1CN(C)CCN(C)Cc1ncccc1C(C)C 7.7823086 0.4</t>
  </si>
  <si>
    <t>Cc1ccnc(CN(C)C2C=CNC(CN(Cc3ccccn3)CC(C)C)=C2)c1 7.7822976 0.4126984126984127</t>
  </si>
  <si>
    <t>Cc1cc(C)c(C)c(CN(C)C2CCCCC2N(C)c2cccnc2CN(C)Cc2ncccc2C)n1 7.7822943 0.423728813559322</t>
  </si>
  <si>
    <t>CN(Cc1cccc(-c2ccon2)n1)C1CCC(N(C)Cc2cccc(C3CCC3(C)C)n2)CC1 7.782292 0.3333333333333333</t>
  </si>
  <si>
    <t>Cc1nc(CN(C)CCN(C)CCN)c(C)c(C)c1C 7.7822886 0.3170731707317073</t>
  </si>
  <si>
    <t>Cc1cccnc1CN(C)Cc1ncccc1N(C)Cc1cccc(-c2ccc3c(c2)OCCOCCOCCOCCOCCO3)n1 7.782284 0.3484848484848485</t>
  </si>
  <si>
    <t>Cc1cccnc1CN(Cc1ccccn1)Cc1nc(CN(C)Cc2cccc(-c3ccc4c(c3)OCCOCCOCCOCCOCCO4)n2)c(C)c(C)c1C 7.782258 0.4189189189189189</t>
  </si>
  <si>
    <t>CC(C)N(C)C1CCC(N(C)c2ccc3c(CF)ccnc3c2)CC1 7.782251 0.23076923076923078</t>
  </si>
  <si>
    <t>Cc1cc(C)c(CN(C)C2CCCC(N(Cc3ccccn3)Cc3cccc(C(C)(c4cccnc4)C(C)N)n3)C2)nc1C 7.7822504 0.3076923076923077</t>
  </si>
  <si>
    <t>Cc1cccnc1CN(C)C1C=CNC(CN(Cc2ccccn2)CC(C)(C)C)=C1 7.782248 0.45614035087719296</t>
  </si>
  <si>
    <t>Cc1cnc(CN(C)C2CCC(N(Cc3ccccn3)Cc3ccccn3)C(N(Cc3ccccn3)C(C)(C)c3ccccn3)C2)c(C)c1 7.7822413 0.36363636363636365</t>
  </si>
  <si>
    <t>CC(C)N1CCN(C)CCN(C(C)c2cccnc2-c2cnccc2NC2=CCC=CN2)CC1 7.782241 0.2714285714285714</t>
  </si>
  <si>
    <t>Cc1ccc(CN(CC2=CCC=C(N(O)Cc3ccccn3)N2)C2CCCC(N(C)Cc3ccccn3)C2)nc1 7.782241 0.4</t>
  </si>
  <si>
    <t>CNCc1ccc(-c2cccc(CN(C)C3CCCC(N(C)Cc4ccc(C)cn4)C3)n2)cn1 7.7822366 0.45614035087719296</t>
  </si>
  <si>
    <t>Cc1ccccc1N(C)CC1=CC(N(C)C(C)C)C=CN1 7.782223 0.34545454545454546</t>
  </si>
  <si>
    <t>CN(Cc1cc(-c2ccc3c(c2)OCCOCCOCCOCCOCCO3)ccn1)C1CCCCC1N(C)Cc1cc(-c2ccc3ncccc3c2)ccn1 7.7822146 0.43333333333333335</t>
  </si>
  <si>
    <t>CCCN(Cc1ccccn1)Cc1ncccc1C(C)(C)c1ncccc1CN(Cc1ccc(-c2ccc3c(c2)OCCOCCOCCOCCOCCO3)cn1)Cc1ncccc1C 7.7822046 0.3409090909090909</t>
  </si>
  <si>
    <t>CC1=CC(CN(Cc2ccccn2)Cc2ccccn2)C=CN1 7.7821956 0.4897959183673469</t>
  </si>
  <si>
    <t>Cc1cccnc1CN(C)C1=CNC(CN(C)C(C)C(C)C)=CC1 7.78219 0.26153846153846155</t>
  </si>
  <si>
    <t>CC(C)N(C)Cc1ccc(N(C)C(C)(C)C)cn1 7.7821894 0.37209302325581395</t>
  </si>
  <si>
    <t>CC(C)C(C)(c1cccnc1)N(Cc1ccccn1)C1C=CC=CN1 7.782187 0.43333333333333335</t>
  </si>
  <si>
    <t>Cc1cccc(CN(Cc2ccccn2)Cc2ncccc2-c2cccc3c2OCCOCCOCCOCCOCCO3)c1N(C)Cc1ccccn1 7.7821813 0.3333333333333333</t>
  </si>
  <si>
    <t>C=CCN(CCN(Cc1ccccn1)Cc1cccc(C(C)(c2ccccn2)C(C)C)n1)Cc1ccccn1 7.782166 0.4528301886792453</t>
  </si>
  <si>
    <t>CC(C)N(C)C1CCC(N(C)c2ccc3nccc(CF)c3c2)CC1 7.7821646 0.22727272727272727</t>
  </si>
  <si>
    <t>Cc1ccc(CN(C)Cc2ccc(N(C)Cc3cccc(-c4ccc5c(c4)OCCOCCOCCOCCOCCO5)n3)cn2)nc1 7.782157 0.3728813559322034</t>
  </si>
  <si>
    <t>CN(CCNc1ccc2nccc(CF)c2c1)Cc1cc(-c2ccc3c(c2)OCCOCCOCCOCCOCCO3)ccn1 7.782135 0.31645569620253167</t>
  </si>
  <si>
    <t>CC(C)C(C)N(C)CC1=C(N(C)Cc2cccc(C(C)(C)C)n2)CC=CN1 7.7821326 0.25862068965517243</t>
  </si>
  <si>
    <t>CNC1C(N(C)Cc2cc(C)ccn2)CCCC1N(Cc1nc(C)c(C)c(C)c1C)Cc1nc(C)c(C)c(C)c1C 7.7821198 0.36666666666666664</t>
  </si>
  <si>
    <t>CC1=C(N(C)CC2=CC(N(C)Cc3ccccn3)C=CN2)C2(C=CNC(C(C)C)=C2)CCC1(C)C 7.7821107 0.3333333333333333</t>
  </si>
  <si>
    <t>Cc1ccc(CN(C)CCN(Cc2ccccn2)C(C)(C)N)nc1C 7.7821083 0.4423076923076923</t>
  </si>
  <si>
    <t>CC(C)N1CCN(C)CCN(C(C)c2cccnc2-c2ccc(NC3=CCC=CN3)nc2)CC1 7.782104 0.2753623188405797</t>
  </si>
  <si>
    <t>CCN(Cc1ccccn1)c1cccnc1CN(Cc1cccc(-c2ccc3c(c2)OCCOCCOCCOCCOCCO3)n1)Cc1ncccc1C 7.7821026 0.4189189189189189</t>
  </si>
  <si>
    <t>Cc1ccc(CN(C)C2CCC(N(C)Cc3ccccn3)CC2N(Cc2cc(C)ccn2)Cc2nc(C)c(C)c(C)c2C)nc1 7.782095 0.42424242424242425</t>
  </si>
  <si>
    <t>Cc1c(-c2ccc(CN3CCN(C)CCN(C)CC3)cn2)ccc(Cl)c1N 7.782091 0.35185185185185186</t>
  </si>
  <si>
    <t>CNCCN(Cc1ccccn1)Cc1ncc(C)c(C)c1C 7.7820835 0.4888888888888889</t>
  </si>
  <si>
    <t>Cc1ccc(CN(C)C2CCCC(N(Cc3ccc([SiH3])c([SiH3])n3)Cc3nc(C)c(C)c(C)c3C)C2N(C)Cc2ccc(C)cn2)nc1 7.7820745 0.48333333333333334</t>
  </si>
  <si>
    <t>CN(CC1=CCC=CN1C)Cc1ccccn1 7.7820735 0.46808510638297873</t>
  </si>
  <si>
    <t>CN(Cc1ccccn1)Cc1ccc2cccc(N(C)C3CCC(N(Cc4ccccn4)Cc4ncccc4-c4ccc5c(c4)OCCOCCOCCOCCOCCO5)CC3)c2n1 7.7820687 0.32926829268292684</t>
  </si>
  <si>
    <t>Cc1cc(-c2cccc3c2OCCOCCOCCOCCOCCO3)cnc1CN(C)c1cccnc1CN(C)Cc1ccccn1 7.7820683 0.3333333333333333</t>
  </si>
  <si>
    <t>Cc1ccc(CN(C)Cc2ccc(C3CCC3(C)C)nc2)nc1 7.7820506 0.46808510638297873</t>
  </si>
  <si>
    <t>CN(CCN)CC1=CCC(N(C)Cc2ccccn2)=CN1 7.7820473 0.40350877192982454</t>
  </si>
  <si>
    <t>CC(C)C(C)C1CC(c2cccc(CN(Cc3ccccn3)C3CCC(N(C)c4ccc5ncc(CF)cc5c4)CC3)n2)C1 7.7820363 0.3157894736842105</t>
  </si>
  <si>
    <t>CCOC(C)NCc1cccc(CN(Cc2ccccn2)Cc2ccccn2)n1 7.7820344 0.4878048780487805</t>
  </si>
  <si>
    <t>CC(C)N(C)Cc1cccc(N(C)C2C=CC=CN2)n1 7.7820315 0.3333333333333333</t>
  </si>
  <si>
    <t>CC1CC=CC2CCC(C(C)(c3ccccc3)c3ncccc3CN(Cc3ccccn3)Cc3ccccn3)=CC12 7.7820177 0.3389830508474576</t>
  </si>
  <si>
    <t>Cc1cncc(CN(C)C2CCCC(N(C)Cc3cccc4cccnc34)C2)c1 7.782014 0.4444444444444444</t>
  </si>
  <si>
    <t>CC(C)N(C)Cc1ccc(N(C)C(C)C)cn1 7.7820015 0.42105263157894735</t>
  </si>
  <si>
    <t>CNC1CC(N(Cc2nc(C)c(C)c(C)c2C)Cc2nc(C)c(C)c(C)c2C)CCC1NCc1cc(C)ccn1 7.7819934 0.28125</t>
  </si>
  <si>
    <t>Cc1cnc(CN(C)CC2=CC(N(C)C(C)C)C=CN2)c(C)c1C 7.781981 0.3220338983050847</t>
  </si>
  <si>
    <t>Cc1cnc(CN(C)C2CC(N(C)Cc3ccccn3)CC(N(Cc3cccc(C)n3)Cc3cccc(C)n3)C2)c(C)c1 7.7819777 0.4067796610169492</t>
  </si>
  <si>
    <t>C1=CC(Nc2cccc(-c3cccc(C(c4ccccc4)c4ccccn4)n3)n2)NC2=C1OCCOCCOCCOCCOCCO2 7.7819724 0.25675675675675674</t>
  </si>
  <si>
    <t>CC1(C)COC(c2cccc(CN(Cc3ccccn3)Cc3cc(-c4ccc5c(c4)OCCOCCOCCOCCOCCO5)ccn3)n2)=N1 7.7819567 0.4032258064516129</t>
  </si>
  <si>
    <t>Cc1ccc(C)c(CN(C)C2CCC(N(C)CC3=CCC=C(N(C)Cc4cc(C)c(C)c(C)n4)N3)CC2)n1 7.7819567 0.2647058823529412</t>
  </si>
  <si>
    <t>Cc1cccnc1CN(C)Cc1cccc(N(C)Cc2ncccc2-c2ccc3c(c2)OCCOCCOCCOCCOCCO3)n1 7.781955 0.30434782608695654</t>
  </si>
  <si>
    <t>Cc1cc(C)c(N(C)C2CCC(N(Cc3ccccn3)Cc3ccccn3)CC2)cc1C 7.781933 0.4583333333333333</t>
  </si>
  <si>
    <t>CCN(CCN(C)c1ccccc1C)Cc1cccnc1 7.781919 0.3469387755102041</t>
  </si>
  <si>
    <t>CCNC1CC(N(Cc2ncccc2C)Cc2ncccc2C)C(N(Cc2ncccc2C)C(C)C)C(N(Cc2ncccc2C)Cc2ncccc2C)C1 7.7819185 0.25862068965517243</t>
  </si>
  <si>
    <t>CNC1C(N(Cc2ncccc2C)Cc2nccc(C)c2C)CCCC1N(Cc1ncccc1C)Cc1nccc(C)c1C 7.781917 0.3333333333333333</t>
  </si>
  <si>
    <t>Cc1ccc(CN(Cc2ccccn2)C2CC(N(C)Cc3ncccc3C)CC(N(C)Cc3ncccc3C)C2)nc1C 7.781891 0.39285714285714285</t>
  </si>
  <si>
    <t>CCOC(=O)C(=O)C(C)CN(Cc1ccccn1)Cc1ccccn1 7.781889 0.4634146341463415</t>
  </si>
  <si>
    <t>CC1=CCCC(C)(c2ncccc2CN(Cc2ccccn2)Cc2ccccn2)C1C 7.781888 0.43478260869565216</t>
  </si>
  <si>
    <t>Cc1ccc(CN(C)Cc2cccc(N(C)C3CCC(N(C)Cc4nccc(C)c4C)CC3)n2)nc1 7.781875 0.39344262295081966</t>
  </si>
  <si>
    <t>Cc1cccc(CN(C)C2CCC(N(Cc3ccccn3)Cc3cccc(CN(Cc4cccc(C5CCC5C)n4)Cc4nc(C)c(C)c(C)c4C)n3)CC2)n1 7.78186 0.352112676056338</t>
  </si>
  <si>
    <t>Cc1cncc(CN(C)C2CCCC(N(C)Cc3ccc4cccnc4c3)C2)c1 7.781855 0.3</t>
  </si>
  <si>
    <t>CC(C)N(C)CC1=C(N(C)Cc2cccnn2)CC=CN1 7.78185 0.4166666666666667</t>
  </si>
  <si>
    <t>CCC(C)N(C)CC1=C(N(C)Cc2ncccc2C)CC=CN1 7.781845 0.26153846153846155</t>
  </si>
  <si>
    <t>CC(C)C1=CC2(C=CN1)C=CC(c1cc(CN(Cc3ccccn3)Cc3ccccn3)ccn1)C(c1cc(CN(Cc3ccccn3)Cc3cc(-c4ccc5c(c4)OCCOCCOCCOCCOCCO5)ccn3)ccn1)C2(C)C 7.781837 0.28125</t>
  </si>
  <si>
    <t>CC1=CC=CNC1NCc1ccccn1 7.781827 0.4146341463414634</t>
  </si>
  <si>
    <t>Cc1ccnc(CN(C)C2CCC(N(C)Cc3ccnc(C)c3)C(N(Cc3cc(C)ccn3)Cc3nc(C)c(C)cc3C)C2)c1 7.781825 0.3088235294117647</t>
  </si>
  <si>
    <t>Cc1cc(CN(C)CCN(C)Cc2ccccn2)cnc1C 7.781819 0.4807692307692308</t>
  </si>
  <si>
    <t>CN(Cc1ccc2ccccc2n1)Cc1ncccc1-c1ccc2c(c1)OCCOCCOCCOCCOCCO2 7.781811 0.3770491803278688</t>
  </si>
  <si>
    <t>CC(C)[Si](c1ccc(CN(Cc2cccc(C3=NC(C)(C)CO3)n2)Cc2cccc(-c3ccc4c(c3)OCCOCCOCCOCCOCCO4)n2)nc1)(C(C)C)C(C)C 7.7817917 0.4090909090909091</t>
  </si>
  <si>
    <t>CCCNCc1cc(CN(Cc2ccccn2)Cc2ncccc2C)ccn1 7.781785 0.425531914893617</t>
  </si>
  <si>
    <t>CC1CCC2(C=CC(C)C3(C=CC(c4ncccc4CN(Cc4ccccn4)Cc4ccccn4)C(c4cc(CN(Cc5ccccn5)Cc5ccccn5)ccn4)C34C(C)C=CC(C)C4C)C2)C=C1C(C)(C)C 7.7817807 0.2558139534883721</t>
  </si>
  <si>
    <t>Cc1cc(C)c(-c2cccc3c2OCCOCCOCCOCCOCCO3)nc1CN(C)c1cccc(CN(C)Cc2ccccn2)n1 7.7817783 0.373134328358209</t>
  </si>
  <si>
    <t>CCNc1cc(C(C)(c2ccccc2)C(C)C)ccn1 7.7817726 0.35185185185185186</t>
  </si>
  <si>
    <t>CCN(Cc1cccc(CN(Cc2ccccn2)C2CCC(N(C)Cc3nc(C)c(C)c(C)c3C)CC2)n1)Cc1nc(C)c(C)cc1C 7.7817707 0.34328358208955223</t>
  </si>
  <si>
    <t>CN(Cc1ccnc(-c2ccccc2)c1)C1CCC(N(C)Cc2ccon2)CC1 7.78177 0.38</t>
  </si>
  <si>
    <t>CC(C)(C)c1ccnc(CNC2C=CNC=C2)c1 7.7817698 0.23404255319148937</t>
  </si>
  <si>
    <t>CN(Cc1ncccc1-c1ccc2c(c1)OCCOCCOCCOCCOCCO2)C1CCCCC1N(C)Cc1ncccc1-c1ccc2ncccc2c1 7.781769 0.36507936507936506</t>
  </si>
  <si>
    <t>CN(Cc1cccc(-c2ccc3c(c2)OCCOCCOCCOCCOCCO3)n1)Cc1ccc2cc(N(C)Cc3cccc(-c4ccc5c(c4)OCCOCCOCCOCCOCCO5)n3)ccc2n1 7.781768 0.3333333333333333</t>
  </si>
  <si>
    <t>CN(Cc1cccc(-c2ccc3c(c2)OCCOCCOCCOCCOCCO3)n1)Cc1ccc2cccc(N(C)Cc3cccc(-c4ccc5c(c4)OCCOCCOCCOCCOCCO5)n3)c2n1 7.7817645 0.34328358208955223</t>
  </si>
  <si>
    <t>CNc1cnc(CN(Cc2ccccn2)C2CCCC(N(C)Cc3nc(C)c(C)c(C)c3C)C2)c(C)c1 7.781764 0.3582089552238806</t>
  </si>
  <si>
    <t>Cc1ccnc(CN(Cc2nc(C)c(C)c(C)c2C)C2CC(N(C)Cc3ccccn3)CCC2N(C)Cc2ncccc2C)c1 7.781763 0.40298507462686567</t>
  </si>
  <si>
    <t>Cc1cccnc1CN(C)Cc1ccc(N(C)Cc2cccc(-c3ccc4c(c3)OCCOCCOCCOCCOCCO4)n2)cn1 7.781756 0.36764705882352944</t>
  </si>
  <si>
    <t>CC1C=CC(C)(c2ccc(CN(Cc3ccccn3)Cc3ccccn3)cn2)CC1C 7.7817545 0.4166666666666667</t>
  </si>
  <si>
    <t>CNC1C(N(Cc2ccccn2)Cc2cc(C)c(C)c(C)n2)CCCC1N(Cc1ccccn1)Cc1cc(C)c(C)c(C)n1 7.781749 0.46153846153846156</t>
  </si>
  <si>
    <t>CC(N)C(C)C1=CCC(N(C)Cc2ccccn2)=CN1 7.781745 0.4117647058823529</t>
  </si>
  <si>
    <t>CC(C)N(Cc1cc(-c2ccc3c(c2)OCCOCCOCCOCCOCCO3)ccn1)C1CCC(N(C)Cc2cc(-c3ccc4ncccc4c3)ccn2)CC1 7.781744 0.34615384615384615</t>
  </si>
  <si>
    <t>CC(C)N1CCN(C)CCN(C(C)c2cccnc2-c2cccnc2NC2=CCC=CN2)CC1 7.7817426 0.2923076923076923</t>
  </si>
  <si>
    <t>CC(C)N(CC1=CCC=CN1)Cc1ncccc1C(C)(C)C 7.7817283 0.48148148148148145</t>
  </si>
  <si>
    <t>Cc1ccc(CN(C)Cc2ccc(CN(C)C(C)C)cn2)cn1 7.7817187 0.42857142857142855</t>
  </si>
  <si>
    <t>Cc1cccnc1CN(C)Cc1cccc(C2CCC2(C)C)n1 7.781713 0.4</t>
  </si>
  <si>
    <t>Cc1cncc(C)c1CN(C)CCN(Cc1ccccn1)C(C)NCc1ccccn1 7.781713 0.48</t>
  </si>
  <si>
    <t>CC1=CC(C)C2(C=CC(C)C3(C=CC4(CC(C)C=C(C)C4C)C(c4cccc(CN(Cc5ccccn5)Cc5ccccn5)n4)C3c3cccc(CN(Cc4ccccn4)Cc4ccccn4)n3)C2C)CC1 7.781699 0.2976190476190476</t>
  </si>
  <si>
    <t>Cc1cnc(CN(C)C2CCCC(N(CC3=CCC(N(C)Cc4ccccn4)=CN3)Cc3ccccn3)C2)c(C)c1 7.7816954 0.34285714285714286</t>
  </si>
  <si>
    <t>Cc1cncc(CN(C)Cc2ccc(N(C)C3CCCCC3N(C)Cc3nc(C)c(C)cc3C)cn2)c1 7.7816863 0.43548387096774194</t>
  </si>
  <si>
    <t>Cc1cnc(CN(C)Cc2ccccn2)c(C2CCC2(C)C)c1 7.7816815 0.4</t>
  </si>
  <si>
    <t>Cc1cncc(CN(Cc2cccc(N(C)Cc3ccccn3)c2)Cc2ncccc2-c2ccc3c(c2)OCCOCCOCCOCCOCCO3)c1 7.781675 0.2894736842105263</t>
  </si>
  <si>
    <t>CNCc1cc(N)ccn1 7.781669 0.3055555555555556</t>
  </si>
  <si>
    <t>Cc1ccnc(CN(Cc2cccc(CN(Cc3cccc(C)n3)C3CCC(N(C)Cc4nc(C)c(C)c(C)c4C)CC3)n2)C(C)C)c1 7.7816353 0.36363636363636365</t>
  </si>
  <si>
    <t>CN(Cc1cnc2ccc(N(C)Cc3ncccc3-c3cccc4c3OCCOCCOCCOCCOCCO4)cc2c1)Cc1ncccc1-c1cccc2c1OCCOCCOCCOCCOCCO2 7.781635 0.2361111111111111</t>
  </si>
  <si>
    <t>Cc1ccnc(C)c1CN(C)CCN(C)Cc1ccccn1 7.781633 0.47619047619047616</t>
  </si>
  <si>
    <t>CNc1ccc2c(c1-c1cc(CN(Cc3ccccn3)C3CCCCC3N(C)c3ccc4nccc(CF)c4c3)ccn1)OCCOCCOCCOCCOCCO2 7.7816286 0.2988505747126437</t>
  </si>
  <si>
    <t>CC(C)N1CCCC1C1CCCN1Cc1cccc(-c2cccc(N=Cc3ccccn3)c2)n1 7.7816277 0.42857142857142855</t>
  </si>
  <si>
    <t>CC(C)C(C)CN(CCN(C)Cc1ccc2ncccc2c1)Cc1ccccn1 7.7816267 0.45901639344262296</t>
  </si>
  <si>
    <t>CN(Cc1cccc(-c2ccc3c(c2)OCCOCCOCCOCCOCCO3)n1)C1CCC(N(C)Cc2cccc(-c3ccc4ncccc4c3)n2)CC1 7.7816215 0.35135135135135137</t>
  </si>
  <si>
    <t>CCOC(C)NCc1ccc(CN(Cc2ccccn2)Cc2ccccn2)cn1 7.781617 0.4444444444444444</t>
  </si>
  <si>
    <t>CN(C)Cc1nccc2cc(N(C)C3CCC(N(Cc4cccc(-c5cccc6c5OCCOCCOCCOCCOCCO6)n4)Cc4ncccc4C(C)(C)C)CC3)ccc12 7.7815895 0.23863636363636365</t>
  </si>
  <si>
    <t>Cc1ccc(CN(C)C2CCC(N(C)Cc3ccccn3)CC2N(Cc2cccc(C)n2)Cc2nc(C)c(C)c(C)c2C)nc1 7.781583 0.42424242424242425</t>
  </si>
  <si>
    <t>Cc1cccnc1CN(C)Cc1ncccc1N(C)Cc1cc(-c2ccc3c(c2)OCCOCCOCCOCCOCCO3)ccn1 7.78157 0.33783783783783783</t>
  </si>
  <si>
    <t>CC(NCc1ccccn1)c1cccc(CF)n1 7.7815447 0.4146341463414634</t>
  </si>
  <si>
    <t>CNCc1ccc(C)c(CN(Cc2nc(C)c(C)c(C)c2C)C2CCCC(N(C)Cc3nc(C)c(C)cc3C)C2)n1 7.78153 0.25</t>
  </si>
  <si>
    <t>Cc1ccc(CN(C)C2CCC(N(Cc3cc(C)ccn3)Cc3cc(C)c(C)c(C)n3)CC2N(C)Cc2cc(C)ccn2)nc1 7.7815204 0.4745762711864407</t>
  </si>
  <si>
    <t>Cc1cccnc1CN(Cc1ccccn1)C1CCC(N(Cc2ccccn2)c2cccc(CF)n2)CC1 7.781517 0.35</t>
  </si>
  <si>
    <t>Cc1ccc(C)c(CN(C)C2CCC(N(Cc3nc(C)c(C)cc3C)Cc3nc(C)c(C)cc3C)CC2)n1 7.7815166 0.3148148148148148</t>
  </si>
  <si>
    <t>CC1=CC(C)C(C)C(C)(c2ncccc2CN(Cc2ccccn2)Cc2ccccn2)C1 7.781516 0.43478260869565216</t>
  </si>
  <si>
    <t>Cc1ccnc(CN(Cc2ccccn2)Cc2cccc(CNCF)n2)c1 7.7815137 0.46511627906976744</t>
  </si>
  <si>
    <t>Cc1cc(C)c(CN(C)CCN(C)C(C)C)nc1C 7.781511 0.32558139534883723</t>
  </si>
  <si>
    <t>CC(C)C1=CC2(C=CN1)C=CC(C)(C)C(c1cc(CN(Cc3ccccn3)Cc3ccccn3)ccn1)C2c1ccc(CN(Cc2ccccn2)Cc2ccc(-c3ccc4c(c3)OCCOCCOCCOCCOCCO4)cn2)cn1 7.781503 0.3163265306122449</t>
  </si>
  <si>
    <t>COCC(C)NCc1cc(CN(Cc2ccccn2)Cc2ccccn2)ccn1 7.781497 0.46511627906976744</t>
  </si>
  <si>
    <t>Cc1cncc(CN(C)Cc2cccc(-c3ccc4c(c3)OCCOCCOCCOCCOCCO4)n2)c1-c1cccc(C2CCC2(C)C)n1 7.781494 0.3023255813953488</t>
  </si>
  <si>
    <t>CC1(C)CCC1c1ccc(CN(Cc2ccccn2)Cc2ccccn2)cn1 7.7814856 0.46511627906976744</t>
  </si>
  <si>
    <t>CCCN(Cc1ccccn1)Cc1cc(C(C)(C)c2ncccc2CN(Cc2ncccc2C)Cc2ncccc2-c2ccc3c(c2)OCCOCCOCCOCCOCCO3)ccn1 7.781483 0.2839506172839506</t>
  </si>
  <si>
    <t>CN(Cc1ccc2ncccc2c1)Cc1cccc(-c2ccc3c(c2)OCCOCCOCCOCCOCCO3)n1 7.781482 0.3870967741935484</t>
  </si>
  <si>
    <t>Cc1nc(CN(C)C2CCCCC2N(C)Cc2nc(CN(C)C)c(C)c(C)c2C)c(C)c(C)c1C 7.7814784 0.4222222222222222</t>
  </si>
  <si>
    <t>CC(C)N(C)C1CCCC(N(C)c2cccc3c(CF)ccnc23)C1 7.781478 0.3620689655172414</t>
  </si>
  <si>
    <t>CC(N)c1cccc(N(C)C(C)C)c1 7.7814717 0.23255813953488372</t>
  </si>
  <si>
    <t>CN1CCN(Cc2cc(C(C)(C)c3ccccn3)ccn2)CCN(Cc2cccc(C3=NC(C)(C)CO3)n2)CC1 7.7814593 0.42857142857142855</t>
  </si>
  <si>
    <t>CN(Cc1ccc2ncccc2c1)Cc1ncccc1-c1cccc2c1OCCOCCOCCOCCOCCO2 7.7814584 0.28125</t>
  </si>
  <si>
    <t>Cc1ccc(C(C)(C)C)nc1CN(CCF)Cc1ccccn1 7.7814507 0.46938775510204084</t>
  </si>
  <si>
    <t>CCN(Cc1ccccn1)Cc1cccc(C(C)(C)c2cccc(CN(Cc3ccccn3)C3CCC(N(C)Cc4cccc(C5CC(C)(C)C5)n4)CC3)n2)n1 7.7814503 0.3582089552238806</t>
  </si>
  <si>
    <t>C=C1C=CNC(CNC)=C1 7.7814465 0.47368421052631576</t>
  </si>
  <si>
    <t>CC(C)C1=CC2(C=CN1)C=CC(c1cccc(CN(Cc3ccccn3)C3CCC(N(C)c4ccc5nc(CF)ccc5c4)CC3)n1)C(c1cccc(CNCc3cccc(-c4ccc5c(c4)OCCOCCOCCOCCOCCO5)n3)n1)C2(C)C 7.781445 0.23728813559322035</t>
  </si>
  <si>
    <t>Cc1ccc(CN(C)C2CC(N(Cc3ccccn3)Cc3ccccn3)CC(N(Cc3ccccn3)Cc3ncccc3C)C2)nc1 7.7814407 0.43636363636363634</t>
  </si>
  <si>
    <t>CN(Cc1cc(-c2ccc3c(c2)OCCOCCOCCOCCOCCO3)ccn1)Cc1ccc2cc(N(C)Cc3cccc(-c4ccc5c(c4)OCCOCCOCCOCCOCCO5)n3)ccc2n1 7.7814384 0.35294117647058826</t>
  </si>
  <si>
    <t>Cc1ncccc1CN(C)Cc1cccc(CN(C)C(C)C)n1 7.7814374 0.4375</t>
  </si>
  <si>
    <t>CN(Cc1cc(-c2ccc3c(c2)OCCOCCOCCOCCOCCO3)ccn1)Cc1ccc2cccc(N(C)Cc3cccc(-c4ccc5c(c4)OCCOCCOCCOCCOCCO5)n3)c2n1 7.7814293 0.35294117647058826</t>
  </si>
  <si>
    <t>CN1CCN(Cc2cc(C(C)(C)c3ccccn3)ccn2)CCN(Cc2cccnc2C2=NC(C)(C)CO2)CC1 7.7814236 0.40625</t>
  </si>
  <si>
    <t>CC(C)[Si](c1ccc(CN(Cc2ccccn2)C2CCCCC2N(C)Cc2ncccc2-c2ccccc2)nc1)(C(C)C)C(C)C 7.781421 0.4915254237288136</t>
  </si>
  <si>
    <t>Cc1cc(CN(Cc2ccccn2)Cc2ncccc2-c2cccc3c2OCCOCCOCCOCCOCCO3)ccc1N(C)Cc1ccccn1 7.781408 0.3582089552238806</t>
  </si>
  <si>
    <t>CCCNCc1cccc(CN(Cc2ccccn2)Cc2ncccc2N)n1 7.7814035 0.43478260869565216</t>
  </si>
  <si>
    <t>C=CCNCc1ncccc1CN(Cc1ccccn1)C1C=CC=CN1 7.7813997 0.41935483870967744</t>
  </si>
  <si>
    <t>CN(Cc1ncccc1-c1cccc2c1OCCOCCOCCOCCOCCO2)Cc1ncccc1C(C)(c1ccccn1)c1ccccn1 7.7813854 0.3076923076923077</t>
  </si>
  <si>
    <t>CN(c1ccc2nc(CF)ccc2c1)C1CCCCC1N(Cc1cc(-c2ccc3c(c2)OCCOCCOCCOCCOCCO3)ccn1)c1ccccc1F 7.781383 0.3625</t>
  </si>
  <si>
    <t>CC(NCc1ccccn1)c1cccnc1CF 7.7813773 0.4146341463414634</t>
  </si>
  <si>
    <t>CC1=CC(C)(C)C(N(C)Cc2cc(C(C)(C)c3ccccn3)ccn2)CC1C 7.781376 0.3387096774193548</t>
  </si>
  <si>
    <t>CC(C)N1CCN(C)CCN(Cc2ccc(-c3cccc(N=Cc4ccccn4)c3)cn2)CC1 7.781371 0.48333333333333334</t>
  </si>
  <si>
    <t>Cc1cc(C)c(C)c(CN(C)C2CCCC(N(Cc3ccccn3)c3ccccc3F)C2)n1 7.7813654 0.3870967741935484</t>
  </si>
  <si>
    <t>Cc1ccc(CN(Cc2ccccn2)Cc2cccc(CNCF)n2)nc1 7.7813606 0.46511627906976744</t>
  </si>
  <si>
    <t>CCNC1CC(N(C)Cc2cc(C)ccn2)CC(N(Cc2nc(C)c(C)cc2C)Cc2nc(C)c(C)c(C)c2C)C1 7.7813587 0.2535211267605634</t>
  </si>
  <si>
    <t>Cc1cnc(CN(Cc2ncc(C)c(C)c2C)C2CCCCC2N(Cc2ccccn2)Cc2cccnc2F)c(C)c1C 7.7813487 0.46296296296296297</t>
  </si>
  <si>
    <t>Cc1cncc(CN(C)C2CCC(N(Cc3ncccc3C)Cc3ncccc3C)C(N(Cc3ccccn3)Cc3ncccc3C)C2)c1 7.7813454 0.38095238095238093</t>
  </si>
  <si>
    <t>COC(C)C12C(C)N(C)C(c3ccccn3)C3(C)C1N(C)CC(C)C2(C(C)(C)C)C(C)N3C 7.78134 0.32432432432432434</t>
  </si>
  <si>
    <t>Cc1ccc(C)c(CN(C)CCN(Cc2ccccn2)C(C)(C)c2cccc(CN(Cc3ccccn3)C3CCC(N(C)Cc4nc(C)c(C)c(C)c4C)CC3)n2)n1 7.7813387 0.3013698630136986</t>
  </si>
  <si>
    <t>CN1CCN(C)CCN(c2cccc(-c3cccc(NCF)n3)n2)CC1 7.781336 0.3409090909090909</t>
  </si>
  <si>
    <t>COC(C)C1CN(C)C(C(=O)C2(C)COC(c3ncccc3C3=NC(C)(C)CO3)=N2)C(C(C)C)C1C(C)C 7.7813106 0.2753623188405797</t>
  </si>
  <si>
    <t>CC1CC(N(C)Cc2ccccn2)C=C(C(C)(C)c2cc(CN(Cc3ccccn3)Cc3ccccn3)ccn2)C1C 7.7813 0.3770491803278688</t>
  </si>
  <si>
    <t>CCOC(=O)C1CC(c2ccccn2)C(c2cccc(CN(Cc3ccccn3)Cc3cccc(-c4ccc5c(c4)OCCOCCOCCOCCOCCO5)n3)n2)N(C)C1c1ccccn1 7.781297 0.3764705882352941</t>
  </si>
  <si>
    <t>CNC1CC(N(C)Cc2ccccn2)CC(N(Cc2nc(C)c(C)cc2C)Cc2nc(C)c(C)c(C)c2C)C1 7.781293 0.36507936507936506</t>
  </si>
  <si>
    <t>CC(C)C(C)(c1cccnc1)c1cccc(C2CCC2(C)C)n1 7.7812905 0.20967741935483872</t>
  </si>
  <si>
    <t>CC1CCC1N(Cc1ccccn1)Cc1ncccc1N(C)C1C=CC=CN1 7.7812896 0.41935483870967744</t>
  </si>
  <si>
    <t>CN(CCN(Cc1ccccn1)C(C)(N)c1ccccn1)Cc1ccccn1 7.7812867 0.45652173913043476</t>
  </si>
  <si>
    <t>Cc1cncc(CN(Cc2ccccn2)Cc2ccc(N(C)C(C)(C)c3ccc(-c4ccc5c(c4)OCCOCCOCCOCCOCCO5)nc3)cn2)c1 7.7812843 0.30337078651685395</t>
  </si>
  <si>
    <t>CNC1C(N(C)Cc2ncccc2C)CCCC1N(Cc1nc(C)c(C)c(C)c1C)Cc1nc(C)c(C)c(C)c1C 7.7812805 0.35</t>
  </si>
  <si>
    <t>Cc1cncc(CN(C)C2CC(N(C)Cc3ccccn3)CC(N(Cc3ccccn3)Cc3nc(C)c(C)c(C)c3C)C2)c1 7.7812777 0.36507936507936506</t>
  </si>
  <si>
    <t>CNC1C(N(Cc2ccccn2)Cc2ncc(C)cc2C)CCCC1N(Cc1ncc(C)cc1C)Cc1nc(C)ccc1C 7.781275 0.39344262295081966</t>
  </si>
  <si>
    <t>Cc1cccnc1CN(C)Cc1ccc(N(C)Cc2ccc(-c3ccc4c(c3)OCCOCCOCCOCCOCCO4)cn2)cn1 7.781269 0.4225352112676056</t>
  </si>
  <si>
    <t>Cc1cc(C)c(CN(C)C2CCCC(N(C)CC3=C(N(Cc4ccccn4)Cc4cccc(F)n4)CC=CN3)C2)nc1C 7.7812505 0.32941176470588235</t>
  </si>
  <si>
    <t>CC(C)C(C)CN(Cc1ccccn1)Cc1ncccc1C(C)(C)c1ccccn1 7.7812395 0.4230769230769231</t>
  </si>
  <si>
    <t>Cc1nc(CN(C)Cc2cccc(N(C)C3CCC(N(C)Cc4ccccn4)CC3)n2)c(C)c(C)c1C 7.781232 0.43103448275862066</t>
  </si>
  <si>
    <t>C=C1C=CNC(CN(C)CCN(C)Cc2ccccn2)=C1 7.7812285 0.45454545454545453</t>
  </si>
  <si>
    <t>CN1CCN(C)CCN(c2cccnc2-c2cccc(NCF)n2)CC1 7.781224 0.3541666666666667</t>
  </si>
  <si>
    <t>CNCc1ncccc1N 7.781221 0.3055555555555556</t>
  </si>
  <si>
    <t>C=CCN(C)Cc1cccc(CN(Cc2cccc(C3CCC3C)n2)Cc2cccc(C3C(Cl)CC3Cl)n2)n1 7.7812204 0.31343283582089554</t>
  </si>
  <si>
    <t>CNC1CCC(N(C)Cc2cc(C)c(C)c(C)n2)CC1N(Cc1cc(C)c(C)cn1)Cc1cc(C)c(C)c(C)n1 7.781217 0.3225806451612903</t>
  </si>
  <si>
    <t>CC1(C)CCC1c1cccc(CN(Cc2ccccn2)Cc2ncccc2C2(C)CCC2Cl)n1 7.7812114 0.36363636363636365</t>
  </si>
  <si>
    <t>CC(C)N(CC(C)(C)C)C1CC2CCC1C2N(C)c1ccc2ncccc2c1 7.7811985 0.36507936507936506</t>
  </si>
  <si>
    <t>CNC1CCCC(N(Cc2cccc(C)n2)Cc2cccc(C)n2)C1N(Cc1cccc(C)n1)Cc1nc(C)c(C)c(C)c1C 7.781198 0.44642857142857145</t>
  </si>
  <si>
    <t>Cc1cnc(CN(C)CCNCc2ccccn2)c(C)c1C 7.7811966 0.4883720930232558</t>
  </si>
  <si>
    <t>CC1C=CCC(C)C1c1ccc(CN(C)Cc2cc(N)ccn2)cn1 7.7811966 0.27419354838709675</t>
  </si>
  <si>
    <t>CC1=CCC(C)C(C)=C1CN(C)CC1=CC(N(C)Cc2ccccn2)C=CN1 7.7811947 0.3709677419354839</t>
  </si>
  <si>
    <t>CC1=CC(c2cccc(CN(C)Cc3cc(N)ccn3)n2)C(C)(C)C(C)C1 7.7811937 0.36666666666666664</t>
  </si>
  <si>
    <t>CN(CC1=C(N(CCN)Cc2ccccn2)CC=CN1)C(C)(C)c1ccccn1 7.781179 0.359375</t>
  </si>
  <si>
    <t>CC(C)N(C)Cc1cc(N(C)C(C)C)ccn1 7.781178 0.3902439024390244</t>
  </si>
  <si>
    <t>Cc1ccc(CN(C)C2CCC(N(C)Cc3ncccc3C)CC2N(Cc2cc(C)ccn2)Cc2cc(C)c(C)c(C)n2)nc1 7.781174 0.4057971014492754</t>
  </si>
  <si>
    <t>Cc1cccc(C(C)(c2ccccn2)c2cc(CN(Cc3ccccn3)C3CCCCC3)ccn2)c1 7.781173 0.3709677419354839</t>
  </si>
  <si>
    <t>Cc1cc(CN2CCCC2C(C)(C)N(Cc2ccccn2)C2CCCCC2N(C)c2ccc3nc(CF)ccc3c2)nc(C)c1C 7.7811584 0.36904761904761907</t>
  </si>
  <si>
    <t>CC(C)CN(CCN(C)CC(C)(C)C)Cc1ccc2ncccc2c1 7.7811475 0.36363636363636365</t>
  </si>
  <si>
    <t>CN(Cc1cccc(-c2ccc3c(c2)OCCOCCOCCOCCOCCO3)n1)Cc1cccc(C(C)(c2ccccn2)c2ccccn2)n1 7.7811456 0.43333333333333335</t>
  </si>
  <si>
    <t>CN(C1=CNC(CN(C)C2C=CC=CN2)=CC1)C1=CCC=CN1 7.7811227 0.26153846153846155</t>
  </si>
  <si>
    <t>CCOC(C)NCc1ncccc1CN(Cc1ccccn1)Cc1ccccn1 7.7811217 0.45454545454545453</t>
  </si>
  <si>
    <t>CC(C)NCc1cccc(C(C)(C)C)n1 7.7811027 0.2692307692307692</t>
  </si>
  <si>
    <t>CCCN(CC1=CC(N(C)Cc2nc(C)ccc2C)C=CN1)Cc1ccccn1 7.781101 0.38333333333333336</t>
  </si>
  <si>
    <t>Cc1cc(CN(C)CCN)nc(C)c1C 7.7810965 0.375</t>
  </si>
  <si>
    <t>Cc1ccc(CN(C)C2CC(N(C)Cc3ccccn3)CC(N(Cc3cc(C)ccn3)Cc3ncc(C)c(C)c3C)C2)nc1 7.781095 0.3870967741935484</t>
  </si>
  <si>
    <t>CC1(C)CCC1c1ncccc1CN(Cc1ccccn1)Cc1ccccn1 7.7810645 0.4878048780487805</t>
  </si>
  <si>
    <t>CN(Cc1cc(-c2ccc3c(c2)OCCOCCOCCOCCOCCO3)ccn1)C1CCC(N(C)Cc2cccc(-c3ccc4ncccc4c3)n2)CC1 7.7810616 0.34177215189873417</t>
  </si>
  <si>
    <t>CC(C)(C)c1cccnc1CN(CF)Cc1ccccn1 7.7810593 0.5</t>
  </si>
  <si>
    <t>Cc1cccc(CN(C)C2CCC(N(C)Cc3ccccn3)CC2N(Cc2cc(C)c(C)cn2)Cc2cc(C)c(C)c(C)n2)n1 7.7810583 0.4375</t>
  </si>
  <si>
    <t>CCC1(C)N=COC1c1ccccn1 7.7810555 0.2711864406779661</t>
  </si>
  <si>
    <t>Cc1ccc(CN(C)C2CCCC(N(Cc3ncc(C)c(C)c3C)Cc3nc(C)c(C)c(C)c3C)C2N(C)Cc2ccccn2)nc1 7.7810435 0.46774193548387094</t>
  </si>
  <si>
    <t>CCN(CC1=CC(N(C)Cc2cc(C)ccn2)C=CN1)Cc1ccccn1 7.7810407 0.4098360655737705</t>
  </si>
  <si>
    <t>Cc1nc(CN(C)C2CCC(N(Cc3cc4c(cn3)C=CC(C)(C)C4)C(C)C)CC2)c(C)c(C)c1C 7.781029 0.28205128205128205</t>
  </si>
  <si>
    <t>Cc1ccc(N(C)Cc2ccccn2)c(CN(Cc2ccccn2)Cc2ccc(-c3ccc4c(c3)OCCOCCOCCOCCOCCO4)cn2)c1 7.781028 0.4166666666666667</t>
  </si>
  <si>
    <t>CC1C=CCC(C)(c2ccc(CN(Cc3ccccn3)Cc3ncccc3C(C)(C)C)cn2)C1C 7.7810264 0.3333333333333333</t>
  </si>
  <si>
    <t>CNC1C(N(C)Cc2cc(C)c(C)c(C)n2)CCCC1N(Cc1cc(C)c(C)cn1)Cc1nc(C)c(C)c(C)c1C 7.781021 0.36507936507936506</t>
  </si>
  <si>
    <t>CCOC(=O)c1cc(CN(Cc2ccccn2)C2CCC(N(C)Cc3nc(C)c(C)c(C)c3C)CC2)ccn1 7.7810144 0.32857142857142857</t>
  </si>
  <si>
    <t>Cc1cncc(CN(C)C2CC(N(C)Cc3ccccn3)CC(N(Cc3ncccc3C)Cc3ncc(C)c(C)c3C)C2)c1 7.781002 0.35384615384615387</t>
  </si>
  <si>
    <t>CCc1ccc(C)c(-c2ncccc2CN(Cc2ccccn2)C2CCCCC2)c1 7.780998 0.3898305084745763</t>
  </si>
  <si>
    <t>Cc1cccc(CN(Cc2ncccc2C)C2C(N(C)Cc3ncccc3C)CCCC2N(Cc2ccccn2)Cc2ncccc2C)n1 7.7809896 0.5</t>
  </si>
  <si>
    <t>Cc1cc(C)c(C)c(CN(Cc2nc(C)c(C)c(C)c2C)C2CCCCC2N(Cc2ccccn2)Cc2ccc(F)cn2)n1 7.780973 0.3968253968253968</t>
  </si>
  <si>
    <t>CCN(CCN(C)Cc1ncccc1C)Cc1cc(C)c(C)c(C)n1 7.780971 0.35185185185185186</t>
  </si>
  <si>
    <t>CCNCc1cc(CN(C)Cc2cc(C)ccn2)ccn1 7.7809696 0.3958333333333333</t>
  </si>
  <si>
    <t>CC1=CC2(C(C)C=CC(C)C2C)C(c2cccnc2CN(Cc2ccccn2)Cc2ccccc2N(C)C)C(N(C)Cc2ccccn2)C1C 7.7809677 0.29850746268656714</t>
  </si>
  <si>
    <t>CCNC1CC(N(Cc2nc(C)c(C)cc2C)Cc2nc(C)c(C)cc2C)CCC1N(Cc1cc(C)ccn1)Cc1cc(C)ccn1 7.780951 0.2727272727272727</t>
  </si>
  <si>
    <t>CC(C)C1=CC(N(C)Cc2cccc(C(C)(C)C)n2)C=CN1 7.7809443 0.3157894736842105</t>
  </si>
  <si>
    <t>CC(C)(C)N1CCN=CC2=CC=CC(c3cccc(n3)C1)N2C(C)(C)C 7.7809334 0.40816326530612246</t>
  </si>
  <si>
    <t>CC(C)N(C)Cc1ncccc1N(C)C1C=CC=CN1 7.7809157 0.3508771929824561</t>
  </si>
  <si>
    <t>Cc1cc(C)c(CN(C)CN(C)CCN(C)C(C)C)nc1C 7.780913 0.2765957446808511</t>
  </si>
  <si>
    <t>CC(N)C(C)C1=CNC(N(C)Cc2ccccn2)=CC1 7.7809095 0.4117647058823529</t>
  </si>
  <si>
    <t>CC1=C2C=CC=NC2CC(N(C)Cc2ccc(C)cn2)C1 7.780907 0.47058823529411764</t>
  </si>
  <si>
    <t>CCNCN(C)Cc1ncc(C)c(C)c1C 7.7808967 0.3023255813953488</t>
  </si>
  <si>
    <t>CNC1C(N(Cc2ccccn2)Cc2nc(C)c(C)c(C)c2C)CCCC1N(Cc1ccccn1)Cc1nc(C)c(C)c(C)c1C 7.7808957 0.46153846153846156</t>
  </si>
  <si>
    <t>Cc1ccc(N(Cc2ccccn2)C2CCCC(N(C)Cc3ccccn3)C2)c(C)c1C 7.780894 0.5</t>
  </si>
  <si>
    <t>CNC1C(N(Cc2cc(C)c(C)cn2)Cc2cc(C)c(C)cn2)CCCC1N(Cc1cc(C)c(C)cn1)Cc1cc(C)c(C)cn1 7.7808905 0.40425531914893614</t>
  </si>
  <si>
    <t>CC(NCc1cccnn1)c1ccccn1 7.780885 0.4523809523809524</t>
  </si>
  <si>
    <t>Cc1cccnc1CN(C)CCN(Cc1ccccn1)Cc1ncccc1CF 7.7808805 0.5</t>
  </si>
  <si>
    <t>CN(c1ccc2nc(CF)ccc2c1)C1CCCCC1N(Cc1cccc(F)n1)C1CCCCC1N(Cc1ccccn1)c1ccccc1F 7.780861 0.410958904109589</t>
  </si>
  <si>
    <t>CN(c1ccc(Cl)nc1)C1CCCCC1N(C)c1ccccn1 7.78086 0.4489795918367347</t>
  </si>
  <si>
    <t>CNCCN(Cc1cc(C(C)(C)c2ccccn2)ccn1)C(C)C 7.780852 0.4897959183673469</t>
  </si>
  <si>
    <t>CN(CF)CC1=CCC(N(C)Cc2ccccn2)=CN1 7.7808504 0.4230769230769231</t>
  </si>
  <si>
    <t>CCN(C)Cc1cc(CN(C)Cc2cc(C)ccn2)ccn1 7.7808485 0.4418604651162791</t>
  </si>
  <si>
    <t>Cc1cc(CN(C)C2CCC(N(C)Cc3ccc4cccnc4c3)CC2)ccn1 7.780844 0.3090909090909091</t>
  </si>
  <si>
    <t>Cc1ccc(CN(Cc2nc([SiH3])c(C)c(C)c2C)C2CCCCC2N(C)Cc2nc([SiH3])c(C)c(C)c2C)nc1[SiH3] 7.78084 0.42592592592592593</t>
  </si>
  <si>
    <t>COC(C)NCc1ncccc1CN(Cc1ccccn1)Cc1ccccn1 7.7808394 0.47619047619047616</t>
  </si>
  <si>
    <t>Cc1cc(C)c(CN(C)C2CCC(N(Cc3ccnc(CN(C)C)c3)Cc3nc(C)c(C)cc3C)CC2)nc1C 7.780838 0.2833333333333333</t>
  </si>
  <si>
    <t>Cc1cc(CN(C)CC2=CC(N(C)C(C)C)C=CN2)nc(C)c1C 7.780838 0.31666666666666665</t>
  </si>
  <si>
    <t>CN(Cc1ccc(-c2cccc3c2OCCOCCOCCOCCOCCO3)cn1)Cc1cc(C(C)(c2ccccn2)c2ccccn2)ccn1 7.7808375 0.30985915492957744</t>
  </si>
  <si>
    <t>Cc1cccc(N(C)Cc2ccccn2)c1CN(Cc1ccccn1)Cc1ncccc1-c1ccc2c(c1)OCCOCCOCCOCCOCCO2 7.78083 0.3582089552238806</t>
  </si>
  <si>
    <t>CN(CC1=C(N(C)Cc2ccccn2)CC=CN1)CC(C)(C)C 7.7808237 0.45098039215686275</t>
  </si>
  <si>
    <t>CN(c1ccc2nc(CF)ccc2c1)C1CCCCC1N(CF)Cc1ccccn1 7.780815 0.4642857142857143</t>
  </si>
  <si>
    <t>c1cncc(CN(Cc2ccc3ncccc3c2)Cc2ncccc2-c2cccc3c2OCCOCCOCCOCCOCCO3)c1 7.7808084 0.2222222222222222</t>
  </si>
  <si>
    <t>CCN(Cc1cc(CN(Cc2ccccn2)C2CCC(N(C)Cc3nc(C)c(C)c(C)c3C)CC2)ccn1)Cc1nc(C)c(C)c(C)c1C 7.780801 0.359375</t>
  </si>
  <si>
    <t>COC(C)c1ccon1 7.780801 0.3055555555555556</t>
  </si>
  <si>
    <t>CC(C)CN(Cc1ccccn1)Cc1cccc(C(C)(C)C)n1 7.780801 0.4888888888888889</t>
  </si>
  <si>
    <t>CCNC1=C(C)C(C)(C)C(c2cc(CN(Cc3ccccn3)Cc3ccccn3)ccn2)CC1C 7.780789 0.36363636363636365</t>
  </si>
  <si>
    <t>C1=CNC(N(Cc2ccccc2)Cc2cccnn2)C=C1 7.780788 0.3958333333333333</t>
  </si>
  <si>
    <t>c1ccc(CN(Cc2ccc3ncccc3c2)Cc2cccc(-c3ccc4c(c3)OCCOCCOCCOCCOCCO4)n2)nc1 7.7807846 0.44776119402985076</t>
  </si>
  <si>
    <t>Cc1cnc(CN(C)C2CCC(N(C)Cc3ccccn3)CC2N(Cc2nc(C)ccc2C)Cc2nc(C)ccc2C)c(C)c1 7.7807617 0.43548387096774194</t>
  </si>
  <si>
    <t>Cc1cnc(CN(C)Cc2cccc(N(C)Cc3cccc(-c4ccc5c(c4)OCCOCCOCCOCCOCCO5)n3)n2)c(C)c1 7.7807546 0.3188405797101449</t>
  </si>
  <si>
    <t>CC(C1=CC(N(C)Cc2ccccn2)C=CN1)c1ccccc1 7.780748 0.4230769230769231</t>
  </si>
  <si>
    <t>CN(Cc1cc(-c2ccc3c(c2)OCCOCCOCCOCCOCCO3)ccn1)C1CCC(N(C)Cc2cc(-c3ccc4cccnc4c3)ccn2)CC1 7.780746 0.38028169014084506</t>
  </si>
  <si>
    <t>CNCc1cc(CN(C)Cc2ccccn2)ccn1 7.780741 0.5</t>
  </si>
  <si>
    <t>CC(C)N(C)C1=C(CN(C)Cc2ccccn2)CC=CN1 7.7807345 0.4583333333333333</t>
  </si>
  <si>
    <t>CN(Cc1ccccn1)C1=C(CN(C)C(C)(C)C)NC=CC1 7.780728 0.41818181818181815</t>
  </si>
  <si>
    <t>CN1CCN(Cc2ccnc(C3=NC(C)(C)CO3)c2)CCN(Cc2cc(C(C)(C)c3ccccn3)ccn2)CC1 7.780722 0.40625</t>
  </si>
  <si>
    <t>Cc1cncc(CN(C)C2CCCC(N(C)Cc3cccc4ncccc34)C2)c1 7.7807107 0.29508196721311475</t>
  </si>
  <si>
    <t>Cc1ccc(CN(C)C2CC(N(C)Cc3ccccn3)CC(N(Cc3ccccn3)Cc3nc(C)c(C)c(C)c3C)C2)nc1 7.78071 0.41379310344827586</t>
  </si>
  <si>
    <t>CCOC(=O)c1cc(CN(Cc2ccccn2)C2CCCC(N(C)Cc3cc(C)c(C)c(C)n3)C2)ccn1 7.7807083 0.352112676056338</t>
  </si>
  <si>
    <t>CC(C)C1=CC2(C=CN1)C(c1cccc(CN(Cc3ccccn3)Cc3ccccn3)n1)=CCC(c1cccc(CN(Cc3ccccn3)C3CCCCC3)n1)C2(C)C 7.780702 0.3253012048192771</t>
  </si>
  <si>
    <t>Cc1cc(CN(C)CCN(C)C(C)(C)c2ccccn2)nc(C)c1C 7.780692 0.36</t>
  </si>
  <si>
    <t>Cc1ccc(N(C)CCN(C)C(C)C)cc1C 7.780642 0.2222222222222222</t>
  </si>
  <si>
    <t>COC(=O)C1CN(C)C(c2ccccn2)C(CN(C)Cc2ccccn2)C1c1ccccn1 7.780638 0.38235294117647056</t>
  </si>
  <si>
    <t>Cc1cnc(CN(C)CCN(C)CC(C)(C)C)c(C)c1C 7.7806377 0.3902439024390244</t>
  </si>
  <si>
    <t>CC(C)C1=CC(N(C)Cc2ncccc2C(C)(C)C)C=CN1 7.7806315 0.25</t>
  </si>
  <si>
    <t>CN(Cc1cccc(-c2ccc3c(c2)OCCOCCOCCOCCOCCO3)n1)c1ccc2nc(CN(Cc3ccccn3)Cc3cccc(-c4ccc5c(c4)OCCOCCOCCOCCOCCO5)n3)ccc2c1 7.7806287 0.4492753623188406</t>
  </si>
  <si>
    <t>Cc1cnc(C2CCC2(C)C)c(CN(C)Cc2ccccn2)c1 7.7806277 0.4</t>
  </si>
  <si>
    <t>CCN(C)Cc1cccc(N(C)C2C=CC=CN2)n1 7.780625 0.3541666666666667</t>
  </si>
  <si>
    <t>CN(Cc1ccc2ncccc2c1)Cc1cc(-c2ccc3c(c2)OCCOCCOCCOCCOCCO3)ccn1 7.780619 0.3472222222222222</t>
  </si>
  <si>
    <t>CC1=CC(C)C(c2ccc(CN(C)Cc3ccccn3)cn2)C(N(C)Cc2ccccn2)C1 7.7806187 0.45454545454545453</t>
  </si>
  <si>
    <t>Cc1cc(CN(C)C2CCC(N(C)Cc3ccc4ncccc4c3)CC2)ccn1 7.780609 0.3090909090909091</t>
  </si>
  <si>
    <t>Cc1cccnc1CN(C)CCN(Cc1ccccn1)C(C)(N)C1=CCC=CN1 7.780608 0.421875</t>
  </si>
  <si>
    <t>Cc1cncc(CN(C)CCN(C)C)c1C 7.7806044 0.358974358974359</t>
  </si>
  <si>
    <t>CC(C)N(C)CC1=C(N(C)Cc2ccccn2)CC=CN1 7.7806 0.4375</t>
  </si>
  <si>
    <t>Cc1ccc(CN(CC2=NCCC=C2)Cc2cc(C)c(C)cn2)nc1 7.7806 0.40425531914893614</t>
  </si>
  <si>
    <t>Cc1cc(C)c(CN(C)CCN(C)C(C)C)c(C)n1 7.7805877 0.3488372093023256</t>
  </si>
  <si>
    <t>Cc1ccc(CN(Cc2ccccn2)C2CCC(N(C)Cc3ccccn3)CC2N(Cc2ccccn2)Cc2nc(C)c(C)cc2C)nc1 7.780587 0.41935483870967744</t>
  </si>
  <si>
    <t>CC1(C)COC(c2cccc(CN(Cc3cccc(-c4ccc5c(c4)OCCOCCOCCOCCOCCO5)n3)Cc3cccc(C(C)(C)C)n3)n2)=N1 7.78058 0.4166666666666667</t>
  </si>
  <si>
    <t>Cc1ccc(CN(Cc2ccccn2)C2CCC(N(C)Cc3ncccc3C)C(N(Cc3cc(C)ccn3)Cc3ncccc3C)C2)nc1 7.780573 0.421875</t>
  </si>
  <si>
    <t>Cc1ccc(N)c(-c2ccc(CN(Cc3ccccn3)C3CCCCC3)cn2)c1 7.780566 0.38333333333333336</t>
  </si>
  <si>
    <t>Cc1cnc(CN(C)CCN(Cc2ccccn2)C(C)(C)N)c(C)c1 7.7805524 0.39215686274509803</t>
  </si>
  <si>
    <t>C=C1C=CNC=C1CN(C)CC1=CCC=CN1 7.7805505 0.35185185185185186</t>
  </si>
  <si>
    <t>Cc1cc(CN(C)C2CCCC(N(Cc3cc(C)c(C)c(C)n3)Cc3nccc(C)c3C)C2)nc(C)c1C 7.7805247 0.3050847457627119</t>
  </si>
  <si>
    <t>CCCN(C)CC1=C(N(C)Cc2ccccn2)CC=CN1 7.780523 0.4107142857142857</t>
  </si>
  <si>
    <t>CN(Cc1ccccn1)C1=CNC=C(CN(C)C(C)(C)C)C1 7.7805195 0.42</t>
  </si>
  <si>
    <t>CC(C)CNCc1ncccc1CN(Cc1ccccn1)Cc1ccccn1 7.7805133 0.5</t>
  </si>
  <si>
    <t>Cc1cncc(CN(C)C2CCC(N(C)Cc3ccccn3)CC2N(Cc2nc(C)cc(C)c2C)Cc2nc(C)cc(C)c2C)c1 7.7805123 0.4153846153846154</t>
  </si>
  <si>
    <t>CNCc1ccc(CN(Cc2ccccn2)C2CCC(N(C)Cc3cccc(-c4ccccn4)n3)CC2)cn1 7.7805047 0.4745762711864407</t>
  </si>
  <si>
    <t>CC1C=CC(C)C(C)(c2cccc(CN(Cc3ccccn3)Cc3ccccn3)n2)C1 7.7805014 0.45454545454545453</t>
  </si>
  <si>
    <t>CC(C)c1cccc(CN2CCN(C)CCN(Cc3cccc(C(C)(C)c4cccc(C5=NC(C)(C)CO5)n4)n3)CC2)n1 7.780496 0.43103448275862066</t>
  </si>
  <si>
    <t>Cc1nc(CN(C)Cc2cccc(CN(C)C3CCC(N(C)Cc4nc(C)c(C)c(C)c4C)CC3)n2)c(C)c(C)c1C 7.78049 0.42</t>
  </si>
  <si>
    <t>COC(=O)C1CN(C)C(c2cccc(CN(Cc3ccccn3)Cc3cccc(-c4ccc5c(c4)OCCOCCOCCOCCOCCO5)n3)n2)C(c2ccccn2)C1c1ccccn1 7.780485 0.4125</t>
  </si>
  <si>
    <t>CNC1C(N(Cc2ccccn2)Cc2nc(C)c(C)cc2C)CCCC1N(Cc1cccc(C)n1)Cc1nc(C)c(C)cc1C 7.7804832 0.43103448275862066</t>
  </si>
  <si>
    <t>Cc1ccccc1N(Cc1ccccn1)C1CCCC(N(C)Cc2ncc(C)c(C)c2C)C1 7.7804623 0.42857142857142855</t>
  </si>
  <si>
    <t>CN(Cc1cc(-c2ccc3c(c2)OCCOCCOCCOCCOCCO3)ccn1)C1CCC(N(C)Cc2cc(-c3ccc4ncccc4c3)ccn2)CC1 7.780461 0.38028169014084506</t>
  </si>
  <si>
    <t>CC(C)N(C)C1CCCC(N(Cc2ccccn2)Cc2ncccc2-c2ccccc2N(C)C)C1 7.7804556 0.3898305084745763</t>
  </si>
  <si>
    <t>CN(C)Cc1cccnc1CF 7.7804556 0.4</t>
  </si>
  <si>
    <t>CCCN(Cc1ccccn1)C1CCC(N(C)c2cccc3cccnc23)CC1 7.780454 0.49056603773584906</t>
  </si>
  <si>
    <t>COC(=O)C1CN(C)C(c2ccccn2)C(C(C)(C)NCc2ccccn2)C1c1ccccn1 7.7804523 0.34285714285714286</t>
  </si>
  <si>
    <t>Cc1c(CN(C)c2cccnc2CN(C)Cc2ccccn2)nc(-c2cccc3c2OCCOCCOCCOCCOCCO3)c(C)c1C 7.780448 0.34782608695652173</t>
  </si>
  <si>
    <t>CNC1C(N(C)Cc2ncccc2C)C(N(Cc2ncccc2C)Cc2ncccc2C)CCC1N(Cc1ncccc1C)Cc1ncccc1C 7.7804418 0.3333333333333333</t>
  </si>
  <si>
    <t>CNC1C(NCc2cc(C)c(C)cn2)CCCC1N(Cc1nc(C)c(C)c(C)c1C)Cc1nc(C)c(C)c(C)c1C 7.780424 0.2923076923076923</t>
  </si>
  <si>
    <t>Cc1ccc(CN(C)C2CCC(N(Cc3ccccn3)Cc3cc(-c4ccc5c(c4)OCCOCCOCCOCCOCCO5)ccn3)C(N(C)c3ccc4ncccc4c3)C2)nc1 7.780423 0.3225806451612903</t>
  </si>
  <si>
    <t>CNCc1ncccc1N(C)C(C)C 7.78041 0.38095238095238093</t>
  </si>
  <si>
    <t>Cc1ccc(CN(Cc2ccccn2)Cc2cccc(N(C)Cc3cccc(-c4ccc5c(c4)OCCOCCOCCOCCOCCO5)n3)n2)nc1 7.7804084 0.43661971830985913</t>
  </si>
  <si>
    <t>Cc1cncc(CN(Cc2ccccn2)Cc2cc(CN(Cc3ccccn3)C3CCC(N(C)Cc4nc(C)c(C)cc4C)CC3)ccn2)c1 7.780401 0.32857142857142857</t>
  </si>
  <si>
    <t>CN(C)Cc1ncccc1CF 7.7804 0.4</t>
  </si>
  <si>
    <t>CN(Cc1ccccn1)c1cc2c(c(-c3cccc(CN(Cc4ccccn4)Cc4cccc(F)n4)n3)c1)OCCOCCOCCOCCOCCO2 7.780389 0.40625</t>
  </si>
  <si>
    <t>Cc1cc(C)c(CN(C)CCN(Cc2ccccn2)C(C)(C)C2=CCC=CN2)cn1 7.7803874 0.4090909090909091</t>
  </si>
  <si>
    <t>Cc1cc(C)nc(CN2CCCC2C2CCCN2Cc2ccnc3c(C)cccc23)c1 7.7803826 0.5</t>
  </si>
  <si>
    <t>CC(C)C(C)N(C)Cc1ccc2cc(N(C)Cc3ccc(-c4ccc5c(c4)OCCOCCOCCOCCOCCO5)cn3)ccc2n1 7.780381 0.4166666666666667</t>
  </si>
  <si>
    <t>CNC1C=C(N(C)C)C=CN1 7.7803717 0.18</t>
  </si>
  <si>
    <t>CNCCN(Cc1ccccn1)Cc1cc(C)c(C)c(C)n1 7.780371 0.4782608695652174</t>
  </si>
  <si>
    <t>CC(C)C(C)N(Cc1ccccn1)Cc1cccc(-c2cccc(N(C)Cc3cccc(-c4ccc5c(c4)OCCOCCOCCOCCOCCO5)n3)c2)n1 7.780366 0.4027777777777778</t>
  </si>
  <si>
    <t>CC1C=CC(C)C(C(C)(C)c2cc(CN(Cc3ccccn3)Cc3ccccn3)ccn2)C1N(C)Cc1ccccn1 7.7803626 0.4</t>
  </si>
  <si>
    <t>CC(C)C(C)N(Cc1ccccn1)Cc1cccc(N(C)C2C=CC=CN2)n1 7.780357 0.4406779661016949</t>
  </si>
  <si>
    <t>Cc1cccnc1CN(C)C1C=CC=CN1 7.7803555 0.38461538461538464</t>
  </si>
  <si>
    <t>CNCc1ncccc1CN(C)Cc1ccccn1 7.7803516 0.4888888888888889</t>
  </si>
  <si>
    <t>CNCC1=CCC=C(N(C)C(C)C)N1 7.78033 0.1836734693877551</t>
  </si>
  <si>
    <t>CN(Cc1ncccc1-c1cccc2c1OCCOCCOCCOCCOCCO2)C(C)(N)N(C)c1cccc2ncc(CF)cc12 7.780317 0.2077922077922078</t>
  </si>
  <si>
    <t>Cc1cccc(CN(C)C2CCCC(N(Cc3ccccn3)Cc3ccccn3)C2N(Cc2ccccn2)C2=CCC=CN2)n1 7.7803135 0.46774193548387094</t>
  </si>
  <si>
    <t>Cc1ccc(-c2ccc(CN(C)Cc3ccccn3)cc2)nc1-c1ccc2c(c1)OCCOCCOCCOCCOCCO2 7.7803106 0.38095238095238093</t>
  </si>
  <si>
    <t>CC1C=CC(C)C(C)(c2cccc(CN(C)Cc3cccc(C(C)(C)C)n3)n2)C1 7.780296 0.3148148148148148</t>
  </si>
  <si>
    <t>Cc1cccnc1CN(C)C1CC(N(C)Cc2ccccn2)CC(N(Cc2ccccn2)Cc2nc(C)c(C)c(C)c2C)C1 7.780292 0.39655172413793105</t>
  </si>
  <si>
    <t>COC(=O)C1CN(C)C(C(C)(C)NCc2ccccn2)C(c2ccccn2)C1c1ccccn1 7.780292 0.34285714285714286</t>
  </si>
  <si>
    <t>CN(CNCc1ccccn1)C1CCC(N(C)c2ccc3cccnc3c2)CC1 7.780287 0.36538461538461536</t>
  </si>
  <si>
    <t>CC(C)CN(Cc1ccccn1)Cc1ncccc1N 7.7802863 0.5</t>
  </si>
  <si>
    <t>CC1C=CCC(C)(c2ncccc2CN(Cc2ccccn2)Cc2ccc(C(C)(C)C)cn2)C1C 7.780283 0.3508771929824561</t>
  </si>
  <si>
    <t>Cc1cc(C)c(CN(C)C2CCCCC2N(Cc2nc(C)c(C)cc2C)Cc2nc(C)c(C)cc2C)nc1C 7.7802753 0.43478260869565216</t>
  </si>
  <si>
    <t>CCOC(=O)C(=O)C(C)C(C)NCc1cccc(CN(Cc2ccccn2)Cc2ccccn2)n1 7.7802715 0.4098360655737705</t>
  </si>
  <si>
    <t>CC(C)(c1ccccn1)c1ccc(CN(Cc2ccccn2)C2CCC(N(Cc3ccccn3)Cc3cccnc3F)CC2)cn1 7.780263 0.35</t>
  </si>
  <si>
    <t>CCCN(Cc1ccccn1)c1ccccc1-c1cccc(CN(Cc2cccnn2)C2CCCCC2)n1 7.780254 0.39344262295081966</t>
  </si>
  <si>
    <t>Cc1cnc(CN(C)CCN(Cc2ccccn2)C(C)(C)c2cc(C)cnc2C2CCC2(C)C)c(C)c1 7.7802505 0.3142857142857143</t>
  </si>
  <si>
    <t>Cc1ccc(C)c(CN(C)C2CCCCC2N(C)Cc2ccc3cccnc3c2)c1C 7.780246 0.42592592592592593</t>
  </si>
  <si>
    <t>Cc1ccnc(CN(CC2=CC=NCC2)Cc2nccc(C)c2C)c1 7.780232 0.3103448275862069</t>
  </si>
  <si>
    <t>CNCCN(Cc1ccccn1)Cc1nc(C)c(C)cc1C 7.7802296 0.4782608695652174</t>
  </si>
  <si>
    <t>Cc1cccnc1CN(Cc1ccccn1)Cc1ncccc1-c1cc2c(cc1N(Cc1ccccn1)C(C)C)OCCOCCOCCOCCOCCO2 7.7802124 0.3448275862068966</t>
  </si>
  <si>
    <t>CC1CC=C(N(C)Cc2ccc(C(C)(C)C)cn2)CC1C 7.7801933 0.3148148148148148</t>
  </si>
  <si>
    <t>CCNCc1cccc(CN(Cc2ccccn2)Cc2ccc(F)cn2)n1 7.780193 0.46511627906976744</t>
  </si>
  <si>
    <t>CC(C)N(C)c1cccnc1CN(C)C(C)(c1cccnc1)C(C)C 7.7801914 0.3269230769230769</t>
  </si>
  <si>
    <t>CC(C)CN(Cc1ccccn1)Cc1ncccc1C(C)(C)C 7.7801867 0.4782608695652174</t>
  </si>
  <si>
    <t>CCCN(C)Cc1cc(CN(C)Cc2cc(C)ccn2)ccn1 7.780179 0.4222222222222222</t>
  </si>
  <si>
    <t>Cc1cccc(CN(C)C2CCCC(N(C)Cc3ccccn3)C2N(Cc2nc(C)c(C)cc2C)Cc2nc(C)c(C)c(C)c2C)n1 7.780174 0.47540983606557374</t>
  </si>
  <si>
    <t>Cc1cc(CN(C)C2CCCC(N(C)Cc3cccc4cccnc34)C2)ccn1 7.780169 0.46153846153846156</t>
  </si>
  <si>
    <t>Cc1ccnc(CN(C)Cc2cc(CN(C)C(C)C)ccn2)c1 7.7801642 0.4222222222222222</t>
  </si>
  <si>
    <t>Cc1cccnc1CN(Cc1cccc(N(C)Cc2ccccn2)c1)C(C)(C)c1cccnc1-c1ccc2c(c1)OCCOCCOCCOCCOCCO2 7.78016 0.2857142857142857</t>
  </si>
  <si>
    <t>Cc1ccc(C)c(CN(C)C2=C(CN(C)C(C)C(C)N)NC=CC2)n1 7.780159 0.22033898305084745</t>
  </si>
  <si>
    <t>CCNCc1cccc(NCc2ccccn2)c1 7.780159 0.45</t>
  </si>
  <si>
    <t>Cc1cccc(CN(Cc2ccccn2)C2CC(N(C)Cc3ccccn3)CC(N(C)Cc3nc(C)c(C)c(C)c3C)C2)n1 7.780154 0.42105263157894735</t>
  </si>
  <si>
    <t>CNCN(Cc1ccc2ccccc2n1)C1CCC(N(C)Cc2nc(C)c(C)c(C)c2C)CC1 7.7801514 0.37037037037037035</t>
  </si>
  <si>
    <t>CC1=CC(N(C)Cc2ccccn2)C(C)C(C(C)(C)c2ncccc2CN(Cc2ccccn2)Cc2ccccn2)C1C 7.7801366 0.38461538461538464</t>
  </si>
  <si>
    <t>CNCc1ccc(CN(C)Cc2ccccn2)cn1 7.7801266 0.4782608695652174</t>
  </si>
  <si>
    <t>Cc1ccccc1-c1ncccc1CN(C)C1CCCCC1N(C)Cc1ccon1 7.780126 0.48148148148148145</t>
  </si>
  <si>
    <t>Cc1cccc(CN(Cc2ccccn2)C2=C(CN(C)C3CCC(N(C)Cc4cc(C)c(C)c(C)n4)CC3)NC=CC2)n1 7.780105 0.36231884057971014</t>
  </si>
  <si>
    <t>Cc1cc(CN(C)C2CCCCC2N(C)Cc2cccnc2-c2ccccc2)nc(C)c1C 7.7801046 0.48148148148148145</t>
  </si>
  <si>
    <t>CCNC1=C(C)C(c2cc(CN(Cc3ccccn3)Cc3cc(C)ccn3)ccn2)C(C)(C)C(C)(C)C1(C)C 7.7801037 0.3508771929824561</t>
  </si>
  <si>
    <t>Cc1cncc(CN(C)C2CCC(N(Cc3cc(C)c(C)c(C)n3)Cc3nc(C)c(C)c(C)c3C)CC2)c1C 7.7801 0.22727272727272727</t>
  </si>
  <si>
    <t>Cc1cccnc1CN(C)C1CCC(N(Cc2nc(C)c(C)c(C)c2C)Cc2nc(C)c(C)c(C)c2C)CC1 7.7800975 0.30357142857142855</t>
  </si>
  <si>
    <t>Cc1ccnc(CN(Cc2ncccc2C)C2CC(N(Cc3ccccn3)Cc3ncccc3C)CCC2N(C)Cc2ncccc2C)c1 7.7800975 0.4482758620689655</t>
  </si>
  <si>
    <t>CNC1CC(N(C)Cc2cc(C)ccn2)CCC1N(Cc1nc(C)c(C)c(C)c1C)Cc1nc(C)c(C)c(C)c1C 7.780095 0.2923076923076923</t>
  </si>
  <si>
    <t>CN(Cc1ccc2ncccc2c1)Cc1ncccc1-c1ccc2c(c1)OCCOCCOCCOCCOCCO2 7.780094 0.3108108108108108</t>
  </si>
  <si>
    <t>C=C1C=CNC(CN(C)CC2=CCC=CN2)=C1 7.7800884 0.4444444444444444</t>
  </si>
  <si>
    <t>Cc1cc(CN(C)C2CCCC(N(C)Cc3ccc4cccnc4c3)C2)ccn1 7.7800884 0.3157894736842105</t>
  </si>
  <si>
    <t>CC1C=CCC(C)(c2cc(CN(Cc3ccccn3)Cc3cccc(C(C)(C)C)n3)ccn2)C1C 7.7800875 0.3389830508474576</t>
  </si>
  <si>
    <t>Cc1cc(C)c(C)c(CN(C)CCNCc2ccccn2)n1 7.7800856 0.4666666666666667</t>
  </si>
  <si>
    <t>CC(C)(c1cccc(N(Cc2ccccn2)Cc2ccccn2)c1)c1cccc(-c2ccc3c(c2)OCCOCCOCCOCCOCCO3)n1 7.780084 0.3561643835616438</t>
  </si>
  <si>
    <t>CC(C)(C)c1cccnc1CN(CF)Cc1ncccc1C(C)(C)C 7.780081 0.3409090909090909</t>
  </si>
  <si>
    <t>CCN(C)CC1=C(N(C)Cc2ccccn2)CC=CN1 7.7800784 0.42592592592592593</t>
  </si>
  <si>
    <t>CCCN(Cc1ccccn1)C1CCC(N(C)c2ccc3cccnc3c2)CC1 7.780077 0.43636363636363634</t>
  </si>
  <si>
    <t>CCNCc1ncccc1CN(C)Cc1ncccc1C 7.7800727 0.375</t>
  </si>
  <si>
    <t>Cc1cc(C)c(CN(C)CCN)nc1C 7.7800636 0.3170731707317073</t>
  </si>
  <si>
    <t>CC(C)N(Cc1ccccn1)C1=CNC(CN(C)C2C=CC=CN2)=CC1 7.7800627 0.4126984126984127</t>
  </si>
  <si>
    <t>COC(=O)C1C(c2cccc(CN(Cc3ccccn3)Cc3cc(-c4ccc5c(c4)OCCOCCOCCOCCOCCO5)ccn3)n2)C(c2ccccn2)CN(C)C1c1ccccn1 7.7800603 0.32954545454545453</t>
  </si>
  <si>
    <t>CN(c1ccc2nc(CF)ccc2c1)C1CCC(N(C)C2C=CC=CN2)CC1 7.780051 0.3230769230769231</t>
  </si>
  <si>
    <t>Cc1ccc(CN(C2CCC(N(Cc3ccccn3)c3cccc4ncc(CF)cc34)CC2)C2CCC(N(Cc3ccccn3)C(C)(C)C)CC2)nc1 7.7800508 0.29333333333333333</t>
  </si>
  <si>
    <t>CC1=CC(C)C(C)(c2cccc(CN(Cc3ccccn3)Cc3ccccn3)n2)CC1 7.7800503 0.4444444444444444</t>
  </si>
  <si>
    <t>Cc1cccc(CN(C)C2CCCC(N(Cc3cc(C)c(C)c(C)n3)Cc3nc(C)c(C)c(C)c3C)C2N(C)Cc2ccccn2)n1 7.78004 0.453125</t>
  </si>
  <si>
    <t>CNCc1ncccc1-c1cccc(CN(C)C2CCCC(N(C)Cc3cccc(C)n3)C2)n1 7.7800374 0.45614035087719296</t>
  </si>
  <si>
    <t>Cc1cncc(CN(C)C2CCCC(N(Cc3nc(C)c(C)c(C)c3C)Cc3nc(C)c(C)c(C)c3C)C2)c1 7.780036 0.26229508196721313</t>
  </si>
  <si>
    <t>Cc1cncc(CN(Cc2ccccn2)C2CCCC(N(Cc3ccccn3)c3ccccc3F)C2)c1C 7.7800336 0.3492063492063492</t>
  </si>
  <si>
    <t>Cc1cccc(CN(C)C2C(N(C)Cc3ccccn3)CCCC2N(Cc2cc(C)c(C)c(C)n2)Cc2nc(C)c(C)c(C)c2C)n1 7.780033 0.453125</t>
  </si>
  <si>
    <t>Cc1ccc(CN(C)C2CCC(N(Cc3cccc(C)n3)Cc3cccc(CN(Cc4ccccn4)Cc4ccc(C)c(C)n4)n3)CC2)nc1 7.7800307 0.3968253968253968</t>
  </si>
  <si>
    <t>CCN(Cc1cccc(CN(Cc2cc(C)c([SiH3])cn2)C2CCCCC2N(C)Cc2nc(C)c(C)c(C)c2C)n1)Cc1nc(C)c(C)c(C)c1C 7.780005 0.3939393939393939</t>
  </si>
  <si>
    <t>CC(C)N(C)C1=C(CN(C)C)NC=CC1 7.7799935 0.21739130434782608</t>
  </si>
  <si>
    <t>Cc1ccc(C)nc1 7.7799926 0.41379310344827586</t>
  </si>
  <si>
    <t>Cc1cccc(C)c1N(C)CCN(C)CC(C)(C)C 7.779982 0.325</t>
  </si>
  <si>
    <t>COC(=O)C1CN(C)C(c2cccc(CN(Cc3ccccn3)Cc3cc(-c4ccc5c(c4)OCCOCCOCCOCCOCCO5)ccn3)n2)C(c2ccccn2)C1c1ccccn1 7.7799783 0.3411764705882353</t>
  </si>
  <si>
    <t>CC(C)NCc1ccc(CN(C)Cc2ccccn2)cn1 7.7799673 0.4489795918367347</t>
  </si>
  <si>
    <t>CC(C)NCc1ncccc1CN(C)Cc1ccccn1 7.779965 0.4583333333333333</t>
  </si>
  <si>
    <t>CNCc1ccc(C)c(CN(Cc2nc(C)c(C)c(C)c2C)C2CCC(N(C)Cc3nc(C)c(C)c(C)c3C)CC2)n1 7.779965 0.25806451612903225</t>
  </si>
  <si>
    <t>CNc1cc(F)c(Cl)cc1N(Cc1cc(C)ccn1)C1CCCCC1 7.7799644 0.29508196721311475</t>
  </si>
  <si>
    <t>CCNC(C)N(Cc1ccccn1)C1CCC(N(C)c2cccc3ncccc23)CC1 7.77996 0.36065573770491804</t>
  </si>
  <si>
    <t>Cc1cnc(CN(Cc2nc(C)c(C)c(C)c2C)C2CCCCC2N(C)Cc2nc(C)c(C)c(C)c2C)cc1C 7.7799573 0.4528301886792453</t>
  </si>
  <si>
    <t>CNC1CC(N(Cc2ncccc2C)Cc2ncccc2C)CC(N(Cc2ncccc2C)Cc2ncccc2C)C1N(Cc1ncccc1C)C(C)C 7.779957 0.25</t>
  </si>
  <si>
    <t>Cc1ccc(CN(C)C2CCC(N(Cc3ccccn3)Cc3ncccc3C)CC2N(Cc2cccc(C)n2)Cc2ncccc2C)nc1 7.779941 0.4375</t>
  </si>
  <si>
    <t>Cc1nc(CN(Cc2nc(C)c(C)c(C)c2C)C2CCCCC2N(Cc2ccccn2)Cc2ccc(F)cn2)c(C)c(C)c1C 7.7799397 0.45454545454545453</t>
  </si>
  <si>
    <t>Cc1cccnc1CN1CCN(C)CCN(Cc2ccc(-c3cccc(NCc4ccccn4)c3)nc2)CC1 7.779932 0.41935483870967744</t>
  </si>
  <si>
    <t>Cc1cccc(N(C)Cc2ccccn2)c1-c1cccc(CN(Cc2ccccn2)C2CCCC(N(C)Cc3ccc(-c4ccc5c(c4)OCCOCCOCCOCCOCCO5)cn3)C2)n1 7.779925 0.3793103448275862</t>
  </si>
  <si>
    <t>Cc1cc(CN(Cc2nc(C)c(C)c(C)c2C)C2CCCCC2N(Cc2ccc(F)nc2)Cc2ccccn2)nc(C)c1C 7.7799163 0.38461538461538464</t>
  </si>
  <si>
    <t>Cc1cccnc1CN(CN1CCN(C)CCN(Cc2ccc(-c3cccc(N=Cc4ccccn4)c3)cn2)CC1)C(C)C 7.779916 0.3611111111111111</t>
  </si>
  <si>
    <t>CN(Cc1ncccc1-c1ccc2c(c1)OCCOCCOCCOCCOCCO2)C1CCC(N(C)Cc2ncccc2-c2ccc3ncccc3c2)CC1 7.7799153 0.3424657534246575</t>
  </si>
  <si>
    <t>CC1C=CC(C)C(C)(c2ccc(CN(Cc3ccccn3)Cc3ccccn3)cn2)C1 7.7799134 0.425531914893617</t>
  </si>
  <si>
    <t>Cc1cccnc1CN(CCF)C1CCCCC1N(C)c1ccc2nc(CF)ccc2c1 7.7799067 0.4307692307692308</t>
  </si>
  <si>
    <t>CN(CC1=CCC=CN1)C1CCCCC1N(C)c1ccc2nc(CF)ccc2c1 7.779903 0.42857142857142855</t>
  </si>
  <si>
    <t>CC1=CC(C)C(C)(c2ncccc2CN(Cc2ccccn2)Cc2ccccn2)C(C)(C)C1 7.7798853 0.43478260869565216</t>
  </si>
  <si>
    <t>COC(=O)C1C(c2ccccn2)CC(C(C)(C)NCc2ccccn2)N(C)C1c1ccccn1 7.7798834 0.35714285714285715</t>
  </si>
  <si>
    <t>CCC1=CCC(C)(C)C2(C(C)=CCC(c3cccc(CN(Cc4ccccn4)Cc4ccccn4)n3)C2C)C12C(C)C=CCC2C 7.77988 0.3076923076923077</t>
  </si>
  <si>
    <t>CCNCCN(C)Cc1nc(C)c(C)c(C)c1C 7.779875 0.2727272727272727</t>
  </si>
  <si>
    <t>CC1(C)COC(c2cccc(CN(Cc3cc(-c4ccc5c(c4)OCCOCCOCCOCCOCCO5)ccn3)Cc3cc(C(C)(C)C)ccn3)n2)=N1 7.7798724 0.38461538461538464</t>
  </si>
  <si>
    <t>CC1CC(CN(Cc2ccccn2)Cc2cccc(C(C)(C)c3ccccn3)n2)C1 7.7798715 0.4230769230769231</t>
  </si>
  <si>
    <t>CN(Cc1ccc2ncccc2c1)C1CCC(N(Cc2ccccn2)Cc2ccccn2)CC1 7.7798705 0.4423076923076923</t>
  </si>
  <si>
    <t>CNCc1cccc(N(C)C(C)C)n1 7.779866 0.34146341463414637</t>
  </si>
  <si>
    <t>CNC1C(N(C)Cc2ccc(Cl)cn2)CCCC1N(Cc1nc(C)c(C)c(C)c1C)Cc1nc(C)c(C)c(C)c1C 7.7798586 0.423728813559322</t>
  </si>
  <si>
    <t>Cc1ccc(-c2ncccc2CN(Cc2ccccn2)C2CCCCC2)cc1N 7.779857 0.39655172413793105</t>
  </si>
  <si>
    <t>CC1C=CC(C)C(C)(c2ncccc2CN(Cc2ccccn2)Cc2ccccn2)C1 7.7798514 0.4444444444444444</t>
  </si>
  <si>
    <t>Cc1cccnc1CN(Cc1cncc(N(C)Cc2cccc(-c3cccc4c3OCCOCCOCCOCCOCCO4)n2)c1)Cc1ccccn1 7.7798514 0.34210526315789475</t>
  </si>
  <si>
    <t>CN(CF)C1=C(CN(C)C2CCCCC2N(C)c2ccc3cccnc3c2)NC=CC1 7.779829 0.3582089552238806</t>
  </si>
  <si>
    <t>Cc1cccnc1CN(C)C1CCC(N(C)Cc2ncccc2-c2ccccn2)CC1 7.779806 0.37254901960784315</t>
  </si>
  <si>
    <t>Cc1cccnc1CN(C)CN(Cc1ncccc1C)C(C)C 7.7798014 0.42857142857142855</t>
  </si>
  <si>
    <t>CC(C)N(C)CC1=CCC(N(C)Cc2cccnn2)=CN1 7.7797956 0.40816326530612246</t>
  </si>
  <si>
    <t>CCNCc1cccc(CN(Cc2ccccn2)Cc2cccc(F)n2)n1 7.7797914 0.5</t>
  </si>
  <si>
    <t>Cc1cc(N(C)C(C)C)cc(-c2ncccc2CN2CCN(C)CCN(C)CC2)c1C 7.7797894 0.375</t>
  </si>
  <si>
    <t>CN(Cc1ccccn1)C1=CNC(CN(C)C(C)(C)C)=CC1 7.7797894 0.41818181818181815</t>
  </si>
  <si>
    <t>CC(C)C(C)(c1cccnc1)N(Cc1ccccn1)Cc1ccccn1 7.779784 0.4772727272727273</t>
  </si>
  <si>
    <t>Cc1cccc(CN(C)C2CCC(N(Cc3ccccn3)Cc3ncccc3C)C(N(Cc3ncccc3C)Cc3ncccc3C)C2)n1 7.7797823 0.4482758620689655</t>
  </si>
  <si>
    <t>CC1=CC(C)C(N(C)Cc2cccc(C(C)(C)c3ccccn3)n2)C(C)C1 7.7797766 0.3684210526315789</t>
  </si>
  <si>
    <t>CN(c1cccc2cc(CF)cnc12)C1CCCCC1N(CF)Cc1ccccn1 7.7797637 0.5</t>
  </si>
  <si>
    <t>CC(C)C(C)N(Cc1ccccn1)Cc1ncccc1N(C)C1C=CC=CN1 7.779763 0.4406779661016949</t>
  </si>
  <si>
    <t>Cc1ccnc(CN(C)CC2=CNC(N(C)CCN)=CC2)c1C 7.779741 0.22033898305084745</t>
  </si>
  <si>
    <t>CC(C)N(C)CC1=CNC=C(N(C)Cc2ccccn2)C1 7.779739 0.4375</t>
  </si>
  <si>
    <t>CC(C)N(C)Cc1cncc(-c2cccc(N(C)Cc3ccc(-c4cccc5c4OCCOCCOCCOCCOCCO5)cn3)c2)c1 7.7797256 0.30120481927710846</t>
  </si>
  <si>
    <t>Cc1cc(C)c(CN(C)Cc2ccc(N(C)Cc3cccc(-c4ccc5c(c4)OCCOCCOCCOCCOCCO5)n3)cn2)cn1 7.7797246 0.34177215189873417</t>
  </si>
  <si>
    <t>Cc1nc(CN(C)C2CCCC(N(Cc3ccccn3)Cc3cccnc3C(C)(c3cccnc3)C(C)N)C2)c(C)c(C)c1C 7.779721 0.3076923076923077</t>
  </si>
  <si>
    <t>Cc1cccc(N)c1C 7.7797103 0.2727272727272727</t>
  </si>
  <si>
    <t>CNC1CC(N(Cc2nc(C)c(C)c(C)c2C)Cc2nc(C)c(C)c(C)c2C)CCC1N(C)Cc1cc(C)ccn1 7.7797074 0.3125</t>
  </si>
  <si>
    <t>CC(N)C1=C(N(C)CCN(C)Cc2ccccn2)NC=CC1 7.779707 0.40384615384615385</t>
  </si>
  <si>
    <t>Cc1ccc(CN(Cc2ccc(C)c(C)n2)C2CC(N(C)Cc3ccccn3)CC(N(C)Cc3ncc(C)cc3C)C2)nc1 7.7797036 0.38095238095238093</t>
  </si>
  <si>
    <t>CCNCc1cccc(N(C)C)c1 7.779703 0.20930232558139536</t>
  </si>
  <si>
    <t>C=CCN(C)Cc1cccc(-c2ccc(N(C)C3CCC(N(C)Cc4ccccn4)CC3)cc2)n1 7.779699 0.46551724137931033</t>
  </si>
  <si>
    <t>CNC1C(N(Cc2cc(C)ccn2)Cc2cc(C)c(C)c(C)n2)CCCC1N(Cc1cc(C)ccn1)Cc1cc(C)c(C)c(C)n1 7.7796874 0.3103448275862069</t>
  </si>
  <si>
    <t>CN(Cc1cc(-c2ccc3c(c2)OCCOCCOCCOCCOCCO3)ccn1)c1ccccc1C1=NC(C)(C)CO1 7.7796874 0.32894736842105265</t>
  </si>
  <si>
    <t>Cc1cccnc1CN(Cc1ccccn1)Cc1cccnc1CNCF 7.7796845 0.45454545454545453</t>
  </si>
  <si>
    <t>COC(=O)C1C(c2ccccn2)C(CN(C)Cc2ccccn2)CN(C)C1c1ccccn1 7.7796845 0.38235294117647056</t>
  </si>
  <si>
    <t>Cc1cccnc1CN(C)C1CCC(N(C)Cc2ccc3cccnc3c2)CC1 7.779673 0.30357142857142855</t>
  </si>
  <si>
    <t>CNCN(Cc1cc(C)ccn1)Cc1ncccc1N 7.7796664 0.32608695652173914</t>
  </si>
  <si>
    <t>COC(=O)C1CN(C)C(CN(C)Cc2ccccn2)C(c2ccccn2)C1c1ccccn1 7.779664 0.3939393939393939</t>
  </si>
  <si>
    <t>CCNCC1=C(N(C)Cc2cccnn2)CC=CN1 7.779663 0.40816326530612246</t>
  </si>
  <si>
    <t>CN(C)Cc1ccc2cc(N(C)C3CCCCC3N(Cc3cccc(-c4ccc5c(c4)OCCOCCOCCOCCOCCO5)n3)c3ccccc3F)ccc2n1 7.7796617 0.3170731707317073</t>
  </si>
  <si>
    <t>CN(C1=CCC=CN1)C1=C(CN(C)C2C=CC=CN2)CC=CN1 7.7796564 0.23076923076923078</t>
  </si>
  <si>
    <t>CC(C)N=Cc1ccccn1 7.7796445 0.47368421052631576</t>
  </si>
  <si>
    <t>CN(CC1=CCC(N(C)Cc2ccccn2)=CN1)CC(C)(C)C 7.7796373 0.46</t>
  </si>
  <si>
    <t>CN(CC1=CC(N(C)Cc2ccccn2)C=CN1)CC(C)(C)c1ccccn1 7.779637 0.39285714285714285</t>
  </si>
  <si>
    <t>CC(C)C(C)N(CC1=C(N(C)Cc2ccccn2)CC=CN1)Cc1ccccn1 7.7796206 0.44</t>
  </si>
  <si>
    <t>CCC(C)N(C)CC1=CC(N(C)Cc2nc(C)c(C)c(C)c2C)C=CN1 7.7796164 0.2903225806451613</t>
  </si>
  <si>
    <t>Cc1ccc(CN(C)Cc2cccc(CN(Cc3cccc(C)n3)C3CCC(N(C)Cc4nc(C)c(C)c(C)c4C)CC3)n2)nc1 7.7796154 0.3870967741935484</t>
  </si>
  <si>
    <t>CNCCN(Cc1cc(C)ccn1)C(C)(N)c1ccon1 7.779613 0.2962962962962963</t>
  </si>
  <si>
    <t>CN(CCN(C)c1ccc2cccnc2c1)Cc1ccc(-c2cccc3c2OCCOCCOCCOCCOCCO3)cn1 7.7796116 0.3</t>
  </si>
  <si>
    <t>CNC1CCC(N(C)Cc2ncccc2C)C(N(Cc2nc(C)c(C)c(C)c2C)Cc2nc(C)c(C)c(C)c2C)C1 7.779593 0.3225806451612903</t>
  </si>
  <si>
    <t>Cc1ccc(CN(C)C2CCC(N(C)Cc3ccccn3)C(N(Cc3nc(C)c(C)cc3C)Cc3nc(C)c(C)cc3C)C2)nc1 7.7795897 0.4666666666666667</t>
  </si>
  <si>
    <t>Cc1ccc(CN(C)C2CCC(N(C)Cc3ccccn3)CC2N(Cc2nc(C)c(C)cc2C)Cc2nc(C)c(C)cc2C)nc1 7.7795897 0.4666666666666667</t>
  </si>
  <si>
    <t>CCCN(C)CC1=CC(N(C)Cc2cc(C)c(C)c(C)n2)C=CN1 7.7795863 0.3114754098360656</t>
  </si>
  <si>
    <t>Cc1ccc(CN(Cc2ccccn2)C2CCC(N(C)Cc3ccc(-c4ccccc4)cn3)CC2)nc1 7.7795753 0.4716981132075472</t>
  </si>
  <si>
    <t>CCCN(C)C12N=CC=CC1CCC2N(C)Cc1ccc2cccnc2c1 7.779574 0.25</t>
  </si>
  <si>
    <t>CC1=CNC=CC1CN(Cc1ccccn1)Cc1ccccn1 7.779574 0.4897959183673469</t>
  </si>
  <si>
    <t>CN(Cc1ccccn1)CC1C=CNC(N(C)C)=C1 7.779569 0.42857142857142855</t>
  </si>
  <si>
    <t>CCCN(Cc1ccccn1)C1CCC(N(C)c2ccc3nc(CF)ccc3c2)CC1 7.779567 0.3898305084745763</t>
  </si>
  <si>
    <t>Cc1ccc(C)c(CN(C)CCN(C)Cc2ccncc2C)n1 7.779554 0.38636363636363635</t>
  </si>
  <si>
    <t>CC1=CC(C)C(C)(c2ncccc2CN(Cc2ccccn2)Cc2ccccn2)CC1 7.779539 0.43478260869565216</t>
  </si>
  <si>
    <t>CN1CCN(Cc2ccccc2)CCN(Cc2ccc(-c3cccc(N=Cc4ccccn4)c3)cn2)CC1 7.7795377 0.4482758620689655</t>
  </si>
  <si>
    <t>CNC1CC(N(Cc2ccccn2)Cc2nc(C)c(C)c(C)c2C)CCC1N(Cc1ccccn1)Cc1nc(C)c(C)c(C)c1C 7.7795362 0.3728813559322034</t>
  </si>
  <si>
    <t>CC1C=CC(C)(C)C(C)(c2cccc(CN(Cc3ccccn3)C3CCCCC3N(C)c3ccc4nc(CF)ccc4c3)n2)C1C 7.7795324 0.3670886075949367</t>
  </si>
  <si>
    <t>CN(Cc1cccc(-c2ccc3c(c2)OCCOCCOCCOCCOCCO3)n1)c1cccc2ccc(CN(Cc3ccc(F)cn3)Cc3cccc(-c4ccc5c(c4)OCCOCCOCCOCCOCCO5)n3)nc12 7.7795305 0.35526315789473684</t>
  </si>
  <si>
    <t>CNC1C(N(Cc2cc(C)c(C)cn2)Cc2ncccc2C)CCCC1N(Cc1cc(C)c(C)c(C)n1)Cc1nccc(C)c1C 7.7795243 0.29411764705882354</t>
  </si>
  <si>
    <t>Cc1c(N)nc(CN(Cc2ccccn2)CN(C)C(C)C)c(C)c1C 7.7795196 0.4489795918367347</t>
  </si>
  <si>
    <t>Cc1cccc(CN(C)C2=CCC=C(CN(C)C(C)C(C)N)N2)n1 7.7795134 0.38461538461538464</t>
  </si>
  <si>
    <t>CN(Cc1cc(-c2ccc3c(c2)OCCOCCOCCOCCOCCO3)ccn1)CN(Cc1ccc(N(C)c2ccc3ncccc3c2)cn1)Cc1cc(-c2ccc3c(c2)OCCOCCOCCOCCOCCO3)ccn1 7.7795053 0.35</t>
  </si>
  <si>
    <t>Cc1cc(C)c(CN(C)C2CCCCC2N(C)Cc2cc(-c3ccccc3)ccn2)nc1C 7.7795005 0.5</t>
  </si>
  <si>
    <t>Cc1cnc(CN(C)Cc2ccc(N(C)Cc3cccc(-c4ccc5c(c4)OCCOCCOCCOCCOCCO5)n3)cn2)c(C)c1 7.7794933 0.34177215189873417</t>
  </si>
  <si>
    <t>CNCc1cc(CN(Cc2ccccn2)C2CCC(N(C)Cc3ccc4ncccc4c3)CC2)ccn1 7.779489 0.3709677419354839</t>
  </si>
  <si>
    <t>CC(N(C)C(c1ccccn1)N1CCN(C)CCN(C)CC1)N(C)C(c1ccccn1)N(C)c1cccc2cccnc12 7.779489 0.3620689655172414</t>
  </si>
  <si>
    <t>Cc1cccc(CN(Cc2ccccn2)C2CCCC(N(C)Cc3cccc(C4=CCC=CN4)n3)C2)n1 7.7794814 0.4</t>
  </si>
  <si>
    <t>Cc1c(N)cccc1-c1cccc(CN(C)C2CCC(N(C)Cc3ccccn3)CC2)n1 7.779477 0.4807692307692308</t>
  </si>
  <si>
    <t>CC1C=CCc2ncccc21 7.7794766 0.2553191489361702</t>
  </si>
  <si>
    <t>C1=CC(NCc2ccccn2)NC(CNCc2ccccn2)=C1 7.779469 0.4634146341463415</t>
  </si>
  <si>
    <t>Cc1cccnc1CN(C)C1CCC(N(C)Cc2ccc3ncccc3c2)CC1 7.7794585 0.30357142857142855</t>
  </si>
  <si>
    <t>CCCNCC1=C(N(C)Cc2cc(C)ccn2)CC=CN1 7.7794557 0.3050847457627119</t>
  </si>
  <si>
    <t>CC(C)N(C)Cc1cc(N(C)C2C=CC=CN2)ccn1 7.7794538 0.3508771929824561</t>
  </si>
  <si>
    <t>CC1=CC(C)C(C)(c2ccc(CN(Cc3ccccn3)Cc3ccccn3)cn2)CC1 7.7794447 0.4166666666666667</t>
  </si>
  <si>
    <t>CC1C=CC2(C=CC(c3cc(CN(Cc4ccccn4)Cc4ccccn4)ccn3)C(c3cc(CN(Cc4ccccn4)C(C)C)ccn3)C2(C)C)CC1C 7.779444 0.36363636363636365</t>
  </si>
  <si>
    <t>Cc1cnc(CN(C)C2CCC(N(Cc3cc(C)c(C)cn3)Cc3cc(C)c(C)c(C)n3)C(N(C)Cc3ccccn3)C2)c(C)c1 7.7794414 0.38235294117647056</t>
  </si>
  <si>
    <t>Cc1cc2c(cc1-c1ccc(C(C)C)c(CN(Cc3ccccn3)C3CCCCC3N(C)c3ccc4nccc(CN(C)C)c4c3)n1)OCCOCCOCCOCCOCCO2 7.7794394 0.2988505747126437</t>
  </si>
  <si>
    <t>Cc1ccc(-c2cccc(CN(C)C3CCCC(N(C)Cc4ccccn4)C3)n2)cc1N 7.7794323 0.44642857142857145</t>
  </si>
  <si>
    <t>Cc1ccc(CN(CC2=C(N(C)Cc3cc(C)c(C)c(C)n3)CC=CN2)C2CCCCC2N(C)Cc2cc(C)c(C)c(C)n2)nc1 7.779432 0.49206349206349204</t>
  </si>
  <si>
    <t>CC(C)N(C)Cc1cccc(-c2cccc(N(C)Cc3cccc(-c4ccc5c(c4)OCCOCCOCCOCCOCCO5)n3)c2)n1 7.7794304 0.3150684931506849</t>
  </si>
  <si>
    <t>Cc1cncc(CN(C)C2=CNC(CN(C)C(C)C(C)C)=CC2)c1C 7.7794147 0.17391304347826086</t>
  </si>
  <si>
    <t>COC(=O)c1cc(CN2CCN(C)CCN(Cc3nc(C(C)(C)c4ccccn4)c(C)c(C)c3C)CC2)ccn1 7.7794113 0.36</t>
  </si>
  <si>
    <t>Cc1cncc(CN2CCN(C)CCN(CN(C)c3cccc4ncccc34)CC2)c1C 7.779407 0.35</t>
  </si>
  <si>
    <t>CN(Cc1cc(-c2ccc3c(c2)OCCOCCOCCOCCOCCO3)ccn1)Cc1cc(C(C)(c2ccccn2)c2ccccn2)ccn1 7.779397 0.3472222222222222</t>
  </si>
  <si>
    <t>Cc1cc(C)c(CN(C)CC2=CC(N(C)C(C)C)C=CN2)nc1C 7.779396 0.3220338983050847</t>
  </si>
  <si>
    <t>CCCNCc1cc(C(C)(C)c2ccccn2)ccn1 7.7793946 0.4523809523809524</t>
  </si>
  <si>
    <t>CN(c1ccc2ccc(CF)nc2c1)C1CCC(N(C)C2C=CC=CN2)CC1 7.7793665 0.328125</t>
  </si>
  <si>
    <t>Cc1nc(CN(C)CCN(C)CCF)c(C)c(C)c1C 7.779361 0.35</t>
  </si>
  <si>
    <t>CN(CCN(C)c1ccc2ncccc2c1)Cc1ncccc1-c1cccc2c1OCCOCCOCCOCCOCCO2 7.7793503 0.328125</t>
  </si>
  <si>
    <t>Cc1ccc(CN(C)C2CCC(N(Cc3ccccn3)Cc3ncccc3C)C(N(Cc3ccccn3)Cc3ncc(C)c(C)c3C)C2)nc1 7.7793374 0.40625</t>
  </si>
  <si>
    <t>CC(C)C(C)N(Cc1ccccn1)Cc1cccc(C(C)(C)c2ccccn2)n1 7.7793336 0.4888888888888889</t>
  </si>
  <si>
    <t>CN(Cc1cccc(-c2ccc3c(c2)OCCOCCOCCOCCOCCO3)n1)Cc1ccc2cccnc2n1 7.77933 0.41379310344827586</t>
  </si>
  <si>
    <t>CCNCc1ccccc1NCc1ccccn1 7.7793207 0.4864864864864865</t>
  </si>
  <si>
    <t>C=CCN(C)Cc1cccc(-c2cccc(N(C)C3CCC(N(C)Cc4ccccn4)CC3)c2)n1 7.7793183 0.45</t>
  </si>
  <si>
    <t>FCNCc1cc(C(NCc2ccccn2)c2ccccc2)ccn1 7.779317 0.4418604651162791</t>
  </si>
  <si>
    <t>Cc1cnc(CN(C)C2CC(N(C)Cc3ccccn3)CC(N(Cc3ccccn3)Cc3cc(C)c(C)c(C)n3)C2)c(C)c1 7.7793145 0.3770491803278688</t>
  </si>
  <si>
    <t>Cc1nc(CN(C)C2CCCCC2N(Cc2ccon2)Cc2nc(C)c(C)c(C)c2C)c(C)c(C)c1C 7.7793136 0.4</t>
  </si>
  <si>
    <t>CN1CCN(C)CCN(CC2=CCC(N(C)c3ccc4cc(CF)cnc4c3)=CN2)CC1 7.7793055 0.3333333333333333</t>
  </si>
  <si>
    <t>CC1CC(c2ccc(CN(C)Cc3ccccn3)cn2)C=C(NCc2ccccn2)C1C 7.7793045 0.3770491803278688</t>
  </si>
  <si>
    <t>Cc1ccnc(CN(c2ccccc2F)C2CCCCC2N(C)Cc2nc(C)c(C)c(C)c2C)c1C 7.779299 0.3770491803278688</t>
  </si>
  <si>
    <t>CC1=C(C)C(c2ccncc2CN(C)Cc2cccc(C)n2)C(C)(C)C(C)(C)C1 7.779291 0.4074074074074074</t>
  </si>
  <si>
    <t>Cc1ccc(CN(C)Cc2cccc(N(C)C3CCC(N(C)Cc4nc(C)c(C)c(C)c4C)CC3)n2)nc1 7.77929 0.4</t>
  </si>
  <si>
    <t>CN(Cc1ccccn1)C1=CNC=CC1C(C)(C)C 7.7792845 0.4375</t>
  </si>
  <si>
    <t>Cc1cnc(CN(CCN(C(C)C)C(C)C)Cc2ncccc2C)cc1C 7.7792745 0.38</t>
  </si>
  <si>
    <t>Cc1cccnc1CN(C)C1CCCC(N(Cc2nc(C)c(C)c(C)c2C)Cc2nc(C)c(C)c(C)c2C)C1 7.7792697 0.3103448275862069</t>
  </si>
  <si>
    <t>Cc1ccc(CN(C)C2CC(N(C)Cc3cc(C)ccn3)CC(N(Cc3cc(C)ccn3)Cc3ncc(C)c(C)c3C)C2)nc1 7.7792664 0.42105263157894735</t>
  </si>
  <si>
    <t>CNCc1cc(C)c(C)cn1 7.779259 0.2972972972972973</t>
  </si>
  <si>
    <t>CC(C)N(C)CC1=CCC(N(C)Cc2ccccn2)=CN1 7.779255 0.42857142857142855</t>
  </si>
  <si>
    <t>Cc1cccc(CN(C)C2CCC(N(C)Cc3ccc4ncccc4c3)CC2)n1 7.7792525 0.49019607843137253</t>
  </si>
  <si>
    <t>CN1CCN(C)CCN(Cc2cncc(-c3ccc(Cl)c(Cl)c3N)c2)CC1 7.7792416 0.35185185185185186</t>
  </si>
  <si>
    <t>COC(=O)C1CC(c2ccccn2)C(c2cccc(CN(Cc3ccccn3)Cc3cccc(-c4ccc5c(c4)OCCOCCOCCOCCOCCO5)n3)n2)N(C)C1c1ccccn1 7.77924 0.4024390243902439</t>
  </si>
  <si>
    <t>CCCN(Cc1ccccn1)C1CCC(N(C)c2ccc3cc(CF)cnc3c2)CC1 7.779233 0.3492063492063492</t>
  </si>
  <si>
    <t>C=CCN(Cc1ccccn1)c1cccnc1CN(Cc1cccc(F)n1)C1CCCCC1N(C)Cc1nc(C)c(C)c(C)c1C 7.7792296 0.4084507042253521</t>
  </si>
  <si>
    <t>COC(=O)c1cc(CN2CCN(C)CCN(Cc3nc(C(C)(N)c4ccccn4)c(C)c(C)c3C)CC2)ccn1 7.7792234 0.35064935064935066</t>
  </si>
  <si>
    <t>Cc1ccc(CN(C)Cc2cccc(N(C)C3CCC(N(Cc4ccccn4)Cc4ncccc4C)CC3)n2)nc1 7.7792225 0.3968253968253968</t>
  </si>
  <si>
    <t>Cc1ccc(N)c(C)c1 7.7792215 0.2727272727272727</t>
  </si>
  <si>
    <t>Cc1cc(CN(C)CCNCc2ccccn2)nc(C)c1C 7.7791867 0.4772727272727273</t>
  </si>
  <si>
    <t>COC(=O)C1CC(c2ccccn2)C(CN(C)Cc2ccccn2)N(C)C1c1ccccn1 7.7791867 0.38235294117647056</t>
  </si>
  <si>
    <t>CCCN(Cc1ccccn1)C1CCCCC1N(C)c1cccc2c(CF)ccnc12 7.7791843 0.4426229508196721</t>
  </si>
  <si>
    <t>CNC1CCCC(N(Cc2cc(C)c(C)c(C)n2)Cc2cc(C)c(C)c(C)n2)C1N(C)Cc1cc(C)c(C)c(C)n1 7.7791824 0.3392857142857143</t>
  </si>
  <si>
    <t>CC(C)N(C)C1=CCC=C(CN(C(C)C)C(C)N)N1 7.779172 0.19607843137254902</t>
  </si>
  <si>
    <t>CN(Cc1cccc(-c2ccccc2)n1)C1CCC(N(Cc2ccccn2)Cc2cccc(C(C)(C)C)n2)CC1 7.7791653 0.43859649122807015</t>
  </si>
  <si>
    <t>CCN(CC1=CC(N(C)Cc2ncccc2C)C=CN1)Cc1ccccn1 7.779163 0.4098360655737705</t>
  </si>
  <si>
    <t>COC(=O)C1C(c2ccccn2)C(c2cc(CN(Cc3cc(-c4ccc5c(c4)OCCOCCOCCOCCOCCO5)ccn3)Cc3ncccc3C)ccn2)C(C(C)(C)NCc2ccccn2)N(C)C1c1ccccn1 7.7791615 0.24545454545454545</t>
  </si>
  <si>
    <t>Cc1cccc(CN(Cc2nc(C)c(C)c(C)c2C)C2CCCC(N(C)Cc3nc(C)c(C)c(C)c3C)C2)n1 7.7791605 0.4807692307692308</t>
  </si>
  <si>
    <t>Cc1cncc(N(C)C2CCCC(N(Cc3ccccn3)Cc3ncc(C)c(C)c3C)C2)c1 7.7791495 0.3709677419354839</t>
  </si>
  <si>
    <t>CC1=C(C)C(C)C(C(C)(C)c2ncccc2CN(Cc2ccccn2)Cc2ccccn2)C(N(C)Cc2ccccn2)C1C 7.779146 0.40816326530612246</t>
  </si>
  <si>
    <t>Cc1cnc(CN(Cc2ccccn2)C2CC(N(C)Cc3ccccn3)CC(N(C)Cc3nc(C)c(C)cc3C)C2)c(C)c1 7.7791452 0.38333333333333336</t>
  </si>
  <si>
    <t>Cc1cnc(CN(C)C2C(N(C)Cc3ccccn3)CCCC2N(Cc2nc(C)c(C)cc2C)Cc2nc(C)c(C)cc2C)c(C)c1 7.7791386 0.4745762711864407</t>
  </si>
  <si>
    <t>Cc1ccc(CN(C)Cc2cccc(CN(Cc3cccc(C)n3)C3CCCC(N(C)Cc4nc(C)c(C)c(C)c4C)C3)n2)nc1 7.779117 0.390625</t>
  </si>
  <si>
    <t>FCNCc1ncccc1C(NCc1ccccn1)c1ccccc1 7.779116 0.4</t>
  </si>
  <si>
    <t>CC(C)(C)N1CC=NCC2=CC=CC(c3cccc(n3)C1)N2C(C)(C)C 7.779114 0.40816326530612246</t>
  </si>
  <si>
    <t>Cc1cncc(CN(C)C2CC(N(C)Cc3ccccn3)CC(N(Cc3ncccc3C)Cc3nc(C)c(C)c(C)c3C)C2)c1 7.7791123 0.3382352941176471</t>
  </si>
  <si>
    <t>CCNCc1cccc(CN(Cc2ccccn2)Cc2ncccc2F)n1 7.7791 0.45454545454545453</t>
  </si>
  <si>
    <t>CCN(CCN(C)CC(C)(C)C)Cc1nc(C)c(C)c(C)c1C 7.779076 0.28</t>
  </si>
  <si>
    <t>CNc1ccc(Cl)c(Cl)c1N(Cc1ccccn1)C1CCCCC1 7.779071 0.45098039215686275</t>
  </si>
  <si>
    <t>CNCc1cccc(CN(Cc2ccccn2)C2CC(N(C)Cc3ccccn3)CC(N(Cc3ccccn3)Cc3nc(C)c(C)cc3C)C2)n1 7.7790694 0.3770491803278688</t>
  </si>
  <si>
    <t>Cc1ccc(CN(Cc2ccccn2)Cc2ccc(N(C)Cc3cccc(-c4ccc5c(c4)OCCOCCOCCOCCOCCO5)n3)cn2)nc1 7.7790666 0.44285714285714284</t>
  </si>
  <si>
    <t>CNC1CCC(N(Cc2ccccn2)Cc2nc(C)c(C)c(C)c2C)CC1N(Cc1ccccn1)Cc1nc(C)c(C)c(C)c1C 7.7790527 0.3728813559322034</t>
  </si>
  <si>
    <t>CN(c1cccc2ncccc12)C1CCCCC1N(CF)Cc1ccccn1 7.779043 0.49056603773584906</t>
  </si>
  <si>
    <t>CC1=C(N(C)Cc2ccccn2)CC(C)CC1C 7.779042 0.45652173913043476</t>
  </si>
  <si>
    <t>CN1CCN(C)CCN(CC2=CCC(N(C)c3ccc4ccc(CF)nc4c3)=CN2)CC1 7.7790375 0.3548387096774194</t>
  </si>
  <si>
    <t>Cc1cnc(CN(C)CCN(Cc2ncccc2C)C(C)C)c(C)c1 7.779036 0.4375</t>
  </si>
  <si>
    <t>CCc1cccc(CNCc2ncccc2CN(Cc2ccccn2)Cc2ccccn2)c1 7.7790327 0.4444444444444444</t>
  </si>
  <si>
    <t>CC(C)C1=CC2(C=CC(C)C3(C=CC(c4ncccc4CN(Cc4ccccn4)Cc4ccccn4)C(c4ncccc4CN(Cc4ccccn4)Cc4ccccn4)C3(C)C)C2)CCC1C 7.7790227 0.29850746268656714</t>
  </si>
  <si>
    <t>Cc1ccc2nc(CN(C)Cc3ccc(-c4ccc5c(c4)OCCOCCOCCOCCOCCO5)cn3)ccc2c1 7.779009 0.46153846153846156</t>
  </si>
  <si>
    <t>CC(C)CN(Cc1ccccn1)Cc1cc(C(C)(C)C)ccn1 7.7790046 0.4888888888888889</t>
  </si>
  <si>
    <t>Cc1ccc(C)c(CN(C)C2CCCCC2N(C)Cc2ccc3ncccc3c2)n1 7.7789984 0.43636363636363634</t>
  </si>
  <si>
    <t>Cc1ccc(C(C)c2ncccc2CN(Cc2ncccc2-c2ccc3c(c2)OCCOCCOCCOCCOCCO3)Cc2ncccc2C(C)(C)C)c(C)c1C 7.778994 0.25842696629213485</t>
  </si>
  <si>
    <t>CC(C)C(C)N(Cc1ccccn1)Cc1ncccc1C(C)(C)c1ccccn1 7.7789917 0.46808510638297873</t>
  </si>
  <si>
    <t>Cc1ccc(C)c(CN(C)C2=CNC(CN(C)C(C)C(C)N)=CC2)n1 7.778977 0.22033898305084745</t>
  </si>
  <si>
    <t>Cc1cc(CN(C)Cc2cc(N(C)Cc3cc(-c4ccc5c(c4)OCCOCCOCCOCCOCCO5)ccn3)ccn2)cnc1C 7.778977 0.3466666666666667</t>
  </si>
  <si>
    <t>Cc1cccc(-c2cccc(CN(C)C3CCCC(N(C)Cc4ccccn4)C3)n2)c1N 7.778973 0.46296296296296297</t>
  </si>
  <si>
    <t>C=CCN(C)Cc1cccc(-c2ccccc2N(C)C2CCC(N(C)Cc3ccccn3)CC2)n1 7.77897 0.46551724137931033</t>
  </si>
  <si>
    <t>c1ccc(CNc2ccccc2-c2ccnc(CNCc3ccc(-c4ccc5c(c4)OCCOCCOCCOCCOCCO5)cn3)c2)nc1 7.778966 0.4225352112676056</t>
  </si>
  <si>
    <t>CNCC1=CC(N(C)Cc2nc(C)ccc2C)C=CN1 7.778961 0.3050847457627119</t>
  </si>
  <si>
    <t>CC1C=CCC(C)(c2cc(CN(Cc3ccccn3)Cc3ccc(C(C)(C)C)cn3)ccn2)C1C 7.7789373 0.3389830508474576</t>
  </si>
  <si>
    <t>Cc1cccnc1CN(CCF)Cc1cccc(N(C)C(C)C)n1 7.7789354 0.3584905660377358</t>
  </si>
  <si>
    <t>Cc1cc(C)c(C)c(CN(CC2C=CNC(N(C)C(C)C)=C2)C2C=CC=CN2)n1 7.7789354 0.21621621621621623</t>
  </si>
  <si>
    <t>Cc1ncccc1CN(C)C1CCCC(N(C)Cc2cccc3ncccc23)C1 7.7789297 0.33962264150943394</t>
  </si>
  <si>
    <t>CCCN(Cc1ccccn1)C1CCCCC1N(C)c1ccc2nccc(CF)c2c1 7.7789187 0.4262295081967213</t>
  </si>
  <si>
    <t>CCCN(C)C1=CCC=C(CN(C)Cc2ccccn2)N1 7.7789135 0.45098039215686275</t>
  </si>
  <si>
    <t>Cc1cccc(CN(C)Cc2cccc(N(C)C3CCC(N(C)Cc4nc(C)c(C)c(C)c4C)CC3)n2)n1 7.7789116 0.43636363636363634</t>
  </si>
  <si>
    <t>CCNC1CC(N(C)Cc2ncc(C)cc2C)CC(N(Cc2nc(C)c(C)cc2C)Cc2nc(C)c(C)cc2C)C1 7.7789063 0.24615384615384617</t>
  </si>
  <si>
    <t>Cc1cncc(CNCCN(C)Cc2ncc(C)c(C)c2C)c1 7.778902 0.3137254901960784</t>
  </si>
  <si>
    <t>CCCNCC1=C(N(C)Cc2cccc(C)n2)CC=CN1 7.778886 0.39215686274509803</t>
  </si>
  <si>
    <t>Cc1ccc(-c2ccnc(CN(C)C(C)C(C)C)c2)cc1N(C)Cc1cc(-c2ccc3c(c2)OCCOCCOCCOCCOCCO3)ccn1 7.7788463 0.3424657534246575</t>
  </si>
  <si>
    <t>CN(Cc1ccccn1)C1=CNC(CN(Cc2ccccn2)C2(C)CCC2)=CC1 7.778843 0.4</t>
  </si>
  <si>
    <t>CNC1CC(N(C)Cc2ccccn2)CC(N(Cc2nc(C)c(C)c(C)c2C)Cc2nc(C)c(C)c(C)c2C)C1 7.778839 0.40350877192982454</t>
  </si>
  <si>
    <t>CCCNCC1=CCC(N(C)Cc2cccc(C)n2)=CN1 7.7788305 0.39215686274509803</t>
  </si>
  <si>
    <t>CC1=C(N(C)CC2=CCC=CN2)CC(C)C(C)C1 7.7788296 0.36538461538461536</t>
  </si>
  <si>
    <t>CNC1C(N(C)Cc2nc(C)c(C)cc2C)CCCC1N(Cc1nc(C)c(C)cc1C)Cc1nc(C)c(C)cc1C 7.778816 0.33962264150943394</t>
  </si>
  <si>
    <t>Cc1ccccc1N(Cc1ccccn1)C1CCCC(N(C)Cc2nc(C)c(C)c(C)c2C)C1 7.7788057 0.41379310344827586</t>
  </si>
  <si>
    <t>CC(C)N(C)Cc1ccc(-c2cccc(N(C)Cc3cccc(-c4ccc5c(c4)OCCOCCOCCOCCOCCO5)n3)c2)cn1 7.7788053 0.40540540540540543</t>
  </si>
  <si>
    <t>CN(CCN(C)c1cccc2ncccc12)Cc1ncccc1-c1cccc2c1OCCOCCOCCOCCOCCO2 7.7787833 0.3442622950819672</t>
  </si>
  <si>
    <t>Cc1ccc(CN(C)C2CCC(N(Cc3ccccn3)Cc3cccc(-c4ccc5c(c4)OCCOCCOCCOCCOCCO5)n3)C(N(C)c3ccc4ncccc4c3)C2)nc1C 7.7787824 0.3010752688172043</t>
  </si>
  <si>
    <t>Cc1ccc(C)c(CN(C)CCN(C)Cc2ncccc2C)n1 7.7787704 0.45</t>
  </si>
  <si>
    <t>CC(C)N(CCN(C)Cc1ncccc1-c1cccc2c1OCCOCCOCCOCCOCCO2)c1cccc2nccc(C(C)(C)C)c12 7.7787704 0.25333333333333335</t>
  </si>
  <si>
    <t>CC1C=CC(C)C(C)(c2cc(CN(Cc3ccccn3)Cc3ccccn3)ccn2)C1 7.77877 0.425531914893617</t>
  </si>
  <si>
    <t>Cc1cccnc1CN1CCN(C)CCN(CCN(C)c2ccc3c(C)ccnc3c2)CC1 7.7787466 0.36666666666666664</t>
  </si>
  <si>
    <t>CC(C)C(C)(c1cccnc1)N(C)Cc1cc(C(C)(C)C)ccn1 7.7787414 0.2777777777777778</t>
  </si>
  <si>
    <t>Cc1cc(C)nc(CN(C)C2=CNC(CN(Cc3ccccn3)C(C)C(C)C(C)C)=CC2)c1 7.7787266 0.3548387096774194</t>
  </si>
  <si>
    <t>CCCN(CCN(Cc1nccc(C)c1C)Cc1ncc(C)c(C)c1C)Cc1ccccn1 7.77872 0.4791666666666667</t>
  </si>
  <si>
    <t>Cc1ccc(CN(Cc2ccccn2)C2CCCC(N(C)Cc3ncc(C)c(C)c3C)C2)cc1NCc1ccccn1 7.7787113 0.3582089552238806</t>
  </si>
  <si>
    <t>Cc1cccc(CN(C)Cc2cccc(CN(Cc3cccc(C)n3)C3CCCC(N(C)Cc4nc(C)c(C)c(C)c4C)C3)n2)n1 7.7787037 0.45454545454545453</t>
  </si>
  <si>
    <t>CN(CC1=CCC=C(N(C)C2C=CC=CN2)N1)C1=CNC=CC1C(C)(C)C 7.7786984 0.19444444444444445</t>
  </si>
  <si>
    <t>CCOC(=O)c1ncccc1CN1CCN(C)CCN(Cc2cccc(C(C)(c3ccccn3)c3ccccn3)n2)CC1 7.7786865 0.4626865671641791</t>
  </si>
  <si>
    <t>CC1=C(C)C(C)C(C)C(C)(c2ccc(CN(Cc3ccccn3)Cc3ccccn3)cn2)C1 7.778686 0.4166666666666667</t>
  </si>
  <si>
    <t>CC(C)N(C)CC1=CCC=C(N(C)C)N1 7.778686 0.20754716981132076</t>
  </si>
  <si>
    <t>Cc1ccnc(CN(C)Cc2cccc(C3CCC3(C)C)n2)c1C 7.778683 0.3684210526315789</t>
  </si>
  <si>
    <t>CCN(Cc1cccc(CF)n1)Cc1cccc(C(C)(C)C)n1 7.7786703 0.3409090909090909</t>
  </si>
  <si>
    <t>C1=CNC(NCc2ccccn2)C(CNCc2ccccn2)=C1 7.7786617 0.4634146341463415</t>
  </si>
  <si>
    <t>CNCc1cc(CN(Cc2cc(C)ccn2)C(C)C)ccn1 7.7786574 0.3829787234042553</t>
  </si>
  <si>
    <t>COCc1cccc(CN(Cc2cccc(F)n2)Cc2cccc(C3CCC3C)n2)n1 7.7786565 0.38333333333333336</t>
  </si>
  <si>
    <t>CC(C)C(C)N(CC1=CCC(N(C)Cc2ccccn2)=CN1)Cc1ccccn1 7.778655 0.43137254901960786</t>
  </si>
  <si>
    <t>COC(=O)C1C(c2ccccn2)CC(CN(C)Cc2ccccn2)N(C)C1c1ccccn1 7.778649 0.4307692307692308</t>
  </si>
  <si>
    <t>CCNCc1cccc(CN(Cc2ccccn2)Cc2cc(C)ccn2)n1 7.778645 0.47619047619047616</t>
  </si>
  <si>
    <t>Cc1ccnc(CN(C)CCN(C)Cc2nc(C)ccc2C)c1 7.7786393 0.4418604651162791</t>
  </si>
  <si>
    <t>Cc1ccc(C)c(CN(C)C2=C(CN(C)C(C)C(C)C)NC=CC2)n1 7.7786384 0.22807017543859648</t>
  </si>
  <si>
    <t>CC(C)=C1C=CNC(CN(C)C2C=CNC(C(C)(C)C)=C2)=C1 7.778636 0.288135593220339</t>
  </si>
  <si>
    <t>CC1C=CC(C)(c2cccc(CN(Cc3ccccn3)Cc3cccc(C(C)(C)C)n3)n2)CC1C 7.7786307 0.37735849056603776</t>
  </si>
  <si>
    <t>CNCCN(Cc1ccccn1)Cc1nc(C)c(C)c(C)c1C 7.7786207 0.4782608695652174</t>
  </si>
  <si>
    <t>CN(CCN(C)c1cccc2ccc(CF)nc12)Cc1ncccc1-c1cccc2c1OCCOCCOCCOCCOCCO2 7.778617 0.390625</t>
  </si>
  <si>
    <t>CNC1CC(CN(Cc2ncccc2C)Cc2ncccc2C)=CC=N1 7.7786145 0.2916666666666667</t>
  </si>
  <si>
    <t>Cc1cccc(CNCCN(C)Cc2ncc(C)c(C)c2C)n1 7.778604 0.4782608695652174</t>
  </si>
  <si>
    <t>CN(Cc1ccccn1)c1c(N(C)C2CCCCC2N(C)C2C=CC=CN2)ccc(Cl)c1Cl 7.778602 0.42424242424242425</t>
  </si>
  <si>
    <t>CCNC1CC(N(Cc2ncccc2C)Cc2ncccc2C)CC(N(Cc2ncccc2C)Cc2nc(C)c(C)c(C)c2C)C1 7.778597 0.22727272727272727</t>
  </si>
  <si>
    <t>CNCCN(C)Cc1ncc(C)c(C)c1C 7.778594 0.36585365853658536</t>
  </si>
  <si>
    <t>CC(C)N(C)C1=CNC(CN(C)C)=CC1 7.7785892 0.2127659574468085</t>
  </si>
  <si>
    <t>CNCc1ccc(N(C)C(C)C)cn1 7.778576 0.34146341463414637</t>
  </si>
  <si>
    <t>CCN(Cc1cc(CN(Cc2ncccc2C)C(C)C)ccn1)C(C)C 7.778573 0.425531914893617</t>
  </si>
  <si>
    <t>CNC1C(N(Cc2cc(C)ccn2)Cc2nc(C)c(C)c(C)c2C)CCCC1N(Cc1cc(C)ccn1)Cc1nc(C)c(C)c(C)c1C 7.77857 0.3050847457627119</t>
  </si>
  <si>
    <t>Cc1cnc(CN(Cc2nc(C)c(C)cc2C)C2CCC(N(C)Cc3nc(C)c(C)c(C)c3C)CC2)c(C)c1 7.778559 0.2786885245901639</t>
  </si>
  <si>
    <t>CCOC(=O)c1cccc(CN2CCN(C)CCN(Cc3cccc(C(C)(c4ccccn4)c4ccccn4)n3)CC2)n1 7.778551 0.49206349206349204</t>
  </si>
  <si>
    <t>CCNCc1cc(CN(Cc2ccccn2)Cc2cc(C)ccn2)ccn1 7.77855 0.47619047619047616</t>
  </si>
  <si>
    <t>Cc1cnc(CN(C)CCN(C)Cc2ccccn2)c(C)c1C 7.778543 0.47619047619047616</t>
  </si>
  <si>
    <t>CCNCc1ncccc1CN(C)C1CCCCC1N(C)c1ccc2nc(CF)ccc2c1 7.7785425 0.4057971014492754</t>
  </si>
  <si>
    <t>Cc1ccc(CN(C)C2C=CNC(CN(C)C)=C2)nc1 7.778541 0.4791666666666667</t>
  </si>
  <si>
    <t>CNCCN(Cc1ncccc1C)Cc1ncc(C)c(C)c1C 7.7785215 0.32</t>
  </si>
  <si>
    <t>Cc1cccc(CN(Cc2cccc(CN(C)Cc3ccc(C)c(C)n3)n2)C2CCC(N(C)Cc3cc(C)c(C)c(C)n3)CC2)n1 7.7785163 0.43859649122807015</t>
  </si>
  <si>
    <t>CN(CCN(C)c1ccc2ncccc2c1)Cc1cc(-c2ccc3c(c2)OCCOCCOCCOCCOCCO3)ccn1 7.778512 0.3333333333333333</t>
  </si>
  <si>
    <t>CC(C)C(C)N(Cc1ccccn1)Cc1cc(N(C)C2C=CC=CN2)ccn1 7.778512 0.4406779661016949</t>
  </si>
  <si>
    <t>Cc1cccc(CN(Cc2ccccn2)C2CCCCC2N(C)c2cccc(CN(C)Cc3nc(C)ccc3C)n2)n1 7.7785106 0.45</t>
  </si>
  <si>
    <t>CC1=C(N(C)Cc2cc(C(C)(C)C)ccn2)C(C)C(C)(C)CC1 7.77851 0.27586206896551724</t>
  </si>
  <si>
    <t>CCNCc1cccc(CN(Cc2ccccn2)Cc2ccc(C)cn2)n1 7.778507 0.47619047619047616</t>
  </si>
  <si>
    <t>CC1=CCC(N(C)CCN(C)c2ccc3cccnc3c2)C(C)C1C 7.7785068 0.32727272727272727</t>
  </si>
  <si>
    <t>Cc1cncc(CN(C)C2CCC(N(Cc3ccccn3)Cc3ccc4ccccc4n3)CC2)c1 7.778506 0.47368421052631576</t>
  </si>
  <si>
    <t>Cc1cncc(CN(Cc2ccccn2)Cc2ccc(CN(C)C(C)C)cn2)c1 7.7784915 0.425531914893617</t>
  </si>
  <si>
    <t>CN(Cc1ccon1)C1CCC(N(C)Cc2ccc3ccccc3n2)CC1 7.778488 0.46511627906976744</t>
  </si>
  <si>
    <t>C=CCN(C)Cc1cccc(-c2cccc(N(C)Cc3cccc(-c4ccc5c(c4)OCCOCCOCCOCCOCCO5)n3)c2)n1 7.7784853 0.30303030303030304</t>
  </si>
  <si>
    <t>CN(Cc1ncccc1-c1cccc(N(C)C)c1)CN(C)Cc1ncccc1-c1cccc2c1OCCOCCOCCOCCOCCO2 7.778465 0.24242424242424243</t>
  </si>
  <si>
    <t>CCCN(C)CC1=CCC(N(C)Cc2ccccn2)=CN1 7.7784452 0.4107142857142857</t>
  </si>
  <si>
    <t>COC(=O)C1CC(c2ccccn2)C(C(C)(C)NCc2ccccn2)N(C)C1c1ccccn1 7.7784424 0.352112676056338</t>
  </si>
  <si>
    <t>CC(NCc1ccccn1)C(C)(C)c1ncccc1CN(Cc1ccccn1)Cc1ccccn1 7.7784348 0.47619047619047616</t>
  </si>
  <si>
    <t>CC1=CC(C)(C)C(C)(c2ncccc2CN(Cc2ccccn2)Cc2ccccn2)CC1C 7.7784147 0.43478260869565216</t>
  </si>
  <si>
    <t>Cc1ccc(CN(C)C2CC(N(C)Cc3ccccn3)CC(N(Cc3cc(C)c(C)cn3)Cc3cc(C)c(C)c(C)n3)C2)nc1 7.7784123 0.39344262295081966</t>
  </si>
  <si>
    <t>CC(C)N(Cc1cccc(-c2cccc(N(C)C)c2)n1)Cc1cccc(-c2ccc3c(c2)OCCOCCOCCOCCOCCO3)n1 7.7784057 0.3194444444444444</t>
  </si>
  <si>
    <t>CNC1CCCCC1N(C)c1ccc2cccnc2c1 7.7784047 0.46</t>
  </si>
  <si>
    <t>CNCc1ncccc1CN(Cc1ncccc1C)C1CCCCC1N(C)Cc1ccc2ncccc2c1 7.778392 0.3484848484848485</t>
  </si>
  <si>
    <t>CN(C)Cc1cccc(CF)n1 7.7783904 0.48484848484848486</t>
  </si>
  <si>
    <t>Cc1cc(CN(C)C2C=CNC(CN(C)C(C)C)=C2)nc(C)c1C 7.778386 0.29508196721311475</t>
  </si>
  <si>
    <t>CC1=C(C)C(C)C(C)C(C)(c2ncccc2CN(Cc2ccccn2)Cc2ccccn2)C1 7.778373 0.43478260869565216</t>
  </si>
  <si>
    <t>CC(C)N(C)Cc1ncccc1-c1cccc(N(C)Cc2cccc(-c3ccc4c(c3)OCCOCCOCCOCCOCCO4)n2)c1 7.7783704 0.32051282051282054</t>
  </si>
  <si>
    <t>CCNCc1cccc(-c2cccc(N(C)Cc3cccc(-c4ccc5c(c4)OCCOCCOCCOCCOCCO5)n3)c2)n1 7.7783694 0.30666666666666664</t>
  </si>
  <si>
    <t>CC(C1=CCC=CN1)c1ccccn1 7.778367 0.4166666666666667</t>
  </si>
  <si>
    <t>CNCc1ccc(CN(Cc2cc(C)ccn2)C(C)C)cn1 7.778366 0.35294117647058826</t>
  </si>
  <si>
    <t>CN(CCN)Cc1cncc2c(N(C)C3CCCCC3N(Cc3ccccc3)Cc3ccccn3)cccc12 7.7783604 0.3939393939393939</t>
  </si>
  <si>
    <t>CCNCc1cccc(CN(C)Cc2cccc(N)n2)n1 7.778357 0.40476190476190477</t>
  </si>
  <si>
    <t>Cc1cnc(C)c(CN(C)CCN(C)Cc2ncccc2C)c1 7.7783546 0.425531914893617</t>
  </si>
  <si>
    <t>Cc1cc(C(C)(C)c2cc(CN(Cc3ccccn3)C3CCCCC3)ccn2)ccc1NCc1ccccn1 7.778353 0.3484848484848485</t>
  </si>
  <si>
    <t>CC(C)C1CCC1c1cccc(CN(Cc2ccccn2)C2CCC(N(C)c3ccc4nc(CF)ccc4c3)CC2)n1 7.778352 0.34285714285714286</t>
  </si>
  <si>
    <t>CN(CCN(C)c1ccc2nc(CF)ccc2c1)Cc1cccc(-c2ccc3c(c2)OCCOCCOCCOCCOCCO3)n1 7.7783494 0.31746031746031744</t>
  </si>
  <si>
    <t>CN(Cc1cc(-c2ccc3c(c2)OCCOCCOCCOCCOCCO3)ccn1)Cc1ccc2cccnc2n1 7.778344 0.38235294117647056</t>
  </si>
  <si>
    <t>CC(C)NCc1cc(C(C)(C)C)ccn1 7.778343 0.2682926829268293</t>
  </si>
  <si>
    <t>CCN(Cc1ccccn1)c1cc(C)c(C)cc1CN(Cc1ccccn1)C1CCC(N(C)Cc2ncccc2C)CC1 7.7783375 0.3709677419354839</t>
  </si>
  <si>
    <t>Cc1ccc(-c2cccc(NCc3cccc(-c4ccc5c(c4)OCCOCCOCCOCCOCCO5)n3)c2)nc1 7.7783346 0.3424657534246575</t>
  </si>
  <si>
    <t>CC1C=CC(N(C)Cc2ccccn2)C(C)(C)C1c1ccc(CN(C)Cc2ccc(N)cn2)cn1 7.778334 0.3484848484848485</t>
  </si>
  <si>
    <t>Cc1ccc(N(C)C2CCCC(N(C)Cc3ccccn3)C2N(Cc2ccccn2)Cc2cc(C)c(C)c(C)n2)cn1 7.778326 0.45901639344262296</t>
  </si>
  <si>
    <t>Cc1cccnc1CN(Cc1ccccn1)CC1C=CNC=C1 7.7783237 0.4528301886792453</t>
  </si>
  <si>
    <t>Cc1cnc(C)c(CN(C)Cc2ncccc2N(C)C2CCCC(N(Cc3ccccn3)Cc3ccccn3)C2)c1 7.7783027 0.359375</t>
  </si>
  <si>
    <t>Cc1ccncc1CN(C)CCN(C)Cc1ncc(C)c(C)c1C 7.778302 0.38636363636363635</t>
  </si>
  <si>
    <t>CC1C=CC(C)(c2cccc(CN(Cc3ccccn3)Cc3cc(N)ccn3)n2)CC1C 7.7783003 0.37735849056603776</t>
  </si>
  <si>
    <t>c1ccc(CN(Cc2ncccc2-c2ccc3c(c2)OCCOCCOCCOCCOCCO3)Cc2ccnc3ccccc23)nc1 7.778296 0.3508771929824561</t>
  </si>
  <si>
    <t>Cc1cc(CN(C)CCN(C)CC(C)(C)C)nc(C)c1C 7.778295 0.38095238095238093</t>
  </si>
  <si>
    <t>CC(C)C1=CC2(C=CN1)C(c1cccc(CN(Cc3ccccn3)Cc3ccccn3)n1)=CCC(C)(C)C2c1cccc(CN(Cc2ccccn2)Cc2cccc(-c3ccc4c(c3)OCCOCCOCCOCCOCCO4)n2)n1 7.7782927 0.3563218390804598</t>
  </si>
  <si>
    <t>CCOC(=O)c1cccc(-c2cccc(CN3CCN(C)CCN(Cc4cccc(C(C)NCc5ccccn5)n4)CC3)n2)n1 7.7782907 0.4507042253521127</t>
  </si>
  <si>
    <t>CC1C=CC(C)(C)CC1(C)c1ncccc1CN(Cc1ccccn1)Cc1ccccn1 7.7782865 0.43478260869565216</t>
  </si>
  <si>
    <t>CC1=CC(C)C(C)(c2cccc(CN(Cc3ccccn3)Cc3ccccn3)n2)CC1C 7.7782702 0.43478260869565216</t>
  </si>
  <si>
    <t>CC1=C(C)C(C)C(C)(C)C(N(C)C2CCCC(N(C)Cc3ncccc3-c3cccc4ncccc34)C2)C1 7.778267 0.2676056338028169</t>
  </si>
  <si>
    <t>Cc1ccc(C)c(CN(C)C2CC(N(C)Cc3ccccn3)CC(N(Cc3ncccc3C)Cc3ncc(C)c(C)c3C)C2)n1 7.7782555 0.3709677419354839</t>
  </si>
  <si>
    <t>CC(C)(C1=CC2(C=CN1)C=CC(c1cccc(CN(Cc3ccccn3)Cc3cccc(-c4ccc5c(c4)OCCOCCOCCOCCOCCO5)n3)n1)C(c1cccc(CN(Cc3ccccn3)Cc3ccccn3)n1)C2(C)C)c1ccccn1 7.7782435 0.34444444444444444</t>
  </si>
  <si>
    <t>Cc1ccc(CN(C)Cc2ncccc2N(Cc2ccccn2)Cc2ncccc2-c2ccc3c(c2)OCCOCCOCCOCCOCCO3)nc1 7.7782397 0.35</t>
  </si>
  <si>
    <t>Cc1cnc(CN(C)C2CCC(N(Cc3ccccn3)Cc3cccnc3CN(C)C(C)(C)c3cccnc3CN(Cc3ccccn3)C(C)(N)N(Cc3ncccc3C)C(C)C)CC2)c(C)c1 7.778228 0.26744186046511625</t>
  </si>
  <si>
    <t>Cc1cc(-c2cccc(NCc3ccccn3)c2)cnc1CN1CCN(C)CCN(C)CC1 7.778218 0.48148148148148145</t>
  </si>
  <si>
    <t>C=CCNCc1cccc(CN(Cc2ccccn2)C2CCC(N(C)Cc3cccc(-c4cccc(Cl)c4N)n3)CC2)n1 7.778216 0.352112676056338</t>
  </si>
  <si>
    <t>C1=CC(Nc2cccc(-c3cccc(C(c4ccccn4)c4ccccn4)n3)n2)NC2=C1OCCOCCOCCOCCOCCO2 7.778209 0.2602739726027397</t>
  </si>
  <si>
    <t>Fc1ccc(N(Cc2ccccn2)C2CCCCC2N(Cc2ccccn2)c2ccccc2F)cc1 7.778206 0.4897959183673469</t>
  </si>
  <si>
    <t>C=CCN(C)Cc1cccc(-c2ccccc2N(C)Cc2cccc(-c3ccc4c(c3)OCCOCCOCCOCCOCCO4)n2)n1 7.7782016 0.3088235294117647</t>
  </si>
  <si>
    <t>CCN(Cc1cccc(C2CC(C)(C)C2)n1)Cc1cccc(C(C)(C)C)n1 7.7781982 0.2807017543859649</t>
  </si>
  <si>
    <t>CN(CCN(C)c1ccc2ncc(CF)cc2c1)Cc1ncccc1-c1cccc2c1OCCOCCOCCOCCOCCO2 7.778197 0.2702702702702703</t>
  </si>
  <si>
    <t>CN(CCN(C)c1ccc2ncccc2c1)Cc1ncccc1-c1ccc2c(c1)OCCOCCOCCOCCOCCO2 7.7781944 0.3076923076923077</t>
  </si>
  <si>
    <t>CN(CCN)Cc1cccc(CN(Cc2ccccn2)Cc2ncccc2N)n1 7.778193 0.47058823529411764</t>
  </si>
  <si>
    <t>CNC1CC(N(Cc2ncccc2C)Cc2ncccc2C)CC(N(Cc2ncccc2C)Cc2ncc(C)cc2C)C1 7.7781816 0.25</t>
  </si>
  <si>
    <t>Cc1cc(CN(C)C2CCCCC2N(Cc2cc(C)c(C)c(C)n2)Cc2nc(C)c(C)c(C)c2C)nc(C)c1C 7.7781777 0.4230769230769231</t>
  </si>
  <si>
    <t>CNCc1cc(CN(C)Cc2ccc(F)cn2)ccn1 7.7781754 0.3695652173913043</t>
  </si>
  <si>
    <t>Cc1ccc(CN(C)C2CCC(N(C)Cc3ccccn3)C(N(Cc3nc(C)c(C)c(C)c3C)Cc3nc(C)c(C)c(C)c3C)C2)nc1 7.778171 0.4745762711864407</t>
  </si>
  <si>
    <t>Cc1ccc(CN(C)C2CCC(N(C)Cc3ccccn3)CC2N(Cc2nc(C)c(C)c(C)c2C)Cc2nc(C)c(C)c(C)c2C)nc1 7.778171 0.4745762711864407</t>
  </si>
  <si>
    <t>Cc1cc(C)c(CN(Cc2ccccn2)C2CC(N(C)Cc3ccccn3)CC(N(C)Cc3ncc(C)c(C)c3C)C2)nc1C 7.778166 0.38333333333333336</t>
  </si>
  <si>
    <t>Cc1cncc(CN(C)C2CCC(N(C)Cc3ncccc3-c3ccccn3)CC2)c1C 7.7781577 0.3220338983050847</t>
  </si>
  <si>
    <t>CCNCc1cccc(CN(Cc2ccccn2)C2CCC(N(C)Cc3cccc(-c4ccc(Cl)c(N)c4)n3)CC2)n1 7.778144 0.37333333333333335</t>
  </si>
  <si>
    <t>CN(Cc1ccccn1)C1=CC(C(C)(C)C)C=CN1 7.7781405 0.4375</t>
  </si>
  <si>
    <t>CC(C)(C)c1ncccc1CN(CCSCc1ccccn1)Cc1ccccn1 7.7781343 0.48936170212765956</t>
  </si>
  <si>
    <t>CCCN(Cc1ccccn1)Cc1ncccc1CN(Cc1ccccn1)Cc1ncccc1C 7.7781296 0.4878048780487805</t>
  </si>
  <si>
    <t>CC1=CC(C)C(C)(c2cc(CN(Cc3ccccn3)Cc3ccccn3)ccn2)C(C)(C)C1 7.778125 0.40816326530612246</t>
  </si>
  <si>
    <t>Cc1cccc(CN(Cc2ccccn2)C2CCCC(N(C)Cc3cc(-c4ccccc4)ccn3)C2)n1 7.778118 0.4482758620689655</t>
  </si>
  <si>
    <t>CC(C)(C)CN(Cc1cccc(C(C)(C)C)n1)Cc1cccc(C(C)(C)C)n1 7.7781153 0.48717948717948717</t>
  </si>
  <si>
    <t>Cc1cc(N)cc(-c2cc(CN(C)C3CCCC(N(C)Cc4ccccn4)C3)ccn2)c1 7.778108 0.43103448275862066</t>
  </si>
  <si>
    <t>Cc1cc(CN(C)C2CCCCC2N(Cc2ccccn2)Cc2cccc(C3=CCC=CN3)n2)nc(C)c1C 7.7781053 0.46153846153846156</t>
  </si>
  <si>
    <t>CNCC1=CC(N(C)Cc2nccc(C)c2C)C=CN1 7.7780924 0.3</t>
  </si>
  <si>
    <t>CC1=C(N(C)Cc2ccccn2)CC(C)C(C)C1 7.7780857 0.4883720930232558</t>
  </si>
  <si>
    <t>Cc1ccncc1C 7.778082 0.22727272727272727</t>
  </si>
  <si>
    <t>CNCc1cc(CN(Cc2ncccc2C)C(C)C)ccn1 7.7780685 0.3877551020408163</t>
  </si>
  <si>
    <t>C=CCN(C)CCN(Cc1cccc(CN(Cc2ccccn2)Cc2cccc(N(C)Cc3cccc(C4CCC4C)n3)n2)n1)Cc1cccc(C2CCC2(C)C)n1 7.7780633 0.358974358974359</t>
  </si>
  <si>
    <t>CCNCc1ccccc1CN=Cc1ccccn1 7.7780633 0.3673469387755102</t>
  </si>
  <si>
    <t>Cc1cccc(CN(Cc2ncccc2C)C2CCC(N(C)Cc3ncccc3C)CC2N(Cc2ncccc2C)Cc2ncccc2C)n1 7.77806 0.45454545454545453</t>
  </si>
  <si>
    <t>CC(C)C(C)(c1cccnc1)c1ccccn1 7.7780504 0.3695652173913043</t>
  </si>
  <si>
    <t>Cc1cccc(CN(C)CC2C=CNC=C2N(C)C)n1 7.778043 0.5</t>
  </si>
  <si>
    <t>CCC1=NC(C2=CC(c3cccc(CN(Cc4ccccn4)Cc4ccccn4)n3)C(c3cccc(C4CCC4(C)C)n3)C(C)C2C)CO1 7.778015 0.29411764705882354</t>
  </si>
  <si>
    <t>COC(=O)C(C)NCc1ncccc1CN(C)Cc1ccccn1 7.7780085 0.39285714285714285</t>
  </si>
  <si>
    <t>CNCc1cccc(CN(Cc2ncccc2C)C(C)C)n1 7.7780037 0.425531914893617</t>
  </si>
  <si>
    <t>Cc1nc(CN(C)CCNCc2ccccn2)c(C)c(C)c1C 7.7780023 0.4883720930232558</t>
  </si>
  <si>
    <t>Cc1cccc(CN(C)C2C=CNC(CN(C)C)=C2)n1 7.7780013 0.4791666666666667</t>
  </si>
  <si>
    <t>Cc1ccc(CN(C)C2CC(N(C)Cc3cc(C)ccn3)CC(N(Cc3cc(C)ccn3)Cc3nc(C)c(C)c(C)c3C)C2)nc1 7.777987 0.4067796610169492</t>
  </si>
  <si>
    <t>C=CCN(C)Cc1cccc(-c2ccc(N(C)Cc3cccc(-c4ccc5c(c4)OCCOCCOCCOCCOCCO5)n3)cc2)n1 7.777976 0.3076923076923077</t>
  </si>
  <si>
    <t>CNC1CC(N(C)Cc2cc(C)ccn2)CC(N(Cc2nc(C)c(C)cc2C)Cc2nc(C)c(C)c(C)c2C)C1 7.777976 0.2647058823529412</t>
  </si>
  <si>
    <t>Cc1ccc(C)c(CNCCN(C)Cc2nc(C)ccc2C)n1 7.7779746 0.38095238095238093</t>
  </si>
  <si>
    <t>CCC1=NC(C2=NC(C)C(C)O2)CO1 7.777971 0.12962962962962962</t>
  </si>
  <si>
    <t>CCOC(=O)C1CN(C)C(CN(Cc2ccccn2)Cc2ccccn2)C(c2ccccn2)C1c1ccccn1 7.777966 0.35185185185185186</t>
  </si>
  <si>
    <t>Cc1cccnc1CN(C)CCN(C)Cc1nccc(C)c1C 7.777965 0.4186046511627907</t>
  </si>
  <si>
    <t>CNCc1ncccc1CN(Cc1ncccc1C)C(C)C 7.777962 0.3829787234042553</t>
  </si>
  <si>
    <t>Cc1cnc(CN(C)CCN(C)Cc2cccnc2C)c(C)c1 7.7779593 0.45652173913043476</t>
  </si>
  <si>
    <t>CC(C)C(C)c1cccc(C(C)(C)c2cccc(C3CCC3(C)C)n2)n1 7.777958 0.21818181818181817</t>
  </si>
  <si>
    <t>CCOC(=O)C(=O)C(=O)C(C)NCc1cccc(CNCc2cccc(C(C)C(C)C)n2)n1 7.777958 0.22033898305084745</t>
  </si>
  <si>
    <t>Cc1cccc(-c2cccc(NCc3cccc(-c4ccc5c(c4)OCCOCCOCCOCCOCCO5)n3)c2)n1 7.7779546 0.32857142857142857</t>
  </si>
  <si>
    <t>CN(CCN(C)c1ccc2ncc(CF)cc2c1)Cc1cccc(-c2ccc3c(c2)OCCOCCOCCOCCOCCO3)n1 7.7779536 0.3048780487804878</t>
  </si>
  <si>
    <t>Cc1ccc(CN(Cc2ccccn2)Cc2ccc(N(C)Cc3ncccc3-c3ccc4c(c3)OCCOCCOCCOCCOCCO4)cn2)nc1 7.7779417 0.34177215189873417</t>
  </si>
  <si>
    <t>CC1=CC(C)C(N(C)Cc2cc(C(C)(C)c3ccccn3)ccn2)C(C)C1 7.777939 0.35</t>
  </si>
  <si>
    <t>CCCN(Cc1ccccn1)C1=CCC(C)C(C)=C1CN(C)Cc1ccccn1 7.777932 0.41818181818181815</t>
  </si>
  <si>
    <t>Cc1nc(CN(Cc2ccccn2)C2CCCCC2N(C)c2cccnc2CN(Cc2ccccn2)C(C)C)c(C)c(C)c1C 7.777932 0.4262295081967213</t>
  </si>
  <si>
    <t>Cc1ccnc(CN(C)C2C=CNC(CN(C)C)=C2)c1 7.777929 0.33962264150943394</t>
  </si>
  <si>
    <t>CNC1CCC(N(Cc2cc(C)ccn2)Cc2cc(C)c(C)cn2)CC1N(Cc1cc(C)c(C)cn1)Cc1nc(C)c(C)c(C)c1C 7.7779126 0.2676056338028169</t>
  </si>
  <si>
    <t>Cc1cc(C)c(C)c(CN(C)CCN(C)Cc2ccccn2)n1 7.7779074 0.4772727272727273</t>
  </si>
  <si>
    <t>Cc1cncc(C2CCC2(C)C)c1CN(Cc1ccccn1)Cc1ccccn1 7.777903 0.43478260869565216</t>
  </si>
  <si>
    <t>CNCc1ccc(Cl)cn1 7.7778993 0.2894736842105263</t>
  </si>
  <si>
    <t>Cc1cncc(CN(C)Cc2ccc(C3CC(Cl)C3Cl)nc2)c1 7.777894 0.2545454545454545</t>
  </si>
  <si>
    <t>CN1CCN(Cc2ccc3ncccc3c2)CCN(Cc2cnccc2N(C)C)CC1 7.7778897 0.39285714285714285</t>
  </si>
  <si>
    <t>CC1=C(C)C(C)C2(CC=C(c3cc(CN(Cc4ccccn4)Cc4cc(-c5ccc6c(c5)OCCOCCOCCOCCOCCO6)ccn4)ccn3)C3(C=CNC(C(C)C)=C3)C2c2ncccc2CN(Cc2ccccn2)Cc2ccccn2)CC1 7.777879 0.24299065420560748</t>
  </si>
  <si>
    <t>Cc1cncc(CN(C)CC2=C(N(C)C(C)C)CC=CN2)c1 7.777876 0.23636363636363636</t>
  </si>
  <si>
    <t>CNc1c(N(C)Cc2cccc(-c3ccc4c(c3)OCCOCCOCCOCCOCCO4)n2)ccc(F)c1Cl 7.777873 0.29850746268656714</t>
  </si>
  <si>
    <t>CC1=CC(C)CC2(C=CC(c3cccc(CN(Cc4ccccn4)Cc4ccccn4)n3)C(c3cccc(CN(Cc4ccccn4)Cc4ccccn4)n3)C23C(C)C=CC(C)C3C)C1C 7.777871 0.3246753246753247</t>
  </si>
  <si>
    <t>Cc1cc(CN(C)C2CCCC(N(C)c3ncc(C)c(C)c3C)C2)nc(C)c1C 7.777871 0.3333333333333333</t>
  </si>
  <si>
    <t>CC(C)C1=CC2(C=CN1)C=CC(C)(C)C(c1cccc(CN(Cc3ccccn3)Cc3ccccn3)n1)C2(C)C 7.7778697 0.3770491803278688</t>
  </si>
  <si>
    <t>CN1CCN(Cc2cc(C(C)(c3ccccn3)c3ccccn3)ccn2)CCN(Cc2cccnc2C2OC=NC2(C)C)CC1 7.777861 0.4</t>
  </si>
  <si>
    <t>CN(CC1=CCC=C(N(C)Cc2ccccn2)N1)C1=CCC=C(CN(C)C2CCCCC2N(Cc2cccnc2)Cc2ccccn2)N1 7.777858 0.48333333333333334</t>
  </si>
  <si>
    <t>CN(C)Cc1cncc(C2CC(C)(C)C2)c1 7.7778573 0.25</t>
  </si>
  <si>
    <t>CC1=CC(N(C)Cc2cc(C(C)(C)c3ccccn3)ccn2)C2N=CC=CC2C1C 7.777852 0.29411764705882354</t>
  </si>
  <si>
    <t>CN1CCN(C)CCN(CC2=CCC(N(C)c3cccc4nc(CF)ccc34)=CN2)CC1 7.777837 0.36065573770491804</t>
  </si>
  <si>
    <t>CN(Cc1cc(-c2ccccn2)ccn1)C1CCC(N(C)Cc2cc(C(C)(C)C)ccn2)CC1 7.7778234 0.41509433962264153</t>
  </si>
  <si>
    <t>COC(=O)c1cccc(CN(Cc2ccccn2)C2CCC(N(C)Cc3nc(C)c(C)c(C)c3C)CC2)n1 7.777815 0.35384615384615387</t>
  </si>
  <si>
    <t>CN(CCF)Cc1ncccc1C(C)(C)c1ccccn1 7.777814 0.3389830508474576</t>
  </si>
  <si>
    <t>CCN(C)CC1=CCC(N(C)Cc2ccccn2)=CN1 7.777811 0.42592592592592593</t>
  </si>
  <si>
    <t>Cc1cncc(CN(C)CC2=CCC=CN2)c1 7.7778015 0.37735849056603776</t>
  </si>
  <si>
    <t>COC(=O)C1CC(c2ccccn2)C(c2ccccn2)N(C)C1c1ncccc1CN(Cc1ccccn1)Cc1ncccc1-c1ccc2c(c1)OCCOCCOCCOCCOCCO2 7.7777996 0.2708333333333333</t>
  </si>
  <si>
    <t>CNCc1cccc(CN(Cc2cccc(C)n2)C(C)C)n1 7.777799 0.475</t>
  </si>
  <si>
    <t>CC(C)C(C)(c1ccccn1)N(Cc1ccccn1)Cc1ccccn1 7.777781 0.5</t>
  </si>
  <si>
    <t>CC(C)N(C)Cc1cc(-c2cccc(N(C)Cc3cc(-c4ccc5c(c4)OCCOCCOCCOCCOCCO5)ccn3)c2)ccn1 7.7777767 0.352112676056338</t>
  </si>
  <si>
    <t>Cc1cccc(CN(C)C2C=CNC(CN(Cc3ccccn3)C(C)C)=C2)n1 7.7777734 0.43636363636363634</t>
  </si>
  <si>
    <t>CNCN(Cc1ncccc1C)C(C)(C)c1ccccn1 7.777772 0.32075471698113206</t>
  </si>
  <si>
    <t>COC(=O)C(=O)C(C)NCc1ccccn1 7.777769 0.425</t>
  </si>
  <si>
    <t>Cc1cccc(-c2ccccc2NCc2cccc(-c3ccc4c(c3)OCCOCCOCCOCCOCCO4)n2)n1 7.777757 0.3150684931506849</t>
  </si>
  <si>
    <t>CNC1CCCC(N(Cc2nc(C)c(C)c(C)c2C)Cc2nc(C)c(C)c(C)c2C)C1N(Cc1ncccc1C)Cc1ncccc1C 7.777737 0.2903225806451613</t>
  </si>
  <si>
    <t>CCNCc1cccc(CN(Cc2ccccn2)Cc2cccc(N)n2)n1 7.7777257 0.5</t>
  </si>
  <si>
    <t>Cc1ccc(CN(Cc2ccccn2)Cc2cccc(CN(C)C(C)C)n2)nc1 7.777714 0.4878048780487805</t>
  </si>
  <si>
    <t>CN1CCN(C)CCN(CC2=CCC(N(C)c3cccc4cccnc34)=CN2)CC1 7.7777076 0.4074074074074074</t>
  </si>
  <si>
    <t>Cc1cc(C)c(CN(C)C2CC(N(C)Cc3ccccn3)CC(N(Cc3ccccn3)Cc3nc(C)c(C)cc3C)C2)nc1C 7.777704 0.4339622641509434</t>
  </si>
  <si>
    <t>Cc1cccnc1C1CC(C)(C)C1 7.7776966 0.2608695652173913</t>
  </si>
  <si>
    <t>Cc1ccc(C)c(CN(Cc2nc(C)c(C)cc2C)C2CC(N(C)Cc3ccccn3)CC(N(C)Cc3ncccc3C)C2)n1 7.7776933 0.3709677419354839</t>
  </si>
  <si>
    <t>Cc1ccnc(CN(Cc2ccnc(CN(C)C(C)C)c2)Cc2ccccn2)c1 7.7776933 0.4878048780487805</t>
  </si>
  <si>
    <t>C=CCN(C)CC1=CC(N(C)Cc2nc(C)c(C)cc2C)C=CN1 7.777687 0.3064516129032258</t>
  </si>
  <si>
    <t>Cc1ccnc(CN(C)CC2=C(N(C)C(C)C)CC=CN2)c1 7.77768 0.34545454545454546</t>
  </si>
  <si>
    <t>CN(CCN(C)c1ccc2nc(CF)ccc2c1)Cc1cc(-c2ccc3c(c2)OCCOCCOCCOCCOCCO3)ccn1 7.7776775 0.3466666666666667</t>
  </si>
  <si>
    <t>CCCN(C)CC1=CC(N(C)Cc2nc(C)c(C)cc2C)C=CN1 7.777664 0.31666666666666665</t>
  </si>
  <si>
    <t>CC1=CCC2(CCC(C(C)C)=CC23C(c2ncccc2CN(Cc2ccccn2)Cc2ccccn2)=CC(c2ncccc2CN(Cc2ccccn2)Cc2ccccn2)CC32CC(C)C=C(C)C23CC=C(C)C2(CC(C)C=CC24CC=CC(C)C42CC=C(C)C(C)C2)C3)CC1C 7.777658 0.2</t>
  </si>
  <si>
    <t>Cc1ccc(CN(C)CC2=CCC(N(C)C(C)C)=CN2)nc1 7.7776513 0.5</t>
  </si>
  <si>
    <t>Cc1ccnc(C)c1 7.7776475 0.38235294117647056</t>
  </si>
  <si>
    <t>CNCc1ncccc1-c1cncc(CN(C)C2CCCC(N(C)Cc3nc(C)ccc3C)C2)c1 7.7776394 0.2638888888888889</t>
  </si>
  <si>
    <t>CC1=CC(C)(c2cc(CN(Cc3ccccn3)Cc3ccccn3)ccn2)CCC1C 7.7776394 0.40816326530612246</t>
  </si>
  <si>
    <t>Cc1cncc(CN(C)CC2=CC(N(C)C(C)(C)c3ccccn3)C=CN2)c1 7.777631 0.2714285714285714</t>
  </si>
  <si>
    <t>CC(NCc1ccccn1)C1COC(C2=CCC=CN2)=N1 7.7776227 0.4098360655737705</t>
  </si>
  <si>
    <t>Cc1cc(C)c(CN(C)C2CCCC(N(C)Cc3ccccn3)C2N(Cc2nc(C)c(C)c(C)c2C)Cc2nc(C)c(C)c(C)c2C)cn1 7.777616 0.4666666666666667</t>
  </si>
  <si>
    <t>Cc1cnc(CN(C)Cc2ncccc2CN(C)CCN)c(C)c1C 7.777614 0.4</t>
  </si>
  <si>
    <t>CCNCc1cc(CN(Cc2ccccn2)Cc2cccc(N)n2)ccn1 7.77761 0.4444444444444444</t>
  </si>
  <si>
    <t>COC(=O)c1cc(CN(Cc2ccccn2)C2CCC(N(C)Cc3nc(C)c(C)cc3C)CC2)ccn1 7.7776074 0.3333333333333333</t>
  </si>
  <si>
    <t>Cc1ccc(CN(Cc2ccc(N(C)C)cn2)C2CCC(N(C)Cc3cc(C)c(C)c(C)n3)CC2)nc1 7.7776046 0.44642857142857145</t>
  </si>
  <si>
    <t>Cc1cnc(CN(Cc2ccccn2)Cc2ccccn2)c(C2CCC2(C)C)c1 7.777604 0.43478260869565216</t>
  </si>
  <si>
    <t>CC(C)NCc1ccc(C(C)(C)C)cn1 7.7776017 0.3023255813953488</t>
  </si>
  <si>
    <t>CN(CCN(C)c1ccc2nc(CF)ccc2c1)Cc1ncccc1-c1ccc2c(c1)OCCOCCOCCOCCOCCO2 7.7776012 0.30864197530864196</t>
  </si>
  <si>
    <t>CN1CCN(C)CCN(CC2=CCC(N(C)c3ccc4cccnc4c3)=CN2)CC1 7.777594 0.3709677419354839</t>
  </si>
  <si>
    <t>CC(C)C1=CC2(C=CN1)C=CC(C)(C)C(c1cccc(CN(Cc3ccccn3)Cc3cccc(-c4ccc5c(c4)OCCOCCOCCOCCOCCO5)n3)n1)C2c1cccc(CN(Cc2ccccn2)C2CCC(N(C)c3ccc4nc(CF)ccc4c3)CC2)n1 7.7775836 0.2818181818181818</t>
  </si>
  <si>
    <t>CCN(CC1=CC(N(C)Cc2cccc(-c3ccc4c(c3)OCCOCCOCCOCCOCCO4)n2)C=CN1)c1ccc2ncccc2c1 7.7775774 0.27472527472527475</t>
  </si>
  <si>
    <t>CNC1CCCCC1N(C)c1ccc2nc3c(cc2c1)CCCC3 7.7775764 0.4909090909090909</t>
  </si>
  <si>
    <t>Cc1cccnc1CN(CCN(C)Cc1ncccc1CF)Cc1ncccc1F 7.7775702 0.38461538461538464</t>
  </si>
  <si>
    <t>CNc1ccc(-c2cccc(CN(C)C3CCC(N(C)Cc4cc(C)ccn4)CC3)n2)cc1 7.777564 0.3559322033898305</t>
  </si>
  <si>
    <t>CNC1N=C2CCCCC2=CC1N(Cc1cc(C)c(C)c(C)n1)Cc1cc(C)c(C)c(C)n1 7.77756 0.203125</t>
  </si>
  <si>
    <t>CNC1C(N(Cc2cccc(C)n2)Cc2cccc(C)n2)CCCC1N(Cc1nc(C)c(C)c(C)c1C)Cc1nc(C)c(C)c(C)c1C 7.777559 0.49019607843137253</t>
  </si>
  <si>
    <t>Cc1cnc(CN(C)CCC2=NCC(C)(C)O2)c(C)c1C 7.777554 0.30612244897959184</t>
  </si>
  <si>
    <t>Cc1cc(C)c(C)c(CN(C)C2CCCC(N(Cc3ccccn3)c3cccc(C)c3C)C2)n1 7.7775483 0.39344262295081966</t>
  </si>
  <si>
    <t>CN(CCN)CC1=CCC=C(N(C)Cc2ccccn2)N1 7.777534 0.4107142857142857</t>
  </si>
  <si>
    <t>CC(C)N(C(C)C)C1CCC(N(C)c2ccc3ncccc3c2)CC1 7.777532 0.34615384615384615</t>
  </si>
  <si>
    <t>CN1CCN(C)CCN(CC2=CCC(N(C)c3ccc4ncccc4c3)=CN2)CC1 7.7775164 0.4</t>
  </si>
  <si>
    <t>CNCC1C(N(C)Cc2nc(C)c(C)c(C)c2C)CCN1Cc1nc(C)c(C)c(C)c1C 7.7775164 0.2542372881355932</t>
  </si>
  <si>
    <t>CN(CC1=CC=CNC1NCc1ccccn1)Cc1ccccn1 7.777516 0.4230769230769231</t>
  </si>
  <si>
    <t>CC1CC=Cc2ccc(C3(C)CC=CC(C)C3C)nc21 7.7775116 0.16071428571428573</t>
  </si>
  <si>
    <t>Cc1cc(C)c(CN(C)CCN(C)CC(C)(C)C)nc1C 7.7775073 0.32558139534883723</t>
  </si>
  <si>
    <t>CCOC(=O)C(C)NCc1cccc(CN(Cc2ccccn2)Cc2ccccn2)n1 7.7775073 0.44642857142857145</t>
  </si>
  <si>
    <t>Cc1cccnc1CN(C)C1=CNC(CN(Cc2ccccn2)CC(C)C(C)N)=CC1 7.7774944 0.3880597014925373</t>
  </si>
  <si>
    <t>CN1CCN(C)CCN(CC2=C(N(C)c3ccc4cccnc4c3)CC=CN2)CC1 7.7774854 0.36507936507936506</t>
  </si>
  <si>
    <t>CN(c1cccc2cc(CF)cnc12)C1CCCCC1N(Cc1ccc(CNCF)nc1)Cc1ccccn1 7.777474 0.4305555555555556</t>
  </si>
  <si>
    <t>CC1=CCC(C)C(C)(c2ncccc2CN(Cc2ccccn2)Cc2ncccc2C(C)(C)C)C1C 7.777465 0.3709677419354839</t>
  </si>
  <si>
    <t>CN(CC1=CCC=CN1)CC1=CCC=C(N(C)CC2=CCC=CN2)N1 7.7774644 0.38</t>
  </si>
  <si>
    <t>CNCc1cccc(CN(Cc2cccc(C)n2)C2CCC(N(C)Cc3cccc(-c4cccc(C)c4)n3)CC2)n1 7.7774634 0.423728813559322</t>
  </si>
  <si>
    <t>Cc1cccc(CNCc2ncccc2C(C)(C)C)c1 7.777463 0.2553191489361702</t>
  </si>
  <si>
    <t>CNCCN(Cc1cc(C)ccn1)Cc1cc(C)c(C)c(C)n1 7.777461 0.3148148148148148</t>
  </si>
  <si>
    <t>Cc1cccnc1CN(Cc1ccccn1)Cc1ccc(N(C)Cc2ncccc2-c2ccc3c(c2)OCCOCCOCCOCCOCCO3)cn1 7.77746 0.3375</t>
  </si>
  <si>
    <t>C=CCNCc1cc(CN(Cc2ccccn2)Cc2cc(C)ccn2)ccn1 7.7774596 0.43478260869565216</t>
  </si>
  <si>
    <t>CC1C=CCC(C)C1(C)c1ncccc1CN(Cc1ccccn1)Cc1ccc(C(C)(C)C)cn1 7.777458 0.3508771929824561</t>
  </si>
  <si>
    <t>Fc1cccc(CN(Cc2cccc(-c3ccc4c(c3)OCCOCCOCCOCCOCCO4)n2)Cc2ccnc3ccccc23)n1 7.7774568 0.36619718309859156</t>
  </si>
  <si>
    <t>CNCc1cccc(CN(C)Cc2ccc(F)cn2)n1 7.7774496 0.425531914893617</t>
  </si>
  <si>
    <t>Cc1cccc(C)n1 7.7774467 0.46153846153846156</t>
  </si>
  <si>
    <t>CN1CCN(C)CCN(CC2=CCC(N(C)c3cccc4ncccc34)=CN2)CC1 7.7774467 0.3620689655172414</t>
  </si>
  <si>
    <t>Cc1ccc(C)c(CN(C)C2=CNC(CN(C)C(C)C(C)C)=CC2)n1 7.7774444 0.22807017543859648</t>
  </si>
  <si>
    <t>CNCCN(Cc1ccccn1)Cc1nc(N)c(C)c(C)c1C 7.7774444 0.48936170212765956</t>
  </si>
  <si>
    <t>CNCCN(Cc1cc(C)ccn1)Cc1nc(C)c(C)cc1C 7.7774363 0.3148148148148148</t>
  </si>
  <si>
    <t>CN(CCN(C)c1ccc(F)cc1)Cc1ccccn1 7.7774186 0.4878048780487805</t>
  </si>
  <si>
    <t>CC(C)C(C)N(CCN(C)Cc1ccc2ncccc2c1)Cc1ccccn1 7.7774153 0.48</t>
  </si>
  <si>
    <t>CC(C)N(Cc1cc(C(C)(C)C)ccn1)Cc1cc(C(C)(C)C(C)C)ccn1 7.7774105 0.4418604651162791</t>
  </si>
  <si>
    <t>CC1=CC(C)(C)C(C)(C)C2=C1CC=C(C(C)C)N2 7.777404 0.11764705882352941</t>
  </si>
  <si>
    <t>Cc1cccnc1CN(C)CC1=C(N(C)C(C)C)CC=CN1 7.7773986 0.2909090909090909</t>
  </si>
  <si>
    <t>Cc1cncc(CN(C)CCN(C)Cc2ncc(C)cc2C)c1 7.7773914 0.40476190476190477</t>
  </si>
  <si>
    <t>CNCc1cccc(CN(Cc2ccccn2)Cc2cccc(C3CC(Cl)C3Cl)n2)n1 7.77739 0.4166666666666667</t>
  </si>
  <si>
    <t>Cc1cnc(CN(C)C2=CNC=CC2CN(C)C(C)(C)C)c(C)c1 7.7773743 0.22413793103448276</t>
  </si>
  <si>
    <t>CC1=C(C)CC2(C(C)C1)C(c1ncccc1CN(Cc1ccccn1)C1CCCC(N(C)c3cccc4ncc(CF)cc34)C1)C(c1cc(CN(Cc3ccccn3)C3CCCCC3)ccn1)C=CC21CC(C)=C(C)C(C)C1 7.7773743 0.2222222222222222</t>
  </si>
  <si>
    <t>Cc1ccc(CN(C)C2CC(N(C)Cc3ccccn3)CC(N(Cc3nc(C)cc(C)c3C)Cc3nc(C)cc(C)c3C)C2)nc1 7.7773695 0.4067796610169492</t>
  </si>
  <si>
    <t>CC(C)NCc1cccc(CN(Cc2ccccn2)C(C)(N)N(Cc2ccccn2)C(C)C)n1 7.7773657 0.40384615384615385</t>
  </si>
  <si>
    <t>CC1C=CCC(c2ccc(CN(Cc3ccccn3)C3CCC(N(C)c4ccc5ncc(CF)cc5c4)CC3)cn2)C1C 7.7773585 0.27848101265822783</t>
  </si>
  <si>
    <t>CC1=C(N(C)Cc2ccccn2)CC(C)(C)C(C)C1 7.777351 0.4375</t>
  </si>
  <si>
    <t>C=CCNCc1cccc(CN(Cc2ccccn2)C2CCCCC2N(C)c2ccc3ccc(CF)nc3c2)n1 7.7773504 0.3972602739726027</t>
  </si>
  <si>
    <t>CC(C)N(C)C1=CCC=C(CN(C)Cc2ccccn2)N1 7.777343 0.46808510638297873</t>
  </si>
  <si>
    <t>CCN(CC1=CC(N(C)Cc2ncccc2C)C=CN1)Cc1cccnc1C 7.7773323 0.26865671641791045</t>
  </si>
  <si>
    <t>Cc1ccnc(CN(C)C2CCCC(N(C)Cc3ccccn3)C2N(Cc2nc(C)c(C)c(C)c2C)Cc2nc(C)c(C)c(C)c2C)c1C 7.777329 0.5</t>
  </si>
  <si>
    <t>CNCN(Cc1ccccn1)Cc1ncc(C)c(C)c1C 7.7773275 0.48717948717948717</t>
  </si>
  <si>
    <t>CN(CN)C1=CC(CN(Cc2ccccn2)Cc2ccccn2)C=CN1 7.7773247 0.43636363636363634</t>
  </si>
  <si>
    <t>CNCCN(C)Cc1cc(C)c(C)c(C)n1 7.7773223 0.35714285714285715</t>
  </si>
  <si>
    <t>CC(C)N(C)Cc1ccc(CN(Cc2ccccn2)Cc2ncccc2F)nc1 7.7773013 0.43478260869565216</t>
  </si>
  <si>
    <t>CCOC(=O)C1CC(c2ccccn2)C(CN(Cc2ccccn2)Cc2ccccn2)N(C)C1c1ccccn1 7.777289 0.3392857142857143</t>
  </si>
  <si>
    <t>CC(C)C(C)N(Cc1ccccn1)Cc1cc(C(C)(C)c2ccccn2)ccn1 7.777285 0.46808510638297873</t>
  </si>
  <si>
    <t>CN(CCNCCN)Cc1cccc2ncccc12 7.7772756 0.44680851063829785</t>
  </si>
  <si>
    <t>Cc1cnc(CN(C)Cc2ccc3ncccc3c2)c(-c2ccc3c(c2)OCCOCCOCCOCCOCCO3)c1 7.777275 0.3076923076923077</t>
  </si>
  <si>
    <t>CC(C)C1=CC2(C=CN1)CC(c1cc(CN(Cc3ccccn3)Cc3ccccn3)ccn1)C(C)(C)C=C2c1ccc(CN(Cc2ccccn2)Cc2cccc(-c3ccc4c(c3)OCCOCCOCCOCCOCCO4)n2)cn1 7.7772746 0.3163265306122449</t>
  </si>
  <si>
    <t>CCN(Cc1ccccn1)C1CCCCC1N(C)c1ccc2nc(CF)ccc2c1 7.777273 0.45614035087719296</t>
  </si>
  <si>
    <t>CCOC(=O)c1cccc(-c2cc(CN3CCN(C)CCN(Cc4cccc(C(C)NCc5ccccn5)n4)CC3)ccn2)n1 7.777269 0.4473684210526316</t>
  </si>
  <si>
    <t>CCNCc1cccc(CN(Cc2ccccn2)Cc2ncccc2C)n1 7.777266 0.46511627906976744</t>
  </si>
  <si>
    <t>CCN(Cc1ccccn1)Cc1cc(C(C)(C)c2cc(CN(Cc3ccccn3)C3CCCCC3N(C)Cc3cc(C)c(C)c(C)n3)ccn2)ccn1 7.777261 0.42857142857142855</t>
  </si>
  <si>
    <t>CC1C=CC(C)(c2ncccc2CN(Cc2ccccn2)Cc2ncccc2C(C)(C)C)CC1C 7.77726 0.35714285714285715</t>
  </si>
  <si>
    <t>CC1=CCC(C)(c2cccc(CN(Cc3ccccn3)Cc3ccccn3)n2)CC1C 7.7772593 0.43478260869565216</t>
  </si>
  <si>
    <t>CC(C)N(CC1=CC(N(C)Cc2cccc(-c3ccc4c(c3)OCCOCCOCCOCCOCCO4)n2)C=CN1)c1ccc2ncccc2c1 7.7772512 0.2717391304347826</t>
  </si>
  <si>
    <t>CC1C=CCC(C)(c2cccc(CN(Cc3ccccn3)C3CCC(N(C)c4ccc5nc(CF)ccc5c4)CC3)n2)C1C 7.7772403 0.32</t>
  </si>
  <si>
    <t>Cc1cnc(C2CCC2(C)C)c(C2=NC(=O)C(C(C)C(=O)C(C)C(C)C(C)C)O2)c1C 7.77724 0.1686746987951807</t>
  </si>
  <si>
    <t>Cc1nc(CN(C)C2CCCCC2N(C)C2(c3nc(C)c([SiH3])c([SiH3])c3C)C(C)N(C)C2C)c(C)c(C)c1C 7.7772317 0.30158730158730157</t>
  </si>
  <si>
    <t>Cc1cc(C)c(CN(C)CCN(C)Cc2ccccn2)nc1C 7.7772307 0.4782608695652174</t>
  </si>
  <si>
    <t>Cc1cccc(CN(C)C2CCC(N(C)c3cccc(-c4ccc(CN(C)C(C)C)nc4)c3)CC2)n1 7.7772293 0.4098360655737705</t>
  </si>
  <si>
    <t>CN(CCN(C)c1cccc2nccc(CF)c12)Cc1ncccc1-c1cccc2c1OCCOCCOCCOCCOCCO2 7.7772274 0.2898550724637681</t>
  </si>
  <si>
    <t>CCNC1C(N(C)Cc2ccccn2)CCCC1N(C)c1cccc2nc(CF)ccc12 7.777224 0.45901639344262296</t>
  </si>
  <si>
    <t>CC(C)N(Cc1ccc(-c2cccc(N(C)C)c2)cn1)Cc1ccc(-c2ccc3c(c2)OCCOCCOCCOCCOCCO3)cn1 7.7772193 0.46153846153846156</t>
  </si>
  <si>
    <t>Cc1cnc(CN2CCN(C)CCN(CN(C)c3cccc4ncccc34)CC2)c(C)c1 7.777217 0.36065573770491804</t>
  </si>
  <si>
    <t>Cc1cnc(-c2ccc(CN(C)Cc3cccc(-c4ccc5c(c4)OCCOCCOCCOCCOCCO5)n3)cc2)c(C)c1 7.777215 0.3333333333333333</t>
  </si>
  <si>
    <t>Cc1ccnc(CN(C)CCN(C)C)c1C 7.777209 0.38461538461538464</t>
  </si>
  <si>
    <t>CCN(CCN(C)Cc1ncc(C)cc1C)Cc1ncc(C)c(C)c1C 7.777207 0.391304347826087</t>
  </si>
  <si>
    <t>Cc1cccc(CN(C)C2CCCC(N(C)c3cccc(-c4cccc(CN(C)C(C)C)n4)c3)C2)n1 7.7772036 0.4406779661016949</t>
  </si>
  <si>
    <t>CNC1CCC2(C=CC=CN2)C(N(Cc2ncccc2C)Cc2ncccc2C)C1N(Cc1ncccc1C)Cc1ncccc1C 7.777201 0.2222222222222222</t>
  </si>
  <si>
    <t>Cc1ccc(CNCCN(C)Cc2nc(C)c(C)cc2C)nc1 7.777192 0.4782608695652174</t>
  </si>
  <si>
    <t>Cc1cnc(CN(C)Cc2cccc(N(C)C3CCC(N(C)Cc4cc(C)c(C)c(C)n4)CC3)n2)c(C)c1 7.7771792 0.3181818181818182</t>
  </si>
  <si>
    <t>Cc1ccc(CN(C)C2CC(N(Cc3ccc(C)nc3)Cc3ccccn3)CC(N(Cc3cccc(C)n3)Cc3cccc(C)n3)C2)nc1 7.7771764 0.3870967741935484</t>
  </si>
  <si>
    <t>CCNCc1cc(CN(Cc2ccccn2)Cc2ncccc2C)ccn1 7.777174 0.4444444444444444</t>
  </si>
  <si>
    <t>Cc1cccnc1CN(C)C1=CCC=C(CN(C)C(C)C(C)C)N1 7.7771735 0.265625</t>
  </si>
  <si>
    <t>CC1=CCC2(C=CC(C)C(C)C23C(c2ncccc2CN(Cc2ccccn2)Cc2ccccn2)C(c2ccc(CN(Cc4ccccn4)Cc4ccccn4)cn2)C=CC32CC(C(C)C)=CCC23CC=C(C)C(C)C3)C(C)C1 7.777173 0.2222222222222222</t>
  </si>
  <si>
    <t>CN(C)Cc1cccc(C2CC(C)(C)C2)n1 7.7771683 0.3695652173913043</t>
  </si>
  <si>
    <t>Cc1cccc(-c2cccc(CN(C)C3CCC(N(Cc4ccccn4)Cc4cccc(C)n4)CC3)n2)c1 7.7771616 0.4603174603174603</t>
  </si>
  <si>
    <t>CN(Cc1cccc(-c2ccc3c(c2)OCCOCCOCCOCCOCCO3)n1)Cc1cccc(-c2ccccc2NCc2ccccn2)n1 7.777161 0.42857142857142855</t>
  </si>
  <si>
    <t>Cc1ccc(CN(C)C2=C(CN(Cc3ccccn3)C3(C)CCC3)NC=CC2)nc1 7.7771473 0.3492063492063492</t>
  </si>
  <si>
    <t>Cc1ccc(CN(C)C2CC(N(C)Cc3ccccn3)CC(N(Cc3ccc(N)cn3)Cc3cc(C)c(C)c(C)n3)C2)nc1C 7.777144 0.359375</t>
  </si>
  <si>
    <t>Cc1ccc(CN(Cc2ccccn2)C2CCC(N(C)Cc3cccc(-c4ccccc4)n3)CC2)nc1C 7.777136 0.43859649122807015</t>
  </si>
  <si>
    <t>CNC1CCCCC1N(C)c1ccc2cc3c(nc2c1)CCCC3 7.7771335 0.5</t>
  </si>
  <si>
    <t>CN(c1cccc2nc(CF)ccc12)C1CCCCC1N(Cc1ccnc(CNCF)c1)Cc1ccccn1 7.7771335 0.4166666666666667</t>
  </si>
  <si>
    <t>CCCN(Cc1ccccn1)c1ccc2c(c1-c1cccc(CN(Cc3ccccn3)Cc3ccc4ccccc4n3)n1)OCCOCCOCCOCCOCCO2 7.777131 0.47619047619047616</t>
  </si>
  <si>
    <t>CNCc1cc(N(C)C(C)C)ccn1 7.777123 0.3488372093023256</t>
  </si>
  <si>
    <t>Cc1ccc(C)c(CN(C)CCN(C)C)n1 7.777117 0.4722222222222222</t>
  </si>
  <si>
    <t>COC(=O)c1cc(CN(Cc2ccccn2)C2CCC(N(C)Cc3nc(C)c(C)c(C)c3C)CC2)ccn1 7.7771163 0.3333333333333333</t>
  </si>
  <si>
    <t>Cc1ccc(CN(C)Cc2cccc(N(C)C3CCC(N(Cc4ccccn4)Cc4nccc(C)c4C)CC3)n2)nc1 7.777114 0.390625</t>
  </si>
  <si>
    <t>CN(c1cccc2ncc(CF)cc12)C1CCCCC1N(Cc1ccccn1)CC1C=CNC=C1 7.777105 0.38235294117647056</t>
  </si>
  <si>
    <t>Cc1cccc(-c2ccc(NCc3cccc(-c4ccc5c(c4)OCCOCCOCCOCCOCCO5)n3)cc2)n1 7.777098 0.3333333333333333</t>
  </si>
  <si>
    <t>Cc1cnccc1CN(C)CC1=CCC(N(C)C(C)C)=CN1 7.7770915 0.2542372881355932</t>
  </si>
  <si>
    <t>CC1=CCC(C)C(C)=C1CN(C)Cc1cc(C)ccn1 7.777085 0.37254901960784315</t>
  </si>
  <si>
    <t>CCCN(CC1=CC(N(C)Cc2nc(C)c(C)cc2C)C=CN1)Cc1ccccn1 7.777083 0.3770491803278688</t>
  </si>
  <si>
    <t>CC1=CC(c2ccc(CN(C)Cc3cc(N)ccn3)nc2C)C(C)C(C)C1 7.7770824 0.3114754098360656</t>
  </si>
  <si>
    <t>CN(C)Cc1cc(CF)ccn1 7.7770796 0.358974358974359</t>
  </si>
  <si>
    <t>CC1=CC(C)C(C)CC1(C)c1ncccc1CN(Cc1ccccn1)Cc1ccccn1 7.777074 0.43478260869565216</t>
  </si>
  <si>
    <t>Cc1ccc(CN(C)CC2=CCC=CN2)cc1C 7.7770557 0.39215686274509803</t>
  </si>
  <si>
    <t>Cc1nc(CN(C)C2CCCCC2N(C)C2(c3nc(C)c(C)c(C)c3C)C(C)N(C)C2C)c(C)c(C)c1C 7.7770505 0.3333333333333333</t>
  </si>
  <si>
    <t>CN(CCN(Cc1ccccn1)c1cccc2cccnc12)Cc1ncccc1-c1cccc2c1OCCOCCOCCOCCOCCO2 7.777045 0.36363636363636365</t>
  </si>
  <si>
    <t>CCN(Cc1ccccn1)C1CCCCC1N(C)c1ccc2cccnc2c1 7.7770443 0.49056603773584906</t>
  </si>
  <si>
    <t>CC1=C(C)C(C)C(C)(c2ncccc2CN(Cc2ccccn2)Cc2ccccn2)CC1 7.7770433 0.43478260869565216</t>
  </si>
  <si>
    <t>Cc1cnc(CN(C)CCN(C)Cc2ncccc2C)c(C)c1 7.777035 0.43902439024390244</t>
  </si>
  <si>
    <t>CCNCc1cccc(CN(Cc2ccccn2)Cc2ncccc2N)n1 7.7770324 0.45454545454545453</t>
  </si>
  <si>
    <t>CC1=CC(c2cccc(CN(C)Cc3cncc(C)c3)n2)C(N(C)Cc2ccccn2)C(C)C1 7.7770295 0.4</t>
  </si>
  <si>
    <t>CCCc1ccnc2ccc(N(C)C3CCC(N(Cc4ccnc(C5CCC5C(C)C)c4)Cc4ccccn4)CC3)cc12 7.777027 0.2894736842105263</t>
  </si>
  <si>
    <t>CC1=CC(C)C2(C(C)C1)C(c1ccc(CN(Cc3ccccn3)C3CCC(N(C)c4ccc5ncc(CN(C)C)cc5c4)CC3)cn1)C=CC(C)C21C(C)C=CC(C)C1C 7.7770243 0.24719101123595505</t>
  </si>
  <si>
    <t>Cc1cnc(CN(C)CCN(C)Cc2cccnc2C)c(C)c1C 7.7770143 0.4666666666666667</t>
  </si>
  <si>
    <t>Cc1cc(-c2ccc3c(c2)OCCOCCOCCOCCOCCO3)cc(-c2ccc(CN(C)Cc3ccccn3)cn2)c1C 7.7770133 0.3382352941176471</t>
  </si>
  <si>
    <t>CNCc1cccc(CN(Cc2ccccn2)C2CCCCC2N(C)Cc2cccc(-c3cc(Cl)ccc3N)n2)n1 7.777002 0.4838709677419355</t>
  </si>
  <si>
    <t>Cc1cnc(CN(C)C2CC(N(C)Cc3ccccn3)CC(N(Cc3cc(C)c(C)cn3)Cc3cc(C)c(C)c(C)n3)C2)cc1C 7.776994 0.4107142857142857</t>
  </si>
  <si>
    <t>Cc1ccc(CN(C)Cc2cccc(N(C)C3CCC(N(Cc4cccc(C)n4)Cc4ncccc4C)CC3)n2)nc1 7.7769923 0.36065573770491804</t>
  </si>
  <si>
    <t>C=CCN(C)CCN(Cc1ccccn1)Cc1cnccc1C(C)(C)c1ccccn1 7.776992 0.4603174603174603</t>
  </si>
  <si>
    <t>CCNCC1=CC(N(C)Cc2nc(C)c(C)c(C)c2C)C=CN1 7.7769914 0.3</t>
  </si>
  <si>
    <t>Cc1ccc(C2CCC2(C)C)nc1CN(Cc1ccccn1)Cc1ccccn1 7.7769823 0.4444444444444444</t>
  </si>
  <si>
    <t>Cc1cccnc1CN(C)CCN(C)Cc1c(C)cncc1C 7.776975 0.4</t>
  </si>
  <si>
    <t>CN(c1cccc2nc(CF)ccc12)C1CCC(N(C)C2C=CC=CN2)CC1 7.7769737 0.375</t>
  </si>
  <si>
    <t>CNCc1cccc(CN(Cc2cccc(C)n2)C2CCC(N(C)Cc3cccc(-c4ccccn4)n3)CC2)n1 7.77697 0.45614035087719296</t>
  </si>
  <si>
    <t>Cc1cnccc1CN(C)CC1=CCC=CN1 7.7769623 0.4230769230769231</t>
  </si>
  <si>
    <t>CC(C)(C)c1cc(CN(CCSCc2ccccn2)Cc2ccccn2)ccn1 7.7769566 0.45652173913043476</t>
  </si>
  <si>
    <t>CC(C)(c1ccccn1)c1cccnc1CNCF 7.776953 0.34</t>
  </si>
  <si>
    <t>CN1CCN(C)CCN(c2cccc3ncc4c(c23)CCCC4)CC1 7.776952 0.37209302325581395</t>
  </si>
  <si>
    <t>CC1=C(C)C(C)C2(CC(C)C=CC2C)C(C(C)(C)c2ccc(CN(Cc3ccccn3)C3CCC(N(C)c4ccc5cc(CN(C)C)cnc5c4)CC3)cn2)C1NCc1ccccn1 7.776949 0.23157894736842105</t>
  </si>
  <si>
    <t>Cc1cc(C)c(CN(C)Cc2cccc(N(C)C3CCC(N(Cc4ccccn4)Cc4ncccc4C)CC3)n2)cn1 7.7769265 0.373134328358209</t>
  </si>
  <si>
    <t>CC(N)C(C)N(C)CC1=CCC(N(C)C(c2ccccc2)c2ccccn2)=CN1 7.776924 0.3870967741935484</t>
  </si>
  <si>
    <t>Cc1ccnc(CN(Cc2cc(C(C)(c3ccccc3)C(C)C)ccn2)CC(C)(C)C)c1 7.7769213 0.43137254901960786</t>
  </si>
  <si>
    <t>CCNCC1=CCC(N(C)Cc2ccccn2)=CN1 7.7769194 0.40384615384615385</t>
  </si>
  <si>
    <t>CC(C)C1(C)COC(c2cccc(CN(Cc3cccc(C4=NC(C)(C)CO4)n3)Cc3cccc(-c4ccc5c(c4)OCCOCCOCCOCCOCCO5)n3)n2)=N1 7.776914 0.4166666666666667</t>
  </si>
  <si>
    <t>Cc1ccc(CN(C)c2ccc(CN(Cc3ccccn3)Cc3cccc(-c4cc(N)cc5c4OCCOCCOCCOCCOCCO5)n3)nc2)nc1 7.776911 0.358974358974359</t>
  </si>
  <si>
    <t>CNCc1cccc(CN(Cc2ccccn2)C2C=CC=CN2)n1 7.7769084 0.48148148148148145</t>
  </si>
  <si>
    <t>CN(c1ccc2nc(CF)ccc2c1)C1CCC(N(Cc2ccccn2)CC(C)(C)C)CC1 7.7769017 0.41379310344827586</t>
  </si>
  <si>
    <t>Cc1cnc(C)c(C)c1CN(C)CCN(C)Cc1ccccn1 7.7769 0.46511627906976744</t>
  </si>
  <si>
    <t>Cc1cccnc1CN(C)C1C=CNC(CN(Cc2ccccn2)C(C)C)=C1 7.776887 0.43636363636363634</t>
  </si>
  <si>
    <t>Cc1cnc(C2CCC2(C)C)c(CN(Cc2ccccn2)Cc2ccccn2)c1 7.7768817 0.43478260869565216</t>
  </si>
  <si>
    <t>Cc1cc(C)c(CN(Cc2cc(C)c(C)c(C)n2)C2CCCC(N(C)Cc3cc(C)c(C)c(C)n3)C2)nc1C 7.7768683 0.288135593220339</t>
  </si>
  <si>
    <t>CC(C)C1=CC2(C=CN1)C=CC(C)(C)C(NCc1ccccn1)C2c1cccc(CN(Cc2ccccn2)Cc2ccccn2)n1 7.776866 0.32894736842105265</t>
  </si>
  <si>
    <t>Cc1ccc(CN(C)C2CC(N(Cc3ccccn3)Cc3ccccn3)CC(N(Cc3ccccn3)Cc3cc(C)c(C)c(C)n3)C2)nc1 7.776866 0.41379310344827586</t>
  </si>
  <si>
    <t>Cc1cnc(C2CCC2(C)C)c(C(C)(C)C2(C)COC=N2)c1C 7.776861 0.19047619047619047</t>
  </si>
  <si>
    <t>CC1=CC(C)C(C)C2(C1)C(c1cc(CN(Cc3ccccn3)Cc3ccccn3)ccn1)C(c1ncccc1CN(Cc1ccccn1)Cc1ccccn1)C=CC21C(C)C(C)C=CC1(C)C 7.77686 0.2777777777777778</t>
  </si>
  <si>
    <t>CC1=CCC(c2cccc(CN(C)C)c2)C=C1C 7.7768593 0.24528301886792453</t>
  </si>
  <si>
    <t>CCN(Cc1ccccn1)C1CCCCC1N(C)c1ccc2ncccc2c1 7.776858 0.5</t>
  </si>
  <si>
    <t>Cc1cccc(CN(C)CC2=CC(N(C)Cc3ccccn3)C=CN2)c1 7.7768545 0.3793103448275862</t>
  </si>
  <si>
    <t>Cc1cnc(CN(C)Cc2cccc(N(C)C3CCC(N(Cc4ccccn4)Cc4ncccc4C)CC3)n2)c(C)c1 7.77684 0.38461538461538464</t>
  </si>
  <si>
    <t>CN(c1cccc2nc(CF)ccc12)C1CCCCC1N(Cc1ccccn1)Cc1cccnc1CNCF 7.776836 0.410958904109589</t>
  </si>
  <si>
    <t>CC1=CC(C)C2(C(C)C1)C(C)C(c1ccc(CN(Cc3ccccn3)Cc3ccccn3)cn1)=CC(C)C2NCc1ccccn1 7.7768326 0.32786885245901637</t>
  </si>
  <si>
    <t>CCNCc1ccc(CN(C)Cc2cc(N)ccn2)cn1 7.776825 0.3137254901960784</t>
  </si>
  <si>
    <t>Cc1ccnc(CN(C)CCN(Cc2nccc(C)c2C)C(C)C)c1C 7.776823 0.4523809523809524</t>
  </si>
  <si>
    <t>CNCc1ncccc1Cl 7.7768173 0.3170731707317073</t>
  </si>
  <si>
    <t>CCNC1CC(N(Cc2ncccc2C)Cc2ncccc2C)C(N(Cc2ncccc2C)Cc2ncccc2C)CC1N(Cc1ncccc1C)Cc1ncccc1C 7.7768054 0.2777777777777778</t>
  </si>
  <si>
    <t>Cc1cnc(CN(CCN(C)C(C)(c2cccnc2)C(C)C)Cc2nc(C)c(C)c(C)c2C)cc1C 7.776804 0.2878787878787879</t>
  </si>
  <si>
    <t>CC(C)C1CCC1c1cc(CN(Cc2ccccn2)C2CCCCC2N(C)c2ccc3nccc(CF)c3c2)ccn1 7.7768025 0.35135135135135137</t>
  </si>
  <si>
    <t>Cc1cncc(CN(C)C2=C(CN(C)C(C)(C)C)NC=CC2)c1 7.7767844 0.21052631578947367</t>
  </si>
  <si>
    <t>Cc1ccc(CN(C)Cc2cccc(N(C)C3CCC(N(Cc4ccccn4)Cc4ncccc4C)CC3)n2)nc1C 7.7767797 0.4032258064516129</t>
  </si>
  <si>
    <t>Cc1cc(CN(C)CCN(C)Cc2ccccn2)nc(C)c1C 7.776772 0.4888888888888889</t>
  </si>
  <si>
    <t>CN(CCN(Cc1ccccn1)c1ccc2ncccc2c1)Cc1ncccc1-c1cccc2c1OCCOCCOCCOCCOCCO2 7.7767515 0.323943661971831</t>
  </si>
  <si>
    <t>CCN(Cc1ccccn1)Cc1ncccc1N(C)C1CCCC(N(C)Cc2cccc(-c3ccccc3)n2)C1 7.776751 0.4142857142857143</t>
  </si>
  <si>
    <t>Cc1ccc(CN(C)Cc2cccc(N(C)C3CCC(N(Cc4cccc(C)n4)Cc4cccc(C)n4)CC3)n2)nc1 7.7767477 0.43137254901960786</t>
  </si>
  <si>
    <t>C=CCNCc1cccc(CN(C)Cc2cccc(N)n2)n1 7.776733 0.4</t>
  </si>
  <si>
    <t>CCCN(C)C1C(N(C)Cc2ccccn2)CCCC1N(Cc1ccccn1)c1ccc2ncccc2c1 7.77672 0.5</t>
  </si>
  <si>
    <t>CCN(Cc1cc(CF)ccn1)C1CCCCC1N(C)c1ccc2ccc(CF)nc2c1 7.7767186 0.43548387096774194</t>
  </si>
  <si>
    <t>CCNCc1ncccc1CN(Cc1ccccn1)Cc1ncccc1N 7.7767177 0.45454545454545453</t>
  </si>
  <si>
    <t>CNCc1cc(CN(C)Cc2cccc(F)n2)ccn1 7.776716 0.42857142857142855</t>
  </si>
  <si>
    <t>CN(CC1=CC(N(C)Cc2ccccn2)C=CN1)Cc1cccnn1 7.7767115 0.48</t>
  </si>
  <si>
    <t>CNCc1cccc(Cl)n1 7.7767034 0.4594594594594595</t>
  </si>
  <si>
    <t>Cc1cnc(CN(C)CF)c(C)c1C 7.776696 0.3684210526315789</t>
  </si>
  <si>
    <t>Fc1ccc(N(Cc2ccccn2)C2CCC(N(Cc3ccccn3)c3cccc(F)c3)CC2)cc1 7.776692 0.39215686274509803</t>
  </si>
  <si>
    <t>CC(C)(C)c1cccc(CN(Cc2ccccn2)Cc2cccc(C3CCC3(C)C)n2)n1 7.7766895 0.4166666666666667</t>
  </si>
  <si>
    <t>CN1CCN(C)CCN(CC2=CCC(N(C)c3ccc4c(CF)ccnc4c3)=CN2)CC1 7.7766848 0.36923076923076925</t>
  </si>
  <si>
    <t>COC(=O)c1cc(CN(Cc2ccccn2)C2CCCC(N(C)Cc3nc(C)c(C)c(C)c3C)C2)ccn1 7.776679 0.34285714285714286</t>
  </si>
  <si>
    <t>Cc1cnc(CN(Cc2nc(C)c(C)c(C)c2C)C2CCCCC2N(C)Cc2nc(C)c(C)c(C)c2C)c(C)c1C 7.7766786 0.43137254901960786</t>
  </si>
  <si>
    <t>CN(Cc1ccccn1)C1CCC(N(C)c2cccc(-c3ccccn3)c2)CC1 7.776676 0.48</t>
  </si>
  <si>
    <t>Cc1cnc(CN(C)C2C=CNC(C(C)C)=C2)cc1C 7.776665 0.3148148148148148</t>
  </si>
  <si>
    <t>Cc1ccnc(CN(C)CCN(C)Cc2cc(C)cc(C)n2)c1 7.77665 0.48717948717948717</t>
  </si>
  <si>
    <t>CN(C)C1C=CC=C(NCc2ccccn2)N1 7.7766438 0.38636363636363635</t>
  </si>
  <si>
    <t>Cc1cccnc1-c1ccccc1NCc1ccc(-c2ccc3c(c2)OCCOCCOCCOCCOCCO3)cn1 7.776637 0.43478260869565216</t>
  </si>
  <si>
    <t>Cc1ccc(CN(C)C2=C(CN(C)C(C)C)NC=CC2)cn1 7.776629 0.21875</t>
  </si>
  <si>
    <t>CNCc1ccc(C)c(C)n1 7.776628 0.23076923076923078</t>
  </si>
  <si>
    <t>Cc1ccc(CN(Cc2ccccn2)Cc2ccccn2)c(C2CCC2(C)C)n1 7.7766213 0.4444444444444444</t>
  </si>
  <si>
    <t>CN1CCN(C)CCN(C(C)(C)c2cccc(-c3cccc(NCc4ccccn4)c3)n2)CC1 7.776609 0.3793103448275862</t>
  </si>
  <si>
    <t>Cc1ccc(CN(C)CC2=CC(N(C)Cc3ccccn3)C=CN2)cc1 7.7766037 0.4</t>
  </si>
  <si>
    <t>CCN(Cc1ccccn1)C1CCCCC1N(C)c1ccc2ccc(CF)nc2c1 7.7765994 0.4642857142857143</t>
  </si>
  <si>
    <t>Cc1cccc(CN(Cc2ccnc(CN(C)C(C)C)c2)Cc2ccccn2)n1 7.776594 0.45454545454545453</t>
  </si>
  <si>
    <t>Cc1cccnc1-c1ccccc1CN(C)C1CCCCC1N(C)Cc1cc(C)c(C)c(C)n1 7.7765884 0.4727272727272727</t>
  </si>
  <si>
    <t>CCNCc1ncccc1CN(Cc1ccccn1)Cc1ncccc1C 7.7765856 0.46511627906976744</t>
  </si>
  <si>
    <t>CC1=CCC(C)(c2ccc(CN(Cc3ccccn3)Cc3ccccn3)cn2)CC1C 7.7765837 0.40816326530612246</t>
  </si>
  <si>
    <t>CC1=CC(C)C(C)C(C)(c2ncccc2CN(Cc2ccccn2)Cc2cc(C(C)(C)C)ccn2)C1 7.776578 0.3508771929824561</t>
  </si>
  <si>
    <t>CNC1CCCCC1N(C)c1ccc2nc(CF)ccc2c1 7.7765775 0.48148148148148145</t>
  </si>
  <si>
    <t>CNCc1cc(CN(Cc2cc(C)ccn2)C2CCC(N(C)Cc3cc(-c4ccccn4)ccn3)CC2)ccn1 7.7765718 0.3384615384615385</t>
  </si>
  <si>
    <t>Cc1cccnc1CN(C)C1C=CNC(CN(C)C)=C1 7.7765713 0.3157894736842105</t>
  </si>
  <si>
    <t>CN(c1ccc2c(CF)ccnc2c1)C1CCCCC1N(CF)Cc1ccccn1 7.776565 0.45614035087719296</t>
  </si>
  <si>
    <t>Cc1cnc(CN(C)Cc2cccc(N(C)C3CCCC(N(C)Cc4nc(C)c(C)cc4C)C3)n2)c(C)c1 7.7765627 0.31343283582089554</t>
  </si>
  <si>
    <t>CN(c1ccc2ncc(CF)cc2c1)C1CCC(N(Cc2ccccn2)CC(C)(C)C)CC1 7.776562 0.3709677419354839</t>
  </si>
  <si>
    <t>Cc1cncc(CN(C)C2=CNC=C(CN(C)C(C)(C)C)C2)c1 7.7765613 0.1935483870967742</t>
  </si>
  <si>
    <t>CCN(Cc1ccccn1)C1CCCCC1N(C)c1cccc2ncccc12 7.776556 0.5</t>
  </si>
  <si>
    <t>CNC1C(N(C)Cc2nc(C)c(C)cc2C)CCCC1N(Cc1nc(C)c(C)cc1C)Cc1nc(C)c(C)c(C)c1C 7.776537 0.3050847457627119</t>
  </si>
  <si>
    <t>CN(CCN(Cc1ccccn1)c1cccc2ncccc12)Cc1ncccc1-c1cccc2c1OCCOCCOCCOCCOCCO2 7.7765346 0.2916666666666667</t>
  </si>
  <si>
    <t>CNCN(Cc1ccccn1)C1CCCC(N(C)c2cccc3ncccc23)C1 7.7765317 0.3898305084745763</t>
  </si>
  <si>
    <t>CCOC(=O)C(C)NCc1ncccc1CN(Cc1ccccn1)Cc1ccccn1 7.776522 0.4166666666666667</t>
  </si>
  <si>
    <t>Cc1cc(NCc2ccccn2)ccc1-c1ncccc1CN1CCN(C)CCN(C)CC1 7.77652 0.49056603773584906</t>
  </si>
  <si>
    <t>Cc1cc(C)c(CN(C)C2C=CNC(CN(C)C(C)C)=C2)nc1C 7.776517 0.3</t>
  </si>
  <si>
    <t>CC1C=CC(C)C(C)(c2cccc(CN(Cc3ccccn3)C3CCC(N(C)c4ccc5ccc(CN(C)C)nc5c4)CC3)n2)C1C 7.776514 0.34285714285714286</t>
  </si>
  <si>
    <t>Cc1nc(CN(C)C2CC(N(C)Cc3ccccn3)CC(N(Cc3ccccn3)Cc3nc(C)c(C)c(C)c3C)C2)c(C)c(C)c1C 7.7765126 0.4423076923076923</t>
  </si>
  <si>
    <t>Cc1cc(CN(C)C2CCCCC2N(C)Cc2ccc3cccnc3c2)c(C)nc1C 7.7765055 0.41818181818181815</t>
  </si>
  <si>
    <t>CC1=C(C)C(C)(c2ncccc2CN(Cc2ccccn2)Cc2ccccn2)CCC1C 7.776487 0.43478260869565216</t>
  </si>
  <si>
    <t>CN(C)CCN(C)CC1=CCC(N(C)Cc2ccccn2)=CN1 7.776483 0.4791666666666667</t>
  </si>
  <si>
    <t>Cc1ccc(C2CCC2(C)C)nc1CN(C)Cc1cccc(N)n1 7.7764807 0.3333333333333333</t>
  </si>
  <si>
    <t>Cc1cc(N(C)CCN(C)CCF)cc(C)c1C 7.77648 0.2682926829268293</t>
  </si>
  <si>
    <t>CN(CC1=CCC=CN1)C1CCC(N(C)c2ccc3nc(CF)ccc3c2)CC1 7.7764797 0.34375</t>
  </si>
  <si>
    <t>COC(=O)C(=O)C(C)CN(Cc1ccccn1)Cc1ccccn1 7.7764735 0.48717948717948717</t>
  </si>
  <si>
    <t>CNCN(Cc1cccc(F)n1)C1CCC(N(C)c2ccc3nc(CF)ccc3c2)CC1 7.7764707 0.3382352941176471</t>
  </si>
  <si>
    <t>CC1C=CCC(C)(c2cccc(CN(Cc3ccccn3)C3CCC(N(C)c4ccc5ncc(CF)cc5c4)CC3)n2)C1C 7.776469 0.2875</t>
  </si>
  <si>
    <t>Cc1ccccc1CN(C)CC1=CC(N(C)Cc2ccccn2)C=CN1 7.7764688 0.4</t>
  </si>
  <si>
    <t>CCNC1NC=CC=C1N(C)Cc1ccccn1 7.7764645 0.42592592592592593</t>
  </si>
  <si>
    <t>CCNCC1=C(N(C)Cc2ccccn2)CC=CN1 7.7764587 0.41818181818181815</t>
  </si>
  <si>
    <t>CCCN(CC1=CC(N(C)Cc2nc(C)c(C)c(C)c2C)C=CN1)Cc1ccccn1 7.7764564 0.38333333333333336</t>
  </si>
  <si>
    <t>Cc1cc(C)c(CN(C)C2CCC(N(C)Cc3ccc4ncccc4c3)CC2)cn1 7.776455 0.288135593220339</t>
  </si>
  <si>
    <t>CNCN(CCN(C)Cc1ncc(C)c(C)c1C)Cc1ncc(C)c(C)c1C 7.7764506 0.37209302325581395</t>
  </si>
  <si>
    <t>CC(C)N(Cc1cnc(C2CCC2(C)C)c(CN(Cc2ccccn2)Cc2ccccn2)c1)Cc1ccccn1 7.7764497 0.42857142857142855</t>
  </si>
  <si>
    <t>CN(Cc1cccc(-c2ccccc2N(C)C)n1)Cc1cccc(-c2cccc3c2OCCOCCOCCOCCOCCO3)n1 7.7764463 0.39285714285714285</t>
  </si>
  <si>
    <t>CN(CCN(C)c1ccc2nccc(CF)c2c1)Cc1cc(-c2cccc3c2OCCOCCOCCOCCOCCO3)ccn1 7.7764378 0.2571428571428571</t>
  </si>
  <si>
    <t>Cc1cnc(CN(C)C2CCCCC2N(C)Cc2ccc3cccnc3c2)c(C)c1C 7.776437 0.43636363636363634</t>
  </si>
  <si>
    <t>C1=CNC(N(Cc2cccnc2)Cc2cccnn2)C=C1 7.776436 0.36</t>
  </si>
  <si>
    <t>COC(=O)C(=O)C(C)C(C)NCc1cc(CN(Cc2ccccn2)Cc2ccccn2)ccn1 7.7764273 0.40816326530612246</t>
  </si>
  <si>
    <t>CNC(c1ccccn1)c1cccnc1CNCF 7.776427 0.30434782608695654</t>
  </si>
  <si>
    <t>CC1=CC(C)(C)CC(C)C1N(C)Cc1cccc(C(C)(C)c2ccccn2)n1 7.7764254 0.35</t>
  </si>
  <si>
    <t>Cc1cnc(CN(Cc2cc(C)c(C)c(C)n2)C2CC(N(C)Cc3ccccn3)CC(N(C)Cc3ccnc(C)c3C)C2)cc1C 7.776424 0.3709677419354839</t>
  </si>
  <si>
    <t>CNCCN(C)Cc1nc(C)c(C)cc1C 7.776423 0.30952380952380953</t>
  </si>
  <si>
    <t>Cc1ccnc(CN(C)C2=CNC(CN(C)C(C)C(C)C)=CC2)c1C 7.77641 0.22388059701492538</t>
  </si>
  <si>
    <t>CC(C)(C)c1cccc(CN(Cc2ccccn2)Cc2cccc(CNCF)n2)n1 7.7764077 0.46511627906976744</t>
  </si>
  <si>
    <t>CNCc1cc(CN(Cc2ccccn2)C2C=CC=CN2)ccn1 7.776407 0.4642857142857143</t>
  </si>
  <si>
    <t>CNCc1cccc(CN(C)Cc2cnccc2F)n1 7.776395 0.37254901960784315</t>
  </si>
  <si>
    <t>CCN(Cc1ccccn1)C1CCCCC1N(C)c1ccc2ncc(CF)cc2c1 7.7763925 0.43333333333333335</t>
  </si>
  <si>
    <t>Cc1cccnc1CN(Cc1ccccn1)Cc1cccnc1CN(C)C(C)C 7.776392 0.46511627906976744</t>
  </si>
  <si>
    <t>CC1=CCC(C)C(C)(c2ncccc2CN(Cc2ccccn2)Cc2ccccn2)C1 7.77639 0.43478260869565216</t>
  </si>
  <si>
    <t>CN(CCN(C)c1ccc2nccc(CF)c2c1)Cc1ncccc1-c1cccc2c1OCCOCCOCCOCCOCCO2 7.7763867 0.273972602739726</t>
  </si>
  <si>
    <t>CN(CCN(C)c1cccc2nccc(CF)c12)Cc1ccc(-c2ccc3c(c2)OCCOCCOCCOCCOCCO3)cn1 7.77637 0.39473684210526316</t>
  </si>
  <si>
    <t>Cc1ccnc(CN(C)Cc2ccccc2C)c1 7.776358 0.4</t>
  </si>
  <si>
    <t>CN1CCN(C)CCN(CC2=CCC=C(N(C)c3ccc4ccc(CF)nc4c3)N2)CC1 7.776356 0.3548387096774194</t>
  </si>
  <si>
    <t>CN(CCN(C)c1cccc2ncc(CF)cc12)Cc1ncccc1-c1ccc2c(c1)OCCOCCOCCOCCOCCO2 7.776352 0.29577464788732394</t>
  </si>
  <si>
    <t>Cc1ccc(CN(C)C2CCCC(N(Cc3ccccn3)Cc3ccc4ccccc4n3)C2)nc1 7.7763457 0.4909090909090909</t>
  </si>
  <si>
    <t>Cc1cccnc1CN(C)CC1=CCC(N(C)C(C)C)=CN1 7.776345 0.2982456140350877</t>
  </si>
  <si>
    <t>Cc1cccc(CN(Cc2ccccn2)C2CC(N(C)Cc3ccccn3)CC(N(Cc3ccccn3)Cc3cc(C)c(C)c(C)n3)C2)n1 7.776343 0.42105263157894735</t>
  </si>
  <si>
    <t>CNC1CC(N(Cc2ccccn2)Cc2nc(C)c(C)cc2C)CC(N(Cc2ccccn2)Cc2nc(C)c(C)cc2C)C1 7.7763424 0.35714285714285715</t>
  </si>
  <si>
    <t>CCNc1cc(CN(Cc2cc(C)ccn2)C(C)C)ccn1 7.77634 0.36</t>
  </si>
  <si>
    <t>CCNCc1ncccc1CN(Cc1ccccn1)Cc1cc(N)ccn1 7.7763386 0.43478260869565216</t>
  </si>
  <si>
    <t>Cc1ccccc1CNCc1ncccc1C(C)(C)C 7.7763247 0.29545454545454547</t>
  </si>
  <si>
    <t>CC1C=CC(C)(c2ncccc2CN(Cc2ccccn2)Cc2ccc(C(C)(C)C)cn2)CC1C 7.7763205 0.3508771929824561</t>
  </si>
  <si>
    <t>Cc1ccnc(CN(C)C2=CC=CCC2)c1 7.7763195 0.3673469387755102</t>
  </si>
  <si>
    <t>CCN(Cc1cc(-c2cccc(N(C)C)c2)ccn1)Cc1cc(-c2ccc3c(c2)OCCOCCOCCOCCOCCO3)ccn1 7.7763124 0.36231884057971014</t>
  </si>
  <si>
    <t>CN(C)Cc1ccc2cccc(N(C)CCN(C)Cc3cccc(-c4ccc5c(c4)OCCOCCOCCOCCOCCO5)n3)c2n1 7.7763104 0.328125</t>
  </si>
  <si>
    <t>CC(C)N(C)Cc1cccc(C(C)(C)c2ccccn2)n1 7.7763042 0.4222222222222222</t>
  </si>
  <si>
    <t>Cc1cnc(CN(C)C2CCC(N(C)Cc3ccc4cccnc4c3)CC2)c(C)c1 7.7763014 0.3</t>
  </si>
  <si>
    <t>CCC(C)C1=C(N(C)Cc2ccccn2)CC=CN1 7.7762995 0.42592592592592593</t>
  </si>
  <si>
    <t>Cc1ccnc(CN(C)CCN(C)Cc2ncc(C)c(C)c2C)c1 7.7762966 0.47619047619047616</t>
  </si>
  <si>
    <t>CN(CC1=CC(N(C)Cc2cccnn2)C=CN1)Cc1cccnn1 7.776296 0.5</t>
  </si>
  <si>
    <t>COC(=O)C(=O)C(C)C(C)NCc1cccc(CN(Cc2ccccn2)Cc2ccccn2)n1 7.776288 0.43103448275862066</t>
  </si>
  <si>
    <t>Cc1ccc(N(Cc2ccccn2)C2CCCC(N(C)Cc3nc(C)c(C)c(C)c3C)C2)cc1C 7.7762785 0.39344262295081966</t>
  </si>
  <si>
    <t>Cc1ncccc1CN(C)C1=CNC(CN(C)C(C)(C)C)=CC1 7.776273 0.2982456140350877</t>
  </si>
  <si>
    <t>CN(Cc1ccccn1)C1C=CNC(C(C)(C)c2ccccc2)=C1 7.776273 0.4230769230769231</t>
  </si>
  <si>
    <t>CN1CCN(Cc2ccc3ncccc3c2)CCN(CC2CCC(N(C)c3ccc4ncccc4c3)N2C)CC1 7.776272 0.3484848484848485</t>
  </si>
  <si>
    <t>COC(C)c1cccc(CNCc2cccc(C(C)NCc3ccccn3)n2)n1 7.7762513 0.4222222222222222</t>
  </si>
  <si>
    <t>CN1CCN(C)CCN(Cc2cnccc2CN(C)Cc2ccc(-c3cccc(N(C)C)c3)cn2)CC1 7.7762465 0.35384615384615387</t>
  </si>
  <si>
    <t>CCCN(Cc1ccccn1)Cc1cccc(C2=NC(C(C)C)CO2)n1 7.7762403 0.42105263157894735</t>
  </si>
  <si>
    <t>Cc1ccc(C)c(CN(C)C2CCC(N(C)Cc3ccc4ncccc4c3)CC2)n1 7.7762356 0.3050847457627119</t>
  </si>
  <si>
    <t>CN(CC1=CCC=CN1)C1CCC(N(C)c2ccc3cc(CF)cnc3c2)CC1 7.7762303 0.3283582089552239</t>
  </si>
  <si>
    <t>CC1CC(N(C)Cc2ccccn2)C(C)C=C1c1ccc(CN(C)Cc2ccccn2)cn1 7.776223 0.45454545454545453</t>
  </si>
  <si>
    <t>Cc1cncc(C)c1CN(C)C1CCC(N(C)Cc2ccc3cccnc3c2)CC1 7.7762084 0.29310344827586204</t>
  </si>
  <si>
    <t>C1=CC(CN(Cc2ccccn2)Cc2ccccn2)C=C(CSCc2ccccn2)N1 7.776208 0.4444444444444444</t>
  </si>
  <si>
    <t>COC(=O)C1C(c2ccc(CN3CCN(C)CCN(C)CC3)cn2)C(c2ccc(CN(Cc3ccccn3)Cc3nc(C)c(C)cc3C)cn2)CN(C)C1c1ccccn1 7.7762065 0.30952380952380953</t>
  </si>
  <si>
    <t>CC(C)N(Cc1ccccn1)Cc1ccnc(C2CCC2(C)C)c1CN(Cc1ccccn1)Cc1ccccn1 7.7762055 0.4444444444444444</t>
  </si>
  <si>
    <t>CN(C)c1cccc(-c2cccc(CN(Cc3ccccc3)Cc3cccc(-c4ccc5c(c4)OCCOCCOCCOCCOCCO5)n3)n2)c1 7.7761984 0.3880597014925373</t>
  </si>
  <si>
    <t>Cc1cnc(CN(C)C2CC(N(C)Cc3ccccn3)CC(N(Cc3nc(C)ccc3C)Cc3nc(C)c(C)cc3C)C2)c(C)c1 7.776197 0.35384615384615387</t>
  </si>
  <si>
    <t>CC1=CCC(C)C2(C1C)C(c1cccc(CN(Cc3ccccn3)Cc3ccccn3)n1)C=CC1(C2c2cccc(CN(Cc3ccccn3)Cc3ccccn3)n2)C(C)(C)C(C)=CCC12C(C)C=CCC2C 7.7761955 0.28735632183908044</t>
  </si>
  <si>
    <t>Cc1ncccc1CN(C)C1=C(CN(C)C(C)C)NC=CC1 7.7761917 0.2807017543859649</t>
  </si>
  <si>
    <t>Cc1ccc(C)c(CN(C)C2C=CC=CN2)n1 7.776187 0.2909090909090909</t>
  </si>
  <si>
    <t>CNCc1cc(CN(C)Cc2ncccc2F)ccn1 7.776177 0.33962264150943394</t>
  </si>
  <si>
    <t>Cc1cnc(CN(C)C2CC(N(C)Cc3ccccn3)CC(N(Cc3cc(C)c(C)cn3)Cc3cc(C)c(C)c(C)n3)C2)c(C)c1 7.7761755 0.35384615384615387</t>
  </si>
  <si>
    <t>Cc1cccnc1CN(C)CCN(C)Cc1ncc(C)c(C)c1C 7.77617 0.40476190476190477</t>
  </si>
  <si>
    <t>CNCCN(Cc1ccccn1)C(C)(N)N(Cc1ccccn1)Cc1nc(C)c(C)c(C)c1C 7.776162 0.375</t>
  </si>
  <si>
    <t>CCCN(Cc1ccccn1)C1=CNC=CC1CN(Cc1ccccn1)Cc1cccc(F)n1 7.7761593 0.47761194029850745</t>
  </si>
  <si>
    <t>Cc1cccc(CN(C)CC2=CCCC3(CSCc4ccccn4)C=CC=NC23CSCc2ccccn2)n1 7.7761583 0.35294117647058826</t>
  </si>
  <si>
    <t>CCN(C)Cc1ccc2cccc(N(C)C3CCC(N(C)Cc4cccnn4)CC3)c2n1 7.776158 0.4426229508196721</t>
  </si>
  <si>
    <t>Cc1cnc(CN(C)C2CCC(N(C)Cc3ccc4ncccc4c3)CC2)c(C)c1 7.7761564 0.3</t>
  </si>
  <si>
    <t>Cc1cccnc1C 7.776156 0.3333333333333333</t>
  </si>
  <si>
    <t>CCNCc1cccc(CN(Cc2ccccn2)C2CCC(N(C)Cc3cccc(-c4cccc(Cl)c4Cl)n3)CC2)n1 7.776146 0.38461538461538464</t>
  </si>
  <si>
    <t>Cc1ccc(CN(C)C2CCC(N(C)Cc3ccc4ncccc4c3)CC2)nc1C 7.776142 0.3333333333333333</t>
  </si>
  <si>
    <t>CC(C)(C)c1cccc(CN(Cc2ccc(C3CCC3(C)C)nc2)Cc2ccccn2)n1 7.7761292 0.3709677419354839</t>
  </si>
  <si>
    <t>CN(CCN(C)c1ccc2nccc(CF)c2c1)Cc1cccc(-c2ccc3c(c2)OCCOCCOCCOCCOCCO3)n1 7.7761292 0.3055555555555556</t>
  </si>
  <si>
    <t>Cc1cccnc1N(C)C1CCCC(N(C)c2cccnc2C)C1 7.776129 0.38</t>
  </si>
  <si>
    <t>CC(C)(C)c1cccc(CN(Cc2ccccn2)CC2C=CNC=C2F)n1 7.776113 0.417910447761194</t>
  </si>
  <si>
    <t>CC1C=CC(C)C(C)(c2cccc(CN(Cc3ccccn3)Cc3cccc(C(C)(C)C)n3)n2)C1 7.776113 0.38461538461538464</t>
  </si>
  <si>
    <t>CC(C)C1=NC(C2=NC(C(C)C)CO2)C(C2=NC(C(C)C)CO2)O1 7.776108 0.140625</t>
  </si>
  <si>
    <t>C1=CNC(N(Cc2cccnc2)Cc2ccccn2)C=C1 7.776094 0.5</t>
  </si>
  <si>
    <t>Cc1cncc(CN(C)CCN(C)Cc2ncc(C)c(C)c2C)c1 7.7760844 0.38636363636363635</t>
  </si>
  <si>
    <t>CC(C)N(CC1=CC(N(C)Cc2ncccc2-c2ccc3c(c2)OCCOCCOCCOCCOCCO3)C=CN1)c1ccc2ncccc2c1 7.7760825 0.2608695652173913</t>
  </si>
  <si>
    <t>Cc1ccc(CN(C)C2=C(CN(C)C(C)(C)C)NC=CC2)nc1 7.776081 0.4375</t>
  </si>
  <si>
    <t>CC1C=CCC(C)(c2cccc(CN(Cc3ccccn3)C3CCCCC3N(C)c3ccc4ccc(CN(C)C)nc4c3)n2)C1C 7.776071 0.3611111111111111</t>
  </si>
  <si>
    <t>Cc1cccnc1CN(Cc1ccccn1)Cc1cccnc1C(C)(C)C(C)N 7.7760706 0.43478260869565216</t>
  </si>
  <si>
    <t>Cc1cncc(CN(C)C2=CNC(CN(C)C(C)(C)C)=CC2)c1 7.77607 0.19047619047619047</t>
  </si>
  <si>
    <t>Cc1ccc(CNCc2cc(C(C)(C)C)ccn2)cc1 7.7760696 0.3023255813953488</t>
  </si>
  <si>
    <t>CN(CC1=CC(N(C)Cc2ccccn2)C=CN1)Cc1ccccn1 7.776069 0.4583333333333333</t>
  </si>
  <si>
    <t>Cc1ccc(N)cc1C 7.7760663 0.22727272727272727</t>
  </si>
  <si>
    <t>CCN(Cc1cccnn1)C1CCCCC1N(C)c1ccc2cccnc2c1 7.776056 0.4067796610169492</t>
  </si>
  <si>
    <t>Cc1nc(CN(C)C2CCC(N(Cc3ccccn3)Cc3cccc(C(C)(C)c4ccccn4)n3)CC2)c(C)c(C)c1C 7.776055 0.3770491803278688</t>
  </si>
  <si>
    <t>CN(C)Cc1ccc(C2CC(C)(C)C2)cn1 7.7760515 0.3695652173913043</t>
  </si>
  <si>
    <t>CNC1CC(N(C)Cc2nc(C)c(C)c(C)c2C)CC(N(C)Cc2nc(C)c(C)c(C)c2C)C1 7.7760496 0.22641509433962265</t>
  </si>
  <si>
    <t>CN1CCN(C)CCN(C2NC=CC=C2N(C)c2ccc3cccnc3c2)CC1 7.7760487 0.2727272727272727</t>
  </si>
  <si>
    <t>Cc1ccc(CN(C)CCN(Cc2ccccn2)C(C)(N)N(Cc2ccccn2)Cc2ncccc2F)nc1 7.776043 0.4807692307692308</t>
  </si>
  <si>
    <t>Cc1cccc(CN(C)C2=C(CN(C)C(C)(C)C)NC=CC2)n1 7.7760425 0.4375</t>
  </si>
  <si>
    <t>c1cnnc(CNCc2cccnn2)c1 7.776039 0.4838709677419355</t>
  </si>
  <si>
    <t>CN(C)Cc1ccc2ccc(N(C)CCN(C)Cc3cccc(-c4ccc5c(c4)OCCOCCOCCOCCOCCO5)n3)cc2n1 7.7760353 0.3225806451612903</t>
  </si>
  <si>
    <t>CN(Cc1ncccc1CF)Cc1ncccc1CF 7.776033 0.4358974358974359</t>
  </si>
  <si>
    <t>CNCCN(Cc1cc(C)ccn1)Cc1nc(C)c(C)c(C)c1C 7.7760253 0.3090909090909091</t>
  </si>
  <si>
    <t>C=CCN(C)Cc1cccc(-c2ccc(N(C)C3CCC(N(Cc4ccccn4)Cc4ccccn4)CC3)cc2)n1 7.7760234 0.46551724137931033</t>
  </si>
  <si>
    <t>CC1=CC2C=CC=NC2C2(N(C)Cc3cc(C(C)(C)C)ccn3)N=CC=CC12 7.776021 0.20588235294117646</t>
  </si>
  <si>
    <t>C1=CNCC(NCc2ccccn2)=C1 7.7760158 0.4473684210526316</t>
  </si>
  <si>
    <t>C#CCN(CC1=CCC=C(N(C)Cc2ccccn2)N1)Cc1ccccn1 7.7760115 0.4727272727272727</t>
  </si>
  <si>
    <t>CNCc1cc(CN(C)Cc2cc(C)ccn2)ccn1 7.7760115 0.41304347826086957</t>
  </si>
  <si>
    <t>Cc1cc(C)c(C)c(CN(CCF)Cc2ncccc2C)n1 7.7760053 0.29411764705882354</t>
  </si>
  <si>
    <t>CC(C)N(Cc1cccc(C(C)(C)C)n1)C(C)C 7.7759886 0.38461538461538464</t>
  </si>
  <si>
    <t>Cc1cccc(CNCc2ccc(C(C)(C)C)cn2)c1 7.7759852 0.2826086956521739</t>
  </si>
  <si>
    <t>CC1=C(C)C(C)C(C)(c2cc(CN(Cc3ccccn3)Cc3ccccn3)ccn2)CC1 7.7759695 0.40816326530612246</t>
  </si>
  <si>
    <t>CN1CCN(C)CCN(Cc2ccc(N(C)O)c3ncccc23)CC1 7.775969 0.4375</t>
  </si>
  <si>
    <t>COC(=O)C(=O)C(C)C(C)NCc1ncccc1CN(Cc1ccccn1)Cc1ccccn1 7.775961 0.4</t>
  </si>
  <si>
    <t>CNCc1ncccc1CN(C)Cc1cccc(F)n1 7.7759504 0.42</t>
  </si>
  <si>
    <t>Cc1cncc(CN(C)C2=C(CN(C)C(C)C)NC=CC2)c1 7.7759495 0.1935483870967742</t>
  </si>
  <si>
    <t>CN(CCN(C)c1ccccc1C(C)(C)C)Cc1ccccn1 7.7759385 0.4807692307692308</t>
  </si>
  <si>
    <t>CN(CCN(Cc1ccccn1)c1ccc2ncccc2c1)Cc1ncccc1-c1ccc2c(c1)OCCOCCOCCOCCOCCO2 7.7759333 0.3055555555555556</t>
  </si>
  <si>
    <t>CC(C)N(C)Cc1ncccc1C(C)(C)c1ccccn1 7.7759295 0.3617021276595745</t>
  </si>
  <si>
    <t>Cc1ccc(CN(C)CCN(Cc2ccccn2)Cc2cccc(CN(Cc3cccc(C)n3)C(C)C)n2)nc1 7.775926 0.49019607843137253</t>
  </si>
  <si>
    <t>CCN(C)CC1=C(N(C)Cc2cc(C)ccn2)CC=CN1 7.775921 0.34545454545454546</t>
  </si>
  <si>
    <t>CN1CCN(Cc2cc(-c3cccc(N(C)C)c3)ccn2)CCN(Cc2cc(C(C)(C)C)ccn2)CC1 7.7759175 0.5</t>
  </si>
  <si>
    <t>Cc1cnc(CN(C)C2CC(N(C)Cc3ccccn3)CC(N(Cc3ncc(C)c(C)c3C)Cc3ncc(C)c(C)c3C)C2)c(C)c1 7.775907 0.40350877192982454</t>
  </si>
  <si>
    <t>CC1=CC(C)C2(C(C)C=CC(C)C23CC=C(c2cc(CN(Cc4ccccn4)Cc4ccc(-c5ccc6c(c5)OCCOCCOCCOCCOCCO6)cn4)ccn2)C=C3c2cc(CN(C)Cc3ccccn3)ccn2)C(C)C1 7.7759066 0.31683168316831684</t>
  </si>
  <si>
    <t>Cc1cccnc1-c1cccc(NCc2ccc(-c3ccc4c(c3)OCCOCCOCCOCCOCCO4)cn2)c1 7.775904 0.43478260869565216</t>
  </si>
  <si>
    <t>CCNCc1cccc(C(C)(C)c2ccccn2)n1 7.7759013 0.44</t>
  </si>
  <si>
    <t>Cc1cnc(CN(C)C2CCC(N(C)Cc3ccccn3)CC2N(Cc2nc(C)c(C)c(C)c2C)Cc2nc(C)c(C)c(C)c2C)c(C)c1 7.7759 0.42857142857142855</t>
  </si>
  <si>
    <t>CCOC(C)NCc1ccc(CN(Cc2ccccn2)Cc2ccccn2)c(CN(Cc2ccccn2)C(C)C)n1 7.775896 0.4444444444444444</t>
  </si>
  <si>
    <t>Cc1cccnc1CN(C)CCN(Cc1ccccn1)C(C)(N)c1ccccn1 7.775891 0.3888888888888889</t>
  </si>
  <si>
    <t>Cc1cc(CN(C)Cc2ccccc2C)ccn1 7.7758875 0.34782608695652173</t>
  </si>
  <si>
    <t>CCN(C)CC1=CC(N(C)Cc2nc(C)c(C)c(C)c2C)C=CN1 7.7758856 0.3333333333333333</t>
  </si>
  <si>
    <t>CNCc1cccc(CN(Cc2cccc(C)n2)C2CCC(N(C)Cc3ccc(-c4ccccn4)cn3)CC2)n1 7.7758775 0.390625</t>
  </si>
  <si>
    <t>CN(Cc1cccc(F)n1)CN(C)C1CCC(N(C)c2ccc3cccnc3c2)CC1 7.7758765 0.32786885245901637</t>
  </si>
  <si>
    <t>CN(Cc1cccnn1)C1=CNC=CC1CN(C)C(C)(C)c1ccccn1 7.7758765 0.3793103448275862</t>
  </si>
  <si>
    <t>CCOC(=O)C(=O)C(C)C(C)NCc1cccc(CN(Cc2ccccn2)Cc2cccc(C(C)(C)C)n2)n1 7.7758765 0.36231884057971014</t>
  </si>
  <si>
    <t>CCNC1CCC(N(C)Cc2ccccn2)CC1N(C)c1ccc2ccc(CF)nc2c1 7.7758675 0.390625</t>
  </si>
  <si>
    <t>CN(Cc1ccc2c(n1)CCCC2)C1CCCCC1N(C)c1ccc2ncc(CF)cc2c1 7.775866 0.37681159420289856</t>
  </si>
  <si>
    <t>Cc1nc(CN(C)CCN(C)C(C)C)c(C)c(C)c1C 7.775862 0.30952380952380953</t>
  </si>
  <si>
    <t>CCN1CCN(Cc2ccccn2)CCN(Cc2ncccc2N(C)c2ccc3ncccc3c2)CC1 7.7758594 0.43636363636363634</t>
  </si>
  <si>
    <t>CCCN(Cc1ccccn1)C1CCC(N(C)c2cccc3c(CF)ccnc23)CC1 7.7758565 0.3548387096774194</t>
  </si>
  <si>
    <t>CC1=C(C)C(CN(Cc2ccccn2)Cc2ccccn2)C=CN1 7.775848 0.4897959183673469</t>
  </si>
  <si>
    <t>CC1=CC(C)C(C)C(C(C)(C)c2ccc(CN(Cc3ccccn3)C3CCC(N(C)c4ccc5cccnc5c4)CC3)cn2)C1N(C)Cc1ccccn1 7.775847 0.3</t>
  </si>
  <si>
    <t>CC(C)C1CCC1c1cccc(CN(Cc2ccccn2)C2CCC(N(C)c3ccc4nccc(CF)c4c3)CC2)n1 7.775843 0.32432432432432434</t>
  </si>
  <si>
    <t>CN(Cc1cccc(-c2cccc(N(C)C)c2)n1)Cc1cccc(-c2cccc3c2OCCOCCOCCOCCOCCO3)n1 7.77584 0.3442622950819672</t>
  </si>
  <si>
    <t>CNC1C(N(Cc2ncc(C)cc2C)Cc2ncc(C)cc2C)CCCC1N(Cc1ncc(C)cc1C)Cc1nc(C)c(C)c(C)c1C 7.7758384 0.3050847457627119</t>
  </si>
  <si>
    <t>Cc1cnc(CN(C)C2CCC(N(C)Cc3cccc(-c4ccc(N)cc4)n3)CC2)c(C)c1 7.7758307 0.35</t>
  </si>
  <si>
    <t>Cc1nc(C2CC(C)(C)C2)ccc1C(C)(C)C(C)N(Cc1ccccn1)Cc1ccccn1 7.7758303 0.4074074074074074</t>
  </si>
  <si>
    <t>CCN(Cc1ccccn1)Cc1ncccc1CN(Cc1ncccc1C)C(C)C 7.775825 0.4791666666666667</t>
  </si>
  <si>
    <t>CC1C=CC(C)C(N(C)Cc2ccccn2)C1c1cncc(CN(Cc2ccccn2)Cc2cc(N)ccn2)c1 7.775824 0.36363636363636365</t>
  </si>
  <si>
    <t>CNC1C(N(Cc2cccc(Cl)n2)Cc2cccc(Cl)n2)CCCC1N(Cc1cccc(Cl)n1)Cc1cccc(Cl)n1 7.7758217 0.425531914893617</t>
  </si>
  <si>
    <t>CC1=CCC(C)CC1(C)c1ccc(CN(Cc2ccccn2)Cc2ccccn2)cn1 7.775816 0.4166666666666667</t>
  </si>
  <si>
    <t>CC1C=CC(C)(c2cccc(CN(Cc3ccccn3)C3CCCCC3N(C)c3ccc4nc(CF)ccc4c3)n2)CC1C 7.775811 0.3670886075949367</t>
  </si>
  <si>
    <t>Cc1ccc(CN(C)CN(Cc2ccccn2)C(C)(N)N(Cc2ccc(N)cn2)C(C)C)nc1 7.7758055 0.39285714285714285</t>
  </si>
  <si>
    <t>CN(Cc1cccc(-c2ccc3c(c2)OCCOCCOCCOCCOCCO3)n1)CN(C)c1ccc2ncccc2c1 7.7758055 0.35384615384615387</t>
  </si>
  <si>
    <t>Cc1cnccc1CNCCN(C)Cc1nc(C)c(C)cc1C 7.775802 0.2631578947368421</t>
  </si>
  <si>
    <t>Cc1ccnc(CN(CCN(Cc2ccccn2)CC(C)(C)C)CC(C)c2c(C(=O)c3c(C)cncc3CN3CCN(C)CCN(C)CC3)cc(C(=O)c3c(C)cncc3CN3CCN(C)CCN(C)CC3)c(C(=O)c3ccncc3C)c2C(C)N(CCN(Cc2ccccn2)C(C)C)Cc2ccccn2)c1 7.7757983 0.3118279569892473</t>
  </si>
  <si>
    <t>CN(Cc1ccccn1)C1=CNC=CC1CN(C)C(C)(C)c1ccccn1 7.7757974 0.4</t>
  </si>
  <si>
    <t>CNC1CCCCC1N(C)c1ccc2ccc(CF)nc2c1 7.7757945 0.49056603773584906</t>
  </si>
  <si>
    <t>Cc1ccnc(CN(C)C2=C(CN(C)C(C)(C)C)NC=CC2)c1 7.7757897 0.3392857142857143</t>
  </si>
  <si>
    <t>Cc1cncc(CN(C)C2=CNC=C(CN(C)CC(C)(C)C)C2)c1 7.775785 0.20689655172413793</t>
  </si>
  <si>
    <t>Cc1cccnc1CNCCN(C)Cc1cc(C)c(C)c(C)n1 7.7757835 0.32727272727272727</t>
  </si>
  <si>
    <t>CCCN(C)Cc1ncccc1C(C)(C)c1ccccn1 7.7757697 0.34</t>
  </si>
  <si>
    <t>CC1C=CCc2cccnc21 7.7757683 0.2553191489361702</t>
  </si>
  <si>
    <t>Cc1ccc(NCc2ccccn2)cc1CN(C)C(C)C 7.7757664 0.4166666666666667</t>
  </si>
  <si>
    <t>CC(C)C1CCC1c1ncccc1CN(Cc1ccccn1)C1CCC(N(C)c2cccc3c(CF)ccnc23)CC1 7.775759 0.2972972972972973</t>
  </si>
  <si>
    <t>Cc1ccc(CN(C)C2=CNC=C(CN(C)C(C)(C)C)C2)nc1 7.775755 0.4166666666666667</t>
  </si>
  <si>
    <t>CC1(C)CN=C(C2=CCC=CN2)O1 7.775752 0.29411764705882354</t>
  </si>
  <si>
    <t>C1=CC(CSCc2ccccn2)C=C(CN(Cc2ccccn2)Cc2ccccn2)N1 7.7757463 0.5</t>
  </si>
  <si>
    <t>Cc1ccccc1N(C)Cc1cccc(N(C)Cc2cccc(-c3ccc4c(c3)OCCOCCOCCOCCOCCO4)n2)n1 7.7757363 0.3108108108108108</t>
  </si>
  <si>
    <t>Cc1cc(C)c(C)c(CN(C)CCN(C)Cc2cccnc2C)n1 7.7757335 0.4782608695652174</t>
  </si>
  <si>
    <t>Cc1cccnc1CN(C)C1CCCC(N(C)c2ccccc2-c2cccnc2CN(C)C(C)C)C1 7.77573 0.30303030303030304</t>
  </si>
  <si>
    <t>Cc1cc(C)c(CN(Cc2nc(C)c(C)c(C)c2C)C2CCCCC2N(C)Cc2nc(C)c(C)c(C)c2C)nc1C 7.775729 0.38461538461538464</t>
  </si>
  <si>
    <t>CCN(C)Cc1ncccc1C(C)(C)c1ccccn1 7.7757177 0.34</t>
  </si>
  <si>
    <t>CNCN(Cc1ncccc1-c1cccc2c1OCCOCCOCCOCCOCCO2)c1ccc2ncccc2c1 7.7757106 0.2318840579710145</t>
  </si>
  <si>
    <t>CCOC(C)NCc1cccc(CN(Cc2ccccn2)Cc2cccc(C(C)(C)C)n2)n1 7.77571 0.4166666666666667</t>
  </si>
  <si>
    <t>Cc1ccnc(CN(CCN(Cc2ccccn2)C(C)(c2cccnc2)C(C)C)Cc2cc(C)cc(C)n2)c1 7.7757072 0.375</t>
  </si>
  <si>
    <t>Cc1cc(C)c(CN(C)C2CCCCC2N(C)Cc2ccc3ncccc3c2)nc1C 7.775703 0.41818181818181815</t>
  </si>
  <si>
    <t>CC(C)(C)c1ccc(CN(Cc2ccccn2)Cc2cccc(C3CCC3(C)C)n2)cn1 7.775698 0.3709677419354839</t>
  </si>
  <si>
    <t>Cc1cc(C)c(CN(Cc2nc(C)c(C)c(C)c2C)C2CCCC(N(C)Cc3ncc(C)c(C)c3C)C2)nc1C 7.775698 0.2698412698412698</t>
  </si>
  <si>
    <t>Cc1nc(CN(C)CCN(C)Cc2ccccn2)c(C)c(C)c1C 7.775697 0.4888888888888889</t>
  </si>
  <si>
    <t>CNC1NC=CC=C1NCc1ccccn1 7.775692 0.3953488372093023</t>
  </si>
  <si>
    <t>CNCc1cc(CN(Cc2ccccn2)C2(C)COC=N2)ccn1 7.775692 0.3333333333333333</t>
  </si>
  <si>
    <t>Cc1cncc(CN(C)C2=CNC(CN(C)C(C)C)=CC2)c1 7.7756805 0.19047619047619047</t>
  </si>
  <si>
    <t>Cc1cc(C)c(CN(C)C2CCCCC2N(C)Cc2cccc3ncccc23)nc1C 7.775677 0.41818181818181815</t>
  </si>
  <si>
    <t>CNCc1cccc(CN(Cc2ncccc2C)C2CCC(N(C)Cc3ncccc3-c3ccccn3)CC2)n1 7.775676 0.3484848484848485</t>
  </si>
  <si>
    <t>CC1=CC(C)C2(C=C(c3ccc(CN(Cc4ccccn4)Cc4ccccn4)cn3)C3(C=CC(C)C(C)C3C)CC2c2ccc(CN(Cc3ccccn3)Cc3ccccn3)cn2)CC1C 7.7756658 0.2857142857142857</t>
  </si>
  <si>
    <t>Cc1cccc(N(C)CCN(C)Cc2ccccn2)c1 7.775661 0.4782608695652174</t>
  </si>
  <si>
    <t>CN(Cc1ccccc1-c1cccc(N(C)C)c1)Cc1ncccc1-c1ccc2c(c1)OCCOCCOCCOCCOCCO2 7.77566 0.3026315789473684</t>
  </si>
  <si>
    <t>CC1C=CC(C)C(C)(c2ncccc2CN(Cc2ccccn2)Cc2ncccc2C(C)(C)C)C1 7.775656 0.35714285714285715</t>
  </si>
  <si>
    <t>CN(c1ccc2nccc(CF)c2c1)C1CCC(N(C)C2C=CC=CN2)CC1 7.775653 0.24285714285714285</t>
  </si>
  <si>
    <t>CC1CC(c2cnccc2CN(Cc2ccccn2)Cc2ccccn2)C1N(C)Cc1ccccn1 7.775652 0.42592592592592593</t>
  </si>
  <si>
    <t>Cc1ccc(C)c(CN(Cc2ccccn2)C2CCC(N(C)Cc3ccc(-c4ccccc4)cn3)CC2)n1 7.775643 0.4</t>
  </si>
  <si>
    <t>CNCc1cccc(CN(Cc2cccc(C(C)(C)C)n2)C2CCC(N(C)Cc3cccc(-c4ccccn4)n3)CC2)n1 7.7756405 0.43333333333333335</t>
  </si>
  <si>
    <t>CNCN(Cc1cc(C)ccn1)Cc1ncc(C)cc1C 7.7756405 0.3269230769230769</t>
  </si>
  <si>
    <t>Cc1cccc(CN(Cc2cccc(CN(C)C3CCC(N(C)c4ccc5nc(CF)ccc5c4)CC3)n2)C2CCC(N(C)Cc3nc(C)c(C)c(C)c3C)CC2)n1 7.7756305 0.36231884057971014</t>
  </si>
  <si>
    <t>CN(c1ccc2ncc(CF)cc2c1)C1CCC(N(Cc2ccccn2)CC2C=CNC=C2)CC1 7.7756233 0.3142857142857143</t>
  </si>
  <si>
    <t>CN(CCN(C)c1ccc2nccc(CF)c2c1)Cc1cc(-c2ccc3c(c2)OCCOCCOCCOCCOCCO3)ccn1 7.7756085 0.32051282051282054</t>
  </si>
  <si>
    <t>CNCCN(Cc1ncccc1C)Cc1nc(C)c(C)c(C)c1C 7.775608 0.28846153846153844</t>
  </si>
  <si>
    <t>CNCCN(Cc1cccc(C)n1)Cc1nc(C)c(C)c(C)c1C 7.775602 0.4444444444444444</t>
  </si>
  <si>
    <t>CNCc1cccc(CN(C)Cc2cccc(F)n2)n1 7.7756004 0.4358974358974359</t>
  </si>
  <si>
    <t>CN(CC1=CCC=CN1)C1CCCCC1N(C)c1cccc2ncccc12 7.7755976 0.43103448275862066</t>
  </si>
  <si>
    <t>CN(Cc1cccc(-c2ccccc2N(C)C)n1)Cc1ncccc1-c1cccc2c1OCCOCCOCCOCCOCCO2 7.7755914 0.4032258064516129</t>
  </si>
  <si>
    <t>CCCN(Cc1ccccn1)C1CCC(N(C)c2ccc3nccc(CF)c3c2)CC1 7.7755866 0.3492063492063492</t>
  </si>
  <si>
    <t>CN(c1ccc2nc(CF)ccc2c1)C1CCC(N(Cc2ccccn2)Cc2cccc(CNCF)n2)CC1 7.775584 0.36923076923076925</t>
  </si>
  <si>
    <t>Cc1cc2c(cc1-c1ncccc1-c1cccc(NCc3ccccn3)c1)OCCOCCOCCOCCOCCO2 7.775579 0.3333333333333333</t>
  </si>
  <si>
    <t>Cc1cncc(CN(C)C2=CNC(CN(C)CC(C)(C)C)=CC2)c1 7.775571 0.20689655172413793</t>
  </si>
  <si>
    <t>Cc1cccnc1CN(C)C1CCCC(N(C)c2c(C)ccc(N(C)C)c2C)C1 7.7755694 0.3103448275862069</t>
  </si>
  <si>
    <t>CC(C)N(Cc1cccc(CN(Cc2ccc([SiH3])cn2)CC(C)(C)C)n1)Cc1cccc(C(C)(C)C)n1 7.775569 0.375</t>
  </si>
  <si>
    <t>CCNC1C(N(C)Cc2nc(C)c(C)c(C)c2C)CCCC1N(Cc1nc(C)c(C)c(C)c1C)Cc1nc(C)c(C)c(C)c1C 7.775569 0.3090909090909091</t>
  </si>
  <si>
    <t>CC1=C(N(C)Cc2ccccn2)CC(C)(C)CC1C 7.7755656 0.44680851063829785</t>
  </si>
  <si>
    <t>Cc1ccnc(CN(CCN)Cc2cc(C)c(C)c(C)n2)c1 7.7755647 0.3269230769230769</t>
  </si>
  <si>
    <t>Cc1cc(CN(C)C2CC(N(Cc3ccccn3)Cc3ccccn3)CC(N(Cc3ccccn3)Cc3nc(C)c(C)cc3C)C2)cnc1C 7.775553 0.36666666666666664</t>
  </si>
  <si>
    <t>COC(=O)c1cc(-c2cc(CN3CCN(C)CCN(C)CC3)ccn2)ccn1 7.775541 0.4482758620689655</t>
  </si>
  <si>
    <t>Cc1ccccc1CNCc1cc(C(C)(C)C)ccn1 7.775541 0.3488372093023256</t>
  </si>
  <si>
    <t>CN(C)Cc1ccc2cc(N(C)CCN(C)Cc3cc(-c4ccc5c(c4)OCCOCCOCCOCCOCCO5)ccn3)ccc2n1 7.775531 0.3466666666666667</t>
  </si>
  <si>
    <t>Cc1ccc(CN(C)C2CC(N(C)Cc3ccccn3)CC(N(Cc3ncc(C)c(C)c3C)Cc3ncc(Cl)c(C)c3C)C2)nc1 7.775525 0.39344262295081966</t>
  </si>
  <si>
    <t>CN(c1ccc2nc(CF)ccc2c1)C1CCC(N(Cc2ccnc(CNCF)c2)Cc2ccccn2)CC1 7.7755184 0.3382352941176471</t>
  </si>
  <si>
    <t>CC(N)C(C)(c1cccnc1)c1ccccn1 7.775516 0.3541666666666667</t>
  </si>
  <si>
    <t>Cc1cc(CN2CCN(C)CCN(Cc3cc(-c4ccc(Cl)cc4N)ccn3)CC2)nc(C)c1C 7.775513 0.45614035087719296</t>
  </si>
  <si>
    <t>CN(Cc1cccc(-c2ccc3c(c2)OCCOCCOCCOCCOCCO3)n1)CN(Cc1cccc(N)n1)Cc1cccc(-c2ccc(Cl)cc2N)n1 7.77551 0.2891566265060241</t>
  </si>
  <si>
    <t>Cc1cccnc1CN(C)C1=C(CN(C)C(C)(C)C)NC=CC1 7.775499 0.2698412698412698</t>
  </si>
  <si>
    <t>Cc1cccnc1CN(C)CCN(Cc1ccccn1)C(C)(C)c1cnccc1CN(Cc1ccccn1)C(C)C 7.775499 0.4166666666666667</t>
  </si>
  <si>
    <t>CC(C)(C1=CNC=CC1)c1cccnc1 7.775485 0.19148936170212766</t>
  </si>
  <si>
    <t>CN1CCN(C)CCN(CC2=CCC=C(N(C)c3cccc4cccnc34)N2)CC1 7.7754703 0.4074074074074074</t>
  </si>
  <si>
    <t>Cc1ccc(CN(Cc2ccccn2)C2CCC(N(C)Cc3ccc4ncccc4c3)CC2)nc1 7.7754683 0.4</t>
  </si>
  <si>
    <t>Cc1cnc(CN(C)Cc2cccc(C3C=CC(C)(C)CC3(C)C)n2)c(C)c1C 7.7754545 0.3442622950819672</t>
  </si>
  <si>
    <t>Cc1ccc(CN(C)C2CC(N(C)Cc3ccccn3)CC(N(Cc3nc(C)c(C)c(C)c3C)Cc3nc(C)c(C)c(C)c3C)C2)nc1 7.775447 0.42105263157894735</t>
  </si>
  <si>
    <t>COC(C)c1cc(CNCc2cc(C(C)NCc3ccccn3)ccn2)ccn1 7.775445 0.36538461538461536</t>
  </si>
  <si>
    <t>CNCCN(Cc1ccccn1)c1ccc2nc(CN(C)Cc3ncccc3-c3ccc4c(c3)OCCOCCOCCOCCOCCO4)ccc2c1 7.7754397 0.32</t>
  </si>
  <si>
    <t>CN(Cc1cccc(-c2ccc3c(c2)OCCOCCOCCOCCOCCO3)n1)Cc1cccc(-c2ccc(Cl)cc2N)n1 7.7754397 0.328125</t>
  </si>
  <si>
    <t>CN(Cc1cccc(F)n1)CN(C)C1CCC(N(C)c2ccc3ccc(CF)nc3c2)CC1 7.7754374 0.359375</t>
  </si>
  <si>
    <t>CC(C)C(C)(c1cccnc1)N(C)Cc1cccc(-c2cccc(N(C)Cc3cccc(-c4ccc5c(c4)OCCOCCOCCOCCOCCO5)n3)c2)n1 7.775428 0.27906976744186046</t>
  </si>
  <si>
    <t>Cc1ccc(CN(CC2=CC(N(C)Cc3cc(C)ccn3)C=CN2)C(C)C)nc1 7.775423 0.3770491803278688</t>
  </si>
  <si>
    <t>CN1CCN(C)CCN(c2ccc3cccnc3c2)CC1 7.775422 0.36363636363636365</t>
  </si>
  <si>
    <t>Cc1ccc(CN(Cc2ccccn2)C2CCC(N(C)Cc3ncccc3-c3ccccn3)CC2)nc1 7.77542 0.41379310344827586</t>
  </si>
  <si>
    <t>Cc1cnc(CN(C)C2CCC(N(C)Cc3nc(C)c(C)c(C)c3C)CC2N(C)Cc2ncc(C)c(C)c2C)c(C)c1C 7.7754064 0.34545454545454546</t>
  </si>
  <si>
    <t>CCNC1=CC(c2ccc(CN(Cc3ccccn3)C3CCC(N(C)c4ccc5nccc(CF)c5c4)CC3)cn2)CC(C)C1C 7.7753973 0.25287356321839083</t>
  </si>
  <si>
    <t>CN(Cc1ccccn1)C1=C(CN(Cc2ccccc2)CC(C)(C)C)NC=CC1 7.775386 0.46296296296296297</t>
  </si>
  <si>
    <t>CN(Cc1ccc(-c2ccccc2N(C)C)cn1)Cc1ccc(-c2cccc3c2OCCOCCOCCOCCOCCO3)cn1 7.7753844 0.32857142857142857</t>
  </si>
  <si>
    <t>Cc1nc(CN(C)C2CCCCC2N(C)c2cccnc2CN(Cc2cccc(F)n2)Cc2cccc(F)n2)c(C)c(C)c1C 7.7753835 0.4126984126984127</t>
  </si>
  <si>
    <t>Cc1ccnc(CN(C)CCN(C)Cc2ccnc(C)c2C)c1C 7.775381 0.3695652173913043</t>
  </si>
  <si>
    <t>Cc1cnccc1CN(C)C1=CNC(CN(C)C(C)(C)C)=CC1 7.775374 0.21212121212121213</t>
  </si>
  <si>
    <t>CC(C)C(C)(c1cccnc1)N(Cc1ccccn1)Cc1ncccc1N 7.775371 0.39622641509433965</t>
  </si>
  <si>
    <t>Cc1ccnc(CN(C)C2=C(CN(C)CC(C)(C)C)NC=CC2)c1 7.7753706 0.3275862068965517</t>
  </si>
  <si>
    <t>CC1=CC(C)C2(C(C)C1)C(c1cc(CN(Cc3ccccn3)C3CCCCC3N(C)c3ccc4nccc(CN(C)C)c4c3)ccn1)C=CC(C)C21CC(C)C=C(C)C1C 7.775369 0.2765957446808511</t>
  </si>
  <si>
    <t>CN(CCN(C)c1ccc2nccc(CF)c2c1)Cc1ncccc1-c1ccc2c(c1)OCCOCCOCCOCCOCCO2 7.7753677 0.27058823529411763</t>
  </si>
  <si>
    <t>COC(C)NCc1ncccc1CN(Cc1ccccn1)Cc1ncccc1C(C)(C)C 7.775366 0.39215686274509803</t>
  </si>
  <si>
    <t>CN(CC1=CCC=C(N(C)Cc2ccccn2)N1)CC1C=CNC=C1 7.7753634 0.4</t>
  </si>
  <si>
    <t>CCN(Cc1ccccn1)c1ccccc1-c1cccc(CN(Cc2cccnn2)C2CCCCC2)n1 7.7753553 0.4067796610169492</t>
  </si>
  <si>
    <t>CC1=CC(C)C(C)(c2cccc(CN(Cc3ccccn3)Cc3cccc(C(C)(C)C)n3)n2)CC1 7.7753515 0.37735849056603776</t>
  </si>
  <si>
    <t>CN(Cc1cccc(-c2ccc3c(c2)OCCOCCOCCOCCOCCO3)n1)Cc1cccc(-c2ccccc2N(C)C)n1 7.7753506 0.3728813559322034</t>
  </si>
  <si>
    <t>CNCc1cc(CN(C)C2CCCCC2N(C)c2ccc3nc(CF)ccc3c2)ccn1 7.7753468 0.4153846153846154</t>
  </si>
  <si>
    <t>CN(CCF)CCN(C)Cc1ccc2ncccc2c1 7.775338 0.43478260869565216</t>
  </si>
  <si>
    <t>CC1C=CC(C)(c2cc(CN(Cc3ccccn3)Cc3ccc(C(C)(C)C)cn3)ccn2)CC1C 7.775335 0.3448275862068966</t>
  </si>
  <si>
    <t>Cc1cccc(F)n1 7.775315 0.43333333333333335</t>
  </si>
  <si>
    <t>CC1=CCC2(C(C)=CCC3(C=CC4(C=C(C)C(C)C(C)C4)C(c4ncccc4CN(Cc4ccccn4)Cc4ccccn4)C3c3ncccc3CN(Cc3ccccn3)Cc3ccccn3)C2C)C(C)C1 7.775314 0.2857142857142857</t>
  </si>
  <si>
    <t>CN1CCN(C)CCN(c2ccc3ncccc3c2)CC1 7.775314 0.36363636363636365</t>
  </si>
  <si>
    <t>CNC1CC=CC(CN(C)Cc2nc(C)c(C)c(C)c2C)=N1 7.7753115 0.2</t>
  </si>
  <si>
    <t>CC1=CC2(C=CC(c3ccc(CN(Cc4ccccn4)Cc4ccccn4)cn3)C(c3ccc(CN(Cc4ccccn4)Cc4ccccn4)cn3)C23CC(C)C(C)=CC3C)C(C)C(C)C1 7.7753024 0.30120481927710846</t>
  </si>
  <si>
    <t>Cc1cccc(CN(C)Cc2ncc(CN(C)C(C)C)cc2C)n1 7.775295 0.4782608695652174</t>
  </si>
  <si>
    <t>CCN(Cc1cccc(C2CCC2(C)C)n1)Cc1cccc(C(C)(C)c2ccccn2)n1 7.775274 0.3333333333333333</t>
  </si>
  <si>
    <t>CCOC(C)NCc1ncccc1CN(Cc1ccccn1)Cc1ncccc1C(C)(C)C 7.775269 0.37735849056603776</t>
  </si>
  <si>
    <t>Cc1ccc(CN(C)C2=CNC(CN(C)C(C)(C)C)=CC2)nc1 7.7752557 0.40816326530612246</t>
  </si>
  <si>
    <t>CNC1CCC(N(C)c2ccc3nc(CF)ccc3c2)CC1 7.775255 0.3684210526315789</t>
  </si>
  <si>
    <t>CC(C)C(C)(c1ccccn1)c1ccccn1 7.7752485 0.4594594594594595</t>
  </si>
  <si>
    <t>CN(Cc1cccnn1)C1=C(c2cccc3c2OCCOCCOCCOCCOCCO3)C(C(C)(C)C)CC=C1N(C)c1ccc2cccnc2c1 7.7752457 0.25316455696202533</t>
  </si>
  <si>
    <t>C1=CNC(C2=CCC=CN2)=CC1 7.775234 0.3076923076923077</t>
  </si>
  <si>
    <t>CNCc1ncccc1CN(C)Cc1cc(C)ccn1 7.7752323 0.35294117647058826</t>
  </si>
  <si>
    <t>CN(Cc1ccc(-c2cccc3c2OCCOCCOCCOCCOCCO3)cn1)Cc1cccc(-c2cccc(N(C)C)c2)n1 7.775228 0.3484848484848485</t>
  </si>
  <si>
    <t>CN1CCN(C)CCN(CC2=CCC=C(N(C)c3ccc4cccnc4c3)N2)CC1 7.7752247 0.3709677419354839</t>
  </si>
  <si>
    <t>CN1CCN(C)CCN(CC2=CCC=C(N(C)c3cccc4ncccc34)N2)CC1 7.775217 0.3684210526315789</t>
  </si>
  <si>
    <t>CN(CCF)Cc1ncccc1N(C)C(C)(C)c1ccccn1 7.7752075 0.32075471698113206</t>
  </si>
  <si>
    <t>CNC1CCC(N(Cc2ccccn2)Cc2ncc(C)c(C)c2C)C(N(Cc2nc(C)c(C)c(C)c2C)Cc2nc(C)c(C)c(C)c2C)C1 7.77519 0.3492063492063492</t>
  </si>
  <si>
    <t>Cc1ccc(CN(C)C2=C(CN(C)C(C)C)NC=CC2)nc1 7.7751884 0.4166666666666667</t>
  </si>
  <si>
    <t>CN1CCN(C)CCN(CC2=CCC=C(N(C)c3ccc4ncccc4c3)N2)CC1 7.7751856 0.4</t>
  </si>
  <si>
    <t>CNc1ccc(CNCc2cccc(C3CC(Cl)C3Cl)n2)nc1 7.7751846 0.2641509433962264</t>
  </si>
  <si>
    <t>CNC1CC=C(CN(C)Cc2nc(C)c(C)c(C)c2C)C=N1 7.775183 0.2</t>
  </si>
  <si>
    <t>CNCc1ccc(CN(C)Cc2cc(C)ccn2)cn1 7.7751827 0.391304347826087</t>
  </si>
  <si>
    <t>CC(C)N(Cc1cccc(C2CC(C)(C)C2)n1)Cc1cccc(C(C)(C)C)n1 7.7751756 0.32075471698113206</t>
  </si>
  <si>
    <t>CN(Cc1cc(-c2ccc3c(c2)OCCOCCOCCOCCOCCO3)ccn1)CN(C)c1ccc2cccnc2c1 7.775175 0.3333333333333333</t>
  </si>
  <si>
    <t>CCNCc1cc(N(C)C2C=CC=CN2)ccn1 7.7751727 0.3275862068965517</t>
  </si>
  <si>
    <t>CN(CCN(C)C1CCCC(N(Cc2ccccn2)Cc2ccccn2)C1)c1cccc2ncccc12 7.7751617 0.42105263157894735</t>
  </si>
  <si>
    <t>CCN(Cc1ccccn1)c1cccc(C)c1-c1cnccc1CN1CCN(C)CCN(C)CC1 7.7751575 0.4482758620689655</t>
  </si>
  <si>
    <t>CCN(Cc1ccccn1)Cc1cc(C(C)(C)c2cc(CN(Cc3ccccn3)C3CCC(N(C)Cc4cc(C)c(C)c(C)n4)CC3)ccn2)ccn1 7.7751513 0.32432432432432434</t>
  </si>
  <si>
    <t>Cc1cccnc1CN(C)C1=C(CN(C)CC(C)(C)C)NC=CC1 7.7751384 0.288135593220339</t>
  </si>
  <si>
    <t>Cc1cnc(CN(Cc2ccccc2)C2CCCCC2)c(-c2ccccc2NCc2ccccn2)c1 7.7751336 0.3384615384615385</t>
  </si>
  <si>
    <t>Cc1cnc(CN(C)C2=CNC(CN(C)C(C)C(C)N)=CC2)c(C)c1C 7.775129 0.20588235294117646</t>
  </si>
  <si>
    <t>CN(CC1=CCC=CN1)C1=CCC=C(C(C)(C)C)N1 7.7751245 0.3584905660377358</t>
  </si>
  <si>
    <t>COC(=O)C1CN(C)C(CN(Cc2ccccn2)Cc2ccccn2)C(c2ccccn2)C1c1ccccn1 7.77511 0.3787878787878788</t>
  </si>
  <si>
    <t>CN(Cc1ccccn1)C1=CCC=C(CN(C)C(C)(C)C)N1 7.7750998 0.42592592592592593</t>
  </si>
  <si>
    <t>CNCc1cccc(-c2cccc(N(C)Cc3cccc(-c4ccc5c(c4)OCCOCCOCCOCCOCCO5)n3)c2)n1 7.775099 0.3150684931506849</t>
  </si>
  <si>
    <t>CCN(Cc1cc(-c2ccc3c(c2)OCCOCCOCCOCCOCCO3)ccn1)Cc1ncccc1-c1ccc(N(C)C)cc1 7.775097 0.32894736842105265</t>
  </si>
  <si>
    <t>CCOC(C)NCc1ccc(CN(Cc2ccccn2)Cc2ncccc2C(C)(C)C)cn1 7.775088 0.3508771929824561</t>
  </si>
  <si>
    <t>COC(=O)c1ncccc1CN1CCN(C)CCN(Cc2cccc(C(C)(c3ccccn3)c3ccccn3)n2)CC1 7.7750874 0.4482758620689655</t>
  </si>
  <si>
    <t>CC1=C(C)CC(N(Cc2ccccn2)C2CCCCC2N(C)c2ccc3nccc(CN(C)C)c3c2)C(C)C1 7.775064 0.4</t>
  </si>
  <si>
    <t>CNCc1cccc(CNCc2cccc(N)n2)n1 7.7750626 0.3157894736842105</t>
  </si>
  <si>
    <t>CC(C)C1=CC(N(C)CC2=C(N(C)Cc3ccccn3)CC=CN2)C=CN1 7.7750597 0.36065573770491804</t>
  </si>
  <si>
    <t>CNCCN(Cc1cc(C)c(C)cn1)Cc1cc(C)c(C)c(C)n1 7.775059 0.2857142857142857</t>
  </si>
  <si>
    <t>CCN(Cc1ccc([SiH3])cn1)Cc1cccc([Si](C(C)C)(C(C)C)C(C)C)n1 7.7750564 0.44680851063829785</t>
  </si>
  <si>
    <t>Cc1cc(C)c(CN(Cc2nc(C)c(C)cc2C)C2CC(N(C)Cc3ccccn3)CC(N(C)C3=CCC=CN3)C2)nc1C 7.775055 0.39705882352941174</t>
  </si>
  <si>
    <t>Cc1cccnc1CN(C)C1=CNC=C(CN(C)C(C)(C)C)C1 7.7750463 0.24561403508771928</t>
  </si>
  <si>
    <t>CCCN(Cc1ccccn1)C1=C(CN(C)Cc2ccccn2)NC=CC1 7.7750435 0.4074074074074074</t>
  </si>
  <si>
    <t>CCCN(C)CC1=CC(N(C)Cc2nc(C)c(C)c(C)c2C)C=CN1 7.775041 0.3220338983050847</t>
  </si>
  <si>
    <t>Cc1cccnc1CN(C)C1CC(N(C)Cc2ccccn2)CC(N(Cc2nc(C)c(C)c(C)c2C)Cc2nc(C)c(C)c(C)c2C)C1 7.7750387 0.40350877192982454</t>
  </si>
  <si>
    <t>Cc1cc(C)c(CN(C)C2CC(N(Cc3nc(C)c(C)cc3C)Cc3nc(C)c(C)c(C)c3C)CCC2N(C)Cc2ccccn2)nc1C 7.7750316 0.4576271186440678</t>
  </si>
  <si>
    <t>CC1=C(C)C(C)(c2ncccc2CN(Cc2ccccn2)Cc2ccccn2)C(C)CC1 7.7750263 0.43478260869565216</t>
  </si>
  <si>
    <t>Cc1cc(C)c(C)c(CN(C)CCN(C)Cc2ncccc2C)n1 7.775018 0.41304347826086957</t>
  </si>
  <si>
    <t>CCOC(=O)C(C)NCc1ncccc1C(=O)C(C)N 7.7750163 0.24242424242424243</t>
  </si>
  <si>
    <t>CCN(Cc1cccc(C2CCC2(C)C)n1)Cc1ncccc1C(C)(C)c1ccccn1 7.7750144 0.3055555555555556</t>
  </si>
  <si>
    <t>CN(C)C1CCCCC1N(C)c1ccc2cc(CF)cnc2c1 7.7750115 0.41818181818181815</t>
  </si>
  <si>
    <t>CC(C)N(C)CC1=CCC=C(N(C)Cc2cccnn2)N1 7.7750106 0.4166666666666667</t>
  </si>
  <si>
    <t>Cc1cccc(CN(C)C2=CCC(CN(C)C(C)C)=CN2)n1 7.775007 0.41509433962264153</t>
  </si>
  <si>
    <t>CN(Cc1cccc(-c2ccc(N(C)C)cc2)n1)Cc1cccc(-c2cccc3c2OCCOCCOCCOCCOCCO3)n1 7.7750044 0.3559322033898305</t>
  </si>
  <si>
    <t>CNCc1nccc(C)c1C 7.7750044 0.24324324324324326</t>
  </si>
  <si>
    <t>CN(CCCN(C)Cc1ncccc1-c1cccc2c1OCCOCCOCCOCCOCCO2)Cc1cccc(-c2cccc3cccnc23)n1 7.775003 0.35384615384615387</t>
  </si>
  <si>
    <t>Cc1ccccc1CN(C)Cc1ncccc1C(C)(C)C 7.7749906 0.3829787234042553</t>
  </si>
  <si>
    <t>CN(Cc1ncccc1-c1ccccc1N(C)C)Cc1ncccc1-c1cccc2c1OCCOCCOCCOCCOCCO2 7.774987 0.2786885245901639</t>
  </si>
  <si>
    <t>CCOC(C)NCc1cc(CN(Cc2ccccn2)Cc2cc(C(C)(C)C)ccn2)ccn1 7.7749796 0.38461538461538464</t>
  </si>
  <si>
    <t>CN(Cc1cccc(-c2cccc(N(C)C)c2)n1)Cc1cccc(-c2ccc3c(c2)OCCOCCOCCOCCOCCO3)n1 7.7749777 0.3684210526315789</t>
  </si>
  <si>
    <t>CC1C=CC(C)(c2cc(CN(Cc3ccccn3)Cc3cccc(C(C)(C)C)n3)ccn2)C(C)C1 7.774963 0.3448275862068966</t>
  </si>
  <si>
    <t>CCNCc1cc(C)cc(CN(C)Cc2cc(C)ccn2)n1 7.77496 0.3673469387755102</t>
  </si>
  <si>
    <t>CC1=CC(C)C(C(C)(C)C)C=C1N(C)Cc1ccccn1 7.7749577 0.4375</t>
  </si>
  <si>
    <t>CNCN(Cc1ccccn1)C1CCC(N(C)c2cccc3nccc(CF)c23)CC1 7.774956 0.3492063492063492</t>
  </si>
  <si>
    <t>Cc1ccc(CN(C)CC2=CC(N(C)Cc3cc(C)ccn3)C=CN2)cc1 7.774949 0.3064516129032258</t>
  </si>
  <si>
    <t>CC(C)NCc1ccc(NC2C=CC=CN2)cn1 7.7749443 0.2982456140350877</t>
  </si>
  <si>
    <t>CCNCc1ncccc1C(C)(C)c1ccccn1 7.7749376 0.38461538461538464</t>
  </si>
  <si>
    <t>COC(=O)c1ncccc1CN1CCN(C)CCN(Cc2ncccc2C(C)(c2ccccn2)c2ccccn2)CC1 7.7749324 0.38333333333333336</t>
  </si>
  <si>
    <t>Cc1cccc(CN(C)C2=C(CN(C)C(C)C)NC=CC2)n1 7.774932 0.4166666666666667</t>
  </si>
  <si>
    <t>CNC1CC(N(C)Cc2ncccc2C)CC(N(Cc2nc(C)c(C)c(C)c2C)Cc2nc(C)c(C)c(C)c2C)C1 7.774931 0.25</t>
  </si>
  <si>
    <t>Cc1ccc(CN(Cc2ccccn2)C2CCCC(N(C)Cc3cc(-c4ccccn4)ccn3)C2)nc1 7.774928 0.4406779661016949</t>
  </si>
  <si>
    <t>CC(C)N(C)CCN(Cc1cccc2ncccc12)C(C)C 7.774919 0.45454545454545453</t>
  </si>
  <si>
    <t>COC(=O)c1cccc(CN2CCN(C)CCN(Cc3cccc(C(C)(c4ccccn4)c4ccccn4)n3)CC2)n1 7.77491 0.48148148148148145</t>
  </si>
  <si>
    <t>CNCc1cccc(CN(C)C2=CNC(C(C)(C)C)=CC2)n1 7.774908 0.2830188679245283</t>
  </si>
  <si>
    <t>Cc1cccc(CN(C)C2C=CNC(CN(Cc3cccc(C)n3)C(C)C)=C2)n1 7.774907 0.4339622641509434</t>
  </si>
  <si>
    <t>CCN(Cc1ccccn1)Cc1ncccc1N(C)C1CC(N(C)Cc2ccccn2)CC(N(Cc2ccccn2)Cc2nc(C)c(C)cc2C)C1 7.7749043 0.3382352941176471</t>
  </si>
  <si>
    <t>Cc1ccnc(CN(C)C2=C(CN(C)C(C)C)NC=CC2)c1 7.774904 0.32142857142857145</t>
  </si>
  <si>
    <t>CC1(C)COC(c2cccc(CN(Cc3cccc(-c4ccc5c(c4)OCCOCCOCCOCCOCCO5)n3)Cc3cccc(C(C)(C)c4ccccn4)n3)n2)=N1 7.7748775 0.37662337662337664</t>
  </si>
  <si>
    <t>CNCc1ncccc1CN(Cc1ccccn1)C1C=CC=CN1 7.7748485 0.45614035087719296</t>
  </si>
  <si>
    <t>COc1c(C)cnc(C(C)(C)C2(C)COC(c3cc(CN4CCN(C)CCN(C)CC4)ccn3)=N2)c1C 7.774846 0.4393939393939394</t>
  </si>
  <si>
    <t>Cc1cnc2cccc(N(C)C3=CNC(CN4CCN(C)CCN(C)CC4)=CC3)c2c1 7.774844 0.3442622950819672</t>
  </si>
  <si>
    <t>CCNCc1cc(CN(Cc2cc(C)ccn2)Cc2cc(C)ccn2)ccn1 7.77483 0.375</t>
  </si>
  <si>
    <t>CC1C=CCC(C)(c2cccc(CN(Cc3ccccn3)C3CCC(N(C)c4ccc5nc(CN(C)C)ccc5c4)CC3)n2)C1C 7.7748117 0.3287671232876712</t>
  </si>
  <si>
    <t>CNCc1cc(CN(C)C2CCCCC2N(C)c2ccc3ccc(CF)nc3c2)ccn1 7.774806 0.421875</t>
  </si>
  <si>
    <t>CN(Cc1ccc(-c2cccc3c2OCCOCCOCCOCCOCCO3)cn1)CN(C)c1ccc2ncc(CF)cc2c1 7.774805 0.2857142857142857</t>
  </si>
  <si>
    <t>CCNC(C)N(Cc1ccccn1)C1CCCC(N(C)c2cccc3c(CF)ccnc23)C1 7.7748046 0.3333333333333333</t>
  </si>
  <si>
    <t>Cc1cc(C)c(CN(C)C2CCCC(N(Cc3nc(C)c(C)cc3C)Cc3nc(C)c(C)c(C)c3C)C2)nc1C 7.7748017 0.25862068965517243</t>
  </si>
  <si>
    <t>CN(CC1=CCC=C(N(C)Cc2ccccn2)N1)CC(C)(C)C 7.7747808 0.46938775510204084</t>
  </si>
  <si>
    <t>Cc1cncc(CN(C)Cc2ccccn2)c1 7.774778 0.5</t>
  </si>
  <si>
    <t>Cc1ccc(CN(C)CCN(C)Cc2nc(C)c(C)cc2C)cn1 7.774775 0.34782608695652173</t>
  </si>
  <si>
    <t>CC1C(c2cncc(CN(Cc3ccccn3)Cc3cc(N)ccn3)c2)=CCC(N(C)Cc2ccccn2)C1C 7.7747655 0.390625</t>
  </si>
  <si>
    <t>Cc1cc(C)c(CN(C)C2CCCC(N(Cc3cc(C)c(C)c(C)n3)Cc3nc(C)c(C)c(C)c3C)C2)nc1C 7.774764 0.25</t>
  </si>
  <si>
    <t>CN(Cc1ccc(-c2ccc3c(c2)OCCOCCOCCOCCOCCO3)cn1)Cc1cccc(-c2ccccc2N(C)C)n1 7.7747602 0.42857142857142855</t>
  </si>
  <si>
    <t>CN(Cc1ccc(N)cn1)C1=C(CN(C)C(C)(C)C)NC=CC1 7.7747483 0.2962962962962963</t>
  </si>
  <si>
    <t>Cc1cccc(CN(C)CC2=CC(N(C)Cc3cc(C)ccn3)C=CN2)c1 7.774744 0.31746031746031744</t>
  </si>
  <si>
    <t>CC(C)C(C)(c1cccnc1)N(C)C1=CNC(CN(C)Cc2ccccn2)=CC1 7.774742 0.359375</t>
  </si>
  <si>
    <t>CCNC1=C(C)C(C)CC(c2ncccc2CN(Cc2ccccn2)Cc2cc(C(C)(C)C)ccn2)C1 7.7747383 0.3225806451612903</t>
  </si>
  <si>
    <t>C1=CNC(NCc2ccccn2)C(CN(Cc2ccccn2)Cc2ccccn2)=C1 7.774736 0.5</t>
  </si>
  <si>
    <t>CCNCc1ncccc1CN(C)C1CCCC(N(C)c2cccc3ncccc23)C1 7.7747355 0.30303030303030304</t>
  </si>
  <si>
    <t>CC1=CCC(C)C2(C=CC3(C(c4ncccc4CN(Cc4ccccn4)Cc4ccccn4)C2c2cccc(CN(Cc4ccccn4)Cc4ccccn4)n2)C(C)(C)C(C)=C(C)CC32C(C)C=CCC2C)C1C 7.774732 0.27472527472527475</t>
  </si>
  <si>
    <t>CCNCc1cc(CN(Cc2ccccn2)C(C)(N)c2ccccn2)ccn1 7.77473 0.36363636363636365</t>
  </si>
  <si>
    <t>CC1=C(N(C)Cc2ccccn2)C(CN(Cc2ccccn2)C(C)(N)c2ccccn2)C(C)CC1 7.7747245 0.36666666666666664</t>
  </si>
  <si>
    <t>CN(C)CCN(C)c1ccccc1F 7.774694 0.3783783783783784</t>
  </si>
  <si>
    <t>CC(C)N(Cc1ccccn1)C1CCCCC1N(C)c1ccc2nc(CF)ccc2c1 7.7746925 0.4482758620689655</t>
  </si>
  <si>
    <t>Cc1cccnc1CN(C)C1=C(CN(C)C(C)C)NC=CC1 7.7746916 0.27419354838709675</t>
  </si>
  <si>
    <t>Cc1ccc(CN(Cc2ccccn2)C2CCC(N(C)Cc3cccc4ncccc34)CC2)nc1 7.774691 0.41379310344827586</t>
  </si>
  <si>
    <t>CN(CC1=CC(N(C)Cc2cccc(C(C)(C)C)n2)C=CN1)Cc1ccccn1 7.7746906 0.43859649122807015</t>
  </si>
  <si>
    <t>Cc1cnc(CN(C)CCN(C)C)c(C)c1 7.774688 0.4594594594594595</t>
  </si>
  <si>
    <t>CNC1CCC(N(Cc2nc(C)c(C)c(C)c2C)Cc2nc(C)c(C)c(C)c2C)CC1NCc1ncc(C)c(C)c1C 7.7746854 0.22058823529411764</t>
  </si>
  <si>
    <t>Cc1ccccc1CN(C)Cc1ncccc1C 7.774685 0.43902439024390244</t>
  </si>
  <si>
    <t>Cc1ccnc(CN(C)Cc2ccnc(CNC(C)C)c2)c1 7.774672 0.3877551020408163</t>
  </si>
  <si>
    <t>CNCc1cc(CN(C)Cc2ncccc2C)ccn1 7.7746696 0.32075471698113206</t>
  </si>
  <si>
    <t>CCNCc1ncccc1CN(Cc1ccccn1)C1CCCCC1N(C)c1cccc2ncccc12 7.7746596 0.40625</t>
  </si>
  <si>
    <t>CC1=C(N(C)Cc2ccccn2)C(C)(C)CC(C)C1 7.7746506 0.4583333333333333</t>
  </si>
  <si>
    <t>Cc1cncc(CN(C)CC2=C(N(C)C(C)C)CC=CN2)c1C 7.77465 0.22033898305084745</t>
  </si>
  <si>
    <t>C=CCN(C)CC1=C(N(C)Cc2ccccn2)CC=CN1 7.7746444 0.39655172413793105</t>
  </si>
  <si>
    <t>CN(Cc1cccc(-c2cccc3c2OCCOCCOCCOCCOCCO3)n1)Cc1ncccc1-c1cccc(N(C)C)c1 7.774639 0.36363636363636365</t>
  </si>
  <si>
    <t>Cc1ccc(CN(C)C2=CNC(CN(C)CC(C)(C)C)=CC2)nc1 7.7746367 0.42857142857142855</t>
  </si>
  <si>
    <t>CC1=CC(C)CC(C)C1c1ncccc1CN(Cc1ccccn1)Cc1ccccn1 7.774636 0.45454545454545453</t>
  </si>
  <si>
    <t>CC1=CC(C)C(C)(c2cccc(CN(Cc3ccccn3)Cc3cc(C(C)(C)C)ccn3)n2)CC1 7.7746325 0.35714285714285715</t>
  </si>
  <si>
    <t>Cc1cnc(CN(CCCN(C)Cc2cnc(C)c(C)c2)Cc2ccccn2)c(C)c1 7.7746267 0.41818181818181815</t>
  </si>
  <si>
    <t>FCc1ccc2cc(N(Cc3ccccn3)C3CCCCC3N(CF)Cc3ccccn3)ccc2n1 7.774623 0.42105263157894735</t>
  </si>
  <si>
    <t>CNCc1cccc(CN(C)C2CCCCC2N(C)c2ccc3nc(CF)ccc3c2)n1 7.7746186 0.47540983606557374</t>
  </si>
  <si>
    <t>Cc1cnc(CN(C)C2CC(N(C)Cc3ccccn3)CC(N(Cc3cc(C)c(C)c(C)n3)Cc3cc(C)c(C)c(C)n3)C2)c(C)c1 7.7746167 0.3770491803278688</t>
  </si>
  <si>
    <t>Cc1cnc(C2CCC2(C)C)c(CN(Cc2ccccn2)Cc2ccccn2)c1C 7.774613 0.4444444444444444</t>
  </si>
  <si>
    <t>Cc1cccnc1CN(C)C1=CNC(CN(C)C(C)(C)C)=CC1 7.77461 0.2698412698412698</t>
  </si>
  <si>
    <t>CN(Cc1ccc(-c2cccc(N(C)C)c2)cn1)Cc1ccc(-c2cccc3c2OCCOCCOCCOCCOCCO3)cn1 7.77461 0.37142857142857144</t>
  </si>
  <si>
    <t>CN(Cc1ccccn1)C1CC(N(C)C2=CCC=CN2)CC(N(Cc2ccccn2)c2ccccc2F)C1 7.7746053 0.421875</t>
  </si>
  <si>
    <t>CC1C=CCC(C)(c2cccc(CN(Cc3ccccn3)C3CCC(N(C)c4ccc5cc(CN(C)C)cnc5c4)CC3)n2)C1C 7.774605 0.28205128205128205</t>
  </si>
  <si>
    <t>Cc1nc(CN(Cc2nc(C)c([SiH3])c([SiH3])c2C)C2CCCCC2N(C)Cc2nc([SiH3])c(C)c(C)c2C)c(C)c(C)c1C 7.774605 0.3392857142857143</t>
  </si>
  <si>
    <t>Cc1ccc(CN(C)C2CCC(N(Cc3cccc(C)n3)Cc3cccc(C)n3)CC2N(Cc2cccc(C)n2)Cc2nc(C)c(C)cc2C)nc1 7.7745986 0.45161290322580644</t>
  </si>
  <si>
    <t>Cc1cccc(CN(Cc2ccccn2)Cc2cccc(CN(Cc3ccccn3)Cc3cccc(C4CCC4C)n3)n2)n1 7.7745986 0.45454545454545453</t>
  </si>
  <si>
    <t>CC=CCN(C)CC1=CCC(N(C)Cc2ccccn2)=CN1 7.7745943 0.3898305084745763</t>
  </si>
  <si>
    <t>CC1=C(C)C(c2cncc(CN(C)Cc3ccccn3)c2)C(N(C)Cc2ccccn2)C(C)C1 7.7745934 0.38333333333333336</t>
  </si>
  <si>
    <t>CC(C)(C)c1ccc(CNCF)nc1CN(Cc1ccccn1)Cc1ccccn1 7.7745905 0.45454545454545453</t>
  </si>
  <si>
    <t>Cc1cncc(CN(C)CC2=CC(N(C)Cc3ccccn3)C=CN2)c1 7.774588 0.36666666666666664</t>
  </si>
  <si>
    <t>CN(C)C1C=CNC(CN(Cc2ccccn2)Cc2cccc(C(C)(C)C)n2)=C1 7.774581 0.4406779661016949</t>
  </si>
  <si>
    <t>Cc1ccc(C(C)(C)C(C)C)c(C)c1C(C)c1ccccc1 7.774576 0.23529411764705882</t>
  </si>
  <si>
    <t>CN(CC1=CC(N(C)c2ccc3ncccc3c2)C=CN1)Cc1cncc(-c2ccc3c(c2)OCCOCCOCCOCCOCCO3)c1 7.7745757 0.29213483146067415</t>
  </si>
  <si>
    <t>CCOC(=O)C(=O)C(=O)C(C)NCc1ccccn1 7.7745743 0.37777777777777777</t>
  </si>
  <si>
    <t>CN1CCN(C)CCN(Cc2cncc(-c3cccc(N=Cc4ccccn4)c3)c2)CC1 7.774565 0.40350877192982454</t>
  </si>
  <si>
    <t>CNCc1cc(CN(C)C2=CNC(C(C)(C)C)=CC2)ccn1 7.774551 0.25</t>
  </si>
  <si>
    <t>CCNCc1ncccc1CN(Cc1ccccn1)C(C)(N)c1ccccn1 7.7745495 0.35714285714285715</t>
  </si>
  <si>
    <t>Cc1cccnc1CN(C)C1CCC(N(Cc2cccc(F)n2)Cc2ccc3ccccc3n2)CC1 7.774548 0.4</t>
  </si>
  <si>
    <t>CC1=C(C)C(CN(C)CC2=C(N(C)Cc3ncccc3C)CC=CN2)C(C)C=C1 7.7745476 0.22784810126582278</t>
  </si>
  <si>
    <t>CC1C=CCC(C)(c2ncccc2CN(Cc2ccccn2)C2CCC(N(C)c3ccc4nc(CN(C)C)ccc4c3)CC2)C1C 7.7745466 0.32</t>
  </si>
  <si>
    <t>CC1=CCC(C)C2(C=CC(c3cc(CN(Cc4cc(-c5cccc(N(C)C)c5)ccn4)Cc4cc(-c5ccc6c(c5)OCCOCCOCCOCCOCCO6)ccn4)ccn3)C(c3ccccn3)C23C(C)CC=C(C)C3C)C1C 7.774545 0.25961538461538464</t>
  </si>
  <si>
    <t>Cc1ccc(CN(C)C2=CNC(CN(C)C(C)C)=CC2)nc1 7.7745357 0.40816326530612246</t>
  </si>
  <si>
    <t>Cc1ccc(CN(Cc2ccccn2)C2CCCC(N(C)Cc3ncccc3-c3ccccn3)C2)cn1 7.7745314 0.3870967741935484</t>
  </si>
  <si>
    <t>Cc1ccc(C)c(CN(C)C2C=CNC(CN(Cc3ccccn3)C(C)C)=C2)n1 7.774529 0.43859649122807015</t>
  </si>
  <si>
    <t>CN(Cc1ncccc1-c1ccc2c(c1)OCCOCCOCCOCCOCCO2)CN(C)c1ccc2ncccc2c1 7.774528 0.3026315789473684</t>
  </si>
  <si>
    <t>CN(Cc1cccc(C2CCC2(C)C)n1)C1CCC(N(C)c2ccc3ccc(CF)nc3c2)CC1 7.7745275 0.3333333333333333</t>
  </si>
  <si>
    <t>COC(=O)C1CC(c2ccccn2)C(CN(Cc2ccccn2)Cc2ccccn2)N(C)C1c1ccccn1 7.7745256 0.35714285714285715</t>
  </si>
  <si>
    <t>CCNC1C(N(Cc2nc(C)c(C)cc2C)Cc2nc(C)c(C)cc2C)CCCC1N(Cc1nc(C)c(C)cc1C)Cc1nc(C)c(C)cc1C 7.7745233 0.2777777777777778</t>
  </si>
  <si>
    <t>CC(C)N(C)Cc1ccc2cccc(N(C)Cc3cc(-c4ccc5c(c4)OCCOCCOCCOCCOCCO5)ccn3)c2n1 7.774522 0.33766233766233766</t>
  </si>
  <si>
    <t>CC(C)(C)c1ccnc(CN(Cc2cc(-c3ccc4c(c3)OCCOCCOCCOCCOCCO4)ccn2)Cc2ccnc3ccccc23)c1 7.774522 0.3333333333333333</t>
  </si>
  <si>
    <t>CN1CCN(CCc2nc3ccccc3o2)CCN(Cc2cc(C(C)(C)c3ccccn3)ccn2)CC1 7.7745013 0.43333333333333335</t>
  </si>
  <si>
    <t>CCCN(Cc1ccccn1)Cc1ccc2cccc(N(C)Cc3cccc(-c4ccc5c(c4)OCCOCCOCCOCCOCCO5)n3)c2n1 7.7745004 0.4189189189189189</t>
  </si>
  <si>
    <t>CC1=C(C)CC(C)(C)C(N(C)Cc2cc(C(C)(C)c3ccccn3)ccn2)C1 7.774494 0.35</t>
  </si>
  <si>
    <t>CC1=CC(C)C(CN(C)Cc2ccccn2)C(N(C)Cc2ccccn2)=C1 7.7744913 0.42</t>
  </si>
  <si>
    <t>Cc1cc(C)c(CN(C)C2CC(N(Cc3nc(C)c(C)cc3C)Cc3nc(C)c(C)cc3C)CCC2N(C)C)nc1C 7.7744827 0.2909090909090909</t>
  </si>
  <si>
    <t>Cc1ccccc1CN(C)Cc1cccc(C(C)(C)C)n1 7.774481 0.42857142857142855</t>
  </si>
  <si>
    <t>CCN(CCN(C)Cc1ncc(C)c(C)c1C)Cc1ncc(C)c(C)c1C 7.774478 0.3902439024390244</t>
  </si>
  <si>
    <t>CNCc1cccc(CN(Cc2ccccn2)Cc2ccc(F)cn2)n1 7.7744684 0.4878048780487805</t>
  </si>
  <si>
    <t>CC(C)C1=CC2(C=CN1)C=CC(C)C(c1cccc(CN(Cc3ccccn3)C3CCCCC3N(C)c3ccc4nc(CF)ccc4c3)n1)C2C 7.774461 0.32222222222222224</t>
  </si>
  <si>
    <t>CC1=C(C)C(CN(C)Cc2ccnc(C)c2)=CC(N(C)Cc2ccccn2)C1 7.774457 0.40350877192982454</t>
  </si>
  <si>
    <t>C1=CN(Cc2ccccn2)C=CC1 7.7744517 0.4864864864864865</t>
  </si>
  <si>
    <t>Cc1ccc(N)c(C)c1-c1ncccc1CN(C)C1CCCC(N(C)Cc2ccccn2)C1 7.774444 0.44642857142857145</t>
  </si>
  <si>
    <t>Cc1cnc(CN(CCN(C)Cc2cccnc2C)Cc2ccccn2)c(C)c1 7.7744403 0.47058823529411764</t>
  </si>
  <si>
    <t>Cc1cccnc1F 7.774433 0.3333333333333333</t>
  </si>
  <si>
    <t>CC(C)C(C)(c1cccnc1)N(Cc1cc(-c2cccc(N(C)C)c2)ccn1)Cc1cc(-c2ccc3c(c2)OCCOCCOCCOCCOCCO3)ccn1 7.774431 0.3170731707317073</t>
  </si>
  <si>
    <t>CC1C=CCC(C)C1c1cccc(CN(Cc2ccccn2)C2CCC(N(C)c3ccc4nc(CF)ccc4c3)CC2)n1 7.7744255 0.3287671232876712</t>
  </si>
  <si>
    <t>CC(C(=O)C(=O)C(=O)C(=O)C(C)C(=O)c1ccc(C2CCC2(C)C)nc1)C(=O)C(=O)C(=O)C(C)C(=O)C(=O)C(C)C(=O)C(=O)C(=O)C(C)C(C)C(C)C(C)C(C)C(C)C(=O)C(=O)C(=O)C(=O)C(=O)C(=O)C(=O)C(C)C(C)C(C)C(C)C(=O)C=O 7.7744145 0.1686746987951807</t>
  </si>
  <si>
    <t>CN(Cc1cncc(-c2ccccc2N(C)C)c1)Cc1ncccc1-c1ccc2c(c1)OCCOCCOCCOCCOCCO2 7.774414 0.3076923076923077</t>
  </si>
  <si>
    <t>Cc1cnc(CN(C)C2CCC(N(Cc3ccccn3)Cc3cccc(-c4cccc(N(C)C5(C)CCC5)c4)n3)CC2)c(C)c1C 7.7744102 0.3717948717948718</t>
  </si>
  <si>
    <t>CN(Cc1ccc(-c2ccc3c(c2)OCCOCCOCCOCCOCCO3)cn1)Cc1cccc(-c2cccc(N(C)C)c2)n1 7.774406 0.43478260869565216</t>
  </si>
  <si>
    <t>CN(CC1=C(N(C)C2C=CC=CN2)CC=CN1)Cc1ccccn1 7.7744026 0.4482758620689655</t>
  </si>
  <si>
    <t>Cc1cccc(CN(C)Cc2cccc(N(C)C3CCCCC3N(Cc3ccccn3)Cc3nc(C)c(C)c(C)c3C)n2)n1 7.774402 0.43548387096774194</t>
  </si>
  <si>
    <t>Cc1cc(CN(C)CCN(Cc2cccnc2)Cc2ccccn2)nc(C)c1C 7.7744 0.5</t>
  </si>
  <si>
    <t>CCCN(Cc1ccccn1)c1cc2cccnc2cc1CN(C)Cc1cccc(-c2ccc3c(c2)OCCOCCOCCOCCOCCO3)n1 7.7743955 0.39436619718309857</t>
  </si>
  <si>
    <t>CNCN(Cc1ccccn1)C1CCC(N(C)c2ccc3c(CF)ccnc3c2)CC1 7.774395 0.3492063492063492</t>
  </si>
  <si>
    <t>Cc1ccnc(CN(C)Cc2ccc(CNC(C)C)nc2)c1 7.774391 0.3673469387755102</t>
  </si>
  <si>
    <t>CNCc1ncccc1CN(C)C1CCCCC1N(C)c1ccc2cccnc2c1 7.774383 0.4</t>
  </si>
  <si>
    <t>CC1C=CC(C)(C)CC1(C)c1ccc(CN(Cc2ccccn2)Cc2ncccc2C(C)(C)C)cn1 7.7743692 0.3333333333333333</t>
  </si>
  <si>
    <t>CNCc1nc(CN(Cc2nc(C)c(C)c(C)c2C)C2CCC(N(C)Cc3nc(C)c(C)c(C)c3C)CC2)c(C)c(C)c1C 7.774368 0.22807017543859648</t>
  </si>
  <si>
    <t>Cc1cc(C)c(CN(C)CCN(Cc2ccccn2)Cc2ncccc2C)cn1 7.7743654 0.48</t>
  </si>
  <si>
    <t>CCSCc1ncccc1CN(C)Cc1ncccc1C 7.774359 0.375</t>
  </si>
  <si>
    <t>CC(C)N(C)CC1=CCC=C(N(C)Cc2ccccn2)N1 7.77435 0.4375</t>
  </si>
  <si>
    <t>Cc1cccc(CN(C)Cc2ncccc2C)c1 7.7743483 0.3404255319148936</t>
  </si>
  <si>
    <t>CNc1ccc2nc(CN(C)Cc3ncccc3-c3ccc4c(c3)OCCOCCOCCOCCOCCO4)ccc2c1 7.774342 0.31645569620253167</t>
  </si>
  <si>
    <t>COC(=O)c1ncccc1CN1CCN(C)CCN(Cc2cc(C(C)(c3ccccn3)c3ccccn3)ccn2)CC1 7.7743406 0.4411764705882353</t>
  </si>
  <si>
    <t>COC(C)NCc1ncccc1CN(Cc1ccccn1)Cc1ccc(C(C)(C)C)cn1 7.7743397 0.37735849056603776</t>
  </si>
  <si>
    <t>Cc1cncc(CN(C)C2C=CC=CN2)c1C(C)(C)C 7.774328 0.25</t>
  </si>
  <si>
    <t>Cc1ccnc(CN(C)Cc2ccncc2C2=CC(C)CC(N(C)Cc3ccccn3)C2C)c1 7.774324 0.390625</t>
  </si>
  <si>
    <t>Cc1cccc(-c2cccc(CN(C)C3CCC(N(Cc4ccccn4)Cc4ccc(C)c(C)n4)CC3)n2)c1 7.774305 0.4393939393939394</t>
  </si>
  <si>
    <t>COC(=O)c1ccc(CN2CCN(C)CCN(Cc3cccc(C(C)(c4ccccn4)c4ccccn4)n3)CC2)cn1 7.774298 0.43333333333333335</t>
  </si>
  <si>
    <t>FCN(Cc1ccccn1)C1CCCCC1N(Cc1ccccn1)c1cccc2cccnc12 7.774296 0.49056603773584906</t>
  </si>
  <si>
    <t>CC(C)N(Cc1ccccn1)C(C)(N)N(Cc1ccccn1)C(C)(C)c1ccccn1 7.7742877 0.45652173913043476</t>
  </si>
  <si>
    <t>CN1CCN(C)CCN(C2C=C(N(C)c3ccc4cccnc4c3)C=CN2)CC1 7.7742753 0.2727272727272727</t>
  </si>
  <si>
    <t>CC(C)N(Cc1cc(C(C)(C)C)ccn1)C(C)C 7.7742753 0.35714285714285715</t>
  </si>
  <si>
    <t>CC1=C(N(Cc2ccccn2)Cc2ccccn2)CC(C)CC1C 7.77427 0.425531914893617</t>
  </si>
  <si>
    <t>CNC1C(N(C)Cc2cc(C)c(C)c(C)n2)CCCC1N(Cc1nc(C)c(C)c(C)c1C)Cc1nc(C)c(C)c(C)c1C 7.7742624 0.3389830508474576</t>
  </si>
  <si>
    <t>CC1=C(C)C(N(C)Cc2cc(C(C)(C)c3ccccn3)ccn2)C(C)CC1 7.774261 0.3728813559322034</t>
  </si>
  <si>
    <t>CCCNCC1=CCC=C(N(C)Cc2ncccc2C)N1 7.774253 0.26153846153846155</t>
  </si>
  <si>
    <t>CC(C)N(Cc1ccccn1)C1CCCCC1N(C)c1ccc2cc(CF)cnc2c1 7.7742496 0.43333333333333335</t>
  </si>
  <si>
    <t>Fc1cccc(CN(Cc2cccc(-c3ccc4c(c3)OCCOCCOCCOCCOCCO4)n2)Cc2cccc(-c3ccccc3NCc3ccccn3)n2)n1 7.774249 0.3918918918918919</t>
  </si>
  <si>
    <t>Cc1cccc(-c2cccc(CN(C)C3CCC(N(C)Cc4ccccn4)CC3N(Cc3ccccn3)Cc3cccc(C(C)(C)C)n3)n2)c1 7.7742395 0.4153846153846154</t>
  </si>
  <si>
    <t>Cc1cncc(CN(C)C2CCCC(N(Cc3cccc(C)n3)Cc3cccc(-c4cccc(N)c4)n3)C2)c1 7.774238 0.3787878787878788</t>
  </si>
  <si>
    <t>CCN(Cc1ccccn1)Cc1ncccc1CN(C)Cc1cccc(C)n1 7.7742352 0.49019607843137253</t>
  </si>
  <si>
    <t>Cc1ccc(CN(C)CC2=CC(N(C)Cc3ccccn3)C=CN2)cn1 7.7742305 0.3793103448275862</t>
  </si>
  <si>
    <t>Cc1ccnc(CN(C)C2=CNC(CN(C)C(C)C)=CC2)c1 7.77423 0.3157894736842105</t>
  </si>
  <si>
    <t>Cc1ccc(CN(Cc2ccc([Si](C(C)C)(C(C)C)C(C)C)cn2)C2CCC(N(C)Cc3cc(-c4ccccn4)ccn3)CC2)nc1 7.774229 0.38095238095238093</t>
  </si>
  <si>
    <t>CC1=CCC(N(C)Cc2ccccn2)C(c2cnccc2CN(Cc2ccccn2)Cc2cc(N)ccn2)C1C 7.7742195 0.4032258064516129</t>
  </si>
  <si>
    <t>Cc1cncc(CN(C)c2ccccc2-c2ccc(CN(C)C3CCC(CC(C)(C)C)CC3)nc2)c1 7.7742105 0.3283582089552239</t>
  </si>
  <si>
    <t>CNc1cccc(CN(C)C2C=CC=CN2)n1 7.7742095 0.35294117647058826</t>
  </si>
  <si>
    <t>CC(C)N(Cc1ccccn1)C1CCCCC1N(C)c1ccc2ccc(CF)nc2c1 7.7741933 0.45614035087719296</t>
  </si>
  <si>
    <t>CC1=CC(C)(c2ncccc2CN(Cc2ccccn2)Cc2ncccc2C(C)(C)C)CCC1C 7.77419 0.3508771929824561</t>
  </si>
  <si>
    <t>Cc1ccnc(CN(C)CCN(C)Cc2nc(C)c(C)cc2C)c1 7.7741866 0.4090909090909091</t>
  </si>
  <si>
    <t>Cc1ccc(CN(C)Cc2cccc(N(C)C3CCC(N(Cc4ccccn4)Cc4nc(C)c(C)cc4C)CC3)n2)nc1 7.774163 0.3787878787878788</t>
  </si>
  <si>
    <t>Cc1cccnc1CN(C)CCN(C)Cc1cc(C)c(C)c(C)n1 7.7741594 0.4</t>
  </si>
  <si>
    <t>CNC1CC(N(Cc2ccccn2)Cc2ncc(C)c(C)c2C)CC(N(Cc2ncc(C)c(C)c2C)Cc2ncc(C)c(C)c2C)C1 7.7741513 0.36363636363636365</t>
  </si>
  <si>
    <t>Cc1ccnc(CN(C)CCN(C)Cc2cc(C)c(C)c(C)n2)c1 7.7741494 0.4186046511627907</t>
  </si>
  <si>
    <t>CNC1CCCC(N(Cc2nc(C)c(C)c(C)c2C)Cc2nc(C)c(C)c(C)c2C)C1N(C)Cc1cc(C)c(C)c(C)n1 7.774149 0.3064516129032258</t>
  </si>
  <si>
    <t>COC(=O)c1cc(CN2CCN(C)CCN(Cc3cccc(C(C)(c4ccccn4)c4ccccn4)n3)CC2)ccn1 7.7741437 0.43333333333333335</t>
  </si>
  <si>
    <t>COC(=O)c1cccc(CN2CCN(C)CCN(Cc3cc(C(C)(c4ccccn4)c4ccccn4)ccn3)CC2)n1 7.774135 0.4576271186440678</t>
  </si>
  <si>
    <t>CC(N)(c1ccccc1)N(Cc1ccccn1)Cc1ccccn1 7.7741337 0.5</t>
  </si>
  <si>
    <t>CCNc1ncccc1CN(Cc1ccccn1)Cc1cccc(F)n1 7.7741327 0.45901639344262296</t>
  </si>
  <si>
    <t>Cc1cncc(CN(C)CCN(C)Cc2nc(C)c(C)cc2C)c1 7.774127 0.32608695652173914</t>
  </si>
  <si>
    <t>CN(Cc1cccc(-c2ccc(N(C)C)cc2)n1)Cc1cccc(-c2ccc3c(c2)OCCOCCOCCOCCOCCO3)n1 7.7741237 0.375</t>
  </si>
  <si>
    <t>CC1=C2N=CC=CC2C2C=CC=NC2C1N(C)Cc1cc(C(C)(C)C)ccn1 7.774115 0.23880597014925373</t>
  </si>
  <si>
    <t>Cc1cc(CN(C)C2CCC(N(C)Cc3cc(-c4ccccn4)ccn3)CC2)nc(C)c1C 7.774099 0.39285714285714285</t>
  </si>
  <si>
    <t>CNC1CCCC(N(C)c2ccc3nc(CF)ccc3c2)C1 7.7740917 0.3728813559322034</t>
  </si>
  <si>
    <t>CNCc1cccc(CN(C)Cc2ncccc2C)n1 7.774075 0.4375</t>
  </si>
  <si>
    <t>CNCc1cccc(CN(C)C2CCCCC2N(C)c2ccc3ccc(CF)nc3c2)n1 7.774075 0.48333333333333334</t>
  </si>
  <si>
    <t>CN1CCN(Cc2cccc(C3=CCC=CN3)n2)CCN(Cc2cccc(C(C)(c3ccccn3)c3ccccn3)n2)CC1 7.7740717 0.4482758620689655</t>
  </si>
  <si>
    <t>COCC(C)(CN(Cc1ccccn1)Cc1ccccn1)c1cc(CN(Cc2ccccn2)Cc2ccccn2)ccn1 7.774069 0.46</t>
  </si>
  <si>
    <t>Cc1cccc(CN(C)CC2=CC(N(C)Cc3cccc(C)n3)C=CN2)c1 7.774069 0.40350877192982454</t>
  </si>
  <si>
    <t>Cc1cccc(CN(CC2=CC(N(C)Cc3ncccc3C)C=CN2)C(C)C)n1 7.7740674 0.34375</t>
  </si>
  <si>
    <t>FCc1cnc2ccc(N(Cc3ccccn3)C3CCCCC3N(CF)Cc3ccccn3)cc2c1 7.7740583 0.4</t>
  </si>
  <si>
    <t>Cc1cc(NCc2ccccn2)ccc1CN(C)C(C)C 7.774058 0.40816326530612246</t>
  </si>
  <si>
    <t>Cc1cccnc1CN(C)CCN(Cc1ncccc1C)Cc1ncccc1C 7.7740564 0.43902439024390244</t>
  </si>
  <si>
    <t>CN(Cc1ccc(-c2cccc3c2OCCOCCOCCOCCOCCO3)cn1)Cc1ncccc1-c1cccc(N(C)C)c1 7.7740555 0.3037974683544304</t>
  </si>
  <si>
    <t>CC(C)(c1ccccn1)c1cccc(C2CCC2(C)C)n1 7.774055 0.3392857142857143</t>
  </si>
  <si>
    <t>Cc1cc(C)c(CN(C)CCN(C)Cc2ncccc2C)nc1C 7.7740507 0.4222222222222222</t>
  </si>
  <si>
    <t>CC(C)N(Cc1ccccn1)Cc1cccc(-c2cccc(N(C)Cc3cccc(-c4ccc5c(c4)OCCOCCOCCOCCOCCO5)n3)c2)n1 7.7740474 0.4142857142857143</t>
  </si>
  <si>
    <t>CC(C)C1=CC2(C=CN1)C=CC(C)(C)C(C)C2c1ccc(CN(Cc2ccccn2)C2CCC(N(C)c3ccc4cc(CF)cnc4c3)CC2)cn1 7.7740455 0.2391304347826087</t>
  </si>
  <si>
    <t>CCN(Cc1cc(C)ccn1)Cc1cc(C(C)(C)C)ccn1 7.7740445 0.3617021276595745</t>
  </si>
  <si>
    <t>Cc1cccnc1CN(C)C1=CNC(CN(C)CC(C)(C)C)=CC1 7.774035 0.29310344827586204</t>
  </si>
  <si>
    <t>FCNCc1cccc(C(NCc2ccccn2)c2ccccn2)n1 7.774033 0.4523809523809524</t>
  </si>
  <si>
    <t>CN(Cc1cccc(-c2ccc3c(c2)OCCOCCOCCOCCOCCO3)n1)Cc1cccnc1-c1cccc(N(C)C)c1 7.7740316 0.36363636363636365</t>
  </si>
  <si>
    <t>CNCc1ncccc1CN(C)C1CCCCC1N(C)c1ccc2ccc(CF)nc2c1 7.7740297 0.42424242424242425</t>
  </si>
  <si>
    <t>CN1CCN(C)CCN(Cc2ccc(-c3cccc(N=Cc4ccccn4)c3)nc2)CC1 7.7740264 0.40350877192982454</t>
  </si>
  <si>
    <t>COC(=O)c1cc(CN2CCN(C)CCN(Cc3ncccc3C(C)(c3ccccn3)c3ccccn3)CC2)ccn1 7.774026 0.36507936507936506</t>
  </si>
  <si>
    <t>COC(=O)c1ccc(CN(Cc2ccccn2)Cc2ncccc2-c2cccc3c2OCCOCCOCCOCCOCCO3)c(CN(Cc2ccccn2)C2CCCCC2N(C)c2cccc3ccc(CF)nc23)n1 7.774015 0.3894736842105263</t>
  </si>
  <si>
    <t>CC(C)(C1=CC2(C=CN1)C(c1cccc(CN(Cc3ccccn3)Cc3ccccn3)n1)=CCC(C)(C)C2c1cccc(CN(Cc2ccccn2)Cc2ccccn2)n1)c1cccc(-c2ccc3c(c2)OCCOCCOCCOCCOCCO3)n1 7.774009 0.34065934065934067</t>
  </si>
  <si>
    <t>CCNC1CC(N(Cc2ncccc2C)Cc2ncccc2C(C)(C)c2ccccn2)CCC1N(Cc1ccc(C)c(C)n1)Cc1ncccc1C(C)(c1ccccn1)C(C)C 7.7740083 0.24719101123595505</t>
  </si>
  <si>
    <t>CC1(C)CCC1c1ccc(CN(Cc2ccccn2)Cc2ccccn2)c(CN(Cc2ccccn2)Cc2ccccn2)n1 7.7740006 0.4444444444444444</t>
  </si>
  <si>
    <t>C=CCN(Cc1ccccn1)c1ccc2nc(CN(Cc3ccccn3)Cc3cccc(-c4ccc5c(c4)OCCOCCOCCOCCOCCO5)n3)ccc2c1 7.773998 0.4</t>
  </si>
  <si>
    <t>CN(Cc1cc(-c2cccc(N(C)C)c2)ccn1)Cc1cccc(-c2ccc3c(c2)OCCOCCOCCOCCOCCO3)n1 7.773997 0.3870967741935484</t>
  </si>
  <si>
    <t>CN1CCN(C)CCN(c2cccc3nccc(CF)c23)CC1 7.7739887 0.37209302325581395</t>
  </si>
  <si>
    <t>CN(Cc1cc(-c2ccc3c(c2)OCCOCCOCCOCCOCCO3)ccn1)Cc1cc(-c2ccccc2N(C)C)ccn1 7.773976 0.36764705882352944</t>
  </si>
  <si>
    <t>CCCN(Cc1ccccn1)Cc1ncccc1C(C)(C)c1ccccn1 7.7739635 0.4791666666666667</t>
  </si>
  <si>
    <t>FCNCc1cc(C(NCc2ccccn2)c2ccccn2)ccn1 7.7739606 0.4318181818181818</t>
  </si>
  <si>
    <t>Cc1ccc(CN(C)CC2=CC(N(C)Cc3ccccn3)C=CN2)nc1 7.773959 0.43137254901960786</t>
  </si>
  <si>
    <t>CC(C)c1ccccc1-c1cccc(CN(Cc2cccc(-c3ccc4c(c3)OCCOCCOCCOCCOCCO4)n2)C2CCC(N(C)c3ccc4nc(CF)ccc4c3)CC2)n1 7.7739506 0.27956989247311825</t>
  </si>
  <si>
    <t>CC1=CCC(C)C(C)=C1CN(C)Cc1cc(C(C)(C)C)ccn1 7.77395 0.29310344827586204</t>
  </si>
  <si>
    <t>Cc1ccc2ccc(N(C)C3=CNC(CN4CCN(C)CCN(C)CC4)=CC3)cc2n1 7.7739496 0.3684210526315789</t>
  </si>
  <si>
    <t>CN(Cc1cc(-c2ccc3c(c2)OCCOCCOCCOCCOCCO3)ccn1)Cc1nc2ccccc2o1 7.7739477 0.36619718309859156</t>
  </si>
  <si>
    <t>CC1=CC(C)C(C)(c2ccc(CN(Cc3ccccn3)Cc3ccc(C(C)(C)C)cn3)cn2)CC1 7.773942 0.3448275862068966</t>
  </si>
  <si>
    <t>CC(C)N(Cc1cccc(-c2cccc(N=Cc3ccccn3)c2)n1)Cc1cccc(-c2ccc3c(c2)OCCOCCOCCOCCOCCO3)n1 7.773939 0.36</t>
  </si>
  <si>
    <t>CCN(CCN(Cc1ccc(C)cn1)Cc1nc(C)c(C)c(C)c1C)Cc1ncccc1C 7.7739363 0.37735849056603776</t>
  </si>
  <si>
    <t>C(=Nc1cccc(-c2cccc(CNCc3ccc(-c4ccc5c(c4)OCCOCCOCCOCCOCCO5)cn3)n2)c1)c1ccccn1 7.7739286 0.379746835443038</t>
  </si>
  <si>
    <t>CC1=CC(C)C2(C=C(C)CC3(CC4(C=C(c5ccc(CN(Cc6ccccn6)Cc6ccccn6)cn5)C3c3ncccc3CN(Cc3ccccn3)Cc3ccccn3)CC(C)C=C(C)C4C)C2C)CC1 7.7739205 0.24742268041237114</t>
  </si>
  <si>
    <t>Cc1cccc(CN(C)Cc2ncccc2C(C)(C)C)c1 7.773917 0.3137254901960784</t>
  </si>
  <si>
    <t>CN(C1=C(CN(Cc2ccccn2)c2ccc3c(c2)OCCOCCOCCOCCOCCO3)NC=CC1)c1ccc2cccnc2c1 7.7739167 0.3150684931506849</t>
  </si>
  <si>
    <t>CCCN(C)CC1=CCC=C(N(C)Cc2ccccn2)N1 7.773916 0.41818181818181815</t>
  </si>
  <si>
    <t>CC(C)C(C)c1cccnc1CN(Cc1cc(C(C)(C)C)ccn1)Cc1ncccc1C(C)(C)C 7.7739053 0.34</t>
  </si>
  <si>
    <t>CC(C)(C1=CC2(C=CN1)C(c1cccc(CN(Cc3ccccn3)Cc3cccc(-c4ccc5c(c4)OCCOCCOCCOCCOCCO5)n3)n1)=CCC(c1cccc(CN(Cc3ccccn3)Cc3ccccn3)n1)C2(C)C)c1ccccn1 7.773893 0.33695652173913043</t>
  </si>
  <si>
    <t>CN(Cc1ccc(-c2cccc(N(C)C)c2)cn1)Cc1ccc(-c2ccc3c(c2)OCCOCCOCCOCCOCCO3)cn1 7.7738853 0.4918032786885246</t>
  </si>
  <si>
    <t>CCNC1C=CC=C(N(C)Cc2ccccn2)N1 7.7738853 0.42</t>
  </si>
  <si>
    <t>CN(CCN(Cc1ccccn1)c1ccc2nccc(CF)c2c1)C1CCC(N(C)Cc2ccccn2)CC1 7.773884 0.4067796610169492</t>
  </si>
  <si>
    <t>CN(Cc1ncccc1-c1cccc(N(C)C)c1)Cc1ncccc1-c1cccc2c1OCCOCCOCCOCCOCCO2 7.773882 0.25</t>
  </si>
  <si>
    <t>Cc1cccnc1CN(C)Cc1cccnc1 7.773881 0.3191489361702128</t>
  </si>
  <si>
    <t>CN(Cc1cccc(C2=CCC=CN2)n1)C1CCCCC1N(C)Cc1cccc(-c2ccccc2)n1 7.773881 0.48148148148148145</t>
  </si>
  <si>
    <t>CC(C)C(C)(c1cccnc1)N(C)c1ccc2nc(CN(C)Cc3cccc(-c4ccc5c(c4)OCCOCCOCCOCCOCCO5)n3)ccc2c1 7.7738805 0.2808988764044944</t>
  </si>
  <si>
    <t>CNCc1ncccc1CN(C)Cc1ncccc1C 7.7738776 0.391304347826087</t>
  </si>
  <si>
    <t>Cc1ccc(CN(C)C2C=CNC(CN(C)Cc3ccccn3)=C2)nc1 7.773871 0.43137254901960786</t>
  </si>
  <si>
    <t>Cc1cc(CN(C)CCN(C)Cc2cc(C)c(C)c(C)n2)ccn1 7.77385 0.4</t>
  </si>
  <si>
    <t>CN(Cc1ccc2c(n1)CCCC2)C1CCC(N(C)c2ccc3cc(CF)cnc3c2)CC1 7.7738485 0.2916666666666667</t>
  </si>
  <si>
    <t>CNCc1cccc(CN(Cc2ccccn2)C2CCC(N(C)Cc3cccc(-c4cccc(Cl)c4N)n3)CC2)n1 7.773843 0.38461538461538464</t>
  </si>
  <si>
    <t>Cc1cccc(CN(C)C2=CNC(CN(C)C(C)C)=CC2)n1 7.7738404 0.4166666666666667</t>
  </si>
  <si>
    <t>CC(C)CN(C)CC1=CCC(N(C)Cc2ccccn2)=CN1 7.7738247 0.42857142857142855</t>
  </si>
  <si>
    <t>Cc1cccnc1CN(CCN(C)Cc1ncccc1-c1cccc2c1OCCOCCOCCOCCOCCO2)c1cccc2cccnc12 7.773821 0.36923076923076925</t>
  </si>
  <si>
    <t>CCC1=NCC(C2=C(C)C(C)CC(C)C2c2ncccc2CN(Cc2ccccn2)Cc2ccccn2)O1 7.77382 0.3508771929824561</t>
  </si>
  <si>
    <t>CN(CCF)Cc1cc(N(C)C(C)(C)c2ccccn2)ccn1 7.7738194 0.36538461538461536</t>
  </si>
  <si>
    <t>CC1=C(c2ncccc2CN(Cc2ccccn2)Cc2ccccn2)C(C)C(C)CC1 7.773818 0.4444444444444444</t>
  </si>
  <si>
    <t>CN(Cc1cc(CF)ccn1)C1CCCCC1N(C)c1ccc2nc(CF)ccc2c1 7.7738175 0.45</t>
  </si>
  <si>
    <t>CCNC1NC=CC=C1N(C)Cc1cc(C)ccn1 7.773813 0.2982456140350877</t>
  </si>
  <si>
    <t>CN(CC1=CC(N(C)Cc2ccccn2)C=CN1)C1=CCC=C(C(C)(C)C)N1 7.773812 0.38461538461538464</t>
  </si>
  <si>
    <t>Cc1cccc(CN(C)Cc2ccc(CNC(C)C)nc2)n1 7.7738066 0.4888888888888889</t>
  </si>
  <si>
    <t>CN(Cc1ccccn1)Cc1ncccc1N(C)C1CCC(N(C)Cc2cccc(-c3ccccc3)n2)CC1 7.773805 0.5</t>
  </si>
  <si>
    <t>CC1C=Cc2ccccc2C1Cl 7.7738037 0.25</t>
  </si>
  <si>
    <t>CCCN(C)CC1=CCC(N(C)Cc2cccc(C)n2)=CN1 7.773801 0.5</t>
  </si>
  <si>
    <t>Cc1cccc(CN(C)C2C=CNC(CN(C)Cc3ccc(C4C(C)C=CC(N=Cc5ccccn5)C4C)cn3)=C2)n1 7.7737975 0.2926829268292683</t>
  </si>
  <si>
    <t>CCN(Cc1ccccn1)C1CC(N(C)Cc2cc(C)c(C)c(C)n2)CC(N(Cc2cc(C)c(C)c(C)n2)Cc2nc(C)c(C)c(C)c2C)C1 7.773786 0.3709677419354839</t>
  </si>
  <si>
    <t>Cc1ccccc1N(C)CCN(C)Cc1ccccn1 7.7737727 0.5</t>
  </si>
  <si>
    <t>C=CCNCc1cccc(C(C)(C)c2ccccn2)n1 7.7737575 0.38636363636363635</t>
  </si>
  <si>
    <t>CC(N)C(C)N(C)CC1=CCC=C(N(C)C(c2ccccc2)c2ccccn2)N1 7.7737556 0.39344262295081966</t>
  </si>
  <si>
    <t>CN(Cc1cccc(-c2cccc(N(C)C)c2)n1)Cc1ncccc1-c1ccc2c(c1)OCCOCCOCCOCCOCCO2 7.7737412 0.36363636363636365</t>
  </si>
  <si>
    <t>CN(Cc1cc(-c2ccc3c(c2)OCCOCCOCCOCCOCCO3)ccn1)Cc1ncccc1-c1ccccc1N(C)C 7.7737365 0.33783783783783783</t>
  </si>
  <si>
    <t>CN(Cc1cncc(-c2ccc3c(c2)OCCOCCOCCOCCOCCO3)c1)Cc1ncccc1-c1cccc(N(C)C)c1 7.7737246 0.31645569620253167</t>
  </si>
  <si>
    <t>Cc1ccccc1CN(C)Cc1cccc(N)n1 7.773701 0.45</t>
  </si>
  <si>
    <t>Cc1ccnc(CN(C)C2C=CNC(CN(C)Cc3ccccn3)=C2)c1 7.773699 0.39285714285714285</t>
  </si>
  <si>
    <t>Cc1cccnc1CN(Cc1ccccn1)Cc1nc(C2CCC2(C)C)ccc1C 7.7736955 0.40816326530612246</t>
  </si>
  <si>
    <t>CC(C)C1=CC2(C=CN1)C(c1cc(CN(Cc3ccccn3)Cc3ccccn3)ccn1)=CCC(C)(C)C2(C)C 7.7736926 0.36231884057971014</t>
  </si>
  <si>
    <t>CNCN(Cc1ccccn1)Cc1cc(C)c(N)c(C)n1 7.7736883 0.4523809523809524</t>
  </si>
  <si>
    <t>C=CCN(C)Cc1cccc(N(C)C2C=CC=CN2)n1 7.773683 0.3269230769230769</t>
  </si>
  <si>
    <t>CN(Cc1ccc(-c2ccc3c(c2)OCCOCCOCCOCCOCCO3)cn1)Cc1cccc(-c2ccc(N(C)C)cc2)n1 7.7736807 0.44776119402985076</t>
  </si>
  <si>
    <t>CCN(Cc1cccc(CN(Cc2nc(C)c(C)c(C)c2C)C2CCC(N(C)Cc3nc(C)c(C)c(C)c3C)CC2)n1)Cc1nc(C)c(C)c(C)c1C 7.7736773 0.3448275862068966</t>
  </si>
  <si>
    <t>CN(c1cccc2ncc(CF)cc12)C1CCCCC1NCc1ccccn1 7.773662 0.3870967741935484</t>
  </si>
  <si>
    <t>CNCc1cc(C)cc(C)n1 7.7736583 0.4444444444444444</t>
  </si>
  <si>
    <t>CN1CCN(C)CCN(Cc2cccnc2-c2cccc(N=Cc3ccccn3)c2)CC1 7.7736487 0.41818181818181815</t>
  </si>
  <si>
    <t>CCN(Cc1ccccn1)Cc1cccc(-c2cccc(N(C)C3CCC(N(C)Cc4cc(C)ccn4)CC3)c2)n1 7.7736454 0.45588235294117646</t>
  </si>
  <si>
    <t>CCN(Cc1cc(-c2ccc3c(c2)OCCOCCOCCOCCOCCO3)ccn1)Cc1cccc(-c2cccc(N=Cc3ccccn3)c2)n1 7.773642 0.38461538461538464</t>
  </si>
  <si>
    <t>CC1=C(N(C)CCN(C)Cc2ccc3ncccc3c2)CCC(C)C1C 7.773642 0.3684210526315789</t>
  </si>
  <si>
    <t>CN(Cc1cncc(-c2cccc(N(C)C)c2)c1)Cc1ncccc1-c1ccc2c(c1)OCCOCCOCCOCCOCCO2 7.7736416 0.31645569620253167</t>
  </si>
  <si>
    <t>CCN(Cc1cc(CF)ccn1)C1CCCCC1N(C)c1ccc2nccc(CF)c2c1 7.7736416 0.3188405797101449</t>
  </si>
  <si>
    <t>Cc1ccc(N)c(CN(C)Cc2ccccn2)c1 7.7736406 0.5</t>
  </si>
  <si>
    <t>CN(c1ccc2ncccc2c1)C1CCCCC1N(Cc1ccc2ncccc2c1)Cc1ncccc1-c1cccc2c1OCCOCCOCCOCCOCCO2 7.773632 0.3424657534246575</t>
  </si>
  <si>
    <t>Cc1ccc(CN(C)Cc2cccc(N(C)C3CCCC(N(Cc4ccccn4)Cc4nc(C)c(C)cc4C)C3)n2)nc1 7.7736173 0.36231884057971014</t>
  </si>
  <si>
    <t>CC1=CC(C)CC(C)(c2cccc(CN(Cc3ccccn3)Cc3ccccn3)n2)C1 7.773613 0.43478260869565216</t>
  </si>
  <si>
    <t>CC(C)(C1=CC2(C=CN1)CC(c1cccc(CN(Cc3ccccn3)Cc3ccccn3)n1)C(C)(C)C=C2c1cccc(CN(Cc2ccccn2)Cc2ccccn2)n1)c1ccc(-c2ccc3c(c2)OCCOCCOCCOCCOCCO3)cn1 7.7736096 0.30526315789473685</t>
  </si>
  <si>
    <t>Cc1cc(CN(C)C2C=CNC(C3=CC(C)CC(N(C)Cc4ccccn4)C3C)=C2)nc(C)c1C 7.773607 0.373134328358209</t>
  </si>
  <si>
    <t>Cc1cnc(CN(C)Cc2ncccc2N(C)C2CCCC(N(Cc3ccc(C)nc3)Cc3ccc(C)nc3)C2)c(C)c1 7.773605 0.2753623188405797</t>
  </si>
  <si>
    <t>CN1CCN(CN(C)c2cccc3ncccc23)CCN(C(c2ccccc2)c2ccccn2)CC1 7.7735963 0.3442622950819672</t>
  </si>
  <si>
    <t>CCNCc1cc(CN(C)C2CCC(N(C)c3ccc4c(CF)ccnc4c3)CC2)ccn1 7.7735934 0.25</t>
  </si>
  <si>
    <t>CCNCC1=CCC(N(C)Cc2cc(C)ccn2)=CN1 7.7735915 0.3103448275862069</t>
  </si>
  <si>
    <t>Cc1ccnc2cc(N(C)C3CCCCC3N(Cc3ccccn3)C3=CC(C)C(C)C(C)C3)ccc12 7.7735825 0.4</t>
  </si>
  <si>
    <t>COC(=O)c1ncccc1CN1CCN(C)CCN(Cc2ccc(C(C)(c3ccccn3)c3ccccn3)cn2)CC1 7.77358 0.4406779661016949</t>
  </si>
  <si>
    <t>CC1=C(C)C(c2ncccc2CN(Cc2ccccn2)Cc2cc(N)ccn2)C(N(C)Cc2ccccn2)C(C)C1C 7.7735786 0.35714285714285715</t>
  </si>
  <si>
    <t>COC(=O)C(C)NCc1cc(CN(Cc2ccccn2)Cc2ccccn2)ccn1 7.773572 0.4444444444444444</t>
  </si>
  <si>
    <t>CNC1C(NCc2nc(C)c(C)c(C)c2C)CCCC1N(Cc1nc(C)c(C)c(C)c1C)Cc1nc(C)c(C)c(C)c1C 7.773569 0.23728813559322035</t>
  </si>
  <si>
    <t>CCNCc1cc(CN(C)C2CCC(N(C)c3ccc4nccc(CF)c4c3)CC2)ccn1 7.773566 0.2463768115942029</t>
  </si>
  <si>
    <t>CC(C)N(CC1=C(N(C)Cc2ccccn2)CC=CN1)C(C)C 7.7735567 0.4375</t>
  </si>
  <si>
    <t>Cc1cncc(-c2cccc(NCc3cccc(C(C)(C)N4CCN(C)CCN(C)CC4)n3)c2)c1 7.7735567 0.30158730158730157</t>
  </si>
  <si>
    <t>Cc1cccnc1CN(CCN(C)Cc1ccccn1)Cc1nccc(C)c1C 7.773552 0.5</t>
  </si>
  <si>
    <t>CC(C)c1cccc(CN2CCN(C)CCN(Cc3cccc(-c4cccc(N=Cc5ccccn5)c4)n3)CC2)n1 7.7735476 0.43333333333333335</t>
  </si>
  <si>
    <t>Cc1cnc(CN(C)CCCN(C)Cc2ncc(C)c(C)c2C)c(C)c1C 7.7735457 0.40540540540540543</t>
  </si>
  <si>
    <t>CC(C)N(Cc1ccccn1)c1ccccc1-c1cccc(CN(Cc2ccccn2)Cc2ccc(-c3ccc4c(c3)OCCOCCOCCOCCOCCO4)cn2)n1 7.773538 0.38666666666666666</t>
  </si>
  <si>
    <t>CCCNCc1ccccc1CN(C)Cc1cc(C(C)(C)c2ccccn2)ccn1 7.7735305 0.3333333333333333</t>
  </si>
  <si>
    <t>Cc1cnccc1CN(C)CC1=CC(N(C)Cc2ccccn2)C=CN1 7.773525 0.3793103448275862</t>
  </si>
  <si>
    <t>CC(C)N(C)CC1=CCC(N(C)Cc2ncccc2N)=CN1 7.773522 0.265625</t>
  </si>
  <si>
    <t>Cc1ccc(-c2ccc(CN(C)C3CCC(N(Cc4ccccn4)Cc4cc(C(C)(C)C)ccn4)CC3)cc2)nc1 7.7735195 0.3484848484848485</t>
  </si>
  <si>
    <t>Cc1cccnc1CN(C)C1=CNC(CN(C)C(C)C)=CC1 7.7735195 0.2698412698412698</t>
  </si>
  <si>
    <t>CC1(C)CCC1c1ncc(CN(Cc2ccccn2)Cc2ccccn2)cc1CN(Cc1ccccn1)Cc1ccccn1 7.7735176 0.43478260869565216</t>
  </si>
  <si>
    <t>CNCc1cccc(CN(Cc2ccccn2)Cc2cc(C)ccn2)n1 7.773513 0.5</t>
  </si>
  <si>
    <t>Cc1nc(CN(C)CCN(C)CC(C)(C)C)c(C)c(C)c1C 7.773513 0.30952380952380953</t>
  </si>
  <si>
    <t>CN(Cc1ccc2c(n1)CCCC2)C1CCC(N(C)c2ccc3ncc(CF)cc3c2)CC1 7.7735043 0.2876712328767123</t>
  </si>
  <si>
    <t>CCN(C)CC1=CCC(N(C)Cc2ncccc2C)=CN1 7.773503 0.2807017543859649</t>
  </si>
  <si>
    <t>CN1CCN(Cc2ccc(-c3cccc(N=Cc4ccccn4)c3)cn2)CCN(Cc2cccc(F)n2)CC1 7.773495 0.5</t>
  </si>
  <si>
    <t>CN(Cc1ccc(-c2ccc(N(C)C)cc2)cn1)Cc1cccc(-c2ccc3c(c2)OCCOCCOCCOCCOCCO3)n1 7.7734933 0.4264705882352941</t>
  </si>
  <si>
    <t>CC1=CC(C)C(c2ncccc2CN(Cc2ccccn2)Cc2ccccn2)C(C)C1N(C)Cc1ccccn1 7.773493 0.4166666666666667</t>
  </si>
  <si>
    <t>CCNC1NC=CC=C1N(C)Cc1cccc(C)n1 7.7734838 0.4166666666666667</t>
  </si>
  <si>
    <t>CN(c1cccc2ncccc12)C1CCCCC1NCc1cccnn1 7.773479 0.41379310344827586</t>
  </si>
  <si>
    <t>CC1=CC2(C=CC(c3ncccc3CN(Cc3ccccn3)Cc3ccccn3)C(c3ncccc3CN(Cc3ccccn3)Cc3ccccn3)C23C(C)C=CC(C)C3C)C2(C(C)C=CCC2C)C(C)(C)C1 7.773479 0.273972602739726</t>
  </si>
  <si>
    <t>Cc1cccc(CN(C)C2CCCC(N(C)Cc3cccc(-c4ccc(Cl)c(N)c4)n3)C2)n1 7.773472 0.4727272727272727</t>
  </si>
  <si>
    <t>CN(Cc1ccc(-c2ccc3c(c2)OCCOCCOCCOCCOCCO3)cn1)Cc1cc(-c2cccc(N(C)C)c2)ccn1 7.7734675 0.44776119402985076</t>
  </si>
  <si>
    <t>CCN(CC1=CC(N(C)Cc2nc(C)c(C)cc2C)C=CN1)Cc1ccccn1 7.7734656 0.38461538461538464</t>
  </si>
  <si>
    <t>Cc1cc(CN(C)C2=CNC(CN(C)C(C)C(C)N)=CC2)nc(C)c1C 7.773464 0.18571428571428572</t>
  </si>
  <si>
    <t>CN(CC1=CCC(N(C)C2C=CC=CN2)=CN1)Cc1ccccn1 7.7734575 0.43333333333333335</t>
  </si>
  <si>
    <t>CNCC1=CC(N(C)Cc2cc(C)c(C)c(C)n2)C=CN1 7.773456 0.3</t>
  </si>
  <si>
    <t>CN(CC1=C(N(Cc2ccccn2)Cc2cccc(C(C)(C)c3cccc(CN(Cc4ccccn4)Cc4cccc(N)n4)n3)n2)CC=CN1)Cc1cccc(-c2ccc3c(c2)OCCOCCOCCOCCOCCO3)n1 7.773455 0.34444444444444444</t>
  </si>
  <si>
    <t>CCNCC1=C(N(C)Cc2ccc(C)cn2)CC=CN1 7.7734547 0.40816326530612246</t>
  </si>
  <si>
    <t>CCCN(CCN(Cc1ccccc1N(C)C)Cc1ncccc1C)Cc1ccon1 7.7734513 0.35714285714285715</t>
  </si>
  <si>
    <t>Cc1cncc(CN(CCN(C)Cc2ncccc2C)Cc2cc(C)c(C)cn2)c1 7.773449 0.390625</t>
  </si>
  <si>
    <t>Cc1cccnc1CN(Cc1ncccc1C(C)(c1ccccn1)C(C)C)CC(C)(C)C 7.773446 0.39622641509433965</t>
  </si>
  <si>
    <t>C=CCN(Cc1ccccn1)Cc1cccc(CN(Cc2cccc(-c3cccc(N=Cc4ccccn4)c3)n2)Cc2cccc(-c3ccc4c(c3)OCCOCCOCCOCCOCCO4)n2)n1 7.773445 0.4025974025974026</t>
  </si>
  <si>
    <t>CC1C(N)CC1C(C)(C)c1ccc(CN(Cc2ccccn2)C2CCCC(N(C)c3cccc4ncc(CN(C)C)cc34)C2)cn1 7.7734346 0.2911392405063291</t>
  </si>
  <si>
    <t>Cc1cc(C)c(C)c(CN(Cc2nc(C)cc(C)c2C)C2CCCCC2N(Cc2ccccn2)c2ccccc2F)n1 7.773429 0.423728813559322</t>
  </si>
  <si>
    <t>COC(=O)c1ccc(CN2CCN(C)CCN(Cc3cc(C(C)(c4ccccn4)c4ccccn4)ccn3)CC2)cn1 7.7734194 0.42857142857142855</t>
  </si>
  <si>
    <t>Cc1cc(C)c(CN(Cc2nc(C)c(C)cc2C)C2CCCC(NC3CCCC(N(Cc4nc(C)c(C)cc4C)Cc4nc(C)c(C)cc4C)C3N(Cc3nc(C)c(C)cc3C)Cc3nc(C)c(C)cc3C)C2)nc1C 7.7734146 0.23809523809523808</t>
  </si>
  <si>
    <t>Cc1cnc(CN(C)C2CCC(N(Cc3ccccn3)Cc3ccc4ccccc4n3)CC2)c(C)c1 7.7734036 0.47368421052631576</t>
  </si>
  <si>
    <t>CN(CC1=CC(N(C)Cc2cccc(-c3ccc4c(c3)OCCOCCOCCOCCOCCO4)n2)C=CN1)c1ccc2ncccc2c1 7.7733984 0.2840909090909091</t>
  </si>
  <si>
    <t>Cc1cc(C)c(CN(C)C2CCCCC2N(Cc2ccc3ncccc3c2)Cc2cccnn2)cn1 7.7733974 0.3787878787878788</t>
  </si>
  <si>
    <t>CCNCc1ncccc1CN(C)C1CCCC(N(C)c2cccc3nc(CF)ccc23)C1 7.773393 0.33783783783783783</t>
  </si>
  <si>
    <t>CC1=C(C)C(C)C2(C=CCC(c3cccc(CN(Cc4cccc(-c5ccc(N(C)C)cc5)n4)Cc4cccc(-c5ccc6c(c5)OCCOCCOCCOCCOCCO6)n4)n3)C2c2ccccn2)CC1 7.773393 0.3118279569892473</t>
  </si>
  <si>
    <t>Cc1ccc(CN(C)CC2=CC(N(C)Cc3ccccn3)C=CN2)cc1C 7.7733917 0.3793103448275862</t>
  </si>
  <si>
    <t>CC1CC(c2cccc(CN(C)Cc3cc(N)ccn3)n2)C1 7.7733912 0.4230769230769231</t>
  </si>
  <si>
    <t>CNCc1cccc(CNCc2ncccc2N)n1 7.7733836 0.35714285714285715</t>
  </si>
  <si>
    <t>CNCc1cc(CN(Cc2ccccn2)Cc2cc(C)ccn2)ccn1 7.7733827 0.5</t>
  </si>
  <si>
    <t>CC1=C(C)C(C)C(C)(c2ncccc2CN(Cc2ccccn2)Cc2ncccc2C(C)(C)C)CC1 7.77338 0.3508771929824561</t>
  </si>
  <si>
    <t>Cc1cnc(C)c(-c2cc(CN(C)Cc3cc(-c4ccc5c(c4)OCCOCCOCCOCCOCCO5)ccn3)ccn2)c1 7.773376 0.3466666666666667</t>
  </si>
  <si>
    <t>FCNCc1ncccc1C(NCc1ccccn1)c1ccccn1 7.7733727 0.4</t>
  </si>
  <si>
    <t>CCNCc1cccc(CN(Cc2cc(C)ccn2)Cc2ncccc2C)n1 7.7733665 0.34</t>
  </si>
  <si>
    <t>CC(C)N(Cc1ccc(-c2ccc3c(c2)OCCOCCOCCOCCOCCO3)cn1)c1ccc2ncccc2c1 7.773352 0.43478260869565216</t>
  </si>
  <si>
    <t>COC(=O)c1cc(CN2CCN(C)CCN(Cc3cc(C(C)(c4ccccn4)c4ccccn4)ccn3)CC2)ccn1 7.7733355 0.44776119402985076</t>
  </si>
  <si>
    <t>Cc1nc(CN(C)C2CCCCC2N(Cc2nc(C)c(C)c(C)c2C)Cc2nc(C)c(C)c(C)c2C)c(C)c(C)c1C 7.773329 0.4222222222222222</t>
  </si>
  <si>
    <t>CC(C)(c1cccc(CN(Cc2ccccn2)Cc2ccc3ccccc3n2)n1)c1cccc(-c2ccc3c(c2)OCCOCCOCCOCCOCCO3)n1 7.7733235 0.4838709677419355</t>
  </si>
  <si>
    <t>CC1=C(C)C(c2cc(CN(Cc3ccccn3)Cc3ccccn3)ccn2)C(C)CC1C 7.7733226 0.4444444444444444</t>
  </si>
  <si>
    <t>Cc1cccnc1CN(C)C1C=CNC(CN(Cc2ncccc2C)C(C)C)=C1 7.7733183 0.32727272727272727</t>
  </si>
  <si>
    <t>CN(Cc1cc(-c2ccc3c(c2)OCCOCCOCCOCCOCCO3)ccn1)Cc1cccc(-c2ccc(N(C)C)cc2)n1 7.7733 0.4</t>
  </si>
  <si>
    <t>Cc1cc(C)nc(CN(Cc2ccccn2)CC2C=CNC=C2)c1 7.773297 0.43636363636363634</t>
  </si>
  <si>
    <t>CNCc1cccc(CN(Cc2ccccn2)Cc2ncccc2F)n1 7.7732954 0.47619047619047616</t>
  </si>
  <si>
    <t>CCC1=NCC(c2ccccc2CN(C)Cc2ccccn2)O1 7.7732882 0.4230769230769231</t>
  </si>
  <si>
    <t>CCNCc1cccc(CN(Cc2ccccn2)C2CCC(N(C)c3cccc4cccnc34)CC2)n1 7.7732716 0.4406779661016949</t>
  </si>
  <si>
    <t>CCCN(C)Cc1cc(C)c(C)c(C)n1 7.773267 0.38461538461538464</t>
  </si>
  <si>
    <t>CCCCN(CC1=C(N(C)Cc2cc(C)c(C)c(C)n2)CC=CN1)Cc1ccccn1 7.7732663 0.36507936507936506</t>
  </si>
  <si>
    <t>CCN(Cc1cc(CN(Cc2ccccn2)Cc2ncccc2C)ccn1)C(C)C 7.7732663 0.48</t>
  </si>
  <si>
    <t>Cc1cc(C)c(CN(C)C2CC(N(C)Cc3ccccn3)CC(N(Cc3nc(C)c(C)c(C)c3C)Cc3nc(C)c(C)c(C)c3C)C2)cn1 7.773263 0.3709677419354839</t>
  </si>
  <si>
    <t>CN(Cc1cc(CF)ccn1)C1CCCCC1N(C)c1ccc2ccc(CF)nc2c1 7.7732596 0.4576271186440678</t>
  </si>
  <si>
    <t>Cc1cc(C)c(C)c(CN(C)C2C=CNC(CN(C)CC(C)C)=C2)n1 7.7732544 0.3064516129032258</t>
  </si>
  <si>
    <t>Cc1cncc(CN(C)C2=CNC=C(CN(C)C(C)(C)C)C2)c1C 7.773251 0.1746031746031746</t>
  </si>
  <si>
    <t>CC1=CC2(C=CC(c3cccc(CN(Cc4ccccn4)Cc4ccccn4)n3)C(c3ccc(CN(Cc4ccccn4)Cc4ccccn4)cn3)C23CCC(C)=C(C)C3C)CCC1C 7.7732406 0.2911392405063291</t>
  </si>
  <si>
    <t>CC1=NC(c2ccccc2)C(CNCc2ccccn2)O1 7.773235 0.4418604651162791</t>
  </si>
  <si>
    <t>Cc1cncc(C)c1 7.7732296 0.2631578947368421</t>
  </si>
  <si>
    <t>Cc1ccccc1CN(C)Cc1cc(C(C)(C)C)ccn1 7.773229 0.36</t>
  </si>
  <si>
    <t>CC1=CC(C)CCC1(C)c1cccc(CN(Cc2ccccn2)Cc2cccc(C(C)(C)C)n2)n1 7.773221 0.37037037037037035</t>
  </si>
  <si>
    <t>CNC1C(N(Cc2cc(C)c(C)cn2)Cc2nc(C)c(C)c(C)c2C)CCCC1N(Cc1cc(C)c(C)cn1)Cc1nc(C)c(C)c(C)c1C 7.7732143 0.3275862068965517</t>
  </si>
  <si>
    <t>CCN(C)CC1=CCC(N(C)Cc2cccc(C)n2)=CN1 7.773211 0.45652173913043476</t>
  </si>
  <si>
    <t>CN(Cc1cc(-c2ccc3c(c2)OCCOCCOCCOCCOCCO3)ccn1)Cc1cccnc1-c1cccc(N(C)C)c1 7.773204 0.32894736842105265</t>
  </si>
  <si>
    <t>CCN(Cc1cc(C(C)(C)C)ccn1)Cc1ncccc1C 7.7732 0.35294117647058826</t>
  </si>
  <si>
    <t>CC(C)N(Cc1ccccn1)c1ccccc1-c1ccc(CN(Cc2ccccn2)Cc2ccc(-c3ccc4c(c3)OCCOCCOCCOCCOCCO4)cn2)cn1 7.7731943 0.375</t>
  </si>
  <si>
    <t>CN1CCN(Cc2cccc(F)n2)CCN(Cc2ncccc2-c2cccc(N=Cc3ccccn3)c2)CC1 7.7731915 0.4918032786885246</t>
  </si>
  <si>
    <t>CC1=CC(C)CC(C)(c2ccc(CN(Cc3ccccn3)Cc3ccccn3)cn2)C1 7.7731857 0.40816326530612246</t>
  </si>
  <si>
    <t>CC(C)N(Cc1ccccn1)c1cc(C(C)(C)C)ccc1-c1cnccc1CN1CCN(C)CCN(C)CC1 7.7731833 0.41935483870967744</t>
  </si>
  <si>
    <t>Cc1ccc(-c2cncc(CN(C)C3CCCCC3N(C)Cc3ccon3)c2)c(C)c1C 7.77318 0.3898305084745763</t>
  </si>
  <si>
    <t>CN(Cc1ccc(-c2ccc3c(c2)OCCOCCOCCOCCOCCO3)cn1)Cc1ncccc1-c1cccc(N(C)C)c1 7.77318 0.4166666666666667</t>
  </si>
  <si>
    <t>Cc1nc(CN(C)C2C=CNC(CN(C)C(C)C)=C2)c(C)c(C)c1C 7.77317 0.3050847457627119</t>
  </si>
  <si>
    <t>Cc1nc(CN(C)C2CCCCC2N(Cc2nc(C)c(C)c(C)c2C)c2ccccn2)c(C)c(C)c1C 7.7731624 0.5</t>
  </si>
  <si>
    <t>Cc1ncccc1CN(C)CC1=CC(N(C)Cc2ccccn2)C=CN1 7.7731576 0.39285714285714285</t>
  </si>
  <si>
    <t>Cc1ccc(CN(Cc2ccccn2)C2CCC(N(C)Cc3cccc(-c4ccccn4)n3)CC2N(C)Cc2cccc(C3CC(C)C3)n2)nc1C 7.773156 0.417910447761194</t>
  </si>
  <si>
    <t>COC(=O)C(=O)C(C)C(C)N=Cc1ccccn1 7.773149 0.35294117647058826</t>
  </si>
  <si>
    <t>C#CCN(C)CC1=CCC=C(N(C)Cc2nc(C)c(C)c(C)c2C)N1 7.7731457 0.1864406779661017</t>
  </si>
  <si>
    <t>CNCc1ccc(CN(Cc2ccccn2)Cc2cccc(F)n2)cn1 7.773143 0.45161290322580644</t>
  </si>
  <si>
    <t>CC1=CC(C)C(C)C2(C=CC3(CC(C)=C(C)C4(CCC(C)=C(C)C4)C3)C(c3ncccc3CN(Cc3ccccn3)Cc3ccccn3)C2c2cccc(CN(Cc3ccccn3)Cc3ccccn3)n2)C1 7.7731414 0.2840909090909091</t>
  </si>
  <si>
    <t>Cc1cc(C)c(CN(C)C2CCC(N(C)Cc3ncccc3-c3ccccn3)CC2)nc1C 7.773136 0.3333333333333333</t>
  </si>
  <si>
    <t>Cc1cccc(CN(Cc2nc(C)c(C)c(C)c2C)C2CCCCC2N(C)c2cccc(CN(C)Cc3ncccc3C)n2)n1 7.77312 0.4153846153846154</t>
  </si>
  <si>
    <t>CCc1cccc(NCc2ccccn2)c1 7.773118 0.4473684210526316</t>
  </si>
  <si>
    <t>CN(Cc1cc(-c2cccc(N(C)C)c2)ccn1)Cc1cc(-c2ccc3c(c2)OCCOCCOCCOCCOCCO3)ccn1 7.773117 0.3787878787878788</t>
  </si>
  <si>
    <t>CNCN(Cc1cccc(F)n1)C1CCC(N(C)c2ccc3c(CF)ccnc3c2)CC1 7.773115 0.2716049382716049</t>
  </si>
  <si>
    <t>CNCc1cc(CN(C)C2CCC(N(C)c3ccc4nc(CF)ccc4c3)CC2)ccn1 7.773111 0.30434782608695654</t>
  </si>
  <si>
    <t>Cc1cncc(CN(C)Cc2ncccc2N(C)C2CCCC(N(Cc3ccccn3)Cc3nc(C)c(C)c(C)c3C)C2)c1 7.773109 0.3108108108108108</t>
  </si>
  <si>
    <t>CCN(Cc1cccc(-c2ccc3c(c2)OCCOCCOCCOCCOCCO3)n1)Cc1ncccc1-c1cccc(N=Cc2ccccn2)c1 7.7731085 0.35365853658536583</t>
  </si>
  <si>
    <t>CC1=C(C)C(C)CC(c2ncccc2CN(Cc2ccccn2)Cc2ccccn2)C1 7.7731013 0.4444444444444444</t>
  </si>
  <si>
    <t>CC(C)N(Cc1ncccc1C(C)(C)C)Cc1ncccc1C(C)(C)C 7.7731004 0.46153846153846156</t>
  </si>
  <si>
    <t>CCNCc1cccc(CN(Cc2ccccn2)C2CCC(N(C)c3ccc4cccnc4c3)CC2)n1 7.7731 0.3870967741935484</t>
  </si>
  <si>
    <t>CN(Cc1ccc2c(n1)CCCC2)C1CCCCC1N(C)c1ccc2nccc(CF)c2c1 7.7730985 0.37142857142857144</t>
  </si>
  <si>
    <t>C=CCN(C)Cc1cccc(CN(C)Cc2cccc(N)n2)n1 7.7730923 0.4146341463414634</t>
  </si>
  <si>
    <t>CC1=C(N(C)Cc2ccccn2)C(C)CC(C)C1 7.7730846 0.45652173913043476</t>
  </si>
  <si>
    <t>CCCN(Cc1ccccn1)C1C=CC=C(N(C)Cc2ccccn2)N1 7.7730827 0.40384615384615385</t>
  </si>
  <si>
    <t>CCNCc1cccc(CN(Cc2ccccn2)C2CCC(N(C)c3ccc4nc(CF)ccc4c3)CC2)n1 7.773078 0.36363636363636365</t>
  </si>
  <si>
    <t>CCN(Cc1ccccn1)C1CCCCC1N(C)c1ccc2c(CF)ccnc2c1 7.773077 0.4482758620689655</t>
  </si>
  <si>
    <t>CN(C)c1ccccc1-c1ncccc1CN(Cc1ccccn1)C1CCCCC1 7.7730675 0.4528301886792453</t>
  </si>
  <si>
    <t>CCN(Cc1ccccn1)C1CCCCC1N(C)c1cccc2c(CF)ccnc12 7.7730656 0.4576271186440678</t>
  </si>
  <si>
    <t>CCN(C)Cc1ccc2c(N(C)C3CCCC(N(C)Cc4cccnn4)C3)cccc2n1 7.7730613 0.3793103448275862</t>
  </si>
  <si>
    <t>Cc1cccc(CN(C)Cc2cccc(C(C)(C)C)n2)c1 7.7730584 0.4186046511627907</t>
  </si>
  <si>
    <t>Cc1cccnc1CN(C)C1C=CNC(CN(Cc2ccon2)C(C)C)=C1 7.773058 0.3114754098360656</t>
  </si>
  <si>
    <t>CC(C)(C)C1=C(N(Cc2ccccn2)C2C=CNC=C2)CC=CN1 7.773056 0.3898305084745763</t>
  </si>
  <si>
    <t>CC(C)N(Cc1ccccn1)C1CCCCC1N(C)c1cccc2nc(CF)ccc12 7.7730436 0.4838709677419355</t>
  </si>
  <si>
    <t>CNCN(Cc1ccccn1)c1cccc(F)c1 7.7730384 0.4358974358974359</t>
  </si>
  <si>
    <t>CCNCc1ncccc1CN(C)C1CCC(N(C)c2ccc3c(CF)ccnc3c2)CC1 7.773035 0.24285714285714285</t>
  </si>
  <si>
    <t>CCN(Cc1ccccn1)C1CCC(N(C)c2ccc3nc(CF)ccc3c2)CC1 7.773035 0.39655172413793105</t>
  </si>
  <si>
    <t>Cc1ccccc1CN(C)CC1=CC(N(C)Cc2ncccc2C)C=CN1 7.773033 0.3103448275862069</t>
  </si>
  <si>
    <t>CNCc1cccc(CN(Cc2cccc(C)n2)Cc2cccc(C3CC(C)C3)n2)n1 7.7730293 0.40384615384615385</t>
  </si>
  <si>
    <t>CCNCC1=C(N(C)Cc2cc(C)ccn2)CC=CN1 7.7730165 0.3157894736842105</t>
  </si>
  <si>
    <t>CN(CC1=C(N(C)C2C=CC=CN2)CC=CN1)C1CCC(N(C)c2ccc3ccc(CF)nc3c2)CC1 7.7730136 0.2727272727272727</t>
  </si>
  <si>
    <t>CCN(C)CC1=CCC=C(N(C)Cc2ccccn2)N1 7.77301 0.4339622641509434</t>
  </si>
  <si>
    <t>CCN(Cc1ccccn1)C1CCCCC1N(C)c1ccc2nccc(CF)c2c1 7.773008 0.4406779661016949</t>
  </si>
  <si>
    <t>CCNCc1cccc(CN(Cc2cccc(C)n2)Cc2cccc(C)n2)n1 7.7730064 0.5</t>
  </si>
  <si>
    <t>CC(C)N(Cc1cccc(C(C)(C)C)n1)Cc1ncccc1C(C)(C)C 7.772994 0.425531914893617</t>
  </si>
  <si>
    <t>CCNCc1cc(CN(Cc2ccccn2)C2CCC(N(C)c3ccc4nc(CF)ccc4c3)CC2)ccn1 7.7729845 0.3333333333333333</t>
  </si>
  <si>
    <t>CN(CC1=CC(N(C)Cc2cc(-c3ccc4c(c3)OCCOCCOCCOCCOCCO4)ccn2)C=CN1)c1ccc2ncccc2c1 7.7729807 0.3023255813953488</t>
  </si>
  <si>
    <t>CCNCc1ncccc1CN(C)C1CCC(N(C)c2ccc3nccc(CF)c3c2)CC1 7.7729774 0.23943661971830985</t>
  </si>
  <si>
    <t>Cc1ccc(CN(CC2=CCC=C(N(C)Cc3ccccn3)N2)C2CCCCC2N(Cc2ccccn2)Cc2nc(C)c(C)c(C)c2C)nc1 7.7729774 0.391304347826087</t>
  </si>
  <si>
    <t>Cc1cccc(CN(C)CC2=CC(N(C)Cc3ncccc3C)C=CN2)c1 7.7729754 0.3076923076923077</t>
  </si>
  <si>
    <t>CN(C)c1cccc(-c2cccc(CN(Cc3ccccn3)Cc3ccc(-c4ccc5c(c4)OCCOCCOCCOCCOCCO5)cn3)n2)c1 7.772968 0.47058823529411764</t>
  </si>
  <si>
    <t>CNC1CCC(N(C)Cc2cc(C)c(C)c(C)n2)C(N(Cc2nc(C)c(C)c(C)c2C)Cc2nc(C)c(C)c(C)c2C)C1 7.7729626 0.3114754098360656</t>
  </si>
  <si>
    <t>CCCN(Cc1ccccn1)Cc1cc(C(C)(C)c2ccccn2)ccn1 7.7729616 0.48936170212765956</t>
  </si>
  <si>
    <t>CC(C)N(Cc1ccccn1)C1CCC(N(C)c2cccc3cccnc23)CC1 7.772955 0.5</t>
  </si>
  <si>
    <t>Cc1cc(C)c(C)c(-c2ncccc2CN(Cc2ccccn2)C2CCCCC2)c1C 7.7729526 0.42592592592592593</t>
  </si>
  <si>
    <t>CN(Cc1ccccn1)C1=C(CN(C)C2C=CC=CN2)NC=CC1 7.7729483 0.45614035087719296</t>
  </si>
  <si>
    <t>CNC1CC(N(Cc2ccccn2)Cc2nc(C)c(C)cc2C)CC(N(Cc2nc(C)c(C)cc2C)Cc2nc(C)c(C)cc2C)C1 7.772948 0.35714285714285715</t>
  </si>
  <si>
    <t>CNCc1cccc(CN(Cc2ccccn2)C(C)(N)N(Cc2cccc(C)n2)C(C)C)n1 7.772946 0.375</t>
  </si>
  <si>
    <t>Cc1ccccc1CN(C)Cc1ccc(C(C)(C)C)cn1 7.772941 0.4186046511627907</t>
  </si>
  <si>
    <t>C=CCN(C)CC1=CCC(N(C)Cc2ccccn2)=CN1 7.772941 0.39655172413793105</t>
  </si>
  <si>
    <t>CCCN(CC1=C(N(C)Cc2ccccn2)CC=CN1)Cc1ccccn1 7.7729306 0.46938775510204084</t>
  </si>
  <si>
    <t>CNCN(Cc1cccc(N)n1)Cc1ncc(C)cc1C 7.772928 0.2830188679245283</t>
  </si>
  <si>
    <t>CN(c1ccc2nc(CF)ccc2c1)C1CCCCC1N(Cc1ccc(C2CCC2(C)C)nc1)Cc1ccccn1 7.7729163 0.358974358974359</t>
  </si>
  <si>
    <t>CCNCc1cccc(CN(C)C2CCC(N(C)c3ccc4nccc(CF)c4c3)CC2)n1 7.772915 0.2898550724637681</t>
  </si>
  <si>
    <t>CCN(Cc1ccccn1)C1CCC(N(C)c2ccc3cccnc3c2)CC1 7.772911 0.42592592592592593</t>
  </si>
  <si>
    <t>CC1=CC(C)C2(C=CC(c3cccc(CN(Cc4ccccn4)C4CCCCC4N(C)c4ccc5nc(CN(C)C)ccc5c4)n3)C(c3cccc(CN(Cc4ccccn4)Cc4ccccn4)n3)C23C(C)C=CC(C)C3C)C(C)C1 7.772904 0.2967032967032967</t>
  </si>
  <si>
    <t>CC(C)C1=CCC=C(NCc2ccccn2)N1 7.772901 0.3953488372093023</t>
  </si>
  <si>
    <t>COC(C)CN(Cc1ccccn1)Cc1cc(C(C)(C)c2ccccn2)ccn1 7.772896 0.41509433962264153</t>
  </si>
  <si>
    <t>Cc1cccnc1CN1CCN(C)CCN(Cc2cccc(-c3cccc(N=Cc4ccccn4)c3)n2)CC1 7.772896 0.41935483870967744</t>
  </si>
  <si>
    <t>Cc1cnc(CN(C)C2CC(N(C)Cc3ccccn3)CC(N(Cc3nc(C)c(C)c(C)c3C)Cc3nc(C)c(C)c(C)c3C)C2)c(C)c1 7.772887 0.3770491803278688</t>
  </si>
  <si>
    <t>CN(C)c1ccccc1-c1cccnc1CN(Cc1ccccn1)Cc1cccc(-c2ccc3c(c2)OCCOCCOCCOCCOCCO3)n1 7.77288 0.44285714285714284</t>
  </si>
  <si>
    <t>CC(N)C(C)(c1ccccn1)c1ccccn1 7.7728763 0.4</t>
  </si>
  <si>
    <t>CCNCC1=CCC(N(C)Cc2cccc(C)n2)=CN1 7.772871 0.40816326530612246</t>
  </si>
  <si>
    <t>CN(c1ccc2nc(CF)ccc2c1)C1CCCCC1N(Cc1ccccc1)Cc1ccccn1 7.772863 0.4482758620689655</t>
  </si>
  <si>
    <t>Cc1cnc(CN(C)CC2=CCC(N(C)C(C)C)=CN2)cc1C 7.7728624 0.3269230769230769</t>
  </si>
  <si>
    <t>Cc1ccc(CN(C)CCN(Cc2ccccn2)C(C)N(Cc2ccccn2)Cc2cccc(CN(Cc3ccccn3)C(C)(C)c3cccnc3CN(Cc3ccccn3)C(C)C)n2)nc1 7.7728615 0.4126984126984127</t>
  </si>
  <si>
    <t>CCN(Cc1cc(-c2cccc(N=Cc3ccccn3)c2)ccn1)Cc1cc(-c2ccc3c(c2)OCCOCCOCCOCCOCCO3)ccn1 7.7728596 0.31645569620253167</t>
  </si>
  <si>
    <t>CC(C)N(C)Cc1cc(C(C)(C)c2ccccn2)ccn1 7.7728505 0.40425531914893614</t>
  </si>
  <si>
    <t>CN(C)Cc1cnc2cc(N(C)C3CCCC(N(C)CC4=CCC=CN4)C3)ccc2c1 7.7728457 0.3188405797101449</t>
  </si>
  <si>
    <t>Cc1cnc(CN(Cc2ccccc2N(C)Cc2ccccn2)C(C)(C)c2cnccc2CN(Cc2ccccn2)Cc2cccc(-c3ccc4c(c3)OCCOCCOCCOCCOCCO4)n2)c(C)c1 7.772838 0.33695652173913043</t>
  </si>
  <si>
    <t>CCN(Cc1cc(C)ccn1)Cc1cc(CN(C)Cc2cc(C)ccn2)ccn1 7.772837 0.4222222222222222</t>
  </si>
  <si>
    <t>CCN(Cc1ccccn1)C1=CNC(CN(C)C(C)(C)c2ccccn2)=CC1 7.772834 0.3709677419354839</t>
  </si>
  <si>
    <t>Cc1cnc(C)c(CN(C)CN(C)Cc2ccccn2)c1C 7.7728314 0.46511627906976744</t>
  </si>
  <si>
    <t>Cc1cc(C)c(C)c(CN(C)CN(C)Cc2ncccc2CF)n1 7.772821 0.34615384615384615</t>
  </si>
  <si>
    <t>CCNCc1cc(CN(C)C2CCCC(N(C)c3ccc4c(CF)ccnc4c3)C2)ccn1 7.7728167 0.2571428571428571</t>
  </si>
  <si>
    <t>CCN(Cc1cc(-c2ccc3c(c2)OCCOCCOCCOCCOCCO3)ccn1)Cc1cc(-c2ccccc2N=Cc2ccccn2)ccn1 7.772815 0.3333333333333333</t>
  </si>
  <si>
    <t>CNc1cncc(CF)c1 7.7728143 0.17307692307692307</t>
  </si>
  <si>
    <t>CC(c1ccccc1)(c1ccccc1)c1ccccc1 7.7728124 0.3888888888888889</t>
  </si>
  <si>
    <t>CN(C)Cc1cnc2cccc(N(C)C3CCCCC3N(CF)Cc3ccccn3)c2c1 7.7728095 0.43333333333333335</t>
  </si>
  <si>
    <t>COC(=O)C(C)NCc1ccc(CN(Cc2ccccn2)Cc2ccccn2)cn1 7.772806 0.425531914893617</t>
  </si>
  <si>
    <t>Cc1ccnc(CN(C)CCN(Cc2cc(C)ccn2)Cc2cc(C)cc(C)n2)c1 7.772803 0.4418604651162791</t>
  </si>
  <si>
    <t>COC(C)CNCc1ccc(CN(Cc2ccccn2)Cc2cc(C)c(C)c(C)n2)cn1 7.7727942 0.3508771929824561</t>
  </si>
  <si>
    <t>CN(CC1=CC(N(C)Cc2ccccn2)C=CN1)C1C=CNC(CN(C)C2C=C(NCc3ccccn3)C=CN2)=C1 7.772794 0.36065573770491804</t>
  </si>
  <si>
    <t>CC(C)c1cc(CN2CCN(C)CCN(Cc3ccc(-c4cc(NCc5ccccn5)ccc4Cl)cn3)CC2)ccn1 7.772782 0.42424242424242425</t>
  </si>
  <si>
    <t>CC(C)NCc1cc(NC2C=CC=CN2)ccn1 7.772778 0.3392857142857143</t>
  </si>
  <si>
    <t>CC1(C)COC(c2cccc(CN(Cc3cccc(C4=NC(C)(C)CO4)n3)Cc3cccc(-c4ccc5c(c4)OCCOCCOCCOCCOCCO5)n3)n2)=N1 7.7727766 0.4807692307692308</t>
  </si>
  <si>
    <t>CNCc1cc(CN(C)Cc2cccc(N)n2)ccn1 7.772757 0.42</t>
  </si>
  <si>
    <t>CCN(Cc1ccccn1)C1CCC(N(C)c2ccc3ncccc3c2)CC1 7.7727523 0.4074074074074074</t>
  </si>
  <si>
    <t>CN(CCN(C)CC(C)(C)C)Cc1ccc2ncccc2c1 7.772751 0.425531914893617</t>
  </si>
  <si>
    <t>CC(C)c1cccc(CN2CCCC2C2CCCN2Cc2cccc(-c3cccc(N=Cc4ccccn4)c3)n2)n1 7.7727504 0.43548387096774194</t>
  </si>
  <si>
    <t>COC(=O)C1C(C(=O)NCc2ccccn2)N(C)CC2C=CC=CC21c1ccccn1 7.7727413 0.28205128205128205</t>
  </si>
  <si>
    <t>C=CCNCc1cccc(CN(Cc2cccc(C)n2)Cc2cccc(C)n2)n1 7.772741 0.4878048780487805</t>
  </si>
  <si>
    <t>CCNCc1ncccc1CN(Cc1ccccn1)C1CCC(N(C)c2ccc3cccnc3c2)CC1 7.772729 0.3484848484848485</t>
  </si>
  <si>
    <t>CCN(CC1=CC(N(C)Cc2nc(C)c(C)c(C)c2C)C=CN1)Cc1ccccn1 7.7727256 0.390625</t>
  </si>
  <si>
    <t>CNCc1ncccc1CN(Cc1ccccn1)Cc1cc(C)ccn1 7.772721 0.46511627906976744</t>
  </si>
  <si>
    <t>CC(C)(c1cccc(CNc2cccc(-c3cccc(-c4ccc5c(c4)OCCOCCOCCOCCOCCO5)n3)n2)n1)c1cccc(C2CCC2(C)C)n1 7.7727127 0.29411764705882354</t>
  </si>
  <si>
    <t>Cc1cnc(C)c(CN(C)CC2=C(N(C)C(C)C)CC=CN2)c1 7.7727103 0.2777777777777778</t>
  </si>
  <si>
    <t>Cc1cnc(CN(C)c2ccc3c(c2)OCCOCCOCCOCCOCCO3)c(-c2cccc(CN(Cc3ccccn3)C3CCC(N(C)c4ccc5nc(CF)ccc5c4)CC3)n2)c1 7.772709 0.2988505747126437</t>
  </si>
  <si>
    <t>CCNC1NC=CC=C1N(C)Cc1ncccc1C 7.772699 0.27419354838709675</t>
  </si>
  <si>
    <t>Cc1cnc(CN(C)C2C=CNC(CN(Cc3ccccn3)C(C)C)=C2)c(C)c1 7.772695 0.4067796610169492</t>
  </si>
  <si>
    <t>Cc1ncccc1N(C)CCN(C)C(C)(C)c1ccccn1 7.7726946 0.4222222222222222</t>
  </si>
  <si>
    <t>CNCc1ncccc1CN(Cc1ccccn1)Cc1ncccc1F 7.772693 0.47619047619047616</t>
  </si>
  <si>
    <t>CN(c1ccc2nc(CF)ccc2c1)C1CCCCC1N(Cc1ccccn1)C1C=CC=CN1 7.7726912 0.39436619718309857</t>
  </si>
  <si>
    <t>CN(Cc1ccccn1)C1=CC(CN(C)C(C)(C)c2ccccn2)C=CN1 7.772691 0.4</t>
  </si>
  <si>
    <t>Cc1cccc(CN(C)C2C=CNC(CN(C)Cc3ccccn3)=C2)n1 7.772688 0.46296296296296297</t>
  </si>
  <si>
    <t>CCNCc1cccc(C2=NCC(C)(C)O2)n1 7.7726874 0.3333333333333333</t>
  </si>
  <si>
    <t>CNCc1ncccc1CN(C)C1CCCCC1N(C)c1cccc2nc(CF)ccc12 7.7726755 0.45454545454545453</t>
  </si>
  <si>
    <t>CC(C)N(CC1=CCC(N(C)Cc2ccccn2)=CN1)C(C)N 7.7726755 0.39622641509433965</t>
  </si>
  <si>
    <t>Cc1cccc(CN(C)C2C(N(C)Cc3ncc(C)c(C)c3C)CCCC2N(Cc2nc(C)c(C)c(C)c2C)Cc2nc(C)c(C)c(C)c2C)n1 7.77267 0.5</t>
  </si>
  <si>
    <t>CCN(Cc1ncccc1-c1ccc2c(c1)OCCOCCOCCOCCOCCO2)c1ccc2ncccc2c1 7.7726693 0.3108108108108108</t>
  </si>
  <si>
    <t>Cc1cccnc1CN(CCN(C)Cc1cc(-c2ccc3c(c2)OCCOCCOCCOCCOCCO3)ccn1)c1ccc2ncccc2c1 7.772664 0.3048780487804878</t>
  </si>
  <si>
    <t>CC(C)N(CC1=CCC(N(C)Cc2ccccn2)=CN1)C(C)C 7.7726545 0.42857142857142855</t>
  </si>
  <si>
    <t>Cc1cccc(CN(C)CC2=CC(N(C)Cc3ccccn3)C=CN2)n1 7.7726526 0.46296296296296297</t>
  </si>
  <si>
    <t>CC1=CCC2(C=C(C)CC3(C=CC(c4cccc(CN(Cc5ccccn5)Cc5ccccn5)n4)C(c4ccc(CN(Cc5ccccn5)Cc5ccccn5)cn4)C34C(C)C=C(C)CC4C)C2(C)C)C(C)C1 7.7726507 0.26744186046511625</t>
  </si>
  <si>
    <t>CNCc1ccc(CN(C)C2CCCCC2N(C)c2cccc3nc(CF)ccc23)cn1 7.77265 0.46875</t>
  </si>
  <si>
    <t>CCNCc1cccc(CN(Cc2ccccn2)C2CCC(N(C)c3ccc4ccc(CF)nc4c3)CC2)n1 7.7726307 0.36923076923076925</t>
  </si>
  <si>
    <t>COC(=O)C(C)NCc1ncccc1CN(Cc1ccccn1)Cc1ccccn1 7.772628 0.43478260869565216</t>
  </si>
  <si>
    <t>Cc1cccc(CN(C)Cc2ccc(N(C)C3CCCC(N(Cc4ccccn4)Cc4nc(C)c(C)cc4C)C3)cn2)n1 7.7726254 0.36764705882352944</t>
  </si>
  <si>
    <t>NCc1ccon1 7.7726235 0.4827586206896552</t>
  </si>
  <si>
    <t>CC1=CC(C)(c2cc(CN(Cc3ccccn3)Cc3cc(C(C)(C)C)ccn3)ccn2)CCC1C 7.772623 0.3448275862068966</t>
  </si>
  <si>
    <t>CN1CCN(C)CCN(Cc2cnccc2-c2cccc(N=Cc3ccccn3)c2)CC1 7.772623 0.39655172413793105</t>
  </si>
  <si>
    <t>CN(CC1=CCC(N(C)C2C=CC=CN2)=CN1)C1=CCC=CN1 7.7726197 0.26153846153846155</t>
  </si>
  <si>
    <t>Cc1nc(CN(C)C2=CNC(CN(C)C(C)(C)C(C)N)=CC2)c(C)c(C)c1C 7.772616 0.16901408450704225</t>
  </si>
  <si>
    <t>CN(C)C1C=C(NCc2ccccn2)C=CN1 7.772602 0.42857142857142855</t>
  </si>
  <si>
    <t>CN(Cc1ncccc1-c1cccc(N(C)C)c1)Cc1ncccc1-c1ccc2c(c1)OCCOCCOCCOCCOCCO2 7.772592 0.32857142857142857</t>
  </si>
  <si>
    <t>CCNCc1cccc(CN(Cc2ccccn2)C2CCC(N(C)c3cccc4ncccc34)CC2)n1 7.772592 0.3492063492063492</t>
  </si>
  <si>
    <t>CCC1=NC(c2ccccc2CN(C)Cc2ccccn2)CO1 7.7725863 0.4074074074074074</t>
  </si>
  <si>
    <t>Cc1cnc(CN(C)CN(C)Cc2ccccn2)c(C)c1C 7.772584 0.4666666666666667</t>
  </si>
  <si>
    <t>CCN(Cc1ccccn1)C1CCC(N(C)c2ccc3cc(CF)cnc3c2)CC1 7.772579 0.36065573770491804</t>
  </si>
  <si>
    <t>CN(Cc1ncccc1CF)Cc1ncccc1C(C)(C)C 7.772578 0.3617021276595745</t>
  </si>
  <si>
    <t>CCNCc1cccc(CN(Cc2ccccn2)C2CCC(N(C)c3ccc4cc(CF)cnc4c3)CC2)n1 7.772573 0.32857142857142857</t>
  </si>
  <si>
    <t>C1=CNC=C(NCc2ccccn2)C1 7.772558 0.4358974358974359</t>
  </si>
  <si>
    <t>CCNCc1ncccc1CN(Cc1ccccn1)Cc1nc(N)ccc1C 7.7725577 0.4</t>
  </si>
  <si>
    <t>Cc1ccc(CN(Cc2cccc(C(C)(C)C)n2)C2CCC(N(C)Cc3cccc(-c4ccccn4)n3)CC2)nc1 7.7725496 0.4576271186440678</t>
  </si>
  <si>
    <t>CNCN(Cc1nccc(C)c1C)Cc1nccc(C)c1C 7.7725434 0.2564102564102564</t>
  </si>
  <si>
    <t>CCCN(C)Cc1cc(C(C)(C)c2ccccn2)ccn1 7.772542 0.38</t>
  </si>
  <si>
    <t>CCNCC1=C(N(C)Cc2cccc(C)n2)CC=CN1 7.7725406 0.40816326530612246</t>
  </si>
  <si>
    <t>CC(C)N(Cc1ccccn1)c1ccccc1-c1cc(CN(Cc2ccccn2)C2CCCCC2)ccn1 7.772538 0.38333333333333336</t>
  </si>
  <si>
    <t>CNCc1cc(CN(C)C2CCC(N(C)c3ccc4ccc(CF)nc4c3)CC2)ccn1 7.772536 0.3088235294117647</t>
  </si>
  <si>
    <t>CC(C)N(C)C1C=C(N(Cc2ccccn2)Cc2ccccn2)C=CN1 7.772523 0.4375</t>
  </si>
  <si>
    <t>CC1=CC(c2cc(CN(Cc3ccccn3)C3CCC(N(C)c4ccc5nc(CN(C)C)ccc5c4)CC3)ccn2)CC(C)C1C 7.772521 0.3157894736842105</t>
  </si>
  <si>
    <t>CCNCC1=CCC(N(C)Cc2ncccc2C)=CN1 7.772519 0.25862068965517243</t>
  </si>
  <si>
    <t>CC1C=CCC(C)(c2ncccc2CN(Cc2ccccn2)C2CCC(N(C)c3ccc4c(CN(C)C)ccnc4c3)CC2)C1C 7.772519 0.2857142857142857</t>
  </si>
  <si>
    <t>Cc1cc(C)c(CN(Cc2ccccn2)C2CC(N(C)CC3=CCC=C(N(C)Cc4ccccn4)N3)CC(N(C)Cc3ccccn3)C2)nc1C 7.772518 0.3382352941176471</t>
  </si>
  <si>
    <t>Cc1ccnc(CN(C)C2C=CNC(CN(C)Cc3ccc(C)nc3)=C2)c1 7.7725163 0.2878787878787879</t>
  </si>
  <si>
    <t>COC(=O)C1CN(C)C(C(C)C)C(c2cc(CN(Cc3ccccn3)Cc3ccccn3)ccn2)C1c1ccccn1 7.7725077 0.3333333333333333</t>
  </si>
  <si>
    <t>Cc1cnc(CN(C)C2CCCC(N(Cc3ccccn3)c3cc(Cl)ccc3Cl)C2)c(C)c1 7.7725053 0.38095238095238093</t>
  </si>
  <si>
    <t>Cc1ccnc(CNCN(C)C2CCC(N(C)c3ccc4ccc(CN(C)C)nc4c3)CC2)c1 7.7725053 0.296875</t>
  </si>
  <si>
    <t>CN(C)Cc1ccc(F)nc1 7.772503 0.32432432432432434</t>
  </si>
  <si>
    <t>Cc1ncccc1CN(C)CC1=CCC=C(N(C)C(C)C)N1 7.772497 0.35185185185185186</t>
  </si>
  <si>
    <t>Cc1cc(CN(C)Cc2ccccn2)ccc1N 7.77249 0.4888888888888889</t>
  </si>
  <si>
    <t>CC1=CC(C)C2(CC1)CCC(C(C)(C)C)=CC21CC2(C=C(c3ncccc3CN(Cc3ccccn3)Cc3ccccn3)C3(CCC(C)=C(C)C3C)CC2c2ccc(CN(Cc3ccccn3)Cc3ccccn3)cn2)C2(C=C1C)CCC(C)=C(C)C2 7.7724867 0.21428571428571427</t>
  </si>
  <si>
    <t>CCOC(C)NCc1ncc(CN(Cc2ccccn2)Cc2ccccn2)c(C)c1C 7.7724833 0.4166666666666667</t>
  </si>
  <si>
    <t>CNC1C(N(Cc2ncc(C)cc2C)Cc2ncc(C)c(C)c2C)CCCC1N(Cc1ncc(C)c(C)c1C)Cc1nc(C)c(C)c(C)c1C 7.7724757 0.3064516129032258</t>
  </si>
  <si>
    <t>CCNC1=C(C)C(c2ncccc2CN(C)C2CCCCC2N(C)c2ccc3nccc(CN(C)C)c3c2)CC(C)C1 7.772467 0.2948717948717949</t>
  </si>
  <si>
    <t>CN(Cc1ccccc1)C1CCC(N(C)c2ccc3ncc(CF)cc3c2)CC1 7.7724643 0.2727272727272727</t>
  </si>
  <si>
    <t>CN(C)c1ccccc1-c1cccc(CN(Cc2cccc(F)n2)Cc2cccc(-c3ccc4c(c3)OCCOCCOCCOCCOCCO4)n2)n1 7.772464 0.352112676056338</t>
  </si>
  <si>
    <t>CC(C)N(Cc1cccc(CN(Cc2ccc([SiH3])cn2)Cc2cccc(C(C)(C)C)n2)n1)Cc1cccc(C2CCC2(C)C)n1 7.772464 0.27941176470588236</t>
  </si>
  <si>
    <t>Cc1cc(C)c(CN(C)C2CCCC(N(Cc3ccc4cccnc4c3)C(C)C)C2)nc1C 7.77246 0.26865671641791045</t>
  </si>
  <si>
    <t>CC1(C)CCC1c1cc(CN(Cc2ccccn2)Cc2ccccn2)c(CN(Cc2ccccn2)Cc2ccccn2)cn1 7.772451 0.45454545454545453</t>
  </si>
  <si>
    <t>Cc1ccc(CN2CCN(C)CCN(Cc3ccc(-c4cccc(N=Cc5ccccn5)c4)nc3)CC2)nc1 7.7724476 0.40625</t>
  </si>
  <si>
    <t>CN(C)Cc1ccc2c(N(C)C3CCCCC3N(CF)Cc3ccccn3)cccc2n1 7.7724476 0.4482758620689655</t>
  </si>
  <si>
    <t>CNCc1ncccc1CN(Cc1ccccn1)Cc1ccc(C)cn1 7.7724433 0.46511627906976744</t>
  </si>
  <si>
    <t>CC(C)c1cccc(CN2CCN(C)CCN(Cc3ccc(-c4cccc(N=Cc5ccccn5)c4)cn3)CC2)n1 7.772442 0.43548387096774194</t>
  </si>
  <si>
    <t>CN(CCN(C)Cc1cccc(-c2cccc3c2OCCOCCOCCOCCOCCO3)n1)Cc1cccc(-c2ccc3ncccc3c2)n1 7.77244 0.3484848484848485</t>
  </si>
  <si>
    <t>CN(Cc1cc(-c2ccc(N(C)C)cc2)ccn1)Cc1cc(-c2ccc3c(c2)OCCOCCOCCOCCOCCO3)ccn1 7.7724385 0.3968253968253968</t>
  </si>
  <si>
    <t>Cc1ccncc1CN(C)C 7.7724333 0.2894736842105263</t>
  </si>
  <si>
    <t>CNCc1ncccc1CN(C)Cc1cccc(N)n1 7.7724295 0.4117647058823529</t>
  </si>
  <si>
    <t>CCNC1C(N(C)Cc2ccccn2)CCCC1N(Cc1ccccn1)c1cccc2nccc(CF)c12 7.772429 0.45161290322580644</t>
  </si>
  <si>
    <t>CC1C=CCC(C)(c2ncccc2CN(Cc2ccccn2)C2CCC(N(C)c3ccc4nccc(CN(C)C)c4c3)CC2)C1C 7.772428 0.28205128205128205</t>
  </si>
  <si>
    <t>CNCc1cccc(CN(C)Cc2cccc(N)n2)n1 7.772418 0.425</t>
  </si>
  <si>
    <t>CCNCc1cc(C(C)(C)c2ccccn2)ccn1 7.772417 0.40476190476190477</t>
  </si>
  <si>
    <t>Cc1ccnc(CN(C)CCN(C)Cc2ncc(C)c(C)c2C)c1C 7.772401 0.425</t>
  </si>
  <si>
    <t>CCNCC1=C(N(C)Cc2ncccc2C)CC=CN1 7.772401 0.2698412698412698</t>
  </si>
  <si>
    <t>Cc1ccc(CN(Cc2ccccn2)Cc2cccc(CNC(C)C)n2)nc1 7.772394 0.46511627906976744</t>
  </si>
  <si>
    <t>CNCc1ccc(CN(Cc2ccccn2)Cc2cc(C)ccn2)cn1 7.772393 0.45454545454545453</t>
  </si>
  <si>
    <t>CN(c1cccc2nc(CF)ccc12)C1CCC(N(Cc2ccccn2)Cc2cccc(C3CCC3)n2)CC1 7.7723927 0.36363636363636365</t>
  </si>
  <si>
    <t>CN1CCN(C)CCN(Cc2ncccc2-c2cccc(N=Cc3ccccn3)c2)CC1 7.7723866 0.41818181818181815</t>
  </si>
  <si>
    <t>Cc1ccnc(CN(Cc2cc(C)c(C)cn2)Cc2ncccc2C(C)C(C)C)c1 7.7723866 0.375</t>
  </si>
  <si>
    <t>Cc1ccc2cccnc2c1C(C)c1ncccc1CN1CCN(C)CCN(C)CC1 7.7723837 0.39622641509433965</t>
  </si>
  <si>
    <t>C1=CC(SCc2ccccn2)C=CN1 7.7723823 0.4857142857142857</t>
  </si>
  <si>
    <t>Cc1cccnc1CN(C)CC1=CC(N(C)Cc2ccccn2)C=CN1 7.772376 0.39285714285714285</t>
  </si>
  <si>
    <t>CN(C)c1ccc(CN(Cc2ccccn2)Cc2ncccc2-c2ccc3c(c2N(C)Cc2ccccn2)OCCOCCOCCOCCOCCO3)nc1 7.772373 0.32786885245901637</t>
  </si>
  <si>
    <t>Cc1ccc(-c2cccc(NCc3ccccn3)c2)nc1CN(C)C1CCC(N(C)Cc2ccccn2)CC1 7.7723727 0.39344262295081966</t>
  </si>
  <si>
    <t>CN(CC1=C(N(CF)Cc2ccccn2)CC=CN1)Cc1ccccn1 7.772372 0.4230769230769231</t>
  </si>
  <si>
    <t>CN(Cc1cccc(C2(C)CCC2)n1)C1CCC(N(C)c2ccc3nc(CF)ccc3c2)CC1 7.7723713 0.35294117647058826</t>
  </si>
  <si>
    <t>Cc1ccc(C)c(CN(C)CN(C)Cc2ncccc2C)n1 7.7723675 0.3488372093023256</t>
  </si>
  <si>
    <t>CNCc1cccc(CN(C)C2CCC(N(C)c3ccc4nc(CF)ccc4c3)CC2)n1 7.772365 0.35384615384615387</t>
  </si>
  <si>
    <t>Cc1cccnc1CN(C)CCN(Cc1ccccn1)C(C)(C)c1cccnc1CN(Cc1ncccc1C)C(C)C 7.772363 0.4528301886792453</t>
  </si>
  <si>
    <t>CC(C)C1=CCC=C(N(C)CC2=CC(N(C)Cc3ccccn3)C=CN2)N1 7.7723627 0.38461538461538464</t>
  </si>
  <si>
    <t>CC1C=CCC(C)C1(C)c1cccc(CN(Cc2ccccn2)C2CCC(N(C)c3ccc4nc(CN(C)C)ccc4c3)CC2)n1 7.772362 0.3287671232876712</t>
  </si>
  <si>
    <t>CCNCc1cc(CN(Cc2ccccn2)C2CCCC(N(C)c3ccc4nc(CF)ccc4c3)C2)ccn1 7.7723613 0.3194444444444444</t>
  </si>
  <si>
    <t>CC(C)N(C)C1=C(NCc2ccccn2)C=CNC1 7.7723594 0.40816326530612246</t>
  </si>
  <si>
    <t>Cc1ccc(-c2cc(CN(C)C3CCC(N(C)Cc4nc(C)c(C)c(C)c4C)CC3)ccn2)cc1 7.772351 0.2833333333333333</t>
  </si>
  <si>
    <t>Cc1cnc(CN(C)C(C)C)c(C)c1C 7.77235 0.3</t>
  </si>
  <si>
    <t>CNCc1ccc2cccc(N(C)C3CCCCC3N(CC3=CCC=CN3)Cc3ccccn3)c2n1 7.7723465 0.4714285714285714</t>
  </si>
  <si>
    <t>CCN(C)Cc1ccc2cc(N(C)C3CCC(N(C)Cc4ncccc4C)CC3)ccc2n1 7.7723455 0.296875</t>
  </si>
  <si>
    <t>CN(CC1=CCC=CN1)Cc1ncccc1N 7.7723393 0.5</t>
  </si>
  <si>
    <t>CN(C)c1ccccc1-c1ncccc1CN(Cc1ccccn1)Cc1ccc(-c2ccc3c(c2)OCCOCCOCCOCCOCCO3)cn1 7.7723374 0.4</t>
  </si>
  <si>
    <t>C=CCNCc1ncccc1C(C)(C)c1ccccn1 7.772336 0.32075471698113206</t>
  </si>
  <si>
    <t>Cc1cncc(CN(C)CC2=CCC=C(N(C)C(C)C)N2)c1 7.7723346 0.23636363636363636</t>
  </si>
  <si>
    <t>CC1=C(N(C)CC2=CC(N(C)Cc3nc(C)c(C)c(C)c3C)C=CN2)C(C)C(C)CC1 7.772334 0.27941176470588236</t>
  </si>
  <si>
    <t>CCCN(CC1=CC(N(C)Cc2ccccn2)C=CN1)c1cccc(C)c1C 7.7723246 0.3548387096774194</t>
  </si>
  <si>
    <t>Cc1cc(C)c(CN(Cc2ccccn2)C(C)(N)N(CCN(C)Cc2ccccn2)Cc2ccccn2)nc1C 7.7723117 0.38596491228070173</t>
  </si>
  <si>
    <t>CC(C)N(CCN(Cc1ccccn1)Cc1cccc(N(C)Cc2cccc(C3CC(Cl)C3Cl)n2)n1)Cc1ccccn1 7.7723055 0.46551724137931033</t>
  </si>
  <si>
    <t>CC(C)N(Cc1ccccn1)c1cccc(-c2cc(CN(Cc3ccccn3)C3CCCCC3)ccn2)c1 7.7723017 0.3709677419354839</t>
  </si>
  <si>
    <t>CNC1CC(N(Cc2cc(C)ccn2)Cc2cc(C)c(C)c(C)n2)CC(N(Cc2cc(C)c(C)cn2)Cc2nc(C)c(C)c(C)c2C)C1 7.772301 0.2571428571428571</t>
  </si>
  <si>
    <t>C1=CCNC(NCc2ccccn2)=C1 7.7723002 0.4473684210526316</t>
  </si>
  <si>
    <t>CCN(Cc1ccccn1)c1ccc2nc(CN(C)Cc3cccc(-c4ccc5c(c4)OCCOCCOCCOCCOCCO5)n3)ccc2c1 7.7723002 0.4307692307692308</t>
  </si>
  <si>
    <t>CCNCc1cccc(CN(Cc2ccc([SiH3])cn2)Cc2ccc([SiH3])cn2)n1 7.7722898 0.36</t>
  </si>
  <si>
    <t>CC1=CC(C)C2(CC1)CC(C(C)C)=CC1(CC(c3cc(CN(Cc4ccccn4)Cc4ccccn4)ccn3)C3(C=C1c1ccc(CN(Cc4ccccn4)Cc4ccccn4)cn1)CCC(C)=C(C)C3C)C2(C)C 7.7722883 0.2376237623762376</t>
  </si>
  <si>
    <t>CC(C)CN(CCN(C)Cc1ccc2cccnc2c1)Cc1ccccc1 7.7722883 0.39344262295081966</t>
  </si>
  <si>
    <t>C=Cc1ccc(CN(Cc2cccc(COC)n2)Cc2cccc(C3CCC3C)n2)nc1 7.772288 0.3968253968253968</t>
  </si>
  <si>
    <t>CC1C=CC(C)C(C)(c2cccc(CN(Cc3ccccn3)C3CCC(N(C)c4ccc5nc(CF)ccc5c4)CC3)n2)C1 7.7722864 0.32432432432432434</t>
  </si>
  <si>
    <t>CC1(C)CC(c2ccc(CN(Cc3ccccn3)Cc3ccccn3)cn2)C1 7.772276 0.4878048780487805</t>
  </si>
  <si>
    <t>CC1=C(N(C)Cc2ccccn2)C(C)CC(C)(C)C1 7.7722673 0.44680851063829785</t>
  </si>
  <si>
    <t>Cc1ccnc(CN(CCN(Cc2ccccn2)C(C)(c2ccccn2)C(C)C)Cc2cc(C)c(C)c(C)n2)c1 7.772266 0.3870967741935484</t>
  </si>
  <si>
    <t>Cc1ccc(CN(Cc2ccccn2)Cc2cccc(CN(Cc3ccccn3)Cc3cccc(C4CCC4(C)C)n3)n2)nc1 7.772266 0.4107142857142857</t>
  </si>
  <si>
    <t>CC1=C(N(C)Cc2cc(C(C)(C)c3ccccn3)ccn2)CCC(C)(C)C1C 7.772265 0.3442622950819672</t>
  </si>
  <si>
    <t>CN1CCN(C)CCN(Cc2cccc(C3=NC(C)(c4ccc(C5=CCC=CN5)nc4)CO3)n2)CC1 7.7722573 0.35294117647058826</t>
  </si>
  <si>
    <t>Cc1cc(CN(C)C2C(N(C)C)CCCC2N(Cc2nc(C)c(C)c(C)c2C)Cc2nc(C)c(C)c(C)c2C)nc(C)c1C 7.7722573 0.3275862068965517</t>
  </si>
  <si>
    <t>Cc1ccncc1CN(Cc1ccc2ncccc2c1)C1CCCCC1N(C)c1ccc2ncc(CN3CCN(C)CCN(C)CC3)cc2c1 7.7722554 0.3116883116883117</t>
  </si>
  <si>
    <t>CNCc1ncccc1CN(C)Cc1ccc(N)cn1 7.7722526 0.3469387755102041</t>
  </si>
  <si>
    <t>Cc1cccc(CN(C)C2C=CNC(CN(Cc3cccc(C)n3)C(C)(c3cccnc3)C(C)C)=C2)n1 7.7722497 0.34328358208955223</t>
  </si>
  <si>
    <t>Cc1cnc(CN(C)CCN(C)Cc2ncc(C)cc2C)c(C)c1 7.772248 0.5</t>
  </si>
  <si>
    <t>Cc1nc(CN(C)C2CCCCC2N(Cc2nc(C)c(C)c(C)c2C)Cc2c(C)nc(C)c(C)c2C)c(C)c(C)c1C 7.7722454 0.37254901960784315</t>
  </si>
  <si>
    <t>CC1=CC(C)C2(C=C(C)CC(C)C23CC(c2ncccc2CN(Cc2ccccn2)Cc2ccccn2)C2(C=C3c3ncccc3CN(Cc3ccccn3)Cc3ccccn3)C(C)C=CC(C)C2C)CC1 7.7722416 0.275</t>
  </si>
  <si>
    <t>CC1(C)N=COC1c1ccccn1 7.772239 0.2909090909090909</t>
  </si>
  <si>
    <t>CNCc1cccc(CN(Cc2ccccn2)Cc2ncccc2C)n1 7.772236 0.4878048780487805</t>
  </si>
  <si>
    <t>CC(C1=CCC=CN1)N(Cc1ccccn1)Cc1cccc(C(C)(C)C)n1 7.772234 0.46551724137931033</t>
  </si>
  <si>
    <t>CCN(C)Cc1cc(C(C)(C)c2ccccn2)ccn1 7.7722316 0.3958333333333333</t>
  </si>
  <si>
    <t>Cc1nc(CN(Cc2nc(C)c(C)c(C)c2C)C2CCCCC2N(Cc2ccccn2)c2ccccc2F)c(C)c(C)c1C 7.7722316 0.43859649122807015</t>
  </si>
  <si>
    <t>CNCc1cc(CN(Cc2ccccn2)C(C)(C)c2ccccn2)ccn1 7.77223 0.39215686274509803</t>
  </si>
  <si>
    <t>CNCc1cccc(CN(Cc2ccccn2)C2CCC(N(C)Cc3cccc(-c4cccc(Cl)c4Cl)n3)CC2)n1 7.772228 0.3968253968253968</t>
  </si>
  <si>
    <t>CN(Cc1ccccn1)c1cccc(C2CCC2(C)C)c1 7.7722263 0.44</t>
  </si>
  <si>
    <t>CC(C)[Si](c1ccc(CN(Cc2ccc3cccnc3n2)C2CCC(N)CC2)nc1)(C(C)C)C(C)C 7.772213 0.4444444444444444</t>
  </si>
  <si>
    <t>CC(C)N(Cc1ncccc1-c1ccc2c(c1)OCCOCCOCCOCCOCCO2)c1ccc2ncccc2c1 7.7722054 0.30666666666666664</t>
  </si>
  <si>
    <t>CCCN(CC1=CCC(N(C)Cc2ccccn2)=CN1)Cc1ccccn1 7.7721934 0.48148148148148145</t>
  </si>
  <si>
    <t>CCN=Cc1cc(CN(Cc2ccccn2)Cc2ccccn2)ccn1 7.772186 0.5</t>
  </si>
  <si>
    <t>CC1C=CCC(C)C1(C)c1cccc(CN(Cc2ccccn2)C2CCC(N(C)c3ccc4cc(CN(C)C)cnc4c3)CC2)n1 7.7721796 0.28205128205128205</t>
  </si>
  <si>
    <t>Cc1cccnc1CN(C)C1CCCC(N(C)Cc2cc(C)c(C)c(C)n2)C1N(Cc1nc(C)c(C)c(C)c1C)Cc1nc(C)c(C)c(C)c1C 7.772174 0.3770491803278688</t>
  </si>
  <si>
    <t>Cc1cnccc1CN(C)CC1=CCC=C(N(C)C(C)C)N1 7.772172 0.23728813559322035</t>
  </si>
  <si>
    <t>CCN(Cc1ccccn1)Cc1cc(C(C)(C)c2cc(CN(Cc3cc(C)ccn3)C3CCC(N(C)Cc4nc(C)c(C)c(C)c4C)CC3)ccn2)ccn1 7.7721624 0.2911392405063291</t>
  </si>
  <si>
    <t>CNCc1nc(CN(Cc2ccccn2)C(C)(C)C)c(C)cc1C 7.7721596 0.39215686274509803</t>
  </si>
  <si>
    <t>CN(c1ccc2nccc(CF)c2c1)C1CCC(N(CF)Cc2ccccn2)CC1 7.772156 0.36666666666666664</t>
  </si>
  <si>
    <t>CCNCc1ncccc1CN(Cc1ccccn1)C1CCCCC1N(C)c1ccc2c(CF)ccnc2c1 7.7721505 0.37142857142857144</t>
  </si>
  <si>
    <t>CNCc1cccc(CN(C)Cc2ccc(N)cn2)n1 7.772147 0.4166666666666667</t>
  </si>
  <si>
    <t>CC(C)N(C)Cc1ccc(C(C)(C)c2ccccn2)cn1 7.7721443 0.40425531914893614</t>
  </si>
  <si>
    <t>CC1=C(C)CC(c2ncccc2CN(Cc2ccccn2)Cc2ccccn2)C(C)C1 7.77214 0.47619047619047616</t>
  </si>
  <si>
    <t>CNCc1cccc(CN(Cc2ccccn2)C(C)(C)c2ccccn2)n1 7.772137 0.42</t>
  </si>
  <si>
    <t>Cc1ccc(CN(C)CC2=CC(N(C)Cc3cc(C)ccn3)C=CN2)nc1 7.7721357 0.4230769230769231</t>
  </si>
  <si>
    <t>Cc1cccnc1CN(C)C1C=CNC(CN(C)Cc2ccccn2)=C1 7.7721286 0.38596491228070173</t>
  </si>
  <si>
    <t>CN(C)Cc1ccc(F)cn1 7.772118 0.48484848484848486</t>
  </si>
  <si>
    <t>CNCc1cc(CN(Cc2ccccn2)Cc2ncccc2C)ccn1 7.772117 0.46511627906976744</t>
  </si>
  <si>
    <t>Cc1ccnc(CN(C)CCN(C)Cc2nc(C)c(C)c(C)c2C)c1 7.7721057 0.4090909090909091</t>
  </si>
  <si>
    <t>Cc1ccnc(CN(C)C2=CCC=C(CN(C)C(C)C(C)C)N2)c1C 7.7721 0.22727272727272727</t>
  </si>
  <si>
    <t>CNCc1ncccc1CN(C)C1CCC(N(C)c2ccc3cccnc3c2)CC1 7.772099 0.29508196721311475</t>
  </si>
  <si>
    <t>CN(CCN(Cc1ccccn1)C(C)(N)N(Cc1ccccn1)CC(C)(C)C)c1cc(N)cc(Cl)c1 7.7720942 0.42857142857142855</t>
  </si>
  <si>
    <t>CN(Cc1cccc(-c2cccc(N=Cc3ccccn3)c2)n1)Cc1cccc(-c2cccc3c2OCCOCCOCCOCCOCCO3)n1 7.772094 0.37681159420289856</t>
  </si>
  <si>
    <t>CNCc1ncc(CN(C)Cc2ccccn2)cc1C 7.7720933 0.44</t>
  </si>
  <si>
    <t>CC(C)N(C)Cc1cccnc1N(C)C(C)(C)c1ccccn1 7.7720857 0.3469387755102041</t>
  </si>
  <si>
    <t>CN1CCN(Cc2cccc(C3=NC(C)(C)CO3)n2)CCN(Cc2cccc(C(C)(c3ccccn3)c3ccccn3)n2)CC1 7.772083 0.4482758620689655</t>
  </si>
  <si>
    <t>CC1=CC(C)C(C)CC1c1cccc(CN(Cc2ccccn2)C2CCCCC2N(C)c2ccc3cc(CN(C)C)cnc3c2)n1 7.772081 0.35135135135135137</t>
  </si>
  <si>
    <t>CC1(C)CC(c2ccc(CN(Cc3cccc(C(C)(C)C)n3)Cc3cccc(C4(C)CCC4(C)C)n3)cn2)C1 7.772075 0.24358974358974358</t>
  </si>
  <si>
    <t>CCN(CCN(Cc1ccccn1)Cc1cc(C)c(C)c(C)n1)Cc1nc(C)c(C)cc1C 7.7720656 0.46</t>
  </si>
  <si>
    <t>Cc1cncc(-c2cccc(NCc3ccc(C(C)(C)N4CCN(C)CCN(C)CC4)cn3)c2)c1 7.772065 0.2727272727272727</t>
  </si>
  <si>
    <t>Cc1ccc(CN(C)Cc2cccc(N(C)C3CCCC(N(Cc4ccc(C)nc4)Cc4nc(C)c(C)cc4C)C3)n2)nc1 7.772064 0.3287671232876712</t>
  </si>
  <si>
    <t>Cc1cccnc1CN(C)C1CCCCC1N(C)Cc1cccnc1-c1ccccc1N(C)C 7.772057 0.4444444444444444</t>
  </si>
  <si>
    <t>CN(CC1=CNC(N(C)C)=CC1)Cc1ccccn1 7.7720556 0.4583333333333333</t>
  </si>
  <si>
    <t>CCN(Cc1cccc(C2C(C)CC2C)n1)Cc1nc(C)c(C)c(C)c1C 7.772052 0.29310344827586204</t>
  </si>
  <si>
    <t>CCN(Cc1ccccn1)c1ccc2nc(CN(Cc3ccccn3)Cc3cccc(-c4ccc5c(c4)OCCOCCOCCOCCOCCO5)n3)ccc2c1 7.7720456 0.43661971830985913</t>
  </si>
  <si>
    <t>CC1=CC(C)CC2(C=CC3(C(C)C=CC(C)C3C)C(c3cc(CN(Cc4ccccn4)Cc4ccccn4)ccn3)C2c2cc(CN(Cc3ccccn3)C3CCC(N(C)c4ccc5nccc(CN(C)C)c5c4)CC3)ccn2)C1C 7.7720423 0.22916666666666666</t>
  </si>
  <si>
    <t>Cc1cc2cccnc2cc1C(C)c1ncccc1CN1CCN(C)CCN(C)CC1 7.7720394 0.3888888888888889</t>
  </si>
  <si>
    <t>CC(C)NCc1cccc(CN(Cc2ccccn2)Cc2ccc(N)cn2)n1 7.7720394 0.45454545454545453</t>
  </si>
  <si>
    <t>CCCN(Cc1ccccn1)C1=C(CN(C)Cc2cccc(C)n2)NC=CC1 7.772037 0.423728813559322</t>
  </si>
  <si>
    <t>CN(c1ccc2nc(CF)ccc2c1)C1CCCCC1N(CC1=CCC=CN1)Cc1ccccn1 7.7720356 0.4626865671641791</t>
  </si>
  <si>
    <t>Cc1cnc(CN(C)CCN(Cc2ccccn2)C(C)(C)c2cccnc2CN(Cc2ccccn2)C(C)C)c(C)c1 7.772032 0.423728813559322</t>
  </si>
  <si>
    <t>Cc1ccccc1CN(C)Cc1cc(N)ccn1 7.772029 0.375</t>
  </si>
  <si>
    <t>Cc1ccc(CN(C)C2C=CNC(CN(C)Cc3cncc(C)c3)=C2)nc1 7.7720275 0.39655172413793105</t>
  </si>
  <si>
    <t>Cc1cccnc1CN(C)CCN(C)Cc1nc(C)c(C)c(C)c1C 7.772024 0.4222222222222222</t>
  </si>
  <si>
    <t>CNCc1ccc(CN(C)C2CCC(N(C)c3ccc4ccc(CF)nc4c3)CC2)cn1 7.7720194 0.3088235294117647</t>
  </si>
  <si>
    <t>Cn1c(CN(Cc2cccc([SiH3])n2)C2CCCCC2)nc2ccccc21 7.7720194 0.44642857142857145</t>
  </si>
  <si>
    <t>CC(N=Cc1ccccn1)c1ccccc1 7.7720146 0.42857142857142855</t>
  </si>
  <si>
    <t>CCNC1C(N(C)Cc2ncccc2C)CCCC1N(C)c1ccc2c(CF)ccnc2c1 7.7720056 0.3</t>
  </si>
  <si>
    <t>Cc1cc(CN(C)Cc2ccccn2)ccc1CN(C)Cc1ccccn1 7.771999 0.5</t>
  </si>
  <si>
    <t>CC=C1C=CNC(CN(CC)Cc2ccccn2)=C1 7.7719955 0.4807692307692308</t>
  </si>
  <si>
    <t>CN(Cc1cccc(CF)n1)C1CCC(N(C)c2ccc3nc(CF)ccc3c2)CC1 7.77199 0.39655172413793105</t>
  </si>
  <si>
    <t>CCc1ccccc1NCc1ccccn1 7.771987 0.4857142857142857</t>
  </si>
  <si>
    <t>CNC1CCCC(N(Cc2cc(C)c([SiH3])c(C)n2)Cc2nc(C)c([SiH3])c([SiH3])c2C)C1N(Cc1ccc([SiH3])c([SiH3])n1)Cc1nc([SiH3])c(C)c(C)c1C 7.771982 0.23376623376623376</t>
  </si>
  <si>
    <t>Cc1cnc(CN(Cc2ccccn2)C2CCC(N(C)Cc3ccc4cccnc4c3)CC2)c(C)c1 7.7719817 0.359375</t>
  </si>
  <si>
    <t>Cc1cccnc1CN(C)C1=C(CN(C)C(C)C)CC=CN1 7.77198 0.2698412698412698</t>
  </si>
  <si>
    <t>Cc1ccnc(CN(C)CC2=CC(N(C)Cc3cc(C)ccn3)C=CN2)c1 7.771975 0.3333333333333333</t>
  </si>
  <si>
    <t>CC(C)N(Cc1ccccn1)C1CCC(N(C)c2cccc3ncccc23)CC1 7.7719727 0.4</t>
  </si>
  <si>
    <t>CCN(Cc1ccccn1)c1cc2ncccc2cc1CN(C)C(C)(C)c1ncccc1-c1ccc2c(c1)OCCOCCOCCOCCOCCO2 7.7719693 0.28735632183908044</t>
  </si>
  <si>
    <t>CN(C)c1cccc(-c2cccc(CN(Cc3cccc(-c4ccc5c(c4)OCCOCCOCCOCCOCCO5)n3)Cc3cccc(C(C)(C)C)n3)n2)c1 7.771966 0.35714285714285715</t>
  </si>
  <si>
    <t>Cc1nc(C2CC(C)C2(C)C)c(CN(Cc2ccccn2)Cc2ccccn2)c(C)c1C 7.771963 0.425531914893617</t>
  </si>
  <si>
    <t>CC(C)N(Cc1ccccn1)C1CCCCC1N(C)c1cccc2nccc(CF)c12 7.7719545 0.4406779661016949</t>
  </si>
  <si>
    <t>CC(C)N(C)C1=CCC=C(CN(C)C2CCCC(N(C)c3cccc4ncccc34)C2)N1 7.7719517 0.2898550724637681</t>
  </si>
  <si>
    <t>Cc1ccc(CN(Cc2ccccn2)Cc2cccnc2CNC(C)C)nc1 7.7719507 0.43478260869565216</t>
  </si>
  <si>
    <t>CCNCc1cc(CN(C)C2CCCC(N(C)c3ccc4ccc(CN(C)C)nc4c3)C2)ccn1 7.77195 0.2647058823529412</t>
  </si>
  <si>
    <t>CN1CCN(C)CCN(c2ccc3nccc(CF)c3c2)CC1 7.771947 0.34</t>
  </si>
  <si>
    <t>COC(=O)C1CN(C)C(C(=O)C2(C)COC(c3cccc(C4=NC(C)(C)CO4)n3)=N2)C(C(C)C)C1C(C)C 7.771938 0.4482758620689655</t>
  </si>
  <si>
    <t>CC(NCc1ccccn1)C(C)(c1ccccn1)c1ccccn1 7.771932 0.4473684210526316</t>
  </si>
  <si>
    <t>CN1CCN(C)CCN(c2ccc3c(CF)ccnc3c2)CC1 7.771923 0.3469387755102041</t>
  </si>
  <si>
    <t>CC(C)(c1ncccc1CN(Cc1ccccn1)Cc1ccc2ccccc2n1)c1ncccc1-c1ccc2c(c1)OCCOCCOCCOCCOCCO2 7.771918 0.46153846153846156</t>
  </si>
  <si>
    <t>CC(C)C(C)(c1cccnc1)N(C)Cc1cccc(N(C)C2C=CC=CN2)n1 7.771909 0.2857142857142857</t>
  </si>
  <si>
    <t>Cc1ccc(CN(Cc2ccccn2)C2=C(CN(C)C(C)(C)C)NC=CC2)nc1 7.7719083 0.38181818181818183</t>
  </si>
  <si>
    <t>CC1=CC(C)(C)C2(C=C(c3ncccc3CN(Cc3ccccn3)Cc3ccccn3)C(c3ncccc3CN(Cc3ccccn3)Cc3ccccn3)C3(CCC(C)=C(C)C3C)C2)CC12CC(C(C)C)=CCC21CCC(C)=C(C)C1 7.7718987 0.23255813953488372</t>
  </si>
  <si>
    <t>CCNCc1cccc(CN(Cc2ccc(N)cn2)Cc2ncccc2C)n1 7.771894 0.3389830508474576</t>
  </si>
  <si>
    <t>Cc1cccnc1CN(C)C1=CCC=C(CN(Cc2ccccn2)C(C)C(C)C)N1 7.771893 0.3793103448275862</t>
  </si>
  <si>
    <t>CC(C)N(Cc1ccccn1)c1cccc2nccc(CN3CCN(C)CCN(C)CC3)c12 7.7718887 0.49056603773584906</t>
  </si>
  <si>
    <t>CN(Cc1ccc(Cl)cn1)Cc1cccc(C2CC(Cl)C2Cl)n1 7.7718763 0.3888888888888889</t>
  </si>
  <si>
    <t>CN(Cc1cccc(N)n1)Cc1cccc(CF)n1 7.7718706 0.4594594594594595</t>
  </si>
  <si>
    <t>Cc1cnc(C)c(CN(Cc2ccccn2)C2CCCC(N(C)Cc3cc(-c4ccccc4C)ccn3)C2)c1 7.7718706 0.38461538461538464</t>
  </si>
  <si>
    <t>CC1CC(C)C(c2cncc(CN(C)Cc3ccccn3)c2)C=C1N(C)Cc1ccccn1 7.7718697 0.3728813559322034</t>
  </si>
  <si>
    <t>CN(Cc1ncccc1-c1ccc2c(c1)OCCOCCOCCOCCOCCO2)CN(C)c1ccc2nccc(CF)c2c1 7.771868 0.27380952380952384</t>
  </si>
  <si>
    <t>C=C1C=CNC(CN(C)C)=C1 7.7718678 0.47368421052631576</t>
  </si>
  <si>
    <t>CC1=CC(C)C2(C(C)C1)C(C)CC(c1ncccc1CN(Cc1ccccn1)Cc1ccccn1)=CC21CC(C)=C(C)C(C)C1 7.7718606 0.32786885245901637</t>
  </si>
  <si>
    <t>Cc1cccnc1CN(Cc1ccc2ncccc2c1)C1CCC(N(C)Cc2cccnc2C)CC1 7.7718506 0.28125</t>
  </si>
  <si>
    <t>CCN(C)CCN(C)Cc1ccc2ncccc2c1 7.7718496 0.45454545454545453</t>
  </si>
  <si>
    <t>Cc1cnc(CN(Cc2ccccn2)C2CCC(N(C)Cc3cc(-c4ccccc4C)ccn3)CC2)c(C)c1 7.771849 0.3870967741935484</t>
  </si>
  <si>
    <t>CCNCC1=CCC=C(N(C)Cc2ccccn2)N1 7.7718477 0.42592592592592593</t>
  </si>
  <si>
    <t>CC(C)NCc1cccc(CN(Cc2ccccn2)Cc2cc(N)ccn2)n1 7.771845 0.45454545454545453</t>
  </si>
  <si>
    <t>Cc1cc(CN(C)CC2=CCC=CN2)cc(C)c1C 7.771837 0.38</t>
  </si>
  <si>
    <t>CC1=CC(C)CC(C)(c2cc(CN(Cc3ccccn3)Cc3ccccn3)ccn2)C1 7.771828 0.40816326530612246</t>
  </si>
  <si>
    <t>CC(C)N(Cc1ccccn1)c1cc(N(C)Cc2ncccc2-c2cccc3c2OCCOCCOCCOCCOCCO3)cc(Cl)c1Cl 7.771824 0.35714285714285715</t>
  </si>
  <si>
    <t>Cc1cccnc1CN1CCN(C)CCN(Cc2ccc(-c3cccc(N=Cc4ccccn4)c3)nc2)CC1 7.7718225 0.35294117647058826</t>
  </si>
  <si>
    <t>CCN(Cc1ccccn1)c1ccc2nc(CN(C)Cc3ccc(-c4ccc5c(c4)OCCOCCOCCOCCOCCO5)cn3)ccc2c1 7.77182 0.40540540540540543</t>
  </si>
  <si>
    <t>Cc1ccc(CN(C)CC2=CC(N(C)Cc3ccccn3)C=CN2)c(C)c1 7.7718186 0.3728813559322034</t>
  </si>
  <si>
    <t>Cc1ccc(CN(C)CC2=CC(N(C)Cc3ccc(C)cn3)C=CN2)nc1 7.771815 0.5</t>
  </si>
  <si>
    <t>CC(C)N(C)CCN(C)Cc1ccc2cccnc2c1 7.771805 0.425531914893617</t>
  </si>
  <si>
    <t>Cc1ccc(CN(C)CC2=CC(N(C)Cc3ccccn3)C=CN2)c(C)c1C 7.771802 0.3793103448275862</t>
  </si>
  <si>
    <t>CN1CCN(C)CCN(Cc2ccc(CN(C)c3ccc4ccc(CF)nc4c3)nc2)CC1 7.7717986 0.36065573770491804</t>
  </si>
  <si>
    <t>CC(C1=CCC=CN1)N(Cc1ccccn1)C1CCCCC1N(C)c1ccc2nc(CN(C)C)ccc2c1 7.7717924 0.37142857142857144</t>
  </si>
  <si>
    <t>CC(C)N(Cc1ccccn1)C1CCCC(N(C)c2cccc3cccnc23)C1 7.771791 0.5</t>
  </si>
  <si>
    <t>CC(N)(C1=CCC=CN1)c1ccccn1 7.771787 0.4</t>
  </si>
  <si>
    <t>Cc1cc(CN(C)C2CCCC(N(Cc3nc(C)c(C)c(C)c3C)Cc3nc(C)c(C)c(C)c3C)C2N(C)C)nc(C)c1C 7.771784 0.3508771929824561</t>
  </si>
  <si>
    <t>Cc1cccnc1CN1CCN(C)CCN(Cc2cccnc2-c2cccc(N=Cc3ccccn3)c2)CC1 7.7717776 0.36923076923076925</t>
  </si>
  <si>
    <t>CC1C=CC(C)(c2cccc(CN(Cc3ccccn3)C3CCC(N(C)c4ccc5nc(CN(C)C)ccc5c4)CC3)n2)CC1C 7.771773 0.3287671232876712</t>
  </si>
  <si>
    <t>CC(C)C(C)(c1cccnc1)N(Cc1ccccn1)C1CCC(N(C)c2ccc3nc(CF)ccc3c2)CC1 7.771773 0.32857142857142857</t>
  </si>
  <si>
    <t>CN(Cc1cccc(C2CC(C)(C)C2)n1)Cc1cccc(C(C)(C)C)n1 7.771764 0.36538461538461536</t>
  </si>
  <si>
    <t>Cc1ccc(CN(Cc2ccccn2)C2CCCCC2)nc1-c1cc(F)ccc1NCc1ccccn1 7.771763 0.35384615384615387</t>
  </si>
  <si>
    <t>CN(C)c1ccccc1-c1cccnc1CN(Cc1ccccn1)Cc1ncccc1-c1ccc2c(c1)OCCOCCOCCOCCOCCO2 7.7717557 0.36363636363636365</t>
  </si>
  <si>
    <t>CCNCc1cccc(CN(Cc2ccccn2)C2CCCC(N(C)c3cccc4ncccc34)C2)n1 7.771753 0.35384615384615387</t>
  </si>
  <si>
    <t>Cc1ccc(CN(Cc2ccccn2)C2CCC(N(C)c3ccc4nc(CF)ccc4c3)CC2)nc1C1(C)C(C)C=CCC1C 7.7717447 0.3116883116883117</t>
  </si>
  <si>
    <t>C=CCNCC1=CCC=C(N(C)Cc2ccccn2)N1 7.7717338 0.3898305084745763</t>
  </si>
  <si>
    <t>Cc1cnc(CN(C)CCN(Cc2ccccn2)C(C)(C)c2ccccn2)c(C)c1C 7.7717333 0.3888888888888889</t>
  </si>
  <si>
    <t>CN(C)c1ccccc1-c1cnccc1CN(Cc1ccccn1)Cc1ncccc1-c1ccc2c(c1)OCCOCCOCCOCCOCCO2 7.771722 0.3125</t>
  </si>
  <si>
    <t>Cc1cnc(CN(C)CCN(Cc2ncc(C)c(C)c2C)CC(C)C)c(C)c1C 7.771711 0.36363636363636365</t>
  </si>
  <si>
    <t>CNC1CCCC(N(Cc2nc(C)c(C)cc2C)Cc2nc(C)cc(C)c2C)C1N(Cc1nc(C)cc(C)c1C)Cc1nc(C)cc(C)c1C 7.77171 0.25806451612903225</t>
  </si>
  <si>
    <t>CN(Cc1cccc(-c2ccccc2N=Cc2ccccn2)n1)Cc1cccc(-c2cccc3c2OCCOCCOCCOCCOCCO3)n1 7.771708 0.40625</t>
  </si>
  <si>
    <t>CNC1C(N(C)Cc2nc(C)c(C)c(C)c2C)CCCC1N(Cc1nc(C)c(C)c(C)c1C)Cc1nc(C)c(C)c(C)c1C 7.7717023 0.32075471698113206</t>
  </si>
  <si>
    <t>CNCc1ccc(CN(Cc2ccccn2)C(C)(C)c2ccccn2)cn1 7.7716985 0.37735849056603776</t>
  </si>
  <si>
    <t>CNCc1cccc(CN(C)C2=C(C(C)(C)C)NC=CC2)n1 7.7716966 0.2777777777777778</t>
  </si>
  <si>
    <t>Cc1cccnc1CN(C)CC1=CCC=C(N(C)C(C)C)N1 7.7716928 0.2909090909090909</t>
  </si>
  <si>
    <t>CNCc1cc(CN(Cc2ccccn2)C2CCCCC2N(C)c2ccc3nc(CF)ccc3c2)ccn1 7.7716823 0.39436619718309857</t>
  </si>
  <si>
    <t>CN(C)C1=CC=CNC1NCc1ccccn1 7.771681 0.39622641509433965</t>
  </si>
  <si>
    <t>CC1=CC2(C(C)=C(C)C3(C(C)CC=C(C)C3C)C(c3ncccc3CN(Cc3ccccn3)Cc3ccccn3)C2(C)C)C2(C(C)C=CCC2C)C(C)(C)C1 7.77167 0.2823529411764706</t>
  </si>
  <si>
    <t>CC1C=CCC(C)(c2ncccc2CN(Cc2ccccn2)C2CCCC(N(C)c3cccc4nccc(CN(C)C)c34)C2)C1C 7.7716675 0.2911392405063291</t>
  </si>
  <si>
    <t>FC1=CC=CC(SCc2ccccn2)N1 7.7716656 0.4146341463414634</t>
  </si>
  <si>
    <t>CN(Cc1ccccn1)C1CCC(N(C)CN(Cc2ccccn2)c2ccc3ccc(CF)nc3c2)CC1 7.771661 0.43636363636363634</t>
  </si>
  <si>
    <t>CCN(Cc1ccccn1)Cc1ccc2cccc(N(C)Cc3cccc(-c4ccc5c(c4)OCCOCCOCCOCCOCCO5)n3)c2n1 7.7716513 0.4305555555555556</t>
  </si>
  <si>
    <t>CNCc1ncccc1CN(Cc1ccccn1)C(C)(C)c1ccccn1 7.77165 0.38461538461538464</t>
  </si>
  <si>
    <t>CNC1CCCC(N(C)Cc2nc(C)c(C)c(C)c2C)C1N(Cc1nc(C)c(C)c(C)c1C)Cc1nc(C)c(C)c(C)c1C 7.7716465 0.3090909090909091</t>
  </si>
  <si>
    <t>CCCN(Cc1ccccn1)Cc1nc(C)c(C)o1 7.7716365 0.5</t>
  </si>
  <si>
    <t>CNC1C(N(Cc2cc(C)c(C)cn2)Cc2cc(C)c(C)c(C)n2)CCCC1N(Cc1cc(C)c(C)c(C)n1)Cc1nc(C)c(C)c(C)c1C 7.7716317 0.3064516129032258</t>
  </si>
  <si>
    <t>CNCc1cc(CN(C)C2CCCCC2N(C)c2ccc3c(CF)ccnc3c2)ccn1 7.7716293 0.3709677419354839</t>
  </si>
  <si>
    <t>Cc1cnccc1CN1CCN(C)CCN(Cc2ncccc2-c2cccc(N=Cc3ccccn3)c2)CC1 7.7716274 0.34328358208955223</t>
  </si>
  <si>
    <t>Cc1cnc(CN(Cc2ccccn2)C2CCC(N(C)Cc3ncccc3-c3ccccc3C)CC2)c(C)c1 7.771625 0.3770491803278688</t>
  </si>
  <si>
    <t>Cc1ccc(CN(C)C2C=CNC(CN(C)Cc3ccncc3C)=C2)nc1 7.7716236 0.39655172413793105</t>
  </si>
  <si>
    <t>CC1=C(C)C(C)C(N(C)Cc2ccccn2)C(c2cncc(CN(Cc3ccccn3)Cc3cc(N)ccn3)c2)C1 7.7716174 0.3382352941176471</t>
  </si>
  <si>
    <t>CCN(CCN(C)Cc1cc(C)c(C)c(C)n1)Cc1cc(C)c(C)c(C)n1 7.771609 0.38095238095238093</t>
  </si>
  <si>
    <t>CC1=CC(C)CCC1(C)c1cc(CN(Cc2ccccn2)Cc2cccc(C(C)(C)C)n2)ccn1 7.7716 0.3333333333333333</t>
  </si>
  <si>
    <t>Cc1ccc(N)cc1CN(C)Cc1ccccn1 7.7716 0.5</t>
  </si>
  <si>
    <t>CN(Cc1cc(-c2ccc3c(c2)OCCOCCOCCOCCOCCO3)ccn1)C1CCCCC1N(Cc1cc(-c2ccc3ncccc3c2)ccn1)Cc1cc(C(C)(C)c2ccccn2)ccn1 7.771588 0.37333333333333335</t>
  </si>
  <si>
    <t>CCN(Cc1ccccn1)Cc1ccc2cccc(N(Cc3ccccn3)Cc3cccc(-c4ccc5c(c4)OCCOCCOCCOCCOCCO5)n3)c2n1 7.771584 0.43661971830985913</t>
  </si>
  <si>
    <t>CN(Cc1ccccn1)C1CCC(N(C)Cc2ccc(-c3ccc4c(c3)OCCOCCOCCOCCOCCO4)cn2)C(N(C)c2ccc3cc(-c4ccccn4)cnc3c2)C1 7.7715826 0.37209302325581395</t>
  </si>
  <si>
    <t>Cc1cccnc1CN(Cc1ccccn1)Cc1cccc(CNCc2ccccn2)n1 7.771582 0.4878048780487805</t>
  </si>
  <si>
    <t>CNCc1ccc(CN(C)Cc2ccc(N)cn2)cn1 7.7715783 0.38636363636363635</t>
  </si>
  <si>
    <t>Cc1cccnc1CN(C)Cc1ccc(C2CC(C)(C)C2)cn1 7.771576 0.35294117647058826</t>
  </si>
  <si>
    <t>CNCc1cc(CN(C)C2CCCCC2N(C)c2ccc3nccc(CF)c3c2)ccn1 7.771573 0.36507936507936506</t>
  </si>
  <si>
    <t>Cc1ccc(CN(Cc2ccc(CNC(C)C)nc2)Cc2ccccn2)nc1 7.7715726 0.45454545454545453</t>
  </si>
  <si>
    <t>Cc1cccc(CN(Cc2ccccn2)Cc2cccc(CNC(C)C)n2)n1 7.771571 0.5</t>
  </si>
  <si>
    <t>CCNc1ncccc1CN(Cc1ccccn1)Cc1ncccc1C 7.7715683 0.46511627906976744</t>
  </si>
  <si>
    <t>CN(C)C1CCCC(N(C)c2cccc3nc4c(cc23)CCCC4)C1 7.771568 0.4727272727272727</t>
  </si>
  <si>
    <t>CNCc1ccc2cccc(N(Cc3ccccn3)Cc3cccc(-c4ccc5c(c4)OCCOCCOCCOCCOCCO5)n3)c2n1 7.771563 0.3918918918918919</t>
  </si>
  <si>
    <t>CC(C)(CN(Cc1ccccn1)Cc1ccc(-c2ccccc2N=Cc2ccccn2)cn1)c1ncccc1-c1ccc2c(c1)OCCOCCOCCOCCOCCO2 7.7715626 0.3218390804597701</t>
  </si>
  <si>
    <t>COC(=O)C1CN(C)C(CN(Cc2ccccn2)Cc2cc(C(C)(C)C)ccn2)C(c2ccccn2)C1c1ccccn1 7.7715564 0.32894736842105265</t>
  </si>
  <si>
    <t>CCN(Cc1ccccn1)Cc1ccc2cc(N(C)Cc3ncccc3-c3cccc4c3OCCOCCOCCOCCOCCO4)ccc2n1 7.7715316 0.37681159420289856</t>
  </si>
  <si>
    <t>CNC1CCCCC1N(C)c1cccc2c(CF)ccnc12 7.7715316 0.4807692307692308</t>
  </si>
  <si>
    <t>CNCN(Cc1ncccc1C)C1CCC(N(C)c2cccc3nc(CF)ccc23)CC1 7.771517 0.3380281690140845</t>
  </si>
  <si>
    <t>Cc1ccnc2cc(N(C)C3=CNC(CN4CCN(C)CCN(C)CC4)=CC3)ccc12 7.771516 0.38095238095238093</t>
  </si>
  <si>
    <t>CC(C)N(C)CCN(C)Cc1ccc2ncccc2c1 7.7715125 0.425531914893617</t>
  </si>
  <si>
    <t>CC1=C(N(Cc2ccccn2)Cc2ccccn2)CC(Cl)C(C)C12C=CNC(C(C)C)=C2 7.771509 0.3333333333333333</t>
  </si>
  <si>
    <t>Cc1cnc(CN(C)C2=CNC(CN(C)CCF)=CC2)c(C)c1 7.771507 0.3090909090909091</t>
  </si>
  <si>
    <t>Cc1cccc(-c2cccc(CN(C)C3CCCC(N(C)Cc4ccccn4)C3N(Cc3ccccn3)Cc3nc(C)c(C)c(C)c3C)n2)c1 7.771501 0.4444444444444444</t>
  </si>
  <si>
    <t>Cc1ccc(CN(C)C2=CNC(CN(C)C3C=CNC(C(C)C)=C3)=CC2)nc1 7.771491 0.359375</t>
  </si>
  <si>
    <t>CCNCc1cccc(CN(Cc2cccc(F)n2)C2CCC(N(C)c3ccc4nc(CF)ccc4c3)CC2)n1 7.7714853 0.3194444444444444</t>
  </si>
  <si>
    <t>CNCc1ncccc1CN(Cc1ccccn1)Cc1ncccc1C 7.7714853 0.4878048780487805</t>
  </si>
  <si>
    <t>CC1=C(C)C(C)C(C)(c2cc(CN(Cc3ccccn3)Cc3cc(C(C)(C)C)ccn3)ccn2)CC1 7.7714834 0.3448275862068966</t>
  </si>
  <si>
    <t>CNCN(C)Cc1ncc(C)c(C)c1C 7.7714806 0.3170731707317073</t>
  </si>
  <si>
    <t>Cc1cnc(CN(Cc2ccccn2)C2CCC(N(C)Cc3ncccc3-c3ccccn3)CC2)c(C)c1 7.771468 0.3709677419354839</t>
  </si>
  <si>
    <t>Cc1ccccc1N(C)C1=CNC=C(CN(C)C(C)C)C1 7.7714663 0.2222222222222222</t>
  </si>
  <si>
    <t>CCN(Cc1cccnn1)C1CCC(N(C)c2cccc3ncccc23)CC1 7.771465 0.37735849056603776</t>
  </si>
  <si>
    <t>CCN(Cc1ccccn1)c1ccc2nc(CN(C)Cc3cc(-c4ccc5c(c4)OCCOCCOCCOCCOCCO5)ccn3)ccc2c1 7.7714624 0.3582089552238806</t>
  </si>
  <si>
    <t>Cc1cccnc1CN(Cc1ccccn1)Cc1cccc(NCF)n1 7.7714615 0.46511627906976744</t>
  </si>
  <si>
    <t>CNC1C(N(Cc2ncccc2C)Cc2nc(C)c(C)c(C)c2C)CCC(N(Cc2ncccc2C)Cc2ncccc2C)C1N(Cc1ncccc1C)Cc1ncccc1C 7.7714477 0.25806451612903225</t>
  </si>
  <si>
    <t>Cc1cccc(CN(C)CC2=CC(N(C)Cc3nccc(C)c3C)C=CN2)c1 7.7714458 0.30303030303030304</t>
  </si>
  <si>
    <t>CN(CC1=C(N(O)C2C=CC=CN2)CC=CN1)C1=CCC=CN1 7.7714343 0.22727272727272727</t>
  </si>
  <si>
    <t>Cc1cc(C)c(C)c(N(C)CCN(C)C(C)C)c1 7.771434 0.24444444444444444</t>
  </si>
  <si>
    <t>CN(Cc1cccc(-c2cccc(N=Cc3ccccn3)c2)n1)Cc1cccc(-c2ccc3c(c2)OCCOCCOCCOCCOCCO3)n1 7.7714324 0.4</t>
  </si>
  <si>
    <t>CC1CC(C)C(N(C)Cc2ccccn2)C=C1C(C)(C)c1cccc(CN(Cc2ccccn2)C2CCCCC2N(C)c2ccc3cc(CN(C)C)cnc3c2)n1 7.771429 0.358974358974359</t>
  </si>
  <si>
    <t>CC1=CCC(C)(c2ccc(CN(Cc3ccccn3)C3CCCC(N(C)c4cccc5ncc(CN(C)C)cc45)C3)cn2)C(C)C1C 7.7714257 0.27710843373493976</t>
  </si>
  <si>
    <t>Cc1cc(C)c(C)c(CN(C)C2=CNC(CN(C)C(C)C(C)C)=CC2)n1 7.771424 0.18461538461538463</t>
  </si>
  <si>
    <t>CCNCc1cccc(NCc2ccccn2)c1C(C)(C)C 7.771413 0.4090909090909091</t>
  </si>
  <si>
    <t>CNC1CCCCC1N(C)c1ccc2c(CF)ccnc2c1 7.7714114 0.32786885245901637</t>
  </si>
  <si>
    <t>CNC1C(N(Cc2cc(C)ccn2)Cc2nc(C)c(C)c(C)c2C)CCCC1N(Cc1nc(C)c(C)c(C)c1C)Cc1nc(C)c(C)c(C)c1C 7.7714076 0.3050847457627119</t>
  </si>
  <si>
    <t>Cc1ccc(CN(Cc2cccc(N(C)C)n2)C2CCCCC2N(Cc2cc(C)c(C)c(C)n2)Cc2nc(C)c(C)c(C)c2C)nc1 7.7714076 0.42857142857142855</t>
  </si>
  <si>
    <t>CC(C)C1=CC2(C=CN1)CC(C)C(C)(C)C=C2c1ccc(CN(Cc2ccccn2)Cc2ccccn2)cn1 7.7714076 0.3287671232876712</t>
  </si>
  <si>
    <t>CCNCc1ncccc1CN(Cc1ccccn1)Cc1ncc(C)cc1C 7.7714033 0.40816326530612246</t>
  </si>
  <si>
    <t>C=CCN(C)CCN(Cc1ccccn1)Cc1cccnc1CN(Cc1ccccn1)Cc1cccc(N(C)C)n1 7.771396 0.4603174603174603</t>
  </si>
  <si>
    <t>CC(C)N(Cc1ccccn1)c1cccc2ccc(CN(C)Cc3cccc(-c4ccc5c(c4)OCCOCCOCCOCCOCCO5)n3)nc12 7.7713814 0.417910447761194</t>
  </si>
  <si>
    <t>CN(C)C1CCCC(N(C)c2ccc3nc(CF)ccc3c2)C1 7.7713757 0.4</t>
  </si>
  <si>
    <t>Cc1cccnc1CN(C)Cc1ccccc1CN(C)C 7.7713604 0.4186046511627907</t>
  </si>
  <si>
    <t>CC(N=Cc1ccccn1)C(C)N=Cc1ccccn1 7.7713604 0.47368421052631576</t>
  </si>
  <si>
    <t>CN(CNCc1cccc(N(C)c2ccc3ncccc3c2)n1)Cc1ccc(-c2ccc3c(c2)OCCOCCOCCOCCOCCO3)cn1 7.77136 0.36585365853658536</t>
  </si>
  <si>
    <t>CN1CCN(Cc2cccc(C(C)(c3ccccn3)c3ccccn3)n2)CCN(Cc2ncccc2-c2ncccc2C2CCC2(C)C)CC1 7.7713585 0.3939393939393939</t>
  </si>
  <si>
    <t>FCc1ncccc1NCc1ncccc1-c1ncccc1CN(Cc1ccccn1)Cc1ncccc1-c1cccc2c1OCCOCCOCCOCCOCCO2 7.7713585 0.29850746268656714</t>
  </si>
  <si>
    <t>COC(=O)C(=O)C(=O)C(C)C(C)C(=O)C(C)C(=O)C(=O)C(=O)C(=O)C(C)C(=O)C(=O)C(=O)C(C)C(=O)C(=O)C(C)C(=O)C(=O)C(=O)C(C)C(C)C(C)C(C)C(=O)C(=O)C(=O)C(=O)C(=O)C(=O)C(C)C(C)C(C)C(C)C(C)=O 7.7713513 0.11428571428571428</t>
  </si>
  <si>
    <t>Cc1ccnc(CN(C)C2C=CNC(CN(C)Cc3c(C)cccc3C)=C2)c1 7.7713428 0.30158730158730157</t>
  </si>
  <si>
    <t>CN(c1ccc2nc(CF)ccc2c1)C1CCC(N(Cc2ccccn2)C(C)(C)C)CC1 7.7713327 0.3898305084745763</t>
  </si>
  <si>
    <t>CCCN(C)CCN(C)Cc1ccc2ncccc2c1 7.771328 0.4444444444444444</t>
  </si>
  <si>
    <t>Cc1ccnc(CN(C)C2C=CNC(CN(C)Cc3cccc(C)n3)=C2)c1 7.7713265 0.4074074074074074</t>
  </si>
  <si>
    <t>CNC1CCCCC1N(C)c1ccc2nccc(CF)c2c1 7.771322 0.3225806451612903</t>
  </si>
  <si>
    <t>CN(Cc1cccnn1)C1CCCCC1N(C)c1ccc2cccnc2c1 7.7713156 0.5</t>
  </si>
  <si>
    <t>CC(C)N(Cc1cccc(CF)n1)C1CCC(N(C)c2ccc3nc(CF)ccc3c2)CC1 7.771315 0.3770491803278688</t>
  </si>
  <si>
    <t>Cc1cccnc1CN1CCN(C)CCN(Cc2ccc(-c3cccc(N=Cc4ccccn4)c3)cn2)CC1 7.771314 0.41935483870967744</t>
  </si>
  <si>
    <t>CC1=CCC(C)C2(C1C)C(c1cccc(CN(Cc3ncccc3C(C)(C)C)C3CCC(N(C)c4cccc5nccc(CF)c45)CC3)n1)CC=C(C)C2(C)C 7.7713137 0.21568627450980393</t>
  </si>
  <si>
    <t>CN(C)C1=CCC=C(CN(Cc2ccccn2)C(C)(C)C)N1 7.77131 0.4339622641509434</t>
  </si>
  <si>
    <t>CCc1cccc(CNCc2cccc(C(C)(C)c3ccccn3)n2)c1 7.7713094 0.3620689655172414</t>
  </si>
  <si>
    <t>Cc1nc(CN(Cc2cccc(-c3ccc4c(c3)OCCOCCOCCOCCOCCO4)n2)Cc2ccc3ccccc3n2)n(C)c1C 7.7713065 0.3770491803278688</t>
  </si>
  <si>
    <t>CC(C)NCc1ncccc1NCc1ccccn1 7.7713037 0.425</t>
  </si>
  <si>
    <t>CC1C=CC(CN(C)Cc2cncc(-c3ccc(N(C)C)cc3)c2)CC1(C)C 7.7713003 0.2</t>
  </si>
  <si>
    <t>CNCCN(Cc1nc(C)c(C)c(C)c1C)C(C)C 7.7712903 0.3181818181818182</t>
  </si>
  <si>
    <t>Cc1cncc(CN(C)CC2=CC(N(C)Cc3cccc(C)n3)C=CN2)c1 7.7712836 0.38333333333333336</t>
  </si>
  <si>
    <t>CNCc1ncc(C)cc1C 7.771279 0.2564102564102564</t>
  </si>
  <si>
    <t>CCN(Cc1ccccn1)C1CCCC(N(C)c2cccc3ncccc23)C1 7.7712765 0.4107142857142857</t>
  </si>
  <si>
    <t>Cc1cc(CNCc2ccccn2)cc(CN(C)Cc2ccccn2)c1C 7.7712708 0.43137254901960786</t>
  </si>
  <si>
    <t>Cc1cnc(CN(C)C2=C(CN(C)C(C)C)NC=CC2)cc1C 7.7712684 0.25925925925925924</t>
  </si>
  <si>
    <t>CC(c1ccccn1)(c1ccccn1)c1cccc(CNCNCF)n1 7.7712626 0.47058823529411764</t>
  </si>
  <si>
    <t>CC1CC(N)C1c1cccc(CN(Cc2ccccn2)Cc2cc(N)ccn2)n1 7.771262 0.41935483870967744</t>
  </si>
  <si>
    <t>Cc1cnc(C2CCC2(C)C)c(CN(Cc2ncccc2C(C)(C)C)Cc2ncccc2C(C)(C)C)c1C 7.771261 0.2698412698412698</t>
  </si>
  <si>
    <t>CC1C=CCC(C)(c2cc(CN(Cc3ccccn3)C3CCCC(N(C)c4ccc5nccc(CN(C)C)c5c4)C3)ccn2)C1(C)C 7.771252 0.2804878048780488</t>
  </si>
  <si>
    <t>Cc1cccnc1CN(Cc1ncccc1C)C1CCC(N(C)Cc2ncccc2-c2ccccn2)CC1 7.771247 0.34545454545454546</t>
  </si>
  <si>
    <t>CN(CCN(c1cccc2cccnc12)C1CCCCC1N(Cc1ccc2c(c1)OCCOCCOCCOCCOCCO2)Cc1cccc2cccnc12)c1cccc2cccnc12 7.7712436 0.4090909090909091</t>
  </si>
  <si>
    <t>Cc1cnc(CN(Cc2ccccn2)CC2C=CNC=C2)c(C)c1C 7.7712398 0.43636363636363634</t>
  </si>
  <si>
    <t>CC1=CC(N(C)Cc2ccccn2)=CC(C)C1C(C)(C)C 7.7712364 0.4375</t>
  </si>
  <si>
    <t>Cc1ccc(CN(C)C2CCCC(N(C)Cc3cccc(-c4ccc(N)cc4Cl)n3)C2)nc1 7.771236 0.43333333333333335</t>
  </si>
  <si>
    <t>Cc1ccc(CN(C)C)cn1 7.77123 0.3333333333333333</t>
  </si>
  <si>
    <t>CNCN(Cc1ccccn1)C1=CNC=C(CN(C)Cc2ccccn2)C1 7.771229 0.4074074074074074</t>
  </si>
  <si>
    <t>CCN(Cc1ccccn1)c1cccc2ccc(CN(Cc3ccccn3)Cc3ncccc3-c3ccc4c(c3)OCCOCCOCCOCCOCCO4)nc12 7.771229 0.352112676056338</t>
  </si>
  <si>
    <t>CCN(Cc1ccccn1)c1cc2ncccc2cc1CN(C)Cc1cccc(-c2ccc3c(c2)OCCOCCOCCOCCOCCO3)n1 7.7712274 0.4117647058823529</t>
  </si>
  <si>
    <t>CC(C)C(C)c1cc(CN(Cc2cc(C(C)(C)C)ccn2)Cc2ncccc2C(C)(C)C)ccn1 7.7712245 0.3148148148148148</t>
  </si>
  <si>
    <t>Cc1ccc(C)c(CN(C)C2=C(CN(C)C(C)(C)C)NC=CC2)n1 7.7712245 0.2545454545454545</t>
  </si>
  <si>
    <t>Cc1ccc(NCc2ccccn2)cc1-c1ncccc1CN(C)C1CCC(N(C)Cc2ccccn2)CC1 7.771219 0.4067796610169492</t>
  </si>
  <si>
    <t>CCNCc1ncccc1CN(Cc1ccccn1)C1CCCC(N(C)c2cccc3ncccc23)C1 7.7712154 0.3382352941176471</t>
  </si>
  <si>
    <t>CC1=CC(C)C2(C(C)C1)C(c1ccc(CN(Cc3ccccn3)Cc3ccccn3)cn1)C(c1cccc(CN(Cc3ccccn3)Cc3ccccn3)n1)C=CC21CC(C)C(C)C=C1C 7.7712126 0.2875</t>
  </si>
  <si>
    <t>Cc1cnc(C2CC(C)(C)C2)c(C(C)(C)C(C)N=Cc2ccccn2)c1 7.771211 0.30158730158730157</t>
  </si>
  <si>
    <t>CN(Cc1ncccc1CF)C1CCC(N(C)c2ccc3nc(CF)ccc3c2)CC1 7.7711997 0.3333333333333333</t>
  </si>
  <si>
    <t>COC(=O)C1CN(C)C2C=CC=CC2(C(=O)NCc2ccccn2)C1c1ccccn1 7.7711983 0.3466666666666667</t>
  </si>
  <si>
    <t>Cc1cnccc1CN(C)Cc1cnccc1C 7.771198 0.29545454545454547</t>
  </si>
  <si>
    <t>CN(Cc1ncccc1N)Cc1ncccc1CF 7.7711945 0.37777777777777777</t>
  </si>
  <si>
    <t>CN(C)Cc1cnc2ccc(N(C)C3CCCCC3N(Cc3ccc4ncccc4c3)Cc3cccc(-c4ccc5c(c4)OCCOCCOCCOCCOCCO5)n3)cc2c1 7.771187 0.30434782608695654</t>
  </si>
  <si>
    <t>CCCN(C)C1=CC(CN(C)Cc2nc(C)c(C)c(C)c2C)C=CN1 7.771185 0.2153846153846154</t>
  </si>
  <si>
    <t>CC(C)N(Cc1ccccn1)C1CCCCC1N(C)c1ccc2c(CF)ccnc2c1 7.7711782 0.4406779661016949</t>
  </si>
  <si>
    <t>COC(=O)C1CN(C)C(CN(C)C2CCC(N(C)c3ccc4c(CF)ccnc4c3)CC2)C(c2ccccn2)C1c1ccccn1 7.7711773 0.2727272727272727</t>
  </si>
  <si>
    <t>Cc1ccc(CN(C)Cc2cnccc2C)cn1 7.7711754 0.3125</t>
  </si>
  <si>
    <t>CNCc1cccc(CN(Cc2ccccn2)C2CCCCC2N(C)c2ccc3cccnc3c2)n1 7.7711725 0.43333333333333335</t>
  </si>
  <si>
    <t>Cc1ccnc(CN(C)C2C=CNC(CN(C)Cc3ncccc3C)=C2)c1 7.7711716 0.2878787878787879</t>
  </si>
  <si>
    <t>CC1=C(C)CC(C)(c2ncccc2CN(Cc2ccccn2)Cc2ccccn2)CC1 7.771167 0.46511627906976744</t>
  </si>
  <si>
    <t>CCNCc1ccc(C(C)(C)c2ccccn2)cn1 7.771165 0.40476190476190477</t>
  </si>
  <si>
    <t>CC(C)N(Cc1ccccn1)c1ccc2c(CN3CCN(C)CCN(C)CC3)ccnc2c1 7.7711577 0.49056603773584906</t>
  </si>
  <si>
    <t>CC(C)N(C)Cc1ccc2cc(N(C)C3CCC(N(Cc4ccccn4)Cc4cccc(F)n4)CC3)ccc2n1 7.771152 0.375</t>
  </si>
  <si>
    <t>CC(C)N(Cc1ccccn1)C1CCC(N(C)c2ccc3nc(CF)ccc3c2)CC1 7.7711487 0.39655172413793105</t>
  </si>
  <si>
    <t>CN(CCN(C)Cc1cccc(C2CC(C)(C)C2)n1)Cc1cccc(C2=CCC=CN2)n1 7.7711453 0.36363636363636365</t>
  </si>
  <si>
    <t>CNCc1cccc(CN(Cc2ccccn2)C2CCCCC2N(C)c2ccc3ccc(CF)nc3c2)n1 7.771138 0.43283582089552236</t>
  </si>
  <si>
    <t>Cc1ccc(CN(C)CC2=CC(N(C)Cc3cccc(C)n3)C=CN2)nc1 7.771138 0.41509433962264153</t>
  </si>
  <si>
    <t>CCNC1CC(N(Cc2ccccn2)c2ccc3cccnc3c2)CCC1N(C)Cc1ccccn1 7.771137 0.4262295081967213</t>
  </si>
  <si>
    <t>CC1(C)COC(C2=CCC=CN2)=N1 7.7711353 0.425</t>
  </si>
  <si>
    <t>Cc1cnc(C2CCC2(C)C)c(C)c1CN(Cc1ccccn1)Cc1ccccn1 7.7711344 0.4444444444444444</t>
  </si>
  <si>
    <t>FCc1ccnc2cc(N(Cc3ccccn3)C3CCCCC3N(CF)Cc3ccccn3)ccc12 7.7711277 0.41379310344827586</t>
  </si>
  <si>
    <t>CCN(Cc1ccccn1)C1CCC(N(C)c2cccc3nc(CF)ccc23)CC1 7.7711267 0.36923076923076925</t>
  </si>
  <si>
    <t>CCNC1=C(C)CC(c2cc(CN(Cc3ccccn3)Cc3cc(C(C)(C)C)ccn3)ccn2)CC1C 7.7711225 0.3225806451612903</t>
  </si>
  <si>
    <t>CNCc1cccc(CN(Cc2ccccn2)Cc2ccc(N)cn2)n1 7.7711143 0.4878048780487805</t>
  </si>
  <si>
    <t>CC(C)N(C)CCN(Cc1ccccn1)C(C)(N)N(CC(C)(C)C)c1cccc2ncccc12 7.7711124 0.4</t>
  </si>
  <si>
    <t>CCN(Cc1ccccn1)c1ccc2nccc(-c3ccc4c(c3)OCCOCCOCCOCCOCCO4)c2c1 7.771108 0.3333333333333333</t>
  </si>
  <si>
    <t>CN(Cc1ccc(-c2cccc(N=Cc3ccccn3)c2)cn1)Cc1ccc(-c2cccc3c2OCCOCCOCCOCCOCCO3)cn1 7.7710967 0.3170731707317073</t>
  </si>
  <si>
    <t>CN(C)c1cccc(-c2cccc(CN(Cc3ccc(-c4ccc5c(c4)OCCOCCOCCOCCOCCO5)cn3)Cc3cc(C(C)(C)C)ccn3)n2)c1 7.771095 0.37662337662337664</t>
  </si>
  <si>
    <t>CN(Cc1cccc(F)n1)C1CCCCC1N(C)c1ccc2nc(CF)ccc2c1 7.7710843 0.5</t>
  </si>
  <si>
    <t>CCN(Cc1ccccn1)c1ccc2nc(CN(C)Cc3ncccc3-c3ccc4c(c3)OCCOCCOCCOCCOCCO4)ccc2c1 7.771077 0.3380281690140845</t>
  </si>
  <si>
    <t>CC(C)N(Cc1ccccn1)Cc1ccc2cc(N(C)C3CCC(N(C)Cc4ccccn4)CC3)ccc2n1 7.771076 0.4716981132075472</t>
  </si>
  <si>
    <t>Cc1cccnc1CN(Cc1ccccn1)Cc1cccnc1CNC(C)C 7.7710676 0.45454545454545453</t>
  </si>
  <si>
    <t>CCN(Cc1cccnn1)C1CCCC(N(C)c2ccc3cccnc3c2)C1 7.77106 0.3508771929824561</t>
  </si>
  <si>
    <t>Cc1nccc(CN(C)C2=C(CN(C)C(C)(C)C)NC=CC2)c1C 7.771058 0.23076923076923078</t>
  </si>
  <si>
    <t>CC(C)NCC1=CCC(N(C)Cc2ccccn2)=CN1 7.771056 0.39622641509433965</t>
  </si>
  <si>
    <t>CNCC1=CC(N(C)Cc2nc(C)c(C)cc2C)C=CN1 7.7710524 0.3103448275862069</t>
  </si>
  <si>
    <t>Cc1cccnc1CN(C)CCN(Cc1ccccn1)Cc1cc(C)c(C)c(C)n1 7.771051 0.4897959183673469</t>
  </si>
  <si>
    <t>CN(Cc1cccc(-c2ccc3c(c2)OCCOCCOCCOCCOCCO3)n1)Cc1cccc(-c2ccccc2N=Cc2ccccn2)n1 7.7710495 0.3880597014925373</t>
  </si>
  <si>
    <t>CN(C)Cc1ncccc1C(C)(C)C 7.771048 0.35</t>
  </si>
  <si>
    <t>Cc1cnc(CN(C)CN(C)Cc2ncccc2C)c(C)c1 7.771043 0.3409090909090909</t>
  </si>
  <si>
    <t>CCNCc1ccc(CN(Cc2ncccc2C)Cc2ncccc2N)cn1 7.7710423 0.2777777777777778</t>
  </si>
  <si>
    <t>Cc1cccc(CN(Cc2ncccc2C)C2CCC(N(C)Cc3ncccc3-c3ccccn3)CC2)n1 7.771038 0.39344262295081966</t>
  </si>
  <si>
    <t>C=CCNCc1cc(C(C)(C)c2ccccn2)ccn1 7.7710304 0.3695652173913043</t>
  </si>
  <si>
    <t>CN(Cc1ccc(-c2ccc3c(c2)OCCOCCOCCOCCOCCO3)cn1)Cc1cccc(-c2cccc(N=Cc3ccccn3)c2)n1 7.771027 0.38028169014084506</t>
  </si>
  <si>
    <t>Cc1cc(C)c(CN(C)CN(C)Cc2ccccn2)nc1C 7.771025 0.4782608695652174</t>
  </si>
  <si>
    <t>CCN(Cc1ccccn1)c1cc2cccnc2cc1CN(C)Cc1cccc(-c2ccc3c(c2)OCCOCCOCCOCCOCCO3)n1 7.7710233 0.4117647058823529</t>
  </si>
  <si>
    <t>CCNCc1cccc(CN(Cc2cccc(C)n2)C2CCCCC2N(C)c2ccc3nc(CF)ccc3c2)n1 7.7710214 0.4264705882352941</t>
  </si>
  <si>
    <t>CN(Cc1ccccn1)C1=CNC(C(C)(C)C)=CC1 7.7710195 0.4375</t>
  </si>
  <si>
    <t>CN(Cc1ccc(-c2cccc(N=Cc3ccccn3)c2)nc1)Cc1cccc(-c2ccc3c(c2)OCCOCCOCCOCCOCCO3)n1 7.7710176 0.35135135135135137</t>
  </si>
  <si>
    <t>Cc1ccc(CN(C)C2C=CNC(CN(C)Cc3cccc(C)n3)=C2)nc1 7.771009 0.41509433962264153</t>
  </si>
  <si>
    <t>Cc1cncc(CN(Cc2ccccn2)C2CCC(N(C)Cc3cccc(-c4cccc(Cl)c4N)n3)CC2)c1 7.771006 0.35714285714285715</t>
  </si>
  <si>
    <t>CN(Cc1cccnc1F)Cc1ncccc1C(C)(C)C 7.771005 0.391304347826087</t>
  </si>
  <si>
    <t>CCNCc1cccc(CN(Cc2ccccn2)C2CCCC(N(C)c3cccc4nc(CF)ccc34)C2)n1 7.7709928 0.3333333333333333</t>
  </si>
  <si>
    <t>CC(C)C1(C)CC(c2ncccc2CN(Cc2ccccn2)C2CCC(N(C)c3ccc4nccc(CF)c4c3)CC2)C1 7.7709894 0.2857142857142857</t>
  </si>
  <si>
    <t>Cc1cc(C)c(CN(CCN(C)Cc2ncccc2C)Cc2ccccn2)nc1C 7.7709875 0.4897959183673469</t>
  </si>
  <si>
    <t>CCN(Cc1ccccn1)Cc1nc(C)c(C)cc1C 7.770987 0.5</t>
  </si>
  <si>
    <t>CN(Cc1cccnn1)C1CCCCC1N(C)c1cccc2cc(CF)cnc12 7.770985 0.5</t>
  </si>
  <si>
    <t>CN(Cc1ccc(F)cn1)C1CCCCC1N(C)c1ccc2ccc(CF)nc2c1 7.7709746 0.48148148148148145</t>
  </si>
  <si>
    <t>CNC1C(N(Cc2cccc(C)n2)Cc2nc(C)c(C)c(C)c2C)CCCC1N(Cc1nc(C)c(C)c(C)c1C)Cc1nc(C)c(C)c(C)c1C 7.7709746 0.49019607843137253</t>
  </si>
  <si>
    <t>Cc1cnc(CN2CCN(C)CCN(CN(C)c3cccc4nccc(C)c34)CC2)c(C)c1C 7.7709727 0.43333333333333335</t>
  </si>
  <si>
    <t>CC(C)C(C)(c1cccnc1)N(Cc1ccccn1)C1CCC(N(C)c2ccc3cc(CF)cnc3c2)CC1 7.7709665 0.3055555555555556</t>
  </si>
  <si>
    <t>CN(Cc1ccc2c(n1)CCCC2)C1CCC(N(C)c2ccc3nccc(CF)c3c2)CC1 7.7709575 0.28378378378378377</t>
  </si>
  <si>
    <t>Cc1cccc(NCc2ccccn2)c1-c1cccc(CN(C)C2CCCC(N(C)Cc3ccccn3)C2)n1 7.7709575 0.43103448275862066</t>
  </si>
  <si>
    <t>CC(C)NCc1ccc(CN(Cc2ccccn2)Cc2cc(N)ccn2)cn1 7.770953 0.4166666666666667</t>
  </si>
  <si>
    <t>CN(c1ccc2nc(CF)ccc2c1)C1CCCCC1N(Cc1ccccn1)Cc1cccc(CF)n1 7.7709484 0.47540983606557374</t>
  </si>
  <si>
    <t>CNCc1cc(CN(Cc2ccccn2)Cc2ncccc2N)ccn1 7.7709394 0.45454545454545453</t>
  </si>
  <si>
    <t>CCN(Cc1cc(-c2ccc3c(c2)OCCOCCOCCOCCOCCO3)ccn1)c1ccc2nccc(CF)c2c1 7.7709336 0.35135135135135137</t>
  </si>
  <si>
    <t>CC(C)N(C)Cc1ccc(N(C)C(C)(C)c2ccccn2)cn1 7.7709303 0.3877551020408163</t>
  </si>
  <si>
    <t>Cc1cccc(Nc2cncc(-c3ccc(C(C)N4CCN(C)CCN(C(C)C)CC4)cn3)c2)n1 7.770924 0.2878787878787879</t>
  </si>
  <si>
    <t>Cc1ccc(N)c(CN(C)CC2=CCC=CN2)c1C 7.770924 0.37037037037037035</t>
  </si>
  <si>
    <t>Cc1cccnc1CN(C)C1CCCCC1N(C)Cc1cccnc1-c1ccc(N(C)C)cc1 7.7709193 0.42592592592592593</t>
  </si>
  <si>
    <t>Cc1cc(CN(C)C2C=CNC(CN(Cc3ccccn3)C(C)C)=C2)nc(C)c1C 7.7709193 0.4067796610169492</t>
  </si>
  <si>
    <t>Cc1cnc(CN(C)CC2=C(N(C)C(C)C)CC=CN2)c(C)c1 7.770912 0.2777777777777778</t>
  </si>
  <si>
    <t>CNCc1cccc(CN(Cc2ccccn2)C2CCCCC2N(C)c2ccc3cc(CF)cnc3c2)n1 7.7709103 0.3939393939393939</t>
  </si>
  <si>
    <t>CC(C)N(Cc1cccnn1)C1CCCC(N(C)c2cccc3cccnc23)C1 7.7709055 0.48214285714285715</t>
  </si>
  <si>
    <t>CN(Cc1cccnn1)C1CCCCC1N(C)c1ccc2ccc(CF)nc2c1 7.770899 0.4745762711864407</t>
  </si>
  <si>
    <t>Cc1ccc(CN(CF)C2CCCC(N(C)c3ccc4cc(CF)cnc4c3)C2)nc1 7.770872 0.3870967741935484</t>
  </si>
  <si>
    <t>CN(c1cccc2cc(CF)cnc12)C1CCCCC1N(CC1=CCC=CN1)Cc1ccccn1 7.770858 0.43661971830985913</t>
  </si>
  <si>
    <t>CCNc1cccc(CN(Cc2ccccn2)Cc2ncccc2C)n1 7.7708545 0.47619047619047616</t>
  </si>
  <si>
    <t>FCc1ccc2cccc(N(Cc3ccccn3)Cc3cccc(-c4ccc5c(c4)OCCOCCOCCOCCOCCO5)n3)c2n1 7.770853 0.3888888888888889</t>
  </si>
  <si>
    <t>COC(=O)C(C)NCc1cc(C(=O)C(C)NCc2ccccn2)ccn1 7.7708454 0.3541666666666667</t>
  </si>
  <si>
    <t>Cc1ccc(C)c(CN(C)C2=C(CN(C)CC(C)(C)C)NC=CC2)n1 7.770845 0.24561403508771928</t>
  </si>
  <si>
    <t>CC(C)N(Cc1ccccn1)C1CC2CCC1C2N(C)c1ccc2cccnc2c1 7.7708426 0.3709677419354839</t>
  </si>
  <si>
    <t>CNCN(Cc1ccc(C)cn1)Cc1nc(C)c(C)c(C)c1C 7.770842 0.4222222222222222</t>
  </si>
  <si>
    <t>CC1C=CC(C)C(C)(c2cc(CN(Cc3ccccn3)C3CCC(N(C)c4ccc5nc(CF)ccc5c4)CC3)ccn2)C1 7.7708325 0.2948717948717949</t>
  </si>
  <si>
    <t>Cc1ccnc(CN(CC2=CNC=CC2)Cc2ccccn2)c1 7.770831 0.45454545454545453</t>
  </si>
  <si>
    <t>Cc1cc(N(C)Cc2ccccn2)ccc1C(C)(C)c1ncccc1CN(C)C1CCCC(N(C)Cc2ccccn2)C1 7.770829 0.4032258064516129</t>
  </si>
  <si>
    <t>Cc1ccc(C(C)(C)c2cc(CN(Cc3ccccn3)C3CCCCC3)ccn2)cc1N=Cc1ccccn1 7.7708287 0.3380281690140845</t>
  </si>
  <si>
    <t>Cc1cnc(CN(C)CC2=CNC=C(N(C)C(C)C)C2)c(C)c1 7.7708254 0.2777777777777778</t>
  </si>
  <si>
    <t>CNCc1cccc(CN(Cc2ccccn2)C2CCCCC2N(C)c2cccc3ncccc23)n1 7.7708178 0.4406779661016949</t>
  </si>
  <si>
    <t>CCN(Cc1ccccn1)Cc1ccc2cccc(N(C)Cc3cc(-c4ccc5c(c4)OCCOCCOCCOCCOCCO5)ccn3)c2n1 7.770808 0.35294117647058826</t>
  </si>
  <si>
    <t>CN(c1ccc2ncccc2c1)C1CCC(N(Cc2ccccc2)Cc2ccccn2)CC1 7.7707977 0.39285714285714285</t>
  </si>
  <si>
    <t>CN(c1ccc2cccnc2c1)C1CCCCC1N(Cc1cccnc1)Cc1ccccn1 7.770793 0.4406779661016949</t>
  </si>
  <si>
    <t>Cc1cccc(CN(C)C2C(N(C)Cc3ncc(C)c(C)c3C)CCCC2N(Cc2nc(C)c(C)c(C)c2C)Cc2nc(C)c(C)c(C)c2Cl)n1 7.770791 0.453125</t>
  </si>
  <si>
    <t>Cc1cnc(C2CCC2(C)C)c(C(C)C(C)NCc2cc(C3=NC(C)(C)CO3)ccn2)c1C 7.7707896 0.2714285714285714</t>
  </si>
  <si>
    <t>Cc1ccc(CN(C)C2C=CNC(CN(C)Cc3ncccc3C)=C2)nc1 7.770785 0.3898305084745763</t>
  </si>
  <si>
    <t>C(=Nc1cccc(-c2cccc(CN(Cc3ccccn3)Cc3ccc(-c4ccc5c(c4)OCCOCCOCCOCCOCCO5)cn3)n2)c1)c1ccccn1 7.7707686 0.41333333333333333</t>
  </si>
  <si>
    <t>Cc1cccc(-c2ccc(CNCC3CCCN3Cc3cc(C)c(C)cn3)cc2)n1 7.77076 0.4032258064516129</t>
  </si>
  <si>
    <t>CN(CC1=CCC=CN1)C1CCCC(N(C)c2cccc3ncccc23)C1 7.77075 0.4032258064516129</t>
  </si>
  <si>
    <t>CN(CC1=CC(N(C)Cc2ccccn2)C=CN1)Cc1ccon1 7.770747 0.40384615384615385</t>
  </si>
  <si>
    <t>CC(C)C(C)(c1cccnc1)N(Cc1ccccn1)C1CCCCC1N(C)c1ccc2c(CF)ccnc2c1 7.7707443 0.3611111111111111</t>
  </si>
  <si>
    <t>CNCc1cccc(CN(Cc2ccccn2)Cc2ncccc2N)n1 7.7707434 0.47619047619047616</t>
  </si>
  <si>
    <t>Cc1cncc(CN(C)CC2=CC(N(C)Cc3ncccc3C)C=CN2)c1 7.7707405 0.27941176470588236</t>
  </si>
  <si>
    <t>CN(Cc1cccnn1)C1CCCCC1N(C)c1ccc2cc(CF)cnc2c1 7.770734 0.423728813559322</t>
  </si>
  <si>
    <t>CC(c1ccnc(CNCNCF)c1)(c1ccccn1)c1ccccn1 7.770722 0.3695652173913043</t>
  </si>
  <si>
    <t>Cc1cc(C)c(C)c(CN(C)CCN(C)Cc2nccc(C)c2C)n1 7.7707214 0.37209302325581395</t>
  </si>
  <si>
    <t>CCN(CCN(C)Cc1nc(C)c(C)cc1C)Cc1nc(C)c(C)cc1C 7.7707195 0.3333333333333333</t>
  </si>
  <si>
    <t>CN(c1ccc2ncccc2c1)C1CCCCC1N(Cc1cccnc1)Cc1ccccn1 7.770712 0.4482758620689655</t>
  </si>
  <si>
    <t>Cc1cnc(CN(C)C2=CCC=C(CN(C)C(C)C(C)C)N2)c(C)c1 7.7707095 0.22413793103448276</t>
  </si>
  <si>
    <t>CCNCc1cc(CN(Cc2ccccn2)C2CCCCC2N(C)c2ccc3nc(CN(C)C)ccc3c2)ccn1 7.770708 0.3880597014925373</t>
  </si>
  <si>
    <t>CC(C)N(Cc1ccccn1)C1CCC(N(C)c2ccc3cc(CF)cnc3c2)CC1 7.770706 0.36065573770491804</t>
  </si>
  <si>
    <t>CN(Cc1cccc(-c2ccc(N=Cc3ccccn3)cc2)n1)Cc1cccc(-c2ccc3c(c2)OCCOCCOCCOCCOCCO3)n1 7.7707033 0.40625</t>
  </si>
  <si>
    <t>CN(C)C1CCCC(N(C)c2ccc3ccc(CF)nc3c2)C1 7.7707033 0.4074074074074074</t>
  </si>
  <si>
    <t>CC(C)N(Cc1ccccn1)C1CCC(N(C)c2ccc3ccc(CF)nc3c2)CC1 7.770693 0.40350877192982454</t>
  </si>
  <si>
    <t>CNCc1ccc2cccc(N(Cc3cccnn3)C3CCCCC3)c2n1 7.770691 0.4032258064516129</t>
  </si>
  <si>
    <t>CN(Cc1ccc(-c2cccc(N=Cc3ccccn3)c2)cn1)Cc1ccc(-c2ccc3c(c2)OCCOCCOCCOCCOCCO3)cn1 7.770683 0.410958904109589</t>
  </si>
  <si>
    <t>Cc1cc(C(C)(C)N(C)c2cccnc2CN2CCN(C)CCN(C)CC2)cnc1-c1ccccn1 7.7706814 0.3898305084745763</t>
  </si>
  <si>
    <t>Cc1nc(CN(C)C2=CNC(CN(C)C(C)C(C)N)=CC2)c(N)c(C)c1C 7.7706776 0.16901408450704225</t>
  </si>
  <si>
    <t>CNCc1cccc(CN(C)C2=C(C(C)(C)N)NC=CC2)n1 7.7706695 0.26785714285714285</t>
  </si>
  <si>
    <t>CC(C)N(Cc1ccccn1)c1ccc2nc(CN(Cc3ccccn3)Cc3cccc(-c4ccc5c(c4)OCCOCCOCCOCCOCCO5)n3)ccc2c1 7.7706614 0.4305555555555556</t>
  </si>
  <si>
    <t>CCN(Cc1ccccn1)Cc1nccc2cccc(N(C)Cc3cccc(-c4cccc5c4OCCOCCOCCOCCOCCO5)n3)c12 7.7706604 0.3472222222222222</t>
  </si>
  <si>
    <t>Cc1ccc(C)c(CN(C)C2=C(CN(C)C(C)C)NC=CC2)n1 7.7706585 0.23636363636363636</t>
  </si>
  <si>
    <t>CN(Cc1ccccn1)CC1C=CNC=C1N(C)Cc1ccccn1 7.770654 0.42857142857142855</t>
  </si>
  <si>
    <t>Cc1cnc(CN(Cc2ccc3ncccc3c2)C2CCCC(N(C)Cc3ccccn3)C2N(C)Cc2ccccn2)c(C)c1C 7.7706466 0.4444444444444444</t>
  </si>
  <si>
    <t>Cc1cccc(CN(C)Cc2cc(N)ccn2)c1 7.770645 0.3673469387755102</t>
  </si>
  <si>
    <t>CC(C)CN(Cc1ccccn1)Cc1cccc(C(C)(C)c2ccccn2)n1 7.770638 0.46808510638297873</t>
  </si>
  <si>
    <t>Cc1cc(CN(C)CCN(C)Cc2ncc(C)c(C)c2C)cnc1C 7.7706375 0.36363636363636365</t>
  </si>
  <si>
    <t>Cc1cccnc1CN(C)C1CCC(N(C)Cc2cc(C)c(C)c(C)n2)C(N(Cc2nc(C)c(C)c(C)c2C)Cc2nc(C)c(C)c(C)c2C)C1 7.770632 0.3384615384615385</t>
  </si>
  <si>
    <t>CC(C)N(Cc1ccccn1)c1ccc2nc(CN(C)Cc3ccc(-c4ccc5c(c4)OCCOCCOCCOCCOCCO5)cn3)ccc2c1 7.770626 0.38961038961038963</t>
  </si>
  <si>
    <t>Cc1ccc(CN(Cc2cccnn2)C2CCC(N(C)Cc3ccc4ncccc4c3)CC2)nc1C 7.770626 0.32786885245901637</t>
  </si>
  <si>
    <t>CCN(Cc1ccccn1)Cc1ccc2cccc(N(C)Cc3ncccc3-c3ccc4c(c3)OCCOCCOCCOCCOCCO4)c2n1 7.770617 0.3333333333333333</t>
  </si>
  <si>
    <t>CCNc1ccc(CN(C)Cc2cc(N)ccn2)cn1 7.7706165 0.2857142857142857</t>
  </si>
  <si>
    <t>CC1=CC(C)CC(N(C)Cc2ccccn2)C1c1cccc(CN(CC2=CCC=CN2)C2CCC(N(C)c3ccc4ncccc4c3)CC2)n1 7.770616 0.36904761904761907</t>
  </si>
  <si>
    <t>Cc1ccc(CN(Cc2cccc(-c3cccc(N(C)C)c3)n2)Cc2cccc(-c3ccc4c(c3)OCCOCCOCCOCCOCCO4)n2)nc1 7.770606 0.38571428571428573</t>
  </si>
  <si>
    <t>Cc1ccc(CN(C)CC2=CC(N(C)Cc3ccccn3)C=CN2)nc1C 7.770605 0.42105263157894735</t>
  </si>
  <si>
    <t>CNCCN(Cc1cc(C)ccn1)C(C)(N)N(Cc1nc(C)c(C)cc1C)Cc1nc(C)c(C)cc1C 7.770604 0.2786885245901639</t>
  </si>
  <si>
    <t>Cc1ccc(C)c(CN(C)CCN(Cc2ncccc2C)Cc2nc(C)ccc2C)n1 7.770602 0.4090909090909091</t>
  </si>
  <si>
    <t>Cc1cc(C)c(C)c(CN(C)CC2=CC(N(C)Cc3ccccn3)C=CN2)c1 7.770599 0.36666666666666664</t>
  </si>
  <si>
    <t>Cc1cc(C(C)(C)c2cc(CN(Cc3ccccn3)C3CCCCC3)ccn2)ccc1N=Cc1ccccn1 7.770599 0.34285714285714286</t>
  </si>
  <si>
    <t>Cc1ccc(CN(C)CC2=CC(N(C)Cc3ncccc3C)C=CN2)nc1 7.770596 0.4074074074074074</t>
  </si>
  <si>
    <t>CC(C)C(C)(c1cccnc1)N(Cc1ccccn1)C1CCCCC1N(C)c1ccc2nccc(CF)c2c1 7.7705956 0.3561643835616438</t>
  </si>
  <si>
    <t>CC1C(N(C)Cc2ccccn2)=CC=CC1N(CC1=CC(N(C)Cc2ccccn2)C=CN1)Cc1ccccn1 7.770592 0.3492063492063492</t>
  </si>
  <si>
    <t>CC1CCC1c1cccc(CN(CC2=CCC(N(C)Cc3ccccn3)=CN2)Cc2ccccn2)n1 7.770581 0.42857142857142855</t>
  </si>
  <si>
    <t>CC1=CC(C)CCC1(C)c1cc(CN(Cc2ccccn2)Cc2ccc(C(C)(C)C)cn2)ccn1 7.7705793 0.3333333333333333</t>
  </si>
  <si>
    <t>CC1=C(C)C(C)(C)CC(C)(c2ncccc2CN(Cc2ccccn2)Cc2ccccn2)C1 7.7705774 0.45454545454545453</t>
  </si>
  <si>
    <t>CNCc1cc(CN(C)Cc2cc(C)c(C)cn2)ccn1 7.770574 0.3695652173913043</t>
  </si>
  <si>
    <t>CC(C)NCc1cccc(CN(Cc2ccccn2)Cc2cccc(C(C)(C)C)n2)n1 7.7705727 0.46511627906976744</t>
  </si>
  <si>
    <t>CC(C)N(Cc1ccccn1)C1CC2CCC1C2N(C)c1ccc2ncccc2c1 7.7705717 0.3770491803278688</t>
  </si>
  <si>
    <t>CN(C)C1CCCCC1N(C)c1ccc2c(CF)ccnc2c1 7.770569 0.3684210526315789</t>
  </si>
  <si>
    <t>CNCc1cc(CN(Cc2ccccn2)C2CCCCC2N(C)c2cccc3nc(CF)ccc23)ccn1 7.770568 0.4225352112676056</t>
  </si>
  <si>
    <t>Cc1cnc(C)c(CN(C)CC2=CC(N(C)Cc3ccccn3)C=CN2)c1 7.770564 0.36666666666666664</t>
  </si>
  <si>
    <t>CN1CCN(Cc2ccc(N)cn2)CCN(Cc2ncccc2-c2cccc(N=Cc3ccccn3)c2)CC1 7.770564 0.40625</t>
  </si>
  <si>
    <t>CN(c1cccc2ncc(CF)cc12)C1CCCCC1N(Cc1ccccn1)C1C=CC=CN1 7.770563 0.37681159420289856</t>
  </si>
  <si>
    <t>CC1=CCC(c2ccccc2)C=C1NCc1ccccn1 7.7705526 0.37777777777777777</t>
  </si>
  <si>
    <t>Cc1cccc(CN(C)C2CCC(N(C)Cc3cc(C)c(C)c(C)n3)C(N(Cc3nc(C)c(C)c(C)c3C)Cc3nc(C)c(C)c(C)c3C)C2)n1 7.770547 0.4827586206896552</t>
  </si>
  <si>
    <t>CC(C)NCC1=C(N(C)Cc2ccccn2)CC=CN1 7.7705364 0.4107142857142857</t>
  </si>
  <si>
    <t>CN(C)C1CCCCC1N(C)c1ccc2nccc(CF)c2c1 7.770525 0.3620689655172414</t>
  </si>
  <si>
    <t>Cc1cnc(C2CC(C)(C)C2)c(CN(C)Cc2ccccn2)c1 7.7705164 0.4074074074074074</t>
  </si>
  <si>
    <t>CN(c1cccc2ncccc12)C1CCCC(N(Cc2ccc(C3CCC3)nc2)Cc2ccccn2)C1 7.770516 0.3484848484848485</t>
  </si>
  <si>
    <t>Cc1cc(N2CCN(C)CCN(C)CC2)c2cccnc2c1 7.77051 0.3617021276595745</t>
  </si>
  <si>
    <t>CNCc1ccc(CN(Cc2ccccn2)C2CCCCC2N(C)c2cccc3cc(CF)cnc23)cn1 7.7705092 0.43661971830985913</t>
  </si>
  <si>
    <t>Cc1cnc(CN(C)CCN(C)Cc2ncc(C)c(C)c2C)c(C)c1 7.7705016 0.46153846153846156</t>
  </si>
  <si>
    <t>CC1C=CCC(C)C1(C)c1cc(CN(Cc2ccccn2)C2CCC(N(C)c3ccc4nccc(CF)c4c3)CC2)ccn1 7.7704988 0.2716049382716049</t>
  </si>
  <si>
    <t>Cc1cnc(CN(C)CCN(C)Cc2cc(C)c(C)c(C)n2)cc1C 7.7704988 0.48717948717948717</t>
  </si>
  <si>
    <t>CNCc1ncccc1CN(Cc1ccccn1)C1CCCCC1N(C)c1cccc2cc(CF)cnc12 7.7704988 0.43478260869565216</t>
  </si>
  <si>
    <t>Cc1cncc(CN(CCNCc2nccc(C)c2C)Cc2nccc(C)c2C)c1 7.7704926 0.22807017543859648</t>
  </si>
  <si>
    <t>CN(Cc1cccc(-c2ccc3c(c2)OCCOCCOCCOCCOCCO3)n1)c1ccc2ncccc2c1 7.770491 0.34782608695652173</t>
  </si>
  <si>
    <t>CC(c1ccccn1)(c1ccccn1)c1cccnc1CNCNCF 7.770485 0.37254901960784315</t>
  </si>
  <si>
    <t>C1=CC(NCc2ccccn2)=CCN1 7.770483 0.47368421052631576</t>
  </si>
  <si>
    <t>CC1=CC(C)CC(c2cccc(CN(Cc3ccccn3)C3CCCCC3N(C)c3ccc4nccc(CN(C)C)c4c3)n2)C1C 7.7704725 0.3466666666666667</t>
  </si>
  <si>
    <t>CC(c1cccc(CN2C=CCC=C2)n1)N(C)Cc1ccccn1 7.770466 0.4117647058823529</t>
  </si>
  <si>
    <t>CCc1cccc(CN(Cc2cccc(-c3cccc(N=Cc4ccccn4)c3)n2)Cc2cccc(-c3ccc4c(c3)OCCOCCOCCOCCOCCO4)n2)n1 7.770461 0.40540540540540543</t>
  </si>
  <si>
    <t>CC(C)NCc1ccc(CN(C)C2CCCC(N(C)c3cccc4nc(CF)ccc34)C2)cn1 7.770461 0.3472222222222222</t>
  </si>
  <si>
    <t>CN(Cc1cccc(C2=CCC=CN2)n1)C1CCC(N(C)Cc2cccc(-c3ccccc3)n2)CC1 7.7704577 0.3448275862068966</t>
  </si>
  <si>
    <t>CC(C)(CN(Cc1ccccn1)Cc1ccon1)c1ccccn1 7.7704434 0.5</t>
  </si>
  <si>
    <t>CNCc1cccc(CN(Cc2ccc(F)cn2)Cc2cccc(F)n2)n1 7.7704196 0.3709677419354839</t>
  </si>
  <si>
    <t>CC1=CC(C)C2(C=CC3(C=C(C)C(C)C(C)C3)C(c3ccc(CN(Cc4ccccn4)Cc4ccccn4)cn3)C2c2cccc(CN(Cc3ccccn3)C3CCC(N(C)c4ccc5cc(CN(C)C)cnc5c4)CC3)n2)C(C)C1 7.7704186 0.25252525252525254</t>
  </si>
  <si>
    <t>CC(C)C1(C)N=COC1c1ncccc1CN(Cc1ccccn1)Cc1ccccn1 7.7703943 0.425531914893617</t>
  </si>
  <si>
    <t>C(=Nc1cccc(-c2ccc(CN(Cc3ccccn3)Cc3ccc(-c4ccc5c(c4)OCCOCCOCCOCCOCCO5)cn3)nc2)c1)c1ccccn1 7.7703867 0.410958904109589</t>
  </si>
  <si>
    <t>CCNCc1cccc(CN(Cc2ccccn2)C2CCC(N(C)c3cccc4c(CF)ccnc34)CC2)n1 7.770376 0.3333333333333333</t>
  </si>
  <si>
    <t>CCNc1cccc(CN(Cc2ccccn2)Cc2ccc(N)cn2)n1 7.7703753 0.47619047619047616</t>
  </si>
  <si>
    <t>CN(Cc1ncccc1C(C)(C)C)Cc1ncccc1C(C)(C)C 7.770373 0.36585365853658536</t>
  </si>
  <si>
    <t>CCNCc1cccc(CN(Cc2ccccn2)C2CCC(N(C)c3cccc4nccc(CF)c34)CC2)n1 7.770373 0.3333333333333333</t>
  </si>
  <si>
    <t>CC(C)N(Cc1ccccn1)C1CCC(N(C)c2ccc3ncc(CF)cc3c2)CC1 7.770373 0.3548387096774194</t>
  </si>
  <si>
    <t>Cc1cccc(CN(C)C2CC(N(Cc3nc(C)c(C)c(C)c3C)Cc3nc(C)c(C)c(C)c3C)CCC2N(C)Cc2cc(C)c(C)c(C)n2)n1 7.7703686 0.49122807017543857</t>
  </si>
  <si>
    <t>CCNCc1cc(CN(Cc2cc(C)ccn2)Cc2nccc(C)c2C)ccn1 7.770363 0.3157894736842105</t>
  </si>
  <si>
    <t>Cc1cccc(-c2ccc(CN(C)C3CCCCC3N(Cc3ccccn3)Cc3nc(C)c(C)c(C)c3C)cc2)n1 7.770361 0.47540983606557374</t>
  </si>
  <si>
    <t>CC(C)C(C)(c1ccccn1)c1cccc(CN(Cc2ccc([Si](C(C)C)(C(C)C)C(C)C)cn2)CC(C)(C)C)n1 7.7703576 0.49056603773584906</t>
  </si>
  <si>
    <t>CN(Cc1cccnn1)C1CCCCC1N(C)c1ccc2ncc(CF)cc2c1 7.770351 0.4166666666666667</t>
  </si>
  <si>
    <t>CN(Cc1ccc(-c2cccc3c2OCCOCCOCCOCCOCCO3)cn1)c1cccc2cccnc12 7.7703505 0.42105263157894735</t>
  </si>
  <si>
    <t>CCC(C)c1cccc(CN(Cc2ccccn2)C2CCC(N(C)c3ccc4ncc(CF)cc4c3)CC2)n1 7.77035 0.3194444444444444</t>
  </si>
  <si>
    <t>CN1CCN(C)CCN(C(C)(C)c2cccnc2-c2cccc(N=Cc3ccccn3)c2)CC1 7.770349 0.3442622950819672</t>
  </si>
  <si>
    <t>CC(C)C1(C)N=COC1c1ccc(CN(Cc2ccccn2)Cc2ccccn2)cn1 7.7703457 0.40816326530612246</t>
  </si>
  <si>
    <t>CN(Cc1ccc(-c2ccc3c(c2)OCCOCCOCCOCCOCCO3)cn1)Cc1cccc(-c2ccc(N=Cc3ccccn3)cc2)n1 7.7703385 0.391304347826087</t>
  </si>
  <si>
    <t>C(=Nc1ccccc1-c1cccc(CN(Cc2ccccn2)Cc2ccc(-c3ccc4c(c3)OCCOCCOCCOCCOCCO4)cn2)n1)c1ccccn1 7.7703376 0.375</t>
  </si>
  <si>
    <t>Cc1ncccc1CN(C)C 7.7703333 0.43243243243243246</t>
  </si>
  <si>
    <t>c1ccc(CN(Cc2cccc(-c3ccc4c(c3)OCCOCCOCCOCCOCCO4)n2)c2ccc3ncccc3c2)nc1 7.7703285 0.39705882352941174</t>
  </si>
  <si>
    <t>FCc1ccc2cccc(N(Cc3ccccn3)Cc3ccc(-c4ccc5c(c4)OCCOCCOCCOCCOCCO5)cn3)c2n1 7.770322 0.4166666666666667</t>
  </si>
  <si>
    <t>Cc1cc(C)c(CN(C)C2CC(N(Cc3nc(C)c(C)c(C)c3C)Cc3nc(C)c(C)c(C)c3C)CCC2N(C)C)nc1C 7.770321 0.26229508196721313</t>
  </si>
  <si>
    <t>CNc1ccccc1F 7.7703133 0.2608695652173913</t>
  </si>
  <si>
    <t>CC1=C(C)C(C)CC2(C=CC3(CCC(C)=C(C)C3C)C(c3ncccc3CN(Cc3ccccn3)Cc3ccccn3)C2c2ncccc2CN(Cc2ccccn2)Cc2ccccn2)C1 7.770311 0.32786885245901637</t>
  </si>
  <si>
    <t>CN(Cc1cc(-c2ccc3c(c2)OCCOCCOCCOCCOCCO3)ccn1)Cc1cccc(-c2ccccc2N=Cc2ccccn2)n1 7.7703047 0.38571428571428573</t>
  </si>
  <si>
    <t>Cc1cc(C)c(CN(C)C2=C(CN(C)C(C)C)NC=CC2)cn1 7.7703 0.19696969696969696</t>
  </si>
  <si>
    <t>FCc1ccc2cccc(N(Cc3ccccn3)Cc3ncccc3-c3cccc4c3OCCOCCOCCOCCOCCO4)c2n1 7.770294 0.3424657534246575</t>
  </si>
  <si>
    <t>CNCc1cccc(CN(Cc2ccccn2)Cc2cccc(C(C)(C)C)n2)n1 7.770293 0.5</t>
  </si>
  <si>
    <t>CN(Cc1cccc(-c2ccc3c(c2)OCCOCCOCCOCCOCCO3)n1)c1cccc2ccc(CF)nc12 7.7702894 0.4153846153846154</t>
  </si>
  <si>
    <t>CNCc1ncccc1CN(C)C1CCCC(N(C)c2cccc3ncccc23)C1 7.770266 0.3125</t>
  </si>
  <si>
    <t>CNC1CCCC(N(Cc2nc(C)c(C)cc2C)Cc2nc(C)c(C)cc2C)C1N(Cc1nc(C)c(C)cc1C)Cc1nc(C)c(C)cc1C 7.7702656 0.2727272727272727</t>
  </si>
  <si>
    <t>CN(Cc1ccccn1)C1C=CNC(CN(Cc2ccccn2)Cc2cccc(F)n2)=C1 7.7702603 0.46875</t>
  </si>
  <si>
    <t>CNC1CCC(N(C)c2ccc3c(CF)ccnc3c2)CC1 7.770256 0.23076923076923078</t>
  </si>
  <si>
    <t>Cc1cccnc1CN(Cc1ccc(C(C)(C)C)cn1)C1CCC(N(C)Cc2cc(-c3ccccn3)ccn2)CC1 7.7702556 0.3333333333333333</t>
  </si>
  <si>
    <t>Cc1cc(C)c(CN(Cc2ccccn2)CN(C)Cc2ccccn2)nc1N 7.770254 0.4418604651162791</t>
  </si>
  <si>
    <t>CN(Cc1ncccc1-c1ccccc1N=Cc1ccccn1)Cc1ncccc1-c1cccc2c1OCCOCCOCCOCCOCCO2 7.770252 0.38095238095238093</t>
  </si>
  <si>
    <t>CNC1C(N(C)Cc2cc(C)ccn2)CCCC1N(C)c1ccc2ccc(CF)nc2c1 7.7702484 0.36764705882352944</t>
  </si>
  <si>
    <t>CCc1ccccc1CN=Cc1ccccn1 7.7702475 0.4090909090909091</t>
  </si>
  <si>
    <t>Cc1ccc(C)c(CN(C)CC2=CC(N(C)Cc3ccccn3)C=CN2)n1 7.770246 0.3728813559322034</t>
  </si>
  <si>
    <t>CN(Cc1cccc(-c2ccc3c(c2)OCCOCCOCCOCCOCCO3)n1)Cc1ncccc1-c1cccc(N=Cc2ccccn2)c1 7.770236 0.35135135135135137</t>
  </si>
  <si>
    <t>CNC1C(N(Cc2nc(C)c(C)cc2C)Cc2nc(C)c(C)cc2C)CCCC1N(Cc1nc(C)c(C)cc1C)Cc1nc(C)c(C)cc1C 7.770226 0.29411764705882354</t>
  </si>
  <si>
    <t>CN(C1=CCC=CN1)C1=CCC=C(C(C)(C)C)N1 7.7702236 0.24074074074074073</t>
  </si>
  <si>
    <t>CN(C)Cc1ncccc1N(C)C(C)(C)C 7.770221 0.36585365853658536</t>
  </si>
  <si>
    <t>CC=CCN(C)CC1=CCC=C(N(C)Cc2ccccn2)N1 7.770216 0.39655172413793105</t>
  </si>
  <si>
    <t>CC(C(=O)C(=O)C(=O)C(=O)C(=O)C(C)C(=O)C(=O)C(=O)C(=O)C(C)C(C)C(C)C(C)C(C)C(C)C(C)C(C)C(=O)C(=O)C(=O)C(=O)C(=O)C(=O)C(=O)C=O)C(=O)C(=O)C(=O)C(=O)C(=O)C(C)C(=O)C(C)C(=O)c1cccc(C2CCC2(C)C)n1 7.7702107 0.18072289156626506</t>
  </si>
  <si>
    <t>CC(C)(C)c1ccnc(CN(Cc2ccccn2)Cc2cccnc2NCF)c1 7.7701917 0.425531914893617</t>
  </si>
  <si>
    <t>CC1=CC(C)CC2(C1C)C(c1ncccc1CN(Cc1ccccn1)Cc1ccccn1)C=CC1(CC(C)=C(C)CC1C)C2c1ccc(CN(Cc2ccccn2)Cc2ccccn2)cn1 7.7701902 0.273972602739726</t>
  </si>
  <si>
    <t>Cc1cnc(C)c(CN(C)C2=CNC(CN(C)C(C)(C)C)=CC2)c1 7.770189 0.23214285714285715</t>
  </si>
  <si>
    <t>CC(C)N(Cc1ccccn1)C1CCCC(N(C)c2ccc3nc(CF)ccc3c2)C1 7.7701883 0.3770491803278688</t>
  </si>
  <si>
    <t>CCNCc1cc(CN(Cc2ccccn2)C2CCC(N(C)c3cccc4c(CF)ccnc34)CC2)ccn1 7.7701864 0.30985915492957744</t>
  </si>
  <si>
    <t>CC(C)N(C)Cc1cc(N(C)C(C)(C)c2ccccn2)ccn1 7.770174 0.3877551020408163</t>
  </si>
  <si>
    <t>CN(Cc1ccccn1)C1CCC(N(C)c2ccc3nc(CF)ccc3c2)CC1 7.770172 0.4444444444444444</t>
  </si>
  <si>
    <t>Cc1cccc(CN(C)Cc2ncccc2C(C)(C)C)c1C 7.770161 0.3958333333333333</t>
  </si>
  <si>
    <t>CN(c1cccc2ncc(CF)cc12)C1CCCCC1N(CC1=CCC=CN1)Cc1ccccn1 7.7701597 0.43661971830985913</t>
  </si>
  <si>
    <t>CN(Cc1cc(C(C)(C)C)ccn1)Cc1cccc(C2CC(C)(C)C2)n1 7.770159 0.4</t>
  </si>
  <si>
    <t>CNCc1ccc2cccc(N(C)Cc3cc(-c4ccc5c(c4)OCCOCCOCCOCCOCCO5)ccn3)c2n1 7.770142 0.34210526315789475</t>
  </si>
  <si>
    <t>COC(=O)C(C)NCc1cc(C(=O)C(C)N)ccn1 7.770141 0.3333333333333333</t>
  </si>
  <si>
    <t>Cc1cccc(CN(C)CC2=CC(N(C)Cc3cccc(C)n3)C=CN2)n1 7.770135 0.5</t>
  </si>
  <si>
    <t>CN(Cc1ccccc1N(C)Cc1ncccc1-c1ccc2c(c1)OCCOCCOCCOCCOCCO2)Cc1ncccc1-c1cccc(N)c1 7.770129 0.2839506172839506</t>
  </si>
  <si>
    <t>CCCN(CC1=CC(N(C)Cc2ccccn2)C=CN1)c1cc(C)cc(C)c1 7.770118 0.36666666666666664</t>
  </si>
  <si>
    <t>CCN(Cc1ccccn1)Cc1nccc2cccc(N(C)Cc3ncccc3-c3cccc4c3OCCOCCOCCOCCOCCO4)c12 7.770115 0.30985915492957744</t>
  </si>
  <si>
    <t>C1=CNC(N(Cc2ccccc2)Cc2ccccn2)C(NCc2ccccn2)=C1 7.770114 0.40350877192982454</t>
  </si>
  <si>
    <t>CCCN(Cc1ccccn1)Cc1ncccc1N(C)C1C=CC=CN1 7.770112 0.49122807017543857</t>
  </si>
  <si>
    <t>COC(=O)C(C)NCc1ccc(C(=O)C(C)N)cn1 7.770103 0.24528301886792453</t>
  </si>
  <si>
    <t>Cc1ccncc1CN(C)Cc1ncccc1C 7.7701025 0.3695652173913043</t>
  </si>
  <si>
    <t>CN(Cc1ncccc1-c1cccc(N=Cc2ccccn2)c1)Cc1ncccc1-c1cccc2c1OCCOCCOCCOCCOCCO2 7.7700877 0.29577464788732394</t>
  </si>
  <si>
    <t>CN(Cc1cccc(-c2ccc3c(c2)OCCOCCOCCOCCOCCO3)n1)c1ccc2ccc(CF)nc2c1 7.7700872 0.32432432432432434</t>
  </si>
  <si>
    <t>Cc1ccnc(CN(C)C2=C(CN(C)C(C)C)NC=CC2)c1C 7.770083 0.234375</t>
  </si>
  <si>
    <t>Cc1cnccc1CN(C)CC1=CC(N(C)Cc2ncccc2C)C=CN1 7.7700815 0.2923076923076923</t>
  </si>
  <si>
    <t>Cc1cc(CN(C)CC2=CC(N(C)Cc3ccccn3)C=CN2)cnc1C 7.7700768 0.36666666666666664</t>
  </si>
  <si>
    <t>CNCc1ncccc1CN(Cc1ccccn1)C1CCCCC1N(C)c1cccc2nc(CF)ccc12 7.7700763 0.4166666666666667</t>
  </si>
  <si>
    <t>CN(Cc1cc(CF)ccn1)C1CCCCC1N(C)c1ccc2c(CF)ccnc2c1 7.7700753 0.42857142857142855</t>
  </si>
  <si>
    <t>CN(Cc1ccccn1)C1CCC(N(C)c2ccc3cccnc3c2)CC1 7.770074 0.48</t>
  </si>
  <si>
    <t>CC(C)NCc1ncccc1CN(Cc1ccccn1)Cc1ncccc1C(C)(C)C 7.770074 0.425531914893617</t>
  </si>
  <si>
    <t>CN(c1ccc2ncccc2c1)C1CCCCC1N(Cc1ccccn1)C1C=CC=CN1 7.770073 0.4262295081967213</t>
  </si>
  <si>
    <t>CC(C)N(Cc1ccccn1)c1ccc2nc(CN(Cc3ccccn3)Cc3ccc(-c4ccc5c(c4)OCCOCCOCCOCCOCCO5)cn3)ccc2c1 7.77007 0.4153846153846154</t>
  </si>
  <si>
    <t>CNCC1=CC(N(C)Cc2nc(C)c(C)c(C)c2C)C=CN1 7.7700696 0.3103448275862069</t>
  </si>
  <si>
    <t>CN(Cc1ccccn1)c1c(-c2cnccc2CN(Cc2ccccn2)Cc2cccc(-c3ccc4c(c3)OCCOCCOCCOCCOCCO4)n2)c(N=Cc2ccccn2)c(-c2cnccc2CN(Cc2ccccn2)Cc2cccc(-c3ccc4c(c3)OCCOCCOCCOCCOCCO4)n2)c(-c2cnccc2CN(Cc2ccccn2)Cc2cccc(-c3ccc4c(c3)OCCOCCOCCOCCOCCO4)n2)c1-c1cnccc1CN(Cc1ccccn1)Cc1cccc(-c2ccc3c(c2)OCCOCCOCCOCCOCCO3)n1 7.7700686 0.36046511627906974</t>
  </si>
  <si>
    <t>Cc1ccc(C)c(CN(C)CCN(C)Cc2nc(C)cc(C)c2C)n1 7.7700677 0.425</t>
  </si>
  <si>
    <t>Cc1cc(C)c(CN(C)CC2=CC(N(C)Cc3ccccn3)C=CN2)cn1 7.770063 0.36666666666666664</t>
  </si>
  <si>
    <t>Cc1cncc(CN(C)c2cc(Cl)c(F)cc2N(C)Cc2cccc(-c3ccc4c(c3)OCCOCCOCCOCCOCCO4)n2)c1 7.770052 0.29577464788732394</t>
  </si>
  <si>
    <t>CN(Cc1ccccn1)C1C=CNC(C(C)(C)c2ccccn2)=C1 7.7700467 0.4230769230769231</t>
  </si>
  <si>
    <t>CCN(C)CC1=CCC(N(C)Cc2nccc(C)c2C)=CN1 7.770039 0.234375</t>
  </si>
  <si>
    <t>CN(CCF)Cc1cccc(N(C)C2CCCCC2N(C)c2ccc3nc(CF)ccc3c2)n1 7.7700367 0.4915254237288136</t>
  </si>
  <si>
    <t>CCOC(C)c1cccc(CN(Cc2ccccn2)Cc2cccc(C(C)(C)C)n2)n1 7.770035 0.43478260869565216</t>
  </si>
  <si>
    <t>CCNCc1cccc(CN(Cc2ccccn2)C2CCC(N(C)c3ccc4c(CF)ccnc4c3)CC2)n1 7.7700243 0.32857142857142857</t>
  </si>
  <si>
    <t>CN(Cc1ncccc1-c1cccc2c1OCCOCCOCCOCCOCCO2)c1ccc2ncccc2c1 7.770021 0.2786885245901639</t>
  </si>
  <si>
    <t>CN(c1ccc2nc(CF)ccc2c1)C1CCCCC1N(CC1=C(F)CC=CN1)Cc1ccccn1 7.770018 0.3783783783783784</t>
  </si>
  <si>
    <t>Cc1cccc(CN(C)CC2=CC(N(C)Cc3cc(C)cc(C)n3)C=CN2)c1 7.770014 0.3125</t>
  </si>
  <si>
    <t>Cc1ccc(CN(C)C2=CCC=C(CN(C)C(C)C)N2)nc1 7.770009 0.4166666666666667</t>
  </si>
  <si>
    <t>CN(c1ccc2ncccc2c1)C1CCCCC1N(CC1=CCC=CN1)Cc1ccccn1 7.770007 0.49206349206349204</t>
  </si>
  <si>
    <t>Cc1cccc(CN(C)C2C=CNC(CN(C)Cc3ncccc3C)=C2)n1 7.770007 0.3898305084745763</t>
  </si>
  <si>
    <t>CN(Cc1cc(-c2cccc(N=Cc3ccccn3)c2)ccn1)Cc1cc(-c2ccc3c(c2)OCCOCCOCCOCCOCCO3)ccn1 7.7699995 0.3246753246753247</t>
  </si>
  <si>
    <t>Cc1cncc(CN(C)C2=CNC(CN(Cc3ccccn3)CC(C)(C)C)=CC2)c1 7.7699986 0.43333333333333335</t>
  </si>
  <si>
    <t>CNC1CC(N(Cc2nc(C)c(C)c(C)c2C)Cc2nc(C)c(C)c(C)c2C)CCC1N(C)Cc1nc(C)c(C)c(C)c1C 7.769997 0.2631578947368421</t>
  </si>
  <si>
    <t>Cc1ccc(CN(C)C2CCC(N(C)c3ccc4nc(CF)ccc4c3)CC2)cc1 7.7699966 0.3387096774193548</t>
  </si>
  <si>
    <t>CN(Cc1cccc(C2=CCC=CN2)n1)C1CCCC(N(C)Cc2cccc(-c3ccccc3)n2)C1 7.7699933 0.35</t>
  </si>
  <si>
    <t>CN(Cc1cc(-c2ccc3c(c2)OCCOCCOCCOCCOCCO3)ccn1)Cc1cccc(-c2ccc(N=Cc3ccccn3)cc2)n1 7.7699924 0.39705882352941174</t>
  </si>
  <si>
    <t>CCNc1cccc(CN(Cc2ccccn2)Cc2ncccc2N)n1 7.7699914 0.46511627906976744</t>
  </si>
  <si>
    <t>CN(C)Cc1ccc2cccc(N(C)C3CCCC(N(Cc4ccccn4)Cc4cccnc4CNCF)C3)c2n1 7.769975 0.38666666666666666</t>
  </si>
  <si>
    <t>Cc1cc(CN(Cc2cc(-c3ccc4c(c3)OCCOCCOCCOCCOCCO4)ccn2)Cc2ccnc3ccccc23)nc(C)c1C 7.7699714 0.31645569620253167</t>
  </si>
  <si>
    <t>Cc1cccc(-c2cccc(CN(C)C3CCCC(N(C)Cc4nc(C)c(C)c(C)c4C)C3)n2)n1 7.7699704 0.4807692307692308</t>
  </si>
  <si>
    <t>Cc1cc(C)c(C)c(CN(C)CCN(C)Cc2ccc(C)c(C)n2)n1 7.769963 0.4523809523809524</t>
  </si>
  <si>
    <t>CN(Cc1ccc(-c2ccc3c(c2)OCCOCCOCCOCCOCCO3)cn1)c1ccc2cccnc2c1 7.76996 0.44776119402985076</t>
  </si>
  <si>
    <t>Cc1cc(C)c(CN(C)C2C=CC=CN2)nc1C 7.769955 0.26785714285714285</t>
  </si>
  <si>
    <t>CN(C)Cc1cccnc1C(C)(C)C 7.769951 0.4</t>
  </si>
  <si>
    <t>CCN(Cc1ccccn1)c1cc2cccnc2cc1CN(C)Cc1ncccc1-c1ccc2c(c1)OCCOCCOCCOCCOCCO2 7.769946 0.2976190476190476</t>
  </si>
  <si>
    <t>Cc1ccncc1CN(C)c1cccnc1CN(CNCF)Cc1ccccn1 7.769941 0.36666666666666664</t>
  </si>
  <si>
    <t>CC(C)NCc1cc(N(C)C2C=CC=CN2)ccn1 7.7699375 0.3220338983050847</t>
  </si>
  <si>
    <t>CC(C)NCc1ncccc1CN(Cc1ccccn1)C1CCCCC1N(C)c1cccc2nccc(CF)c12 7.769929 0.37142857142857144</t>
  </si>
  <si>
    <t>CN(C)Cc1ncccc1F 7.7699265 0.3684210526315789</t>
  </si>
  <si>
    <t>CC(C)C(C)(c1cccnc1)N(C)Cc1ncccc1C(C)(C)c1ccccn1 7.769925 0.2833333333333333</t>
  </si>
  <si>
    <t>CC(C)c1cccc(NCc2ccccn2)c1 7.769923 0.4358974358974359</t>
  </si>
  <si>
    <t>Cc1cncc(CN(C)CCN(Cc2ccccn2)C(C)(C)c2cncc(CN(Cc3ccccn3)Cc3ncccc3N)c2)c1 7.7699137 0.36</t>
  </si>
  <si>
    <t>CCNCc1cc(CN(Cc2ccccn2)C2CCC(N(C)c3ccc4c(CF)ccnc4c3)CC2)ccn1 7.7699122 0.3142857142857143</t>
  </si>
  <si>
    <t>CC(C)C1=CC2(C=CN1)CC(NCc1ccccn1)C(C)(C)C=C2c1ccc(CN(Cc2ccccn2)Cc2ccccn2)cn1 7.7699113 0.3076923076923077</t>
  </si>
  <si>
    <t>CN(Cc1ccc(-c2ccc3c(c2)OCCOCCOCCOCCOCCO3)cn1)c1ccc2ncccc2c1 7.7699037 0.45454545454545453</t>
  </si>
  <si>
    <t>CCN(Cc1cc(CF)ccn1)C1CCC(N(C)c2ccc3nccc(CF)c3c2)CC1 7.769891 0.24242424242424243</t>
  </si>
  <si>
    <t>CN(Cc1cc(-c2ccc3c(c2)OCCOCCOCCOCCOCCO3)ccn1)Cc1cc(-c2ccccc2N=Cc2ccccn2)ccn1 7.7698894 0.359375</t>
  </si>
  <si>
    <t>CC(C)N(Cc1ccccn1)Cc1ccc2cccc(N(C)Cc3cc(-c4ccc5c(c4)OCCOCCOCCOCCOCCO5)ccn3)c2n1 7.7698894 0.3582089552238806</t>
  </si>
  <si>
    <t>CC(C)NCc1ccc(CN(Cc2ccccn2)Cc2cccc(C(C)(C)C)n2)cn1 7.7698894 0.40350877192982454</t>
  </si>
  <si>
    <t>CN(Cc1ccccn1)C1CCC(N(C)c2ccc3ncccc3c2)CC1 7.769874 0.4897959183673469</t>
  </si>
  <si>
    <t>CNCc1ccc(N(C)C)cc1 7.76987 0.18421052631578946</t>
  </si>
  <si>
    <t>CN(Cc1cc(-c2ccc3c(c2)OCCOCCOCCOCCOCCO3)ccn1)Cc1cccnc1-c1cccc(N=Cc2ccccn2)c1 7.7698603 0.29069767441860467</t>
  </si>
  <si>
    <t>CN(C)Cc1cccc(F)n1 7.7698493 0.48484848484848486</t>
  </si>
  <si>
    <t>CC1=CC(C)C2(C=C(C)CC(C)C23CC(c2cc(CN(Cc4ccccn4)Cc4ccccn4)ccn2)=CC2(C=C(C)C(C)C(C)C2)C3c2cc(CN(Cc3ccccn3)Cc3ccccn3)ccn2)CC1 7.7698355 0.2839506172839506</t>
  </si>
  <si>
    <t>CC(C)(C)c1ccccc1N(CF)Cc1ccccn1 7.769829 0.45454545454545453</t>
  </si>
  <si>
    <t>Cc1cncc(CN(C)Cc2cccc(N(C)C(C)(C)c3cccnc3CN(Cc3ccccn3)C3(C)CCC3)n2)c1 7.7698207 0.3424657534246575</t>
  </si>
  <si>
    <t>CNCCN(C)Cc1nc(C)c(C)c(C)c1C 7.769819 0.2857142857142857</t>
  </si>
  <si>
    <t>Cc1cccc(CN(C)C2=CCC=C(CN(C)CC(C)(C)C)N2)n1 7.76981 0.4375</t>
  </si>
  <si>
    <t>CC(C)N(Cc1ccccn1)Cc1ccc2cccc(N(C)Cc3ncccc3-c3ccc4c(c3)OCCOCCOCCOCCOCCO4)c2n1 7.769805 0.34285714285714286</t>
  </si>
  <si>
    <t>Cc1cnc(CN(Cc2ncccc2-c2ccc3c(c2)OCCOCCOCCOCCOCCO3)Cc2ccnc3ccccc23)c(C)c1C 7.7698026 0.2926829268292683</t>
  </si>
  <si>
    <t>CN(CC1=CCC=C(N(C)C2C=CC=CN2)N1)Cc1ccccn1 7.769782 0.4406779661016949</t>
  </si>
  <si>
    <t>CN(Cc1ccc(-c2ccc3c(c2)OCCOCCOCCOCCOCCO3)cn1)Cc1ncccc1-c1cccc(N=Cc2ccccn2)c1 7.769771 0.36585365853658536</t>
  </si>
  <si>
    <t>CN(Cc1cnccc1F)C1CCC(N(C)c2ccc3nc(CF)ccc3c2)CC1 7.76977 0.31343283582089554</t>
  </si>
  <si>
    <t>CC(C)CN(Cc1ccccn1)Cc1ncccc1C(C)(C)c1ccccn1 7.7697644 0.44</t>
  </si>
  <si>
    <t>CN(Cc1cccnn1)C1CCCCC1N(C)c1cccc2ncc(CF)cc12 7.7697625 0.4166666666666667</t>
  </si>
  <si>
    <t>CNCc1ncccc1CN(Cc1ccccn1)C1CCCCC1N(C)c1cccc2ncc(CF)cc12 7.7697606 0.36619718309859156</t>
  </si>
  <si>
    <t>CN(Cc1ccc(-c2ccc3c(c2)OCCOCCOCCOCCOCCO3)cn1)Cc1ncccc1-c1ccccc1N=Cc1ccccn1 7.769759 0.379746835443038</t>
  </si>
  <si>
    <t>CNc1cccc(CF)n1 7.7697587 0.3611111111111111</t>
  </si>
  <si>
    <t>Cc1cncc(CN(C)C)c1 7.769753 0.2972972972972973</t>
  </si>
  <si>
    <t>CC(C)N(C)C1=CCC=C(CN(C)C)N1 7.7697434 0.21739130434782608</t>
  </si>
  <si>
    <t>CN(c1ccc2nccc(CF)c2c1)C1CCCCC1N(Cc1ccnc(C2CCC2(C)C)c1)Cc1ccccn1 7.7697387 0.3561643835616438</t>
  </si>
  <si>
    <t>CC(C)C1(C)N=COC1c1cc(CN(Cc2ccccn2)Cc2ccccn2)ccn1 7.7697353 0.40816326530612246</t>
  </si>
  <si>
    <t>Cc1ccnc(CN(C)C2=CCC=C(CN(C)C(C)C)N2)c1 7.769735 0.32142857142857145</t>
  </si>
  <si>
    <t>CCNCc1cc(CN(Cc2ccccn2)Cc2ncc(C)c(C)c2C)ccn1 7.769735 0.425531914893617</t>
  </si>
  <si>
    <t>Cc1cncc(CN(C)C2=CNC=CC2CN(C)Cc2ccccn2)c1 7.7697315 0.34782608695652173</t>
  </si>
  <si>
    <t>CCOC(C)c1cccc(CN(Cc2ccccn2)Cc2ncccc2C(C)(C)C)n1 7.7697244 0.4</t>
  </si>
  <si>
    <t>CNCN(Cc1ncccc1N)Cc1nc(C)c(C)c(C)c1C 7.7697215 0.2545454545454545</t>
  </si>
  <si>
    <t>CCNCc1cc(CN(Cc2ccccn2)C2CCC(N(C)c3ccc4nccc(CF)c4c3)CC2)ccn1 7.7697124 0.30985915492957744</t>
  </si>
  <si>
    <t>COC(=O)C1C(c2ccccn2)C(C(=O)NCc2ccccn2)CN(C)C1c1ccccn1 7.769705 0.34285714285714286</t>
  </si>
  <si>
    <t>CC(C)N(Cc1ccccn1)C1CCCCC1N(C)c1cccc2ncc(CN(C)C)cc12 7.7696977 0.43333333333333335</t>
  </si>
  <si>
    <t>Cc1cncc(CN(C)Cc2ncccc2N(C)C(C)(C)C)c1 7.7696958 0.2777777777777778</t>
  </si>
  <si>
    <t>CC(C)N(Cc1ccccn1)Cc1ccc2cc(N(C)Cc3ncccc3-c3ccc4c(c3)OCCOCCOCCOCCOCCO4)ccc2n1 7.7696943 0.36764705882352944</t>
  </si>
  <si>
    <t>CC1=C(N(C)C2CCCC(N(C)c3ccc4c(C)ccnc4c3)C2)CC(C)CC1(C)C 7.7696924 0.20253164556962025</t>
  </si>
  <si>
    <t>COC(C)c1ncccc1CN(Cc1ccccn1)Cc1ncccc1C(C)(C)C 7.7696905 0.4166666666666667</t>
  </si>
  <si>
    <t>CN(Cc1cc(-c2ccc3c(c2)OCCOCCOCCOCCOCCO3)ccn1)Cc1ccc2cc(N(Cc3ccccc3)Cc3ccccn3)ccc2n1 7.7696834 0.34782608695652173</t>
  </si>
  <si>
    <t>CC(C)[Si](c1cccc(CN(Cc2ccccn2)Cc2ccc([SiH3])cn2)n1)(C(C)C)C(C)C 7.7696795 0.46511627906976744</t>
  </si>
  <si>
    <t>CCCNCC1=C(N(C)Cc2nc(C)c(C)cc2C)CC=CN1 7.769679 0.17391304347826086</t>
  </si>
  <si>
    <t>CC1=CC(CN(Cc2ccccn2)Cc2ccccn2)C(C)=C(C)N1 7.7696786 0.48717948717948717</t>
  </si>
  <si>
    <t>CN(Cc1ccccn1)C(C)(C)c1cccnc1CNC1=CC=CCN1 7.7696686 0.3333333333333333</t>
  </si>
  <si>
    <t>CN(c1ccc2nc(CF)ccc2c1)C1CCCCC1N(Cc1ccccn1)Cc1ccccn1 7.769666 0.48148148148148145</t>
  </si>
  <si>
    <t>CNC1CC(N(Cc2nc(C)c(C)c(C)c2C)Cc2nc(C)c(C)c(C)c2C)CCC1N(Cc1cc(C)ccn1)Cc1nc(C)c(C)c(C)c1C 7.7696605 0.28125</t>
  </si>
  <si>
    <t>CC1=C(C)CC(C)(c2ncccc2CN(Cc2ccccn2)Cc2ccccn2)C(C)C1 7.769657 0.45454545454545453</t>
  </si>
  <si>
    <t>Cc1cccc(CN(C)CC2=CC(N(C)Cc3ncccc3C)C=CN2)n1 7.7696567 0.4074074074074074</t>
  </si>
  <si>
    <t>Cc1ccc(CN(Cc2ccccn2)C2CCCC(N(C)Cc3ccccn3)C2N(Cc2ccccn2)Cc2cccc(-c3cc(Cl)ccc3N)n2)nc1 7.769656 0.43283582089552236</t>
  </si>
  <si>
    <t>CCN(Cc1ccccn1)C1CCC(N(C)c2cccc3c(CF)ccnc23)CC1 7.7696447 0.36666666666666664</t>
  </si>
  <si>
    <t>CN(c1cccc2ncccc12)C1CCCCC1N(Cc1cccnc1)Cc1ccccn1 7.7696385 0.4482758620689655</t>
  </si>
  <si>
    <t>Cc1ccc(CN(C)C2=C(CN(Cc3ccccn3)CC(C)(C)C)NC=CC2)nc1 7.7696333 0.45614035087719296</t>
  </si>
  <si>
    <t>Cc1cc(CN(Cc2ccccn2)CC(C)C)nc(C)c1C 7.7696285 0.475</t>
  </si>
  <si>
    <t>C=CCN(C)Cc1cccc(C(C)(C)c2ccccn2)n1 7.769624 0.4489795918367347</t>
  </si>
  <si>
    <t>Cc1cccnc1CN(C)C1=C(CN(C)C2C=CC=CN2)NC=CC1 7.769621 0.3076923076923077</t>
  </si>
  <si>
    <t>Cc1ccnc2cccc(N(C)CCN(C)C(C)C(C)C(C)N)c12 7.7696166 0.34615384615384615</t>
  </si>
  <si>
    <t>CN(Cc1cnccc1-c1ccccc1N=Cc1ccccn1)Cc1ncccc1-c1ccc2c(c1)OCCOCCOCCOCCOCCO2 7.769612 0.30666666666666664</t>
  </si>
  <si>
    <t>Cc1cccnc1CN(C)CN(C)Cc1ncc(C)c(C)c1C 7.7696114 0.3125</t>
  </si>
  <si>
    <t>CC(C)CN(CC1=CCC(N(C)Cc2ccccn2)=CN1)Cc1ccccn1 7.769602 0.5</t>
  </si>
  <si>
    <t>CN(c1cccc2cc(CF)cnc12)C1CCCCC1N(Cc1ccccn1)Cc1cccnc1CF 7.7696 0.46875</t>
  </si>
  <si>
    <t>CCCN(C)CC1=CCC=C(N(C)Cc2cccc(C)n2)N1 7.7695966 0.5</t>
  </si>
  <si>
    <t>Cc1cc2c(c(-c3cccc(CN(Cc4ccccn4)Cc4cccc(-c5cccc(N=Cc6ccccn6)c5)n4)n3)c1)OCCOCCOCCOCCOCCO2 7.769596 0.42105263157894735</t>
  </si>
  <si>
    <t>Cc1cc(NCc2ccccn2)ccc1CN(C)CN(C)Cc1ccccn1 7.7695923 0.40384615384615385</t>
  </si>
  <si>
    <t>Cc1cccnc1CN(c1ccc2ncccc2c1)C1CCCCC1N(CF)Cc1ccccn1 7.7695894 0.4098360655737705</t>
  </si>
  <si>
    <t>Cc1cnc(C)c(CN(CCN(C)Cc2nc(C)cc(C)c2C)Cc2ccccn2)c1 7.769586 0.4375</t>
  </si>
  <si>
    <t>Cc1cnc(CN(Cc2nc(C)c(C)c(C)c2C)C2CCCC(N(C)c3cnc(CN(C)C(C)C)c(C)c3C)C2)c(C)c1C 7.769583 0.23529411764705882</t>
  </si>
  <si>
    <t>Cc1ccc(C)c(CN(C)C2=CNC=C(CN(C)C(C)C)C2)n1 7.7695813 0.2542372881355932</t>
  </si>
  <si>
    <t>CCNC1C=C(N(C)Cc2ccc(C)cn2)C=CN1 7.7695775 0.425531914893617</t>
  </si>
  <si>
    <t>Cc1nc(CN(C)C2C=CNC(CN(Cc3ccccn3)C(C)C)=C2)c(C)c(C)c1C 7.769575 0.42105263157894735</t>
  </si>
  <si>
    <t>Cc1cccnc1CN(C)CCN(Cc1ncccc1C)Cc1ncc(C)c(C)c1C 7.769571 0.3829787234042553</t>
  </si>
  <si>
    <t>CN(Cc1ccccn1)C1CCC(N(C)c2ccc3cc(CF)cnc3c2)CC1 7.7695656 0.42857142857142855</t>
  </si>
  <si>
    <t>Cc1cccc(CN(Cc2cc(C(C)(C)C)ccn2)C(C)C)n1 7.769559 0.425531914893617</t>
  </si>
  <si>
    <t>CC1=CCC2(C(c3ccc(CN(Cc4ccccn4)Cc4ccc(-c5cccc(N=Cc6ccccn6)c5)cn4)cn3)C=CC(C)C2c2ccc(CN(Cc3ccccn3)Cc3ccc(-c4ccc5c(c4)OCCOCCOCCOCCOCCO5)cn3)cn2)C(C)C1C 7.769559 0.28703703703703703</t>
  </si>
  <si>
    <t>Cc1cc(C)c(CN(C)C2C(N(C)Cc3cc(C)c(C)c(C)n3)CCCC2N(Cc2nc(C)c(C)c(C)c2C)Cc2nc(C)c(C)c(C)c2C)cn1 7.7695518 0.3181818181818182</t>
  </si>
  <si>
    <t>Cc1cc(CN(C)C2C=CNC(C(C)C)=C2)nc(C)c1C 7.7695494 0.25</t>
  </si>
  <si>
    <t>CC1=CCC(C)(C)C(C)(c2cc(CN(Cc3ccccn3)C3CCC(N(C)c4ccc5nccc(CF)c5c4)CC3)ccn2)C1C 7.769543 0.2682926829268293</t>
  </si>
  <si>
    <t>CN(c1ccc2ncccc2c1)C1CCCCC1N(Cc1ccncc1)Cc1ccccn1 7.7695394 0.4642857142857143</t>
  </si>
  <si>
    <t>CN(Cc1cc(-c2ccc3c(c2)OCCOCCOCCOCCOCCO3)ccn1)Cc1ncccc1-c1cccc(N=Cc2ccccn2)c1 7.769538 0.29069767441860467</t>
  </si>
  <si>
    <t>CN(Cc1cccc(-c2ccc3c(c2)OCCOCCOCCOCCOCCO3)n1)Cc1ncccc1-c1ccc(N=Cc2ccccn2)cc1 7.7695365 0.3611111111111111</t>
  </si>
  <si>
    <t>CN(Cc1cc(-c2ccc3c(c2)OCCOCCOCCOCCOCCO3)ccn1)c1ccc2ncccc2c1 7.769536 0.35714285714285715</t>
  </si>
  <si>
    <t>CNCc1cccc(CN(Cc2ccccn2)Cc2ncccc2C(C)(C)C)n1 7.7695346 0.45454545454545453</t>
  </si>
  <si>
    <t>CCN(Cc1ccccn1)c1cc2ccccc2c(-c2cccc(N(C)C3CCC(N(C)Cc4ccccn4)CC3)c2C)c1-c1ccc2c(c1)OCCOCCOCCOCCOCCO2 7.769532 0.3</t>
  </si>
  <si>
    <t>Cc1cnc(CN(C)C2C=CNC(CN(Cc3ccccn3)C3(C)C=CC=CN3)=C2)c(C)c1C 7.769526 0.3108108108108108</t>
  </si>
  <si>
    <t>CNCCN(Cc1ncc(C)cc1C)Cc1nc(C)c(C)c(C)c1C 7.769525 0.25</t>
  </si>
  <si>
    <t>CC(C)N(Cc1ccccn1)C1CCCC(N(C)c2ccc3ncc(CF)cc3c2)C1 7.7695227 0.359375</t>
  </si>
  <si>
    <t>CN(Cc1cccc(F)n1)C1CCCCC1N(C)c1ccc2cccnc2c1 7.769522 0.48148148148148145</t>
  </si>
  <si>
    <t>FCc1ccc2cccc(N(Cc3ccccn3)Cc3ncccc3-c3ccc4c(c3)OCCOCCOCCOCCOCCO4)c2n1 7.76952 0.3333333333333333</t>
  </si>
  <si>
    <t>CN(Cc1ccccn1)C1CCC(N(C)c2ccc3ccc(CF)nc3c2)CC1 7.7695193 0.4528301886792453</t>
  </si>
  <si>
    <t>Cc1cccnc1CN(Cc1ccccn1)C1CCC(N(C)c2ccc3nc(CN(C)C(C)C)ccc3c2)CC1 7.7695136 0.36363636363636365</t>
  </si>
  <si>
    <t>Cc1cccc(N(C)Cc2cccc(-c3ccc4c(c3)OCCOCCOCCOCCOCCO4)n2)c1-c1ccc(C(C)C)cn1 7.769513 0.3125</t>
  </si>
  <si>
    <t>Cc1nccc(CN(C)CC2=CC(N(C)Cc3ccccn3)C=CN2)c1C 7.769512 0.38596491228070173</t>
  </si>
  <si>
    <t>Cc1cncc(CN(C)CCN(Cc2ccccn2)C(C)(C)c2cnccc2CN(Cc2ccccn2)C(C)(N)CN(C)Cc2cc(C)c(C)c(C)n2)c1 7.769505 0.29069767441860467</t>
  </si>
  <si>
    <t>Cc1cc(C)nc(CN(C)C2C=CNC(CN(C)Cc3ccccn3)=C2)c1 7.769501 0.3898305084745763</t>
  </si>
  <si>
    <t>CN(Cc1ccccn1)Cc1ccc2cccc(N(C)Cc3cccc(-c4cccc5c4OCCOCCOCCOCCOCCO5)n3)c2n1 7.7694907 0.4444444444444444</t>
  </si>
  <si>
    <t>CCCN(Cc1ccccn1)c1cccc(C)c1CN(C)Cc1ccccn1 7.769488 0.46938775510204084</t>
  </si>
  <si>
    <t>Cc1c(CN(CF)Cc2ccccn2)nc(N(C)C(C)C)c(C)c1C 7.7694864 0.4791666666666667</t>
  </si>
  <si>
    <t>CN(Cc1cccc(F)n1)Cc1ncccc1C(C)(C)C 7.7694836 0.4375</t>
  </si>
  <si>
    <t>CN1CCN(C)CCN(C(C)(C)c2cncc(-c3cccc(N=Cc4ccccn4)c3)c2)CC1 7.7694798 0.3333333333333333</t>
  </si>
  <si>
    <t>CN(C)Cc1ncccc1N 7.769473 0.3684210526315789</t>
  </si>
  <si>
    <t>CC1=CC(c2ccccc2)CC=C1NCc1ccccn1 7.7694716 0.38636363636363635</t>
  </si>
  <si>
    <t>Cc1ccc(C)c(CN(C)CCN(Cc2nc(C)ccc2C)Cc2nc(C)ccc2C)n1 7.7694697 0.4594594594594595</t>
  </si>
  <si>
    <t>CN(C)C1=CCC=C(CN(C)C(C)(C)c2ccccn2)N1 7.769469 0.3333333333333333</t>
  </si>
  <si>
    <t>CNCc1cc(CN(C)C2CCC(N(C)c3ccc4c(CF)ccnc4c3)CC2)ccn1 7.769467 0.25757575757575757</t>
  </si>
  <si>
    <t>CN(Cc1ccccn1)Cc1ncccc1CN(Cc1ccccn1)Cc1cccc(C2CC(C)(C)C2)n1 7.769466 0.4642857142857143</t>
  </si>
  <si>
    <t>CN(c1cccc2nc(CF)ccc12)C1CCCCC1N(Cc1ccccn1)Cc1cccc(CF)n1 7.769465 0.5</t>
  </si>
  <si>
    <t>CN(CC1=CCC(N(C)C)=CN1)Cc1ccccn1 7.769465 0.48936170212765956</t>
  </si>
  <si>
    <t>Cc1cccc(C(C)(CN(Cc2ccccn2)Cc2ccccn2)c2ccccn2)c1 7.769464 0.48936170212765956</t>
  </si>
  <si>
    <t>CC(c1ccc(CNCNCF)nc1)(c1ccccn1)c1ccccn1 7.7694592 0.37777777777777777</t>
  </si>
  <si>
    <t>CC1CC(N(C)Cc2ccccn2)=CC(c2ncccc2CN(C)C2CCC(N(C)c3ccc4cccnc4c3)CC2)C1C 7.76945 0.3150684931506849</t>
  </si>
  <si>
    <t>Cc1ccc(C)c(CN(Cc2ccccn2)C2C=CNC(C(C)C)=C2)n1 7.76945 0.375</t>
  </si>
  <si>
    <t>CN(Cc1cccnc1-c1ccccc1N=Cc1ccccn1)Cc1ncccc1-c1ccc2c(c1)OCCOCCOCCOCCOCCO2 7.769449 0.3194444444444444</t>
  </si>
  <si>
    <t>CN(Cc1ccc2c(n1)CCCC2)C1CCCCC1N(C)c1ccc2cc3c(nc2c1)CCC3 7.7694435 0.4745762711864407</t>
  </si>
  <si>
    <t>CCN(CCN(C)Cc1ncc(C)c(C)c1C)Cc1nc(C)c(C)c(C)c1C 7.7694407 0.3333333333333333</t>
  </si>
  <si>
    <t>Cc1cc(CNCc2ccccn2)cnc1CNCc1ccccc1C(C)C 7.7694383 0.3877551020408163</t>
  </si>
  <si>
    <t>C=Cc1ccc(NCc2ccccn2)c(CN(C)C2CCCCC2N(C)Cc2ccc3ncccc3c2)c1 7.7694364 0.4375</t>
  </si>
  <si>
    <t>CC(C)N(C)Cc1cccnc1N(C)Cc1ccccn1 7.769434 0.5</t>
  </si>
  <si>
    <t>C=CCN(C)CC1=CCC(N(C)Cc2cccc(C)n2)=CN1 7.7694335 0.42</t>
  </si>
  <si>
    <t>COC(C)c1cccc(CN(Cc2ccccn2)Cc2cc(C(C)(C)C)ccn2)n1 7.769429 0.45</t>
  </si>
  <si>
    <t>Cc1cc(CN(CC2=CNC(N(C)CCN)=CC2)Cc2ccccn2)nc(C)c1C 7.769423 0.3548387096774194</t>
  </si>
  <si>
    <t>Cc1cc(NCc2ccccn2)cc(-c2cc(C)cc(CN(Cc3ccccn3)C3CCCCC3)n2)c1 7.769421 0.3770491803278688</t>
  </si>
  <si>
    <t>Cc1cnc(CN(Cc2ccccn2)C2CCCCC2N(C)Cc2cccc(-c3cccc(Cl)c3N)n2)c(C)c1 7.7694206 0.46153846153846156</t>
  </si>
  <si>
    <t>CCOC(C)c1cccc(CN(Cc2ccccn2)Cc2ccc(N)cn2)n1 7.7694182 0.42592592592592593</t>
  </si>
  <si>
    <t>CC(C)NCc1cccc(CN(Cc2ccccn2)C2CCC(N(C)c3ccc4nc(CF)ccc4c3)CC2)n1 7.769415 0.3582089552238806</t>
  </si>
  <si>
    <t>c1ccc(CN(Cc2cc(-c3ccc4c(c3)OCCOCCOCCOCCOCCO4)ccn2)c2ccc3ncccc3c2)nc1 7.7694116 0.36619718309859156</t>
  </si>
  <si>
    <t>Cc1cccc(CN(C)C2=CCC=C(CN(C)C(C)C)N2)n1 7.7694087 0.4166666666666667</t>
  </si>
  <si>
    <t>CNCc1cc(CN(C)C2CCC(N(C)c3ccc4nccc(CF)c4c3)CC2)ccn1 7.7694035 0.2537313432835821</t>
  </si>
  <si>
    <t>CN(Cc1cccnc1)C1CCCC(N(C)c2cccc3ncccc23)C1 7.7694016 0.3333333333333333</t>
  </si>
  <si>
    <t>CC1=CC(C)C2(C=CC3(C(C)CC=C(C)C3C)C(c3cc(CN(Cc4ccccn4)Cc4ccccn4)ccn3)C2c2cc(CN(Cc3ccccn3)C3CCC(N(C)c4ccc5cc(CN(C)C)cnc5c4)CC3)ccn2)C(C)C1 7.7693944 0.25806451612903225</t>
  </si>
  <si>
    <t>Cc1ccc(CN(C)C2=CNC(CN(C)C3C=CC=CN3)=CC2)nc1 7.7693906 0.38333333333333336</t>
  </si>
  <si>
    <t>Cc1cccc(CN(C)c2cccc(CN(CNCF)Cc3ccccn3)n2)n1 7.7693887 0.42592592592592593</t>
  </si>
  <si>
    <t>CNCc1ccc2cccc(N(C)C3CCC(N(CC4=CCC=CN4)Cc4ccccn4)CC3)c2n1 7.769388 0.45588235294117646</t>
  </si>
  <si>
    <t>Cc1ccc(CN(C)C2=CNC(CN(C)C(C)(C)C)=CC2)nc1C 7.769383 0.23636363636363636</t>
  </si>
  <si>
    <t>CC(C)N(Cc1ccccn1)C1CCC(N(C)c2cccc3nc(CF)ccc23)CC1 7.769377 0.36363636363636365</t>
  </si>
  <si>
    <t>CN(Cc1ccccn1)C1CCC(N(C)c2cccc3ncccc23)CC1 7.7693653 0.4897959183673469</t>
  </si>
  <si>
    <t>Cc1ccnc(CN(Cc2ncccc2CN(C)Cc2cccc(C)n2)C(C)C)c1 7.769344 0.4230769230769231</t>
  </si>
  <si>
    <t>Cc1cccnc1CN(C)C1CCC(N(CCN(C)c2ccc3nc(CF)ccc3c2)Cc2ncccc2C)CC1 7.7693396 0.2916666666666667</t>
  </si>
  <si>
    <t>CN(c1cccc2ncc(CF)cc12)C1CCCCC1N(Cc1ccccn1)Cc1cccc(CF)n1 7.769336 0.4393939393939394</t>
  </si>
  <si>
    <t>CN(Cc1cc(-c2ccc(N=Cc3ccccn3)cc2)ccn1)Cc1cc(-c2ccc3c(c2)OCCOCCOCCOCCOCCO3)ccn1 7.7693324 0.3333333333333333</t>
  </si>
  <si>
    <t>C=CCN(C)Cc1ncccc1C(C)(C)c1ccccn1 7.7693205 0.3148148148148148</t>
  </si>
  <si>
    <t>CCNCc1cc(CN(C)C2CCC(N(C)c3ccc4c(C)ccnc4c3)CC2)ccn1 7.769319 0.25757575757575757</t>
  </si>
  <si>
    <t>CC1C=CC(C)C(C)(c2ncccc2CN(Cc2ccccn2)C2CCC(N(C)c3ccc4ncc(CN(C)C)cc4c3)CC2)C1 7.769316 0.275</t>
  </si>
  <si>
    <t>CN(Cc1ccccn1)C1CCC(N(C)c2cccc3cc(CF)cnc23)CC1 7.7693124 0.42105263157894735</t>
  </si>
  <si>
    <t>Cc1nc(CN(C)C2=C(CN(C)C(C)C(C)C)NC=CC2)c(C)c(C)c1C 7.769305 0.1791044776119403</t>
  </si>
  <si>
    <t>Cc1ccc(CN(C)c2ccccc2-c2cccc(CN(C)Cc3cccc(-c4ccc5c(c4)OCCOCCOCCOCCOCCO5)n3)n2)nc1 7.7693048 0.35294117647058826</t>
  </si>
  <si>
    <t>C1=CNC(NCc2ccccn2)C(NCc2ccccn2)=C1 7.7693033 0.40476190476190477</t>
  </si>
  <si>
    <t>CC1C=CC(C)C(C)(c2ncccc2CN(Cc2ccccn2)C2CCCCC2N(C)c2cccc3nccc(CN(C)C)c23)C1 7.7693024 0.3466666666666667</t>
  </si>
  <si>
    <t>CN(Cc1ccc(C2=CCC=CN2)cn1)C1CCCC(N(C)Cc2cccc(-c3ccccc3)n2)C1 7.7692943 0.3333333333333333</t>
  </si>
  <si>
    <t>CC(C)NCc1ncccc1C(C)(C)c1ccccn1 7.769285 0.34</t>
  </si>
  <si>
    <t>CNCc1cccc(CN(Cc2ccccn2)C2CCC(N(C)Cc3cccc(-c4cccc(Cl)c4SC)n3)CC2)n1 7.769281 0.373134328358209</t>
  </si>
  <si>
    <t>CNCc1ncccc1CN(C)Cc1ncc(C)cc1C 7.769272 0.34615384615384615</t>
  </si>
  <si>
    <t>CN(Cc1ccccn1)C1CCC(N(C)c2ccc3ncc(CF)cc3c2)CC1 7.769266 0.42105263157894735</t>
  </si>
  <si>
    <t>Cc1ccc(CN(C)Cc2cccc(CN(Cc3cc(C)ccn3)C(C)C)n2)nc1 7.769265 0.46808510638297873</t>
  </si>
  <si>
    <t>CCOC(=O)C(=O)NCc1ccccn1 7.7692633 0.4358974358974359</t>
  </si>
  <si>
    <t>CC1=C(C)C(C)CC(C)(c2cc(CN(Cc3ccccn3)Cc3ccccn3)ccn2)C1 7.7692614 0.40816326530612246</t>
  </si>
  <si>
    <t>CC(C)N(Cc1cc(C(C)(C)C)ccn1)Cc1cc(C(C)(C)C)ccn1 7.7692614 0.46153846153846156</t>
  </si>
  <si>
    <t>CCNCc1ncccc1CN(Cc1ccccn1)Cc1ncc(C)c(C)c1C 7.769254 0.425531914893617</t>
  </si>
  <si>
    <t>CCN(Cc1ccccn1)C1CCC(N(C)c2ccc3c(CF)ccnc3c2)CC1 7.769253 0.36666666666666664</t>
  </si>
  <si>
    <t>CN(Cc1cccc(F)n1)C1CCCCC1N(C)c1ccc2ncccc2c1 7.7692413 0.49056603773584906</t>
  </si>
  <si>
    <t>CCNCc1cc(CN(Cc2ccccn2)C2CCCCC2N(C)c2cccc3nccc(C)c23)ccn1 7.769238 0.3939393939393939</t>
  </si>
  <si>
    <t>CC1=CC(C)(C)CC2(C1)CC(c1nc(CN(Cc3cc(C(C)(C)C)ccn3)Cc3ncccc3C3=NC(C)(C)CO3)ccc1C)=CC1(CC(C)C=CC13CCC(C)=C(C)C3)C2 7.769231 0.19801980198019803</t>
  </si>
  <si>
    <t>CN(c1ccc2c(CF)ccnc2c1)C1CCCCC1N(Cc1ccccc1)Cc1ccccn1 7.7692266 0.43333333333333335</t>
  </si>
  <si>
    <t>CC1=C(c2ccccc2)C(CN(C)Cc2ncccc2N)C(C)C=C1 7.769224 0.2608695652173913</t>
  </si>
  <si>
    <t>CNCc1ccc2cccc(N(C)C3CCC(N(Cc4ccccn4)Cc4ccccn4)CC3)c2n1 7.7692146 0.4262295081967213</t>
  </si>
  <si>
    <t>CN1CCN(C)CCN(Cc2ccc(-c3ccc4ccccc4c3)nc2)CC1 7.7692094 0.4166666666666667</t>
  </si>
  <si>
    <t>Cc1cccnc1CN(Cc1cncc(F)c1)Cc1ccccn1 7.7692027 0.45454545454545453</t>
  </si>
  <si>
    <t>CCNC1NC=CC=C1N(Cc1ccccn1)Cc1ccccn1 7.769195 0.4339622641509434</t>
  </si>
  <si>
    <t>CN(Cc1ncccc1-c1ccc2c(c1)OCCOCCOCCOCCOCCO2)Cc1ncccc1-c1ccccc1N=Cc1ccccn1 7.769194 0.3484848484848485</t>
  </si>
  <si>
    <t>Cc1ccc(C)c(CN(C)Cc2ncccc2C)c1 7.7691917 0.37777777777777777</t>
  </si>
  <si>
    <t>Cc1ccc(C)c(CN(Cc2ncccc2C)C2CCC(N(C)Cc3ncccc3-c3ccccn3)CC2)n1 7.7691894 0.3064516129032258</t>
  </si>
  <si>
    <t>CC(C)NCc1cccc(C(C)(C)c2ccccn2)n1 7.7691836 0.37735849056603776</t>
  </si>
  <si>
    <t>CCOC(C)c1cccc(CN(Cc2ccccn2)Cc2cc(C(C)(C)C)ccn2)n1 7.769182 0.4126984126984127</t>
  </si>
  <si>
    <t>CNCc1cccc(CN(Cc2ccccn2)C(C)(N)c2ccccn2)n1 7.769181 0.40384615384615385</t>
  </si>
  <si>
    <t>CNC1C(N(Cc2cc(C)c(C)cn2)Cc2nc(C)c(C)c(C)c2C)CCCC1N(Cc1nc(C)c(C)c(C)c1C)Cc1nc(C)c(C)c(C)c1C 7.7691803 0.3275862068965517</t>
  </si>
  <si>
    <t>C=CCN(Cc1ccccn1)Cc1ncccc1C(C)(C)c1ccccn1 7.76918 0.43137254901960786</t>
  </si>
  <si>
    <t>CC(C)C(C)(c1cccnc1)N(Cc1ccccn1)C1CCC(N(C)c2ccc3c(CF)ccnc3c2)CC1 7.7691774 0.3055555555555556</t>
  </si>
  <si>
    <t>Cc1ccccc1N(C)C1CC(N(C)Cc2ccccn2)CC(N(Cc2nc(C)c(C)c(C)c2C)Cc2nc(C)c(C)c(C)c2C)C1 7.769173 0.3898305084745763</t>
  </si>
  <si>
    <t>Cc1ccc(CN(C)C2=CNC(CN(Cc3ccccn3)CC(C)(C)C)=CC2)nc1 7.7691717 0.4642857142857143</t>
  </si>
  <si>
    <t>CCNCc1ccc(CN(Cc2ccccn2)C2CCCC(N(C)c3cccc4nccc(CF)c34)C2)cn1 7.7691684 0.3026315789473684</t>
  </si>
  <si>
    <t>Cc1ccc(C)c(CN(C)C2=CNC(CN(C)C(C)C)=CC2)n1 7.769168 0.23636363636363636</t>
  </si>
  <si>
    <t>CCNC1CC(N(C)Cc2ccccn2)CC(N(C)c2ccc3c(CF)ccnc3c2)C1 7.769166 0.359375</t>
  </si>
  <si>
    <t>CCN(Cc1ccccn1)C1CCC(N(C)c2ccc3nccc(CF)c3c2)CC1 7.7691555 0.36065573770491804</t>
  </si>
  <si>
    <t>CC(C)N(Cc1ccccn1)c1ccc(Cl)c(N)c1-c1ncccc1CN1CCN(C)CCN(C)CC1 7.7691545 0.43333333333333335</t>
  </si>
  <si>
    <t>CNCc1cc(CN(Cc2ccccn2)C2CCC(N(C)c3cccc4ccc(CF)nc34)CC2)ccn1 7.7691536 0.4626865671641791</t>
  </si>
  <si>
    <t>Cc1cccnc1CN(C)CC1=CC(N(C)Cc2ncccc2C)C=CN1 7.769151 0.3333333333333333</t>
  </si>
  <si>
    <t>CC(C)C(C)(c1ccccn1)c1cccnc1CN(C)Cc1ccccn1 7.7691483 0.43137254901960786</t>
  </si>
  <si>
    <t>CN(C1=CC=CCN1)c1ccccc1-c1ncccc1CN(Cc1ccccn1)C1CCCCC1 7.769146 0.36923076923076925</t>
  </si>
  <si>
    <t>Cc1ccc(C)c(CN(C)CCN(C)Cc2nc(C)c(C)cc2C)n1 7.7691426 0.425</t>
  </si>
  <si>
    <t>Cc1cc(C)c(CN(Cc2ccccn2)CC(C)C)nc1N 7.7691374 0.4418604651162791</t>
  </si>
  <si>
    <t>Cc1cnc(CN(CCN(C)Cc2ccon2)Cc2ccccn2)c(C)c1C 7.7691374 0.5</t>
  </si>
  <si>
    <t>CCCN(CC1=CCC=C(N(C)Cc2ccccn2)N1)Cc1ccccn1 7.7691355 0.49056603773584906</t>
  </si>
  <si>
    <t>Cc1cncc(CN(C)Cc2ncccc2C)c1 7.769134 0.3</t>
  </si>
  <si>
    <t>Cc1cccc(CN(C)C2=C(CN(Cc3ccccn3)CC(C)(C)C)NC=CC2)n1 7.7691226 0.45614035087719296</t>
  </si>
  <si>
    <t>Cc1ccnc(CN(C)Cc2cc(C)ccn2)c1 7.769118 0.5</t>
  </si>
  <si>
    <t>CNC1CCCC(N(C)c2ccc3c(CF)ccnc3c2)C1 7.7691135 0.23880597014925373</t>
  </si>
  <si>
    <t>CC(C)CN(CCN(C)Cc1ccc2ncccc2c1)Cc1ccccn1 7.769105 0.48</t>
  </si>
  <si>
    <t>CC(C)NCc1ncccc1CN(Cc1ccccn1)C1CCC(N(C)c2ccc3cc(CF)cnc3c2)CC1 7.7691007 0.3108108108108108</t>
  </si>
  <si>
    <t>CN1CCN(C)CCN(CCCN(C)c2ccc3nc(-c4ccccn4)ccc3c2)CC1 7.769099 0.3888888888888889</t>
  </si>
  <si>
    <t>Cc1ccc(CN(C)CC2=CC(N(C)Cc3nc(C)ccc3C)C=CN2)cn1 7.7690945 0.296875</t>
  </si>
  <si>
    <t>CCNCC1=CCC=C(N(C)Cc2ccc(C)cn2)N1 7.769092 0.4230769230769231</t>
  </si>
  <si>
    <t>Cc1ccc(CN(C)Cc2ncccc2C)cn1 7.7690887 0.3191489361702128</t>
  </si>
  <si>
    <t>Cc1ccc(C)c(CN(C)Cc2cccc(C(C)(C)C)n2)c1 7.7690883 0.4186046511627907</t>
  </si>
  <si>
    <t>CNCc1ncccc1CN(C)C1CCC(N(C)c2ccc3c(CF)ccnc3c2)CC1 7.769088 0.25</t>
  </si>
  <si>
    <t>CNC1C(N(Cc2nccc(C)c2C)Cc2nc(C)c(C)c(C)c2C)CCCC1N(Cc1nc(C)c(C)c(C)c1C)Cc1nc(C)c(C)c(C)c1C 7.7690854 0.27586206896551724</t>
  </si>
  <si>
    <t>Cc1cncc(CN(C)Cc2cncc(C)c2)c1 7.7690825 0.3333333333333333</t>
  </si>
  <si>
    <t>CNCC1=CCC=C(N(C)C)N1 7.7690797 0.19230769230769232</t>
  </si>
  <si>
    <t>Cc1cc(N)ccc1CN(C)Cc1ccccn1 7.769079 0.4888888888888889</t>
  </si>
  <si>
    <t>CNCc1cccc(CN(Cc2ccccn2)C2CCC(N(C)c3cccc4ccc(CF)nc34)CC2)n1 7.7690673 0.49206349206349204</t>
  </si>
  <si>
    <t>CN(c1ccc2nccc(CF)c2c1)C1CCCCC1N(Cc1ccccc1)Cc1ccccn1 7.7690616 0.4262295081967213</t>
  </si>
  <si>
    <t>Cc1cc(CNCCN(C)Cc2cc(C)c(C)c(C)n2)nc(C)c1C 7.7690616 0.3409090909090909</t>
  </si>
  <si>
    <t>CCN(Cc1ccccn1)c1cc2ncccc2cc1CN(C)C1CCC(N(C)Cc2ccccn2)CC1 7.76906 0.4444444444444444</t>
  </si>
  <si>
    <t>CN(c1cccc2ncccc12)C1CCCCC1N(CC1=CCC=CN1)Cc1ccccn1 7.769059 0.49206349206349204</t>
  </si>
  <si>
    <t>CCNCc1ncccc1CN(Cc1ccccn1)C1CCCC(N(C)c2ccc3nccc(CF)c3c2)C1 7.7690516 0.30666666666666664</t>
  </si>
  <si>
    <t>Cc1cccnc1CN(C)C1=CCC=C(CN(C)C(C)C)N1 7.7690516 0.27419354838709675</t>
  </si>
  <si>
    <t>CNC1CCCC(N(C)c2ccc3nccc(CF)c3c2)C1 7.7690473 0.23529411764705882</t>
  </si>
  <si>
    <t>Cc1nc(C2(N(C)C3CCCCC3N(C)C3(c4nc(C)c(C)c(C)c4C)C(C)N(C)C3C)C(C)N(C)C2C)c(C)c(C)c1C 7.7690463 0.2641509433962264</t>
  </si>
  <si>
    <t>Cc1cc(C)c(CN(C)CCN(C)Cc2cc(C)c(C)c(C)n2)cn1 7.7690263 0.37777777777777777</t>
  </si>
  <si>
    <t>CC(C)N(Cc1ccc(C(C)(C)C)cn1)Cc1cc(C(C)(C)C)ccn1 7.769023 0.4222222222222222</t>
  </si>
  <si>
    <t>CN(Cc1ccccn1)C1CCC(N(C)c2cccc(-c3cc(C(C)(C)C)ccn3)c2)CC1 7.7690215 0.41379310344827586</t>
  </si>
  <si>
    <t>CCC1=NC(c2ccccc2C2=NC(C(C)C)C(C(C)C)O2)CO1 7.7690215 0.19718309859154928</t>
  </si>
  <si>
    <t>CN(Cc1ccccn1)c1cccc2cc(-c3ccc4c(c3)OCCOCCOCCOCCOCCO4)cnc12 7.7690187 0.4067796610169492</t>
  </si>
  <si>
    <t>C=CCN(C)CC1=CCC(N(C)Cc2ncccc2C)=CN1 7.7690177 0.26229508196721313</t>
  </si>
  <si>
    <t>CN(Cc1cccc(F)n1)C1CCC(N(C)c2ccc3nc(CF)ccc3c2)CC1 7.769017 0.3709677419354839</t>
  </si>
  <si>
    <t>CC(C)N(Cc1cccc(C(C)(C)c2ccccn2)n1)C(C)C 7.769015 0.4318181818181818</t>
  </si>
  <si>
    <t>COCc1ncc(CN(Cc2ccccn2)Cc2ccccn2)cc1C 7.769014 0.5</t>
  </si>
  <si>
    <t>Cc1cccc(CN(C)Cc2cccc(N(C)C(C)(C)c3cccnc3CN(Cc3ccccn3)C3(C)CCC3)n2)n1 7.7690043 0.38461538461538464</t>
  </si>
  <si>
    <t>CN(c1ccc2nc(CF)ccc2c1)C1CCC(N(CC2=CCC=CN2)Cc2ccccn2)CC1 7.7689967 0.47692307692307695</t>
  </si>
  <si>
    <t>CN(Cc1ccccn1)Cc1ccc2cc(N(C)Cc3cccc(-c4ccc5c(c4)OCCOCCOCCOCCOCCO5)n3)ccc2n1 7.768987 0.4444444444444444</t>
  </si>
  <si>
    <t>Cc1cnc(CN(C)CC2=CC(N(C)Cc3ccccn3)C=CN2)c(C)c1 7.7689857 0.36666666666666664</t>
  </si>
  <si>
    <t>CCNCc1cccc(CN(Cc2cccc(C)n2)C2CCC(N(C)c3ccc4nc(CF)ccc4c3)CC2)n1 7.7689853 0.36065573770491804</t>
  </si>
  <si>
    <t>CC(C)NCc1cccc(CN(Cc2ccccn2)C2CCC(N(C)c3ccc4cc(CF)cnc4c3)CC2)n1 7.7689776 0.32857142857142857</t>
  </si>
  <si>
    <t>CCNC1=CC=C(N(C)Cc2ccccn2)CN1 7.7689767 0.4375</t>
  </si>
  <si>
    <t>CNCc1ncccc1CN(C)C1CCC(N(C)c2ccc3nccc(CF)c3c2)CC1 7.768973 0.2463768115942029</t>
  </si>
  <si>
    <t>CC(C)NCc1cccc(CN(Cc2ccccn2)C2CCC(N(C)c3cccc4cc(CF)cnc34)CC2)n1 7.7689643 0.3380281690140845</t>
  </si>
  <si>
    <t>CN(Cc1cccnn1)C1CCC(N(C)c2ccc3nc(CF)ccc3c2)CC1 7.768963 0.4230769230769231</t>
  </si>
  <si>
    <t>CCNCc1cc(CN(C)C2CCCC(N(C)c3ccc4nccc(C)c4c3)C2)ccn1 7.7689614 0.2647058823529412</t>
  </si>
  <si>
    <t>CN(Cc1ccc2c(n1)CCC2)C1CCCCC1N(C)c1ccc2nc(CF)ccc2c1 7.7689605 0.43548387096774194</t>
  </si>
  <si>
    <t>CNCc1ncccc1CN(Cc1ccccn1)C(C)(N)c1ccccn1 7.768957 0.37037037037037035</t>
  </si>
  <si>
    <t>Cc1cnc(CN(C)CC2=C(N(C)C(C)C)CC=CN2)c(C)c1C 7.768951 0.25925925925925924</t>
  </si>
  <si>
    <t>Cc1ccnc(CN(C)Cc2ccnc(C)c2)c1 7.7689505 0.4418604651162791</t>
  </si>
  <si>
    <t>CCOC(C)c1ncccc1CN(Cc1ccccn1)Cc1ncccc1C(C)(C)C 7.7689466 0.4</t>
  </si>
  <si>
    <t>C=CCN(C)Cc1cccc(C(C)(C)c2cccc(CN(Cc3cccc(C)n3)C3CCC(N(C)Cc4cc(-c5ccccn5)ccn4)CC3)n2)n1 7.768946 0.3561643835616438</t>
  </si>
  <si>
    <t>CN(C)Cc1cncc(C(C)(C)C)c1 7.768945 0.21951219512195122</t>
  </si>
  <si>
    <t>CCNCc1cc(CN(Cc2ccccn2)Cc2cc(C)c(C)c(C)n2)ccn1 7.768935 0.425531914893617</t>
  </si>
  <si>
    <t>Cc1ccc(CN(Cc2ncccc2C)C2CCC(N(C)Cc3ncccc3-c3ccccn3)CC2)nc1C 7.7689314 0.328125</t>
  </si>
  <si>
    <t>Cc1cccc(CN(Cc2cccc(CN(C)C3CCC(N(C)Cc4cc(C)c(C)c(C)n4)CC3)n2)C2CCC(N(C)Cc3cc(-c4ccc5ncccc5c4)ccn3)CC2)n1 7.7689247 0.36231884057971014</t>
  </si>
  <si>
    <t>CNCc1cc(CN(Cc2ccccn2)C2CCC(N(C)c3ccc4nc(CF)ccc4c3)CC2)ccn1 7.7689223 0.34328358208955223</t>
  </si>
  <si>
    <t>CC(C)C1=CC2(C=CN1)C=C(NCc1ccccn1)C(C)(C)C(c1ncccc1CN(Cc1ccccn1)Cc1ccccn1)C2C 7.7689185 0.3142857142857143</t>
  </si>
  <si>
    <t>CNCc1cc(CN(Cc2ccccn2)C(C)(N)c2ccccn2)ccn1 7.7689185 0.37735849056603776</t>
  </si>
  <si>
    <t>Cc1cncc(CN(C)Cc2cccc(CN(Cc3cccc(C)n3)C(C)C)n2)c1 7.7689157 0.4782608695652174</t>
  </si>
  <si>
    <t>CN(C)Cc1cccnc1N(C)C(C)(C)C 7.7689114 0.38095238095238093</t>
  </si>
  <si>
    <t>Cc1ccnc(CN(Cc2ccnc(CNC(C)C)c2)Cc2cc(C)ccn2)c1 7.768906 0.3673469387755102</t>
  </si>
  <si>
    <t>CNCc1cccc(CN(Cc2ccccn2)C2CCC(N(C)c3ccc4nc(CF)ccc4c3)CC2)n1 7.7689056 0.375</t>
  </si>
  <si>
    <t>CCNC1=C(c2ccc(CN(Cc3ccccn3)C3CCC(N(C)c4ccc5c(CN(C)C)ccnc5c4)CC3)cn2)CCC(C)C1C 7.768903 0.26506024096385544</t>
  </si>
  <si>
    <t>CNCc1ncccc1CN(Cc1ccccn1)C1CCC(N(C)c2cccc3ccc(CF)nc23)CC1 7.7688966 0.45588235294117646</t>
  </si>
  <si>
    <t>CN(c1ccc2ncc(CF)cc2c1)C1CCCCC1N(Cc1ccccn1)Cc1ccccn1 7.7688956 0.45614035087719296</t>
  </si>
  <si>
    <t>CCc1cccc(CNCc2cc(C(C)(C)c3ccccn3)ccn2)c1 7.7688923 0.3469387755102041</t>
  </si>
  <si>
    <t>Cc1cccnc1CN(C)C1=C(CN(Cc2ccccn2)CC(C)(C)C)NC=CC1 7.7688775 0.45614035087719296</t>
  </si>
  <si>
    <t>Cc1cccnc1CN(C)Cc1ncccc1N(C)C(C)(C)C 7.76887 0.32608695652173914</t>
  </si>
  <si>
    <t>CN(Cc1cccc(-c2ccc3c(c2)OCCOCCOCCOCCOCCO3)n1)Cc1ccc2cc(N(C)Cc3ccccn3)ccc2n1 7.768867 0.4444444444444444</t>
  </si>
  <si>
    <t>Cc1ccc(CN(Cc2ncc(C)c(C)c2C)C2CCC(N(C)Cc3cc(-c4ccccn4)ccn3)CC2)nc1 7.7688627 0.38461538461538464</t>
  </si>
  <si>
    <t>CN(Cc1ccccn1)Cc1ccc2cccc(N(Cc3ccccn3)Cc3cc(-c4cccc5c4OCCOCCOCCOCCOCCO5)ccn3)c2n1 7.7688603 0.36231884057971014</t>
  </si>
  <si>
    <t>Cc1cnc(CN(CCN(C)Cc2ncc(C)c(C)c2C)Cc2ccccn2)c(C)c1 7.7688594 0.4897959183673469</t>
  </si>
  <si>
    <t>CCNCc1cccc(CN(Cc2ncccc2C)C2CCC(N(C)c3cccc4ncccc34)CC2)n1 7.7688575 0.28169014084507044</t>
  </si>
  <si>
    <t>CCNCc1cc(CN(Cc2ccccn2)Cc2nc(C)c(C)cc2C)ccn1 7.7688546 0.4166666666666667</t>
  </si>
  <si>
    <t>CN(Cc1cccnn1)C1CCC(N(C)c2ccc3cccnc3c2)CC1 7.768852 0.39215686274509803</t>
  </si>
  <si>
    <t>Fc1ccccc1N(Cc1ccccn1)C1CCCCC1N(Cc1ccc2cccnc2c1)Cc1ccccn1 7.7688475 0.4</t>
  </si>
  <si>
    <t>CN(Cc1ncccc1-c1ccc2c(c1)OCCOCCOCCOCCOCCO2)c1ccc2ncccc2c1 7.7688274 0.3194444444444444</t>
  </si>
  <si>
    <t>CC1=C(c2ccccn2)C2(C=CNC(CN(C)Cc3ccccn3)=C2)CCC1 7.768826 0.43103448275862066</t>
  </si>
  <si>
    <t>CN(Cc1ccccn1)Cc1ccc2cccc(N(C)Cc3cccc(-c4ccc5c(c4)OCCOCCOCCOCCOCCO5)n3)c2n1 7.768824 0.4444444444444444</t>
  </si>
  <si>
    <t>Cc1cc(CN(C)C2=CNC(CN(C)C(C)C)=CC2)cnc1C 7.7688227 0.19402985074626866</t>
  </si>
  <si>
    <t>CN(CCN(C)c1ccc2ncc(C3=CCC=CN3)cc2c1)Cc1cccc(-c2ccc3c(c2)OCCOCCOCCOCCOCCO3)n1 7.76882 0.28888888888888886</t>
  </si>
  <si>
    <t>CC1(C)CC(c2cccc(CN(Cc3ccccn3)Cc3cccc(C(C)(C)C)n3)n2)C1 7.768818 0.43478260869565216</t>
  </si>
  <si>
    <t>CC(C)(C)c1cccc(CN(Cc2cncc(-c3cccc(N=Cc4ccccn4)c3)c2)Cc2ncccc2-c2cccc3c2OCCOCCOCCOCCOCCO3)n1 7.7688146 0.25773195876288657</t>
  </si>
  <si>
    <t>Cc1cccc(CN(Cc2ccnc(C(C)(C)C)c2)Cc2cc(C(C)(C)C(C)C)ccn2)n1 7.7688084 0.34545454545454546</t>
  </si>
  <si>
    <t>Cc1ccc(N)c(N(Cc2ccccn2)C(C)(N)N(Cc2ccccn2)CC2CC(C)C(N(C)Cc3ccccn3)=CC2C)c1 7.768802 0.3333333333333333</t>
  </si>
  <si>
    <t>Cc1cnc(CN(C)CC2=CC(N(C)Cc3ccccn3)C=CN2)c(C)c1C 7.7688007 0.3793103448275862</t>
  </si>
  <si>
    <t>CC(C)(NCc1ccccn1)c1cccc(NCc2ccccn2)c1 7.7687964 0.40476190476190477</t>
  </si>
  <si>
    <t>CC(C)N(C)Cc1cccc(N(C)Cc2ccccn2)n1 7.7687902 0.5</t>
  </si>
  <si>
    <t>Cc1ccnc(CN(C)Cc2ncccc2C)c1 7.7687883 0.391304347826087</t>
  </si>
  <si>
    <t>Cc1ccnc(CN(C)C2=CNC(CN(C)C(C)C)=CC2)c1C 7.768783 0.23076923076923078</t>
  </si>
  <si>
    <t>CC1=CC(C)C(C)C(C)(c2cccc(CN(Cc3ccccn3)C3CCC(N(C)c4ccc5nccc(CN(C)C)c5c4)CC3)n2)C1 7.7687764 0.275</t>
  </si>
  <si>
    <t>Cc1c(N2CCN(C)CCN(C)CC2)ccc2ncccc12 7.768775 0.35555555555555557</t>
  </si>
  <si>
    <t>Cc1cccnc1CN(C)C1CCC(N(Cc2ccc3ncccc3n2)Cc2ncccc2C)CC1 7.76877 0.3103448275862069</t>
  </si>
  <si>
    <t>CCN(Cc1ccccn1)c1ccc2c(CN(Cc3ccccn3)Cc3cc(-c4ccc5c(c4)OCCOCCOCCOCCOCCO5)ccn3)ccnc2c1 7.768768 0.325</t>
  </si>
  <si>
    <t>Cc1cc(C)nc(CN(Cc2ccc(N)cn2)Cc2cccc(CN(C)C(C)C)n2)c1 7.768768 0.34545454545454546</t>
  </si>
  <si>
    <t>CC1(C)CC(c2ccc(CN(Cc3ccccn3)Cc3ccccn3)c(CN(Cc3ccccn3)Cc3ccccn3)n2)C1 7.7687545 0.46511627906976744</t>
  </si>
  <si>
    <t>CCNCC1=CCC(N(C)Cc2nccc(C)c2C)=CN1 7.768746 0.208955223880597</t>
  </si>
  <si>
    <t>Cc1cc(CN(C)CCN(Cc2ccccn2)C(C)(C)c2cccnc2CN(Cc2ccccn2)Cc2ncccc2C)ccn1 7.7687454 0.38571428571428573</t>
  </si>
  <si>
    <t>COC(C)c1ncccc1CN(Cc1ccccn1)Cc1cc(C(C)(C)C)ccn1 7.768744 0.4166666666666667</t>
  </si>
  <si>
    <t>CN(c1cccc2ncc(CF)cc12)C1CCCCC1N(Cc1ccccn1)Cc1cccnc1CF 7.7687387 0.3939393939393939</t>
  </si>
  <si>
    <t>CNC1C(N(Cc2ccc(C)c(C)n2)Cc2nc(C)c(C)c(C)c2C)CCCC1N(Cc1nc(C)c(C)c(C)c1C)Cc1nc(C)c(C)c(C)c1C 7.7687335 0.3157894736842105</t>
  </si>
  <si>
    <t>CCN(Cc1ccccn1)Cc1cccc(C(C)(C)c2ccccn2)n1 7.768717 0.5</t>
  </si>
  <si>
    <t>COC(=O)C1C(C(=O)C(C)N)C(c2ccc(CN(Cc3ccccn3)Cc3ccc(C(C)(C)C)cn3)cn2)CN(C)C1c1ccccn1 7.7687154 0.2857142857142857</t>
  </si>
  <si>
    <t>CC(C)(c1ccccn1)c1cccc(CN(Cc2ccccn2)Cc2cccc(C3CCC3(C)C)n2)n1 7.7687106 0.4</t>
  </si>
  <si>
    <t>Fc1cccc(CN(Cc2cccc(-c3ccc4c(c3)OCCOCCOCCOCCOCCO4)n2)Cc2cccc(-c3ccccc3N=Cc3ccccn3)n2)n1 7.7687087 0.358974358974359</t>
  </si>
  <si>
    <t>CCOC(=O)C(=O)C(=O)C(C)NCc1cccc(CN(Cc2ccccn2)Cc2ccccn2)n1 7.7687073 0.4098360655737705</t>
  </si>
  <si>
    <t>Cc1cccnc1CN(CC1=CNC=CC1)Cc1ccccn1 7.7687054 0.4444444444444444</t>
  </si>
  <si>
    <t>COc1cc2nc(c1)CN(C)CC1C=CC=C(CN(C)C2)N1 7.768698 0.4888888888888889</t>
  </si>
  <si>
    <t>CNCc1ncccc1CN(Cc1ccccn1)C1CCC(N(C)c2ccc3nc(CF)ccc3c2)CC1 7.7686977 0.3333333333333333</t>
  </si>
  <si>
    <t>Cc1cccnc1CN(Cc1ccccn1)Cc1cccnc1CN(C)Cc1ccccn1 7.7686934 0.5</t>
  </si>
  <si>
    <t>Cc1ccc(N(C)CCN(C)Cc2ccccn2)cc1C 7.768684 0.4666666666666667</t>
  </si>
  <si>
    <t>CN(C)Cc1cnc2cc(N(C)C3CCCCC3N(CC3=CCC=CN3)Cc3ccccn3)ccc2c1 7.768682 0.4492753623188406</t>
  </si>
  <si>
    <t>CNC1C(N(Cc2nc(C)c(C)cc2C)Cc2nc(C)c(C)cc2C)CCCC1N(Cc1nc(C)c(C)cc1C)Cc1nc(C)c(C)c(C)c1C 7.7686753 0.2631578947368421</t>
  </si>
  <si>
    <t>CC1(C)CCC1c1cccc(N(Cc2ccccn2)Cc2ccccn2)c1 7.768669 0.4117647058823529</t>
  </si>
  <si>
    <t>CN(Cc1ccccn1)c1ccc2nc(CN(Cc3ccccn3)Cc3cccc(-c4ccc5c(c4)OCCOCCOCCOCCOCCO5)n3)ccc2c1 7.768666 0.4492753623188406</t>
  </si>
  <si>
    <t>CN(CCCN(C)Cc1ccccn1)Cc1ccc2cccnc2c1 7.7686634 0.48936170212765956</t>
  </si>
  <si>
    <t>CN(c1ccc2cc(CF)cnc2c1)C1CCCCC1N(Cc1cccnc1)Cc1cccnn1 7.76866 0.3611111111111111</t>
  </si>
  <si>
    <t>CCNCCN(C)Cc1cccc2ncccc12 7.768652 0.4666666666666667</t>
  </si>
  <si>
    <t>Cc1cccnc1CN(C)C1C=CNC(CN(C)Cc2ccc(C)c(C)c2C)=C1 7.76865 0.2923076923076923</t>
  </si>
  <si>
    <t>CCN(C)CC1=CCC=C(N(C)Cc2ncccc2C)N1 7.768647 0.2786885245901639</t>
  </si>
  <si>
    <t>Cc1ccnc(CN(C)C2CCCCC2N(C)c2ccc3nc(CF)ccc3c2)c1 7.768645 0.4426229508196721</t>
  </si>
  <si>
    <t>COC(C)c1ccc(CN(Cc2ccccn2)Cc2cc(C(C)(C)C)ccn2)cn1 7.76864 0.4</t>
  </si>
  <si>
    <t>CNCc1cccc(CN(Cc2ccccn2)C2CCC(N(C)c3ccc4cccnc4c3)CC2)n1 7.7686353 0.4</t>
  </si>
  <si>
    <t>CCN(Cc1ccccn1)C1CCCC(N(C)c2cccc3c(CF)ccnc23)C1 7.7686334 0.3709677419354839</t>
  </si>
  <si>
    <t>Cc1cncc(CN(C)CC2=CC(N(C)Cc3nccc(C)c3C)C=CN2)c1 7.768628 0.27941176470588236</t>
  </si>
  <si>
    <t>Cc1cccnc1CN(CC1=CC(C)C=CN1)Cc1ccccn1 7.7686276 0.4727272727272727</t>
  </si>
  <si>
    <t>CCOC(C)c1cc(CN(Cc2ccccn2)Cc2ncccc2C(C)(C)C)ccn1 7.7686195 0.37735849056603776</t>
  </si>
  <si>
    <t>Cc1cnc(CN(C)C2CCC(N(Cc3ccc4ncccc4c3)Cc3cccnn3)CC2)c(C)c1C 7.768612 0.3230769230769231</t>
  </si>
  <si>
    <t>CC(C)NCc1ccc(CN(Cc2ccccn2)Cc2ccc(C(C)(C)C)cn2)cn1 7.768601 0.425531914893617</t>
  </si>
  <si>
    <t>CCN(Cc1ccccn1)c1ccc2nccc(CN(C)Cc3ncccc3-c3ccc4c(c3)OCCOCCOCCOCCOCCO4)c2c1 7.7685995 0.28735632183908044</t>
  </si>
  <si>
    <t>CCNC1C(N(Cc2nc(C)c(C)c(C)c2C)Cc2nc(C)c(C)c(C)c2C)CCCC1N(Cc1nc(C)c(C)c(C)c1C)Cc1nc(C)c(C)c(C)c1C 7.7685986 0.2641509433962264</t>
  </si>
  <si>
    <t>CN(Cc1cccnn1)C1CCC(N(C)c2ccc3ncccc3c2)CC1 7.7685976 0.4</t>
  </si>
  <si>
    <t>Cc1ccnc(CN(C)c2c(C(C)(C)C)ccc(N(C)Cc3ccc(-c4ccc5c(c4)OCCOCCOCCOCCOCCO5)cn3)c2Cl)c1 7.7685943 0.38461538461538464</t>
  </si>
  <si>
    <t>CC(C)CNCc1cccc(CN(Cc2ccccn2)Cc2cccc(C(C)(C)c3ccccn3)n2)n1 7.768594 0.425531914893617</t>
  </si>
  <si>
    <t>CC1=CC2(C=CC(c3cccc(CN(Cc4ccccn4)C4CCC(N(C)c5ccc6nccc(CN(C)C)c6c5)CC4)n3)CC2c2ccccn2)CCC1C 7.7685924 0.26436781609195403</t>
  </si>
  <si>
    <t>Cc1cccnc1CN(C)C1C=CNC(CN(C)Cc2c(C)ccc(C)c2C)=C1 7.7685885 0.30158730158730157</t>
  </si>
  <si>
    <t>CC1=C(C)CC2(CC1)CCC(N(C)Cc1ccccn1)=C(C)C2C(C)(C)c1ccc(CN(Cc2ccccn2)Cc2ccccn2)cn1 7.7685876 0.3333333333333333</t>
  </si>
  <si>
    <t>CN(Cc1cccc(F)n1)C1CCC(N(C)c2ccc3cc(CF)cnc3c2)CC1 7.7685833 0.3225806451612903</t>
  </si>
  <si>
    <t>CCSc1c(Cl)ccc(N(Cc2ccccn2)C(C)C)c1-c1cc(CN2CCN(C)CCN(C)CC2)ccn1 7.7685823 0.3939393939393939</t>
  </si>
  <si>
    <t>CN(Cc1cccnn1)C1CCCCC1N(C)c1cccc2nccc(CF)c12 7.768581 0.43103448275862066</t>
  </si>
  <si>
    <t>CC(C)NCc1ncccc1CN(Cc1ccccn1)C1CCC(N(C)c2cccc3nc(CF)ccc23)CC1 7.768577 0.32051282051282054</t>
  </si>
  <si>
    <t>CC(NCc1ccccn1)c1cccc(CNCc2cccc(Cl)n2)n1 7.7685766 0.4318181818181818</t>
  </si>
  <si>
    <t>CCN(Cc1ccccn1)Cc1ccc2cccc(N(C)C3CCC(N(C)Cc4ncccc4C)CC3)c2n1 7.76856 0.37681159420289856</t>
  </si>
  <si>
    <t>Cc1ccc(CN(C)CC2=CC(N(C)Cc3nc(C)ccc3C)C=CN2)nc1 7.7685575 0.4074074074074074</t>
  </si>
  <si>
    <t>Cc1cnc2cc(N(C)C3CCC(N(Cc4ccccn4)C(C)C)CC3)ccc2c1 7.7685513 0.3793103448275862</t>
  </si>
  <si>
    <t>CCN1CCCC1c1cccc(C(C)(c2ccccn2)c2ccccn2)n1 7.7685466 0.46296296296296297</t>
  </si>
  <si>
    <t>CN(c1ccc2nc(CF)ccc2c1)C1CCC(N(C)C2CCCCC2N(C)c2ccc3ccc(CF)nc3c2)CC1 7.7685437 0.48214285714285715</t>
  </si>
  <si>
    <t>CNCc1ccc(CN(Cc2ccccn2)C2CCC(N(C)c3ccc4nc(CF)ccc4c3)CC2)cn1 7.768543 0.3333333333333333</t>
  </si>
  <si>
    <t>C=CCNCC1=CCC=C(N(C)Cc2cccc(C)n2)N1 7.7685423 0.40384615384615385</t>
  </si>
  <si>
    <t>COC(=O)C(=O)C(C)C(C)NCc1ncccc1C1=NC(C)(C)CO1 7.768541 0.3220338983050847</t>
  </si>
  <si>
    <t>CNC1CC(N(Cc2ccccn2)Cc2nc(C)c(C)c(C)c2C)CC(N(Cc2nc(C)c(C)c(C)c2C)Cc2nc(C)c(C)c(C)c2C)C1 7.7685385 0.35714285714285715</t>
  </si>
  <si>
    <t>CN(Cc1ccc(F)cn1)Cc1cccc(C(C)(C)C)n1 7.768538 0.425531914893617</t>
  </si>
  <si>
    <t>CCN(Cc1ccccn1)c1ccc2nccc(CN(Cc3ccccn3)Cc3ncccc3-c3ccc4c(c3)OCCOCCOCCOCCOCCO4)c2c1 7.768533 0.29411764705882354</t>
  </si>
  <si>
    <t>CN(Cc1cccc(F)n1)CC1C=CNC=C1N(C)Cc1ccccn1 7.7685323 0.4461538461538462</t>
  </si>
  <si>
    <t>CCC(C)c1cccc(CN(Cc2ccccn2)C2CCC(N(C)c3cccc4nccc(CF)c34)CC2)n1 7.768527 0.3333333333333333</t>
  </si>
  <si>
    <t>CNCc1cccc(N(C)C2C=CC=CN2)n1 7.7685146 0.32142857142857145</t>
  </si>
  <si>
    <t>C=CCNCc1cccc(CN(Cc2ccccn2)Cc2nc(N)c(C)cc2C)n1 7.768514 0.4666666666666667</t>
  </si>
  <si>
    <t>FCc1nccc2ccc(N(Cc3ccccn3)Cc3cccc(-c4ccc5c(c4)OCCOCCOCCOCCOCCO5)n3)cc12 7.768512 0.36486486486486486</t>
  </si>
  <si>
    <t>CNCc1cccc(CN(Cc2ccccn2)C2CCC(N(C)c3ccc4ncccc4c3)CC2)n1 7.768512 0.36065573770491804</t>
  </si>
  <si>
    <t>CCNCc1cccc(CN(Cc2ccccn2)Cc2cccc(C(C)(C)c3ccccn3)n2)n1 7.768497 0.45454545454545453</t>
  </si>
  <si>
    <t>CN(c1ccc2ncccc2c1)C1CCCCC1N(Cc1ccccn1)Cc1cccnn1 7.768492 0.4727272727272727</t>
  </si>
  <si>
    <t>CC1=C(c2cc(CN(Cc3ccccn3)Cc3cc(N)ccn3)ccn2)C(C)C(C)CC1 7.7684917 0.37037037037037035</t>
  </si>
  <si>
    <t>Cc1cc(CN(C)Cc2ncccc2C)ccn1 7.7684917 0.3125</t>
  </si>
  <si>
    <t>CCN(Cc1ccccn1)C1CCCC(N(C)c2ccc3c(CF)ccnc3c2)C1 7.768491 0.3709677419354839</t>
  </si>
  <si>
    <t>CC1=C(C)C(C)(c2cc(CN(Cc3ccccn3)Cc3ccccn3)ccn2)CC(C)C1 7.7684894 0.40816326530612246</t>
  </si>
  <si>
    <t>Cc1cnc(CN(C)CCN(C)C)c(C)c1C 7.768476 0.43243243243243246</t>
  </si>
  <si>
    <t>C=CCN(C)CC1=CCC=C(N(C)Cc2ccccn2)N1 7.768471 0.40350877192982454</t>
  </si>
  <si>
    <t>CNCc1cc(CN(Cc2cc(C)ccn2)Cc2ncccc2C)ccn1 7.7684655 0.3333333333333333</t>
  </si>
  <si>
    <t>CNC1C(N(C)Cc2ncccc2C)CCCC1N(C)c1cccc2nc(CF)ccc12 7.7684593 0.4057971014492754</t>
  </si>
  <si>
    <t>CNCc1cccc(CN(Cc2ccccn2)C2CCC(N(C)c3ccc4ccc(CF)nc4c3)CC2)n1 7.7684565 0.38095238095238093</t>
  </si>
  <si>
    <t>CNCc1ncccc1CN(Cc1ccccn1)C1CCCCC1N(C)c1cccc2nccc(CF)c12 7.768449 0.38235294117647056</t>
  </si>
  <si>
    <t>CN(Cc1cccc(-c2ccc3c(c2)OCCOCCOCCOCCOCCO3)n1)C1=CC(CN(C)c2ccc3ncccc3c2)C=CN1 7.7684393 0.2840909090909091</t>
  </si>
  <si>
    <t>CN(Cc1cccnn1)C1CCC(N(C)c2ccc3cc(CF)cnc3c2)CC1 7.768437 0.375</t>
  </si>
  <si>
    <t>CC(C)(c1ccccn1)c1cccnc1CN(CF)Cc1ccccn1 7.7684355 0.4583333333333333</t>
  </si>
  <si>
    <t>CCNCc1c(C)cccc1NCc1ccccn1 7.7684283 0.43902439024390244</t>
  </si>
  <si>
    <t>CC(C)CN(CCN(C)Cc1cccc2ncccc12)Cc1ccccn1 7.7684264 0.5</t>
  </si>
  <si>
    <t>CN(Cc1cccc(F)n1)C1CCC(N(C)c2ccc3ccc(CF)nc3c2)CC1 7.7684264 0.3770491803278688</t>
  </si>
  <si>
    <t>CN1CCN(Cc2cc(N(O)C3=CCC=CN3)ccn2)CCN(Cc2cccc(C(C)(c3ccccn3)c3ccccn3)n2)CC1 7.76842 0.45588235294117646</t>
  </si>
  <si>
    <t>CC1=CC(C)(c2ncccc2CN(Cc2ccccn2)C2CCC(N(C)c3cccc4cc(CN(C)C)cnc34)CC2)CC(C)C1C 7.7684174 0.2962962962962963</t>
  </si>
  <si>
    <t>Cc1cnc(CN(C)CCN(C)Cc2cc(C)c(C)c(C)n2)c(C)c1 7.7684164 0.4418604651162791</t>
  </si>
  <si>
    <t>Cc1cc(C)nc(CN(C)C2=C(CN(C)C(C)C)NC=CC2)c1 7.768415 0.3090909090909091</t>
  </si>
  <si>
    <t>Cc1ccc(C2CCC2(C)C)nc1CN(Cc1ccccn1)C1CCC(N(C)c2ccc3nc(CF)ccc3c2)CC1 7.7683964 0.30666666666666664</t>
  </si>
  <si>
    <t>CN(Cc1ccc2c(n1)CCC2)C1CCCCC1N(C)c1ccc2ccc(CF)nc2c1 7.7683954 0.4426229508196721</t>
  </si>
  <si>
    <t>CN(c1ccc2nccc(CF)c2c1)C1CCCCC1N(CC1=CCC=CN1)Cc1ccccn1 7.7683945 0.44285714285714284</t>
  </si>
  <si>
    <t>CC(NCc1ccccn1)c1ccnc(CN2C=CCC=C2)c1 7.7683935 0.3888888888888889</t>
  </si>
  <si>
    <t>Cc1cccnc1CN(C)C1=CNC(CN(Cc2ccccn2)CC(C)(C)C)=CC1 7.76838 0.4642857142857143</t>
  </si>
  <si>
    <t>CC1C=CC(N(C)c2ccc3cccnc3c2)C(C)C1C 7.7683797 0.2962962962962963</t>
  </si>
  <si>
    <t>CCNCc1ncccc1CN(Cc1ccccn1)Cc1nc(C)c(C)cc1C 7.768378 0.40816326530612246</t>
  </si>
  <si>
    <t>CN(CCCN(C)Cc1ccccn1)Cc1ccc2ncccc2c1 7.7683764 0.45454545454545453</t>
  </si>
  <si>
    <t>CNCc1cccc(CN(Cc2ccccn2)C2=CNC(C(C)(C)C)=CC2)n1 7.7683735 0.3684210526315789</t>
  </si>
  <si>
    <t>Cc1cc(C)c(CN(C)C2C=CNC(C(C)N)=C2)nc1C 7.768372 0.24193548387096775</t>
  </si>
  <si>
    <t>CC(C)C1=CC2C=C(c3ncccc3CN(Cc3ccccn3)Cc3ccccn3)C(C)(C)C(C)C2=CN1 7.768372 0.3508771929824561</t>
  </si>
  <si>
    <t>CC1=C(N(C)Cc2cc(C(C)(C)C)ccn2)CC(C)CC1C 7.768369 0.2857142857142857</t>
  </si>
  <si>
    <t>CNCc1cc(CN(Cc2ccccn2)C2CCCCC2N(C)c2ccc3c(CF)ccnc3c2)ccn1 7.7683644 0.3939393939393939</t>
  </si>
  <si>
    <t>Cc1cc(-c2ncccc2C(C)C)ccc1N(C)C1CCCC(N(C)C)C1 7.7683625 0.3</t>
  </si>
  <si>
    <t>Cc1ccnc(CN(C)C2CCCCC2N(C)c2ccc3cc(CF)cnc3c2)c1 7.768356 0.423728813559322</t>
  </si>
  <si>
    <t>CSCc1ncccc1CN(C)Cc1ncccc1C 7.768354 0.391304347826087</t>
  </si>
  <si>
    <t>CC1C=CC(C)(c2ncccc2CN(Cc2ccccn2)C2CCCC(N(C)c3ccc4c(CN(C)C)ccnc4c3)C2)CC1C 7.768352 0.2911392405063291</t>
  </si>
  <si>
    <t>Cc1cncc(CN(C)CC2=CCC=C(N(C)C(C)C)N2)c1C 7.768349 0.22033898305084745</t>
  </si>
  <si>
    <t>CC(C)NCc1cccc(CN(Cc2ccccn2)C2CCC(N(C)c3cccc4nc(CF)ccc34)CC2)n1 7.7683473 0.3424657534246575</t>
  </si>
  <si>
    <t>CN(Cc1ncccc1-c1cccc2c1OCCOCCOCCOCCOCCO2)C1=CC(CN(C)c2cccc3ncccc23)C=CN1 7.7683434 0.24675324675324675</t>
  </si>
  <si>
    <t>Cc1cccnc1CN(C)Cc1cccc(N(C)C2CCC(N(Cc3nc(C)c(C)c(C)c3C)Cc3nc(C)c(C)c(C)c3C)CC2)n1 7.7683425 0.328125</t>
  </si>
  <si>
    <t>CC1=CC(N=Cc2ccccn2)CC(c2ccc(CN(C)Cc3ccc(N)cn3)cn2)C1C 7.768338 0.2876712328767123</t>
  </si>
  <si>
    <t>CN(Cc1cccc(N)n1)Cc1cccc(CNC2C=CC=CN2)n1 7.7683344 0.3333333333333333</t>
  </si>
  <si>
    <t>CN(c1ccc2ncc(CF)cc2c1)C1CCC(N(CC2=CCC=CN2)Cc2ccccn2)CC1 7.7683306 0.4492753623188406</t>
  </si>
  <si>
    <t>CC(C)N(Cc1ccccn1)c1ccc2nccc(CN(Cc3ccccn3)Cc3cccc(-c4ccc5c(c4)OCCOCCOCCOCCOCCO5)n3)c2c1 7.7683277 0.40789473684210525</t>
  </si>
  <si>
    <t>CNCc1ncccc1CN(Cc1ccccn1)C1CCCCC1N(C)c1cccc2c(CF)ccnc12 7.768326 0.4117647058823529</t>
  </si>
  <si>
    <t>CN(Cc1ncccc1-c1ccc2c(c1)OCCOCCOCCOCCOCCO2)c1cccc2ncccc12 7.7683225 0.3150684931506849</t>
  </si>
  <si>
    <t>CC1CC=CC(N(C)Cc2ccccn2)=C1CN(C)Cc1ccccn1 7.768316 0.4489795918367347</t>
  </si>
  <si>
    <t>CC(C)NCc1cccc(CN(Cc2ccccn2)C2CCCC(N(C)c3ccc4cc(CF)cnc4c3)C2)n1 7.768316 0.3194444444444444</t>
  </si>
  <si>
    <t>CCN(CC1=C(N(C)Cc2ccccn2)CC=CN1)Cc1ccccn1 7.7683105 0.4716981132075472</t>
  </si>
  <si>
    <t>CC(C)C1=CC2(C=CN1)C(c1ncccc1CN(Cc1ccccn1)Cc1ncccc1C(C)(C)C)=CCCC2(C)C 7.76831 0.3125</t>
  </si>
  <si>
    <t>CNCc1ncccc1CN(Cc1ccccn1)C1CCC(N(C)c2ccc3cccnc3c2)CC1 7.7683096 0.359375</t>
  </si>
  <si>
    <t>CNCc1ncccc1CN(Cc1ccccn1)C1CCC(N(C)c2cccc3cccnc23)CC1 7.7683034 0.4262295081967213</t>
  </si>
  <si>
    <t>CN(c1cccc2ncc(CF)cc12)C1CCCCC1N(Cc1ccccn1)Cc1ccccn1 7.7683015 0.45614035087719296</t>
  </si>
  <si>
    <t>COC(C)c1cccc(CNCc2cc(C(=O)C(C)NCc3ccccn3)ccn2)n1 7.7682996 0.3392857142857143</t>
  </si>
  <si>
    <t>Cc1cccnc1CN(C)Cc1cccnc1C 7.7682977 0.42857142857142855</t>
  </si>
  <si>
    <t>CC(C)N(CC1=CCC=C(N(C)Cc2ccccn2)N1)C(C)C 7.768293 0.4375</t>
  </si>
  <si>
    <t>Cc1cccnc1CN(C)C 7.768287 0.3783783783783784</t>
  </si>
  <si>
    <t>CCCN(Cc1ccccn1)C1=C(CN(C)Cc2nc(C)c(C)c(C)c2C)NC=CC1 7.7682776 0.3387096774193548</t>
  </si>
  <si>
    <t>Cc1cccnc1CN(C)Cc1ncccc1F 7.7682705 0.35555555555555557</t>
  </si>
  <si>
    <t>Cc1cccc(CN(C)C2C=CNC(CN(C)Cc3nc(C)ccc3C)=C2)n1 7.768268 0.4107142857142857</t>
  </si>
  <si>
    <t>Cc1cccnc1CN(Cc1cccc(-c2cccc(N=Cc3ccccn3)c2)n1)Cc1cccc(-c2ccc3c(c2)OCCOCCOCCOCCOCCO3)n1 7.768267 0.38461538461538464</t>
  </si>
  <si>
    <t>CC1=CC(C)(c2cccc(CN(Cc3ccccn3)C3CCC(N(C)c4ccc5nc(CN(C)C)ccc5c4)CC3)n2)CCC1C 7.7682605 0.3333333333333333</t>
  </si>
  <si>
    <t>CN(Cc1cccc(F)n1)Cc1cccc(C(C)(C)C)n1 7.768257 0.4358974358974359</t>
  </si>
  <si>
    <t>CCNC1CC(N(Cc2nc(C)c(C)cc2C)Cc2nc(C)c(C)cc2C)CC(N(Cc2nc(C)c(C)cc2C)Cc2nc(C)c(C)cc2C)C1 7.7682567 0.19298245614035087</t>
  </si>
  <si>
    <t>Cc1ccnc(CN(C)C2C=CNC(CN(C)Cc3cnc(C)c(C)c3)=C2)c1 7.7682543 0.2835820895522388</t>
  </si>
  <si>
    <t>CC(C)N(C)CC1=C(N(C)C(c2ccccc2)c2ccccn2)CC=CN1 7.768254 0.42105263157894735</t>
  </si>
  <si>
    <t>COC(C)c1ncccc1CN(Cc1ccccn1)Cc1ccc(C(C)(C)C)cn1 7.7682533 0.4166666666666667</t>
  </si>
  <si>
    <t>CC(C)N(Cc1ccccn1)C1CCC(N(C)c2cccc3nccc(CF)c23)CC1 7.76825 0.36065573770491804</t>
  </si>
  <si>
    <t>CNCc1cc(CN(Cc2ccccn2)C2CCCCC2N(C)c2ccc3nccc(CF)c3c2)ccn1 7.7682424 0.3880597014925373</t>
  </si>
  <si>
    <t>CNCc1ncccc1CN(Cc1ccccn1)C1CCC(N(C)c2ccc3ccc(CF)nc3c2)CC1 7.7682276 0.3382352941176471</t>
  </si>
  <si>
    <t>CC(N=Cc1ccccn1)C(=O)c1ccncc1C1CCC1(C)C 7.7682247 0.3114754098360656</t>
  </si>
  <si>
    <t>CC1=CC(C)C(c2cccc(CN(Cc3ccccn3)C3CCC(N(C)c4cccc5ccc(CN(C)C)nc45)CC3)n2)C(C)C1 7.768214 0.34210526315789475</t>
  </si>
  <si>
    <t>CN(c1ccc2nc(CF)ccc2c1)C1CCCCC1N(Cc1ccccn1)Cc1cccnc1F 7.7682123 0.41935483870967744</t>
  </si>
  <si>
    <t>CN(Cc1ccccn1)C1CCCC(N(C)c2ccc3ncc(CF)cc3c2)C1 7.7682114 0.423728813559322</t>
  </si>
  <si>
    <t>CCCN(Cc1ccccn1)Cc1ncccc1C(C)(C)c1ncccc1CN(Cc1ccccn1)Cc1ccccn1 7.7682114 0.4423076923076923</t>
  </si>
  <si>
    <t>COC(=O)C(=O)C(C)C(=O)C(C)N=Cc1ccccn1 7.7682037 0.33962264150943394</t>
  </si>
  <si>
    <t>CC1=CC(C)C(C)C2(C1)CC(c1ncccc1CN(Cc1ccccn1)Cc1ccccn1)C=C(c1ncccc1CN(Cc1ccccn1)Cc1ccccn1)C21CC(C)=C(C)C(C)C1 7.7681956 0.29850746268656714</t>
  </si>
  <si>
    <t>CNCc1cccc(CN(Cc2ccccn2)C2CCC(N(C)c3ccc4cc(CF)cnc4c3)CC2)n1 7.7681894 0.3382352941176471</t>
  </si>
  <si>
    <t>CNCc1ncccc1CN(Cc1ccccn1)C1CCC(N(C)c2ccc3ncccc3c2)CC1 7.7681875 0.34375</t>
  </si>
  <si>
    <t>CCCN(Cc1ccccn1)C1=C(CN(C)Cc2nccc(C)c2C)CC=CN1 7.768187 0.34328358208955223</t>
  </si>
  <si>
    <t>CCN(CC1=CCC(N(C)Cc2ccccn2)=CN1)Cc1cccnc1 7.7681866 0.4032258064516129</t>
  </si>
  <si>
    <t>CCN(CCN(C)Cc1ccc2ncccc2c1)Cc1ccccn1 7.768185 0.5</t>
  </si>
  <si>
    <t>CC(C)C1(C)N=COC1c1ncccc1CN(Cc1ccccn1)Cc1ncccc1C(C)(C)C 7.7681746 0.3448275862068966</t>
  </si>
  <si>
    <t>CNC1NC=CC=C1N(C)Cc1cccnn1 7.7681746 0.43478260869565216</t>
  </si>
  <si>
    <t>Cc1cccc(CN(C)C2C=CNC(CN(C)Cc3ccon3)=C2)n1 7.7681694 0.41509433962264153</t>
  </si>
  <si>
    <t>CC1=CC(C)(c2cc(CN(Cc3ccccn3)C3CCC(N(C)c4ccc5nccc(CF)c5c4)CC3)ccn2)CC(C)C1C 7.7681627 0.2682926829268293</t>
  </si>
  <si>
    <t>CC(C)(c1ccccn1)c1cccc(CN(Cc2ccc(C3CCC3(C)C)nc2)Cc2ccccn2)n1 7.768162 0.359375</t>
  </si>
  <si>
    <t>Cc1ccc(CN(C)CC2=CC(N(C)Cc3nccc(C)c3C)C=CN2)nc1 7.768159 0.4074074074074074</t>
  </si>
  <si>
    <t>Cc1ncccc1CN(C)Cc1ncccc1C(C)(C)C 7.768158 0.391304347826087</t>
  </si>
  <si>
    <t>Cc1ccc(CNCc2cccc(C(C)(C)C)n2)c(C)c1 7.7681527 0.2608695652173913</t>
  </si>
  <si>
    <t>Cc1cc(C)nc(CN(C)C2CCCC(N(C)CN(C)c3ccc4cccnc4c3)C2)c1 7.768149 0.3333333333333333</t>
  </si>
  <si>
    <t>Cc1cc(CN(C)C2CCCCC2N(C)Cc2cncc(-c3cccc(N(C)C)c3)c2)nc(C)c1C 7.7681437 0.4166666666666667</t>
  </si>
  <si>
    <t>CCCN(Cc1ccccn1)Cc1ccccc1N=Cc1ccccn1 7.7681437 0.46808510638297873</t>
  </si>
  <si>
    <t>CC1C=CC(C)(c2cc(CN(Cc3ccccn3)C3CCC(N(C)c4ccc5nccc(CN(C)C)c5c4)CC3)ccn2)CC1C 7.7681417 0.28205128205128205</t>
  </si>
  <si>
    <t>Cc1cc(CN(C)C2CCCCC2N(C)c2ccc3ccc(CF)nc3c2)ccn1 7.768139 0.4426229508196721</t>
  </si>
  <si>
    <t>CCNC1CC(N(C)Cc2ccccn2)C(N(Cc2ccccn2)Cc2ncccc2F)C(N(C)c2cccc3cccnc23)C1 7.7681155 0.39705882352941174</t>
  </si>
  <si>
    <t>CN(Cc1ccccn1)C1NC=CC=C1NCc1ccccn1 7.768114 0.44</t>
  </si>
  <si>
    <t>CC1=CC(C)CC(C)(c2cccc(CN(Cc3ccccn3)C3CCC(N(C)c4ccc5nc(CN(C)C)ccc5c4)CC3)n2)C1C 7.7681026 0.32432432432432434</t>
  </si>
  <si>
    <t>CN(Cc1cccnn1)C1CCC(N(C)c2ccc3ncc(CF)cc3c2)CC1 7.7681026 0.3684210526315789</t>
  </si>
  <si>
    <t>COC(=O)C(=O)C(C)C(C)NCc1cccc(CNCc2cc(C(C)(c3ccccn3)C(C)C)c(C)c(C)n2)n1 7.768102 0.25</t>
  </si>
  <si>
    <t>COC(C)c1cc(CN(Cc2ccccn2)Cc2cc(C(C)(C)C)ccn2)ccn1 7.768102 0.4166666666666667</t>
  </si>
  <si>
    <t>CN(c1ccc2nc(CF)ccc2c1)C1CCC(N(Cc2ccccn2)Cc2cccc(CF)n2)CC1 7.7681017 0.42105263157894735</t>
  </si>
  <si>
    <t>CC(C)C(C)(c1cccnc1)c1cccc(CN(Cc2ccccn2)Cc2ccccn2)n1 7.768098 0.4444444444444444</t>
  </si>
  <si>
    <t>Cc1nc(CN(C)C2=CNC(CN(C)C(C)C(C)C)=CC2)c(C)c(C)c1C 7.768098 0.1791044776119403</t>
  </si>
  <si>
    <t>Cc1ccnc(CN(C)C2C=CNC(CN(C)Cc3cccnc3C)=C2)c1C 7.768095 0.2903225806451613</t>
  </si>
  <si>
    <t>Cc1ncccc1CN(C)C1CCCCC1N(C)c1ccc2cccnc2c1 7.768093 0.43636363636363634</t>
  </si>
  <si>
    <t>CN(CC1=CC2NC=CC=C2C=C1)Cc1ccccn1 7.7680907 0.41509433962264153</t>
  </si>
  <si>
    <t>Cc1cccc(CN(CC2=CC(N(C)Cc3nc(C)c(C)c(C)c3C)C=CN2)C(C)C)n1 7.768088 0.3548387096774194</t>
  </si>
  <si>
    <t>CN(CCN)Cc1cnc2cccc(N(C)CCN(C)C(C)(C)C)c2c1 7.768083 0.32727272727272727</t>
  </si>
  <si>
    <t>CC1COC(c2cccc(CN(C)CCSCc3ccccn3)n2)=N1 7.768082 0.45614035087719296</t>
  </si>
  <si>
    <t>Cc1cc(CN2CCN(C)CCN(Cc3cnccc3-c3cccc(N=Cc4ccccn4)c3)CC2)cnc1C 7.768075 0.3333333333333333</t>
  </si>
  <si>
    <t>CNCc1cccc(CN(Cc2ccccn2)C2CCC(N(C)c3cccc4ncccc34)CC2)n1 7.7680683 0.36065573770491804</t>
  </si>
  <si>
    <t>Cc1ccnc(CN(C)C2CCCCC2N(C)c2ccc3ccc(CF)nc3c2)c1 7.7680655 0.45</t>
  </si>
  <si>
    <t>Cc1cnc(CN(C)C2=CCC=C(CN(C)C(C)C(C)C)N2)c(C)c1C 7.7680564 0.2153846153846154</t>
  </si>
  <si>
    <t>CN(Cc1cccnn1)C1CCC(N(C)c2cccc3ncccc23)CC1 7.7680554 0.4</t>
  </si>
  <si>
    <t>Cc1cnc(C)c(CN(C)Cc2ccccn2)c1 7.768051 0.5</t>
  </si>
  <si>
    <t>CN(Cc1ccccn1)C1CCC(N(C)c2cccc3ncc(CF)cc23)CC1 7.768044 0.42105263157894735</t>
  </si>
  <si>
    <t>CNCc1cc(CN(Cc2cc(C)ccn2)C2CCCCC2N(C)c2ccc3nc(CF)ccc3c2)ccn1 7.768034 0.375</t>
  </si>
  <si>
    <t>CNCc1ncccc1CN(Cc1ccccn1)C1CCC(N(C)c2cccc3cc(CF)cnc23)CC1 7.768032 0.3287671232876712</t>
  </si>
  <si>
    <t>CN(Cc1cnc2c(N(C)Cc3ccccn3)cccc2c1)Cc1ncccc1-c1cccc2c1OCCOCCOCCOCCOCCO2 7.7680273 0.34285714285714286</t>
  </si>
  <si>
    <t>Cc1cnc(CN(C)Cc2ccccc2C)c(C)c1 7.7680254 0.3488372093023256</t>
  </si>
  <si>
    <t>CCOC(C)c1cc(CN(Cc2ccccn2)Cc2cc(C(C)(C)C)ccn2)ccn1 7.7680244 0.4</t>
  </si>
  <si>
    <t>Cc1ncccc1CN(C)Cc1ncccc1N 7.7680206 0.4090909090909091</t>
  </si>
  <si>
    <t>CN(CC1=CC=C(NCc2ccccn2)NC1)Cc1ccccn1 7.768016 0.44</t>
  </si>
  <si>
    <t>CN(Cc1ccc2c(n1)CCCC2)C1CCC(N(C)c2ccc3nc4c(cc3c2)CCC4)CC1 7.768015 0.359375</t>
  </si>
  <si>
    <t>CNCc1ccc(CN(Cc2ccc(C)cn2)Cc2ccc(C)cn2)cn1 7.768014 0.475</t>
  </si>
  <si>
    <t>Cc1cnc(CN(C)CCN(C)Cc2nc(C)c(C)cc2C)c(C)c1 7.7680078 0.4146341463414634</t>
  </si>
  <si>
    <t>CN(Cc1ccc(C(C)(C)C)cn1)Cc1ncccc1C(C)(C)C 7.7680073 0.3695652173913043</t>
  </si>
  <si>
    <t>Cc1cnccc1CN(C)Cc1ncccc1N 7.7680054 0.3469387755102041</t>
  </si>
  <si>
    <t>Cc1ccnc(C)c1CC1CN(C)CCN(C)CCN1Cc1nc2ccccc2n1C 7.7680016 0.5</t>
  </si>
  <si>
    <t>CN(Cc1ccccn1)C1CCCC(N(C)c2cccc3ncccc23)C1 7.7680016 0.49019607843137253</t>
  </si>
  <si>
    <t>CC(C)C1=CC2(C=CN1)C=CC(C)(C)C(c1ncccc1CN(Cc1ccccn1)Cc1ccccn1)C2c1ccc(CN(Cc2ccccn2)C(C)C)cn1 7.7679987 0.32432432432432434</t>
  </si>
  <si>
    <t>CC1=CC(C)C(C)(c2cccc(CN(Cc3ccccn3)C3CCC(N(C)c4ccc5nc(CN(C)C)ccc5c4)CC3)n2)CC1C 7.767993 0.32432432432432434</t>
  </si>
  <si>
    <t>CC(C)(c1ccnc(CN(CF)Cc2ccccn2)c1)c1ccccn1 7.7679873 0.46808510638297873</t>
  </si>
  <si>
    <t>CC(C)C(C)(c1cccnc1)N(C)Cc1cccc(N(C)C(C)(C)c2ccccn2)n1 7.767987 0.31746031746031744</t>
  </si>
  <si>
    <t>CCN(CCN(C)Cc1cc(C)c(C)c(C)n1)Cc1nc(C)c(C)c(C)c1C 7.7679863 0.3333333333333333</t>
  </si>
  <si>
    <t>CN(Cc1ccccn1)Cc1ccc2cccc(N(C)Cc3cc(-c4ccc5c(c4)OCCOCCOCCOCCOCCO5)ccn3)c2n1 7.7679853 0.3787878787878788</t>
  </si>
  <si>
    <t>Cc1cnc(CN(C)C2=C(CN(C)C(C)C)NC=CC2)c(C)c1 7.767982 0.23214285714285715</t>
  </si>
  <si>
    <t>CN(C)Cc1ccc2cc(N(C)C3CCCCC3N(C)Cc3cccnn3)ccc2n1 7.7679696 0.44642857142857145</t>
  </si>
  <si>
    <t>CCN(Cc1cc(C)ccn1)C1CCC(N(C)c2ccc3ccc(CF)nc3c2)CC1 7.767967 0.31343283582089554</t>
  </si>
  <si>
    <t>Cc1cccc(CN(C)CC2=CC(N(C)Cc3nc(C)ccc3C)C=CN2)n1 7.767964 0.43137254901960786</t>
  </si>
  <si>
    <t>CNCc1ccc2cccc(N(C)C3CCCCC3N(Cc3ccccn3)Cc3ncccc3C)c2n1 7.7679577 0.48484848484848486</t>
  </si>
  <si>
    <t>Cc1ccc(CN(C)CN(C)Cc2cc(C)c(C)c(C)n2)cn1 7.7679543 0.3125</t>
  </si>
  <si>
    <t>CN(C)Cc1cnc2cccc(N(C)C3CCCC(N(CF)Cc4ccccn4)C3)c2c1 7.767947 0.359375</t>
  </si>
  <si>
    <t>Cc1cc(CN(C)C2C=CNC(CN(C)Cc3ccccn3)=C2)nc(C)c1C 7.7679453 0.38333333333333336</t>
  </si>
  <si>
    <t>C1=CNC(N(Cc2ccccn2)c2ccccc2-c2cccc(CN(Cc3ccccn3)C3CCCCC3)n2)C=C1 7.7679353 0.3939393939393939</t>
  </si>
  <si>
    <t>CC(C)N(Cc1ccccn1)C1CCC(N(C)c2ccc3c(CF)ccnc3c2)CC1 7.7679315 0.36666666666666664</t>
  </si>
  <si>
    <t>Cc1ccc(CN(Cc2cc(C(C)(C)C)ccn2)C2CCC(N(C)Cc3cc(-c4ccccn4)ccn3)CC2)nc1C 7.7679257 0.3283582089552239</t>
  </si>
  <si>
    <t>CC1C=CC(C)C(C)(c2ncccc2CN(Cc2ccccn2)C2CCCC(N(C)c3cccc4ncc(CN(C)C)cc34)C2)C1 7.7679167 0.2804878048780488</t>
  </si>
  <si>
    <t>CC(C)N(Cc1ccccn1)C1CCCCC1N(c1cccc2ncccc12)C1CCCCC1N(C)c1cccc2ncccc12 7.7679143 0.45614035087719296</t>
  </si>
  <si>
    <t>CC1=C(c2ncccc2CN(Cc2ccccn2)Cc2ccccn2)CC(C)C(C)C1 7.7679143 0.47619047619047616</t>
  </si>
  <si>
    <t>Cc1ccnc(CN(C)C2CCCCC2N(C)c2ccc3cccnc3c2)c1 7.767906 0.49056603773584906</t>
  </si>
  <si>
    <t>Cc1ccccc1CN(C)CC1=CC(N(C)Cc2nc(C)c(C)c(C)c2C)C=CN1 7.767901 0.296875</t>
  </si>
  <si>
    <t>Cc1cccc(CN(C)C2C=CNC(CN(C)Cc3ccc(C)nc3C)=C2)n1 7.767898 0.4107142857142857</t>
  </si>
  <si>
    <t>CN(Cc1cnc2cc(N(C)Cc3ccccn3)ccc2c1)Cc1ncccc1-c1cccc2c1OCCOCCOCCOCCOCCO2 7.7678943 0.3150684931506849</t>
  </si>
  <si>
    <t>CC1=CC(C)C(C)CC1(C)c1cccc(CN(Cc2ccccn2)C2CCC(N(C)c3ccc4cc(CN(C)C)cnc4c3)CC2)n1 7.7678933 0.27848101265822783</t>
  </si>
  <si>
    <t>CN(Cc1ccc2c(n1)CCC2)C1CCCCC1N(C)c1ccc2ncccc2c1 7.7678843 0.45161290322580644</t>
  </si>
  <si>
    <t>CN(Cc1ccccn1)c1ccc2nc(CN(Cc3ccccn3)Cc3cc(-c4ccc5c(c4)OCCOCCOCCOCCOCCO5)ccn3)ccc2c1 7.7678795 0.43548387096774194</t>
  </si>
  <si>
    <t>Cc1cncc(CN(C)Cc2ncccc2N)c1 7.767879 0.28846153846153844</t>
  </si>
  <si>
    <t>Cc1ccc(CN(C)C2=CNC=CC2CN(C)Cc2ccccn2)nc1 7.7678776 0.4230769230769231</t>
  </si>
  <si>
    <t>CN(C)Cc1cnc2cc(N(C)Cc3cccc(-c4cccc5c4OCCOCCOCCOCCOCCO5)n3)ccc2c1 7.7678766 0.2714285714285714</t>
  </si>
  <si>
    <t>Cc1cccc(CN(C)CC2=CC(N(C)Cc3nc(C)cc(C)c3C)C=CN2)c1 7.7678733 0.30303030303030304</t>
  </si>
  <si>
    <t>CC(NCc1ccccn1)c1cccc(CN2C=CCC=C2)n1 7.7678676 0.3888888888888889</t>
  </si>
  <si>
    <t>CCN(Cc1ccccn1)c1ccccc1C(C)(C)C 7.7678666 0.46511627906976744</t>
  </si>
  <si>
    <t>Cc1cccnc1CN(Cc1ccccn1)C1=CNC(CN(C)C(C)C)=CC1 7.767865 0.3684210526315789</t>
  </si>
  <si>
    <t>CCc1ccccc1CNCc1ncccc1C(C)(C)c1ccccn1 7.767864 0.3275862068965517</t>
  </si>
  <si>
    <t>Cc1cc(C)nc(CN(C)C2C=CNC(CN(C)Cc3ccncc3C)=C2)c1 7.767863 0.2835820895522388</t>
  </si>
  <si>
    <t>CC(C)N(Cc1ccccn1)Cc1cc2c(N(Cc3ccccn3)Cc3ncccc3-c3ccc4c(c3)OCCOCCOCCOCCOCCO4)cccc2cn1 7.767861 0.3380281690140845</t>
  </si>
  <si>
    <t>CC(C)C1=CCC(N(C)Cc2ccccn2)=CN1 7.767844 0.4375</t>
  </si>
  <si>
    <t>CN(Cc1cc(CF)ccn1)C1CCC(N(C)c2ccc3c(CF)ccnc3c2)CC1 7.7678323 0.3</t>
  </si>
  <si>
    <t>COC(=O)C(=O)C(=O)C(C)NCc1ccccn1 7.767832 0.40476190476190477</t>
  </si>
  <si>
    <t>CC(C)C1=CCC(N(C)Cc2cccnn2)=CN1 7.767831 0.43478260869565216</t>
  </si>
  <si>
    <t>CC1C(N)CC1c1cccc(CN(C)Cc2cccc(C3=CCC=CN3)n2)n1 7.767827 0.3442622950819672</t>
  </si>
  <si>
    <t>CNCc1ncccc1CN(Cc1ccccn1)C1CCCCC1N(C)c1ccc2nccc(CF)c2c1 7.767825 0.37681159420289856</t>
  </si>
  <si>
    <t>Cc1cncc(CN(C)Cc2ncccc2C(C)(C)C)c1 7.767822 0.2777777777777778</t>
  </si>
  <si>
    <t>CNCc1cc(C)c(C)c(CN(C)C2CCCCC2N(C)c2ccc3nc(CF)ccc3c2)n1 7.7678204 0.40298507462686567</t>
  </si>
  <si>
    <t>CCN(Cc1ccccn1)Cc1ncccc1C(C)(C)c1ccccn1 7.7678165 0.46808510638297873</t>
  </si>
  <si>
    <t>CN(Cc1ccccn1)Cc1nccc2cccc(N(C)Cc3cccc(-c4cccc5c4OCCOCCOCCOCCOCCO5)n3)c12 7.7678146 0.42424242424242425</t>
  </si>
  <si>
    <t>CN(Cc1ccc(F)cn1)Cc1ncccc1N 7.76781 0.3953488372093023</t>
  </si>
  <si>
    <t>CC1=CC(C)C2(C=CC(c3cc(CN(Cc4ccccn4)Cc4cccc(N(C)C)n4)ccn3)C(c3ccc(CN(Cc4ccccn4)Cc4ccccn4)cn3)C23CCC(C)=C(C)C3C)CC1C 7.767809 0.26804123711340205</t>
  </si>
  <si>
    <t>Fc1cccc(NCc2ccccn2)c1 7.7678065 0.4722222222222222</t>
  </si>
  <si>
    <t>CCNC1CCCC(N(Cc2nc(C)c(C)c(C)c2C)Cc2nc(C)c(C)c(C)c2C)C1N(Cc1nc(C)c(C)c(C)c1C)Cc1nc(C)c(C)c(C)c1C 7.7678056 0.24561403508771928</t>
  </si>
  <si>
    <t>Cc1cc(C(C)(C)N(Cc2ccccn2)Cc2ccccn2)ccn1 7.7677975 0.45454545454545453</t>
  </si>
  <si>
    <t>CC(C)(C)c1cccc(CN(Cc2cccc(-c3ccc4c(c3)OCCOCCOCCOCCOCCO4)n2)c2cccc3ccc(CF)nc23)n1 7.767797 0.3561643835616438</t>
  </si>
  <si>
    <t>CC(C)N(Cc1ccccn1)C1CCC(N(C)c2ccc3nccc(CF)c3c2)CC1 7.767792 0.36065573770491804</t>
  </si>
  <si>
    <t>CCNC1=CC(C)CC(C)C1c1ncccc1CN(Cc1ccccn1)Cc1cc(C(C)(C)c2ccccn2)ccn1 7.76779 0.3125</t>
  </si>
  <si>
    <t>CCCN(Cc1ccccn1)C1=C(CN(Cc2ccccn2)C(C)(C)c2ccccn2)CC=CN1 7.767783 0.359375</t>
  </si>
  <si>
    <t>CC1=C(C)CC(C)(c2ncccc2CN(Cc2ccccn2)Cc2cc(C(C)(C)C)ccn2)CC1 7.767782 0.37037037037037035</t>
  </si>
  <si>
    <t>Cc1ccc(C)c(-c2cccc(NCc3ccc(C(C)(C)N4CCN(C)CCN(C)CC4)cn3)c2)n1 7.7677794 0.3076923076923077</t>
  </si>
  <si>
    <t>CC(C)NCc1ncccc1CN(Cc1ccccn1)C1CCCC(N(C)c2cccc3nc(CF)ccc23)C1 7.767779 0.3125</t>
  </si>
  <si>
    <t>CC1=CC(C)C2(CC1)C(C(C)C)=CC1(C=C(c3ncccc3CN(Cc3ccccn3)Cc3ccccn3)C(c3ncc(C)cc3CN(Cc3ccccn3)Cc3ccccn3)C3(CC(C)=C(C)C(C)C3)C1)CC2(C)C 7.7677784 0.22727272727272727</t>
  </si>
  <si>
    <t>CN(Cc1cnc2ccc(N(C)Cc3ccccn3)cc2c1)Cc1ncccc1-c1cccc2c1OCCOCCOCCOCCOCCO2 7.7677617 0.3108108108108108</t>
  </si>
  <si>
    <t>CC1CC(C)C(C)C=C1c1cc(CN(Cc2ccccn2)C2CCCCC2N(C)c2ccc3nc(CN(C)C)ccc3c2)ccn1 7.767757 0.3466666666666667</t>
  </si>
  <si>
    <t>Cc1ccc(C)c(N(C)C2CCCCC2N(Cc2ccccn2)Cc2ccc3ccccc3n2)c1 7.767755 0.47368421052631576</t>
  </si>
  <si>
    <t>Cc1ccc(CN(C)CC2=CCC=C(N(C)C(C)C)N2)nc1C 7.767747 0.3076923076923077</t>
  </si>
  <si>
    <t>CN(Cc1ccccn1)c1ccc2ncc(CN(Cc3ccccn3)Cc3ncccc3-c3cccc4c3OCCOCCOCCOCCOCCO4)cc2c1 7.7677407 0.29850746268656714</t>
  </si>
  <si>
    <t>CC1=NC(C)C(C)O1 7.7677374 0.14285714285714285</t>
  </si>
  <si>
    <t>CCNCC1=CCC=C(N(C)Cc2cccc(C)n2)N1 7.7677345 0.4230769230769231</t>
  </si>
  <si>
    <t>CCN(Cc1ccccn1)Cc1ccc2cccc(N(C)C3CCC(N(Cc4ccccn4)Cc4ncccc4F)CC3)c2n1 7.7677345 0.38571428571428573</t>
  </si>
  <si>
    <t>CN(CC1=CCC=C(N(C)C2C=CC=CN2)N1)C1=CCC=CN1 7.767728 0.27419354838709675</t>
  </si>
  <si>
    <t>Cc1ccnc(CN(C)C2CCCCC2N(C)c2ccc3ncccc3c2)c1 7.767727 0.5</t>
  </si>
  <si>
    <t>CCOC(C)c1ncccc1CN(Cc1ccccn1)Cc1ccc(C(C)(C)C)cn1 7.76771 0.4</t>
  </si>
  <si>
    <t>Cc1cccnc1CN(Cc1ncc(C)c(C)c1C)C1CCC(N(C)Cc2ncccc2-c2ccccn2)CC1 7.7677093 0.3225806451612903</t>
  </si>
  <si>
    <t>CN1CCN(Cc2ccccn2)CCN(Cc2cc(N(C)Cc3cccc(-c4cccc(Cl)c4N)n3)ccn2)CC1 7.7677016 0.4666666666666667</t>
  </si>
  <si>
    <t>Cc1ccc(CN(Cc2ccccn2)Cc2cccc(N(C)CCF)n2)nc1 7.7676983 0.47058823529411764</t>
  </si>
  <si>
    <t>CN(Cc1ncccc1-c1cccc2c1OCCOCCOCCOCCOCCO2)Cc1c(N(C)Cc2ccccn2)ccc2ncccc12 7.767696 0.3382352941176471</t>
  </si>
  <si>
    <t>CN(c1ccc2nc(CF)ccc2c1)C1CCC(N(Cc2ccccn2)Cc2cccnc2CF)CC1 7.767689 0.359375</t>
  </si>
  <si>
    <t>Cc1ccc(CN(C)CC2=CC(N(C)Cc3ncccc3C)C=CN2)nc1C 7.767675 0.30158730158730157</t>
  </si>
  <si>
    <t>CN(Cc1ccccn1)Cc1ccc2cccc(N(C)Cc3ncccc3-c3ccc4c(c3)OCCOCCOCCOCCOCCO4)c2n1 7.7676644 0.36231884057971014</t>
  </si>
  <si>
    <t>CC1=CC(C)(C)C(NCc2ccccn2)C(C)C1c1cccc(CN(Cc2ccccn2)Cc2cccc(N(C)C)n2)n1 7.7676635 0.3484848484848485</t>
  </si>
  <si>
    <t>Cc1cnc(CN(Cc2ccccn2)C2C=CNC(C(C)C)=C2)c(C)c1 7.7676616 0.3448275862068966</t>
  </si>
  <si>
    <t>CNC1CC(N(Cc2nccc(C)c2C)Cc2ncc(C)c(C)c2C)CC(N(Cc2ncc(C)c(C)c2C)Cc2nc(C)c(C)c(C)c2C)C1 7.7676606 0.21212121212121213</t>
  </si>
  <si>
    <t>CCN(CC1=CCC(N(C)Cc2ccccn2)=CN1)Cc1ccccn1 7.7676597 0.5</t>
  </si>
  <si>
    <t>CN(Cc1cccnc1F)Cc1ncccc1N 7.7676578 0.4090909090909091</t>
  </si>
  <si>
    <t>CN(Cc1ccccn1)C1=CCC=C(CN(C)C2C=CC=CN2)N1 7.767654 0.4406779661016949</t>
  </si>
  <si>
    <t>CNC1CCCC(N(Cc2nc(C)c(C)cc2C)Cc2nc(C)c(C)cc2C)C1N(Cc1nc(C)c(C)c(C)c1C)Cc1nc(C)c(C)c(C)c1C 7.7676516 0.2459016393442623</t>
  </si>
  <si>
    <t>CNCN(CN(C)Cc1nc(C)c(C)c(C)c1C)C(C)C 7.76765 0.22448979591836735</t>
  </si>
  <si>
    <t>CNCc1cc(CN(Cc2cccc(C)n2)Cc2cccc(C)n2)ccn1 7.7676487 0.4318181818181818</t>
  </si>
  <si>
    <t>FCC1=C(SCc2ccccn2)CC=CN1 7.767647 0.3953488372093023</t>
  </si>
  <si>
    <t>Cc1cnc(C)c(CN(C)CC2=CC(N(C)Cc3ncccc3C)C=CN2)c1 7.767647 0.27941176470588236</t>
  </si>
  <si>
    <t>Cc1cccc(CN(Cc2nc(C)c(C)cc2C)C2CCC(N(C)Cc3cc(-c4ccccn4)ccn3)CC2)n1 7.767644 0.3787878787878788</t>
  </si>
  <si>
    <t>COC(=O)c1cccc(-c2cccc(C(=O)C(=O)C(C)NCc3cccc(CN4CCN(C)CCN(C)CC4)n3)n2)n1 7.767628 0.4</t>
  </si>
  <si>
    <t>Cc1ccc(C)c(CN(C)C2=C(CN(Cc3ccccn3)CC(C)(C)C)NC=CC2)n1 7.7676272 0.43333333333333335</t>
  </si>
  <si>
    <t>Cc1cccc(-c2ccc(N(C)c3ccc(CN(Cc4ccc(CN5CCN(C)CCN(C)CC5)cn4)C4CCC(N(Cc5cc(C)c(C)cn5)Cc5cc(C)c(C)c(C)n5)CC4)nc3)cn2)n1 7.7676196 0.3333333333333333</t>
  </si>
  <si>
    <t>CC(C)N(Cc1cc(CF)ccn1)C1CCC(N(C)c2cccc3c(CF)ccnc23)CC1 7.767618 0.3235294117647059</t>
  </si>
  <si>
    <t>Cc1cccc(CN(C)Cc2ccc(N)cn2)c1C 7.7676163 0.4186046511627907</t>
  </si>
  <si>
    <t>Cc1cc(C(C)(C)c2cc(CN3CCN(C)CCN(C)CC3)ccn2)cc2cccnc12 7.7676144 0.4</t>
  </si>
  <si>
    <t>CNCc1ncccc1CN(Cc1ccccn1)C1CCC(N(C)c2cccc3ncccc23)CC1 7.7676086 0.34375</t>
  </si>
  <si>
    <t>CNCc1cccc(CN(Cc2ccccn2)c2ccc3nc(CN(C)Cc4ncccc4-c4ccc5c(c4)OCCOCCOCCOCCOCCO5)ccc3c2)n1 7.767605 0.3246753246753247</t>
  </si>
  <si>
    <t>CN(c1ccc2nc(CF)ccc2c1)C1CCCCC1N(Cc1ccccn1)Cc1ncccc1F 7.7676034 0.4126984126984127</t>
  </si>
  <si>
    <t>Cc1cccnc1CN(C)C1CCCCC1N(C)c1ccc2nc(CF)ccc2c1 7.7676034 0.45161290322580644</t>
  </si>
  <si>
    <t>CN(Cc1cccnn1)C1CCCC(N(C)c2ccc3nc(CF)ccc3c2)C1 7.7675986 0.4</t>
  </si>
  <si>
    <t>CC(C)(c1ccccn1)c1cccnc1CN(Cc1ccccn1)Cc1cccnc1C1CCC1(C)C 7.7675896 0.35714285714285715</t>
  </si>
  <si>
    <t>CN(Cc1cccnn1)C1CCCCC1N(C)c1ccc2c(CF)ccnc2c1 7.767577 0.43103448275862066</t>
  </si>
  <si>
    <t>Cc1cc(C)c(CN(C)C2=CCC=C(CN(C)C(C)C(C)N)N2)nc1C 7.7675757 0.17142857142857143</t>
  </si>
  <si>
    <t>CNC1C(N(Cc2nc(C)c(C)cc2C)Cc2nc(C)c(C)c(C)c2C)CCCC1N(Cc1nc(C)c(C)cc1C)Cc1nc(C)c(C)c(C)c1C 7.767575 0.2631578947368421</t>
  </si>
  <si>
    <t>Cc1ccc(CN(C)CC2=CCC=C(N(C)C3C=CC=CN3)N2)nc1 7.7675743 0.4074074074074074</t>
  </si>
  <si>
    <t>CN(Cc1ccc2cc(N(C)Cc3ccccn3)ccc2n1)Cc1ncccc1-c1ccc2c(c1)OCCOCCOCCOCCOCCO2 7.767573 0.34782608695652173</t>
  </si>
  <si>
    <t>CN(C)Cc1ccc2cc(N(C)Cc3cccc(-c4ccc5c(c4)OCCOCCOCCOCCOCCO5)n3)ccc2n1 7.767572 0.3287671232876712</t>
  </si>
  <si>
    <t>CCNCC1=CCC=C(N(C)Cc2ncccc2C)N1 7.767568 0.27419354838709675</t>
  </si>
  <si>
    <t>Cc1cnc(CN(C)CCN(C)Cc2ncc(C)c(C)c2C)c(C)c1C 7.7675657 0.47058823529411764</t>
  </si>
  <si>
    <t>Cc1cccnc1CN(C)C1CCC(N(C)c2cccc3ccc(CN(Cc4ccccn4)C(C)C)nc23)CC1 7.7675624 0.3870967741935484</t>
  </si>
  <si>
    <t>CC1N=COC1c1ncccc1CN(C)C 7.7675557 0.3617021276595745</t>
  </si>
  <si>
    <t>CNCc1ncccc1CN(Cc1ncccc1C)Cc1ncccc1F 7.7675524 0.2777777777777778</t>
  </si>
  <si>
    <t>Cc1cc(C)nc(CN(C)Cc2ccnc(CNC(C)C)c2)c1 7.7675447 0.33962264150943394</t>
  </si>
  <si>
    <t>CN(CCN(C)C1(C)CCC1)c1cccc2ncccc12 7.7675366 0.45652173913043476</t>
  </si>
  <si>
    <t>CN(Cc1cccc(C2=CCC=CN2)n1)C1CCC(N(C)Cc2cccc(-c3ccccn3)n2)CC1 7.767535 0.48148148148148145</t>
  </si>
  <si>
    <t>CN(C)Cc1ccc2ccc(N(C)C3CCCCC3N(C)Cc3cccnn3)cc2n1 7.767534 0.45454545454545453</t>
  </si>
  <si>
    <t>Cc1cnc(CN(C)C2=CNC(CN(C)C(C)(C)C)=CC2)c(C)c1 7.767526 0.22807017543859648</t>
  </si>
  <si>
    <t>CNCc1cccc(CN(Cc2ccccn2)C2CCC(N(C)c3cccc4nc(CF)ccc34)CC2)n1 7.7675247 0.35384615384615387</t>
  </si>
  <si>
    <t>CN1C=CCC=C1NCc1ccccn1 7.7675242 0.4146341463414634</t>
  </si>
  <si>
    <t>CN(Cc1ccccn1)Cc1ccc2cccc(N(Cc3ccccn3)Cc3ncccc3-c3ccc4c(c3)OCCOCCOCCOCCOCCO4)c2n1 7.7675242 0.35714285714285715</t>
  </si>
  <si>
    <t>CC1=CC(C)C(C)C(C)(c2cc(CN(Cc3ccccn3)C3CCC(N(C)c4ccc5nccc(CN(C)C)c5c4)CC3)ccn2)C1 7.767521 0.2716049382716049</t>
  </si>
  <si>
    <t>CN(C)Cc1ccc2cccc(N(C)Cc3cccc(-c4ccc5c(c4)OCCOCCOCCOCCOCCO5)n3)c2n1 7.767519 0.3287671232876712</t>
  </si>
  <si>
    <t>CC(C)N(CC1=C(N(C)Cc2ccccn2)CC=CN1)C1=CNC(C(C)(C)N)=CC1 7.7675176 0.35294117647058826</t>
  </si>
  <si>
    <t>Cc1cccnc1CN(C)C1CC(N(C)Cc2cc(C)c(C)c(C)n2)CC(N(Cc2nc(C)c(C)c(C)c2C)Cc2nc(C)c(C)c(C)c2C)C1 7.7675023 0.2857142857142857</t>
  </si>
  <si>
    <t>Cc1ccc(CN(C)Cc2cccc(C(C)(C)C)n2)cn1 7.767496 0.4318181818181818</t>
  </si>
  <si>
    <t>CNCc1cc(CN(Cc2ccccn2)Cc2nccc(C)c2C)ccn1 7.767489 0.45454545454545453</t>
  </si>
  <si>
    <t>Cc1cnc(CN(CCN(C)Cc2ncccc2C)Cc2ncc(C)c(C)c2C)c(C)c1 7.767487 0.38</t>
  </si>
  <si>
    <t>Cc1cc(C)nc(CN(C)C2=CNC(CN(C)C(C)C)=CC2)c1 7.7674847 0.3090909090909091</t>
  </si>
  <si>
    <t>Cc1ccnc(CN(C)C2C=CNC(CN(C)Cc3ncc(C)cc3C)=C2)c1 7.7674785 0.2878787878787879</t>
  </si>
  <si>
    <t>Cc1cccnc1CN(C)Cc1ncccc1C 7.7674775 0.39473684210526316</t>
  </si>
  <si>
    <t>CCN(C)CC1=C(N(C)Cc2nc(C)cc(C)c2C)CC=CN1 7.7674747 0.21052631578947367</t>
  </si>
  <si>
    <t>Cc1ccc(CN(C)C2=CNC(CNC(C)C)=CC2)nc1 7.7674723 0.4</t>
  </si>
  <si>
    <t>CN(c1ccc2cccnc2c1)C1CCC(N(Cc2ccccn2)Cc2ccccn2)CC1 7.7674713 0.45098039215686275</t>
  </si>
  <si>
    <t>CN(C)Cc1cnc2cc(N(C)C3CCCCC3N(C)Cc3cccnn3)ccc2c1 7.76747 0.43103448275862066</t>
  </si>
  <si>
    <t>CCOC1(C)N=COC1c1ncccc1CN(Cc1ccccn1)Cc1ccccn1 7.7674694 0.40816326530612246</t>
  </si>
  <si>
    <t>CC(C)NCc1ncccc1CN(Cc1ccccn1)C1CCCC(N(C)c2cccc3ncc(CF)cc23)C1 7.76746 0.2987012987012987</t>
  </si>
  <si>
    <t>Cc1ncccc1CN(C)Cc1cccc(N)n1 7.767456 0.45652173913043476</t>
  </si>
  <si>
    <t>CN(c1ccc2ncccc2c1)C1CCCCC1N(Cc1ccccn1)C(C)(C)c1ccccn1 7.7674513 0.45614035087719296</t>
  </si>
  <si>
    <t>CN(c1ccc2nccc(CF)c2c1)C1CCCCC1N(Cc1ccccn1)Cc1cccc(CF)n1 7.767447 0.41935483870967744</t>
  </si>
  <si>
    <t>Cc1ccc(CNCc2ccccn2)cc1NCc1ccccn1 7.767437 0.48717948717948717</t>
  </si>
  <si>
    <t>CN(Cc1ccccn1)c1ccc2nc(CN(Cc3ccccn3)Cc3ncccc3-c3ccc4c(c3)OCCOCCOCCOCCOCCO4)ccc2c1 7.767426 0.4090909090909091</t>
  </si>
  <si>
    <t>Cc1cnccc1CN(C)Cc1cnccc1C(C)(C)C 7.767423 0.2653061224489796</t>
  </si>
  <si>
    <t>Cc1cc(C)c(CN(C)C2CCCCC2N(Cc2ccccn2)Cc2cccnc2-c2cccc(Cl)c2N)c(C)c1 7.767419 0.453125</t>
  </si>
  <si>
    <t>Cc1cncc(CN(C)CC2=CC(N(C)Cc3cc(C)cc(C)n3)C=CN2)c1 7.7674174 0.2923076923076923</t>
  </si>
  <si>
    <t>Cc1cccc(CN(C)CC2=CC(N(C)Cc3nccc(C)c3C)C=CN2)n1 7.7674136 0.4</t>
  </si>
  <si>
    <t>Cc1nc(CN(C)CCN2Cc3ccccc3C2(C)C)c(C)c(C)c1C 7.767412 0.2830188679245283</t>
  </si>
  <si>
    <t>Cc1cnccc1CN(C)Cc1ncccc1N(C)C(C)C 7.7674074 0.34615384615384615</t>
  </si>
  <si>
    <t>CC(C)C(c1ccccn1)N(C)C1=CNC(CN(C)Cc2ccccn2)=CC1 7.7674065 0.40350877192982454</t>
  </si>
  <si>
    <t>C1=CC(NCc2ccccn2)C(c2ccccc2)C(c2ccccc2)=C1 7.7674055 0.37777777777777777</t>
  </si>
  <si>
    <t>Cc1ccnc(CN(C)CN(C)Cc2nc(C)c(C)cc2C)c1 7.7674036 0.3673469387755102</t>
  </si>
  <si>
    <t>CC(C)NCc1ncccc1CN(Cc1ccccn1)C1CCC(N(C)c2cccc3c(CF)ccnc23)CC1 7.7674026 0.3194444444444444</t>
  </si>
  <si>
    <t>CC1(C)CC(c2nccc(CN(Cc3ccccn3)Cc3ccccn3)c2CN(Cc2ccccn2)Cc2ccccn2)C1 7.7674026 0.47619047619047616</t>
  </si>
  <si>
    <t>Cc1cccnc1CN(C)Cc1ncccc1C(C)(C)C 7.767402 0.32608695652173914</t>
  </si>
  <si>
    <t>CN(Cc1cccnn1)C1CCCCC1N(C)c1ccc2nccc(CF)c2c1 7.7674007 0.423728813559322</t>
  </si>
  <si>
    <t>CCCN(C)Cc1nccc2cc(N(C)C3CCCC(N(C)Cc4ccon4)C3)ccc12 7.7674003 0.36666666666666664</t>
  </si>
  <si>
    <t>Cc1ccnc(CN(C)C)c1 7.7673965 0.5</t>
  </si>
  <si>
    <t>CC(NCc1ccccn1)c1cccnc1C1C=CNC=C1 7.7673903 0.3617021276595745</t>
  </si>
  <si>
    <t>CC(C)NCc1ncccc1CN(Cc1ccccn1)C1CCC(N(C)c2cccc3nccc(CF)c23)CC1 7.7673893 0.3194444444444444</t>
  </si>
  <si>
    <t>Cc1cccnc1CN(C)c1ccccc1-c1cccnc1CN(C)Cc1ccc(-c2ccc3c(c2)OCCOCCOCCOCCOCCO3)cn1 7.7673764 0.39473684210526316</t>
  </si>
  <si>
    <t>CNC1NC=CC=C1N(C)C1CCC(N(C)c2ccc3cccnc3c2)CC1 7.767374 0.28125</t>
  </si>
  <si>
    <t>CN(C)c1ccccc1-c1cnccc1CN(C)C1CCC(N(C)Cc2ccon2)CC1 7.7673697 0.35185185185185186</t>
  </si>
  <si>
    <t>CN(c1ccc2ncccc2c1)C1CCC(N(Cc2ccccn2)Cc2ccccn2)CC1 7.767369 0.43137254901960786</t>
  </si>
  <si>
    <t>CC(N)(c1ccccn1)N(Cc1ccccn1)Cc1ccccn1 7.7673674 0.5</t>
  </si>
  <si>
    <t>Cc1cccnc1CN(C)C1C=CNC(CN(C)Cc2ccon2)=C1 7.767357 0.38181818181818183</t>
  </si>
  <si>
    <t>CC1=CCC(C)C(C)C1c1cc(CN(Cc2ccccn2)Cc2cccc(N(C)C)n2)ccn1 7.767356 0.375</t>
  </si>
  <si>
    <t>CN(CC1=CCC=C(N(C)C2C=CC=CN2)N1)C1CCC(N(C)c2ccc3cccnc3c2)CC1 7.767351 0.2631578947368421</t>
  </si>
  <si>
    <t>COCC(C)c1ccc(CN(Cc2ccccn2)Cc2ncccc2C)c(CN(Cc2ccccn2)Cc2ccccn2)n1 7.7673492 0.4</t>
  </si>
  <si>
    <t>CCCN(Cc1ccccn1)C1=CNC(CN(Cc2ccccn2)Cc2ncccc2C)=CC1 7.767348 0.4426229508196721</t>
  </si>
  <si>
    <t>Cc1cncc(CN(C)C2CCC(N(C)c3ccc4ccc(CF)nc4c3)CC2)c1 7.767342 0.3230769230769231</t>
  </si>
  <si>
    <t>Cc1cccnc1CN(C)C1CCC(N(C)c2ccc3nc(CN(Cc4ccccn4)C(C)C)ccc3c2)CC1 7.7673416 0.4098360655737705</t>
  </si>
  <si>
    <t>CN(Cc1ccccn1)Cc1nccc2cccc(N(C)Cc3ncccc3-c3cccc4c3OCCOCCOCCOCCOCCO4)c12 7.7673407 0.35294117647058826</t>
  </si>
  <si>
    <t>C=CCNCC1=C(N(C)Cc2cc(C)c(C)c(C)n2)CC=CN1 7.7673383 0.1935483870967742</t>
  </si>
  <si>
    <t>CCN(Cc1cc(CN(Cc2ccccn2)Cc2cccc(C)n2)ccn1)C(C)(C)c1ccccn1 7.767338 0.4</t>
  </si>
  <si>
    <t>CN(c1ccc2ccc(CF)nc2c1)C1CCCCC1N(Cc1ccccn1)Cc1cccc(F)n1 7.7673364 0.453125</t>
  </si>
  <si>
    <t>CNC1C(N(Cc2nc([SiH3])c(C)c(C)c2C)Cc2nc([SiH3])c(C)c(C)c2C)CCCC1N(Cc1nc([SiH3])c(C)c(C)c1C)Cc1nc([SiH3])c([SiH3])c(C)c1C 7.7673354 0.24561403508771928</t>
  </si>
  <si>
    <t>CCN(Cc1ccccn1)C1CCC(N(C)c2ccc3nc4c(cc3c2)CCC4)CC1 7.7673335 0.3709677419354839</t>
  </si>
  <si>
    <t>CCNCc1cc(CN(Cc2cc(C)ccn2)Cc2cc(C)c(C)c(C)n2)ccn1 7.7673326 0.3103448275862069</t>
  </si>
  <si>
    <t>Cc1ccnc(CN(C)Cc2ncccc2N)c1 7.767332 0.375</t>
  </si>
  <si>
    <t>CC(C)N(Cc1ccccn1)C1CCCC(N(C)c2cccc3nccc(CF)c23)C1 7.7673235 0.36507936507936506</t>
  </si>
  <si>
    <t>Cc1cccnc1CN(C)Cc1ncccc1N 7.7673225 0.3409090909090909</t>
  </si>
  <si>
    <t>Cc1cc(C)c(C)c(CN(C)Cc2ccccn2)c1 7.7673144 0.5</t>
  </si>
  <si>
    <t>CNc1cccnc1CF 7.767308 0.2702702702702703</t>
  </si>
  <si>
    <t>CC1=CC(C)CC2(C1)CC1(C=CC2c2ncccc2CN(Cc2ccccn2)Cc2ncccc2C(C)(c2ccccn2)c2ccccn2)C(C)=C(C)CCC1C 7.767308 0.25287356321839083</t>
  </si>
  <si>
    <t>CN(C)Cc1cncc2cc(N(C)C3CCCCC3N(CC3=CCC=CN3)Cc3ccccn3)ccc12 7.7673073 0.43661971830985913</t>
  </si>
  <si>
    <t>CCN(Cc1ccccn1)C1CCC(N(C)Cc2nc(C)c(C)c(C)c2C)C(N(C)Cc2nc(C)c(C)c(C)c2C)C1N(Cc1nc(C)c(C)c(C)c1C)Cc1nc(C)c(C)c(C)c1C 7.767297 0.43859649122807015</t>
  </si>
  <si>
    <t>CN(Cc1cccnn1)C1CCCC(N(C)c2ccc3cccnc3c2)C1 7.767291 0.37037037037037035</t>
  </si>
  <si>
    <t>Cc1cc(C)c(CN(C)C2=C(CN(Cc3ccccn3)CC(C)(C)C)NC=CC2)cn1 7.767284 0.4262295081967213</t>
  </si>
  <si>
    <t>CC(C)N(Cc1ccccn1)C1CCC(N(C)c2ccc3cc(CN(C)C)cnc3c2)CC1 7.7672777 0.36666666666666664</t>
  </si>
  <si>
    <t>CC1=C(C)C(C)CC(C)(c2ncccc2CN(Cc2ccccn2)Cc2cc(C(C)(C)C)ccn2)C1 7.767275 0.3508771929824561</t>
  </si>
  <si>
    <t>Cc1cc(C)c(CN(C)CC2=CC(N(C)Cc3ccccn3)C=CN2)nc1C 7.767268 0.36666666666666664</t>
  </si>
  <si>
    <t>CNC1C(N(Cc2ncc(C)c(C)c2C)Cc2nc(C)c(C)c(C)c2C)CCCC1N(Cc1nc(C)c(C)c(C)c1C)Cc1nc(C)c(C)c(C)c1C 7.7672677 0.2982456140350877</t>
  </si>
  <si>
    <t>Cc1cnccc1CN(C)Cc1cccc(N)n1 7.7672644 0.4090909090909091</t>
  </si>
  <si>
    <t>CCNCc1cccc(C2=NC(C)C(C)O2)n1 7.767264 0.26</t>
  </si>
  <si>
    <t>CN(Cc1ncccc1CF)C1CCC(N(C)c2ccc3nccc(CF)c3c2)CC1 7.7672625 0.2698412698412698</t>
  </si>
  <si>
    <t>CN(Cc1ccccn1)C1CCCC(N(C)c2cccc3nc(CF)ccc23)C1 7.767262 0.43859649122807015</t>
  </si>
  <si>
    <t>CN(Cc1cccc(F)n1)C1CCCCC1N(C)c1ccc2c(CF)ccnc2c1 7.7672586 0.4406779661016949</t>
  </si>
  <si>
    <t>CN(Cc1ccccn1)C1=CNC=CC1CN(Cc1ccccn1)Cc1ccccn1 7.7672553 0.46153846153846156</t>
  </si>
  <si>
    <t>CC(C)NCc1cc(CN(Cc2ccccn2)C2CCC(N(C)c3cccc4nccc(CF)c34)CC2)ccn1 7.767255 0.32857142857142857</t>
  </si>
  <si>
    <t>CC(C)C(C)(c1cccnc1)c1ncccc1CN(Cc1ccccn1)Cc1ccccn1 7.767255 0.4444444444444444</t>
  </si>
  <si>
    <t>Cc1cnc2cc(N(C)C3CCC(N(Cc4ccc(CNC(C)C)nc4)Cc4ccccn4)CC3)ccc2c1 7.76725 0.323943661971831</t>
  </si>
  <si>
    <t>CNCc1cccc(CN(Cc2ccccn2)C2CCC(N(C)c3cccc4ncc(CF)cc34)CC2)n1 7.7672405 0.3333333333333333</t>
  </si>
  <si>
    <t>Cc1ccc(N(CC2=CC(N(C)Cc3ccccn3)C=CN2)C(C)C)cc1 7.767237 0.3793103448275862</t>
  </si>
  <si>
    <t>C=CCN(C)Cc1cc(C(C)(C)c2ccccn2)ccn1 7.7672305 0.36666666666666664</t>
  </si>
  <si>
    <t>CC1C=CC(C)(C)C(C)C12CC(c1cccc(CN(Cc3ccccn3)Cc3ccccn3)n1)C=C(c1cccc(CN(Cc3ccccn3)Cc3ccccn3)n1)C21C=CNC(C(C)(C)C)=C1 7.7672305 0.3253012048192771</t>
  </si>
  <si>
    <t>CNC(C)(C)c1ccc(CN(Cc2ccccn2)Cc2cc(C(C)(C)C)ccn2)cn1 7.7672153 0.4166666666666667</t>
  </si>
  <si>
    <t>Cc1cncc(CN(C)Cc2ncccc2N(C)C(C)C)c1 7.767213 0.3269230769230769</t>
  </si>
  <si>
    <t>CC(C)NCc1cccc(CN(Cc2ccccn2)C2CCCC(N(C)c3cccc4ncc(CF)cc34)C2)n1 7.767212 0.3150684931506849</t>
  </si>
  <si>
    <t>CC(C)N(C)Cc1ccc(N(C)Cc2ccccn2)nc1 7.76721 0.4883720930232558</t>
  </si>
  <si>
    <t>Cc1ccnc(CN(C)CCN(C)Cc2nc(C)c(C)c(C)c2C)c1C 7.7671986 0.3409090909090909</t>
  </si>
  <si>
    <t>CCc1cccc(CN(Cc2ccccn2)C2CCC(N(C)c3ccc4nc(CF)ccc4c3)CC2)n1 7.7671976 0.39344262295081966</t>
  </si>
  <si>
    <t>CC1=CC(C)C2(C=C(C)CC3(CCC4(C(c5ncccc5CN(Cc5ccccn5)Cc5ccccn5)=C3c3nccc(CN(Cc5ccccn5)Cc5ccccn5)c3C)C(C)CC=C(C)C4C)C2(C)C)CC1 7.7671924 0.25882352941176473</t>
  </si>
  <si>
    <t>CN(Cc1cccc(-c2ccc3c(c2)OCCOCCOCCOCCOCCO3)n1)Cc1cc2ncccc2cc1N(C)Cc1ccccn1 7.767191 0.42424242424242425</t>
  </si>
  <si>
    <t>Cc1cc(C)c(CN(C)CC2=CC(N(C)Cc3ncccc3C)C=CN2)cn1 7.767189 0.2835820895522388</t>
  </si>
  <si>
    <t>CCNCc1cccc(CN(Cc2ccccn2)Cc2cc(C(C)(C)c3ccccn3)ccn2)n1 7.767188 0.40816326530612246</t>
  </si>
  <si>
    <t>CN(CCN(C)C1=CCC(CN(C)Cc2ccccn2)=CN1)CC1=CCC(N(C)Cc2ccccn2)=CN1 7.7671824 0.39344262295081966</t>
  </si>
  <si>
    <t>C#Cc1ccc(CN(Cc2ccccn2)C2CCCCC2N(C)c2ccc3nc(CF)ccc3c2)nc1 7.7671804 0.4</t>
  </si>
  <si>
    <t>CNC1NC=CC=C1N(C)Cc1ccccn1 7.76718 0.4423076923076923</t>
  </si>
  <si>
    <t>CCN(Cc1ccccn1)Cc1nc(C(C)(C)C)c(C)c(C)c1C 7.767178 0.46808510638297873</t>
  </si>
  <si>
    <t>CNCc1cccc(CN(Cc2cccc(C)n2)Cc2cccc(N)n2)n1 7.7671766 0.4523809523809524</t>
  </si>
  <si>
    <t>CNCc1cc(CN(Cc2cccc(F)n2)C2CCC(N(C)c3ccc4nc(CF)ccc4c3)CC2)ccn1 7.7671733 0.2987012987012987</t>
  </si>
  <si>
    <t>Cc1ccnc2cc(N(C)C3CCCC(N(Cc4ccccn4)CC4C=CNC=C4)C3)ccc12 7.7671714 0.3382352941176471</t>
  </si>
  <si>
    <t>CNC1NC=CC=C1N(C)C1CCC(N(C)c2ccc3ncccc3c2)CC1 7.767161 0.2857142857142857</t>
  </si>
  <si>
    <t>CC(C)(C)c1ccnc(CNCc2ccnc(C(C)(C)C)c2)c1 7.7671556 0.29545454545454547</t>
  </si>
  <si>
    <t>Cc1cncc(CN(C)CC2=CC(N(C)Cc3ncc(C)cc3C)C=CN2)c1 7.7671504 0.296875</t>
  </si>
  <si>
    <t>Cc1ccc(CN(C)CC2=CC(N(C)Cc3ncc(C)cc3C)C=CN2)nc1 7.7671423 0.4230769230769231</t>
  </si>
  <si>
    <t>Cc1ccc(CN(CC2=CC(N(C)Cc3ccccn3)C=CN2)C(C)(C)c2ccccn2)nc1 7.7671394 0.359375</t>
  </si>
  <si>
    <t>Cc1cc(CN(C)Cc2ncccc2N)ccn1 7.767129 0.3</t>
  </si>
  <si>
    <t>CN(Cc1ccccn1)C1CCC(N(C)c2cccc3nccc(CF)c23)CC1 7.767129 0.43636363636363634</t>
  </si>
  <si>
    <t>CCCN(Cc1ccccn1)C1=C(CN(C)Cc2nc(C)c(C)c(C)c2C)CC=CN1 7.7671266 0.3384615384615385</t>
  </si>
  <si>
    <t>COCC(C)NCc1cccc(CN(Cc2ccccn2)Cc2cc(C(C)(C)c3ccccn3)ccn2)n1 7.7671256 0.391304347826087</t>
  </si>
  <si>
    <t>Cc1ncccc1CN(C)Cc1ncccc1N(C)C(C)C 7.767118 0.40425531914893614</t>
  </si>
  <si>
    <t>CN(Cc1ccccn1)c1ccc(N(C)Cc2cccc(-c3ccc4c(c3)OCCOCCOCCOCCOCCO4)n2)c(Cl)c1Cl 7.7671137 0.45614035087719296</t>
  </si>
  <si>
    <t>CCN(Cc1ccccn1)C1=CC(CN(C)Cc2nc(C)c(C)cc2C)C=CN1 7.7671027 0.3188405797101449</t>
  </si>
  <si>
    <t>CCN(Cc1ccccn1)c1cccnc1C1C(Cl)CC1N(C)Cc1ccccn1 7.767102 0.4807692307692308</t>
  </si>
  <si>
    <t>CNCc1cc(CN(Cc2ccccn2)Cc2nc(N)ccc2C)ccn1 7.7671013 0.4166666666666667</t>
  </si>
  <si>
    <t>CNCc1ncccc1N(C)C1C=CC=CN1 7.767098 0.3392857142857143</t>
  </si>
  <si>
    <t>CN(Cc1ccc2c(n1)CCC2)C1CCC(N(C)c2ccc3nc(CF)ccc3c2)CC1 7.7670975 0.3333333333333333</t>
  </si>
  <si>
    <t>CC(C)N(Cc1ccccn1)C1CCC(N(C)c2ccc3ncc(CN(C)C)cc3c2)CC1 7.767096 0.36065573770491804</t>
  </si>
  <si>
    <t>CN(C)Cc1cnc2ccc(N(C)C3CCCC(N(Cc4ccc(C5CCC5(C)C)nc4)Cc4ccccn4)C3)cc2c1 7.7670927 0.3026315789473684</t>
  </si>
  <si>
    <t>CNC1CCC(N(Cc2nc(C)c(C)c(C)c2C)Cc2nc(C)c(C)c(C)c2C)CC1N(Cc1cc(C)c(C)cn1)Cc1nc(C)c(C)c(C)c1C 7.7670903 0.26153846153846155</t>
  </si>
  <si>
    <t>Cc1ccc(CN(Cc2ccccn2)C2CCC(N(C)Cc3cccc(-c4cccc(N(C)C)c4)n3)CC2)nc1 7.7670894 0.4264705882352941</t>
  </si>
  <si>
    <t>CN(Cc1cccnn1)C1CCCC(N(C)c2ccc3ncccc3c2)C1 7.7670894 0.37735849056603776</t>
  </si>
  <si>
    <t>Cc1cnc(CN(C)CC2=CC(N(C)Cc3cccc(C)n3)C=CN2)c(C)c1 7.7670884 0.3770491803278688</t>
  </si>
  <si>
    <t>CN(Cc1cccnn1)C1CCCC(N(C)c2ccc3cc(CF)cnc3c2)C1 7.767088 0.3559322033898305</t>
  </si>
  <si>
    <t>Cc1c(CNCc2ccccn2)cccc1NCc1ccccn1 7.7670765 0.5</t>
  </si>
  <si>
    <t>Cc1ccnc(CN(C)CCN(Cc2nccc(C)c2C)Cc2ncc(C)c(C)c2C)c1C 7.767075 0.38636363636363635</t>
  </si>
  <si>
    <t>CNC1CCC(N(Cc2cc(C)c(C)cn2)Cc2nc(C)c(C)c(C)c2C)CC1N(Cc1nc(C)c(C)c(C)c1C)Cc1nc(C)c(C)c(C)c1C 7.767064 0.26153846153846155</t>
  </si>
  <si>
    <t>Cc1cccnc1CN(C)C1CCCCC1N(C)c1ccc2ccc(CF)nc2c1 7.767063 0.45901639344262296</t>
  </si>
  <si>
    <t>CC1=CC(C)CC(C)(c2cc(CN(Cc3ccccn3)Cc3ccc(C(C)(C)C)cn3)ccn2)C1 7.7670603 0.3333333333333333</t>
  </si>
  <si>
    <t>CC(c1ccc2cccnc2c1)c1cc(CN2CCN(C)CCN(Cc3cc(C(C)(C)c4ccccn4)ccn3)CC2)ccn1 7.767057 0.3880597014925373</t>
  </si>
  <si>
    <t>CC(N=Cc1ccccn1)C(=O)c1cccnc1C1CCC1(C)C 7.767057 0.3275862068965517</t>
  </si>
  <si>
    <t>CCCN(Cc1ccccn1)C1CCC(N(C)Cc2cc(-c3ccc4ncccc4c3)ccn2)CC1 7.767053 0.4</t>
  </si>
  <si>
    <t>Cc1cncc(C)c1CN(C)C1=CNC(CN(C)C(C)C)=CC1 7.767052 0.1875</t>
  </si>
  <si>
    <t>CN(CN(Cc1ccccn1)C1CCCC(N(C)c2cccc3ncccc23)C1)C1CCC(N(C)c2cccc3cccnc23)CC1 7.767051 0.4153846153846154</t>
  </si>
  <si>
    <t>CNCc1cccc(CN(Cc2ccccn2)Cc2nccc(C)c2C)n1 7.7670455 0.46511627906976744</t>
  </si>
  <si>
    <t>CNC1C(N(Cc2nc([SiH3])c(C)c(C)c2C)Cc2nc([SiH3])c(C)c(C)c2C)CCCC1N(Cc1nc([SiH3])c(C)c(C)c1C)Cc1nc(C)c([SiH3])c([SiH3])c1C 7.767042 0.23333333333333334</t>
  </si>
  <si>
    <t>COCc1cccc(-c2cccc(CN3CCN(C)CCN(Cc4cc(C(C)(c5ccccn5)c5ccccn5)ccn4)CC3)n2)n1 7.7670417 0.47368421052631576</t>
  </si>
  <si>
    <t>CCN(C)Cc1nc(C)c(C)c(C)c1C 7.7670417 0.2564102564102564</t>
  </si>
  <si>
    <t>Cc1cc(C)c(CN(Cc2ccccn2)Cc2nc(C3CC(N)C3C)c(C)c(C)c2C)nc1C 7.76704 0.36363636363636365</t>
  </si>
  <si>
    <t>CNCc1cc(CN(Cc2cccc(C)n2)Cc2ncccc2C)ccn1 7.767032 0.3584905660377358</t>
  </si>
  <si>
    <t>Cc1cc(C)nc(CN(Cc2cccnc2)Cc2ccccn2)c1 7.767032 0.47619047619047616</t>
  </si>
  <si>
    <t>Cc1cccnc1CN(C)C1CCCCC1N(C)c1cccc2ncccc12 7.76703 0.4716981132075472</t>
  </si>
  <si>
    <t>CNCc1ccc2cccc(N(C)CC3CCCN3C(C)C)c2n1 7.767026 0.4032258064516129</t>
  </si>
  <si>
    <t>CC1=C(C)C(c2cccnc2CN(C)Cc2ccccn2)C(C)C=C1 7.767026 0.4074074074074074</t>
  </si>
  <si>
    <t>Cc1cccnc1CN(Cc1cccnc1NCF)Cc1ncccc1C 7.7670245 0.32</t>
  </si>
  <si>
    <t>CC(C)N(Cc1ccccn1)C1=CCC=CN1C 7.7670145 0.45652173913043476</t>
  </si>
  <si>
    <t>CNCc1ncc(C)c(C)c1C 7.76701 0.29545454545454547</t>
  </si>
  <si>
    <t>C1=CC(NCc2cccnn2)NC(NCc2ccccn2)=C1 7.767009 0.39215686274509803</t>
  </si>
  <si>
    <t>CCN(Cc1ccccn1)C1=CC(CN(C)Cc2cc(C)c(C)c(C)n2)C=CN1 7.7670026 0.3384615384615385</t>
  </si>
  <si>
    <t>CCOC1(C)N=COC1c1cc(CN(Cc2ccccn2)Cc2ccccn2)ccn1 7.766997 0.39215686274509803</t>
  </si>
  <si>
    <t>Cc1cccc(CNCc2cccc(C(C)(C)c3ccccn3)n2)c1 7.7669964 0.3617021276595745</t>
  </si>
  <si>
    <t>CCCN(Cc1ccccn1)c1cc2ncccc2c(-c2ccc3c(c2)OCCOCCOCCOCCOCCO3)c1N(Cc1ccccn1)Cc1ccccn1 7.7669888 0.32051282051282054</t>
  </si>
  <si>
    <t>CN(C)Cc1cnc2c(N(C)Cc3cccc(-c4ccc5c(c4)OCCOCCOCCOCCOCCO5)n3)cccc2c1 7.7669826 0.32894736842105265</t>
  </si>
  <si>
    <t>CN(Cc1ccccn1)C1CCCC(N(C)c2cccc3ncc(CF)cc23)C1 7.7669773 0.423728813559322</t>
  </si>
  <si>
    <t>CN(Cc1ccccn1)C1C=CC=C(NCc2ccccn2)N1 7.766975 0.44</t>
  </si>
  <si>
    <t>CNCc1cc(CN(Cc2ccccn2)Cc2ncc(C)cc2C)ccn1 7.766971 0.43478260869565216</t>
  </si>
  <si>
    <t>CNCc1cc(CN(Cc2ncccc2C)Cc2ncccc2C)ccn1 7.76697 0.3488372093023256</t>
  </si>
  <si>
    <t>CN(c1ccc2nc(CF)ccc2c1)C1CCC(N(Cc2ccccn2)Cc2ccccn2)CC1 7.766967 0.41818181818181815</t>
  </si>
  <si>
    <t>Cc1cnc(CN(C)C2C=CNC(CN(C)C)=C2)c(C)c1C 7.766967 0.32142857142857145</t>
  </si>
  <si>
    <t>Cc1ccc(N)c(C)c1C 7.7669654 0.22727272727272727</t>
  </si>
  <si>
    <t>CC(N)c1cccc(NCc2ccccn2)c1 7.766965 0.4146341463414634</t>
  </si>
  <si>
    <t>CN(Cc1ccccn1)C1=CCC=C(C(C)(C)C)N1 7.766965 0.44680851063829785</t>
  </si>
  <si>
    <t>Cc1cncc(CN(C)c2ccccc2-c2ccc(CN(Cc3cccc(-c4ccc5c(c4)OCCOCCOCCOCCOCCO5)n3)Cc3cccc(C(C)C)n3)nc2)c1 7.7669606 0.3076923076923077</t>
  </si>
  <si>
    <t>CC(C)N(C)CCNc1ccc2nc(CF)ccc2c1 7.766951 0.29310344827586204</t>
  </si>
  <si>
    <t>Cc1cc(C)c(CN(C)CC2=CC(N(C)Cc3ccccn3)C=CN2)c(C)c1 7.7669497 0.38596491228070173</t>
  </si>
  <si>
    <t>Cc1cncc(CN(C)Cc2cccc(N)n2)c1 7.766947 0.4090909090909091</t>
  </si>
  <si>
    <t>CC(C)N(C)CC1=CCC(N(C)C(c2ccccc2)c2ccccn2)=CN1 7.766941 0.41379310344827586</t>
  </si>
  <si>
    <t>CN(C)Cc1ccnc2ccc(N3CCN(C)CCN(C)CC3)cc12 7.766934 0.35294117647058826</t>
  </si>
  <si>
    <t>CN(c1ccc2nccc(CF)c2c1)C1CCCCC1N(Cc1ccccn1)Cc1cccnc1CF 7.7669334 0.40625</t>
  </si>
  <si>
    <t>Cc1cnc(CN(C)C2=CNC(CN(C)C(C)C)=CC2)c(C)c1 7.76693 0.22807017543859648</t>
  </si>
  <si>
    <t>CN(C)C1CCCC(N(C)c2cccc3nccc(CF)c23)C1 7.766922 0.3333333333333333</t>
  </si>
  <si>
    <t>Cc1ccc(CN(Cc2ccccn2)C2CCCCC2N(C)c2cccc3ccc(CN(C)C)nc23)c(C2CCC2(C)C)n1 7.766921 0.43243243243243246</t>
  </si>
  <si>
    <t>Cc1cccc(CN(C)CC2=CC(N(C)Cc3nc(C)c(C)c(C)c3C)C=CN2)c1 7.766919 0.3076923076923077</t>
  </si>
  <si>
    <t>CNCc1cccc(CN(Cc2cccc(F)n2)C2CCC(N(C)c3ccc4nc(CF)ccc4c3)CC2)n1 7.766915 0.32857142857142857</t>
  </si>
  <si>
    <t>CC1=CC(C)(c2ncccc2CN(Cc2ccccn2)C2CCCCC2N(C)c2ccc3nccc(CN(C)C)c3c2)CCC1C 7.766915 0.34210526315789475</t>
  </si>
  <si>
    <t>CN(C)Cc1ccc2ccc(N(C)C3CCCCC3N(C)C3=CCNC=C3)cc2n1 7.7669144 0.3870967741935484</t>
  </si>
  <si>
    <t>CC1CC(CN(Cc2ccccn2)Cc2cccc(C(C)(c3ccccn3)c3ccccn3)n2)C1 7.766913 0.43859649122807015</t>
  </si>
  <si>
    <t>Cc1ccc(CN(Cc2ccccn2)C2CCCCC2N(C)c2ccc3nc(CF)ccc3c2)nc1 7.766912 0.4426229508196721</t>
  </si>
  <si>
    <t>CC(C)(C)c1ccnc(CN(Cc2ccccn2)Cc2ccc(F)cn2)c1 7.766911 0.4878048780487805</t>
  </si>
  <si>
    <t>CN(Cc1cccnc1-c1ccc2c(c1)OCCOCCOCCOCCOCCO2)c1cc(Cl)c(Cl)c(N(C)Cc2ccccn2)c1 7.7669096 0.42857142857142855</t>
  </si>
  <si>
    <t>CC(C)C1=CC(N(C)Cc2ncccc2C(C)(C)c2ccccn2)C=CN1 7.766904 0.265625</t>
  </si>
  <si>
    <t>CC1=CC(C)(c2cc(CN(Cc3ccccn3)C3CCC(N(C)c4ccc5nccc(CN(C)C)c5c4)CC3)ccn2)CC(C)(C)C1C 7.7669015 0.2716049382716049</t>
  </si>
  <si>
    <t>CN(Cc1ccc(F)nc1)Cc1ccc(C(C)(C)C)cn1 7.766893 0.38636363636363635</t>
  </si>
  <si>
    <t>Cc1ccc(CN(C)C2CCC(N(C)c3ccc4nc(CF)ccc4c3)CC2)cn1 7.7668905 0.3181818181818182</t>
  </si>
  <si>
    <t>CC(C)(C)c1cccnc1CN(Cc1ccccn1)Cc1ccc(F)cn1 7.766886 0.47619047619047616</t>
  </si>
  <si>
    <t>CN(c1cccc2cccnc12)C1CCCC(N(Cc2cccnc2)Cc2ccccn2)C1 7.766879 0.4576271186440678</t>
  </si>
  <si>
    <t>Cc1ccc(N)cc1CN(C)Cc1ncccc1C 7.766878 0.3617021276595745</t>
  </si>
  <si>
    <t>Cc1cnc(C2CCC2(C)C)c(CN(Cc2ccccn2)C2CCCCC2N(C)c2cccc3ccc(CN(C)C)nc23)c1 7.7668757 0.42105263157894735</t>
  </si>
  <si>
    <t>CN(Cc1cccc(F)n1)C1CCC(N(C)c2ccc3ncccc3c2)CC1 7.766873 0.3508771929824561</t>
  </si>
  <si>
    <t>CC1CC(c2cccc(CN(Cc3ccccn3)C3CCC(N(C)c4ccc5ncccc5c4)CC3)n2)C1 7.7668667 0.359375</t>
  </si>
  <si>
    <t>CNCc1cccc(C(C)(C)c2ccccn2)n1 7.7668653 0.4</t>
  </si>
  <si>
    <t>Cc1nc(CN(C)C2CCC(N(Cc3ccc4ncccc4c3)Cc3ccccn3)CC2)c(C)c(C)c1C 7.7668633 0.36507936507936506</t>
  </si>
  <si>
    <t>CN(Cc1cccnn1)C1CCC(N(C)c2cccc3ncc(CF)cc23)CC1 7.766861 0.3684210526315789</t>
  </si>
  <si>
    <t>CC(C)N(Cc1ccccn1)C1CCCC(N(C)c2ccc3nccc(CF)c3c2)C1 7.7668567 0.36507936507936506</t>
  </si>
  <si>
    <t>CN1CCN(Cc2ccccn2)CCN(Cc2cc(N(C)C(C)(C)c3ccc(-c4cccc(N(C)C)c4)nc3)ccn2)CC1 7.7668514 0.45901639344262296</t>
  </si>
  <si>
    <t>Cc1cnccc1CN(C)C1CCCCC1N(C)c1cccc2nc(CF)ccc12 7.7668505 0.4838709677419355</t>
  </si>
  <si>
    <t>Cc1ccnc(CN(Cc2ccccn2)C2CCCCC2N(C)c2ccc3nc(CF)ccc3c2)c1 7.7668495 0.4262295081967213</t>
  </si>
  <si>
    <t>CCNC1CCC(N(Cc2nc(C)c(C)c(C)c2C)Cc2nc(C)c(C)c(C)c2C)C(N(Cc2nc(C)c(C)c(C)c2C)Cc2nc(C)c(C)c(C)c2C)C1 7.7668424 0.21052631578947367</t>
  </si>
  <si>
    <t>CCNCc1cc(CN(Cc2ccccn2)C2CCC(N(C)c3ccc4nccc(C)c4c3)CC2)ccn1 7.7668386 0.3235294117647059</t>
  </si>
  <si>
    <t>CN(c1cccc2ncccc12)C1CCC(N(Cc2cccnc2)Cc2ccccn2)CC1 7.766834 0.36666666666666664</t>
  </si>
  <si>
    <t>Cc1cnc(CN(CCN(C)Cc2cnc(C)c(C)c2C)C(C)C)c(C)c1C 7.766828 0.36</t>
  </si>
  <si>
    <t>Cc1cnc(CN(Cc2ccccn2)C2CCC(N(C)Cc3cccc(-c4cccc(Cl)c4N)n3)CC2)c(C)c1 7.76682 0.35714285714285715</t>
  </si>
  <si>
    <t>CCN(C)CC1=CCC(N(C)Cc2ncc(C)c(C)c2C)=CN1 7.766819 0.24193548387096775</t>
  </si>
  <si>
    <t>Cc1ccnc(CN(C)CCN(Cc2cc(C)c(C)c(C)n2)Cc2ncc(C)c(C)c2C)c1 7.7668166 0.37037037037037035</t>
  </si>
  <si>
    <t>CN(c1cccc(CN(CF)Cc2ccccn2)n1)C(C)(C)c1ccccn1 7.7668166 0.45098039215686275</t>
  </si>
  <si>
    <t>Cc1cc(C)c(C)c(CN(C)CCN(C)C)n1 7.7668104 0.38461538461538464</t>
  </si>
  <si>
    <t>CN(Cc1cccnn1)C1CCCC(N(C)c2ccc3ncc(CF)cc3c2)C1 7.7668066 0.35</t>
  </si>
  <si>
    <t>Cc1ccc(CNCc2cc(C(C)(C)C)ccn2)c(C)c1 7.7667966 0.28846153846153844</t>
  </si>
  <si>
    <t>Cc1cc(C)c(CN(C)C2CC(N(C)C)CC(N(Cc3nc(C)c(C)c(C)c3C)Cc3nc(C)c(C)c(C)c3C)C2)nc1C 7.7667885 0.21666666666666667</t>
  </si>
  <si>
    <t>CCN(Cc1ccccn1)Cc1cc(C(C)(C)c2ccccn2)ccn1 7.766786 0.4782608695652174</t>
  </si>
  <si>
    <t>FCNCc1cc(C(c2ccccc2)c2ccccn2)ccn1 7.7667785 0.38636363636363635</t>
  </si>
  <si>
    <t>COC(C)c1ncc(CN(Cc2ccccn2)Cc2ccccn2)cc1C 7.7667704 0.47619047619047616</t>
  </si>
  <si>
    <t>CCNC(C)C1(C)N=COC1c1ncccc1C1=NC(C)(C)CO1 7.7667575 0.3220338983050847</t>
  </si>
  <si>
    <t>CN(C)Cc1ccc2cc(N(C)C3CCCCC3N(Cc3ccccn3)Cc3cccc(CF)n3)ccc2n1 7.766749 0.453125</t>
  </si>
  <si>
    <t>CN(C)Cc1ccc(C(C)(C)C)cn1 7.766746 0.4166666666666667</t>
  </si>
  <si>
    <t>Cc1ccc(CN(C)CC2=CC(N(C)Cc3ncc(C)c(C)c3C)C=CN2)nc1 7.7667437 0.4230769230769231</t>
  </si>
  <si>
    <t>Cc1cnc(CN(C)C2=C(CN(C)C(C)C)NC=CC2)c(C)c1C 7.7667418 0.2222222222222222</t>
  </si>
  <si>
    <t>Cc1c(N)nc(CN(CN)Cc2ccccn2)c(C)c1C 7.7667403 0.48717948717948717</t>
  </si>
  <si>
    <t>CC1=C(C)CC2(CCC(C)=C(C)C2c2ncccc2CN(Cc2ccccn2)C2CCC(N(C)c3ccc4nccc(CN(C)C)c4c3)CC2)C(C)C1 7.766731 0.25287356321839083</t>
  </si>
  <si>
    <t>CN(Cc1cccc(-c2ccc3c(c2)OCCOCCOCCOCCOCCO3)n1)C1=CNC(CN(C)c2ccc3nc(CF)ccc3c2)=CC1 7.7667146 0.2727272727272727</t>
  </si>
  <si>
    <t>CC(C)N(C)Cc1cncc(N(C)Cc2ccccn2)c1 7.7667146 0.46808510638297873</t>
  </si>
  <si>
    <t>CCNCC1=CCC(N(C)Cc2ncc(C)c(C)c2C)=CN1 7.766712 0.2153846153846154</t>
  </si>
  <si>
    <t>Cc1ccnc(CN(C)CCN(Cc2nc(C)cc(C)c2C)Cc2nc(C)cc(C)c2C)c1 7.7667108 0.375</t>
  </si>
  <si>
    <t>CC1C=CC(C)C(C)(c2cc(CN(Cc3ccccn3)C3CCC(N(C)c4ccc5nccc(CN(C)C)c5c4)CC3)ccn2)C1 7.766708 0.27848101265822783</t>
  </si>
  <si>
    <t>CCNC1CCC(N(Cc2nc(C)c(C)c(C)c2C)Cc2nc(C)c(C)c(C)c2C)CC1N(Cc1nc(C)c(C)c(C)c1C)Cc1nc(C)c(C)c(C)c1C 7.7667 0.2033898305084746</t>
  </si>
  <si>
    <t>Cc1ccc(CN(Cc2nc(C)c(C)c(C)c2C)C2CCC(N(C)Cc3cc(-c4ccccn4)ccn3)CC2)nc1 7.766692 0.373134328358209</t>
  </si>
  <si>
    <t>CN(CN(Cc1ncccc1-c1cccc2c1OCCOCCOCCOCCOCCO2)C1CCC(N(C)c2ccc3c(CF)ccnc3c2)CC1)c1ccc2cccnc2c1 7.766691 0.21505376344086022</t>
  </si>
  <si>
    <t>CCCN(Cc1ccccn1)c1cc2c(cc1-c1cccc(CN(Cc3ccccn3)Cc3ncccc3-c3ccccc3N=Cc3ccccn3)n1)OCCOCCOCCOCCOCCO2 7.76669 0.3218390804597701</t>
  </si>
  <si>
    <t>Cc1cccnc1CN(C)C1=CNC(CN(Cc2ccccn2)CC(C)C)=CC1 7.7666807 0.43548387096774194</t>
  </si>
  <si>
    <t>C1=CC(c2cccnn2)C=CN1 7.7666807 0.28205128205128205</t>
  </si>
  <si>
    <t>Cc1cnc2cccc(N(C)C3CCCCC3N(CC3=CCC=CN3)Cc3ccccn3)c2c1 7.766664 0.4626865671641791</t>
  </si>
  <si>
    <t>Cc1cnccc1CN(C)Cc1cccc(N(C)C(C)C)n1 7.766662 0.40425531914893614</t>
  </si>
  <si>
    <t>CC1=C(C)CCC(N(C)Cc2ccccn2)=C1 7.766661 0.5</t>
  </si>
  <si>
    <t>Cc1cnc(CN(C)Cc2ccccn2)c(C)c1 7.766659 0.5</t>
  </si>
  <si>
    <t>C1=C(CN(Cc2ccccn2)Cc2ccccn2)C=C(NCc2ccccn2)NC1 7.766659 0.5</t>
  </si>
  <si>
    <t>Cc1cncc(CN(Cc2ccccn2)Cc2cc(C(C)(C)C)ccn2)c1 7.7666583 0.45454545454545453</t>
  </si>
  <si>
    <t>CCN(CCN(C)Cc1cccc2ncccc12)Cc1ccccn1 7.766657 0.5</t>
  </si>
  <si>
    <t>CC(C)C1=CC2(C=CN1)C=CC(c1cccc(CN(Cc3ccccn3)Cc3ccccn3)n1)C(c1cccc(CN(Cc3ccccn3)Cc3ccccn3)n1)C2(C)C 7.766651 0.3508771929824561</t>
  </si>
  <si>
    <t>Cc1cccnc1CN(C)Cc1cccnc1CN(C)C 7.766651 0.4186046511627907</t>
  </si>
  <si>
    <t>CC(C)N(Cc1ccccn1)c1ccc(N)c(-c2cc(CN3CCN(C)CCN(C)CC3)ccn2)c1Cl 7.7666492 0.41935483870967744</t>
  </si>
  <si>
    <t>CN(C)C1CCCC(N(C)c2ccc3c(CF)ccnc3c2)C1 7.7666426 0.25396825396825395</t>
  </si>
  <si>
    <t>CC(C)C(C)N(C)Cc1ncccc1-c1cccc(N(C)C(C)C)c1 7.766642 0.3018867924528302</t>
  </si>
  <si>
    <t>CCc1ccccc1CNCc1cc(C(C)(C)c2ccccn2)ccn1 7.766641 0.3617021276595745</t>
  </si>
  <si>
    <t>CC(C)c1cccc(CN(Cc2ccccn2)C2CCCCC2N(C)c2ccc3nc(CF)ccc3c2)n1 7.766639 0.4264705882352941</t>
  </si>
  <si>
    <t>CNCc1cccc(CN(Cc2cccc(C)n2)Cc2ncccc2C)n1 7.7666388 0.40425531914893614</t>
  </si>
  <si>
    <t>Cc1ccnc(CN(Cc2ccccn2)Cc2nc(C3CC(C)(C)C3)ccc2C)c1 7.7666354 0.4</t>
  </si>
  <si>
    <t>CCNCc1ncccc1CN(Cc1ccccn1)C1CCC(N(C)c2cccc3nccc(C)c23)CC1 7.7666345 0.3142857142857143</t>
  </si>
  <si>
    <t>Cc1cccc(CN(C)C2CCC(N(Cc3ccccn3)Cc3cccc(-c4cccc(N(C)C)c4)n3)CC2)n1 7.766627 0.4461538461538462</t>
  </si>
  <si>
    <t>Cc1cc(C)c(C)c(CN(C)CCN(Cc2nc(C)cc(C)c2C)C(C)C)n1 7.766614 0.3902439024390244</t>
  </si>
  <si>
    <t>Cc1cncc(CN(C)CC2=CC(N(C)Cc3ncc(C)c(C)c3C)C=CN2)c1 7.7666078 0.2878787878787879</t>
  </si>
  <si>
    <t>CCN(Cc1ccccn1)Cc1cccc(N(C)C(C)(C)c2ccccn2)n1 7.766603 0.4489795918367347</t>
  </si>
  <si>
    <t>CN(Cc1cccnn1)C1CCCC(N(C)c2cccc3ncccc23)C1 7.766601 0.37735849056603776</t>
  </si>
  <si>
    <t>Cc1cncc(CN(C)c2ccccc2-c2cccc(CN(Cc3ccccn3)Cc3ccc(-c4ccc5c(c4)OCCOCCOCCOCCOCCO5)cn3)n2)c1C 7.7666 0.3493975903614458</t>
  </si>
  <si>
    <t>Cc1cc(CN(C)C2CCCCC2N(C)c2cccc3nc(CF)ccc23)ccn1 7.7665834 0.4838709677419355</t>
  </si>
  <si>
    <t>Cc1cncc(CN(C)c2ccc3nc(CN(C)Cc4ccc(-c5ccc6c(c5)OCCOCCOCCOCCOCCO6)cn4)ccc3c2)c1 7.7665815 0.39473684210526316</t>
  </si>
  <si>
    <t>CN(Cc1ccccn1)Cc1cccc(CSC2C=CC=CN2)n1 7.766578 0.49019607843137253</t>
  </si>
  <si>
    <t>CNCc1cccc(CN(Cc2ccc(N)cn2)Cc2cccc(C)n2)n1 7.7665777 0.40425531914893614</t>
  </si>
  <si>
    <t>CN(Cc1ccccn1)C1=C(C(C)(C)C)NC=CC1 7.7665777 0.4423076923076923</t>
  </si>
  <si>
    <t>Cc1cncc(CN(C)Cc2ccc3cccc(N(Cc4ccccn4)Cc4cccc(-c5ccc6c(c5)OCCOCCOCCOCCOCCO6)n4)c3n2)c1 7.766577 0.37333333333333335</t>
  </si>
  <si>
    <t>CC(C)c1ncccc1CN(C)Cc1ncccc1N 7.766569 0.391304347826087</t>
  </si>
  <si>
    <t>CN(c1cccc2c(CF)ccnc12)C1CCCCC1N(Cc1ccccn1)Cc1ccccn1 7.7665668 0.48214285714285715</t>
  </si>
  <si>
    <t>CNc1cccc(CNCc2cccc(F)n2)n1 7.7665644 0.3953488372093023</t>
  </si>
  <si>
    <t>Cc1cc(CN(C)CC2=C(N(C)c3ccc4cccnc4c3)CC=CN2)cnc1-c1ccc2c(c1)OCCOCCOCCOCCOCCO2 7.7665544 0.25806451612903225</t>
  </si>
  <si>
    <t>Cc1ccc(CN(C)C2CCC(N(C)c3ccc4nc(CF)ccc4c3)CC2)nc1 7.7665524 0.46296296296296297</t>
  </si>
  <si>
    <t>CN(c1cccc2nccc(CF)c12)C1CCCCC1N(Cc1ccccn1)Cc1ccccn1 7.7665477 0.4727272727272727</t>
  </si>
  <si>
    <t>CC1=C(C)CC2(CC1)C(c1ccc(CN(Cc3ccccn3)Cc3ccccn3)c(CN(Cc3ccccn3)Cc3nc(C)c(C)c(C)c3C)n1)=CCC(C)(C)C21CCC(C)=C(C)C1C 7.7665477 0.29411764705882354</t>
  </si>
  <si>
    <t>Cc1ccnc(CN(C)C2CCC(N(C)c3ccc4nc(CF)ccc4c3)CC2)c1 7.7665443 0.3230769230769231</t>
  </si>
  <si>
    <t>CC(C)NCc1cccc(CN(Cc2ccccn2)C2CCC(N(C)c3ccc4nccc(CF)c4c3)CC2)n1 7.7665305 0.323943661971831</t>
  </si>
  <si>
    <t>Cc1cc(CN(C)CCN(C)C)nc(C)c1C 7.7665286 0.42105263157894735</t>
  </si>
  <si>
    <t>CC1=C(C)CC(N(C)CC2=CCC(N(C)Cc3nc(C)c(C)c(C)c3C)=CN2)C(C)C1 7.766528 0.23076923076923078</t>
  </si>
  <si>
    <t>Cc1ccnc(CN(Cc2ncc(C)c(C)c2C)C2CCC(N(C)Cc3cc(-c4ccccn4)ccn3)CC2)c1C 7.7665257 0.36507936507936506</t>
  </si>
  <si>
    <t>CN(c1ccc2c3c(cnc2c1)CCCC3)C1CCC(N(Cc2cccc(F)n2)Cc2cccnc2F)CC1 7.7665234 0.26436781609195403</t>
  </si>
  <si>
    <t>CCN(Cc1cc(CN(Cc2ccccn2)Cc2cc(C)ccn2)ccn1)Cc1cc(C(C)(c2ccccn2)C(C)C)ccn1 7.766523 0.37735849056603776</t>
  </si>
  <si>
    <t>CC(C)N(CC1=CCC=C(N(C)Cc2ncccc2-c2ccc3c(c2)OCCOCCOCCOCCOCCO3)N1)c1cccc2ncccc12 7.766519 0.25</t>
  </si>
  <si>
    <t>Cc1cncc(CN(C)c2ccc3nc(CN(Cc4ccccn4)Cc4ccc(-c5ccc6c(c5)OCCOCCOCCOCCOCCO6)cn4)ccc3c2)c1 7.766519 0.375</t>
  </si>
  <si>
    <t>Cc1ncccc1CN(C)Cc1cccc(N(C)C(C)C)n1 7.766519 0.4375</t>
  </si>
  <si>
    <t>CNC1C(N(Cc2nc(C)c(C)cc2C)Cc2nc(C)c(C)c(C)c2C)CCCC1N(Cc1nc(C)c(C)c(C)c1C)Cc1nc(C)c(C)c(C)c1C 7.766515 0.2631578947368421</t>
  </si>
  <si>
    <t>CN(Cc1cccc(C2CCC2(C)C)n1)Cc1ncccc1C1=NC(C)(C)CO1 7.766513 0.36666666666666664</t>
  </si>
  <si>
    <t>CN(c1ccc2ncccc2c1)C1CCCC(N(CC2=CCC=CN2)Cc2ccccn2)C1 7.76651 0.484375</t>
  </si>
  <si>
    <t>CNCc1cccc(CN(Cc2ccccn2)Cc2ncc(C)cc2C)n1 7.7665067 0.4444444444444444</t>
  </si>
  <si>
    <t>CCCN(Cc1ccccn1)C1=CCC=C(CN(C)Cc2ncccc2C)N1 7.7665024 0.359375</t>
  </si>
  <si>
    <t>CN(Cc1ccccn1)C1=CNC=C(C(C)(C)C)C1 7.766496 0.44680851063829785</t>
  </si>
  <si>
    <t>CCN(Cc1ccccn1)Cc1ncccc1N(C)C(C)(C)c1ccccn1 7.7664948 0.44</t>
  </si>
  <si>
    <t>Cc1ccc(CN(C)c2ccccc2-c2cccc(CN(Cc3cccc(-c4ccc5c(c4)OCCOCCOCCOCCOCCO5)n3)Cc3cccc(C(C)(C)C)n3)n2)nc1 7.7664924 0.3375</t>
  </si>
  <si>
    <t>Cc1ncccc1CN(C)C1CCC(N(C)c2ccc3nc(CF)ccc3c2)CC1 7.766484 0.3333333333333333</t>
  </si>
  <si>
    <t>CCN(Cc1ccccn1)Cc1ccc2cc(N(C)C3CCC(N(Cc4ccccn4)Cc4ncccc4C)CC3)ccc2n1 7.766483 0.4126984126984127</t>
  </si>
  <si>
    <t>CN(C)Cc1nccc2cccc(N(C)Cc3cc(-c4cccc5c4OCCOCCOCCOCCOCCO5)ccn3)c12 7.76648 0.27941176470588236</t>
  </si>
  <si>
    <t>CNCc1ccc(CN(Cc2ccccn2)C2CCCC(N(C)c3cccc4nc(CF)ccc34)C2)cn1 7.7664742 0.32051282051282054</t>
  </si>
  <si>
    <t>CNCc1ccc(CN(Cc2ccccn2)Cc2nccc(C)c2C)cn1 7.766457 0.425531914893617</t>
  </si>
  <si>
    <t>Cc1cc(CNCc2ccccn2)ccc1NCc1ccccn1 7.7664566 0.48717948717948717</t>
  </si>
  <si>
    <t>CNCc1cc(CN(Cc2cccc(C)n2)Cc2cccc(C(C)(C)C)n2)ccn1 7.766456 0.36538461538461536</t>
  </si>
  <si>
    <t>CNC1C(N(Cc2cc(C)c(C)c(C)n2)Cc2nc(C)c(C)c(C)c2C)CCCC1N(Cc1nc(C)c(C)c(C)c1C)Cc1nc(C)c(C)c(C)c1C 7.766448 0.27586206896551724</t>
  </si>
  <si>
    <t>Fc1ccccc1N(Cc1ccccn1)C1CCCCC1N(Cc1ccc2ncccc2c1)Cc1cccnc1F 7.7664447 0.36923076923076925</t>
  </si>
  <si>
    <t>CCN(Cc1ccccn1)C1=C(CN(C)Cc2cccc(C)n2)NC=CC1 7.7664347 0.43859649122807015</t>
  </si>
  <si>
    <t>CN(Cc1ccccn1)C1=C(CN(Cc2ccccn2)C(C)(C)C)NC=CC1 7.7664332 0.4107142857142857</t>
  </si>
  <si>
    <t>COC(=O)C1CN(C)C(C(=O)NCc2ccccn2)C(c2ccccn2)C1c1ccccn1 7.766433 0.35294117647058826</t>
  </si>
  <si>
    <t>Cc1ccc(CN(C)C2CCC(N(C)c3ccc4cccnc4c3)CC2)cn1 7.7664266 0.29508196721311475</t>
  </si>
  <si>
    <t>CCNCc1cc(CN(Cc2ccccn2)C2CCC(N(C)c3ccc4c(C)ccnc4c3)CC2)ccn1 7.766418 0.3235294117647059</t>
  </si>
  <si>
    <t>CN(CCN(C)Cc1ncccc1C(C)(C)C)Cc1ncccc1C1=CCC=CN1 7.7664075 0.3442622950819672</t>
  </si>
  <si>
    <t>CC1=NC(c2cccc(CNCc3ccccn3)c2)CO1 7.766407 0.3958333333333333</t>
  </si>
  <si>
    <t>CN(Cc1ncccc1-c1cccc2c1OCCOCCOCCOCCOCCO2)C1=CNC(CN(C)c2ccc3nc(CF)ccc3c2)=CC1 7.7664065 0.2413793103448276</t>
  </si>
  <si>
    <t>CN(C)Cc1ccc2ccc(N(C)C3CCCC(N(C)C)C3)cc2n1 7.7664046 0.3191489361702128</t>
  </si>
  <si>
    <t>Cc1cc(C)c(C)c(CN(C)CCN(C)Cc2ncc(C)c(C)c2C)n1 7.7664037 0.37209302325581395</t>
  </si>
  <si>
    <t>CN(Cc1ccc(-c2ccccn2)cn1)C1CCC(N(C)Cc2cccc(C3=CCC=CN3)n2)CC1 7.766384 0.4032258064516129</t>
  </si>
  <si>
    <t>CN(C)Cc1cc(C(C)(C)C)ccn1 7.7663736 0.35</t>
  </si>
  <si>
    <t>CCNCc1ncccc1C1=NC(C)(C)CO1 7.7663693 0.41304347826086957</t>
  </si>
  <si>
    <t>Cc1cccc(CN(C)CC2C=CNC=C2N(C)Cc2ccccn2)n1 7.7663665 0.42857142857142855</t>
  </si>
  <si>
    <t>CCCN(CC1=CC(N(C)Cc2ccccn2)C=CN1)c1cc(C)cc(Cl)c1 7.7663603 0.34375</t>
  </si>
  <si>
    <t>CNCc1ncccc1C(C)(C)c1ccccn1 7.7663527 0.3617021276595745</t>
  </si>
  <si>
    <t>Cc1cccnc1CN(C)Cc1ncccc1N(C)C(C)C 7.766347 0.38636363636363635</t>
  </si>
  <si>
    <t>Cc1cnc(CN(C)C(C)(C)c2cc(CN(Cc3ccccn3)C(C)(N)N(Cc3ccccn3)C(C)C)ccn2)c(C)c1 7.7663465 0.3181818181818182</t>
  </si>
  <si>
    <t>Cc1cnc(CN(C)CC2=CC(N(C)Cc3ncccc3C)C=CN2)c(C)c1 7.766344 0.2923076923076923</t>
  </si>
  <si>
    <t>CC1=CCC(C)C(C)C12CC(c1ncccc1CN(Cc1ccccn1)Cc1cc(C(C)(C)c3ccccn3)ccn1)=CC1(CC(C)=C(C)CC1C)C2(C)C 7.7663374 0.26744186046511625</t>
  </si>
  <si>
    <t>CN(Cc1cccc(-c2ccc3c(c2)OCCOCCOCCOCCOCCO3)n1)C1=CNC(CN(C)c2ccc3ccc(CF)nc3c2)=CC1 7.766334 0.27586206896551724</t>
  </si>
  <si>
    <t>Cc1ccnc2ccc(N3CCN(C)CCN(C)CC3)cc12 7.7663274 0.3695652173913043</t>
  </si>
  <si>
    <t>Cc1cncc(CN(C)Cc2cccc(N(C)C(C)C)n2)c1 7.766326 0.40425531914893614</t>
  </si>
  <si>
    <t>CN(C)Cc1cnc2cc(N(C)Cc3ncccc3-c3ccc4c(c3)OCCOCCOCCOCCOCCO4)ccc2c1 7.766322 0.3076923076923077</t>
  </si>
  <si>
    <t>CC1C=CC(C)C(C)(c2cc(CN(Cc3ccccn3)C3CCCC(N(C)c4ccc5c(CN(C)C)ccnc5c4)C3)ccn2)C1 7.766321 0.2875</t>
  </si>
  <si>
    <t>CCNC(C)c1cc(CN(Cc2ccccn2)C2CCC(N(C)c3ccc4nccc(CF)c4c3)CC2)ccn1 7.7663193 0.2894736842105263</t>
  </si>
  <si>
    <t>CN(c1ccc2nc(CF)ccc2c1)C1CCCC(N(Cc2ccccn2)Cc2ccccn2)C1 7.7663183 0.39655172413793105</t>
  </si>
  <si>
    <t>CN(Cc1ccccn1)c1cc(CN(Cc2ccccn2)Cc2cccc(-c3ccc4c(c3)OCCOCCOCCOCCOCCO4)n2)c2cccnc2c1 7.766313 0.4305555555555556</t>
  </si>
  <si>
    <t>CN(c1cccc2nc(CF)ccc12)C1CCCCC1N(Cc1ccccn1)Cc1cccc(F)n1 7.7663097 0.46875</t>
  </si>
  <si>
    <t>Cc1cccnc1CN(C)C1=CNC=CC1CN(C)Cc1ccccn1 7.7663083 0.36923076923076925</t>
  </si>
  <si>
    <t>Cc1ccccc1CNCc1cccc(C(C)(C)c2ccccn2)n1 7.766307 0.37777777777777777</t>
  </si>
  <si>
    <t>Cc1cncc(CN(Cc2ccccn2)Cc2ccc(C(C)(C)C)cn2)c1 7.7663045 0.45454545454545453</t>
  </si>
  <si>
    <t>Cc1cc(C)c(C)c(CN(C)CC2=CC(N(C)Cc3cc(C)c(C)cn3)C=CN2)c1 7.766299 0.2923076923076923</t>
  </si>
  <si>
    <t>CN(Cc1cc(N(C)Cc2ccccn2)c2ncccc2c1)Cc1cc(-c2ccc3c(c2)OCCOCCOCCOCCOCCO3)ccn1 7.7662973 0.36363636363636365</t>
  </si>
  <si>
    <t>CNCc1ncccc1CN(C)C1CCCCC1N(C)c1ccc2c(C)ccnc2c1 7.7662916 0.36507936507936506</t>
  </si>
  <si>
    <t>CNC1CCC(N(Cc2nc(C)c(C)c(C)c2C)Cc2nc(C)c(C)c(C)c2C)CC1N(Cc1ncc(C)cc1C)Cc1nc(C)c(C)c(C)c1C 7.7662873 0.24615384615384617</t>
  </si>
  <si>
    <t>CCNc1nc(CN(Cc2ccccn2)Cc2cc(C)ccn2)cc(C)c1C 7.766286 0.45454545454545453</t>
  </si>
  <si>
    <t>CCC1=NC(C2=C(C)CC(c3cccc(C4CC(C)C4)n3)C(c3cccc(CN(Cc4ccccn4)Cc4ccccn4)n3)C2C)CO1 7.7662835 0.32098765432098764</t>
  </si>
  <si>
    <t>CC(N)C1=CCC(N(C)Cc2ccccn2)=CN1 7.7662826 0.42</t>
  </si>
  <si>
    <t>CCN(Cc1ccccn1)Cc1cc(CN(Cc2ccccn2)Cc2cc(C)c(C)c(C)n2)ccn1 7.7662807 0.46511627906976744</t>
  </si>
  <si>
    <t>CNC1C(N(Cc2nc(C)c(C)c(C)c2C)Cc2nc(C)c([SiH3])c([SiH3])c2C)CCCC1N(Cc1nc(C)c([SiH3])c([SiH3])c1C)Cc1nc(C)c([SiH3])c([SiH3])c1C 7.766274 0.2413793103448276</t>
  </si>
  <si>
    <t>FCNCc1ncccc1C(c1ccccc1)c1ccccn1 7.7662735 0.3090909090909091</t>
  </si>
  <si>
    <t>CN(c1cccc2ncccc12)C1CCC(N(Cc2ccccn2)Cc2ccccn2)CC1 7.7662725 0.43137254901960786</t>
  </si>
  <si>
    <t>Cc1nc(CN(C)CCN(C)CCN(C)Cc2nc(C)c(C)c(C)c2C)c(C)c(C)c1C 7.76627 0.3611111111111111</t>
  </si>
  <si>
    <t>CN(Cc1ccc2c(n1)CCC2)C1CCCCC1N(C)c1ccc2nc(C3CC3)ccc2c1 7.7662544 0.4</t>
  </si>
  <si>
    <t>CNC1C=CC=C(N(C)Cc2cccnn2)N1 7.7662535 0.43478260869565216</t>
  </si>
  <si>
    <t>CNCc1cc(C)c(C)c(C)n1 7.766252 0.20454545454545456</t>
  </si>
  <si>
    <t>Cc1cncc(CN(C)Cc2cccnc2N(C)C(C)C)c1 7.7662516 0.36538461538461536</t>
  </si>
  <si>
    <t>CC(C)C(C)(c1cccnc1)c1cc(CN(Cc2ccccn2)Cc2ccccn2)ccn1 7.7662477 0.4166666666666667</t>
  </si>
  <si>
    <t>Cc1cccnc1CN(Cc1ccccn1)C1CCCCC1N(C)c1ccc2nc(CF)ccc2c1 7.7662477 0.4126984126984127</t>
  </si>
  <si>
    <t>CCN(CC1=CC(N(C)Cc2ccccn2)C=CN1)c1cc(C)ccc1C 7.7662477 0.36065573770491804</t>
  </si>
  <si>
    <t>CC1=CC(C)(C)C(c2cccc(CN(Cc3ccccn3)Cc3ccccn3)n2)C2=CNC(C(C)C)=CC12 7.7662396 0.3508771929824561</t>
  </si>
  <si>
    <t>Cc1ccc(CNCc2ccc(C(C)(C)C)cn2)c(C)c1 7.766239 0.2916666666666667</t>
  </si>
  <si>
    <t>Cc1cc(N2CCN(C)CCN(C)CC2)cc2ncccc12 7.7662387 0.34782608695652173</t>
  </si>
  <si>
    <t>CN1CCN(C)CC(C(C)(c2ccccc2)c2ccccn2)N(Cc2nc3ccccc3n2C)CC1 7.766235 0.49122807017543857</t>
  </si>
  <si>
    <t>CN(C)Cc1nccc2cc(N(C)Cc3ncccc3-c3cccc4c3OCCOCCOCCOCCOCCO4)ccc12 7.766233 0.23880597014925373</t>
  </si>
  <si>
    <t>CNC1NC=CC=C1N(C)Cc1cccc(F)n1 7.7662325 0.3559322033898305</t>
  </si>
  <si>
    <t>COC(C)c1nc(CN(Cc2ccccn2)Cc2ccccn2)c(CN(Cc2ccccn2)C(C)C)c(C)c1C 7.76622 0.47058823529411764</t>
  </si>
  <si>
    <t>CCOC(C)c1cccc(CN(Cc2ccccn2)C2CCCCC2N(C)c2ccc3nc(CN(C)C)ccc3c2)n1 7.7662153 0.38235294117647056</t>
  </si>
  <si>
    <t>CN(Cc1cccc(N)n1)C1CCCCC1N(C)c1cccc2ncc(CF)cc12 7.7662153 0.43333333333333335</t>
  </si>
  <si>
    <t>Cc1ccccc1CN(C)C1CCC(N(C)c2ccc3nccc(CF)c3c2)CC1 7.766214 0.2698412698412698</t>
  </si>
  <si>
    <t>CC(C)NCc1cc(CN(Cc2ccccn2)C2CCCC(N(C)c3ccc4c(CF)ccnc4c3)C2)ccn1 7.7662067 0.3194444444444444</t>
  </si>
  <si>
    <t>CC(N)C(C)N(C)CCN(C)c1ccc2cccnc2c1 7.7661996 0.3673469387755102</t>
  </si>
  <si>
    <t>Cc1ccnc(CN(Cc2ccccn2)C2CCCCC2N(C)c2ccc3c(CN(C)C(C)C)nccc3c2)c1C 7.7661986 0.3939393939393939</t>
  </si>
  <si>
    <t>Cc1ccnc(CN(C)C2CCC(N(C)c3ccc4cccnc4c3)CC2)c1 7.7661986 0.3508771929824561</t>
  </si>
  <si>
    <t>Cc1cc(N)c(CN(C)Cc2ccccn2)cc1C 7.766198 0.5</t>
  </si>
  <si>
    <t>CCCN(C)C1=C(CN(C)Cc2nc(C)c(C)c(C)c2C)CC=CN1 7.7661977 0.21052631578947367</t>
  </si>
  <si>
    <t>CC1=C(C)CC2(C=CC3(C=CNC(C(C)C)=C3)C(c3cccc(CN(Cc4ccccn4)Cc4ccccn4)n3)C2c2cccc(CN(Cc3ccccn3)Cc3ccccn3)n2)C(C)C1 7.766179 0.3157894736842105</t>
  </si>
  <si>
    <t>CN(Cc1ccccn1)C1CCC(N(C)c2ccc3c(CF)ccnc3c2)CC1 7.7661715 0.43636363636363634</t>
  </si>
  <si>
    <t>Cc1cccnc1CN(C)Cc1cccc(C(C)(c2cccnc2)C(C)C)n1 7.766165 0.35</t>
  </si>
  <si>
    <t>Cc1ccc(N(C)Cc2ccccn2)c(-c2ccc(CN(C)C3CCC(N(C)Cc4ccccn4)CC3)nc2)c1 7.766164 0.4444444444444444</t>
  </si>
  <si>
    <t>CN(c1cccc2ncc(CF)cc12)C1CCCCC1N(Cc1ccccn1)Cc1cccc(F)n1 7.7661576 0.40625</t>
  </si>
  <si>
    <t>COC(=O)C(C)NCc1nc(C)c(CN(Cc2ccccn2)Cc2ccccn2)cc1C 7.766157 0.3939393939393939</t>
  </si>
  <si>
    <t>CNCc1cc(CN(Cc2ccccn2)C2CCC(N(C)c3cccc4c(CF)ccnc34)CC2)ccn1 7.766139 0.3188405797101449</t>
  </si>
  <si>
    <t>CNCc1ccc(CN(C)C2=C(CN(C)Cc3ccccn3)NC=CC2)cn1 7.7661357 0.3492063492063492</t>
  </si>
  <si>
    <t>CN(C)Cc1cnc2cccc(N(C)C3CCCC(N(Cc4ccc(C5CCC5(C)C)nc4)Cc4ccccn4)C3)c2c1 7.766134 0.3026315789473684</t>
  </si>
  <si>
    <t>Cc1ccc(CN(C)C2CCC(N(C)c3ccc4cc(CF)cnc4c3)CC2)nc1 7.7661314 0.44642857142857145</t>
  </si>
  <si>
    <t>CC1C=CC(N(C)Cc2ncccc2C(C)(C)C)c2cccnc21 7.76613 0.26785714285714285</t>
  </si>
  <si>
    <t>CC1C=Cc2ccccc2C1N(C)Cc1ccccn1 7.766112 0.4782608695652174</t>
  </si>
  <si>
    <t>Cc1ccc(CN(C)Cc2ccc3cc(N(C)Cc4cccc(-c5ccc6c(c5)OCCOCCOCCOCCOCCO6)n4)ccc3n2)nc1 7.766111 0.359375</t>
  </si>
  <si>
    <t>CN(c1ccc2nc(CF)ccc2c1)C1CCCCC1N(Cc1cccc(F)n1)Cc1cccnc1F 7.7661104 0.4264705882352941</t>
  </si>
  <si>
    <t>Cc1cnc(CN(Cc2ncccc2C(C)(C)C)C(C)C)c(C)c1 7.76611 0.36</t>
  </si>
  <si>
    <t>CC(C)NCc1cc(C(C)(C)c2ccccn2)ccn1 7.7661076 0.3333333333333333</t>
  </si>
  <si>
    <t>CC1CC(c2cccc(CN(C)C3CCC(N(C)c4ccc5ccc(CN(C)C)nc5c4)CC3)n2)C1 7.7661057 0.3225806451612903</t>
  </si>
  <si>
    <t>CNc1ccccn1 7.766103 0.36666666666666664</t>
  </si>
  <si>
    <t>Cc1cc(CN(Cc2ccccn2)Cc2ncccc2C(C)(C)C)ccn1 7.7660985 0.45454545454545453</t>
  </si>
  <si>
    <t>CN(c1cccc2ncccc12)C1CCCC(N(Cc2cccnc2)Cc2ccccn2)C1 7.7660966 0.3709677419354839</t>
  </si>
  <si>
    <t>Cc1cc(C)c(CN(C)CCN(C)Cc2nc(C)c(C)c(C)c2C)cn1 7.766092 0.32</t>
  </si>
  <si>
    <t>CC(C)NCC1=CCC=C(N(C)Cc2ccccn2)N1 7.76609 0.4230769230769231</t>
  </si>
  <si>
    <t>CN(C)Cc1cnc2cc(N(C)C3CCC(N(CC4=CCC=CN4)Cc4ccccn4)CC3)ccc2c1 7.766084 0.4626865671641791</t>
  </si>
  <si>
    <t>Cc1cccc(CN(C)C2CCCC(N(Cc3ccccn3)Cc3cccc(-c4cccc(N(C)C)c4)n3)C2)n1 7.766078 0.44776119402985076</t>
  </si>
  <si>
    <t>Cc1cc(CN(C)Cc2cccc(N(C)C(C)C)n2)ccn1 7.766078 0.43478260869565216</t>
  </si>
  <si>
    <t>Cc1cncc(CN(C)C2CCCCC2N(C)c2cccc3c(CF)ccnc23)c1 7.7660737 0.41935483870967744</t>
  </si>
  <si>
    <t>CNCc1cc(CN(Cc2cc(C)ccn2)C2CCC(N(C)c3ccc4nc(CF)ccc4c3)CC2)ccn1 7.7660737 0.27631578947368424</t>
  </si>
  <si>
    <t>Cc1cncc(CN(C)Cc2ccc(N)cn2)c1 7.766071 0.4523809523809524</t>
  </si>
  <si>
    <t>Cc1ccc(CN(C)c2ccc3nc(CN(C)Cc4cccc(-c5ccc6c(c5)OCCOCCOCCOCCOCCO6)n4)ccc3c2)nc1 7.76607 0.359375</t>
  </si>
  <si>
    <t>Cc1nc(CN(C)C2C=CNC(CN(C)Cc3ccccn3)=C2)c(C)c(C)c1C 7.7660666 0.3898305084745763</t>
  </si>
  <si>
    <t>COC(C)c1cc(CNCc2cc(C(=O)C(C)N)ccn2)ccn1 7.7660627 0.27941176470588236</t>
  </si>
  <si>
    <t>CN(C)Cc1nccc2cc(N(C)C3CCCCC3N(CC3=CCC=CN3)Cc3ccccn3)ccc12 7.7660623 0.4492753623188406</t>
  </si>
  <si>
    <t>CCCN(CC1=CCC(N(C)Cc2nc(C)c(C)c(C)c2C)=CN1)Cc1ccccn1 7.7660584 0.40625</t>
  </si>
  <si>
    <t>CC1=CCC(C)(c2cccc(CN(Cc3ccccn3)C3CCCC(N(C)c4ccc5cc(CN(C)C)cnc5c4)C3)n2)C(C)C1 7.7660546 0.2875</t>
  </si>
  <si>
    <t>CNC1CCC(N(Cc2nc([SiH3])c(C)cc2C)Cc2nc([SiH3])c(C)c(C)c2C)CC1N(Cc1nc(C)c(C)c(C)c1C)Cc1nc(C)c([SiH3])c(C)c1C 7.766052 0.17567567567567569</t>
  </si>
  <si>
    <t>Fc1ccc(CN(Cc2ccc3ncccc3c2)C2CCCCC2N(Cc2ccccn2)c2ccccc2F)cn1 7.766047 0.36363636363636365</t>
  </si>
  <si>
    <t>CC(C)c1ccc(CN(Cc2ccccn2)Cc2ccc(N)cn2)cn1 7.766047 0.46511627906976744</t>
  </si>
  <si>
    <t>Cc1cc(CN(C)CC2=CC(N(C)Cc3ncc(C)c(C)c3C)C=CN2)ccn1 7.7660446 0.30303030303030304</t>
  </si>
  <si>
    <t>CN(Cc1ccccn1)C1C=CNC(CN(Cc2ccccn2)Cc2ccon2)=C1 7.766039 0.4482758620689655</t>
  </si>
  <si>
    <t>Cc1cncc(CN(C)C2CCCCC2N(C)c2ccc3c(CF)ccnc3c2)c1 7.7660375 0.3709677419354839</t>
  </si>
  <si>
    <t>CN(Cc1ccccn1)c1cc(-c2ccccn2)c(Cl)cc1N(C)c1cccc2c1OCCOCCOCCOCCOCCO2 7.766037 0.4827586206896552</t>
  </si>
  <si>
    <t>C=CCN(C)CCN(C)Cc1ccc2ncccc2c1 7.766018 0.4166666666666667</t>
  </si>
  <si>
    <t>Cc1ccc(CN(Cc2ccccn2)Cc2ccc3cccc(N(C)Cc4cccc(-c5ccc6c(c5)OCCOCCOCCOCCOCCO6)n4)c3n2)nc1 7.7660165 0.4266666666666667</t>
  </si>
  <si>
    <t>CN(c1cccc2cccnc12)C1CCC(N(Cc2cccnc2)Cc2cccnn2)CC1 7.766015 0.4406779661016949</t>
  </si>
  <si>
    <t>CC(NCc1cccc(C2=NC(C)(C)CO2)n1)c1cccc(C2CCC2(C)C)n1 7.7660136 0.45454545454545453</t>
  </si>
  <si>
    <t>CNCc1ncccc1CN(Cc1ccccn1)C1CCC(N(C)c2cccc3nccc(CF)c23)CC1 7.766011 0.3142857142857143</t>
  </si>
  <si>
    <t>Cc1ccnc(CN(C)C2CCC(N(C)c3ccc4ncc(CF)cc4c3)CC2)c1 7.7660055 0.296875</t>
  </si>
  <si>
    <t>Cc1ccc(CN(C)Cc2ccc3cccc(N(C)Cc4cccc(-c5ccc6c(c5)OCCOCCOCCOCCOCCO6)n4)c3n2)nc1 7.7660046 0.34177215189873417</t>
  </si>
  <si>
    <t>CN(Cc1ccccn1)C1CCC(N(C)c2ccc3nccc(CF)c3c2)CC1 7.766001 0.42857142857142855</t>
  </si>
  <si>
    <t>CC1=CC(C)CC=C1N(C)Cc1ccccn1 7.765999 0.45652173913043476</t>
  </si>
  <si>
    <t>CN(C)Cc1ccc2ccc(N(C)C3CCCCC3N(C)Cc3cccc(F)n3)cc2n1 7.7659984 0.49056603773584906</t>
  </si>
  <si>
    <t>CC1C=CC(N(C)Cc2cccc(C(C)(C)C)n2)c2cccnc21 7.7659974 0.32142857142857145</t>
  </si>
  <si>
    <t>Cc1ccnc(CN(C)Cc2ccc3cccc(N(C)Cc4cc(-c5cccc6c5OCCOCCOCCOCCOCCO6)ccn4)c3n2)c1 7.7659965 0.2987012987012987</t>
  </si>
  <si>
    <t>Cc1ccnc(CN(C)C2CCC(N(C)c3ccc4ccc(CF)nc4c3)CC2)c1 7.765996 0.328125</t>
  </si>
  <si>
    <t>Cc1ccc(CN(C)C2CCC(N(C)c3ccc4ccc(CF)nc4c3)CC2)nc1 7.765988 0.4716981132075472</t>
  </si>
  <si>
    <t>CCN(Cc1ccccn1)C1=C(N(C)Cc2cccnn2)C(C)C(C)C=C1 7.7659736 0.47058823529411764</t>
  </si>
  <si>
    <t>CC1=CC(C)C(C)(c2cccc(CN(Cc3ccccn3)C3CCCC(N(C)c4ccc5c(CN(C)C)ccnc5c4)C3)n2)CC1 7.765969 0.2875</t>
  </si>
  <si>
    <t>CCNCC1=C(N(C)Cc2nc(C)cc(C)c2C)CC=CN1 7.765969 0.1875</t>
  </si>
  <si>
    <t>CCN(Cc1ccccn1)C1=C(CN(C)Cc2ncccc2C)NC=CC1 7.7659683 0.36507936507936506</t>
  </si>
  <si>
    <t>Cc1cc(CN(C)Cc2cccc(N)n2)ccn1 7.7659607 0.4418604651162791</t>
  </si>
  <si>
    <t>CCOC(=O)C(C)NCc1cc(C)c(CN(Cc2ccccn2)Cc2cc(C)c(C)c(C)n2)cn1 7.7659564 0.3389830508474576</t>
  </si>
  <si>
    <t>Cc1cc(CN(C)C2CCCC(N(Cc3ccccn3)Cc3ccc(-c4cccc(N(C)C)c4)cn3)C2)ccn1 7.765956 0.3582089552238806</t>
  </si>
  <si>
    <t>Cc1ccc(NCc2ccccn2)c(CNCc2ccccn2)c1 7.765954 0.48717948717948717</t>
  </si>
  <si>
    <t>Cc1ccc(CN(Cc2ccc(N(C)C)cn2)C2CCC(N(C)Cc3cc(C)c(C)c(C)n3)C(N(Cc3cc(C)ccn3)Cc3cc(C)c(C)c(C)n3)C2)nc1 7.765952 0.42424242424242425</t>
  </si>
  <si>
    <t>CNC1CC(N(Cc2cc(C)ccn2)Cc2nc(C)c(C)c(C)c2C)CC(N(Cc2nc(C)c(C)c(C)c2C)Cc2nc(C)c(C)c(C)c2C)C1 7.765939 0.3050847457627119</t>
  </si>
  <si>
    <t>Cc1ccc(CN(C)C2CCC(N(C)c3ccc4ncc(CF)cc4c3)CC2)nc1 7.765935 0.43859649122807015</t>
  </si>
  <si>
    <t>CNCc1ncccc1CN(Cc1ccccn1)C1CCC(N(C)c2cccc3c(CF)ccnc23)CC1 7.7659326 0.3142857142857143</t>
  </si>
  <si>
    <t>CC(C)N(Cc1ccccn1)C1CCC(N(C)c2ccc3nc4c(cc3c2)CCC4)CC1 7.7659316 0.3709677419354839</t>
  </si>
  <si>
    <t>CNCc1ccc2cccc(N(C)C3CCC(N(C)Cc4ccon4)CC3)c2n1 7.7659307 0.41935483870967744</t>
  </si>
  <si>
    <t>Cc1cncc(CN(Cc2ccccn2)Cc2cccc(N(C)C(C)C)n2)c1 7.76593 0.41818181818181815</t>
  </si>
  <si>
    <t>CCNCc1cccc(CN(Cc2ccccn2)C2CCCC(N(C)c3ccc4c(C)ccnc4c3)C2)n1 7.765927 0.32857142857142857</t>
  </si>
  <si>
    <t>Cc1ccc(C)c(CN(C)CC2=CC(N(C)Cc3nc(C)ccc3C)C=CN2)n1 7.7659245 0.3392857142857143</t>
  </si>
  <si>
    <t>CNCc1ncccc1CN(Cc1ncccc1C)Cc1ncccc1C 7.7659163 0.3170731707317073</t>
  </si>
  <si>
    <t>Cc1ncccc1CN(C)C1CCC(N(C)c2ccc3ccc(CF)nc3c2)CC1 7.765916 0.3384615384615385</t>
  </si>
  <si>
    <t>Cc1cc(CN(Cc2ccccn2)C2CCCC(N(C)CCN(C)c3cccc4ncccc34)C2)nc(C)c1C 7.7659135 0.34782608695652173</t>
  </si>
  <si>
    <t>CC(C)C1=CC2C(=CN1)C=C(c1cccc(CN(Cc3ccccn3)Cc3ccccn3)n1)C(C)C2(C)C 7.7659097 0.38571428571428573</t>
  </si>
  <si>
    <t>Cc1cnc(CN(C)Cc2ncccc2N(C)C(C)(C)C)cc1C 7.765909 0.3469387755102041</t>
  </si>
  <si>
    <t>CC(C)N(C)Cc1ccc(N(C)Cc2ccccn2)cn1 7.7659025 0.5</t>
  </si>
  <si>
    <t>Cc1cc(CN(C)C2C=CNC(CN(C)C)=C2)nc(C)c1C 7.765894 0.3157894736842105</t>
  </si>
  <si>
    <t>CN(Cc1ncccc1-c1cccc2c1OCCOCCOCCOCCOCCO2)Cc1ccnc2cc(N(C)Cc3ccccn3)ccc12 7.765888 0.30985915492957744</t>
  </si>
  <si>
    <t>CC1=NC(C(C)N(Cc2ccccn2)Cc2cc(C(C)(C)c3ccccn3)ccn2)CO1 7.7658825 0.3728813559322034</t>
  </si>
  <si>
    <t>CC(C)c1ccc(CN(Cc2ccccn2)Cc2cc(N)ccn2)cn1 7.765881 0.45454545454545453</t>
  </si>
  <si>
    <t>CNC1CCCC(N(Cc2nc(C)c(C)c(C)c2C)Cc2nc(C)c(C)c(C)c2C)C1N(Cc1nc(C)c(C)c(C)c1C)Cc1nc(C)c([SiH3])c([SiH3])c1C 7.7658753 0.22950819672131148</t>
  </si>
  <si>
    <t>Cc1cccnc1CN(C)C1CCCCC1N(C)c1cccc2nc(CF)ccc12 7.7658744 0.4918032786885246</t>
  </si>
  <si>
    <t>Cc1ccc(CN(C)C2CCC(N(C)Cc3cc(-c4cccc(N(C)C)c4)ccn3)CC2)nc1C 7.765863 0.3389830508474576</t>
  </si>
  <si>
    <t>Cc1ccnc(CN(C)C2=C(CNC(C)C)NC=CC2)c1 7.76586 0.3103448275862069</t>
  </si>
  <si>
    <t>Cc1cc(C)c(CN(C)CCN(C)C)nc1C 7.7658596 0.358974358974359</t>
  </si>
  <si>
    <t>Cc1cncc(CN(C)C2CCCCC2N(C)c2ccc3nc(CN(C)C)ccc3c2)c1 7.765858 0.41379310344827586</t>
  </si>
  <si>
    <t>CC(C)C1=CC2(C=CN1)C=CC(C)(C)C(c1cccc(CN(Cc3ccccn3)Cc3ccccn3)n1)C2c1cccc(CN(Cc2ccccn2)Cc2ccccn2)n1 7.765857 0.37037037037037035</t>
  </si>
  <si>
    <t>CC1(C)C=CCC(C)(c2cccc(CN(Cc3cccc(C4(C)CC(C)(C)C4)n3)Cc3cccc(C4(C)CC(C)(C)C4)n3)n2)C1 7.765853 0.2857142857142857</t>
  </si>
  <si>
    <t>CN(Cc1cccnn1)C1CCC(N(C)c2cccc3nccc(CF)c23)CC1 7.765846 0.38181818181818183</t>
  </si>
  <si>
    <t>CC(C)N(C)Cc1ncccc1C(C)(C)N(C)c1cccnc1CN(Cc1ccccn1)Cc1ncccc1F 7.7658443 0.37735849056603776</t>
  </si>
  <si>
    <t>CN(C)Cc1cnc2cc(N(C)C3CCCCC3N(Cc3ccccn3)Cc3ncccc3CF)ccc2c1 7.7658443 0.3880597014925373</t>
  </si>
  <si>
    <t>CC(C)N(C)c1cccc(CN(Cc2ccccn2)Cc2ccc(F)cn2)n1 7.7658396 0.48</t>
  </si>
  <si>
    <t>CNC1NC=CC=C1N(C)C1CCC(N(C)c2ccc3c(CF)ccnc3c2)CC1 7.7658386 0.20270270270270271</t>
  </si>
  <si>
    <t>CC(C)N(Cc1ccccn1)Cc1cccc(N(C)C2C=CC=CN2)n1 7.765838 0.47058823529411764</t>
  </si>
  <si>
    <t>CN(c1ccc2ccc(-c3ccc4c(c3)OCCOCCOCCOCCOCCO4)nc2c1)C1CCC(N(C)c2cccc3cccnc23)CC1 7.765837 0.4</t>
  </si>
  <si>
    <t>Cc1cc(C)c(CN(CCN(C)Cc2ncccc2C)Cc2nc(C)c(C)cc2C)nc1C 7.765833 0.3877551020408163</t>
  </si>
  <si>
    <t>Cc1nc(CN(C)C2CCCC(N(C)Cc3ccnc4cccc(C)c34)C2)c(C)c(C)c1C 7.765829 0.2857142857142857</t>
  </si>
  <si>
    <t>Cc1cccnc1CN(C)C1C=CNC(CN(C)Cc2ncc(C)c(C)c2C)=C1 7.765817 0.2923076923076923</t>
  </si>
  <si>
    <t>Cc1ccnc(CN(C)CCN(Cc2nc(C)c(C)cc2C)Cc2nc(C)c(C)cc2C)c1 7.7658043 0.3829787234042553</t>
  </si>
  <si>
    <t>CN(Cc1cccc(F)n1)c1c(N(C)C2CCC(N(C)Cc3ccccn3)CC2)ccc(Cl)c1Cl 7.765802 0.423728813559322</t>
  </si>
  <si>
    <t>CN(Cc1ccccn1)C1CCCC(N(C)c2cccc3c(CF)ccnc23)C1 7.7657976 0.43859649122807015</t>
  </si>
  <si>
    <t>Cc1cc(CN(C)C2CCCCC2N(C)c2cccc3nc(F)ccc23)ccn1 7.765791 0.4</t>
  </si>
  <si>
    <t>COC(=O)C(C)NCc1cc(C)c(CN(Cc2ccccn2)Cc2ccccn2)c(C)n1 7.765787 0.39215686274509803</t>
  </si>
  <si>
    <t>CN(Cc1ccc2c(n1)CCC2)C1CCCCC1N(C)c1ccc2c(CF)ccnc2c1 7.7657866 0.37681159420289856</t>
  </si>
  <si>
    <t>C#Cc1cncc(CN(Cc2ccccn2)C2CCCCC2N(C)c2cccc3c(CF)ccnc23)c1 7.7657866 0.3698630136986301</t>
  </si>
  <si>
    <t>Cc1cc(C)c(C)c(CN(C)C2=C(CN(C)C(C)(C)C)NC=CC2)n1 7.7657824 0.20689655172413793</t>
  </si>
  <si>
    <t>CNCc1cccc(CN(Cc2ccccn2)C2CCC(N(C)c3ccc4c(CF)ccnc4c3)CC2)n1 7.765782 0.3382352941176471</t>
  </si>
  <si>
    <t>CNCC1=CCC(N(C)Cc2ccccn2)=CN1 7.765778 0.42</t>
  </si>
  <si>
    <t>Cc1ccc(N(C)CCN(C)Cc2ccccn2)c(C)c1 7.7657766 0.4888888888888889</t>
  </si>
  <si>
    <t>Cc1cc(CN(C)C2CCCCC2N(Cc2cccc(-c3ccccn3)n2)Cc2nc(C)c(C)c(C)c2C)nc(C)c1C 7.7657723 0.45901639344262296</t>
  </si>
  <si>
    <t>CNCC1=C(N(C)Cc2ccccn2)CC=CN1 7.765771 0.42592592592592593</t>
  </si>
  <si>
    <t>CN1CCN(Cc2ccccn2)CCN(Cc2cc(N(C)Cc3cc(-c4ccc(Cl)cc4N)ccn3)ccn2)CC1 7.765769 0.4745762711864407</t>
  </si>
  <si>
    <t>CN(C)Cc1ccc2cc(N(Cc3ccccn3)Cc3ncccc3-c3ccc4c(c3)OCCOCCOCCOCCOCCO4)ccc2n1 7.765765 0.34782608695652173</t>
  </si>
  <si>
    <t>C1=CC(NCc2ccccn2)NC(NCc2ccccn2)=C1 7.765754 0.40476190476190477</t>
  </si>
  <si>
    <t>CN(Cc1ccc2c(n1)CCC2)C1CCCCC1N(C)c1ccc2nccc(CF)c2c1 7.7657504 0.37142857142857144</t>
  </si>
  <si>
    <t>CC(C)C(C)(c1cccnc1)c1cccc(CN(Cc2ccccn2)Cc2cccc(C(C)(C)C)n2)n1 7.7657466 0.4166666666666667</t>
  </si>
  <si>
    <t>Cc1cncc(CN(C)C2CCCC(N(C)c3cccc4ncccc34)C2)c1 7.765746 0.3125</t>
  </si>
  <si>
    <t>Cc1cccnc1CN(C)C1=CNC(CNC(C)C)=CC1 7.765742 0.2542372881355932</t>
  </si>
  <si>
    <t>CN(c1cccc2cccnc12)C1CCCC(N(CC2=CCC=CN2)Cc2ccccn2)C1 7.7657404 0.49206349206349204</t>
  </si>
  <si>
    <t>CNCc1cc(CN(Cc2ccccn2)C2CCC(N(C)c3ccc4c(CF)ccnc4c3)CC2)ccn1 7.7657385 0.3235294117647059</t>
  </si>
  <si>
    <t>Cc1cccnc1CN(C)C1=CNC(C(C)(C)C)=CC1 7.765738 0.2777777777777778</t>
  </si>
  <si>
    <t>CNCc1cccc(-c2cccc(CN(C)C3CCC(N(C)Cc4ccc5ncccc5c4)CC3)n2)c1 7.7657323 0.352112676056338</t>
  </si>
  <si>
    <t>Cc1cccc(CN(C)C2CCC(N(C)c3ccc4nc(CF)ccc4c3)CC2)n1 7.765724 0.46296296296296297</t>
  </si>
  <si>
    <t>Cc1cccnc1CN(C)C1CCC(N(C)c2ccc3nc(CF)ccc3c2)CC1 7.7657204 0.3333333333333333</t>
  </si>
  <si>
    <t>CC(C)c1cccc(CN(Cc2ccccn2)c2ccc3nc(CN(C)Cc4cccc(-c5ccc6c(c5)OCCOCCOCCOCCOCCO6)n4)ccc3c2)n1 7.765719 0.4</t>
  </si>
  <si>
    <t>CC1=C(N(C)Cc2ccccn2)CC(C)C(c2ccc(CN(C)Cc3ccccn3)cn2)C1(C)C 7.765717 0.38333333333333336</t>
  </si>
  <si>
    <t>CN(Cc1ccccn1)Cc1cccc(N(C)Cc2cccc(C3CCC3(C)C)n2)n1 7.765715 0.49056603773584906</t>
  </si>
  <si>
    <t>Cc1cccnc1CN(C)C1CCCCC1N(C)c1cccc2ncc(CF)cc12 7.7657084 0.4032258064516129</t>
  </si>
  <si>
    <t>CNC1CC(N(Cc2nc(C)c(C)c(C)c2C)Cc2nc(C)c(C)c(C)c2C)CCC1N(Cc1ncc(C)c(C)c1C)Cc1nc(C)c(C)c(C)c1C 7.7657013 0.23809523809523808</t>
  </si>
  <si>
    <t>Cc1c(C)c(C)c(N(Cc2ccccn2)C(C)(C)N(Cc2ccccn2)c2ccc(N=Cc3ccccn3)c3c2OCCOCCOCCOCCOCCO3)c(N=Cc2ccccn2)c1C 7.7657003 0.3194444444444444</t>
  </si>
  <si>
    <t>Cc1cccc(CN(C)Cc2ccc3cccc(N(C)Cc4cccc(-c5ccc6c(c5)OCCOCCOCCOCCOCCO6)n4)c3n2)n1 7.765691 0.36065573770491804</t>
  </si>
  <si>
    <t>CCN(Cc1ccccn1)Cc1ccc(C(C)(C)C)c(CN(C)Cc2nc(C)ccc2C)n1 7.765687 0.39655172413793105</t>
  </si>
  <si>
    <t>Cc1cccc(CNCc2ncccc2C(C)(C)c2ccccn2)c1 7.7656865 0.3114754098360656</t>
  </si>
  <si>
    <t>CC(C)C(C)(c1ccccn1)c1ncccc1CN(Cc1ccccn1)Cc1ccccn1 7.7656846 0.4878048780487805</t>
  </si>
  <si>
    <t>Cc1cnccc1CN(C)CC1=CC(N(C)Cc2cc(C)c(C)c(C)n2)C=CN1 7.7656817 0.2835820895522388</t>
  </si>
  <si>
    <t>Cc1ccc(CN(C)CC2=CC(N(C)Cc3cc(C)c(C)c(C)n3)C=CN2)nc1 7.765681 0.4</t>
  </si>
  <si>
    <t>CC1=CC(C)CCC1(C)c1ncccc1CN(Cc1ccccn1)C1CCCCC1N(C)c1ccc2nccc(CN(C)C)c2c1 7.7656794 0.34210526315789475</t>
  </si>
  <si>
    <t>Cc1ccc(CN(Cc2ccccn2)c2ccc3nc(CN(C)Cc4cccc(-c5ccc6c(c5)OCCOCCOCCOCCOCCO6)n4)ccc3c2)nc1 7.7656784 0.4057971014492754</t>
  </si>
  <si>
    <t>Cc1cc(CN2CCN(C)CCN(Cc3cc(-c4ccc(N=Cc5ccccn5)cc4)ccn3)CC2)nc(C)c1C 7.765678 0.4262295081967213</t>
  </si>
  <si>
    <t>Cc1ccnc(CN(C)CN(C)Cc2ncc(C)c(C)c2C)c1C 7.765675 0.32558139534883723</t>
  </si>
  <si>
    <t>Cc1ccc(C2CCC2(C)C)nc1CN(Cc1ccccn1)C1CCC(N(C)c2ccc3nccc(CF)c3c2)CC1 7.7656746 0.27848101265822783</t>
  </si>
  <si>
    <t>Cc1cc(CNCCN(C)Cc2nc(C)c(C)c(C)c2C)nc(C)c1C 7.76567 0.28</t>
  </si>
  <si>
    <t>C=CCN(C)CC1=C(N(C)Cc2nc(C)c(C)c(C)c2C)CC=CN1 7.765665 0.18333333333333332</t>
  </si>
  <si>
    <t>CCN(Cc1ccccn1)Cc1cc(N(C)C(C)(C)c2ccccn2)ccn1 7.765663 0.4489795918367347</t>
  </si>
  <si>
    <t>CC(C)C1=CC2(C=CN1)C=CC(C)c1cccnc12 7.7656584 0.19298245614035087</t>
  </si>
  <si>
    <t>Cc1cncc(CN(C)C2CCC(N(Cc3ccc4ncccc4c3)Cc3nc(C)c(C)c(C)c3C)CC2)c1 7.7656517 0.2361111111111111</t>
  </si>
  <si>
    <t>CC(C)N(C)CCNc1ccc2ncccc2c1 7.7656484 0.32653061224489793</t>
  </si>
  <si>
    <t>Cc1cncc(CN(C)Cc2cc(N)ccn2)c1 7.7656474 0.34782608695652173</t>
  </si>
  <si>
    <t>CC(C)N(C)CCNc1ccc2cccnc2c1 7.7656426 0.32653061224489793</t>
  </si>
  <si>
    <t>CC(C)N(Cc1ccccn1)C1CCC(N(C)c2ccc3cc4c(nc3c2)CCC4)CC1 7.7656345 0.3770491803278688</t>
  </si>
  <si>
    <t>Cc1cccnc1CN(C)Cc1cccc(N(C)C(C)C)n1 7.765634 0.42</t>
  </si>
  <si>
    <t>Cc1cc(C)c(C)c(CN(C)CC2=CCC(N(C)C(C)C)=CN2)n1 7.7656283 0.23214285714285715</t>
  </si>
  <si>
    <t>CN(Cc1ccccn1)C1=C(CN(C)C(C)(C)c2ccccn2)NC=CC1 7.765628 0.41509433962264153</t>
  </si>
  <si>
    <t>CC1=C(C)C(C)CC2(C1)CC1(CC(C)=C(C)C(C)C1)C(c1cc(CN(Cc3ccccn3)Cc3ccccn3)ccn1)C=C2c1cc(CN(Cc2ccccn2)Cc2ccccn2)ccn1 7.765624 0.3225806451612903</t>
  </si>
  <si>
    <t>CC1=CCC(C)C=C1N(C)Cc1ccccn1 7.765621 0.45652173913043476</t>
  </si>
  <si>
    <t>Cc1ccnc(CN(C)C2C=CNC(CN(C)Cc3nc(C)cc(C)c3C)=C2)c1 7.7656097 0.27941176470588236</t>
  </si>
  <si>
    <t>CNC1C=CC=C(N(C)Cc2ccccn2)N1 7.7656083 0.4375</t>
  </si>
  <si>
    <t>CN(Cc1ncccc1F)C1CCCC(N(C)c2ccc3cccnc3c2)C1 7.7656083 0.3064516129032258</t>
  </si>
  <si>
    <t>Cc1ccc(CN(C)Cc2ccc(C(C)(C)C)cn2)cc1C 7.765608 0.4090909090909091</t>
  </si>
  <si>
    <t>CCC(=O)C(=O)C(C)C(=O)C(=O)C(C)C(=O)C(=O)C(C)C(=O)C(=O)C(C)C(=O)C(=O)C(C)C(=O)C(=O)C(C)C(=O)C(=O)C(C)C(=O)C(=O)C(C)C(=O)C(=O)C(C)C(=O)C(=O)C(C)C(=O)C(=O)C(=O)C(C)C(=O)c1cccnc1C1CCC1(C)C 7.765605 0.21333333333333335</t>
  </si>
  <si>
    <t>Cc1cncc(CN(C)CC2=CC(N(C)Cc3cc(C)c(C)c(C)n3)C=CN2)c1 7.7655983 0.2835820895522388</t>
  </si>
  <si>
    <t>CNCc1ncccc1CN(Cc1ccccn1)C1CCC(N(C)c2ccc3c(CF)ccnc3c2)CC1 7.765596 0.3142857142857143</t>
  </si>
  <si>
    <t>Cc1cccnc1CN(C)Cc1cccc(N(C)C(C)(C)c2cccnc2CN(C)C(C)C)n1 7.765593 0.35</t>
  </si>
  <si>
    <t>CC(N)C(C)(c1cccnc1)c1ncccc1CN(Cc1ccccn1)Cc1ccccn1 7.7655916 0.425531914893617</t>
  </si>
  <si>
    <t>CNCc1cc(CN(C)C2CCC(N(C)c3ccc4c(C)ccnc4c3)CC2)ccn1 7.7655888 0.265625</t>
  </si>
  <si>
    <t>CC(C)C1CN=C(c2cccnc2CN(C)Cc2ccccn2)O1 7.76558 0.41509433962264153</t>
  </si>
  <si>
    <t>Cc1ccc(C2CCC2(C)C)nc1CN(Cc1ccccn1)C1CCC(N(C)c2ccc3nc(CN(C)C)ccc3c2)CC1 7.765571 0.3287671232876712</t>
  </si>
  <si>
    <t>CN(Cc1ccccn1)C1=CNC=C(CN(C)C(C)(C)c2ccccn2)C1 7.765568 0.41509433962264153</t>
  </si>
  <si>
    <t>CNCc1cccc(CN(Cc2ccccn2)C2CCC(N(C)c3ccc4nccc(CF)c4c3)CC2)n1 7.7655673 0.3333333333333333</t>
  </si>
  <si>
    <t>CN(Cc1cccc(C(C)(C)C)n1)C1CCC(N(C)c2ccc3nc(CF)ccc3c2)CC1 7.7655597 0.35384615384615387</t>
  </si>
  <si>
    <t>CC(c1ccccn1)c1cccnn1 7.765559 0.39473684210526316</t>
  </si>
  <si>
    <t>CNCc1cc(CN(Cc2ccccn2)C2CCC(N(C)c3ccc4nccc(CF)c4c3)CC2)ccn1 7.7655554 0.3188405797101449</t>
  </si>
  <si>
    <t>CN(c1cccc2cccnc12)C1CCC(N(Cc2ccccn2)Cc2cccnn2)CC1 7.765552 0.48148148148148145</t>
  </si>
  <si>
    <t>Cc1cncc(CN(C)c2cc(Cl)cc(Cl)c2N(C)Cc2cc(-c3ccc4c(c3)OCCOCCOCCOCCOCCO4)ccn2)c1 7.7655516 0.32098765432098764</t>
  </si>
  <si>
    <t>Cc1cnc(CN(C)C2CCCC(N(C)Cc3cncc(-c4cccc(N(C)C)c4)c3)C2)c(C)c1C 7.7655454 0.26865671641791045</t>
  </si>
  <si>
    <t>Cc1cncc(CN(C)Cc2ccc(N(C)C(C)C)cn2)c1 7.765544 0.4444444444444444</t>
  </si>
  <si>
    <t>CC1=CC(C)C(C)C(C)(c2cccc(CN(Cc3ccccn3)C3CCC(N(C)Cc4ncccc4-c4ccc5ncccc5c4)CC3)n2)C1 7.765539 0.2875</t>
  </si>
  <si>
    <t>Cc1cnc(CN(C)C2=CNC(CN(Cc3ccccn3)CC(C)(C)C)=CC2)c(C)c1C 7.765537 0.4482758620689655</t>
  </si>
  <si>
    <t>CN(Cc1cccc(-c2ccc3c(c2)OCCOCCOCCOCCOCCO3)n1)C1=C(CN(C)c2ccc3cccnc3c2)NC=CC1 7.7655344 0.2823529411764706</t>
  </si>
  <si>
    <t>Cc1ccc(CN(Cc2cccc(C(C)(C)c3ccccn3)n2)C2CCC(N(C)Cc3cc(-c4ccccn4)ccn3)CC2)nc1 7.765532 0.36231884057971014</t>
  </si>
  <si>
    <t>Cc1cc(C)c(CN(C)CCN(C)Cc2ncc(C)c(C)c2C)nc1C 7.76553 0.37209302325581395</t>
  </si>
  <si>
    <t>CNCc1cccc(CN(Cc2cccc(F)n2)C2CCC(N(C)c3cccc4nc(CF)ccc34)CC2)n1 7.7655234 0.34782608695652173</t>
  </si>
  <si>
    <t>Cc1ccc(C)c(CN(Cc2ccccn2)Cc2cc(C(C)(C)C)ccn2)c1 7.7655215 0.47619047619047616</t>
  </si>
  <si>
    <t>CC1=C(C)C(C)C(N(C)Cc2cc(N)ccn2)C(c2ccc(CN(Cc3ccccn3)C3CCC(N(C)c4ccc5nccc(CF)c5c4)CC3)cn2)C1 7.765521 0.2727272727272727</t>
  </si>
  <si>
    <t>CN(Cc1cccc(-c2ccc3c(c2)OCCOCCOCCOCCOCCO3)n1)C1=C(CN(C)c2ccc3ncccc3c2)NC=CC1 7.7655196 0.2857142857142857</t>
  </si>
  <si>
    <t>CCN(Cc1ccccn1)Cc1nc(C)c(C)o1 7.765517 0.5</t>
  </si>
  <si>
    <t>Cc1ccc(CN(C)Cc2ccc(CN(Cc3ccccn3)Cc3cccnc3F)nc2)nc1 7.765512 0.4489795918367347</t>
  </si>
  <si>
    <t>Cc1cccnc1CN(C)Cc1cc(C(C)(C)C)ccn1 7.7655067 0.35294117647058826</t>
  </si>
  <si>
    <t>CC(NCc1ccccn1)c1ccc(CNc2cccc(CF)n2)nc1 7.765506 0.3333333333333333</t>
  </si>
  <si>
    <t>CC(C)(C)c1cccnc1CN(Cc1cccnc1F)Cc1ncccc1C(C)(C)C 7.7655053 0.32608695652173914</t>
  </si>
  <si>
    <t>CN(Cc1cc(-c2ccc3c(c2)OCCOCCOCCOCCOCCO3)ccn1)c1ccc2nc(CN(C)C3CCCCC3N(C)c3ccc4nc(CF)ccc4c3)ccc2c1 7.765502 0.34523809523809523</t>
  </si>
  <si>
    <t>CN(c1cccc2ncccc12)C1CCCC(N(Cc2ccccn2)Cc2ccccn2)C1 7.7654996 0.4339622641509434</t>
  </si>
  <si>
    <t>CC(C)c1cc(CN(Cc2ccccn2)C2CCCCC2N(C)c2ccc3nc(CF)ccc3c2)ccn1 7.765499 0.3888888888888889</t>
  </si>
  <si>
    <t>C1=CC(CSCc2ccccn2)C(SCc2ccccn2)=CN1 7.765496 0.4523809523809524</t>
  </si>
  <si>
    <t>CN(Cc1cccnn1)C1CCCC(N(C)c2cccc3ncc(CF)cc23)C1 7.7654915 0.35</t>
  </si>
  <si>
    <t>CC1=CC(C)C(C)C(N(C)Cc2ccc(-c3ccccc3N(C)C)cn2)C1 7.7654757 0.38596491228070173</t>
  </si>
  <si>
    <t>CNCc1ccc2cccc(N(C)C3CCC(N(Cc4ccccn4)Cc4ncccc4C)CC3)c2n1 7.765474 0.37142857142857144</t>
  </si>
  <si>
    <t>CC(N)C(C)N(C)CCN(C)c1cccc2ncccc12 7.7654653 0.4666666666666667</t>
  </si>
  <si>
    <t>CN(c1ccc2nc(CF)ccc2c1)C1CCC(N(Cc2ccccn2)Cc2cccc(C3CC(C)(C)C3)n2)CC1 7.765462 0.35294117647058826</t>
  </si>
  <si>
    <t>Cc1cnc(CN(C)C(C)C)c(CN(C)c2ccccc2F)c1 7.7654514 0.2909090909090909</t>
  </si>
  <si>
    <t>CN(Cc1ccc(C2=CCC=CN2)cn1)C1CCC(N(C)Cc2ccc(-c3ccccn3)cn2)CC1 7.765447 0.4098360655737705</t>
  </si>
  <si>
    <t>CCNCc1cc(CN(Cc2ncccc2C)C2CCCC(N(C)c3ccc4nccc(CF)c4c3)C2)ccn1 7.765443 0.2345679012345679</t>
  </si>
  <si>
    <t>Cc1ccnc(CN(C)Cc2cc(C(C)(C)C)ccn2)c1 7.765438 0.4090909090909091</t>
  </si>
  <si>
    <t>Cc1ccc(C)c(CN(C)C2=CNC(CN(C)CC(C)C)=CC2)n1 7.765437 0.25</t>
  </si>
  <si>
    <t>CCN(Cc1ncccc1C(C)(C)C)Cc1nc(C)c(C)c(C)c1C 7.7654343 0.2830188679245283</t>
  </si>
  <si>
    <t>CC1=CC(C)C2(C=C(c3ccc(CN(Cc4ccccn4)Cc4ccccn4)cn3)C3(CC(C)C(C)=CC3C)C(c3ccc(CN(Cc4ccccn4)C4CCC(N(C)c5ccc6ncc(CF)cc6c5)CC4)cn3)C2)C(C)C1 7.7654285 0.22935779816513763</t>
  </si>
  <si>
    <t>Cc1ccnc(CN(C)Cc2ccc3cc(N(C)Cc4cc(-c5ccc6c(c5)OCCOCCOCCOCCOCCO6)ccn4)ccc3n2)c1 7.7654285 0.34210526315789475</t>
  </si>
  <si>
    <t>Cc1cnc(CN(C)Cc2cc(-c3cccc(N(C)Cc4cc(-c5cccc6c5OCCOCCOCCOCCOCCO6)ccn4)c3)ccn2)c(C)c1 7.765425 0.2413793103448276</t>
  </si>
  <si>
    <t>CNCc1ncccc1CN(Cc1ccccn1)C1CCC(N(C)c2ccc3nccc(CF)c3c2)CC1 7.765418 0.30985915492957744</t>
  </si>
  <si>
    <t>CN(Cc1cccnn1)C1=CC=CCN1 7.765415 0.4878048780487805</t>
  </si>
  <si>
    <t>CC1=C(c2ccccn2)CC(N(Cc2ccccn2)Cc2ccccn2)CC12C=CNC(C(C)C)=C2 7.7654123 0.3181818181818182</t>
  </si>
  <si>
    <t>Cc1ccc(CN(Cc2ccc(CN(Cc3ccccn3)Cc3ncccc3F)nc2)Cc2ccccn2)nc1 7.765405 0.45454545454545453</t>
  </si>
  <si>
    <t>CC(C)N(Cc1ccccn1)C1CCCC(N(C)c2cccc3ncc(CN(C)C)cc23)C1 7.7653966 0.36507936507936506</t>
  </si>
  <si>
    <t>Cc1cc(CNCc2ccccn2)cc(NCc2ccccn2)c1 7.7653913 0.48717948717948717</t>
  </si>
  <si>
    <t>CN(Cc1cc(-c2ccc3c(c2)OCCOCCOCCOCCOCCO3)ccn1)Cc1ccnc2ccc(N(C)Cc3ccccn3)cc12 7.76539 0.3235294117647059</t>
  </si>
  <si>
    <t>CNCc1cccc(CN(C)C2=C(CN(C)Cc3ccccn3)NC=CC2)n1 7.765383 0.43859649122807015</t>
  </si>
  <si>
    <t>Cc1cccnc1CN(C)C1=C(CN(Cc2cccnc2CF)C(C)C)NC=CC1 7.7653775 0.2698412698412698</t>
  </si>
  <si>
    <t>Cc1ccnc2cc(N3CCN(C)CCN(C)CC3)ccc12 7.765371 0.3695652173913043</t>
  </si>
  <si>
    <t>CNCc1cc(CN(Cc2cccc(C)n2)C2CCC(N(C)c3ccc4nc(CF)ccc4c3)CC2)ccn1 7.765368 0.3333333333333333</t>
  </si>
  <si>
    <t>CN(Cc1cc(C(C)(C)C)ccn1)Cc1cc(C(C)(C)C)ccn1 7.765368 0.38095238095238093</t>
  </si>
  <si>
    <t>C1=CC(c2ccccn2)C=CN1 7.76536 0.3111111111111111</t>
  </si>
  <si>
    <t>CNCc1cccc(CN(Cc2ncccc2C)C2CCC(N(C)c3ccc4nc(CF)ccc4c3)CC2)n1 7.765356 0.2987012987012987</t>
  </si>
  <si>
    <t>Cc1cc(N(Cc2cccnn2)C2CCCCC2)c(C)c(N(C)Cc2ccccn2)c1C 7.7653537 0.42857142857142855</t>
  </si>
  <si>
    <t>CNc1ccnc(CNCc2cccc(F)n2)c1 7.7653446 0.3488372093023256</t>
  </si>
  <si>
    <t>Cc1ccnc2cc(N(C)C3CCCC(N(C)Cc4cccnc4CNC(C)C)C3)ccc12 7.76534 0.2535211267605634</t>
  </si>
  <si>
    <t>Cc1cnccc1CN(C)C1CCCCC1N(C)c1cccc2c(CF)ccnc12 7.7653303 0.4406779661016949</t>
  </si>
  <si>
    <t>CNCc1cccc(CN(Cc2ccccn2)Cc2ncc(N)cc2C)n1 7.7653303 0.425531914893617</t>
  </si>
  <si>
    <t>Cc1cc(CN(C)CCN(C)Cc2nc(C)c(C)c(C)c2C)cnc1C 7.7653255 0.32608695652173914</t>
  </si>
  <si>
    <t>CC(C)C1=CC2C(=CN1)C=C(c1ccc(CN(Cc3ccccn3)Cc3ccccn3)cn1)C(C)C2(C)C 7.765324 0.3333333333333333</t>
  </si>
  <si>
    <t>Cc1cc(CN(C)C2=C(CN(Cc3ccccn3)CC(C)(C)C)NC=CC2)nc(C)c1C 7.7653213 0.4262295081967213</t>
  </si>
  <si>
    <t>CN(Cc1ccc(-c2ccc3c(c2)OCCOCCOCCOCCOCCO3)cn1)C1=CCC(CN(C)c2ccc3cccnc3c2)=CN1 7.7653174 0.36585365853658536</t>
  </si>
  <si>
    <t>CNC1CCC(N(Cc2ncc(C)c(C)c2C)Cc2nc(C)c(C)c(C)c2C)CC1N(Cc1nc(C)c(C)c(C)c1C)Cc1nc(C)c(C)c(C)c1C 7.7653165 0.23809523809523808</t>
  </si>
  <si>
    <t>Cc1cccnc1CN(C)C1CCC(N(C)c2ccc3cc(CF)cnc3c2)CC1 7.7653127 0.26153846153846155</t>
  </si>
  <si>
    <t>CC1(C)CC(c2cc(CN(Cc3ccccn3)Cc3ncccc3F)cc(CN(Cc3ccccn3)Cc3ccccn3)n2)C1 7.7653127 0.39215686274509803</t>
  </si>
  <si>
    <t>CN(c1ccc2ncccc2c1)C1CCCC(N(Cc2ccccn2)Cc2cccnn2)C1 7.765309 0.43636363636363634</t>
  </si>
  <si>
    <t>CC(C)N(CC1=CCC(N(C)Cc2ccccn2)=CN1)Cc1cccnc1 7.7653036 0.40350877192982454</t>
  </si>
  <si>
    <t>CN(Cc1cccc(C2=CCC=CN2)n1)Cc1cccc(C2CCC2(C)C)n1 7.7652936 0.35</t>
  </si>
  <si>
    <t>Cc1ccc(CN(Cc2ccccn2)Cc2cccc(N(C)C(C)C)n2)nc1 7.765286 0.4897959183673469</t>
  </si>
  <si>
    <t>Cc1ccnc(CN(C)C2C=CNC(CN(C)Cc3cc(C)c(C)c(C)n3)=C2)c1 7.7652855 0.2835820895522388</t>
  </si>
  <si>
    <t>CC1=CC(C)C(C)C2(C1)C(c1ncccc1CN(Cc1ccccn1)C1CCCCC1N(C)c1cccc3c(CN(C)C)ccnc13)=C(c1ccccn1)CCC21CC(C)(C)C=C(C)C1C 7.765284 0.27722772277227725</t>
  </si>
  <si>
    <t>Cc1ccnc(CN(C)CC2=CC(N(C)Cc3cc(C)c(C)c(C)n3)C=CN2)c1 7.7652817 0.2835820895522388</t>
  </si>
  <si>
    <t>CC(C)C(C)N(C)CCN(C)c1ccc2cccnc2c1 7.765275 0.3829787234042553</t>
  </si>
  <si>
    <t>C=C1C=CNC(CN(C)C2CCCCC2N(C)c2ccc3cccnc3c2)=C1 7.76527 0.3870967741935484</t>
  </si>
  <si>
    <t>Cc1cc(C)c(C)c(CN(C)C2=C(CN(C)C(C)C)NC=CC2)n1 7.7652693 0.2033898305084746</t>
  </si>
  <si>
    <t>CNCc1nccc2cccc(N(C)C3CCCCC3N(Cc3ccccn3)Cc3ncccc3C)c12 7.765263 0.4153846153846154</t>
  </si>
  <si>
    <t>Cc1cnc(CN(C)C2=CNC(CN(C)C(C)C)=CC2)c(C)c1C 7.7652583 0.21875</t>
  </si>
  <si>
    <t>Cc1cccc(CN(C)C2CCC(N(C)c3ccc4cc(CF)cnc4c3)CC2)n1 7.7652497 0.43859649122807015</t>
  </si>
  <si>
    <t>CNCc1cc(CN(Cc2ccccn2)Cc2ncc(C)c(C)c2C)ccn1 7.765248 0.4444444444444444</t>
  </si>
  <si>
    <t>Cc1cnc(CN(C)C2CCC(N(Cc3ccccn3)Cc3cccc(-c4cccc(Cl)c4Cl)n3)CC2)c(C)c1 7.7652416 0.373134328358209</t>
  </si>
  <si>
    <t>CN(C1=CCC=CN1)C1CCCCC1N(C)c1ccc2cc(CF)cnc2c1 7.7652397 0.375</t>
  </si>
  <si>
    <t>CN(Cc1ccc2c(n1)CCC2)C1CCC(N(C)c2ccc3ncccc3c2)CC1 7.765238 0.3484848484848485</t>
  </si>
  <si>
    <t>CNCC1CCC(N(C)c2ccc3cccnc3c2)N1C 7.765235 0.3220338983050847</t>
  </si>
  <si>
    <t>Cc1cc(CN(C)Cc2ccc(N)cn2)ccn1 7.7652345 0.4186046511627907</t>
  </si>
  <si>
    <t>Cc1ccnc(CN(C)C2C=CNC(CN(C)Cc3ccon3)=C2)c1C 7.7652297 0.3888888888888889</t>
  </si>
  <si>
    <t>Cc1cc(C)c(CN(C)CCN(Cc2ccccn2)C(C)N(Cc2ccccn2)C(C)(c2cccnc2)c2ccccn2)nc1C 7.7652264 0.36923076923076925</t>
  </si>
  <si>
    <t>CN(c1cccc2ncccc12)C1CCC(N(Cc2cccnc2)Cc2cccnn2)CC1 7.7652254 0.3389830508474576</t>
  </si>
  <si>
    <t>Cc1ccnc(CN(C)Cc2cc(N)ccn2)c1 7.7652254 0.42857142857142855</t>
  </si>
  <si>
    <t>Cc1c(-c2ccc3c(c2)OCCOCCOCCOCCOCCO3)ccnc1-c1cccc(NCc2cc(C(C)(C)c3ccccn3)ccn2)c1 7.7652197 0.29069767441860467</t>
  </si>
  <si>
    <t>Cc1cnc(CN(C)CCN(C)Cc2nc(C)c(C)c(C)c2C)c(C)c1 7.7652144 0.3953488372093023</t>
  </si>
  <si>
    <t>CCN(C)CC1=CCC(N(C)Cc2cc(C)c(C)c(C)n2)=CN1 7.765213 0.21428571428571427</t>
  </si>
  <si>
    <t>Cc1cc(C)c(CN(C)C2=C(CN(Cc3ccccn3)CC(C)(C)C)NC=CC2)nc1C 7.765204 0.4262295081967213</t>
  </si>
  <si>
    <t>CC(C)N(C)c1cc(Cl)ccc1N 7.765198 0.23255813953488372</t>
  </si>
  <si>
    <t>CC(C)N(Cc1ncccc1C(C)(C)C)C1CCCC(N(C)c2cccc3nccc(CF)c23)C1 7.765197 0.273972602739726</t>
  </si>
  <si>
    <t>CN(CC1=C(N(C)Cc2ccccn2)CC=CN1)CC(C)(C)c1ccccn1 7.765191 0.4</t>
  </si>
  <si>
    <t>CNCc1cccc(CN(Cc2cccc(C)n2)C2CCC(N(C)c3ccc4nc(CF)ccc4c3)CC2)n1 7.7651877 0.3728813559322034</t>
  </si>
  <si>
    <t>CC(C)N(Cc1ccccn1)Cc1ccc2cccc(N(C)C3CCC(N(C)Cc4ccon4)CC3)c2n1 7.7651834 0.38095238095238093</t>
  </si>
  <si>
    <t>Cc1cccc(CN(C)C2CCC(N(C)c3ccc4ccc(CF)nc4c3)CC2)n1 7.7651706 0.4716981132075472</t>
  </si>
  <si>
    <t>CC(C)C(C)(c1cccnc1)N(Cc1ccccn1)Cc1cccc(N(C)C)n1 7.7651668 0.3888888888888889</t>
  </si>
  <si>
    <t>Fc1ccc(CN(Cc2cccc(F)n2)Cc2cccnc2F)nc1 7.7651644 0.4166666666666667</t>
  </si>
  <si>
    <t>CN(c1ccc2ccc(CF)nc2c1)C1CCC(N(Cc2ccccn2)Cc2cccc(C3CC(C)(C)C3)n2)CC1 7.7651615 0.3582089552238806</t>
  </si>
  <si>
    <t>CC(C)NCc1ccc(C(C)(C)c2ccccn2)cn1 7.765159 0.3333333333333333</t>
  </si>
  <si>
    <t>Cc1ccccc1CN(C)C1CCCC(N(C)c2ccc3ccc(CN(C)C)nc3c2)C1 7.765155 0.3114754098360656</t>
  </si>
  <si>
    <t>Cc1ccc(CN(Cc2ccccn2)Cc2ncccc2CN(C)Cc2ncccc2C)cn1 7.765155 0.4166666666666667</t>
  </si>
  <si>
    <t>Cc1ccc(N(C)C2CCCC(N(C)Cc3ccc4cccnc4c3)C2)cc1C 7.765154 0.30158730158730157</t>
  </si>
  <si>
    <t>CN(Cc1ccc(C(C)(C)C)cn1)Cc1ccc(C(C)(C)C)cn1 7.7651515 0.5</t>
  </si>
  <si>
    <t>Cc1cccnc1CN(C)C1CCC(N(C)c2ccc3ccc(CF)nc3c2)CC1 7.765146 0.3384615384615385</t>
  </si>
  <si>
    <t>Cc1cncc(CN(C)Cc2ccc(N(C)C(C)C)nc2)c1 7.7651405 0.3404255319148936</t>
  </si>
  <si>
    <t>C1=CNC(N(Cc2ccccn2)Cc2ccccn2)C(NCc2ccccn2)=C1 7.7651377 0.4423076923076923</t>
  </si>
  <si>
    <t>CCCN(C)CC1=CCC(N(C)Cc2nc(C)cc(C)c2C)=CN1 7.7651367 0.25</t>
  </si>
  <si>
    <t>CN(Cc1ccccc1)Cc1ccccc1N(C)Cc1cccnn1 7.765125 0.5</t>
  </si>
  <si>
    <t>Cc1ccc(CN(C)CC2C=CNC=C2N(C)Cc2ncccc2C)nc1 7.7651215 0.4</t>
  </si>
  <si>
    <t>CC(C)C(C)(c1cccnc1)c1cccc(CN(Cc2ccccn2)C2CCCCC2N(C)c2ccc3nc(CF)ccc3c2)n1 7.7651196 0.35802469135802467</t>
  </si>
  <si>
    <t>CCCN(Cc1ccccn1)c1cc2cccnc2cc1N(C)Cc1cccc(-c2ccc3c(c2)OCCOCCOCCOCCOCCO3)n1 7.765114 0.358974358974359</t>
  </si>
  <si>
    <t>CC1=CC(C)C(C)C(N(C)Cc2cc(-c3ccccc3N(C)C)ccn2)C1 7.7651114 0.3620689655172414</t>
  </si>
  <si>
    <t>C1=CNC(Nc2ccccc2)C=C1 7.765109 0.3409090909090909</t>
  </si>
  <si>
    <t>CCN(Cc1ccccn1)C1CCCC(N(C)c2cccc3nccc(CN(C)C)c23)C1 7.7651086 0.3770491803278688</t>
  </si>
  <si>
    <t>Cc1ncccc1CN(C)c1ccc2nc(CN(C)Cc3ncccc3-c3ccc4c(c3)OCCOCCOCCOCCOCCO4)ccc2c1 7.7650986 0.2976190476190476</t>
  </si>
  <si>
    <t>Cc1cc(C)c(C)c(CN(C)C2C=CNC(CN(C)Cc3ncccc3C)=C2)n1 7.7650986 0.2835820895522388</t>
  </si>
  <si>
    <t>Cc1ccc(CN(Cc2ccccn2)Cc2ncccc2CN(C)Cc2cccc(C)n2)nc1 7.765098 0.45454545454545453</t>
  </si>
  <si>
    <t>CN1CCN(C)CCN(Cc2cnccc2N(C)c2ccc3ccc(CF)nc3c2)CC1 7.7650914 0.3770491803278688</t>
  </si>
  <si>
    <t>Cc1ccnc(CN(C)C2C=CNC(CN(C)Cc3nc(C)c(C)c(C)c3C)=C2)c1 7.7650914 0.2835820895522388</t>
  </si>
  <si>
    <t>Cc1ccc(C)c(CN(C)C2=CCC=C(CN(C)C(C)C)N2)n1 7.7650914 0.23636363636363636</t>
  </si>
  <si>
    <t>CC(C)N(Cc1ccccn1)C1CCC(N(C)c2ccc3c(CN(C)C)ccnc3c2)CC1 7.7650876 0.3728813559322034</t>
  </si>
  <si>
    <t>Cc1cc(CN(C)Cc2cc(N)ccn2)ccn1 7.7650833 0.32653061224489793</t>
  </si>
  <si>
    <t>Cc1cc(CN(C)C2CCCCC2N(C)c2cccc3c(CF)ccnc23)ccn1 7.765083 0.4406779661016949</t>
  </si>
  <si>
    <t>Cc1ccc2ncccc2c1CN(C)CCN(C)C(C)C 7.7650814 0.36</t>
  </si>
  <si>
    <t>Cc1ccc(CN(C)CC2=CC(N(C)Cc3nc(C)c(C)c(C)c3C)C=CN2)nc1 7.7650795 0.4074074074074074</t>
  </si>
  <si>
    <t>Cc1ccc(CN(Cc2cccc(C)n2)Cc2cccc(CN(Cc3cccc(C)n3)C(C)C)n2)nc1 7.765078 0.4222222222222222</t>
  </si>
  <si>
    <t>Cc1ncccc1CN(C)C1CCCCC1N(C)c1cccc2c(CF)ccnc12 7.7650747 0.5</t>
  </si>
  <si>
    <t>CNC1CCCC(N(Cc2nc(C)c(C)c(C)c2C)Cc2nc(C)c(C)c(C)c2C)C1N(Cc1nc(C)c(C)c(C)c1C)Cc1nc(C)c(C)c(C)c1C 7.7650733 0.2545454545454545</t>
  </si>
  <si>
    <t>CCc1cccc(C2=NC(C(C)C)CO2)n1 7.7650723 0.3191489361702128</t>
  </si>
  <si>
    <t>CC1N=COC1c1cc(CN(C)C)ccn1 7.7650714 0.2916666666666667</t>
  </si>
  <si>
    <t>Cc1cnccc1CN(C)C1CCCCC1N(C)c1ccc2nccc(CF)c2c1 7.7650685 0.3548387096774194</t>
  </si>
  <si>
    <t>CNCc1ccc(CN(Cc2ccccn2)C2CCCC(N(C)c3cccc4c(CF)ccnc34)C2)cn1 7.7650666 0.3108108108108108</t>
  </si>
  <si>
    <t>Cc1cccnc1CN(C)CC1=CC(N(C)Cc2cc(C)c(C)c(C)n2)C=CN1 7.765065 0.27941176470588236</t>
  </si>
  <si>
    <t>Cc1cc(C)c(C)c(CN(C)CCN(C)Cc2nc(C)cc(C)c2C)n1 7.7650604 0.4166666666666667</t>
  </si>
  <si>
    <t>Cc1cc(CN(C)C2CCCCC2N(C)c2ccc3c(CF)ccnc3c2)ccn1 7.7650585 0.35</t>
  </si>
  <si>
    <t>Cc1ccc(CN(Cc2cnc3cccc(N(C)Cc4cccc(-c5ccc6c(c5)OCCOCCOCCOCCOCCO6)n4)c3c2)Cc2ccccn2)nc1 7.765057 0.38271604938271603</t>
  </si>
  <si>
    <t>CN(Cc1cccc(-c2ccc3c(c2)OCCOCCOCCOCCOCCO3)n1)C1=CCC=C(CN(C)c2ccc3nc(CF)ccc3c2)N1 7.765056 0.2727272727272727</t>
  </si>
  <si>
    <t>Fc1cccc(CN(Cc2cccc(F)n2)Cc2cccnc2F)n1 7.765055 0.4528301886792453</t>
  </si>
  <si>
    <t>CNC1C(N(Cc2nc(C)c(C)c(C)c2C)Cc2nc(C)c(C)c(C)c2C)CCCC1N(Cc1nc(C)c(C)c(C)c1C)Cc1nc(C)c(C)c(C)c1C 7.765055 0.27450980392156865</t>
  </si>
  <si>
    <t>Cc1cccc(CN(CC2=CC(N(C)Cc3ccccn3)C=CN2)Cc2ncccc2C)n1 7.765054 0.4</t>
  </si>
  <si>
    <t>CC(C)C1=CC2C(=CN1)C=C(c1ncccc1CN(Cc1ccccn1)Cc1ccccn1)C(C)(C)C2C 7.7650533 0.3448275862068966</t>
  </si>
  <si>
    <t>Cc1cncc(CN(C(C)C)C2CCC(N(C)c3ccc4c(CF)ccnc4c3)CC2)c1 7.7650533 0.22857142857142856</t>
  </si>
  <si>
    <t>Cc1cccc(NCc2ccccn2)c1CNCc1ccccn1 7.7650476 0.5</t>
  </si>
  <si>
    <t>Cc1cccnc1CN(C)C1CCC(N(C)c2ccc3ncc(CF)cc3c2)CC1 7.7650456 0.25757575757575757</t>
  </si>
  <si>
    <t>Cc1ccc(CN(C)Cc2ccnc(C(C)(C)C)c2)cn1 7.765039 0.2978723404255319</t>
  </si>
  <si>
    <t>Cc1cncc(CN(Cc2ccccn2)C2CCC(N(C)c3ccc4nc(CF)ccc4c3)CC2)c1 7.7650385 0.34328358208955223</t>
  </si>
  <si>
    <t>CN1CCN(C)CCN(Cc2cnccc2N(C)c2ccc3cc(CF)cnc3c2)CC1 7.7650385 0.36507936507936506</t>
  </si>
  <si>
    <t>CC(C)(c1cccc(CN(Cc2ccccn2)Cc2cccc(-c3cccc(N=Cc4ccccn4)c3)n2)n1)c1cccc(-c2ccc3c(c2)OCCOCCOCCOCCOCCO3)n1 7.765033 0.41025641025641024</t>
  </si>
  <si>
    <t>Cc1cncc(CN(Cc2ccccn2)Cc2cccc(CN(Cc3ccccn3)Cc3cccc(C4C(Cl)CC4Cl)n3)n2)c1 7.765029 0.3939393939393939</t>
  </si>
  <si>
    <t>Cc1ccccc1CNCc1ncccc1C(C)(C)c1ccccn1 7.765022 0.3148148148148148</t>
  </si>
  <si>
    <t>CCOC(=O)C(=O)NCc1cccc(CN(Cc2ccccn2)Cc2ccccn2)n1 7.765015 0.45454545454545453</t>
  </si>
  <si>
    <t>C=C1C=CNC(CN(C)C2CCCCC2N(C)c2ccc3ncccc3c2)=C1 7.765014 0.39344262295081966</t>
  </si>
  <si>
    <t>CCCN(Cc1ccccn1)c1cccc(C)c1CN(Cc1ccccn1)Cc1ncccc1C 7.7650023 0.43478260869565216</t>
  </si>
  <si>
    <t>CN(Cc1cccc(-c2ccc3c(c2)OCCOCCOCCOCCOCCO3)n1)C1=CNC(CN(C)c2ccc3cccnc3c2)=CC1 7.7650003 0.2857142857142857</t>
  </si>
  <si>
    <t>Cc1ccnc(CN(CCN(C)Cc2ccc3ncccc3c2)CC(C)C)c1 7.7649984 0.36363636363636365</t>
  </si>
  <si>
    <t>CN(Cc1cccnn1)C1CCC(N(C)c2ccc3c(CF)ccnc3c2)CC1 7.7649956 0.38181818181818183</t>
  </si>
  <si>
    <t>Cc1ccnc(CN(C)C2CCCC(N(C)c3ccc4ccc(CF)nc4c3)C2)c1 7.7649913 0.3333333333333333</t>
  </si>
  <si>
    <t>Cc1cccc(CN(C)CC2=CC(N(C)Cc3cc(C)c(C)c(C)n3)C=CN2)n1 7.764989 0.4074074074074074</t>
  </si>
  <si>
    <t>Cc1cc(C)c(CN(C)CCN(Cc2nc(C)c(C)cc2C)C(C)C)nc1C 7.7649884 0.36363636363636365</t>
  </si>
  <si>
    <t>CC1=CC(C)C(C)(c2cc(CN(Cc3ccccn3)C3CCC(N(C)c4ccc5nccc(CN(C)C)c5c4)CC3)ccn2)CC1 7.7649865 0.275</t>
  </si>
  <si>
    <t>CN(CC1=CCC=C(N(C)O)N1)Cc1ccccn1 7.764986 0.4489795918367347</t>
  </si>
  <si>
    <t>Cc1nc(CN(C)C2CCC(N(C)c3ccc4nc(CN(C)C(C)C)ccc4c3)CC2)c(C)c(C)c1C 7.7649827 0.25757575757575757</t>
  </si>
  <si>
    <t>CC(NCc1ccccn1)c1cccc(CNc2cccc(CF)n2)n1 7.7649813 0.3469387755102041</t>
  </si>
  <si>
    <t>CC(C)N(Cc1ccccn1)Cc1ccc2cc(N(C)C3CCC(N(C)Cc4ccon4)CC3)ccc2n1 7.764981 0.4032258064516129</t>
  </si>
  <si>
    <t>CN(Cc1cccc(-c2ccc3c(c2)OCCOCCOCCOCCOCCO3)n1)C1=CNC(CN(C)c2ccc3ncccc3c2)=CC1 7.7649794 0.2891566265060241</t>
  </si>
  <si>
    <t>Cc1ccc(CN(C)C2CCCC(N(C)c3ccc4ccc(CF)nc4c3)C2)nc1 7.7649775 0.4727272727272727</t>
  </si>
  <si>
    <t>Cc1cncc(CN(C)C2=CNC=CC2CN(Cc2ccccn2)Cc2ccccn2)c1 7.764976 0.375</t>
  </si>
  <si>
    <t>CN(Cc1cc(-c2ccc3c(c2)OCCOCCOCCOCCOCCO3)ccn1)C1=CNC=C(CN(C)c2ccc3ncccc3c2)C1 7.764973 0.2976190476190476</t>
  </si>
  <si>
    <t>CN(Cc1cc(-c2ccc3c(c2)OCCOCCOCCOCCOCCO3)ccn1)C1=C(CN(C)c2ccc3ncccc3c2)NC=CC1 7.7649727 0.29411764705882354</t>
  </si>
  <si>
    <t>Cc1ccc(CN(C)CC2=CC(N(C)Cc3nc(C)c(C)cc3C)C=CN2)nc1 7.764971 0.4</t>
  </si>
  <si>
    <t>CNCc1ncccc1CN(C)C1CCC(N(C)c2ccc3c(C)ccnc3c2)CC1 7.7649665 0.2537313432835821</t>
  </si>
  <si>
    <t>Cc1ccnc(CN(C)C2CCCCC2N(C)c2ccc3c(CF)ccnc3c2)c1 7.764965 0.42105263157894735</t>
  </si>
  <si>
    <t>Cc1cnc(CN(Cc2ccnc(F)c2)Cc2ccccn2)cc1C 7.76496 0.4878048780487805</t>
  </si>
  <si>
    <t>CN(Cc1cccc(F)n1)C1CCC(N(C)c2ccc3nccc(CF)c3c2)CC1 7.764952 0.3125</t>
  </si>
  <si>
    <t>CN(C)Cc1cnc2cc(N(C)C3CCC(N(C)Cc4cccnn4)CC3)ccc2c1 7.764941 0.35714285714285715</t>
  </si>
  <si>
    <t>CN(C)Cc1ccc2ccc(N(C)C3CCCC(N(C)Cc4ccccn4)C3)cc2n1 7.76494 0.46296296296296297</t>
  </si>
  <si>
    <t>Cc1cnc(CN(C)CC2=CCC=C(N(C)C(C)C)N2)c(C)c1 7.76494 0.2777777777777778</t>
  </si>
  <si>
    <t>Cc1cc(CN(C)C2=CNC=CC2CN(C)Cc2ccccn2)cnc1C 7.764939 0.34782608695652173</t>
  </si>
  <si>
    <t>Cc1cnccc1CN(C)C1CCC(N(C)c2cccc3nc(CF)ccc23)CC1 7.764935 0.36363636363636365</t>
  </si>
  <si>
    <t>Cc1ccc(CN(C)c2ccc3nc(CN(C)Cc4ncccc4-c4ccc5c(c4)OCCOCCOCCOCCOCCO5)ccc3c2)nc1 7.7649345 0.3382352941176471</t>
  </si>
  <si>
    <t>CN(Cc1cccc(F)n1)C1CCCC(N(Cc2ccccn2)c2ccc3nc(CF)ccc3c2)C1N(C)Cc1ccccn1 7.764923 0.4444444444444444</t>
  </si>
  <si>
    <t>Cc1cc(CN(C)C2=C(CN(C)C(C)C)NC=CC2)nc(C)c1C 7.7649226 0.19696969696969696</t>
  </si>
  <si>
    <t>CN(Cc1ccccn1)C1CCCC(N(C)c2ccc3c(CF)ccnc3c2)C1 7.7649217 0.43859649122807015</t>
  </si>
  <si>
    <t>CCOC(C)c1ncc(CN(Cc2ccccn2)Cc2ccccn2)c(CN(Cc2ccccn2)Cc2ccccn2)c1C 7.764921 0.4444444444444444</t>
  </si>
  <si>
    <t>C=CCN(Cc1ccccn1)c1cc2ncccc2cc1N(Cc1ccccn1)Cc1cccc(-c2ccc3c(c2)OCCOCCOCCOCCOCCO3)n1 7.7649207 0.35526315789473684</t>
  </si>
  <si>
    <t>CCN(CCN(C)Cc1nc(C)c(C)c(C)c1C)Cc1nc(C)c(C)c(C)c1C 7.7649045 0.30952380952380953</t>
  </si>
  <si>
    <t>Cc1cc(C)nc(C(c2cc(-c3cccc(N(C)C(C)C)c3)ccn2)N2CCN(C)CCN(C)CC2)c1 7.7648997 0.30158730158730157</t>
  </si>
  <si>
    <t>CN(Cc1ccccn1)C1CCC(N(C)c2ccc3nc4c(cc3c2)CCC4)CC1 7.7648964 0.43859649122807015</t>
  </si>
  <si>
    <t>Cc1cc(CN(C)CC2=CC(N(C)Cc3cc(C)c(C)c(C)n3)C=CN2)ccn1 7.764895 0.29850746268656714</t>
  </si>
  <si>
    <t>CN(Cc1ncccc1-c1ccc2c(c1)OCCOCCOCCOCCOCCO2)Cc1ccnc2ccc(N(C)Cc3ccccn3)cc12 7.764893 0.3055555555555556</t>
  </si>
  <si>
    <t>CN(Cc1cccnn1)C1=CCNC=C1 7.7648926 0.4878048780487805</t>
  </si>
  <si>
    <t>CC(c1ccccn1)(c1ccccn1)c1cccnc1CN(CNCF)Cc1ccccn1 7.7648907 0.41509433962264153</t>
  </si>
  <si>
    <t>CC(C)C1N=COC1c1ncccc1CN(Cc1ccccn1)Cc1cc(C(C)(C)C)ccn1 7.7648897 0.3770491803278688</t>
  </si>
  <si>
    <t>Cc1cnc(CN(C)C2CCCCC2N(C)c2ccc3ccc(CF)nc3c2)cc1C 7.764887 0.5</t>
  </si>
  <si>
    <t>CC(C)N(Cc1cc(C(C)(C)C)ccn1)C1CCCC(N(C)c2cccc3nc(CF)ccc23)C1 7.764885 0.3424657534246575</t>
  </si>
  <si>
    <t>CN(c1cccc2cccnc12)C1CCCC(N(Cc2ccccn2)Cc2cccnn2)C1 7.7648783 0.48214285714285715</t>
  </si>
  <si>
    <t>Cc1cccnc1CN(C)Cc1ccc(N(C)C(C)C)cn1 7.7648745 0.41304347826086957</t>
  </si>
  <si>
    <t>Cc1c(CN(C)Cc2ccccn2)cccc1NCc1ccccn1 7.764874 0.48936170212765956</t>
  </si>
  <si>
    <t>CNC1CCC(N(Cc2nc(C)c(C)c(C)c2C)Cc2nc(C)c(C)c(C)c2[SiH3])CC1N(Cc1nc(C)c([SiH3])c([SiH3])c1C)Cc1nc(C)c(C)c(C)c1[SiH3] 7.7648597 0.1791044776119403</t>
  </si>
  <si>
    <t>Cc1cncc(CN(C)Cc2cc(N(C)C(C)C)ccn2)c1 7.764857 0.3469387755102041</t>
  </si>
  <si>
    <t>Cc1ccnc(CN(C)Cc2ccnc(CN(C)C)c2)c1 7.7648554 0.4878048780487805</t>
  </si>
  <si>
    <t>CCCN(C)CC1=CCC(N(C)Cc2cc(C)c(C)c(C)n2)=CN1 7.7648554 0.25</t>
  </si>
  <si>
    <t>Cc1cncc(CN(C)CC2=CC(N(C)Cc3nc(C)c(C)cc3C)C=CN2)c1 7.764855 0.2878787878787879</t>
  </si>
  <si>
    <t>CNCc1ncccc1CN(Cc1ccccn1)Cc1ncc(C)c(C)c1C 7.764853 0.4444444444444444</t>
  </si>
  <si>
    <t>CC(=O)C(=O)C(=O)C(=O)C(=O)C(=O)C(=O)C(=O)C(=O)C(=O)C(=O)C(=O)C(=O)C(=O)C(=O)C(=O)C(=O)C(C)C(C)C(C)C(C)C(C)C(C)C(C)C(C)C(C)C(=O)C(=O)C(=O)C(C)C(=O)C(=O)C(=O)C(=O)CC(=O)c1cccc(C2CCC2(C)C)n1 7.7648463 0.1951219512195122</t>
  </si>
  <si>
    <t>Cc1cnccc1CN(C)C1CCCCC1N(C)c1ccc2ccc(CN(C)C)nc2c1 7.764846 0.3898305084745763</t>
  </si>
  <si>
    <t>CN(CC1=C(N(C)Cc2ccccn2)CC=CN1)Cc1ccccc1 7.764846 0.4107142857142857</t>
  </si>
  <si>
    <t>Cc1ccc(C)c(CN(C)C2CCCCC2N(C)c2ccc3nc(CF)ccc3c2)n1 7.764845 0.4426229508196721</t>
  </si>
  <si>
    <t>CCCN(Cc1ccccn1)c1cc(C)cc(C)c1CN(C)Cc1ccccn1 7.7648435 0.4230769230769231</t>
  </si>
  <si>
    <t>Cc1ccc(C)c(CN(C)CC2=CC(N(C)Cc3ncc(C)c(C)c3C)C=CN2)n1 7.7648416 0.2923076923076923</t>
  </si>
  <si>
    <t>Cc1ccnc(CN(C)C2CCCCC2N(C)c2ccc3nccc(CF)c3c2)c1 7.764835 0.41379310344827586</t>
  </si>
  <si>
    <t>CNCc1ccc(CN(Cc2ccccn2)C2=CNC=C(C(C)(C)C)C2)cn1 7.7648253 0.3225806451612903</t>
  </si>
  <si>
    <t>Cc1ncccc1CN(C)C1CCCCC1N(C)c1ccc2c(CF)ccnc2c1 7.764819 0.3898305084745763</t>
  </si>
  <si>
    <t>Cc1cccnc1CN(C)Cc1ccc2cccc(N(C)Cc3cc(-c4ccc5c(c4)OCCOCCOCCOCCOCCO5)ccn3)c2n1 7.764809 0.3142857142857143</t>
  </si>
  <si>
    <t>CCOC(=O)C(=O)C(C)c1ncccc1CN(Cc1ccccn1)Cc1ccccn1 7.764807 0.43478260869565216</t>
  </si>
  <si>
    <t>Cc1cccnc1CN(C)C1=C(CNC(C)C)NC=CC1 7.7648053 0.265625</t>
  </si>
  <si>
    <t>Fc1ccc(CN(Cc2cccc(F)n2)Cc2cccc(F)n2)nc1 7.7648025 0.4375</t>
  </si>
  <si>
    <t>CN(c1ccc2nc(CF)ccc2c1)C1CCC(N(Cc2ccccn2)Cc2cccc(F)n2)CC1 7.7648015 0.39344262295081966</t>
  </si>
  <si>
    <t>CN(c1cccc2ncccc12)C1CCC(N(Cc2ccccn2)Cc2cccnn2)CC1 7.764797 0.46153846153846156</t>
  </si>
  <si>
    <t>CNCc1cccc(CN(Cc2ncccc2C)C2CCC(N(C)c3ccc4cc(CF)cnc4c3)CC2)n1 7.764794 0.24675324675324675</t>
  </si>
  <si>
    <t>CN(Cc1ccccn1)C1CCCC(N(C)c2ccc3nccc(CF)c3c2)C1 7.7647934 0.43103448275862066</t>
  </si>
  <si>
    <t>Cc1cncc(CN(C)C2CCC(N(Cc3ccccn3)Cc3ncccc3-c3c(Cl)cccc3Cl)CC2)c1C 7.7647867 0.34328358208955223</t>
  </si>
  <si>
    <t>CN(Cc1ccccn1)C1C=C(NCc2ccccn2)C=CN1 7.7647834 0.4489795918367347</t>
  </si>
  <si>
    <t>Cc1ccc(CN(CC2=CCC(N(C)c3cccc4ccc(CF)nc34)=CN2)C2CCCCC2N(C)Cc2ccccn2)nc1 7.7647815 0.4533333333333333</t>
  </si>
  <si>
    <t>Cc1cnc(CN(Cc2ccccn2)Cc2cccnc2CNC(C)C)c(C)c1C 7.7647805 0.4166666666666667</t>
  </si>
  <si>
    <t>Cc1ccc(CN(C)Cc2cc(N)ccn2)c(C)c1 7.764776 0.35555555555555557</t>
  </si>
  <si>
    <t>CN(Cc1ccc(Cl)cn1)C1CCCCC1N(C)c1ccc2ccc(CF)nc2c1 7.7647758 0.4727272727272727</t>
  </si>
  <si>
    <t>CN(Cc1cccnn1)C1CCC(N(C)c2ccc3nccc(CF)c3c2)CC1 7.7647753 0.375</t>
  </si>
  <si>
    <t>Cc1nccc(CN(C)C2=CNC=CC2CN(C)Cc2cccnn2)c1C 7.7647743 0.39285714285714285</t>
  </si>
  <si>
    <t>CCN(CC1=CCC(N(C)Cc2cccc(C)n2)=CN1)Cc1ccccn1 7.764764 0.4406779661016949</t>
  </si>
  <si>
    <t>CC1C=CC(N(C)Cc2cc(C(C)(C)C)ccn2)c2cccnc21 7.7647524 0.32142857142857145</t>
  </si>
  <si>
    <t>CN(C)Cc1nccc2cc(N(C)Cc3ncccc3-c3ccc4c(c3)OCCOCCOCCOCCOCCO4)ccc12 7.7647486 0.2987012987012987</t>
  </si>
  <si>
    <t>CN(Cc1ncccc1-c1ccc2c(c1)OCCOCCOCCOCCOCCO2)C1=C(CN(C)c2ccc3cccnc3c2)NC=CC1 7.764747 0.26136363636363635</t>
  </si>
  <si>
    <t>CC(C)C1=CC(N(C)Cc2ccc(C(C)(C)c3ccccn3)cn2)C=CN1 7.7647457 0.31746031746031744</t>
  </si>
  <si>
    <t>CCN(Cc1cc(C)ccn1)C1CCC(N(C)c2ccc3nccc(CF)c3c2)CC1 7.7647457 0.27692307692307694</t>
  </si>
  <si>
    <t>CN(C1=CCC=CN1)C1=CCC=C(CN(C)C(C)(C)c2ccccn2)N1 7.764744 0.423728813559322</t>
  </si>
  <si>
    <t>CN(Cc1ccccn1)C1=CC(CN(Cc2ccccn2)Cc2ccccn2)C=CN1 7.764743 0.46153846153846156</t>
  </si>
  <si>
    <t>CC(C)N(C)c1cccnc1CN(Cc1ccccn1)Cc1ncccc1F 7.764741 0.5</t>
  </si>
  <si>
    <t>CC(C)N(Cc1ccccn1)Cc1ncccc1N(C)C1C=CC=CN1 7.7647405 0.47058823529411764</t>
  </si>
  <si>
    <t>CN(Cc1cccc(-c2ccc3ncccc3c2)n1)C1CCC(N(C)Cc2cccc(C3CCC3(C)C)n2)CC1 7.764735 0.3380281690140845</t>
  </si>
  <si>
    <t>CC1=C(C)C(C)C(C)(c2ncccc2CN(Cc2ccccn2)C2CCC(N(C)c3ccc4nccc(C)c4c3)CC2)CC1 7.7647276 0.2857142857142857</t>
  </si>
  <si>
    <t>Cc1nc(CN(C(C)C)C(C)(N)N(Cc2ccccn2)Cc2ccccn2)c(C)c(C)c1C 7.7647195 0.44</t>
  </si>
  <si>
    <t>CN(Cc1ncccc1-c1cccc2c1OCCOCCOCCOCCOCCO2)C1=C(CN(C)c2ccc3ncccc3c2)CC=CN1 7.764719 0.23376623376623376</t>
  </si>
  <si>
    <t>C=CCN(C)CC1=CCC=C(N(C)Cc2cccc(C)n2)N1 7.7647157 0.42</t>
  </si>
  <si>
    <t>CN(C1=CCC=CN1)C1CCCCC1N(C)c1ccc2ccc(CF)nc2c1 7.7647142 0.46551724137931033</t>
  </si>
  <si>
    <t>CC1=C(c2ccc3c(c2)OCCOCCOCCOCCOCCO3)C(c2ccc3cccnc3c2N(C)C)CC=C1c1ccccc1 7.764712 0.27710843373493976</t>
  </si>
  <si>
    <t>Cc1cnc(CN(C)C2=CNC(CN(Cc3ccccn3)CC(C)(C)C)=CC2)c(C)c1 7.764706 0.43333333333333335</t>
  </si>
  <si>
    <t>Cc1cnc(CN(C)C2C=CNC(CN(Cc3ncc(C)c(C)c3C)C(C)C)=C2)c(C)c1C 7.7647023 0.29508196721311475</t>
  </si>
  <si>
    <t>CC1C=CC(C)C(CN(Cc2ccccn2)Cc2cccc(-c3cccc(N=Cc4ccccn4)c3)n2)C1C 7.7646995 0.47761194029850745</t>
  </si>
  <si>
    <t>CN(Cc1ncccc1-c1ccc2c(c1)OCCOCCOCCOCCOCCO2)C1=C(CN(C)c2ccc3ncccc3c2)NC=CC1 7.7646947 0.26436781609195403</t>
  </si>
  <si>
    <t>CN(C)Cc1ccnc2ccc(N(C)C3CCCCC3N(C)Cc3cccnn3)cc12 7.764694 0.43103448275862066</t>
  </si>
  <si>
    <t>CNCc1cccc(CN(Cc2ccccn2)Cc2ncc(C)c(C)c2C)n1 7.7646823 0.46511627906976744</t>
  </si>
  <si>
    <t>CC(C)N(Cc1ccccn1)C1CCC(N(C)c2cccc3nc4c(cc23)CCC4)CC1 7.7646627 0.38235294117647056</t>
  </si>
  <si>
    <t>CC(N)C(C)(c1cccnc1)c1cccc(CN(Cc2ccccn2)C2CCCCC2N(C)c2ccc3ccc(CF)nc3c2)n1 7.7646594 0.35365853658536583</t>
  </si>
  <si>
    <t>CNCc1cc(CN(Cc2cccc(F)n2)Cc2ncc(C)c(C)c2C)ccn1 7.7646575 0.352112676056338</t>
  </si>
  <si>
    <t>Cc1ccc([SiH3])nc1CN(Cc1ccnc(CN(C)C(C)C)c1)Cc1ncc(C)c(C)c1C 7.7646537 0.26229508196721313</t>
  </si>
  <si>
    <t>Cc1cncc(CN(C)C2=CNC(CN(Cc3ccccn3)C(C)C)=CC2)c1 7.7646513 0.4067796610169492</t>
  </si>
  <si>
    <t>Cc1cccc(CN(C)C2CCCC(N(C)c3ccc4nc(CF)ccc4c3)C2)n1 7.764643 0.4642857142857143</t>
  </si>
  <si>
    <t>CN(Cc1cc(C(C)(C)C)ccn1)C1CCC(N(C)c2ccc3nc(CF)ccc3c2)CC1 7.764638 0.3088235294117647</t>
  </si>
  <si>
    <t>Cc1cccnc1CN(C)C1CCCC(N(C)c2ccc3nc(CF)ccc3c2)C1 7.7646327 0.3382352941176471</t>
  </si>
  <si>
    <t>Cc1cncc(CN(C)CC2=CC(N(C)Cc3nc(C)c(C)c(C)c3C)C=CN2)c1 7.764632 0.2878787878787879</t>
  </si>
  <si>
    <t>CCN(CC1=C(N(C)Cc2ncccc2C)CC=CN1)Cc1ccccn1 7.7646246 0.4098360655737705</t>
  </si>
  <si>
    <t>CC(C)C(C)(c1ccccn1)c1cc(CN(Cc2ccccn2)Cc2ccccn2)ccn1 7.7646246 0.4878048780487805</t>
  </si>
  <si>
    <t>CN(c1cccc2ncccc12)C1CCC(N(Cc2ccccn2)C(C)(C)c2ccccn2)CC1 7.7646213 0.3728813559322034</t>
  </si>
  <si>
    <t>CC(C)(C1=CC(N(Cc2ccccn2)Cc2ccccn2)C=CN1)c1ccccn1 7.7646203 0.38461538461538464</t>
  </si>
  <si>
    <t>CC(N)C(C)(c1cccnc1)c1ncccc1CN(C)Cc1ccc(N)cn1 7.7646136 0.2903225806451613</t>
  </si>
  <si>
    <t>Cc1cnc(CN(C)C2CCC(N(Cc3ccccn3)Cc3cccc(-c4cccc(N(C)C)c4)n3)CC2)c(C)c1 7.7646127 0.4084507042253521</t>
  </si>
  <si>
    <t>CC(C)C1=CC2C(=CN1)C=C(c1cc(CN(Cc3ccccn3)Cc3ccccn3)ccn1)C(C)C2(C)C 7.7646117 0.3333333333333333</t>
  </si>
  <si>
    <t>Cc1cncc(CN(C)Cc2nc(C)ccc2C)c1 7.764594 0.30434782608695654</t>
  </si>
  <si>
    <t>CC1=CCCC(N(C)Cc2ncccc2-c2cccc(N(C)C)c2)C1C 7.764592 0.31666666666666665</t>
  </si>
  <si>
    <t>CC1=C(C)C(C)C2(CC1)CC(c1ncccc1CN(Cc1ccccn1)Cc1ccccn1)C1(C=C2c2ncccc2CN(Cc2ccccn2)Cc2ccccn2)CC(C)CC(C)=C1C 7.764586 0.29411764705882354</t>
  </si>
  <si>
    <t>Cc1cccnc1CN(C)Cc1ccc2cccc(N(C)Cc3ncccc3-c3ccc4c(c3)OCCOCCOCCOCCOCCO4)c2n1 7.7645845 0.3188405797101449</t>
  </si>
  <si>
    <t>Cc1cccc(NCc2ccccn2)c1 7.7645845 0.4722222222222222</t>
  </si>
  <si>
    <t>Cc1ncccc1CN(C)C1CCCCC1N(C)c1ccc2ccc(CN(C)C)nc2c1 7.7645836 0.42105263157894735</t>
  </si>
  <si>
    <t>Cc1cnc(CN(C)CC2=CCC(N(C)C3C=CC=CN3)=CN2)c(C)c1 7.764575 0.2222222222222222</t>
  </si>
  <si>
    <t>Cc1cncc(CN(Cc2ccccn2)C2CCC(N(C)c3ccc4ccc(CF)nc4c3)CC2)c1 7.764571 0.3484848484848485</t>
  </si>
  <si>
    <t>CCNCc1ccc(CN(C)C2CCCC(N(C)Cc3cccc(-c4cccc5ncccc45)n3)C2)cn1 7.7645707 0.29577464788732394</t>
  </si>
  <si>
    <t>CNCc1cccc(C2=NCC(C)(C)O2)n1 7.7645617 0.34782608695652173</t>
  </si>
  <si>
    <t>CNCc1ncccc1CN(C)Cc1nc(C)c(C)cc1C 7.764561 0.38</t>
  </si>
  <si>
    <t>CCNCC1=C(N(C)Cc2nc(C)c(C)cc2C)CC=CN1 7.764554 0.1791044776119403</t>
  </si>
  <si>
    <t>CN(Cc1cccnn1)C1CCCC(N(C)c2cccc3nccc(CF)c23)C1 7.7645497 0.3620689655172414</t>
  </si>
  <si>
    <t>Cc1cccnc1CN(C)Cc1cncc(N(C)C(C)C)c1 7.7645497 0.3018867924528302</t>
  </si>
  <si>
    <t>Cc1cccnc1CN(C)CC1=CC(N(C)Cc2nc(C)c(C)c(C)c2C)C=CN1 7.764547 0.2878787878787879</t>
  </si>
  <si>
    <t>CC(C)N(Cc1cc(C(C)(C)C)ccn1)C1CCC(N(C)c2ccc3c(CF)ccnc3c2)CC1 7.76454 0.2318840579710145</t>
  </si>
  <si>
    <t>Fc1ccc(CN(Cc2cccc(F)n2)Cc2cccc(F)n2)cn1 7.764517 0.42857142857142855</t>
  </si>
  <si>
    <t>Cc1cccnc1CN(C)Cc1cc(N(C)C(C)C)ccn1 7.764515 0.3673469387755102</t>
  </si>
  <si>
    <t>CC1=CCCC(CN(Cc2ccccn2)Cc2cccc(-c3cccc(N=Cc4ccccn4)c3)n2)C1C 7.764515 0.4444444444444444</t>
  </si>
  <si>
    <t>Cc1ccnc(CN(C)Cc2cc(C)c(C)cn2)c1 7.7645135 0.47368421052631576</t>
  </si>
  <si>
    <t>CN(Cc1cccc(-c2ccc(Cl)c(Cl)c2)n1)C1CCCCC1N(Cc1ccccn1)Cc1cccc(C(C)(C)c2ccccn2)n1 7.7645073 0.4838709677419355</t>
  </si>
  <si>
    <t>CC(C)N(C)Cc1cc(N(C)C2CCC(N(C)c3ccc4nc(CF)ccc4c3)CC2)ccn1 7.7645044 0.3230769230769231</t>
  </si>
  <si>
    <t>Cc1cc(C(C)(C)C)cnc1CN(C)Cc1ccccn1 7.764501 0.46808510638297873</t>
  </si>
  <si>
    <t>CC(C)[Si](c1ccc(CN(Cc2ncccc2C(C)(C)C)Cc2ncccc2C2(C)CC(C)(C)C2)nc1)(C(C)C)C(C)C 7.7644944 0.4909090909090909</t>
  </si>
  <si>
    <t>CNCc1nccc2cccc(N(C)C3CCCCC3N(C)Cc3ccon3)c12 7.764494 0.4032258064516129</t>
  </si>
  <si>
    <t>Cc1ccc(CN(Cc2ccccn2)C(C)(N)c2ccccn2)nc1 7.7644854 0.4222222222222222</t>
  </si>
  <si>
    <t>CCN(Cc1cc(C)ccn1)C1CCCC(N(C)c2ccc3c(CF)ccnc3c2)C1 7.764484 0.26865671641791045</t>
  </si>
  <si>
    <t>CC1=NC(c2cccc(CN(C)Cc3ccccn3)c2)CO1 7.764483 0.42592592592592593</t>
  </si>
  <si>
    <t>CN(Cc1ccc(-c2ccc3c(c2)OCCOCCOCCOCCOCCO3)cn1)C1=CNC(CN(C)c2ccc3cccnc3c2)=CC1 7.764482 0.37037037037037035</t>
  </si>
  <si>
    <t>CC(C)(C)c1cccnc1CN(Cc1ccc(F)cn1)Cc1ncccc1F 7.764482 0.34782608695652173</t>
  </si>
  <si>
    <t>CCCN(Cc1ccccn1)c1ccc(CN(C)Cc2ccccn2)c(C)c1C 7.764481 0.44</t>
  </si>
  <si>
    <t>CC(C)N(Cc1cc(C(C)(C)C)ccn1)C1CCC(N(C)c2ccc3nccc(CF)c3c2)CC1 7.764473 0.22857142857142856</t>
  </si>
  <si>
    <t>COC(=O)C1CC(c2ccccn2)C(c2ccccn2)N(C)C1C(=O)NCc1ccccn1 7.7644715 0.36231884057971014</t>
  </si>
  <si>
    <t>Cc1cccc(CN(C)CC2=CC(N(C)Cc3nc(C)c(C)c(C)c3C)C=CN2)n1 7.76447 0.41509433962264153</t>
  </si>
  <si>
    <t>Cc1cnc(CN(Cc2ncc(C)c(C)c2C)C2CCC(N(C)Cc3ncccc3-c3ccccn3)CC2)c(C)c1C 7.7644687 0.3389830508474576</t>
  </si>
  <si>
    <t>Cc1ccccc1CN(C)C1CCCCC1N(C)c1ccc2c(C)ccnc2c1 7.7644687 0.41818181818181815</t>
  </si>
  <si>
    <t>Cc1cnccc1N(C)C1=CNC(CN(C)C(C)C)=CC1 7.7644606 0.23809523809523808</t>
  </si>
  <si>
    <t>CNCc1cc(CN(C)C2CCCC(N(C)c3ccc4c(C)ccnc4c3)C2)ccn1 7.7644515 0.2727272727272727</t>
  </si>
  <si>
    <t>CCNCC1=CCC=C(N(C)Cc2nccc(C)c2C)N1 7.764449 0.234375</t>
  </si>
  <si>
    <t>CNC1CCC(N(C)Cc2ncccc2C)CC1N(C)c1ccc2nccc(CF)c2c1 7.764445 0.24324324324324326</t>
  </si>
  <si>
    <t>Cc1cncc(CN(Cc2ccccn2)C2CCC(N(C)c3ccc4cc(CF)cnc4c3)CC2)c1 7.764435 0.3235294117647059</t>
  </si>
  <si>
    <t>Cc1cccc(CN(Cc2ccc([SiH3])cn2)Cc2cccc(CN(Cc3cccc(C)n3)C(C)C)n2)n1 7.764432 0.40425531914893614</t>
  </si>
  <si>
    <t>CN(C)Cc1cnc2cc(N(C)C3CCCCC3N(Cc3ccccn3)Cc3cccnn3)ccc2c1 7.7644267 0.41935483870967744</t>
  </si>
  <si>
    <t>Cc1cc(C)c(CN(C)C2=C(CN(C)C(C)(C)C)NC=CC2)nc1C 7.764424 0.1896551724137931</t>
  </si>
  <si>
    <t>CCCN(Cc1ccccn1)Cc1cc(C)c(CN(C)Cc2nc(C)c(C)c(C)c2C)c(C)n1 7.764414 0.41818181818181815</t>
  </si>
  <si>
    <t>C=CCN(C)CC1=CCC=C(N(C)Cc2ncccc2C)N1 7.764412 0.26153846153846155</t>
  </si>
  <si>
    <t>CN(Cc1ccccn1)C1=CNC(CN(C)C(C)(C)c2ccccn2)=CC1 7.7644105 0.4074074074074074</t>
  </si>
  <si>
    <t>CC(C)C(C)(c1cccnc1)c1ncccc1CN(Cc1ccccn1)Cc1ncccc1C(C)(C)C 7.76441 0.37037037037037035</t>
  </si>
  <si>
    <t>CC(C)(c1ccccn1)c1cccnc1CN(Cc1ccccn1)Cc1ccc(CN(Cc2ccccn2)Cc2ccccn2)c(C2CCC2(C)C)n1 7.764407 0.3484848484848485</t>
  </si>
  <si>
    <t>CN(CN)c1cncc(CN(Cc2ccccn2)Cc2ccccn2)c1 7.764405 0.5</t>
  </si>
  <si>
    <t>CN(c1ccc2nc(-c3ccccn3)ccc2c1)C1CCC(N(Cc2ccccn2)Cc2cccc(-c3cc(N(C)C(C)(C)c4ccccn4)cc4c3OCCOCCOCCOCCOCCO4)n2)CC1 7.7644005 0.34146341463414637</t>
  </si>
  <si>
    <t>CNCc1ncccc1CN(C)Cc1cc(C)c(C)c(C)n1 7.7644 0.3584905660377358</t>
  </si>
  <si>
    <t>Cc1cccc(CN(C)CC2=CC(N(C)Cc3nc(C)c(C)cc3C)C=CN2)n1 7.7644 0.4074074074074074</t>
  </si>
  <si>
    <t>Cc1ccc(CN(C)C2CCCC(N(Cc3ccccn3)c3ccc4nc(CF)ccc4c3)C2N(C)Cc2ccccn2)nc1 7.7643986 0.4603174603174603</t>
  </si>
  <si>
    <t>CN(Cc1cc(-c2ccc3c(c2)OCCOCCOCCOCCOCCO3)ccn1)C1=CNC(CN(C)c2ccc3ncccc3c2)=CC1 7.764398 0.2976190476190476</t>
  </si>
  <si>
    <t>CCNC1C(N(C)Cc2ncccc2C)CCCC1N(Cc1ncccc1C)c1ccc2nccc(CF)c2c1 7.7643976 0.2916666666666667</t>
  </si>
  <si>
    <t>Cc1ccc(CN(Cc2ccccn2)C2CCC(N(C)c3ccc4nc(CF)ccc4c3)CC2)nc1 7.7643814 0.3793103448275862</t>
  </si>
  <si>
    <t>Cc1cc(C)c(CN(C)C2C=CNC(CN(C)Cc3ncccc3C)=C2)nc1C 7.764381 0.2878787878787879</t>
  </si>
  <si>
    <t>Cc1ccc(C(C)(C)CN(C)Cc2ccccn2)cc1NCc1ccccn1 7.7643805 0.39622641509433965</t>
  </si>
  <si>
    <t>Cc1cc(NCc2ccccn2)ccc1CNCc1ccccn1 7.76438 0.48717948717948717</t>
  </si>
  <si>
    <t>CN(Cc1cccnn1)C1CCCC(N(C)c2cccc3c(CF)ccnc23)C1 7.764377 0.3620689655172414</t>
  </si>
  <si>
    <t>CN1CCN(C)CCN(Cc2cncc(N(C)c3ccc4cccnc4c3)c2)CC1 7.7643704 0.3898305084745763</t>
  </si>
  <si>
    <t>CN1CCN(C)CCN(Cc2cncc(N(C)c3cccc4ncc(CF)cc34)c2)CC1 7.764365 0.34375</t>
  </si>
  <si>
    <t>Cc1ccc(CN(C)C2=CNC(C(C)N)=CC2)nc1 7.7643604 0.4166666666666667</t>
  </si>
  <si>
    <t>CNCc1cc(CN(Cc2ccccn2)Cc2cc(C)c(C)c(C)n2)ccn1 7.7643514 0.4444444444444444</t>
  </si>
  <si>
    <t>Cc1cccnc1CN(C)c1ccc2nc(CN(C)Cc3ncccc3-c3ccc4c(c3)OCCOCCOCCOCCOCCO4)ccc2c1 7.7643495 0.3048780487804878</t>
  </si>
  <si>
    <t>CNCc1cc(CN(Cc2ccccn2)Cc2nc(C)c(C)cc2C)ccn1 7.764347 0.4444444444444444</t>
  </si>
  <si>
    <t>CC(C)C(C)(c1ccccn1)c1cccc(CN(Cc2ccccn2)Cc2cccc(C(C)(C)C)n2)n1 7.76434 0.4878048780487805</t>
  </si>
  <si>
    <t>Cc1ccc(CN(Cc2ccccn2)Cc2ccc(N(C)C(C)C)cn2)nc1 7.764337 0.5</t>
  </si>
  <si>
    <t>Cc1cccnc1CN(C)CC1=CC(N(C)C(c2ccccc2)c2ccccn2)C=CN1 7.764334 0.41935483870967744</t>
  </si>
  <si>
    <t>CNCc1cccc(CN(C)C2=CNC(CN(C)Cc3ccccn3)=CC2)n1 7.7643313 0.44642857142857145</t>
  </si>
  <si>
    <t>Cc1cccc(CN(C)Cc2ccccn2)c1NCc1ccccn1 7.76433 0.48936170212765956</t>
  </si>
  <si>
    <t>CC(C)C1=CC2(C=CN1)C=CC(C)(C)C(c1cccc(CN(Cc3ccccn3)Cc3ccccn3)n1)C2c1cccc(CN(Cc2ccccn2)C2CCC(N(C)c3ccc4nc(CF)ccc4c3)CC2)n1 7.7643256 0.3176470588235294</t>
  </si>
  <si>
    <t>Cc1cc(C)c(C)c(CN(C)CCN(C)Cc2nc(C)c(C)cc2C)n1 7.764325 0.3488372093023256</t>
  </si>
  <si>
    <t>CN(C)Cc1ccc2cc(N(C)C3CCCC(N(C)Cc4cccnn4)C3)ccc2n1 7.764319 0.38181818181818183</t>
  </si>
  <si>
    <t>CC1=CC(C)C2(CC1)C(c1ccc(CNCc3ccccn3)cn1)=C(C)CC1(C(C)=C(C)C(c3cc(CN(Cc4ccccn4)Cc4ccccn4)ccn3)C(C)C13C(C)C=C(C)CC3C)C21CCC(C)=CC1C 7.7643137 0.23300970873786409</t>
  </si>
  <si>
    <t>Cc1ccc(CN(C)C2CCC(N(C)c3cccc4nc(CF)ccc34)CC2)nc1 7.7643065 0.44642857142857145</t>
  </si>
  <si>
    <t>Cc1cnc(CN(C)Cc2ncccc2N)cc1C 7.764306 0.37777777777777777</t>
  </si>
  <si>
    <t>CC(C)N(Cc1ccccn1)c1cc(-c2cc(CN(Cc3ccccn3)Cc3ccc(-c4ccc5c(c4)OCCOCCOCCOCCOCCO5)cn3)ccn2)c(N)cc1Cl 7.764304 0.3409090909090909</t>
  </si>
  <si>
    <t>CC(C)(c1ccccn1)c1ccccn1 7.7643037 0.47058823529411764</t>
  </si>
  <si>
    <t>Cc1ccnc(CN(C)C2=CCC=C(CN(C)C(C)C)N2)c1C 7.764302 0.234375</t>
  </si>
  <si>
    <t>Cc1nc(CN(C)C2=CNC(CN(Cc3ccccn3)CC(C)(C)C)=CC2)c(C)c(C)c1C 7.764299 0.4482758620689655</t>
  </si>
  <si>
    <t>Cc1ccnc(CN(C)C2CCCCC2N(C)c2ccc3ccc(CF)nc3c2)c1C 7.7642927 0.43548387096774194</t>
  </si>
  <si>
    <t>CC1=CCC(C)C(N(C)Cc2ccccn2)=C1CN(C)Cc1ccccn1 7.7642875 0.46</t>
  </si>
  <si>
    <t>Cc1cccnc1CN(C)C1CCCCC1N(C)c1cccc2c(CF)ccnc12 7.7642765 0.49122807017543857</t>
  </si>
  <si>
    <t>COC1(C)N=COC1c1ccc(CN(Cc2ccccn2)Cc2ncccc2C(C)(C)C)cn1 7.764271 0.32786885245901637</t>
  </si>
  <si>
    <t>CC(C)[Si](c1cccc(CN(C)Cc2ccc([SiH3])c([SiH3])n2)n1)(C(C)C)C(C)C 7.7642655 0.37777777777777777</t>
  </si>
  <si>
    <t>CC(N)C1=CCC(N(C)Cc2ncccc2C(C)(C)C)=CN1 7.7642617 0.2542372881355932</t>
  </si>
  <si>
    <t>Cc1ccc(N(C)Cc2ccccn2)cc1-c1ccc(CN(C)C2CCCC(N(C)Cc3ccccn3)C2)cn1 7.764261 0.4166666666666667</t>
  </si>
  <si>
    <t>Cc1cncc(CN(C)C2CCCC(N(C)c3cccc4nc(CF)ccc34)C2)c1 7.7642546 0.36764705882352944</t>
  </si>
  <si>
    <t>CC(C)N(CCN(C)Cc1cccc2ncccc12)Cc1cccnc1 7.764253 0.4230769230769231</t>
  </si>
  <si>
    <t>Cc1cnc(CN(C)Cc2cccnc2CNCc2ccccn2)c(C)c1C 7.7642508 0.3877551020408163</t>
  </si>
  <si>
    <t>Cc1cccnc1CN(Cc1ccccn1)C1CCCC(N(C)c2ccc3ncccc3c2)C1N(C)Cc1ccccn1 7.7642503 0.4426229508196721</t>
  </si>
  <si>
    <t>Cc1nc(CN(CCN(Cc2ccccn2)C(C)(N)N(CCN(Cc2nc(C)c(C)c(C)c2C)Cc2nc(C)c(C)c(C)c2C)Cc2ccccn2)Cc2nc(C)c(C)c(C)c2C)c(C)c(C)c1C 7.7642503 0.46</t>
  </si>
  <si>
    <t>CN(Cc1ccccn1)Cc1ccc(CF)nc1NCc1ccccn1 7.7642493 0.46938775510204084</t>
  </si>
  <si>
    <t>COC(C)c1cc(C)c(CN(Cc2ccccn2)Cc2cc(C(C)(C)C)ccn2)cn1 7.7642474 0.38461538461538464</t>
  </si>
  <si>
    <t>Cc1cccnc1CN(C)C1CCCCC1N(C)c1ccc2nc(CN(C)C)ccc2c1 7.7642403 0.41379310344827586</t>
  </si>
  <si>
    <t>Cc1ccc(CN(C)Cc2ccccn2)c(NCc2ccccn2)c1 7.7642384 0.4489795918367347</t>
  </si>
  <si>
    <t>CN(c1cccc2cccnc12)C1CCC(N(Cc2ccccn2)Cc2cccc(F)n2)CC1 7.7642317 0.4727272727272727</t>
  </si>
  <si>
    <t>Cc1ccnc(CN(C)C2=C(CN(Cc3ccccn3)C(C)C)NC=CC2)c1 7.764223 0.4444444444444444</t>
  </si>
  <si>
    <t>CC1=CC(C)CC2(C1)C(C)=C(C)C(C(C)(C)CN(Cc1ccccn1)c1ccc3cccnc3c1)C(C)C2N(C)Cc1ccccn1 7.76422 0.2948717948717949</t>
  </si>
  <si>
    <t>FCc1cnc2c(N(Cc3ccccn3)C3CCCCC3N(Cc3ccccn3)Cc3cccnc3F)cccc2c1 7.7642183 0.36363636363636365</t>
  </si>
  <si>
    <t>CNCc1ncccc1N(C)C(C)(C)c1ccccn1 7.764212 0.3333333333333333</t>
  </si>
  <si>
    <t>CNc1cc(Cl)c(-c2cc(CN(C)C3CCC(N(C)Cc4ccccn4)CC3)ccn2)cc1Cl 7.7642074 0.4067796610169492</t>
  </si>
  <si>
    <t>Cc1cc(C)c(CN(C)C2C=CNC(CN(C)C)=C2)nc1C 7.7642064 0.32142857142857145</t>
  </si>
  <si>
    <t>Cc1cccc(CN(CC2=CC(N(C)Cc3cccc(C)n3)C=CN2)Cc2ncccc2C)n1 7.7642035 0.38333333333333336</t>
  </si>
  <si>
    <t>CN(c1cccnc1CN(Cc1ccccn1)Cc1ncccc1F)C(C)(C)c1cccnc1CNCF 7.7641983 0.37037037037037035</t>
  </si>
  <si>
    <t>CNc1cccc(CN(C)C2CCCCC2N(C)c2ccc3ccc(CF)nc3c2)n1 7.7641954 0.4915254237288136</t>
  </si>
  <si>
    <t>CN(c1ccc2ncccc2c1)C1CCC(N(Cc2ccccn2)Cc2cccc(F)n2)CC1 7.764191 0.391304347826087</t>
  </si>
  <si>
    <t>Cc1cncc(CN(C)CN(Cc2cccnn2)C2CCCC(N(C)c3ccc4nccc(C)c4c3)C2)c1 7.7641892 0.29577464788732394</t>
  </si>
  <si>
    <t>CN(c1cccc2ncccc12)C1CCCC(N(Cc2ccccn2)Cc2cccnn2)C1 7.764184 0.43636363636363634</t>
  </si>
  <si>
    <t>Cc1cc(CN(Cc2cc(C)c(C)c(C)n2)C2CCC(N(C)Cc3cccc(-c4ccccn4)n3)CC2)nc(C)c1C 7.764175 0.4727272727272727</t>
  </si>
  <si>
    <t>CN(Cc1cccc(-c2ccc3c(c2)OCCOCCOCCOCCOCCO3)n1)c1cccc2c1NC(c1ccccn1)=CC2 7.7641745 0.35714285714285715</t>
  </si>
  <si>
    <t>CN(C1=CC=CCN1)C1CCCC(N(C)c2cccc3nc(CF)ccc23)C1 7.7641654 0.38461538461538464</t>
  </si>
  <si>
    <t>Cc1cccc(NCc2ccccn2)c1CN(C)Cc1ccccn1 7.7641616 0.48936170212765956</t>
  </si>
  <si>
    <t>Cc1cccnc1CN(C)C1=CNC(CN(C)CC2=CCC=CN2)=CC1 7.7641616 0.423728813559322</t>
  </si>
  <si>
    <t>CNC1CCC(N(Cc2nc(C)c(C)c(C)c2C)Cc2nc(C)c(C)c(C)c2C)C(N(Cc2nc(C)c(C)c(C)c2C)Cc2nc(C)c(C)c(C)c2C)C1 7.764157 0.21818181818181817</t>
  </si>
  <si>
    <t>Cc1cncc(CN(C)C2CCC(N(C)c3ccc4c(CF)ccnc4c3)CC2)c1 7.7641444 0.25757575757575757</t>
  </si>
  <si>
    <t>CN(Cc1ncccc1N)Cc1ncccc1N 7.7641406 0.38461538461538464</t>
  </si>
  <si>
    <t>CCOC(C)CN(Cc1ccccn1)Cc1cccc(C(C)(c2ccccn2)c2ccccn2)n1 7.7641406 0.43103448275862066</t>
  </si>
  <si>
    <t>CC(C)C(C)(c1cccnc1)c1ncccc1CN(Cc1ccccn1)Cc1cc(C(C)(C)C)ccn1 7.7641344 0.37735849056603776</t>
  </si>
  <si>
    <t>Cc1cnc(CN(Cc2ccccn2)Cc2ncccc2C)c(CN(C)Cc2ccccn2)c1 7.7641325 0.4444444444444444</t>
  </si>
  <si>
    <t>CNCc1cc(CNCc2cc(C(C)(C)c3ccccn3)ccn2)ccn1 7.7641215 0.3617021276595745</t>
  </si>
  <si>
    <t>Cc1ccnc(CN(C)Cc2nc(C)ccc2C)c1 7.76412 0.3829787234042553</t>
  </si>
  <si>
    <t>CN1CCN(C)CCN(Cc2cnccc2N(C)c2ccc3cccnc3c2)CC1 7.7641115 0.4</t>
  </si>
  <si>
    <t>CN1CCN(C)CCN(Cc2cncc(-c3ccc4cccnc4c3)c2)CC1 7.764105 0.4117647058823529</t>
  </si>
  <si>
    <t>Cc1cccnc1CN(C)C1CCCC(N(C)c2ccc3ccc(CF)nc3c2)C1 7.764103 0.34328358208955223</t>
  </si>
  <si>
    <t>Cc1cc(C)c(C)c(CN(Cc2ccccn2)Cc2cccc(CNC(C)C)n2)n1 7.764096 0.4166666666666667</t>
  </si>
  <si>
    <t>Cc1cccc(CNCc2cc(C(C)(C)c3ccccn3)ccn2)c1 7.764094 0.3469387755102041</t>
  </si>
  <si>
    <t>CCOC(C)c1cccc(CN(Cc2ccccn2)C2CCC(N(C)c3ccc4nc(CN(C)C)ccc4c3)CC2)n1 7.7640896 0.35294117647058826</t>
  </si>
  <si>
    <t>CNC1C(NCc2cc(C)c(C)cn2)C(N(Cc2nc(C)c(C)c(C)c2C)Cc2nc(C)c(C)c(C)c2C)CCC1N(Cc1nc(C)c(C)c(C)c1C)Cc1nc(C)c(C)c(C)c1C 7.764081 0.2698412698412698</t>
  </si>
  <si>
    <t>Cc1cncc(CN(C)C2=CNC(CN(C)C(C)(C)c3ccccn3)=CC2)c1 7.7640796 0.2727272727272727</t>
  </si>
  <si>
    <t>CC(C)c1cccc(CN(Cc2ccccn2)C2CCC(N(C)c3ccc4nc(CF)ccc4c3)CC2)n1 7.7640767 0.375</t>
  </si>
  <si>
    <t>CCN(Cc1ccccn1)C1=CNC(CN(Cc2ccccn2)C(C)(C)c2ccccn2)=CC1 7.7640753 0.3709677419354839</t>
  </si>
  <si>
    <t>Cc1cncc(CN(C)c2ccc3nc(CN(C)Cc4cc(-c5ccc6c(c5)OCCOCCOCCOCCOCCO6)ccn4)ccc3c2)c1C 7.764072 0.32926829268292684</t>
  </si>
  <si>
    <t>Cc1cncc(CN(C)c2ccc(CN(C)C(C)C)cn2)c1 7.7640676 0.28</t>
  </si>
  <si>
    <t>CNCC1=C(N(C)Cc2ccc(C)cn2)CC=CN1 7.7640634 0.4166666666666667</t>
  </si>
  <si>
    <t>Cc1cncc(CN(C)CCN(C)c2cc(C)ccc2C)c1 7.7640595 0.4090909090909091</t>
  </si>
  <si>
    <t>Cc1ccnc(CN(Cc2ccccn2)Cc2ccc(F)cn2)c1C 7.7640586 0.4878048780487805</t>
  </si>
  <si>
    <t>CNCc1ncccc1C1=NCC(C)(C)O1 7.764049 0.23076923076923078</t>
  </si>
  <si>
    <t>CNCN(Cc1ccccn1)Cc1nccc2cc(N(C)C3CCC(N(C)Cc4nc(C)c(C)cc4C)CC3)ccc12 7.764044 0.323943661971831</t>
  </si>
  <si>
    <t>Cc1cc(C)c(CN(Cc2nc(C)c(C)cc2C)C2CCC(N(C)Cc3ncccc3-c3ccccn3)CC2)nc1C 7.7640414 0.3114754098360656</t>
  </si>
  <si>
    <t>CNCc1cccc(CN(Cc2ccccn2)Cc2cc(C)c(C)c(C)n2)n1 7.76404 0.46511627906976744</t>
  </si>
  <si>
    <t>CN(C)Cc1cnc2cc(N(C)C3CCCC(N(C)Cc4cccnn4)C3)ccc2c1 7.7640266 0.3389830508474576</t>
  </si>
  <si>
    <t>Cc1ccnc(CN(Cc2cc(C)c(C)cn2)Cc2cccc(F)n2)c1 7.764022 0.4098360655737705</t>
  </si>
  <si>
    <t>CN(Cc1cccc(-c2ccc3c(c2)OCCOCCOCCOCCOCCO3)n1)c1ccc2ccc(CN(C)C3CCC(N(C)c4ccc5ncccc5c4)CC3)nc2c1 7.7640166 0.3103448275862069</t>
  </si>
  <si>
    <t>CNCc1ncccc1CN(Cc1ccccn1)Cc1nc(C)cc(C)c1C 7.7640147 0.4166666666666667</t>
  </si>
  <si>
    <t>Cc1cccnc1CN(C)C1CCCCC1N(C)c1ccc2c(CF)ccnc2c1 7.764008 0.38333333333333336</t>
  </si>
  <si>
    <t>Cc1cc(C)c(C)c(CN(C)C2C=CNC(CN(C)Cc3cc(C)c(C)cn3)=C2)n1 7.7639947 0.2878787878787879</t>
  </si>
  <si>
    <t>Cc1cncc(N(C)CCN(C)Cc2ccccn2)c1C 7.7639937 0.44680851063829785</t>
  </si>
  <si>
    <t>CC1=CC(C)CCC1(C)c1ncccc1CN(Cc1ccccn1)C1CCC(N(C)c2ccc3nccc(CN(C)C)c3c2)CC1 7.7639937 0.28205128205128205</t>
  </si>
  <si>
    <t>Cc1cc(CN(Cc2ccccn2)C2CCC(N(C)c3ccc4nc(CF)ccc4c3)CC2)ccn1 7.763983 0.35384615384615387</t>
  </si>
  <si>
    <t>CNCc1cc(CN(C)Cc2nc(C)c(C)cc2C)ccn1 7.7639823 0.2962962962962963</t>
  </si>
  <si>
    <t>Cc1cc(C(C)(C)N(C)Cc2ccccn2)ccc1NCc1ccccn1 7.7639775 0.39215686274509803</t>
  </si>
  <si>
    <t>CC(C)c1ncccc1CN(C)C1CCCCC1N(C)c1ccc2cc(CN(C)C)cnc2c1 7.7639737 0.3709677419354839</t>
  </si>
  <si>
    <t>COC1(C)N=COC1c1ncccc1CN(Cc1ccccn1)Cc1cc(C(C)(C)C)ccn1 7.763971 0.3448275862068966</t>
  </si>
  <si>
    <t>CN(C)Cc1nccc2cc(N(C)C3CCCCC3N(Cc3ccccn3)Cc3ccccn3)ccc12 7.76397 0.4727272727272727</t>
  </si>
  <si>
    <t>CN1CCN(Cc2cc(C(C)(C)c3ccccn3)ccn2)CCN(Cc2cccc(C(C)(C)c3cccc(C(C)(C)c4cccc(C5=NC(C)(C)CO5)n4)n3)n2)CC1 7.763967 0.40298507462686567</t>
  </si>
  <si>
    <t>Cc1ccc(CN(Cc2ccccn2)Cc2cccnc2C(C)(c2cccnc2)C(C)C)nc1 7.76395 0.38461538461538464</t>
  </si>
  <si>
    <t>Cc1cccnc1CN(C)c1ccc(-c2cccc(CN(Cc3cccc(-c4ccc5c(c4)OCCOCCOCCOCCOCCO5)n3)Cc3cccc(C(C)(c4ccccn4)C(C)C)n3)n2)cc1 7.763947 0.3411764705882353</t>
  </si>
  <si>
    <t>CCN(Cc1ccccn1)Cc1cc(CN(C)Cc2ncc(C)cc2C)c(C(C)(C)C)cn1 7.763946 0.36666666666666664</t>
  </si>
  <si>
    <t>CC1=C(c2ncccc2CN(Cc2ccccn2)C2CCCCC2N(C)c2ccc3nc(CF)ccc3c2)C2(C=CNC(C(C)C)=C2)C(C)(C)CC1 7.7639446 0.28865979381443296</t>
  </si>
  <si>
    <t>CNC1NC=CC=C1N(C)Cc1ccc(C)cn1 7.763943 0.44</t>
  </si>
  <si>
    <t>Cc1cc(CN(C)CCN(C)Cc2cc(C)c(C)c(C)n2)nc(C)c1C 7.7639318 0.45714285714285713</t>
  </si>
  <si>
    <t>CCNc1cccc(CN(Cc2ccccn2)Cc2ncc(C)c(C)c2C)n1 7.763928 0.45454545454545453</t>
  </si>
  <si>
    <t>CC(C)NCc1ccc(CN(Cc2ccccn2)C2CCCC(N(C)c3cccc4nc(CN(C)C)ccc34)C2)cn1 7.7639275 0.3108108108108108</t>
  </si>
  <si>
    <t>CC(NCc1ccccn1)c1cccnc1CNc1cccnc1CF 7.763926 0.3541666666666667</t>
  </si>
  <si>
    <t>Cc1cc(CN(C)C2CCCCC2N(C)c2ccc3cccnc3c2)cnc1C 7.763926 0.4067796610169492</t>
  </si>
  <si>
    <t>Cc1cccnc1CN(C)C1CCC(N(C)c2cccc3nc(CF)ccc23)CC1 7.763922 0.36923076923076925</t>
  </si>
  <si>
    <t>Cc1cc(CN(C)Cc2cc(C)c(C)cn2)ccn1 7.7639184 0.40476190476190477</t>
  </si>
  <si>
    <t>CC1=NC(c2ccccc2CNCc2ccccn2)CO1 7.763918 0.4222222222222222</t>
  </si>
  <si>
    <t>Cc1ccc(CN(Cc2ccccn2)C2CCC(N(C)c3ccc4ccc(CF)nc4c3)CC2)nc1 7.7639165 0.3770491803278688</t>
  </si>
  <si>
    <t>Cc1ccc(NCc2ccccn2)c(CN(C)Cc2ccccn2)c1 7.7639165 0.4583333333333333</t>
  </si>
  <si>
    <t>CCOC(=O)C(=O)NCc1ncccc1CN(Cc1ccccn1)Cc1ccccn1 7.763915 0.425531914893617</t>
  </si>
  <si>
    <t>CC1=CC(C)C2(C=C(c3ccc(CN(Cc4ccccn4)C4CCCCC4N(C)c4ccc5ccc(CN(C)C)nc5c4)cn3)C3(CC(C)=CC(C)(C)C3)CC2c2cccc(CN(Cc3ccccn3)Cc3ccccn3)n2)C(C)C1 7.763914 0.26732673267326734</t>
  </si>
  <si>
    <t>Cc1cc(C)c(C)c(CN(C)C2C=CNC(CN(C)Cc3ccc(C)c(C)c3C)=C2)n1 7.7639093 0.2923076923076923</t>
  </si>
  <si>
    <t>CC(C)N(Cc1ccccn1)Cc1cc(N(C)C2C=CC=CN2)ccn1 7.7639055 0.47058823529411764</t>
  </si>
  <si>
    <t>CC(C)C1=CCC=C(N(C)Cc2ccccn2)N1 7.7639046 0.44680851063829785</t>
  </si>
  <si>
    <t>CN(Cc1ccc2c(n1)CCC2)C1CCC(N(C)c2ccc3nccc(CF)c3c2)CC1 7.7639017 0.28378378378378377</t>
  </si>
  <si>
    <t>Cc1ccc(C(C)(C)c2ncccc2CN(Cc2ccccn2)C2CCCCC2)c2ncccc12 7.7639003 0.3709677419354839</t>
  </si>
  <si>
    <t>CN(Cc1ccon1)C1CCCCC1N(C)c1ccc2ncc(CF)cc2c1 7.7638974 0.3709677419354839</t>
  </si>
  <si>
    <t>CC(C)C1N=COC1c1cc(CN(Cc2ccccn2)Cc2cc(C(C)(C)C)ccn2)ccn1 7.7638965 0.3770491803278688</t>
  </si>
  <si>
    <t>Cc1cccnc1CN(C)Cc1nccc2cc(N(C)Cc3ncccc3-c3cccc4c3OCCOCCOCCOCCOCCO4)ccc12 7.763896 0.2328767123287671</t>
  </si>
  <si>
    <t>Cc1cccc(CN(C)C2=CNC(CN(C)C(C)(C)c3cccnc3)=CC2)n1 7.763894 0.3448275862068966</t>
  </si>
  <si>
    <t>CC1C=C(CN(C)Cc2cccc(-c3cccc(N=Cc4ccccn4)c3)n2)CC(C)C1C 7.7638903 0.3939393939393939</t>
  </si>
  <si>
    <t>Cc1ccc(-c2cccc(CN(C)C3CCC(N(C)Cc4ccccn4)C(N(Cc4nc(C)c(C)c(C)c4C)Cc4nc(C)c(C)c(C)c4C)C3)n2)cc1 7.7638874 0.421875</t>
  </si>
  <si>
    <t>CN(Cc1ccc2c(c1)OCCOCCOCCOCCOCCO2)Cc1ccc2cc(N(C)c3ccc4ncccc4c3)ccc2n1 7.7638855 0.3125</t>
  </si>
  <si>
    <t>Cc1nc(CN(C)CC2=C(N(C)C(C)C)CC=CN2)c(C)c(C)c1C 7.763877 0.21818181818181817</t>
  </si>
  <si>
    <t>Cc1ccc(CN(C)CC2C=CNC=C2N(C)Cc2cnc(C)c(C)c2)nc1 7.763876 0.4</t>
  </si>
  <si>
    <t>CNCc1ncccc1CN(Cc1ccccn1)Cc1cc(C)c(C)c(C)n1 7.763872 0.425531914893617</t>
  </si>
  <si>
    <t>Fc1cccc(CN(Cc2cccc(F)n2)Cc2ncccc2F)n1 7.76387 0.4444444444444444</t>
  </si>
  <si>
    <t>Cc1ccnc2cc(N(C)C3CCC(N(Cc4ccnc(CNC(C)C)c4)Cc4ccccn4)CC3)ccc12 7.7638683 0.3382352941176471</t>
  </si>
  <si>
    <t>CN(C)Cc1cnc2cccc(N(C)C3CCCCC3N(Cc3ccccn3)Cc3cccnn3)c2c1 7.763865 0.4126984126984127</t>
  </si>
  <si>
    <t>CNCc1cccc(CN(Cc2ccccn2)Cc2nc(C)c(C)cc2C)n1 7.7638636 0.46511627906976744</t>
  </si>
  <si>
    <t>CC(C)N1CCCC1CN(C)c1ccc2cccnc2c1 7.763863 0.34375</t>
  </si>
  <si>
    <t>Cc1ccnc(CN(Cc2ccc(F)nc2)Cc2ccccn2)c1C 7.763861 0.45454545454545453</t>
  </si>
  <si>
    <t>Cc1ccc2ccc(N(C)C3CCCC(N(C)Cc4ccccn4)C3)cc2n1 7.76386 0.46296296296296297</t>
  </si>
  <si>
    <t>Cc1cccnc1CN(Cc1ccccn1)C1CCC(N(C)c2ccc3nc(CF)ccc3c2)CC1 7.7638583 0.359375</t>
  </si>
  <si>
    <t>Cc1cccc(CN(C)CCN(Cc2ccccn2)C(C)(C)c2cnccc2CN(Cc2ccccn2)Cc2nc(C)c(C)c(C)c2C)n1 7.763856 0.390625</t>
  </si>
  <si>
    <t>Cc1cc(CN(CC2=CC(N(C)Cc3ccccn3)C=CN2)Cc2ccccn2)nc(C)c1C 7.7638526 0.4262295081967213</t>
  </si>
  <si>
    <t>CNCc1ccc2cccc(N(C)C3CCC(N(Cc4cccc(F)n4)Cc4ncccc4C)CC3)c2n1 7.763846 0.375</t>
  </si>
  <si>
    <t>CN(Cc1cc(-c2ccc3ncccc3c2)ccn1)Cc1ncccc1-c1ccc2c(c1)OCCOCCOCCOCCOCCO2 7.763844 0.32894736842105265</t>
  </si>
  <si>
    <t>Cc1ccnc(CN(C)Cc2cccnc2F)c1N 7.763843 0.3829787234042553</t>
  </si>
  <si>
    <t>Cc1c(NCc2ccccn2)cccc1C(C)(C)N(C)Cc1ccccn1 7.763843 0.39215686274509803</t>
  </si>
  <si>
    <t>CC1(C)N=COC1c1ncccc1CN(Cc1ccccn1)Cc1ccccn1 7.763841 0.46511627906976744</t>
  </si>
  <si>
    <t>CC(C)N1CCCC1CN(C)c1ccc2ncccc2c1 7.763841 0.3492063492063492</t>
  </si>
  <si>
    <t>Cc1ccc(NCc2ccccn2)cc1CN(C)Cc1ccccn1 7.763837 0.4583333333333333</t>
  </si>
  <si>
    <t>FCc1ccc(NCc2ccccn2)cn1 7.763835 0.4594594594594595</t>
  </si>
  <si>
    <t>Cc1ccc(CN(C)Cc2ccccn2)cc1NCc1ccccn1 7.763833 0.4489795918367347</t>
  </si>
  <si>
    <t>Cc1cnc(CN(C)C2C=CNC(CN(C)Cc3cc(C)c(C)c(C)n3)=C2)cc1C 7.763829 0.296875</t>
  </si>
  <si>
    <t>CCNc1nccc(C)c1CN(Cc1ccc(C)cn1)Cc1ncccc1C 7.7638254 0.3584905660377358</t>
  </si>
  <si>
    <t>Cc1ccc(CN(Cc2ccccn2)c2cc(Cl)c(N(C)Cc3cccc(-c4ccc5c(c4)OCCOCCOCCOCCOCCO5)n3)cc2Cl)nc1 7.763818 0.40298507462686567</t>
  </si>
  <si>
    <t>Cc1cccc(CN(C)C2CCC(N(C)c3cccc4nc(CF)ccc34)CC2)n1 7.763818 0.46296296296296297</t>
  </si>
  <si>
    <t>CN(C)Cc1cnc2ccc(N(C)C3CCCC(N(C)Cc4cccnn4)C3)cc2c1 7.763818 0.3333333333333333</t>
  </si>
  <si>
    <t>C#Cc1ccccc1NCc1ccccn1 7.763816 0.4722222222222222</t>
  </si>
  <si>
    <t>Cc1ccccc1CN(C)Cc1cccc(C(C)(C)c2ccccn2)n1 7.76381 0.46938775510204084</t>
  </si>
  <si>
    <t>Cc1c(C)c(C)c(N(C)CCN(C)C(C)(C)c2ccccn2)c(C)c1C 7.7638035 0.3469387755102041</t>
  </si>
  <si>
    <t>CCCN(Cc1ccccn1)C1=CCC=C(CN(Cc2ccccn2)Cc2ncccc2C)N1 7.7638035 0.45</t>
  </si>
  <si>
    <t>Cc1cncc(CN(Cc2ccccn2)C2CCCC(N(C)c3ccc4cc(CF)cnc4c3)C2)c1 7.7638016 0.32857142857142857</t>
  </si>
  <si>
    <t>CC1C=CC(N(C)Cc2ccc(C(C)(C)C)cn2)c2ncccc21 7.7638 0.32142857142857145</t>
  </si>
  <si>
    <t>Cc1ccnc(CN(Cc2ccccn2)Cc2cccnc2F)c1C 7.763798 0.4878048780487805</t>
  </si>
  <si>
    <t>CCCN(C)CC1=CCC(N(C)Cc2nc(C)c(C)cc2C)=CN1 7.7637978 0.23214285714285715</t>
  </si>
  <si>
    <t>CNCc1ncccc1CN(Cc1ccccn1)Cc1nc(C)c(C)cc1C 7.7637944 0.43478260869565216</t>
  </si>
  <si>
    <t>Cc1ccc(CN=Cc2ccccn2)cc1 7.763787 0.4418604651162791</t>
  </si>
  <si>
    <t>CN(Cc1ccon1)C1CCCCC1N(C)c1ccc2cccnc2c1 7.7637854 0.45454545454545453</t>
  </si>
  <si>
    <t>CNCc1ccc(CN(C)Cc2nc(C)c(C)cc2C)cn1 7.7637844 0.32653061224489793</t>
  </si>
  <si>
    <t>Cc1cccnc1CN(C)C1CCCCC1N(C)c1ccc2ccc(CN(C)C)nc2c1 7.7637796 0.42105263157894735</t>
  </si>
  <si>
    <t>Cc1cc(CN(C)C2=CNC(CN(C)C(C)C)=CC2)nc(C)c1C 7.763762 0.19696969696969696</t>
  </si>
  <si>
    <t>Cc1cc(C)c(CN(C)CCN(C)Cc2cc(C)c(C)c(C)n2)nc1C 7.7637615 0.37209302325581395</t>
  </si>
  <si>
    <t>CNCc1cc(CN(C)Cc2cc(C)c(C)c(C)n2)ccn1 7.763749 0.3148148148148148</t>
  </si>
  <si>
    <t>CNCC1=CCC(N(C)Cc2ccc(C)cn2)=CN1 7.7637486 0.4166666666666667</t>
  </si>
  <si>
    <t>Cc1ccnc(CN(Cc2ccccn2)Cc2cccc(F)n2)c1C 7.7637343 0.4878048780487805</t>
  </si>
  <si>
    <t>Cc1cc(C)c(C)c(CN(C)C2=CNC(CN(C)C(C)C)=CC2)n1 7.763733 0.2033898305084746</t>
  </si>
  <si>
    <t>CC1=CC(C)CC=C1N(C)Cc1cc(C(C)(C)C)ccn1 7.7637296 0.2857142857142857</t>
  </si>
  <si>
    <t>CC(C)N(C)Cc1cc(N(C)C2CCCC(N(C)c3ccc4cccnc4c3)C2)ccn1 7.763728 0.3125</t>
  </si>
  <si>
    <t>CCOC(=O)C1CN(C)C(c2ncccc2CN(Cc2ccccn2)Cc2ccccn2)C(c2ccccn2)C1c1ccccn1 7.7637277 0.3389830508474576</t>
  </si>
  <si>
    <t>Cc1cnc(C2CCC2(C)C)c(CN(Cc2ncccc2C(C)(C)C)Cc2ncccc2C(C)(C)c2ccccn2)c1 7.7637224 0.2361111111111111</t>
  </si>
  <si>
    <t>CC1=CC(C)CC(C)C1(C)c1ccc(CN(Cc2ccccn2)C2CCC(N(C)c3ccc4nccc(CN(C)C)c4c3)CC2)cn1 7.763721 0.26506024096385544</t>
  </si>
  <si>
    <t>CCOC(=O)c1cccc(CNCc2cccc(C(C)NCc3ccccn3)n2)n1 7.763719 0.3584905660377358</t>
  </si>
  <si>
    <t>Cc1cc(C)c(CN(C)C2=C(CN(C)C(C)C)NC=CC2)nc1C 7.7637095 0.18181818181818182</t>
  </si>
  <si>
    <t>CN(c1ccc2cccnc2c1)C1CCCC(N(C)c2cccc3nccc(-c4ccc5c(c4)OCCOCCOCCOCCOCCO5)c23)C1 7.7637076 0.3048780487804878</t>
  </si>
  <si>
    <t>Cc1cccc(CN(Cc2ccccn2)C2CCC(N(C)c3ccc4nc(CF)ccc4c3)CC2)n1 7.763707 0.39344262295081966</t>
  </si>
  <si>
    <t>CNCc1ccc(CN(C)C2=CNC(CN(C)Cc3ccc(C)cn3)=CC2)cn1 7.763703 0.4</t>
  </si>
  <si>
    <t>Cc1ccc(CN(C)CC2=CC(N(C)Cc3cc(C)c(C)c(C)n3)C=CN2)nc1C 7.7636924 0.30158730158730157</t>
  </si>
  <si>
    <t>CN1CCN(C)CCN(Cc2cncc(-c3ccc4ncccc4c3)c2)CC1 7.7636905 0.4117647058823529</t>
  </si>
  <si>
    <t>CNCc1cccc(CN(C)Cc2cc(C)c(C)c(C)n2)n1 7.763688 0.4090909090909091</t>
  </si>
  <si>
    <t>Cc1ccc(C)c(CN(C)Cc2cc(C(C)(C)C)ccn2)c1C 7.7636857 0.3076923076923077</t>
  </si>
  <si>
    <t>Cc1cc(C)c2cccc(N3CCN(C)CCN(C)CC3)c2n1 7.763685 0.4358974358974359</t>
  </si>
  <si>
    <t>CCN(Cc1cc(C(C)(C)C)ccn1)Cc1nc(C)c(C)c(C)c1C 7.7636833 0.2962962962962963</t>
  </si>
  <si>
    <t>CC1=C(C)C(C)CC2(CCC3(CCC(C)=C(C)C3C)C(c3cc(CN(Cc4ccccn4)Cc4ccccn4)ccn3)=C2c2cc(CN(Cc3ccccn3)Cc3ccccn3)ccn2)C1 7.763682 0.31746031746031744</t>
  </si>
  <si>
    <t>COC(=O)C(=O)C(=O)C(C)NCc1cc(CN(Cc2ccccn2)Cc2ccccn2)ccn1 7.763677 0.40816326530612246</t>
  </si>
  <si>
    <t>CC(C)c1cccc(CN(Cc2ccccn2)C2CCC(N(C)c3ccc4ccc(CF)nc4c3)CC2)n1 7.7636747 0.38095238095238093</t>
  </si>
  <si>
    <t>CNCC1=C(N(C)Cc2cc(C)ccn2)CC=CN1 7.763668 0.32142857142857145</t>
  </si>
  <si>
    <t>Cc1cncc(CN(C)C2CCC(N(C)c3ccc4ncc(CN(C)C)cc4c3)CC2)c1 7.7636666 0.2698412698412698</t>
  </si>
  <si>
    <t>Cc1cc(N)cnc1CN(Cc1ccc(C2CC(C)(C)C2)nc1)Cc1ccccn1 7.7636657 0.36363636363636365</t>
  </si>
  <si>
    <t>CNCc1nc(C)cc(C)c1C 7.763664 0.23255813953488372</t>
  </si>
  <si>
    <t>Cc1cnc(CN(C)CC2=CCC(N(C)C)=CN2)cc1C 7.763663 0.32653061224489793</t>
  </si>
  <si>
    <t>CNCc1cc(CN(Cc2ccccn2)C(C)(N)c2ccon2)ccn1 7.763651 0.3448275862068966</t>
  </si>
  <si>
    <t>Cc1cnccc1CN(C)C1CCC(N(C)c2cccc3nccc(CF)c23)CC1 7.763649 0.2753623188405797</t>
  </si>
  <si>
    <t>CC1=C(NCc2ccccn2)C(C)(C)CC(c2ccc(CN(Cc3ccccn3)Cc3ccccn3)cn2)C12C=CNC(C(C)C)=C2 7.7636466 0.3</t>
  </si>
  <si>
    <t>Cc1cc(C)c(CN(C)C2C=CNC(CN(Cc3ccccn3)Cc3ccccn3)=C2)nc1C 7.763646 0.4262295081967213</t>
  </si>
  <si>
    <t>CN(Cc1cccnn1)C1CCCC(N(C)c2ccc3c(CF)ccnc3c2)C1 7.7636437 0.3620689655172414</t>
  </si>
  <si>
    <t>CCNCc1cccc(N=Cc2ccccn2)c1 7.7636423 0.42857142857142855</t>
  </si>
  <si>
    <t>C=CCN(C)CC1=CCC(N(C)Cc2nc(C)c(C)c(C)c2C)=CN1 7.763642 0.1864406779661017</t>
  </si>
  <si>
    <t>CC1=C(N(C)Cc2ncccc2C(C)(C)c2ccccn2)CC(C)C(C)C1 7.763633 0.29310344827586204</t>
  </si>
  <si>
    <t>CCN(Cc1ccccn1)c1cc(C)ccc1CN(C)Cc1ccccn1 7.7636304 0.46808510638297873</t>
  </si>
  <si>
    <t>CNCc1ccc(CN(C)Cc2cc(C)c(C)c(C)n2)cn1 7.763627 0.3469387755102041</t>
  </si>
  <si>
    <t>CNCc1ncccc1CN(C)Cc1nc(C)c(C)c(C)c1C 7.7636247 0.38</t>
  </si>
  <si>
    <t>CCN(C)CCN(C)c1c(C)c(C)c(C)c(C)c1C 7.763624 0.24324324324324326</t>
  </si>
  <si>
    <t>Cc1ccc(CN(Cc2ccccn2)C2CCCC(N(C)c3ccc4nc(CF)ccc4c3)C2)nc1 7.7636237 0.36923076923076925</t>
  </si>
  <si>
    <t>C#CCN(Cc1ccccn1)Cc1ncccc1C(C)(c1ccccn1)c1ccccn1 7.7636204 0.44</t>
  </si>
  <si>
    <t>CC1(C)CC(c2cc(CN(Cc3ccccn3)Cc3cccc(C(C)(C)C)n3)cc(CN(Cc3ccccn3)Cc3ccccn3)n2)C1 7.7636123 0.4</t>
  </si>
  <si>
    <t>Cc1c(C)c(C)c(N(C)CCN(C)C(C)(C)c2cccnn2)c(C)c1C 7.763603 0.38636363636363635</t>
  </si>
  <si>
    <t>CNCc1ncccc1CN(Cc1ccccn1)C(C)(N)c1ccon1 7.763601 0.3333333333333333</t>
  </si>
  <si>
    <t>CN(Cc1ccon1)C1CCCCC1N(C)c1ccc2ncccc2c1 7.7635975 0.46296296296296297</t>
  </si>
  <si>
    <t>Cc1cccc(CN(Cc2cccc(CN(Cc3ncccc3C)C(C)C)n2)Cc2ncccc2C)n1 7.7635956 0.4166666666666667</t>
  </si>
  <si>
    <t>CN1CCN(C)CCN(Cc2cncc(-c3cccc4cccnc34)c2)CC1 7.7635875 0.4117647058823529</t>
  </si>
  <si>
    <t>CNC1CC(N(Cc2nc(C)c(C)c(C)c2C)Cc2nc(C)c(C)c(C)c2C)CCC1N(Cc1nc(C)c(C)c(C)c1C)Cc1nc(C)c(C)c(C)c1C 7.7635827 0.21052631578947367</t>
  </si>
  <si>
    <t>Cc1ccccc1CNCc1cc(C(C)(C)c2ccccn2)ccn1 7.763578 0.3617021276595745</t>
  </si>
  <si>
    <t>CN(Cc1ncccc1F)C1CCCCC1N(C)c1cccnc1-c1cccc(Cl)n1 7.763576 0.4406779661016949</t>
  </si>
  <si>
    <t>Cc1ccnc2cccc(N(C)C3CCCC(N(Cc4ccccn4)Cc4cccc(CNC(C)C)n4)C3)c12 7.763572 0.34328358208955223</t>
  </si>
  <si>
    <t>FCc1cccc(NCc2ccccn2)n1 7.7635674 0.4722222222222222</t>
  </si>
  <si>
    <t>CN(c1ccc2ncccc2c1)C1C2CCC1C(N(Cc1ccccn1)Cc1ccccn1)C2 7.763566 0.40350877192982454</t>
  </si>
  <si>
    <t>Cc1cccc(CNCc2ccc(C(C)(C)c3ccccn3)cn2)c1 7.763561 0.34</t>
  </si>
  <si>
    <t>CN(Cc1ccon1)C1CCc2ccccc21 7.76356 0.47619047619047616</t>
  </si>
  <si>
    <t>CN(Cc1ncccc1-c1ccc2c(c1)OCCOCCOCCOCCOCCO2)Cc1ncccc1-c1ncccc1-c1ccccn1 7.763559 0.31746031746031744</t>
  </si>
  <si>
    <t>FCc1ncccc1NCc1ccccn1 7.7635584 0.4722222222222222</t>
  </si>
  <si>
    <t>CNCN(Cc1nc(C)c(C)c(C)c1C)C(C)C 7.7635565 0.2727272727272727</t>
  </si>
  <si>
    <t>CC(N)C(C)(c1cccnc1)c1ccc(CN(Cc2ccccn2)C2CCCCC2N(C)c2cccc3nc(CF)ccc23)cn1 7.7635555 0.3488372093023256</t>
  </si>
  <si>
    <t>Cc1cc(C)c(CN(C)CCN(C)Cc2nc(C)c(C)cc2C)nc1C 7.763544 0.3888888888888889</t>
  </si>
  <si>
    <t>CN(Cc1ccccn1)C1=CC=CNC1 7.7635436 0.4772727272727273</t>
  </si>
  <si>
    <t>Cc1cncc(N(C)CCN(C)C)c1 7.763539 0.275</t>
  </si>
  <si>
    <t>Cc1cc(C)c(CN(C)CC2=CCC=CN2)c(N)c1 7.763538 0.34545454545454546</t>
  </si>
  <si>
    <t>CN(c1ccc2cc(CF)cnc2c1)C1CCC(N(C)C(c2ccccc2)c2ccccn2)CC1 7.763537 0.45901639344262296</t>
  </si>
  <si>
    <t>CC1=C(C)C(C)C(C)(c2cc(CN(Cc3ccccn3)C3CCC(N(C)c4ccc5nccc(C)c5c4)CC3)ccn2)CC1 7.7635264 0.28205128205128205</t>
  </si>
  <si>
    <t>CN(C)Cc1ccc2cccc(N(C)C3CCCCC3N(Cc3ncccc3-c3cccc4c3OCCOCCOCCOCCOCCO4)c3ccc4ncccc4c3)c2n1 7.7635207 0.4</t>
  </si>
  <si>
    <t>CNC1NC=CC=C1N(C)Cc1cc(C)ccn1 7.7635164 0.3090909090909091</t>
  </si>
  <si>
    <t>Cc1cccc(N(C)Cc2ccccn2)c1-c1ccc(CN(Cc2cccnn2)C2CCCCC2)cn1 7.7635145 0.38095238095238093</t>
  </si>
  <si>
    <t>CCN(CCN(C)C(C)C)c1ccc2ncccc2c1 7.7635083 0.32653061224489793</t>
  </si>
  <si>
    <t>CN(C)Cc1cccnc1CN(Cc1ccccn1)Cc1ccon1 7.763507 0.47619047619047616</t>
  </si>
  <si>
    <t>CC1(C)N=COC1c1ccc(CN(Cc2ccccn2)Cc2ccccn2)cn1 7.7634945 0.4444444444444444</t>
  </si>
  <si>
    <t>CNCc1cc(C(C)(C)c2ccccn2)ccn1 7.763485 0.35714285714285715</t>
  </si>
  <si>
    <t>CNC1C(N(C)Cc2nc(C)c(C)c(C)c2C)CCC(N(C)Cc2nc(C)c(C)c(C)c2C)C1N(Cc1nc(C)c(C)c(C)c1C)Cc1nc(C)c(C)c(C)c1C 7.76348 0.2727272727272727</t>
  </si>
  <si>
    <t>CN(Cc1cccnn1)C1CCCC(N(C)c2ccc3nccc(CF)c3c2)C1 7.7634797 0.3559322033898305</t>
  </si>
  <si>
    <t>Cc1cnc(CN(C)C2CCCCC2N(C)c2ccc3ccc(CF)nc3c2)c(C)c1 7.7634754 0.45614035087719296</t>
  </si>
  <si>
    <t>Cc1ccc(CN(C)C2=CNC=CC2CN(Cc2ccccn2)Cc2ccccn2)nc1 7.7634745 0.4</t>
  </si>
  <si>
    <t>CNC1C(N(Cc2nc(C)c(C)c(C)c2C)Cc2nc(C)c(C)c(C)c2C)CCC(NCc2cc(C)c(C)cn2)C1N(Cc1nc(C)c(C)c(C)c1C)Cc1nc(C)c(C)c(C)c1C 7.76347 0.25</t>
  </si>
  <si>
    <t>CCN(CCN(C)CC(C)(C)C)c1ccc2ncccc2c1 7.7634673 0.35294117647058826</t>
  </si>
  <si>
    <t>Cc1cc(CN(Cc2cc(C)c(C)c(C)n2)C2CCC(N(C)Cc3cc(-c4ccccn4)ccn3)CC2)nc(C)c1C 7.763465 0.36666666666666664</t>
  </si>
  <si>
    <t>Cc1ccc(N(C)Cc2ccccn2)c(-c2cccc(CN(CC3=CCC=CN3)C3CCCC(N(C)Cc4ccccn4)C3)n2)c1 7.763464 0.4189189189189189</t>
  </si>
  <si>
    <t>CCN(CC1=CCC(N(C)Cc2ncccc2C)=CN1)Cc1cncc(C)c1 7.763457 0.2638888888888889</t>
  </si>
  <si>
    <t>CCN(Cc1ccccn1)c1cccc(-c2ccccn2)c1-c1cccc(CN(Cc2ccccn2)Cc2cccc(-c3ccc4c(c3)OCCOCCOCCOCCOCCO4)n2)n1 7.7634516 0.44285714285714284</t>
  </si>
  <si>
    <t>CC1(c2cccc(C3=CCC=CN3)n2)CCC1 7.763443 0.2631578947368421</t>
  </si>
  <si>
    <t>Cc1nc(CN(C)C2=CCC=C(CN(C)C(C)C(C)C)N2)c(C)c(C)c1C 7.763434 0.1791044776119403</t>
  </si>
  <si>
    <t>CNC1CC(N(Cc2nc(C)c(C)cc2C)Cc2nc(C)c(C)cc2C)CC(N(Cc2nc(C)c(C)cc2C)Cc2nc(C)c(C)c(C)c2C)C1 7.7634325 0.18333333333333332</t>
  </si>
  <si>
    <t>CCN(Cc1ccccn1)C1=C(CN(Cc2ccccn2)Cc2cccc(C)n2)NC=CC1 7.763422 0.4406779661016949</t>
  </si>
  <si>
    <t>CC1=CC2(C(c3cc(CN(Cc4ccccn4)Cc4ccccn4)ccn3)=C(c3cc(CN(Cc4ccccn4)Cc4ccccn4)ccn3)CCC23CCC(C)=C(C)C3C)C(C)CC1C 7.763422 0.30864197530864196</t>
  </si>
  <si>
    <t>CN(Cc1cccc(-c2cccc(N(C)C)c2)n1)Cc1ncccc1N(C)Cc1cccc(-c2ccc3c(c2)OCCOCCOCCOCCOCCO3)n1 7.76342 0.35294117647058826</t>
  </si>
  <si>
    <t>CNCc1ccc(CN(Cc2cccc(C)n2)Cc2nccc(C)c2C)cn1 7.763418 0.34545454545454546</t>
  </si>
  <si>
    <t>Cc1ncccc1CN(C)C1CCCC(N(C)c2cccc3nc(CF)ccc23)C1 7.763408 0.373134328358209</t>
  </si>
  <si>
    <t>Cc1cnccc1CN(C)C1CCC(N(C)c2ccc3nccc(CF)c3c2)CC1 7.763406 0.24242424242424243</t>
  </si>
  <si>
    <t>CN(c1cccc2nc(CF)ccc12)C1CCC(N(Cc2ccccn2)Cc2ccc(F)cn2)CC1 7.763404 0.34782608695652173</t>
  </si>
  <si>
    <t>Cc1cccc(CN(C)CC2C=CNC(N(C)Cc3ccccn3)=C2)n1 7.7634025 0.42857142857142855</t>
  </si>
  <si>
    <t>Cc1ccc(C2CCC2)nc1CN(C)C1CCC(N(C)Cc2cccc(-c3ccc4ncccc4c3)n2)CC1 7.763397 0.3283582089552239</t>
  </si>
  <si>
    <t>CNCc1ccc(CN(Cc2ccccn2)Cc2cc(C)c(C)c(C)n2)cn1 7.7633953 0.4166666666666667</t>
  </si>
  <si>
    <t>Cc1cccc(CN(C)Cc2cccc(C(C)(C)c3ccccn3)n2)c1 7.763395 0.45098039215686275</t>
  </si>
  <si>
    <t>Cc1cnc(CN(C)CC2C=CNC=C2N(C)Cc2ccccn2)c(C)c1 7.7633944 0.36666666666666664</t>
  </si>
  <si>
    <t>COC1(C)N=COC1c1ncccc1CN(Cc1ccccn1)Cc1ccccn1 7.7633934 0.425531914893617</t>
  </si>
  <si>
    <t>Cc1cnc(C)c(CN(C)Cc2ncccc2C(C)(C)C)c1 7.763392 0.3269230769230769</t>
  </si>
  <si>
    <t>Cc1cccc(CN(C)C2=C(CN(Cc3ccccn3)C(C)C)NC=CC2)n1 7.7633886 0.4444444444444444</t>
  </si>
  <si>
    <t>CNCc1cc(CN(Cc2cc(C)ccn2)Cc2ncc(C)c(C)c2C)ccn1 7.7633796 0.3157894736842105</t>
  </si>
  <si>
    <t>CC(C)c1cccc(CN(Cc2ccccn2)C2CCC(N(C)c3ccc4cc(CF)cnc4c3)CC2)n1 7.7633767 0.3382352941176471</t>
  </si>
  <si>
    <t>CC(C)C(C)(c1cccnc1)c1cc(CN(Cc2ccccn2)Cc2cc(C(C)(C)C)ccn2)ccn1 7.763375 0.37037037037037035</t>
  </si>
  <si>
    <t>CNC1NC=CC=C1N(C)Cc1cccc(C)n1 7.7633743 0.44</t>
  </si>
  <si>
    <t>Cc1ncccc1CN(C)C1CCC(N(C)c2cccc3nccc(CF)c23)CC1 7.76337 0.30158730158730157</t>
  </si>
  <si>
    <t>CNCc1ccc(CN(Cc2ccccn2)Cc2nc(C)c(C)cc2C)cn1 7.7633586 0.4166666666666667</t>
  </si>
  <si>
    <t>Cc1ccc(CN(C)Cc2ncccc2N)nc1C 7.763351 0.3877551020408163</t>
  </si>
  <si>
    <t>CNCc1nc(CN(C)C2CCC(N(C)c3ccc4ccc(CF)nc4c3)CC2)c(C)c(C)c1C 7.763348 0.3088235294117647</t>
  </si>
  <si>
    <t>CN1CCN(C)CCN(Cc2ncccc2N(C)c2cccc3ncccc23)CC1 7.763348 0.42857142857142855</t>
  </si>
  <si>
    <t>Cc1cc(CN(Cc2cccnc2)Cc2ccccn2)nc(C)c1C 7.7633467 0.46511627906976744</t>
  </si>
  <si>
    <t>Cc1ccc(CN(C)c2ccc3nc(CN(C)Cc4cc(-c5ccc6c(c5)OCCOCCOCCOCCOCCO6)ccn4)ccc3c2)nc1C 7.763346 0.3333333333333333</t>
  </si>
  <si>
    <t>CN(Cc1ccc(-c2cccc3c2OCCOCCOCCOCCOCCO3)cn1)C1=CCC=C(CN(C)c2ccc3ncccc3c2)N1 7.763342 0.26666666666666666</t>
  </si>
  <si>
    <t>Cc1cccc(CN(C)C2CCCC(N(C)c3cccc4cc(CF)cnc34)C2)n1 7.763335 0.4406779661016949</t>
  </si>
  <si>
    <t>Cc1ccnc(CN(C)C2=CNC(CN(Cc3ccccn3)C(C)C)=CC2)c1 7.763335 0.43636363636363634</t>
  </si>
  <si>
    <t>CCCN(CC1=CCC=C(N(C)Cc2nc(C)c(C)c(C)c2C)N1)Cc1ccccn1 7.763323 0.40625</t>
  </si>
  <si>
    <t>CN(Cc1cccc(-c2ccc3c(c2)OCCOCCOCCOCCOCCO3)n1)C1=CCC=C(CN(C)c2ccc3cccnc3c2)N1 7.763318 0.2857142857142857</t>
  </si>
  <si>
    <t>Cc1cc(CN(C)C2=CNC(CN(C)C(C)(C)C)=CC2)nc(C)c1C 7.763315 0.19696969696969696</t>
  </si>
  <si>
    <t>CNCc1cccc(CN(C)C2=C(CN(C)Cc3cccc(C)n3)NC=CC2)n1 7.7633123 0.4230769230769231</t>
  </si>
  <si>
    <t>CN(c1ccc2nc(CF)ccc2c1)C1CCC(N(Cc2cccc(F)n2)Cc2cccc(F)n2)CC1 7.7633114 0.3709677419354839</t>
  </si>
  <si>
    <t>Cc1ccnc2cccc(N(C)C3CCCC(N(Cc4ccc(CNC(C)C)nc4)Cc4ccccn4)C3)c12 7.763303 0.3194444444444444</t>
  </si>
  <si>
    <t>CN(c1ccc2nccc(CF)c2c1)C1CCC(N(Cc2ccccn2)Cc2ccccn2)CC1 7.7633014 0.3793103448275862</t>
  </si>
  <si>
    <t>CN(Cc1ccon1)C1CCCCC1N(C)c1cccc2ncccc12 7.763301 0.46296296296296297</t>
  </si>
  <si>
    <t>CN(C)Cc1cnc2cccc(N(C)C3CCCCC3N(Cc3ccccn3)Cc3cnccc3F)c2c1 7.763301 0.38235294117647056</t>
  </si>
  <si>
    <t>Cc1ccc(CN(C)Cc2cc(C(C)(C)C)ccn2)c(C)c1C 7.7633 0.3076923076923077</t>
  </si>
  <si>
    <t>Cc1ccc(C)c(CN(Cc2cccc(NCF)n2)Cc2nc(C)ccc2C)n1 7.763294 0.4</t>
  </si>
  <si>
    <t>Cc1ccc(CN(C)C2CCC(N(C)Cc3ccccn3)CC2N(c2ccc3ncccc3c2)C2C=CC=CN2)nc1 7.763292 0.3888888888888889</t>
  </si>
  <si>
    <t>CNCC1=CCC(N(C)Cc2cc(C)ccn2)=CN1 7.763291 0.32142857142857145</t>
  </si>
  <si>
    <t>Cc1ccc(CN(Cc2cc(C)ccn2)Cc2ncccc2C(C)(C)C)nc1 7.76329 0.38</t>
  </si>
  <si>
    <t>CN(Cc1ccccn1)C1=CC=CCN1 7.763288 0.4883720930232558</t>
  </si>
  <si>
    <t>CCOC(=O)C1C(c2ccccn2)C(c2ncccc2CN(Cc2ccccn2)Cc2ncccc2C)C(CN(C)Cc2ccccn2)N(C)C1c1ccccn1 7.7632837 0.28735632183908044</t>
  </si>
  <si>
    <t>Cc1cc(CN(Cc2ccccn2)C2CCCCC2N(C)c2cccc3ccc(C)nc23)ccn1 7.7632775 0.48333333333333334</t>
  </si>
  <si>
    <t>Cc1ccc(CN(Cc2ccccn2)C2=CNC(C(C)(C)C)=CC2)nc1 7.763274 0.38181818181818183</t>
  </si>
  <si>
    <t>Fc1ccnc(CN(Cc2ccc3ncccc3c2)C2CCC(N(Cc3ccccn3)c3ccccc3F)CC2)c1 7.7632732 0.29850746268656714</t>
  </si>
  <si>
    <t>CN(Cc1cccc(-c2ccc3c(c2)OCCOCCOCCOCCOCCO3)n1)C1=CCC=C(CN(C)c2ccc3ncccc3c2)N1 7.763271 0.2891566265060241</t>
  </si>
  <si>
    <t>CCN(C)CC1=CCC=C(N(C)Cc2ncc(C)cc2C)N1 7.76327 0.25925925925925924</t>
  </si>
  <si>
    <t>Cc1ccc(CN(C)C2=CNC=CC2CN(C)Cc2ncc(C)c(C)c2C)cn1 7.7632613 0.22580645161290322</t>
  </si>
  <si>
    <t>Cc1cc(CN(C)C2CCCC(N(C)c3cccc4nc(CF)ccc34)C2)ccn1 7.7632613 0.36764705882352944</t>
  </si>
  <si>
    <t>CNC1CCC(N(Cc2nc(C)c(C)c(C)c2C)Cc2nc(C)c(C)c(C)c2C)CC1N(Cc1nc(C)c(C)c(C)c1C)Cc1nc(C)c(C)c(C)c1C 7.7632556 0.21052631578947367</t>
  </si>
  <si>
    <t>CN(c1cccc2cccnc12)C1CCCC(N(Cc2ccccn2)Cc2ncccc2F)C1 7.763237 0.4576271186440678</t>
  </si>
  <si>
    <t>CC(C)NCc1ncccc1N(C)C 7.763222 0.35714285714285715</t>
  </si>
  <si>
    <t>Cc1cccc(CN(C)C2=CNC(C(C)N)=CC2)n1 7.7632217 0.425531914893617</t>
  </si>
  <si>
    <t>CNCc1nc(CN(Cc2ccccn2)Cc2ncccc2C)c(C)cc1C 7.7632217 0.46511627906976744</t>
  </si>
  <si>
    <t>CN(Cc1ccccn1)CC(C)(C)c1ccc(N(C)Cc2ccccn2)cc1 7.763219 0.4666666666666667</t>
  </si>
  <si>
    <t>Cc1ccc(CN(Cc2cccc(C)n2)Cc2cccc(C(C)C)n2)nc1 7.7632174 0.4318181818181818</t>
  </si>
  <si>
    <t>Cc1cncc(CN(C)C2CCCC(N(C)CC3=CCC(N(C)c4cccc5ncccc45)=CN3)C2)c1 7.7632065 0.28</t>
  </si>
  <si>
    <t>Cc1ncccc1CN(C)C1CCCC(N(C)c2cccc3ncc(CF)cc23)C1 7.763206 0.29411764705882354</t>
  </si>
  <si>
    <t>Cc1cc(CN(C)Cc2ccccn2)ccc1NCc1ccccn1 7.7632017 0.4489795918367347</t>
  </si>
  <si>
    <t>Cc1cc(C2CC(C)(C)C2)nc(CN(Cc2ccccn2)Cc2cccc(C(C)(C)C)n2)c1C 7.7632 0.37681159420289856</t>
  </si>
  <si>
    <t>Cc1cc(CN(C)C2CCC(N(C)c3ccc4c(CF)ccnc4c3)CC2)ccn1 7.763199 0.234375</t>
  </si>
  <si>
    <t>Cc1ccc(CN(C)C2=CNC(CN(Cc3ccccn3)C(C)C)=CC2)nc1 7.7631907 0.43636363636363634</t>
  </si>
  <si>
    <t>Cc1nc(CN(C)C2CCCCC2N(Cc2cc([SiH3])c([SiH3])cn2)Cc2nc3ccccc3n2C)c(C)c(C)c1C 7.7631893 0.36619718309859156</t>
  </si>
  <si>
    <t>Cc1cc(CN(C)C2=CNC(CN(C)C3C=CNC(C(C)C)=C3)=CC2)nc(C)c1C 7.7631874 0.2361111111111111</t>
  </si>
  <si>
    <t>Cc1ccnc(CN(C)C2CCCC(N(C)c3cccc4nc(CF)ccc34)C2)c1 7.7631836 0.373134328358209</t>
  </si>
  <si>
    <t>CNC1CC(N(Cc2nc(C)c(C)c(C)c2C)Cc2nc(C)c(C)c(C)c2C)C(N(C)Cc2cc(C)ccn2)CC1N(Cc1nc(C)c(C)c(C)c1C)Cc1nc(C)c(C)c(C)c1C 7.76318 0.30158730158730157</t>
  </si>
  <si>
    <t>CNc1ccnc(CNCc2cccc(C)n2)c1 7.7631793 0.36363636363636365</t>
  </si>
  <si>
    <t>CC1=C(c2ccc(CN(C)Cc3ccccn3)cn2)C2(C=CNC(C(C)C)=C2)CC(C)C1 7.763178 0.3194444444444444</t>
  </si>
  <si>
    <t>CC(C)c1cccc(CN(Cc2ccccn2)C2CCCCC2N(C)c2ccc3nc(CN(C)C)ccc3c2)n1 7.763177 0.41935483870967744</t>
  </si>
  <si>
    <t>CCNCc1cc(CN(Cc2cc(C(C)(C)c3ccccn3)ccn2)Cc2ncccc2C)ccn1 7.763176 0.3103448275862069</t>
  </si>
  <si>
    <t>CN(c1ccc2nc(CF)ccc2c1)C1CCCCC1N(Cc1ccccn1)Cc1ccon1 7.763169 0.4126984126984127</t>
  </si>
  <si>
    <t>Cc1ccnc(CN(Cc2cccc(F)n2)Cc2cccnc2F)c1C 7.7631655 0.36923076923076925</t>
  </si>
  <si>
    <t>Cc1ccc(CN(Cc2ccccn2)C2CCCC(N(C)c3ccc4ccc(CF)nc4c3)C2)nc1 7.7631555 0.375</t>
  </si>
  <si>
    <t>Cc1c(CN(C)Cc2cccnn2)cccc1NCc1ccccn1 7.763155 0.46938775510204084</t>
  </si>
  <si>
    <t>CCOC(=O)C1CC(c2ccccn2)C(c2cccc(CN(Cc3ccccn3)Cc3ccccn3)n2)N(C)C1c1ccccn1 7.7631536 0.36619718309859156</t>
  </si>
  <si>
    <t>Cc1ccc(CN(C)C2CCCC(N(C)Cc3ccccn3)C2N(Cc2ccccn2)c2cccc3nc(CF)ccc23)nc1 7.7631536 0.46774193548387094</t>
  </si>
  <si>
    <t>Cc1cccnc1CN(Cc1ccccn1)C1CC(N(C)c2ccc3ncccc3c2)CCC1N(C)Cc1ccccn1 7.7631507 0.43548387096774194</t>
  </si>
  <si>
    <t>Cc1cc(C)c(CN(C)Cc2ncccc2C)cn1 7.763149 0.3617021276595745</t>
  </si>
  <si>
    <t>Cc1cccc(CN(Cc2ccccn2)Cc2cccc(CN(Cc3cc(C(C)(C)c4ccccn4)ccn3)Cc3cccc(C4CC(N)C4C)n3)n2)n1 7.7631464 0.34210526315789475</t>
  </si>
  <si>
    <t>CN(O)C1=C(CN(C)C2=CCC=CN2)NC=CC1 7.763146 0.26785714285714285</t>
  </si>
  <si>
    <t>CN1CCN(C)CCN(Cc2cccnc2N(C)c2cccc3ncccc23)CC1 7.76314 0.4117647058823529</t>
  </si>
  <si>
    <t>Cc1cnccc1CN(C)C1CCC(N(C)c2ccc3cc(CN(C)C)cnc3c2)CC1 7.76314 0.24242424242424243</t>
  </si>
  <si>
    <t>Cc1ccnc(C)c1CN(C)C1CCCCC1N(C)c1ccc2cccnc2c1 7.7631364 0.41379310344827586</t>
  </si>
  <si>
    <t>CC(C)N(Cc1ccccn1)C1=C(CN(Cc2ccccn2)Cc2cccc(F)n2)NC=CC1 7.763135 0.43333333333333335</t>
  </si>
  <si>
    <t>Cc1cccnc1CN(Cc1ccccn1)C1CCC(N(C)c2cccc3cccnc23)CC1 7.763134 0.4642857142857143</t>
  </si>
  <si>
    <t>CN(Cc1ccc2c(n1)CCC2)C1CCCCC1N(C)c1ccc2nc3c(cc2c1)CCC3 7.763128 0.4745762711864407</t>
  </si>
  <si>
    <t>Cc1ccc(CN(C)Cc2ncc(C)c(C)c2C)cc1 7.763126 0.4</t>
  </si>
  <si>
    <t>Cc1ccnc(CN(Cc2ccc(F)cn2)Cc2ncccc2F)c1C 7.7631254 0.34782608695652173</t>
  </si>
  <si>
    <t>Cc1cnc(CN(C)C2=CNC=CC2CN(C)Cc2ccccn2)c(C)c1 7.7631173 0.34782608695652173</t>
  </si>
  <si>
    <t>Cc1ccc(CN(C)CC2=CC(N(C)Cc3nc(C)c(C)cc3C)C=CN2)nc1C 7.7631154 0.30158730158730157</t>
  </si>
  <si>
    <t>CNCC1=C(N(C)Cc2cccc(C)n2)CC=CN1 7.7631073 0.4166666666666667</t>
  </si>
  <si>
    <t>Cc1ccc(CN(Cc2ccc(C(C)(c3cccnc3)C(C)N)nc2)Cc2ccccn2)nc1 7.7631063 0.35714285714285715</t>
  </si>
  <si>
    <t>CN(Cc1ccccn1)c1cccc(C(C)(C)CN(Cc2ccccn2)Cc2ccccn2)c1 7.7631035 0.5</t>
  </si>
  <si>
    <t>CC(C)c1cccc(CN(Cc2ccccn2)C2CCC(N(C)c3ccc4ncc(CF)cc4c3)CC2)n1 7.7631006 0.3333333333333333</t>
  </si>
  <si>
    <t>CCN(Cc1ccccn1)Cc1ccc2cccc(N(Cc3ccccn3)C3CCC(N(C)Cc4ccon4)CC3)c2n1 7.7630997 0.36363636363636365</t>
  </si>
  <si>
    <t>Cc1cc(CN(C)Cc2cc(N)c(C)cn2)ccn1 7.7630916 0.37777777777777777</t>
  </si>
  <si>
    <t>Cc1ccnc(CN(C)Cc2cccnc2C)c1C 7.763085 0.4</t>
  </si>
  <si>
    <t>CN(C)Cc1ccnc2cc(N(C)C3CCC(N(C)Cc4ccccn4)CC3)ccc12 7.763084 0.4444444444444444</t>
  </si>
  <si>
    <t>Cc1ccccc1CNCc1ccc(C(C)(C)c2ccccn2)cn1 7.763083 0.3617021276595745</t>
  </si>
  <si>
    <t>Cc1cc(CN(C)C2CCC(N(C)c3ccc4nccc(CF)c4c3)CC2)ccn1 7.7630796 0.23076923076923078</t>
  </si>
  <si>
    <t>CNC1C(N(C)Cc2cc(C)ccn2)CCCC1N(Cc1ncccc1C)c1ccc2nc(CF)ccc2c1 7.763076 0.3287671232876712</t>
  </si>
  <si>
    <t>Cc1cnc(CN(C)C2C=CNC(CN(C)Cc3cnc(C)c(C)c3)=C2)c(C)c1 7.763074 0.2923076923076923</t>
  </si>
  <si>
    <t>CN(Cc1ccccn1)c1cccc(CN(C)C(C)(C)c2cccnc2)c1 7.76307 0.41509433962264153</t>
  </si>
  <si>
    <t>Cc1ccc2c(CN(C)CCN(C)C(C)C)ccnc2c1 7.7630672 0.3695652173913043</t>
  </si>
  <si>
    <t>Cc1ncccc1CN(C)C1CCC(N(Cc2ccccn2)c2ccc3nc(CF)ccc3c2)CC1 7.7630644 0.359375</t>
  </si>
  <si>
    <t>Cc1ccc(CN(Cc2ccccn2)C2CCCCC2N(C)c2ccc3nc(CN(C)C)ccc3c2)nc1 7.7630625 0.45</t>
  </si>
  <si>
    <t>Cc1cc(C)nc(CN(C)C2C=CNC(CN(C)Cc3cnc(C)c(C)c3)=C2)c1 7.76306 0.2835820895522388</t>
  </si>
  <si>
    <t>CCN(Cc1ccccn1)Cc1cc(C)c(CN(Cc2ccccn2)Cc2nccc(C)c2C)c(C)n1 7.763058 0.425531914893617</t>
  </si>
  <si>
    <t>CCNc1cc(CN(Cc2ccccn2)C2CCCC(N(C)c3ccc4c(CF)ccnc4c3)C2)ccn1 7.763056 0.3150684931506849</t>
  </si>
  <si>
    <t>CCN(Cc1ccccn1)c1ccc(-c2cc(CN(Cc3ccccn3)C3CCC(N(C)Cc4nc(C)c(C)cc4C)CC3)ccn2)cc1 7.7630477 0.323943661971831</t>
  </si>
  <si>
    <t>CC(N)N(CC1=CCC(N(C)Cc2ccccn2)=CN1)Cc1ccccn1 7.763047 0.43137254901960786</t>
  </si>
  <si>
    <t>C1=CNC(NCc2ccccn2)C(SCc2ccccn2)=C1 7.7630405 0.37777777777777777</t>
  </si>
  <si>
    <t>CNCc1cc(CN(Cc2cc(C(C)(c3ccccn3)C(C)C)ccn2)Cc2cc(C)c(C)cn2)ccn1 7.763035 0.3275862068965517</t>
  </si>
  <si>
    <t>Cc1cnc(CN(C)c2ccccc2-c2cccc(CN(Cc3ccccn3)C(C)(N)c3ccc(-c4ccc5c(c4)OCCOCCOCCOCCOCCO5)cn3)n2)c(C)c1 7.7630258 0.2978723404255319</t>
  </si>
  <si>
    <t>Cc1ccnc(CN(C)C2CCC(N(C)c3cccc4c(CF)ccnc34)CC2)c1 7.7630243 0.3333333333333333</t>
  </si>
  <si>
    <t>CNCc1cc(C2=NCC(C)(C)O2)ccn1 7.763024 0.24561403508771928</t>
  </si>
  <si>
    <t>CN(CCN(C)C(C)(C)c1ccccn1)Cc1cccc2ncccc12 7.7630234 0.4583333333333333</t>
  </si>
  <si>
    <t>CC(N)C(C)N(C)CCN(C)c1cccc2nccc(CF)c12 7.7630205 0.33962264150943394</t>
  </si>
  <si>
    <t>Cc1ccnc(CN(C)C2CCC(N(C)c3ccc4c(CF)ccnc4c3)CC2)c1 7.7630115 0.29508196721311475</t>
  </si>
  <si>
    <t>CC1(C)N=COC1c1cc(CN(Cc2ccccn2)Cc2ccccn2)ccn1 7.7630105 0.4444444444444444</t>
  </si>
  <si>
    <t>CC(C)C(C)(c1cccnc1)N(Cc1ccccn1)Cc1ccc(N(C)C)cn1 7.7630105 0.39622641509433965</t>
  </si>
  <si>
    <t>Cc1cccc(C(C)(C)c2ncccc2CN(Cc2ccccn2)Cc2ccccn2)c1 7.763007 0.46511627906976744</t>
  </si>
  <si>
    <t>Cc1cnc(CN(C)C2CCC(N(Cc3ccnc(-c4ccccc4N(Cc4ccccn4)C(C)C)c3)Cc3ccccn3)CC2)c(C)c1C 7.7629952 0.3194444444444444</t>
  </si>
  <si>
    <t>Cc1ccnc(CN(C)Cc2ncccc2N)c1C 7.762988 0.3191489361702128</t>
  </si>
  <si>
    <t>CC(C)(c1cccc(CN(Cc2ccccn2)c2ccc3ncccc3c2)n1)c1cccc(-c2ccc3c(c2)OCCOCCOCCOCCOCCO3)n1 7.76298 0.35064935064935066</t>
  </si>
  <si>
    <t>Cc1ccc(C)c(CN(C)CC2=CC(N(C)Cc3nc(C)c(C)c(C)c3C)C=CN2)c1C 7.7629776 0.3064516129032258</t>
  </si>
  <si>
    <t>Cc1cccnc1CN(C)Cc1c(C)ccc(C)c1C 7.762977 0.32608695652173914</t>
  </si>
  <si>
    <t>C1=CC(NCc2ccccn2)NC(SCc2ccccn2)=C1 7.7629766 0.37777777777777777</t>
  </si>
  <si>
    <t>CC(C)(C)c1cccnc1CN(Cc1ccccn1)Cc1cccnc1C1OC=NC1(C)C 7.762961 0.37037037037037035</t>
  </si>
  <si>
    <t>CNc1cncc(CN(Cc2ccccn2)C2CCCCC2N(C)c2cccc3cc(CF)cnc23)c1 7.7629585 0.4264705882352941</t>
  </si>
  <si>
    <t>CC(C)N(C)CC1=CCC(N(C)C(c2ccccn2)c2ccccn2)=CN1 7.7629523 0.3448275862068966</t>
  </si>
  <si>
    <t>Cc1cncc(CN(C)C2CCCC(N(C)c3ccc4c(CF)ccnc4c3)C2)c1 7.7629523 0.2647058823529412</t>
  </si>
  <si>
    <t>Cc1ccc(CN(Cc2ncccc2C)C2CCCCC2N(C)c2ccc3nc(CF)ccc3c2)nc1 7.7629514 0.4153846153846154</t>
  </si>
  <si>
    <t>Cc1cncc(CN(C)C2CCC(N(C)Cc3ccccn3)CC2N(c2ccc3nc(C)ccc3c2)C2C=CC=CN2)c1 7.7629495 0.34615384615384615</t>
  </si>
  <si>
    <t>Cc1cncc(CN(C)C2CCCCC2N(C)c2ccc3c(CN(C)C)ccnc3c2)c1 7.762943 0.3770491803278688</t>
  </si>
  <si>
    <t>CNCc1ccc2cc(N(C)C3CCC(N(Cc4ccccn4)Cc4ccon4)CC3)ccc2n1 7.762941 0.3484848484848485</t>
  </si>
  <si>
    <t>Cc1ccc(CN(Cc2ccccn2)C2CCCCC2N(C)c2ccc3nc(CF)ccc3c2)nc1C 7.7629385 0.41935483870967744</t>
  </si>
  <si>
    <t>CNCc1cc(CN(Cc2cc(C)ccn2)C2CCC(N(C)c3ccc4nccc(CF)c4c3)CC2)ccn1 7.7629375 0.2638888888888889</t>
  </si>
  <si>
    <t>Cc1cc(CN(C)C(C)C)cnc1CN(C)c1ccccc1F 7.7629356 0.2909090909090909</t>
  </si>
  <si>
    <t>Cc1cccnc1CN(Cc1ccccn1)c1cccc2nc(CN3CCN(C)CCN(C)CC3)ccc12 7.762935 0.47368421052631576</t>
  </si>
  <si>
    <t>Cc1ccc(CN(C)C2CCC(N(C)c3ccc4c(CF)ccnc4c3)CC2)nc1 7.7629347 0.43859649122807015</t>
  </si>
  <si>
    <t>Cc1cncc(CN(C)Cc2ncc(C)cc2C)c1 7.7629337 0.32558139534883723</t>
  </si>
  <si>
    <t>Cc1cccc(CN(Cc2ccccn2)C2CCC(N(C)c3cccc4cc(CF)cnc34)CC2)n1 7.7629247 0.35384615384615387</t>
  </si>
  <si>
    <t>CNCc1nc(C)c(N)cc1C 7.762924 0.18604651162790697</t>
  </si>
  <si>
    <t>CN1CCN(C)CCN(Cc2ccc(-c3ccc4cccnc4c3)nc2)CC1 7.7629232 0.4117647058823529</t>
  </si>
  <si>
    <t>CC(C)[Si](c1ccc(CN(Cc2cccc(C3=NC(C)(C)CO3)n2)CC(C)(C)C)nc1)(C(C)C)C(C)C 7.762922 0.45614035087719296</t>
  </si>
  <si>
    <t>CNCc1nccc2cccc(N(C)C3CCC(N(Cc4ccccn4)Cc4ncccc4C)CC3)c12 7.7629123 0.3333333333333333</t>
  </si>
  <si>
    <t>Cc1cc(NCc2ccccn2)ccc1CN(C)Cc1ccccn1 7.762896 0.4489795918367347</t>
  </si>
  <si>
    <t>Cc1ccnc(CN(C)C2CCC(N(C)c3ccc4nccc(CF)c4c3)CC2)c1 7.7628956 0.2903225806451613</t>
  </si>
  <si>
    <t>CNCc1cc(CN(Cc2ccccn2)C2CCC(N(C)c3cccc4c(C)ccnc34)CC2)ccn1 7.762894 0.3333333333333333</t>
  </si>
  <si>
    <t>CNC1CCC(N(Cc2nc(C)c(C)c(C)c2C)Cc2nc(C)c(C)c(C)c2C)C(NCc2ncc(C)cc2C)C1N(Cc1nc(C)c(C)c(C)c1C)Cc1nc(C)c(C)c(C)c1C 7.7628913 0.2318840579710145</t>
  </si>
  <si>
    <t>Cc1nc(CN(C)C2CCC(N(Cc3nc(C)c(C)c(C)c3C)Cc3nc(C)c(C)c(C)c3C)C(N(C)Cc3nc(C)c(C)c(C)c3C)C2)c(C)c(C)c1C 7.7628903 0.2830188679245283</t>
  </si>
  <si>
    <t>Cc1cnc(CN(C)CC2C=CNC=C2N(C)Cc2ccccn2)c(C)c1C 7.762882 0.3559322033898305</t>
  </si>
  <si>
    <t>Cc1ccnc2cccc(N(C)CCN(C)C(C)(C)C(C)N)c12 7.762882 0.34615384615384615</t>
  </si>
  <si>
    <t>CC(C)c1ncccc1CN(Cc1ccccn1)C1CCCCC1N(C)c1ccc2c(CF)ccnc2c1 7.7628813 0.4</t>
  </si>
  <si>
    <t>Cc1ccc(C)c(CN(C)c2ccc3nc(CN(C)Cc4ncccc4-c4ccc5c(c4)OCCOCCOCCOCCOCCO5)ccc3c2)n1 7.7628784 0.29069767441860467</t>
  </si>
  <si>
    <t>Cc1ncccc1CN(C)C1CCC(N(C)c2ccc3nccc(CF)c3c2)CC1 7.7628746 0.265625</t>
  </si>
  <si>
    <t>COC(=O)C(=O)C(C)c1cccc(CN(C)Cc2ccccn2)n1 7.762873 0.5</t>
  </si>
  <si>
    <t>CN(C)Cc1ccc2c(N(C)C3CCCCC3N(Cc3ccccn3)Cc3cccc(F)n3)cccc2n1 7.762863 0.43333333333333335</t>
  </si>
  <si>
    <t>Cc1cc(NCc2ccccn2)ccc1C(C)(C)N(C)C1CCCCC1N(C)c1ccc2cccnc2c1 7.762858 0.35294117647058826</t>
  </si>
  <si>
    <t>Cc1ccc(CN(C)c2ccc(CN(C)C(C)C)cn2)nc1 7.762848 0.47619047619047616</t>
  </si>
  <si>
    <t>CC1C=CC(C)C(N(C)Cc2cccc(-c3ccccc3N(C)C)n2)C1 7.7628427 0.38181818181818183</t>
  </si>
  <si>
    <t>CC(C)c1cc(CN(Cc2ccccn2)C2CCC(N(C)c3ccc4nc(CF)ccc4c3)CC2)ccn1 7.7628374 0.3382352941176471</t>
  </si>
  <si>
    <t>CNCc1cc(CN(Cc2cc(C)ccn2)Cc2cc(C)c(C)c(C)n2)ccn1 7.7628365 0.32142857142857145</t>
  </si>
  <si>
    <t>Cc1cccc(CN(C)Cc2cccnc2CN(C)Cc2ccc(C)c(C)n2)n1 7.7628336 0.4888888888888889</t>
  </si>
  <si>
    <t>CCOC(C)c1nc(CN(Cc2ccccn2)Cc2ncccc2C(C)(C)C)c(C)c(C)c1C 7.762829 0.37735849056603776</t>
  </si>
  <si>
    <t>CNCc1nc(CN(Cc2ccccn2)C2CCCCC2N(C)c2ccc3cccnc3c2)c(C)c(C)c1C 7.7628284 0.4</t>
  </si>
  <si>
    <t>CN1CCN(C)CCN(C2NC=CC=C2N(C)C2=C(N(C)c3ccc4cccnc4c3)CC=CN2)CC1 7.762827 0.23076923076923078</t>
  </si>
  <si>
    <t>Cc1ccc(C)c(CN(C)C2CCC(N(C)c3ccc4nc(CF)ccc4c3)CC2)n1 7.7628236 0.3230769230769231</t>
  </si>
  <si>
    <t>Cc1cc(CN(Cc2ccccn2)Cc2cccc(C3CC(C)(C)C3)n2)nc(C)c1C 7.7628217 0.4126984126984127</t>
  </si>
  <si>
    <t>Cc1cccc(CN(Cc2ccccn2)C2CCC(N(C)c3cccc4cccnc34)CC2)n1 7.7628193 0.48148148148148145</t>
  </si>
  <si>
    <t>Cc1c(C)c(C)c(N(C)CCN(C)C(C)C)c(C)c1C 7.762819 0.1951219512195122</t>
  </si>
  <si>
    <t>CN(Cc1ccon1)C1CCC(N(C)c2ccc3nc(CF)ccc3c2)CC1 7.7628183 0.4117647058823529</t>
  </si>
  <si>
    <t>CCC(C)N(C)CC1=CCC=C(N(C)Cc2nc(C)c(C)c(C)c2C)N1 7.762815 0.17647058823529413</t>
  </si>
  <si>
    <t>Cc1cccnc1CN(Cc1ncccc1C(C)(C)N(Cc1ccc([SiH3])cn1)Cc1ncccc1C)C(C)C 7.762815 0.3333333333333333</t>
  </si>
  <si>
    <t>Cc1ccncc1CN(Cc1cccnc1)C1CCCCC1N(C)c1cccc2c(CN(C)C)cncc12 7.7628117 0.3484848484848485</t>
  </si>
  <si>
    <t>Cc1ccc(CN(C)C2CCC(N(C)c3ccc4nccc(CF)c4c3)CC2)nc1 7.762811 0.43103448275862066</t>
  </si>
  <si>
    <t>Cc1cc(CN(C)Cc2nccc(C)c2C)ccn1 7.762811 0.2608695652173913</t>
  </si>
  <si>
    <t>CN(Cc1ccc(-c2ccc3c(c2)OCCOCCOCCOCCOCCO3)cn1)C1=CCC=C(CN(C)c2ccc3ncccc3c2)N1 7.7628098 0.375</t>
  </si>
  <si>
    <t>Cc1cc(C)c(C)c(CN(C)CC2=CC(N(C)Cc3cc(C)c(C)c(C)n3)C=CN2)c1 7.762808 0.296875</t>
  </si>
  <si>
    <t>CC(C)N(C)C1=C(N(C)Cc2ccccn2)CC=CN1 7.762806 0.4782608695652174</t>
  </si>
  <si>
    <t>Cc1cnccc1CN(Cc1ccccn1)C1CCC(N(C)c2cccc3nc(CF)ccc23)CC1 7.762806 0.32432432432432434</t>
  </si>
  <si>
    <t>CNCc1cc(CN(Cc2cc(C)ccn2)Cc2nc(C)c(C)cc2C)ccn1 7.7628026 0.32142857142857145</t>
  </si>
  <si>
    <t>CC(C)N(Cc1cc(-c2ccc3c(c2)OCCOCCOCCOCCOCCO3)ccn1)Cc1ccc2ccc3cccnc3c2n1 7.7628016 0.3561643835616438</t>
  </si>
  <si>
    <t>Cc1c(C)c(C)c(N(C)C2CCCCC2N(C)Cc2ccc3cccnc3c2)c(C)c1C 7.762795 0.4339622641509434</t>
  </si>
  <si>
    <t>Cc1cc(CN(Cc2nc(C)c(C)c(C)c2C)C2CCCC(N(C)Cc3cccc(-c4ccccn4)n3)C2)nc(C)c1C 7.762795 0.4</t>
  </si>
  <si>
    <t>CN(c1cccc2nc(CF)ccc12)C1CCCC(N(Cc2ccccn2)Cc2ccc(F)cn2)C1 7.762795 0.352112676056338</t>
  </si>
  <si>
    <t>CN(Cc1ccc2c(n1)CCC2)C1CCCCC1N(C)c1ccc2cc3c(nc2c1)CCC3 7.7627935 0.4827586206896552</t>
  </si>
  <si>
    <t>Cc1cc(C)nc(CN(C)C2CCCCC2N(C)c2cccc3nc(CF)ccc23)c1 7.76279 0.5</t>
  </si>
  <si>
    <t>Cc1cnc(CN(C)C2CCC(N(C)c3ccc4ccc(CF)nc4c3)CC2)cc1C 7.7627892 0.3620689655172414</t>
  </si>
  <si>
    <t>CC1=CCC(C)C(C)(N(Cc2ccccn2)Cc2cccc(-c3cccc(N(C)C)c3)n2)C1C 7.762788 0.4264705882352941</t>
  </si>
  <si>
    <t>Cc1nc(CN(C)C2C=CNC(CN(C)Cc3ccc(N)c(C)c3C)=C2)c(C)c(C)c1C 7.762784 0.2878787878787879</t>
  </si>
  <si>
    <t>CN(C1=CCC=CN1)C1CCC(N(C)c2ccc3cc(CF)cnc3c2)CC1 7.762783 0.2647058823529412</t>
  </si>
  <si>
    <t>Cc1cnc(CN(C)CC2=CC(N(C)Cc3nc(C)c(C)c(C)c3C)C=CN2)cc1C 7.762781 0.2878787878787879</t>
  </si>
  <si>
    <t>Cc1ccc(C)c(N(C)CCN(Cc2ccccn2)C(C)(N)c2ccccc2)c1C 7.762779 0.3888888888888889</t>
  </si>
  <si>
    <t>CN(C)Cc1cnc2cccc(N(C)C3CCCC(N(C)Cc4cccnn4)C3)c2c1 7.7627773 0.3333333333333333</t>
  </si>
  <si>
    <t>CC(N)c1ccc(CN(Cc2ccccn2)C2CCC(N(C)c3ccc4ccc(CF)nc4c3)CC2)cn1 7.762773 0.32857142857142857</t>
  </si>
  <si>
    <t>Cc1ccccc1CN(C)Cc1ncccc1C(C)(C)c1ccccn1 7.7627645 0.34615384615384615</t>
  </si>
  <si>
    <t>CC(N)c1cc(CN(Cc2ccccn2)C2CCC(N(C)c3ccc4nc(CF)ccc4c3)CC2)ccn1 7.762762 0.32857142857142857</t>
  </si>
  <si>
    <t>C=C1C=CNC(CN(C)Cc2ccccn2)=C1 7.7627583 0.46808510638297873</t>
  </si>
  <si>
    <t>Cc1cncc(CN(C)Cc2cc(C(C)(C)C)ccn2)c1C 7.762745 0.3</t>
  </si>
  <si>
    <t>CC(C)C(C)(c1cccnc1)N(Cc1ccccn1)Cc1cc(N(C)C)ccn1 7.7627425 0.3888888888888889</t>
  </si>
  <si>
    <t>Cc1cccnc1CN(C)C1=CNC(C(C)C)=CC1 7.7627387 0.2777777777777778</t>
  </si>
  <si>
    <t>Cc1cccnc1CN(C)C1=CNC=C(CN(C)C(C)(C)c2ccccn2)C1 7.7627354 0.27419354838709675</t>
  </si>
  <si>
    <t>CCN(Cc1ccccn1)Cc1ncc(C(C)(C)C)cc1CN(Cc1ccccn1)Cc1ncc(C)cc1C 7.762731 0.40816326530612246</t>
  </si>
  <si>
    <t>Cc1ccnc(CN(Cc2ccc(CNC(C)C)nc2)C2CCCC(N(C)c3ccc4nccc(CF)c4c3)C2)c1 7.7627254 0.24691358024691357</t>
  </si>
  <si>
    <t>Cc1cccc(CN(C)Cc2ncccc2C(C)(C)c2ccccn2)c1 7.762723 0.3157894736842105</t>
  </si>
  <si>
    <t>CN(C)Cc1cnc2cccc(N(C)C3CCCCC3N(Cc3ccccn3)C(C)(C)c3ccccn3)c2c1 7.7627196 0.40625</t>
  </si>
  <si>
    <t>CCC(C)C(=O)C(=O)C(=O)C(C)C(=O)C(=O)C(=O)C(=O)C(=O)C(C)C(C)C(C)C(=O)C(=O)C(=O)C(C)C(=O)C(=O)C(=O)C(C)C(=O)C(=O)C(=O)C(C)C(=O)C(=O)C(=O)C(C)C(=O)C(=O)C(=O)C(=O)C(C)C(=O)c1cccnc1C1CCC1(C)C 7.762717 0.2</t>
  </si>
  <si>
    <t>CC(C)c1cccc(CNCc2ncccc2C(C)(C)c2ccccn2)n1 7.7627163 0.3333333333333333</t>
  </si>
  <si>
    <t>Cc1cccnc1CN(C)C1=CNC(C(C)N)=CC1 7.762715 0.26785714285714285</t>
  </si>
  <si>
    <t>Cc1cccnc1CN(C)C1CCCC(N(C)c2cccc3nc(CF)ccc23)C1 7.7627125 0.373134328358209</t>
  </si>
  <si>
    <t>CNCc1ccc2cccc(N(C)C3CCC(N(Cc4ccccn4)Cc4nc(C)ccc4C)CC3)c2n1 7.7627096 0.3611111111111111</t>
  </si>
  <si>
    <t>CNCCN(Cc1ccccn1)c1cc(C)c(C)cc1C 7.7627063 0.4444444444444444</t>
  </si>
  <si>
    <t>CNCCN(Cc1nc(C)c(C)c(C)c1C)Cc1nc(C)c(C)c(C)c1C 7.7627063 0.20454545454545456</t>
  </si>
  <si>
    <t>CC(C)N(C)Cc1ncccc1N(C)C1CCCC(N(C)c2cccc3nc(CF)ccc23)C1 7.762702 0.373134328358209</t>
  </si>
  <si>
    <t>CN(Cc1cc(-c2ccc3c(c2)OCCOCCOCCOCCOCCO3)ccn1)C1=CCC=C(CN(C)c2ccc3ncccc3c2)N1 7.7627015 0.2976190476190476</t>
  </si>
  <si>
    <t>Cc1ccc(N(C)Cc2cccc(-c3ccc4c(c3)OCCOCCOCCOCCOCCO4)n2)cc1-c1cccc(CN(Cc2ccccn2)C2CCC(N(C)c3ccc4ncccc4c3)CC2)n1 7.7626925 0.3146067415730337</t>
  </si>
  <si>
    <t>Cc1cccnc1CN(C)C1=C(CN(Cc2ccccn2)C(C)C)NC=CC1 7.7626925 0.4444444444444444</t>
  </si>
  <si>
    <t>CN(c1cccc2ncc(CF)cc12)C1CCCC(N(Cc2ccccn2)Cc2ccc(F)cn2)C1 7.762688 0.3382352941176471</t>
  </si>
  <si>
    <t>CNCc1ncccc1N(C)O 7.762688 0.36585365853658536</t>
  </si>
  <si>
    <t>Cc1ccc(CN(Cc2ccccn2)C2CCC(N(C)c3cccc4ncccc34)CC2)nc1 7.762679 0.3898305084745763</t>
  </si>
  <si>
    <t>CN1CCN(C)CCN(Cc2cncc(-c3cccc4ncccc34)c2)CC1 7.7626734 0.40384615384615385</t>
  </si>
  <si>
    <t>CNCc1nc(CN(C)C2CCCCC2N(C)c2ccc3nccc(CF)c3c2)c(C)c(C)c1C 7.7626686 0.3088235294117647</t>
  </si>
  <si>
    <t>CCN(Cc1ccccn1)c1ccc(-c2ccccn2)cc1-c1cccc(CN(Cc2ccccn2)Cc2cccc(-c3ccc4c(c3)OCCOCCOCCOCCOCCO4)n2)n1 7.7626653 0.44285714285714284</t>
  </si>
  <si>
    <t>CNCc1ncccc1CN(Cc1cc(C)ccn1)C1CCC(N(C)c2ccc3nccc(CF)c3c2)CC1 7.7626586 0.23376623376623376</t>
  </si>
  <si>
    <t>CN1CCN(C)CCN(C(C)(C)c2ccc(CN(C)c3ccc4cccnc4c3)nc2)CC1 7.7626543 0.32786885245901637</t>
  </si>
  <si>
    <t>Cc1cnc(C)c(CN(C)Cc2ncccc2N)c1 7.762654 0.34</t>
  </si>
  <si>
    <t>Cc1cc(-c2ncccc2CN(Cc2ccccn2)C2CCCCC2)cc(N(Cc2ccccn2)Cc2ccccn2)c1C 7.7626476 0.38333333333333336</t>
  </si>
  <si>
    <t>CC(C1=CCC(N(C)Cc2ccccn2)=CN1)c1ccccc1 7.7626443 0.40384615384615385</t>
  </si>
  <si>
    <t>CNCC1=CCC(N(C)Cc2cccc(C)n2)=CN1 7.762642 0.425531914893617</t>
  </si>
  <si>
    <t>Cc1cc2c(c(CN(C)Cc3ccccn3)c1)C(C)C(C)C=C2 7.7626405 0.4074074074074074</t>
  </si>
  <si>
    <t>Cc1cnc(CN(C)CC2=CC(N(C)Cc3ncc(C)c(C)c3C)C=CN2)c(C)c1C 7.762637 0.3392857142857143</t>
  </si>
  <si>
    <t>CNCc1nc(CN(Cc2ccccn2)C2CCCCC2N(C)c2cccc3ncc(CF)cc23)c(C)cc1C 7.762636 0.3561643835616438</t>
  </si>
  <si>
    <t>CCN(Cc1ccc2c(n1)CCC2)C1CCCC(N(C)c2ccc3nc4c(cc3c2)CCC4)C1 7.762631 0.3382352941176471</t>
  </si>
  <si>
    <t>Cc1ccccc1NCc1ncccc1C(C)(C)C 7.762631 0.2727272727272727</t>
  </si>
  <si>
    <t>CNCc1nccc2cc(N(C)C3CCCCC3N(Cc3ccccn3)Cc3ccon3)ccc12 7.762631 0.3939393939393939</t>
  </si>
  <si>
    <t>Cc1cc(CN(C)Cc2nccc(C)c2N)ccn1 7.7626286 0.25</t>
  </si>
  <si>
    <t>Cc1cc(NCc2ccccn2)ccc1C(C)(C)N(C)C1CCCCC1N(C)c1cccc2ncccc12 7.7626276 0.35714285714285715</t>
  </si>
  <si>
    <t>CC(C)C(C)(c1cccnc1)c1cccc(CN(Cc2ccccn2)C2CCC(N(C)c3ccc4cc(CF)cnc4c3)CC2)n1 7.762624 0.2875</t>
  </si>
  <si>
    <t>CNC1C=C(N(C)Cc2ccccn2)C=CN1 7.7626133 0.44680851063829785</t>
  </si>
  <si>
    <t>CC(C)C1(C)COC(c2ncccc2CN(Cc2ccccn2)Cc2ccccn2)=N1 7.7626066 0.43478260869565216</t>
  </si>
  <si>
    <t>Cc1cc(CN(Cc2ccccn2)C2C=CC=CN2)nc(C)c1C 7.762582 0.4727272727272727</t>
  </si>
  <si>
    <t>CNCc1cccc(N(C)C)n1 7.762576 0.34210526315789475</t>
  </si>
  <si>
    <t>Cc1cccc(C(C)(C)c2cc(CN(Cc3ccccn3)Cc3ccccn3)ccn2)c1 7.7625756 0.45454545454545453</t>
  </si>
  <si>
    <t>CC(C)C1COC(c2cccc(C(C)(C)C)n2)=N1 7.7625713 0.3191489361702128</t>
  </si>
  <si>
    <t>CN(Cc1cccnn1)C1=CNC=CC1 7.7625704 0.47619047619047616</t>
  </si>
  <si>
    <t>Cc1cccnc1CN(Cc1ccc(C2C3(C=CNC(C(C)C)=C3)C=CC(c3cc(CN(Cc4ccccn4)Cc4ccccn4)ccn3)C2(C)C)nc1)Cc1ccccn1 7.762569 0.275</t>
  </si>
  <si>
    <t>CN(c1ccc2ncccc2c1)C1C2CCC1(N(C)C)CC2 7.762568 0.35185185185185186</t>
  </si>
  <si>
    <t>Cc1ccc(C)c(CN(C)CC2=CC(N(C)Cc3nc(C)c(C)c(C)c3C)C=CN2)n1 7.762563 0.296875</t>
  </si>
  <si>
    <t>CC1(C)CC(c2cccc(CN(Cc3ccccn3)Cc3cccc(C(C)(C)c4ccccn4)n3)n2)C1 7.7625623 0.4166666666666667</t>
  </si>
  <si>
    <t>CCN(Cc1ccccn1)C1=C(CN(C)Cc2cc(C)c(C)c(C)n2)NC=CC1 7.7625623 0.36507936507936506</t>
  </si>
  <si>
    <t>CNCc1cc(CN(Cc2ccccn2)C2CCC(N(C)c3ccc4nccc(C)c4c3)CC2)ccn1 7.7625604 0.3333333333333333</t>
  </si>
  <si>
    <t>Cc1cc(C)c(C)c(CN(C)C2C=CNC(CN(C)Cc3cnc(C)c(C)c3)=C2)n1 7.7625446 0.2835820895522388</t>
  </si>
  <si>
    <t>CNC1C(N(C)Cc2ncccc2C)CCCC1N(Cc1ncccc1C)c1ccc2nc(CF)ccc2c1 7.762544 0.3287671232876712</t>
  </si>
  <si>
    <t>CC(C)(NCc1ccccn1)c1ncccc1NCc1ccccn1 7.7625413 0.425</t>
  </si>
  <si>
    <t>CN(C1=CCC=CN1)C1CCCCC1N(C)c1ccc2cccnc2c1 7.7625294 0.42857142857142855</t>
  </si>
  <si>
    <t>CC(C)(CNCc1ccccn1)c1cccc(N=Cc2ccccn2)c1 7.762529 0.3877551020408163</t>
  </si>
  <si>
    <t>CCCN(Cc1ccccn1)Cc1ncccc1C(C)(C)c1ncccc1CN(Cc1ncccc1C)Cc1ncccc1C(C)(C)C 7.762526 0.38333333333333336</t>
  </si>
  <si>
    <t>CCN(Cc1ccccn1)C1=C(CN(C)Cc2nc(C)c(C)cc2C)NC=CC1 7.762521 0.34375</t>
  </si>
  <si>
    <t>Cc1cnc(CN(C)Cc2ncccc2C)c(C)c1 7.7625184 0.35714285714285715</t>
  </si>
  <si>
    <t>Cc1ccc(CN(C)Cc2cccnn2)cc1NCc1ccccn1 7.7625117 0.46</t>
  </si>
  <si>
    <t>Cc1cnc(CN(C)C2CCCCC2N(C)c2cccc3ncc(CF)cc23)c(C)c1 7.7625084 0.3870967741935484</t>
  </si>
  <si>
    <t>CC(C)N(C)Cc1cncc(N(C)Cc2ncccc2C(C)(C)C)c1 7.7625074 0.2631578947368421</t>
  </si>
  <si>
    <t>Cc1cccc(CN(C)C2=CNC(CN(Cc3ccccn3)C(C)C)=CC2)n1 7.762507 0.4444444444444444</t>
  </si>
  <si>
    <t>Cc1nc(CN(Cc2nc(C)c(C)c(C)c2C)C2CCC(N(C)Cc3ccc(-c4ccccn4)cn3)CC2)c(C)c(C)c1C 7.7624993 0.36666666666666664</t>
  </si>
  <si>
    <t>CN(C)c1cccc(CN(Cc2ccccn2)CC(C)(C)c2ccccn2)n1 7.7624984 0.48936170212765956</t>
  </si>
  <si>
    <t>C1=CC(NCc2ccccn2)=CC(N(Cc2ccccn2)Cc2ccccn2)N1 7.762495 0.4186046511627907</t>
  </si>
  <si>
    <t>Cc1ncccc1CN(C)C1CCCCC1N(C)c1cccc2nccc(CN(C)C)c12 7.7624936 0.43103448275862066</t>
  </si>
  <si>
    <t>CN(C)Cc1cnc2ccc(N(C)C3CCC(N(Cc4ccccn4)Cc4cccc(C5CC(C)(C)C5)n4)CC3)cc2c1 7.762491 0.3194444444444444</t>
  </si>
  <si>
    <t>Cc1cnc(CN(C)c2cccnc2CN(CNCF)Cc2ccccn2)c(C)c1C 7.7624907 0.3793103448275862</t>
  </si>
  <si>
    <t>CCOC(C)c1cccc(CN(Cc2ccccn2)Cc2cccc(C(C)(C)c3ccccn3)n2)n1 7.7624874 0.4166666666666667</t>
  </si>
  <si>
    <t>CN(c1ccc2ncccc2c1)C1c2cccnc2CC1N(Cc1ccccn1)Cc1ncccc1-c1ccc2c(c1)OCCOCCOCCOCCOCCO2 7.762487 0.2717391304347826</t>
  </si>
  <si>
    <t>CC(C)N(Cc1ccc([Si](C(C)C)(C(C)C)C(C)C)cn1)Cc1cc(C(C)(C)c2ccccn2)ccn1 7.762483 0.4528301886792453</t>
  </si>
  <si>
    <t>CNCc1cc(CN(C)Cc2nc(C)c(C)c(C)c2C)ccn1 7.762478 0.2909090909090909</t>
  </si>
  <si>
    <t>CN(Cc1ccccn1)C1=CC=CNC1NCc1ccccn1 7.7624774 0.42592592592592593</t>
  </si>
  <si>
    <t>CC(N)C(C)(c1cccnc1)c1cccc(CN(Cc2ccccn2)C2CCC(N(C)c3ccc4cc(CF)cnc4c3)CC2)n1 7.7624755 0.2804878048780488</t>
  </si>
  <si>
    <t>CCCN(C)Cc1nc(C)c(C)o1 7.7624736 0.3</t>
  </si>
  <si>
    <t>Cc1ccnc(CN(C)CC2=CCC=C(N(C)C)N2)c1 7.762471 0.37254901960784315</t>
  </si>
  <si>
    <t>Cc1cccnc1CN(C)C1CCCC(N(C)c2cccc3ncc(CF)cc23)C1 7.7624702 0.29411764705882354</t>
  </si>
  <si>
    <t>CCN(Cc1ccccn1)Cc1cccc(N(C)C2CCCCC2N(C)c2cccc3ncccc23)n1 7.762466 0.4482758620689655</t>
  </si>
  <si>
    <t>CN(Cc1ccc(Cl)cn1)C1=CNC(C(C)(C)C)=CC1 7.7624545 0.2909090909090909</t>
  </si>
  <si>
    <t>CNCc1ncccc1CN(C)C1CCCCC1N(C)Cc1ncccc1-c1cccc2ncccc12 7.7624536 0.39655172413793105</t>
  </si>
  <si>
    <t>Cc1ccccc1CN(C)Cc1cc(C)c(C)c(C)n1 7.7624516 0.3488372093023256</t>
  </si>
  <si>
    <t>CCNCc1ccc2ccc(N(C)C3CCC(N(Cc4ccccn4)c4ccccc4F)CC3)cc2n1 7.762451 0.3484848484848485</t>
  </si>
  <si>
    <t>CN1CCN(C)CCN(Cc2ccc(-c3ccc4ncccc4c3)nc2)CC1 7.762444 0.4117647058823529</t>
  </si>
  <si>
    <t>CCCN(C)CC1=CCC(N(C)Cc2nc(C)c(C)c(C)c2C)=CN1 7.76244 0.23636363636363636</t>
  </si>
  <si>
    <t>CCCN(CC1=CCC=C(N(C)Cc2nc(C)cc(C)c2C)N1)Cc1ccccn1 7.7624397 0.3939393939393939</t>
  </si>
  <si>
    <t>Cc1cc(CN(C)CC2=CC(N(C)Cc3cc(C)c(C)c(C)n3)C=CN2)cnc1C 7.7624393 0.2878787878787879</t>
  </si>
  <si>
    <t>CN(C)c1cccc(-c2cccc(CN(Cc3cccc(C4=NC(C)(C)CO4)n3)Cc3cccc(-c4ccc5c(c4)OCCOCCOCCOCCOCCO5)n3)n2)c1 7.762436 0.4166666666666667</t>
  </si>
  <si>
    <t>CCN(CCN(C)CC(C)(C)C)c1cccc2ncccc12 7.7624207 0.34</t>
  </si>
  <si>
    <t>Cc1cnc(CN(C)C2CCCCC2N(C)c2cccc3nc(CF)ccc23)c(C)c1 7.7624197 0.47619047619047616</t>
  </si>
  <si>
    <t>Cc1cccc(CN(C)C2CCCC(N(C)c3cccc4nc(CF)ccc34)C2)n1 7.7624183 0.4642857142857143</t>
  </si>
  <si>
    <t>CC(C)C1(C)COC(c2cccc(CN(Cc3ccccn3)Cc3ccccn3)n2)=N1 7.7624173 0.4576271186440678</t>
  </si>
  <si>
    <t>CN1CCN(C)CCN(Cc2cncc(N(C)c3ccc4c(CF)ccnc4c3)c2)CC1 7.7624154 0.39344262295081966</t>
  </si>
  <si>
    <t>CNC1NC=CC=C1N(C)Cc1ncccc1C 7.762411 0.2833333333333333</t>
  </si>
  <si>
    <t>Cc1cccnc1CN(C)C1CCC(N(C)c2cccc3c(CF)ccnc23)CC1 7.7624097 0.36065573770491804</t>
  </si>
  <si>
    <t>Cc1cnc(CN(C)C2=CCC=C(CN(C)CC(C)(C)C)N2)c(C)c1 7.7624035 0.25</t>
  </si>
  <si>
    <t>Cc1cnc(CN(C)CCN(C)Cc2nc(C)c(C)c(C)c2C)c(C)c1C 7.7624025 0.3902439024390244</t>
  </si>
  <si>
    <t>Cc1cccc(CN(C)C2=CNC(CN(C)C(C)(C)c3ccccn3)=CC2)n1 7.762399 0.375</t>
  </si>
  <si>
    <t>Cc1cccc(CN(C)C2CCC(N(C)c3cccc4nccc(CF)c34)CC2)n1 7.7623963 0.43859649122807015</t>
  </si>
  <si>
    <t>CN1CCN(C)CCN(Cc2cnccc2-c2ccc3cccnc3c2)CC1 7.7623897 0.40384615384615385</t>
  </si>
  <si>
    <t>Cc1ccnc(CN(CC2=C(N(CF)Cc3ccccn3)CC=CN2)Cc2ccccn2)c1C 7.762389 0.4126984126984127</t>
  </si>
  <si>
    <t>CCN(C)CC1=CCC(N(C)Cc2nc(C)c(C)c(C)c2C)=CN1 7.7623887 0.2</t>
  </si>
  <si>
    <t>CC(C)(C)c1ccnc(CN(Cc2ccccn2)Cc2cccnc2C2OC=NC2(C)C)c1 7.7623887 0.37037037037037035</t>
  </si>
  <si>
    <t>CNCC1=C(N(C)Cc2ncccc2C)CC=CN1 7.7623878 0.27419354838709675</t>
  </si>
  <si>
    <t>Cc1ccccc1N(Cc1ccccc1)Cc1ccccn1 7.7623873 0.4722222222222222</t>
  </si>
  <si>
    <t>CN(Cc1ccon1)C1CCC(N(C)c2ccc3cc(CF)cnc3c2)CC1 7.7623863 0.36363636363636365</t>
  </si>
  <si>
    <t>Cc1cccnc1CN(C)CN(Cc1ncccc1C)Cc1nc(C)c(C)c(C)c1C 7.762377 0.3137254901960784</t>
  </si>
  <si>
    <t>Cc1ccc(CN(Cc2ccnc(C(C)(c3cccnc3)C(C)N)c2)Cc2ccccn2)nc1 7.762373 0.3508771929824561</t>
  </si>
  <si>
    <t>CN(Cc1ncccc1-c1ccc2c(c1)OCCOCCOCCOCCOCCO2)C1=CCC=C(CN(C)c2ccc3ncccc3c2)N1 7.762371 0.26744186046511625</t>
  </si>
  <si>
    <t>CCN(Cc1ccccn1)C1=CCC=C(CN(Cc2ccccn2)Cc2cccc(F)n2)N1 7.762363 0.46551724137931033</t>
  </si>
  <si>
    <t>Cc1cc(CN(Cc2ccccn2)Cc2ccc(N)cn2)cnc1C 7.7623625 0.47619047619047616</t>
  </si>
  <si>
    <t>CC(c1ccccc1)(c1ccccc1)c1ccccn1 7.7623615 0.5</t>
  </si>
  <si>
    <t>Cc1ccc(CN(Cc2ccccn2)C(C)(N)N(Cc2ccccn2)C(C)(C)C)c(N(C)Cc2ccccn2)c1 7.762357 0.4807692307692308</t>
  </si>
  <si>
    <t>COC(=O)C1C(c2ccccn2)C(c2cccc(CN(Cc3ccccn3)Cc3ccccn3)n2)CN(C)C1c1ccccn1 7.7623544 0.4117647058823529</t>
  </si>
  <si>
    <t>CN(Cc1ccccn1)C1=CCNC=C1 7.762354 0.4883720930232558</t>
  </si>
  <si>
    <t>Cc1cncc(CN(C)Cc2nc(N(C)C(C)C)ccc2C)c1 7.7623534 0.2692307692307692</t>
  </si>
  <si>
    <t>CNC1C(N(C)Cc2cc(C)ccn2)CC(N(Cc2nc(C)c(C)c(C)c2C)Cc2nc(C)c(C)c(C)c2C)CC1N(Cc1nc(C)c(C)c(C)c1C)Cc1nc(C)c(C)c(C)c1C 7.7623096 0.296875</t>
  </si>
  <si>
    <t>CNCc1nc(CN(Cc2ccccn2)C2CCCCC2N(C)c2cccc3ncccc23)c(C)c(C)c1C 7.762307 0.4</t>
  </si>
  <si>
    <t>CNCc1ncccc1CN(Cc1ccccn1)C1CCC(N(C)c2ccc3nccc(C)c3c2)CC1 7.7623057 0.3188405797101449</t>
  </si>
  <si>
    <t>CN(Cc1ccc(Cl)cn1)Cc1cccc(F)n1 7.762305 0.4444444444444444</t>
  </si>
  <si>
    <t>Cc1cccnc1CN(C)Cc1nccc(C)c1C 7.762292 0.3409090909090909</t>
  </si>
  <si>
    <t>CNCc1cc(CN(Cc2ncccc2C)C2CCC(N(C)c3ccc4nccc(CF)c4c3)CC2)ccn1 7.762291 0.23376623376623376</t>
  </si>
  <si>
    <t>Cc1cccnc1CN(C)C1CCC(N(C)c2ccc3c(CF)ccnc3c2)CC1 7.76229 0.265625</t>
  </si>
  <si>
    <t>CN(C)CC1=C(N(C)Cc2ccccn2)CC=CN1 7.7622876 0.45098039215686275</t>
  </si>
  <si>
    <t>CNCc1cc(CN(Cc2ccccn2)C2CCC(N(C)c3cccc4nccc(C)c34)CC2)ccn1 7.762282 0.3333333333333333</t>
  </si>
  <si>
    <t>CCN(Cc1ccccn1)c1cccnc1CN(Cc1ccccn1)Cc1cccnc1F 7.7622705 0.46511627906976744</t>
  </si>
  <si>
    <t>Cc1cnc(CN(C)C2=CCC=C(CN(C)C(C)C)N2)c(C)c1 7.762269 0.23214285714285715</t>
  </si>
  <si>
    <t>CCNC1NC=CC=C1N(Cc1ccccn1)Cc1ncccc1C 7.762263 0.3709677419354839</t>
  </si>
  <si>
    <t>Cc1ccc(CN(Cc2ncccc2C)Cc2ncccc2CN(C)Cc2ncccc2C)nc1 7.762259 0.45652173913043476</t>
  </si>
  <si>
    <t>Cc1ccnc(CN(C)C2CCCCC2N(C)c2ccc3c(CN(C)C)ccnc3c2)c1 7.7622557 0.42857142857142855</t>
  </si>
  <si>
    <t>CC(C)C1=NC(c2cccc(CN(Cc3ccccn3)Cc3ccccn3)n2)CO1 7.7622538 0.4444444444444444</t>
  </si>
  <si>
    <t>Cc1ccc(CN(C)Cc2ncccc2C(C)(C)c2ccccn2)cc1 7.762253 0.32786885245901637</t>
  </si>
  <si>
    <t>Cc1cnc(CN(C)C2CCCCC2N(C)c2ccc3c(CF)ccnc3c2)cc1C 7.7622504 0.4482758620689655</t>
  </si>
  <si>
    <t>Cc1cc(CN(C)Cc2ncccc2N)cnc1C 7.762245 0.28846153846153844</t>
  </si>
  <si>
    <t>Cc1cc(C)nc(CN(C)C2CCC(N(C)c3ccc4nc(CF)ccc4c3)CC2)c1 7.7622433 0.328125</t>
  </si>
  <si>
    <t>Cc1cncc(CN(Cc2ccccn2)Cc2cc(C)c(C)c(C)n2)c1 7.7622404 0.45454545454545453</t>
  </si>
  <si>
    <t>Cc1cc(C)nc(CN(C)CC2=CC(N(C)Cc3cc(C)cc(C)n3)C=CN2)c1 7.762236 0.3392857142857143</t>
  </si>
  <si>
    <t>Cc1ccc(CN(C)C2CCC(N(C)c3cccc4cc(CN(C)C)cnc34)CC2)nc1 7.7622333 0.43859649122807015</t>
  </si>
  <si>
    <t>CNCc1cc(C)c(C)c(CN(Cc2ncccc2C)Cc2ncccc2C)n1 7.7622323 0.3111111111111111</t>
  </si>
  <si>
    <t>CCNc1cc(-c2ccc(C(C)(C(C)C)C(C)C)cn2)ccn1 7.762229 0.3050847457627119</t>
  </si>
  <si>
    <t>Cc1cc(CN(C)Cc2ccccn2)cc(NCc2ccccn2)c1 7.762224 0.4791666666666667</t>
  </si>
  <si>
    <t>CC(C)N(C)Cc1cc(N(O)C2CCC(N(C)c3ccc4cc(CF)cnc4c3)CC2)ccn1 7.76222 0.2638888888888889</t>
  </si>
  <si>
    <t>CC(C)N(C)CCNc1ccc2nccc(CF)c2c1 7.762217 0.23636363636363636</t>
  </si>
  <si>
    <t>Cc1cccc(N(C)C2C=CC=CN2)c1 7.762214 0.2641509433962264</t>
  </si>
  <si>
    <t>Cc1cccnc1CN(C)c1cccnc1CN(C)C(C)C 7.7622113 0.3617021276595745</t>
  </si>
  <si>
    <t>C=CCN(C)CCN(Cc1cncc(CN(Cc2ccccn2)Cc2cccc(-c3cc(Cl)ccc3N)n2)c1)Cc1ccccn1 7.7622104 0.4246575342465753</t>
  </si>
  <si>
    <t>Cc1cnc(C)c(CN(C)Cc2cccc(N)n2)c1 7.762209 0.4</t>
  </si>
  <si>
    <t>Fc1cccc(CN(Cc2ccc3ncccc3c2)C2CCCC(N(Cc3ccccn3)c3ccccc3F)C2)n1 7.7622075 0.34177215189873417</t>
  </si>
  <si>
    <t>CN(Cc1cccc(CF)n1)Cc1cccc(N(C)C(C)(C)c2cccnc2)n1 7.762207 0.34545454545454546</t>
  </si>
  <si>
    <t>CC(C)(NCc1ccccn1)c1cc(NCc2ccccn2)ccn1 7.762206 0.40476190476190477</t>
  </si>
  <si>
    <t>CN(c1ccc2ncccc2c1)C1CCCCC1N(Cc1ccccn1)C1=CC=CNC1NCc1ccccn1 7.7621984 0.38235294117647056</t>
  </si>
  <si>
    <t>Cc1cc(C)c(CN(C)C2=CNC(CN(C)C(C)C)=CC2)nc1C 7.762188 0.18181818181818182</t>
  </si>
  <si>
    <t>Cc1cnc(CN(Cc2ccccn2)Cc2cccnc2F)c(C)c1C 7.7621846 0.4878048780487805</t>
  </si>
  <si>
    <t>Cc1ccnc(C2CCC2(C)C)c1C(=O)C(C)NCc1ncccc1CNCc1cc(C(C)(c2ccccn2)C(C)C)c(C)c(C)n1 7.762172 0.1919191919191919</t>
  </si>
  <si>
    <t>Cc1cc(CN(C)CC2=CC(N(C)Cc3ccccn3)C=CN2)cc(NCc2ccccn2)c1 7.762164 0.3384615384615385</t>
  </si>
  <si>
    <t>Cc1nc(CN(C)C2=C(CN(C)C(C)C)NC=CC2)c(C)c(C)c1C 7.7621617 0.1896551724137931</t>
  </si>
  <si>
    <t>CC1=CC(C)C(C)C(C)(N(Cc2ccccn2)Cc2cccc(-c3cccc(N(C)C)c3)n2)C1 7.76216 0.4264705882352941</t>
  </si>
  <si>
    <t>Cc1cccnc1CN(C)C1=C(C(C)(C)C)NC=CC1 7.76216 0.2833333333333333</t>
  </si>
  <si>
    <t>CC(C)NCCNCc1cccc2cccnc12 7.7621584 0.45454545454545453</t>
  </si>
  <si>
    <t>Cc1cccnc1CN(C)C1CCC(N(C)c2ccc3nccc(CF)c3c2)CC1 7.762156 0.26153846153846155</t>
  </si>
  <si>
    <t>Cc1ccc(CN(Cc2cccc(F)n2)Cc2cccc(CN(Cc3cccc(F)n3)C3CCCCC3N(C)c3ccc4nc(CF)ccc4c3)n2)nc1 7.762153 0.4084507042253521</t>
  </si>
  <si>
    <t>CN1CCN(C)CCN(Cc2cccnc2-c2ccc3cccnc3c2)CC1 7.7621527 0.4375</t>
  </si>
  <si>
    <t>CC(C)(C)c1cccc(CNCc2cccc(C(C)(C)c3ccccn3)n2)n1 7.7621517 0.425</t>
  </si>
  <si>
    <t>CNCc1cc(CN(Cc2ccccn2)C2CCC(N(C)c3ccc4c(C)ccnc4c3)CC2)ccn1 7.7621503 0.3333333333333333</t>
  </si>
  <si>
    <t>Cc1cccnc1CN(C)C1=CNC(CN(Cc2ccccn2)C(C)C)=CC1 7.762148 0.43636363636363634</t>
  </si>
  <si>
    <t>Cc1cc(CN(C)Cc2cccnc2CN(C)Cc2ccccn2)nc(C)c1C 7.762142 0.45098039215686275</t>
  </si>
  <si>
    <t>CCN(CCNc1ccc2ncccc2c1)Cc1ccccn1 7.7621403 0.45098039215686275</t>
  </si>
  <si>
    <t>CC(C)N(Cc1cccc(N(C)C)n1)Cc1cccnc1F 7.7621293 0.425531914893617</t>
  </si>
  <si>
    <t>Cc1cc(CN(C)C2CCCCC2N(C)c2ccc3c(CN(C)C)ccnc3c2)ccn1 7.7621264 0.3559322033898305</t>
  </si>
  <si>
    <t>CN(Cc1ccc(N)cn1)C1=C(CN(C)C(C)(C)c2ccccn2)NC=CC1 7.762121 0.3225806451612903</t>
  </si>
  <si>
    <t>CNc1cc(Cl)c(-c2cc(CN(C)C3CCC(N(C)Cc4nc(C)ccc4C)CC3)ccn2)cc1C 7.762121 0.24285714285714285</t>
  </si>
  <si>
    <t>CN(Cc1ccon1)C1CCC(N(C)c2ccc3ncc(CF)cc3c2)CC1 7.7621202 0.35714285714285715</t>
  </si>
  <si>
    <t>Cc1cnc(CN(C)CC2=CC(N(C)Cc3cc(C)c(C)c(C)n3)C=CN2)c(C)c1 7.76212 0.2835820895522388</t>
  </si>
  <si>
    <t>Cc1cnc(CN(C)C2CCCCC2N(C)c2ccc3nccc(CF)c3c2)cc1C 7.762117 0.4406779661016949</t>
  </si>
  <si>
    <t>Cc1cc2cccnc2c(C)c1CN(C)CCN(C)C(C)(C)C 7.762116 0.4583333333333333</t>
  </si>
  <si>
    <t>Cc1ccccc1N(C)CC1=CCC(N(C)C(C)C)=CN1 7.7621145 0.24074074074074073</t>
  </si>
  <si>
    <t>CN1CCN(C)CCN(Cc2ccc(-c3cccc4cccnc34)nc2)CC1 7.7621098 0.42857142857142855</t>
  </si>
  <si>
    <t>CC1=CC(C)(C)CC2(C(c3ncccc3CN(Cc3ccccn3)Cc3ccccn3)=CC3(CC(C)=C(C)CC3C)C(C)(C)C2c2ccc(CN(Cc3ccccn3)Cc3ccccn3)cn2)C12C(C)C=CCC2C 7.762107 0.24242424242424243</t>
  </si>
  <si>
    <t>Cc1cccnc1CN(C)C1CCC(N(C)c2ccc3nc(CN(C)C)ccc3c2)CC1 7.7620893 0.3114754098360656</t>
  </si>
  <si>
    <t>CNCc1ccc(C2=NCC(C)(C)O2)cn1 7.7620687 0.24489795918367346</t>
  </si>
  <si>
    <t>CNc1ccnc(CNCc2ncccc2C)c1 7.7620645 0.3488372093023256</t>
  </si>
  <si>
    <t>Cc1cccnc1CN(Cc1ccnc(C(C)(c2cccnc2)C(C)C)c1)Cc1ccccn1 7.762061 0.35714285714285715</t>
  </si>
  <si>
    <t>Cc1cccc(CN(C)C2CCC(N(C)c3ccc4nccc(CF)c4c3)CC2)n1 7.7620597 0.423728813559322</t>
  </si>
  <si>
    <t>Cc1ccnc(CN(C)c2cncc(CN(C)C(C)C)c2)c1 7.762043 0.3148148148148148</t>
  </si>
  <si>
    <t>Cc1cccnc1CN(Cc1ncccc1C(C)(C)N(Cc1ncccc1C)Cc1ncccc1C)C(C)C 7.762041 0.3829787234042553</t>
  </si>
  <si>
    <t>CCN(CC1=CCC(N(C)Cc2ncc(C)c(C)c2C)=CN1)Cc1ccccn1 7.7620335 0.41935483870967744</t>
  </si>
  <si>
    <t>Cc1cccnc1CN(Cc1cc(C(C)(C)C)ccn1)c1ccc2nc(CN(C)Cc3cc(-c4ccc5c(c4)OCCOCCOCCOCCOCCO5)ccn3)ccc2c1 7.762033 0.3103448275862069</t>
  </si>
  <si>
    <t>Cc1cc(NCc2ccccn2)ccc1-c1ccc(CN(C)C2CCCC(N(C)Cc3cc(C)c(C)c(C)n3)C2)cn1 7.7620173 0.3333333333333333</t>
  </si>
  <si>
    <t>Cc1c(CN(C)C2CCCCC2N(C)c2ccc3cccnc3c2)cccc1NCc1ccccn1 7.7620063 0.4444444444444444</t>
  </si>
  <si>
    <t>Cc1cc(CN(C)C2CCCC(N(C)c3ccc4c(CF)ccnc4c3)C2)ccn1 7.7620063 0.24242424242424243</t>
  </si>
  <si>
    <t>Cc1cc(C)c(CN(C)Cc2ncccc2N)cn1 7.7620025 0.34</t>
  </si>
  <si>
    <t>Cc1cc(C)nc(CN(C)Cc2ncccc2C)c1 7.7619987 0.38636363636363635</t>
  </si>
  <si>
    <t>COC(=O)C1CN(C)C(c2cccc(CN(Cc3ccccn3)Cc3ccccn3)n2)C(c2ccccn2)C1c1ccccn1 7.761992 0.42424242424242425</t>
  </si>
  <si>
    <t>Cc1c(N(C)Cc2cc(-c3ccc4c(c3)OCCOCCOCCOCCOCCO4)ccn2)cc2cccnc2c1C 7.7619905 0.3424657534246575</t>
  </si>
  <si>
    <t>Cc1cccnc1CN(C)C1=CNC(CN(C)C(C)(C)c2ccccn2)=CC1 7.761986 0.2835820895522388</t>
  </si>
  <si>
    <t>CN(Cc1ccc(-c2ccc3c(c2)OCCOCCOCCOCCOCCO3)cn1)C1=CCC(N(C)c2ccc3cccnc3c2)=CN1 7.761985 0.37037037037037035</t>
  </si>
  <si>
    <t>CN1CCN(C)CCN(Cc2ccc(-c3cccc4ncccc34)nc2)CC1 7.761977 0.42</t>
  </si>
  <si>
    <t>CC1=CC(C)C2(C(c3cc(CN(Cc4ccccn4)Cc4ccccn4)ccn3)=CC(c3ncccc3CN(Cc3ccccn3)Cc3ccccn3)CC23CC(C)=C(C)CC3C)C(C)C1 7.761968 0.2857142857142857</t>
  </si>
  <si>
    <t>CNC1C=CC=C(N(C)Cc2cc(C)ccn2)N1 7.7619624 0.3090909090909091</t>
  </si>
  <si>
    <t>Cc1ccc(CN(C)C2C=CC=C(NCc3ccccn3)N2)nc1 7.761962 0.39655172413793105</t>
  </si>
  <si>
    <t>Cc1cc(CN(Cc2ccccn2)Cc2cccnc2F)nc(C)c1C 7.761962 0.47619047619047616</t>
  </si>
  <si>
    <t>Cc1cccc(CN(C)C2=C(CN(Cc3cccc(C)n3)C(C)C)NC=CC2)n1 7.7619557 0.40816326530612246</t>
  </si>
  <si>
    <t>Cc1cc(CN(C)C2CCC(N(Cc3ccccn3)c3ccc4ncccc4c3)CC2)ccn1 7.7619553 0.38333333333333336</t>
  </si>
  <si>
    <t>CN(CC1=C(N(C)C2=CCC=CN2)NC=CC1)Cc1ccccn1 7.7619543 0.4909090909090909</t>
  </si>
  <si>
    <t>Cc1ncccc1CN(C)C1CCCC(N(C)c2cccc3c(CF)ccnc23)C1 7.7619476 0.3709677419354839</t>
  </si>
  <si>
    <t>Cc1cc(C)c(CN(C)CC2=CC(N(C)Cc3cc(C)c(C)c(C)n3)C=CN2)cc1C 7.7619467 0.30158730158730157</t>
  </si>
  <si>
    <t>CCCN(C)C1=CCC=C(CN(C)Cc2nc(C)c(C)c(C)c2C)N1 7.761941 0.21428571428571427</t>
  </si>
  <si>
    <t>Cc1ccc(C)c(CN(Cc2ccccn2)Cc2cccnc2C(C)(C)C)n1 7.76194 0.4444444444444444</t>
  </si>
  <si>
    <t>Cc1cccc(CN(Cc2ccccn2)C2CCCC(N(C)c3ccc4cccnc4c3)C2)n1 7.76194 0.4</t>
  </si>
  <si>
    <t>CC(C)N(Cc1ccc2ccc3cccnc3c2n1)Cc1ncccc1-c1ccc2c(c1)OCCOCCOCCOCCOCCO2 7.7619376 0.33783783783783783</t>
  </si>
  <si>
    <t>CC1=CC(C)CC(N(C)Cc2ccccn2)=C1CN(C)Cc1ccccn1 7.761937 0.46</t>
  </si>
  <si>
    <t>Cc1cc(C)c(CN(C)C2=CCC=C(CN(C)CF)N2)nc1C 7.7619367 0.21428571428571427</t>
  </si>
  <si>
    <t>Cc1cncc(CN(C)C2=C(CN(C)C(C)(C)c3cccnc3C)NC=CC2)c1 7.761932 0.22972972972972974</t>
  </si>
  <si>
    <t>Cc1ccnc(CN(C)C2CCCC(N(C)c3ccc4c(CF)ccnc4c3)C2)c1 7.761929 0.30158730158730157</t>
  </si>
  <si>
    <t>CC(N)C(C)(c1cccnc1)c1ncccc1CN(Cc1ccccn1)C1CCC(N(C)c2ccc3cc(CF)cnc3c2)CC1 7.7619276 0.26506024096385544</t>
  </si>
  <si>
    <t>CN(C)Cc1ccnc2cccc(N(C)C3CCCC(N(C)Cc4cccnn4)C3)c12 7.7619243 0.3448275862068966</t>
  </si>
  <si>
    <t>CCN(Cc1ccccn1)Cc1ccc2cccc(N(C)C3CCC(N(C)Cc4nc(C)c(C)c(C)c4C)CC3)c2n1 7.761917 0.36619718309859156</t>
  </si>
  <si>
    <t>CNCC1=CCC(N(C)Cc2ncccc2C)=CN1 7.7619166 0.26785714285714285</t>
  </si>
  <si>
    <t>CCN(CC1=C(N(C)Cc2cc(C)c(C)c(C)n2)CC=CN1)Cc1ccccn1 7.7619157 0.38461538461538464</t>
  </si>
  <si>
    <t>CNC1C(NCc2cc(C)c(C)c(C)n2)C(N(Cc2nc(C)c(C)c(C)c2C)Cc2nc(C)c(C)c(C)c2C)CCC1N(Cc1nc(C)c(C)c(C)c1C)Cc1nc(C)c(C)c(C)c1C 7.7619133 0.2222222222222222</t>
  </si>
  <si>
    <t>Cc1cccnc1CN(C)Cc1cccnc1C1OC=NC1C 7.7619085 0.3584905660377358</t>
  </si>
  <si>
    <t>Cc1ccnc(CN(C)C2CCCC(N(C)c3cccc4c(CF)ccnc34)C2)c1 7.761905 0.3382352941176471</t>
  </si>
  <si>
    <t>Cc1cc(CN(C)C2CCCC(N(C)c3cccc4cccnc34)C2)c(C)cn1 7.7618995 0.48214285714285715</t>
  </si>
  <si>
    <t>CCOC(C)c1cccc(CN(Cc2ccccn2)C2CCC(N(C)c3ccc4nccc(CN(C)C)c4c3)CC2)n1 7.761898 0.2972972972972973</t>
  </si>
  <si>
    <t>CC(N)C(C)(c1cccnc1)c1cccc(CN(Cc2ccccn2)C2CCC(N(C)c3cccc4nc(CF)ccc34)CC2)n1 7.761898 0.2875</t>
  </si>
  <si>
    <t>Cc1cccnc1CN(C)C1CCC(N(C)Cc2ccccn2)C(N(Cc2ccccn2)c2ccc3nc(CF)ccc3c2)C1 7.7618923 0.40298507462686567</t>
  </si>
  <si>
    <t>CCN(Cc1ccc([Si](C(C)C)(C(C)C)C(C)C)cn1)Cc1cccc(C2=NC(C)(C)CO2)n1 7.76189 0.48148148148148145</t>
  </si>
  <si>
    <t>CC(C)C(c1ccccc1)c1cccc(NC2C=CC=CN2)n1 7.7618885 0.24193548387096775</t>
  </si>
  <si>
    <t>Cc1ccc(CN(Cc2ccccn2)C2CCCC(N(C)c3cccc4ncccc34)C2)nc1 7.761888 0.39344262295081966</t>
  </si>
  <si>
    <t>Cc1cncc(CN(C)c2ccc3nccc(CN(C)Cc4cc(-c5ccc6c(c5)OCCOCCOCCOCCOCCO6)ccn4)c3c2)c1C 7.7618847 0.30952380952380953</t>
  </si>
  <si>
    <t>CNCc1ncccc1CN(Cc1ccccn1)C1CCC(N(C)c2ccc3c(C)ccnc3c2)CC1 7.761879 0.3188405797101449</t>
  </si>
  <si>
    <t>Cc1cccc(CN(C)Cc2ccc(CN(C)Cc3ncccc3C)c(C)n2)n1 7.761873 0.4888888888888889</t>
  </si>
  <si>
    <t>CNc1ccc(CN(Cc2ccccn2)Cc2cccc(C)n2)nc1 7.76187 0.5</t>
  </si>
  <si>
    <t>CC(C)C(C)(c1ccccn1)c1cc(CN(Cc2ccccn2)Cc2cc(C(C)(C)C)ccn2)ccn1 7.761868 0.4166666666666667</t>
  </si>
  <si>
    <t>CNC1C=CC(N(C)Cc2ccccn2)=CN1 7.761867 0.44680851063829785</t>
  </si>
  <si>
    <t>CN(C)Cc1ccc2cc(N(C)C3CCC(N(Cc4ccccn4)C(C)(C)c4ccccn4)CC3)ccc2n1 7.7618666 0.39344262295081966</t>
  </si>
  <si>
    <t>Cc1cccnc1CN(Cc1ncccc1C)Cc1ncccc1C(C)(C)C 7.7618546 0.34210526315789475</t>
  </si>
  <si>
    <t>Cc1cnc(CN(C)C2CCC(N(C)c3cccc4cccnc34)CC2)c(C)c1 7.761853 0.48148148148148145</t>
  </si>
  <si>
    <t>Cc1cccnc1CN(Cc1ccccc1N(C)C)C(C)C 7.7618504 0.41304347826086957</t>
  </si>
  <si>
    <t>CN1CCN(C)CCN(Cc2cnccc2-c2ccc3ncccc3c2)CC1 7.761849 0.40384615384615385</t>
  </si>
  <si>
    <t>Cc1cc(C)c(CN(C)CC2=CC(N(C)Cc3nc(C)c(C)c(C)c3C)C=CN2)cn1 7.7618446 0.2835820895522388</t>
  </si>
  <si>
    <t>CC(C)C(C)N(CCN(Cc1ccccn1)c1ccc2cccnc2c1)Cc1ccccn1 7.7618437 0.4897959183673469</t>
  </si>
  <si>
    <t>CCCN(CC1=CCC=C(N(C)Cc2cc(C)c(C)c(C)n2)N1)Cc1ccccn1 7.7618365 0.4</t>
  </si>
  <si>
    <t>Cc1cccnc1CN(C)C1CCC(N(C)c2ccc3cc(CN(C)C)cnc3c2)CC1 7.761825 0.265625</t>
  </si>
  <si>
    <t>C1=CNC=C(SCc2ccccn2)C1 7.7618227 0.4358974358974359</t>
  </si>
  <si>
    <t>C=C1C=CNC(CN(C)C2CCC(N(C)c3ccc4cccnc4c3)CC2)=C1 7.7618213 0.296875</t>
  </si>
  <si>
    <t>CC(C)(C)c1ccnc(CN(Cc2cccnc2C2OC=NC2(C)C)Cc2ncccc2C(C)(C)C)c1 7.761819 0.2608695652173913</t>
  </si>
  <si>
    <t>Cc1cccnc1CN(C)C1CCCCC1N(C)c1cccc2nccc(CN(C)C)c12 7.7618155 0.423728813559322</t>
  </si>
  <si>
    <t>CC(C)C1=CC2(C=CN1)C(c1ccccn1)=CCC(c1cccc(CN(Cc3ccccn3)Cc3ccccn3)n1)C2(C)C 7.761801 0.3582089552238806</t>
  </si>
  <si>
    <t>Cc1cc(N(Cc2cccnn2)C2CCCCC2)c2ncccc2c1 7.7617965 0.38596491228070173</t>
  </si>
  <si>
    <t>Cc1cncc(CN(C)Cc2cccc(N(C)C(C)(C)c3cccnc3CN(Cc3ccccn3)C(C)C)n2)c1 7.761796 0.375</t>
  </si>
  <si>
    <t>Cc1ncccc1CN(C)C1CCCC(N(C)c2ccc3c(CF)ccnc3c2)C1 7.761796 0.27692307692307694</t>
  </si>
  <si>
    <t>CN1CCN(C)CCN(Cc2cnccc2-c2cccc3ncccc23)CC1 7.761796 0.42</t>
  </si>
  <si>
    <t>Cc1ccnc(CN(C)Cc2cc(C)cc(C)n2)c1 7.7617917 0.4186046511627907</t>
  </si>
  <si>
    <t>Cc1cccnc1CN(Cc1ccccn1)C1CCCCC1N(C)c1cccc2cncc(CN(C)C)c12 7.7617574 0.4090909090909091</t>
  </si>
  <si>
    <t>Cc1cc(CN(C)CCN(C)Cc2nc(C)n(C)c2C)nc(C)c1C 7.7617555 0.3404255319148936</t>
  </si>
  <si>
    <t>CNCc1cc(CN(Cc2ccccn2)Cc2nc(C)c(C)c(C)c2C)ccn1 7.7617483 0.43478260869565216</t>
  </si>
  <si>
    <t>Cc1cc(CN(C)C2C=CNC(CN(C)Cc3ncc(C)c(C)c3C)=C2)nc(C)c1C 7.7617426 0.2878787878787879</t>
  </si>
  <si>
    <t>Cc1ccccc1CN(C)CCN(C)Cc1ccc2cccnc2c1 7.761732 0.5</t>
  </si>
  <si>
    <t>CN1CCN(C)CCN(Cc2cccnc2-c2cccc3ncccc23)CC1 7.761732 0.44680851063829785</t>
  </si>
  <si>
    <t>Cc1nc(CN(Cc2ccc(N)cn2)CN(C)C)c(C)c(C)c1C 7.761731 0.3541666666666667</t>
  </si>
  <si>
    <t>Cc1ccnc(C)c1CN(C)Cc1ncccc1N 7.7617273 0.3</t>
  </si>
  <si>
    <t>CN1CCN(C)CCN(Cc2ccnc(-c3ccc4cccnc4c3)c2)CC1 7.761725 0.42</t>
  </si>
  <si>
    <t>CC(C1=C(N(C)Cc2ccccn2)CC=CN1)c1ccccc1 7.761719 0.41818181818181815</t>
  </si>
  <si>
    <t>CC(C)N(CC1=CCC=C(N(C)Cc2ccccn2)N1)Cc1cccnc1 7.7617164 0.4107142857142857</t>
  </si>
  <si>
    <t>CCN(CC1=CCC(N(C)Cc2nc(C)c(C)c(C)c2C)=CN1)Cc1ccccn1 7.7617073 0.41935483870967744</t>
  </si>
  <si>
    <t>Cc1cccc(N2CCN(C)CCN(Cc3ccc(-c4cccc(N=Cc5ccccn5)c4)cn3)CC2)c1 7.761705 0.40625</t>
  </si>
  <si>
    <t>CC(N)C1=CCC=C(N(C)Cc2ccccn2)N1 7.7616987 0.42857142857142855</t>
  </si>
  <si>
    <t>Cc1ncccc1CN(C)C1CCCC(N(Cc2ccccn2)c2cccc3cccnc23)C1 7.7616906 0.4166666666666667</t>
  </si>
  <si>
    <t>CC1C=CC(C)C(N(C)Cc2ccc(-c3cccc(N(C)C)c3)cn2)C1 7.7616854 0.3684210526315789</t>
  </si>
  <si>
    <t>CNc1ccc(CN(Cc2ccccn2)Cc2ncccc2F)nc1 7.76168 0.47619047619047616</t>
  </si>
  <si>
    <t>CC1=CC(C)C(N(C)CCN(C)c2ccc3c(C)ccnc3c2)CC1C 7.76168 0.21875</t>
  </si>
  <si>
    <t>Cc1cccc(N(Cc2ccccc2)Cc2ccccn2)c1 7.761655 0.4358974358974359</t>
  </si>
  <si>
    <t>CN1CCN(C)CCN(Cc2cccnc2-c2ccc3ncccc3c2)CC1 7.761644 0.4375</t>
  </si>
  <si>
    <t>CNC1CCC(N(Cc2nc(C)c(C)c(C)c2C)Cc2nc(C)c(C)c(C)c2C)C(NCc2nc(C)c(C)cc2C)C1N(Cc1nc(C)c(C)c(C)c1C)Cc1nc(C)c([SiH3])c(C)c1C 7.761642 0.1780821917808219</t>
  </si>
  <si>
    <t>Cc1cnc(CN(C)C2CCCCC2N(C)c2cccc3ncccc23)c(C)c1C 7.761641 0.43859649122807015</t>
  </si>
  <si>
    <t>CNC1C(N(Cc2nc(C)c(C)c(C)c2C)Cc2nc(C)c(C)c(C)c2C)CCC(NCc2ncc(C)c(C)c2C)C1N(Cc1nc(C)c(C)c(C)c1C)Cc1nc(C)c(C)c(C)c1C 7.761635 0.22388059701492538</t>
  </si>
  <si>
    <t>Cc1cncc(CN(Cc2ccccn2)C2CCC(N(C)c3cccc4nccc(CF)c34)CC2)c1 7.76163 0.3142857142857143</t>
  </si>
  <si>
    <t>Cc1cc(C)c(C)c(CN(C)CCN(C)Cc2nc(C)c(C)c(C)c2C)n1 7.7616296 0.35714285714285715</t>
  </si>
  <si>
    <t>C1=CC(SCc2ccccn2)=CC(NCc2ccccn2)N1 7.7616224 0.37777777777777777</t>
  </si>
  <si>
    <t>CC1=C(C)CC2(C=C(c3ncccc3CN(Cc3ccccn3)Cc3ccccn3)C3(CC(C)=C(C)CC3C)C(c3ncccc3CN(Cc3ccccn3)Cc3ccccn3)C2)C(C)C1 7.761622 0.32786885245901637</t>
  </si>
  <si>
    <t>CCCNCC1=CCC(C)C(C)C1c1cccc(CN(Cc2ccccn2)Cc2cccc(-c3cccc(N=Cc4ccccn4)c3)n2)n1 7.761617 0.3902439024390244</t>
  </si>
  <si>
    <t>COC(=O)C1C(c2ccccn2)C(c2ccccn2)CN(C)C1c1ncccc1CN(Cc1ccccn1)Cc1ccccn1 7.7616043 0.3389830508474576</t>
  </si>
  <si>
    <t>Cc1cccnc1CN(C)C1CCC(N(C)c2ccc3ncc(CN(C)C)cc3c2)CC1 7.761603 0.26153846153846155</t>
  </si>
  <si>
    <t>CNc1cccc(CNCc2ccc(N)cn2)n1 7.7616014 0.32558139534883723</t>
  </si>
  <si>
    <t>Cc1cccnc1CN(C)C1=CCC=C(CN(C(C)C)C(C)C)N1 7.7615986 0.27419354838709675</t>
  </si>
  <si>
    <t>CNc1ccc(CN(Cc2cccc(C)n2)C2CCC(N(C)Cc3nc(C)c(C)c(C)c3C)CC2)nc1-c1ccccn1 7.7615795 0.34782608695652173</t>
  </si>
  <si>
    <t>Cc1cncc(CN(C)Cc2cc(N(C)C(C)C)ccn2)c1C 7.7615776 0.3137254901960784</t>
  </si>
  <si>
    <t>CN(C)Cc1cnc2ccc(N(C)C3CCCCC3N(Cc3ccccn3)Cc3cccc(C(C)(C)C)n3)cc2c1 7.7615743 0.3939393939393939</t>
  </si>
  <si>
    <t>CNCc1ncccc1CN(Cc1ccccn1)Cc1nc(C)c(C)c(C)c1C 7.761573 0.43478260869565216</t>
  </si>
  <si>
    <t>CN1CCN(C)CCN(Cc2cncc(N(O)c3ccc4ncccc4c3)c2)CC1 7.7615695 0.42105263157894735</t>
  </si>
  <si>
    <t>Cc1ccc(C2=NC(C(C)N=Cc3ccccn3)CO2)c(C2CCC2(C)C)n1 7.761569 0.30303030303030304</t>
  </si>
  <si>
    <t>CC(C)C1=NC(c2ncccc2CN(Cc2ccccn2)Cc2ccccn2)CO1 7.761568 0.43478260869565216</t>
  </si>
  <si>
    <t>CNC1C(NCc2nc(C)c(C)cc2C)C(N(Cc2nc(C)c(C)c(C)c2C)Cc2nc(C)c(C)c(C)c2C)CCC1N(Cc1nc(C)c(C)c(C)c1C)Cc1nc(C)c(C)c(C)c1C 7.7615643 0.20967741935483872</t>
  </si>
  <si>
    <t>CN(c1ccc2nc(CF)ccc2c1)C1CCC(N(Cc2ccnc(C(C)(C)C)c2)Cc2ccccn2)CC1 7.7615643 0.3382352941176471</t>
  </si>
  <si>
    <t>CCN(Cc1ccccn1)c1cccnc1CN(Cc1ccccn1)Cc1ncccc1F 7.7615495 0.4878048780487805</t>
  </si>
  <si>
    <t>COC(=O)C1C(c2ccccn2)C(c2ccc(CN(Cc3ccccn3)Cc3ccccn3)cn2)CN(C)C1c1ccccn1 7.7615385 0.3333333333333333</t>
  </si>
  <si>
    <t>CNc1ccc(CN(Cc2ccccn2)Cc2ncccc2C)nc1 7.7615347 0.4878048780487805</t>
  </si>
  <si>
    <t>CCN(Cc1cc(CN(Cc2cc(C)ccn2)Cc2cc(C)c(C)cn2)ccn1)Cc1cc(C)c(C)c(C)n1 7.7615347 0.3103448275862069</t>
  </si>
  <si>
    <t>Cc1ccnc(CN(Cc2ccnc(CN(C)C)c2)Cc2ccccn2)c1C 7.761529 0.47619047619047616</t>
  </si>
  <si>
    <t>CC(C)(C)c1ccc(CN(Cc2ccccn2)Cc2cccnc2C2OC=NC2(C)C)nc1 7.7615204 0.37037037037037035</t>
  </si>
  <si>
    <t>COC(=O)C1C(c2ccccn2)C(c2cc(CN(Cc3ccccn3)Cc3ccccn3)ccn2)CN(C)C1c1ccccn1 7.7615175 0.3448275862068966</t>
  </si>
  <si>
    <t>CCN(Cc1ccccn1)Cc1ccc2cccc(N(C)Cc3cccc(N(C)Cc4ncccc4-c4ccc5c(c4)OCCOCCOCCOCCOCCO5)n3)c2n1 7.7615047 0.3116883116883117</t>
  </si>
  <si>
    <t>CN(C1=CCC=CN1)C1CCCC(N(C)c2ccc3ccc(CF)nc3c2)C1 7.7615027 0.34375</t>
  </si>
  <si>
    <t>CCN(Cc1cccc(CN(Cc2ccc([SiH3])cn2)Cc2cccc(C)n2)n1)Cc1nc(C)c(C)c(C)c1C 7.7615023 0.35185185185185186</t>
  </si>
  <si>
    <t>Cc1cnc(CN(C)CC2=CC(N(C)Cc3nc(C)c(C)cc3C)C=CN2)c(C)c1 7.761495 0.296875</t>
  </si>
  <si>
    <t>Cc1cc(NCc2ccccn2)ccc1C(C)(C)N(C)Cc1ccccn1 7.76149 0.38461538461538464</t>
  </si>
  <si>
    <t>Cc1ccnc(CN(C)C2CCCCC2N(C)c2ccc3c(CF)ccnc3c2)c1C 7.7614875 0.3442622950819672</t>
  </si>
  <si>
    <t>CN(C1=CCC=CN1)C1CCCCC1N(C)c1cccc2ncccc12 7.7614865 0.46296296296296297</t>
  </si>
  <si>
    <t>CN(C)Cc1nccc2cc(N(C)C3CCCC(N(Cc4ccccn4)Cc4cccc(CF)n4)C3)ccc12 7.7614837 0.34328358208955223</t>
  </si>
  <si>
    <t>CN(Cc1ccc2c(n1)CCC2)C1CCC(N(C)c2ccc3nc4c(cc3c2)CCC4)CC1 7.7614813 0.36507936507936506</t>
  </si>
  <si>
    <t>CNCc1nc(C)c(C)cc1C 7.76148 0.18604651162790697</t>
  </si>
  <si>
    <t>Cc1cc(C)c(CN(C)Cc2cccc(N(C)C(C)C)n2)cn1 7.7614794 0.425531914893617</t>
  </si>
  <si>
    <t>Cc1cc(C)c(C)c(CN(C)CC2=CC(N(C)Cc3nc(C)c(C)c(C)c3C)C=CN2)c1 7.7614765 0.2923076923076923</t>
  </si>
  <si>
    <t>CN1CCN(C)CCN(Cc2ncccc2-c2ccc3cccnc3c2)CC1 7.761474 0.4375</t>
  </si>
  <si>
    <t>Cc1ccc(NCc2ccccn2)c(CNCc2ccccn2)c1C 7.761472 0.48717948717948717</t>
  </si>
  <si>
    <t>Cc1ccc(C)c(CN(C)C2CCCC(N(C)c3ccc4ccc(CF)nc4c3)C2)n1 7.761469 0.3333333333333333</t>
  </si>
  <si>
    <t>Cc1cccnc1CN(C)C1CCCC(N(C)c2cccc3nccc(CF)c23)C1 7.761462 0.30303030303030304</t>
  </si>
  <si>
    <t>CC(C)C1=CC2(C=CN1)C(c1ncccc1CN(Cc1ccccn1)Cc1ccccn1)=CC(C)(C)CC2c1ncccc1CN(Cc1ccccn1)C(C)C 7.7614613 0.3333333333333333</t>
  </si>
  <si>
    <t>Cc1cnc(CN(C)C2C=CNC(CN(C)Cc3nc(C)c(C)cc3C)=C2)c(C)c1 7.761457 0.296875</t>
  </si>
  <si>
    <t>Cc1ncccc1CN(C)C1CCCC(N(C)c2ccc3ccc(CN(C)C)nc3c2)C1 7.761457 0.30158730158730157</t>
  </si>
  <si>
    <t>CCN(CC1=CCC(N(C)Cc2nc(C)cc(C)c2C)=CN1)Cc1ccccn1 7.7614565 0.40625</t>
  </si>
  <si>
    <t>Cc1cc(CN(C)C2CCCCC2N(C)c2ccc3cccnc3c2)ccc1NCc1ccccn1 7.761456 0.4444444444444444</t>
  </si>
  <si>
    <t>Cc1cc(CN(C)C2CCCCC2N(C)c2ccc3ccc(CF)nc3c2)c(C)nc1C 7.761453 0.4576271186440678</t>
  </si>
  <si>
    <t>CC(C)c1ncccc1CN(Cc1ccccn1)C1CCCCC1N(C)c1cccc2ncc(CN(C)C)cc12 7.7614484 0.3880597014925373</t>
  </si>
  <si>
    <t>Cc1ccccc1CN(C)CCN(C)Cc1ccc2ncccc2c1 7.761447 0.5</t>
  </si>
  <si>
    <t>COCc1cc(C2=NC(c3cc(CN4CCN(C)CCN(Cc5cc(C(C)(c6ccccn6)c6ccccn6)ccn5)CC4)ccn3)CO2)ccn1 7.761447 0.35135135135135137</t>
  </si>
  <si>
    <t>Cc1cccnc1CN(Cc1cccnc1F)Cc1nccc(C)c1C 7.7614446 0.30612244897959184</t>
  </si>
  <si>
    <t>Cc1cnc(CN(C)Cc2ccc(N(C)C(C)C)cn2)cc1C 7.7614436 0.4634146341463415</t>
  </si>
  <si>
    <t>CC1=CC(C)C2(CC1C)C(c1ccc(CN(Cc3ccccn3)Cc3ccc(-c4cccc(N(C)C)c4)cn3)cn1)C(c1cc(CN(Cc3ccccn3)Cc3ccccn3)ccn1)C=CC21C(C)C=CC(C)C1C 7.7614374 0.25742574257425743</t>
  </si>
  <si>
    <t>Cc1ccnc(CN(Cc2ccccn2)Cc2cccnc2CN(C)C)c1C 7.7614365 0.47619047619047616</t>
  </si>
  <si>
    <t>CC(C)(C)c1ccnc(CN(Cc2ccnc(C3OC=NC3(C)C)c2)Cc2ccccn2)c1 7.7614326 0.37037037037037035</t>
  </si>
  <si>
    <t>Cc1cc(C)nc(CN(C)Cc2ccnc(C)c2)c1 7.7614317 0.4</t>
  </si>
  <si>
    <t>CN(CCCN(C)c1cccc2nccc(CF)c12)CC(C)(C)C 7.7614307 0.37735849056603776</t>
  </si>
  <si>
    <t>COC(=O)C1CN(C)C(c2cc(CN(Cc3ccccn3)Cc3ccccn3)ccn2)C(c2ccccn2)C1c1ccccn1 7.7614284 0.35714285714285715</t>
  </si>
  <si>
    <t>Cc1cnc(CN(Cc2cccnc2F)Cc2ncccc2C)c(C)c1 7.7614183 0.29411764705882354</t>
  </si>
  <si>
    <t>Cc1cc(C)c(C)c(CN(C)C2CCCCC2N(C)c2ccc3cccnc3c2)n1 7.7614164 0.4067796610169492</t>
  </si>
  <si>
    <t>Cc1cccc(C)c1CN(C)C1CCCCC1N(C)c1ccc2nccc(C)c2c1 7.761416 0.4</t>
  </si>
  <si>
    <t>CNC1C(N(Cc2nc(C)c(C)c(C)c2C)Cc2nc(C)c(C)c(C)c2C)CCC(NCc2nc(C)cc(C)c2C)C1N(Cc1nc(C)c(C)c(C)c1C)Cc1nc(C)c(C)c(C)c1C 7.761415 0.2028985507246377</t>
  </si>
  <si>
    <t>CN(Cc1ccon1)C1CCC(N(C)c2ccc3cccnc3c2)CC1 7.7614136 0.3584905660377358</t>
  </si>
  <si>
    <t>CNC1CCC(NCc2ncc(C)c(C)c2C)C(N(Cc2nc(C)c(C)c(C)c2C)Cc2nc(C)c(C)c(C)c2C)C1N(Cc1nc(C)c(C)c(C)c1C)Cc1nc(C)c(C)c(C)c1C 7.761413 0.2222222222222222</t>
  </si>
  <si>
    <t>CN(C)Cc1ccnc2cc(N(C)C3CCCC(N(C)Cc4cccnn4)C3)ccc12 7.7614098 0.3448275862068966</t>
  </si>
  <si>
    <t>Cc1cccnc1CN(C)C1CCCCC1N(C)c1ccc2c(CN(C)C)ccnc2c1 7.7614083 0.3898305084745763</t>
  </si>
  <si>
    <t>COC(=O)C(C)NCc1nccc(CN(Cc2ccccn2)Cc2ncc(C)c(C)c2C)c1C 7.7613983 0.3508771929824561</t>
  </si>
  <si>
    <t>Cc1cncc(CN(C)Cc2cccc(-c3cccc(N(C)C4CCC(N(Cc5cccc(C)n5)Cc5nccc(C)c5C)CC4)c3)n2)c1 7.7613883 0.3055555555555556</t>
  </si>
  <si>
    <t>CNCN(Cc1ncc(C)c(C)c1C)Cc1nc(C)c(C)c(C)c1C 7.7613883 0.23214285714285715</t>
  </si>
  <si>
    <t>CNCc1ncc(CN(Cc2ccccn2)C2CCC(N(C)c3cccc4nccc(CF)c34)CC2)cc1C 7.7613807 0.2894736842105263</t>
  </si>
  <si>
    <t>CC(C)C1=CC2(C=CN1)C=CC(c1cccc(CN(Cc3ccccn3)Cc3cccc(-c4ccc5c(c4)OCCOCCOCCOCCOCCO5)n3)n1)C(c1cccc(CN(Cc3ccccn3)C3CCC(N(C)c4ccc5nc(-c6ccc7ncccc7c6)ccc5c4)CC3)n1)C2(C)C 7.7613792 0.27927927927927926</t>
  </si>
  <si>
    <t>Cc1ccc2ccc(N(C)C3CCC(N(Cc4ccccn4)Cc4cccc(F)n4)CC3)cc2n1 7.761379 0.3770491803278688</t>
  </si>
  <si>
    <t>Cc1cccnc1CN(C)C1=C(C(C)N)NC=CC1 7.7613764 0.2786885245901639</t>
  </si>
  <si>
    <t>CC(N)C1=CCC(N(C)Cc2ncccc2N)=CN1 7.7613745 0.26785714285714285</t>
  </si>
  <si>
    <t>CN(CC1=CCC(N(Cc2ccc(F)nc2)Cc2ccccn2)=CN1)C(C)(C)c1ccccn1 7.7613716 0.32857142857142857</t>
  </si>
  <si>
    <t>CCNc1cc(C(C)(C)c2ccccn2)ccn1 7.7613544 0.5</t>
  </si>
  <si>
    <t>CN1CCN(C)CCN(Cc2ncccc2-c2cccc3cccnc23)CC1 7.761352 0.4772727272727273</t>
  </si>
  <si>
    <t>CNC1C(N(Cc2nc(C)c(C)c(C)c2C)Cc2nc(C)c(C)c(C)c2C)CCC(NCc2cc(C)c(C)c(C)n2)C1N(Cc1nc(C)c(C)c(C)c1C)Cc1nc(C)c(C)c(C)c1C 7.7613506 0.20588235294117646</t>
  </si>
  <si>
    <t>Cc1cccc(CN(C)CCN(C)Cc2ccc3ncccc3c2)c1 7.761349 0.45652173913043476</t>
  </si>
  <si>
    <t>CC(C)(C)c1ccnc(CN(Cc2ccnc(C(C)(C)C)c2)Cc2cc(C(C)(C)C)ccn2)c1 7.7613435 0.34146341463414637</t>
  </si>
  <si>
    <t>CC(C)C(C)N(C)Cc1cccc(-c2ccc(Cl)c(N)c2)n1 7.761343 0.3442622950819672</t>
  </si>
  <si>
    <t>CN(Cc1cccnn1)C1=CC=CNC1N(C)Cc1cccnn1 7.7613387 0.4444444444444444</t>
  </si>
  <si>
    <t>C1=CNC(NCc2ccccn2)C(N(Cc2ccccn2)Cc2ccccn2)=C1 7.7613306 0.4423076923076923</t>
  </si>
  <si>
    <t>Cc1cnc(CN(C)Cc2cc(C(C)(C)C)ccn2)cc1C 7.76133 0.3953488372093023</t>
  </si>
  <si>
    <t>Cc1cccc(CN(C)c2ccc(CN(C)C(C)(C)C)nc2)n1 7.761329 0.46511627906976744</t>
  </si>
  <si>
    <t>Cc1cncc(CN(C)C2CCCC(N(C)c3cccc4ncc(CN(C)C)cc34)C2)c1 7.761324 0.2727272727272727</t>
  </si>
  <si>
    <t>CN(CC1=C(N(C)Cc2cccnn2)CC=CN1)Cc1ccccn1 7.7613225 0.48</t>
  </si>
  <si>
    <t>Cc1cc(C)c(CN(C)Cc2cccc(N)n2)cn1 7.761316 0.4318181818181818</t>
  </si>
  <si>
    <t>CNC1C(NCc2cc(C)c([SiH3])c([SiH3])n2)CC(N(Cc2nc(C)c(C)c(C)c2[SiH3])Cc2nc(C)c(C)c(C)c2[SiH3])CC1N(Cc1nc(C)c([SiH3])c([SiH3])c1C)Cc1nc(C)c(C)c(C)c1[SiH3] 7.761311 0.16666666666666666</t>
  </si>
  <si>
    <t>CN(c1cccc2nccc(CF)c12)C1CCC(N(Cc2ccnc(F)c2)Cc2ccccn2)CC1 7.76131 0.3283582089552239</t>
  </si>
  <si>
    <t>CCN(Cc1ccccn1)C1=CCC=C(CN(C)Cc2cccc(C)n2)N1 7.761308 0.44642857142857145</t>
  </si>
  <si>
    <t>Cc1cncc(CN(Cc2ccccn2)C2CCC(N(C)c3ccc4ccc(CF)nc4c3)CC2)c1C 7.761307 0.34328358208955223</t>
  </si>
  <si>
    <t>CNC1CCC(N(Cc2nc(C)c(C)c(C)c2C)Cc2nc(C)c(C)c(C)c2C)C(NCc2nc(C)c(C)cc2C)C1N(Cc1nc(C)c(C)c(C)c1C)Cc1nc(C)c(C)c(C)c1C 7.761305 0.19402985074626866</t>
  </si>
  <si>
    <t>Cc1ccnc(CN(Cc2nc3ccccc3n2C2CN=CC=C2CN(Cc2cc(C)ccn2)C2CCCCC2N(C)c2ccc3nc(CF)ccc3c2)CC2CCCN2Cc2cc(C)ccn2)c1 7.7613006 0.3177570093457944</t>
  </si>
  <si>
    <t>CNC1CC(N(Cc2nc(C)c(C)cc2C)Cc2nc(C)c(C)c(C)c2C)CC(N(Cc2nc(C)c(C)c(C)c2C)Cc2nc(C)c(C)c(C)c2C)C1 7.761293 0.18333333333333332</t>
  </si>
  <si>
    <t>CNc1cccc(CN(Cc2ccccn2)C2CCCCC2N(C)c2cccc3nc(CF)ccc23)n1 7.7612886 0.45454545454545453</t>
  </si>
  <si>
    <t>Cc1cnc(CN(Cc2ccccn2)Cc2cccnc2CN(C)C)c(C)c1 7.7612877 0.4444444444444444</t>
  </si>
  <si>
    <t>CC1=CC2(CC(C)C1)C(C)=CC(c1cc(CN(Cc3ccccn3)Cc3cc(-c4ccccc4N(C)C)ccn3)ccn1)CC21CC(C)=CC(C)C1C 7.7612796 0.2619047619047619</t>
  </si>
  <si>
    <t>CC(C)(c1ccccc1)c1cccc(NCc2ccccn2)c1 7.7612777 0.4146341463414634</t>
  </si>
  <si>
    <t>FCc1cc(NCc2ccccn2)ccn1 7.7612724 0.4722222222222222</t>
  </si>
  <si>
    <t>COC(=O)C1CN(C)C(c2ccc(CN(Cc3ccccn3)Cc3ccccn3)cn2)C(c2ccccn2)C1c1ccccn1 7.7612715 0.3448275862068966</t>
  </si>
  <si>
    <t>CC(C)C(C)N(C)Cc1cccc(-c2cc(N)ccc2Cl)n1 7.7612705 0.32727272727272727</t>
  </si>
  <si>
    <t>CN(C)CC1=CCC(N(C)Cc2cccnn2)=CN1 7.761268 0.4444444444444444</t>
  </si>
  <si>
    <t>Cc1cc(C)c(CN(C)C2CCCC(N(C)c3ccc4ccc(CF)nc4c3)C2)cn1 7.761268 0.3235294117647059</t>
  </si>
  <si>
    <t>Cc1cccc(CN(C)c2ccnc(CN(C)C(C)C)c2)n1 7.7612677 0.4444444444444444</t>
  </si>
  <si>
    <t>Cc1cccc(C(C)(C)C)c1NCc1ccccn1 7.761264 0.425</t>
  </si>
  <si>
    <t>CCCN(Cc1ccccn1)Cc1ncccc1C(C)(c1ccccn1)c1ccccn1 7.7612586 0.4791666666666667</t>
  </si>
  <si>
    <t>CC(C)c1cccc(CN(Cc2ccccn2)C2CCC(N(C)c3ccc4nc(CN(C)C)ccc4c3)CC2)n1 7.7612576 0.3870967741935484</t>
  </si>
  <si>
    <t>CNC1C(NCc2cc(C)c(C)c(C)n2)CCC(N(Cc2nc(C)c(C)c(C)c2C)Cc2nc(C)c(C)c(C)c2C)C1N(Cc1nc(C)c(C)c(C)c1C)Cc1nc(C)c(C)c(C)c1C 7.761257 0.20588235294117646</t>
  </si>
  <si>
    <t>COC(=O)C1CN(C)C(c2ncccc2CN(Cc2ccccn2)Cc2ccccn2)C(c2ccccn2)C1c1ccccn1 7.761257 0.3508771929824561</t>
  </si>
  <si>
    <t>CCN(Cc1ccccn1)c1ncccc1CN(Cc1ccccn1)Cc1ncccc1F 7.761257 0.45454545454545453</t>
  </si>
  <si>
    <t>CN(Cc1ccccn1)C1=CNC=C(CNCc2ccccn2)C1 7.7612543 0.4318181818181818</t>
  </si>
  <si>
    <t>CCNCc1cc(CN(Cc2cc(C)ccn2)C2CCC(N(C)Cc3ncccc3-c3ccc4ncccc4c3)CC2)ccn1 7.761254 0.24358974358974358</t>
  </si>
  <si>
    <t>CN(c1ccccc1F)C1CCC(N(C)c2cccc3nc4c(cc23)CCCC4)CC1 7.761251 0.45614035087719296</t>
  </si>
  <si>
    <t>Cc1cnc(C)c(CN(Cc2ccccn2)C2CCC(N(C)c3ccc4nc(CF)ccc4c3)CC2)c1 7.7612495 0.34328358208955223</t>
  </si>
  <si>
    <t>Cc1cnc(CN(C)Cc2ncccc2N(C)C(C)C)c(C)c1 7.7612495 0.34</t>
  </si>
  <si>
    <t>CNC1C(NCc2ccc(C)c(C)n2)CC(N(Cc2nc(C)c(C)c(C)c2C)Cc2nc(C)c(C)c(C)c2C)CC1N(Cc1nc(C)c(C)c(C)c1C)Cc1nc(C)c(C)c(C)c1C 7.7612457 0.20588235294117646</t>
  </si>
  <si>
    <t>CCCN(C)Cc1cccc(C(C)(c2ccccn2)c2ccccn2)n1 7.761237 0.5</t>
  </si>
  <si>
    <t>CC(C)N(Cc1ccccn1)Cc1ccnc(C2CCC2(C)C)c1CN(Cc1ccccn1)Cc1cccc(C(C)(c2ccccn2)c2ccccn2)n1 7.7612367 0.3582089552238806</t>
  </si>
  <si>
    <t>Cc1cc(CN(C)c2ccc3nccc(CN(C)Cc4cc(-c5ccc6c(c5)OCCOCCOCCOCCOCCO6)ccn4)c3c2)cnc1C 7.761231 0.30952380952380953</t>
  </si>
  <si>
    <t>CN(Cc1ccon1)C1CCC(N(C)c2ccc3ncccc3c2)CC1 7.7612305 0.36538461538461536</t>
  </si>
  <si>
    <t>CNC1C(N(C)Cc2nc(C)c(C)c(C)c2C)CC(NCc2ccccn2)C(N(Cc2nc(C)c(C)c(C)c2C)Cc2nc(C)c(C)c(C)c2C)C1N(Cc1nc(C)c(C)c(C)c1C)Cc1nc(C)c(C)c(C)c1C 7.7612305 0.359375</t>
  </si>
  <si>
    <t>Cc1cnc(CN(Cc2ccc(C(C)(C)C)cn2)C(C)C)c(C)c1C 7.761228 0.3541666666666667</t>
  </si>
  <si>
    <t>CCN(Cc1ccccn1)C1=C(C(C)(C)C)CC(C)(C)C=C1c1ccccc1C(C)C 7.761225 0.3333333333333333</t>
  </si>
  <si>
    <t>CC(C)C(C)CN(CCN(C)c1ccc2ncc(CN(C)C)cc2c1)Cc1ccccn1 7.7612224 0.42105263157894735</t>
  </si>
  <si>
    <t>CN(Cc1cccc(N)n1)C1=CNC(CN(C)C(C)(C)c2ccccn2)=CC1 7.761219 0.3333333333333333</t>
  </si>
  <si>
    <t>CC(C)c1cccc(C2=NC(C(C)C)CO2)n1 7.7612143 0.3333333333333333</t>
  </si>
  <si>
    <t>CNC1C(N(Cc2ccccn2)Cc2ncccc2C)CCCC1N(Cc1ncccc1C)c1ccc2nc(CF)ccc2c1 7.7612114 0.34285714285714286</t>
  </si>
  <si>
    <t>Cc1cccnc1CN(C)C1CCCC(N(C)c2cccc3c(CF)ccnc23)C1 7.761211 0.36507936507936506</t>
  </si>
  <si>
    <t>C=Cc1ccc(CN(Cc2ccccn2)Cc2cccc(C(C)(C)C)n2)nc1 7.7612104 0.49056603773584906</t>
  </si>
  <si>
    <t>CC(C)N(C)Cc1ncccc1N(C)C1CCCC(N(C)c2ccc3c(CF)ccnc3c2)C1 7.7612085 0.28169014084507044</t>
  </si>
  <si>
    <t>Cc1cc(C)c(CN(Cc2ccccn2)Cc2nc(C)ccc2C)cn1 7.761199 0.46511627906976744</t>
  </si>
  <si>
    <t>Cc1cc(C)c(CN(C)C2CCCCC2N(C)c2ccc3nccc(CF)c3c2)cn1 7.761198 0.3492063492063492</t>
  </si>
  <si>
    <t>Cc1ccnc(CN(Cc2ccnc(CN(Cc3cc(C)c(C)c(C)n3)C(C)C)c2)Cc2cc(C)ccn2)c1 7.761191 0.33962264150943394</t>
  </si>
  <si>
    <t>CNCC1=C(N(C)Cc2nc(C)ccc2C)CC=CN1 7.7611904 0.23636363636363636</t>
  </si>
  <si>
    <t>CC1OC(c2cccc(C3CCC3(C)C)n2)=NC1C(C)(C)c1ccccn1 7.7611885 0.29411764705882354</t>
  </si>
  <si>
    <t>CC(C)C1=CC2(C=CN1)C(c1cccc(CN(Cc3ccccn3)Cc3ccccn3)n1)=CCC(C)(C)C2c1cccc(CN(Cc2ccccn2)Cc2ccccn2)n1 7.761186 0.3698630136986301</t>
  </si>
  <si>
    <t>CNC1CCC(NCc2nc(C)cc(C)c2C)C(N(Cc2nc(C)c(C)c(C)c2C)Cc2nc(C)c(C)c(C)c2C)C1N(Cc1nc(C)c(C)c(C)c1C)Cc1nc(C)c(C)c(C)c1C 7.761183 0.2</t>
  </si>
  <si>
    <t>Cc1ccnc(CN(Cc2cccnc2F)Cc2ncccc2C(C)(C)C)c1C 7.761183 0.2777777777777778</t>
  </si>
  <si>
    <t>Cc1cnc(C)c(C)c1CN(C)Cc1ccc2cccc(N(C)Cc3cccc(-c4ccc5c(c4)OCCOCCOCCOCCOCCO5)n3)c2n1 7.761182 0.30666666666666664</t>
  </si>
  <si>
    <t>CC(C)C1=CC2(C=CN1)C=CC(c1cccc(CN(Cc3ccccn3)Cc3ccccn3)n1)C(c1cccc(CN(Cc3ccccn3)Cc3ccccn3)n1)C2c1ccccn1 7.7611794 0.3448275862068966</t>
  </si>
  <si>
    <t>CC1=CC2=CNC(C(C)C)=CC2C(C)(C)C1c1ncccc1CN(Cc1ccccn1)Cc1ccccn1 7.7611775 0.3448275862068966</t>
  </si>
  <si>
    <t>CC(c1ccccc1)c1cccc(CNC2NC=CC=C2N(Cc2ccccn2)Cc2ccccn2)n1 7.7611685 0.3442622950819672</t>
  </si>
  <si>
    <t>Cc1cc(N)c(C)c(CN(C)Cc2ccccn2)c1C 7.7611647 0.4782608695652174</t>
  </si>
  <si>
    <t>CC(C)C1=CC2(C=CN1)C(c1cc(CN(Cc3ccccn3)Cc3ccccn3)ccn1)=CC(C)(C)CC2c1ccc(CN(Cc2ccccn2)C(C)C)cn1 7.7611604 0.3157894736842105</t>
  </si>
  <si>
    <t>CC(C)N(C)C1=CCC=C(N(C)Cc2ccccn2)N1 7.761158 0.5</t>
  </si>
  <si>
    <t>C=CCN(C)CC1=C(N(C)C(c2ccccc2)c2ccccn2)CC=CN1 7.761157 0.3870967741935484</t>
  </si>
  <si>
    <t>Cc1cccnc1CN(C)C1CCCC(N(Cc2ccccn2)c2ccc3nc(CF)ccc3c2)C1 7.761153 0.36363636363636365</t>
  </si>
  <si>
    <t>CN(Cc1ccc2c(n1)CCC2)C1CCC(N(C)c2ccc3cc4c(nc3c2)CCC4)CC1 7.761146 0.3709677419354839</t>
  </si>
  <si>
    <t>CNC1CCC(NCc2cc(C)c(C)c(C)n2)C(N(Cc2nc(C)c(C)c(C)c2C)Cc2nc(C)c(C)c(C)c2C)C1N(Cc1nc(C)c(C)c(C)c1C)Cc1nc(C)c(C)c(C)c1C 7.761138 0.203125</t>
  </si>
  <si>
    <t>Cc1ccc(CN(Cc2ccccn2)C2CCC(N(C)c3ccc4c(CF)ccnc4c3)CC2)nc1 7.7611322 0.35384615384615387</t>
  </si>
  <si>
    <t>CCCNCc1ccc(C)c(N(C)Cc2ccccn2)c1C 7.7611246 0.41304347826086957</t>
  </si>
  <si>
    <t>Cc1cc(C)c(CN(Cc2ccccn2)Cc2cc(CN(Cc3ccccn3)Cc3ccccn3)cnc2C2CC(C)(C)C2)nc1C 7.7611227 0.35714285714285715</t>
  </si>
  <si>
    <t>CN(C)Cc1ncccc1N(C)C1C=CC=CN1 7.761111 0.37735849056603776</t>
  </si>
  <si>
    <t>Cc1cccnc1CN(C)C1CCCC(N(C)c2ccc3c(CF)ccnc3c2)C1 7.7611094 0.2727272727272727</t>
  </si>
  <si>
    <t>CN(C1=CCC=CN1)C1CCCCC1N(C)c1ccc2nccc(CF)c2c1 7.761109 0.3235294117647059</t>
  </si>
  <si>
    <t>Cc1ccnc(CN(C)Cc2cncc(CN(C)C)c2)c1C 7.7610974 0.2708333333333333</t>
  </si>
  <si>
    <t>CC1=C(N(C)Cc2ccccn2)CCC(C)C1c1cccc(CN(Cc2ccccn2)C2CCC(N(C)c3ccc4ncccc4c3)CC2)n1 7.761085 0.3150684931506849</t>
  </si>
  <si>
    <t>Cc1cncc(CN(C)C2=C(CN(C)Cc3ccccn3)NC=CC2)c1 7.7610765 0.36065573770491804</t>
  </si>
  <si>
    <t>CCN(CC1=CCC(N(C)Cc2ncccc2C)=CN1)Cc1ncc(C)c(C)c1C 7.7610755 0.29411764705882354</t>
  </si>
  <si>
    <t>CN(C)c1cccc(-c2cccc(CN(Cc3cccc(-c4ccc5c(c4)OCCOCCOCCOCCOCCO5)n3)Cc3ccc4ccccc4n3)n2)c1 7.761073 0.4107142857142857</t>
  </si>
  <si>
    <t>CCN(Cc1ccccn1)Cc1ccc2cccc(N(C)CC3=CC(C)C(C)CC3C)c2n1 7.761066 0.39344262295081966</t>
  </si>
  <si>
    <t>CCN(CC1=CCC=C(N(C)Cc2ncccc2C)N1)Cc1ccccn1 7.7610645 0.4406779661016949</t>
  </si>
  <si>
    <t>CC(C)C(C)N(C)CCN(C)c1ccc2nc(CN(C)C)ccc2c1 7.7610574 0.32608695652173914</t>
  </si>
  <si>
    <t>CCOC(C)c1cccc(CN(Cc2ccccn2)Cc2cc(C(C)(C)c3ccccn3)ccn2)n1 7.7610564 0.3880597014925373</t>
  </si>
  <si>
    <t>Cc1cnc(CN(C)CC2=CC(N(C)Cc3nc(C)c(C)c(C)c3C)C=CN2)c(C)c1 7.761052 0.2878787878787879</t>
  </si>
  <si>
    <t>CN(c1ccc2nc(C3C=CC=CN3)ccc2c1)C1CCCCC1N(Cc1ccccn1)Cc1cccc(C(C)(C)C)n1 7.7610483 0.3561643835616438</t>
  </si>
  <si>
    <t>Cc1nc(CN(C)C2CCCC(N(Cc3ccccn3)Cc3cccnc3-c3cccc(N(Cc4ccccn4)C(C)C)c3)C2)c(C)c(C)c1C 7.761044 0.3157894736842105</t>
  </si>
  <si>
    <t>CN(c1cccc(CN(Cc2ccccn2)C2C=CC=CN2)n1)C(C)(C)c1cccnc1 7.761036 0.3939393939393939</t>
  </si>
  <si>
    <t>Cc1ccc(CN(Cc2ccccn2)C2CCC(N(C)c3cccc4ccc(CF)nc34)CC2)nc1C 7.761031 0.5</t>
  </si>
  <si>
    <t>CCN(CC1=CCC(N(C)Cc2cc(C)ccn2)=CN1)Cc1cc(C)c(C)c(C)n1 7.7610297 0.2898550724637681</t>
  </si>
  <si>
    <t>CNC1C(N(Cc2nc(C)c(C)c(C)c2C)Cc2nc(C)c(C)c(C)c2C)CCC(NCc2nc(C)c(C)cc2C)C1N(Cc1nc(C)c(C)c(C)c1C)Cc1nc(C)c(C)c(C)c1C 7.7610245 0.19402985074626866</t>
  </si>
  <si>
    <t>Cc1ccnc(CN(C)C2=C(CN(Cc3ccccn3)C(C)C)NC=CC2)c1C 7.76102 0.42857142857142855</t>
  </si>
  <si>
    <t>CN1CCN(C)CCN(Cc2cnccc2N(O)c2ccc3cccnc3c2)CC1 7.76102 0.4</t>
  </si>
  <si>
    <t>CC(C)N(C)Cc1ccc(N(C)C2CCCC(N(C)c3cccc4nccc(CF)c34)C2)cn1 7.761016 0.3055555555555556</t>
  </si>
  <si>
    <t>Cc1cc(CN(C)C2CCCCC2N(C)c2ccc3ncccc3c2)nc(C)c1C 7.761016 0.45454545454545453</t>
  </si>
  <si>
    <t>CN(CC1C(N(C)Cc2ccccn2)CCN1C)c1ccc2cccnc2c1 7.761014 0.45614035087719296</t>
  </si>
  <si>
    <t>Cc1cnc(CN(C)Cc2ncccc2C(C)(C)C)c(C)c1C 7.7610087 0.3076923076923077</t>
  </si>
  <si>
    <t>Cc1cc(C)c(C)cn1 7.761005 0.24242424242424243</t>
  </si>
  <si>
    <t>Nc1ccc(CN(Cc2ccc(N)cn2)Cc2cccc(F)n2)nc1 7.761003 0.42</t>
  </si>
  <si>
    <t>CC(C)[Si](c1cncc(CN2CC(C3c4ccccc4CN3Cc3cccc([Si](C(C)C)(C(C)C)C(C)C)n3)=C3C=CC=CC32)c1)(C(C)C)C(C)C 7.761002 0.38461538461538464</t>
  </si>
  <si>
    <t>CN(Cc1ccccn1)C1=CNC=CC1CN(C)C(C)(c1cccnc1)c1ccccn1 7.7610016 0.3492063492063492</t>
  </si>
  <si>
    <t>CC(C)c1cccc(CN(Cc2ccccn2)C2CCC(N(C)c3ccc4nccc(CF)c4c3)CC2)n1 7.760997 0.3333333333333333</t>
  </si>
  <si>
    <t>CC(C)C(C)(c1ccccn1)N(Cc1ccccn1)C1CCC(N(C)Cc2cc(-c3ccc4ncccc4c3)ccn2)CC1 7.7609963 0.3582089552238806</t>
  </si>
  <si>
    <t>Cc1cccc(CN(Cc2ncccc2C(C)N)C2CCC(N(C)c3ccc4nc(CF)ccc4c3)CC2)n1 7.7609954 0.3235294117647059</t>
  </si>
  <si>
    <t>Cc1cccc(CN(C)C2CCC(N(C)c3ccc4nccc(C)c4c3)CC2)c1C 7.760994 0.25806451612903225</t>
  </si>
  <si>
    <t>CN(CC1=C(N(C)Cc2ccccn2)CC=CN1)Cc1cccnn1 7.7609897 0.48</t>
  </si>
  <si>
    <t>Cc1ccc(CN(Cc2ccccn2)C2CCC(N(C)c3ccc4nc(CN(C)C)ccc4c3)CC2)nc1 7.760985 0.4</t>
  </si>
  <si>
    <t>Cc1cc(C)c(C)c(CN(C)CC2=CC(N(C)Cc3nc(C)cc(C)c3C)C=CN2)n1 7.760984 0.3333333333333333</t>
  </si>
  <si>
    <t>CN(Cc1ccccn1)c1cccc(CN(Cc2ccccn2)Cc2cccc(C3CC(C)(C)C3)n2)c1 7.7609787 0.41379310344827586</t>
  </si>
  <si>
    <t>COC(C)c1cc(CN(Cc2ccccn2)C2CCC(N(C)c3ccc4nccc(CN(C)C)c4c3)CC2)ccn1 7.7609787 0.3013698630136986</t>
  </si>
  <si>
    <t>CC1=C(NCc2ccccn2)C=CNC1 7.760975 0.4146341463414634</t>
  </si>
  <si>
    <t>Cc1ccc(CN(Cc2ccccn2)C2CCC(N(C)c3ccc4nc(CF)ccc4c3)CC2)nc1C 7.760975 0.3870967741935484</t>
  </si>
  <si>
    <t>CC1C=CC(C)C(C)(C)C1N(C)Cc1cc(-c2cccc(N=Cc3ccccn3)c2)ccn1 7.760972 0.31343283582089554</t>
  </si>
  <si>
    <t>Cc1cc(C)c(C)c(CN(C)C2CCCC(N(Cc3ccccn3)Cc3ccncc3-c3cccc(N(C)C)c3)C2)n1 7.7609706 0.32</t>
  </si>
  <si>
    <t>CN(C)Cc1cnc2cc(N(C)C3CCCC(N(Cc4ccccn4)Cc4cccnn4)C3)ccc2c1 7.76097 0.3870967741935484</t>
  </si>
  <si>
    <t>CN1CCN(C)CCN(Cc2cccnc2N(C)c2ccc3c(CF)ccnc3c2)CC1 7.7609677 0.4</t>
  </si>
  <si>
    <t>CCN(Cc1ccccn1)Cc1cccc(C2=NC(C)C(C)O2)n1 7.7609673 0.47058823529411764</t>
  </si>
  <si>
    <t>Cc1cccnc1CN(C)C1CCCC(N(C)c2ccc3nccc(CF)c3c2)C1 7.7609625 0.26865671641791045</t>
  </si>
  <si>
    <t>CC(N)c1ccc(N(C)C)cc1 7.760961 0.175</t>
  </si>
  <si>
    <t>CN(CCN(C)Cc1ccccn1)Cc1ccc2ncccc2c1 7.7609572 0.5</t>
  </si>
  <si>
    <t>Cc1ccc(N2CCN(C)CCN(Cc3ccc(-c4cccc(N=Cc5ccccn5)c4)cn3)CC2)cc1 7.7609525 0.4126984126984127</t>
  </si>
  <si>
    <t>COC(=O)C1CN(C)C(c2ccccn2)C(c2ncccc2CN(Cc2ccccn2)Cc2ccccn2)C1c1ccccn1 7.7609515 0.3448275862068966</t>
  </si>
  <si>
    <t>CN(CC1=CNC(N(C)Cc2ccccn2)=CC1)Cc1ccccn1 7.7609496 0.4489795918367347</t>
  </si>
  <si>
    <t>Cc1cc(CN(C)Cc2cc(N)ccn2)cnc1C 7.7609463 0.3191489361702128</t>
  </si>
  <si>
    <t>C(=Nc1cccc(-c2ccc(CN(CCc3ccc(CCN(Cc4ccccn4)Cc4ccccn4)c(CCN(Cc4ccccn4)Cc4ccccn4)c3)Cc3ccccn3)nc2)c1)c1ccccn1 7.7609386 0.328125</t>
  </si>
  <si>
    <t>Cc1cc(CN(C)CCN(C)Cc2nc(C)c(C)c(C)c2C)nc(C)c1C 7.760937 0.38095238095238093</t>
  </si>
  <si>
    <t>CCN(Cc1ccccn1)c1ccc(-c2ccccn2)cc1-c1cc(CN(Cc2ccccn2)Cc2ncccc2-c2ccc3c(c2)OCCOCCOCCOCCOCCO3)ccn1 7.7609353 0.30952380952380953</t>
  </si>
  <si>
    <t>CN1CCN(C)CCN(Cc2ncccc2-c2ccc3ncccc3c2)CC1 7.7609315 0.4375</t>
  </si>
  <si>
    <t>CNC1CCCCC1N(c1nc(C)c(C)c(C)c1C)c1nc(C)c(C)c(C)c1C 7.7609262 0.26</t>
  </si>
  <si>
    <t>CC(C)c1cccc(CN(Cc2ccccn2)C2CCC(N(C)c3ccc4cc(CN(C)C)cnc4c3)CC2)n1 7.7609186 0.3283582089552239</t>
  </si>
  <si>
    <t>Cc1cccnc1CN(C)C1=C(CN(Cc2ncccc2C)C(C)C)NC=CC1 7.760915 0.3333333333333333</t>
  </si>
  <si>
    <t>Cc1ccc(CN(Cc2ccccn2)C2CCC(N(C)c3ccc4nccc(CF)c4c3)CC2)nc1 7.7609115 0.3484848484848485</t>
  </si>
  <si>
    <t>CN(CCN(C)c1ccc2c(CF)ccnc2c1)CNCF 7.760906 0.24561403508771928</t>
  </si>
  <si>
    <t>CC1=C(NCc2ccccn2)C(CN(Cc2ccccn2)C(C)(N)N(Cc2ncccc2C)C(C)C)c2cccnc2C1 7.7609057 0.2916666666666667</t>
  </si>
  <si>
    <t>CN(C)Cc1ccnc2cc(N(C)C3CCC(N(Cc4ccccn4)Cc4cccc(C5CC(C)(C)C5)n4)CC3)ccc12 7.7609053 0.323943661971831</t>
  </si>
  <si>
    <t>CN(Cc1ncccc1-c1ccc2c(c1)OCCOCCOCCOCCOCCO2)C1CCCCC1N(C)c1ccc2nc(-c3ccc4ncccc4c3)ccc2c1 7.7608976 0.3116883116883117</t>
  </si>
  <si>
    <t>Cc1ccon1 7.760894 0.3793103448275862</t>
  </si>
  <si>
    <t>Cc1cc(NCc2ccccn2)ccc1CN(C)C1CCCCC1N(C)c1ccc2cccnc2c1 7.7608924 0.4444444444444444</t>
  </si>
  <si>
    <t>Cc1ccccc1CN(C)CC1=C(N(C)Cc2ccccn2)CC=CN1 7.760891 0.3898305084745763</t>
  </si>
  <si>
    <t>Cc1ccnc(CN(Cc2cc(F)ccn2)C2CCCC(N(C)c3cccc4cccnc34)C2)c1 7.760883 0.4576271186440678</t>
  </si>
  <si>
    <t>Cc1cnc(CN(Cc2cccc(F)n2)Cc2ncccc2C)c(C)c1 7.760883 0.375</t>
  </si>
  <si>
    <t>CC1C(N(C)Cc2ccccn2)=CCC(C(C)(C)CN(Cc2ccccn2)c2ccc3cccnc3c2)C1C 7.760881 0.359375</t>
  </si>
  <si>
    <t>Cc1ccccc1CN(C)Cc1cc(C(C)(C)c2ccccn2)ccn1 7.7608714 0.37037037037037035</t>
  </si>
  <si>
    <t>CN(CC1=C(N(C)Cc2ccccn2)CC=CN1)Cc1ccccn1 7.7608595 0.4489795918367347</t>
  </si>
  <si>
    <t>Cc1cncc(CN(C)c2ccccc2-c2cnccc2CN(C)C2CCC(N(C)Cc3ccon3)CC2)c1C 7.7608547 0.296875</t>
  </si>
  <si>
    <t>Cc1cccc(CN(Cc2ccccn2)C2CCC(N(C)Cc3cccc(-c4cccc(-c5ccccn5)c4)n3)CC2)n1 7.760853 0.46774193548387094</t>
  </si>
  <si>
    <t>CC(C)NCc1ccc(C2=NC(C)(C)CO2)cn1 7.7608466 0.3829787234042553</t>
  </si>
  <si>
    <t>Cc1cnc(CN(C)Cc2cccnc2CN(C)C)c(C)c1 7.7608404 0.3673469387755102</t>
  </si>
  <si>
    <t>CN(Cc1ccon1)C1CCCCC1N(C)c1cccc2c(CF)ccnc12 7.7608366 0.45161290322580644</t>
  </si>
  <si>
    <t>CN(CC1=CNC=C(N(C)Cc2cccnn2)C1)Cc1ccccn1 7.7608323 0.4897959183673469</t>
  </si>
  <si>
    <t>CC1C=C(c2cc(CN(Cc3ccccn3)C3CCC(N(C)c4ccc5nccc(CN(C)C)c5c4)CC3)ccn2)C(C)(C)CC1 7.76082 0.27848101265822783</t>
  </si>
  <si>
    <t>Cc1cncc(CN(Cc2ccccn2)C2CCC(N(C)c3cccc4cc(CF)cnc34)CC2)c1C 7.7608194 0.323943661971831</t>
  </si>
  <si>
    <t>Cc1cc(C)c(CN(Cc2cc(C(C)(C)N(Cc3ccc([SiH3])cn3)Cc3cc(C)c(C)c(C)n3)ccn2)C2CCCC(N(C)Cc3cc(-c4ccccn4)ccn3)C2)cn1 7.7608023 0.26373626373626374</t>
  </si>
  <si>
    <t>Cc1cnc(CN(C)C2CCCCC2N(C)c2ccc3nccc(CF)c3c2)c(C)c1 7.7608013 0.3870967741935484</t>
  </si>
  <si>
    <t>CCN(Cc1ccccn1)c1cccnc1CN(Cc1ccccn1)Cc1ncccc1C 7.76079 0.5</t>
  </si>
  <si>
    <t>CN(c1ccc2nccc(CF)c2c1)C1CCCCC1N(Cc1ccccn1)Cc1cccc(C(C)(C)c2ccccc2)n1 7.760787 0.36619718309859156</t>
  </si>
  <si>
    <t>C#Cc1ccc(NCc2ccccn2)cc1 7.7607803 0.4722222222222222</t>
  </si>
  <si>
    <t>CNC1CCC(NCc2nc(C)c(C)cc2C)C(N(Cc2nc(C)c(C)c(C)c2C)Cc2nc(C)c(C)c(C)c2C)C1N(Cc1nc(C)c(C)c(C)c1C)Cc1nc(C)c(C)c(C)c1C 7.7607784 0.19047619047619047</t>
  </si>
  <si>
    <t>CN(CC1=C(N(C)Cc2ccccn2)CC=CN1)Cc1cccnc1F 7.7607713 0.38596491228070173</t>
  </si>
  <si>
    <t>Cc1cccc(CN(C)Cc2ccccn2)c1N(C)C(C)(C)c1ccccn1 7.760769 0.45098039215686275</t>
  </si>
  <si>
    <t>Cc1cnc(CN(C)Cc2cc(N(C)C(C)(C)C)ccn2)c(C)c1 7.7607546 0.3469387755102041</t>
  </si>
  <si>
    <t>CC(C)N(C)C1=CCC=C(CN(C)c2ccccc2F)N1 7.7607546 0.2641509433962264</t>
  </si>
  <si>
    <t>Cc1cccnc1CN(C)C1CCCC(N(Cc2ccccn2)c2ccc3ccc(CF)nc3c2)C1 7.7607536 0.36923076923076925</t>
  </si>
  <si>
    <t>Cc1cnc(CN(Cc2ccccn2)C2CCC(N(C)c3ccc4nc(CF)ccc4c3)CC2)c(C)c1 7.760745 0.34328358208955223</t>
  </si>
  <si>
    <t>CN(Cc1ccccn1)C1=C(C(C)(C)C)CC=CN1 7.760743 0.4423076923076923</t>
  </si>
  <si>
    <t>CC(C)C1=CC2(C=CN1)C=C(c1cccc(CN(Cc3ccccn3)Cc3ccccn3)n1)C(c1cccc(CN(Cc3ccccn3)Cc3ccccn3)n1)CC2(C)C 7.7607384 0.375</t>
  </si>
  <si>
    <t>CCNCc1nc(CN(C)Cc2nc(C)c(C)cc2C)c(C)c(C)c1C 7.760736 0.21568627450980393</t>
  </si>
  <si>
    <t>Cc1cc(N)nc(CN(Cc2ccc(F)nc2)Cc2ccccn2)c1C 7.7607317 0.40816326530612246</t>
  </si>
  <si>
    <t>Cc1cccc(CN(C)C2=CNC(CN(Cc3cccc(C)n3)C(C)C)=CC2)n1 7.7607303 0.40816326530612246</t>
  </si>
  <si>
    <t>CNC1CC(N(Cc2nc(C)c(C)c(C)c2C)Cc2nc(C)c(C)c(C)c2C)C(NCc2ncc(C)c(C)c2C)CC1N(Cc1nc(C)c(C)c(C)c1C)Cc1nc(C)c(C)c(C)c1C 7.760711 0.2222222222222222</t>
  </si>
  <si>
    <t>Cc1cnc(CN(C)Cc2cc(N(C)C(C)C)ccn2)cc1C 7.7607107 0.4090909090909091</t>
  </si>
  <si>
    <t>Cc1cnc(CN(C)Cc2cccc(N)n2)c(C)c1 7.7607055 0.4</t>
  </si>
  <si>
    <t>CC(C)c1cccc(CN(Cc2ccccn2)C2CCC(N(C)c3ccc4ncc(CN(C)C)cc4c3)CC2)n1 7.760702 0.3235294117647059</t>
  </si>
  <si>
    <t>Cc1cccnc1CN(C)C1CCCC(N(C)c2ccc3ccc(CN(C)C)nc3c2)C1 7.7606916 0.30158730158730157</t>
  </si>
  <si>
    <t>Cc1cnccc1CN(C)C1CCCC(N(Cc2ccccn2)c2cccc3ncccc23)C1 7.760688 0.375</t>
  </si>
  <si>
    <t>CNCc1cc(CN(C)C2CCC(N(C)Cc3cc(-c4ccc5ncccc5c4)ccn3)CC2)ccn1 7.760683 0.3225806451612903</t>
  </si>
  <si>
    <t>Cc1cc(C)c(CN(C)CCN(C)Cc2nc(C)c(C)c(C)c2C)nc1C 7.760682 0.3333333333333333</t>
  </si>
  <si>
    <t>CN(C)c1ccc(-c2cccnc2CN(Cc2ccccn2)Cc2ncccc2N(C)Cc2ccc(-c3ccc4c(c3)OCCOCCOCCOCCOCCO4)cn2)cc1 7.760681 0.375</t>
  </si>
  <si>
    <t>Cc1cc(CN(Cc2ccccn2)C2CCC(N(C)c3ccc4nc(CF)ccc4c3)CC2)cnc1C 7.7606664 0.34328358208955223</t>
  </si>
  <si>
    <t>CC1=C(c2ncccc2CN(Cc2ccccn2)Cc2ccccn2)C(C)C(C)(C)C2C=C(C(C)C)NC=C12 7.7606664 0.3389830508474576</t>
  </si>
  <si>
    <t>CNCC1=CCC=C(N(C)Cc2cccc(F)n2)N1 7.760657 0.32727272727272727</t>
  </si>
  <si>
    <t>Cc1cncc(CN(C)c2ccc(Cl)c(-c3cccc(CN(Cc4ccccn4)Cc4cccc(-c5ccc6c(c5)OCCOCCOCCOCCOCCO6)n4)n3)c2Cl)c1 7.760657 0.37349397590361444</t>
  </si>
  <si>
    <t>CCc1ccc2c(c1)C(C)C1(C=C2)C=CC2(CC1C)C(c1ccc(CN(Cc3ccccn3)Cc3ccccn3)cn1)=CCCC2c1cc(CN(Cc2ccccn2)Cc2ccccn2)ccn1 7.7606535 0.27472527472527475</t>
  </si>
  <si>
    <t>CNC1CC(NCc2ncc(C)c(C)c2C)C(N(Cc2nc(C)c(C)c(C)c2C)Cc2nc(C)c(C)c(C)c2C)CC1N(Cc1nc(C)c(C)c(C)c1C)Cc1nc(C)c(C)c(C)c1C 7.760652 0.21875</t>
  </si>
  <si>
    <t>Cc1nc(CN(Cc2nc(C)c(C)c(C)c2C)CN(C)C(C)C)c(C)c(C)c1C 7.7606435 0.21739130434782608</t>
  </si>
  <si>
    <t>CCCN(C)c1ccc(C)c(C)c1C 7.7606416 0.275</t>
  </si>
  <si>
    <t>CNc1cccc(CN(Cc2cccc(F)n2)C2CCCCC2N(C)c2ccc3nc(CF)ccc3c2)n1 7.76064 0.4461538461538462</t>
  </si>
  <si>
    <t>Cc1ccc2c(N(C)C3CCC(N(C)Cc4ncccc4C)CC3)cccc2n1 7.760633 0.3333333333333333</t>
  </si>
  <si>
    <t>Cc1cc(CN(C)Cc2ccc(N)cn2)cnc1C 7.760632 0.4186046511627907</t>
  </si>
  <si>
    <t>CN(CC1=CNC=C(N(C)Cc2ccccn2)C1)Cc1ccccn1 7.7606316 0.4583333333333333</t>
  </si>
  <si>
    <t>Cc1cncc(CN(C)C2=CNC=C(CN(C)Cc3ccccn3)C2)c1 7.760629 0.36666666666666664</t>
  </si>
  <si>
    <t>CC(C)C1(C)COC(c2cccc(CN(Cc3ccccn3)Cc3cccc(C(C)(C)C)n3)n2)=N1 7.7606277 0.40298507462686567</t>
  </si>
  <si>
    <t>Cc1ccnc2cc(N(C)C3CCC(N(C)Cc4cccnn4)CC3)ccc12 7.7606177 0.37037037037037035</t>
  </si>
  <si>
    <t>Cc1ccc(CN(CCF)Cc2cc(N(C)Cc3ncccc3C)ccn2)nc1 7.760613 0.41509433962264153</t>
  </si>
  <si>
    <t>CC(c1ccccn1)(c1ccccn1)c1cccnc1CN(CCF)Cc1ccccn1 7.7606106 0.46938775510204084</t>
  </si>
  <si>
    <t>CNC1C=CC=C(N(C)Cc2ncccc2C)N1 7.7606087 0.2545454545454545</t>
  </si>
  <si>
    <t>CNCc1ccc2cccc(N(C)C3CCCCC3N(Cc3ccccn3)Cc3nc(C)c(C)c(C)c3C)c2n1 7.7606072 0.47058823529411764</t>
  </si>
  <si>
    <t>CCN(Cc1cccc(C(C)(C)c2ccccn2)n1)C1CCC(N(C)c2ccc3nc(CF)ccc3c2)CC1 7.7606006 0.3188405797101449</t>
  </si>
  <si>
    <t>Cc1cc(C)c(CN(C)C2CCCCC2N(C)c2ccc3ccc(CF)nc3c2)nc1C 7.760597 0.45</t>
  </si>
  <si>
    <t>CC1(C)CC(c2ccc(CN(Cc3ccccn3)Cc3ccccn3)c(CN(Cc3ccccn3)Cc3cccc(C(C)(C)c4ccccn4)n3)n2)C1 7.7605968 0.36363636363636365</t>
  </si>
  <si>
    <t>CN(C)CC1CCC(N(C)c2ccc3ncccc3c2)N1C 7.7605877 0.3157894736842105</t>
  </si>
  <si>
    <t>CN(C)Cc1nccc2cc(N(C)C3CCCC(N(Cc4ccccn4)Cc4ccccn4)C3)ccc12 7.7605853 0.3898305084745763</t>
  </si>
  <si>
    <t>CC(C)C1=CC2(C=CN1)CC(c1cccc(CN(Cc3ccccn3)Cc3ccccn3)n1)C(C)(C)C=C2c1cccc(CN(Cc2ccccn2)Cc2ccccn2)n1 7.7605834 0.3698630136986301</t>
  </si>
  <si>
    <t>CNCC1=CCC=C(N(C)Cc2ccccn2)N1 7.760582 0.4339622641509434</t>
  </si>
  <si>
    <t>Cc1cc(CN(C)Cc2cccc(N(C)C(C)C)n2)cnc1C 7.76058 0.3958333333333333</t>
  </si>
  <si>
    <t>Cc1cccnc1CN(Cc1cc(C(C)(C)c2ccccn2)ccn1)C(C)C 7.7605762 0.43137254901960786</t>
  </si>
  <si>
    <t>CC1=CCC=C(NCc2ccccn2)N1 7.7605753 0.425</t>
  </si>
  <si>
    <t>C1=CC(CN(Cc2ccccn2)Cc2ccccn2)C=C(c2ccccn2)N1 7.7605705 0.48</t>
  </si>
  <si>
    <t>Cc1cccnc1CN(Cc1ccccn1)C1CCCCC1N(C)c1ccc2c(CN(C)C)nccc2c1 7.7605605 0.41935483870967744</t>
  </si>
  <si>
    <t>Cc1cnc(CN(C)Cc2cccc(N(C)C(C)C)n2)c(C)c1 7.7605596 0.3958333333333333</t>
  </si>
  <si>
    <t>CC(C)NCCN(C)Cc1cccc2ncccc12 7.7605586 0.45652173913043476</t>
  </si>
  <si>
    <t>Cc1cccc(CN(C)Cc2cc(C(C)(C)c3ccccn3)ccn2)c1 7.7605557 0.38181818181818183</t>
  </si>
  <si>
    <t>Cc1cc(CN(C)C2=C(CN(Cc3ccccn3)C(C)C)NC=CC2)nc(C)c1C 7.760546 0.41379310344827586</t>
  </si>
  <si>
    <t>CNCC1=C(N(C)Cc2nccc(C)c2C)CC=CN1 7.760541 0.234375</t>
  </si>
  <si>
    <t>CC1C=CC(C)C(C)(N(Cc2ccccn2)Cc2cccc(-c3ccccc3N(C)C)n2)C1 7.7605367 0.423728813559322</t>
  </si>
  <si>
    <t>CCNc1cnccc1-c1ncccc1C(C)C(C)C 7.760534 0.2459016393442623</t>
  </si>
  <si>
    <t>CCNc1cccc(CN(Cc2ccccn2)Cc2cc(C(C)(C)c3ccccn3)ccn2)n1 7.7605314 0.49122807017543857</t>
  </si>
  <si>
    <t>Cc1cc(C)c(N)cc1C 7.760531 0.19047619047619047</t>
  </si>
  <si>
    <t>CN(Cc1cccnn1)C1=C(N(C)CN)NC=CC1 7.7605247 0.425531914893617</t>
  </si>
  <si>
    <t>CC(C)C(C)(c1cccnc1)c1cccc(CN(Cc2ccccn2)C2CCC(N(C)c3ccc4nccc(CF)c4c3)CC2)n1 7.760524 0.2804878048780488</t>
  </si>
  <si>
    <t>CNCc1ncccc1N(C)C 7.760521 0.38461538461538464</t>
  </si>
  <si>
    <t>Cc1cncc(CN(C)C2CCC(N(C)c3ccc4c(C)ccnc4c3)CC2)c1 7.7605195 0.2698412698412698</t>
  </si>
  <si>
    <t>Cc1nc(CN(C)C2=CNC(CN(C)C(C)C)=CC2)c(C)c(C)c1C 7.760515 0.1896551724137931</t>
  </si>
  <si>
    <t>Cc1ccc(C)c(CN(C)Cc2ccc(C(C)(C)C)cn2)n1 7.760514 0.4</t>
  </si>
  <si>
    <t>CN(C)c1cccc(-c2ccc(CN(Cc3cccc(-c4ccc5c(c4)OCCOCCOCCOCCOCCO5)n3)Cc3ccc4ccccc4n3)nc2)c1 7.7605114 0.38961038961038963</t>
  </si>
  <si>
    <t>CN(CC1=CC(N(C)Cc2ccccn2)C=CN1)c1cccc(F)c1 7.760508 0.3793103448275862</t>
  </si>
  <si>
    <t>Cc1ccc(CN(Cc2ccccn2)C2CCC(N(C)c3ccc4ccc(CF)nc4c3)CC2)nc1C 7.7605047 0.39344262295081966</t>
  </si>
  <si>
    <t>Cc1ccc(CN(Cc2cccc(N)n2)C2CCC(N(C)c3ccc4nc(CF)ccc4c3)CC2)nc1 7.760504 0.36065573770491804</t>
  </si>
  <si>
    <t>Cc1ccccc1CN(C)Cc1ccc(C(C)(C)c2ccccn2)cn1 7.7604995 0.37037037037037035</t>
  </si>
  <si>
    <t>CN(Cc1ccccn1)C1=CC=CC(NCc2ccccn2)N1 7.7604966 0.42</t>
  </si>
  <si>
    <t>CC(C)C(C)N(C)CCN(C)c1ccc2ncc(CN(C)C)cc2c1 7.7604938 0.23214285714285715</t>
  </si>
  <si>
    <t>CCCN(C)CC1=CCC=C(N(C)Cc2cc(C)c(C)c(C)n2)N1 7.7604923 0.25</t>
  </si>
  <si>
    <t>CN(Cc1ccon1)C1CCC(N(C)c2cccc3ncccc23)CC1 7.7604856 0.36538461538461536</t>
  </si>
  <si>
    <t>Cc1ccc(CN(C)Cc2cc(C(C)(C)C)ccn2)nc1C 7.760481 0.36</t>
  </si>
  <si>
    <t>Cc1cnc(CN(C)C2=CNC(CN(Cc3ccccn3)C(C)C)=CC2)c(C)c1C 7.76048 0.42105263157894735</t>
  </si>
  <si>
    <t>Cc1ccnc(CN(Cc2ccnc(CN(C)Cc3cc(C)c(C)c(C)n3)c2)Cc2ccccn2)c1 7.7604795 0.4444444444444444</t>
  </si>
  <si>
    <t>CCN(Cc1ccccn1)c1ccc2cccnc2c1-c1cccc(CN(Cc2ccccn2)Cc2cccc(-c3ccc4c(c3)OCCOCCOCCOCCOCCO4)n2)n1 7.7604785 0.4189189189189189</t>
  </si>
  <si>
    <t>Cc1cccc(CN(Cc2ccccn2)C2CCC(N(C)c3cccc4c(CF)ccnc34)CC2)n1 7.760473 0.359375</t>
  </si>
  <si>
    <t>Cc1cc(C)c(CN(C)Cc2nc(CN(Cc3ccccn3)Cc3cccnc3F)ccc2C)nc1C 7.760469 0.41379310344827586</t>
  </si>
  <si>
    <t>CCN(Cc1ccccn1)c1ncccc1CN(Cc1ccccn1)Cc1ncccc1C 7.760465 0.46511627906976744</t>
  </si>
  <si>
    <t>Cc1cc(CN(C)CC2=CC(N(C)Cc3cc(C)c(C)c(C)n3)C=CN2)nc(C)c1C 7.7604566 0.3333333333333333</t>
  </si>
  <si>
    <t>CN(C)Cc1nccc2cc(N(C)C3CCCCC3N(Cc3ccccn3)Cc3cnccc3C(C)(C)C)ccc12 7.7604513 0.37142857142857144</t>
  </si>
  <si>
    <t>Cc1cc(C)c(CN(C)Cc2ccc(N)cn2)cn1 7.760451 0.4186046511627907</t>
  </si>
  <si>
    <t>Cc1ccc(CN(C)CC2=CCC(N(C)Cc3ccccn3)=CN2)cc1 7.7604485 0.39285714285714285</t>
  </si>
  <si>
    <t>COC(=O)C1CC(c2ccccn2)C(c2cccc(CN(Cc3ccccn3)Cc3ccccn3)n2)N(C)C1c1ccccn1 7.7604465 0.39705882352941174</t>
  </si>
  <si>
    <t>Cc1cnc(CN(C)C2CCCCC2N(C)c2ccc3ccc(CN(C)C)nc3c2)c(C)c1 7.760444 0.4642857142857143</t>
  </si>
  <si>
    <t>CNc1ccc(-c2cccc(CN(C)C3CCCCC3N(C)Cc3ccc4ncccc4c3)n2)cc1 7.7604423 0.43333333333333335</t>
  </si>
  <si>
    <t>CN(Cc1ccccn1)C1=CCC=C(CN(C)C(C)(C)c2ccccn2)N1 7.7604394 0.41509433962264153</t>
  </si>
  <si>
    <t>C1=CNCC(N(Cc2ccccn2)Cc2ccccn2)=C1 7.7604375 0.4594594594594595</t>
  </si>
  <si>
    <t>CC(C)C1=NCC(c2cc(CN(Cc3ccccn3)Cc3cc(C(C)(C)C)ccn3)ccn2)O1 7.760435 0.36363636363636365</t>
  </si>
  <si>
    <t>CC1=C(C)C(c2ncccc2CN(Cc2ccccn2)C2CCCC(N(C)c3ccc4nccc(CN(C)C)c4c3)C2)CC(C)C1 7.7604313 0.2911392405063291</t>
  </si>
  <si>
    <t>Cc1cncc(CN(C)C2=CNCC=C2)c1 7.760421 0.22</t>
  </si>
  <si>
    <t>CN(C)C1CCCC(N(C)c2cccc3ncc4c(c23)CCC4)C1 7.7604165 0.32786885245901637</t>
  </si>
  <si>
    <t>CN(C)Cc1ccnc2ccc(N(C)C3CCC(N(Cc4ccc(C5CC(C)(C)C5)nc4)Cc4ccccn4)CC3)cc12 7.7604146 0.29333333333333333</t>
  </si>
  <si>
    <t>Cc1c(C)c(C)c(N(C)C2CCC(N(C)Cc3ccc4ncccc4c3)CC2)c(C)c1C 7.7604146 0.3103448275862069</t>
  </si>
  <si>
    <t>CC(C)C(C)N(C)Cc1cccc(-c2cccc(Cl)c2N)n1 7.7604117 0.33962264150943394</t>
  </si>
  <si>
    <t>CC(N)C(C)(c1cccnc1)c1ncccc1CN(C)C1CCCC(N(C)c2ccc3c(CN(C)C)ccnc3c2)C1 7.7604003 0.2222222222222222</t>
  </si>
  <si>
    <t>Cc1nc(CN(C)CCN(C)C)c(C)c(C)c1C 7.7603946 0.34210526315789475</t>
  </si>
  <si>
    <t>CCOC(=O)C1CN(C)C(c2ccc(CN(Cc3ccccn3)Cc3cc(C(C)(C)C)ccn3)cn2)C(c2ccccn2)C1c1ccccn1 7.760394 0.2857142857142857</t>
  </si>
  <si>
    <t>Cc1ccc(CN(C)CC2=CCC(N(C)Cc3ccc(C)cn3)=CN2)cc1 7.760392 0.42857142857142855</t>
  </si>
  <si>
    <t>Cc1cnc(CN(C)C2=CCC=C(CN(C)C(C)C)N2)c(C)c1C 7.7603903 0.2222222222222222</t>
  </si>
  <si>
    <t>CN1CCN(C)CCN(Cc2cnccc2-c2c(N)ccc3cccnc23)CC1 7.760388 0.3888888888888889</t>
  </si>
  <si>
    <t>CC1=CC(C)C2(C=CC3(C(C)C=CC(C)C3C)C(c3cccc(CN(Cc4ccccn4)Cc4cccc(-c5cccc(N=Cc6ccccn6)c5)n4)n3)C2c2cccc(CN(Cc3ccccn3)Cc3ccccn3)n2)C(C)C1 7.7603827 0.3764705882352941</t>
  </si>
  <si>
    <t>Cc1ccc(C)c(CN(C)C2CCCC(N(C)c3cccc4ncccc34)C2)n1 7.7603817 0.3387096774193548</t>
  </si>
  <si>
    <t>CNC1C=C(N(C)Cc2ccc(C)cn2)C=CN1 7.760375 0.4444444444444444</t>
  </si>
  <si>
    <t>Cc1ccncc1CN(Cc1ncccc1C)C1CCCCC1N(C)c1ccc2ncc(CN(C)C)cc2c1 7.7603726 0.3194444444444444</t>
  </si>
  <si>
    <t>Cc1cccnc1CN(Cc1ccccn1)C1CCC(N(C)c2ccc3nccc(CF)c3c2)CC1 7.760368 0.3283582089552239</t>
  </si>
  <si>
    <t>CN(Cc1cccc(F)n1)C1=CC=CNC1NCc1ccccn1 7.7603602 0.39705882352941174</t>
  </si>
  <si>
    <t>C1=CNC(C2=CC(NCc3ccccn3)C=CN2)=CC1 7.7603555 0.4444444444444444</t>
  </si>
  <si>
    <t>Cc1ccc(CN(C)Cc2cc(N(C)C(C)C)ccn2)nc1C 7.760354 0.34615384615384615</t>
  </si>
  <si>
    <t>CN(Cc1ccccn1)Cc1ncccc1C(C)(C)c1ccccn1 7.760353 0.46808510638297873</t>
  </si>
  <si>
    <t>CC(CN(Cc1ccccn1)Cc1ncccc1-c1ccc2c(c1)OCCOCCOCCOCCOCCO2)(c1cccc2cccnc12)c1cccc2cccnc12 7.7603498 0.3333333333333333</t>
  </si>
  <si>
    <t>CN(CC1=CCC(N(C)Cc2cccnn2)=CN1)Cc1ccccn1 7.7603393 0.48</t>
  </si>
  <si>
    <t>CC(C)c1ncccc1CN(Cc1ccccn1)C1CCC(N(C)c2ccc3nc(CN(C)C)ccc3c2)CC1 7.760336 0.375</t>
  </si>
  <si>
    <t>CC(C)C1=CC2(C=CN1)C=Cc1cccnc1C2C 7.7603345 0.21428571428571427</t>
  </si>
  <si>
    <t>COC(=O)C(=O)C(C)c1cccc(CN(Cc2ccccn2)Cc2ccccn2)n1 7.7603335 0.46511627906976744</t>
  </si>
  <si>
    <t>Cc1cc(C)c(CN(C)CC2=CC(N(C)Cc3cc(C)c(C)c(C)n3)C=CN2)nc1C 7.7603235 0.296875</t>
  </si>
  <si>
    <t>Cc1cc(CN(Cc2ccnc(C3C4(C=CNC(C(C)C)=C4)C=CC(c4cc(CN(Cc5ccccn5)Cc5ccccn5)ccn4)C3(C)C)c2)Cc2ccccn2)nc(C)c1C 7.76031 0.28169014084507044</t>
  </si>
  <si>
    <t>Cc1cccc(NCc2ccccn2)c1C 7.7603035 0.4722222222222222</t>
  </si>
  <si>
    <t>CC(C)NCc1cccc(C2=CCC=CN2)n1 7.7603025 0.32142857142857145</t>
  </si>
  <si>
    <t>Cc1ccccc1C(C)(C)c1ncccc1CN(Cc1ccccn1)Cc1ccccn1 7.7603 0.5</t>
  </si>
  <si>
    <t>Cc1cccc(CN(C)C2=C(CN(C)Cc3ccccc3C)NC=CC2)n1 7.760291 0.40384615384615385</t>
  </si>
  <si>
    <t>Cc1ccc(CN(Cc2ccccn2)C2CCCC(N(C)c3ccc4nc(CF)ccc4c3)C2)nc1C 7.7602887 0.36923076923076925</t>
  </si>
  <si>
    <t>CCN(Cc1ccccn1)C1=CC(Cl)C(C)(c2ccccn2)C(N(C)Cc2ncccc2C)=C1C1CCC1(C)C 7.760286 0.3194444444444444</t>
  </si>
  <si>
    <t>CC(N)c1cc(CN(Cc2ccccn2)C2CCC(N(C)c3cccc4c(CF)ccnc34)CC2)ccn1 7.7602854 0.3055555555555556</t>
  </si>
  <si>
    <t>Cc1cccnc1CN(Cc1cccnc1F)Cc1ncc(C)c(C)c1C 7.760284 0.32</t>
  </si>
  <si>
    <t>CC(C)C(C)(c1cccnc1)c1ncccc1CN(Cc1ccccn1)C1CCC(N(C)c2ccc3c(CF)ccnc3c2)CC1 7.7602754 0.275</t>
  </si>
  <si>
    <t>Cc1cncc(CN(CC2=CCC=C(N(C)Cc3ccccn3)N2)C(C)C)c1 7.76026 0.3898305084745763</t>
  </si>
  <si>
    <t>CN(Cc1ccccn1)C1=CCC=C(CN(Cc2ccccn2)C2C=CC=CN2)N1 7.760259 0.4406779661016949</t>
  </si>
  <si>
    <t>CN(CC1=CCC(N(C)Cc2ccccn2)=CN1)Cc1cccnc1 7.7602577 0.3793103448275862</t>
  </si>
  <si>
    <t>CN(C1=CCC=CN1)C1CCC(N(C)c2ccc3cccnc3c2)CC1 7.760257 0.3064516129032258</t>
  </si>
  <si>
    <t>Cc1cc(C)c(CN(C)C2CCCC(N(Cc3ccccn3)Cc3cccc(-c4cccc(N=Cc5ccccn5)c4)n3)C2)cn1 7.7602534 0.37037037037037035</t>
  </si>
  <si>
    <t>CCNCc1cccc(N(C)Cc2ccccn2)c1C 7.7602496 0.5</t>
  </si>
  <si>
    <t>Cc1ccc(C)c(CN(C)Cc2nc(C)ccc2C)n1 7.7602477 0.4117647058823529</t>
  </si>
  <si>
    <t>Cc1cccc(CN(Cc2cccc(C(C)(C)C)n2)C2CCC(N(C)c3ccc4nc(CF)ccc4c3)CC2)n1 7.760227 0.3728813559322034</t>
  </si>
  <si>
    <t>CCOC(C)c1ncccc1CN(Cc1ccccn1)Cc1cc(C(C)(C)c2ccccn2)ccn1 7.760214 0.37037037037037035</t>
  </si>
  <si>
    <t>CC(C)c1ncccc1CN(Cc1ccccn1)C1CCC(N(C)c2ccc3nccc(CF)c3c2)CC1 7.7602086 0.3235294117647059</t>
  </si>
  <si>
    <t>CCN(CC1=CCC=C(N(C)Cc2nc(C)ccc2C)N1)Cc1ccccn1 7.7602077 0.41935483870967744</t>
  </si>
  <si>
    <t>CNCc1ccc2cccc(N(C)C3CCC(N(Cc4ccccn4)Cc4nc(C)c(C)cc4C)CC3)c2n1 7.760202 0.3611111111111111</t>
  </si>
  <si>
    <t>CN(c1ccc2nccc(CF)c2c1)C1CCCCC1N(Cc1ccccn1)C1=CC=CNC1 7.760202 0.3880597014925373</t>
  </si>
  <si>
    <t>CNCCN(Cc1ccccn1)Cc1nccc2ccccc12 7.7602005 0.4782608695652174</t>
  </si>
  <si>
    <t>Cc1cccc(CN(C)c2ccnc(CN3CCCC3c3cccc(C)n3)c2)n1 7.760197 0.48214285714285715</t>
  </si>
  <si>
    <t>Cc1cnc(CN(C)C2CCC(N(C)c3ccc4c(CF)ccnc4c3)CC2)cc1C 7.760192 0.3225806451612903</t>
  </si>
  <si>
    <t>CN(Cc1ccon1)C1CCCCC1N(C)c1ccc2c(CF)ccnc2c1 7.7601843 0.3898305084745763</t>
  </si>
  <si>
    <t>CCOC(=O)c1cccc(CN(Cc2ccccn2)Cc2cccc(C(C)(C)C)n2)n1 7.760179 0.425531914893617</t>
  </si>
  <si>
    <t>Cc1ccnc(CN(C)C2CCC(N(C)c3ccc4c(CN(C)C)ccnc4c3)CC2)c1 7.7601786 0.3220338983050847</t>
  </si>
  <si>
    <t>Cc1cnc(CN(C)C2CCC(N(C)c3ccc4cccnc4c3)CC2)c(C)c1C 7.7601767 0.29508196721311475</t>
  </si>
  <si>
    <t>Cc1cccnc1CN(Cc1cccc(C(C)(C)C)n1)C1CCC(N(C)c2ccc3nc(CF)ccc3c2)CC1 7.760165 0.2987012987012987</t>
  </si>
  <si>
    <t>CN(Cc1ccccn1)Cc1ncccc1N(C)C(C)(C)c1ccccn1 7.7601624 0.4489795918367347</t>
  </si>
  <si>
    <t>CNC1NC=CC=C1N(C)Cc1cc(C)c(C)cn1 7.7601604 0.2857142857142857</t>
  </si>
  <si>
    <t>Cc1ccc(C)c(CN(C)C2CCCC(N(C)c3cccc4nc(CF)ccc34)C2)n1 7.7601576 0.3787878787878788</t>
  </si>
  <si>
    <t>CC1C(Cl)=CC(N(C)Cc2ccccn2)c2ccccc21 7.760152 0.4782608695652174</t>
  </si>
  <si>
    <t>CC(C)C(C)N(C)Cc1ncccc1-c1cc(Cl)ccc1N 7.7601457 0.2909090909090909</t>
  </si>
  <si>
    <t>Cc1ccnc(CN(Cc2ccc(F)cn2)Cc2nccc(C)c2C)c1C 7.7601385 0.37777777777777777</t>
  </si>
  <si>
    <t>CCN(Cc1ccccn1)c1ccc2cccnc2c1-c1cccc(CN(Cc2ccccn2)Cc2ccc(-c3ccc4c(c3)OCCOCCOCCOCCOCCO4)cn2)n1 7.7601333 0.3670886075949367</t>
  </si>
  <si>
    <t>CN(C)CC1=CCC(N(C)Cc2ccccn2)=CN1 7.7601314 0.45098039215686275</t>
  </si>
  <si>
    <t>CNc1cccc(CN(Cc2ccccn2)C2CCC(N(C)c3ccc4nc(CF)ccc4c3)CC2)n1 7.7601304 0.38095238095238093</t>
  </si>
  <si>
    <t>Cc1ccc(CNCc2cccc(C(C)(C)C)n2)c(NCc2ccccn2)c1 7.7601285 0.3877551020408163</t>
  </si>
  <si>
    <t>Cc1cccc(CN(CC2=CC(N(C)Cc3cc(C)c(C)c(C)n3)C=CN2)Cc2nc(C)ccc2C)n1 7.7601194 0.3484848484848485</t>
  </si>
  <si>
    <t>Cc1cccnc1CN(C)C1=CNC(CN(Cc2ncccc2C)C(C)C)=CC1 7.760119 0.32727272727272727</t>
  </si>
  <si>
    <t>Cc1ccc(CN(Cc2ccccn2)C2CCCCC2N(C)c2ccc3nccc(C)c3c2)nc1 7.7601185 0.45</t>
  </si>
  <si>
    <t>Cc1cccc(CN(C)C2CCCC(N(C)c3cccc4cc(CN(C)C)cnc34)C2)n1 7.760118 0.4482758620689655</t>
  </si>
  <si>
    <t>Cc1cccc(N(C(C)C)C2CCC(N(C)c3ccc4ncccc4c3)CC2)c1 7.760115 0.3220338983050847</t>
  </si>
  <si>
    <t>CC(C)NCc1ccc(C2=CCC=CN2)cn1 7.760095 0.2982456140350877</t>
  </si>
  <si>
    <t>CNCc1nccc2cc(N(C)C3CCCCC3N(C)Cc3nc(C)c(C)c(C)c3C)ccc12 7.7600884 0.328125</t>
  </si>
  <si>
    <t>CN(c1ccc2cccnc2c1)C1CCCCC1N(Cc1ccccn1)C1=CC=CCN1 7.7600865 0.41935483870967744</t>
  </si>
  <si>
    <t>Cc1cncc(CN(C)C2=CNC(CN(C)Cc3ccccn3)=CC2)c1 7.7600837 0.38333333333333336</t>
  </si>
  <si>
    <t>Cc1ccnc(CN(C)C2CCC(N(C)c3ccc4nccc(CN(C)C)c4c3)CC2)c1 7.760076 0.31666666666666665</t>
  </si>
  <si>
    <t>Cc1cncc(CN(C)C2CCCC(N(C)c3cccc4c(CN(C)C)ccnc34)C2)c1 7.7600718 0.31343283582089554</t>
  </si>
  <si>
    <t>CNC1CC(N(Cc2nc(C)c(C)c(C)c2C)Cc2nc(C)c(C)c(C)c2C)C(NCc2nc(C)c(C)cc2C)CC1N(Cc1nc(C)c(C)c(C)c1C)Cc1nc(C)c(C)c(C)c1C 7.760064 0.19047619047619047</t>
  </si>
  <si>
    <t>CNC1CC(N(Cc2nc(C)c(C)c(C)c2C)Cc2nc(C)c(C)c(C)c2C)CC(N(Cc2nc(C)c(C)c(C)c2C)Cc2nc(C)c(C)c(C)c2C)C1 7.7600584 0.18518518518518517</t>
  </si>
  <si>
    <t>CN(C)Cc1ccc2cc(N(C)C3CCC(N(Cc4ccccn4)Cc4cccc(C(C)(C)C)n4)CC3)ccc2n1 7.7600536 0.3870967741935484</t>
  </si>
  <si>
    <t>Cc1cccc(CN(Cc2ncccc2C)Cc2nccc(C)c2C)n1 7.760052 0.4222222222222222</t>
  </si>
  <si>
    <t>Cc1ccc(CN(Cc2ccccn2)C2=CNC(CN(C)C(C)(C)c3ccccn3)=CC2)nc1 7.7600474 0.3620689655172414</t>
  </si>
  <si>
    <t>COC(=O)C1C(c2ccccn2)CC(c2cc(CN(Cc3ccccn3)Cc3ccccn3)ccn2)N(C)C1c1ccccn1 7.7600427 0.3448275862068966</t>
  </si>
  <si>
    <t>CCNCc1c(C)cccc1N(C)Cc1ccccn1 7.7600427 0.5</t>
  </si>
  <si>
    <t>Cc1cc(CN(C)C2CCC(N(C)c3ccc4nccc(CN(C)C)c4c3)CC2)ccn1 7.760042 0.234375</t>
  </si>
  <si>
    <t>CC(C)N(Cc1cc(C(C)(C)C)ccn1)Cc1cc(C(C)(C)c2ccccn2)ccn1 7.7600393 0.4782608695652174</t>
  </si>
  <si>
    <t>CC(C)C(C)N(C)CC1=CC(N(C)c2ccc3nc(CF)ccc3c2)C=CN1 7.760036 0.2835820895522388</t>
  </si>
  <si>
    <t>CC1C2CCC(N(C)c3ccc4ncccc4c3)(C2)C1N(Cc1ccccn1)Cc1ccccn1 7.7600303 0.3548387096774194</t>
  </si>
  <si>
    <t>Cc1cc(C)c(C)c(CN(C)C2=CNC(CN(Cc3ccccn3)C(C)C)=CC2)n1 7.760028 0.43859649122807015</t>
  </si>
  <si>
    <t>CC(N)C(C)(c1cccnc1)c1ncccc1CN(Cc1ccccn1)C1CCC(N(C)c2ccc3c(CF)ccnc3c2)CC1 7.7600255 0.2682926829268293</t>
  </si>
  <si>
    <t>CNC1C=C(N(C)Cc2cc(C)ccn2)C=CN1 7.76002 0.3148148148148148</t>
  </si>
  <si>
    <t>Cc1cnc(C)c(CN(C)Cc2cc(N(C)C(C)C)ccn2)c1 7.7600193 0.375</t>
  </si>
  <si>
    <t>Cc1ccc(CN(C)C2CCCC(N(C)c3cccc4ncc(CF)cc34)C2)nc1C 7.7600174 0.323943661971831</t>
  </si>
  <si>
    <t>CN(Cc1ccon1)C1CCCCC1N(C)c1ccc2nccc(CF)c2c1 7.7600074 0.3898305084745763</t>
  </si>
  <si>
    <t>CNC1NC=CC=C1N(Cc1ccccn1)Cc1ccccn1 7.76 0.45098039215686275</t>
  </si>
  <si>
    <t>Cc1cccc(CN(C)CCN(C)Cc2cccc3ncccc23)c1 7.7599974 0.4782608695652174</t>
  </si>
  <si>
    <t>Cc1cc(CN(C)CC2=CC(N(C)C(c3ccccn3)c3ccccn3)C=CN2)ccn1 7.7599964 0.3230769230769231</t>
  </si>
  <si>
    <t>CN(C1=CCC=CN1)C1CCCC(N(C)c2cccc3ncc(CF)cc23)C1 7.759987 0.3</t>
  </si>
  <si>
    <t>Cc1nc(CN(C)C2CCCC(N(Cc3cccc(F)n3)Cc3cccc(-c4ccccc4N(C)C)n3)C2)c(C)c(C)c1C 7.7599826 0.3</t>
  </si>
  <si>
    <t>Cc1ccc(CN(C)Cc2ccc(N(C)C(C)C)cn2)c(C)c1C 7.759977 0.4222222222222222</t>
  </si>
  <si>
    <t>CC(C)N(Cc1ccccn1)c1ccc(N(C)Cc2cccc(-c3ccc4c(c3)OCCOCCOCCOCCOCCO4)n2)c2cccnc12 7.7599707 0.3684210526315789</t>
  </si>
  <si>
    <t>CN(CC1=CCC(N(C)Cc2ccccn2)=CN1)Cc1cccnn1 7.7599673 0.48</t>
  </si>
  <si>
    <t>Cc1ccccc1CN(C)CC1=C(N(C)Cc2ncccc2C)CC=CN1 7.7599673 0.3103448275862069</t>
  </si>
  <si>
    <t>CN(c1ccc2nccc(CF)c2c1)C1CCC(N(C)C(c2ccccc2)c2ccccn2)CC1 7.759966 0.45901639344262296</t>
  </si>
  <si>
    <t>CC(C)N(Cc1ccccn1)c1cc(N(C)Cc2cccc(-c3ccc4c(c3)OCCOCCOCCOCCOCCO4)n2)c2ncccc2c1 7.759965 0.358974358974359</t>
  </si>
  <si>
    <t>Cc1cc(CN(C)CC2=CCC(N(Cc3ccccn3)C(C)C)=CN2)nc(C)c1C 7.7599645 0.3709677419354839</t>
  </si>
  <si>
    <t>Cc1cc(C)nc(CN(C)C2=CNC(CN(Cc3ccccn3)C(C)C)=CC2)c1 7.7599554 0.42105263157894735</t>
  </si>
  <si>
    <t>COC(=O)C(=O)C(C)C(C)NCc1cccc(C(=O)C(=O)C(=O)C(=O)C(C)C(=O)C(=O)C(C)C(=O)C(=O)C(C)C(=O)C(=O)C(C)C(=O)C(=O)C(C)C(=O)C(=O)C(C)C(C)C(C)C(C)C(=O)C(=O)C(=O)C(=O)C(=O)C(C)N=Cc2ccc(C)c(C)n2)n1 7.7599463 0.14772727272727273</t>
  </si>
  <si>
    <t>CCC1=CCC=C(N(C)CC2=CC(N(C)Cc3nc(C)c(C)c(C)c3C)C=CN2)N1 7.7599454 0.27941176470588236</t>
  </si>
  <si>
    <t>Cc1cc(N(C)CCN(C)Cc2ccccn2)c(C)c(C)c1C 7.75994 0.4888888888888889</t>
  </si>
  <si>
    <t>Cc1cncc(CN(C)CC2=C(N(C)Cc3ccccn3)CC=CN2)c1 7.7599363 0.3728813559322034</t>
  </si>
  <si>
    <t>CN(CC1=C(N(C)Cc2ccccn2)NC=CC1)Cc1cccnc1 7.759935 0.3770491803278688</t>
  </si>
  <si>
    <t>CCN(Cc1ccccn1)c1c(C)ccc(C)c1CN(C)Cc1ccccn1 7.7599306 0.46808510638297873</t>
  </si>
  <si>
    <t>CN(C)c1c(Cl)cc(N)c2c1CCCC2 7.759927 0.19148936170212766</t>
  </si>
  <si>
    <t>CCN(Cc1ccccn1)Cc1ncccc1C1=NC(C)(C)CO1 7.7599206 0.40425531914893614</t>
  </si>
  <si>
    <t>Cc1cc(CN(C)Cc2ccc(N(C)C(C)C)cn2)cnc1C 7.759913 0.41304347826086957</t>
  </si>
  <si>
    <t>CC(N)C1=C(N(C)Cc2ccc(N)cn2)CC=CN1 7.7598996 0.3018867924528302</t>
  </si>
  <si>
    <t>CC(C)c1ncccc1CN(Cc1ccccn1)C1CCC(N(C)c2cccc3cc(CN(C)C)cnc23)CC1 7.759898 0.34782608695652173</t>
  </si>
  <si>
    <t>CCN(Cc1ccccn1)c1ccc(C)c(C)c1CN(C)Cc1ccccn1 7.7598886 0.4489795918367347</t>
  </si>
  <si>
    <t>Cc1cnc(CN(C)C2CCCC(N(Cc3ccccn3)Cc3cccc(-c4ccc(N(C)Cc5ccccn5)cc4)n3)C2)c(C)c1C 7.7598863 0.373134328358209</t>
  </si>
  <si>
    <t>Cc1nc(CN(C)C2=CNC(CN(Cc3ccccn3)C(C)C)=CC2)c(C)c(C)c1C 7.759881 0.42857142857142855</t>
  </si>
  <si>
    <t>CNCc1cc(CN(Cc2ccccn2)C2CCC(N(C)Cc3cc(-c4ccc5ncccc5c4)ccn3)CC2)ccn1 7.759881 0.36363636363636365</t>
  </si>
  <si>
    <t>Cc1cc(C2=NC(C(C)C)CO2)ccn1 7.759878 0.20754716981132076</t>
  </si>
  <si>
    <t>Cc1ccccc1CN(C)CC1=CCC(N(C)Cc2ccccn2)=CN1 7.7598763 0.39285714285714285</t>
  </si>
  <si>
    <t>CNCc1cc(CN(Cc2cc(C)ccn2)Cc2nc(C)c(C)c(C)c2C)ccn1 7.7598763 0.3157894736842105</t>
  </si>
  <si>
    <t>Cc1ccc(CN(C)C2=CCC=C(CN(Cc3ccccn3)C(C)C)N2)nc1 7.7598743 0.4444444444444444</t>
  </si>
  <si>
    <t>CC(N)(c1ccccc1)c1cccc(NCc2ccccn2)c1 7.7598677 0.3953488372093023</t>
  </si>
  <si>
    <t>CN1CCN(C)CCN(Cc2cncc(-c3cc(N)cc4ncccc34)c2)CC1 7.7598667 0.38181818181818183</t>
  </si>
  <si>
    <t>Cc1cc(C2=NC(C(C)C)C(C3=NC(C(C)C)CO3)O2)c(C2CCC2(C)C)nc1C 7.759865 0.17647058823529413</t>
  </si>
  <si>
    <t>CCN(Cc1ccccn1)Cc1nccc2cccc(N(C)CC3=C(C)C(C)C(C)CC3)c12 7.7598624 0.3333333333333333</t>
  </si>
  <si>
    <t>CN(C)c1ccccc1C(C)(C)C1=CC(N(C)Cc2ccccn2)C=CN1 7.7598557 0.4</t>
  </si>
  <si>
    <t>Cc1nc(CN(C)C2CCCCC2N(C)c2ccc3ncccc3c2)c(C)c(C)c1C 7.7598553 0.42105263157894735</t>
  </si>
  <si>
    <t>Cc1cc(NCc2ccccn2)ccc1C(C)(C)NCc1ccccn1 7.759854 0.38636363636363635</t>
  </si>
  <si>
    <t>Cc1ccc(CN(Cc2cccc(F)n2)C2CCC(N(C)c3ccc4nc(CF)ccc4c3)CC2)nc1C 7.759851 0.3333333333333333</t>
  </si>
  <si>
    <t>Cc1cnc(-c2ccc3cccnc3c2)c(CN2CCN(C)CCN(C)CC2)c1 7.7598443 0.4074074074074074</t>
  </si>
  <si>
    <t>Cc1ccc(C)c(CN(C)C2=CNC(C(C)N)=CC2)n1 7.7598433 0.24074074074074073</t>
  </si>
  <si>
    <t>CNCc1nc(C)c(CN(Cc2ccccn2)C2CCC(N(C)c3ccc4ncccc4c3)CC2)c(C)c1C 7.75984 0.3188405797101449</t>
  </si>
  <si>
    <t>CCN(Cc1cc(CN(C)Cc2nc(C)c(C)cc2C)ccn1)Cc1nc(C)c(C)cc1C 7.7598352 0.2857142857142857</t>
  </si>
  <si>
    <t>Cc1ccc(CN(Cc2ccccn2)C2CCCC(N(C)c3ccc4ccc(CF)nc4c3)C2)nc1C 7.7598333 0.375</t>
  </si>
  <si>
    <t>Cc1cnc(CN(C)Cc2ccc(N(C)C(C)C)cn2)c(C)c1 7.7598305 0.4772727272727273</t>
  </si>
  <si>
    <t>Cc1cnc(CN(C)C2CCC(N(C)c3ccc4ccc(CF)nc4c3)CC2)c(C)c1C 7.7598104 0.3181818181818182</t>
  </si>
  <si>
    <t>COC(=O)C1CC(c2ccccn2)C(c2cc(CN(Cc3ccccn3)Cc3ccccn3)ccn2)N(C)C1c1ccccn1 7.7598057 0.3448275862068966</t>
  </si>
  <si>
    <t>Cc1nc(CN(Cc2ccccn2)Cc2cccc(F)n2)c(C)c(C)c1C 7.7597966 0.4878048780487805</t>
  </si>
  <si>
    <t>CC1=CCC(N(C)Cc2ccccn2)=CN1 7.759795 0.4666666666666667</t>
  </si>
  <si>
    <t>Cc1cccnc1CN(Cc1ccccn1)Cc1cccnc1C1OC=NC1(C)C 7.7597866 0.39215686274509803</t>
  </si>
  <si>
    <t>CC(C)N(Cc1ccccn1)c1cc(N(C)Cc2cccc(-c3ccc4c(c3)OCCOCCOCCOCCOCCO4)n2)c2cccnc2c1 7.759782 0.35443037974683544</t>
  </si>
  <si>
    <t>COC(=O)C1CC(c2ccccn2)C(c2ccccn2)N(C)C1c1cc(CN(Cc2ccccn2)Cc2ccccn2)ccn1 7.759781 0.3448275862068966</t>
  </si>
  <si>
    <t>Cc1ccnc(CN(C)C)c1C 7.75978 0.3076923076923077</t>
  </si>
  <si>
    <t>CC(C)c1cc(CN(Cc2ccccn2)C2CCC(N(C)c3ccc4nccc(CF)c4c3)CC2)ccn1 7.7597733 0.3142857142857143</t>
  </si>
  <si>
    <t>COC(=O)C1C(c2ccccn2)CC(c2ccccn2)N(C)C1c1ncccc1CN(Cc1ccccn1)Cc1ccccn1 7.7597704 0.3448275862068966</t>
  </si>
  <si>
    <t>CCOC(=O)c1ncccc1CN(Cc1ccccn1)Cc1ncccc1C(C)(C)C 7.7597685 0.39215686274509803</t>
  </si>
  <si>
    <t>Cc1cnc(CN(C)Cc2ccc(N)cn2)c(C)c1 7.7597637 0.4878048780487805</t>
  </si>
  <si>
    <t>C1=CNC(SCc2ccccn2)C(NCc2ccccn2)=C1 7.759755 0.38636363636363635</t>
  </si>
  <si>
    <t>Cc1ccc(C)c(C)n1 7.759739 0.28125</t>
  </si>
  <si>
    <t>CC(C)Nc1ncccc1C(C)(C)c1ccccn1 7.75973 0.3617021276595745</t>
  </si>
  <si>
    <t>CCOC(=O)c1ncccc1CN(Cc1ccccn1)Cc1ccccn1 7.7597165 0.5</t>
  </si>
  <si>
    <t>Cc1cc(CN(C)C2CCC(N(C)c3ccc4ncccc4c3)CC2)ccc1NCc1ccccn1 7.759716 0.3333333333333333</t>
  </si>
  <si>
    <t>CC(C)N(Cc1ccccn1)C1CCC(N(C)Cc2ncccc2-c2cccc3ncccc23)CC1 7.759715 0.3898305084745763</t>
  </si>
  <si>
    <t>CNC1C=C(N(C)Cc2cccc(C)n2)C=CN1 7.7597117 0.4444444444444444</t>
  </si>
  <si>
    <t>CN(C)Cc1nccc2cc(N(C)C3CCCCC3N(Cc3ccc(C(C)(C)C)nc3)Cc3ccccn3)ccc12 7.7597103 0.37681159420289856</t>
  </si>
  <si>
    <t>Cc1cccc(CN(C)Cc2cccc(C(C)(C)c3ccccn3)n2)c1C 7.7597094 0.45098039215686275</t>
  </si>
  <si>
    <t>CN(CC1=CCC=C(N(C)Cc2ccccn2)N1)Cc1ccccc1 7.759708 0.41818181818181815</t>
  </si>
  <si>
    <t>CN(C)c1cccc(CN(Cc2ccccn2)C(C)(C)c2ccccn2)c1 7.7597036 0.42</t>
  </si>
  <si>
    <t>CC(C)NCc1ncccc1N(C)C1CCCC(N(C)c2cccc3ncccc23)C1 7.759694 0.3389830508474576</t>
  </si>
  <si>
    <t>CN(c1ccc2ccc(CF)nc2c1)C1CCCCC1N(Cc1ccccn1)C1=CCC=CN1 7.759694 0.4</t>
  </si>
  <si>
    <t>CC1=CC(C)C2(C(C)C1)C(c1ccc(CN(Cc3ccccn3)Cc3ccccn3)cn1)C(c1ccc(CN(Cc3ccccn3)Cc3ccccn3)cn1)C=CC21C(C)C(C)C(C)=CC12C(C)=C(C)C(c1cccc(CN(Cc3ccccn3)Cc3ccccn3)n1)C(c1cc(CN(Cc3ccccn3)Cc3ccccn3)ccn1)C21CC(C)=C(C)CC1C 7.7596893 0.24074074074074073</t>
  </si>
  <si>
    <t>Cc1cc(CN(C)C2CCCCC2N(C)c2cccc3nc(CF)ccc23)nc(C)c1C 7.7596893 0.4918032786885246</t>
  </si>
  <si>
    <t>Cc1cc(C)c(CN(C)CC2=CCC=C(N(C)C(C)C)N2)nc1C 7.7596846 0.21428571428571427</t>
  </si>
  <si>
    <t>CCN(Cc1ccccn1)C1=C(CN(Cc2ccccn2)Cc2ncc(C)c(C)c2C)NC=CC1 7.759681 0.41935483870967744</t>
  </si>
  <si>
    <t>CNC1CC(NCc2ncc(C)c(C)c2C)CC(N(Cc2nc(C)c(C)c(C)c2C)Cc2nc(C)c(C)c(C)c2C)C1N(Cc1nc(C)c(C)c(C)c1C)Cc1nc(C)c(C)c(C)c1C 7.759681 0.20588235294117646</t>
  </si>
  <si>
    <t>COC(=O)C(=O)C(C)C1(C)N=COC1c1cccnc1CN(Cc1ccccn1)Cc1ccccn1 7.7596774 0.3508771929824561</t>
  </si>
  <si>
    <t>Cc1ccnc(CN(C)C2=C(CN(C)Cc3ccccn3)NC=CC2)c1 7.759664 0.4</t>
  </si>
  <si>
    <t>CCOC(=O)c1cccc(CN(Cc2ccccn2)Cc2ncccc2C(C)(C)C)n1 7.759661 0.4</t>
  </si>
  <si>
    <t>CN(C)c1cccc(F)c1 7.7596574 0.25</t>
  </si>
  <si>
    <t>Cc1cnc(CN(C)Cc2cc(C(C)(C)C)ccn2)c(C)c1 7.7596517 0.3617021276595745</t>
  </si>
  <si>
    <t>Cc1cccnc1CN(Cc1ccccn1)C1CCCC(N(C)c2ccc3nc(CN(C)C)ccc3c2)C1 7.759649 0.36923076923076925</t>
  </si>
  <si>
    <t>Cc1ccc(C)c(NCc2ccccn2)c1 7.759648 0.4594594594594595</t>
  </si>
  <si>
    <t>Cc1ccc(C)c(CN(C)C)n1 7.7596464 0.37142857142857144</t>
  </si>
  <si>
    <t>CC(C)C(C)N(C)Cc1cncc(-c2cccc(N)c2Cl)c1 7.759644 0.22033898305084745</t>
  </si>
  <si>
    <t>CN(CCN(Cc1ccccn1)C1(C)CCC1)c1cccc2ncccc12 7.759641 0.4</t>
  </si>
  <si>
    <t>Cc1cnc(CN(C)C2=CNC(CN(Cc3ccccn3)C(C)C)=CC2)c(C)c1 7.7596393 0.4067796610169492</t>
  </si>
  <si>
    <t>CC(C)NC1=C(N(C)Cc2ccccn2)CC=CN1 7.759639 0.42592592592592593</t>
  </si>
  <si>
    <t>Cc1cc(CNCC2CCCN2Cc2ccccn2)cnc1-c1cccc(N=Cc2ccccn2)c1 7.759633 0.38461538461538464</t>
  </si>
  <si>
    <t>CNCc1ccc(N(C)C)cn1 7.7596245 0.34210526315789475</t>
  </si>
  <si>
    <t>CCN(Cc1ccccn1)Cc1ncccc1C(C)(C)c1ncccc1CN(Cc1ncccc1C)Cc1ncccc1C(C)(C)C 7.759623 0.38461538461538464</t>
  </si>
  <si>
    <t>C=CCN(C)CC1=CCC=C(N(C)Cc2nc(C)c(C)c(C)c2C)N1 7.7596145 0.1864406779661017</t>
  </si>
  <si>
    <t>Cc1cncc(CN(Cc2ccccn2)C2CCCC(N(C)c3cccc4ncccc34)C2)c1C 7.7596054 0.3484848484848485</t>
  </si>
  <si>
    <t>CC(C)C1(C)COC(c2cc(CN(Cc3ccccn3)Cc3cc(C(C)(C)C)ccn3)ccn2)=N1 7.7596 0.3448275862068966</t>
  </si>
  <si>
    <t>COC(=O)C1CC(c2ccccn2)C(c2ncccc2CN(Cc2ccccn2)Cc2ccccn2)N(C)C1c1ccccn1 7.759598 0.3448275862068966</t>
  </si>
  <si>
    <t>CC1=C(C)C(C)(C)NC(NC(C)c2ccccn2)=C1 7.7595844 0.27450980392156865</t>
  </si>
  <si>
    <t>Cc1cc(C)c(CN(C)C2CCC(N(C)c3ccc4c(CF)ccnc4c3)CC2)cn1 7.759579 0.24242424242424243</t>
  </si>
  <si>
    <t>Cc1cnc(C)c(CN(C)C2CCC(N(C)c3ccc4ccc(CN(C)C)nc4c3)CC2)c1 7.7595787 0.3333333333333333</t>
  </si>
  <si>
    <t>Cc1cc(C)c(CN(C)CC2=CC(N(C)Cc3nc(C)c(C)cc3C)C=CN2)nc1C 7.7595754 0.3392857142857143</t>
  </si>
  <si>
    <t>Cc1cccc(CN(Cc2ccccn2)Cc2cc(CN(C)Cc3cc(C)c(C)c(C)n3)ccn2)n1 7.7595654 0.45454545454545453</t>
  </si>
  <si>
    <t>Cc1cnc(CN(C)C2CCC(N(C)c3cccc4ncccc34)CC2)c(C)c1C 7.759557 0.3114754098360656</t>
  </si>
  <si>
    <t>CC(C)C1=CCC(N(C)CC2=CCC(N(C)Cc3ccccn3)=CN2)=CN1 7.759553 0.40350877192982454</t>
  </si>
  <si>
    <t>COC(=O)C1CC(c2ccccn2)C(c2ccccn2)N(C)C1c1ncccc1CN(Cc1ccccn1)Cc1ccccn1 7.759553 0.3448275862068966</t>
  </si>
  <si>
    <t>CC1C=CC(C)C(C)(c2cc(CN(Cc3ccccn3)Cc3cccc(-c4cccc(N(C)C)c4)n3)ccn2)C1(C)C 7.759542 0.463768115942029</t>
  </si>
  <si>
    <t>Cc1cnc(CN(C)Cc2ccc(N(C)C(C)C)nc2)c(C)c1 7.759536 0.3541666666666667</t>
  </si>
  <si>
    <t>Cc1cc(C)c(C)c(CN(C)Cc2cc(C(C)(C)C)ccn2)c1C 7.7595315 0.3137254901960784</t>
  </si>
  <si>
    <t>COC(C)c1cccc(CN(Cc2ccccn2)Cc2cccc(N(C)C)n2)n1 7.7595296 0.46511627906976744</t>
  </si>
  <si>
    <t>Cc1cccc(CN(C)CC2=CCC(N(C)C3=CCC=CN3)=CN2)n1 7.759524 0.4230769230769231</t>
  </si>
  <si>
    <t>Cc1cccnc1C(C)c1ccccn1 7.759522 0.35</t>
  </si>
  <si>
    <t>CC1=C(C)CC2(CCC(c3cc(CN(Cc4ccccn4)Cc4ccccn4)ccn3)=C(c3ncccc3CN(Cc3ccccn3)Cc3ccccn3)C23CC(C)=C(C)C(C)C3)C(C)C1 7.7595177 0.273972602739726</t>
  </si>
  <si>
    <t>Cc1cncc(CN(C)Cc2ncc(C)c(C)c2C)c1 7.7595096 0.3111111111111111</t>
  </si>
  <si>
    <t>Cc1ccnc2ccc(N(C)CCN(Cc3ccccn3)CC(C)C(C)C)cc12 7.7595024 0.41818181818181815</t>
  </si>
  <si>
    <t>Cc1ccc(CN(C)C2=C(CN(C)Cc3ccccn3)NC=CC2)nc1 7.7595005 0.43137254901960786</t>
  </si>
  <si>
    <t>COC(C)c1ccc(CN(Cc2ccccn2)Cc2nc(C)c(C)c(C)c2C)c(CN(Cc2ccccn2)Cc2ccccn2)n1 7.75949 0.4</t>
  </si>
  <si>
    <t>CN(CC1=CCC(N(C)Cc2ccccn2)=CN1)Cc1ccccn1 7.759487 0.4791666666666667</t>
  </si>
  <si>
    <t>CC1N=COC1c1ncccc1CN(C)Cc1ccc(N)cn1 7.7594857 0.3333333333333333</t>
  </si>
  <si>
    <t>Cc1cncc(CN(C)C2CCC(N(C)Cc3ccccn3)CC2N(Cc2ncccc2C)c2ccc3ncccc3c2)c1 7.759484 0.38028169014084506</t>
  </si>
  <si>
    <t>CN(c1ccc2ccc(CF)nc2c1)C1CCCCC1N(Cc1ccccn1)Cc1cccc(C(C)(C)c2ccccn2)n1 7.7594786 0.42028985507246375</t>
  </si>
  <si>
    <t>Cc1cnc(C)c(CN(Cc2ccccn2)C2CCCC(N(C)c3cccc4cc(CF)cnc34)C2)c1 7.759472 0.3287671232876712</t>
  </si>
  <si>
    <t>CNCc1nccc2cccc(N(C)C3CCC(N(Cc4ccccn4)Cc4ccon4)CC3)c12 7.7594676 0.3283582089552239</t>
  </si>
  <si>
    <t>CNCC1=CCC(N(Cc2ccccn2)Cc2ccccn2)=CN1 7.759462 0.41509433962264153</t>
  </si>
  <si>
    <t>Cc1cccnc1CN(C)C1CCC(N(C)Cc2ccccn2)CC1N(Cc1ncccc1C)c1ccc2nc(CF)ccc2c1 7.759458 0.40298507462686567</t>
  </si>
  <si>
    <t>CN1CCN(C)CCN(Cc2cnccc2-c2cc(N)cc3cccnc23)CC1 7.759451 0.3888888888888889</t>
  </si>
  <si>
    <t>Cc1ccc(CN(C)CC2=CNC=C(N(C)Cc3cncc(C)c3)C2)nc1 7.759444 0.4230769230769231</t>
  </si>
  <si>
    <t>Cc1cncc(CN(C)CC2=CNC=C(N(C)Cc3ccccn3)C2)c1 7.759442 0.3793103448275862</t>
  </si>
  <si>
    <t>CCN(Cc1ccccn1)C1=C(CN(Cc2ccccn2)Cc2cc(C)c(C)c(C)n2)NC=CC1 7.759439 0.4126984126984127</t>
  </si>
  <si>
    <t>CNC1C(NCc2cc(C)c(C)c(C)n2)CC(N(Cc2nc(C)c(C)c(C)c2C)Cc2nc(C)c(C)c(C)c2C)CC1N(Cc1nc(C)c(C)c(C)c1C)Cc1nc(C)c(C)c(C)c1C 7.759439 0.19117647058823528</t>
  </si>
  <si>
    <t>Cc1nc(CN(C)C2CCCCC2N(C)c2ccc3ccc(CF)nc3c2)c(C)c(C)c1C 7.759431 0.45</t>
  </si>
  <si>
    <t>CNCC1=CCC(N(C)Cc2nccc(C)c2C)=CN1 7.7594266 0.2153846153846154</t>
  </si>
  <si>
    <t>CC1=CC=C(SCc2ccccn2)NC1NCc1ccccn1 7.759418 0.37777777777777777</t>
  </si>
  <si>
    <t>CNCC1=C(N(C)Cc2ncc(C)c(C)c2C)CC=CN1 7.759414 0.2222222222222222</t>
  </si>
  <si>
    <t>Cc1cccnc1CN(C)C1CCC(N(C)c2ccc3c(CN(C)C)ccnc3c2)CC1 7.759414 0.2698412698412698</t>
  </si>
  <si>
    <t>Cc1cccnc1CN(Cc1cccnc1C(C)(c1cccnc1)C(C)N)Cc1ncccc1C 7.7594104 0.24193548387096775</t>
  </si>
  <si>
    <t>CNc1cccc(CN(C)C2CCCC(N(C)c3cccc4ncc(CF)cc34)C2)n1 7.7594085 0.31343283582089554</t>
  </si>
  <si>
    <t>CC(N)C1=CCC(N(C)CC2=CCC(N(C)Cc3ccccn3)=CN2)=CN1 7.759397 0.3898305084745763</t>
  </si>
  <si>
    <t>Cc1cc(C)c(CN(C)CCN(Cc2ccccn2)C(C)(C)c2cccnc2CN(Cc2nc(C)c(C)c(C)c2C)Cc2nc(C)c(C)c(C)c2C)cn1 7.7593923 0.32051282051282054</t>
  </si>
  <si>
    <t>CC1=C(N(C)CC2=CCC=C(N(C)Cc3ccccn3)N2)C(C)CC(C)C1 7.7593837 0.359375</t>
  </si>
  <si>
    <t>Cc1cncc(CN(C)Cc2cc(N(C)C(C)(C)c3cccnc3)ccn2)c1 7.759381 0.27586206896551724</t>
  </si>
  <si>
    <t>CC(C)NCCN(C)c1cccc(N(C)Cc2cccnn2)c1 7.759379 0.4666666666666667</t>
  </si>
  <si>
    <t>CC1C=Cc2cccnc2C1 7.759372 0.2553191489361702</t>
  </si>
  <si>
    <t>CNC1CC(NCc2cc(C)c(C)c(C)n2)CC(N(Cc2nc(C)c(C)c(C)c2C)Cc2nc(C)c(C)c(C)c2C)C1N(Cc1nc(C)c(C)c(C)c1C)Cc1nc(C)c(C)c(C)c1C 7.7593718 0.19117647058823528</t>
  </si>
  <si>
    <t>CC(c1ccccn1)(c1cccc(CN(Cc2ccccn2)Cc2ccccn2)n1)c1cccc(C2CCC2(C)C)n1 7.7593713 0.4032258064516129</t>
  </si>
  <si>
    <t>CN(CC1=CC(N(C)Cc2ccccn2)C=CN1)c1ccccc1F 7.759366 0.4074074074074074</t>
  </si>
  <si>
    <t>CNCc1cccc(CN(Cc2ccccn2)c2ccc(F)cc2)n1 7.75936 0.4489795918367347</t>
  </si>
  <si>
    <t>Cc1cncc(CN(C)Cc2nc(C)cc(C)c2C)c1 7.7593565 0.25</t>
  </si>
  <si>
    <t>Cc1cc(CN(C)C2CCC(N(C)c3ccc4nc(CF)ccc4c3)CC2)nc(C)c1C 7.7593513 0.3230769230769231</t>
  </si>
  <si>
    <t>Cc1cccc(CN(C)C2CCCC(N(C)c3cccc4ncc(CN(C)C)cc34)C2)n1 7.7593503 0.4406779661016949</t>
  </si>
  <si>
    <t>CNCc1cccc(C2=NC(C)C(C)O2)n1 7.7593427 0.2765957446808511</t>
  </si>
  <si>
    <t>Cc1cncc(CN(C)C2CC(N(C)Cc3cc(-c4ccccn4)ccn3)CC(N(Cc3nc(C)c(C)c(C)c3C)Cc3nc(C)c(C)c(C)c3C)C2)c1 7.7593427 0.2916666666666667</t>
  </si>
  <si>
    <t>CCN(Cc1ccccn1)Cc1cccc(N(C)Cc2ncccc2C)n1 7.759337 0.4318181818181818</t>
  </si>
  <si>
    <t>CNCc1cc(CN(Cc2cc(C)c(C)cn2)Cc2cc(C)c(C)c(C)n2)ccn1 7.7593346 0.3</t>
  </si>
  <si>
    <t>COC(=O)C1CC(c2ccccn2)C(c2ccccn2)N(C)C1c1ccccn1 7.7593317 0.43859649122807015</t>
  </si>
  <si>
    <t>CN(Cc1ccc(Cl)cn1)C1=CNC(C(C)(C)N)=CC1 7.7593317 0.2807017543859649</t>
  </si>
  <si>
    <t>Cc1cnc(CN(C)Cc2cccnc2C)c(C)c1C 7.7593265 0.391304347826087</t>
  </si>
  <si>
    <t>Cc1cc(CN(C)C2CCCC(N(C)c3ccc4cccnc4c3)C2)cc(NCc2ccccn2)c1 7.7593255 0.3333333333333333</t>
  </si>
  <si>
    <t>Cc1cccnc1CN(C)C1CCC(N(C)c2ccc3nccc(CN(C)C)c3c2)CC1 7.7593246 0.265625</t>
  </si>
  <si>
    <t>CC(C)C(C)CN(CCN(C)c1ccc2nccc(CN(C)C)c2c1)Cc1ccccn1 7.7593236 0.42857142857142855</t>
  </si>
  <si>
    <t>Cc1cccnc1CN(Cc1cccc(N(C)Cc2ccccn2)c1)C(C)C 7.759322 0.46</t>
  </si>
  <si>
    <t>CNC1C(N(Cc2nc(C)c(C)c(C)c2C)Cc2nc(C)c(C)c(C)c2C)CC(NCc2cc(C)c(C)c(C)n2)CC1N(Cc1nc(C)c(C)c(C)c1C)Cc1nc(C)c(C)c(C)c1C 7.759309 0.203125</t>
  </si>
  <si>
    <t>Cc1cc(C)c(C)c(CN(C)CC2C=CNC(N(C)Cc3ccccn3)=C2)n1 7.759308 0.36065573770491804</t>
  </si>
  <si>
    <t>CNC1C(N(Cc2nc(C)c(C)c(C)c2C)Cc2nc(C)c(C)c(C)c2C)CCC(N(Cc2ccc(C)cn2)Cc2nc(C)c(C)c(C)c2C)C1N(Cc1nc(C)c(C)c(C)c1C)Cc1nc(C)c(C)c(C)c1C 7.759307 0.4107142857142857</t>
  </si>
  <si>
    <t>Cc1cc(C)c(CN(C)C2=CNC(CN(Cc3ccccn3)C(C)C)=CC2)nc1C 7.7593036 0.41379310344827586</t>
  </si>
  <si>
    <t>C1=CNC(NCc2ccccn2)C(c2ccccc2)=C1 7.759303 0.3953488372093023</t>
  </si>
  <si>
    <t>Cc1cncc(CN(Cc2ccccn2)C2CCC(N(C)c3ccc4c(CN(C)C)ccnc4c3)CC2)c1 7.7592945 0.3235294117647059</t>
  </si>
  <si>
    <t>Cc1cc(NCc2ccccn2)ccc1CN(C)C1CCC(N(C)c2ccc3cccnc3c2)CC1 7.7592926 0.3283582089552239</t>
  </si>
  <si>
    <t>COC(=O)C(=O)C(C)c1cc(CN(Cc2ccccn2)Cc2ccccn2)ccn1 7.75929 0.43478260869565216</t>
  </si>
  <si>
    <t>Cc1cnc2cccc(N(C)CCN(C)C(C)C(C)N)c2c1 7.7592874 0.36</t>
  </si>
  <si>
    <t>CCOC(=O)c1ccc(CN(Cc2ccccn2)Cc2ccccn2)cn1 7.759283 0.47619047619047616</t>
  </si>
  <si>
    <t>Cc1cnc(CN(C)C2CCCCC2N(C)c2ccc3c(CF)ccnc3c2)c(C)c1C 7.7592826 0.3709677419354839</t>
  </si>
  <si>
    <t>Cc1cnc(CN(C)c2cccc(CN(CCF)Cc3ncccc3C)n2)c(C)c1 7.759281 0.3220338983050847</t>
  </si>
  <si>
    <t>Cc1cnc(CN(C)C2CCCCC2N(C)c2ccc3c(CN(C)C)ccnc3c2)cc1C 7.7592783 0.45614035087719296</t>
  </si>
  <si>
    <t>CCN(Cc1ccccn1)c1cccnc1CN(C)Cc1cccc(C)n1 7.759276 0.5</t>
  </si>
  <si>
    <t>CCOC(=O)c1cc(CN(Cc2ccccn2)Cc2cccc(C(C)(C)C)n2)ccn1 7.759267 0.3880597014925373</t>
  </si>
  <si>
    <t>CC(C)C1=CC2(C=CN1)C=C(c1ncccc1CN(Cc1ccccn1)Cc1ccccn1)CC(C)(C)C2c1ncccc1CN(Cc1ccccn1)Cc1ccccn1 7.759267 0.3424657534246575</t>
  </si>
  <si>
    <t>CNc1cc(C)ccn1 7.7592587 0.34210526315789475</t>
  </si>
  <si>
    <t>CN(Cc1ncccc1C(C)(C)C)c1ccccc1 7.759255 0.32608695652173914</t>
  </si>
  <si>
    <t>CCN(Cc1cc(C2=NC(C)(C)CO2)ccn1)Cc1cc(C(C)(C)C)ccn1 7.7592516 0.32727272727272727</t>
  </si>
  <si>
    <t>Cc1ccnc(CN(C)C2=C(CN(Cc3cc(C)cc(C)n3)C(C)C)NC=CC2)c1 7.759251 0.29508196721311475</t>
  </si>
  <si>
    <t>Cc1ccc(NCc2ccccn2)c(CN(C)C2CCCC(N(C)c3ccc4cccnc4c3)C2)c1 7.7592473 0.3382352941176471</t>
  </si>
  <si>
    <t>CN(CC1=C(N(C)Cc2ccccn2)NC=CC1)Cc1ccccn1 7.7592435 0.4489795918367347</t>
  </si>
  <si>
    <t>Cc1cnc(C)c(CN(C)C)c1 7.759241 0.3611111111111111</t>
  </si>
  <si>
    <t>CCCN(Cc1ccccn1)Cc1ncccc1N(C)Cc1nccc(C)c1C 7.759232 0.46</t>
  </si>
  <si>
    <t>CCNCC1=CCC=C(N(C)Cc2nc(C)c(C)cc2C)N1 7.7592273 0.1935483870967742</t>
  </si>
  <si>
    <t>CC1=CC(C)C(C)C2(C1)C(c1cc(CN(Cc3ccccn3)Cc3ccccn3)ccn1)=C(c1cc(CN(Cc3ccccn3)C3CCC(N(C)c4ccc5nccc(CF)c5c4)CC3)ccn1)CCC21CC(C)=C(C)CC1C 7.759222 0.22115384615384615</t>
  </si>
  <si>
    <t>COC(=O)C(=O)C(C)c1ncccc1CN(Cc1ccccn1)Cc1ccccn1 7.759222 0.45454545454545453</t>
  </si>
  <si>
    <t>CN(c1cccc2cc(CF)cnc12)C1CCCCC1N(Cc1ccccn1)C1=CCC=CN1 7.759217 0.4305555555555556</t>
  </si>
  <si>
    <t>Cc1cccc(CN(C)Cc2ncccc2C(C)(C)c2ccccn2)c1C 7.7592144 0.35185185185185186</t>
  </si>
  <si>
    <t>CN(c1cccc2nc(CF)ccc12)C1CCC(N(Cc2ccc(N)cn2)Cc2cccc(F)n2)CC1 7.759208 0.3380281690140845</t>
  </si>
  <si>
    <t>CN(Cc1cc(N)ccn1)C1=C(C(C)(C)N)NC=CC1 7.759206 0.2807017543859649</t>
  </si>
  <si>
    <t>CN(Cc1ccccn1)Cc1ccc(N(C)C(C)(C)c2ccccn2)cn1 7.7592015 0.48936170212765956</t>
  </si>
  <si>
    <t>CN(C)CC1C(N(C)c2cccc3ncc(CF)cc23)CCN1C 7.7591968 0.3181818181818182</t>
  </si>
  <si>
    <t>Cc1cc(C)c(C)c(CN(C)C2CCC(N(C)c3ccc4ncc(CF)cc4c3)CC2)n1 7.7591953 0.23529411764705882</t>
  </si>
  <si>
    <t>CCN(Cc1ccccn1)c1cccnc1CN(Cc1ccccn1)Cc1ncccc1N 7.7591934 0.4878048780487805</t>
  </si>
  <si>
    <t>CC(C)C(C)(c1cccnc1)c1cc(CN(Cc2ccccn2)C2CCC(N(C)c3ccc4c(CF)ccnc4c3)CC2)ccn1 7.7591925 0.2682926829268293</t>
  </si>
  <si>
    <t>CCN=Cc1cc(CN(Cc2ccccn2)C2CCC(N(C)c3ccc4nccc(C)c4c3)CC2)ccn1 7.7591896 0.3055555555555556</t>
  </si>
  <si>
    <t>CC1C=Cc2ncccc2C1N(C)Cc1ccccn1 7.759189 0.5</t>
  </si>
  <si>
    <t>CNc1cnc(CN(Cc2ccccn2)C2CCCCC2N(C)c2ccc3nc(CF)ccc3c2)c(C)c1 7.7591887 0.3783783783783784</t>
  </si>
  <si>
    <t>CNCc1cc(CN(C)C2CCC(N(C)Cc3nc(-c4ccc5ncccc5c4)ccc3C)CC2)ccn1 7.759185 0.2714285714285714</t>
  </si>
  <si>
    <t>CC(C)C1=CC2(C=CN1)C=C(c1ncccc1CN(Cc1ccccn1)Cc1ccccn1)CC(C)(C)C2c1ccc(CN(Cc2ccccn2)Cc2ccccn2)cn1 7.759185 0.3</t>
  </si>
  <si>
    <t>Cc1cnc(CN(Cc2ccc(N)c(C)n2)CN(C)Cc2cc(C)c(C)c(C)n2)c(C)c1 7.759184 0.32142857142857145</t>
  </si>
  <si>
    <t>CC(C)N(Cc1ccccn1)c1cc(N(C)Cc2cc(-c3ccc4c(c3)OCCOCCOCCOCCOCCO4)ccn2)c2ncccc2c1 7.759183 0.34782608695652173</t>
  </si>
  <si>
    <t>CN(Cc1ccon1)C1CCCC(N(C)c2cccc3ncccc23)C1 7.7591753 0.34545454545454546</t>
  </si>
  <si>
    <t>Cc1cc(C)nc(CN(C)C2NC=CC=C2NCc2ccccn2)c1 7.7591743 0.3442622950819672</t>
  </si>
  <si>
    <t>Cc1cccnc1CN(C)Cc1c(C)ncc(C)c1C 7.7591743 0.32</t>
  </si>
  <si>
    <t>CCN(Cc1ccccn1)c1ccc(CN(C)Cc2ccccn2)c(C)c1C 7.759173 0.4583333333333333</t>
  </si>
  <si>
    <t>Cc1cccc(CN(C)C2=C(CN(C)Cc3cccc(F)n3)NC=CC2)n1 7.7591724 0.4489795918367347</t>
  </si>
  <si>
    <t>Cc1cc(CN(C)C2CCCC(N(C)c3ccc4c(CN(C)C)ccnc4c3)C2)ccn1 7.75917 0.24615384615384617</t>
  </si>
  <si>
    <t>Cc1ccnc(CN(C)C2CCCC(N(C)c3ccc4nccc(CN(C)C)c4c3)C2)c1 7.7591634 0.30158730158730157</t>
  </si>
  <si>
    <t>CC(C)C1=CC2(C=CN1)C=C(c1ccc(CN(Cc3ccccn3)Cc3ccccn3)cn1)CC(C)(C)C2c1ccc(CN(Cc2ccccn2)Cc2ccccn2)cn1 7.7591634 0.32</t>
  </si>
  <si>
    <t>Cc1ccc(CN(C)C2=CNC(CN(C)Cc3ccccn3)=CC2)cn1 7.759163 0.39655172413793105</t>
  </si>
  <si>
    <t>Cc1cc(CN(C)Cc2ncc(C)c(C)c2C)ccn1 7.759161 0.30434782608695654</t>
  </si>
  <si>
    <t>CC1=CCCC=C1C(C)(c1ccccn1)c1ccccn1 7.7591558 0.4186046511627907</t>
  </si>
  <si>
    <t>FCNCc1cc(C(c2ccccn2)c2ccccn2)ccn1 7.759144 0.4146341463414634</t>
  </si>
  <si>
    <t>Cc1cccnc1CN(Cc1ccccn1)Cc1cccc(NCc2ccccn2)n1 7.759141 0.47619047619047616</t>
  </si>
  <si>
    <t>CC(C)C(C)N(C)Cc1ncccc1-c1cccc(Cl)c1N 7.7591333 0.3076923076923077</t>
  </si>
  <si>
    <t>CCN(Cc1ccccn1)Cc1cc(C(C)(C)c2cc(CN(Cc3cc(C)ccn3)Cc3cc(C(C)(C)C)ccn3)ccn2)ccn1 7.7591314 0.38461538461538464</t>
  </si>
  <si>
    <t>Cc1ncc(CN(C)C2CCC(N(C)c3ccc4cccnc4c3)CC2)c(C)c1C 7.759128 0.3064516129032258</t>
  </si>
  <si>
    <t>Cc1cc(CN(C)C2CCC(N(C)c3ccc4nccc(CF)c4c3)CC2)cnc1C 7.759127 0.23529411764705882</t>
  </si>
  <si>
    <t>C1=CC(NCc2ccccn2)NC(N(Cc2ccccn2)Cc2ccccn2)=C1 7.759122 0.3953488372093023</t>
  </si>
  <si>
    <t>CCOC(=O)c1cccc(CN(Cc2ccccn2)Cc2cc(C(C)(C)C)ccn2)n1 7.759121 0.40625</t>
  </si>
  <si>
    <t>Cc1cc(C)c(CN(C)CC2C=CNC(N(C)Cc3ccccn3)=C2)nc1C 7.759109 0.36666666666666664</t>
  </si>
  <si>
    <t>CCN(CC1=CCC=C(N(C)Cc2ccccn2)N1)C(C)(C)c1ccccn1 7.7591047 0.39285714285714285</t>
  </si>
  <si>
    <t>CNC1C(NCc2nc(C)c(C)cc2C)CC(N(Cc2nc(C)c(C)c(C)c2C)Cc2nc(C)c(C)c(C)c2C)CC1N(Cc1nc(C)c(C)c(C)c1C)Cc1nc(C)c(C)c(C)c1C 7.759104 0.17647058823529413</t>
  </si>
  <si>
    <t>CN(C)Cc1ccc2cc(N(C)C3CCC(N(C)Cc4ccon4)CC3)ccc2n1 7.7590985 0.39215686274509803</t>
  </si>
  <si>
    <t>Cc1cnc(CN(C)C2CCC(N(C)c3ccc4c(CF)ccnc4c3)CC2)c(C)c1 7.7590966 0.27692307692307694</t>
  </si>
  <si>
    <t>FCNCc1ncccc1C(c1ccccn1)c1ccccn1 7.7590947 0.3333333333333333</t>
  </si>
  <si>
    <t>CCN(Cc1ccccn1)C1=CNC=C(CN(Cc2ccccn2)Cc2cc(C)c(C)c(C)n2)C1 7.759094 0.37735849056603776</t>
  </si>
  <si>
    <t>C1=CNC(c2ccccc2)C(NCc2ccccn2)=C1 7.759091 0.3953488372093023</t>
  </si>
  <si>
    <t>Cc1ccc(CN(C)C2=C(CN(C)C)NC=CC2)nc1 7.75909 0.4444444444444444</t>
  </si>
  <si>
    <t>Cc1cc(C)nc(CN(C)C2CCC(N(C)c3ccc4nccc(CF)c4c3)CC2)c1 7.759088 0.2923076923076923</t>
  </si>
  <si>
    <t>CN(Cc1cccc(N)n1)Cc1cccc(Cl)n1 7.759087 0.4473684210526316</t>
  </si>
  <si>
    <t>CNC1C(N(Cc2ncccc2C)Cc2ncccc2C)CCCC1N(Cc1ncccc1C)c1ccc2nc(CF)ccc2c1 7.759085 0.3150684931506849</t>
  </si>
  <si>
    <t>Cc1cc(CN(C)C2CCC(N(C)Cc3ccccn3)C(N(Cc3ccccn3)c3ccc4ncccc4c3)C2)cnc1C 7.7590833 0.4153846153846154</t>
  </si>
  <si>
    <t>Cc1cccc(CN(C)C2=CCC=C(CN(Cc3ccccn3)C(C)C)N2)n1 7.7590823 0.4444444444444444</t>
  </si>
  <si>
    <t>Cc1cnc(CN(Cc2ccccn2)Cc2ncccc2N(C)C(C)C)c(C)c1C 7.7590795 0.46938775510204084</t>
  </si>
  <si>
    <t>Cc1cccnc1CN(CCN(C)Cc1cccc2ncccc12)C(C)C 7.759074 0.43137254901960786</t>
  </si>
  <si>
    <t>Cc1ccc(CN(C)C2=CNC=C(CN(C)Cc3ccccn3)C2)nc1 7.7590723 0.44</t>
  </si>
  <si>
    <t>CN1CCN(C)CCN(Cc2ccc(-c3cc(N)cc4ncccc34)nc2)CC1 7.759072 0.3888888888888889</t>
  </si>
  <si>
    <t>Cc1cccnc1CN(C)C1=CCC=C(C(C)C)N1 7.7590685 0.25925925925925924</t>
  </si>
  <si>
    <t>Cc1cc(CN(C)Cc2ncccc2C(C)(C)C)nc(C)c1C 7.7590675 0.3333333333333333</t>
  </si>
  <si>
    <t>CC(C)C(C)N(C)Cc1ccc(-c2cccc(N)c2Cl)cn1 7.7590666 0.3018867924528302</t>
  </si>
  <si>
    <t>Cc1cccnc1CN(Cc1ncc(CN(Cc2ncccc2C)c2ccc3ncccc3c2)cc1C)Cc1ncccc1-c1ccc2c(c1)OCCOCCOCCOCCOCCO2 7.759059 0.27906976744186046</t>
  </si>
  <si>
    <t>Cc1cc(CN(C)C2CCCCC2N(C)c2ccc3nc(CN(C)C)ccc3c2)nc(C)c1C 7.759049 0.42105263157894735</t>
  </si>
  <si>
    <t>CNc1cccnc1C 7.7590427 0.2647058823529412</t>
  </si>
  <si>
    <t>CN(Cc1cccc(C2CCC2(C)C)n1)Cc1ncccc1C(C)(c1ccccn1)c1ccccn1 7.7590346 0.3870967741935484</t>
  </si>
  <si>
    <t>Cc1ccccc1CN(C)CC1=CCC(N(C)Cc2ncccc2C)=CN1 7.7590265 0.3333333333333333</t>
  </si>
  <si>
    <t>CC(C)C(C)(c1cccnc1)c1cc(CN(Cc2ccccn2)C2CCC(N(C)c3ccc4nccc(CF)c4c3)CC2)ccn1 7.759021 0.26506024096385544</t>
  </si>
  <si>
    <t>Cc1cnc(CN(C)Cc2cc(N(C)C(C)C)ccn2)c(C)c1 7.759014 0.375</t>
  </si>
  <si>
    <t>CNC1C(N(Cc2nc(C)c(C)c(C)c2C)Cc2nc(C)c(C)c(C)c2C)CC(NCc2nc(C)c(C)cc2C)CC1N(Cc1nc(C)c(C)c(C)c1C)Cc1nc(C)c(C)c(C)c1C 7.7590117 0.1875</t>
  </si>
  <si>
    <t>Cc1ccc(C)c(CN(C)CC2=C(N(C)Cc3ccccn3)CC=CN2)c1C 7.759011 0.3770491803278688</t>
  </si>
  <si>
    <t>Cc1cnc(CN(C)Cc2cc(C)c(C)cn2)c(C)c1 7.7590084 0.46153846153846156</t>
  </si>
  <si>
    <t>Cc1cc(C)c(C)c(CN(C)Cc2cccnc2C)n1 7.759008 0.40425531914893614</t>
  </si>
  <si>
    <t>CNCc1ncccc1C1=NC(C)(C)CO1 7.7590065 0.4318181818181818</t>
  </si>
  <si>
    <t>Cc1ccc(CN(Cc2ncc(C)c(C)c2C)C2CC(N(Cc3ncc(C)c(C)c3C)Cc3ncc(C)c(C)c3C)CCC2N(C)Cc2cc(-c3ccccn3)ccn2)nc1 7.7590017 0.4117647058823529</t>
  </si>
  <si>
    <t>Cc1cc(C)c(C)c(CN(C)C2CCCC(N(C)c3ccc4cccnc4c3)C2)n1 7.7589855 0.2923076923076923</t>
  </si>
  <si>
    <t>Cc1cc(C)nc(CN(Cc2cccnc2)Cc2ccon2)c1 7.7589846 0.3673469387755102</t>
  </si>
  <si>
    <t>Cc1ccc(CN(C)C2CCCC(N(C)c3cccc4c(CN(C)C)ccnc34)C2)nc1 7.7589827 0.4406779661016949</t>
  </si>
  <si>
    <t>CN(Cc1ccccn1)Cc1cc(N(C)C(C)(C)c2ccccn2)ccn1 7.7589674 0.4583333333333333</t>
  </si>
  <si>
    <t>CC(C)C(C)N(C)CC1=CC(N(C)c2ccc3ncc(CF)cc3c2)C=CN1 7.7589602 0.2714285714285714</t>
  </si>
  <si>
    <t>Cc1cnc(CN(C)C2CCC(N(C)c3ccc4nccc(CF)c4c3)CC2)c(C)c1 7.758959 0.2727272727272727</t>
  </si>
  <si>
    <t>Cc1cc(CN(C)CC2=C(N(C)Cc3ccccn3)CC=CN2)ccn1 7.7589498 0.38596491228070173</t>
  </si>
  <si>
    <t>CNC1C=CC(N(C)Cc2cc(C)ccn2)=CN1 7.7589493 0.3148148148148148</t>
  </si>
  <si>
    <t>CCOC(=O)c1cc(CN(Cc2ccccn2)Cc2ccccn2)ccn1 7.758943 0.47619047619047616</t>
  </si>
  <si>
    <t>Cc1ccc(CN(C)CC2=CNC=C(N(C)Cc3ccccn3)C2)nc1 7.7589264 0.44</t>
  </si>
  <si>
    <t>Cc1cccnc1CN(C)Cc1ncccc1CN(C)Cc1cc(C)c(C)c(C)n1 7.758923 0.37254901960784315</t>
  </si>
  <si>
    <t>CN1CCN(C)CCN(Cc2cccnc2-c2cc(N)cc3ncccc23)CC1 7.758923 0.4117647058823529</t>
  </si>
  <si>
    <t>CCOC(=O)c1cc(CN(Cc2ccccn2)Cc2ncccc2C(C)(C)C)ccn1 7.7589135 0.37735849056603776</t>
  </si>
  <si>
    <t>CC(C)(c1ccnc(CNCc2ccnc(C(C)(C)c3cc(C4CCC4(C)C)ccn3)c2)c1)c1ccccn1 7.758913 0.27419354838709675</t>
  </si>
  <si>
    <t>CC1=C(C)C(C)C(N(C)Cc2ncccc2-c2cccc(N(C)C)c2)CC1 7.7589097 0.3114754098360656</t>
  </si>
  <si>
    <t>Cc1cc(C)c2cccc(N(C)C3CCC(N(C)Cc4cccc(F)n4)CC3)c2n1 7.7589087 0.3793103448275862</t>
  </si>
  <si>
    <t>CC(NCc1cc(C(=O)C(=O)C(=O)C(C)NCc2ccccn2)ccn1)C(=O)OC1C=CC=CN1 7.758905 0.3194444444444444</t>
  </si>
  <si>
    <t>Cc1ccnc(CN(C)CC2=C(N(C)Cc3cc(C)ccn3)CC=CN2)c1 7.7588997 0.3584905660377358</t>
  </si>
  <si>
    <t>Cc1ccc(C)c(CN(C)C2CCCC(N(C)c3ccc4nc(CN(C)C)ccc4c3)C2)n1 7.758895 0.3225806451612903</t>
  </si>
  <si>
    <t>CNc1cccc(CN(Cc2ccccn2)C2CCCC(N(C)c3ccc4ccc(CF)nc4c3)C2)n1 7.7588944 0.36923076923076925</t>
  </si>
  <si>
    <t>CNCc1ccc2cccc(N(C)C3CCC(N(Cc4ccccn4)Cc4nc(C)c(C)c(C)c4C)CC3)c2n1 7.758891 0.3611111111111111</t>
  </si>
  <si>
    <t>CC(C=O)C(=O)C(=O)C(=O)C(C)C(=O)C(=O)C(=O)C(C)C(=O)C(=O)C(=O)C(C)C(=O)C(=O)C(=O)C(C)C(=O)C(=O)C(=O)C(C)C(=O)C(=O)C(=O)C(C)C(=O)C(=O)C(=O)C(C)C(=O)C(=O)C(=O)C(=O)C(C)C(=O)c1cccc(C2CCC2(C)C)n1 7.7588882 0.20270270270270271</t>
  </si>
  <si>
    <t>Cc1cnc(CN(Cc2ccccn2)C2CCC(N(C)c3cccc4nc(CF)ccc34)CC2)c(C)c1 7.7588854 0.32</t>
  </si>
  <si>
    <t>CN(C1=CCC=CN1)C1CCCC(N(C)c2ccc3cccnc3c2)C1 7.7588835 0.3064516129032258</t>
  </si>
  <si>
    <t>CN1CCN(C)CCN(Cc2cncc(-c3cc(N)c4cccnc4c3)c2)CC1 7.758876 0.3888888888888889</t>
  </si>
  <si>
    <t>CCN(Cc1ccccn1)c1ccc(C)cc1C 7.758872 0.45454545454545453</t>
  </si>
  <si>
    <t>Cc1cnc(C)c(CN(C)C2CCCC(N(C)c3ccc4ccc(CN(C)C)nc4c3)C2)c1 7.7588687 0.3387096774193548</t>
  </si>
  <si>
    <t>Cc1ccc(CN(C)CC2=C(N(C)Cc3cc(C)ccn3)CC=CN2)nc1 7.7588677 0.4230769230769231</t>
  </si>
  <si>
    <t>c1ccc(N(Cc2cccnc2)Cc2cccnn2)cc1 7.7588625 0.4418604651162791</t>
  </si>
  <si>
    <t>Cc1ccnc(CN(Cc2ccccn2)C2CCCCC2N(C)c2cccc3ncc(CN(C)C)cc23)c1C 7.7588573 0.3939393939393939</t>
  </si>
  <si>
    <t>Cc1cccnc1CN(C)C1=C(CN(Cc2ccon2)C(C)C)NC=CC1 7.7588534 0.31666666666666665</t>
  </si>
  <si>
    <t>CC(C)C1=CC2(C=CN1)C=C(c1cc(CN(Cc3ccccn3)Cc3ccccn3)ccn1)CC(C)(C)C2c1ncccc1CN(Cc1ccccn1)Cc1ccccn1 7.758852 0.32051282051282054</t>
  </si>
  <si>
    <t>CNCc1nc(CN(Cc2ccccn2)C2CCC(N(C)c3ccc4c(CF)ccnc4c3)CC2)c(C)c(C)c1C 7.758842 0.3013698630136986</t>
  </si>
  <si>
    <t>COC(=O)NC(C)C(=O)C(=O)C(=O)OC 7.75884 0.14035087719298245</t>
  </si>
  <si>
    <t>CNC1NC=CC=C1N(C)Cc1c(C)ccnc1C 7.7588396 0.24193548387096775</t>
  </si>
  <si>
    <t>CNCc1nccc2cccc(N(C)C3CCCCC3N(Cc3ccccn3)Cc3nc(C)c(C)c(C)c3C)c12 7.7588344 0.3880597014925373</t>
  </si>
  <si>
    <t>Cc1cc(CN(C)C2=CCC=C(CN(C)C(C)C)N2)nc(C)c1C 7.7588243 0.19696969696969696</t>
  </si>
  <si>
    <t>Cc1ccc(CN(C)Cc2nc(C)c(C)cc2C)cn1 7.7588243 0.2765957446808511</t>
  </si>
  <si>
    <t>Cc1cc(C)nc(CN(C)Cc2ccc(N)cn2)c1 7.7588205 0.4634146341463415</t>
  </si>
  <si>
    <t>Cc1cccc(CN(C)C2C=CNC(CN(C)Cc3cccc(C4=NC(C)CO4)n3)=C2)n1 7.75882 0.36923076923076925</t>
  </si>
  <si>
    <t>CCCNCc1c(C)ccc(N(C)Cc2ccccn2)c1C 7.7588196 0.46938775510204084</t>
  </si>
  <si>
    <t>CC(C)C1=CCC2=C(N1)C(C)C(C)(C)C(c1ncccc1CN(Cc1ccccn1)Cc1ccccn1)=C2 7.7588153 0.3448275862068966</t>
  </si>
  <si>
    <t>CC(C)C1=CC2(C=CN1)C(c1cc(CN(Cc3ccccn3)Cc3ccccn3)ccn1)=CCC(c1cc(CN(Cc3ccccn3)Cc3cc(C(C)(C)C)ccn3)ccn1)C2(C)C 7.758813 0.30864197530864196</t>
  </si>
  <si>
    <t>CNC1C(N(C)Cc2nc(C)c(C)c(C)c2C)CCC(N(Cc2nc(C)c(C)c(C)c2C)Cc2nc(C)c(C)c(C)c2C)C1N(Cc1nc(C)c(C)c(C)c1C)Cc1nc(C)c(C)c(C)c1C 7.7588124 0.26785714285714285</t>
  </si>
  <si>
    <t>C#Cc1cccc(CN(C)Cc2ccccn2)c1N(C)Cc1ccccn1 7.758811 0.48148148148148145</t>
  </si>
  <si>
    <t>CC(N)C1(C)COC(c2ccc(CN(Cc3ccccn3)Cc3ccc(C(C)(C)C)cn3)cn2)=N1 7.758809 0.32786885245901637</t>
  </si>
  <si>
    <t>Cc1cncc(C)c1CN(C)C1CCC(N(C)c2ccc3nccc(CF)c3c2)CC1 7.7588015 0.24242424242424243</t>
  </si>
  <si>
    <t>CCN(Cc1cccc(C2=CCC=CN2)n1)Cc1cccc(C(C)(C)C)n1 7.758797 0.3728813559322034</t>
  </si>
  <si>
    <t>CC(C)C(C)N(C)Cc1cccc(-c2cc(N)cc(Cl)c2)n1 7.7587957 0.32727272727272727</t>
  </si>
  <si>
    <t>Cc1cc(C)c(CN(C)C2CCCC(N(C)c3ccc4c(CF)ccnc4c3)C2)cn1 7.7587924 0.25</t>
  </si>
  <si>
    <t>CN(C)Cc1cnc2cc(N(C)C3CCC(N(C)Cc4ccon4)CC3)ccc2c1 7.75879 0.34545454545454546</t>
  </si>
  <si>
    <t>CC(c1ccccn1)(c1ccccn1)c1cccc(CNCF)n1 7.758786 0.4897959183673469</t>
  </si>
  <si>
    <t>CN(C1=CCC=CN1)C1CCC(N(C)c2ccc3c(CF)ccnc3c2)CC1 7.7587733 0.26865671641791045</t>
  </si>
  <si>
    <t>C1=CC(N(Cc2ccccn2)Cc2ccccn2)=CCN1 7.7587705 0.4594594594594595</t>
  </si>
  <si>
    <t>CNCc1cc(C2=NC(C)C(C)O2)ccn1 7.7587667 0.2391304347826087</t>
  </si>
  <si>
    <t>Cc1ccncc1CN(Cc1ccccn1)C1CCCC(N(C)c2ccc3c(CN(C)C)nccc3c2)C1 7.7587643 0.323943661971831</t>
  </si>
  <si>
    <t>Cc1cccnc1CN(C)Cc1ncc(C)c(C)c1C 7.758763 0.3404255319148936</t>
  </si>
  <si>
    <t>Cc1cc(CN(C)C2CCCC(N(C)c3ccc4ccc(CN(C)Cc5ccc(C)c(C)n5)nc4c3)C2)ccn1 7.7587624 0.2753623188405797</t>
  </si>
  <si>
    <t>CCN(CC1=CCC=C(N(C)Cc2nc(C)c(C)c(C)c2C)N1)Cc1ccccn1 7.758761 0.41935483870967744</t>
  </si>
  <si>
    <t>CN(Cc1ccccn1)C1=C(CN(Cc2ccccn2)Cc2cccc(F)n2)NC=CC1 7.7587523 0.4482758620689655</t>
  </si>
  <si>
    <t>CN(c1cccc2cc(CF)cnc12)C1CCCC(N(Cc2ccccn2)C2=CNC=CC2)C1 7.7587514 0.33783783783783783</t>
  </si>
  <si>
    <t>Cc1ccc(CN(C)C)nc1C 7.7587504 0.37142857142857144</t>
  </si>
  <si>
    <t>CCN(Cc1ccccn1)Cc1cccc(C2=NC(C)CO2)n1 7.7587495 0.46153846153846156</t>
  </si>
  <si>
    <t>Cc1cccc(-c2cccc(CN(C)C3CCCC(N(Cc4ccccn4)Cc4cccc(-c5cccc(N)c5)n4)C3)n2)n1 7.758749 0.4411764705882353</t>
  </si>
  <si>
    <t>COC(=O)C1C(c2ccccn2)C(c2ccc(CN(Cc3ccccn3)C3CCC(N(C)c4ccc5nc(CF)ccc5c4)CC3)cn2)CN(C)C1c1ccccn1 7.7587347 0.25274725274725274</t>
  </si>
  <si>
    <t>COC(=O)C(=O)C(C)C1(C)N=COC1c1cc(CN(Cc2ccccn2)Cc2ccccn2)ccn1 7.758733 0.3389830508474576</t>
  </si>
  <si>
    <t>Cc1ccnc2cccc(N(C)CCN(Cc3ccccc3)C(C)C(C)C)c12 7.758731 0.3333333333333333</t>
  </si>
  <si>
    <t>CCN(Cc1ccccn1)C1=CNC(CN(C)C(C)(c2cccnc2)c2ccccn2)=CC1 7.758729 0.32857142857142857</t>
  </si>
  <si>
    <t>CC1=CC(C)(C)C2(C=CC(c3ncccc3CN(Cc3ccccn3)Cc3ccccn3)C(c3ccc(CN(Cc4ccccn4)c4ccc5cccnc5c4)cn3)C23CC=C(C)C(C)C3C)C2(CC=C(C)C(C)C2)C1 7.7587285 0.25742574257425743</t>
  </si>
  <si>
    <t>Cc1ccnc(CN(C)C2CCCC(N(C)c3ccc4nc(CN(C)C)ccc4c3)C2)c1C 7.7587132 0.2727272727272727</t>
  </si>
  <si>
    <t>Cc1nc(CN(C)C2CCCCC2N(C)c2cccc3nc(CF)ccc23)c(C)c(C)c1C 7.758712 0.5</t>
  </si>
  <si>
    <t>CNC1C=C(N(C)Cc2ncccc2C)C=CN1 7.75871 0.2727272727272727</t>
  </si>
  <si>
    <t>Cc1cccc(N(C)CC2=CC(N(C)Cc3ccccn3)C=CN2)c1 7.7587037 0.38596491228070173</t>
  </si>
  <si>
    <t>C1=CCNC(N(Cc2ccccn2)Cc2ccccn2)=C1 7.7587 0.4722222222222222</t>
  </si>
  <si>
    <t>Cc1ccc(NCc2ccccn2)cc1C 7.758699 0.4722222222222222</t>
  </si>
  <si>
    <t>Cc1cccnc1CN(C)C1=CCC=C(CN(Cc2ccccn2)C(C)C)N1 7.758693 0.4444444444444444</t>
  </si>
  <si>
    <t>CC(C)C(C)N(C)Cc1ncccc1-c1c(N)cccc1Cl 7.7586856 0.2909090909090909</t>
  </si>
  <si>
    <t>CN(C)Cc1nccc2cc(N(C)C3CCCCC3N(C)Cc3ccon3)ccc12 7.7586856 0.3898305084745763</t>
  </si>
  <si>
    <t>Cc1cccnc1CN(C)C1CCCC(N(C)c2cccc3nccc(CN(C)C)c23)C1 7.758681 0.3076923076923077</t>
  </si>
  <si>
    <t>Cc1cc(CN(C)C2C=CNC(CN(C)Cc3nc(C)c(C)c(C)c3C)=C2)nc(C)c1C 7.758681 0.30158730158730157</t>
  </si>
  <si>
    <t>CNCC1=CCC=C(N(C)Cc2ccc(C)cn2)N1 7.7586784 0.43137254901960786</t>
  </si>
  <si>
    <t>CN(c1cccc2nc(CF)ccc12)C1CCCCC1N(Cc1ccccn1)Cc1cccc(C(C)(C)c2ccccn2)n1 7.7586703 0.43478260869565216</t>
  </si>
  <si>
    <t>Cc1nccc(CN(C)C2CCCC(N(C)c3ccc4c(CF)ccnc4c3)C2)c1C 7.758669 0.24615384615384617</t>
  </si>
  <si>
    <t>CCN(CC1=CC(N(C)Cc2ccc3ncccc3c2)C=CN1)Cc1ccccc1 7.7586675 0.2753623188405797</t>
  </si>
  <si>
    <t>CC1=C(c2cccnc2CN(Cc2ccccc2N(C)Cc2ncccc2C)Cc2ncccc2C)C(C)C(C)C(N(C)Cc2ccccn2)C1 7.758666 0.373134328358209</t>
  </si>
  <si>
    <t>CNCc1nccc2cc(N(C)C3CCCCC3N(Cc3ccccn3)Cc3nc(C)c(C)c(C)c3C)ccc12 7.758663 0.38235294117647056</t>
  </si>
  <si>
    <t>CC(C)c1cccc(CN(Cc2ccccn2)C2CCCCC2N(C)Cc2cc(-c3ccc4ncccc4c3)ccn2)n1 7.7586555 0.4918032786885246</t>
  </si>
  <si>
    <t>CC(C)C(C)N(C)Cc1cccc(-c2ccc(Cl)cc2N)n1 7.7586536 0.32727272727272727</t>
  </si>
  <si>
    <t>CN(Cc1ccccn1)C1=CNC=C(CN(Cc2ccccn2)Cc2cccc(F)n2)C1 7.7586517 0.4307692307692308</t>
  </si>
  <si>
    <t>Cc1cc(C)c(C)c(CN(C)Cc2ncccc2C)n1 7.7586446 0.3404255319148936</t>
  </si>
  <si>
    <t>CCNc1ncccc1-c1ncccc1C(C)C(C)C 7.7586384 0.2692307692307692</t>
  </si>
  <si>
    <t>CN(Cc1ccon1)C1CCC(N(C)c2cccc3nccc(CF)c23)CC1 7.758638 0.36363636363636365</t>
  </si>
  <si>
    <t>CN(Cc1ccccn1)C1=CNC(CN(C)C2=CCC(C(C)(C)C)=CN2)=CC1 7.7586365 0.3709677419354839</t>
  </si>
  <si>
    <t>Cc1ccccc1-c1cccc(CN(C)C(C)C)n1 7.758633 0.41304347826086957</t>
  </si>
  <si>
    <t>Cc1cc(CN(C)Cc2cc(N)cc(C)n2)ccn1 7.7586303 0.35555555555555557</t>
  </si>
  <si>
    <t>C=CCN(C)CCN(Cc1ccccn1)Cc1cccnc1-c1cc(Cl)ccc1N 7.7586293 0.4393939393939394</t>
  </si>
  <si>
    <t>Cc1cc(C)c2cccc(N(C)C3CCCC(N(C)Cc4ccccn4)C3)c2n1 7.758625 0.44642857142857145</t>
  </si>
  <si>
    <t>Cc1nc(CN(C)CC2C=CNC(N(C)Cc3ccccn3)=C2)c(C)c(C)c1C 7.7586164 0.35</t>
  </si>
  <si>
    <t>Cc1cncc(CN(C)C2=CNC=C(CN(C)Cc3cccc(C)n3)C2)c1 7.7586145 0.4074074074074074</t>
  </si>
  <si>
    <t>CC1=CC(C)C(CN(Cc2ccccn2)Cc2cccc(-c3cccc(N=Cc4ccccn4)c3)n2)C(C)C1 7.7586117 0.4507042253521127</t>
  </si>
  <si>
    <t>Cc1cncc(CN(Cc2ccccn2)C2CCC(N(C)c3cccc4c(C)ccnc34)CC2)c1 7.7586102 0.3333333333333333</t>
  </si>
  <si>
    <t>CN(CCF)CCN(C)c1ccc2ncc(CF)cc2c1 7.75861 0.28</t>
  </si>
  <si>
    <t>Cc1ccc(CN(C)C2=C(CN(C)Cc3cc(C)ccn3)NC=CC2)nc1 7.7586074 0.4230769230769231</t>
  </si>
  <si>
    <t>Cc1cnc(C)c(CN(C)C2=C(CN(C)Cc3ccccn3)NC=CC2)c1 7.7586064 0.36065573770491804</t>
  </si>
  <si>
    <t>CCNCC1=CCC=C(N(C)Cc2nc(C)c(C)c(C)c2C)N1 7.758603 0.19672131147540983</t>
  </si>
  <si>
    <t>CN(Cc1ccccn1)C1CCC(N(C)Cc2ncccc2-c2ccc3ncccc3c2)CC1 7.7585974 0.4444444444444444</t>
  </si>
  <si>
    <t>Cc1ccc2cccnc2c1CN(C)C1CCCCC1N(C)Cc1ccc2ncccc2c1 7.7585974 0.42105263157894735</t>
  </si>
  <si>
    <t>CNCc1cc(C2=NC(C)(C)CO2)ccn1 7.758584 0.4</t>
  </si>
  <si>
    <t>FCNCc1cccc(C(c2ccccn2)c2ccccn2)n1 7.7585835 0.4358974358974359</t>
  </si>
  <si>
    <t>Cc1cccc(CN(C)C2C=CNC(CN(C)C3=CCC=C(CN(C)C4=CC=CNC4NCc4ccccn4)N3)=C2)n1 7.758582 0.30952380952380953</t>
  </si>
  <si>
    <t>CN1CCN(C)CCN(Cc2cncc(-c3ccc(N)c4cccnc34)c2)CC1 7.758577 0.38181818181818183</t>
  </si>
  <si>
    <t>Cc1cccc(N(C)CC2=CCC=C(N(C)C(C)C)N2)c1 7.7585745 0.22580645161290322</t>
  </si>
  <si>
    <t>Cc1ccccc1C(C)(C)c1cc(CN(C)Cc2ccccn2)ccn1 7.7585726 0.4230769230769231</t>
  </si>
  <si>
    <t>Cc1cc(CN(C)C2CCCC(N(C)c3ccc4nc(CF)ccc4c3)C2)nc(C)c1C 7.7585726 0.3283582089552239</t>
  </si>
  <si>
    <t>CC(C)C1=NC(c2ccccc2C(C)(C)c2ccccn2)CO1 7.758569 0.2807017543859649</t>
  </si>
  <si>
    <t>CN(CCF)CCN(C)c1ccc2nc(CF)ccc2c1 7.7585645 0.3090909090909091</t>
  </si>
  <si>
    <t>Cc1cc(C)c(CN(C)C2CCCCC2N(C)c2ccc3nccc(CN(C)C)c3c2)cn1 7.7585583 0.3548387096774194</t>
  </si>
  <si>
    <t>CN(Cc1cccc(N)n1)Cc1cccc(N(C)C(C)(C)c2cccnc2)n1 7.758556 0.3392857142857143</t>
  </si>
  <si>
    <t>Cc1cccc(CN(C)C2CCCC(N(C)c3cccc4nccc(CN(C)C)c34)C2)n1 7.758553 0.4482758620689655</t>
  </si>
  <si>
    <t>Cc1ccc(CN(C)CC2=C(N(C)Cc3ccc(C)cn3)CC=CN2)nc1 7.7585526 0.5</t>
  </si>
  <si>
    <t>Cc1ccnc(CN(C)C2CCCC(N(C)c3cccc4c(CF)ccnc34)C2)c1C 7.7585506 0.3230769230769231</t>
  </si>
  <si>
    <t>Cc1cccc(NCc2ccccn2)c1CN(C)C1CCCC(N(C)c2ccc3cccnc3c2)C1 7.758549 0.3333333333333333</t>
  </si>
  <si>
    <t>CCN(Cc1cc(CN(Cc2cc(C)c([SiH3])cn2)Cc2cc(C)cc(C)n2)ccn1)Cc1ncc(C)c(C)c1C 7.7585444 0.2537313432835821</t>
  </si>
  <si>
    <t>COC(C)c1cc(CN(Cc2ccccn2)Cc2cc(C(C)(C)c3ccccn3)ccn2)ccn1 7.758541 0.38461538461538464</t>
  </si>
  <si>
    <t>CC(N)C(C)N(C)CN(C)c1cccc2ncccc12 7.7585306 0.3829787234042553</t>
  </si>
  <si>
    <t>Cc1cncc(CN(C)C2CCCCC2N(C)Cc2ncccc2-c2cccc3ncccc23)c1 7.758517 0.38333333333333336</t>
  </si>
  <si>
    <t>CN(Cc1ccon1)C1CCC(N(C)c2ccc3c(CF)ccnc3c2)CC1 7.758512 0.37037037037037035</t>
  </si>
  <si>
    <t>CN(Cc1ccc(C2C=CNC=C2)nc1)Cc1ccc(N)cn1 7.758506 0.3333333333333333</t>
  </si>
  <si>
    <t>Cc1cccnc1CN(C)C1CCCC(N(C)c2cccc3c(CN(C)C)ccnc23)C1 7.7584906 0.3709677419354839</t>
  </si>
  <si>
    <t>Cc1ccnc(CN(C)C2=C(CN(C)C)NC=CC2)c1 7.75849 0.36538461538461536</t>
  </si>
  <si>
    <t>Cc1cccc(-c2ccc(CN(C)C3CCCCC3N(C)Cc3ccc4ncccc4c3)nc2)c1C 7.758483 0.4426229508196721</t>
  </si>
  <si>
    <t>Cc1ncccc1CN(C)Cc1ccccc1N(C)C 7.7584825 0.42857142857142855</t>
  </si>
  <si>
    <t>CCNc1cccc(-c2ncccc2C(C)C(C)C)n1 7.7584825 0.47058823529411764</t>
  </si>
  <si>
    <t>Cc1ccnc(CN(C)Cc2nc(C)c(C)cc2C)c1 7.758474 0.3829787234042553</t>
  </si>
  <si>
    <t>Cc1cc(CN(C)C2CCCCC2N(C)c2ccc3c(CN(C)C)ccnc3c2)cnc1C 7.758472 0.3548387096774194</t>
  </si>
  <si>
    <t>CNCc1ccc(C2=NC(C)(C)CO2)cn1 7.7584662 0.4090909090909091</t>
  </si>
  <si>
    <t>Cc1ccc(CN(C)CC2=CCC(N(C)Cc3cncc(C)c3)=CN2)nc1 7.7584662 0.41509433962264153</t>
  </si>
  <si>
    <t>CN(C)Cc1cnc2ccc(N(C)C3CCC(N(Cc4ccnc(C(C)(C)C)c4)Cc4ccccn4)CC3)cc2c1 7.758447 0.3142857142857143</t>
  </si>
  <si>
    <t>CN(CC1=CCC=C(N(C)Cc2ccccn2)N1)Cc1ncccc1CF 7.7584457 0.3728813559322034</t>
  </si>
  <si>
    <t>Cc1ccc(CN(C)C2=CCNC=C2)nc1 7.7584434 0.4878048780487805</t>
  </si>
  <si>
    <t>CCN(Cc1ccccn1)Cc1ccc2cccc(N(C)CC3=C(C)CCC(C)C3C)c2n1 7.7584424 0.38095238095238093</t>
  </si>
  <si>
    <t>Cc1ccc(CN(C)C2=CCC=C(CN(Cc3ccc(C)cn3)C(C)C)N2)nc1 7.758442 0.40816326530612246</t>
  </si>
  <si>
    <t>Cc1cc(NCc2ccccn2)ccc1CN(Cc1ccccn1)C1CCCC(N(C)c2ccc3ncccc3c2)C1 7.758434 0.32857142857142857</t>
  </si>
  <si>
    <t>CN(CCN(Cc1ccccc1)CC(C)(C)C)c1cccc2ncccc12 7.7584214 0.46</t>
  </si>
  <si>
    <t>Cc1cnc(CN(C)C2CCC(N(Cc3ccccn3)c3ccc4ncccc4c3)CC2)c(C)c1 7.75842 0.3709677419354839</t>
  </si>
  <si>
    <t>CC1=C(C)C(C)CC2(CCC(C)(C)C(c3cc(CN(Cc4ccccn4)Cc4cc(C(C)(C)C)ccn4)ccn3)=C2c2cc(CN(Cc3ccccn3)Cc3ccccn3)ccn2)C1 7.7584186 0.30303030303030304</t>
  </si>
  <si>
    <t>CC(N)C(C)N(C)CCN(C)c1cccc2nccc(CN(C)C)c12 7.758416 0.33962264150943394</t>
  </si>
  <si>
    <t>Cc1cc(CN(C)C2CCCCC2N(C)c2cccc3c(CF)ccnc23)nc(C)c1C 7.758411 0.4461538461538462</t>
  </si>
  <si>
    <t>Cc1cccnc1CN(C)C1CCCC(N(C)c2ccc3c(CN(C)C)ccnc3c2)C1 7.75841 0.27692307692307694</t>
  </si>
  <si>
    <t>Cc1ccc(CN(Cc2cc(C)ccn2)C2CCC(N(C)c3ccc4nccc(CF)c4c3)CC2)nc1 7.7584095 0.35384615384615387</t>
  </si>
  <si>
    <t>C=Nc1cccnc1CN(Cc1ccccn1)Cc1cccc(C)n1 7.7584057 0.47619047619047616</t>
  </si>
  <si>
    <t>Cc1ccc(CN(C)C2=CNC(CN(C)Cc3ccccn3)=CC2)nc1 7.7584023 0.43137254901960786</t>
  </si>
  <si>
    <t>Cc1nc(CN(Cc2cccc(F)n2)Cc2cccc(F)n2)c(C)c(C)c1C 7.758402 0.4117647058823529</t>
  </si>
  <si>
    <t>Cc1cncc(CN(C)C2CCC(N(C)c3ccc4c(CN(C)C)ccnc4c3)CC2)c1C 7.758395 0.24242424242424243</t>
  </si>
  <si>
    <t>Cc1cnc(CN(C)C2=C(CN(C)Cc3ccccn3)NC=CC2)cc1C 7.7583942 0.39285714285714285</t>
  </si>
  <si>
    <t>CC(C)C1=CC2(C=CN1)C=CC(C)C(C)C2NCc1cccc(CN(Cc2ccccn2)Cc2cccc(-c3cccc(N=Cc4ccccn4)c3)n2)n1 7.7583876 0.3595505617977528</t>
  </si>
  <si>
    <t>Cc1cnccc1CN(C)C1=CNC=C(CN(C)Cc2ccccn2)C1 7.758384 0.3728813559322034</t>
  </si>
  <si>
    <t>Cc1cccc(NCc2ccc(C(C)(C)C)cn2)c1 7.758381 0.2708333333333333</t>
  </si>
  <si>
    <t>CC(C)C1(C)N=COC1c1ncccc1CN(Cc1ccccn1)Cc1cc(C(C)(C)c2ccccn2)ccn1 7.758378 0.3225806451612903</t>
  </si>
  <si>
    <t>Cc1cccc(-c2ncccc2CN(C)C2CCCCC2N(C)Cc2ccc3ncccc3c2)c1C 7.758378 0.3770491803278688</t>
  </si>
  <si>
    <t>CCOC(=O)c1cc(CN(Cc2ccccn2)Cc2cc(C(C)(C)C)ccn2)ccn1 7.7583747 0.4</t>
  </si>
  <si>
    <t>CN(Cc1ccccn1)Cc1cc(C(C)(C)c2ccccn2)ccn1 7.758372 0.4782608695652174</t>
  </si>
  <si>
    <t>CN(Cc1ccccn1)Cc1cccc(N(C)C2C=CC=CN2)n1 7.758372 0.5</t>
  </si>
  <si>
    <t>Cc1cccc(CN(C)C2=C(CN(C)C)NC=CC2)n1 7.758365 0.4444444444444444</t>
  </si>
  <si>
    <t>Cc1cccc(C(C)(C)c2cccc(CN(Cc3ccccn3)C3CCCCC3N(C)c3ccc4nc(CN(C)C)ccc4c3)n2)c1 7.758353 0.37142857142857144</t>
  </si>
  <si>
    <t>CC1=CC(C)C(C)(C)C(C)(c2ncccc2CN(Cc2ccccn2)Cc2ccc(-c3cccc(N(C)C)c3)cn2)C1C 7.75835 0.32051282051282054</t>
  </si>
  <si>
    <t>Cc1cc(CN(C)C2CCCC(N(Cc3ccccn3)c3ccc4nc(C)ccc4c3)C2)ccn1 7.7583485 0.38095238095238093</t>
  </si>
  <si>
    <t>CC1C=Cc2ncccc2C1 7.758341 0.2826086956521739</t>
  </si>
  <si>
    <t>CNCNCc1cccc(N(C)Cc2ncc(C)c(C)c2C)n1 7.758339 0.2830188679245283</t>
  </si>
  <si>
    <t>CC(C)C1=CC2CC(C)(C)C(c3ccc(CN(Cc4ccccn4)Cc4ccccn4)cn3)=CC2=CN1 7.758337 0.3333333333333333</t>
  </si>
  <si>
    <t>CCc1ccc2c(c1)C=C(C)C(C)C2 7.758335 0.1896551724137931</t>
  </si>
  <si>
    <t>CN(Cc1ccon1)C1CCC(N(C)c2ccc3nccc(CF)c3c2)CC1 7.758323 0.37037037037037035</t>
  </si>
  <si>
    <t>CC(C)C(C)c1cccnc1CN(Cc1ccc2c(n1)C(C)(C)CC=C2)Cc1ccc2c(n1)C(C)(C)CC=C2 7.758323 0.3114754098360656</t>
  </si>
  <si>
    <t>Cc1cc(NCc2ccccn2)ccc1CN(C)C1CCCC(N(C)c2ccc3cccnc3c2)C1 7.758316 0.3333333333333333</t>
  </si>
  <si>
    <t>CNCC1=CCC(N(C)Cc2ncc(C)c(C)c2C)=CN1 7.7583156 0.2222222222222222</t>
  </si>
  <si>
    <t>Cc1cc(C)nc(CN(C)C2CCCC(N(C)c3ccc4nccc(CF)c4c3)C2)c1 7.7583127 0.29850746268656714</t>
  </si>
  <si>
    <t>CN(C)Cc1ccnc2cc(N(C)C3CCCC(N(Cc4ccnc(F)c4)Cc4ccccn4)C3)ccc12 7.758309 0.3382352941176471</t>
  </si>
  <si>
    <t>CNCC1=C(N(C)Cc2cc(C)cc(C)n2)CC=CN1 7.7583075 0.3090909090909091</t>
  </si>
  <si>
    <t>CC1=CCC=C(N(C)C2CCCC(N(C)c3cccc4ncc(CN(C)C)cc34)C2)N1 7.7583 0.24324324324324326</t>
  </si>
  <si>
    <t>CCCN(Cc1ccccn1)Cc1cccc(N(C)Cc2nc(C)c(C)cc2C)n1 7.758299 0.4423076923076923</t>
  </si>
  <si>
    <t>Cc1cc(C)c(CN(CC2=CCC=CN2)Cc2cccc(N)n2)nc1C 7.7582884 0.49122807017543857</t>
  </si>
  <si>
    <t>CC=CCN(C)CC1=CCC=C(N(C)Cc2nc(C)c(C)cc2C)N1 7.7582855 0.18032786885245902</t>
  </si>
  <si>
    <t>CC(N)C(C)N(C)CCN(C)c1ccc2nccc(CN(C)C)c2c1 7.7582827 0.22413793103448276</t>
  </si>
  <si>
    <t>CC1=CC(N(C)Cc2ccc(-c3cccc(N=Cc4ccccn4)c3)cn2)CC(C)(C)C1C 7.75826 0.30985915492957744</t>
  </si>
  <si>
    <t>Cc1cncc(CN(C)C2C=C(N(C)Cc3ccccn3)C=CN2)c1 7.7582574 0.38596491228070173</t>
  </si>
  <si>
    <t>Cc1nc(CN(Cc2ccnc(F)c2)Cc2cccc(F)n2)c(C)c(C)c1C 7.758255 0.34328358208955223</t>
  </si>
  <si>
    <t>Cc1ccc(CN(C)CC2=CCC(N(C)Cc3ccccn3)=CN2)cn1 7.758252 0.3728813559322034</t>
  </si>
  <si>
    <t>Cc1ccc(CN(C)CC2=CCC(N(C)Cc3ccccn3)=CN2)nc1 7.758252 0.43137254901960786</t>
  </si>
  <si>
    <t>Cc1cnc(CN(C)C2CCCC(N(C)c3ccc4nc(CN(C)C)ccc4c3)C2)c(C)c1 7.7582445 0.3333333333333333</t>
  </si>
  <si>
    <t>COC(=O)C(=O)NCc1cc(CN(Cc2ccccn2)Cc2ccccn2)ccn1 7.758241 0.46511627906976744</t>
  </si>
  <si>
    <t>Cc1cc(C)c(C)c(CN(Cc2ccc(CN(C)C)nc2)Cc2ccccn2)n1 7.7582283 0.425531914893617</t>
  </si>
  <si>
    <t>CN1CCN(C)CCN(Cc2cccnc2-c2cc(N)cc3cccnc23)CC1 7.7582235 0.4117647058823529</t>
  </si>
  <si>
    <t>Cc1cccc(CN(C)C2CCCC(N(C)c3ccc4nccc(CN(C)C)c4c3)C2)n1 7.7582097 0.43333333333333335</t>
  </si>
  <si>
    <t>CNCC1=CCC=C(N(C)Cc2cc(C)ccn2)N1 7.7582097 0.32727272727272727</t>
  </si>
  <si>
    <t>CCN(Cc1ccccn1)c1ccc(C)c(CN(C)Cc2ccccn2)c1C 7.758209 0.4489795918367347</t>
  </si>
  <si>
    <t>Cc1cnc(CN(C)C2=CNC(CN(C)C3CCCCC3N(C)c3ccc4ccc(CF)nc4c3)=CC2)c(C)c1 7.758206 0.37142857142857144</t>
  </si>
  <si>
    <t>COC(=O)C(=O)N1CCN(C)CCN(C(=O)C(=O)C(=O)C(=O)C(=O)C(=O)C(=O)C(=O)C(=O)C(=O)C(=O)C(=O)C=O)CC1 7.758205 0.24242424242424243</t>
  </si>
  <si>
    <t>Cc1cccnc1CN(Cc1ccnc(C2C(C)(C)CC=C(c3ncccc3CN(Cc3ccccn3)Cc3ccccn3)C23C=CNC(C(C)C)=C3)c1)Cc1ccccn1 7.758203 0.28735632183908044</t>
  </si>
  <si>
    <t>C=CCN(C)CCN(Cc1ccc(-c2cccc(Cl)c2N)nc1)Cc1ccccn1 7.7582016 0.49230769230769234</t>
  </si>
  <si>
    <t>CN(Cc1cncc(-c2cccc3c2OCCOCCOCCOCCOCCO3)c1)c1cc2ncccc2cc1N(C)Cc1ccccn1 7.7581944 0.36764705882352944</t>
  </si>
  <si>
    <t>CN(C)Cc1nccc2cc(N(C)C3CCC(N(Cc4ccccn4)Cc4cccnc4C(C)(C)C)CC3)ccc12 7.7581935 0.3188405797101449</t>
  </si>
  <si>
    <t>CCNc1cccc(-c2cccc(C(C)C(C)C)n2)n1 7.758192 0.46808510638297873</t>
  </si>
  <si>
    <t>Cc1cnc(C)c(CN(C)Cc2ccc(N)c(C)n2)c1 7.7581744 0.4090909090909091</t>
  </si>
  <si>
    <t>C1=CC(SCc2ccccn2)NC(NCc2ccccn2)=C1 7.7581697 0.37777777777777777</t>
  </si>
  <si>
    <t>Cc1cncc(CN(Cc2cccnn2)C2CCC(N(C)c3ccc4nccc(CN(C)C)c4c3)CC2)c1 7.758164 0.29411764705882354</t>
  </si>
  <si>
    <t>Cc1nc(CN(C)C2=CCC=C(CN(CC(C)C)CC(C)(C)C)N2)c(C)c(C)c1C 7.7581553 0.2222222222222222</t>
  </si>
  <si>
    <t>COC(=O)C1C(c2ccccn2)C(c2ccccn2)CN(C)C1c1cc(CN(Cc2ccccn2)Cc2ncccc2C(C)(C)C)ccn1 7.758145 0.29411764705882354</t>
  </si>
  <si>
    <t>CC(C)C(C)N(C)CCN(C)c1cccc2nccc(CN(C)C)c12 7.7581444 0.35294117647058826</t>
  </si>
  <si>
    <t>CNCc1ncccc1CN(Cc1ccccn1)C(C)(N)c1nc(C)cc(C)c1C 7.7581387 0.31746031746031744</t>
  </si>
  <si>
    <t>CN(Cc1ccccn1)C1=CNC(CN(Cc2ccccn2)Cc2cccc(F)n2)=CC1 7.7581244 0.48214285714285715</t>
  </si>
  <si>
    <t>CC(C)C1COC(c2cccc(CN(Cc3ccccn3)C3CCC(N(C)c4ccc5nc(CF)ccc5c4)CC3)n2)=N1 7.758122 0.35135135135135137</t>
  </si>
  <si>
    <t>CN(c1ccc2nccc(CF)c2c1)C1CCC(N(Cc2cc(-c3ccc4ncccc4c3)ccn2)Cc2ncccc2-c2ccc3c(c2)OCCOCCOCCOCCOCCO3)CC1 7.7581124 0.28421052631578947</t>
  </si>
  <si>
    <t>Cc1cccnc1CN(CCF)Cc1cccc(C(C)(c2ccccn2)c2ccccn2)n1 7.7581086 0.4</t>
  </si>
  <si>
    <t>Cc1cc(C)c(CN(C)C2C=CNC(CN(C)Cc3nc(C)c(C)c(C)c3C)=C2)nc1C 7.758103 0.3064516129032258</t>
  </si>
  <si>
    <t>CCN(Cc1ccccn1)c1cc(C)c(CN(C)Cc2ccccn2)cc1C 7.7580996 0.4489795918367347</t>
  </si>
  <si>
    <t>Cc1cnc(CN(C)C2=CNC(CN(Cc3ncccc3C)C(C)C)=CC2)c(C)c1 7.7580876 0.2857142857142857</t>
  </si>
  <si>
    <t>CC(CN(Cc1ccccn1)Cc1ccccn1)(c1ccccc1)c1cccc(N=Cc2ccccn2)c1 7.758082 0.42592592592592593</t>
  </si>
  <si>
    <t>Cc1ccc(-c2ccc(CN(C)C3CCCCC3N(C)Cc3ccc4ncccc4c3)cn2)c(C)c1 7.758082 0.39344262295081966</t>
  </si>
  <si>
    <t>Cc1cccnc1CN(C)C1=CC=CCN1 7.758076 0.28</t>
  </si>
  <si>
    <t>Cc1cccnc1CN(C)Cc1cc(N(C)C(C)(C)c2cccnc2)ccn1 7.7580624 0.29508196721311475</t>
  </si>
  <si>
    <t>Cc1ccc(CN(C)C2=C(CN(Cc3ccccn3)Cc3cccc(F)n3)NC=CC2)cn1 7.7580614 0.38666666666666666</t>
  </si>
  <si>
    <t>Cc1cncc(CN(C)C2=CNC(CN(C)Cc3ccccn3)=CC2)c1C 7.758058 0.38333333333333336</t>
  </si>
  <si>
    <t>Cc1cccnc1CN(C)C1=C(CN(C)C)NC=CC1 7.75805 0.288135593220339</t>
  </si>
  <si>
    <t>Cc1ccnc(CN(Cc2ccnc(CN(Cc3nc(C)cc(C)c3C)C(C)C)c2)Cc2nccc(C)c2C)c1 7.7580495 0.3333333333333333</t>
  </si>
  <si>
    <t>CN(C)c1cccc(CN(C)C2CCCCC2N(C)c2ccc3c(CF)ccnc3c2)c1 7.7580476 0.36363636363636365</t>
  </si>
  <si>
    <t>CNCC1=C(N(C)Cc2ncc(C)cc2C)CC=CN1 7.7580414 0.23214285714285715</t>
  </si>
  <si>
    <t>Cc1cccnc1CN(C)C1=C(CN(C)Cc2c(C)cccc2C)NC=CC1 7.758039 0.2711864406779661</t>
  </si>
  <si>
    <t>Cc1cnc(C)c(CN(Cc2ccccn2)C2CCC(N(C)c3ccc4c(CF)ccnc4c3)CC2)c1 7.758037 0.3235294117647059</t>
  </si>
  <si>
    <t>CC(C)C(C)N(C)CCN(C)c1ccc2nccc(CN(C)C)c2c1 7.7580357 0.23214285714285715</t>
  </si>
  <si>
    <t>Cc1ccc(CN(C)Cc2cc(C)c(C)c(C)n2)cn1 7.7580338 0.32608695652173914</t>
  </si>
  <si>
    <t>CN(C)c1cccc(CN(C)C2CCC(N(C)Cc3ccccn3)CC2N(C)c2ccc3cc(CF)cnc3c2)n1 7.758033 0.40298507462686567</t>
  </si>
  <si>
    <t>Cc1cccc(CN(C)C2=C(CN(C)Cc3ccccn3)NC=CC2)n1 7.758032 0.46296296296296297</t>
  </si>
  <si>
    <t>Cc1cc(C)c(CN(C)Cc2cc(N)c(C)cn2)cn1 7.7580304 0.37209302325581395</t>
  </si>
  <si>
    <t>Cc1cnc(CN(Cc2ccccn2)C2=CNC(CN(C)C(C)(C)c3ccccn3)=CC2)c(C)c1 7.758028 0.323943661971831</t>
  </si>
  <si>
    <t>Cc1cncc(CN(CC2=C(N(C)Cc3ccccn3)CC=CN2)Cc2ccccn2)c1 7.7580223 0.41935483870967744</t>
  </si>
  <si>
    <t>CN(Cc1ccccn1)Cc1ncccc1N(C)Cc1cccc(C2CC(C)(C)C2)n1 7.7580166 0.4727272727272727</t>
  </si>
  <si>
    <t>CN(O)c1cccnc1CN(Cc1ccc(C2CC(C)(C)C2)nc1)Cc1ccccn1 7.758015 0.37037037037037035</t>
  </si>
  <si>
    <t>Cc1cccnc1CN(CCN(C)c1ccc2nc(CF)ccc2c1)C1CCCCC1N(C)Cc1ccc2ncccc2c1 7.758015 0.34210526315789475</t>
  </si>
  <si>
    <t>CC1C=CCC(N(C)c2ccc3c(CF)ccnc3c2)C1C 7.7580085 0.24242424242424243</t>
  </si>
  <si>
    <t>CC(C)C1=CC2(C=CN1)CC(c1cccc(CN(Cc3ccccn3)Cc3ccccn3)n1)C(C)(C)C=C2c1cccc(CN(Cc2ccccn2)C2CCC(N(C)c3ccc4nccc(CF)c4c3)CC2)n1 7.758007 0.29</t>
  </si>
  <si>
    <t>CN(C)Cc1ccc2c(N(C)C3CCCC(N(Cc4ccccn4)Cc4cccnc4C(C)(C)C)C3)cccc2n1 7.758001 0.32857142857142857</t>
  </si>
  <si>
    <t>Cc1cccc(CN(Cc2ccnc(CN(C)Cc3cc(C)c(C)c(C)n3)c2)Cc2cccc(C)n2)n1 7.7579975 0.4583333333333333</t>
  </si>
  <si>
    <t>CNC1C(N(Cc2nc(C)c(C)c(C)c2C)Cc2nc(C)c(C)c(C)c2C)CCC(N(Cc2cc(C)c(C)cn2)Cc2nc(C)c(C)c(C)c2C)C1N(Cc1nc(C)c(C)c(C)c1C)Cc1nc(C)c(C)c(C)c1C 7.757995 0.27419354838709675</t>
  </si>
  <si>
    <t>CC(C)C1=CC2(C=CN1)C=CC(c1cc(CN(Cc3ccccn3)Cc3cc(-c4cccc(N(C)C)c4)ccn3)ccn1)C(C)C2(C)C 7.757989 0.2988505747126437</t>
  </si>
  <si>
    <t>Cc1ccc2c(c1-c1ccc(CN(Cc3ccccn3)C3CCC(N(C)c4ccc5ncc(-c6ccc7ncccc7c6)cc5c4)CC3)cn1)OCCOCCOCCOCCOCCO2 7.757987 0.26804123711340205</t>
  </si>
  <si>
    <t>CC(C)(C)c1ccccc1N(Cc1ccccn1)Cc1ccccn1 7.757983 0.5</t>
  </si>
  <si>
    <t>COC(=O)C1CN(C)C(c2cccc(CN(Cc3ccccn3)C3CCCCC3N(C)c3ccc4nccc(CF)c4c3)n2)C(c2ccccn2)C1c1ccccn1 7.757982 0.3058823529411765</t>
  </si>
  <si>
    <t>Cc1cc(CN(C)C2CCCCC2N(C)c2ccc3nccc(CF)c3c2)nc(C)c1C 7.757979 0.36507936507936506</t>
  </si>
  <si>
    <t>Cc1cncc(CN(C)Cc2cc(C)c(C)c(C)n2)c1 7.757973 0.30434782608695654</t>
  </si>
  <si>
    <t>Cc1nc(CN(C)CCN(C)Cc2nc(C)c(C)c(C)c2C)c(C)c(C)c1C 7.7579727 0.37142857142857144</t>
  </si>
  <si>
    <t>Cc1cccnc1CN(Cc1ncccc1C)C1CCC(N(C)c2ccc3nc4c(cc3c2)CCC4)CC1 7.757967 0.35294117647058826</t>
  </si>
  <si>
    <t>CC1=CC(C)C(C)C2(C(c3ccc(CN(Cc4ccccn4)Cc4ccccn4)cn3)=CCC3(CCC(C)=C(C)C3C)C2c2ccc(CN(Cc3ccccn3)Cc3ccccn3)cn2)C12C(C)=C(C)C(c1cc(CN(Cc3ccccn3)Cc3ccccn3)ccn1)C(c1ncccc1CN(Cc1ccccn1)Cc1ccccn1)C21CCC(C)=C(C)C1C 7.7579656 0.24299065420560748</t>
  </si>
  <si>
    <t>Cc1ccnc(CN(Cc2ccnc(C(C)(C)c3ccnc(CN(CF)Cc4ccccn4)c3)c2)Cc2cc(C)c(C)c(C)n2)c1 7.7579613 0.3333333333333333</t>
  </si>
  <si>
    <t>CNCc1nccc2c(N(C)C3CCC(N(Cc4ccccn4)Cc4nc(C)c(C)cc4C)CC3)cccc12 7.75796 0.3188405797101449</t>
  </si>
  <si>
    <t>C=CCN(C)CCN(Cc1ccccn1)Cc1ncccc1CN(Cc1ccccn1)Cc1ncccc1-c1ccccc1N(C)C 7.7579584 0.453125</t>
  </si>
  <si>
    <t>C=CCNCc1cccc(C(C)(c2ccccn2)c2ccccn2)n1 7.7579565 0.46153846153846156</t>
  </si>
  <si>
    <t>Cc1ccc(CN(C)CC2=C(N(C)Cc3ncccc3C)CC=CN2)cn1 7.7579517 0.25</t>
  </si>
  <si>
    <t>Cc1ccnc(CN(C)Cc2cc(C)c(C)c(C)n2)c1 7.757946 0.391304347826087</t>
  </si>
  <si>
    <t>CC(c1ccnc(CNCF)c1)(c1ccccn1)c1ccccn1 7.7579455 0.3953488372093023</t>
  </si>
  <si>
    <t>Cc1ccc(CN(C)Cc2ccc(NCc3ccccn3)cc2C)nc1 7.7579384 0.44</t>
  </si>
  <si>
    <t>CC(c1ccccn1)(c1ccccn1)c1cccnc1CN(Cc1ccccn1)Cc1cccnc1C1CCC1(C)C 7.757933 0.35714285714285715</t>
  </si>
  <si>
    <t>Cc1cc(C)c(CN(C)Cc2ncccc2N)nc1C 7.757932 0.32653061224489793</t>
  </si>
  <si>
    <t>CCOC(=O)c1cccc(CN(Cc2ccccn2)Cc2cccc(CN(C)C)n2)n1 7.757928 0.45454545454545453</t>
  </si>
  <si>
    <t>Cc1nc(CN(C)C2=CNC(CN(C)CC(C)(C)C)=CC2)c(C)c(C)c1C 7.7579274 0.2</t>
  </si>
  <si>
    <t>Cc1cnccc1CN(C)C1=CNC(CN(C)Cc2ccccn2)=CC1 7.757919 0.3898305084745763</t>
  </si>
  <si>
    <t>CC1C=CC(C)C(N(C)Cc2cccc(-c3cccc(N=Cc4ccccn4)c3)n2)C1C 7.7579036 0.39705882352941174</t>
  </si>
  <si>
    <t>CN(C)c1cccc(CN(Cc2ccccn2)C2C=CC=CN2)n1 7.7578974 0.49056603773584906</t>
  </si>
  <si>
    <t>Cc1ccccc1N(C)CC1=CC(N(C)Cc2ccccn2)C=CN1 7.7578945 0.41509433962264153</t>
  </si>
  <si>
    <t>CCC1=NC(c2ccccc2CN=Cc2ccccn2)CO1 7.7578793 0.3103448275862069</t>
  </si>
  <si>
    <t>Cc1cc(C)c(CN(C)C2=C(CN(C)Cc3ccccn3)NC=CC2)cn1 7.7578773 0.36065573770491804</t>
  </si>
  <si>
    <t>Cc1ccnc(CN(C)CC2=C(N(C)Cc3cccc(C)n3)CC=CN2)c1 7.7578745 0.4074074074074074</t>
  </si>
  <si>
    <t>CNc1cccc(F)n1 7.757871 0.34210526315789475</t>
  </si>
  <si>
    <t>C=C1C=CNC(CN(C)Cc2ncccc2C)=C1 7.757867 0.36538461538461536</t>
  </si>
  <si>
    <t>CN1CCN(C)CC(CCCN(C)c2ccc3cccnc3c2)N(Cc2nc3ccccc3n2C)CC1 7.75786 0.42424242424242425</t>
  </si>
  <si>
    <t>CC(C)C1=CCC2=C(N1)C(C)(C)C(C)C(c1cccc(CN(Cc3ccccn3)C3CCC(N(C)c4ccc5nc(CF)ccc5c4)CC3)n1)=C2 7.757857 0.30952380952380953</t>
  </si>
  <si>
    <t>CN1CCN(C)CC(CCCN(C)c2ccc3ncccc3c2)N(Cc2nc3ccccc3n2C)CC1 7.757856 0.4307692307692308</t>
  </si>
  <si>
    <t>Cc1ccc(C)c(CN(C)C2=C(CN(C)Cc3cccc(F)n3)NC=CC2)n1 7.7578416 0.35714285714285715</t>
  </si>
  <si>
    <t>CNc1cccc(-c2cccc(CN(C)C3CCC(N(C)Cc4ccc5ncccc5c4)CC3)n2)c1 7.757841 0.35714285714285715</t>
  </si>
  <si>
    <t>Cc1cccnc1CN(C)C1CCC(N(Cc2ccccn2)c2cccc3nc(CN(C)C)ccc23)CC1 7.757838 0.359375</t>
  </si>
  <si>
    <t>Cc1cncc(CN(Cc2ccccn2)Cc2ccc(N(C)C(C)(C)c3cccnc3)cn2)c1 7.7578354 0.37037037037037035</t>
  </si>
  <si>
    <t>CN(C)Cc1ncccc1C(C)(C)c1ccccn1 7.757834 0.36363636363636365</t>
  </si>
  <si>
    <t>CN(Cc1cccnn1)C1=CCC=CN1 7.757833 0.47619047619047616</t>
  </si>
  <si>
    <t>Cc1ccc(C)c(CN(O)C2=CCC=C(CN(Cc3ccccn3)C(C)C)N2)n1 7.7578325 0.44642857142857145</t>
  </si>
  <si>
    <t>CCN(CC1=CCC=C(N(O)Cc2ccccn2)N1)C1CCCC(N(C)c2cccc3ncccc23)C1 7.757832 0.3194444444444444</t>
  </si>
  <si>
    <t>CNC1CC(N(Cc2nc(C)c(C)c(C)c2C)Cc2nc(C)c(C)c(C)c2C)C(N(Cc2nc(C)c(C)c(C)c2C)Cc2nc(C)c(C)c(C)c2C)C(NCc2ccccn2)C1N(Cc1nc(C)c(C)c(C)c1C)Cc1nc(C)c(C)c(C)c1C 7.7578297 0.3125</t>
  </si>
  <si>
    <t>Cc1cccc(CN(C)CC2=C(N(C)Cc3ccccn3)CC=CN2)n1 7.7578278 0.46296296296296297</t>
  </si>
  <si>
    <t>Cc1ccc(CN(C)CC2=C(N(C)Cc3cccc(C)n3)CC=CN2)nc1 7.757816 0.41509433962264153</t>
  </si>
  <si>
    <t>CNC1C(N(Cc2nc(C)c(C)c(C)c2C)Cc2nc(C)c(C)c(C)c2C)CCC(N(Cc2nc(C)c(C)c(C)c2C)Cc2nc(C)c(C)c(C)c2C)C1N(Cc1ccc(C)c(C)n1)Cc1nc(C)c(C)c(C)c1C 7.7578077 0.26229508196721313</t>
  </si>
  <si>
    <t>CNCc1cccc(CN(Cc2cccc(C)n2)C2CCC(N(C)Cc3cccc(-c4ccc5ncccc5c4)n3)CC2)n1 7.757801 0.3787878787878788</t>
  </si>
  <si>
    <t>Cc1cc(CN(C)C)cnc1C 7.7578006 0.2894736842105263</t>
  </si>
  <si>
    <t>CCN(Cc1ccccn1)Cc1ncccc1N(C)Cc1ncccc1C 7.7577987 0.4583333333333333</t>
  </si>
  <si>
    <t>CN(Cc1ccccn1)C1=CCC=C(CN(Cc2cccnc2)Cc2ccccn2)N1 7.7577868 0.47368421052631576</t>
  </si>
  <si>
    <t>CCN(Cc1cc(C)c(C)c(C)n1)Cc1nc(C)c(C)c(C)c1[SiH3] 7.7577777 0.20408163265306123</t>
  </si>
  <si>
    <t>CN(C)Cc1cnc2cccc(N(C)C3CCCC(N(Cc4ccc(C(C)(C)C)nc4)Cc4ccccn4)C3)c2c1 7.7577767 0.323943661971831</t>
  </si>
  <si>
    <t>Cc1ccc(CN(C)C2=C(CN(C)Cc3cccc(C)n3)NC=CC2)nc1 7.757763 0.41509433962264153</t>
  </si>
  <si>
    <t>CN(CC1=CCC=CN1)C1=CCC=C(C2=CCC=CN2)N1 7.757763 0.37254901960784315</t>
  </si>
  <si>
    <t>Cc1ccc(CN(C)C2CCCC(N(C)c3ccc4c(C)ccnc4c3)C2)nc1 7.7577496 0.4642857142857143</t>
  </si>
  <si>
    <t>CCNCc1ccc(CN(Cc2nc(C)c(C)cc2C)Cc2nc(C)c(C)c(C)c2C)c(C(C)(C)C)n1 7.7577486 0.1935483870967742</t>
  </si>
  <si>
    <t>CC1=C(CN(C)Cc2cc(C(C)(C)C)ccn2)C(C)c2ncccc2C1 7.757747 0.29508196721311475</t>
  </si>
  <si>
    <t>CC(C)c1cc(CN(Cc2ccccn2)C2CCC(N(C)c3ccc4nccc(CN(C)C)c4c3)CC2)ccn1 7.7577386 0.3188405797101449</t>
  </si>
  <si>
    <t>COC(=O)C(=O)C(=O)C(C)NCc1cc(CNCc2cc(C(C)(c3ccccn3)C(C)C)c(C)c(C)n2)ccn1 7.7577357 0.23943661971830985</t>
  </si>
  <si>
    <t>Cc1ccc(CN(Cc2ccccn2)C2CCC(N(C)c3ccc4c(CF)ccnc4c3)CC2)nc1C 7.7577343 0.3283582089552239</t>
  </si>
  <si>
    <t>CCN(Cc1ccccn1)C1=CC(Cl)C(C)C=C1N(C)Cc1ncccc1C 7.7577343 0.3620689655172414</t>
  </si>
  <si>
    <t>CCCN(Cc1ccccn1)c1cccc(C2CCC2C)c1-c1cc(CN(Cc2ccccn2)Cc2ncccc2C)ccn1 7.757734 0.29850746268656714</t>
  </si>
  <si>
    <t>CCNc1cc(-c2ccc(C(C)C(C)C)cn2)ccn1 7.7577305 0.2711864406779661</t>
  </si>
  <si>
    <t>CN(C)Cc1cnc2cc(N(C)C3CCCC(N(C)Cc4ccon4)C3)ccc2c1 7.7577305 0.3275862068965517</t>
  </si>
  <si>
    <t>Cc1ccc(CN(C)C)c(C)n1 7.7577257 0.37142857142857144</t>
  </si>
  <si>
    <t>Cc1cc(CN(C)Cc2cccnc2C)nc(C)c1C 7.7577257 0.41304347826086957</t>
  </si>
  <si>
    <t>Cc1ccc(CN(C)C2=CNC(CN(C)C)=CC2)nc1 7.757725 0.4444444444444444</t>
  </si>
  <si>
    <t>Cc1cc(C)c(CN(C)Cc2ncccc2C)nc1C 7.7577233 0.34782608695652173</t>
  </si>
  <si>
    <t>CN(C)Cc1cncc2cc(N(C)C3CCCCC3N(Cc3ccccn3)Cc3ccon3)ccc12 7.7577205 0.3939393939393939</t>
  </si>
  <si>
    <t>CNCC1=C(N(C)Cc2nc(C)cc(C)c2C)CC=CN1 7.7577186 0.19047619047619047</t>
  </si>
  <si>
    <t>Cc1cc(C)c(CN(C)Cc2ccc(N)c(C)n2)cn1 7.7577095 0.3404255319148936</t>
  </si>
  <si>
    <t>Cc1cccnc1CN(C)C1CCCC(N(Cc2ccccn2)c2ccc3ccc(CN(C)C)nc3c2)C1 7.757705 0.375</t>
  </si>
  <si>
    <t>Cc1cccnc1CN(C)CC1=C(N(C)Cc2cccnc2C)CC=CN1 7.7577024 0.2833333333333333</t>
  </si>
  <si>
    <t>Cc1cncc(CN(C)C2=CNC(CN(C)Cc3cccc(C)n3)=CC2)c1 7.7576942 0.4074074074074074</t>
  </si>
  <si>
    <t>Cc1cc(C)c(CN(Cc2ccccn2)Cc2ncccc2C)c(C)n1 7.757692 0.47619047619047616</t>
  </si>
  <si>
    <t>Cc1cnccc1CN(C)CC1=CCC(N(C)Cc2ccccn2)=CN1 7.757677 0.36666666666666664</t>
  </si>
  <si>
    <t>CN(CCF)CCN(C)c1ccc2ccc(CF)nc2c1 7.7576766 0.3181818181818182</t>
  </si>
  <si>
    <t>CNCc1cc(CN(Cc2cccc(C)n2)C2CCC(N(C)Cc3cccc(-c4cccc5cccnc45)n3)CC2)ccn1 7.757674 0.36231884057971014</t>
  </si>
  <si>
    <t>COC(=O)C1CN(C)C(c2ccc(CN(Cc3ccccn3)Cc3cc(C(C)(C)C)ccn3)cn2)C(c2ccccn2)C1c1ccccn1 7.757674 0.30120481927710846</t>
  </si>
  <si>
    <t>Cc1cncc(CN(C)Cc2cc(N(C)C(C)(C)c3cccnc3CN(Cc3ccccn3)Cc3cccc(C(C)(C)C)n3)ccn2)c1 7.7576685 0.3424657534246575</t>
  </si>
  <si>
    <t>Cc1ccc(CN(C)CC2=C(N(C)Cc3ccccn3)NC=CC2)cn1 7.7576685 0.3709677419354839</t>
  </si>
  <si>
    <t>CC1=C(c2ccccc2)C(C(C)(C)c2ccccn2)CC=C1N 7.7576666 0.3148148148148148</t>
  </si>
  <si>
    <t>Cc1ccc(CN(Cc2ccccn2)C2CCCC(N(C)c3cccc4c(CN(C)C)ccnc34)C2)nc1 7.7576656 0.36363636363636365</t>
  </si>
  <si>
    <t>CN(Cc1cc(N(C)C)ccn1)C1=CNC(CN(C)C2C=CC=CN2)=CC1 7.75766 0.2898550724637681</t>
  </si>
  <si>
    <t>Cc1ccnc2ccc(N(C)C3CCC(N(Cc4ccccn4)Cc4cccnc4C(C)C)CC3)cc12 7.757645 0.3333333333333333</t>
  </si>
  <si>
    <t>Cc1cc(CN(C)Cc2nc(C)c(C)cc2C)ccn1 7.7576375 0.2765957446808511</t>
  </si>
  <si>
    <t>CC1=NC(C)(N=Cc2ccccn2)CO1 7.7576213 0.3958333333333333</t>
  </si>
  <si>
    <t>CN(Cc1ccccn1)c1ccc2cccnc2c1N(C)Cc1cccc(-c2ccc3c(c2)OCCOCCOCCOCCOCCO3)n1 7.7576184 0.3888888888888889</t>
  </si>
  <si>
    <t>CC(C)C1=CCC2=C(CC(Cl)C(Cl)=C2)N1 7.757618 0.13432835820895522</t>
  </si>
  <si>
    <t>Cc1cnc2c(N(C)C3CCCC(N(Cc4ccccn4)Cc4nc(C)ccc4C)C3)cccc2c1 7.757613 0.34782608695652173</t>
  </si>
  <si>
    <t>Cc1nccc(CN(C)C2CCCCC2N(C)c2ccc3c(C)ccnc3c2)c1C 7.7575984 0.3620689655172414</t>
  </si>
  <si>
    <t>CN(Cc1ccccn1)C1=C(CN(Cc2ccccn2)Cc2cccc(F)n2)CC=CN1 7.7575884 0.4482758620689655</t>
  </si>
  <si>
    <t>CNCC1=CCC(N(C)Cc2ncc(C)cc2C)=CN1 7.757588 0.23214285714285715</t>
  </si>
  <si>
    <t>Cc1ncccc1CN(C)CC1=CNC=C(N(C)Cc2ccccn2)C1 7.757576 0.38181818181818183</t>
  </si>
  <si>
    <t>CCN(Cc1ccccn1)c1ccc2ncccc2c1N(C)C1CCCC(N(C)Cc2ccccn2)C1 7.757572 0.43103448275862066</t>
  </si>
  <si>
    <t>Cc1nc(CN(C)C2CCC(N(C)c3ccc4ccc(CF)nc4c3)CC2)c(C)c(C)c1C 7.7575703 0.328125</t>
  </si>
  <si>
    <t>Cc1cncc(C(C)(C)N(C)c2ccc(CN(C)Cc3ccccn3)nc2)c1 7.7575626 0.42592592592592593</t>
  </si>
  <si>
    <t>Cc1ccc(C)c(CN(C)C2CCC(N(C)c3ccc4c(CN(C)C)nccc4c3)CC2)n1 7.757558 0.265625</t>
  </si>
  <si>
    <t>CN(Cc1cccc(N(C)C)n1)Cc1ncccc1CF 7.7575555 0.4375</t>
  </si>
  <si>
    <t>Cc1cc(C)c(CN(Cc2ccccn2)C2CCC(N(C)c3ccc4nccc(CF)c4c3)CC2)cn1 7.7575536 0.3188405797101449</t>
  </si>
  <si>
    <t>Cc1ccc(CN(Cc2ccccn2)C2CCC(N(C)c3ccc4nccc(CF)c4c3)CC2)nc1C 7.7575526 0.3235294117647059</t>
  </si>
  <si>
    <t>Cc1cncc(CN(C)CC2=CNC=C(N(C)Cc3ccccn3)C2)c1C 7.757543 0.3559322033898305</t>
  </si>
  <si>
    <t>CN1CCN(C)CCN(Cc2cnccc2-c2cc(N)c3cccnc3c2)CC1 7.757543 0.38181818181818183</t>
  </si>
  <si>
    <t>Cc1cc(C)c(CN(C)Cc2ccccn2)c(NCc2ccccn2)c1 7.7575426 0.44</t>
  </si>
  <si>
    <t>Cc1ccc(CN(Cc2ccccn2)C2CCC(N(C)c3ccc4c(C)ccnc4c3)CC2)nc1 7.757542 0.3709677419354839</t>
  </si>
  <si>
    <t>Cc1ccc(CN(CCF)Cc2cccc(N(C)Cc3cc(C)c(C)c(C)n3)n2)nc1 7.757539 0.4074074074074074</t>
  </si>
  <si>
    <t>Cc1cccnc1CN(C)C1=C(CN(C)Cc2ccccn2)NC=CC1 7.7575355 0.38596491228070173</t>
  </si>
  <si>
    <t>Cc1cc(CN(C)C2=C(CN(C)Cc3ccccn3)NC=CC2)cnc1C 7.7575326 0.36065573770491804</t>
  </si>
  <si>
    <t>Cc1cccnc1CN(C)CC1=C(N(C)Cc2ccccn2)CC=CN1 7.7575307 0.38333333333333336</t>
  </si>
  <si>
    <t>C1=COCCOC(Nc2cc(-c3cccc(C(c4ccccn4)c4ccccn4)n3)ccn2)COCCOc2ccccc2OCCO1 7.757528 0.22093023255813954</t>
  </si>
  <si>
    <t>CCN(Cc1ccccn1)C1=CC(Cl)C(Cl)C=C1N(C)C1CCC(N(C)c2cccc3ncccc23)CC1 7.757514 0.3492063492063492</t>
  </si>
  <si>
    <t>Cc1ccc(C)c(CN(C)C2=C(CN(C)Cc3ccccn3)NC=CC2)n1 7.757498 0.3898305084745763</t>
  </si>
  <si>
    <t>Cc1ccnc(CN(C)CCN(C)Cc2ccc3cccnc3c2)c1 7.7574973 0.4</t>
  </si>
  <si>
    <t>Cc1c(C)c(C)c(N(C)CCN(C)C(C)C2=CCC(N(C)CC3=CCC(N(C)Cc4ccccn4)=CN3)=CN2)c(C)c1C 7.757466 0.3333333333333333</t>
  </si>
  <si>
    <t>CN1CCC(N(C)c2ccc3cccnc3c2)C1CN(Cc1ccc(F)cn1)C1CCC(N(C)c2cccc3cc(CF)cnc23)CC1 7.7574615 0.3103448275862069</t>
  </si>
  <si>
    <t>Cc1cnc(CN(C)C2CCC(N(C)c3ccc4c(CF)ccnc4c3)CC2)c(C)c1C 7.75745 0.25757575757575757</t>
  </si>
  <si>
    <t>Cc1cc(CN(Cc2ccccn2)C2CCC(N(C)c3ccc4c(CF)ccnc4c3)CC2)cnc1C 7.7574487 0.3188405797101449</t>
  </si>
  <si>
    <t>Cc1cc(CN(Cc2ccccc2N(C)C)C(C)C)cnc1C 7.7574472 0.3137254901960784</t>
  </si>
  <si>
    <t>CC(C)C(C)N(C)CC1=CC(N(C)c2ccc3ncccc3c2)C=CN1 7.7574415 0.2923076923076923</t>
  </si>
  <si>
    <t>Cc1cnc(CN(C)Cc2ncc(C)cc2C)c(C)c1 7.757431 0.4</t>
  </si>
  <si>
    <t>CC(C)C1=CC2(C=CN1)C=Cc1ncccc1C2 7.75743 0.2033898305084746</t>
  </si>
  <si>
    <t>Cc1cncc(CNCC2CCCN2Cc2ccccn2)c1-c1cccc(N=Cc2ccccn2)c1 7.757426 0.3974358974358974</t>
  </si>
  <si>
    <t>Cc1cc(C)c(CN(C)Cc2cc(N)ccn2)c(C)c1 7.7574244 0.3409090909090909</t>
  </si>
  <si>
    <t>CNCC1=CCC=C(N(C)Cc2cccc(C)n2)N1 7.757421 0.43137254901960786</t>
  </si>
  <si>
    <t>CN(C)Cc1ccc2cccc(N(C)Cc3cccc(N(C)Cc4ncccc4-c4ccc5c(c4)OCCOCCOCCOCCOCCO5)n3)c2n1 7.7574153 0.3142857142857143</t>
  </si>
  <si>
    <t>Cc1cccnc1CN(Cc1ccc(C2=CC3(C=CNC(C(C)C)=C3)C(c3ccc(CN(Cc4ccccn4)Cc4ccccn4)cn3)C(C)(C)C2)nc1)Cc1ccccn1 7.757414 0.2857142857142857</t>
  </si>
  <si>
    <t>CC(C)N(CC(C)(C)C)C(C)(N)N(Cc1ccccn1)CN(C)c1cccc2ncccc12 7.7574115 0.38333333333333336</t>
  </si>
  <si>
    <t>Cc1ccc(CN(C)CC2=C(N(C)Cc3ccccn3)NC=CC2)nc1 7.7574077 0.43137254901960786</t>
  </si>
  <si>
    <t>Cc1ccc(C(C)(C)c2cccc(CN(Cc3ccccn3)C3CCCCC3N(C)c3ccc4nccc(CF)c4c3)n2)cc1 7.7574077 0.35135135135135137</t>
  </si>
  <si>
    <t>Cc1cc(C)c(CN(Cc2cc(C(C)(C)N(Cc3cc(C)c(C)c(C)n3)Cc3cc(C)c(C)c(C)n3)ccn2)C2CCCC(N(C)Cc3cc(-c4ccccn4)ccn3)C2)nc1C 7.757404 0.2839506172839506</t>
  </si>
  <si>
    <t>Cc1ccnc(C)c1C 7.757401 0.23684210526315788</t>
  </si>
  <si>
    <t>Cc1cc(C)c(CN(C)C2=CCC=C(CN(C)C(C)C)N2)nc1C 7.757392 0.18181818181818182</t>
  </si>
  <si>
    <t>CCN(Cc1ccccn1)c1ncccc1CN(Cc1ncccc1C)Cc1ncccc1F 7.7573915 0.3877551020408163</t>
  </si>
  <si>
    <t>Cc1cc(C(C)(C)C)ccc1NCc1ccccn1 7.757389 0.425</t>
  </si>
  <si>
    <t>CNCc1cccc(CN(Cc2ccccn2)C2=CCC=C(CN(C)Cc3ccccn3)N2)n1 7.757388 0.44642857142857145</t>
  </si>
  <si>
    <t>Cc1cnc(C)c(CN(C)CC2=C(N(C)Cc3ccccn3)CC=CN2)c1 7.7573876 0.3728813559322034</t>
  </si>
  <si>
    <t>CNCC1=C(N(C)Cc2cc(C)c(C)c(C)n2)CC=CN1 7.7573853 0.19696969696969696</t>
  </si>
  <si>
    <t>Cc1ccc(CN(Cc2ccccn2)Cc2ncccc2C(C)(C)c2ccccn2)nc1 7.7573786 0.4444444444444444</t>
  </si>
  <si>
    <t>Cc1ccc(CN(C)C2=C(CN(Cc3ccccn3)Cc3ccccn3)NC=CC2)nc1 7.7573776 0.45614035087719296</t>
  </si>
  <si>
    <t>Cc1cccnc1CN(C)CC1=CCC(N(C)Cc2cncc(C)c2C)=CN1 7.757369 0.2857142857142857</t>
  </si>
  <si>
    <t>Cc1ccnc(CN(Cc2ccon2)Cc2cc(C)cnc2C)c1 7.757369 0.3829787234042553</t>
  </si>
  <si>
    <t>Cc1ccnc(CN(C)CC2=CCC(N(C)Cc3cc(C)ccn3)=CN2)c1 7.757362 0.3584905660377358</t>
  </si>
  <si>
    <t>CN(c1cccc2nccc(CF)c12)C1CCCC(N(Cc2ccc(N)cn2)Cc2cccnc2F)C1 7.757357 0.27848101265822783</t>
  </si>
  <si>
    <t>CNCc1ncccc1N(C)Cc1cccnc1 7.7573485 0.3469387755102041</t>
  </si>
  <si>
    <t>CN(CCN)Cc1cncc(-c2ccccc2N)c1 7.757348 0.2653061224489796</t>
  </si>
  <si>
    <t>CC(C)C1(C)N=COC1c1ncccc1C1=NC(C)(C)CO1 7.757345 0.36538461538461536</t>
  </si>
  <si>
    <t>Cc1cc(C)c(CN(Cc2ccccn2)C2CCCC(N(C)c3ccc4cccnc4c3)C2)nc1C 7.757338 0.35384615384615387</t>
  </si>
  <si>
    <t>CN(C1=CCC=CN1)C1CCCC(N(C)c2cccc3ncccc23)C1 7.7573357 0.3333333333333333</t>
  </si>
  <si>
    <t>Cc1cccc(CN(Cc2ccccn2)C2CCC(N(C)c3ccc4nccc(C)c4c3)CC2)n1 7.7573338 0.3709677419354839</t>
  </si>
  <si>
    <t>Cc1cncc(CN(Cc2ccccc2N=Cc2ccccn2)C(C)C)c1 7.757332 0.42105263157894735</t>
  </si>
  <si>
    <t>Cc1cc(NCc2ccccn2)ccc1CN(Cc1ccccn1)C1CCCC(N(C)c2cccc3ncccc23)C1 7.7573285 0.323943661971831</t>
  </si>
  <si>
    <t>c1ccc(-c2ccc3c(n2)CCCC3)nc1 7.757328 0.3953488372093023</t>
  </si>
  <si>
    <t>Cc1nc(CN(Cc2cc(C(C)(C)C)ccn2)C(C)C)c(C)c(C)c1C 7.757321 0.3673469387755102</t>
  </si>
  <si>
    <t>CC1=CC(C)C(C)C(N(C)Cc2cccc(-c3cccc(N=Cc4ccccn4)c3)n2)C1 7.7573013 0.36486486486486486</t>
  </si>
  <si>
    <t>CCN(Cc1ccccn1)C1=CCC=C(CN(C)Cc2cc(C)c(C)c(C)n2)N1 7.7572994 0.3709677419354839</t>
  </si>
  <si>
    <t>Cc1ccc(C)c(N(C)CN)c1C 7.757295 0.20512820512820512</t>
  </si>
  <si>
    <t>Cc1cnc(CN(C)C2=CCC(CN(C)Cc3ccccn3)=CN2)c(C)c1C 7.757292 0.3728813559322034</t>
  </si>
  <si>
    <t>CN1CCN(C)CCN(Cc2cccnc2-c2ccc(N)c3ncccc23)CC1 7.757289 0.42</t>
  </si>
  <si>
    <t>CCN(Cc1ccccn1)Cc1cccc(CN(Cc2ccccn2)C(C)(N)C2=C(N(C)Cc3cc(C)c(C)c(C)n3)CC=CN2)n1 7.757285 0.32894736842105265</t>
  </si>
  <si>
    <t>Cc1cccc(CN(C)CC2=CNC=C(N(C)Cc3ccccn3)C2)n1 7.757281 0.4716981132075472</t>
  </si>
  <si>
    <t>CCOC(=O)c1cccc(CN(Cc2ccccn2)C2CCCCC2N(C)c2ccc3ccc(CN(C)C)nc3c2)n1 7.7572784 0.38235294117647056</t>
  </si>
  <si>
    <t>Cc1nc(CN(C)CC2=CCC=C(N(C)C(C)C)N2)c(C)c(C)c1C 7.757265 0.21818181818181817</t>
  </si>
  <si>
    <t>CC(C)C1=CC2(C=CN1)C=C(c1ccc(CN(Cc3ccccn3)Cc3ncccc3N)cn1)CC(C)(C)C2c1ccc(CN(Cc2ccccn2)Cc2ccccn2)cn1 7.757262 0.2823529411764706</t>
  </si>
  <si>
    <t>Cc1cc(NCc2ccccn2)ccc1CN(C)Cc1ccc(N)cn1 7.7572556 0.3793103448275862</t>
  </si>
  <si>
    <t>CN(Cc1ncccc1CF)Cc1ncccc1C1C=C(c2ccccn2)CC(c2ccccn2)C1 7.757248 0.3333333333333333</t>
  </si>
  <si>
    <t>Cc1cnccc1CN(C)CC1=C(N(C)Cc2ncccc2C)CC=CN1 7.7572384 0.2698412698412698</t>
  </si>
  <si>
    <t>Cc1cnc(CN(Cc2ncccc2C)C2CCCCC2N(C)c2cccc3nccc(CF)c23)c(C)c1 7.757234 0.36764705882352944</t>
  </si>
  <si>
    <t>CNC1CCC(N(Cc2nc(C)c(C)c(C)c2C)Cc2nc(C)c(C)c(C)c2C)C(N(Cc2ncc(C)cc2C)Cc2nc(C)c(C)c(C)c2C)C1N(Cc1nc(C)c(C)c(C)c1C)Cc1nc(C)c(C)c(C)c1C 7.757226 0.25</t>
  </si>
  <si>
    <t>Cc1cncc(CN(C)Cc2cccc(N(C)C(C)(C)c3cccnc3)n2)c1C 7.7572255 0.32142857142857145</t>
  </si>
  <si>
    <t>CC1C=CC(C)(C)C(C)(c2cc(CN(Cc3ccccn3)Cc3ccc(-c4cccc(N(C)C)c4)cn3)ccn2)C1C 7.757225 0.32051282051282054</t>
  </si>
  <si>
    <t>CN(CC1=CCC=C(N(C)Cc2ncccc2C(C)(C)C)N1)Cc1ccccn1 7.757205 0.3728813559322034</t>
  </si>
  <si>
    <t>CN(c1ccc2nc(CF)ccc2c1)C1CCCCC1N(Cc1ccccn1)c1ccccc1F 7.7572036 0.453125</t>
  </si>
  <si>
    <t>Cc1cccnc1CN(C)Cc1cc(C)c(C)c(C)n1 7.7572026 0.3673469387755102</t>
  </si>
  <si>
    <t>CCN(Cc1ccccn1)C1=CCC=C(CN(C)Cc2nc(C)c(C)cc2C)N1 7.75719 0.3492063492063492</t>
  </si>
  <si>
    <t>Cc1cnc(CN(C)Cc2ccc(N)c(C)n2)c(C)c1 7.757189 0.4</t>
  </si>
  <si>
    <t>Cc1ccc(CN(C)CC2=CCC=C(N(C)Cc3ccccn3)N2)cc1 7.7571883 0.39655172413793105</t>
  </si>
  <si>
    <t>COC(C)c1cccc(CNCc2cc(C(=O)C(C)N=Cc3ccccn3)ccn2)n1 7.7571793 0.2857142857142857</t>
  </si>
  <si>
    <t>Cc1ccnc(CN(C)CCN(C)Cc2ccc3ncccc3c2)c1 7.757179 0.4</t>
  </si>
  <si>
    <t>Cc1cnc(C)c(CN(C)C2=CNC(CN(C)Cc3ccccn3)=CC2)c1 7.757178 0.38333333333333336</t>
  </si>
  <si>
    <t>Fc1cccc(N(Cc2ccccn2)C2CCCCC2N(Cc2ccccn2)c2cccc3cccnc23)c1 7.7571735 0.4642857142857143</t>
  </si>
  <si>
    <t>Cc1ccc(CN(Cc2ccccn2)C2CCCC(N(C)c3ccc4nccc(C)c4c3)C2)nc1 7.7571697 0.375</t>
  </si>
  <si>
    <t>Cc1cccc(CN(C)CC2=CCC=C(N(C)Cc3ccccn3)N2)c1 7.7571683 0.4</t>
  </si>
  <si>
    <t>Cc1nc(CN(C)C2CCCCC2N(C)c2ccc3nccc(CF)c3c2)c(C)c(C)c1C 7.757164 0.328125</t>
  </si>
  <si>
    <t>Cc1ccc(CN(C)CC2=C(N(C)Cc3ncc(C)c(C)c3C)CC=CN2)nc1 7.757164 0.4230769230769231</t>
  </si>
  <si>
    <t>CN(Cc1ccc(-c2cccc3c2OCCOCCOCCOCCOCCO3)cn1)c1cc2cccnc2cc1N(C)Cc1ccccn1 7.7571564 0.390625</t>
  </si>
  <si>
    <t>CNc1ccnc(CNCc2cccc(Cl)n2)c1 7.757155 0.3488372093023256</t>
  </si>
  <si>
    <t>CN1CCN(C)CCN(Cc2cccnc2-c2cc(N)c3cccnc3c2)CC1 7.757153 0.4117647058823529</t>
  </si>
  <si>
    <t>CN(CCN)Cc1cnccc1-c1ccccc1N 7.7571516 0.32</t>
  </si>
  <si>
    <t>Cc1ccc(CN(Cc2ccccn2)C2=CNC=C(CN(C)Cc3ccccn3)C2)nc1 7.7571464 0.44</t>
  </si>
  <si>
    <t>Cc1ccnc(CN(C)C2=CNC(CN(C)C)=CC2)c1 7.757146 0.36538461538461536</t>
  </si>
  <si>
    <t>CN(Cc1ccon1)C1CCCC(N(C)c2cccc3nccc(CF)c23)C1 7.7571363 0.3448275862068966</t>
  </si>
  <si>
    <t>Cc1ccc(CN(C)CC2=CCC(N(C)Cc3ccc(C)cn3)=CN2)nc1 7.7571325 0.5</t>
  </si>
  <si>
    <t>CN(C)Cc1ncccc1N(C)C(C)(C)c1ccccn1 7.7571177 0.3617021276595745</t>
  </si>
  <si>
    <t>CN(Cc1ncccc1N)C1=CC=CNC1 7.757117 0.2830188679245283</t>
  </si>
  <si>
    <t>Cc1cc(C)c(CN(C)CN(C)Cc2cc(C)c(C)c(C)n2)nc1C 7.7571096 0.2826086956521739</t>
  </si>
  <si>
    <t>Cc1cccc(CN(C)C2=CCC=C(CN(Cc3cccc(C)n3)C(C)C)N2)n1 7.757105 0.40816326530612246</t>
  </si>
  <si>
    <t>CCc1cccc(CNCc2cc(C(C)(c3ccccn3)c3ccccn3)ccn2)c1 7.757098 0.3728813559322034</t>
  </si>
  <si>
    <t>CC(C)C1=CC2(C=CN1)CCC(C)(C)C(c1cccc(CN(Cc3ccccn3)Cc3ccccn3)n1)=C2c1cccc(CN(Cc2ccccn2)Cc2ccccn2)n1 7.7570972 0.391304347826087</t>
  </si>
  <si>
    <t>CN(c1ccc2cc(CF)cnc2c1)C1CCC(N(Cc2ccccn2)Cc2cccc(C(C)(C)c3ccccn3)n2)CC1 7.757083 0.3333333333333333</t>
  </si>
  <si>
    <t>Cc1cc(CN(C)Cc2cc(C)c(C)c(C)n2)ccn1 7.7570806 0.32608695652173914</t>
  </si>
  <si>
    <t>Cc1cnc(CN(Cc2ccccn2)C2CCCC(N(C)c3ccc4cc(CN(C)C)cnc4c3)C2)c(C)c1 7.757079 0.32857142857142857</t>
  </si>
  <si>
    <t>Cc1cnc(CN(C)C2=CCC=C(CN(Cc3ccccn3)C(C)C)N2)c(C)c1C 7.7570777 0.42857142857142855</t>
  </si>
  <si>
    <t>Cc1cccc(CN(Cc2ncccc2C)C2CCC(N(C)c3ccc4nccc(CF)c4c3)CC2)n1 7.757076 0.32857142857142857</t>
  </si>
  <si>
    <t>Cc1cccnc1CN(Cc1ccon1)Cc1ncccc1C 7.7570715 0.45</t>
  </si>
  <si>
    <t>CN(C)Cc1ccc2cc(N(C)C3CCC(N(Cc4ccccn4)Cc4ccon4)CC3)ccc2n1 7.757071 0.3870967741935484</t>
  </si>
  <si>
    <t>CN(CC1=CCC=CN1)c1ccccc1F 7.7570643 0.4583333333333333</t>
  </si>
  <si>
    <t>Cc1ccc(C)c(CN(C)CC2=C(N(C)Cc3ccccn3)CC=CN2)n1 7.7570596 0.36666666666666664</t>
  </si>
  <si>
    <t>Cc1cccc(CN(C)CC2=C(N(C)Cc3cccc(C)n3)CC=CN2)n1 7.757051 0.5</t>
  </si>
  <si>
    <t>COC(C)c1cc(CN(Cc2ccccn2)Cc2ncccc2N(C)C)ccn1 7.7570486 0.4</t>
  </si>
  <si>
    <t>Cc1ccc(CN(Cc2ccc(N)cn2)C2CCC(N(C)c3ccc4nccc(CF)c4c3)CC2)cn1 7.7570477 0.25333333333333335</t>
  </si>
  <si>
    <t>C=C1C=CNC(CN(C)C2=CCC=CN2)=C1 7.757039 0.3958333333333333</t>
  </si>
  <si>
    <t>Cc1cc(CN(C)CCN(C)Cc2ccc3cccnc3c2)ccn1 7.7570386 0.425531914893617</t>
  </si>
  <si>
    <t>CNCc1ccc2cccc(N(CCN(C)CC(C)(C)C)Cc3ccccn3)c2n1 7.7570353 0.42105263157894735</t>
  </si>
  <si>
    <t>Cc1ccc(CN(C)C2=C(CN(C)Cc3nc(C)ccc3C)NC=CC2)nc1 7.757035 0.38181818181818183</t>
  </si>
  <si>
    <t>CN(Cc1ccon1)C1CCCC(N(C)c2ccc3c(CF)ccnc3c2)C1 7.7570314 0.3508771929824561</t>
  </si>
  <si>
    <t>Cc1ccc(CN(Cc2ccnc(C(C)(c3cccnc3)C(C)N)c2)C2CCCC(N(C)c3ccc4c(CF)ccnc4c3)C2)nc1 7.757031 0.2727272727272727</t>
  </si>
  <si>
    <t>Cc1cccc(CN(C)C2=CNC(CN(C)C)=CC2)n1 7.757029 0.45454545454545453</t>
  </si>
  <si>
    <t>CN(c1ccccc1)C1CCC(N(C)c2ccc3nc4c(cc3c2)CCC4)CC1 7.7570224 0.43636363636363634</t>
  </si>
  <si>
    <t>Cc1cc(CN(Cc2ccccn2)C2CCCC(N(C)c3ccc4nc(CN(C)C)ccc4c3)C2)cnc1C 7.7570224 0.35294117647058826</t>
  </si>
  <si>
    <t>Cc1ccnc2cccc(N(C)C3CCCC(N(Cc4ccccn4)Cc4cccnc4C(C)N)C3)c12 7.7570186 0.32857142857142857</t>
  </si>
  <si>
    <t>CC(C)C1=CC2(C=CN1)C=CC(c1ccccn1)C1N=CC=CC12c1ncccc1CN(Cc1ccccn1)C1CCC(N(C)c2ccc3ncc(CF)cc3c2)CC1 7.757016 0.21359223300970873</t>
  </si>
  <si>
    <t>Cc1cc(CN(C)C2CCCCC2N(C)c2ccc3c(CN(C)C)ccnc3c2)c(C)nc1C 7.7570143 0.35</t>
  </si>
  <si>
    <t>CNCc1cccc(N(C)Cc2ccccn2)n1 7.7570143 0.4883720930232558</t>
  </si>
  <si>
    <t>Cc1cccnc1CN(C)CC1=CNC=C(N(C)Cc2ccccn2)C1 7.7569942 0.38181818181818183</t>
  </si>
  <si>
    <t>Cc1cccc(CN(C)C2=C(CN(Cc3ccccn3)Cc3cccc(C(C)(C)C)n3)NC=CC2)n1 7.7569923 0.4</t>
  </si>
  <si>
    <t>CC(C)N(Cc1cc(C(C)(C)C)ccn1)C1CCC(N(C)Cc2cc(-c3cccc4ncccc34)ccn2)CC1 7.7569914 0.29411764705882354</t>
  </si>
  <si>
    <t>Cc1ccc(CN(Cc2nc(C)c(C)c(C)c2C)C2CCCCC2N(C)c2ccc3nc(CF)ccc3c2)nc1 7.756988 0.421875</t>
  </si>
  <si>
    <t>CCN(Cc1ccccn1)Cc1cc(N(C)Cc2ncccc2C)ccn1 7.7569876 0.4318181818181818</t>
  </si>
  <si>
    <t>CCN(Cc1ccccn1)Cc1ccc(N(C)Cc2ncccc2C)cn1 7.7569766 0.4318181818181818</t>
  </si>
  <si>
    <t>Cc1cccc(C(C)(C)c2ncccc2CN(Cc2ccccn2)Cc2ccccn2)c1C 7.7569675 0.46511627906976744</t>
  </si>
  <si>
    <t>Cc1ccc(C)c(CN(Cc2cccnc2CN(C)C)Cc2nc(C)ccc2C)n1 7.756966 0.3469387755102041</t>
  </si>
  <si>
    <t>CCN(Cc1cccc(CN(Cc2ccc([SiH3])cn2)Cc2cc(C)c(C)c(C)n2)n1)Cc1nc(C)c(C)c(C)c1C 7.756963 0.29850746268656714</t>
  </si>
  <si>
    <t>Cc1ccc(CN(C)C2CCC(N(Cc3ccccn3)c3ccc4nc(CN(C)C)ccc4c3)CC2)nc1C 7.756959 0.39344262295081966</t>
  </si>
  <si>
    <t>Cc1cncc(CN(C)C2CCC(N(C)Cc3cc(-c4ccc5cccnc5c4)ccn3)CC2)c1 7.7569566 0.31746031746031744</t>
  </si>
  <si>
    <t>Cc1ccc(C)c(CN(C)C2=C(CN(C)Cc3ncccc3C)NC=CC2)n1 7.756951 0.25806451612903225</t>
  </si>
  <si>
    <t>CC1=CC=C(N(Cc2ccccn2)Cc2ccccn2)NC1NCc1ccccn1 7.7569475 0.4186046511627907</t>
  </si>
  <si>
    <t>CC(C)N(C)c1cccc(-c2ccnc(CN(C)C(C)(c3cccnc3)C(C)C)c2)c1 7.756946 0.2786885245901639</t>
  </si>
  <si>
    <t>Cc1ccc(CN(C)C2=CNC(CN(Cc3ccccn3)Cc3cccc(C(C)(C)C)n3)=CC2)nc1 7.756938 0.4153846153846154</t>
  </si>
  <si>
    <t>Cc1ccc(CN(C)C2=C(CN(C)Cc3ncc(C)c(C)c3C)NC=CC2)nc1 7.7569375 0.39622641509433965</t>
  </si>
  <si>
    <t>Cc1cncc(CN(C)CCN(C)Cc2cccc3ncccc23)c1 7.756935 0.4489795918367347</t>
  </si>
  <si>
    <t>Cc1cccnc1CN(Cc1ccccn1)C1CCCC(N(C)c2ccc3nccc(CN(C)C)c3c2)C1 7.7569313 0.3382352941176471</t>
  </si>
  <si>
    <t>CNCc1cccc(N(C)C2CCCC(N(C)c3cccc4nc(CF)ccc34)C2)n1 7.7569275 0.3968253968253968</t>
  </si>
  <si>
    <t>Cc1cccc(CN(C)C2=CNC(CN(C)C3=CNC(C(C)N)=CC3)=CC2)n1 7.7569246 0.38461538461538464</t>
  </si>
  <si>
    <t>CC1=C(C)C(C)C2(C=CC(c3cc(CN(Cc4ccccn4)Cc4cc(-c5cccc(N=Cc6ccccn6)c5)ccn4)ccn3)C(c3cc(CN(Cc4ccccn4)Cc4ccccn4)ccn3)C23C(C)C=CC(C)C3C)CC1 7.756915 0.26</t>
  </si>
  <si>
    <t>Cc1cccnc1CN(Cc1ccc(N)cn1)C1CCC(N(C)c2ccc3c(CF)ccnc3c2)CC1 7.756913 0.25333333333333335</t>
  </si>
  <si>
    <t>Cc1ccc(CN(C)Cc2cccc(N(C)C3C=CC=CN3)n2)cn1 7.756911 0.34545454545454546</t>
  </si>
  <si>
    <t>Cc1ccc(CN(C)C2=C(CN(C)Cc3ccccn3)NC=CC2)nc1C 7.7569084 0.42105263157894735</t>
  </si>
  <si>
    <t>Cc1cc(CN(C)Cc2ncccc2N(C)C(C)C)nc(C)c1C 7.7569036 0.34615384615384615</t>
  </si>
  <si>
    <t>CC1=CC(C)CC2(C1)CC1(C=C(c3ncccc3CN(Cc3ccccn3)Cc3ncccc3-c3ccccc3N=Cc3ccccn3)C23CCC(C)=C(C)C3C)CCC(C)=C(C)C1C 7.7568903 0.2553191489361702</t>
  </si>
  <si>
    <t>CCNc1ncccc1-c1cccc(C(C)C(C)C)n1 7.75689 0.3392857142857143</t>
  </si>
  <si>
    <t>Cc1cccnc1CN(C)C1=CNC(CN(C)C)=CC1 7.756887 0.288135593220339</t>
  </si>
  <si>
    <t>Cc1cnc(CN(C)CC2=CCC=C(N(C)C)N2)c(C)c1 7.756884 0.27450980392156865</t>
  </si>
  <si>
    <t>CN(Cc1cccc(N)n1)Cc1cccc(N(C)C(C)(C)c2ccccn2)n1 7.756884 0.45098039215686275</t>
  </si>
  <si>
    <t>CN(Cc1ccon1)C1CCCC(N(C)c2ccc3nccc(CF)c3c2)C1 7.7568774 0.3508771929824561</t>
  </si>
  <si>
    <t>CCN(Cc1cc(C2=NC(C)(C)CO2)ccn1)Cc1ncccc1C 7.756876 0.3333333333333333</t>
  </si>
  <si>
    <t>CC(C)(c1cc(CN(Cc2ccccn2)Cc2ccccn2)ccn1)c1ccccc1NCc1ccccn1 7.7568736 0.425531914893617</t>
  </si>
  <si>
    <t>Cc1ccc(NCc2ccccn2)c(C)c1 7.7568717 0.4594594594594595</t>
  </si>
  <si>
    <t>Cc1ccc(CN(C)Cc2cc(C(C)(C)c3ccccn3)ccn2)cc1C 7.7568707 0.35714285714285715</t>
  </si>
  <si>
    <t>CC(N)C(C)C(C)c1cccnc1-c1cccnc1NC1C=CC=CN1 7.7568703 0.27692307692307694</t>
  </si>
  <si>
    <t>CN(CC1=CCC=C(N(C)C2CCCC(N(C)Cc3ccccn3)C2)N1)c1cccc2ncccc12 7.7568665 0.3787878787878788</t>
  </si>
  <si>
    <t>CN(CC1=CCC=C(N(C)Cc2ccccn2)N1)Cc1cccnc1 7.7568626 0.38333333333333336</t>
  </si>
  <si>
    <t>CC(C)N(Cc1cccc(C2=CCC=CN2)n1)Cc1cccc(C(C)(C)C)n1 7.7568526 0.3225806451612903</t>
  </si>
  <si>
    <t>CC(c1ccccn1)(c1ccccn1)c1cccc(CN(CF)Cc2ccccn2)n1 7.756846 0.4888888888888889</t>
  </si>
  <si>
    <t>Cc1cc(CN(Cc2ccccn2)C2CCCCC2N(C)c2ccc3nccc(C)c3c2)cnc1C 7.756846 0.4126984126984127</t>
  </si>
  <si>
    <t>CN(c1ccc2nc(CF)ccc2c1)C1CCCCC1N(Cc1ccccn1)c1cccc(CF)n1 7.756844 0.4603174603174603</t>
  </si>
  <si>
    <t>CNCc1nccc2cc(N(C)C3CCCCC3N(Cc3ccccn3)c3ccccc3F)ccc12 7.7568407 0.4</t>
  </si>
  <si>
    <t>CN(c1ccc2ncc(CF)cc2c1)C1CCC(N(Cc2ccccn2)Cc2cccc(C(C)(C)c3ccccn3)n2)CC1 7.7568274 0.32857142857142857</t>
  </si>
  <si>
    <t>Cc1ccc(N)c(N(Cc2ccccn2)C(C)(C)N(C)Cc2nc(N)c(C)c(C)c2C)c1 7.7568097 0.35</t>
  </si>
  <si>
    <t>CC(c1ccccc1)(c1ccccn1)c1ncccc1CN(Cc1ccccn1)Cc1ccccn1 7.7568045 0.4878048780487805</t>
  </si>
  <si>
    <t>CN(Cc1ccccn1)Cc1ccc(N(C)C2C=CC=CN2)cn1 7.7568045 0.49056603773584906</t>
  </si>
  <si>
    <t>Cc1ccccc1CN(C)CC1=CCC=C(N(C)Cc2ccccn2)N1 7.7567983 0.39655172413793105</t>
  </si>
  <si>
    <t>Cc1cnc(C)c(C)c1 7.7567964 0.2727272727272727</t>
  </si>
  <si>
    <t>Cc1ccc(CN(Cc2nc(C)c(C)c(C)c2C)C2CCCCC2N(C)c2ccc3cccnc3c2)nc1 7.7567954 0.421875</t>
  </si>
  <si>
    <t>CNCc1nccc2cccc(N(C)C3CCCCC3N(Cc3ccccn3)c3ccccc3F)c12 7.7567883 0.4126984126984127</t>
  </si>
  <si>
    <t>CC(C)C1=CC2(C=CN1)C(c1cc(CN(Cc3ccccn3)C(C)(C)c3ccccn3)ccn1)=CC(C)(C)CC2c1cc(CN(Cc2ccccn2)Cc2ccccn2)ccn1 7.7567873 0.27906976744186046</t>
  </si>
  <si>
    <t>Cc1cnc2ccc(N(C)C3CCC(N(Cc4cccc(F)n4)Cc4cccnc4F)CC3)cc2c1C 7.7567835 0.2926829268292683</t>
  </si>
  <si>
    <t>CN(C)Cc1cnc2cc(N(C)C3CCC(N(Cc4ccccn4)Cc4ccon4)CC3)ccc2c1 7.7567773 0.3333333333333333</t>
  </si>
  <si>
    <t>CNCN(Cc1nc(C)c(C)c(C)c1C)Cc1nc(C)c(C)c(C)c1C 7.756776 0.18604651162790697</t>
  </si>
  <si>
    <t>Cc1ccc(NCc2ccccn2)c(CN(C)C2CCCC(N(C)c3ccc4nccc(CF)c4c3)C2)c1 7.7567754 0.3150684931506849</t>
  </si>
  <si>
    <t>Cc1cccc(CN(C)C2=CNC(CN(C)Cc3ccccn3)=CC2)n1 7.756768 0.4716981132075472</t>
  </si>
  <si>
    <t>CNCNCc1cccc(N(C)Cc2cc(C)c(C)c(C)n2)n1 7.756768 0.28846153846153844</t>
  </si>
  <si>
    <t>CNCc1nc(C)c(CN(Cc2ccccn2)Cc2ncc(C)c(C)c2C)c(C)c1C 7.7567673 0.425531914893617</t>
  </si>
  <si>
    <t>Cc1nc(CN(C)C2=CCC=C(CN(Cc3ccccn3)C(C)C)N2)c(C)c(C)c1C 7.756767 0.42857142857142855</t>
  </si>
  <si>
    <t>CN(CCN(C)c1ccc2nc(CF)ccc2c1)CC(C)(C)C 7.756764 0.2982456140350877</t>
  </si>
  <si>
    <t>CCOC(=O)c1ccccn1 7.7567625 0.3673469387755102</t>
  </si>
  <si>
    <t>Cc1cc(NCc2ccccn2)ccc1CN(C)C1CCC(N(C)c2ccc3c(CF)ccnc3c2)CC1 7.7567544 0.30985915492957744</t>
  </si>
  <si>
    <t>Cc1cncc(CN(C)CC2=CCC(N(C)Cc3ncccc3C)=CN2)c1 7.75675 0.24242424242424243</t>
  </si>
  <si>
    <t>Cc1cccc(C(C)(C)CN(Cc2ccccn2)Cc2ccccn2)c1N=Cc1ccccn1 7.7567496 0.4444444444444444</t>
  </si>
  <si>
    <t>Cc1cc(C)c(C)c(CN(C)C2=C(CN(C)Cc3ccccn3)NC=CC2)n1 7.756743 0.3770491803278688</t>
  </si>
  <si>
    <t>Cc1cc(NCc2ccccn2)ccc1CN(C)Cc1cc(C(C)(C)C)ccn1 7.7567425 0.3559322033898305</t>
  </si>
  <si>
    <t>Cc1cncc(CN(C)CC2=CCC(N(C)Cc3cccc(C)n3)=CN2)c1 7.7567415 0.38181818181818183</t>
  </si>
  <si>
    <t>CC(C)N(Cc1cc(C(C)(C)c2ccccn2)ccn1)C1CCC(N(C)c2ccc3c(CF)ccnc3c2)CC1 7.756738 0.273972602739726</t>
  </si>
  <si>
    <t>Cc1cc(C)c(CN(C)C2CCC(N(C)c3ccc4nc(CN(C)C)ccc4c3)CC2)nc1C 7.7567334 0.27419354838709675</t>
  </si>
  <si>
    <t>CN(c1ccc2ccc(CF)nc2c1)C1CCCCC1N(Cc1ccccn1)c1ccccc1F 7.756731 0.4603174603174603</t>
  </si>
  <si>
    <t>Cc1cccnc1CN(C)C1=CNCC=C1 7.756729 0.29411764705882354</t>
  </si>
  <si>
    <t>CN(c1ccc2cc(CF)cnc2c1)C1CCCCC1N(Cc1ccccn1)c1ccccc1F 7.7567286 0.41935483870967744</t>
  </si>
  <si>
    <t>Cc1cccnc1CN(C)C1=CCNC=C1 7.7567277 0.29411764705882354</t>
  </si>
  <si>
    <t>CC1=C(c2ncccc2CN(Cc2ccccn2)C2CCCC(N(C)c3cccc4cc(CN(C)C)cnc34)C2)C(C)CC(C)C1 7.756725 0.30864197530864196</t>
  </si>
  <si>
    <t>Cc1ccc(CN(C)C2=CNC(CN(Cc3ccccn3)Cc3ccccn3)=CC2)nc1 7.7567205 0.48214285714285715</t>
  </si>
  <si>
    <t>Cc1cccc(CN(C)C2=C(CN(C)Cc3ncccc3C)NC=CC2)n1 7.7567205 0.38181818181818183</t>
  </si>
  <si>
    <t>Cc1ccc(C)c(CN(C)CC2=C(N(C)Cc3nc(C)ccc3C)CC=CN2)n1 7.7567067 0.2692307692307692</t>
  </si>
  <si>
    <t>CCCN(Cc1ccccn1)Cc1cc(N(C)Cc2nc(C)c(C)cc2C)ccn1 7.7566986 0.4423076923076923</t>
  </si>
  <si>
    <t>Cc1ccnc2cccc(N(C)CCN(C)C(C)C(C)N)c12 7.7566977 0.36</t>
  </si>
  <si>
    <t>Cc1cncc(CN(C)Cc2cccc(N(C)C3C=CC=CN3)n2)c1 7.7566953 0.3157894736842105</t>
  </si>
  <si>
    <t>Cc1cccnc1CN(C)C1=CNC(CN(C)Cc2ccccn2)=CC1 7.75668 0.4107142857142857</t>
  </si>
  <si>
    <t>CC(C)(c1cccc(NCc2ccccn2)c1)c1ncccc1CN(Cc1ccccn1)Cc1ccccn1 7.7566752 0.4166666666666667</t>
  </si>
  <si>
    <t>Cc1cc(C)nc(CN(C)C2=C(CN(C)Cc3ccccn3)NC=CC2)c1 7.7566733 0.3898305084745763</t>
  </si>
  <si>
    <t>CN(Cc1ccccn1)Cc1ccc(N(C)Cc2cccc(C3CC(C)(C)C3)n2)cn1 7.7566705 0.49056603773584906</t>
  </si>
  <si>
    <t>Cc1cc(C)c(CN(C)C2CCCC(N(C)c3cccc4nc(CF)ccc34)C2)nc1C 7.7566705 0.373134328358209</t>
  </si>
  <si>
    <t>CCN(Cc1cc(C2=CCC=CN2)ccn1)Cc1cc(C(C)(C)C)ccn1 7.756664 0.3898305084745763</t>
  </si>
  <si>
    <t>CNC1NC=CC=C1N(C)Cc1ncc(C)c(C)c1C 7.7566614 0.2413793103448276</t>
  </si>
  <si>
    <t>CNCc1ccc(N(Cc2ccccn2)C(C)(N)N(Cc2ccccn2)Cc2ncccc2C)cn1 7.756655 0.3225806451612903</t>
  </si>
  <si>
    <t>CNCCN(Cc1ccccn1)c1ccc(C2=NC(C)(C)CO2)cc1 7.7566476 0.35714285714285715</t>
  </si>
  <si>
    <t>Cc1nc(CN(C)Cc2cc(CN(Cc3ccc([SiH3])cn3)Cc3ccc([SiH3])cn3)ccn2)c(C)c(C)c1C 7.756647 0.32727272727272727</t>
  </si>
  <si>
    <t>CNCC1=CCC=C(N(C)Cc2ncccc2C)N1 7.756646 0.2786885245901639</t>
  </si>
  <si>
    <t>Cc1cccc(CN(Cc2ccccn2)C2CCCC(N(C)c3cccc4c(C)ccnc34)C2)n1 7.7566457 0.3870967741935484</t>
  </si>
  <si>
    <t>CNCCN(Cc1ccccn1)c1ccc(N)c(Cl)c1C 7.756645 0.40384615384615385</t>
  </si>
  <si>
    <t>Cc1cccc(CN(C)CC2=C(N(C)Cc3ncccc3C)CC=CN2)n1 7.7566447 0.4074074074074074</t>
  </si>
  <si>
    <t>Cc1cnc2ccc(N(C)c3c(C)cncc3CN3CCN(C)CCN(C)CC3)cc2c1 7.75664 0.3770491803278688</t>
  </si>
  <si>
    <t>CNCC1=CCC=C(N(C)Cc2cc(C)c(C)cn2)N1 7.756637 0.2807017543859649</t>
  </si>
  <si>
    <t>CCOC(=O)c1cccc(CN(Cc2ccccn2)C2CCCCC2N(C)c2cccc3nc(CN(C)C)ccc23)n1 7.7566366 0.37681159420289856</t>
  </si>
  <si>
    <t>CN(C)Cc1ccnc2cccc(N(C)C3CCC(N(C)Cc4ccon4)CC3)c12 7.756636 0.34545454545454546</t>
  </si>
  <si>
    <t>Cc1cccnc1CN(C)CC1=CCC(N(C)Cc2ccccn2)=CN1 7.7566347 0.38596491228070173</t>
  </si>
  <si>
    <t>CN(Cc1cccc(-c2cccc(N)c2)n1)Cc1ccc2cc(N(C)Cc3cccc(-c4ccc5c(c4)OCCOCCOCCOCCOCCO5)n3)ccc2n1 7.7566323 0.3</t>
  </si>
  <si>
    <t>Cc1cnc(CN(C)CC2=C(N(C)Cc3ccccn3)CC=CN2)c(C)c1C 7.7566323 0.3709677419354839</t>
  </si>
  <si>
    <t>Cc1cc(-c2ccc(CN(C)C3CCCC(N(C)Cc4ccc5cccnc5c4)C3)cn2)ccc1N 7.756632 0.2608695652173913</t>
  </si>
  <si>
    <t>CCC(C)(c1ccccn1)c1cc(CN(Cc2ccccn2)C2CCC(N(C)c3ccc4nccc(CF)c4c3)CC2)ccn1 7.7566285 0.29333333333333333</t>
  </si>
  <si>
    <t>CCN(Cc1ccc2ccc(C)nc2n1)C1CCC(N(C)Cc2cc(C)c(C)c(C)n2)CC1N(Cc1nc(C)c(C)c(C)c1C)Cc1nc(C)c(C)c(C)c1C 7.7566266 0.29577464788732394</t>
  </si>
  <si>
    <t>Cc1ccnc(CN(C)C2=CNC(CN(C)Cc3cccc(C)n3)=CC2)c1 7.756626 0.41509433962264153</t>
  </si>
  <si>
    <t>Cc1ccc(CN(C)CC2=CCC(N(C)Cc3ncccc3C)=CN2)cn1 7.756617 0.25396825396825395</t>
  </si>
  <si>
    <t>CCN(Cc1ccccn1)Cc1cc(N(C)c2ccccc2C(C)(C)C)ccn1 7.7566137 0.43137254901960786</t>
  </si>
  <si>
    <t>Cc1ccc(C)c(CN(C)CC2=CNC=C(N(C)Cc3ccccn3)C2)n1 7.756608 0.3728813559322034</t>
  </si>
  <si>
    <t>CCN(Cc1ccccn1)Cc1cc(C(C)(C)c2cc(CN(Cc3cc(C(C)(C)C)ccn3)Cc3cc(C)c(C)cn3)ccn2)ccn1 7.756587 0.37037037037037035</t>
  </si>
  <si>
    <t>CN(Cc1ccc(F)cn1)Cc1ncccc1N(C)C1C=CC=CN1 7.7565794 0.3548387096774194</t>
  </si>
  <si>
    <t>Cc1cccnc1CN(C)C1=CCC=C(CN(Cc2ncccc2C)C(C)C)N1 7.756579 0.3333333333333333</t>
  </si>
  <si>
    <t>CNCc1nc(CN(Cc2ccccn2)Cc2nc(C)c(C)c(C)c2C)c(C)c(C)c1C 7.7565775 0.4878048780487805</t>
  </si>
  <si>
    <t>Cc1cccc(CN(C)CC2=CCC(N(C)Cc3ccccn3)=CN2)n1 7.7565765 0.4716981132075472</t>
  </si>
  <si>
    <t>CN(Cc1ccccn1)c1ccccc1C(C)(C)CN(Cc1ccccn1)C1CCC(N(C)c2ccc3nccc(CF)c3c2)CC1 7.7565765 0.34782608695652173</t>
  </si>
  <si>
    <t>CNCC1=CCC(N(C)Cc2nc(C)cc(C)c2C)=CN1 7.756566 0.1935483870967742</t>
  </si>
  <si>
    <t>Cc1cncc(CN(C)CC2=C(N(C)Cc3ncc(C)c(C)c3C)CC=CN2)c1 7.756561 0.22580645161290322</t>
  </si>
  <si>
    <t>CNCc1cc(CN(Cc2nc(C)c(C)c(C)c2C)C2CCCCC2N(C)c2ccc3nccc(C)c3c2)ccn1 7.7565546 0.2702702702702703</t>
  </si>
  <si>
    <t>CNc1cc(CN(Cc2ccc(C)cn2)C2CCC(N(C)c3ccc4ccc(CF)nc4c3)CC2)ccn1 7.756553 0.3333333333333333</t>
  </si>
  <si>
    <t>Cc1cccc(N(C)CC2=CC(N(C)Cc3ccccn3)C=CN2)c1C 7.7565503 0.39285714285714285</t>
  </si>
  <si>
    <t>CN(CC1=CCC=C(N(C)Cc2cccnn2)N1)Cc1ccccn1 7.75655 0.4897959183673469</t>
  </si>
  <si>
    <t>CCOC1(C)N=COC1c1ncccc1CN(Cc1ccccn1)Cc1cc(C(C)(C)c2ccccn2)ccn1 7.756547 0.3125</t>
  </si>
  <si>
    <t>Cc1ccnc(CN(Cc2ccnc(CN(C)C)c2)Cc2ncc(C)c(C)c2C)c1 7.756546 0.3584905660377358</t>
  </si>
  <si>
    <t>CN(Cc1ccccn1)c1ccc2ncccc2c1N(C)Cc1ncccc1-c1ccc2c(c1)OCCOCCOCCOCCOCCO2 7.756539 0.36363636363636365</t>
  </si>
  <si>
    <t>Cc1cccc(NCc2ccccn2)c1C(C)(C)C 7.7565374 0.425</t>
  </si>
  <si>
    <t>Cc1cnc(CN(C)C2C=CNC(CN(C)c3ccccc3C)=C2)cc1C 7.756526 0.3050847457627119</t>
  </si>
  <si>
    <t>CCNc1cc(-c2cccc(C(C)C(C)C)n2)ccn1 7.756523 0.35714285714285715</t>
  </si>
  <si>
    <t>Cc1ccc(CN(C)C2=CNC=C(CN(C)Cc3nc(C)ccc3C)C2)nc1 7.7565103 0.3888888888888889</t>
  </si>
  <si>
    <t>Cc1cncc(CN(C)C2=C(CN(C)Cc3nc(C)cc(C)c3C)NC=CC2)c1 7.756503 0.19117647058823528</t>
  </si>
  <si>
    <t>CC(C)C(C)(c1cccnc1)N(C)Cc1ccc2ccccc2n1 7.7565017 0.43478260869565216</t>
  </si>
  <si>
    <t>C=CCN(Cc1ccccn1)Cc1ncccc1C(C)(c1ccccn1)c1ccccn1 7.7564936 0.43137254901960786</t>
  </si>
  <si>
    <t>Cc1nc(CN(C)Cc2ncccc2C(C)(C)C)c(C)c(C)c1C 7.7564883 0.32</t>
  </si>
  <si>
    <t>Cc1cccnc1CN(C)C1CCC(N(Cc2ccccn2)c2ccc3nccc(CN(C)C)c3c2)CC1 7.756487 0.35384615384615387</t>
  </si>
  <si>
    <t>Cc1c(N)cccc1C(C)(c1ccccn1)N(C)Cc1ccccn1 7.756486 0.4</t>
  </si>
  <si>
    <t>CC1=CC(C)CC(N(C)Cc2ccc(-c3cccc(N(C)C)c3)cn2)C1 7.7564826 0.3333333333333333</t>
  </si>
  <si>
    <t>Cc1ccc(C)c(CN(C)C2=CNC(CN(C)Cc3ccncc3C)=CC2)n1 7.7564764 0.22950819672131148</t>
  </si>
  <si>
    <t>Cc1cncc(CN(C)Cc2ncccc2N(C)C2C=CC=CN2)c1 7.756476 0.30303030303030304</t>
  </si>
  <si>
    <t>Cc1ccc(CN(C)CC2=CNC=C(N(C)Cc3ncc(C)c(C)c3C)C2)nc1 7.756473 0.43137254901960786</t>
  </si>
  <si>
    <t>Cc1ncccc1CN(C)Cc1nc(N)c(C)c(C)c1C 7.75647 0.40425531914893614</t>
  </si>
  <si>
    <t>CNC1CC(N(Cc2cc(C)c(C)cn2)Cc2nc(C)c(C)c(C)c2C)CC(N(Cc2nc(C)c(C)c(C)c2C)Cc2nc(C)c(C)c(C)c2C)C1N(Cc1nc(C)c(C)c(C)c1C)Cc1nc(C)c(C)c(C)c1C 7.756469 0.23880597014925373</t>
  </si>
  <si>
    <t>Cc1cccc(CN(C)C2=C(CN(C)Cc3nc(C)ccc3C)NC=CC2)n1 7.7564664 0.40384615384615385</t>
  </si>
  <si>
    <t>CNCc1nc(C)c(C)c(C)c1C 7.756465 0.15</t>
  </si>
  <si>
    <t>CC(C)(c1cccc(NCc2ccccn2)c1)c1cc(CN(Cc2ccccn2)Cc2ccccn2)ccn1 7.7564573 0.40816326530612246</t>
  </si>
  <si>
    <t>Cc1ccnc(CN(C)Cc2cc(C(C)(C)c3ccccn3)ccn2)c1 7.7564573 0.39215686274509803</t>
  </si>
  <si>
    <t>C=CCN(C)CCN(C)Cc1ccc(-c2cccc(Cl)c2Cl)nc1 7.7564483 0.3125</t>
  </si>
  <si>
    <t>CNCC1=CCC=C(N(C)Cc2nc(C)ccc2C)N1 7.7564464 0.25862068965517243</t>
  </si>
  <si>
    <t>Cc1nccc(CN(C)C2=C(CN(C)Cc3ccccn3)NC=CC2)c1C 7.7564454 0.3728813559322034</t>
  </si>
  <si>
    <t>CC(C)N(Cc1ccccn1)c1ccc(CN(Cc2ccnc(C(C)(C)C)c2)Cc2ccccn2)nc1 7.7564387 0.40816326530612246</t>
  </si>
  <si>
    <t>C=C1C=CNC(CN(C)Cc2cnc(C)cc2C)=C1 7.756418 0.36538461538461536</t>
  </si>
  <si>
    <t>CCOC1(C)COC(c2cccc(CN(Cc3ccccn3)Cc3ccccn3)n2)=N1 7.7564106 0.4666666666666667</t>
  </si>
  <si>
    <t>CN(Cc1ccccn1)C1=CNC(CN(C)C2=CC=CCN2)=CC1 7.75641 0.4</t>
  </si>
  <si>
    <t>C=Cc1cccnc1 7.7564096 0.25</t>
  </si>
  <si>
    <t>CC(C)N(C)Cc1cccc(-c2cccc(N(C)C(C)C)c2)n1 7.7564087 0.4</t>
  </si>
  <si>
    <t>CC(C)N(CCN(Cc1ccccn1)c1ccc2nccc(CF)c2c1)CC(C)(C)C 7.756404 0.44642857142857145</t>
  </si>
  <si>
    <t>Cc1ccc(CN(C)CC2=CCC(N(C)Cc3cccc(C)n3)=CN2)nc1 7.7564015 0.4230769230769231</t>
  </si>
  <si>
    <t>Cc1ccc(CN(CC2=CCC=C(N(C)Cc3ncc(C)c(C)c3C)N2)C(C)C)nc1 7.7564 0.3508771929824561</t>
  </si>
  <si>
    <t>CNC1C(N(Cc2ncccc2C)Cc2ncccc2C)CCCC1N(Cc1ncccc1C)c1ccc2nccc(CF)c2c1 7.7563944 0.25</t>
  </si>
  <si>
    <t>Cc1ccc(CN(CC2=CC(N(C)Cc3ccccn3)C=CN2)c2cc(-c3cccc(CN(Cc4ccccn4)Cc4cccc(-c5ccc6c(c5)OCCOCCOCCOCCOCCO6)n4)n3)c3ncccc3c2)nc1 7.7563925 0.31958762886597936</t>
  </si>
  <si>
    <t>CN(c1ccc2ncccc2c1)C1CCCCC1N(Cc1ccccn1)c1ccccc1F 7.7563925 0.4642857142857143</t>
  </si>
  <si>
    <t>CC1=C(C)C(c2ncccc2CN(Cc2ccccn2)Cc2ccccn2)CC2C=CNC(C(C)C)=C12 7.756392 0.35294117647058826</t>
  </si>
  <si>
    <t>Cc1cccnc1CN(C)CCN(C)Cc1ccc2cccnc2c1 7.75639 0.4166666666666667</t>
  </si>
  <si>
    <t>CN(C)Cc1ccnc2cc(N(C)C3CCC(N(C)Cc4ccon4)CC3)ccc12 7.756388 0.35185185185185186</t>
  </si>
  <si>
    <t>Cc1nc(CN(C)C2=C(CN(C)Cc3ccccn3)NC=CC2)c(C)c(C)c1C 7.756387 0.3898305084745763</t>
  </si>
  <si>
    <t>CN(c1cccc2cc(CF)cnc12)C1CCCCC1N(Cc1ccccn1)c1ccccc1F 7.756382 0.47540983606557374</t>
  </si>
  <si>
    <t>Cc1cccc(CN(C)Cc2cc(N(C)C(C)(C)c3ccccn3)ccn2)n1 7.756375 0.4528301886792453</t>
  </si>
  <si>
    <t>Cc1ccc(CN(C)C2=CNC(CN(C)Cc3cccc(C)n3)=CC2)nc1 7.7563653 0.4230769230769231</t>
  </si>
  <si>
    <t>Cc1cnc(CN(C)C2CCCC(N(C)c3cccc4nccc(CN(C)C)c34)C2)cc1N 7.7563562 0.3088235294117647</t>
  </si>
  <si>
    <t>Cc1cc(C)c(CN(C)CC2=C(N(C)Cc3ncccc3C)CC=CN2)cc1C 7.756354 0.2786885245901639</t>
  </si>
  <si>
    <t>COC(=O)C1CN(C)C(c2ccc(CN(Cc3ccccn3)C3CCC(N(C)c4ccc5c(CF)ccnc5c4)CC3)cn2)C(c2ccccn2)C1c1ccccn1 7.7563524 0.24242424242424243</t>
  </si>
  <si>
    <t>Cc1cnc(CN(C)C2CCC(N(C)c3ccc4c(CN(C)C)ccnc4c3)CC2)c(C)c1 7.756351 0.28125</t>
  </si>
  <si>
    <t>CN(C)c1ccc(-c2cccc(CN(Cc3ccccn3)Cc3cccc(-c4cccc5c4OCCOCCOCCOCCOCCO5)n3)n2)c2ncccc12 7.756345 0.373134328358209</t>
  </si>
  <si>
    <t>Cc1cccc(CN(C)C2=C(CN(C)Cc3ncc(C)c(C)c3C)NC=CC2)n1 7.756345 0.375</t>
  </si>
  <si>
    <t>Cc1cc(CN(C)C2CCC(N(C)c3ccc4c(CF)ccnc4c3)CC2)nc(C)c1C 7.756329 0.25757575757575757</t>
  </si>
  <si>
    <t>Cc1cncc(CN(C)C2CCCC(N(C)Cc3cc(-c4ccc5cccnc5c4)ccn3)C2)c1 7.7563252 0.3230769230769231</t>
  </si>
  <si>
    <t>CN(C)c1cc2ncccc2cc1-c1cccc(CN(Cc2ccccn2)Cc2cccc(-c3ccc4c(c3)OCCOCCOCCOCCOCCO4)n2)n1 7.7563143 0.43661971830985913</t>
  </si>
  <si>
    <t>C=CCN(C)Cc1ccc2cccc(N(C)C3CCCCC3N(Cc3ccc4ncccc4c3)Cc3ccccn3)c2n1 7.7563095 0.4583333333333333</t>
  </si>
  <si>
    <t>Cc1nc(CN(C)CC2=CC(N(C)Cc3nc(C)c(C)c(C)c3C)C=CN2)c(C)c(C)c1C 7.756307 0.34545454545454546</t>
  </si>
  <si>
    <t>CN(C1=CNC(CN(Cc2ccccn2)Cc2ccccn2)=CC1)c1cccc(F)c1 7.756304 0.46551724137931033</t>
  </si>
  <si>
    <t>Cc1cnc(CN(C)CC2=CNC=C(N(C)Cc3ccccn3)C2)c(C)c1C 7.756303 0.3684210526315789</t>
  </si>
  <si>
    <t>Cc1ccnc(CN(C)Cc2cccc(N(C)C)c2)c1 7.756303 0.40425531914893614</t>
  </si>
  <si>
    <t>Cc1cccc(CN(Cc2ccccn2)C2CCC(N(C)Cc3cccc(-c4ccc5ncccc5c4)n3)CC2)n1 7.7562995 0.4117647058823529</t>
  </si>
  <si>
    <t>Cc1ccc(CN(C)C2=CNC(CN(C)Cc3ncccc3C)=CC2)nc1 7.756297 0.38181818181818183</t>
  </si>
  <si>
    <t>COC(=O)C1CN(C)C(c2ncccc2CN(Cc2ccccn2)C2CCC(N(C)c3ccc4nccc(CF)c4c3)CC2)C(c2ccccn2)C1c1ccccn1 7.756293 0.24489795918367346</t>
  </si>
  <si>
    <t>CN(CC1=CCC=C(N(C)Cc2ccccn2)N1)C1=CNC(C(C)(C)N)=CC1 7.7562866 0.36923076923076925</t>
  </si>
  <si>
    <t>CCNCc1ncccc1C(C)(c1ccccn1)c1ccccn1 7.756285 0.44</t>
  </si>
  <si>
    <t>CNCc1nc(CN(Cc2ccccn2)C2CCC(N(C)c3ccc4c(C)ccnc4c3)CC2)c(C)c(C)c1C 7.7562833 0.3142857142857143</t>
  </si>
  <si>
    <t>CCNc1ncccc1-c1cc(C(C)C(C)C)ccn1 7.75628 0.2711864406779661</t>
  </si>
  <si>
    <t>CN(Cc1cccc(C2=CCC=CN2)n1)C1CCCCC1N(C)c1ccc2ccc(CF)nc2c1 7.756273 0.4264705882352941</t>
  </si>
  <si>
    <t>CCOC1(C)COC(c2ncccc2CN(Cc2ccccn2)Cc2ccccn2)=N1 7.7562666 0.4166666666666667</t>
  </si>
  <si>
    <t>CCN(Cc1ccccn1)Cc1ncccc1C(C)(C)c1ncccc1CN(Cc1ccccn1)Cc1ncccc1C(C)(C)c1ccccn1 7.7562647 0.40816326530612246</t>
  </si>
  <si>
    <t>Cc1cccnc1CN(C)CC1=C(N(C)Cc2ncc(C)c(C)c2C)CC=CN1 7.756264 0.26865671641791045</t>
  </si>
  <si>
    <t>CCN(Cc1ccccn1)c1ncccc1CN(Cc1ncccc1C)Cc1ncccc1C 7.7562623 0.4418604651162791</t>
  </si>
  <si>
    <t>C=CCN(Cc1ccccn1)Cc1cc(C(C)(c2ccccn2)c2ccccn2)ccn1 7.75626 0.44</t>
  </si>
  <si>
    <t>Cc1cc(CN(C)Cc2ccc(CN(C)C)nc2)nc(C)c1C 7.756257 0.4</t>
  </si>
  <si>
    <t>Cc1cnccc1CN(C)CC1=CCC(N(C)Cc2ncccc2C)=CN1 7.756256 0.2903225806451613</t>
  </si>
  <si>
    <t>Cc1ccc(CN(C)CC2=CCC(N(C)Cc3ncccc3C)=CN2)nc1 7.7562547 0.4074074074074074</t>
  </si>
  <si>
    <t>Cc1cc(CN(C)Cc2cccc(N(C)C3C=CC=CN3)n2)ccn1 7.756253 0.3392857142857143</t>
  </si>
  <si>
    <t>Cc1ccccc1N(Cc1ccccn1)C1CCCCC1N(C)c1ccc2nc(CF)ccc2c1 7.756251 0.4603174603174603</t>
  </si>
  <si>
    <t>CN(C)Cc1ccnc2ccc(N(C)C3CCC(N(C)Cc4ccon4)CC3)cc12 7.7562494 0.35185185185185186</t>
  </si>
  <si>
    <t>COC(=O)C1CC(c2ccccn2)C(c2cc(CN(Cc3ccccn3)Cc3cc(C(C)(C)C)ccn3)ccn2)N(C)C1c1ccccn1 7.756249 0.3048780487804878</t>
  </si>
  <si>
    <t>Cc1cccnc1CN(C)Cc1ncccc1N(Cc1ccccn1)C(C)C 7.7562475 0.44680851063829785</t>
  </si>
  <si>
    <t>Cc1cc(CN(C)C2=CNC(CN(C)Cc3ccccn3)=CC2)cnc1C 7.7562456 0.38333333333333336</t>
  </si>
  <si>
    <t>Cc1ccc(CN(C)CC2=C(N(C)Cc3ncccc3C)CC=CN2)nc1C 7.756237 0.30158730158730157</t>
  </si>
  <si>
    <t>CNCC1=CCC(N(C)Cc2cc(C)c(C)c(C)n2)=CN1 7.756234 0.2</t>
  </si>
  <si>
    <t>CCN(Cc1ccccn1)Cc1nccc2cccc(N(C)CC3=C(C)CCC(C)C3C)c12 7.756234 0.3333333333333333</t>
  </si>
  <si>
    <t>CC(C)N(C)c1cc(-c2cccc(CN3CCN(C)CCN(C)CC3)n2)c2cccnc2c1 7.7562327 0.42105263157894735</t>
  </si>
  <si>
    <t>Cc1cncc(CN(C)C2=CCC=C(CN(C)Cc3ccccn3)N2)c1 7.7562275 0.36666666666666664</t>
  </si>
  <si>
    <t>Cc1ccc(C)c(CN(C)Cc2cccc(N(C)C(C)(C)c3cccnc3)n2)n1 7.7562203 0.37037037037037035</t>
  </si>
  <si>
    <t>Cc1ccc(CN(CC2=C(N(O)Cc3ccccn3)CC=CN2)C2CCC(N(C)c3ccc4nc(CF)ccc4c3)CC2)nc1 7.7562194 0.2857142857142857</t>
  </si>
  <si>
    <t>Cc1ccc(CN(C)C2CCC(N(C)Cc3cccc(-c4cccc5ncccc45)n3)CC2)nc1 7.7562165 0.43859649122807015</t>
  </si>
  <si>
    <t>Cc1ccccc1-c1cnccc1CN(C)C(C)C 7.7562137 0.2916666666666667</t>
  </si>
  <si>
    <t>Cc1ccccc1N(Cc1ccccn1)C1CCCCC1N(C)c1ccc2cccnc2c1 7.7562113 0.4727272727272727</t>
  </si>
  <si>
    <t>Cc1cccnc1CN(C)C1CCC(N(C)Cc2cccc(-c3ccc4ncccc4c3)n2)CC1 7.756211 0.3582089552238806</t>
  </si>
  <si>
    <t>Cc1ccc(N(C)CC2=CC(N(C)Cc3ccccn3)C=CN2)cc1C 7.756206 0.38596491228070173</t>
  </si>
  <si>
    <t>Cc1cccnc1CN(C)c1ccc(CN(Cc2ccccn2)C(C)(c2cccnc2)C(C)C)nc1 7.7561936 0.3442622950819672</t>
  </si>
  <si>
    <t>Cc1ccc(CN(C)C2=C(CN(C)Cc3ncccc3C)NC=CC2)nc1C 7.756189 0.28125</t>
  </si>
  <si>
    <t>CC(C)(c1ccc(NCc2ccccn2)cc1)c1ncccc1CN(Cc1ccccn1)Cc1ccccn1 7.7561865 0.4444444444444444</t>
  </si>
  <si>
    <t>CN(CC1=CCC=C(N(C)Cc2ccccn2)N1)Cc1cccnn1 7.7561855 0.4897959183673469</t>
  </si>
  <si>
    <t>Cc1cccc(N(Cc2ccccn2)C2CCCCC2N(C)c2ccc3ncccc3c2)c1 7.7561812 0.45614035087719296</t>
  </si>
  <si>
    <t>Cc1cccnc1CN(C)CC1=C(N(C)Cc2ncccc2C)CC=CN1 7.756177 0.2833333333333333</t>
  </si>
  <si>
    <t>Cc1ccccc1N(Cc1ccccn1)C1CCCCC1N(C)c1ccc2ncccc2c1 7.7561703 0.48148148148148145</t>
  </si>
  <si>
    <t>COC(=O)C1CN(C)C(c2cc(CN(Cc3ccccn3)C3CCC(N(C)c4ccc5nccc(CF)c5c4)CC3)ccn2)C(c2ccccn2)C1c1ccccn1 7.7561674 0.24742268041237114</t>
  </si>
  <si>
    <t>Cc1cnc(CN(C)C2=CCC=C(CN(Cc3ccccn3)C(C)C)N2)c(C)c1 7.756165 0.41379310344827586</t>
  </si>
  <si>
    <t>Cc1cc(CN(C)Cc2cccc(CN(C)C)n2)nc(C)c1C 7.756162 0.45</t>
  </si>
  <si>
    <t>CC1=C(C)C(N(C)Cc2cc(-c3cccc(N(C)C)c3)ccn2)CCC1C 7.756162 0.3333333333333333</t>
  </si>
  <si>
    <t>CC(C)N(C)C1CCCCC1N(Cc1ccccn1)Cc1ncccc1-c1cc(N(C)C)c2cccnc2c1 7.7561607 0.40625</t>
  </si>
  <si>
    <t>Cc1cc(-c2ncccc2CN2CCN(C)CCN(C)CC2)cc2ncccc12 7.7561603 0.42</t>
  </si>
  <si>
    <t>Cc1cc(CN(C)C2CCC(N(C)c3ccc4nccc(CF)c4c3)CC2)nc(C)c1C 7.75616 0.2537313432835821</t>
  </si>
  <si>
    <t>Cc1cnc(CN(C)C2CCCC(N(C)c3ccc4c(CN(C)C)nccc4c3)C2)c(C)c1 7.756159 0.2878787878787879</t>
  </si>
  <si>
    <t>Cc1cnccc1CN(C)Cc1cccc(N(C)C2C=CC=CN2)n1 7.756158 0.3157894736842105</t>
  </si>
  <si>
    <t>Cc1cc(N(C)C2=CNC(CN(Cc3ccccn3)C(C)C)=CC2)ccc1N 7.7561564 0.4067796610169492</t>
  </si>
  <si>
    <t>CNCc1nccc2cccc(N(C)CCN(C)C(C)(C)C)c12 7.7561502 0.40816326530612246</t>
  </si>
  <si>
    <t>COC(=O)C1C(c2ccccn2)CC(c2cc(CN(Cc3ccccn3)Cc3cc(C(C)(C)C)ccn3)ccn2)N(C)C1c1ccccn1 7.756146 0.3048780487804878</t>
  </si>
  <si>
    <t>Cc1cc(C)c(C)c(CN(C)CC2=C(N(C)Cc3ccccn3)CC=CN2)n1 7.756141 0.36666666666666664</t>
  </si>
  <si>
    <t>CC1(C)CC(c2cccc(CN(Cc3ccccn3)Cc3cccc(C4=NC(C)(C)CO4)n3)n2)C1 7.7561407 0.4716981132075472</t>
  </si>
  <si>
    <t>CN(CC1=CCC(N(C)C(c2ccccc2)c2ccccn2)=CN1)Cc1ccccn1 7.756132 0.4</t>
  </si>
  <si>
    <t>Cc1cncc(CN(C)C2=C(CN(C)Cc3cc(C)c(C)c(C)n3)NC=CC2)c1 7.756132 0.2222222222222222</t>
  </si>
  <si>
    <t>CCCN(CC1=CCC(N(C)Cc2ccccn2)=CN1)c1ccc(C)c(C)c1C 7.7561316 0.36065573770491804</t>
  </si>
  <si>
    <t>CNCc1cccc(CN(Cc2ccccn2)Cc2cccc(C3=NC(C)C(C)O3)n2)n1 7.756129 0.4426229508196721</t>
  </si>
  <si>
    <t>CCc1ccc(NCc2ccccn2)c(C)c1C 7.756126 0.4358974358974359</t>
  </si>
  <si>
    <t>Cc1cncc(CN(C)Cc2cccc(-c3cccc(N(C)C)c3)n2)c1-c1cccc(-c2ccc3c(c2)OCCOCCOCCOCCOCCO3)n1 7.7561197 0.2926829268292683</t>
  </si>
  <si>
    <t>Cc1cncc(CN(Cc2ccccn2)Cc2cccc(N(C)C)n2)c1 7.756111 0.45454545454545453</t>
  </si>
  <si>
    <t>CC(NCc1ccccn1)C(c1ccccc1)c1ccnc(NC2=CC=CNC2)c1 7.75611 0.288135593220339</t>
  </si>
  <si>
    <t>COC(C)c1cccc(CN(Cc2ccccn2)Cc2cccc(C3=NC(C)(C)CO3)n2)n1 7.756108 0.45454545454545453</t>
  </si>
  <si>
    <t>Cc1ccc(N(Cc2ccccn2)C(C)(C)N(C)Cc2ncc(C)c(C)c2C)cc1C 7.7561073 0.35714285714285715</t>
  </si>
  <si>
    <t>CC1C=Cc2cccnc2C1N(C)Cc1ccc(C(C)(C)C)cn1 7.756105 0.3103448275862069</t>
  </si>
  <si>
    <t>CN(C)Cc1ccc2ccc(N(C)C3CCCCC3N(Cc3ccccn3)C3=CCC=CN3C)cc2n1 7.75609 0.3939393939393939</t>
  </si>
  <si>
    <t>CC(C)(C)C1=C(N(Cc2ccccn2)Cc2ccccn2)NC=CC1 7.7560887 0.45098039215686275</t>
  </si>
  <si>
    <t>Cc1cc(C)c(CN(C)CC2=CCC(N(C)Cc3ccccn3)=CN2)cc1C 7.7560763 0.4</t>
  </si>
  <si>
    <t>Cc1cccnc1CN(C)CCN(C)Cc1ccc2ncccc2c1 7.7560744 0.4166666666666667</t>
  </si>
  <si>
    <t>CN(CCN)CCN(C)c1cccc2ncc(CF)cc12 7.7560506 0.35294117647058826</t>
  </si>
  <si>
    <t>Cc1cccc(CN(Cc2cccc(CN(C)Cc3cc(C)c(C)c(C)n3)n2)Cc2ccc(C)c(C)n2)n1 7.7560472 0.5</t>
  </si>
  <si>
    <t>Cc1cnc(CN(C)C2=C(CN(C)Cc3ccccn3)NC=CC2)c(C)c1 7.756045 0.36065573770491804</t>
  </si>
  <si>
    <t>Cc1cnc(C)c(CN(C)CC2=CCC(N(C)Cc3ccccn3)=CN2)c1 7.756045 0.3728813559322034</t>
  </si>
  <si>
    <t>FCc1cccc(N(Cc2ccccn2)C2CCCCC2N(Cc2ccccn2)c2ccc3nc(CF)ccc3c2)n1 7.756044 0.42105263157894735</t>
  </si>
  <si>
    <t>Cc1ccc(N(C)Cc2ccccn2)cc1-c1cccc(CN(Cc2ccccn2)C2CCCC(N(C)Cc3nc(C)c(C)c(C)c3C)C2)n1 7.756042 0.352112676056338</t>
  </si>
  <si>
    <t>CC(c1ccccc1)(c1ccccn1)c1cc(CN(Cc2ccccn2)Cc2ccccn2)ccn1 7.756041 0.4878048780487805</t>
  </si>
  <si>
    <t>Cc1cnc(C)c(CN(C)C2=C(CN(C)Cc3ncc(C)c(C)c3C)NC=CC2)c1 7.756034 0.2459016393442623</t>
  </si>
  <si>
    <t>CN(CCN)Cc1ccc2ncccc2c1 7.756033 0.4222222222222222</t>
  </si>
  <si>
    <t>Cc1ccc(CN(C)Cc2cccc(N(C)C3C=CC=CN3)n2)nc1 7.756019 0.44</t>
  </si>
  <si>
    <t>Cc1cncc(CN(C)C2=C(CN(C)Cc3nc(C)c(C)cc3C)NC=CC2)c1 7.756014 0.1875</t>
  </si>
  <si>
    <t>CNC1C=C(N(Cc2ccccn2)Cc2ccccn2)C=CN1 7.756009 0.40476190476190477</t>
  </si>
  <si>
    <t>CN(C)Cc1ccnc2ccc(N(C)C3CCCC(N(Cc4ccnc(C(C)(C)C)c4)Cc4ccccn4)C3)cc12 7.7560067 0.323943661971831</t>
  </si>
  <si>
    <t>CN(CC1=CCC=C(N(C)Cc2ccccn2)N1)Cc1ccccn1 7.756004 0.4583333333333333</t>
  </si>
  <si>
    <t>CC1=CCC(C)(C)C2(C(C)C=CC(C)C2C)C1c1cccc(CN(C)Cc2ccc(-c3cccc(N=Cc4ccccn4)c3)cn2)n1 7.756003 0.2976190476190476</t>
  </si>
  <si>
    <t>Cc1ccccc1N(C)CC1=CC(N(C)Cc2ncccc2C)C=CN1 7.756003 0.3114754098360656</t>
  </si>
  <si>
    <t>CN(c1ccc2cc(CF)cnc2c1)C1CCC(N(Cc2ccccn2)Cc2cccnc2C(C)(C)c2ccccn2)CC1 7.756 0.3013698630136986</t>
  </si>
  <si>
    <t>Cc1cc(CN(C)C2=C(CN(C)Cc3ccccn3)NC=CC2)nc(C)c1C 7.755994 0.38333333333333336</t>
  </si>
  <si>
    <t>CNCc1ccc(N(C)C2CCC(N(Cc3ccccn3)c3ccc4nc(CF)ccc4c3)CC2)cn1 7.7559934 0.3484848484848485</t>
  </si>
  <si>
    <t>Cc1cnc(CN(C)CC2=C(N(C)Cc3ccccn3)CC=CN2)c(C)c1 7.7559824 0.3728813559322034</t>
  </si>
  <si>
    <t>COC(=O)C1C2C(=O)C(C(=O)OC)N(C)C1C(c1ccccn1)N(C)C2c1ccccn1 7.755977 0.4032258064516129</t>
  </si>
  <si>
    <t>CN(Cc1ccc(N)cn1)Cc1ccc(N(C)C(C)(C)c2ccccn2)cn1 7.7559686 0.39622641509433965</t>
  </si>
  <si>
    <t>Cc1cc(CN(C)C2=CCC=C(CN(Cc3ccccn3)C(C)C)N2)nc(C)c1C 7.755965 0.41379310344827586</t>
  </si>
  <si>
    <t>Cc1ccc(CN(C)C2C=CNC(CN(C)c3cccc(C)c3C)=C2)nc1 7.755962 0.39655172413793105</t>
  </si>
  <si>
    <t>CC(C)c1cccc(CN(Cc2ccccn2)C2CCC(N(C)Cc3cc(-c4cccc5cccnc45)ccn3)CC2)n1 7.755961 0.36923076923076925</t>
  </si>
  <si>
    <t>Cc1cccnc1CN(C)C1=CNC(CN(C)Cc2cccnc2C)=CC1 7.75596 0.3275862068965517</t>
  </si>
  <si>
    <t>Cc1cncc(CN(C)Cc2ccc(N(C)C3C=CC=CN3)cn2)c1 7.7559514 0.34545454545454546</t>
  </si>
  <si>
    <t>CN(C)c1cccc(CN(Cc2ccccn2)Cc2cccnc2F)n1 7.75595 0.5</t>
  </si>
  <si>
    <t>Cc1nc(CN(C)CC2=CNC(N(C)C)=CC2)c(C)c(C)c1C 7.7559433 0.20754716981132076</t>
  </si>
  <si>
    <t>Cc1nc(CN(C)CC2=C(N(C)Cc3ccccn3)CC=CN2)c(C)c(C)c1C 7.7559347 0.36666666666666664</t>
  </si>
  <si>
    <t>Cc1ccnc(CN(Cc2cnc(C)cc2C)C2CCC(N(C)c3ccc4nccc(CF)c4c3)CC2)c1 7.7559314 0.25</t>
  </si>
  <si>
    <t>CNCC1=C(N(C)Cc2nc(C)c(C)c(C)c2C)CC=CN1 7.7559257 0.18461538461538463</t>
  </si>
  <si>
    <t>Cc1ccc(N(C)CN)c(C)c1C 7.755925 0.21951219512195122</t>
  </si>
  <si>
    <t>CNCC1=C(N(C)Cc2nc(C)c(C)cc2C)CC=CN1 7.755925 0.18461538461538463</t>
  </si>
  <si>
    <t>Cc1cc(C)c(CN(C)Cc2ncccc2C)c(C)n1 7.755924 0.32653061224489793</t>
  </si>
  <si>
    <t>CN(C)c1cc(-c2cccc(CN(Cc3ccccn3)Cc3cccc(-c4ccc5c(c4)OCCOCCOCCOCCOCCO5)n3)n2)cc2cccnc12 7.7559185 0.4492753623188406</t>
  </si>
  <si>
    <t>Cc1cnc(CN(Cc2nc(C)ccc2C)C2CCC(N(C)c3cccc4cccnc34)CC2)c(C)c1 7.755912 0.4262295081967213</t>
  </si>
  <si>
    <t>C1=CC(c2ccccc2)=CC(NCc2ccccn2)N1 7.755911 0.3953488372093023</t>
  </si>
  <si>
    <t>CC(C)C1N=COC1c1ncccc1CN(Cc1ccccn1)Cc1cc(C(C)(C)c2ccccn2)ccn1 7.755905 0.35384615384615387</t>
  </si>
  <si>
    <t>Cc1ccc(CN(C)CC2=C(N(Cc3ccnc(F)c3)Cc3ccccn3)CC=CN2)nc1C 7.755903 0.35294117647058826</t>
  </si>
  <si>
    <t>Cc1ccc(C)c(CN(C)C2=C(CN(C)C)NC=CC2)n1 7.755902 0.25</t>
  </si>
  <si>
    <t>Cc1cnc(C)c(CN(C)CC2=C(N(C)Cc3ccccn3)NC=CC2)c1 7.755899 0.3728813559322034</t>
  </si>
  <si>
    <t>Cc1cc(C(C)(C)C)cnc1CN(C)C 7.7558928 0.2682926829268293</t>
  </si>
  <si>
    <t>Cc1cccc(CN(CC2=CCC(N(C)Cc3ccccn3)=CN2)Cc2ccccn2)n1 7.7558923 0.4909090909090909</t>
  </si>
  <si>
    <t>COC(=O)C(=O)C(=O)C(C)NCc1cccc(CNCc2cccc(C3=NC(C)(C)CO3)n2)n1 7.7558913 0.44642857142857145</t>
  </si>
  <si>
    <t>CN(c1ccc2nc(CF)ccc2c1)C1CCCCC1N(Cc1ccccn1)Cc1cccc(C2=CCC=CN2)n1 7.7558894 0.3815789473684211</t>
  </si>
  <si>
    <t>Cc1cccnc1CN(Cc1ccc([Si](C(C)C)(C(C)C)C(C)C)cn1)Cc1cccc(C2=NC(C)(C)CO2)n1 7.7558866 0.4426229508196721</t>
  </si>
  <si>
    <t>Cc1cc(C)c(CN(C)C2=C(CN(C)Cc3ccccn3)NC=CC2)nc1C 7.755881 0.38333333333333336</t>
  </si>
  <si>
    <t>CC1=CCC(N(C)Cc2cc(-c3cccc(N(C)C)c3)ccn2)C(C)C1 7.755874 0.3508771929824561</t>
  </si>
  <si>
    <t>CN(Cc1ccccn1)c1ccc2cccnc2c1-c1cccc(CN(Cc2ccccn2)Cc2ncccc2-c2ccc3c(c2)OCCOCCOCCOCCOCCO3)n1 7.7558694 0.3625</t>
  </si>
  <si>
    <t>Cc1ccc(CN(C)CC2=C(N(C)Cc3cc(C)c(C)c(C)n3)CC=CN2)nc1 7.7558684 0.4</t>
  </si>
  <si>
    <t>Cc1ccc(CN(C)C2CCC(N(C)Cc3cc(-c4ccc5cccnc5c4)ccn3)CC2)nc1 7.7558665 0.44642857142857145</t>
  </si>
  <si>
    <t>Cc1cc(C)nc(CN(C)C2=C(CN(C)Cc3ccncc3C)NC=CC2)c1 7.7558665 0.28125</t>
  </si>
  <si>
    <t>Cc1cccc(CN(C)C2=CNC(CN(Cc3ccccn3)Cc3cccc(F)n3)=CC2)n1 7.755864 0.4426229508196721</t>
  </si>
  <si>
    <t>Cc1ccc(CN(C)CC2=C(N(C)Cc3nc(C)c(C)cc3C)CC=CN2)nc1 7.755852 0.4</t>
  </si>
  <si>
    <t>Cc1cnccc1CN(C)C1CCCC(N(C)Cc2cccc(-c3cccc4ncccc34)n2)C1 7.75585 0.3333333333333333</t>
  </si>
  <si>
    <t>Cc1cnc(C)c(CN(C)C2=CNC(CN(C)Cc3cccc(C)n3)=CC2)c1 7.7558475 0.4</t>
  </si>
  <si>
    <t>Cc1cnc(CN(C)C2=CNC(CN(C)Cc3ccccn3)=CC2)c(C)c1C 7.7558465 0.39655172413793105</t>
  </si>
  <si>
    <t>C=CCN(C)CCN(Cc1ccccn1)Cc1cnccc1-c1ccccc1N(C)Cc1ccccn1 7.755843 0.4603174603174603</t>
  </si>
  <si>
    <t>CN(CCCNCc1ccccn1)c1ccc2ncccc2c1 7.7558384 0.4772727272727273</t>
  </si>
  <si>
    <t>C1=CNC(Nc2cccnn2)C=C1 7.755824 0.29411764705882354</t>
  </si>
  <si>
    <t>Cc1cncc(CN(C)C2=CCC(CN(C)Cc3cc(C)c(C)c(C)n3)=CN2)c1 7.7558227 0.2222222222222222</t>
  </si>
  <si>
    <t>Cc1ccnc(CN(Cc2ccc(C)c(C)n2)C2CCC(N(C)c3ccc4nccc(CF)c4c3)CC2)c1 7.755822 0.2535211267605634</t>
  </si>
  <si>
    <t>CCN(Cc1ccccn1)Cc1ccc2cccc(N(C)C3CCCCC3N(Cc3ccc4ncccc4c3)Cc3ccccn3)c2n1 7.7558217 0.463768115942029</t>
  </si>
  <si>
    <t>CC(C)N(Cc1ncccc1C(C)(C)c1ccccn1)Cc1ncccc1C(C)(C)c1ccccn1 7.7558184 0.46511627906976744</t>
  </si>
  <si>
    <t>Cc1cnc(CN(CC2=C(N(C)c3ccc4nc(CF)ccc4c3)CC=CN2)C2CCC(N(C)Cc3nc(C)ccc3C)CC2)c(C)c1 7.7558155 0.23255813953488372</t>
  </si>
  <si>
    <t>COC(=O)C1CN(C)C(c2cc(C)c(C)c(CN(Cc3ccccn3)Cc3cc(C(C)(C)C)ccn3)n2)C(c2ccccn2)C1c1ccccn1 7.7558136 0.3058823529411765</t>
  </si>
  <si>
    <t>Cc1ccc(CN(Cc2ccccn2)Cc2cccc(N(C)Cc3cccc(C4CC(C)(C)C4)n3)n2)nc1 7.755807 0.3770491803278688</t>
  </si>
  <si>
    <t>CN(Cc1cc(-c2ccc3c(c2)OCCOCCOCCOCCOCCO3)ccn1)c1ccc(N(C)Cc2ccccn2)c2ncccc12 7.7558055 0.4067796610169492</t>
  </si>
  <si>
    <t>CC1CCC1c1cccc(CN(C)CCN(Cc2ccccn2)c2cccc3cccnc23)n1 7.755801 0.4166666666666667</t>
  </si>
  <si>
    <t>CNCc1ncccc1CN(Cc1nc(C)c(C)cc1C)Cc1nc(C)c(C)cc1C 7.755795 0.3076923076923077</t>
  </si>
  <si>
    <t>CN(CCN(C)C(C)(C)C)c1ccc2nc(CF)ccc2c1 7.7557936 0.30357142857142855</t>
  </si>
  <si>
    <t>CC1=C(c2ncccc2CN(Cc2ccccn2)Cc2ccccn2)CC(C)(C)C2C=C(C(C)C)NC=C12 7.755792 0.3389830508474576</t>
  </si>
  <si>
    <t>Cc1nc(CN(Cc2ccccn2)C2CCCCC2N(C)c2cccc3cc(CN(C)C)cnc23)c(C)c(C)c1C 7.755791 0.4393939393939394</t>
  </si>
  <si>
    <t>Cc1cnc(CN(C)C)c(C)c1 7.755776 0.3611111111111111</t>
  </si>
  <si>
    <t>Cc1cc(CN(C)C2CCCC(N(C)c3ccc4c(CN(C)C)ccnc4c3)C2)cnc1C 7.755775 0.25</t>
  </si>
  <si>
    <t>CCN(Cc1ccccn1)Cc1ncccc1C(C)(c1ccccn1)c1ccccn1 7.75577 0.46808510638297873</t>
  </si>
  <si>
    <t>Cc1ccc(N(C)CCN(C)c2ccccc2C)cc1 7.755766 0.35</t>
  </si>
  <si>
    <t>Cc1ccc(CN(C)C2=CNC(CN(C)Cc3ccccn3)=CC2)nc1C 7.7557583 0.42857142857142855</t>
  </si>
  <si>
    <t>CNc1ccc(CN(Cc2ccccn2)Cc2cccc(C)n2)nc1C 7.7557554 0.5</t>
  </si>
  <si>
    <t>COC(=O)C(=O)C(=O)C(C)NCc1cc(CNCc2cc(C3=NC(C)(C)CO3)ccn2)ccn1 7.755751 0.26865671641791045</t>
  </si>
  <si>
    <t>Cc1cc(C)c(C)c(CN(C)CC2=CNC=C(N(C)Cc3ccccn3)C2)n1 7.7557387 0.3728813559322034</t>
  </si>
  <si>
    <t>Cc1ccc(C)c(CN(C)C2=CNC(CN(C)Cc3cc(C)c(C)cn3)=CC2)n1 7.7557254 0.29310344827586204</t>
  </si>
  <si>
    <t>Cc1ccc(CN(C)C2=C(CN(C)Cc3nc(C)c(C)cc3C)NC=CC2)nc1 7.755718 0.375</t>
  </si>
  <si>
    <t>Cc1ccnc(CN(C)Cc2ncc(C)c(C)c2C)c1C 7.7557144 0.34146341463414637</t>
  </si>
  <si>
    <t>Cc1cc(C)nc(CN(C)Cc2cc(C)cc(C)n2)c1 7.7557125 0.4857142857142857</t>
  </si>
  <si>
    <t>CN1CCN(Cc2cccc(-c3cc(Cl)ccc3N)n2)CCN(CN(C)c2cccc3ncccc23)CC1 7.7557006 0.3880597014925373</t>
  </si>
  <si>
    <t>COC(=O)C1CC(c2ccccn2)C(c2ccccn2)N(C)C1c1ncccc1CN(Cc1ccccn1)C1CCCCC1N(C)c1ccc2nccc(CF)c2c1 7.7557 0.28888888888888886</t>
  </si>
  <si>
    <t>CN(CF)Cc1ncccc1C(C)(c1ccccn1)c1ccccn1 7.7556987 0.3877551020408163</t>
  </si>
  <si>
    <t>CNCCN(C)CCN(C)c1cccc2ncccc12 7.755697 0.4772727272727273</t>
  </si>
  <si>
    <t>Cc1cccc(CN(C)CC2=CCC(N(C)Cc3cc(C)c(C)cn3)=CN2)n1 7.75569 0.41509433962264153</t>
  </si>
  <si>
    <t>CN(Cc1ccccn1)c1cc(-c2cccc(CN(Cc3ccccn3)Cc3cccc(-c4ccc5c(c4)OCCOCCOCCOCCOCCO5)n3)n2)c2cccnc2c1 7.7556896 0.4246575342465753</t>
  </si>
  <si>
    <t>Cc1cccnc1CN(CCN(C)Cc1ccc2ncccc2c1)Cc1cccc(C(C)(c2cccnc2)C(C)C)n1 7.7556815 0.3048780487804878</t>
  </si>
  <si>
    <t>CN(c1cccc2ncccc12)C1CCCCC1N(Cc1ccccn1)c1ccccc1F 7.755669 0.4727272727272727</t>
  </si>
  <si>
    <t>Cc1cc(CN(C)C2CCCC(N(C)c3ccc4nccc(CN(C)C)c4c3)C2)cnc1C 7.7556677 0.2463768115942029</t>
  </si>
  <si>
    <t>CN(Cc1ncccc1-c1cccc2ncccc12)C1CCC(N(C)Cc2ncccc2C(C)(C)C)CC1 7.755665 0.288135593220339</t>
  </si>
  <si>
    <t>CN1CCN(Cc2nc3ccccc3n2C)CCN(C)C(CCN(C)c2cccc3cccnc23)C1 7.755663 0.5</t>
  </si>
  <si>
    <t>CC(c1ccccn1)C1COC(c2cccnc2CN(Cc2ccccn2)Cc2ccccn2)=N1 7.7556567 0.4</t>
  </si>
  <si>
    <t>Cc1cc(CN(C)CC2=C(N(C)Cc3ccccn3)CC=CN2)nc(C)c1C 7.7556524 0.38333333333333336</t>
  </si>
  <si>
    <t>Cc1ccc(CN(C)CC2=CCC(N(C)Cc3ncc(C)c(C)c3C)=CN2)nc1 7.755651 0.4230769230769231</t>
  </si>
  <si>
    <t>Cc1ccc(CN(C)C2=CNC(CN(C)Cc3nc(C)ccc3C)=CC2)nc1 7.75565 0.3888888888888889</t>
  </si>
  <si>
    <t>Cc1cc(C)c(CN(C)CC2=C(N(C)Cc3ccccn3)CC=CN2)nc1C 7.755649 0.3728813559322034</t>
  </si>
  <si>
    <t>CCCN(CC1=CCC(N(C)Cc2ccccn2)=CN1)c1cc(C)cc(C)c1C 7.7556443 0.3709677419354839</t>
  </si>
  <si>
    <t>Cc1ccc(CN(C)CC2=C(N(C)Cc3nc(C)c(C)c(C)c3C)CC=CN2)nc1 7.7556424 0.4074074074074074</t>
  </si>
  <si>
    <t>CNc1ncc(CN(Cc2ccccn2)Cc2ncccc2C)cc1C 7.7556376 0.4444444444444444</t>
  </si>
  <si>
    <t>Cc1ccc(CN(C)C2=C(CN(C)Cc3cc(C)c(C)c(C)n3)NC=CC2)nc1 7.755637 0.4</t>
  </si>
  <si>
    <t>CC(C)C1=CCC(N(C)CC2=CCC=C(N(C)Cc3ccccn3)N2)=CN1 7.75563 0.38095238095238093</t>
  </si>
  <si>
    <t>Cc1cc(CN(C)C2=CNC(CN(C(C)C)C(C)C)=CC2)nc(C)c1C 7.755611 0.21052631578947367</t>
  </si>
  <si>
    <t>Cc1cncc(CN(C)C2=CNC=C(CN(C)Cc3cc(C)c(C)c(C)n3)C2)c1 7.755609 0.22580645161290322</t>
  </si>
  <si>
    <t>Cc1cccnc1CN(C)Cc1nc(C)c(C)c(C)c1C 7.755608 0.34782608695652173</t>
  </si>
  <si>
    <t>CN(Cc1ccc(C(C)(C)C)cn1)Cc1cc(C(C)(C)c2ccccn2)ccn1 7.755604 0.3888888888888889</t>
  </si>
  <si>
    <t>Cc1ccnc2ccc(N(C)CCN(C)C(C)C(C)C)cc12 7.755601 0.24528301886792453</t>
  </si>
  <si>
    <t>Cc1cccc(CN(C)Cc2cccc(N(C)C3C=CC=CN3)n2)n1 7.7555976 0.4888888888888889</t>
  </si>
  <si>
    <t>CN(Cc1ccon1)C1CCC(N(C)c2cccc3ncc4c(c23)CCC4)CC1 7.7555923 0.3448275862068966</t>
  </si>
  <si>
    <t>CNc1cnc(C)c(CN(Cc2ccccn2)Cc2nccc(C)c2C)c1 7.755591 0.4166666666666667</t>
  </si>
  <si>
    <t>CN(Cc1ccccn1)C1=CNC(CSCc2ccccn2)=CC1 7.755588 0.41304347826086957</t>
  </si>
  <si>
    <t>CNCc1nc(CN(Cc2cc(C)ccn2)Cc2cc(C)c(C)c(C)n2)c(C)cc1C 7.755584 0.288135593220339</t>
  </si>
  <si>
    <t>C1=C(NCc2ccccn2)CNC(SCc2ccccn2)=C1 7.7555795 0.3953488372093023</t>
  </si>
  <si>
    <t>CN(CCF)CCN(Cc1ccccn1)c1cccc2cccnc12 7.755576 0.48936170212765956</t>
  </si>
  <si>
    <t>Cc1nc(CN(C)C2=CCC=C(CN(C)C(C)C)N2)c(C)c(C)c1C 7.7555714 0.1896551724137931</t>
  </si>
  <si>
    <t>Cc1ccnc(CN(C)C2=C(CN(C)Cc3cc(C)cc(C)n3)NC=CC2)c1 7.7555704 0.31666666666666665</t>
  </si>
  <si>
    <t>CC1=CC(N(C)Cc2cc(-c3cccc(N=Cc4ccccn4)c3)ccn2)CC(C)C1C 7.7555633 0.3283582089552239</t>
  </si>
  <si>
    <t>Cc1cncc(CN(C)CC2=C(N(C)Cc3nc(C)c(C)c(C)c3C)CC=CN2)c1 7.7555475 0.1875</t>
  </si>
  <si>
    <t>Cc1ccnc(CN(C)C2=C(CN(C)Cc3cc(C)c(C)c(C)n3)NC=CC2)c1 7.7555466 0.30158730158730157</t>
  </si>
  <si>
    <t>Cc1ccc(CN(C)C2CCC(N(C)Cc3cc(-c4ccc5ncccc5c4)ccn3)CC2)nc1 7.755544 0.44642857142857145</t>
  </si>
  <si>
    <t>Cc1cc(C)c(CN(C)C2CCCC(N(Cc3ccccn3)c3ccc4cccnc4c3)C2)nc1C 7.7555385 0.375</t>
  </si>
  <si>
    <t>Cc1cccc(CN(C)C2CCC(N(C)Cc3cccc(-c4cccc5ncccc45)n3)CC2)n1 7.7555375 0.4716981132075472</t>
  </si>
  <si>
    <t>Cc1cnc(CN(C)C2CCCC(N(C)c3ccc4c(CN(C)C)ccnc4c3)C2)c(C)c1 7.7555256 0.2878787878787879</t>
  </si>
  <si>
    <t>Cc1cncc(CN(C)C2=CNC=C(CN(C)Cc3nc(C)c(C)cc3C)C2)c1 7.7555227 0.19047619047619047</t>
  </si>
  <si>
    <t>Cc1cc(C)c(CN(C)CC2=CCC(N(C)Cc3ccccn3)=CN2)cn1 7.755518 0.3728813559322034</t>
  </si>
  <si>
    <t>Cc1cc(CN(C)Cc2ccc(N(C)C3C=CC=CN3)cn2)ccn1 7.7555056 0.32142857142857145</t>
  </si>
  <si>
    <t>CCN(CCN(C)Cc1ccc2ncccc2c1)Cc1cc(C)c(C)c(C)n1 7.7555046 0.3484848484848485</t>
  </si>
  <si>
    <t>CCNc1cc(-c2cc(C(C)C(C)C)ccn2)ccn1 7.755497 0.2807017543859649</t>
  </si>
  <si>
    <t>Cc1ncccc1CN(C)Cc1ncccc1N(C)C1C=CC=CN1 7.7554936 0.32786885245901637</t>
  </si>
  <si>
    <t>CN(C)c1ccc2cccnc2c1-c1cc(CN(Cc2ccccn2)Cc2ccc(-c3ccc4c(c3)OCCOCCOCCOCCOCCO4)cn2)ccn1 7.755489 0.3614457831325301</t>
  </si>
  <si>
    <t>Cc1cncc(C)c1CN(C)C1CCCC(N(C)c2ccc3c(CN(C)C)ccnc3c2)C1 7.7554855 0.25757575757575757</t>
  </si>
  <si>
    <t>Cc1cccc(N(C)CC2=CC(N(C)Cc3nccc(C)c3C)C=CN2)c1 7.7554836 0.26865671641791045</t>
  </si>
  <si>
    <t>Cc1cc(C)c(C)c(CN(C)C2=CNC(CN(C)Cc3ccccn3)=CC2)n1 7.7554817 0.38333333333333336</t>
  </si>
  <si>
    <t>CN(Cc1ccc2ccccc2n1)Cc1ccc2cccc(N(C)Cc3cc(-c4ccc5c(c4)OCCOCCOCCOCCOCCO5)ccn3)c2n1 7.75548 0.3382352941176471</t>
  </si>
  <si>
    <t>CC(c1ccccn1)C1COC(c2cnccc2CN(Cc2ccccn2)Cc2ccccn2)=N1 7.755478 0.37735849056603776</t>
  </si>
  <si>
    <t>Cc1ccc(C)c(N(C)CC2=CC(N(C)Cc3ccccn3)C=CN2)c1 7.755473 0.4107142857142857</t>
  </si>
  <si>
    <t>Cc1ccnc(CN(C)C2=CNC(CN(C)Cc3ncc(C)c(C)c3C)=CC2)c1 7.755467 0.30158730158730157</t>
  </si>
  <si>
    <t>Cc1cccnc1CN(C)C1=CNC=C(CN(C)Cc2ncc(C)c(C)c2C)C1 7.755454 0.25</t>
  </si>
  <si>
    <t>Cc1ccnc(CN(C)C2CCC(N(C)Cc3cc(-c4ccc5ncccc5c4)ccn3)CC2)c1 7.7554464 0.35714285714285715</t>
  </si>
  <si>
    <t>Cc1cccc(CN(C)C2=CNC(CN(C)Cc3ncccc3C)=CC2)n1 7.7554364 0.3888888888888889</t>
  </si>
  <si>
    <t>Cc1cccc(CN(Cc2ccccn2)Cc2ccc(N(C)C)cn2)c1C 7.7554255 0.4878048780487805</t>
  </si>
  <si>
    <t>CNc1cncc(C)c1CN(Cc1ccccn1)Cc1ncccc1C 7.755424 0.4444444444444444</t>
  </si>
  <si>
    <t>Cc1cccnc1CN(C)Cc1cc(C(C)(C)c2ccccn2)ccn1 7.7554164 0.36363636363636365</t>
  </si>
  <si>
    <t>CNC1C(N(Cc2nc(C)c(C)c(C)c2C)Cc2nc(C)c(C)c(C)c2C)CCC(N(Cc2nc(C)c(C)c(C)c2C)Cc2nc(C)c(C)c(C)c2C)C1N(Cc1nc(C)c(C)c(C)c1C)Cc1nc(C)c(C)c(C)c1C 7.755416 0.21818181818181817</t>
  </si>
  <si>
    <t>Cc1ccc(CN(C)C2=C(CN(C)Cc3cc(C)cc(C)n3)NC=CC2)nc1 7.755411 0.41509433962264153</t>
  </si>
  <si>
    <t>CC1=CC2(C=CNC(C(C)C)=C2)c2cccnc2C1 7.7554035 0.2</t>
  </si>
  <si>
    <t>Cc1ccc(CN(C)C2=CNC(CN(C)Cc3nccc(C)c3C)=CC2)nc1 7.755402 0.38181818181818183</t>
  </si>
  <si>
    <t>Cc1ccc(CN(C)C2=CNC(CN(C)Cc3ncc(C)c(C)c3C)=CC2)nc1 7.7554 0.39622641509433965</t>
  </si>
  <si>
    <t>CCN(Cc1ccccn1)Cc1cc(C(C)(c2ccccn2)c2ccccn2)ccn1 7.755399 0.4782608695652174</t>
  </si>
  <si>
    <t>Cc1cncc(CN(C)CC2=C(N(C)Cc3nc(C)c(C)cc3C)CC=CN2)c1 7.7553988 0.1875</t>
  </si>
  <si>
    <t>CN(CCF)CCN(Cc1ccccn1)c1ccc2cccnc2c1 7.7553973 0.48</t>
  </si>
  <si>
    <t>CN(CCN(Cc1ccccn1)c1ccc2nc(CF)ccc2c1)C(C)(C)C 7.7553945 0.4339622641509434</t>
  </si>
  <si>
    <t>COC(=O)c1cccc(CN(Cc2ccccn2)Cc2cccc(C(C)(C)C)n2)n1 7.755393 0.4444444444444444</t>
  </si>
  <si>
    <t>CN(CCN)CCN(C)c1cccc2nc(CF)ccc12 7.7553864 0.3673469387755102</t>
  </si>
  <si>
    <t>CC1=C(C)C2(CCC(c3ccc(CN(Cc4ccccn4)Cc4ccccn4)cn3)=C(c3ncccc3CN(Cc3ccccn3)Cc3ccccn3)C23C=CNC(C(C)C)=C3)CC(C)C1 7.7553854 0.2608695652173913</t>
  </si>
  <si>
    <t>Cc1cc(CN(Cc2ccccn2)C2CCC(N(C)c3ccc4nccc(CN(C)C)c4c3)CC2)cnc1C 7.7553844 0.3188405797101449</t>
  </si>
  <si>
    <t>Cc1cccnc1CN(C)CC1=C(N(C)Cc2cc(C)c(C)c(C)n2)CC=CN1 7.7553678 0.26153846153846155</t>
  </si>
  <si>
    <t>Cc1cccc(CN(C)CC2=CCC(N(C)Cc3ncccc3C)=CN2)n1 7.755365 0.41509433962264153</t>
  </si>
  <si>
    <t>Cc1ccc(CN(C)c2c(N(C)Cc3cccc(C)n3)ccc(Cl)c2-c2cccc(CN(Cc3ccccn3)Cc3cccc(-c4ccc5c(c4)OCCOCCOCCOCCOCCO5)n3)n2)nc1 7.7553477 0.36904761904761907</t>
  </si>
  <si>
    <t>C1=CC(c2ccccc2NCc2ccccn2)C=CN1 7.755347 0.4146341463414634</t>
  </si>
  <si>
    <t>CN(Cc1cccc(-c2ccccc2)n1)C1CCCCC1N(C)c1ccc2nc(CF)ccc2c1 7.7553453 0.46774193548387094</t>
  </si>
  <si>
    <t>CN(c1ccc2nc(CF)ccc2c1)C1CCC(N(Cc2ccccn2)c2ccccc2F)CC1 7.755335 0.3709677419354839</t>
  </si>
  <si>
    <t>Cc1cc(C)c(CN(Cc2cc(C)c(C)c(C)n2)C2CC(N(Cc3nc(C)c(C)c(C)c3C)Cc3nc(C)c(C)c(C)c3C)CCC2N(C)Cc2cc(-c3ccccn3)ccn2)nc1C 7.7553244 0.3333333333333333</t>
  </si>
  <si>
    <t>CC1=CC(C)C(C)(N(C)Cc2ncccc2-c2ccccc2N=Cc2ccccn2)CC1 7.755315 0.375</t>
  </si>
  <si>
    <t>Cc1ccc2ccc(N(C)C3CCCC(N(C)Cc4cc(C)c(C)c(C)n4)C3)cc2n1 7.7553105 0.3333333333333333</t>
  </si>
  <si>
    <t>Cc1cccnc1CN(C)C1CCC(N(C)Cc2cc(-c3ccc4cccnc4c3)ccn2)CC1 7.7553096 0.3389830508474576</t>
  </si>
  <si>
    <t>CN(CC1=CCC(N(C)C(C2=CCC=CN2)c2ccccn2)=CN1)Cc1ccccn1 7.7553005 0.46774193548387094</t>
  </si>
  <si>
    <t>Cc1cncc(CN(C)Cc2cccc(N(C)C3C=CC=CN3)n2)c1C 7.7552953 0.3157894736842105</t>
  </si>
  <si>
    <t>CCN(Cc1cc(-c2ccc3c(c2)OCCOCCOCCOCCOCCO3)ccn1)Cc1ccc2cccc(N(C)Cc3ccc4cccc(C)c4n3)c2n1 7.7552824 0.32098765432098764</t>
  </si>
  <si>
    <t>Cc1nc(CN(C)C2=CNC(CN(C)Cc3ccccn3)=CC2)c(C)c(C)c1C 7.755279 0.39655172413793105</t>
  </si>
  <si>
    <t>Cc1cc(C)c(C)c(CN(C)C2=C(CN(C)Cc3ccc(C)c(C)c3C)NC=CC2)n1 7.75527 0.20967741935483872</t>
  </si>
  <si>
    <t>CN(CCF)CCN(Cc1ccccn1)c1ccc2ncccc2c1 7.755269 0.4230769230769231</t>
  </si>
  <si>
    <t>CN(c1ccc2nccc(CF)c2c1)C1CCC(N(Cc2ccnc(C3OC=NC3(C)C)c2)Cc2ccccn2)CC1 7.7552648 0.27848101265822783</t>
  </si>
  <si>
    <t>Cc1ccc(CN(C)C2=C(CN(C)Cc3nc(C)c(C)c(C)c3C)NC=CC2)nc1 7.7552633 0.38181818181818183</t>
  </si>
  <si>
    <t>Cc1cccnc1CN(C)CC1=CCC(N(C)Cc2ncccc2C)=CN1 7.755262 0.2909090909090909</t>
  </si>
  <si>
    <t>C=CCN(C)Cc1cccc(C(C)(c2ccccn2)c2ccccn2)n1 7.755257 0.4528301886792453</t>
  </si>
  <si>
    <t>Cc1ccc(C)c(CN(C)CC2=CCC(N(C)Cc3nc(C)ccc3C)=CN2)n1 7.755256 0.27450980392156865</t>
  </si>
  <si>
    <t>CN(C)c1cccnc1CN(Cc1cncc(F)c1)Cc1ccccn1 7.7552557 0.43478260869565216</t>
  </si>
  <si>
    <t>CC1=C(c2ccccc2)C(C(C)(C)c2ccccn2)CC=C1C(C)(C)c1ccccn1 7.7552443 0.3090909090909091</t>
  </si>
  <si>
    <t>CCOC(=O)c1cccc(CN(Cc2ccccn2)C2CCC(N(C)c3ccc4nc(CN(C)C)ccc4c3)CC2)n1 7.7552423 0.34782608695652173</t>
  </si>
  <si>
    <t>Cc1nc(CN(C)C2CCC(N(C)c3ccc4nccc(CF)c4c3)CC2)c(C)c(C)c1C 7.7552414 0.22058823529411764</t>
  </si>
  <si>
    <t>CC1(C)CC(c2ccc(CN(Cc3ccccn3)Cc3ccccn3)c(CN(Cc3ccccn3)Cc3cccc(C(C)(c4ccccn4)c4ccccn4)n3)n2)C1 7.7552366 0.373134328358209</t>
  </si>
  <si>
    <t>Cc1ccc(N(C)C(C)C)c(C)c1C 7.755233 0.2564102564102564</t>
  </si>
  <si>
    <t>Cc1cc(CN(C)C2=CNC(CN(C)Cc3ncccc3C)=CC2)cnc1C 7.7552257 0.24615384615384617</t>
  </si>
  <si>
    <t>CN(Cc1cc(-c2cccc3c2OCCOCCOCCOCCOCCO3)ccn1)Cc1ccc2cccc(N(C)Cc3ccc4ncccc4c3)c2n1 7.755224 0.2972972972972973</t>
  </si>
  <si>
    <t>CC(C)C1=CC2(C=CN1)CC(c1cccc(CN(Cc3cccc(-c4cccc(N=Cc5ccccn5)c4)n3)Cc3cccc(-c4ccc5c(c4)OCCOCCOCCOCCOCCO5)n3)n1)C(c1ccccn1)c1ncccc12 7.7552214 0.2912621359223301</t>
  </si>
  <si>
    <t>Cc1cccnc1CN(C)C1=C(CN(C)Cc2cc(C)c(C)c(C)n2)NC=CC1 7.7552195 0.2727272727272727</t>
  </si>
  <si>
    <t>CN(Cc1ccccn1)C1=CNC=CC1CN(C)c1cccc(F)c1 7.7552147 0.38596491228070173</t>
  </si>
  <si>
    <t>Cc1cc(C)c(CN(C)CC2=CNC=C(N(C)Cc3ccccn3)C2)nc1C 7.7552133 0.3793103448275862</t>
  </si>
  <si>
    <t>CC(C)(N=Cc1ccccn1)c1ccccc1NCc1ccccn1 7.755212 0.3695652173913043</t>
  </si>
  <si>
    <t>Cc1cc(C)nc(CN(C)CC2=C(N(C)Cc3ncccc3C)CC=CN2)c1 7.755209 0.28125</t>
  </si>
  <si>
    <t>CN(CCN(Cc1ccccn1)c1cccc2ncccc12)C(C)(C)C 7.7552085 0.4117647058823529</t>
  </si>
  <si>
    <t>CCN(Cc1cc(-c2ccc3c(c2)OCCOCCOCCOCCOCCO3)ccn1)Cc1ccc2ccc(N(C)Cc3ccc4cccc(C)c4n3)cc2n1 7.7552075 0.30952380952380953</t>
  </si>
  <si>
    <t>Cc1ccnc(CN(Cc2cccc(C)n2)Cc2nc(C)c(C)c(C)c2C)c1 7.755207 0.3958333333333333</t>
  </si>
  <si>
    <t>CNc1cc(Cl)ccc1C(C)(C)C 7.755202 0.15217391304347827</t>
  </si>
  <si>
    <t>Cc1cc(C)c(C)c(CN(Cc2ccccn2)C2CCC(N(C)c3ccc4cc(CN(C)C)cnc4c3)CC2)n1 7.755199 0.3188405797101449</t>
  </si>
  <si>
    <t>CN(CCN(C)C(C)(C)C)c1ccc2ncc(CF)cc2c1 7.7551937 0.24074074074074073</t>
  </si>
  <si>
    <t>Cc1cc(C)cc(NCc2ccccn2)c1 7.7551894 0.5</t>
  </si>
  <si>
    <t>CNCC1=CCC=C(N(C)Cc2nccc(C)c2C)N1 7.755189 0.23809523809523808</t>
  </si>
  <si>
    <t>COC(=O)C(=O)NCc1ccccn1 7.755187 0.4722222222222222</t>
  </si>
  <si>
    <t>CN(c1ccc2ncccc2c1)C1CCCCC1N(Cc1ccccn1)Cc1cccc(-c2ccccc2)n1 7.7551856 0.4406779661016949</t>
  </si>
  <si>
    <t>Cc1ccc(CN(Cc2ccccc2N(C)C)Cc2ncccc2C)nc1 7.755174 0.40816326530612246</t>
  </si>
  <si>
    <t>C1=CC(SCc2ccccn2)NC(SCc2ccccn2)=C1 7.7551723 0.40476190476190477</t>
  </si>
  <si>
    <t>COC(=O)c1ncccc1CN(Cc1ccccn1)Cc1ncccc1C(C)(C)C 7.7551656 0.40816326530612246</t>
  </si>
  <si>
    <t>Cc1cc(C)c(C)c(CN(C)C2=CNC(CN(C)Cc3ccncc3C)=CC2)n1 7.7551646 0.208955223880597</t>
  </si>
  <si>
    <t>Cc1ccncc1CN(C)CC1=CCC=C(N(C)Cc2ccccn2)N1 7.7551594 0.3709677419354839</t>
  </si>
  <si>
    <t>CN(CCF)CCN(C)c1ccc2ncccc2c1 7.7551594 0.4</t>
  </si>
  <si>
    <t>Cc1nc(CN(Cc2ccccn2)C2CCCCC2N(C)c2cccc3ncc(CN(C)C)cc23)c(C)c(C)c1C 7.7551436 0.38235294117647056</t>
  </si>
  <si>
    <t>CN(CCF)CCN(C)c1ccc2cccnc2c1 7.755136 0.391304347826087</t>
  </si>
  <si>
    <t>CC1=CC(C)C(C)(C)C(C)C1N(C)Cc1cc(-c2cccc(N(C)Cc3cc(C)c(C)c(C)n3)c2)ccn1 7.755132 0.2361111111111111</t>
  </si>
  <si>
    <t>CN(Cc1ccccn1)c1cc2cccnc2cc1-c1cc(CN(Cc2ccccn2)Cc2cc(-c3ccc4c(c3)OCCOCCOCCOCCOCCO4)ccn2)ccn1 7.7551193 0.3287671232876712</t>
  </si>
  <si>
    <t>CN(c1ccccc1F)C1CCC(N(C)c2cccc3ncccc23)CC1 7.755118 0.37254901960784315</t>
  </si>
  <si>
    <t>Cc1cncc(CN(C)CC2=CCC(N(C)Cc3ncc(C)c(C)c3C)=CN2)c1 7.7551126 0.22580645161290322</t>
  </si>
  <si>
    <t>Cc1cc(C)c(CN(C)C2CCCCC2N(C)Cc2cc(-c3ccc4ncccc4c3)ccn2)cn1 7.755112 0.4406779661016949</t>
  </si>
  <si>
    <t>Cc1cnc(CN(Cc2ncccc2C)C2CCC(N(C)c3ccc4nccc(CF)c4c3)CC2)c(C)c1 7.75511 0.2328767123287671</t>
  </si>
  <si>
    <t>CC(C)c1cc(CN(Cc2ccccn2)C2CCC(N(C)Cc3cc(-c4ccc5ncccc5c4)ccn3)CC2)ccn1 7.755101 0.3582089552238806</t>
  </si>
  <si>
    <t>Cc1cncc(CN(C)CC2=CCC=C(N(C)Cc3ccccn3)N2)c1 7.755096 0.3793103448275862</t>
  </si>
  <si>
    <t>CC(C)N(Cc1cncc(-c2ccccc2N(C)CCN)c1)Cc1ccccn1 7.755092 0.46296296296296297</t>
  </si>
  <si>
    <t>Cc1ccc(CN(C)C2=CNC(CN(C)Cc3ncccc3C)=CC2)nc1C 7.7550907 0.2857142857142857</t>
  </si>
  <si>
    <t>Cc1ccc(CN(C)CC2=C(N(C)Cc3ccccn3)NC=CC2)nc1C 7.7550898 0.42105263157894735</t>
  </si>
  <si>
    <t>CNC1CC(N(Cc2nc(C)c(C)c(C)c2C)Cc2nc(C)c(C)c(C)c2C)C(N(Cc2nc(C)c(C)c(C)c2C)Cc2nc(C)c(C)c(C)c2C)C(NC)C1N(Cc1nc(C)c(C)c(C)c1C)Cc1nc(C)c(C)c(C)c1C 7.7550683 0.1864406779661017</t>
  </si>
  <si>
    <t>Cc1cc(C)c(CN(C)C2=C(CN(Cc3ccccc3)Cc3ccccn3)NC=CC2)nc1C 7.7550673 0.3939393939393939</t>
  </si>
  <si>
    <t>CN(C)c1cccc(CN(Cc2ccc(C(C)(C)C)nc2)Cc2ccccn2)n1 7.7550464 0.4444444444444444</t>
  </si>
  <si>
    <t>Cc1ccnc2cc(N(C)CCN(C)C(C)C(C)N)ccc12 7.7550435 0.23636363636363636</t>
  </si>
  <si>
    <t>CN(C)Cc1ccc2cc(N(C)C3CCCCC3N(Cc3ccccn3)c3ccccc3F)ccc2n1 7.755043 0.43333333333333335</t>
  </si>
  <si>
    <t>CN(CCN(C)c1cccc2ncc(CF)cc12)CC(C)(C)C 7.7550406 0.34615384615384615</t>
  </si>
  <si>
    <t>CN(Cc1ccccn1)C1=CCC=C(CN(Cc2ccccn2)Cc2cccc(C(C)(C)C)n2)N1 7.7550387 0.46551724137931033</t>
  </si>
  <si>
    <t>CCN(Cc1cccc(C2=NC(C)(C)CO2)n1)Cc1ncc(C)c(C)c1C 7.7550364 0.4807692307692308</t>
  </si>
  <si>
    <t>CNCc1nc(CN(Cc2cccc(C)n2)Cc2nc(C)c(C)c(C)c2C)c(C)c(C)c1C 7.7550325 0.41304347826086957</t>
  </si>
  <si>
    <t>Cc1cc(C)c(CN(C)C2=C(CN(C)Cc3ncccc3C)NC=CC2)nc1C 7.7550273 0.25</t>
  </si>
  <si>
    <t>Cc1cnc(CN(C)CC2=C(N(C)Cc3ccccn3)NC=CC2)c(C)c1C 7.7550254 0.3709677419354839</t>
  </si>
  <si>
    <t>Cc1cncc(CN(C)Cc2cc(N(C)C3C=CC=CN3)ccn2)c1 7.755022 0.3076923076923077</t>
  </si>
  <si>
    <t>CNC1NC=CC=C1N(C)Cc1nc(C)cc(C)c1C 7.755014 0.21666666666666667</t>
  </si>
  <si>
    <t>Cc1ccnc(CN(C)CC2=CCC(N(C)Cc3ccccn3)=CN2)c1C 7.7550135 0.3728813559322034</t>
  </si>
  <si>
    <t>CNCc1cc(CN(Cc2cc(C(C)(C)c3ccccn3)ccn2)Cc2cc(C)c(C)c(C)n2)ccn1 7.7550097 0.3103448275862069</t>
  </si>
  <si>
    <t>Cc1ccc(C)c(CN(C)CC2=C(N(C)Cc3ncccc3C)NC=CC2)n1 7.7550087 0.25806451612903225</t>
  </si>
  <si>
    <t>Cc1cccnc1CN(C)Cc1cccc(N(C)C2C=CC=CN2)n1 7.7550025 0.3559322033898305</t>
  </si>
  <si>
    <t>CN(C)c1ccc(CN(Cc2cncc(F)c2)Cc2ccccn2)nc1 7.7549953 0.45454545454545453</t>
  </si>
  <si>
    <t>CCN(Cc1ccccn1)Cc1cccc(N(C)Cc2ncc(C)c(C)c2C)n1 7.754995 0.41304347826086957</t>
  </si>
  <si>
    <t>CCOC(=O)c1cccc(CN(Cc2ccccn2)C2CCC(N(C)c3cccc4cc(CN(C)C)cnc34)CC2)n1 7.7549806 0.30666666666666664</t>
  </si>
  <si>
    <t>CC1CC(Cl)C(Cl)C(Cl)=C1N(C)C 7.7549777 0.13725490196078433</t>
  </si>
  <si>
    <t>Cc1cccc(N(C)C2CCCC(N(C)c3ccc4cccnc4c3)C2)c1 7.7549744 0.37037037037037035</t>
  </si>
  <si>
    <t>CC(C)(C1=CC2(C=CN1)C=C(c1ccc(CN(Cc3ccccn3)Cc3ccccn3)cn1)CC(C)(C)C2c1ccc(CN(Cc2ccccn2)Cc2ccccn2)cn1)c1ccccn1 7.7549634 0.3037974683544304</t>
  </si>
  <si>
    <t>Cc1cccc(CN(C)C2=C(CN(C)Cc3cc(C)c(C)c(C)n3)NC=CC2)n1 7.754961 0.4074074074074074</t>
  </si>
  <si>
    <t>Cc1cc(C)c(CN(C)CC2=C(N(C)Cc3ncccc3C)CC=CN2)nc1C 7.75496 0.25</t>
  </si>
  <si>
    <t>Cc1ccc(CN(C)C2=CCC=C(CN(C)Cc3ccccn3)N2)nc1 7.754949 0.44</t>
  </si>
  <si>
    <t>Cc1ccc(CN(C)CC2=CNC=C(N(C)Cc3nc(C)c(C)cc3C)C2)nc1 7.7549467 0.4074074074074074</t>
  </si>
  <si>
    <t>C1=CNC(Nc2ccccn2)C=C1 7.754945 0.41304347826086957</t>
  </si>
  <si>
    <t>Cc1cc(CN(Cc2ccccn2)C2CCC(N(C)c3ccc4nccc(C)c4c3)CC2)cnc1C 7.754932 0.3384615384615385</t>
  </si>
  <si>
    <t>Cc1cccc(N(Cc2ccccn2)C2CCC(N(C)c3ccc4cccnc4c3)CC2)c1 7.7549305 0.3898305084745763</t>
  </si>
  <si>
    <t>CN(Cc1ncccc1-c1cccc2ncccc12)C1CCCC(N(C)Cc2ncccc2C(C)(C)C)C1 7.754923 0.29508196721311475</t>
  </si>
  <si>
    <t>Cc1cc(C)c(C)c(CN(C)C2=CNC(C(C)C)=CC2)n1 7.754922 0.2</t>
  </si>
  <si>
    <t>CN(Cc1ccccn1)Cc1ncccc1N(C)Cc1cncc(C(C)(C)C)c1 7.7549086 0.42592592592592593</t>
  </si>
  <si>
    <t>CC(C)C1N=COC1c1cc(CN(Cc2ccccn2)Cc2cc(C(C)(C)c3ccccn3)ccn2)ccn1 7.7549067 0.35384615384615387</t>
  </si>
  <si>
    <t>Cc1cnc(CN(C)Cc2ccnc(C)c2C)c(C)c1C 7.7549067 0.3111111111111111</t>
  </si>
  <si>
    <t>Cc1ccc(CN(C)CC2=CCC=C(N(C)Cc3ccccn3)N2)cn1 7.7549043 0.38333333333333336</t>
  </si>
  <si>
    <t>CCN(Cc1ccccn1)Cc1ccc(C(C)(c2ccccn2)c2ccccn2)cn1 7.7548995 0.4888888888888889</t>
  </si>
  <si>
    <t>Cc1ccnc(CN(C)C2=CCC=C(CN(C)C3CCCCC3N(C)c3ccc4c(CN(C)C)nccc4c3)N2)c1C 7.7548957 0.28378378378378377</t>
  </si>
  <si>
    <t>Cc1cccnc1CN(C)C1CCCC(N(C)Cc2cccc(-c3cccc4ncccc34)n2)C1 7.7548957 0.3548387096774194</t>
  </si>
  <si>
    <t>Cc1cnc(CN(C)C2=C(CN(C)Cc3cccc(C)n3)NC=CC2)c(C)c1 7.7548943 0.39285714285714285</t>
  </si>
  <si>
    <t>CC1=C(c2c(C)c(C)c(C)c(C)c2C)CC(CN(C)Cc2ccccn2)C(C)=C1C 7.7548876 0.43103448275862066</t>
  </si>
  <si>
    <t>Cc1cc(CN(C)C2=CNCC=C2)cnc1C 7.75488 0.2222222222222222</t>
  </si>
  <si>
    <t>Cc1cccnc1CN(C)C1=CNC(CN(C)Cc2ncc(C)c(C)c2C)=CC1 7.754874 0.26865671641791045</t>
  </si>
  <si>
    <t>CNc1cc(C)c(CN(Cc2ccccn2)Cc2ncc(C)cc2C)cn1 7.7548695 0.425531914893617</t>
  </si>
  <si>
    <t>Cc1nccc(CN(C)CC2=CCC(N(C)Cc3ccccn3)=CN2)c1C 7.754865 0.3728813559322034</t>
  </si>
  <si>
    <t>CNCc1cccc(CN(Cc2cccc(C)n2)Cc2cccc(C3=NC(C)C(C)O3)n2)n1 7.754865 0.37254901960784315</t>
  </si>
  <si>
    <t>CCOC(=O)c1cccc(CN(Cc2ccccn2)C2CCC(N(C)c3ccc4ccc(CN(C)C)nc4c3)CC2)n1 7.7548637 0.35294117647058826</t>
  </si>
  <si>
    <t>CC(C)N(CN(CN(CN(C)C1C=CC=CN1)c1cccc2ncccc12)C1C=CC=CN1)C(c1ccccc1)c1ccccn1 7.7548633 0.3157894736842105</t>
  </si>
  <si>
    <t>Cc1cccc(N(Cc2ccccn2)C2CCC(N(C)c3ccc4ncccc4c3)CC2)c1 7.7548585 0.3728813559322034</t>
  </si>
  <si>
    <t>Cc1cc(NCc2ccccn2)ccc1C(C)(C)N(Cc1ccccn1)C1CCCC(N(C)c2ccc3cccnc3c2)C1 7.7548485 0.3108108108108108</t>
  </si>
  <si>
    <t>Cc1ccc(CN(Cc2ccccn2)Cc2ccccc2N(C)C)nc1C 7.7548456 0.4878048780487805</t>
  </si>
  <si>
    <t>CC(C)c1cc(CN(Cc2ccccn2)C2CCC(N(C)Cc3ncccc3-c3ccc4ncccc4c3)CC2)ccn1 7.7548413 0.323943661971831</t>
  </si>
  <si>
    <t>CC1=C(c2cc(CN(Cc3ccccn3)C3CCC(N(C)c4ccc5nccc(CN(C)C)c5c4)CC3)ccn2)C(C)CC(C)C1 7.754835 0.27848101265822783</t>
  </si>
  <si>
    <t>Cc1cnc(CN(Cc2ccccn2)C2CCC(N(C)c3ccc4nccc(C)c4c3)CC2)c(C)c1 7.7548347 0.3384615384615385</t>
  </si>
  <si>
    <t>Cc1cnccc1CN(Cc1ccccn1)Cc1cccc(N(C)C)n1 7.754834 0.46511627906976744</t>
  </si>
  <si>
    <t>Cc1cc(C)c(C)c(CN(C)CC2=CCC(N(C)Cc3ccccn3)=CN2)n1 7.754834 0.3728813559322034</t>
  </si>
  <si>
    <t>CN(Cc1ccccn1)C1C=CNC(C(C)(c2ccccn2)c2ccccn2)=C1 7.7548327 0.4230769230769231</t>
  </si>
  <si>
    <t>Cc1cnc(CN(C)Cc2ncc(C)c(C)c2C)c(C)c1 7.7548246 0.375</t>
  </si>
  <si>
    <t>CCN(Cc1cc(C2=NC(C)(C)CO2)ccn1)Cc1nc(C)c(C)cc1C 7.754821 0.3275862068965517</t>
  </si>
  <si>
    <t>CCN(Cc1cc(CN(Cc2nc(C)c(C)cc2C)Cc2nc(C)c(C)cc2C)ccn1)Cc1nc(C)c(C)cc1C 7.7548194 0.3181818181818182</t>
  </si>
  <si>
    <t>CN(C1=CNC(N(C)C2=CCC=CN2)=CC1)C1=CCC=CN1 7.7548175 0.25</t>
  </si>
  <si>
    <t>Cc1nccc(CN(Cc2nc(C)c(C)c(C)c2C)C2CCCCC2N(C)c2cccc3ncccc23)c1C 7.7548127 0.40625</t>
  </si>
  <si>
    <t>Cc1cc(C)c(CN(C)Cc2ccc(N(C)C(C)C)cn2)nc1C 7.754807 0.40425531914893614</t>
  </si>
  <si>
    <t>CNCC1CCC(N(C)Cc2ncccc2C)N1c1ccc2ncccc2c1 7.7548018 0.2537313432835821</t>
  </si>
  <si>
    <t>CN(CCN(Cc1ccccn1)c1ccc2ncccc2c1)CC(C)(C)C 7.7548013 0.48</t>
  </si>
  <si>
    <t>Cc1cc(C)c(CN(C)CC2=C(N(C)Cc3ccccn3)CC=CN2)c(C)c1 7.7547975 0.39285714285714285</t>
  </si>
  <si>
    <t>CCc1ccccc1CNCc1cc(C(C)(c2ccccn2)c2ccccn2)ccn1 7.7547956 0.3620689655172414</t>
  </si>
  <si>
    <t>CC(C)N(Cc1ccccn1)Cc1ncccc1C1=CCC=CN1 7.754793 0.5</t>
  </si>
  <si>
    <t>Cc1cc(NCc2ccccn2)ccc1C(C)(C)C 7.7547836 0.4146341463414634</t>
  </si>
  <si>
    <t>Cc1cc(CN(Cc2ccccn2)C2CCCC(N(C)c3cccc4nccc(CN(C)C)c34)C2)cnc1C 7.7547784 0.323943661971831</t>
  </si>
  <si>
    <t>Cc1ccc(CN(C)CC2=CCC=C(N(C)Cc3ccccn3)N2)nc1 7.7547774 0.44</t>
  </si>
  <si>
    <t>Cc1cnc(CN(C)Cc2cccc(N(C)C3C=CC=CN3)n2)cc1C 7.7547755 0.3389830508474576</t>
  </si>
  <si>
    <t>CCN(Cc1cc(C2=NC(C)(C)CO2)ccn1)Cc1ncc(C)c(C)c1C 7.7547746 0.3050847457627119</t>
  </si>
  <si>
    <t>Cc1ccnc(CN(C)C2=CCC=C(CN(C)Cc3ccccn3)N2)c1 7.754772 0.4074074074074074</t>
  </si>
  <si>
    <t>CC1C=CC(c2ncccc2CN(Cc2ccccn2)Cc2ccc(-c3cccc(N=Cc4ccccn4)c3)cn2)C(C)C1C 7.7547693 0.3125</t>
  </si>
  <si>
    <t>Cc1cccc(CN(C)C2=C(CN(C)Cc3nc(C)c(C)c(C)c3C)NC=CC2)n1 7.754761 0.3888888888888889</t>
  </si>
  <si>
    <t>Cc1nc(CN(C)C2CCCC(N(C)c3cccc4c(CF)ccnc34)C2)c(C)c(C)c1C 7.754753 0.3333333333333333</t>
  </si>
  <si>
    <t>CN(Cc1cccc(C2=CCC=CN2)n1)C1CCCCC1N(C)c1ccc2cccnc2c1 7.754751 0.4</t>
  </si>
  <si>
    <t>CNCC1=CCC(N(C)Cc2nc(C)c(C)c(C)c2C)=CN1 7.754746 0.18032786885245902</t>
  </si>
  <si>
    <t>CN(Cc1cccc(C2=NC(C)(C)CO2)n1)Cc1ncccc1C(C)(C)C 7.7547455 0.4807692307692308</t>
  </si>
  <si>
    <t>CNCC1=CCC(N(C)Cc2nc(C)c(C)cc2C)=CN1 7.7547426 0.18032786885245902</t>
  </si>
  <si>
    <t>COC(=O)c1cc(CN(Cc2ccccn2)Cc2cccc(C(C)(C)C)n2)ccn1 7.7547426 0.421875</t>
  </si>
  <si>
    <t>Cc1nc(CN(C)CC2=CCC(N(C)Cc3ccccn3)=CN2)c(C)c(C)c1C 7.754736 0.3728813559322034</t>
  </si>
  <si>
    <t>CCCN(Cc1ccccn1)c1ccc(C)c(CN(Cc2ccccn2)Cc2nc(C)c(C)c(C)c2C)c1C 7.754734 0.39215686274509803</t>
  </si>
  <si>
    <t>CN(Cc1ccccn1)C1=CNC=CC1SCc1ccccn1 7.7547307 0.42</t>
  </si>
  <si>
    <t>Cc1cccc(N(Cc2ccccn2)C2CCC(N(C)c3ccc4nc(CF)ccc4c3)CC2)c1 7.754719 0.36507936507936506</t>
  </si>
  <si>
    <t>Cc1ccc(C(C)(c2ccccn2)N(C)Cc2ccccn2)c(N)c1 7.7547154 0.42</t>
  </si>
  <si>
    <t>CC(C)NCc1ncccc1CN(Cc1ccccn1)Cc1ccc(-c2cccc(N)c2)cn1 7.754714 0.36363636363636365</t>
  </si>
  <si>
    <t>Cc1cnc(CN(C)C2=CNC(CN(C)Cc3ccccn3)=CC2)c(C)c1 7.754707 0.38333333333333336</t>
  </si>
  <si>
    <t>Cc1cccc(CN(C)CC2=CCC(N(C)Cc3ccc(C)c(C)n3)=CN2)n1 7.7547035 0.44</t>
  </si>
  <si>
    <t>Cc1cccnc1CN(C)CCN(C)Cc1cccc2ncccc12 7.7546988 0.5</t>
  </si>
  <si>
    <t>Cc1cc(CN(C)C2=CNC(CN(C)Cc3ccccn3)=CC2)nc(C)c1C 7.7546945 0.3898305084745763</t>
  </si>
  <si>
    <t>CC1=CC(C)CC(C)C1CN(C)Cc1cc(-c2cccc(N=Cc3ccccn3)c2)ccn1 7.7546935 0.3142857142857143</t>
  </si>
  <si>
    <t>CC(C)N(C)Cc1ccc2cc(N(C)C3CC4CCC3C4N(C)Cc3ccc4ncccc4c3)ccc2n1 7.7546935 0.35714285714285715</t>
  </si>
  <si>
    <t>Cc1cnc(CN(C)CC2=CCC(N(C)Cc3ccccn3)=CN2)c(C)c1 7.754686 0.3728813559322034</t>
  </si>
  <si>
    <t>CCN(Cc1ccccn1)C1=CCC=C(CN(C)C(C)(c2cccnc2)c2ccccn2)N1 7.7546763 0.3333333333333333</t>
  </si>
  <si>
    <t>CC1=CCC(C)C2(C1C)C(c1cccc(CN(C)Cc3cc(N)ccn3)n1)C=CC(C)C2c1cccc(CN(Cc2ccccn2)Cc2cccc(-c3cccc(N)c3N)n2)n1 7.7546606 0.345679012345679</t>
  </si>
  <si>
    <t>Cc1cccc(CN(CCF)Cc2cccc(-c3cccc(NCc4ccccn4)c3)n2)n1 7.754656 0.4838709677419355</t>
  </si>
  <si>
    <t>CNCc1ncccc1CN(Cc1nc(C)c(C)c(C)c1C)Cc1nc(C)c(C)c(C)c1C 7.7546554 0.3076923076923077</t>
  </si>
  <si>
    <t>Cc1cccnc1CN(C)C1CCCC(N(C)Cc2cc(-c3ccc4cccnc4c3)ccn2)C1 7.7546544 0.3442622950819672</t>
  </si>
  <si>
    <t>Cc1ccncc1C(C)(C)N(C)c1cccnc1CN(C)Cc1ncccc1C 7.754649 0.2727272727272727</t>
  </si>
  <si>
    <t>Cc1ccc2ccc(N(Cc3ccccn3)C3CCC(N(C)Cc4ncc(C)c(C)c4C)CC3)cc2n1 7.7546487 0.36507936507936506</t>
  </si>
  <si>
    <t>Cc1cccnc1CN(CC1=CCC(N(C)Cc2cncc(C)c2C)=CN1)Cc1ccccn1 7.7546453 0.40298507462686567</t>
  </si>
  <si>
    <t>Cc1ccccc1N(Cc1ccccn1)C1CCC(N(C)c2ccc3ncccc3c2)CC1 7.754636 0.38596491228070173</t>
  </si>
  <si>
    <t>Cc1cccc(CN(C)C2=CNC(CN(C)Cc3nccc(C)c3C)=CC2)n1 7.7546315 0.38181818181818183</t>
  </si>
  <si>
    <t>CC1(C)C=Cc2ccc(CN(Cc3cccnc3C3OC=NC3(C)C)Cc3ncccc3C(C)(C)C)nc2C1 7.7546277 0.24358974358974358</t>
  </si>
  <si>
    <t>CC1CC(C)C1CN(Cc1ccccn1)Cc1ncccc1-c1cccc(N=Cc2ccccn2)c1 7.7546234 0.3561643835616438</t>
  </si>
  <si>
    <t>CC(C)(c1cccc(NCc2ccccn2)c1)c1ccccn1 7.7546215 0.3953488372093023</t>
  </si>
  <si>
    <t>Cc1cnc(CN(C)C2=C(CN(C)Cc3ccnc(C)c3C)NC=CC2)c(C)c1C 7.7546196 0.22857142857142856</t>
  </si>
  <si>
    <t>CC1=CC(C)CC(C)C1NCc1cccc(CN(Cc2ccccn2)Cc2cccc(-c3cccc(N=Cc4ccccn4)c3)n2)n1 7.754611 0.4155844155844156</t>
  </si>
  <si>
    <t>CC(C)N(C)Cc1ccnc2cccc(N(Cc3ccccn3)CN(C)C(C)C)c12 7.75461 0.40384615384615385</t>
  </si>
  <si>
    <t>CN(CCN(C)C(C)(C)C)c1cccc2nc(CF)ccc12 7.7546024 0.375</t>
  </si>
  <si>
    <t>Cc1ccc2c(N(Cc3ccccn3)C3CCCC(N(C)Cc4cc(C)c(C)cn4)C3)cccc2n1 7.754602 0.390625</t>
  </si>
  <si>
    <t>Cc1cc(C)c(C)c(CN(C)C2=CNC(CN(C)Cc3ncccc3C)=CC2)n1 7.7545986 0.25</t>
  </si>
  <si>
    <t>Cc1cccnc1CN(C)Cc1ncccc1N(C)C1C=CC=CN1 7.754594 0.3448275862068966</t>
  </si>
  <si>
    <t>Cc1cc(CN(Cc2ccccn2)C2CCCC(N(C)c3ccc4nccc(CN(C)C)c4c3)C2)cnc1C 7.754592 0.323943661971831</t>
  </si>
  <si>
    <t>CNc1cccnc1CN(Cc1cc(C)ccn1)C1CCC(N(C)c2ccc3nccc(CF)c3c2)CC1 7.754577 0.23684210526315788</t>
  </si>
  <si>
    <t>CN(CCN(C)c1cccc2nc(CF)ccc12)CC(C)(C)C 7.7545705 0.3673469387755102</t>
  </si>
  <si>
    <t>C=CCN(C)Cc1ncccc1C(C)(c1ccccn1)c1ccccn1 7.754566 0.36538461538461536</t>
  </si>
  <si>
    <t>CCN(CCN(C)Cc1cc(C)ccn1)c1cccc2nc(CF)c(CF)c(CF)c12 7.754557 0.3220338983050847</t>
  </si>
  <si>
    <t>Cc1cnc(-c2cccc(NCc3ccc(-c4ccc5c(c4)OCCOCCOCCOCCOCCO5)cn3)c2)c(-c2cccc(N(C)C)c2)c1 7.754556 0.38461538461538464</t>
  </si>
  <si>
    <t>C1=CCNC(Nc2cccc(CN(Cc3ccccn3)Cc3ccccn3)n2)=C1 7.754556 0.47619047619047616</t>
  </si>
  <si>
    <t>Cc1cncc(CN(C)C2=CNC(CN(C)Cc3cc(C)c(C)c(C)n3)=CC2)c1 7.754543 0.22580645161290322</t>
  </si>
  <si>
    <t>CN(Cc1ccccn1)c1cc(-c2ncccc2CN(Cc2ccccn2)Cc2ncccc2-c2cccc3c2OCCOCCOCCOCCOCCO3)cc2cccnc12 7.754543 0.32</t>
  </si>
  <si>
    <t>C1=CC(NCc2ccccn2)=CC(c2ccccc2)N1 7.754534 0.40476190476190477</t>
  </si>
  <si>
    <t>CN(C)Cc1ccc(C(C)(C)c2ccccn2)cn1 7.754521 0.4090909090909091</t>
  </si>
  <si>
    <t>CN(C)CC1=CCC=C(N(C)Cc2ccccn2)N1 7.754515 0.46</t>
  </si>
  <si>
    <t>CCOC(=O)c1cccc(CN(Cc2ccccn2)C2CCCC(N(C)c3ccc4cc(CN(C)C)cnc4c3)C2)n1 7.754512 0.3026315789473684</t>
  </si>
  <si>
    <t>CN(Cc1cccc(C2=CCC=CN2)n1)C1CCC(N(C)c2ccc3nc(CF)ccc3c2)CC1 7.7545104 0.3150684931506849</t>
  </si>
  <si>
    <t>CCOC(=O)c1cc(CN(Cc2ccccn2)C2CCC(N(C)c3ccc4nc(CN(C)C)ccc4c3)CC2)ccn1 7.7545066 0.3287671232876712</t>
  </si>
  <si>
    <t>CN(Cc1ccccn1)C1=CCC=C(CN(C)C2=CCC=C(C(C)(C)C)N2)N1 7.7544994 0.4107142857142857</t>
  </si>
  <si>
    <t>CN(C)c1cccnc1CN(Cc1ccccn1)Cc1ccc(F)cn1 7.7544994 0.4878048780487805</t>
  </si>
  <si>
    <t>CCN(Cc1cccc(C2=NC(C)(C)CO2)n1)Cc1cc(C)c(C)c(C)n1 7.7544928 0.5</t>
  </si>
  <si>
    <t>Cc1ccc(CN(Cc2cccc(C3=NC(C)(C)CO3)n2)Cc2cccc(C(C)(C)c3cccc(C4CCC4(C)C)n3)n2)nc1 7.754492 0.3787878787878788</t>
  </si>
  <si>
    <t>CN(C)Cc1cnc2cc(N(C)C3CCCCC3N(Cc3ccccn3)c3ccccc3F)ccc2c1 7.7544866 0.41935483870967744</t>
  </si>
  <si>
    <t>Cc1ccc(CN(Cc2ccccn2)C2=CNC=C(CN(C)Cc3ccccn3)C2)nc1C 7.754486 0.42857142857142855</t>
  </si>
  <si>
    <t>CN(C)Cc1cnc2c(N(C)C3CCCCC3N(Cc3ccccn3)c3ccccc3F)cccc2c1 7.754477 0.47540983606557374</t>
  </si>
  <si>
    <t>Cc1ccc(CN(Cc2ccccn2)C2=C(CN(C)Cc3cccc(C)n3)NC=CC2)nc1 7.7544737 0.4098360655737705</t>
  </si>
  <si>
    <t>CC(C)(c1ccccn1)c1cccc(CN(Cc2ccccn2)Cc2cccc(C3OC=NC3(C)C)n2)n1 7.7544737 0.38461538461538464</t>
  </si>
  <si>
    <t>Cc1cc(C)c(CN(Cc2ncccc2C)C2CCC(N(C)c3ccc4nccc(CF)c4c3)CC2)nc1C 7.7544723 0.22666666666666666</t>
  </si>
  <si>
    <t>CCN(Cc1cc(CN(Cc2ncc(C)c(C)c2C)Cc2ncc(C)c(C)c2C)ccn1)Cc1cc(C)c(C)c(C)n1 7.7544675 0.29411764705882354</t>
  </si>
  <si>
    <t>CC1=CC(c2cc(CN(Cc3nc(C)c(C)c(C)c3C)C3CCC(N(C)c4ccc5nccc(-c6ccccn6)c5c4)CC3)ccn2)CC2(CC=C(C)C(C)(C)C2)C1 7.7544665 0.1919191919191919</t>
  </si>
  <si>
    <t>Cc1cc(CN(C)c2cccnc2CN(CF)Cc2ccccn2)nc(C)c1C 7.7544656 0.4444444444444444</t>
  </si>
  <si>
    <t>Cc1cnc(CN(Cc2ccccn2)C2CCC(N(C)c3cccc4ccnc(CN(C)C)c34)CC2)c(C)c1C 7.754453 0.3333333333333333</t>
  </si>
  <si>
    <t>CN(C)c1cccc(CN(Cc2cccc(F)n2)Cc2cccnc2F)n1 7.7544494 0.39344262295081966</t>
  </si>
  <si>
    <t>Cc1nc(CN(Cc2ccccn2)C2CCCCC2N(C)c2ccc3c(CN(C)C)nccc3c2)c(C)c(C)c1C 7.7544384 0.4</t>
  </si>
  <si>
    <t>CC(C)N(Cc1cc(C2=CCC=CN2)ccn1)Cc1cc(C(C)(C)C)ccn1 7.7544355 0.3387096774193548</t>
  </si>
  <si>
    <t>CCN(Cc1ccccn1)Cc1cccc(N(C)Cc2nc(C)c(C)cc2C)n1 7.754428 0.40425531914893614</t>
  </si>
  <si>
    <t>CN(Cc1ccccn1)C1=CCC=C(CN(Cc2ccccn2)Cc2ncccc2F)N1 7.7544208 0.47368421052631576</t>
  </si>
  <si>
    <t>Cc1cc(C)c(CN(C)CC2=CCC(N(C)Cc3ccccn3)=CN2)nc1C 7.754417 0.3793103448275862</t>
  </si>
  <si>
    <t>CC(C)c1cccc(CN(Cc2ccccn2)Cc2ccc(N(C)C)cn2)n1 7.754414 0.4878048780487805</t>
  </si>
  <si>
    <t>CN(CCN(Cc1ccccn1)c1cccc2ncccc12)CC(C)(C)C 7.754411 0.48</t>
  </si>
  <si>
    <t>CNCc1nc(CN(C)Cc2nc(C)c(C)cc2C)c(C)cc1C 7.7544093 0.25</t>
  </si>
  <si>
    <t>Cc1ccnc(CN(C)CC2=CCC(N(C)Cc3nccc(C)c3C)=CN2)c1C 7.7544055 0.24193548387096775</t>
  </si>
  <si>
    <t>CN(Cc1ccccn1)c1cccnc1CN(Cc1ccccn1)Cc1cccnc1F 7.7544026 0.48936170212765956</t>
  </si>
  <si>
    <t>Cc1cc(CN(C)CCCN(C)Cc2ccc3ncccc3c2)nc(C)c1C 7.7544026 0.34545454545454546</t>
  </si>
  <si>
    <t>C=Cc1ccccn1 7.7543907 0.42424242424242425</t>
  </si>
  <si>
    <t>Cc1ccc(CN(C)CC2=CCC(N(C)Cc3nc(C)c(C)cc3C)=CN2)nc1 7.7543836 0.4074074074074074</t>
  </si>
  <si>
    <t>Cc1ccc(C)c(CN(C)C2=C(CN(C)Cc3nc(C)c(C)cc3C)NC=CC2)n1 7.754381 0.23728813559322035</t>
  </si>
  <si>
    <t>Cc1ccc(CN(C)c2cccnc2CN(Cc2ccccn2)Cc2ccccn2)nc1 7.7543764 0.48936170212765956</t>
  </si>
  <si>
    <t>Cc1cnc(CN(C)Cc2ccc(N(C)C(C)(C)c3cccnc3)nc2)c(C)c1 7.754367 0.2711864406779661</t>
  </si>
  <si>
    <t>CN(CCF)CCN(Cc1ccccn1)c1cccc2ncccc12 7.7543535 0.41509433962264153</t>
  </si>
  <si>
    <t>Cc1cc(C)c(C)c(CN(C)CC2=C(N(C)Cc3nc(C)cc(C)c3C)CC=CN2)c1 7.7543383 0.21875</t>
  </si>
  <si>
    <t>CN(CCN(Cc1ccccn1)c1cccc2ncc(CF)cc12)C(C)(C)C 7.7543316 0.3793103448275862</t>
  </si>
  <si>
    <t>Cc1cccnc1CN(Cc1c(C)cnc(C)c1C)C1CCCCC1N(C)c1ccc2nccc(CF)c2c1 7.754329 0.29333333333333333</t>
  </si>
  <si>
    <t>Cc1cnc(CN(C)C2=CNC(CN(Cc3ccccn3)Cc3cccc(C(C)(C)C)n3)=CC2)c(C)c1 7.7543273 0.38571428571428573</t>
  </si>
  <si>
    <t>Cc1cc(N2CCN(C)CCN(Cc3ccc(C(C)(C)c4ccccn4)cn3)CC2)cc2ncccc12 7.7543263 0.43333333333333335</t>
  </si>
  <si>
    <t>Cc1cc(C)c(CN(C)C2=C(CN(C)Cc3ccccn3)NC=CC2)c(C)n1 7.7543235 0.3770491803278688</t>
  </si>
  <si>
    <t>CN(C)Cc1nccc2c(N(C)C3CCC(N(Cc4ccccn4)Cc4ccon4)CC3)cccc12 7.7543216 0.3492063492063492</t>
  </si>
  <si>
    <t>Cc1ccc(C)c(N(C)CC2=CC(N(C)Cc3ccccn3)C=CN2)c1C 7.7543144 0.39285714285714285</t>
  </si>
  <si>
    <t>Cc1ccc(CN(C)CC2=CCC(N(C)Cc3nc(C)c(C)c(C)c3C)=CN2)nc1 7.7543006 0.41509433962264153</t>
  </si>
  <si>
    <t>CN(C)c1cccc(-c2ccc(CN(Cc3ccc(-c4ccc5c(c4)OCCOCCOCCOCCOCCO5)cn3)Cc3cccc(-c4cccc(N=Cc5ccccn5)c4)n3)nc2)c1 7.754295 0.3780487804878049</t>
  </si>
  <si>
    <t>Cc1cccnc1CN(Cc1ccccn1)Cc1cccc(N(C)C)n1 7.754278 0.5</t>
  </si>
  <si>
    <t>CCN(Cc1ccccn1)Cc1cccc(N(C)Cc2cc(C)c(C)c(C)n2)n1 7.7542734 0.41509433962264153</t>
  </si>
  <si>
    <t>CCN(Cc1ccccn1)Cc1ncccc1N(C)Cc1ncc(C)cc1C 7.754273 0.4339622641509434</t>
  </si>
  <si>
    <t>Cc1ccc(CN(Cc2ccccn2)Cc2cccnc2N(C)C)nc1 7.754272 0.5</t>
  </si>
  <si>
    <t>Cc1cc(C)c(CN(C)C2=C(CN(C)Cc3ccccn3)CC=CN2)nc1C 7.7542677 0.38333333333333336</t>
  </si>
  <si>
    <t>Cc1cccc(CN(CC2=C(N(C)Cc3cccc(C)n3)CC=CN2)Cc2ccccn2)n1 7.7542663 0.45614035087719296</t>
  </si>
  <si>
    <t>Cc1cnc(CN(C)Cc2cc(-c3cccc(N(C)C4CCC(N(Cc5nc(C)c(C)cc5C)Cc5nc(C)c(C)cc5C)CC4)c3)ccn2)c(C)c1 7.7542624 0.2602739726027397</t>
  </si>
  <si>
    <t>CN(C)c1cccnc1CN(Cc1ccccn1)Cc1cccnc1F 7.754262 0.5</t>
  </si>
  <si>
    <t>Cc1cc(C)c(C)c(CN(C)CC2=C(N(C)Cc3nccc(C)c3C)CC=CN2)n1 7.754255 0.21428571428571427</t>
  </si>
  <si>
    <t>Cc1ccccc1N(C)C 7.754245 0.3333333333333333</t>
  </si>
  <si>
    <t>Cc1ccc(CN(CC2=CCC=C(N(C)Cc3ccccn3)N2)Cc2ccccn2)nc1 7.7542434 0.4909090909090909</t>
  </si>
  <si>
    <t>CN(CCN)Cc1cc(-c2cccc(N)c2)ccn1 7.7542343 0.34782608695652173</t>
  </si>
  <si>
    <t>Cc1cncc(CN(Cc2ccccn2)Cc2ncccc2N(C)C)c1 7.7542315 0.4444444444444444</t>
  </si>
  <si>
    <t>CNc1cccc(-c2cccc(-c3cccc(CNC4CCC(N(C)Cc5ncccc5C)CC4)n3)n2)n1 7.7542276 0.34375</t>
  </si>
  <si>
    <t>Cc1ccnc(CN(Cc2nc(C)c(C)c(C)c2C)C2CCCCC2N(C)c2cccc3nc(CN(C)C)ccc23)c1 7.7542176 0.3380281690140845</t>
  </si>
  <si>
    <t>CCOC(=O)c1cccc(CN(Cc2ccccn2)C2CCC(N(C)c3cccc4nc(CN(C)C)ccc34)CC2)n1 7.7542043 0.32857142857142857</t>
  </si>
  <si>
    <t>COC(=O)c1ccc(CN(Cc2ccccn2)Cc2cc(C(C)(C)C)ccn2)cn1 7.754203 0.39215686274509803</t>
  </si>
  <si>
    <t>Cc1ccc(CN(C)CC2=CCC(N(C)Cc3ncc(C)cc3C)=CN2)nc1 7.7541976 0.4230769230769231</t>
  </si>
  <si>
    <t>Cc1ccnc(CN(C)C2=CNC(CN(C)C)=CC2)c1C 7.754196 0.2459016393442623</t>
  </si>
  <si>
    <t>CC1=CC(C)CC(C)C1N(C)CC1=CC(N(C)c2ccc3cccnc3c2)C=CN1 7.7541957 0.28169014084507044</t>
  </si>
  <si>
    <t>CC1CCC1N(Cc1ccccn1)Cc1cccc(-c2cccc(N=Cc3ccccn3)c2)n1 7.7541933 0.43283582089552236</t>
  </si>
  <si>
    <t>Cc1cnc(C)c(CN(C)Cc2nc(C)c(C)cc2C)c1 7.7541876 0.3111111111111111</t>
  </si>
  <si>
    <t>CNCc1nc(CN(Cc2ncc(C)cc2C)Cc2ncc(C)cc2C)c(C)cc1C 7.754183 0.2553191489361702</t>
  </si>
  <si>
    <t>CNC1NC=CC=C1N(Cc1ccccn1)Cc1ncccc1C 7.7541795 0.38333333333333336</t>
  </si>
  <si>
    <t>CN(C)Cc1ccc2cc(N(C)C3CCCCC3N(Cc3ccccn3)Cc3cccc(C4=CCC=CN4)n3)ccc2n1 7.754177 0.36619718309859156</t>
  </si>
  <si>
    <t>Cc1ccc(CN(C)C2=C(CN(Cc3ccccn3)Cc3nc(C)c(C)cc3C)NC=CC2)cn1 7.754177 0.36619718309859156</t>
  </si>
  <si>
    <t>Cc1cc(C)c(CN(C)Cc2cc(N(C)C(C)C)ccn2)nc1C 7.754176 0.3090909090909091</t>
  </si>
  <si>
    <t>Cc1cc(C)c2cccc(N(C)C3CCCCC3N(C)Cc3cc(C)c(C)c(C)n3)c2n1 7.754172 0.4642857142857143</t>
  </si>
  <si>
    <t>Cc1cnc(CN(C)CC2=C(N(C)Cc3ncc(C)c(C)c3C)CC=CN2)c(C)c1 7.7541537 0.25862068965517243</t>
  </si>
  <si>
    <t>Cc1ccc(CN(Cc2cccc(N(C)C)n2)Cc2cccnc2F)nc1 7.754145 0.42857142857142855</t>
  </si>
  <si>
    <t>Cc1cc(CN(Cc2ccccn2)C2CCC(N(C)c3cccc4nccc(C)c34)CC2)cnc1C 7.754141 0.3384615384615385</t>
  </si>
  <si>
    <t>Cc1cc(C2CC(C)(C)C2)nc(C2=NC(C(C)C)C(C(C)C)O2)c1C 7.754138 0.1896551724137931</t>
  </si>
  <si>
    <t>Cc1cc(CN(Cc2ccccn2)C2CCCC(N(C)c3cccc4c(C)ccnc34)C2)cnc1C 7.7541375 0.34328358208955223</t>
  </si>
  <si>
    <t>Cc1ccc(CN(Cc2ccccn2)C2=CNC(CN(C)Cc3cccc(C)n3)=CC2)nc1 7.7541375 0.423728813559322</t>
  </si>
  <si>
    <t>Cc1cnccc1CN(C)CC1=CCC=C(N(C)Cc2ccccn2)N1 7.7541327 0.3709677419354839</t>
  </si>
  <si>
    <t>CC(C)(C)c1cccc(CN(Cc2ccccn2)c2ccc(F)cc2)n1 7.75413 0.4489795918367347</t>
  </si>
  <si>
    <t>Cc1ccccc1N(C)CC1=CCC=CN1 7.75413 0.46808510638297873</t>
  </si>
  <si>
    <t>Cc1nc(CN(C)C2=C(CN(C(C)C)C(C)C)NC=CC2)c(C)c(C)c1C 7.754128 0.19642857142857142</t>
  </si>
  <si>
    <t>CN(C)c1cccnc1CN(Cc1ccc(F)nc1)Cc1ccccn1 7.7541265 0.45454545454545453</t>
  </si>
  <si>
    <t>CN(C)c1ccccc1-c1ccc(CN(Cc2ccccn2)C2(C)CCC2)nc1 7.7541227 0.3888888888888889</t>
  </si>
  <si>
    <t>Cc1ccc(C)c(CN(C)Cc2cccc(N(C)C3C=CC=CN3)n2)n1 7.7541075 0.37735849056603776</t>
  </si>
  <si>
    <t>Cc1cnc(CN(C)C2=C(CN(C)Cc3cc(C)c(C)c(C)n3)NC=CC2)cc1C 7.754106 0.27586206896551724</t>
  </si>
  <si>
    <t>CNC1=C(SCc2ccccn2)NCC=C1 7.7541027 0.3953488372093023</t>
  </si>
  <si>
    <t>Cc1ccc(C)c(CN(CC2=C(N(C)Cc3nc(C)ccc3C)CC=CN2)Cc2ccccn2)n1 7.754102 0.4262295081967213</t>
  </si>
  <si>
    <t>CC(C)C1=CC2(C=CN1)C=CC(N(C)Cc1ccccn1)C(c1ccc(CN(Cc3ccccn3)Cc3cc(-c4cccc(N(C)C)c4)ccn3)cn1)C2(C)C 7.7541018 0.2826086956521739</t>
  </si>
  <si>
    <t>Cc1cnc(CN(Cc2ccccn2)C(C)(N)N(Cc2nc(C)c(C)c(C)c2C)C(C)C)c(CN(C)c2ccccc2F)c1 7.7541003 0.3194444444444444</t>
  </si>
  <si>
    <t>Cc1cc(C)c(CN(C)C2CCC(N(Cc3ccc4ncccc4c3)Cc3ccc4ccccc4n3)CC2)cn1 7.7541003 0.34328358208955223</t>
  </si>
  <si>
    <t>CN(Cc1cccc(C2=CCC=CN2)n1)C1CCC(N(C)c2ccc3cc(CF)cnc3c2)CC1 7.754097 0.2727272727272727</t>
  </si>
  <si>
    <t>CN(CCN(Cc1ccccn1)c1cccc2nccc(CF)c12)C(C)(C)C 7.754083 0.3684210526315789</t>
  </si>
  <si>
    <t>Cc1cnc(C)c(C)c1CN(C)CC1=CCC(N(C)Cc2ccccn2)=CN1 7.7540827 0.36666666666666664</t>
  </si>
  <si>
    <t>CN(Cc1ccon1)C1CCCCC1N(C)Cc1ncccc1-c1ccc2ncccc2c1 7.754079 0.423728813559322</t>
  </si>
  <si>
    <t>COC(=O)c1cc(CN(Cc2ccccn2)Cc2cc(C(C)(C)C)ccn2)ccn1 7.7540784 0.4166666666666667</t>
  </si>
  <si>
    <t>Cc1ccc(CN(Cc2ccccn2)C2=CNC(CN(C)Cc3ncccc3C)=CC2)nc1 7.7540746 0.3620689655172414</t>
  </si>
  <si>
    <t>CN(c1cccc2ncccc12)C1CCC(N(Cc2ccccn2)c2ccccc2F)CC1 7.754071 0.38596491228070173</t>
  </si>
  <si>
    <t>CC(N)C(C)(C)N(C)CC1=CCC(N(C)c2cccc3ncccc23)=CN1 7.7540708 0.265625</t>
  </si>
  <si>
    <t>Cc1cncc(CN(Cc2ccccn2)Cc2ccc(N(C)C)cn2)c1 7.7540674 0.46511627906976744</t>
  </si>
  <si>
    <t>CC1=C(N(C)Cc2ccccn2)C(C(C)(C)CN(Cc2ccccn2)c2ccc3ncccc3c2)CCC1C 7.754062 0.3384615384615385</t>
  </si>
  <si>
    <t>CN(C)c1ccncc1CN(Cc1ccccn1)Cc1cccnc1F 7.7540574 0.4878048780487805</t>
  </si>
  <si>
    <t>CC(C)(c1ccccn1)c1cccnc1CN(Cc1ccccn1)Cc1cccnc1C1OC=NC1(C)C 7.7540574 0.3448275862068966</t>
  </si>
  <si>
    <t>CC1=CC(C)C2(C(C)C1)C(c1cccc(CN(Cc3ccccn3)Cc3ccccn3)n1)C(C)=C(C)C1(C=C(C(C)C)NC3=C1C(C)(C)C(C)C(c1cccc(CN(Cc4ccccn4)Cc4ccccn4)n1)=C3)C2c1cccc(CN(Cc2ccccn2)Cc2ncccc2C)n1 7.754055 0.26732673267326734</t>
  </si>
  <si>
    <t>Cc1cccnc1CN(C)CC1=CCC(N(C)Cc2nc(C)c(C)c(C)c2C)=CN1 7.754055 0.25396825396825395</t>
  </si>
  <si>
    <t>Cc1cc(CN(C)CC2=C(N(C)Cc3ccccn3)NC=CC2)nc(C)c1C 7.754054 0.38333333333333336</t>
  </si>
  <si>
    <t>CNCc1cccc(CN(Cc2nc(C)c(C)c(C)c2C)Cc2nc(C)c(C)c(C)c2C)n1 7.754042 0.3333333333333333</t>
  </si>
  <si>
    <t>CN(C)c1cccnc1CN(Cc1ccccn1)Cc1cccc(F)n1 7.7540407 0.4878048780487805</t>
  </si>
  <si>
    <t>CC1=CC(C)CC(N(C)Cc2cccc(-c3cccc(N=Cc4ccccn4)c3)n2)C1C 7.7540407 0.36486486486486486</t>
  </si>
  <si>
    <t>Cc1cc(CN(C)Cc2ncc(C)c(C)c2C)cnc1C 7.7540355 0.28888888888888886</t>
  </si>
  <si>
    <t>CN(C)c1ccc(CN(Cc2ccccn2)Cc2cccnc2F)nc1 7.75403 0.5</t>
  </si>
  <si>
    <t>c1ccc(-c2cnc3c(c2)CCCC3)nc1 7.7540298 0.29545454545454547</t>
  </si>
  <si>
    <t>Cc1cnc(CN(C)CC2=CCC(N(C)Cc3ncccc3C)=CN2)c(C)c1 7.7540298 0.25396825396825395</t>
  </si>
  <si>
    <t>Cc1cnc(CN(C)C2=CNC(CN(C)Cc3c(C)ccc(C)c3C)=CC2)c(C)c1 7.7540264 0.25</t>
  </si>
  <si>
    <t>Cc1cnc(CN(C)c2cncc(CN(C)C(C)C)c2)c(C)c1C 7.7540255 0.22641509433962265</t>
  </si>
  <si>
    <t>CCNCc1ncccc1C(C)(C)c1ncccc1C1=NC(C)(C)CO1 7.7540174 0.3392857142857143</t>
  </si>
  <si>
    <t>CNCc1ccc(C)c(CN(Cc2nc(C)c(C)cc2C)Cc2nc(C)c(C)cc2C)n1 7.754004 0.26666666666666666</t>
  </si>
  <si>
    <t>CN(C)Cc1cnc2cc(N(Cc3ccccn3)C3CCCCC3N(Cc3ccccn3)c3ccccc3F)ccc2c1 7.754003 0.4262295081967213</t>
  </si>
  <si>
    <t>CN(Cc1ccc(N)cn1)C1=CCNC=C1 7.7539997 0.3191489361702128</t>
  </si>
  <si>
    <t>Cc1ccc(CN(C)C2=CNC(CN(C)Cc3cc(C)cc(C)n3)=CC2)nc1 7.753997 0.4230769230769231</t>
  </si>
  <si>
    <t>C1=CNC(NCc2cccc(C(c3ccccc3)c3ccccn3)n2)C=C1 7.7539964 0.36666666666666664</t>
  </si>
  <si>
    <t>CN(C)c1cccc(-c2cccc(CN(Cc3ccccn3)C3(C)CCC3)n2)c1 7.7539916 0.4915254237288136</t>
  </si>
  <si>
    <t>Cc1nc(CN(C)CCN(Cc2nc(C)c(C)c(C)c2C)Cc2nc(C)c(C)c(C)c2C)c(C)c(C)c1C 7.753987 0.3333333333333333</t>
  </si>
  <si>
    <t>CN(Cc1cccc(C2=CCC=CN2)n1)C1CCC(N(C)c2ccc3ccc(CF)nc3c2)CC1 7.753983 0.3194444444444444</t>
  </si>
  <si>
    <t>Cc1cc(C)nc(CN(CC2=CCC(N(C)Cc3ccccn3)=CN2)Cc2ccccn2)c1 7.7539787 0.46551724137931033</t>
  </si>
  <si>
    <t>Cc1ccc(CN(Cc2ccccn2)Cc2ncccc2N(C)C)cn1 7.753976 0.47619047619047616</t>
  </si>
  <si>
    <t>Cc1ccc(C)c(CN(C)Cc2cc(C(C)(C)c3ccccn3)ccn2)c1C 7.753972 0.35714285714285715</t>
  </si>
  <si>
    <t>CNCc1ccc(-c2ncccc2CN(C)C2CCCCC2N(C)Cc2ccon2)c2ncccc12 7.753971 0.390625</t>
  </si>
  <si>
    <t>Cc1cnc(CN(C)C2=C(CN(C)Cc3ncc(C)c(C)c3C)NC=CC2)c(C)c1 7.753969 0.25862068965517243</t>
  </si>
  <si>
    <t>CNc1ncccc1CN(Cc1ccccn1)C1CCC(N(C)c2ccc3nccc(C)c3c2)CC1 7.753965 0.3283582089552239</t>
  </si>
  <si>
    <t>Cc1cnc(C)c(CN(C)Cc2ncccc2N(C)C2C=CC=CN2)c1 7.753958 0.30303030303030304</t>
  </si>
  <si>
    <t>Cc1ccc(CN(CC2=CCC(N(C)Cc3ccccn3)=CN2)Cc2ccccn2)nc1C 7.7539563 0.47368421052631576</t>
  </si>
  <si>
    <t>Cc1cc(CN(C)CC2=CCC=C(N(C)Cc3ccccn3)N2)ccn1 7.7539525 0.39285714285714285</t>
  </si>
  <si>
    <t>Cc1cnc(CN(C)C2=CNC(CN(C)Cc3ncccc3C)=CC2)c(C)c1 7.7539477 0.25396825396825395</t>
  </si>
  <si>
    <t>CN(C)Cc1nccc2cccc(N(Cc3ccccn3)C3CCC(N(C)Cc4ccon4)CC3)c12 7.7539454 0.38095238095238093</t>
  </si>
  <si>
    <t>Cc1cc(C)c(C)c(CN(Cc2ccccn2)C2CCC(N(C)c3ccc4c(CN(C)C)nccc4c3)CC2)n1 7.753944 0.3235294117647059</t>
  </si>
  <si>
    <t>COC(=O)c1ccc(CN(Cc2ccccn2)C2CCCCC2N(C)c2ccc3nccc(CF)c3c2)c(CN(Cc2ccccn2)Cc2ccccn2)n1 7.753943 0.3291139240506329</t>
  </si>
  <si>
    <t>CN(CCNc1ccc2ncccc2c1)Cc1ccccn1 7.753942 0.44</t>
  </si>
  <si>
    <t>CC1=C(c2ncccc2CN(Cc2ccccn2)Cc2ccccn2)C2=C(CC=C(C(C)C)N2)C(C)(C)C1C 7.7539406 0.3389830508474576</t>
  </si>
  <si>
    <t>CCOC(C)c1cccc(CN(Cc2ccccn2)Cc2cccc(C(C)(c3ccccn3)c3ccccn3)n2)n1 7.753939 0.4166666666666667</t>
  </si>
  <si>
    <t>Cc1cnc(CN(C)Cc2cc(C)c(C)c(C)n2)cc1C 7.7539306 0.4</t>
  </si>
  <si>
    <t>CN(C)c1ccccc1-c1ncccc1CN(Cc1ccccn1)C1(C)CCC1 7.75393 0.38181818181818183</t>
  </si>
  <si>
    <t>CNc1cccc(-c2cccc(-c3cccc(CN(C)C4CCC(N(C)Cc5cccc(F)n5)CC4)n3)n2)n1 7.7539296 0.37735849056603776</t>
  </si>
  <si>
    <t>Cc1cc(C)c(CN(C)C2=C(CN(C)Cc3cc(C)c(C)c(C)n3)NC=CC2)cn1 7.753918 0.2222222222222222</t>
  </si>
  <si>
    <t>CC(C)(c1ccc(NCc2ccccn2)cc1)c1ccccn1 7.753901 0.425</t>
  </si>
  <si>
    <t>CN(Cc1ccccn1)c1ccnc(C(C)(C)NCc2ccccn2)c1 7.7538924 0.48936170212765956</t>
  </si>
  <si>
    <t>FCc1ncccc1N(Cc1ccccn1)Cc1ccccn1 7.7538915 0.5</t>
  </si>
  <si>
    <t>CN(Cc1cccc(C2=CCC=CN2)n1)C1=CNC(C(C)(C)C)=CC1 7.753886 0.3125</t>
  </si>
  <si>
    <t>Cc1ccccc1N(Cc1ccccn1)Cc1ncccc1C(C)(C)C 7.7538853 0.40816326530612246</t>
  </si>
  <si>
    <t>CC(C)c1cc(CN(Cc2ccccn2)Cc2ncccc2N(C)C)ccn1 7.753881 0.43478260869565216</t>
  </si>
  <si>
    <t>Cc1cc(CN(C)Cc2cccc(N(C)C3C=CC=CN3)n2)cnc1C 7.7538795 0.3103448275862069</t>
  </si>
  <si>
    <t>Cc1nc(CN(C)C2=C(CN(Cc3ccccn3)Cc3ccc(F)cn3)NC=CC2)c(C)c(C)c1C 7.7538743 0.37681159420289856</t>
  </si>
  <si>
    <t>CNc1cnc(CN(Cc2ccccn2)C2CCC(N(C)c3ccc4nccc(CF)c4c3)CC2)c(C)c1 7.753872 0.3013698630136986</t>
  </si>
  <si>
    <t>CC1C=CC(C)C(C)(N(Cc2ccccn2)Cc2ccc(-c3cccc(N=Cc4ccccn4)c3)cn2)C1 7.753857 0.2916666666666667</t>
  </si>
  <si>
    <t>CC1=CNC=CC1c1ncccc1CN(C)Cc1cccc(N)n1 7.753853 0.3559322033898305</t>
  </si>
  <si>
    <t>CN(Cc1ncccc1C(C)(C)C)c1ccc(F)cc1 7.75385 0.2916666666666667</t>
  </si>
  <si>
    <t>CC1=CCC(N(C)CC2=CCC(N(C)Cc3ccccn3)=CN2)=CN1 7.753846 0.42592592592592593</t>
  </si>
  <si>
    <t>Cc1ccc(CN(C)C2=CNC(CN(C)Cc3nc(C)c(C)c(C)c3C)=CC2)nc1 7.753843 0.3888888888888889</t>
  </si>
  <si>
    <t>Cc1nc(CN(Cc2ccccn2)C2CCC(N(C)c3ccc4nc(CN(C)C)ccc4c3)CC2)c(C)c(C)c1C 7.753836 0.375</t>
  </si>
  <si>
    <t>Cc1cc(C)c(CN(Cc2cccnn2)C2CCC(N(C)c3ccc4nccc(C)c4c3)CC2)cn1 7.7538276 0.3125</t>
  </si>
  <si>
    <t>Cc1cccnc1CN(C)C1=CNC(CN(C)Cc2cc(C)c(C)c(C)n2)=CC1 7.7538266 0.27692307692307694</t>
  </si>
  <si>
    <t>C1=CNC(NCc2cc(C(c3ccccc3)c3ccccn3)ccn2)C=C1 7.7538233 0.36065573770491804</t>
  </si>
  <si>
    <t>Cc1nc(CN(C)Cc2cc(C(C)(C)C)ccn2)c(C)c(C)c1C 7.7538195 0.32075471698113206</t>
  </si>
  <si>
    <t>C=CCN(C)Cc1cc(C(C)(c2ccccn2)c2ccccn2)ccn1 7.7538037 0.36666666666666664</t>
  </si>
  <si>
    <t>Cc1cccc(N(Cc2ccccn2)C2CCC(N(C)c3cccc4cc(CF)cnc34)CC2)c1 7.7538013 0.3382352941176471</t>
  </si>
  <si>
    <t>CN(CCN(C)c1cccc2nccc(CF)c12)CC(C)(C)C 7.7537932 0.35294117647058826</t>
  </si>
  <si>
    <t>Cc1cccc(CN(Cc2cccc(CN(C)c3cccc(CN(C)Cc4ccccn4)n3)n2)Cc2cccc(C(C)(C)C)n2)n1 7.753792 0.45454545454545453</t>
  </si>
  <si>
    <t>CN(CCN(Cc1ncccc1-c1ccc2c(c1)OCCOCCOCCOCCOCCO2)c1ccc2ncccc2c1)c1ccc2ncccc2c1 7.7537856 0.2948717948717949</t>
  </si>
  <si>
    <t>CC(N)C(C)(C)CN(Cc1ccccn1)c1cccc2ncccc12 7.753785 0.40384615384615385</t>
  </si>
  <si>
    <t>CC(C)CN(CCN(C)c1ccc2ncccc2c1)Cc1ccccn1 7.7537804 0.5</t>
  </si>
  <si>
    <t>Cc1ccc(CN(Cc2ccccn2)Cc2cccnc2C(C)(C)c2ccccn2)nc1C 7.7537737 0.42592592592592593</t>
  </si>
  <si>
    <t>Cc1cc(C)c(CN(C)Cc2cccc(N(C)C3C=CC=CN3)n2)cn1 7.7537723 0.3333333333333333</t>
  </si>
  <si>
    <t>CCCN(Cc1ccccn1)c1c(N(C)Cc2ccccn2)ccc(C)c1CN(C)Cc1ccccn1 7.7537713 0.45098039215686275</t>
  </si>
  <si>
    <t>CN(C)c1ccc(CN(Cc2ccccn2)Cc2cnccc2F)nc1 7.753771 0.46511627906976744</t>
  </si>
  <si>
    <t>CN(C)Cc1cnc2cccc(N(C)C3CCCCC3N(Cc3ccccn3)c3ccccc3F)c2c1 7.753768 0.4262295081967213</t>
  </si>
  <si>
    <t>CN(CCN)CCN(C)c1ccc2nccc(CF)c2c1 7.753764 0.27450980392156865</t>
  </si>
  <si>
    <t>CN(c1ccc2c(CF)ccnc2c1)C1CCCCC1N(Cc1ccccn1)c1ccccc1F 7.7537556 0.4262295081967213</t>
  </si>
  <si>
    <t>Cc1ncccc1CN(C)CC1=CCC=C(N(C)Cc2ccccn2)N1 7.7537527 0.3898305084745763</t>
  </si>
  <si>
    <t>CC(C)C(C)(c1cccnc1)N(C)CCN(Cc1ccccn1)c1ccc2cccnc2c1 7.753751 0.3870967741935484</t>
  </si>
  <si>
    <t>COC(=O)C(=O)C(=O)C(C)NCc1cccc(C2=NC(C)(C)CO2)n1 7.7537503 0.4807692307692308</t>
  </si>
  <si>
    <t>CN(c1ccccc1F)C1CCC(N(C)c2cccc3nccc(CF)c23)CC1 7.75375 0.3114754098360656</t>
  </si>
  <si>
    <t>CN(Cc1ccc2ncccc2c1)c1ccc2nccc(CN(Cc3ccccn3)Cc3cc(-c4ccc5c(c4)OCCOCCOCCOCCOCCO5)ccn3)c2c1 7.7537374 0.3026315789473684</t>
  </si>
  <si>
    <t>Cc1ccc(CN(CC2=CC(N(C)Cc3ccccn3)C=CN2)c2cccc(C)c2C)nc1 7.7537317 0.35384615384615387</t>
  </si>
  <si>
    <t>Cc1cc(N(C)CC2=CC(N(C)Cc3ccccn3)C=CN2)cc(C)c1C 7.7537284 0.39285714285714285</t>
  </si>
  <si>
    <t>Cc1cc(CN(C)C2=CNC(CN(C)Cc3cc(C)c(C)c(C)n3)=CC2)ccn1 7.753725 0.24193548387096775</t>
  </si>
  <si>
    <t>CN(C)c1ccnc(CN(Cc2ccccn2)Cc2ccc(F)cn2)c1 7.7537193 0.5</t>
  </si>
  <si>
    <t>Cc1cc(C)c(C)c(N(C)CC2=CC(N(C)Cc3ccccn3)C=CN2)c1 7.753712 0.40350877192982454</t>
  </si>
  <si>
    <t>Cc1cc(C)c2cccc(N(C)C3CCCCC3N(C)Cc3nc(C)c(C)c(C)c3C)c2n1 7.7537103 0.41379310344827586</t>
  </si>
  <si>
    <t>CCN(Cc1cccc(C2=NC(C)(C)CO2)n1)Cc1nc(C)c(C)c(C)c1[SiH3] 7.75371 0.4716981132075472</t>
  </si>
  <si>
    <t>CCOC(=O)c1cccc(CN(Cc2ccccn2)C2CCC(N(C)c3cccc4nccc(CN(C)C)c34)CC2)n1 7.7537026 0.3013698630136986</t>
  </si>
  <si>
    <t>CC(C)c1ccccc1-c1cccc(CN(Cc2ccccn2)C2CCCCC2N(C)c2ccc3nc(CF)ccc3c2)n1 7.7537 0.3918918918918919</t>
  </si>
  <si>
    <t>Cc1cccnc1CN(C)C1=CNC(CN(C)Cc2nc(C)c(C)c(C)c2C)=CC1 7.753689 0.25396825396825395</t>
  </si>
  <si>
    <t>Fc1ccccc1N(Cc1ccccn1)Cc1cccnc1F 7.753679 0.4473684210526316</t>
  </si>
  <si>
    <t>Cc1cccc(CN(C)C2=C(CN(Cc3ccccn3)Cc3ncccc3C)NC=CC2)n1 7.7536745 0.4</t>
  </si>
  <si>
    <t>Cc1ccccc1N(C)Cc1cccnc1 7.753674 0.3333333333333333</t>
  </si>
  <si>
    <t>Cc1cc(C)c(CNCc2cc(C(C)(C)c3ccccn3)ccn2)cc1C 7.7536616 0.3541666666666667</t>
  </si>
  <si>
    <t>Cc1cccc(N(Cc2ccccn2)C2CCC(N(C)c3cccc4ncccc34)CC2)c1 7.7536464 0.36666666666666664</t>
  </si>
  <si>
    <t>Cc1cccc(CN(C)CC2=CCC(N(C)Cc3nc(C)c(C)c(C)c3C)=CN2)n1 7.7536454 0.4230769230769231</t>
  </si>
  <si>
    <t>CC1=CCC=C(N(C)Cc2ccccn2)N1 7.75364 0.4772727272727273</t>
  </si>
  <si>
    <t>Cc1ccc(CN(C)CC2=C(N(C)Cc3nc(C)c(C)cc3C)CC=CN2)nc1C 7.7536387 0.25862068965517243</t>
  </si>
  <si>
    <t>Cc1cnc(CN(C)CC2=CNC=C(N(C)Cc3ncc(C)c(C)c3C)C2)c(C)c1 7.753625 0.2631578947368421</t>
  </si>
  <si>
    <t>Cc1cnc(CN(C)CC2=CCC(N(C)Cc3cccc(C)n3)=CN2)c(C)c1 7.75362 0.375</t>
  </si>
  <si>
    <t>CC(C)C1=CC2(C=CN1)C=CC(C)C(c1cccc(CN(Cc3ccccn3)Cc3cccc(-c4cccc(N(C)C)c4)n3)n1)C2C 7.7536163 0.41025641025641024</t>
  </si>
  <si>
    <t>CN(Cc1cccnn1)C1=CNCC=C1N(C)C(C)(C)c1ccccn1 7.753614 0.4</t>
  </si>
  <si>
    <t>CN(c1ccc2ccc(CF)nc2c1)C1CCCC(N(Cc2ccccn2)c2ccccc2F)C1 7.753613 0.36231884057971014</t>
  </si>
  <si>
    <t>Cc1cccc(C(C)(C)C)c1N(Cc1ccccn1)Cc1ccccn1 7.7535944 0.45454545454545453</t>
  </si>
  <si>
    <t>Cc1cc(C)c(CN(C)C2=CNC(CN(Cc3ccccn3)Cc3cccnn3)=CC2)nc1C 7.7535934 0.46551724137931033</t>
  </si>
  <si>
    <t>CN(CCF)CCN(C)c1cccc2ncccc12 7.75359 0.5</t>
  </si>
  <si>
    <t>Cc1ccc(CN(C)CC2=CCC(N(C)Cc3cc(N)ccn3)=CN2)nc1 7.753584 0.4</t>
  </si>
  <si>
    <t>CN(CC1=CCC(N(C)Cc2ccccn2)=CN1)Cc1ccon1 7.753582 0.40384615384615385</t>
  </si>
  <si>
    <t>CN(CCNc1ccc2ncc(CF)cc2c1)Cc1ccccn1 7.7535806 0.39285714285714285</t>
  </si>
  <si>
    <t>Cc1cccc(CN(Cc2ccccn2)Cc2ncccc2C(C)(c2ccccn2)c2ccccn2)c1 7.753565 0.4166666666666667</t>
  </si>
  <si>
    <t>Cc1cccc(CN(C)CC2=C(N(Cc3ccccn3)Cc3ccc(C)c(C)n3)CC=CN2)n1 7.753561 0.4098360655737705</t>
  </si>
  <si>
    <t>Cc1cccc(CN(CC2=CCC=C(N(C)Cc3ccccn3)N2)Cc2ccccn2)n1 7.753556 0.4909090909090909</t>
  </si>
  <si>
    <t>Cc1cc(CN(Cc2ccccn2)C2=CNC=C(CN(C)Cc3ncccc3C)C2)cnc1C 7.7535534 0.3088235294117647</t>
  </si>
  <si>
    <t>Cc1cc(CN(Cc2ccccn2)C2CCC(N(C)c3ccc4c(CN(C)C)nccc4c3)CC2)nc(C)c1C 7.753551 0.3283582089552239</t>
  </si>
  <si>
    <t>CN(Cc1ccon1)C1CCC(N(Cc2ccccn2)Cc2cccc(-c3ccc4ncccc4c3)n2)CC1 7.7535458 0.3888888888888889</t>
  </si>
  <si>
    <t>CN(c1ccc2nccc(CF)c2c1)C1CCCCC1N(Cc1ccccn1)c1ccccc1F 7.7535415 0.41935483870967744</t>
  </si>
  <si>
    <t>CC1=C(CN(C)Cc2ccccn2)C(N(Cc2ccc3ncccc3c2)Cc2ccccn2)C(C)C=C1 7.753533 0.36507936507936506</t>
  </si>
  <si>
    <t>Cc1ccccc1C(C)(c1ccccn1)c1cccc(CN(Cc2ccccn2)Cc2ccccn2)n1 7.7535315 0.4878048780487805</t>
  </si>
  <si>
    <t>CC(N=Cc1ccccn1)C(C)(c1ccccn1)c1ccccn1 7.7535305 0.391304347826087</t>
  </si>
  <si>
    <t>Cc1cc(C)c(CN(C)C2CCCC(N(C)c3ccc4c(CN(C)C)ccnc4c3)C2)nc1C 7.7535295 0.23529411764705882</t>
  </si>
  <si>
    <t>Cc1ccnc(CN(C)C2=CCC=C(CN(C)Cc3ncccc3C)N2)c1 7.7535276 0.3114754098360656</t>
  </si>
  <si>
    <t>Cc1cnc(CN(C)CC2=C(N(C)Cc3ncc(C)c(C)c3C)CC=CN2)c(C)c1C 7.753523 0.25</t>
  </si>
  <si>
    <t>CNc1ccc(CN(Cc2ccccn2)Cc2ncc(N)c(C)c2C)nc1 7.753522 0.4444444444444444</t>
  </si>
  <si>
    <t>CNCc1ncccc1N(Cc1ccccn1)C(C)(C)c1ccccn1 7.7535214 0.39215686274509803</t>
  </si>
  <si>
    <t>Cc1cnc(CN(C)C2=CNC(CN(C)Cc3cccc(C)n3)=CC2)c(C)c1 7.75352 0.4</t>
  </si>
  <si>
    <t>Cc1cccnc1CN(CC1=CNC=C(N(C)Cc2ncccc2C)C1)Cc1ccccn1 7.753519 0.4166666666666667</t>
  </si>
  <si>
    <t>CCOC(=O)c1cccc(CN(Cc2ccccn2)C2CCCC(N(C)c3cccc4nc(CN(C)C)ccc34)C2)n1 7.7535176 0.3150684931506849</t>
  </si>
  <si>
    <t>Cc1ccc(CN(C)C2=CNC(CN(Cc3ccccn3)Cc3cc(C)c(C)c(C)n3)=CC2)nc1 7.7535152 0.4090909090909091</t>
  </si>
  <si>
    <t>CN(C)c1ccnc(CN(Cc2ccc(F)nc2)Cc2ccccn2)c1 7.753505 0.46511627906976744</t>
  </si>
  <si>
    <t>Cc1cc(C)nc(CN(C)C2=C(CN(C)C)NC=CC2)c1 7.7535033 0.3269230769230769</t>
  </si>
  <si>
    <t>Cc1cccc(CN(C)CC2=CCC(N(C)Cc3cc(C)c(C)c(C)n3)=CN2)n1 7.753497 0.41509433962264153</t>
  </si>
  <si>
    <t>Cc1ccc(CN(Cc2ccccn2)Cc2ncccc2N(C)C)nc1 7.753483 0.5</t>
  </si>
  <si>
    <t>CNCc1cccc(C2=CCC=CN2)n1 7.753477 0.33962264150943394</t>
  </si>
  <si>
    <t>Cc1ccc(CN(C)C2=C(CN(C)Cc3nc(C)c(C)cc3C)NC=CC2)nc1C 7.753471 0.23728813559322035</t>
  </si>
  <si>
    <t>CC1(C)COC(c2cccc(CN(Cc3cc(C(C)(C)C)ccn3)Cc3ncccc3C(C)(C)C)n2)=N1 7.7534685 0.4166666666666667</t>
  </si>
  <si>
    <t>COC(=O)c1cccc(CN(Cc2ccccn2)C2CCCCC2N(C)c2ccc3nc(CN(C)C)ccc3c2)n1 7.753468 0.3880597014925373</t>
  </si>
  <si>
    <t>CN(C)c1ccnc(CN(Cc2ccccn2)Cc2cccnc2F)c1 7.753468 0.5</t>
  </si>
  <si>
    <t>CN(c1ccc2c(CF)ccnc2c1)C1CCCCC1N(Cc1ccccn1)c1cccc(CF)n1 7.753463 0.4126984126984127</t>
  </si>
  <si>
    <t>CCN(Cc1ccccn1)c1ccccc1-c1cncc(CN(Cc2ccccc2)Cc2ccccn2)c1 7.753462 0.4166666666666667</t>
  </si>
  <si>
    <t>Cc1cncc(CN(Cc2ccccn2)Cc2cc(N(C)C)ccn2)c1 7.7534595 0.46511627906976744</t>
  </si>
  <si>
    <t>CCN(CC1=CCC=C(N(C)Cc2cc(C)c(C)c(C)n2)N1)Cc1cc(C)c(C)c(C)n1 7.7534575 0.25396825396825395</t>
  </si>
  <si>
    <t>CN(C)c1ccnc(CN(Cc2ccccn2)Cc2cccnc2C(C)(C)C)c1 7.753456 0.46511627906976744</t>
  </si>
  <si>
    <t>CN(Cc1ccc(C2=NC(C)(C)CO2)cn1)Cc1cccc(C(C)(C)C)n1 7.753448 0.3888888888888889</t>
  </si>
  <si>
    <t>COCc1ccccc1-c1cc(CN(Cc2ccccn2)Cc2ccccn2)ccn1 7.753446 0.46511627906976744</t>
  </si>
  <si>
    <t>Cc1cnc(CN(C)C2=CNC(CN(Cc3ccccn3)Cc3ccccn3)=CC2)c(C)c1 7.7534404 0.45</t>
  </si>
  <si>
    <t>Cc1cc(CN(CC2=C(N(C)Cc3ccccn3)CC=CN2)Cc2ccccn2)nc(C)c1C 7.7534404 0.4262295081967213</t>
  </si>
  <si>
    <t>CCN(Cc1ccccn1)c1cncc(CN(Cc2ccccn2)Cc2nc(C)c(C)c(C)c2C)c1 7.753436 0.39215686274509803</t>
  </si>
  <si>
    <t>Cc1cccc(CN(C)C2=CCC=C(CN(C)Cc3ccccn3)N2)n1 7.7534356 0.4716981132075472</t>
  </si>
  <si>
    <t>Cc1cccc(N(Cc2ccccn2)C2CCCC(N(C)c3ccc4nc(CF)ccc4c3)C2)c1 7.7534285 0.3484848484848485</t>
  </si>
  <si>
    <t>Cc1cccc(CN(C)CC2=CCC(N(C)Cc3ncccc3N)=CN2)n1 7.753424 0.4</t>
  </si>
  <si>
    <t>CN(c1ccc2nc(CF)ccc2c1)C1CCCCC1N(Cc1ccccn1)c1cccnc1F 7.7534194 0.453125</t>
  </si>
  <si>
    <t>Cc1cc(C)c(C)c(NCc2ccccn2)c1 7.7534127 0.4473684210526316</t>
  </si>
  <si>
    <t>CNC1=CNCC=C1SCc1ccccn1 7.753406 0.38636363636363635</t>
  </si>
  <si>
    <t>Cc1ccc(-c2cccc(NCc3cccc(C(C)(C)N(C)c4ccc5ncccc5c4)n3)c2)nc1-c1ccc2c(c1)OCCOCCOCCOCCOCCO2 7.753405 0.25</t>
  </si>
  <si>
    <t>C=CCN(C)Cc1cccc(CN(Cc2cccc(-c3ccc(Cl)c(Cl)c3)n2)Cc2cccc(C3CC(Cl)C3Cl)n2)n1 7.753404 0.32432432432432434</t>
  </si>
  <si>
    <t>CN(CCNc1cccc2ccc(CF)nc12)Cc1ccccn1 7.753395 0.4339622641509434</t>
  </si>
  <si>
    <t>Cc1ccnc(CN(Cc2nccc(C)c2C)C2CCCCC2N(C)c2ccc3c(CN(C)C)nccc3c2)c1C 7.7533917 0.3225806451612903</t>
  </si>
  <si>
    <t>CN(Cc1ccccn1)c1ccnc(CN(Cc2ccccn2)Cc2cccc(C(C)(C)C)n2)c1 7.75339 0.46938775510204084</t>
  </si>
  <si>
    <t>CCOC(=O)c1ncccc1CN(Cc1ccccn1)C1CCC(N(C)c2ccc3nccc(CN(C)C)c3c2)CC1 7.7533827 0.29333333333333333</t>
  </si>
  <si>
    <t>Cc1cccc(CN(Cc2cccc(CN(Cc3nc(C)c(C)c(C)c3C)C(C)C)n2)Cc2nc(C)c(C)c(C)c2C)n1 7.753381 0.4222222222222222</t>
  </si>
  <si>
    <t>Cc1cc(C)c(CN(Cc2ccccn2)Cc2ncc(C)c(C)c2C)nc1C 7.75338 0.4878048780487805</t>
  </si>
  <si>
    <t>Cc1cc(C)c(CN(CC2=C(N(C)Cc3ccccn3)CC=CN2)Cc2ccccn2)nc1C 7.7533774 0.41935483870967744</t>
  </si>
  <si>
    <t>CCN(Cc1nc(C)c(C)c(C)c1C)Cc1nc(C)c(C)c(C)c1C 7.7533765 0.2</t>
  </si>
  <si>
    <t>Cc1nc(CN(C)Cc2ccc(C(C)(C)C)cn2)c(C)c(C)c1C 7.753372 0.4</t>
  </si>
  <si>
    <t>CC1CCC1N(C)Cc1cccc(-c2cccc(N=Cc3ccccn3)c2)n1 7.7533693 0.39705882352941174</t>
  </si>
  <si>
    <t>CN(CCF)CCN(C)c1ccc2c(CF)ccnc2c1 7.753368 0.2653061224489796</t>
  </si>
  <si>
    <t>Cc1ccc(C)c(CN(C)CC2=CCC(N(C)Cc3nc(C)cc(C)c3C)=CN2)n1 7.753367 0.2413793103448276</t>
  </si>
  <si>
    <t>Cc1cc(C)c(CN(C)C2=C(CN(C)C3=C(C(C)N)NC=CC3)NC=CC2)nc1C 7.7533636 0.17142857142857143</t>
  </si>
  <si>
    <t>CCNC1=CCc2ncccc2C1c1ncccc1CN(Cc1ccccn1)C1CCC(N(C)c2ccc3c(CF)ccnc3c2)CC1 7.753361 0.2682926829268293</t>
  </si>
  <si>
    <t>CNCC1=CCC=C(N(C)Cc2ncc(C)c(C)c2C)N1 7.7533555 0.23728813559322035</t>
  </si>
  <si>
    <t>CN(C)c1ccnc(CN(Cc2ccccn2)Cc2cccc(F)n2)c1 7.753354 0.5</t>
  </si>
  <si>
    <t>Cc1ccc(CN(C)CC2=CCC=C(N(C)Cc3ncccc3C)N2)cn1 7.7533464 0.25757575757575757</t>
  </si>
  <si>
    <t>CC1=CC(C)C(C)(C)C(C)C1N(C)Cc1ccc(-c2cc(C)c(Cl)cc2N(C)Cc2ccc(C)cn2)cn1 7.753346 0.3484848484848485</t>
  </si>
  <si>
    <t>Cc1ccc(CN(C)C2=C(CN(C)Cc3cc(C)c(C)c(C)n3)NC=CC2)nc1C 7.753342 0.25862068965517243</t>
  </si>
  <si>
    <t>Cc1cnc(CN(C)CC2=CCC=C(N(C)Cc3ccccn3)N2)cc1C 7.753342 0.4</t>
  </si>
  <si>
    <t>Cc1cc(C)c(C)c(CN(C)CCN(C)Cc2ccc3cccnc3c2)c1 7.7533355 0.44</t>
  </si>
  <si>
    <t>Cc1ccc(C)c(CN(C)C2=C(CN(C)Cc3nc(C)c(C)c(C)c3C)NC=CC2)n1 7.7533345 0.23333333333333334</t>
  </si>
  <si>
    <t>C=Nc1ccc(-c2cccc(CN(Cc3ccccn3)Cc3cccc(CNCC)n3)n2)cc1 7.753331 0.48333333333333334</t>
  </si>
  <si>
    <t>Cc1cnc(CN(C)Cc2cccc(N(C)C3C=CC=CN3)n2)c(C)c1C 7.7533298 0.328125</t>
  </si>
  <si>
    <t>CN(CCF)CCN(Cc1ccccn1)c1ccc2nccc(CF)c2c1 7.753327 0.36363636363636365</t>
  </si>
  <si>
    <t>Cc1cccnc1CN(C)C1=CCC=C(CN(Cc2ccccn2)Cc2ccccn2)N1 7.753313 0.4909090909090909</t>
  </si>
  <si>
    <t>Cc1ccc(-c2ccc(N=Cc3ccccn3)c(-c3ccccc3)c2)c(NCc2ccccn2)c1-c1ccc2c(c1)OCCOCCOCCOCCOCCO2 7.7533045 0.3717948717948718</t>
  </si>
  <si>
    <t>Cc1cc(C)c(C)c(CN(C)C2=C(CN(C)Cc3ncc(C)c(C)c3C)NC=CC2)n1 7.7533035 0.21739130434782608</t>
  </si>
  <si>
    <t>CN(C)c1ncccc1CN(Cc1cccc(F)n1)Cc1cccc(F)n1 7.7533 0.41379310344827586</t>
  </si>
  <si>
    <t>CN(C)Cc1ncccc1N(C)C1CCCC(N(C)c2ccc3ccc(CF)nc3c2)C1 7.753296 0.390625</t>
  </si>
  <si>
    <t>CN(Cc1cc(N)ccn1)C1=CCNC=C1 7.753295 0.3137254901960784</t>
  </si>
  <si>
    <t>CN(Cc1ccccn1)c1ccc(CN(Cc2ccccn2)Cc2ncccc2F)nc1 7.753294 0.47619047619047616</t>
  </si>
  <si>
    <t>Cc1cccnc1CN(CC1=CNC(N(C)Cc2ccccn2)=CC1)Cc1ncccc1C 7.7532916 0.3877551020408163</t>
  </si>
  <si>
    <t>Cc1cccc(CN(C)CC2=CCC=C(N(C)Cc3ccccn3)N2)n1 7.7532864 0.4716981132075472</t>
  </si>
  <si>
    <t>Cc1ccc(NCc2ccccn2)cc1CN(C)Cc1cc(C)c(C)c(C)n1 7.7532763 0.39285714285714285</t>
  </si>
  <si>
    <t>COC(=O)C(=O)C(C)C1(C)COC(c2cccnc2CN(Cc2ccccn2)Cc2ccccn2)=N1 7.75327 0.3448275862068966</t>
  </si>
  <si>
    <t>Cc1cccc(CN(C)CC2=CCC(N(Cc3ccccn3)Cc3ccc(C)c(C)n3)=CN2)n1 7.7532625 0.423728813559322</t>
  </si>
  <si>
    <t>Cc1ccc(N(C)CC2=CCC(N(C)C(C)C)=CN2)c(C)c1C 7.7532587 0.2</t>
  </si>
  <si>
    <t>CC1=NCC(c2cc(CN(C)Cc3ccc(N)cn3)ccn2)O1 7.753258 0.32727272727272727</t>
  </si>
  <si>
    <t>CN(c1ccc2nccc(CF)c2c1)C1CCCCC1N(Cc1ccccn1)c1cccc(CF)n1 7.7532578 0.40625</t>
  </si>
  <si>
    <t>COC(=O)C1CN(C)C(c2cccc(CN(Cc3ccccn3)Cc3cc(C(C)(C)c4ccccn4)ccn3)n2)C(c2ccccn2)C1c1ccccn1 7.753254 0.35</t>
  </si>
  <si>
    <t>CN(Cc1ccc(N(C)C)cn1)Cc1cccnc1F 7.7532487 0.4222222222222222</t>
  </si>
  <si>
    <t>Cc1cccnc1CN(C)CC1=CCC(N(C)Cc2ncccc2N)=CN1 7.7532477 0.26229508196721313</t>
  </si>
  <si>
    <t>CN(Cc1cccc(F)n1)Cc1ncccc1N(C)C 7.7532387 0.45652173913043476</t>
  </si>
  <si>
    <t>Cc1cccnc1CN(C)CC1=CCC=C(N(C)Cc2ccccn2)N1 7.753232 0.3898305084745763</t>
  </si>
  <si>
    <t>Cc1cnc(CN(C)c2ccc(C)c(C)c2-c2cc(CN(C)C3CCC(N(C)Cc4ccon4)CC3)ccn2)c(C)c1 7.7532244 0.2835820895522388</t>
  </si>
  <si>
    <t>Cc1cccnc1CN(C)C1=CCC=C(CN(C)Cc2ccccn2)N1 7.7532244 0.39285714285714285</t>
  </si>
  <si>
    <t>CC1=C(C)C(C)C(N(C)Cc2cc(-c3cccc(N=Cc4ccccn4)c3)ccn2)CC1 7.7532086 0.36923076923076925</t>
  </si>
  <si>
    <t>C=Nc1ccccc1-c1ccnc(CN(Cc2ccnc(CNCC)c2)Cc2ccccn2)c1 7.7532067 0.38461538461538464</t>
  </si>
  <si>
    <t>COC(=O)c1cccc(CN(Cc2cc(C(C)(C)C)ccn2)Cc2cc(C(C)(C)C)ccn2)n1 7.753204 0.3770491803278688</t>
  </si>
  <si>
    <t>Cc1nc(CN(C)C2=CCC=C(CN(C)CC(C)(C)C)N2)c(C)c(C)c1C 7.753194 0.2</t>
  </si>
  <si>
    <t>Cc1cnc(C)c(CN(C)Cc2ccc(N(C)C3C=CC=CN3)cn2)c1 7.7531934 0.37037037037037035</t>
  </si>
  <si>
    <t>Cc1cc(C)c(CN(C)C2=C(CN(C)Cc3nc(C)c(C)c(C)c3C)NC=CC2)cn1 7.7531934 0.18461538461538463</t>
  </si>
  <si>
    <t>Cc1cncc(CN(C)Cc2ncccc2N(C)C)c1 7.7531886 0.3</t>
  </si>
  <si>
    <t>CC1(c2ccccn2)C=CC=C(NCc2ccccn2)N1 7.7531815 0.37777777777777777</t>
  </si>
  <si>
    <t>Cc1cccnc1N(Cc1ccccn1)CN(C)Cc1ncc(C)c(C)c1C 7.753178 0.37254901960784315</t>
  </si>
  <si>
    <t>C1=CNC(SCc2ccccn2)C(SCc2ccccn2)=C1 7.7531767 0.40476190476190477</t>
  </si>
  <si>
    <t>Cc1ccc(C(C)(C)c2cc(CN(Cc3ccccn3)Cc3ccccn3)ccn2)c(C)c1C 7.75317 0.4444444444444444</t>
  </si>
  <si>
    <t>Cc1cnc2cccc(N(C)C3CCCCC3N(Cc3ccccn3)c3ccccc3F)c2c1 7.753162 0.4406779661016949</t>
  </si>
  <si>
    <t>Cc1cncc(CN(C)CC2=CCC=C(N(C)Cc3ncccc3C)N2)c1 7.753151 0.24285714285714285</t>
  </si>
  <si>
    <t>CN1CCN(C)CCN(c2ccc3cc(C4=CCC=CN4)cnc3c2)CC1 7.7531343 0.24074074074074073</t>
  </si>
  <si>
    <t>Cc1ccc(CN(Cc2ccccn2)Cc2cccc(CNCc3cc(C(C)(c4ccccn4)c4ccccn4)ccn3)n2)nc1 7.753134 0.3770491803278688</t>
  </si>
  <si>
    <t>Cc1ccc(CN(C)CC2=CCC=C(N(C)Cc3cccc(C)n3)N2)nc1 7.753126 0.4230769230769231</t>
  </si>
  <si>
    <t>CC(C)c1cccc(-c2ccc(CN(Cc3ccccn3)C3CCCCC3N(C)c3ccc4nc(CF)ccc4c3)cn2)c1 7.75312 0.3625</t>
  </si>
  <si>
    <t>COC(=O)c1cccc(CN(Cc2ccccn2)C2CCCCC2N(C)c2ccc3ccc(CN(C)C)nc3c2)n1 7.753118 0.3939393939393939</t>
  </si>
  <si>
    <t>CC1(C)CN=C(c2cccnc2C2OC=NC2(C)C)O1 7.7531176 0.21666666666666667</t>
  </si>
  <si>
    <t>Cc1cc(C)c(CN(Cc2ccccn2)C2CCC(N(C)c3ccc4nccc(CN(C)C)c4c3)CC2)nc1C 7.753115 0.3188405797101449</t>
  </si>
  <si>
    <t>CCN(Cc1ccccn1)Cc1ncccc1N(C)Cc1nc(C)c(C)cc1C 7.753108 0.4339622641509434</t>
  </si>
  <si>
    <t>CN(C)Cc1ccc2cccc(N(C)CCN(C)CC(C)(C)C)c2n1 7.753106 0.45652173913043476</t>
  </si>
  <si>
    <t>Cc1ccc2nccc(CN(C)C3CCC(N(C)Cc4ccc5cccnc5c4)CC3)c2c1 7.7531047 0.2857142857142857</t>
  </si>
  <si>
    <t>CC(C)c1cc(CN(Cc2ccccn2)Cc2ccc(N(C)C)cn2)ccn1 7.753102 0.4444444444444444</t>
  </si>
  <si>
    <t>CN(CCN(C)c1ccc2nccc(CF)c2c1)CC(C)(C)C 7.7531 0.2692307692307692</t>
  </si>
  <si>
    <t>Cc1cncc(CN(C)C2=C(CN(Cc3ccccn3)Cc3nc(C)c(C)c(C)c3C)NC=CC2)c1 7.753098 0.3611111111111111</t>
  </si>
  <si>
    <t>CNCC1=CCC=C(N(C)Cc2ncc(C)cc2C)N1 7.7530966 0.2542372881355932</t>
  </si>
  <si>
    <t>CCCN(CC1=CCC(N(C)Cc2ccccn2)=CN1)c1cc(C)cc(N)c1 7.7530875 0.34375</t>
  </si>
  <si>
    <t>Cc1ccc(CN(C)C2CCC(N(C)Cc3cc(-c4ccc5ncccc5c4)ccn3)CC2)nc1C 7.7530828 0.3333333333333333</t>
  </si>
  <si>
    <t>Cc1ccc(CN(C)C2=CCC=C(CN(C)Cc3ncccc3C)N2)nc1 7.753079 0.3888888888888889</t>
  </si>
  <si>
    <t>Cc1cc(C)c(C)c(CN(Cc2ncc(C)c(C)c2C)C2CCCCC2N(C)c2ccc3cc(CN(C)C)cnc3c2)n1 7.753071 0.2857142857142857</t>
  </si>
  <si>
    <t>C1=CNC(c2ccccc2NCc2ccccn2)C=C1 7.753064 0.45098039215686275</t>
  </si>
  <si>
    <t>CN(CCN)CCN(C)c1ccc2cccnc2c1 7.7530637 0.391304347826087</t>
  </si>
  <si>
    <t>Cc1nc(C)c(CN(C)Cc2ccc([Si](C(C)C)(C(C)C)C(C)C)nc2)c(C)c1C 7.7530613 0.28846153846153844</t>
  </si>
  <si>
    <t>Cc1ccnc(CN(C)CC2=CCC=C(N(C)Cc3cccc(C)n3)N2)c1 7.7530584 0.41509433962264153</t>
  </si>
  <si>
    <t>CCNC1=CC(c2ccc(CN(Cc3ccccn3)Cc3ccccn3)cn2)C(C)c2ncccc21 7.753051 0.37037037037037035</t>
  </si>
  <si>
    <t>Cc1cc(C)c(CN(Cc2ccccn2)Cc2cc(C)c(C)c(C)n2)nc1C 7.753042 0.4878048780487805</t>
  </si>
  <si>
    <t>Cc1ccnc(CN(Cc2ccnc(CN(C)Cc3nc(C)ccc3C)c2)C2CCC(N(C)Cc3cc(-c4ccc5ncccc5c4)ccn3)CC2)c1 7.7530417 0.2597402597402597</t>
  </si>
  <si>
    <t>CCN(CCNCc1ccccn1)c1cccc2ncccc12 7.7530255 0.4772727272727273</t>
  </si>
  <si>
    <t>CC1(C)COC(c2ncccc2CN(Cc2ccccn2)Cc2ncccc2C(C)(C)C)=N1 7.7530246 0.37735849056603776</t>
  </si>
  <si>
    <t>CC1=CC(N(C)CC2=CC(N(C)c3ccc4nccc(C)c4c3)C=CN2)C(C)CC1C 7.753021 0.2777777777777778</t>
  </si>
  <si>
    <t>CN(CCN(C)C(C)(C)C)c1ccc2cccnc2c1 7.7530203 0.4</t>
  </si>
  <si>
    <t>CC(N)(c1cccc(NCc2ccccn2)c1)c1ccccn1 7.7530155 0.37777777777777777</t>
  </si>
  <si>
    <t>Cc1ccc(CN(C)CC2=C(N(C)Cc3nc(C)c(C)c(C)c3C)CC=CN2)nc1C 7.75301 0.2542372881355932</t>
  </si>
  <si>
    <t>Cc1cc(C)c(CN(C)Cc2nc(C)c(C)cc2C)cn1 7.753009 0.26</t>
  </si>
  <si>
    <t>CC(c1ccnc(C2CCC2(C)C)c1)C1(C)COC(c2cccc(C3=NC(C)(C)CO3)n2)=N1 7.7530046 0.49056603773584906</t>
  </si>
  <si>
    <t>Cc1cccnc1CN(C)c1ccc(-c2cccc(CN(Cc3ccccn3)Cc3cccc(-c4ccc5c(c4)OCCOCCOCCOCCOCCO5)n3)n2)c2ncccc12 7.7530046 0.3924050632911392</t>
  </si>
  <si>
    <t>Cc1cccc(CN(C)C2=CCC=C(CN(C)Cc3ccncc3C)N2)n1 7.7529874 0.38181818181818183</t>
  </si>
  <si>
    <t>CN(CCN(C)C(C)(C)C)c1ccc2ncccc2c1 7.7529855 0.4090909090909091</t>
  </si>
  <si>
    <t>CN(C)c1cncc(CN(Cc2cccc(F)n2)Cc2cccc(F)n2)c1 7.752976 0.38181818181818183</t>
  </si>
  <si>
    <t>Cc1nc(CN(Cc2ccccn2)C2CCCC(N(C)c3ccc4cc(CN(C)C)cnc4c3)C2)c(C)c(C)c1C 7.752975 0.32857142857142857</t>
  </si>
  <si>
    <t>COC(C)c1cccc(CNCc2cccc(C(C)(c3ccccn3)c3ccccn3)n2)n1 7.752967 0.42105263157894735</t>
  </si>
  <si>
    <t>Cc1cncc(CN(C)c2cccnc2CN(C)Cc2ccccn2)c1 7.7529664 0.45098039215686275</t>
  </si>
  <si>
    <t>Cc1ccc(CN(C)CC2=CCC=C(N(C)Cc3nc(C)ccc3C)N2)nc1 7.752964 0.41509433962264153</t>
  </si>
  <si>
    <t>Cc1ccc(CN(C)CC2=CCC=C(N(C)Cc3ncccc3C)N2)nc1 7.752951 0.41509433962264153</t>
  </si>
  <si>
    <t>Cc1ccc(C)c(CN(C)C2=CCC=C(CN(C)Cc3ccccn3)N2)n1 7.7529416 0.39655172413793105</t>
  </si>
  <si>
    <t>CCOC(=O)c1cc(CN(Cc2ccccn2)C2CCC(N(C)c3cccc4nccc(CN(C)C)c34)CC2)ccn1 7.7529416 0.30120481927710846</t>
  </si>
  <si>
    <t>CCN(Cc1ccccn1)c1ccc(C)c(C)c1N(C)C(C)C 7.752941 0.46808510638297873</t>
  </si>
  <si>
    <t>Cc1ncccc1CN(C)Cc1ncccc1N(C)C 7.7529407 0.4090909090909091</t>
  </si>
  <si>
    <t>CN(Cc1ncccc1F)Cc1ncccc1N(C)C 7.752934 0.3488372093023256</t>
  </si>
  <si>
    <t>Cc1cnc(CN(C)C2=C(CN(C)C)NC=CC2)c(C)c1C 7.752933 0.23333333333333334</t>
  </si>
  <si>
    <t>Cc1cccnc1CN(Cc1cccc(C(C)(C)C)n1)C1CCC(N(C)Cc2cc(-c3ccc4ncccc4c3)ccn2)CC1 7.75293 0.2876712328767123</t>
  </si>
  <si>
    <t>Cc1cc(CN(CC2=CNC=C(N(C)Cc3ccccn3)C2)Cc2ccccn2)nc(C)c1C 7.7529297 0.39215686274509803</t>
  </si>
  <si>
    <t>Cc1cccc(N(Cc2ccccn2)C2CCCC(N(C)c3ccc4ccc(CF)nc4c3)C2)c1 7.752919 0.35384615384615387</t>
  </si>
  <si>
    <t>Cc1cccc(CN(Cc2ccccn2)Cc2ncccc2N(C)C)n1 7.7529187 0.5</t>
  </si>
  <si>
    <t>Cc1cc(CN(C)C2CCCCC2N(C)Cc2cc(-c3ccc4ncccc4c3)ccn2)nc(C)c1C 7.752913 0.45614035087719296</t>
  </si>
  <si>
    <t>Cc1cccc(N(Cc2ccccn2)C2CCCC(N(C)c3ccc4cc(CF)cnc4c3)C2)c1 7.7529073 0.3382352941176471</t>
  </si>
  <si>
    <t>Cc1ccc(CN(Cc2ccccn2)C2=CNC(CN(C)Cc3ncccc3C)=CC2)nc1C 7.752898 0.3709677419354839</t>
  </si>
  <si>
    <t>CN(C)c1cccnc1CN(Cc1cccc(F)n1)Cc1cccc(F)n1 7.752888 0.41379310344827586</t>
  </si>
  <si>
    <t>Cc1cnc(CN(Cc2ccc(N(Cc3ccccn3)C(C)(C)c3ccccn3)cc2)Cc2ccccn2)cc1C 7.7528844 0.4166666666666667</t>
  </si>
  <si>
    <t>CCN(Cc1ccccn1)c1ccc(CN(Cc2ccccn2)Cc2nc(C)c(C)c(C)c2C)c(C)c1 7.752884 0.4</t>
  </si>
  <si>
    <t>Cc1ccc(C)c(CN(CC2=C(N(C)Cc3ccccn3)NC=CC2)Cc2ccccn2)n1 7.752877 0.4262295081967213</t>
  </si>
  <si>
    <t>CC1=CCC(c2ncccc2CN(Cc2ccccn2)Cc2cc(-c3cccc(N(C)C)c3)ccn2)C(N(C)Cc2ccccn2)C1C 7.7528725 0.323943661971831</t>
  </si>
  <si>
    <t>Cc1ccc(NCc2ccccn2)c(C)c1C 7.752866 0.4722222222222222</t>
  </si>
  <si>
    <t>COC(=O)C1CC(c2ccccn2)C(c2ccccn2)N(C)C1c1cccc(CN(Cc2ccccn2)Cc2cccc(C(C)(C)c3ccccn3)n2)n1 7.752865 0.34615384615384615</t>
  </si>
  <si>
    <t>Cc1ccnc(CN(C)Cc2cccc(N(C)C)n2)c1 7.7528634 0.4666666666666667</t>
  </si>
  <si>
    <t>CCc1cccc(N=Cc2ccccn2)c1 7.752863 0.4772727272727273</t>
  </si>
  <si>
    <t>CN(CCN(Cc1ccccn1)c1cccc2nccc(CF)c12)CC(C)(C)C 7.7528596 0.42857142857142855</t>
  </si>
  <si>
    <t>CNCc1cc(N(C)Cc2cccc(C(C)(C)C)n2)ccn1 7.752854 0.36538461538461536</t>
  </si>
  <si>
    <t>Cc1cccnc1CN(Cc1cncc(N(C)C)c1)Cc1ccccn1 7.7528496 0.4444444444444444</t>
  </si>
  <si>
    <t>Cc1cc(C)c(CN(C)Cc2cc(C)c(C)c(C)n2)cn1 7.752844 0.30434782608695654</t>
  </si>
  <si>
    <t>Cc1cccnc1CN(CC1=CCC=C(N(C)Cc2ccccn2)N1)Cc1ccccn1 7.7528415 0.48214285714285715</t>
  </si>
  <si>
    <t>Cc1ccc(C)c(NCc2ccccn2)c1C 7.752839 0.4857142857142857</t>
  </si>
  <si>
    <t>Cc1ccnc(CN(C)c2cccc(-c3cccc(CN(C)C(C)C(C)C)n3)c2)c1 7.7528296 0.390625</t>
  </si>
  <si>
    <t>CNc1cccnc1-c1cccc(-c2cccc(CN(C)C3CCC(N(C)Cc4ccc(C)cn4)CC3)n2)n1 7.7528276 0.423728813559322</t>
  </si>
  <si>
    <t>CN(CCN(C)c1ccc2cccnc2c1)CC(C)(C)C 7.752822 0.3829787234042553</t>
  </si>
  <si>
    <t>CC(C)N(C)CCN(C)c1ccc2nc(CF)ccc2c1 7.75282 0.30357142857142855</t>
  </si>
  <si>
    <t>CC(=O)C(=O)c1cnc(C2CCC2(C)C)c(CN(C=O)C=O)c1C 7.752814 0.2</t>
  </si>
  <si>
    <t>CC(C)(C1=NC(c2ccccn2)CO1)c1ccccn1 7.752814 0.3137254901960784</t>
  </si>
  <si>
    <t>CCCN(Cc1ccccn1)Cc1ccc2cccc(N(C)Cc3cccc(C4CCC4(C)C)n3)c2n1 7.7528043 0.390625</t>
  </si>
  <si>
    <t>CNC1C=C(N(C)Cc2ncc(C)c(C)c2C)C=CN1 7.7528014 0.22641509433962265</t>
  </si>
  <si>
    <t>CC1(C)COC(c2cccc(CN(Cc3ccccn3)Cc3cccc(C(C)(C)C)n3)n2)=N1 7.7527947 0.49019607843137253</t>
  </si>
  <si>
    <t>Cc1ccc(CN(CC2=CCC=C(N(C)Cc3ccccn3)N2)C(C)(C)c2ccccn2)nc1 7.7527947 0.3548387096774194</t>
  </si>
  <si>
    <t>Cc1ccc(N=Cc2ccccn2)cc1CNCc1ccccn1 7.7527905 0.4230769230769231</t>
  </si>
  <si>
    <t>CN(C)c1cccc(-c2cccnc2CN(C)C2CCCCC2N(C)Cc2ccc3cccnc3c2)c1 7.7527795 0.3770491803278688</t>
  </si>
  <si>
    <t>Cc1cc(NCc2ccccn2)cc(C)c1C 7.75277 0.5</t>
  </si>
  <si>
    <t>CC(N)C(C)N(C)Cc1ncccc1-c1cc(N)ccc1N(C)C1CCCC(N(C)c2cccc3ncccc23)C1 7.752769 0.273972602739726</t>
  </si>
  <si>
    <t>Cc1ccc(N(C)Cc2ccccn2)c(CN(C)Cc2ncccc2C(C)(C)C)c1 7.7527676 0.46153846153846156</t>
  </si>
  <si>
    <t>CN(C)Cc1ccc2cc(N(C)C3CCCCC3N(C)Cc3cccc(-c4ccccc4)n3)ccc2n1 7.7527666 0.45614035087719296</t>
  </si>
  <si>
    <t>CC1(C)COC(c2ccc(CN(Cc3ccccn3)Cc3ccccn3)cn2)=N1 7.752765 0.4489795918367347</t>
  </si>
  <si>
    <t>CCOC(=O)c1cc(CN(Cc2ccccn2)C2CCC(N(C)c3cccc4c(CN(C)C)ccnc34)CC2)ccn1 7.752763 0.30120481927710846</t>
  </si>
  <si>
    <t>Cc1cnc(CN(C)C2CCC(N(C)Cc3cc(-c4ccc5ncccc5c4)ccn3)CC2)c(C)c1 7.752749 0.3225806451612903</t>
  </si>
  <si>
    <t>Cc1ccnc(CN(C)Cc2ncccc2N(C)C)c1 7.7527485 0.375</t>
  </si>
  <si>
    <t>C1=CC(NCc2ccccn2)=C(SCc2ccccn2)CN1 7.7527432 0.37777777777777777</t>
  </si>
  <si>
    <t>C=Cc1ccc(NCc2ccccn2)c(C(C)(C)C)c1 7.752742 0.3793103448275862</t>
  </si>
  <si>
    <t>CC(C)C1=CC2(C=CN1)C=CC(C)C(c1cc(CN(Cc3ccccn3)Cc3ccc(-c4cccc(N(C)C)c4)cn3)ccn1)C2(C)C 7.752736 0.29213483146067415</t>
  </si>
  <si>
    <t>CCN(Cc1ccccn1)Cc1cc(N(C)Cc2nc(C)c(C)cc2C)ccn1 7.752736 0.40425531914893614</t>
  </si>
  <si>
    <t>Cc1cc(C)nc(CN(C)C2=C(CN(C)Cc3nc(C)cc(C)c3C)NC=CC2)c1 7.752734 0.3</t>
  </si>
  <si>
    <t>Cc1cnc(C)c(CN(C)CC2=CCC=C(N(C)Cc3ccccn3)N2)c1 7.752731 0.3793103448275862</t>
  </si>
  <si>
    <t>Cc1cc(CN(C)C2=CCC=C(CN(C)Cc3cccnc3F)N2)nc(C)c1C 7.75272 0.296875</t>
  </si>
  <si>
    <t>CN(CCN(Cc1ccccn1)c1ccc2c(CF)ccnc2c1)C(C)(C)C 7.752717 0.375</t>
  </si>
  <si>
    <t>Cc1cccnc1CN(Cc1ncccc1C)C1CCC(N(C)Cc2cc(-c3ccc4ncccc4c3)ccn2)CC1 7.752714 0.3225806451612903</t>
  </si>
  <si>
    <t>CC(C)C1=CC2(C=CN1)C=C(c1ccccn1)C1C=CC=NC1C2c1ncccc1CN(Cc1ccccn1)C1CCC(N(C)c2ccc3nccc(CF)c3c2)CC1 7.7527113 0.22549019607843138</t>
  </si>
  <si>
    <t>Cc1cnc(CN(C)CC2=CCC(N(C)Cc3nc(C)c(C)cc3C)=CN2)cc1C 7.752711 0.27586206896551724</t>
  </si>
  <si>
    <t>CN(CCN(Cc1ccccn1)c1ccc2nccc(CF)c2c1)C(C)(C)C 7.7527103 0.3684210526315789</t>
  </si>
  <si>
    <t>CC(C)N(Cc1ccccn1)C1CCCC(N(C)c2cccc3nc(C4=CCC=CN4)ccc23)C1 7.7527065 0.36486486486486486</t>
  </si>
  <si>
    <t>CNC1C(N(C)c2cccc3cc4c(nc23)CCC4)CCCC1N(Cc1nc(C)c(C)cc1C)C(c1ccccc1)c1ccccn1 7.7527056 0.47368421052631576</t>
  </si>
  <si>
    <t>CC1(C)COC(c2ccc(CN(Cc3ccccn3)Cc3cccc(C(C)(C)C)n3)cn2)=N1 7.7527003 0.41379310344827586</t>
  </si>
  <si>
    <t>Fc1ccccc1N(Cc1ccccn1)C1=CC=CNC1NCc1ccccn1 7.752695 0.38333333333333336</t>
  </si>
  <si>
    <t>Cc1cc(C)c(CN(C)C2=CCC=C(CN(C)Cc3cccnc3F)N2)nc1C 7.7526927 0.30158730158730157</t>
  </si>
  <si>
    <t>Cc1cnc(CN(C)CC2=CCC(N(C)Cc3ncc(C)c(C)c3C)=CN2)c(C)c1 7.7526927 0.25862068965517243</t>
  </si>
  <si>
    <t>CN(CCCN(Cc1ccccn1)c1cccc2cc(CF)cnc12)Cc1ccccn1 7.752689 0.40350877192982454</t>
  </si>
  <si>
    <t>Cc1ccccc1CN(C)Cc1cccc(C(C)(c2ccccn2)c2ccccn2)n1 7.752682 0.46938775510204084</t>
  </si>
  <si>
    <t>Cc1cnc(CN(C)C2=C(CN(C)Cc3nc(C)c(C)cc3C)NC=CC2)c(C)c1 7.7526703 0.23333333333333334</t>
  </si>
  <si>
    <t>COC(=O)c1ncccc1CN(Cc1ccccn1)C1CCCCC1N(C)c1cccc2ncc(CN(C)C)cc12 7.75267 0.3561643835616438</t>
  </si>
  <si>
    <t>CC1C=CC(C)C(C)(c2cc(CN(Cc3ccccn3)Cc3cccc(-c4cccc(N=Cc5ccccn5)c4)n3)ccn2)C1C 7.7526655 0.4155844155844156</t>
  </si>
  <si>
    <t>CN(Cc1cccc(-c2ccccc2)n1)C1CCC(N(C)c2ccc3cc(CF)cnc3c2)CC1 7.7526617 0.3230769230769231</t>
  </si>
  <si>
    <t>Cc1ccnc(C2CCC2(C)C)c1C(C)(C)c1cccc(C2=NC(C)(C)CO2)n1 7.752649 0.46296296296296297</t>
  </si>
  <si>
    <t>CC1(C)COC(c2ncccc2CN(Cc2ccccn2)Cc2ccccn2)=N1 7.752648 0.47619047619047616</t>
  </si>
  <si>
    <t>CNc1cc(C)c(CN(Cc2cc(C)ccn2)C2CCC(N(C)c3ccc4nccc(CF)c4c3)CC2)cn1 7.7526464 0.23684210526315788</t>
  </si>
  <si>
    <t>Cc1cccc(N(Cc2ccccn2)C2CCC(N(C)c3ccc4nc(CN(C)C)ccc4c3)CC2)c1 7.7526436 0.39344262295081966</t>
  </si>
  <si>
    <t>CCN(Cc1cc(C2=NC(C)(C)CO2)ccn1)Cc1nc(C)c(C)c(C)c1C 7.7526436 0.3275862068965517</t>
  </si>
  <si>
    <t>CN(Cc1ccccn1)C1=CNC=C(CN(C)C(C)(c2cccnc2)c2ccccn2)C1 7.7526436 0.36065573770491804</t>
  </si>
  <si>
    <t>Cc1c(NCc2ccccn2)ccc(C(C)(C)C)c1C 7.752641 0.425</t>
  </si>
  <si>
    <t>CNC1=CNC2(CCC2C)C(NCc2ccccn2)=C1N(C)Cc1ccccn1 7.7526383 0.3548387096774194</t>
  </si>
  <si>
    <t>Cc1cc(CN(C)C2=CNC(CN(Cc3cc(C)c(C)c(C)n3)C(C)C)=CC2)nc(C)c1C 7.7526336 0.2413793103448276</t>
  </si>
  <si>
    <t>Cc1cc(C)c2cccc(N(C)C3CCC(N(C)Cc4ccon4)CC3)c2n1 7.75263 0.34545454545454546</t>
  </si>
  <si>
    <t>Cc1nc(CN(C)C2=C(CN(Cc3ccccn3)Cc3ccccn3)NC=CC2)c(C)c(C)c1C 7.7526298 0.43333333333333335</t>
  </si>
  <si>
    <t>Cc1ccc(C)c(CN(C)C2=CNC(CN(C)Cc3cc(C)c(C)c(C)n3)=CC2)n1 7.752614 0.2711864406779661</t>
  </si>
  <si>
    <t>COC1(C)N=COC1c1ncccc1C1=NCC(C)(C)O1 7.7526093 0.203125</t>
  </si>
  <si>
    <t>CN(Cc1cccc(C2=CCC=CN2)n1)C1CCC(N(C)c2cccc3nc(CF)ccc23)CC1 7.752594 0.3333333333333333</t>
  </si>
  <si>
    <t>Cc1cnc(CN(C)C2=CNC(CN(Cc3ccccn3)Cc3nc(C)ccc3C)=CC2)c(C)c1 7.752593 0.39705882352941174</t>
  </si>
  <si>
    <t>CN(C)c1ccccc1-c1cc(CN(Cc2ccccn2)C2(C)CCC2)ccn1 7.7525883 0.39285714285714285</t>
  </si>
  <si>
    <t>Cc1ccc2nc(CN(C)c3ccc4nc(CN(C)Cc5ncccc5-c5ccc6c(c5)OCCOCCOCCOCCOCCO6)ccc4c3)ccc2c1 7.752587 0.3048780487804878</t>
  </si>
  <si>
    <t>CC(C)c1cccc(CN(Cc2cccc(C3=NC(C)(C)CO3)n2)Cc2cccc(C(C)(C)C)n2)n1 7.752586 0.4807692307692308</t>
  </si>
  <si>
    <t>CCNc1ccccc1-c1ncccc1C(C)c1ccccc1 7.7525854 0.2711864406779661</t>
  </si>
  <si>
    <t>Cc1ccc(CN(C)C2=C(CN(C)Cc3nc(C)c(C)c(C)c3C)NC=CC2)nc1C 7.752574 0.23333333333333334</t>
  </si>
  <si>
    <t>CN(CCN(C)c1cccc2ncccc12)CC(C)(C)C 7.752574 0.4883720930232558</t>
  </si>
  <si>
    <t>Cc1cnc(CN(C)C2=C(CN(C)Cc3cc(C)c(C)c(C)n3)NC=CC2)c(C)c1 7.7525716 0.26229508196721313</t>
  </si>
  <si>
    <t>Cc1ncccc1CN(C)Cc1cccnc1N(C)O 7.7525673 0.4186046511627907</t>
  </si>
  <si>
    <t>COC(=O)c1cccc(CNCc2cc(C(=O)C(C)NCc3ccccn3)ccn2)n1 7.7525606 0.34545454545454546</t>
  </si>
  <si>
    <t>CC1=CC(C)C(N(Cc2ccccn2)Cc2cccc(-c3cccc(N=Cc4ccccn4)c3)n2)C(C)C1 7.752559 0.3972602739726027</t>
  </si>
  <si>
    <t>Cc1cc(N(Cc2ccccn2)C2CCCC(N(C)Cc3nc(C)c(C)c(C)c3C)C2)c2cccnc2c1 7.7525587 0.36363636363636365</t>
  </si>
  <si>
    <t>CN(c1cccc2ncccc12)C1CCCC(N(Cc2ccccn2)c2ccccc2F)C1 7.752555 0.3898305084745763</t>
  </si>
  <si>
    <t>Cc1cc(C)c(C)c(CN(C)C2C=CNC(CN(C)c3ccccc3C)=C2)n1 7.752553 0.296875</t>
  </si>
  <si>
    <t>Cc1cccnc1CN(C)C1=CCC=C(CN(C)Cc2cccnc2C)N1 7.752549 0.3103448275862069</t>
  </si>
  <si>
    <t>CC1=CC(C)CC(N(C)Cc2cc(-c3cccc(N=Cc4ccccn4)c3)ccn2)C1C 7.752541 0.3484848484848485</t>
  </si>
  <si>
    <t>CN(C)Cc1ccc2cc(N(C)CCN(C)CCF)ccc2n1 7.752539 0.34782608695652173</t>
  </si>
  <si>
    <t>CCCN(CCN(Cc1ccccn1)c1ccc2nccc(C)c2c1)C(C)(C)C 7.7525363 0.3620689655172414</t>
  </si>
  <si>
    <t>CCOC(=O)c1cccc(CN(Cc2ccccn2)Cc2cccc(C(C)(C)c3ccccn3)n2)n1 7.7525263 0.40816326530612246</t>
  </si>
  <si>
    <t>Cc1cnc(CN(C)Cc2nc(C)c(C)cc2C)c(C)c1 7.7525163 0.3333333333333333</t>
  </si>
  <si>
    <t>FCc1ccc(N(Cc2ccccn2)C2CCCCC2N(Cc2ccccn2)c2cccc3c(CF)ccnc23)cn1 7.752511 0.39344262295081966</t>
  </si>
  <si>
    <t>CC1=CCc2cccnc2C12C=CNC(C(C)C)=C2 7.752509 0.22413793103448276</t>
  </si>
  <si>
    <t>Cc1ccc(C2CCC2(C)C)nc1CN(Cc1ccccn1)C1CCC(N(C)c2ccc3nc(-c4ccccn4)ccc3c2)CC1 7.7525053 0.3472222222222222</t>
  </si>
  <si>
    <t>CC(C)N(CCN(C)c1ccc2ncccc2c1)Cc1ccccc1 7.7524996 0.4375</t>
  </si>
  <si>
    <t>Cc1cccnc1CN(C)Cc1cccc(N(C)C)n1 7.7524977 0.45652173913043476</t>
  </si>
  <si>
    <t>Cc1ccc(CN(C)CC2=CCC(N(C)Cc3nc(C)c(C)c(C)c3C)=CN2)c(C)c1C 7.7524943 0.203125</t>
  </si>
  <si>
    <t>Cc1cnc(CN(C)Cc2cccc(N(C)C3C=CC=CN3)n2)c(C)c1 7.7524934 0.3103448275862069</t>
  </si>
  <si>
    <t>CC1=C(C)C(C)C(N(Cc2ccccn2)Cc2cc(-c3cccc(N=Cc4ccccn4)c3)ccn2)CC1 7.7524934 0.3235294117647059</t>
  </si>
  <si>
    <t>CN(CCN(C)C(C)(C)C)c1ccc2nccc(CF)c2c1 7.752486 0.24074074074074073</t>
  </si>
  <si>
    <t>Cc1cc(NCc2ccccn2)ccc1-c1ccc(CN(C)C2CCCC(N(C)Cc3ccc4cccnc4c3)C2)cn1 7.7524786 0.3150684931506849</t>
  </si>
  <si>
    <t>CN(Cc1ccccn1)c1ccc(CF)nc1 7.7524767 0.5</t>
  </si>
  <si>
    <t>Cc1ccc(C)c(CN(C)CC2=CCC=C(N(C)Cc3ccccn3)N2)n1 7.752475 0.3728813559322034</t>
  </si>
  <si>
    <t>Cc1cccc2ccc(CN(C)c3ccc4nc(CN(C)Cc5cc(-c6ccc7c(c6)OCCOCCOCCOCCOCCO7)ccn5)ccc4c3)nc12 7.752474 0.3170731707317073</t>
  </si>
  <si>
    <t>Cc1cnc(CN(C)C2=CNC=CC2)c(C)c1C 7.7524734 0.24561403508771928</t>
  </si>
  <si>
    <t>Cc1cnc(CN(C)C2=CNC(CN(C)Cc3ncc(C)c(C)c3C)=CC2)c(C)c1 7.7524714 0.25862068965517243</t>
  </si>
  <si>
    <t>Cc1ccc(CN(Cc2cccnc2F)Cc2ncccc2N(C)C)nc1 7.752462 0.4375</t>
  </si>
  <si>
    <t>Cc1ccc(N)c(C)c1NCc1ccccn1 7.7524548 0.4358974358974359</t>
  </si>
  <si>
    <t>Cc1ccc(CN(C)c2cccnc2CN(Cc2ccccn2)Cc2ncccc2F)cn1 7.7524414 0.4166666666666667</t>
  </si>
  <si>
    <t>Cc1cc(CN(C)C2=C(CN(C)Cc3nc(C)c(C)c(C)c3C)NC=CC2)cnc1C 7.752439 0.1875</t>
  </si>
  <si>
    <t>Cc1cccc(CNCc2ccc(C(C)(c3ccccn3)c3ccccn3)cn2)c1 7.752427 0.35</t>
  </si>
  <si>
    <t>Cc1cncc(CN(C)c2cccnc2CN(Cc2ccccn2)Cc2ncccc2F)c1 7.7524214 0.40350877192982454</t>
  </si>
  <si>
    <t>CN(C)Cc1ccc2cc(N(C)C3CCCC(N(Cc4ccccn4)c4cccc(F)c4)C3)ccc2n1 7.7524137 0.36923076923076925</t>
  </si>
  <si>
    <t>Cc1ccc(CN(C)CC2=CCC=C(N(O)Cc3ccccn3)N2)nc1 7.7524137 0.43137254901960786</t>
  </si>
  <si>
    <t>Cc1ccc(CN(C)c2ccc3cccnc3c2-c2cccc(CN(Cc3ccccn3)Cc3ccc(-c4ccc5c(c4)OCCOCCOCCOCCOCCO5)cn3)n2)nc1C 7.752402 0.3411764705882353</t>
  </si>
  <si>
    <t>Cc1ccccc1N(C)C1CCCC(N(C)c2cccc3nc(CF)ccc23)C1 7.7523947 0.43859649122807015</t>
  </si>
  <si>
    <t>Cc1cnc(CN(C)c2ccc3cccnc3c2-c2cccc(CN(Cc3ccccn3)Cc3cccc(-c4ccc5c(c4)OCCOCCOCCOCCOCCO5)n3)n2)c(C)c1 7.752392 0.37349397590361444</t>
  </si>
  <si>
    <t>CN(CCN)CCN(C)c1cccc2ncccc12 7.7523866 0.5</t>
  </si>
  <si>
    <t>CC(C)C(C)N(CC1=CC(N(C)Cc2ccccn2)C=CN1)c1ccc2ncccc2c1 7.7523823 0.3384615384615385</t>
  </si>
  <si>
    <t>CC1C(Cl)=CC(N(C)Cc2ccccn2)c2ncccc21 7.7523813 0.4489795918367347</t>
  </si>
  <si>
    <t>CC1=C(N(C)Cc2ncccc2N)CC=CN1 7.7523766 0.29310344827586204</t>
  </si>
  <si>
    <t>CC1=CC(C)CC(C)C1N(C)Cc1cc(-c2cccc(N(C)C)c2)ccn1 7.7523746 0.3220338983050847</t>
  </si>
  <si>
    <t>Cc1cccnc1CN(Cc1ccccn1)Cc1ccc(N(C)C)cn1 7.752374 0.5</t>
  </si>
  <si>
    <t>Cc1ccc(CN(C)CC2=CCC=C(N(C)Cc3nccc(C)c3C)N2)nc1 7.7523675 0.41509433962264153</t>
  </si>
  <si>
    <t>CC1(C)CC(c2ccc(CN(Cc3ccccn3)Cc3ncccc3C(C)(c3ccccn3)c3ccccn3)cn2)C1 7.7523656 0.3508771929824561</t>
  </si>
  <si>
    <t>CCOC(=O)c1cc(CN(Cc2ccccn2)C2CCC(N(C)c3ccc4nccc(CN(C)C)c4c3)CC2)ccn1 7.752363 0.30120481927710846</t>
  </si>
  <si>
    <t>Cc1ccc2nc(CN(C)c3cccc4ccc(CN(C)Cc5ncccc5-c5ccc6c(c5)OCCOCCOCCOCCOCCO6)nc34)ccc2c1 7.7523623 0.3150684931506849</t>
  </si>
  <si>
    <t>CN(Cc1ccon1)C1CCC(N(C)Cc2cccc(-c3ccc4ncccc4c3)n2)CC1 7.752358 0.35294117647058826</t>
  </si>
  <si>
    <t>Cc1cc(C)c(CN(C)Cc2cccc(N(C)C(C)(C)c3cccnc3)n2)nc1C 7.7523556 0.3157894736842105</t>
  </si>
  <si>
    <t>Cc1cc(C)c(CN(C)CCN(C)Cc2cccc3ncccc23)cn1 7.7523513 0.46808510638297873</t>
  </si>
  <si>
    <t>Cc1ccccc1N(C)CC1=CC(N(C)Cc2cc(C)c(C)c(C)n2)C=CN1 7.752346 0.296875</t>
  </si>
  <si>
    <t>CC1=CCC(N(C)CCN(C)c2ccc3nc(CF)ccc3c2)N=C1 7.752331 0.296875</t>
  </si>
  <si>
    <t>Cc1cncc(CN(CC2=CCC=C(N(C)Cc3ccccn3)N2)Cc2ncccc2C)c1 7.75233 0.38235294117647056</t>
  </si>
  <si>
    <t>CC(C)(c1ccnc(CN(Cc2ccnc(C3OC=NC3(C)C)c2)Cc2ccccn2)c1)c1ccccn1 7.752318 0.3448275862068966</t>
  </si>
  <si>
    <t>C=Cc1ccccc1NCc1ccccn1 7.752317 0.4722222222222222</t>
  </si>
  <si>
    <t>Cc1cnc(CN(C)C2=CCC=C(CN(C)Cc3cccnc3C)N2)c(C)c1C 7.752308 0.2903225806451613</t>
  </si>
  <si>
    <t>CN(C)CCN(C)Cc1ccc2cccnc2c1 7.7523017 0.46511627906976744</t>
  </si>
  <si>
    <t>Cc1ccc(CN(C)C2=CCC=C(CN(C)C)N2)nc1 7.752295 0.45454545454545453</t>
  </si>
  <si>
    <t>C1=CN(Cc2ccccn2)C(N(Cc2ccccn2)Cc2ccccn2)=CC1 7.752286 0.44</t>
  </si>
  <si>
    <t>Cc1cc(CN(C)Cc2cc(N(C)C3C=CC=CN3)ccn2)cnc1C 7.7522855 0.3076923076923077</t>
  </si>
  <si>
    <t>Cc1cnc(CN(C)Cc2cc(C(C)(C)c3ccccn3)ccn2)c(C)c1 7.7522826 0.3448275862068966</t>
  </si>
  <si>
    <t>CN(C)Cc1ccc2ccc(N(C)C3CCCCC3N(C)Cc3cccc(-c4ccccc4)n3)cc2n1 7.7522798 0.4642857142857143</t>
  </si>
  <si>
    <t>CN(O)C1=CNC(C2=CC(NCc3ccccn3)C=CN2)=CC1 7.7522783 0.3225806451612903</t>
  </si>
  <si>
    <t>Cc1ccc(C)c(CN(C)CC2=CCC=C(N(C)Cc3ncccc3C)N2)n1 7.7522726 0.26229508196721313</t>
  </si>
  <si>
    <t>Cc1ccc(CN(C)CC2=CCC=C(N(C)Cc3ncc(C)c(C)c3C)N2)nc1 7.752268 0.43137254901960786</t>
  </si>
  <si>
    <t>Cc1ccc(NCc2ccccn2)c(C(C)(C)C)c1C 7.752268 0.4146341463414634</t>
  </si>
  <si>
    <t>CC(C)C(C)N(C)CC1=C(N(C)c2ccc3nc(CF)ccc3c2)CC=CN1 7.7522645 0.2571428571428571</t>
  </si>
  <si>
    <t>CC(C)(C)c1cccc(CN(Cc2ccccn2)c2cccc(CF)n2)n1 7.75226 0.44</t>
  </si>
  <si>
    <t>Cc1cc(C)c(C)c(CN(C)CC2=C(N(C)Cc3nc(C)cc(C)c3C)CC=CN2)n1 7.752258 0.21818181818181817</t>
  </si>
  <si>
    <t>Cc1cccc(CN(CC2=CCC=C(N(C)Cc3ccccn3)N2)C(C)(C)c2ccccn2)n1 7.752249 0.3548387096774194</t>
  </si>
  <si>
    <t>Cc1cc(N(C)C)nc(CN(Cc2ccccn2)Cc2cccnc2F)c1C 7.752244 0.425531914893617</t>
  </si>
  <si>
    <t>Cc1cnc(CN(C)Cc2cc(C)c(C)c(C)n2)c(C)c1 7.7522416 0.36363636363636365</t>
  </si>
  <si>
    <t>CC1(C)COC(c2cccc(CN(Cc3ccccn3)Cc3cc(C(C)(C)C)ccn3)n2)=N1 7.7522383 0.46296296296296297</t>
  </si>
  <si>
    <t>CC(C)N(C)C1=C(CN(C)c2ccc(Cl)c(Cl)c2)NC=CC1 7.7522373 0.25</t>
  </si>
  <si>
    <t>Cc1cccnc1CN(Cc1cc(C(C)(C)C)ccn1)C1CCC(N(C)Cc2cc(-c3ccc4ncccc4c3)ccn2)CC1 7.7522373 0.2857142857142857</t>
  </si>
  <si>
    <t>COC(=O)c1cc(CNCc2ccccn2)ccn1 7.752236 0.4523809523809524</t>
  </si>
  <si>
    <t>Cc1cccc(N(C)Cc2ncccc2C(C)(C)C)c1 7.752232 0.30612244897959184</t>
  </si>
  <si>
    <t>CC(C)N(C)Cc1ccc2ncccc2c1 7.7522273 0.34782608695652173</t>
  </si>
  <si>
    <t>Cc1ccc(CN(Cc2cccc(F)n2)Cc2ncccc2N(C)C)nc1 7.7522225 0.42</t>
  </si>
  <si>
    <t>Cc1cnc(CN(C)Cc2ncc(C)c(C)c2C)c(C)c1C 7.75222 0.37142857142857144</t>
  </si>
  <si>
    <t>CN(C)c1cccnc1CN(Cc1cccc(F)n1)Cc1ncccc1F 7.7522163 0.3870967741935484</t>
  </si>
  <si>
    <t>Cc1cc(CN(C)C2CCCC(N(Cc3ccccn3)c3ccc4c(C)ccnc4c3)C2)cnc1C 7.7522135 0.36363636363636365</t>
  </si>
  <si>
    <t>Cc1cccc(-c2nccc(CN(C)C3CCCC(N(C)Cc4ccc5cccnc5c4)C3)c2C)c1N 7.75221 0.2602739726027397</t>
  </si>
  <si>
    <t>CCNCc1cccc(-c2cccc(C(C)(C)C)n2)n1 7.752194 0.40816326530612246</t>
  </si>
  <si>
    <t>Cc1cnc(CN(Cc2cccnc2F)Cc2ncc(C)c(C)c2C)c(C)c1C 7.7521935 0.34782608695652173</t>
  </si>
  <si>
    <t>Cc1cnc(CN(C)CC2=CCC(N(C)Cc3ncc(C)c(C)c3C)=CN2)c(C)c1C 7.75219 0.25</t>
  </si>
  <si>
    <t>Cc1ccccc1N(C)Cc1ncccc1C(C)(C)C 7.752188 0.3617021276595745</t>
  </si>
  <si>
    <t>Cc1cc(CN(Cc2ccnc(C3=C(c4cc(CN(Cc5ccccn5)Cc5ccccn5)ccn4)C4(C=CNC(C(C)C)=C4)CCC3(C)C)c2)Cc2ccccn2)nc(C)c1C 7.752183 0.3</t>
  </si>
  <si>
    <t>CC1C=CC(C)C(N(C)Cc2ccc(-c3cccc(N=Cc4ccccn4)c3)cn2)C1 7.7521567 0.3484848484848485</t>
  </si>
  <si>
    <t>Cc1cc(C)nc(CN(C)C2=CNC(CN(C)Cc3cnc(C)cc3C)=CC2)c1 7.752149 0.29508196721311475</t>
  </si>
  <si>
    <t>Cc1cc(C)c(C)c(CN(C)CC2=CCC(N(C)Cc3cnc(C)c(C)c3)=CN2)n1 7.752149 0.1875</t>
  </si>
  <si>
    <t>Cc1cc(C)c(CN(CC2=CCC(N(C)Cc3cc(C)c(C)c(C)n3)=CN2)C(C)C)nc1C 7.7521443 0.2</t>
  </si>
  <si>
    <t>Cc1cccc(N(Cc2ccccn2)C2CCCC(N(C)c3cccc4ncccc34)C2)c1 7.752133 0.3709677419354839</t>
  </si>
  <si>
    <t>COC(=O)C(=O)C(=O)C(C)NCc1cccc(CN=Cc2ccccn2)n1 7.7521296 0.296875</t>
  </si>
  <si>
    <t>CC(c1ccccn1)C1COC(c2cccnc2)=N1 7.752124 0.29310344827586204</t>
  </si>
  <si>
    <t>Cc1ccc(CN(C)c2cccnc2CN(Cc2ccccn2)Cc2cccc(F)n2)nc1 7.7521205 0.417910447761194</t>
  </si>
  <si>
    <t>COc1ccnc(CN(Cc2cccc(C)n2)Cc2cc(C)c(C)c(C)n2)c1 7.7521114 0.46551724137931033</t>
  </si>
  <si>
    <t>CCOC(C)NCc1cc(CN(Cc2ccccn2)Cc2cc(-c3ccc(Cl)c(N)c3)ccn2)ccn1 7.752107 0.3389830508474576</t>
  </si>
  <si>
    <t>Cc1cc(C)nc(CN(C)C2=CNC(CN(C)C)=CC2)c1 7.752105 0.3333333333333333</t>
  </si>
  <si>
    <t>Cc1cccc(CN(C)C2=CCC=C(CN(C)Cc3ncccc3C)N2)n1 7.752101 0.3888888888888889</t>
  </si>
  <si>
    <t>Cc1cncc(CN(C)CC2=CCC=C(N(C)Cc3nccc(C)c3C)N2)c1 7.7520957 0.2222222222222222</t>
  </si>
  <si>
    <t>Cc1cccnc1CN(C)c1cc(-c2cccnc2CN(C)C(C)(C)c2cccnc2-c2ccc3c(c2)OCCOCCOCCOCCOCCO3)cc2ncccc12 7.752092 0.25274725274725274</t>
  </si>
  <si>
    <t>COC(=O)c1cc(CN(Cc2ccccn2)Cc2ccccn2)ccn1 7.7520905 0.5</t>
  </si>
  <si>
    <t>Cc1ccnc(CN(C)C2=CCC=C(CN(C)Cc3ncccc3F)N2)c1C 7.75208 0.25</t>
  </si>
  <si>
    <t>CNC12N=C3CCCCC3=CC1(N(Cc1nc(C)c(C)c(C)c1C)Cc1nc(C)c(C)c(C)c1C)CC(N(Cc1nc(C)c(C)c(C)c1C)Cc1nc(C)c(C)c(C)c1C)CC2N(Cc1nc(C)c(C)c(C)c1C)Cc1nc(C)c(C)c(C)c1C 7.752078 0.15789473684210525</t>
  </si>
  <si>
    <t>CN(Cc1ccon1)Cc1ncccc1C(C)(C)c1ccccn1 7.75207 0.44680851063829785</t>
  </si>
  <si>
    <t>Cc1nc(CN(C)C2=CCC=C(CN(C)Cc3ccccn3)N2)c(C)c(C)c1C 7.7520638 0.39655172413793105</t>
  </si>
  <si>
    <t>CN(Cc1ccccn1)c1cccnc1CN(Cc1cccc(F)n1)Cc1cccnc1F 7.7520633 0.4307692307692308</t>
  </si>
  <si>
    <t>Cc1cc(C)c(NCc2ccccn2)cc1C 7.752056 0.4857142857142857</t>
  </si>
  <si>
    <t>Cc1cccc(CN(C)c2ccc(-c3cccc(CN(C)C(C)C(C)C)n3)cc2)n1 7.752055 0.425531914893617</t>
  </si>
  <si>
    <t>Cc1cc(C)c(CN(C)C2=CNC(CN(C)Cc3ccnc(C)c3C)=CC2)nc1C 7.7520437 0.23076923076923078</t>
  </si>
  <si>
    <t>Cc1ccc(CN(CC2=CCC=C(N(C)Cc3cccc(C)n3)N2)Cc2ccccn2)nc1 7.752042 0.43548387096774194</t>
  </si>
  <si>
    <t>Cc1cc(C)c(CN(C)CC2=C(N(C)Cc3ncc(C)c(C)c3C)CC=CN2)nc1C 7.7520404 0.21739130434782608</t>
  </si>
  <si>
    <t>Cc1cnc(CN(C)C2CCC(N(C)Cc3cc(-c4cccc5ncccc45)ccn3)CC2)c(C)c1 7.75204 0.3076923076923077</t>
  </si>
  <si>
    <t>Cc1ccc(CN(C)Cc2cccc(N(C)C3CCCC(N(C)c4cccc5ncc(CF)cc45)C3)n2)nc1 7.752037 0.3582089552238806</t>
  </si>
  <si>
    <t>CC(C)N(C)CCN(C)c1ccc2cc(CF)cnc2c1 7.7520337 0.24528301886792453</t>
  </si>
  <si>
    <t>Cc1cccnc1CN(C)Cc1ncccc1N(C)C 7.7520328 0.35714285714285715</t>
  </si>
  <si>
    <t>CCN(Cc1ccccn1)Cc1cccc(N(C)Cc2nc(C)c(C)c(C)c2C)n1 7.7520313 0.41304347826086957</t>
  </si>
  <si>
    <t>CN(c1ccc2ccc(C3=CCC=CN3)nc2c1)C1CCCC(N(CC2=CCC=CN2)Cc2ccccn2)C1 7.752031 0.44285714285714284</t>
  </si>
  <si>
    <t>Cc1cc(C)nc(CN(C)C2=C(CN(C)Cc3cc(C)c(C)c(C)n3)NC=CC2)c1 7.7520256 0.3</t>
  </si>
  <si>
    <t>Cc1ccc(-c2cc(CN(C)C3CCCC(N(C)Cc4ccccn4)C3)ccn2)c2ncccc12 7.752024 0.4166666666666667</t>
  </si>
  <si>
    <t>Cc1ccc(-c2cccc(CNCc3ccccn3)c2)nc1 7.752019 0.4318181818181818</t>
  </si>
  <si>
    <t>CN(c1cccc2ncc(CF)cc12)C1CCCC(N(Cc2ccccn2)c2ccccc2F)C1 7.7520146 0.35384615384615387</t>
  </si>
  <si>
    <t>C1=C(NCc2ccccn2)C=C(SCc2ccccn2)NC1 7.752012 0.38636363636363635</t>
  </si>
  <si>
    <t>COC(=O)c1ncccc1CN(Cc1ccccn1)C1CCCCC1N(C)c1cccc2nccc(CN(C)C)c12 7.7520094 0.37681159420289856</t>
  </si>
  <si>
    <t>Cc1cc(C)c(CN(C)CC2=CCC=C(N(C)Cc3ccccn3)N2)c(C)c1C 7.7519956 0.38596491228070173</t>
  </si>
  <si>
    <t>CNCc1ccc2cccc(N(C)C3CCCCC3N(Cc3ccc4ncccc4c3)Cc3ccccn3)c2n1 7.7519836 0.463768115942029</t>
  </si>
  <si>
    <t>CC(C)C(C)N(Cc1ccccn1)Cc1cccc(-c2cccc(N=Cc3ccccn3)c2)n1 7.7519836 0.46774193548387094</t>
  </si>
  <si>
    <t>Cc1nc(CN(Cc2ccccn2)C2CCCC(N(C)c3ccc4c(CN(C)C)nccc4c3)C2)c(C)c(C)c1C 7.7519774 0.3333333333333333</t>
  </si>
  <si>
    <t>CN(Cc1cc(-c2ccc3c(c2)OCCOCCOCCOCCOCCO3)ccn1)Cc1ccnc2ccc(N(C)Cc3ccc4ncccc4c3)cc12 7.7519727 0.2976190476190476</t>
  </si>
  <si>
    <t>CC(C)N(C)CCN(C)c1ccc2ncc(CF)cc2c1 7.751972 0.24074074074074073</t>
  </si>
  <si>
    <t>Cc1ccc(CN(C)Cc2ncccc2N(C)C2CCC(N(C)c3ccc4nccc(CF)c4c3)CC2)cn1 7.751961 0.24</t>
  </si>
  <si>
    <t>CC1=C(c2ccccc2)C(c2cccc(CNCc3ccccn3)c2)CC=C1c1ccccc1 7.751959 0.35185185185185186</t>
  </si>
  <si>
    <t>Cc1cc(CNCc2ccccn2)cc(N=Cc2ccccn2)c1 7.7519555 0.41304347826086957</t>
  </si>
  <si>
    <t>CCOC(=O)c1cc(CN(Cc2ccccn2)C2CCCC(N(C)c3ccc4c(CN(C)C)ccnc4c3)C2)ccn1 7.7519517 0.2987012987012987</t>
  </si>
  <si>
    <t>Cc1cc(CN(Cc2cccnc2)Cc2cc(C)c(C)c(C)n2)nc(C)c1C 7.7519455 0.3023255813953488</t>
  </si>
  <si>
    <t>CN(C)Cc1cnc2cc(N(C)CCN(C)CC(C)(C)C)ccc2c1 7.7519436 0.2727272727272727</t>
  </si>
  <si>
    <t>Cc1ccccc1N(Cc1ccccn1)C1CCCC(N(C)c2cccc3ncccc23)C1 7.751927 0.39655172413793105</t>
  </si>
  <si>
    <t>Cc1cc(CN(C)CC2=CCC=C(N(C)Cc3ccccn3)N2)cnc1C 7.7519236 0.38596491228070173</t>
  </si>
  <si>
    <t>CN(Cc1ccc(-c2cccc(F)c2)cn1)C1CCCCC1N(C)c1ccc2ncc(CF)cc2c1 7.751923 0.4</t>
  </si>
  <si>
    <t>CC(c1ccccc1)(c1ccccn1)c1ccccn1 7.751922 0.5</t>
  </si>
  <si>
    <t>Cc1cccnc1CN(Cc1ccccn1)c1ccc(F)cc1 7.7519135 0.4146341463414634</t>
  </si>
  <si>
    <t>Cc1cc(N)cc(-c2nccc(CN(C)C3CCCC(N(C)Cc4ccc5ncccc5c4)C3)c2C)c1 7.7519097 0.25</t>
  </si>
  <si>
    <t>Cc1ccc(CN(C)C2=CNC(CN(C)Cc3cc(C)c(C)c(C)n3)=CC2)nc1C 7.7519016 0.2631578947368421</t>
  </si>
  <si>
    <t>Cc1cc(C2CCC2(C)C)nc(C2=NC(=O)C(C3(C)CCC3C(C)(C)c3cccc(C4=NCC(C)(C)O4)n3)O2)c1C 7.751901 0.21518987341772153</t>
  </si>
  <si>
    <t>Cc1ccc(CN(C)Cc2cccc(N(C)Cc3ccccn3)c2C)nc1 7.7518983 0.4782608695652174</t>
  </si>
  <si>
    <t>Cc1ccc(N)c(-c2ccc(CN(C)C(C)C)cn2)c1 7.751891 0.28</t>
  </si>
  <si>
    <t>CN(Cc1ccccn1)C1C=CNC(c2ccccn2)=C1 7.7518883 0.4583333333333333</t>
  </si>
  <si>
    <t>CNC1=CC=C(N(C)Cc2ccccn2)CN1 7.751888 0.45652173913043476</t>
  </si>
  <si>
    <t>CN(C)CCN(C)Cc1ccc2ncccc2c1 7.751877 0.46511627906976744</t>
  </si>
  <si>
    <t>Cc1ccnc(CN(C)c2ccc(CN(Cc3ccccn3)Cc3cccc(C(C)(C)C)n3)nc2)c1 7.751872 0.4107142857142857</t>
  </si>
  <si>
    <t>CC(C)C1=NC(c2ncccc2CN(Cc2ccccn2)Cc2cc(C(C)(C)c3ccccn3)ccn2)CO1 7.7518697 0.32786885245901637</t>
  </si>
  <si>
    <t>Cc1cccc(N(CC2=C(N(C)Cc3ccccn3)CC=CN2)C(C)C)c1 7.751843 0.3793103448275862</t>
  </si>
  <si>
    <t>Cc1cc(C)nc(CN(C)CC2=C(N(C)Cc3cc(C)cc(C)n3)CC=CN2)c1 7.751842 0.34615384615384615</t>
  </si>
  <si>
    <t>Cc1ccc(C)c(CN=Cc2ccccn2)c1C 7.7518406 0.45454545454545453</t>
  </si>
  <si>
    <t>Cc1cnc(CN(Cc2cccnc2C2OC=NC2(C)C)Cc2ncc(C)c(C)c2C)c(C)c1C 7.7518396 0.25925925925925924</t>
  </si>
  <si>
    <t>CC(C)C(C)N(C)CC1=C(N(C)c2ccc3ccc(CF)nc3c2)CC=CN1 7.7518387 0.2608695652173913</t>
  </si>
  <si>
    <t>Cc1ccc(CN(C)c2ccnc(CN(C)Cc3ccccn3)c2)cn1 7.7518325 0.43137254901960786</t>
  </si>
  <si>
    <t>CC1=CC(C)C(N(C)Cc2ccc(-c3cccc(N=Cc4ccccn4)c3)cn2)CC1C 7.7518325 0.3382352941176471</t>
  </si>
  <si>
    <t>CC1(C)COC(c2cc(CN(Cc3ccccn3)Cc3ccccn3)ccn2)=N1 7.75183 0.4444444444444444</t>
  </si>
  <si>
    <t>CCOC(=O)C(=O)C(=O)C(C)N=Cc1ncc(C)c(C)c1C 7.751827 0.21212121212121213</t>
  </si>
  <si>
    <t>Cc1cnc(CN(C)Cc2nc(C)c(C)c(C)c2C)cc1C 7.7518263 0.37209302325581395</t>
  </si>
  <si>
    <t>Cc1cnc(CN(C)CC2=C(N(C)Cc3ncc(C)c(C)c3C)NC=CC2)c(C)c1C 7.751824 0.25</t>
  </si>
  <si>
    <t>CCC(C)N(C)CC1=CC(N(C)c2ccc3nccc(CF)c3c2)C=CN1 7.7518225 0.2714285714285714</t>
  </si>
  <si>
    <t>Cc1cccnc1CN(C)CC1=CCC=C(N(C)Cc2ncccc2C)N1 7.751821 0.288135593220339</t>
  </si>
  <si>
    <t>CC1C=CCC(C)(c2ncccc2CN(Cc2ccccn2)Cc2ccc(-c3cccc(N=Cc4ccccn4)c3)cn2)C1C 7.7518187 0.29411764705882354</t>
  </si>
  <si>
    <t>FC1=CC(SCc2ccccn2)NC(SCc2ccccn2)=C1 7.751801 0.38636363636363635</t>
  </si>
  <si>
    <t>Cc1cc(C)c(C)c(CN(C)C2=CCC=C(CN(C)Cc3ccncc3C)N2)n1 7.7518 0.208955223880597</t>
  </si>
  <si>
    <t>CCCN(Cc1ccccn1)Cc1cc(C(C)(C)c2cc(CN(Cc3ccc(C)cn3)Cc3cc(C(C)(c4ccccn4)c4ccccn4)ccn3)ccn2)ccn1 7.7517977 0.35384615384615387</t>
  </si>
  <si>
    <t>CN(c1ccc2ncccc2c1)C1CCCCC1N(Cc1ccccn1)Cc1cccc(C(C)(c2ccccn2)c2ccccn2)n1 7.7517962 0.4262295081967213</t>
  </si>
  <si>
    <t>CC(C)N(C)CCN(C)c1ccc2ccc(CF)nc2c1 7.7517943 0.3111111111111111</t>
  </si>
  <si>
    <t>Cc1ccc(CN(Cc2ccc(F)nc2)Cc2ccccn2)nc1N(C)C 7.7517796 0.43478260869565216</t>
  </si>
  <si>
    <t>CC(N)C1=CCC=C(N(C)CC2=CCC=C(N(C)Cc3ccccn3)N2)N1 7.751779 0.39655172413793105</t>
  </si>
  <si>
    <t>Cc1c(CN(Cc2ccccn2)C(C)(N)N(Cc2ccccn2)CC(C)(C)C)cccc1N(C)Cc1ccc2ncccc2c1 7.751766 0.3484848484848485</t>
  </si>
  <si>
    <t>Cc1ncccc1CN(C)Cc1nc(C)c(C)o1 7.7517653 0.4222222222222222</t>
  </si>
  <si>
    <t>CC(C)(C)c1cccc(NCc2cc(C(C)(C)c3ccccn3)ccn2)c1 7.751759 0.3333333333333333</t>
  </si>
  <si>
    <t>Cc1cccnc1CN(C)CC1=CCC=C(N(C)Cc2nccc(C)c2C)N1 7.7517557 0.26153846153846155</t>
  </si>
  <si>
    <t>Cc1ccnc(CN(C)C2=CCC=C(CN(C)C)N2)c1 7.751751 0.37254901960784315</t>
  </si>
  <si>
    <t>Cc1cc(CN(C)C2=C(CN(C)Cc3nc(C)c(C)cc3C)CC=CN2)cnc1C 7.7517476 0.1935483870967742</t>
  </si>
  <si>
    <t>Cc1cc(C)c(C)c(CN(C)C2=C(CN(C)Cc3cc(C)c(C)c(C)n3)NC=CC2)n1 7.7517405 0.23333333333333334</t>
  </si>
  <si>
    <t>CN(C)Cc1ccc2cccc(N(C)CCN(C)CCF)c2n1 7.751734 0.4666666666666667</t>
  </si>
  <si>
    <t>CNCc1ccc(C)c(C)c1N(C)Cc1ccccn1 7.7517333 0.44680851063829785</t>
  </si>
  <si>
    <t>CN(Cc1ccc(N(C)C)cn1)Cc1cccc(F)n1 7.7516913 0.45454545454545453</t>
  </si>
  <si>
    <t>Cc1cc(CN(C)CC2=CCC=C(N(C)Cc3ncc(C)c(C)c3C)N2)ccn1 7.751691 0.2318840579710145</t>
  </si>
  <si>
    <t>CCNc1ccc2nccc(CN(C)C(C)C)c2c1 7.751685 0.24528301886792453</t>
  </si>
  <si>
    <t>CN(Cc1ncccc1-c1ccc2c(c1)OCCOCCOCCOCCOCCO2)Cc1ccnc2ccc(N(C)Cc3ccc4ncccc4c3)cc12 7.7516804 0.26436781609195403</t>
  </si>
  <si>
    <t>Cc1cccc(CN(C)c2ccc(CN(Cc3ccccn3)Cc3ccc(F)cn3)nc2)n1 7.751673 0.4444444444444444</t>
  </si>
  <si>
    <t>CN(C)Cc1ncccc1C1=NC(C)(C)CO1 7.7516675 0.4318181818181818</t>
  </si>
  <si>
    <t>CC1=CC(N(C)c2ccc3nccc(CN(C)Cc4ncccc4C)c3c2)CC(C)(C)C1C 7.751666 0.23943661971830985</t>
  </si>
  <si>
    <t>CC(C)N(Cc1ccccn1)c1ccc2ncccc2c1-c1cc(CN2CCN(C)CCN(C)CC2)ccn1 7.751666 0.4262295081967213</t>
  </si>
  <si>
    <t>Cc1cnc(CN(C)CC2=CCC=C(N(C)Cc3nccc(C)c3C)N2)cc1C 7.751666 0.29310344827586204</t>
  </si>
  <si>
    <t>Cc1cc(C)c(C)c(CN(C)C2=C(CN(C)C)NC=CC2)n1 7.751662 0.2</t>
  </si>
  <si>
    <t>CN(Cc1ccccn1)C1=CNC(CN(C)C(C)(c2cccnc2)c2ccccn2)=CC1 7.751661 0.3548387096774194</t>
  </si>
  <si>
    <t>CNCC1=CCC=C(N(C)Cc2cc(C)c(C)c(C)n2)N1 7.751644 0.21311475409836064</t>
  </si>
  <si>
    <t>Cc1cc(C)c(CN(C)CC2=CCC(N(C)Cc3nc(C)c(C)c(C)c3C)=CN2)cn1 7.7516418 0.19402985074626866</t>
  </si>
  <si>
    <t>CNc1cccnc1CN(Cc1cc(C)ccn1)Cc1nc(C)c(C)c(C)c1C 7.7516418 0.32</t>
  </si>
  <si>
    <t>CNCc1cccc(N(C)Cc2ncccc2C)n1 7.751632 0.32075471698113206</t>
  </si>
  <si>
    <t>CN(CCNc1cccc2cccnc12)Cc1ccccn1 7.7516317 0.5</t>
  </si>
  <si>
    <t>Cc1cccc(CN(C)C2=CCC=C(CN(C)C)N2)n1 7.751623 0.45454545454545453</t>
  </si>
  <si>
    <t>Cc1cnccc1NCc1ccc(C(C)(C)C)cn1 7.751618 0.24489795918367346</t>
  </si>
  <si>
    <t>Cc1ccc(N(C)Cc2ccccn2)c(CN(C)Cc2ncccc2C)c1 7.7516165 0.5</t>
  </si>
  <si>
    <t>Cc1cccc(N(C)C2CCCC(N(C)c3ccc4nccc(CF)c4c3)C2)c1 7.7516117 0.26865671641791045</t>
  </si>
  <si>
    <t>Cc1cccc(CN(CC2=CCC=C(N(C)Cc3nc(C)ccc3C)N2)Cc2ccccn2)n1 7.7515917 0.43548387096774194</t>
  </si>
  <si>
    <t>Cc1cnc(CN(Cc2cc(C)c(C)c(C)n2)C2CCC(N(C)c3ccc4ccc(CN(C)C)nc4c3)CC2)cc1C 7.751591 0.2878787878787879</t>
  </si>
  <si>
    <t>Cc1nc(CN(C)Cc2cc([SiH3])c([SiH3])cn2)n(C)c1C 7.751589 0.3125</t>
  </si>
  <si>
    <t>Cc1cnc(C)c(CN(C)C2=CCC=CN2)c1 7.751584 0.30357142857142855</t>
  </si>
  <si>
    <t>Cc1cccnc1CN(C)c1ccccc1CN(C)C 7.7515693 0.4</t>
  </si>
  <si>
    <t>CCN(Cc1ccccn1)c1ccccc1-c1ccc(CN(C)C(C)C)nc1 7.7515607 0.42</t>
  </si>
  <si>
    <t>Cc1cnc(CN(C)C2CCC(N(C)Cc3cc(-c4ccc5ncccc5c4)ccn3)CC2)c(C)c1C 7.7515607 0.3387096774193548</t>
  </si>
  <si>
    <t>CN(Cc1ccc(-c2cccc(NCc3ccccn3)c2)cn1)C(C)(C)C 7.7515583 0.35714285714285715</t>
  </si>
  <si>
    <t>Cc1cccnc1CN(C)CC1=CCC=C(N(C)Cc2ncc(C)c(C)c2C)N1 7.7515554 0.2727272727272727</t>
  </si>
  <si>
    <t>CNc1cc(C)c(C)cn1 7.751551 0.21621621621621623</t>
  </si>
  <si>
    <t>Cc1ccccc1N(C)C1CCCCC1N(C)c1ccc2c(CN(C)C)ccnc2c1 7.7515497 0.38596491228070173</t>
  </si>
  <si>
    <t>Cc1ccc(N(C)CC2=CC(N(C)Cc3nccc(C)c3C)C=CN2)cc1C 7.751543 0.27692307692307694</t>
  </si>
  <si>
    <t>Cc1ccnc(CN(Cc2nc(C)c(C)c(C)c2C)C2CCCCC2N(C)c2ccc3nccc(C)c3c2)c1C 7.751535 0.29850746268656714</t>
  </si>
  <si>
    <t>Cc1cccnc1CN(C)C1=CCC=C(CN(C)C)N1 7.7515273 0.29310344827586204</t>
  </si>
  <si>
    <t>CC1(C)COC(c2cc(CN(Cc3ccccn3)Cc3cc(C(C)(C)C)ccn3)ccn2)=N1 7.7515225 0.37037037037037035</t>
  </si>
  <si>
    <t>Cc1nc(CN(C)CC2=CCC=C(N(C)Cc3ccccn3)N2)c(C)c(C)c1C 7.751517 0.3728813559322034</t>
  </si>
  <si>
    <t>Cc1cc(N=Cc2ccccn2)ccc1CNCc1ccccn1 7.7515135 0.4230769230769231</t>
  </si>
  <si>
    <t>CN(Cc1ncccc1-c1ccccc1)C1CCC(N(C)c2ccc3nc(CF)ccc3c2)CC1 7.7515097 0.3142857142857143</t>
  </si>
  <si>
    <t>CCN(CC1=CCC(N(C)Cc2ccccn2)=CN1)c1cccc(C)c1C 7.751506 0.3728813559322034</t>
  </si>
  <si>
    <t>CC1=C(C)C(N(C)Cc2cc(-c3cccc(N=Cc4ccccn4)c3)ccn2)CCC1C 7.7514873 0.3384615384615385</t>
  </si>
  <si>
    <t>Cc1cccc(CN(Cc2cncc(N(C)C)c2)Cc2cccc(F)n2)n1 7.7514844 0.44680851063829785</t>
  </si>
  <si>
    <t>Cc1cnccc1CN(C)Cc1ncccc1N(C)Cc1ccccn1 7.751484 0.46</t>
  </si>
  <si>
    <t>Cc1cnc(CN(Cc2cccc(N=Cc3ccccn3)c2)C(C)C)c(C)c1 7.751477 0.38333333333333336</t>
  </si>
  <si>
    <t>Cc1ccnc2cccc(N(C)CCN(CC(C)(C)C)C(C)C)c12 7.751475 0.34615384615384615</t>
  </si>
  <si>
    <t>CN(CC1=CC(N(C)Cc2ccccn2)C=CN1)C1=C(N(O)Cc2ccccn2)NC=CC1 7.751475 0.38461538461538464</t>
  </si>
  <si>
    <t>Cc1cccc(N(C)Cc2ccccn2)c1C(C)(C)C1=CC(N(C)Cc2ccccn2)C=CN1 7.7514687 0.3898305084745763</t>
  </si>
  <si>
    <t>Cc1ccccc1N(C)Cc1cccc(C(C)(C)C)n1 7.751467 0.38095238095238093</t>
  </si>
  <si>
    <t>Cc1cccnc1CN(Cc1ccccn1)C1CC(N(C)c2ccc3nc(C4=CCC=CN4)ccc3c2)CCC1N(C)Cc1ccccn1 7.751464 0.34615384615384615</t>
  </si>
  <si>
    <t>Cc1cc(C)c(CN(C)Cc2ccc(N)c(C)n2)c(C)n1 7.751459 0.35555555555555557</t>
  </si>
  <si>
    <t>Cc1ccc(CN(C)c2ccc(CN(Cc3ccccn3)Cc3cccc(C(C)(C)C)n3)nc2)nc1 7.751458 0.43478260869565216</t>
  </si>
  <si>
    <t>CC1(C)COC(c2cccc(CN(Cc3ccccn3)Cc3ccc(C(C)(C)C)cn3)n2)=N1 7.751437 0.46296296296296297</t>
  </si>
  <si>
    <t>Cc1ccnc2cccc(N(C)CCCN(C)C(C)C)c12 7.7514195 0.4166666666666667</t>
  </si>
  <si>
    <t>Cc1ccc(CN(C)c2cccnc2CN(Cc2ccccn2)Cc2ncccc2F)nc1 7.751417 0.4339622641509434</t>
  </si>
  <si>
    <t>Cc1cnc2cccc(N(CCN(C)C(C)(C)C)Cc3ccccn3)c2c1 7.7514114 0.38181818181818183</t>
  </si>
  <si>
    <t>CN(CCCN(C)c1ccc2ncccc2c1)Cc1ccccn1 7.751406 0.44</t>
  </si>
  <si>
    <t>CCOC(=O)C(=O)N1CCN(C)CCN(C(=O)C(=O)C(=O)C(=O)C(=O)C(=O)C(=O)C(=O)C(=O)C(=O)C(=O)C(=O)C(=O)C(=O)C(=O)C(=O)C(=O)C(=O)C=O)CC1 7.7514024 0.288135593220339</t>
  </si>
  <si>
    <t>Cc1cc(C)c(CN(C)C2=CCC=C(CN(C)Cc3ccccn3)N2)nc1C 7.7513967 0.3898305084745763</t>
  </si>
  <si>
    <t>CC1CCC=C(N(C)c2ccc3cccnc3c2)C1C 7.751396 0.30357142857142855</t>
  </si>
  <si>
    <t>Cc1cccnc1CN(Cc1ccnc(-c2cc(N(C)C)cc3ncccc23)c1)Cc1cc(-c2ccc3c(c2)OCCOCCOCCOCCOCCO3)ccn1 7.7513943 0.2777777777777778</t>
  </si>
  <si>
    <t>Cc1nc(CN(C)Cc2cccc(N(C)C3C=CC=CN3)n2)c(C)c(C)c1C 7.75139 0.32727272727272727</t>
  </si>
  <si>
    <t>Cc1ccc(CN(Cc2ccccn2)C2=C(CN(C)Cc3cc(C)c(C)c(C)n3)NC=CC2)nc1C 7.7513895 0.375</t>
  </si>
  <si>
    <t>CN(Cc1ccc(-c2ccc3cccnc3c2)cn1)C1CCCC(N(C)Cc2ccon2)C1 7.751381 0.3333333333333333</t>
  </si>
  <si>
    <t>CN(c1ccc2ncccc2c1)C1CCCCC1N(Cc1ccccn1)Cc1ccc2ccccc2n1 7.751377 0.4909090909090909</t>
  </si>
  <si>
    <t>Cc1cncc(CN(C)Cc2ccc(N(C)C)cn2)c1 7.751375 0.4523809523809524</t>
  </si>
  <si>
    <t>Cc1ccc(CN(CC2=CCC=C(N(C)Cc3ncc(C)cc3C)N2)Cc2ccccn2)nc1 7.75137 0.42857142857142855</t>
  </si>
  <si>
    <t>CN(C)Cc1ccc2cc(N(C)C3CCCCC3N(C)Cc3cc(-c4ccccc4)ccn3)ccc2n1 7.751357 0.4482758620689655</t>
  </si>
  <si>
    <t>Cc1cccc(CN(Cc2ccccn2)C2=C(CN(C)Cc3nc(C)c(C)c(C)c3C)NC=CC2)n1 7.751356 0.375</t>
  </si>
  <si>
    <t>Cc1ccc(N(Cc2ccccn2)C2CCCCC2N(C)c2cccc3nc(CF)ccc23)cc1C 7.7513556 0.4411764705882353</t>
  </si>
  <si>
    <t>CN(C)Cc1cnc2cccc(N(C)CCN(C)CC(C)(C)C)c2c1 7.7513175 0.34615384615384615</t>
  </si>
  <si>
    <t>Cc1ccccc1N(CC1=C(N(C)Cc2ccccn2)CC=CN1)C(C)C 7.7513175 0.39285714285714285</t>
  </si>
  <si>
    <t>Cc1cnc(CN(C)CC2=CCC=C(N(C)Cc3ccccn3)N2)c(C)c1 7.751315 0.3793103448275862</t>
  </si>
  <si>
    <t>Cc1ccc(-c2ccc(CNCc3ccccn3)cc2)nc1 7.7513137 0.4634146341463415</t>
  </si>
  <si>
    <t>CN(Cc1cccc(Cl)n1)C1CCCCC1N(C)c1cccc2cc(Cl)c(Cl)nc12 7.751312 0.4827586206896552</t>
  </si>
  <si>
    <t>CC1=CC(N(Cc2ccccn2)C2CCC(N(C)c3ccc4ncccc4c3)CC2)Cc2ncccc21 7.75131 0.3333333333333333</t>
  </si>
  <si>
    <t>Cc1cccnc1CN(Cc1cccc(N)n1)Cc1cccc(N(C)C)n1 7.75131 0.34782608695652173</t>
  </si>
  <si>
    <t>CN(Cc1ccccn1)C1C=CNC(C(C)(C)c2cccc(N=Cc3ccccn3)c2)=C1 7.751307 0.3283582089552239</t>
  </si>
  <si>
    <t>Cc1ccc(CN(C)C2CCCC(N(C)Cc3ncccc3-c3cccc4ncccc34)C2)nc1C 7.751306 0.3333333333333333</t>
  </si>
  <si>
    <t>CN(Cc1cccc(C2=CCC=CN2)n1)Cc1cccc(C(C)(C)C)n1 7.7513056 0.3888888888888889</t>
  </si>
  <si>
    <t>CC(C)C(C)N(C)Cc1cccc(-c2cccc(N=Cc3ccccn3)c2)n1 7.7513037 0.421875</t>
  </si>
  <si>
    <t>Cc1cccc(-c2cccc(CN(Cc3ccccn3)C3CCC(N(C)c4ccc5nc(CF)ccc5c4)CC3)n2)c1 7.7513013 0.3972602739726027</t>
  </si>
  <si>
    <t>Cc1cc(CN(C)Cc2ccc(F)cn2)nc(C)c1N(C)C1CCCCC1N(C)c1ccc2ccc(CF)nc2c1 7.751298 0.40298507462686567</t>
  </si>
  <si>
    <t>Cc1cnc(CN(C)Cc2cccc(CN(Cc3nc(C)c(C)cc3C)Cc3ncc(C)c(C)c3C)n2)c(C)c1 7.7512937 0.3333333333333333</t>
  </si>
  <si>
    <t>Fc1ccccc1CN(Cc1ccccn1)Cc1cccc(-c2ccccc2NCc2ccccn2)n1 7.7512817 0.43636363636363634</t>
  </si>
  <si>
    <t>Cc1cccc(N(CC2=CCC(N(C)Cc3ccccn3)=CN2)C(C)C)c1 7.7512813 0.38095238095238093</t>
  </si>
  <si>
    <t>Cc1cnc(CN(C)C2=CCC=C(CN(C)Cc3ccccn3)N2)c(C)c1 7.7512717 0.36666666666666664</t>
  </si>
  <si>
    <t>Cc1cc(C)c(C)c(CN(C)C2=CCC=C(CN(C)Cc3ncccc3C)N2)n1 7.751271 0.25</t>
  </si>
  <si>
    <t>CC(C)N(C)CCN(C)c1ccc2ncccc2c1 7.751268 0.4090909090909091</t>
  </si>
  <si>
    <t>Cc1nc(CN(Cc2nc(C)c(C)c(C)c2C)C2CCCCC2N(C)c2ccc3nc(CN(C)C)ccc3c2)c(C)c(C)c1C 7.7512655 0.3384615384615385</t>
  </si>
  <si>
    <t>Cc1cccnc1CN(C)C1=CCC=CN1 7.7512646 0.40384615384615385</t>
  </si>
  <si>
    <t>Cc1cc(CN(C)C2=CCC=C(CN(C)Cc3ccccn3)N2)nc(C)c1C 7.751257 0.3898305084745763</t>
  </si>
  <si>
    <t>CC(C)N(C)CCN(C)c1ccc2cccnc2c1 7.7512493 0.4</t>
  </si>
  <si>
    <t>Cc1cnc(CN(C)C)c(C)c1C 7.751246 0.3333333333333333</t>
  </si>
  <si>
    <t>Cc1cccnc1CN(Cc1cccnc1F)Cc1ncccc1N(C)C 7.751244 0.3137254901960784</t>
  </si>
  <si>
    <t>Cc1cccc(CN(C)C2=C(CN(Cc3ccccn3)Cc3nc(C)c(C)c(C)c3C)NC=CC2)n1 7.7512417 0.3880597014925373</t>
  </si>
  <si>
    <t>CN(CCCN(C)c1ccc2ncc(CF)cc2c1)Cc1ccccn1 7.7512283 0.38596491228070173</t>
  </si>
  <si>
    <t>CNCc1ccc2cccc(N(C)CCN(C)C(C)(C)c3ccccn3)c2n1 7.7512283 0.46153846153846156</t>
  </si>
  <si>
    <t>CCN(Cc1ccccn1)Cc1ncccc1N(C)Cc1nc(C)c(C)c(C)c1C 7.7512274 0.41509433962264153</t>
  </si>
  <si>
    <t>Cc1nc(CN(Cc2ccc([SiH3])c([SiH3])n2)Cc2ccc([SiH3])c([SiH3])n2)c(C)n1C 7.751224 0.3111111111111111</t>
  </si>
  <si>
    <t>Cc1cccc(CN(CC2=CCC=C(N(C)Cc3cccc(C)n3)N2)Cc2ccccn2)n1 7.7512236 0.4909090909090909</t>
  </si>
  <si>
    <t>COC(=O)c1cccc(CN(Cc2ccccn2)C2CCC(N(C)c3ccc4nc(CN(C)C)ccc4c3)CC2)n1 7.75122 0.3582089552238806</t>
  </si>
  <si>
    <t>Cc1ncccc1CN(C)CC1=CCC=C(N(C)Cc2nc(C)c(C)c(C)c2C)N1 7.751216 0.3220338983050847</t>
  </si>
  <si>
    <t>Cc1cc(CN(C)c2cncc(CN(Cc3ccccn3)Cc3ccccn3)c2)cnc1C 7.751207 0.4444444444444444</t>
  </si>
  <si>
    <t>Cc1cccc(N(Cc2ccccn2)C2CCCCC2N(C)c2cccc3ncccc23)c1C 7.751204 0.4642857142857143</t>
  </si>
  <si>
    <t>CC1=CC(C)C(C)(c2cc(CN(Cc3ccccn3)Cc3ccc(-c4cccc(N(C)C)c4)cn3)ccn2)C(C)(C)C1 7.7512016 0.30864197530864196</t>
  </si>
  <si>
    <t>Cc1ccc(CN(CC2=CCC=C(N(C)Cc3ccccn3)N2)Cc2ncc(C)cc2C)nc1 7.751186 0.421875</t>
  </si>
  <si>
    <t>CC1=CC(C)C(C)CC1(C)N(Cc1ccccn1)Cc1ccc(-c2cccc(N=Cc3ccccn3)c2)cn1 7.751184 0.3013698630136986</t>
  </si>
  <si>
    <t>CC1=CCC2(C(C)=C(C)C34C(=CNC(C(C)C)=C3C=C(c3ccc(CN(Cc5ccccn5)Cc5ccccn5)cn3)C3(CC(C)=C(C)CC3C)C4C)C2c2cc(CN(Cc3ccccn3)Cc3ccccn3)ccn2)C(C)C1 7.751179 0.24</t>
  </si>
  <si>
    <t>Cc1cncc(CN(C)Cc2cc(N(C)Cc3ccccn3)ccn2)c1 7.7511744 0.43137254901960786</t>
  </si>
  <si>
    <t>CNCc1nc(C(C)(C)C)c(C)c(C)c1C 7.751172 0.175</t>
  </si>
  <si>
    <t>Cc1cc(C)c(C)c(C(C)(C)c2ncccc2CN(Cc2ccccn2)Cc2ccccn2)c1C 7.751169 0.47619047619047616</t>
  </si>
  <si>
    <t>Cc1ccc(N=Cc2ccccn2)cc1CN(C)Cc1ccccn1 7.7511663 0.4230769230769231</t>
  </si>
  <si>
    <t>Cc1cc(CN(C)CC2=CCC=C(N(C)Cc3ncccc3C)N2)cnc1C 7.7511606 0.25</t>
  </si>
  <si>
    <t>CN(c1cccc2ncccc12)C1CCCCC1N(Cc1ccccn1)Cc1cccc(C(C)(c2ccccn2)c2ccccn2)n1 7.7511587 0.4262295081967213</t>
  </si>
  <si>
    <t>CN(Cc1ccc2ncccc2c1)Cc1ncccc1N(C)C1CCCCC1N(C)Cc1ccc2ncccc2c1 7.751158 0.4642857142857143</t>
  </si>
  <si>
    <t>Cc1ccnc(CN(Cc2ccccn2)Cc2cccc(C3=NC(C)(C)CO3)n2)c1 7.7511573 0.49019607843137253</t>
  </si>
  <si>
    <t>Cc1ccc(CN(CC2=CCC=C(N(C)Cc3ncccc3C)N2)Cc2ncccc2C)nc1 7.7511516 0.36507936507936506</t>
  </si>
  <si>
    <t>CN(Cc1cc(-c2ccc3ncccc3c2)ccn1)C1CCC(N(C)Cc2ccon2)CC1 7.75115 0.35185185185185186</t>
  </si>
  <si>
    <t>Cc1cccc(N(C)CC2=CCC=CN2)c1C 7.7511435 0.42</t>
  </si>
  <si>
    <t>CN(CCCNCc1ccccn1)c1ccc2nccc(CF)c2c1 7.751142 0.4117647058823529</t>
  </si>
  <si>
    <t>Cc1cc(C)c(CN(C)CC2=CCC=C(N(C)Cc3ccccn3)N2)nc1C 7.7511344 0.3793103448275862</t>
  </si>
  <si>
    <t>Cc1cnccc1CN(C)CC1=CCC=C(N(C)Cc2nc(C)c(C)c(C)c2C)N1 7.751118 0.21212121212121213</t>
  </si>
  <si>
    <t>CCN(C)Cc1ccc2cccc(N(C)C3CCC(N(Cc4ccc5ncccc5c4)Cc4ncccc4C)CC3)c2n1 7.7511106 0.36486486486486486</t>
  </si>
  <si>
    <t>CCC(C)N(C)Cc1ncccc1-c1ccc(Cl)cc1N 7.7511053 0.2857142857142857</t>
  </si>
  <si>
    <t>Cc1cccc(CN(C)Cc2ncccc2N(C)Cc2cccc(C(C)(C)C)n2)n1 7.7510943 0.46808510638297873</t>
  </si>
  <si>
    <t>Cc1cc(C)c(C)c(CN(C)CC2=C(N(C)Cc3nc(C)c(C)cc3C)CC=CN2)n1 7.7510853 0.1935483870967742</t>
  </si>
  <si>
    <t>Cc1cc(NCc2ccccn2)ccc1CN(C)C1CCCC(N(C)Cc2ncccc2-c2cccc3ncccc23)C1 7.751078 0.323943661971831</t>
  </si>
  <si>
    <t>Cc1cccc(N(Cc2ccccn2)C2CCCC(N(C)c3ccc4cc(CN(C)C)cnc4c3)C2)c1 7.7510567 0.34328358208955223</t>
  </si>
  <si>
    <t>CC(C)N(Cc1cccnc1C(C)(c1ccccn1)c1ccccn1)C1CCC(N(C)c2ccc3cc(CF)cnc3c2)CC1 7.7510552 0.2876712328767123</t>
  </si>
  <si>
    <t>Cc1cccnc1CN(C)c1cccc(-c2cccnc2CN(C)C(C)C(C)C)c1 7.7510443 0.25862068965517243</t>
  </si>
  <si>
    <t>Cc1cnc(CN(C)C2=CNC(CN(C)Cc3nc(C)c(C)cc3C)=CC2)c(C)c1 7.751042 0.23728813559322035</t>
  </si>
  <si>
    <t>CN(Cc1cc(-c2ccccc2)ccn1)C1CCC(N(C)c2ccc3cc(CF)cnc3c2)CC1 7.75103 0.3076923076923077</t>
  </si>
  <si>
    <t>Cc1ccnc(CN(C)c2cccc(-c3ccnc(CN(C)C(C)C(C)C)c3)c2)c1 7.751011 0.30357142857142855</t>
  </si>
  <si>
    <t>Cc1cc(CN(C)CC2=CCC=C(N(C)Cc3ccccn3)N2)nc(C)c1C 7.7510076 0.3898305084745763</t>
  </si>
  <si>
    <t>CCN(Cc1ncccc1C)Cc1ncccc1N(C)Cc1ncc(C)c(C)c1C 7.750999 0.3148148148148148</t>
  </si>
  <si>
    <t>Cc1cc(C)c(C)c(CN(C)C2=CCC=C(CN(Cc3ccccn3)Cc3ccccn3)N2)n1 7.7509913 0.45</t>
  </si>
  <si>
    <t>Cc1cnc(CN(C)CC2=C(N(C)Cc3nc(C)c(C)c(C)c3C)CC=CN2)c(C)c1C 7.750991 0.22388059701492538</t>
  </si>
  <si>
    <t>Cc1cnc(CN(C)C2=CNC(CN(C)C)=CC2)c(C)c1C 7.7509894 0.23333333333333334</t>
  </si>
  <si>
    <t>Cc1cccc(N(Cc2ccccn2)C2CCC(N(C)c3ccc4nccc(CF)c4c3)CC2)c1 7.750984 0.3333333333333333</t>
  </si>
  <si>
    <t>Cc1cnccc1CN(C)CC1=CCC=C(N(C)Cc2cc(C)c(C)c(C)n2)N1 7.7509766 0.208955223880597</t>
  </si>
  <si>
    <t>CCN(Cc1ccccn1)c1ccccc1-c1cncc(CN(Cc2ccccn2)C(C)C)c1 7.750974 0.46153846153846156</t>
  </si>
  <si>
    <t>Cc1ccccc1N(Cc1ccccn1)C1CCC(N(C)c2ccc3c(CF)ccnc3c2)CC1 7.7509623 0.3492063492063492</t>
  </si>
  <si>
    <t>Cc1cccc(-c2cccc(CN(Cc3ccccn3)C3CCCCC3N(C)c3cccc4cc(CN(C)C)cnc34)n2)c1 7.750958 0.4264705882352941</t>
  </si>
  <si>
    <t>Cc1cc(C)c2cccc(N(C)C3CCCC(N(C)Cc4nc(C)c(C)c(C)c4C)C3)c2n1 7.7509575 0.30158730158730157</t>
  </si>
  <si>
    <t>Cc1cnccc1CN(C)CC1=CCC=C(N(C)Cc2nc(C)c(C)cc2C)N1 7.750953 0.21212121212121213</t>
  </si>
  <si>
    <t>Cc1cc(C)c(CN(C)Cc2nc(C)c(C)c(C)c2C)cn1 7.7509465 0.2549019607843137</t>
  </si>
  <si>
    <t>CN(C)c1ccnc(CN(Cc2ccnc(F)c2)Cc2cc(N)ccn2)c1 7.7509294 0.2978723404255319</t>
  </si>
  <si>
    <t>Cc1cnc(CN(C)C2=CNC(CN(C)Cc3cc(C)c(C)c(C)n3)=CC2)c(C)c1 7.7509255 0.26666666666666666</t>
  </si>
  <si>
    <t>Cc1ccnc(CN(Cc2ccnc(-c3ccccc3)c2)Cc2ccccn2)c1 7.7509084 0.4878048780487805</t>
  </si>
  <si>
    <t>CC(C)N(Cc1cc2c(cn1)C(C)(C)CC=C2)Cc1ccc2c(n1)CC(C)(C)C=C2 7.750906 0.25396825396825395</t>
  </si>
  <si>
    <t>Cc1ccc(N(C)Cc2ccccn2)cc1C(C)(C)C1=CC(N(C)Cc2ccccn2)C=CN1 7.7509046 0.3728813559322034</t>
  </si>
  <si>
    <t>Cc1cc(CN(C)C2=CNC=CC2)nc(C)c1C 7.7509007 0.21818181818181817</t>
  </si>
  <si>
    <t>Cc1cnc(CN(C)C2=C(CN(Cc3ccccn3)Cc3cc(C)c(C)c(C)n3)NC=CC2)c(C)c1 7.750895 0.37142857142857144</t>
  </si>
  <si>
    <t>CNc1c(C)cc(CN(Cc2cc(C)ccn2)Cc2cccc(C)n2)nc1C 7.7508874 0.37254901960784315</t>
  </si>
  <si>
    <t>Cc1ccccc1N(Cc1ccccn1)C1CCC(N(C)c2cccc3nccc(CF)c23)CC1 7.7508864 0.3548387096774194</t>
  </si>
  <si>
    <t>Cc1ccc(CN(Cc2cccc(N)n2)C2CCC(N(C)Cc3cc(-c4ccc5cccnc5c4)ccn3)CC2)nc1C 7.7508764 0.29577464788732394</t>
  </si>
  <si>
    <t>Cc1ccc(-c2cc(CN(Cc3ccccn3)Cc3ccccn3)ccn2)c(CNCc2ccccn2)c1C 7.7508764 0.4166666666666667</t>
  </si>
  <si>
    <t>Cc1cnc(CN(C)Cc2cc(N(C)C3C=CC=CN3)ccn2)c(C)c1 7.7508683 0.3076923076923077</t>
  </si>
  <si>
    <t>Cc1cnc2cccc(N(C)C3CC(N(C)Cc4ccccn4)CC(N(C)c4ccccc4C)C3)c2c1 7.7508407 0.39655172413793105</t>
  </si>
  <si>
    <t>Cc1cc(CN(C)Cc2ccc(N(C)Cc3ccccn3)cn2)ccn1 7.750825 0.45098039215686275</t>
  </si>
  <si>
    <t>CNC1=CNCC=C1N(C)Cc1cc(C)ccn1 7.7508245 0.3333333333333333</t>
  </si>
  <si>
    <t>Cc1ccc(CN(Cc2ccccn2)Cc2ccc(N(C)C3C=CC=CN3)cn2)nc1C 7.750821 0.4666666666666667</t>
  </si>
  <si>
    <t>CC(C)C(C)N(Cc1ccccn1)Cc1cccc(-c2ccccc2N=Cc2ccccn2)n1 7.750813 0.42105263157894735</t>
  </si>
  <si>
    <t>CC(CN(Cc1ccccn1)Cc1ccccn1)(c1ccccc1)c1ccc2ncccc2c1 7.750812 0.46938775510204084</t>
  </si>
  <si>
    <t>Cc1cccnc1CN(CN(C)c1c(C)c(C)c(C)c(C)c1C)C(C)C 7.750802 0.391304347826087</t>
  </si>
  <si>
    <t>Cc1cc(CN(C)CC2=C(N(C)Cc3cc(C)c(C)c(C)n3)CC=CN2)nc(C)c1C 7.750799 0.24074074074074073</t>
  </si>
  <si>
    <t>Cc1cccc(C(C)(C)C)c1N(C)Cc1ccccn1 7.750792 0.4772727272727273</t>
  </si>
  <si>
    <t>C1=C(NCc2ccccn2)CNC(c2ccccc2)=C1 7.750789 0.4230769230769231</t>
  </si>
  <si>
    <t>Cc1cc(C)c(C)c(CN(C)CC2=CCC(N(C)Cc3nc(C)cc(C)c3C)=CN2)n1 7.75078 0.2222222222222222</t>
  </si>
  <si>
    <t>CC1=C(C)C(C)C(C)(c2ncccc2CN(Cc2ccccn2)Cc2ncccc2-c2ccccc2N(C)C)CC1C 7.7507772 0.3389830508474576</t>
  </si>
  <si>
    <t>COC(=O)C1C(=O)N(C)C2C(C(=O)OC)C1C(c1ccccn1)N(C)C2c1ccccn1 7.75075 0.41935483870967744</t>
  </si>
  <si>
    <t>Cc1ccccc1N(Cc1ccccn1)C1CCC(N(C)c2ccc3nccc(CF)c3c2)CC1 7.7507496 0.34375</t>
  </si>
  <si>
    <t>CN(Cc1ncccc1-c1ccccc1)C1CCC(N(C)c2cccc3cc(CF)cnc23)CC1 7.7507415 0.36923076923076925</t>
  </si>
  <si>
    <t>Cc1cccc(CN(Cc2ccccn2)C2CCCC(N(C)c3ccc4nccc(CF)c4c3)C2)c1N(C)Cc1ccccn1 7.750739 0.3150684931506849</t>
  </si>
  <si>
    <t>Cc1cnc(C)c(CN(Cc2ccccn2)Cc2ncccc2N(C)C)c1 7.7507124 0.4444444444444444</t>
  </si>
  <si>
    <t>Cc1cncc(CN(C)CC2=CCC=C(N(C)Cc3nc(C)c(C)c(C)c3C)N2)c1 7.750709 0.19047619047619047</t>
  </si>
  <si>
    <t>Cc1cccc(CN(CC2=CCC=C(N(C)Cc3ccccn3)N2)Cc2ccc(C)c(C)n2)n1 7.750703 0.43548387096774194</t>
  </si>
  <si>
    <t>CN(Cc1cccnn1)C1=C(N(C)C(C)(C)c2ccccn2)NCC=C1 7.7506924 0.4074074074074074</t>
  </si>
  <si>
    <t>Cc1ccc(CN(C)c2cccnc2CN(Cc2ccccn2)Cc2ncccc2C)nc1 7.7506886 0.45098039215686275</t>
  </si>
  <si>
    <t>Cc1cncc(CN(C)Cc2cccc(N(C)Cc3ncccc3C)n2)c1 7.7506785 0.3620689655172414</t>
  </si>
  <si>
    <t>Cc1cccnc1CN(C)CC1=CCC=C(N(C)Cc2nc(C)c(C)c(C)c2C)N1 7.750675 0.25396825396825395</t>
  </si>
  <si>
    <t>Cc1ccc(C(C)(C)c2cccc(CN(Cc3ccccn3)C3CCC(N(C)c4ccc5cc(CN(C)C)cnc5c4)CC3)n2)c(C)c1C 7.75067 0.2894736842105263</t>
  </si>
  <si>
    <t>CN(Cc1cc(-c2ccc3c(c2)OCCOCCOCCOCCOCCO3)ccn1)Cc1ccc2cc(N(C)c3ccc4ncccc4c3)ccc2n1 7.7506685 0.34210526315789475</t>
  </si>
  <si>
    <t>Cc1cnc(CN(C)C2CCC(N(Cc3cc(-c4ccc5ncccc5c4)ccn3)Cc3ncccc3C)CC2)c(C)c1 7.750666 0.2714285714285714</t>
  </si>
  <si>
    <t>CN(C)Cc1ccc2cc(N(C)C3CCC(N(C)Cc4cccc(-c5ccccc5)n4)CC3)ccc2n1 7.750666 0.32786885245901637</t>
  </si>
  <si>
    <t>CC(c1ccccc1)c1cccc(-c2ccccc2)n1 7.7506657 0.2708333333333333</t>
  </si>
  <si>
    <t>CN(C)Cc1cnc2cc(N(C)CCN(C)C(C)(C)C)ccc2c1 7.750665 0.24528301886792453</t>
  </si>
  <si>
    <t>CCC(C)N(Cc1ccccn1)Cc1cccc(-c2ccccc2N(C)Cc2ccccn2)n1 7.7506638 0.49019607843137253</t>
  </si>
  <si>
    <t>Cc1cc(C)nc(NC2CCCCC2N(C)c2cccc3ncccc23)c1 7.7506623 0.43103448275862066</t>
  </si>
  <si>
    <t>Cc1cnc(CN(C)C2=CCC=C(CN(C)Cc3ncccc3C)N2)c(C)c1 7.7506576 0.2542372881355932</t>
  </si>
  <si>
    <t>CC1(C)COC(c2ccc(CN(Cc3cccc(-c4ccc5c(c4)OCCOCCOCCOCCOCCO5)n3)Cc3ccc4ccc5cccnc5c4n3)cn2)=N1 7.7506356 0.3424657534246575</t>
  </si>
  <si>
    <t>CC(C)C1=CC2(C=CN1)CC(c1cccc(CN(Cc3ccccn3)C3CCC(N(C)c4ccc5nc(CF)ccc5c4)CC3)n1)C1C=CC=NC1=C2c1ccccn1 7.7506146 0.2708333333333333</t>
  </si>
  <si>
    <t>Cc1ccc(CN(C)Cc2ncccc2N(C)Cc2ccc(C)nc2)nc1 7.7506123 0.46808510638297873</t>
  </si>
  <si>
    <t>Cc1ccnc2ccc(N(C)C3CCCCC3N(Cc3ccccn3)Cc3cccc(-c4ccccc4)n3)cc12 7.7506065 0.40625</t>
  </si>
  <si>
    <t>CC(C)N(C(C)C)C(C)(N)N(Cc1ccccn1)CN(C)c1ccc2ncccc2c1 7.7506037 0.375</t>
  </si>
  <si>
    <t>Cc1ccnc(CN(C)c2cccc(CN(C)Cc3ncccc3C)n2)c1 7.750598 0.4074074074074074</t>
  </si>
  <si>
    <t>Cc1ccc(CN(C)C2=CCC=C(CN(C)Cc3cc(C)c(C)c(C)n3)N2)nc1 7.7505817 0.4074074074074074</t>
  </si>
  <si>
    <t>Cc1ccc(CN(C)c2ccc(CN(Cc3ccccn3)Cc3ncccc3C)nc2)nc1 7.750574 0.4444444444444444</t>
  </si>
  <si>
    <t>Cc1ccc(CN(Cc2cccc(F)n2)Cc2ncccc2N(C)C)nc1C 7.7505693 0.36363636363636365</t>
  </si>
  <si>
    <t>Cc1cncc(CN(C)c2ccccc2F)c1 7.7505693 0.3125</t>
  </si>
  <si>
    <t>Cc1ccnc2ccc(N(C)CCN(CC(C)(C)C)C(C)C)cc12 7.750568 0.2962962962962963</t>
  </si>
  <si>
    <t>Cc1ccc(CN(C)Cc2ncccc2N(Cc2ncc(C)cc2C)C(C)C)nc1 7.750563 0.43137254901960786</t>
  </si>
  <si>
    <t>Cc1cccnc1CN(C)CC1=CCC=C(N(C)Cc2cc(C)c(C)c(C)n2)N1 7.7505617 0.265625</t>
  </si>
  <si>
    <t>CC1=CC(C)CC(C(C)(C)c2ccccn2)=C1N(C)Cc1ccccn1 7.750554 0.41509433962264153</t>
  </si>
  <si>
    <t>CN(Cc1ccccn1)c1cc(Cl)cc(Cl)c1N(C)Cc1ncccc1N(O)C1CCC(N(C)Cc2ccccn2)CC1 7.750552 0.4576271186440678</t>
  </si>
  <si>
    <t>Cc1cc(C)c(CN(C)C2=C(CN(C)Cc3cc(C)c(C)c(C)n3)NC=CC2)nc1C 7.750542 0.21311475409836064</t>
  </si>
  <si>
    <t>CCNCc1ccc2ncccc2c1 7.750539 0.2926829268292683</t>
  </si>
  <si>
    <t>Cc1cc(CN(C)Cc2ccc(N(C)C)cn2)ccn1 7.7505374 0.4186046511627907</t>
  </si>
  <si>
    <t>CN(CCF)CN(Cc1ccccn1)c1ccc2nccc(CN(C)C(C)(C)c3ccccn3)c2c1 7.7505345 0.328125</t>
  </si>
  <si>
    <t>Cc1cccc(CN(Cc2ccc(N(C)C)cn2)Cc2ncccc2F)n1 7.750531 0.42857142857142855</t>
  </si>
  <si>
    <t>Cc1ccc(CN(C)CCN(Cc2ccccn2)Cc2cc(-c3cccc(N(C)C)c3)ccn2)nc1 7.750521 0.49019607843137253</t>
  </si>
  <si>
    <t>CC1=CC(C)C2(C(C)C1)C(c1cccc(CN(Cc3ccccn3)C3CCC(N(C)c4ccc5ncc(CN(C)C)cc5c4)CC3)n1)C=CC1(C=C(C)C(C)CC1)C2c1ccc(CN(Cc2ccccn2)Cc2ccc(-c3ccc4ncccc4c3)cn2)cn1 7.750512 0.2231404958677686</t>
  </si>
  <si>
    <t>Cc1ccc(C)c(CN(C)CC2=CCC=C(N(C)Cc3ncc(C)c(C)c3C)N2)n1 7.7505107 0.23333333333333334</t>
  </si>
  <si>
    <t>Cc1cncc(CN(C)CC2=CCC=C(N(C)Cc3nc(C)c(C)cc3C)N2)c1 7.7505054 0.19047619047619047</t>
  </si>
  <si>
    <t>Cc1ccc(CN(C)c2cccnc2CN(Cc2ccccn2)Cc2ccc(N)cn2)nc1 7.750496 0.4339622641509434</t>
  </si>
  <si>
    <t>CN(C)Cc1cncc2c(N(C)CCN(C)C(C)(C)C)cccc12 7.750494 0.3469387755102041</t>
  </si>
  <si>
    <t>Cc1ccc(CN(Cc2ccccn2)Cc2ncccc2N(C)C)nc1C 7.750487 0.47619047619047616</t>
  </si>
  <si>
    <t>Cc1ccnc(CN(C)Cc2ccc(N(C)C)cn2)c1 7.7504864 0.475</t>
  </si>
  <si>
    <t>Cc1cccc(CN(C)Cc2cccc(N(C)C(C)(C)c3ccc(CN(C)Cc4ncc(C)c(C)c4C)nc3)n2)n1 7.7504783 0.4074074074074074</t>
  </si>
  <si>
    <t>CNCC1=CCC=C(N(C)Cc2nc(C)c(C)c(C)c2C)N1 7.750468 0.2</t>
  </si>
  <si>
    <t>Fc1ccccc1NCc1ncccc1C(c1ccccc1)c1ccccn1 7.7504654 0.288135593220339</t>
  </si>
  <si>
    <t>Cc1ccc(CN(C)C2=CCC=C(CN(C)Cc3nc(C)c(C)c(C)c3C)N2)nc1 7.7504554 0.3888888888888889</t>
  </si>
  <si>
    <t>CCC1=NC(c2cccc(CNCc3cccc(C(C)(c4ccccn4)c4ccccn4)n3)c2)CO1 7.7504396 0.36231884057971014</t>
  </si>
  <si>
    <t>Cc1cc(C)c(CN(C)C2=CCC=C(CN(C)Cc3ncccc3C)N2)nc1C 7.7504272 0.25396825396825395</t>
  </si>
  <si>
    <t>CC(C)N(C)CCN(C)c1cccc2nc(CF)ccc12 7.7504244 0.375</t>
  </si>
  <si>
    <t>CC1=CC(C)C(C)C2(C1)C(c1cccc(CN(Cc3ccccn3)Cc3ccccn3)n1)C(c1ccc(CN(Cc3ccccn3)c3ccc4ncccc4c3)cn1)C=CC21C=CNC(C(C)C)=C1 7.7504177 0.24761904761904763</t>
  </si>
  <si>
    <t>Cc1cncc(CN(C)CC2=CCC=C(N(C)Cc3cc(C)c(C)c(C)n3)N2)c1 7.7504077 0.20634920634920634</t>
  </si>
  <si>
    <t>C1=CC(NCc2ccccn2)=C(c2ccccc2)CN1 7.750407 0.4074074074074074</t>
  </si>
  <si>
    <t>CC(C)N(C)CCN(C)c1cccc2ncc(CF)cc12 7.7504063 0.36</t>
  </si>
  <si>
    <t>CCN(Cc1ccccn1)Cc1ccc2cccc(N(C)CCF)c2n1 7.7503963 0.49019607843137253</t>
  </si>
  <si>
    <t>Cc1ccc(CN(C)c2ccc(CN(Cc3ccccn3)Cc3ccc(N)cn3)nc2)nc1 7.7503834 0.46511627906976744</t>
  </si>
  <si>
    <t>CC1C=CC(C)C(C)(c2cccc(CN(Cc3ccccn3)Cc3ccc(-c4cccc(N(C)C)c4)cn3)n2)C1 7.7503767 0.36486486486486486</t>
  </si>
  <si>
    <t>Cc1ccc(CN(C)c2ccc(CN(Cc3cccc(F)n3)Cc3cccc(F)n3)nc2)nc1 7.750375 0.4772727272727273</t>
  </si>
  <si>
    <t>CC(C)N(C)CCN(Cc1ccccn1)c1cccc2ncccc12 7.7503605 0.4583333333333333</t>
  </si>
  <si>
    <t>Cc1ccnc2cc(N(Cc3ccccn3)C3CCCCC3N(C)C3=CCC=CN3)ccc12 7.750359 0.4057971014492754</t>
  </si>
  <si>
    <t>Cc1cncc(CN(C)CC2=CCC=C(N(C)Cc3cc(C)cc(C)n3)N2)c1 7.7503524 0.3</t>
  </si>
  <si>
    <t>Cc1ccccc1N(C)C1CCCC(N(C)c2cccc3ncc(CN(C)C)cc23)C1 7.750349 0.27419354838709675</t>
  </si>
  <si>
    <t>CC(C)C1CC(c2cccc(CN(Cc3ccccn3)Cc3cccc(-c4ccccc4N=Cc4ccccn4)n3)n2)C1 7.750346 0.375</t>
  </si>
  <si>
    <t>Cc1cnc(CN(C)C2=CCC=C(CN(C)Cc3cccc(C)n3)N2)c(C)c1 7.7503448 0.4</t>
  </si>
  <si>
    <t>CC(C)C1=CC(N(C)CCN(C)c2ccc3cccnc3c2)C=CN1 7.750344 0.3103448275862069</t>
  </si>
  <si>
    <t>Cc1cccc(CN(C)c2cccnc2CN(Cc2ccccn2)Cc2ncccc2C)n1 7.7503247 0.45098039215686275</t>
  </si>
  <si>
    <t>Cc1cc(CN(C)C2CCCC(N(C)Cc3ccc4cccnc4c3)C2)cc(-c2cc(C)c(N)c(C)c2)n1 7.750318 0.2647058823529412</t>
  </si>
  <si>
    <t>Cc1cccc(CN(C)CC2=CCC=C(N(C)Cc3nc(C)c(C)c(C)c3C)N2)n1 7.750306 0.4230769230769231</t>
  </si>
  <si>
    <t>CC1(C)CC(c2ccc(CN(Cc3ccccn3)Cc3cccc(-c4ccc(Cl)c(N)c4)n3)c(CN(Cc3ccccn3)Cc3ccccn3)n2)C1 7.750305 0.43661971830985913</t>
  </si>
  <si>
    <t>CC(C)(c1cccc(CNc2cccnc2-c2cccc(-c3cccc(N=Cc4ccccn4)c3)n2)n1)c1cccc(-c2ccc3c(c2)OCCOCCOCCOCCOCCO3)n1 7.750304 0.25555555555555554</t>
  </si>
  <si>
    <t>Cc1c(C)c(C)c(C)c(C)c1C 7.7503023 0.23076923076923078</t>
  </si>
  <si>
    <t>Cc1cncc(C(C)(C)N(C)c2cccnc2CN(C)Cc2nc(C)c(C)cc2C)c1 7.7503023 0.26666666666666666</t>
  </si>
  <si>
    <t>Cc1ccc(CN(C)c2ccccc2-c2cncc(CN(C)C(C)C(C)C)c2)nc1C 7.7502937 0.2698412698412698</t>
  </si>
  <si>
    <t>C=CCN(C)CC1=CC(N(C)Cc2cccc(-c3cccc(Cl)c3Cl)n2)C=CN1 7.750282 0.27941176470588236</t>
  </si>
  <si>
    <t>CC(C)C(C)N(Cc1ccccn1)Cc1cc(-c2cccc(N=Cc3ccccn3)c2)ccn1 7.750269 0.4074074074074074</t>
  </si>
  <si>
    <t>Cc1ccnc2ccc(N(C)C3C=CNC(CN(C)C(C)C(C)C)=C3)cc12 7.750267 0.2878787878787879</t>
  </si>
  <si>
    <t>Cc1cc(C)c(CN(C)CC2=C(N(C)Cc3nc(C)c(C)cc3C)CC=CN2)nc1C 7.750256 0.2</t>
  </si>
  <si>
    <t>CN(Cc1cc(C(C)(C)c2ccccn2)ccn1)Cc1ccon1 7.7502503 0.45652173913043476</t>
  </si>
  <si>
    <t>Cc1cccnc1CN(C)C1=CCC=C(CN(C)Cc2nc(C)c(C)c(C)c2C)N1 7.7502503 0.25396825396825395</t>
  </si>
  <si>
    <t>Cc1cc(C)c(CN(C)c2ccnc(CN(Cc3ccccn3)C(C)C)c2)nc1C 7.7502494 0.48</t>
  </si>
  <si>
    <t>CNCc1cccc(CN(Cc2cccc(C)n2)Cc2cccc(-c3ccccc3N)n2)n1 7.750249 0.3877551020408163</t>
  </si>
  <si>
    <t>Cc1cc(C)c(CN(C)Cc2ncc(C)c(C)c2C)nc1C 7.750247 0.29545454545454547</t>
  </si>
  <si>
    <t>Nc1ccnc(CN(CC2=CCC=CN2)c2ccccc2F)c1 7.7502456 0.48214285714285715</t>
  </si>
  <si>
    <t>Cc1cc(C)c(CN(C)CC2=CCC=C(N(C)Cc3ncccc3C)N2)nc1C 7.750242 0.25396825396825395</t>
  </si>
  <si>
    <t>Cc1cnc(CN(Cc2nc(C)c(C)cc2C)C2CCC(N(C)c3ccc4nccc(C)c4c3)CC2)c(C)c1 7.7502384 0.2463768115942029</t>
  </si>
  <si>
    <t>C1=CNC(C2=C(NCc3ccccn3)CC=CN2)=CC1 7.750234 0.4528301886792453</t>
  </si>
  <si>
    <t>Cc1ccnc2ccc(N(C)CCN(Cc3ccccc3)CC(C)C)cc12 7.7502193 0.2982456140350877</t>
  </si>
  <si>
    <t>Cc1cccnc1CN(C)Cc1ccc(N(C)C)cn1 7.750219 0.4186046511627907</t>
  </si>
  <si>
    <t>CN(C)Cc1ccc2c(N(C)CCN(C)C(C)(C)C)cccc2n1 7.750218 0.375</t>
  </si>
  <si>
    <t>CNCC1=CCC=C(N(C)Cc2nc(C)c(C)cc2C)N1 7.750215 0.2</t>
  </si>
  <si>
    <t>Cc1cc(CN(C)Cc2ncc(C)c(C)c2C)nc(C)c1C 7.750204 0.3409090909090909</t>
  </si>
  <si>
    <t>Cc1cccc(C2C(NCc3ccccn3)=C(c3ccccc3)C=CC2c2ccccc2)c1NCc1ccccn1 7.7501893 0.375</t>
  </si>
  <si>
    <t>CC(C)C1=CC(N(C)CCN(C)c2ccc3ncccc3c2)C=CN1 7.750185 0.3157894736842105</t>
  </si>
  <si>
    <t>CC(C)c1cccc(CN(Cc2ccccn2)C2CCC(N(C)c3ccc4ncc(C5=CCC=CN5)cc4c3)CC2)n1 7.7501836 0.35064935064935066</t>
  </si>
  <si>
    <t>CC(NCc1ccccn1)c1cccc(C2=CCC=CN2)n1 7.7501817 0.41379310344827586</t>
  </si>
  <si>
    <t>CC1(C)CCC1c1ccc(CN(Cc2ccccn2)Cc2cccc(-c3c(N)cccc3Cl)n2)cn1 7.7501736 0.373134328358209</t>
  </si>
  <si>
    <t>Cc1cc(CN(CC2=CCC=C(N(C)Cc3ccccn3)N2)Cc2ccccn2)nc(C)c1C 7.750169 0.4576271186440678</t>
  </si>
  <si>
    <t>Cc1ccc(CN(C)c2ccc(CN(C)Cc3cccc(C)n3)nc2CN(C)Cc2cccc(C)n2)nc1 7.7501574 0.4888888888888889</t>
  </si>
  <si>
    <t>CNCc1ncccc1N(C)Cc1ncccc1C 7.7501554 0.3695652173913043</t>
  </si>
  <si>
    <t>CN(C)Cc1nccc2cc(N(C)CCN(C)CC(C)(C)C)ccc12 7.750154 0.2909090909090909</t>
  </si>
  <si>
    <t>Cc1cnc(CN(C)C2CCC(N(Cc3cccc(-c4cccc(N)c4)n3)Cc3cccc(-c4cccc(N(C)C)c4)n3)CC2)c(C)c1 7.7501435 0.2987012987012987</t>
  </si>
  <si>
    <t>COC(=O)c1cc(CN(Cc2ccccn2)C2CCC(N(C)c3ccc4ncc(CN(C)C)cc4c3)CC2)ccn1 7.75014 0.29333333333333333</t>
  </si>
  <si>
    <t>CN(C)Cc1cncc2cc(N(C)CCN(C)C(C)(C)C)ccc12 7.7501316 0.21818181818181817</t>
  </si>
  <si>
    <t>Cc1ccnc(CN(C)Cc2cccc(N(C)Cc3ncccc3C)n2)c1 7.750127 0.41509433962264153</t>
  </si>
  <si>
    <t>COC(C)c1cc(CN(Cc2ccccn2)Cc2cc(C(C)(c3ccccn3)c3ccccn3)ccn2)ccn1 7.7501206 0.38461538461538464</t>
  </si>
  <si>
    <t>CCNCc1cccc(-c2cccc(NCc3ccccn3)c2)n1 7.7501173 0.43859649122807015</t>
  </si>
  <si>
    <t>CC(C)C(C)N(C)Cc1ccc(-c2cccc(N=Cc3ccccn3)c2)cn1 7.750111 0.3442622950819672</t>
  </si>
  <si>
    <t>C=Cc1ccc(NCc2ccccn2)cc1 7.75011 0.4722222222222222</t>
  </si>
  <si>
    <t>CN(Cc1cccc(-c2ccon2)n1)Cc1cccc(C2CCC2(C)C)n1 7.750106 0.4</t>
  </si>
  <si>
    <t>Cc1ccc(CN(Cc2ccccn2)Cc2ccc(N(C)C)cn2)nc1C 7.7501 0.5</t>
  </si>
  <si>
    <t>CN(Cc1ccccn1)C1CCC(N(C)c2cccc3nc(C4=CCC=CN4)ccc23)CC1 7.750098 0.4090909090909091</t>
  </si>
  <si>
    <t>CN(c1ccc2ncccc2c1)C1CCCCC1N(Cc1ccc2ncccc2c1)Cc1ccccn1 7.750094 0.48148148148148145</t>
  </si>
  <si>
    <t>Fc1ccccc1NCc1cccc(C(c2ccccc2)c2ccccn2)n1 7.750075 0.3114754098360656</t>
  </si>
  <si>
    <t>CNCc1ncccc1C1=CCC=CN1 7.75007 0.3584905660377358</t>
  </si>
  <si>
    <t>Cc1cc(C)c(CN(C)Cc2cc(C(C)(C)c3ccccn3)ccn2)c(C)c1 7.7500577 0.36363636363636365</t>
  </si>
  <si>
    <t>Cc1ccc(-c2ccccc2CNCc2ccccn2)nc1 7.750026 0.4634146341463415</t>
  </si>
  <si>
    <t>Cc1cnc(CN(C)Cc2ccccc2N(C)C)c(C)c1C 7.75002 0.30612244897959184</t>
  </si>
  <si>
    <t>Cc1cccc(CN(Cc2nc(C)c(C)cc2C)Cc2nc(C)c(C)cc2C)n1 7.750009 0.48717948717948717</t>
  </si>
  <si>
    <t>Cc1cccc(CN(C)C2=CCC=C(CN(C)Cc3cc(C)c(C)c(C)n3)N2)n1 7.7499967 0.41509433962264153</t>
  </si>
  <si>
    <t>Cc1cc(CN(C)c2cccnc2CN(Cc2ccccn2)Cc2cccnc2F)cnc1C 7.7499943 0.3898305084745763</t>
  </si>
  <si>
    <t>CC(C)C(C)N(C)CC1=C(N(C)c2ccc3ncccc3c2)CC=CN1 7.7499866 0.25806451612903225</t>
  </si>
  <si>
    <t>CNCc1cc(C2=CCC=CN2)ccn1 7.7499766 0.3584905660377358</t>
  </si>
  <si>
    <t>CC(C)C(C)N(C)CC1=C(N(C)c2cccc3nccc(CF)c23)CC=CN1 7.749976 0.22058823529411764</t>
  </si>
  <si>
    <t>CC1=C(C)CC(N(C)Cc2cc(-c3cccc(N(C)C)c3)ccn2)C(C)C1 7.749976 0.36363636363636365</t>
  </si>
  <si>
    <t>CNc1ccccc1-c1ncccc1C(C)(C)N(C)C1CCC(N(C)c2ccc3ncccc3c2)CC1 7.749972 0.2608695652173913</t>
  </si>
  <si>
    <t>Cc1cc(C)c(CN(C)C2CCC(N(C)Cc3cc(-c4ccc5ncccc5c4)ccn3)CC2)c(C)n1 7.74997 0.31746031746031744</t>
  </si>
  <si>
    <t>CN(C)Cc1cnc2cccc(N(C)CCN(C)CCF)c2c1 7.7499657 0.35294117647058826</t>
  </si>
  <si>
    <t>Cc1cccc(CN(Cc2ncccc2C)Cc2ncccc2N(C)C)n1 7.7499566 0.4444444444444444</t>
  </si>
  <si>
    <t>CN(CCNc1ccc2ncccc2c1)Cc1cc(F)ccn1 7.7499537 0.35185185185185186</t>
  </si>
  <si>
    <t>Cc1cccc(-c2cccc(CNCc3ccccn3)c2)n1 7.74995 0.4418604651162791</t>
  </si>
  <si>
    <t>Cc1cccnc1CN(Cc1ccnc(-c2ccccc2)c1)Cc1ccccn1 7.749947 0.45454545454545453</t>
  </si>
  <si>
    <t>CC1c2cc(C(C)(C)C)ccc2C=CC1N=Cc1ccccn1 7.7499447 0.3103448275862069</t>
  </si>
  <si>
    <t>Cc1ccc(N=Cc2ccccn2)c(CN(C)Cc2ccccn2)c1 7.7499375 0.45098039215686275</t>
  </si>
  <si>
    <t>CC1C=C(c2cnccc2CN(Cc2ccccn2)Cc2ccc(-c3cccc(N=Cc4ccccn4)c3)cn2)CC(N(C)Cc2ccccn2)C1C 7.7499185 0.31645569620253167</t>
  </si>
  <si>
    <t>CC1COC(c2cc(CN(C)C3CCC(N(C)c4ccc5nccc(CF)c5c4)CC3)ccn2)=N1 7.7499146 0.19736842105263158</t>
  </si>
  <si>
    <t>CC(C)C(C)N(C)Cc1ncccc1-c1ccccc1N=Cc1ccccn1 7.749914 0.4339622641509434</t>
  </si>
  <si>
    <t>Cc1cc(CN(C)Cc2cccc(N(C)Cc3ncccc3C)n2)ccn1 7.749912 0.375</t>
  </si>
  <si>
    <t>Cc1cc(C)c(C)c(CN(C)C2=CNC(CN(C)C)=CC2)n1 7.7498994 0.2037037037037037</t>
  </si>
  <si>
    <t>c1ccc(CN(CCN(Cc2ccccn2)c2cccc3cccnc23)Cc2cccnc2)nc1 7.74989 0.43137254901960786</t>
  </si>
  <si>
    <t>CC(C)C(C)N(Cc1ccccn1)Cc1ncccc1-c1cccc(N=Cc2ccccn2)c1 7.749883 0.38596491228070173</t>
  </si>
  <si>
    <t>Cc1cc(CN(C)C2=C(CN(Cc3nc(C)c(C)c(C)c3C)Cc3nc(C)c(C)c(C)c3C)NC=CC2)ccn1 7.7498693 0.24285714285714285</t>
  </si>
  <si>
    <t>CNC1C=C(N(C)Cc2nc(C)c(C)cc2C)C=CN1 7.7498693 0.1864406779661017</t>
  </si>
  <si>
    <t>CC1(C)CN=C(c2cccc(C3OC=NC3(C)C)n2)O1 7.7498674 0.3541666666666667</t>
  </si>
  <si>
    <t>Cc1cc(C)c(C)c(CN(C)CC2=CCC(N(C)Cc3cc(C)c(C)c(C)n3)=CN2)n1 7.7498565 0.21666666666666667</t>
  </si>
  <si>
    <t>CCN(C)CCN(C)c1ccc2ncccc2c1 7.7498393 0.4186046511627907</t>
  </si>
  <si>
    <t>C=Cc1cccc(NCc2ccccn2)c1 7.7498302 0.4358974358974359</t>
  </si>
  <si>
    <t>Cc1cccnc1CN(Cc1ccccn1)Cc1cccnc1C1=NC(C)(C)CO1 7.7498026 0.4</t>
  </si>
  <si>
    <t>CC1=CCC=C(N(C)CC2=CCC(N(C)Cc3ccc(C)cn3)=CN2)N1 7.7498016 0.37037037037037035</t>
  </si>
  <si>
    <t>CCN(CCN(C)c1cccc2ncccc12)Cc1cccnc1 7.749793 0.42</t>
  </si>
  <si>
    <t>Fc1ccccc1NCc1cc(C(c2ccccc2)c2ccccn2)ccn1 7.7497873 0.3064516129032258</t>
  </si>
  <si>
    <t>Cc1cnc(CN(C)CC2=CCC=C(N(C)Cc3nccc(C)c3C)N2)c(C)c1 7.749778 0.25</t>
  </si>
  <si>
    <t>Cc1cccnc1CN(C)c1cccnc1CN(Cc1ccccn1)Cc1cccc(N)n1 7.749778 0.425531914893617</t>
  </si>
  <si>
    <t>CCN(C)CCN(C)c1ccc2cccnc2c1 7.7497745 0.4090909090909091</t>
  </si>
  <si>
    <t>Cc1cc(CN(Cc2ccccn2)Cc2ccc(N(C)C)cn2)cnc1C 7.749771 0.46511627906976744</t>
  </si>
  <si>
    <t>Cc1ccc(N(Cc2ccccn2)C2CCCC(N(C)c3cccc4nccc(CF)c34)C2)cc1 7.7497706 0.3484848484848485</t>
  </si>
  <si>
    <t>CNCc1ccc2cccc(N(C)C3CCC(N(Cc4ccc5ncccc5c4)Cc4ccccn4)CC3)c2n1 7.749762 0.3561643835616438</t>
  </si>
  <si>
    <t>Cc1ccc(CN(Cc2ccccn2)Cc2ccon2)cc1N(C)Cc1ccccn1 7.7497582 0.47058823529411764</t>
  </si>
  <si>
    <t>CN(Cc1ccc2ncccc2c1)C1CCCCC1N(C)c1ccc2nc(CF)ccc2c1 7.749755 0.47540983606557374</t>
  </si>
  <si>
    <t>Cc1ccc(CN(Cc2ccccn2)c2ccc(F)cc2)nc1CN(C)C1CCC(N(C)c2ccc3nccc(C)c3c2)CC1 7.749746 0.323943661971831</t>
  </si>
  <si>
    <t>CN(C)Cc1ccc2cc(N(C)C3CCC(N(C)Cc4ccc(-c5ccccc5)cn4)CC3)ccc2n1 7.749743 0.3225806451612903</t>
  </si>
  <si>
    <t>Cc1cncc(CN(CCN(C)C(C)C)c2cccc3ncccc23)c1 7.7497416 0.288135593220339</t>
  </si>
  <si>
    <t>Cc1cccnc1CN(C)c1ccnc(CN(C)Cc2ccccn2)c1 7.7497377 0.4489795918367347</t>
  </si>
  <si>
    <t>CC(C)N(C)C1=C(CN(C)Cc2ccc3ncccc3c2)NC=CC1 7.749734 0.3</t>
  </si>
  <si>
    <t>Cc1ccnc(CN(Cc2ccccn2)Cc2ccc(N(C)C)cn2)c1C 7.749719 0.47619047619047616</t>
  </si>
  <si>
    <t>Cc1nc(CN(Cc2ccon2)C2CCC(N(C)c3ccc4nc(CN(C)C)ccc4c3)CC2)c(C)c(C)c1C 7.7497153 0.3225806451612903</t>
  </si>
  <si>
    <t>CN(Cc1ccccn1)C1=C(CN(C)c2cccc(C(C)(C)C)c2)NC=CC1 7.749711 0.3793103448275862</t>
  </si>
  <si>
    <t>CC(C)C(C)N(C)Cc1ncccc1-c1cccc(N=Cc2ccccn2)c1 7.7497034 0.35</t>
  </si>
  <si>
    <t>Cc1cnc(CN(C)Cc2cccc(N(C)C)n2)cc1C 7.749703 0.43478260869565216</t>
  </si>
  <si>
    <t>Cc1cccc(N(Cc2ccccn2)C2CCCC(N(C)c3ccc4nccc(CF)c4c3)C2)c1 7.7496934 0.3382352941176471</t>
  </si>
  <si>
    <t>Cc1ccccc1N(Cc1ccccn1)C1CCCC(N(C)c2ccc3c(CF)ccnc3c2)C1 7.7496886 0.35384615384615387</t>
  </si>
  <si>
    <t>C=Nc1ccccc1-c1cccc(CN(C)Cc2cccc(CN(C)Cc3cccc(CC)n3)n2)n1 7.749678 0.4583333333333333</t>
  </si>
  <si>
    <t>Cc1ccc(CN(Cc2ccccc2N=Cc2ccccn2)C2C=CC=CN2)nc1 7.7496758 0.38095238095238093</t>
  </si>
  <si>
    <t>Cc1cnc(CN(Cc2ccccn2)Cc2ncccc2N(C)C)c(C)c1 7.7496724 0.46511627906976744</t>
  </si>
  <si>
    <t>Cc1ccc(CN(C)Cc2cccc(N(C)Cc3ncccc3C)n2)nc1 7.749672 0.46808510638297873</t>
  </si>
  <si>
    <t>CC(C)N(C)CCN(Cc1ccccn1)c1cccc2ncc(CN(C)C)cc12 7.7496667 0.4</t>
  </si>
  <si>
    <t>CN(CC1=CCC=C(N(C)Cc2ccccn2)N1)Cc1ccon1 7.74966 0.4117647058823529</t>
  </si>
  <si>
    <t>CC(C)N(C)CCN(C)c1cccc2nccc(CF)c12 7.7496595 0.3673469387755102</t>
  </si>
  <si>
    <t>CNCc1ccc(N(C)Cc2cc(C)ccn2)cn1 7.7496495 0.3404255319148936</t>
  </si>
  <si>
    <t>CN(CCCN(C)c1cccc2ncccc12)Cc1ccccn1 7.7496467 0.48936170212765956</t>
  </si>
  <si>
    <t>CN(CCCN(C)c1cccc2nc(CF)ccc12)Cc1ccccn1 7.749639 0.4423076923076923</t>
  </si>
  <si>
    <t>CN(CCNc1cccc2ncccc12)Cc1ccccn1 7.7496305 0.4489795918367347</t>
  </si>
  <si>
    <t>Cc1nc(CCN(C)CCc2nc(C)c(C)o2)oc1C 7.7496295 0.2894736842105263</t>
  </si>
  <si>
    <t>Cc1cc(CN(C)Cc2nc(C)c(C)c(C)c2C)cnc1C 7.7496257 0.2553191489361702</t>
  </si>
  <si>
    <t>Cc1ccc(N(C)CC2=CCC=CN2)cc1C 7.7496114 0.4</t>
  </si>
  <si>
    <t>C1=C(SCc2ccccn2)C=C(SCc2ccccn2)NC1 7.749608 0.4358974358974359</t>
  </si>
  <si>
    <t>CC(C)N(Cc1ccccn1)c1cc(-c2cc(CN3CCN(C)CCN(C)CC3)ccn2)c2cccnc2c1 7.7496033 0.4262295081967213</t>
  </si>
  <si>
    <t>CC1=C(C)C(N(C)Cc2ccc(-c3ccccc3N(C)C)cn2)CC(C)C1 7.749602 0.3389830508474576</t>
  </si>
  <si>
    <t>CC(C)C(C)N(C)Cc1cc(-c2ccccc2N=Cc2ccccn2)ccn1 7.749599 0.40350877192982454</t>
  </si>
  <si>
    <t>CNCc1cc(CN(C)Cc2ccc3ccccc3n2)ccn1 7.749595 0.4791666666666667</t>
  </si>
  <si>
    <t>CN(CCN(C)Cc1ccc2cccnc2c1)CCN(C)Cc1ccc2cccnc2c1 7.7495937 0.4878048780487805</t>
  </si>
  <si>
    <t>CC(c1ccccn1)(c1ccccn1)c1cccc(CN(Cc2ccccn2)C2C=CC=CN2)n1 7.749582 0.4642857142857143</t>
  </si>
  <si>
    <t>CN(Cc1cccc(N)n1)C1=CCC=CN1 7.749576 0.37735849056603776</t>
  </si>
  <si>
    <t>Cc1ccc(C(C)(C)c2cc(CN(Cc3ccccn3)C3CCCC(N(C)c4ccc5c(CN(C)C)ccnc5c4)C3)ccn2)cc1N 7.7495666 0.2804878048780488</t>
  </si>
  <si>
    <t>Cc1ccnc(CN(C)Cc2cc(N(C)C)ccn2)c1 7.749557 0.42857142857142855</t>
  </si>
  <si>
    <t>Cc1ccnc(CN(Cc2cc(C)ccn2)Cc2nc(C)c(Cc3ccccn3)n2C)c1 7.749547 0.4222222222222222</t>
  </si>
  <si>
    <t>CNC1C=C(N(Cc2ccccn2)Cc2nc(C)c(C)c(C)c2C)C=CN1 7.7495394 0.3230769230769231</t>
  </si>
  <si>
    <t>CCCN(Cc1ccccn1)c1cccc(-c2cccc(CN(Cc3ccccn3)Cc3ncccc3C)n2)c1C(C)(C)C 7.7495003 0.391304347826087</t>
  </si>
  <si>
    <t>Cc1nc(CN(Cc2nc(C)c(C)c(C)c2C)C2CCC(N(C)c3ccc4nc(CN(C)C)ccc4c3)CC2)c(C)c(C)c1C 7.749488 0.26785714285714285</t>
  </si>
  <si>
    <t>Cc1cc(CN(C)Cc2cc(N(C)C)ccn2)ccn1 7.749486 0.36</t>
  </si>
  <si>
    <t>CC(C)N(C)CN(c1ccc2cccnc2c1)C(C)C 7.749483 0.32</t>
  </si>
  <si>
    <t>Cc1cc(C)c(CN(C)CCN(C)Cc2ccc3ncccc3c2)nc1C 7.749481 0.39215686274509803</t>
  </si>
  <si>
    <t>C=CCOCc1cccc(CN(Cc2cccc(C3=NC(C)(C)CO3)n2)Cc2cccc(C(C)(C)c3cccc(CN(Cc4cccc(C5=NC(C)(C)CO5)n4)Cc4cccc(C(C)(C)C)n4)n3)n2)n1 7.7494698 0.4461538461538462</t>
  </si>
  <si>
    <t>Cc1c(C)c(C)c(CN(C)CCN(C)Cc2ccc3cccnc3c2)c(C)c1C 7.749462 0.425531914893617</t>
  </si>
  <si>
    <t>Cc1ccc(N)c(-c2nc(CN(C)CCN)c(C)c(C)c2C)c1 7.749455 0.32653061224489793</t>
  </si>
  <si>
    <t>COC(=O)c1cccc(CN(Cc2ccccn2)C2CCC(N(C)c3cccc4c(CF)ccnc34)CC2)n1 7.749446 0.3194444444444444</t>
  </si>
  <si>
    <t>CN(C)c1cccc(-c2cccnc2CN(CCF)C2CCCCC2N(C)c2ccc3nccc(CF)c3c2)c1 7.749446 0.30666666666666664</t>
  </si>
  <si>
    <t>Cc1cc(C)c(CN(C)CC2=C(N(C)Cc3nc(C)c(C)c(C)c3C)CC=CN2)nc1C 7.749444 0.18032786885245902</t>
  </si>
  <si>
    <t>Cc1ccc(C)c(CN(C)C2=CCC=C(CN(C)C)N2)n1 7.749443 0.2549019607843137</t>
  </si>
  <si>
    <t>Cc1cccc(-c2cccc(CN(Cc3ccccn3)C3CCCCC3N(C)c3ccc4nc(CF)ccc4c3)n2)c1C 7.7494364 0.4027777777777778</t>
  </si>
  <si>
    <t>CNc1ccc(C)c(C)n1 7.749416 0.19230769230769232</t>
  </si>
  <si>
    <t>CCN(Cc1ccccn1)c1ccccc1-c1cc(CN(Cc2ccccn2)C(C)C)ccn1 7.7493944 0.48</t>
  </si>
  <si>
    <t>CC(c1ccccn1)(c1ccccn1)c1cccc(CN(Cc2cccc(F)n2)Cc2cccc(CF)n2)n1 7.7493906 0.42857142857142855</t>
  </si>
  <si>
    <t>C1=CNc2ccccc2C1 7.7493887 0.2727272727272727</t>
  </si>
  <si>
    <t>CC(C)C(C)N(Cc1ccccn1)Cc1ncccc1-c1ccccc1N=Cc1ccccn1 7.7493887 0.41509433962264153</t>
  </si>
  <si>
    <t>CCNCc1ccc(-c2cccc(C(C)(C)C)n2)cn1 7.749388 0.36363636363636365</t>
  </si>
  <si>
    <t>CC(N)c1cccc(-c2ncccc2CN(Cc2ccccn2)C2CCC(N(C)c3ccc4cc(CF)cnc4c3)CC2)c1 7.749358 0.275</t>
  </si>
  <si>
    <t>CC(C)C1=CC2(C=CN1)C=CC(c1cc(CN(Cc3ccccn3)Cc3ccccn3)ccn1)C(c1cc(CN(Cc3ccccn3)Cc3cc(-c4cccc(N(C)C)c4)ccn3)ccn1)C2(C)C 7.749355 0.2988505747126437</t>
  </si>
  <si>
    <t>CC(C)N(C)c1cccc(CN(C)Cc2ccc(-c3ccccc3)nc2)n1 7.7493496 0.3888888888888889</t>
  </si>
  <si>
    <t>CNc1ccccc1-c1cccc(C(C)(C)N(C)C2CCC(N(C)c3ccc4ncccc4c3)CC2)n1 7.749348 0.2753623188405797</t>
  </si>
  <si>
    <t>CC1(C)COC(c2cccnc2C2OC=NC2(C)C)=N1 7.749346 0.3958333333333333</t>
  </si>
  <si>
    <t>Cc1ccc(CN(Cc2ccccn2)Cc2ncccc2C(C)(c2ccccn2)c2ccccn2)nc1 7.749329 0.4444444444444444</t>
  </si>
  <si>
    <t>Cc1cc(CN(C)C2=CNC(CN(C)C)=CC2)nc(C)c1C 7.7493253 0.21052631578947367</t>
  </si>
  <si>
    <t>Cc1cncc(CN(C)Cc2ccc(N(C)Cc3ncccc3C)nc2)c1 7.749303 0.27586206896551724</t>
  </si>
  <si>
    <t>Cc1cc(Cl)ccc1N(C)CC1=CC(N(C)Cc2ccccn2)C=CN1 7.7493 0.44642857142857145</t>
  </si>
  <si>
    <t>Cc1c(C)c(C)c(CN(C)CCN(C)Cc2ccc3ncccc3c2)c(C)c1C 7.749298 0.425531914893617</t>
  </si>
  <si>
    <t>CCN(Cc1ccccn1)Cc1ccc2cccc(N(C)CC(C)(C)C)c2n1 7.749296 0.5</t>
  </si>
  <si>
    <t>Cc1cnc2cccc(N(C)C3CCCC(N(Cc4ccccn4)c4ccccc4C)C3)c2c1 7.7492957 0.3770491803278688</t>
  </si>
  <si>
    <t>Cc1cccc(CN(C)c2cccc(CN(C)Cc3ncccc3C)n2)n1 7.7492833 0.5</t>
  </si>
  <si>
    <t>CN(Cc1cnc2c(N(C)c3ccc4ncccc4c3)cccc2c1)Cc1ncccc1-c1ccc2c(c1)OCCOCCOCCOCCOCCO2 7.749279 0.27586206896551724</t>
  </si>
  <si>
    <t>CC1C(Cl)=Cc2cccnc2C1C(C)(C)c1ncccc1CN(Cc1ccccn1)Cc1ccccn1 7.7492576 0.4</t>
  </si>
  <si>
    <t>Cc1cc(CN(C)CC2=CCC(N(C)Cc3cc(C)c(C)c(C)n3)=CN2)nc(C)c1C 7.749248 0.24528301886792453</t>
  </si>
  <si>
    <t>CCN(Cc1ccccn1)Cc1cc(CN(Cc2ccccn2)Cc2cc(-c3cccc(N(C)C)c3)ccn2)ccn1 7.7492447 0.4444444444444444</t>
  </si>
  <si>
    <t>CC1=CC(C)CC(N(C)CC2=CCC(N(C)c3cccc4ncccc34)=CN2)C1 7.749244 0.28169014084507044</t>
  </si>
  <si>
    <t>Cc1cccc(-c2ccc(CNCc3ccccn3)cc2)n1 7.7492404 0.4634146341463415</t>
  </si>
  <si>
    <t>CN(CCN(C)Cc1ccc2ncccc2c1)CCN(C)Cc1ccc2ncccc2c1 7.749235 0.4878048780487805</t>
  </si>
  <si>
    <t>Cc1ccc(CN(C)c2cccc(CN(C)Cc3ccc(C)c(C)n3)n2)cn1 7.7492347 0.3877551020408163</t>
  </si>
  <si>
    <t>CC1=CC(C)C(C)C(N(C)Cc2ccccn2)C1c1ccc(CN(Cc2ccccn2)C(C)(N)N(Cc2ccccn2)c2cc(-c3cccc(C(C)C)c3)ccc2N(C)Cc2ccccn2)cn1 7.7492323 0.2823529411764706</t>
  </si>
  <si>
    <t>CC(C)N(C)CCN(C)c1cccc2c(CF)ccnc12 7.749215 0.45652173913043476</t>
  </si>
  <si>
    <t>C1=CC(SCc2ccccn2)=C(SCc2ccccn2)CN1 7.7491937 0.425</t>
  </si>
  <si>
    <t>Cc1ccc(C)c(CN(C)C2=CCC=C(CN(C)Cc3nc(C)c(C)cc3C)N2)n1 7.7491856 0.2413793103448276</t>
  </si>
  <si>
    <t>Cc1nc(CN(Cc2nc(C)c(C)c(C)c2C)C2CCC(N(C)c3ccc4cc(CN(C)C)cnc4c3)CC2)c(C)c(C)c1C 7.7491827 0.22727272727272727</t>
  </si>
  <si>
    <t>CC(C)N(C)Cc1cccnc1-c1cc(Cl)ccc1N 7.749179 0.32075471698113206</t>
  </si>
  <si>
    <t>CNCc1nc(C)c(CN(Cc2nc(C)c(C)cc2C)Cc2nc(C)c(C)c(C)c2C)cc1C 7.7491755 0.18</t>
  </si>
  <si>
    <t>COC(=O)c1cccc(CN(Cc2ccccn2)C2CCC(N(C)c3ccc4nccc(CF)c4c3)CC2)n1 7.7491727 0.3108108108108108</t>
  </si>
  <si>
    <t>Cc1cnc(CN(C)CC2=CCC=C(N(C)Cc3ncc(C)c(C)c3C)N2)c(C)c1 7.7491527 0.2631578947368421</t>
  </si>
  <si>
    <t>Cc1cc(C)c(C)c(CN(C)Cc2cc(C)c(C)c(C)n2)n1 7.7491484 0.32558139534883723</t>
  </si>
  <si>
    <t>Cc1cccnc1CN(C)Cc1cccc(N(C)Cc2ncccc2C)n1 7.7491446 0.44680851063829785</t>
  </si>
  <si>
    <t>Cc1cncc(CN(C)Cc2ccc(N(C)Cc3cc(C(C)(C)C)ccn3)cn2)c1 7.7491426 0.34545454545454546</t>
  </si>
  <si>
    <t>CN(Cc1ccon1)C1CCCC(N(C)Cc2ncccc2-c2cccc3ncccc23)C1 7.749142 0.3333333333333333</t>
  </si>
  <si>
    <t>COC(=O)c1ncccc1CN(Cc1ccccn1)C1CCC(N(C)c2ccc3nccc(CF)c3c2)CC1 7.749141 0.2972972972972973</t>
  </si>
  <si>
    <t>Cc1cc(CN(Cc2nc(C)c(C)c(C)c2C)C2CCCC(N(C)c3ccc4nc(CN(C)C)ccc4c3)C2)nc(C)c1C 7.7491407 0.2361111111111111</t>
  </si>
  <si>
    <t>CN(Cc1ccccn1)Cc1ncccc1C(C)(c1ccccn1)c1ccccn1 7.7491393 0.46808510638297873</t>
  </si>
  <si>
    <t>Cc1ncccc1CN(CCN(C)C(C)C)c1ccc2cccnc2c1 7.7491293 0.34545454545454546</t>
  </si>
  <si>
    <t>C1=C(NCc2ccccn2)NCC(c2ccccc2)=C1 7.74912 0.4230769230769231</t>
  </si>
  <si>
    <t>CN(CCNc1ccc2nccc(CF)c2c1)Cc1ccccn1 7.7491164 0.37735849056603776</t>
  </si>
  <si>
    <t>CC(NCc1ccccn1)c1ccnc(C2=CCC=CN2)c1 7.7490864 0.41379310344827586</t>
  </si>
  <si>
    <t>C=Cc1cccc(CN(C)Cc2ccccn2)c1N(C)Cc1ccccn1 7.749077 0.4791666666666667</t>
  </si>
  <si>
    <t>COC(=O)C(=O)C(C)C1(C)N=COC1c1cc(C2=NCC(C)(C)O2)ccn1 7.7490625 0.24358974358974358</t>
  </si>
  <si>
    <t>Cc1cccc(N(C)Cc2ccc(C(C)(C)C)cn2)c1 7.7490544 0.37777777777777777</t>
  </si>
  <si>
    <t>CC1C=CC(C)C(C)(c2cc(CN(Cc3ccccn3)Cc3ccc(-c4cccc(N(C)C)c4)cn3)ccn2)C1 7.749045 0.31645569620253167</t>
  </si>
  <si>
    <t>CN(Cc1cccc(C(C)(c2ccccn2)c2ccccn2)n1)C1CCC(N(C)c2ccc3cccnc3c2)CC1 7.749045 0.4</t>
  </si>
  <si>
    <t>CNCc1nccc2cccc(N(C)C3CCCCC3N(Cc3ccc4ncccc4c3)Cc3ccccn3)c12 7.7490406 0.38571428571428573</t>
  </si>
  <si>
    <t>Fc1ccc(N(Cc2ccccn2)C2=CC=CC(NCc3ccccn3)N2)cc1 7.7490406 0.3387096774193548</t>
  </si>
  <si>
    <t>Cc1c(C)c(NCc2ccccn2)c(C)c(C(C)(C)C(C)(CN(Cc2ccccn2)Cc2ccccn2)c2cccc(N=Cc3ccccn3)c2)c1C 7.7490387 0.32857142857142857</t>
  </si>
  <si>
    <t>Cc1cccc(-c2cccc(CN(Cc3cc(C)ccn3)C3CCC(N(C)c4ccc5nc(CF)ccc5c4)CC3)n2)c1 7.7490387 0.3246753246753247</t>
  </si>
  <si>
    <t>COC(=O)c1cccc(CNCc2cc(C(=O)C(C)N)ccn2)n1 7.749031 0.29850746268656714</t>
  </si>
  <si>
    <t>Cc1ccnc(CN(C)C2=CCC=CN2)c1C 7.7490277 0.35185185185185186</t>
  </si>
  <si>
    <t>CCc1ccc2c(c1)C(c1ccccc1C1=NC(C(C)C)C(C(C)C)O1)C(N)C(C)=C2 7.749019 0.1728395061728395</t>
  </si>
  <si>
    <t>Cc1cccc(-c2ccc(CN(C)Cc3ccccn3)cn2)c1 7.7490096 0.4897959183673469</t>
  </si>
  <si>
    <t>CC(C)C(C)N(C)Cc1cc(-c2cccc(N=Cc3ccccn3)c2)ccn1 7.7490063 0.3559322033898305</t>
  </si>
  <si>
    <t>CN(c1ccc2nc(CF)ccc2c1)C1CCC(N(Cc2ccccn2)Cc2ccc3ccccc3n2)CC1 7.749002 0.4909090909090909</t>
  </si>
  <si>
    <t>Cc1cnc(CN(C)Cc2cc(C3=NC(C)(C)CO3)ccn2)cc1C 7.748999 0.33962264150943394</t>
  </si>
  <si>
    <t>Cc1cccc(-c2ccnc(CN(Cc3ccccn3)CC3C=CNC=C3)c2)c1N 7.7489905 0.38095238095238093</t>
  </si>
  <si>
    <t>Cc1ccc(C)c(CN(C)CC2=CCC=C(N(C)Cc3cc(C)c(C)c(C)n3)N2)n1 7.7489824 0.25</t>
  </si>
  <si>
    <t>CN(Cc1ccccn1)C1=CNC(CN(C)c2cccc(C(C)(C)C)c2)=CC1 7.748982 0.3793103448275862</t>
  </si>
  <si>
    <t>CN(C)c1ccccc1-c1ncccc1CN(CCF)Cc1cccc(C(C)(C)C)n1 7.7489753 0.3389830508474576</t>
  </si>
  <si>
    <t>Cc1cncc(CN(C)Cc2cc(N(C)Cc3cccc(C)n3)ccn2)c1 7.748973 0.44</t>
  </si>
  <si>
    <t>CC1=CC(C)CC(C)C1N(Cc1ccccn1)Cc1cc(-c2cccc(N=Cc3ccccn3)c2)ccn1 7.7489614 0.3188405797101449</t>
  </si>
  <si>
    <t>Cc1ccccc1N(C)Cc1ccc(C(C)(C)C)cn1 7.7489595 0.391304347826087</t>
  </si>
  <si>
    <t>Cc1cc(CN(C)CCN(C)Cc2ccc3ncccc3c2)nc(C)c1C 7.7489576 0.38461538461538464</t>
  </si>
  <si>
    <t>CNCc1cc(-c2cc(C)c(CN(C)C3CCC(N(C)c4ccc5ccc(CF)nc5c4)CC3)cn2)ccn1 7.748949 0.2625</t>
  </si>
  <si>
    <t>Cc1ccc(-c2cccc(CN(C)Cc3ccccn3)c2)nc1 7.748931 0.4897959183673469</t>
  </si>
  <si>
    <t>CNCN(Cc1ccccn1)Cc1ncc(N(C)Cc2nc(C)c(C)cc2C)c(C)c1C 7.7489276 0.39655172413793105</t>
  </si>
  <si>
    <t>Cc1cc(C)c(CN(C)Cc2cc(C3=NC(C)(C)CO3)ccn2)cn1 7.7489266 0.3157894736842105</t>
  </si>
  <si>
    <t>CC(C)C(C)(c1cccnc1)N(C)Cc1ncccc1-c1cc(Cl)ccc1N 7.748918 0.25</t>
  </si>
  <si>
    <t>Cc1cccnc1CN(C)c1cccc(NC(C)C)c1 7.7489014 0.28846153846153844</t>
  </si>
  <si>
    <t>Cc1cccc(N(C)Cc2cc(N(C)C(C)C)ccn2)c1 7.748896 0.3541666666666667</t>
  </si>
  <si>
    <t>Cc1ccnc(CN(C)C2=CCC=C(CN(C)C)N2)c1C 7.7488933 0.25</t>
  </si>
  <si>
    <t>Cc1ccc(CN(Cc2cc(C)ccn2)Cc2cccc(N(C)Cc3nc(C)c(C)cc3C)n2)nc1 7.7488856 0.3508771929824561</t>
  </si>
  <si>
    <t>CC(C)C(C)N(C)CC1=C(N(C)c2ccc3nccc(CF)c3c2)CC=CN1 7.748859 0.20270270270270271</t>
  </si>
  <si>
    <t>CCN(Cc1ccccn1)Cc1cccc(C2=NC(c3ccccn3)CO2)n1 7.748859 0.4444444444444444</t>
  </si>
  <si>
    <t>CN(CC1=CCC=C(N(C)Cc2ccccn2)N1)C1=CC(NCc2ccccn2)NC=C1 7.748858 0.36363636363636365</t>
  </si>
  <si>
    <t>CNCc1cc(N(C)Cc2ncccc2C)ccn1 7.7488456 0.3333333333333333</t>
  </si>
  <si>
    <t>Cc1cc(C)c(CN(C)CC2=CCC(N(C)Cc3nc(C)c(C)cc3C)=CN2)nc1C 7.7488427 0.2037037037037037</t>
  </si>
  <si>
    <t>CN(Cc1ncccc1CF)Cc1ncccc1C(C)(c1ccccn1)c1ccccn1 7.748833 0.3584905660377358</t>
  </si>
  <si>
    <t>CN(CCNc1ccc2ncccc2c1)Cc1ncccc1F 7.7488036 0.3584905660377358</t>
  </si>
  <si>
    <t>C1=C(c2ccccc2)C(NCc2ccccn2)=C(c2ccccc2)C(c2ccccc2)C1 7.7487917 0.38596491228070173</t>
  </si>
  <si>
    <t>Cc1ccc(CN(C)c2ccc(CN(C)Cc3ncccc3N)nc2)cn1 7.7487884 0.33962264150943394</t>
  </si>
  <si>
    <t>CN(Cc1ccccn1)C1=CCNC(NCc2ccccn2)=C1 7.7487864 0.4375</t>
  </si>
  <si>
    <t>Cc1cncc(CN(C)Cc2cc(N(C)Cc3ncccc3C)ccn2)c1 7.7487826 0.3</t>
  </si>
  <si>
    <t>CN(Cc1cccc(-c2ccccn2)n1)C1CCC(N(C)c2ccc3nc(CF)ccc3c2)CC1 7.7487783 0.46551724137931033</t>
  </si>
  <si>
    <t>CC(C)C(C)C(c1ccccc1)c1cccc(-c2cccc(NC3C=CC=CN3)n2)n1 7.7487593 0.2318840579710145</t>
  </si>
  <si>
    <t>CNC12N=CC(N(C)Cc3nc(C)c(C)c(C)c3C)=C(C)C1C(N(Cc1nc(C)c(C)c(C)c1C)Cc1nc(C)c(C)c(C)c1C)CCC2N(C)Cc1nc(C)c(C)c(C)c1C 7.7487555 0.21428571428571427</t>
  </si>
  <si>
    <t>Cc1ccc(N(C)C2CCCC(N(C)c3ccc4ccc(CN(C)C)nc4c3)C2)cc1C 7.748748 0.30357142857142855</t>
  </si>
  <si>
    <t>CC1=CCC(C)(C)C2(C(C)C=CC(C)C2C)C1c1ccc(CN(C)Cc2cc(N(C)c3ccc4ncccc4c3)ccn2)cn1 7.7487473 0.24705882352941178</t>
  </si>
  <si>
    <t>Cc1ccc(-c2ccccc2CN(C)Cc2ccccn2)nc1 7.748747 0.48936170212765956</t>
  </si>
  <si>
    <t>Cc1cc(CN(C)c2ccccc2-c2cc(CN(C)C(C)C(C)C)ccn2)cnc1C 7.7487345 0.27419354838709675</t>
  </si>
  <si>
    <t>CC(C)N(C)CCN(C)c1ccc2nccc(CF)c2c1 7.7487335 0.24074074074074073</t>
  </si>
  <si>
    <t>Cc1cccnc1CN(C)CCNc1ccc2ncccc2c1 7.748733 0.3584905660377358</t>
  </si>
  <si>
    <t>Cc1ccc(CN(C)c2ccc(CN(Cc3ccc(F)nc3)Cc3ccc(N)cn3)nc2)nc1 7.7487297 0.4117647058823529</t>
  </si>
  <si>
    <t>CC(C(=O)C(=O)C(=O)C(=O)C(=O)C(=O)C=O)C(=O)C(=O)C(=O)C(=O)C(=O)C(=O)C(C)C(=O)C(=O)C(=O)C(=O)C(=O)C(C)C(=O)c1cccc(C2CCC2(C)C)n1 7.7487297 0.20270270270270271</t>
  </si>
  <si>
    <t>CCN(CCN(C)c1ccc2cccnc2c1)C(C)(C)C 7.7487297 0.375</t>
  </si>
  <si>
    <t>CC(C(c1ccnc(C2=CCC=CN2)c1)c1ccccn1)N(Cc1ccccn1)Cc1ccccn1 7.7487283 0.43548387096774194</t>
  </si>
  <si>
    <t>CC1=C(C)C(NCc2ccccn2)NC(c2ccccc2)=C1 7.748728 0.37777777777777777</t>
  </si>
  <si>
    <t>CN(CCNc1ccc2cccnc2c1)Cc1ncccc1F 7.7487273 0.3584905660377358</t>
  </si>
  <si>
    <t>CCN(CCN(C)c1cccc2ncccc12)Cc1ccccn1 7.748703 0.5</t>
  </si>
  <si>
    <t>Cc1ccc(CN(C)Cc2ncccc2N(C)Cc2cccc(C)n2)nc1 7.7487016 0.4583333333333333</t>
  </si>
  <si>
    <t>c1cncc(CN(Cc2ccon2)Cc2nccs2)c1 7.748691 0.47619047619047616</t>
  </si>
  <si>
    <t>Cc1cc(C)c(CN(Cc2ccccn2)Cc2ncccc2N(C)C)nc1C 7.748686 0.46511627906976744</t>
  </si>
  <si>
    <t>CN(CCN)Cc1cncc(-c2cccc(N)c2Cl)c1 7.7486653 0.2641509433962264</t>
  </si>
  <si>
    <t>Cc1cnc2cc(N(C)CCCN(C)Cc3cccnc3)ccc2c1 7.7486587 0.3157894736842105</t>
  </si>
  <si>
    <t>CCN(Cc1ccccn1)c1ccc(CN(Cc2nc(C)c(C)cc2C)Cc2nc(C)c(C)cc2C)nc1 7.7486577 0.425531914893617</t>
  </si>
  <si>
    <t>Cc1cccc(CN(C)Cc2cccc(C3=NC(C)CO3)n2)n1 7.7486506 0.5</t>
  </si>
  <si>
    <t>CC(C)N(C)CCN(C)c1ccc2nc(CN(C)C)ccc2c1 7.748624 0.3409090909090909</t>
  </si>
  <si>
    <t>Cc1cnc(CN(C)c2cccc(CN(C)Cc3ccccn3)n2)c(C)c1 7.748623 0.5</t>
  </si>
  <si>
    <t>Cc1ccnc(CN(C)CCN(C)Cc2nc3ccccc3n2C)c1 7.74862 0.41509433962264153</t>
  </si>
  <si>
    <t>Cc1cncc(CN(C)Cc2ccc(N(C)Cc3ncccc3C)cn2)c1 7.748616 0.3584905660377358</t>
  </si>
  <si>
    <t>Cc1cnc(CN(Cc2ccccn2)Cc2ncccc2N(C)Cc2ccnc(C)c2)c(C)c1 7.7486095 0.39655172413793105</t>
  </si>
  <si>
    <t>CC1=C2N=CC=CC2C(C)C=C1N(C)Cc1ccccn1 7.748609 0.39622641509433965</t>
  </si>
  <si>
    <t>Cc1cccc(C2(C)COC(c3cccc(CN(Cc4ccccn4)Cc4ccccn4)n3)=N2)c1 7.7486 0.4444444444444444</t>
  </si>
  <si>
    <t>CC(C)C(C)CN(Cc1ccccn1)c1ccc2ncccc2c1 7.748596 0.4166666666666667</t>
  </si>
  <si>
    <t>COC(=O)c1cccc(CN(Cc2ccccn2)C2CCC(N(C)c3ccc4nccc(CN(C)C)c4c3)CC2)n1 7.748587 0.3125</t>
  </si>
  <si>
    <t>CCCN(Cc1ccccn1)c1cccc(C(C)(C)C)c1-c1cc(CN(Cc2ccccn2)Cc2ncccc2C)ccn1 7.7485867 0.34328358208955223</t>
  </si>
  <si>
    <t>CC1=CCC(C(C)(C)c2ccccn2)C(C)C1N(C)c1ccc2ncccc2c1 7.7485766 0.32786885245901637</t>
  </si>
  <si>
    <t>Cc1ccc(CN(C)Cc2ncccc2N(C)Cc2ncccc2C)nc1 7.7485633 0.5</t>
  </si>
  <si>
    <t>CN(C)Cc1cccc(C2=CCC=CN2)n1 7.748561 0.39215686274509803</t>
  </si>
  <si>
    <t>Cc1cnc(CN(C)CC2=CCC=C(N(C)Cc3ncc(C)c(C)c3C)N2)c(C)c1C 7.748559 0.2542372881355932</t>
  </si>
  <si>
    <t>CC(C)N(C)CCN(C)c1ccc2c(CF)ccnc2c1 7.74855 0.24528301886792453</t>
  </si>
  <si>
    <t>Cc1cc(-c2cc(CN(Cc3ccccn3)Cc3ccccn3)ccn2)c(CNCc2ccccn2)c(C)c1C 7.748549 0.4166666666666667</t>
  </si>
  <si>
    <t>Cc1ccnc(CN(Cc2ccc(N(C)Cc3ncccc3C)cn2)Cc2ncccc2C)c1 7.748536 0.3541666666666667</t>
  </si>
  <si>
    <t>Fc1ccccc1N(CC1=C(SCc2ccccn2)CC=CN1)Cc1ccccn1 7.748531 0.3770491803278688</t>
  </si>
  <si>
    <t>Cc1ccnc(CN(C)c2cccnc2CN(C)Cc2ccc(F)cn2)c1C 7.748494 0.34615384615384615</t>
  </si>
  <si>
    <t>Cc1cccc(N(C)C2C(N(C)Cc3ccccn3)CCCC2N(Cc2ccccn2)c2ccc3c(C)ccnc3c2)c1C 7.7484865 0.4375</t>
  </si>
  <si>
    <t>Cc1nc(CN(C)CC2=C(N(C)Cc3nc(C)c(C)c(C)c3C)CC=CN2)c(C)c(C)c1C 7.748486 0.2037037037037037</t>
  </si>
  <si>
    <t>CC1=CC(C)C(N(C)Cc2cc(-c3cccc(N=Cc4ccccn4)c3)ccn2)C(C)C1 7.7484846 0.3235294117647059</t>
  </si>
  <si>
    <t>CC1C=CC(C)C(C)(c2cccc(CN(Cc3ccccn3)Cc3cccc(-c4cccc(N=Cc5ccccn5)c4)n3)n2)C1 7.7484765 0.43243243243243246</t>
  </si>
  <si>
    <t>CN(CCN(Cc1ncccc1C(C)(C)C)Cc1ncccc1C(C)(C)c1ccccn1)Cc1ccc(-c2ccon2)cn1 7.748469 0.35135135135135137</t>
  </si>
  <si>
    <t>Cc1ccccc1N(C)C1CCC(N(C)c2ccc3nccc(C)c3c2)CC1 7.748469 0.2807017543859649</t>
  </si>
  <si>
    <t>Cc1cc(N(Cc2ccccn2)C2CCCCC2N(C)c2ccc3nc(CF)ccc3c2)c(C)c(C)c1C 7.748465 0.4264705882352941</t>
  </si>
  <si>
    <t>COC1(C)N=COC1c1ncccc1C1=NC(C)(C)CO1 7.748443 0.36538461538461536</t>
  </si>
  <si>
    <t>CCN(Cc1ccccn1)c1ccc2cccnc2c1CN(C)CC(C)(C)C 7.748443 0.4339622641509434</t>
  </si>
  <si>
    <t>CC1=C(C)c2cccnc2C(N(C)Cc2ncccc2C(C)(C)C)C1 7.7484365 0.27586206896551724</t>
  </si>
  <si>
    <t>Cc1cc(C)c(C)c(CN(Cc2ccon2)C2CCCC(N(C)c3ccc4c(CN(C)C)nccc4c3)C2)n1 7.7484345 0.2753623188405797</t>
  </si>
  <si>
    <t>Cc1ccccc1N(C)C1CCCCC1N(C)c1ccc2c(C)ccnc2c1 7.7484326 0.4230769230769231</t>
  </si>
  <si>
    <t>Cc1ccc(CN(Cc2ccccn2)Cc2cccc(CN(C)Cc3cc(-c4cccc(N)c4)ccn3)n2)nc1C 7.7484202 0.43859649122807015</t>
  </si>
  <si>
    <t>CC(C)N(C)CCN(C)c1cccc2ccc(CN(C)C)nc12 7.748419 0.4772727272727273</t>
  </si>
  <si>
    <t>CCN(Cc1cc(C23C=CC=CC2=C2C=CC=CC2N3)ccn1)C1CCCC(N(C)c2ccc3nccc(CF)c3c2)C1 7.748409 0.1958762886597938</t>
  </si>
  <si>
    <t>Cc1cnccc1CN(C)Cc1cccc(N(C)Cc2nccc(C)c2C)n1 7.748406 0.3448275862068966</t>
  </si>
  <si>
    <t>Cc1cnc(CN(C)CC2=CCC=C(N(C)Cc3ncc(C)cc3C)N2)c(C)c1 7.7483807 0.2692307692307692</t>
  </si>
  <si>
    <t>Cc1cnc2cccc(N(CCN(C)C(C)C)Cc3ccccn3)c2c1 7.7483745 0.4230769230769231</t>
  </si>
  <si>
    <t>Cc1cc(CN(C)Cc2ccccn2)ccc1N=Cc1ccccn1 7.748362 0.47058823529411764</t>
  </si>
  <si>
    <t>Cc1ccc(N(Cc2ccccn2)C2CCCC(N(C)c3ccc4ncccc4c3)C2)c(C)c1 7.7483616 0.3770491803278688</t>
  </si>
  <si>
    <t>C=CCN(C)CCN(Cc1ccccn1)c1ccc2nccc(CN(C)Cc3ccccn3)c2c1 7.7483487 0.4</t>
  </si>
  <si>
    <t>Cc1ccc(CN(Cc2ccccn2)Cc2ncccc2N(C)Cc2ncc(C)c(C)c2C)nc1 7.748324 0.4166666666666667</t>
  </si>
  <si>
    <t>CN(Cc1ccc(-c2ccccc2)cn1)C1CCC(N(C)c2ccc3c(CF)ccnc3c2)CC1 7.74832 0.3076923076923077</t>
  </si>
  <si>
    <t>CN(C)Cc1ccc2cc(N(C)C3CCCCC3N(Cc3ccc4ncccc4c3)Cc3ccccn3)ccc2n1 7.748303 0.41935483870967744</t>
  </si>
  <si>
    <t>Cc1cc(C)c(CN(Cc2cncc(N(C)C)c2)Cc2ccccn2)nc1C 7.748301 0.4166666666666667</t>
  </si>
  <si>
    <t>Cc1ccnc(CN(C)c2ccc(CN(C)Cc3cccc(C)n3)nc2)c1 7.7482986 0.4782608695652174</t>
  </si>
  <si>
    <t>CC(C)(c1cccc(N=Cc2ccccn2)c1)c1ccc(CN(Cc2ccccn2)Cc2ccccn2)cn1 7.748295 0.37037037037037035</t>
  </si>
  <si>
    <t>CC(C)C(C)(c1cccnc1)N(C)Cc1cccc(-c2cccc(N(C)C)c2)n1 7.748294 0.34328358208955223</t>
  </si>
  <si>
    <t>Cc1cccc(N(CC2=CCC=C(N(C)Cc3ccccn3)N2)C(C)C)c1 7.7482934 0.38095238095238093</t>
  </si>
  <si>
    <t>CCN(CCN(C)Cc1nc2ccccc2n1C)Cc1cc(C)c(C)c(C)n1 7.7482824 0.3728813559322034</t>
  </si>
  <si>
    <t>Cc1ccc(-c2ccc(CN(C)Cc3ccccn3)cc2)nc1 7.748282 0.48936170212765956</t>
  </si>
  <si>
    <t>CCN(Cc1cc(C)ccn1)Cc1cc(C2=NC(=O)C(C(C)C)O2)ccn1 7.74828 0.2786885245901639</t>
  </si>
  <si>
    <t>CN(CCCN(C)c1ccc2nccc(CF)c2c1)Cc1cccnc1 7.7482796 0.27586206896551724</t>
  </si>
  <si>
    <t>Cc1ccc(-c2cccc(CN(Cc3ccccn3)C3CCC(N(C)c4ccc5nc(CF)ccc5c4)CC3)n2)nc1 7.748276 0.4307692307692308</t>
  </si>
  <si>
    <t>CCOC1(C)COC(c2cc(CN(Cc3ccccn3)Cc3cc(C(C)(C)c4ccccn4)ccn3)ccn2)=N1 7.7482743 0.31746031746031744</t>
  </si>
  <si>
    <t>CN(Cc1cccc(-c2ccccn2)n1)C1CCC(N(C)c2ccc3cc(CF)cnc3c2)CC1 7.7482657 0.45</t>
  </si>
  <si>
    <t>CN(Cc1ccccn1)Cc1cc(C(C)(c2ccccn2)c2ccccn2)ccn1 7.7482634 0.4782608695652174</t>
  </si>
  <si>
    <t>CC(C)C(C)(CN(Cc1ccccn1)Cc1cc(-c2ccccc2N=Cc2ccccn2)ccn1)c1ccccn1 7.7482576 0.36507936507936506</t>
  </si>
  <si>
    <t>Cc1c(NCc2ccccn2)cccc1-c1cccc(CN(C)C(C)(c2cccnc2)C(C)C)n1 7.7482557 0.3582089552238806</t>
  </si>
  <si>
    <t>Cc1ccnc(CN(Cc2ccnc(C3=NC(C)CO3)c2)Cc2cc(C)ccn2)c1 7.7482553 0.3392857142857143</t>
  </si>
  <si>
    <t>Cc1ccc(CN(Cc2ccccn2)Cc2nc(N(C)C)c(C)cc2C)nc1 7.748249 0.45454545454545453</t>
  </si>
  <si>
    <t>Cc1cc(C)c(CN(C)C2=CNC(CN(C)C)=CC2)nc1C 7.748231 0.1935483870967742</t>
  </si>
  <si>
    <t>Cc1nc(CN(C)c2cccnc2CN(Cc2ccccn2)C(C)C)c(C)c(C)c1C 7.748223 0.5</t>
  </si>
  <si>
    <t>Cc1cc(C)c(CN(C)Cc2ncccc2C2=NC(C)(C)CO2)nc1C 7.7482176 0.37037037037037035</t>
  </si>
  <si>
    <t>CCCN(Cc1ccccn1)c1cc(C)cc(C)c1-c1ncccc1CN(Cc1ccccn1)Cc1ccccn1 7.7482176 0.40816326530612246</t>
  </si>
  <si>
    <t>Cc1cccnc1CN(C)c1ccc(CN(Cc2ccc(N)cn2)Cc2cccnc2F)nc1 7.7482133 0.3050847457627119</t>
  </si>
  <si>
    <t>COC(=O)C1CN(C)C2C(=O)C1(C(=O)OC)C(c1ccccn1)N(C)C2c1ccccn1 7.748213 0.5</t>
  </si>
  <si>
    <t>CNCCN(C)Cc1nc2ccccc2n1C 7.7482076 0.4782608695652174</t>
  </si>
  <si>
    <t>Cc1cccnc1-c1ccc(CNCc2ccccn2)cc1 7.7481995 0.48717948717948717</t>
  </si>
  <si>
    <t>Cc1cnc(CN(C)C2=CCC=C(CN(C)Cc3nc(C)c(C)c(C)c3C)N2)cc1C 7.748198 0.25</t>
  </si>
  <si>
    <t>CN(c1ccnc(CN(Cc2ccccn2)C2=CC=CNC2)c1)C(C)(C)c1ccccn1 7.7481775 0.3442622950819672</t>
  </si>
  <si>
    <t>Cc1ccccc1N(Cc1ccccn1)C1CCC(N(C)c2ccc3nccc(C)c3c2)CC1 7.7481737 0.3728813559322034</t>
  </si>
  <si>
    <t>CN(CC1=CC(N(C)Cc2ccccn2)C=CN1)Cc1ccc2ncccc2c1 7.7481575 0.36065573770491804</t>
  </si>
  <si>
    <t>Cc1cccc(N(C)C2CCCC(N(C)c3cccc4nccc(C)c34)C2)c1 7.7481556 0.3050847457627119</t>
  </si>
  <si>
    <t>C=Cc1cccnn1 7.748137 0.3235294117647059</t>
  </si>
  <si>
    <t>Cc1cc(CN(C)Cc2cc(N(C)Cc3ncccc3C)ccn2)ccn1 7.7481346 0.3157894736842105</t>
  </si>
  <si>
    <t>Cc1cnc(CN(C)C2=CNC(CN(C)C3=CCC=CN3)=CC2)c(C)c1C 7.748132 0.3125</t>
  </si>
  <si>
    <t>Cc1cc(NCc2ccccn2)c(C)c(C)c1C 7.74812 0.4594594594594595</t>
  </si>
  <si>
    <t>Cc1cccnc1-c1cccc(CNCc2ccccn2)c1 7.7481136 0.4523809523809524</t>
  </si>
  <si>
    <t>Cc1ccnc(CN(Cc2nc(C)c(C)c(C)c2C)Cc2nc(C)c(C)c(C)c2C)c1 7.7481036 0.3617021276595745</t>
  </si>
  <si>
    <t>COC(=O)C(=O)C(=O)C(C)N=Cc1ccccn1 7.748094 0.35294117647058826</t>
  </si>
  <si>
    <t>CN(Cc1ccc2ccccc2n1)C1CCC(N(C)c2ccc3ncc(CF)cc3c2)CC1 7.7480817 0.35714285714285715</t>
  </si>
  <si>
    <t>Cc1cccnc1CN(C)Cc1ncccc1N(C)Cc1ncccc1C 7.74808 0.3953488372093023</t>
  </si>
  <si>
    <t>CC(C)c1cc(C2=NC(C)(C)CO2)ccn1 7.7480555 0.42857142857142855</t>
  </si>
  <si>
    <t>Cc1cc(CN(Cc2ccccn2)Cc2ccc(N(C)C)cn2)cnc1C(C)(C)C 7.748054 0.43478260869565216</t>
  </si>
  <si>
    <t>Cc1ccc(C)c(CN(C)c2cccc(CN(Cc3ccccn3)Cc3nc(C)c(C)cc3C)n2)n1 7.748054 0.4</t>
  </si>
  <si>
    <t>CN1CCN(Cc2ccc3ncccc3c2)CCN(Cc2ccc(N(C)c3ccc4cccnc4c3)cn2)CC1 7.7480526 0.43333333333333335</t>
  </si>
  <si>
    <t>CN(CCN(Cc1ccc2ncccc2c1)CC(C)(C)C)Cc1ccc2ncccc2c1 7.74805 0.4583333333333333</t>
  </si>
  <si>
    <t>CN(CCN(C)C(C)(C)c1cccnc1)c1ccc2ncccc2c1 7.7480493 0.34615384615384615</t>
  </si>
  <si>
    <t>CNc1cc(CN(Cc2ccccn2)Cc2nc(C)c(C)c(C)c2C)cnc1C 7.7480483 0.4166666666666667</t>
  </si>
  <si>
    <t>CNCC1CCC(N(C)Cc2nc(C)c(C)c(C)c2C)N1c1ccc2ncccc2c1 7.748047 0.24285714285714285</t>
  </si>
  <si>
    <t>Cc1cncc(CN(C)Cc2cccc(N(C)Cc3ncc(C)cc3C)n2)c1 7.7480426 0.33962264150943394</t>
  </si>
  <si>
    <t>Cc1cccc(NCc2ccccn2)c1C1C(c2ccccc2)=CC=C(c2ccccc2)C1NCc1ccccn1 7.748038 0.36507936507936506</t>
  </si>
  <si>
    <t>Cc1cc(C)c(CN(Cc2ccccn2)C2=CNC(CN(C)C(C)(c3cccnc3)c3ccccn3)=CC2)cn1 7.748024 0.2948717948717949</t>
  </si>
  <si>
    <t>Cc1cccc(N(Cc2ccccn2)C2CCC(N(C)c3ccc4nccc(CF)c4c3)CC2)c1C 7.7480187 0.3235294117647059</t>
  </si>
  <si>
    <t>CC1(C)CCC1c1ccc(CN(Cc2ccccn2)Cc2cccc(-c3cccc(N=Cc4ccccn4)c3)n2)cn1 7.7480183 0.4266666666666667</t>
  </si>
  <si>
    <t>CC1(C)C=Cc2ccc(CN(Cc3cccnc3C3OC=NC3(C)C)Cc3ncccc3C(C)(C)c3ccccn3)nc2C1 7.748008 0.25609756097560976</t>
  </si>
  <si>
    <t>CNCc1cccc(N(C)Cc2ncc(C)cc2C)n1 7.748008 0.29411764705882354</t>
  </si>
  <si>
    <t>CN(CCN(C)C(C)(C)c1cccnc1)c1ccc2cccnc2c1 7.748006 0.33962264150943394</t>
  </si>
  <si>
    <t>Cc1ccc(CN(Cc2ccccn2)Cc2ccc(N(C)Cc3ncccc3C)cn2)nc1C 7.7480025 0.42592592592592593</t>
  </si>
  <si>
    <t>Cc1ccc(CN(C)Cc2cc(N(C)Cc3cccc(C)n3)ccn2)nc1 7.7479944 0.46808510638297873</t>
  </si>
  <si>
    <t>CNC1C=C(N(Cc2ccccn2)Cc2ncc(C)cc2C)C=CN1 7.7479877 0.3181818181818182</t>
  </si>
  <si>
    <t>Cc1ccnc(CN(CC2=CCC=CN2)c2cccc(F)c2)c1C 7.7479863 0.4</t>
  </si>
  <si>
    <t>CCNCc1cc(-c2cccnc2C(C)(C)C)ccn1 7.7479753 0.3333333333333333</t>
  </si>
  <si>
    <t>Cc1ccc2nccc(CN(C)CCN(C)Cc3nccc(C)c3C)c2c1 7.7479653 0.3469387755102041</t>
  </si>
  <si>
    <t>CNCN(Cc1ccccn1)c1cccc2nc(CN(C)C(C)(C)C)ccc12 7.7479625 0.41818181818181815</t>
  </si>
  <si>
    <t>Cc1cc(CN(C)c2cccnc2CN(C)Cc2ccc(C(C)C)nc2)cnc1C 7.747956 0.2786885245901639</t>
  </si>
  <si>
    <t>CN(CCNc1cccc2ncccc12)Cc1ncccc1C(C)(C)C 7.7479553 0.32142857142857145</t>
  </si>
  <si>
    <t>Cc1ccc(CN(C)c2ccc(CN(Cc3ccccn3)Cc3ccc(N)cn3)nc2)nc1C 7.747955 0.42592592592592593</t>
  </si>
  <si>
    <t>Cc1ccnc(CN(C)c2ccccc2C)c1 7.747951 0.4878048780487805</t>
  </si>
  <si>
    <t>CCN(C)CCN(C)c1ccc2nccc(CF)c2c1 7.747947 0.2857142857142857</t>
  </si>
  <si>
    <t>C1=C(N(Cc2ccccn2)Cc2ccccn2)C=C(N(Cc2ccccn2)Cc2ccccn2)NC1 7.7479453 0.4594594594594595</t>
  </si>
  <si>
    <t>CN(Cc1ccccn1)C1=C(CN(Cc2cccnc2)c2ccccc2F)NC=CC1 7.747945 0.34375</t>
  </si>
  <si>
    <t>Cc1ccc(CN(C)Cc2cccc(N(C)Cc3nccc(C)c3C)n2)nc1 7.7479424 0.4583333333333333</t>
  </si>
  <si>
    <t>Cc1ccc(CN(C)c2cccnc2CN(Cc2ccccn2)Cc2ccc(N)cn2)nc1C 7.747938 0.40350877192982454</t>
  </si>
  <si>
    <t>Cc1cc(CN(C)CCN(C)c2ccc3ccc(CN(Cc4ccccn4)CC(C)(C)C)nc3c2)nc(C)c1C 7.74793 0.45</t>
  </si>
  <si>
    <t>CN(CCN(Cc1cccnc1)c1ccc2cccnc2c1)C(C)(C)c1ccccn1 7.747927 0.3387096774193548</t>
  </si>
  <si>
    <t>Cc1ccc(CN(C)c2ccc(CN(Cc3ccccn3)Cc3ncc(C)c(C)c3C)nc2)nc1 7.747925 0.43478260869565216</t>
  </si>
  <si>
    <t>CN(C)Cc1cnc2ccc(N(C)C3CCCCC3N(Cc3ccc4ncccc4c3)Cc3ccccn3)cc2c1 7.7479186 0.41935483870967744</t>
  </si>
  <si>
    <t>CCN(Cc1ccccn1)Cc1cc(C2=NC(c3ccccn3)CO2)ccn1 7.747917 0.3877551020408163</t>
  </si>
  <si>
    <t>Cc1ccccc1CN(C)Cc1cccc(-c2cccc(NCc3ccccn3)c2)n1 7.7479053 0.5</t>
  </si>
  <si>
    <t>CCNC1=Cc2cccnc2CC1c1ncccc1CN(Cc1ccccn1)Cc1cccc(C(C)(C)c2ccccn2)n1 7.747903 0.3333333333333333</t>
  </si>
  <si>
    <t>CC(C)N(C)CCN(C)c1ccc2ncc(CN(C)C)cc2c1 7.7478995 0.24074074074074073</t>
  </si>
  <si>
    <t>CN(c1ccc2cccnc2c1)C1CCC(N(Cc2ccc3cccnc3c2)Cc2ccccn2)CC1 7.7478833 0.4107142857142857</t>
  </si>
  <si>
    <t>Cc1cc(CN(C)CC2=CCC=C(N(C)Cc3cc(C)c(C)c(C)n3)N2)cnc1C 7.7478776 0.21311475409836064</t>
  </si>
  <si>
    <t>CC(C)c1cccnc1-c1ccccc1 7.7478766 0.3</t>
  </si>
  <si>
    <t>Cc1ccccc1N(C)Cc1cccc(N)n1 7.7478743 0.3902439024390244</t>
  </si>
  <si>
    <t>CN(Cc1ncccc1N)c1ccccc1F 7.7478724 0.3695652173913043</t>
  </si>
  <si>
    <t>Cc1cc(CN(C)Cc2cc(CN(Cc3cc(C)c(C)c(C)n3)Cc3cc(C)c(C)c(C)n3)ccn2)nc(C)c1C 7.74787 0.36</t>
  </si>
  <si>
    <t>C(=Nc1ccccc1-c1cccc(CN(Cc2ccccc2)Cc2ccccc2)n1)c1ccccn1 7.7478666 0.42592592592592593</t>
  </si>
  <si>
    <t>CN(C)c1cccc(-c2cncc(CN(Cc3ccccn3)CC(C)(C)C)c2)c1 7.7478604 0.5</t>
  </si>
  <si>
    <t>CC(N)c1cccc(C2=CCC=CN2)n1 7.74785 0.2727272727272727</t>
  </si>
  <si>
    <t>COC(=O)c1cc(CN(Cc2ccccn2)C2CCCC(N(C)c3cccc4c(CN(C)C)ccnc34)C2)ccn1 7.747825 0.30666666666666664</t>
  </si>
  <si>
    <t>CC(C)C1=CC2(C=CN1)C=C(N)c1cccnc1C2C 7.7478223 0.1864406779661017</t>
  </si>
  <si>
    <t>CC(C(c1ccccn1)c1cccc(-c2cccc(NC3C=CC=CN3)n2)n1)C(C)N(Cc1ccccn1)Cc1ccccn1 7.7478123 0.37681159420289856</t>
  </si>
  <si>
    <t>Cc1cc(C)c(CN(Cc2nc(C)c(C)cc2C)C2CCC(N(C)Cc3cc(-c4ccc5ncccc5c4)ccn3)CC2)nc1C 7.747811 0.3076923076923077</t>
  </si>
  <si>
    <t>Cc1cccc(N(C)Cc2ncccc2C)c1 7.747807 0.3333333333333333</t>
  </si>
  <si>
    <t>CCN(C)CCN(C)c1cccc2c(CF)ccnc12 7.7477984 0.4666666666666667</t>
  </si>
  <si>
    <t>Cc1ccc(CN(C)Cc2cc(N(C)Cc3ccccn3)ccn2)nc1C 7.7477946 0.4897959183673469</t>
  </si>
  <si>
    <t>CC1=C(C)C(N(C)Cc2cc(-c3cccc(N(C)C)c3)ccn2)CC(C)C1 7.7477946 0.3</t>
  </si>
  <si>
    <t>Cc1cccc(CN(Cc2cccc(-c3cccc(N(C)C(C)C)c3)n2)C2CCC(N(C)c3ccc4nc(CF)ccc4c3)CC2)n1 7.747794 0.3333333333333333</t>
  </si>
  <si>
    <t>Cc1cncc(CN(C)Cc2cc(N(C)Cc3nc(C)ccc3C)ccn2)c1 7.7477927 0.2807017543859649</t>
  </si>
  <si>
    <t>Cc1cc(C)c(CN(Cc2ccccn2)Cc2ccc(N(C)C)cn2)nc1C 7.7477922 0.45454545454545453</t>
  </si>
  <si>
    <t>Cc1cc(CN(C)Cc2ccc(N(C)Cc3ncccc3C)cn2)ccn1 7.74779 0.33962264150943394</t>
  </si>
  <si>
    <t>CCN(Cc1ccccn1)c1ccc2cccnc2c1-c1cccc(CN(Cc2ccccn2)C2CCC(N(C)Cc3ccon3)CC2)n1 7.7477756 0.3472222222222222</t>
  </si>
  <si>
    <t>Cc1ccc(CN(C)Cc2cc(N(C)Cc3ncccc3C)ccn2)nc1 7.747774 0.46808510638297873</t>
  </si>
  <si>
    <t>Cc1ccc(-c2ccccc2NCc2ccccn2)nc1CN(C)C(C)C 7.747768 0.36363636363636365</t>
  </si>
  <si>
    <t>CC(C)C1=CC2(C=CN1)CCC(C)(C)C(c1cc(CN(Cc3ccccn3)Cc3cc(C(C)(C)c4ccccn4)ccn3)ccn1)=C2c1ncccc1CN(Cc1ccccn1)Cc1cc(C(C)(C)c2ccccn2)ccn1 7.7477627 0.26666666666666666</t>
  </si>
  <si>
    <t>C=C1C=CNC(CN(Cc2ccccn2)Cc2cc(OC)ccn2)=C1 7.7477612 0.4666666666666667</t>
  </si>
  <si>
    <t>CC(c1ccccn1)(c1ccccn1)c1cccc(CNC2C=CC=CN2)n1 7.747757 0.41379310344827586</t>
  </si>
  <si>
    <t>CN(Cc1ccccn1)Cc1ccc2cc(N(C)Cc3ccc4cc(N(C)Cc5cc(-c6cccc7c6OCCOCCOCCOCCOCCO7)ccn5)ccc4n3)ccc2n1 7.747754 0.36231884057971014</t>
  </si>
  <si>
    <t>Cc1cc(C)c(CN(C)Cc2cccc(N(C)Cc3cccc(C)n3)n2)cn1 7.7477527 0.4888888888888889</t>
  </si>
  <si>
    <t>Cc1cc(-c2cccc(CN(Cc3ccccn3)C3CCCC(N(C)c4ccc5ncccc5c4)C3)n2)ccc1N 7.747746 0.38666666666666666</t>
  </si>
  <si>
    <t>CN(Cc1ccccn1)Cc1ccc2cccc(N(C)Cc3ccc4cccc(N(C)Cc5ncccc5-c5cccc6c5OCCOCCOCCOCCOCCO6)c4n3)c2n1 7.7477407 0.36764705882352944</t>
  </si>
  <si>
    <t>Cc1ccc(C2CCC2(C)C)nc1CN(Cc1ccccn1)Cc1cccc(-c2cccc(N(C)C)c2)n1 7.747738 0.463768115942029</t>
  </si>
  <si>
    <t>Cc1cc(CN(C)Cc2cc(C)c(C)c(C)n2)nc(C)c1C 7.747733 0.3611111111111111</t>
  </si>
  <si>
    <t>Cc1ccc(CN(C)c2ccc(CN(Cc3ccc(N)cn3)Cc3cccnc3F)nc2)nc1C 7.747725 0.31343283582089554</t>
  </si>
  <si>
    <t>CN(C)c1cccc(CN(Cc2ccnc(C(C)(C)c3ccccn3)c2)Cc2ccccn2)n1 7.747714 0.425531914893617</t>
  </si>
  <si>
    <t>Cc1ccc(CN(Cc2cccc(N)n2)Cc2cccc(N(C)C3CCC(N(C)Cc4cc(-c5ccc6ncccc6c5)ccn4)CC3)n2)nc1 7.7476983 0.3333333333333333</t>
  </si>
  <si>
    <t>CC1=NC(c2ccccc2CN=Cc2ccccn2)CO1 7.7476983 0.34545454545454546</t>
  </si>
  <si>
    <t>CNCc1cccc(CN(CN(C)c2ccc3nc(CF)ccc3c2)C2CCCCC2N(C)c2ccc3cccnc3c2)n1 7.7476897 0.410958904109589</t>
  </si>
  <si>
    <t>Cc1cccc(N(C)C2CCCC(N(C)c3ccc4c(C)ccnc4c3)C2)c1 7.7476897 0.2711864406779661</t>
  </si>
  <si>
    <t>CCOC(C)NCc1nc(CN(Cc2ccccn2)Cc2cc(-c3ccc(Cl)c(N)c3)ccn2)c(C)cc1C 7.7476845 0.31645569620253167</t>
  </si>
  <si>
    <t>CC(C)(c1cccc(N=Cc2ccccn2)c1)c1cc(CN(Cc2ccccn2)Cc2ccccn2)ccn1 7.7476826 0.37735849056603776</t>
  </si>
  <si>
    <t>Cc1cc(CN(C)Cc2cc(N(C)Cc3ccccn3)ccn2)cnc1C 7.7476797 0.43137254901960786</t>
  </si>
  <si>
    <t>Cc1cccnc1CN(C)c1cccnc1CN(C)Cc1cc(N)ccn1 7.747662 0.3584905660377358</t>
  </si>
  <si>
    <t>Cc1cc(C)c(CN(C)Cc2cccc(N(C)Cc3ncccc3C)n2)cn1 7.747659 0.3684210526315789</t>
  </si>
  <si>
    <t>CCN(Cc1ccccn1)c1cccc(-c2cc(CN(Cc3ccccn3)C3CCC(N(C)c4ccc5nc(CF)ccc5c4)CC3)ccn2)c1 7.747656 0.3157894736842105</t>
  </si>
  <si>
    <t>Cc1cc(C)c(CN(C)C2=C(CN(C)C)CC=CN2)nc1C 7.747653 0.19047619047619047</t>
  </si>
  <si>
    <t>CC(C)(c1cccc(N(Cc2ccccn2)Cc2ccccn2)c1)c1ccccn1 7.7476473 0.425531914893617</t>
  </si>
  <si>
    <t>CC1=CC(C)C2(CCC3(CCC(C)=C(C)C3C)C(c3cc(CN(Cc4ccccn4)Cc4cc(-c5ccccc5N=Cc5ccccn5)ccn4)ccn3)=C2c2cc(CN(Cc3ccccn3)Cc3ccccn3)ccn2)C(C)C1 7.747647 0.2608695652173913</t>
  </si>
  <si>
    <t>CCCN(Cc1ccccn1)c1ccc(C)cc1-c1cc(CN(Cc2ccccn2)Cc2ncccc2C)ccn1 7.747644 0.3508771929824561</t>
  </si>
  <si>
    <t>CC1(C)CN=C(c2ccnc(C3OC=NC3(C)C)c2)O1 7.747642 0.19642857142857142</t>
  </si>
  <si>
    <t>CN(c1ccc2ncccc2c1)C1CCC(N(Cc2ccc3ncccc3c2)Cc2ccccn2)CC1 7.747639 0.39285714285714285</t>
  </si>
  <si>
    <t>CN(Cc1ccccn1)Cc1ccccc1C1COC(c2ccccn2)=N1 7.747628 0.4807692307692308</t>
  </si>
  <si>
    <t>Cc1cncc2c(N(C)CCN(C)C(C)(C)C)cccc12 7.7475863 0.3695652173913043</t>
  </si>
  <si>
    <t>CN(Cc1ccccn1)Cc1ccc2cccc(N(C)Cc3ccc4cccc(N(C)Cc5cccc(-c6ccc7c(c6)OCCOCCOCCOCCOCCO7)n5)c4n3)c2n1 7.7475686 0.4444444444444444</t>
  </si>
  <si>
    <t>Cc1nc(CN(Cc2cccc(F)n2)Cc2nc(C)c(C)c(C)c2C)c(C)c(C)c1C 7.747561 0.4117647058823529</t>
  </si>
  <si>
    <t>C1=CCNC(Nc2ccccn2)=C1 7.747557 0.2727272727272727</t>
  </si>
  <si>
    <t>CC(C)C1N=COC1c1cc(C2=NC(C)(C)CO2)ccn1 7.747553 0.39215686274509803</t>
  </si>
  <si>
    <t>Cc1cccnc1CN(C)c1ccccc1F 7.7475457 0.37777777777777777</t>
  </si>
  <si>
    <t>Cc1ccnc2cc(N(CCN(C)C(C)(C)C)Cc3ccccn3)ccc12 7.747539 0.38181818181818183</t>
  </si>
  <si>
    <t>Cc1cnc(CN(C)C2=CCC=C(CN(C)Cc3cc(C)c(C)c(C)n3)N2)c(C)c1 7.747535 0.26666666666666666</t>
  </si>
  <si>
    <t>Cc1ccccc1N(C)C1CCC(N(C)Cc2ncccc2-c2ccc3cccnc3c2)CC1 7.7475348 0.3125</t>
  </si>
  <si>
    <t>CC(C)N(C)Cc1cnccc1-c1cc(Cl)ccc1N 7.7475247 0.23214285714285715</t>
  </si>
  <si>
    <t>Cc1cncc(CN(C)CN(Cc2ccc3cccnc3c2)C(C)(N)N(CCN(C)C(C)C)c2ccc3cccnc3c2)c1 7.747522 0.23684210526315788</t>
  </si>
  <si>
    <t>CC1CC(N(C)Cc2cccc(-c3cccc(N=Cc4ccccn4)c3)n2)C1 7.7475204 0.4090909090909091</t>
  </si>
  <si>
    <t>CC(C)NCc1cccc(-c2cccc(NCc3ccccn3)c2)n1 7.747509 0.43103448275862066</t>
  </si>
  <si>
    <t>CC(C)N(C)CC1=CC(N(C)c2ccc3cc(CF)cnc3c2)C=CN1 7.7475014 0.2835820895522388</t>
  </si>
  <si>
    <t>Cc1ccc(CN(Cc2ccccn2)Cc2cccc(CN(Cc3ccccn3)Cc3cccc(-c4c(N)cccc4Cl)n3)n2)nc1 7.747491 0.43548387096774194</t>
  </si>
  <si>
    <t>CN(CC1=CCC=C(N(C)C(c2ccccn2)c2ccccn2)N1)Cc1ccccn1 7.74749 0.4074074074074074</t>
  </si>
  <si>
    <t>CN(CCCN(C)c1ccc2nccc(CF)c2c1)Cc1ccccn1 7.7474647 0.38181818181818183</t>
  </si>
  <si>
    <t>Cc1cc(C)c(NCc2ccccn2)c(C)c1 7.7474647 0.4857142857142857</t>
  </si>
  <si>
    <t>Cc1ccc(CN(C)Cc2cccc(N(C)Cc3ncccc3C)n2)nc1C 7.7474566 0.40384615384615385</t>
  </si>
  <si>
    <t>Cc1cncc(CN(C)Cc2ccc(N(C)Cc3nc(C)ccc3C)cn2)c1 7.7474475 0.3584905660377358</t>
  </si>
  <si>
    <t>CN(Cc1cc(-c2cccc(N(C)C)c2)ccn1)Cc1ccnc2ccc(N(C)Cc3cc(-c4ccc5c(c4)OCCOCCOCCOCCOCCO5)ccn3)cc12 7.7474475 0.3048780487804878</t>
  </si>
  <si>
    <t>CC(C)(C)CN(Cc1ccccn1)Cc1cccc(-c2ccccc2N=Cc2ccccn2)n1 7.7474422 0.49056603773584906</t>
  </si>
  <si>
    <t>COC(=O)c1cc(CN(Cc2ccccn2)C2CCCC(N(C)c3ccc4c(CN(C)C)ccnc4c3)C2)ccn1 7.747437 0.3108108108108108</t>
  </si>
  <si>
    <t>Cc1cnc(CN(C)c2cccnc2CN(C)Cc2ccccn2)c(C)c1 7.74743 0.46</t>
  </si>
  <si>
    <t>Cc1cnc(CN(C)Cc2cc(C3=NC(C)(C)CO3)ccn2)c(C)c1C 7.747423 0.3157894736842105</t>
  </si>
  <si>
    <t>CC(C)N(Cc1ccccn1)c1cccc(-c2cccc(CN(Cc3ccccn3)C3CCC(N(C)c4ccc5nc(CF)ccc5c4)CC3)n2)c1 7.7474074 0.3717948717948718</t>
  </si>
  <si>
    <t>CCN(C)CCN(C)c1ccc2ccc(CN(C)C)nc2c1 7.747406 0.38095238095238093</t>
  </si>
  <si>
    <t>CC(C)C1=CC2(C=CN1)C(c1cc(CN(Cc3ccccn3)Cc3ccccn3)ccn1)=CC(C)(C)CC2c1cc(CN(Cc2ccccn2)Cc2ccc3ccccc3n2)ccn1 7.747402 0.410958904109589</t>
  </si>
  <si>
    <t>Cc1nccc(C2CC(C)C2C)c1-c1cccc(NCc2ccccn2)c1 7.747394 0.3484848484848485</t>
  </si>
  <si>
    <t>Cc1cnc(NC2C=CC=CN2)c(C)c1 7.747373 0.23636363636363636</t>
  </si>
  <si>
    <t>CC1COC(c2ncccc2CN(C)Cc2cc(N)ccn2)=N1 7.747371 0.3050847457627119</t>
  </si>
  <si>
    <t>CNCc1ncccc1C(C)(c1ccccn1)c1ccccn1 7.747366 0.4222222222222222</t>
  </si>
  <si>
    <t>CN(Cc1cc(-c2ccccn2)ccn1)C1CCC(N(C)c2ccc3cc(CF)cnc3c2)CC1 7.7473555 0.3333333333333333</t>
  </si>
  <si>
    <t>CN(CCN(Cc1cccc2ncccc12)CC(C)(C)C)Cc1cccc2ncccc12 7.7473545 0.4782608695652174</t>
  </si>
  <si>
    <t>CN(Cc1ccccn1)C1=C(CN(Cc2ccccn2)c2ccccc2F)NC=CC1 7.7473536 0.4</t>
  </si>
  <si>
    <t>Cc1ccc(CN(Cc2ccc(N)cn2)Cc2ncccc2N(C)Cc2ccc(C)c(C)n2)nc1 7.74735 0.35714285714285715</t>
  </si>
  <si>
    <t>C=CCNCc1cccc(CN(Cc2ccccn2)Cc2cccc(-c3cccc(N=Cc4ccccn4)c3)n2)n1 7.747347 0.4626865671641791</t>
  </si>
  <si>
    <t>CC1COC(c2cccc(CN(C)C)n2)=N1 7.7473426 0.3673469387755102</t>
  </si>
  <si>
    <t>CNCCN(Cc1ccccn1)C(C)(N)N(Cc1ccccn1)c1cccc2ncccc12 7.7473297 0.3620689655172414</t>
  </si>
  <si>
    <t>Cc1cccnc1CN(CCN(C)C(C)C)c1ccc2ncccc2c1 7.747311 0.30357142857142855</t>
  </si>
  <si>
    <t>Cc1ccc(CN(C)c2ccc(CN(C)Cc3cncc(C)c3C)nc2)nc1 7.747306 0.5</t>
  </si>
  <si>
    <t>Cc1cnc(CN(C)c2cccnc2CN(C)Cc2ccccn2)c(C)c1C 7.7472987 0.4489795918367347</t>
  </si>
  <si>
    <t>CC(C)N(C)CCN(Cc1ccccn1)c1ccc2c(CN(C)C)ccnc2c1 7.747295 0.41509433962264153</t>
  </si>
  <si>
    <t>Cc1cc(CN(C)Cc2cccc(N(C)Cc3ncccc3C)n2)cnc1C 7.7472944 0.3684210526315789</t>
  </si>
  <si>
    <t>Cc1ccnc2cccc(N(C)CCN(C)C(C)(C)C)c12 7.747288 0.391304347826087</t>
  </si>
  <si>
    <t>Cc1cccnc1CN(C)Cc1cc(N(C)Cc2ncccc2C)ccn1 7.7472844 0.36</t>
  </si>
  <si>
    <t>CCNCc1cccc(CN(Cc2ccccn2)Cc2cccc(-c3cccc(N=Cc4ccccn4)c3)n2)n1 7.7472806 0.5</t>
  </si>
  <si>
    <t>CC1=CC(C)CC(C)C1N(C)Cc1ccc(-c2cccc(N=Cc3ccccn3)c2)cn1 7.747279 0.3188405797101449</t>
  </si>
  <si>
    <t>CN(CC1=CC(N(C)Cc2ccccn2)C=CN1)c1ccc(Cl)c(Cl)c1 7.74727 0.46296296296296297</t>
  </si>
  <si>
    <t>Cc1cc(C)c(CN(CC2=CCC(N(C)Cc3ncc(C)c(C)c3C)=CN2)Cc2cc(C)c(C)c(C)n2)nc1C 7.747265 0.2602739726027397</t>
  </si>
  <si>
    <t>CCNC1=C(c2cc(CN(Cc3ccccn3)C3CCC(N(C)c4ccc5nccc(CF)c5c4)CC3)ccn2)Cc2ncccc2C1 7.747257 0.27058823529411763</t>
  </si>
  <si>
    <t>CC(C)N(Cc1ccnc(-c2cccc(N(Cc3ccccn3)C(C)C)c2)c1)Cc1ccccn1 7.747253 0.48</t>
  </si>
  <si>
    <t>Cc1cc(-c2cccc(CN(C)C(C)C)n2)ccc1NCc1ccccn1 7.7472444 0.43548387096774194</t>
  </si>
  <si>
    <t>CC1C=CC(C)C(C)(c2cc(CN(Cc3ccccn3)Cc3cccc(-c4cccc(N=Cc5ccccn5)c4)n3)ccn2)C1 7.747243 0.4050632911392405</t>
  </si>
  <si>
    <t>CC1C=CCC(C)(c2cccc(CN(Cc3ccccn3)c3cccc4cccnc34)n2)C1C 7.747242 0.35</t>
  </si>
  <si>
    <t>CN(c1ccc2nc3c(cc2c1)CCC3)C1CCC(N(Cc2ccccn2)Cc2ccc3ccccc3n2)CC1 7.7472415 0.43548387096774194</t>
  </si>
  <si>
    <t>Cc1cc(CN(C)c2cccnc2CN(Cc2ccccn2)Cc2ncc(C)c(C)c2C)cnc1C 7.7472386 0.40350877192982454</t>
  </si>
  <si>
    <t>Cc1cc(N(Cc2ccccn2)C2CCCCC2N(C)c2cccc3ncc(CF)cc23)c(C)c(C)c1C 7.7472296 0.3939393939393939</t>
  </si>
  <si>
    <t>Cc1cccc(CN(C)c2ccc(CN(Cc3ccccn3)Cc3ncc(C)c(C)c3C)nc2)n1 7.747212 0.41818181818181815</t>
  </si>
  <si>
    <t>Cc1ccc(C2CCC2(C)C)nc1CN(Cc1cc(-c2cccc(N(C)C)c2)ccn1)Cc1cccnc1F 7.7472095 0.2804878048780488</t>
  </si>
  <si>
    <t>Cc1cccc(-c2cnccc2CN(C)Cc2ccccn2)c1 7.747202 0.45098039215686275</t>
  </si>
  <si>
    <t>CN(Cc1ccc2ncccc2c1)C1CCC(N(C)c2ccc3nc(CF)ccc3c2)CC1 7.747192 0.35384615384615387</t>
  </si>
  <si>
    <t>Cc1cc(C)c(CN(C)Cc2cccc(N(C)Cc3ccccn3)n2)nc1C 7.7471795 0.5</t>
  </si>
  <si>
    <t>CN(Cc1cccc(C2=CCC=CN2)n1)C1CCC(N(C)Cc2cccc(-c3ccc4ncccc4c3)n2)CC1 7.7471743 0.3333333333333333</t>
  </si>
  <si>
    <t>Cc1cc(CN(C)CC2=CCC=C(N(C)Cc3ncc(C)c(C)c3C)N2)nc(C)c1C 7.7471576 0.25</t>
  </si>
  <si>
    <t>CC(C)N(C)c1ccc2nc(CN(C)C(C)(C)c3cccnc3CN(C)C3CCC(N(C)c4ccc5nccc(CF)c5c4)CC3)ccc2c1 7.7471523 0.2289156626506024</t>
  </si>
  <si>
    <t>Cc1ccc(CN(C)c2ccc(CN(Cc3ccccn3)Cc3nc(C)c(C)cc3C)nc2)nc1 7.74714 0.40816326530612246</t>
  </si>
  <si>
    <t>Cc1cccnc1CN(C)Cc1ccc(N(C)Cc2ncccc2C)cn1 7.747122 0.4090909090909091</t>
  </si>
  <si>
    <t>CN(C)c1ccc(CN(Cc2ccccn2)Cc2ncccc2C(C)(C)c2ccccn2)nc1 7.7471194 0.425531914893617</t>
  </si>
  <si>
    <t>Cc1cncc(C2=NC(C)(C)CO2)c1 7.7471175 0.4358974358974359</t>
  </si>
  <si>
    <t>CC(C)N(C)CC1=CCC(N(C)Cc2cccc3cccnc23)=CN1 7.7471066 0.46153846153846156</t>
  </si>
  <si>
    <t>CC1COC(c2cc(CN(C)C)ccn2)=N1 7.747103 0.24561403508771928</t>
  </si>
  <si>
    <t>Cc1nc(CN(C)C2=CNC(CN(C)C)=CC2)c(C)c(C)c1C 7.747099 0.19672131147540983</t>
  </si>
  <si>
    <t>Cc1ccccc1C1(C)N=COC1c1ccccn1 7.7470984 0.2833333333333333</t>
  </si>
  <si>
    <t>Cc1cnc(CN(C)Cc2ccc(N(C)C)cn2)cc1C 7.747097 0.47368421052631576</t>
  </si>
  <si>
    <t>Cc1cccc(CN(C)c2ccnc(CN(C)Cc3cncc(C)c3C)c2)n1 7.747096 0.43137254901960786</t>
  </si>
  <si>
    <t>Cc1ccc(N(C)CC2=CC(N(C)Cc3nc(C)c(C)c(C)c3C)C=CN2)c(C)c1C 7.747094 0.30158730158730157</t>
  </si>
  <si>
    <t>CC1=C2C=CC=NC2C(C)C=C1N(C)Cc1ccccn1 7.74709 0.40384615384615385</t>
  </si>
  <si>
    <t>CCCN(Cc1ccccn1)c1cc(C)cc(C)c1N(C)Cc1ccccn1 7.7470827 0.48936170212765956</t>
  </si>
  <si>
    <t>CC1=C(CN(C)c2cccc3ccnc(CN(C)Cc4ccccn4)c23)CC(C)CC1C 7.7470784 0.38095238095238093</t>
  </si>
  <si>
    <t>CC(C)N(Cc1ccccn1)c1cccc(-c2cccc(CN(Cc3ccccn3)C3CCC(N(C)c4ccc5cc(CF)cnc5c4)CC3)n2)c1 7.7470694 0.3625</t>
  </si>
  <si>
    <t>CC(C)N(C)CCN(C)c1ccc2nc3c(cc2c1)CCC3 7.7470694 0.3448275862068966</t>
  </si>
  <si>
    <t>CN(CC1=CC(N(C)Cc2cccnn2)C=CN1)Cc1ccc2ncccc2c1 7.7470613 0.3559322033898305</t>
  </si>
  <si>
    <t>CNc1cc(CN(Cc2nc(C)c(C)c(C)c2C)Cc2nc(C)c(C)c(C)c2C)c(C(C)(C)C)c(CNCc2ncccc2C)n1 7.7470527 0.21739130434782608</t>
  </si>
  <si>
    <t>Cc1ccc(CN(Cc2cccc(CNCF)n2)Cc2cccc(-c3cccc(N=Cc4ccccn4)c3)n2)nc1 7.747048 0.4246575342465753</t>
  </si>
  <si>
    <t>CN(CCN(C)c1ccc2ncccc2c1)Cc1ccccc1 7.747039 0.425531914893617</t>
  </si>
  <si>
    <t>Cc1ccc(CN(C)c2ccc(CN(Cc3ccccn3)Cc3ccc(C)c(N)n3)nc2)nc1C 7.747001 0.43478260869565216</t>
  </si>
  <si>
    <t>CCN(Cc1ccccn1)Cc1nccc2cccc(N(C)CC(C)(C)C)c12 7.7469964 0.4807692307692308</t>
  </si>
  <si>
    <t>CN(CCN(C)C(C)(C)c1cccnc1)c1cccc2ncccc12 7.746984 0.42857142857142855</t>
  </si>
  <si>
    <t>CCN(Cc1ccccn1)c1ccc2ncccc2c1CN(C)CC(C)(C)C 7.7469726 0.4423076923076923</t>
  </si>
  <si>
    <t>Cc1cnc(CN(C)CC2=CCC=C(N(C)Cc3nc(C)c(C)c(C)c3C)N2)c(C)c1 7.746972 0.22950819672131148</t>
  </si>
  <si>
    <t>CC1=C(C)C(C)C(c2cc(CN(Cc3ccccn3)Cc3cc(-c4ccccc4N=Cc4ccccn4)ccn3)ccn2)CC1 7.746969 0.32</t>
  </si>
  <si>
    <t>CC(C)NCc1cccc(-c2ccc(NCc3ccccn3)cc2)n1 7.746967 0.38461538461538464</t>
  </si>
  <si>
    <t>Cc1cccnc1CN(C)c1ccc(CN(C)Cc2cncc(C)c2C)nc1 7.746961 0.33962264150943394</t>
  </si>
  <si>
    <t>CN(CCN(Cc1ccccn1)c1cccc2ncccc12)C(C)(C)c1cccnc1 7.7469525 0.3559322033898305</t>
  </si>
  <si>
    <t>CCN(CCN(C)c1ccc2nccc(C)c2c1)Cc1ccccc1 7.7469378 0.2923076923076923</t>
  </si>
  <si>
    <t>CN(CCN(Cc1ccccn1)c1ccc2nc(CF)ccc2c1)Cc1ccccn1 7.746931 0.46938775510204084</t>
  </si>
  <si>
    <t>Cc1cc(NCc2ccccn2)cc(-c2cccc(CN(C)C3CCCCC3N(C)c3ccc4ncccc4c3)n2)c1 7.746927 0.4393939393939394</t>
  </si>
  <si>
    <t>CNC1=C(N(C)Cc2ccccn2)CC=CN1 7.746923 0.4423076923076923</t>
  </si>
  <si>
    <t>CN(CC1=CC(N(C)Cc2ccccn2)C=CN1)Cc1cccc2ncccc12 7.746895 0.3728813559322034</t>
  </si>
  <si>
    <t>CN(Cc1ccccn1)Cc1ccc2cccc(N(C)Cc3ccc4cccc(N(C)Cc5cc(-c6ccc7c(c6)OCCOCCOCCOCCOCCO7)ccn5)c4n3)c2n1 7.7468934 0.3787878787878788</t>
  </si>
  <si>
    <t>Cc1cnc(CN(C)Cc2cccc(N(C)Cc3ncccc3C)n2)c(C)c1 7.7468934 0.38181818181818183</t>
  </si>
  <si>
    <t>CC(C)N(C)Cc1cncc(-c2ccc(Cl)c(N)c2)c1 7.7468934 0.23636363636363636</t>
  </si>
  <si>
    <t>CN(CCF)CC1=CC(N(C)c2ccc3cccnc3c2)C=CN1 7.746881 0.3114754098360656</t>
  </si>
  <si>
    <t>CN(CCN(Cc1ccccn1)c1ccc2ncccc2c1)C(C)(C)c1ccccn1 7.746879 0.39285714285714285</t>
  </si>
  <si>
    <t>Cc1cc(CN(C)c2cccnc2CN(Cc2ccc(N)cn2)Cc2ncccc2C)cnc1C 7.746874 0.3064516129032258</t>
  </si>
  <si>
    <t>Cc1cnc(CN(C)c2cccnc2CN(C)Cc2ccncc2C)c(C)c1 7.7468715 0.29310344827586204</t>
  </si>
  <si>
    <t>CC1C=CCC(C)(c2cccc(CN(Cc3ccccn3)C3CCC(N(C)c4ccc5nc(-c6ccc7cccnc7c6)ccc5c4)CC3)n2)C1C 7.746857 0.3</t>
  </si>
  <si>
    <t>C=Nc1cccc(-c2cccc(CN(Cc3ccccn3)Cc3cccc(C(C)(c4cccnc4)C(C)C)n3)n2)c1 7.746853 0.45714285714285713</t>
  </si>
  <si>
    <t>Cc1cc(C)c(CN(C)CCN(C)c2cccc3c(CN(C)CCN)cncc23)nc1C 7.746849 0.3114754098360656</t>
  </si>
  <si>
    <t>Cc1ccc(-c2ccc(CN(Cc3ccccn3)C3CCC(N(C)c4ccc5nccc(CF)c5c4)CC3)cc2)nc1 7.7468486 0.2972972972972973</t>
  </si>
  <si>
    <t>Cc1nc(CN(C)CCN(C)Cc2ccc3ncccc3c2)c(C)c(C)c1C 7.746845 0.39215686274509803</t>
  </si>
  <si>
    <t>CNCc1nccc2cc(N(C)C3CCCCC3N(C)Cc3cccc4ncccc34)ccc12 7.746844 0.36363636363636365</t>
  </si>
  <si>
    <t>Cc1ccc(-c2ccc(CN3CCN(C)CCN(C)CC3)cc2)nc1-c1cc(-c2ccccc2)ccn1 7.746839 0.39285714285714285</t>
  </si>
  <si>
    <t>CN(C)Cc1ncccc1C1=CCC=CN1 7.7468348 0.4117647058823529</t>
  </si>
  <si>
    <t>Cc1cccnc1CN(C)c1cccnc1CN(C)Cc1nccc(C)c1C 7.74682 0.3469387755102041</t>
  </si>
  <si>
    <t>CC1(C)COC(c2ccncc2C2OC=NC2(C)C(=O)c2cccnc2C2CCC2(C)C)=N1 7.746813 0.2714285714285714</t>
  </si>
  <si>
    <t>Cc1cc(C)c(C)c(N(Cc2ccccn2)C2CCCC(N(C)c3cccc4cc(CF)cnc34)C2)c1 7.746809 0.3333333333333333</t>
  </si>
  <si>
    <t>Cc1cc(C)cc(N(C)CC2=CCC=CN2)c1 7.746806 0.3958333333333333</t>
  </si>
  <si>
    <t>Cc1cccc(C)c1N(C)Cc1ncccc1C(C)(C)C 7.746804 0.32608695652173914</t>
  </si>
  <si>
    <t>CCN(Cc1ccccn1)c1cc(C)c(CN(C)Cc2cc(C)c(C)c(C)n2)nc1C 7.7467976 0.40350877192982454</t>
  </si>
  <si>
    <t>CN(c1ccc2nccc(CF)c2c1)C1CCCCC1N(Cc1ccc2cccnc2c1)Cc1ccccn1 7.7467966 0.3880597014925373</t>
  </si>
  <si>
    <t>Cc1cc(CN(Cc2cccc(CN(C)Cc3nc(C)c(C)c(C)c3C)n2)Cc2nc(C)c(C)c(C)c2C)nc(C)c1C 7.7467923 0.375</t>
  </si>
  <si>
    <t>Cc1ccc(N(C)CC2=CCC=CN2)c(C)c1 7.7467895 0.39215686274509803</t>
  </si>
  <si>
    <t>Cc1cccc(CN(C)c2ccc(CN(C)Cc3cncc(C)c3C)nc2)n1 7.746788 0.4583333333333333</t>
  </si>
  <si>
    <t>CC(C)N(CCN(C)Cc1cccnc1)c1cccc2ncccc12 7.7467837 0.34545454545454546</t>
  </si>
  <si>
    <t>Cc1ccc(CN(Cc2ccccn2)Cc2ccncc2-c2ccccc2N(C)C(C)C)nc1 7.7467723 0.41818181818181815</t>
  </si>
  <si>
    <t>COC(C)NCNc1cccc2ncccc12 7.746758 0.25925925925925924</t>
  </si>
  <si>
    <t>CCCN(Cc1ccccn1)Cc1cccc(-c2ccc(N=Cc3ccccn3)cc2)n1 7.746758 0.45901639344262296</t>
  </si>
  <si>
    <t>Cc1cc(N(C)Cc2ncccc2C)ccc1-c1cccc(CN(Cc2ccccn2)C(C)C(C)C)n1 7.7467523 0.4098360655737705</t>
  </si>
  <si>
    <t>CC(C)N(C)Cc1ncccc1-c1cc(Cl)ccc1N 7.7467504 0.3018867924528302</t>
  </si>
  <si>
    <t>Cc1cc(C)c(C)c(CN(C)c2cccnc2CN(C)Cc2ccccn2)n1 7.746747 0.45098039215686275</t>
  </si>
  <si>
    <t>Cc1cnc(CN(C)c2ccnc(CN(C)Cc3ccccn3)c2)c(C)c1 7.746747 0.4230769230769231</t>
  </si>
  <si>
    <t>Cc1ccnc2ccc(N(C)CCN(C)CC(C)(C)C)cc12 7.7467303 0.2830188679245283</t>
  </si>
  <si>
    <t>CCNCc1cc(-c2cc(C(C)(C)C)ccn2)ccn1 7.746728 0.28888888888888886</t>
  </si>
  <si>
    <t>Cc1ccccc1N(C)Cc1ncccc1N 7.7467155 0.37777777777777777</t>
  </si>
  <si>
    <t>CC1=C(C)C(N(C)Cc2cc(-c3ccccc3N=Cc3ccccn3)ccn2)C(C)CC1 7.746709 0.36363636363636365</t>
  </si>
  <si>
    <t>Cc1cc(C)c(C)c(N(CC2=C(N(C)Cc3ncccc3C)CC=CN2)C(C)C)c1 7.7467046 0.23880597014925373</t>
  </si>
  <si>
    <t>CC(C)C(C)(c1cccnc1)N(C)Cc1cccc(-c2cccc(N(C)Cc3ccccn3)c2)n1 7.746686 0.4264705882352941</t>
  </si>
  <si>
    <t>CC(C)N(Cc1ccccn1)Cc1cccc(-c2ccc(Cl)c(N)c2)n1 7.7466836 0.4897959183673469</t>
  </si>
  <si>
    <t>CC(C)C(C)N(C)CC1=CCC=C(N(C)c2ccc3cccnc3c2)N1 7.7466836 0.2698412698412698</t>
  </si>
  <si>
    <t>CCNC1=C(N(C)Cc2ccccn2)c2ncccc2C(C)C1Cl 7.746678 0.4074074074074074</t>
  </si>
  <si>
    <t>FCNCc1ncccc1-c1ncccc1C(NCc1ccccn1)c1ccccn1 7.746675 0.35294117647058826</t>
  </si>
  <si>
    <t>CC1Cc2ccccc2C=C1N(C)Cc1ccccn1 7.7466583 0.44680851063829785</t>
  </si>
  <si>
    <t>Cc1ccccc1N(C)Cc1cc(N)ccn1 7.7466536 0.46511627906976744</t>
  </si>
  <si>
    <t>Cc1ccc(N(C)Cc2ncc(C)c(C)c2C)cc1CN(C)Cc1ccccn1 7.746649 0.41509433962264153</t>
  </si>
  <si>
    <t>Cc1ccnc2ccc(N(C)CCN(Cc3ccccn3)CC(C)C)cc12 7.746649 0.46153846153846156</t>
  </si>
  <si>
    <t>Cc1c(C)c(C)c(C(C)(C)CN(CCN(C)Cc2ccc3ncccc3c2)Cc2ccccn2)c(N(C)Cc2ccccn2)c1C 7.7466464 0.41935483870967744</t>
  </si>
  <si>
    <t>Cc1ccnc(CN(C)C2C=CNC(CN(C)Cc3ccc4ncccc4c3)=C2)c1 7.7466407 0.2857142857142857</t>
  </si>
  <si>
    <t>Cc1cnc(CN(C)Cc2c(C)nc(C)c(C)c2C)c(C)c1C 7.7466397 0.28888888888888886</t>
  </si>
  <si>
    <t>CNc1ccc(C)nc1C 7.746605 0.25</t>
  </si>
  <si>
    <t>CC(C)N(C)CCN(C)c1cccc2ncc(CN(C)C)cc12 7.746597 0.36</t>
  </si>
  <si>
    <t>CN(CCN(Cc1ccccn1)c1cccc2ccc(CF)nc12)Cc1ccccn1 7.746594 0.4727272727272727</t>
  </si>
  <si>
    <t>Cc1cc(C)c(CN(c2ccccc2F)C2CCC(N(C)c3ccc4nccc(CF)c4c3)CC2)nc1C 7.746593 0.2375</t>
  </si>
  <si>
    <t>C1=CNC(NCc2ccc(C(c3ccccn3)c3ccccn3)cn2)C=C1 7.746572 0.3559322033898305</t>
  </si>
  <si>
    <t>C1=CNC(NCc2cc(C(c3ccccn3)c3ccccn3)ccn2)C=C1 7.746548 0.3793103448275862</t>
  </si>
  <si>
    <t>Cc1cnc(CN(C)c2cccc(-c3cc(CN(C)C(C)C(C)C)ccn3)c2)c(C)c1 7.746547 0.22666666666666666</t>
  </si>
  <si>
    <t>CC(C)C(C)N(C)CC1=CCC=C(N(C)c2ccc3ncccc3c2)N1 7.7465463 0.25806451612903225</t>
  </si>
  <si>
    <t>Cc1cc(CN(C)c2cccnc2CN(C)Cc2ccccn2)nc(C)c1C 7.7465453 0.48</t>
  </si>
  <si>
    <t>Cc1cnc(CN(C)C2=CCC=C(CN(C)C)N2)c(C)c1 7.746543 0.25</t>
  </si>
  <si>
    <t>CC(c1ccccn1)(c1ccccn1)c1cccnc1CNC1C=CC=CN1 7.746539 0.3333333333333333</t>
  </si>
  <si>
    <t>Cc1ccc(C(C)(c2ccccn2)c2ncccc2CN(Cc2ccccn2)Cc2ccccn2)c(C)c1C 7.7465277 0.425531914893617</t>
  </si>
  <si>
    <t>CC(C)(C)CN(Cc1ccccn1)Cc1cc(-c2cccc(N=Cc3ccccn3)c2)ccn1 7.746511 0.49056603773584906</t>
  </si>
  <si>
    <t>CC(C)C(C)(c1cccnc1)N(C)Cc1cc(-c2cccc(N(C)C)c2)ccn1 7.746505 0.2459016393442623</t>
  </si>
  <si>
    <t>CNCN(CCN(C)c1ccc2c(C)ccnc2c1)Cc1ccccn1 7.7465043 0.4423076923076923</t>
  </si>
  <si>
    <t>C=Cc1ccc(CN(C)CC2=CCC=C(N(C)Cc3ccccn3)N2)nc1 7.746501 0.45161290322580644</t>
  </si>
  <si>
    <t>[SiH3]c1cccc(CN(Cc2cccc([SiH3])n2)Cc2ccc3c(n2)CC=CN3)n1 7.7465 0.35185185185185186</t>
  </si>
  <si>
    <t>CC1=CC(C)CC(C)C1N(C)Cc1cc(-c2cccc(N=Cc3ccccn3)c2)ccn1 7.7465 0.3283582089552239</t>
  </si>
  <si>
    <t>CN(Cc1ccc2cccnc2c1)C1CCC(N(C)c2ccc3ncc(CF)cc3c2)CC1 7.7464943 0.2647058823529412</t>
  </si>
  <si>
    <t>CC1(C)COC(c2ccc(C3OC=NC3(C)C)nc2)=N1 7.7464824 0.40425531914893614</t>
  </si>
  <si>
    <t>CCN(Cc1ccccn1)Cc1cccc(-c2cccc(Cl)c2N)n1 7.746482 0.48</t>
  </si>
  <si>
    <t>Cc1cccc(CN(Cc2cccc(C)n2)Cc2ccc3c(n2)NC=CC3)n1 7.7464814 0.45454545454545453</t>
  </si>
  <si>
    <t>CC(C)N(Cc1ccccn1)c1ccccc1C1=NC(C)(C)CO1 7.7464805 0.4117647058823529</t>
  </si>
  <si>
    <t>CCCN(CC1=CC(N(C)Cc2ccccn2)C=CN1)c1ccc2ncccc2c1 7.746476 0.34375</t>
  </si>
  <si>
    <t>Cc1cccnc1CN(C)c1cccc(CN(C)Cc2c(C)cncc2C)n1 7.7464576 0.3888888888888889</t>
  </si>
  <si>
    <t>CC(C)CN(Cc1ccccn1)Cc1ncccc1-c1ccccc1N(C)C 7.7464542 0.46808510638297873</t>
  </si>
  <si>
    <t>CC(c1ccccn1)C1OC(c2ccc(C3CCC3(C)C)nc2)=NC1=O 7.746453 0.2608695652173913</t>
  </si>
  <si>
    <t>Cc1ccc(N(Cc2ccccn2)C2CCCC(N(C)c3cccc4cccnc34)C2)c(C)c1C 7.7464404 0.4576271186440678</t>
  </si>
  <si>
    <t>CC(C)N(C)c1ccc2ncccc2c1-c1cc(C2=CCC=CN2)cc(CN2CCN(C)CCN(C)CC2)n1 7.746435 0.3194444444444444</t>
  </si>
  <si>
    <t>Cc1ccc(NCc2ccccn2)c(-c2ccc(CN(Cc3ccccn3)Cc3ccccn3)cn2)c1 7.746433 0.4166666666666667</t>
  </si>
  <si>
    <t>CC(C)N(C)Cc1ccc(-c2cccc(N)c2Cl)cn1 7.74643 0.3137254901960784</t>
  </si>
  <si>
    <t>CCCN(CC1=CC(N(C)Cc2ccccn2)C=CN1)c1ccc2cccnc2c1 7.7464194 0.38095238095238093</t>
  </si>
  <si>
    <t>CC1=CC(C)CC(C)(c2cccc(CN(Cc3ccccn3)Cc3ccc(-c4cccc(N(C)C)c4)cn3)n2)C1 7.7464113 0.35526315789473684</t>
  </si>
  <si>
    <t>Cc1ccnc(CN(C)Cc2cc(-c3ccccc3)ccn2)c1 7.746411 0.4</t>
  </si>
  <si>
    <t>CC1CC(N(C)Cc2ccon2)C(N(C)c2ccc3ncccc3c2)C1 7.7464037 0.34545454545454546</t>
  </si>
  <si>
    <t>CC1COC(c2cccc(CN(C)Cc3cccc(N)n3)n2)=N1 7.746402 0.40384615384615385</t>
  </si>
  <si>
    <t>Cc1cc(C)c(N(C)Cc2ccccn2)cc1CN(Cc1ccccn1)C(C)(N)c1ccccn1 7.746392 0.47058823529411764</t>
  </si>
  <si>
    <t>CN(Cc1ccc(-c2ccc3ncccc3c2)cn1)C1CCC(N(C)Cc2cccc(C3=CCC=CN3)n2)CC1 7.7463837 0.3287671232876712</t>
  </si>
  <si>
    <t>CCN(Cc1ccccn1)c1ccc2nc(CN(Cc3ccccn3)C3CCCCC3N(C)c3ccc4ccc(CF)nc4c3)ccc2c1 7.746381 0.4126984126984127</t>
  </si>
  <si>
    <t>Cc1cccc(C2=NC(C3=NC(C4(C)COC=N4)CO3)CO2)n1 7.746378 0.32142857142857145</t>
  </si>
  <si>
    <t>Cc1ccc(CN(C)Cc2cccc(C(C)(c3ccccn3)c3ccccn3)n2)nc1 7.7463775 0.4897959183673469</t>
  </si>
  <si>
    <t>CC1(C)COC(c2cccnc2C2OC=NC2(C)c2ccnc(C3CCC3(C)C)c2)=N1 7.7463713 0.31746031746031744</t>
  </si>
  <si>
    <t>CCN(Cc1ccccn1)c1ccc(CN(Cc2ccccn2)Cc2cccc(-c3ccc(N)cc3)n2)nc1 7.7463713 0.4915254237288136</t>
  </si>
  <si>
    <t>C1=CNC(NCc2ncccc2C(c2ccccn2)c2ccccn2)C=C1 7.746356 0.3684210526315789</t>
  </si>
  <si>
    <t>C1=CC(Nc2cccnn2)=CCN1 7.74634 0.2391304347826087</t>
  </si>
  <si>
    <t>Cc1cccc(CN(C)Cc2ncccc2N(C)Cc2nccc(C)c2C)n1 7.74634 0.46808510638297873</t>
  </si>
  <si>
    <t>Cc1cc(-c2ccc(CN(C)Cc3ccccn3)cc2)ccn1 7.74634 0.46808510638297873</t>
  </si>
  <si>
    <t>CC(C)(C)CN(Cc1ccccn1)Cc1cc(-c2ccccc2N=Cc2ccccn2)ccn1 7.7463355 0.49056603773584906</t>
  </si>
  <si>
    <t>CNCc1ncc(Cl)c(N(C)Cc2ccc(C)cn2)c1CN(C)Cc1cccc(C)n1 7.7463284 0.38596491228070173</t>
  </si>
  <si>
    <t>Cc1ccccc1-c1ncccc1CN(C)Cc1ccccn1 7.7463236 0.4782608695652174</t>
  </si>
  <si>
    <t>COC(=O)C1CN(C)C(c2cc(CNCc3cc(C(C)(c4ccccn4)c4ccccn4)ccn3)ccn2)C(c2ccccn2)C1c1ccccn1 7.7463202 0.30120481927710846</t>
  </si>
  <si>
    <t>Cc1cc(-c2cccc(NCc3ccccn3)c2)cnc1CN(Cc1ccccn1)C1CCC(N(C)c2ccc3ncccc3c2)CC1 7.7463155 0.2926829268292683</t>
  </si>
  <si>
    <t>CCC(C)N(C)Cc1cccc(-c2cccc(N=Cc3ccccn3)c2)n1 7.746305 0.4153846153846154</t>
  </si>
  <si>
    <t>CC1C=C(N(C)Cc2cccnn2)Cc2ncccc21 7.746293 0.425531914893617</t>
  </si>
  <si>
    <t>CC1=CCC=C(N(C)CC2=CCC=C(N(C)Cc3ccccn3)N2)N1 7.746292 0.4339622641509434</t>
  </si>
  <si>
    <t>CC1=CC(C)C(C)(c2cc(CN(Cc3ccccn3)Cc3cc(-c4cccc(N=Cc5ccccn5)c4)ccn3)ccn2)CC1 7.746292 0.2976190476190476</t>
  </si>
  <si>
    <t>CNc1ccc(-c2cccc(CN(C)C3CCC(N(C)c4ccc5nc(CF)ccc5c4)CC3)n2)cc1 7.746291 0.32857142857142857</t>
  </si>
  <si>
    <t>CC(c1ccnc(CNC2C=CC=CN2)c1)(c1ccccn1)c1ccccn1 7.7462893 0.36666666666666664</t>
  </si>
  <si>
    <t>Cc1cc(-c2ccc(NCc3cc(C(C)C(C)C)ccn3)cc2)ccn1 7.746284 0.25396825396825395</t>
  </si>
  <si>
    <t>CC(C)(C)CN(Cc1ccccn1)Cc1ncccc1-c1cccc(N=Cc2ccccn2)c1 7.7462783 0.45614035087719296</t>
  </si>
  <si>
    <t>CC(C)C(=O)C(=O)C(=O)C(=O)C(=O)C(=O)C(=O)C(=O)C(=O)C(C)C(C)C(=O)C(=O)C(=O)C(=O)C(=O)C(C)C(C)C(=O)C(=O)C(=O)C(C)C(=O)C(=O)C(=O)C(C)C(=O)C(=O)C(=O)C(=O)C(=O)C(=O)C(=O)C1OC(c2cccnc2C2CCC2(C)C)=NC1=O 7.746277 0.19767441860465115</t>
  </si>
  <si>
    <t>Cc1cc(C)c(CN(C)c2cccnc2CN(C)Cc2ccccn2)nc1C 7.746269 0.46</t>
  </si>
  <si>
    <t>CCCN(Cc1ccccn1)Cc1ccc(-c2cccc(N=Cc3ccccn3)c2)cn1 7.746257 0.39285714285714285</t>
  </si>
  <si>
    <t>Cc1cccc(N(C)Cc2ncccc2N(C)C(C)C)c1C 7.746246 0.391304347826087</t>
  </si>
  <si>
    <t>Cc1cc(C)c(C)c(C)n1 7.7462435 0.24324324324324326</t>
  </si>
  <si>
    <t>CC(C)C(C)N(C)CC1=CCC=C(N(C)c2ccc3nccc(CF)c3c2)N1 7.746242 0.20270270270270271</t>
  </si>
  <si>
    <t>Cc1cnc(CN(C)c2ccnc(CN(C)Cc3ccccn3)c2)c(C)c1C 7.7462397 0.43137254901960786</t>
  </si>
  <si>
    <t>Cc1cncc(CN(C)Cc2ncccc2C(C)(c2ccccn2)c2ccccn2)c1 7.7462397 0.3275862068965517</t>
  </si>
  <si>
    <t>Cc1ccc(NCc2ccccn2)cc1C1=CC(c2ccccc2)C(NCc2ccccn2)C=C1c1ccccc1 7.74623 0.36363636363636365</t>
  </si>
  <si>
    <t>CN(CCN(Cc1cccnc1)Cc1ccccn1)c1cccc2ncc(CF)cc12 7.7462244 0.42105263157894735</t>
  </si>
  <si>
    <t>CC(c1ccccn1)C1OC(c2cccc(C3CCC3(C)C)n2)=NC1=O 7.7462234 0.3</t>
  </si>
  <si>
    <t>Cc1cc(C(C)(C)CN(Cc2ccccn2)Cc2ccccn2)cc2cccnc12 7.746219 0.48936170212765956</t>
  </si>
  <si>
    <t>CC(C)NCc1ccc(-c2cccc(NCc3ccccn3)c2)cn1 7.7462125 0.3728813559322034</t>
  </si>
  <si>
    <t>CCCN(Cc1ccccn1)Cc1cccc(-c2ccccc2N=Cc2ccccn2)n1 7.746199 0.42857142857142855</t>
  </si>
  <si>
    <t>Cc1cc(C)c(CN(C)C)nc1C 7.746193 0.2631578947368421</t>
  </si>
  <si>
    <t>Cc1c(NCc2ccccn2)cccc1-c1cccc(CN(Cc2ccccn2)Cc2ccccn2)n1 7.7461753 0.48214285714285715</t>
  </si>
  <si>
    <t>Cc1cncc(CN(C)Cc2cccc(N(C)Cc3nc(C)c(C)cc3C)n2)c1 7.7461476 0.3333333333333333</t>
  </si>
  <si>
    <t>CCCN(CC1=CC(N(C)Cc2ccccn2)C=CN1)c1cccc2cccnc12 7.7461476 0.4067796610169492</t>
  </si>
  <si>
    <t>CN(Cc1cccc(C2=CCC=CN2)n1)C1=C(CN(Cc2ccccn2)Cc2cccc(F)n2)NC=CC1 7.746135 0.45454545454545453</t>
  </si>
  <si>
    <t>Cc1cc(C)c(C2=NC(C(C)C)C(C(C)C)O2)c(N(C)Cc2ccccn2)c1 7.746132 0.43636363636363634</t>
  </si>
  <si>
    <t>CN(c1ccc2cccnc2c1)C1CCC(N(Cc2ccc3cccnc3c2)Cc2cccnn2)CC1 7.746117 0.35714285714285715</t>
  </si>
  <si>
    <t>Cc1ccc(N(C)Cc2ncccc2C(C)(C)C)cc1C 7.7460933 0.29411764705882354</t>
  </si>
  <si>
    <t>CC1COC(c2cccc(CN(C)Cc3cc(N)ccn3)n2)=N1 7.7460914 0.43636363636363634</t>
  </si>
  <si>
    <t>Cc1c(C)c(C)c(N(C)C2CCCC(N(C)c3ccc4cccnc4c3)C2)c(C)c1C 7.7460856 0.34545454545454546</t>
  </si>
  <si>
    <t>Cc1cc(NCc2ccccn2)cc(-c2ccc(CN(C)C(C)C)nc2)c1 7.7460785 0.38181818181818183</t>
  </si>
  <si>
    <t>Cc1ccc(CN(Cc2ccccn2)Cc2cc(C)c(N(C)C)c(C)n2)nc1 7.7460756 0.47619047619047616</t>
  </si>
  <si>
    <t>C1=CNC=C(CN(Cc2ccccn2)Cc2cc3ccccc3cn2)C1 7.746072 0.4444444444444444</t>
  </si>
  <si>
    <t>C1=CNC(NCc2cccc(C(c3ccccn3)c3ccccn3)n2)C=C1 7.7460713 0.39285714285714285</t>
  </si>
  <si>
    <t>CC(C)N(C)CCN(C)c1cccc2nc(CN(C)C)ccc12 7.746069 0.375</t>
  </si>
  <si>
    <t>CC(C)(C)CN(Cc1ccccn1)Cc1ncccc1-c1ccccc1N=Cc1ccccn1 7.7460613 0.5</t>
  </si>
  <si>
    <t>CC1=CC(NCc2ccccn2)C(c2ccc(-c3ccccc3)c(C)c2NCc2ccccn2)C=C1 7.7460585 0.4126984126984127</t>
  </si>
  <si>
    <t>CC1(C)COC(c2cccc(CN(Cc3ccccn3)Cc3cccc(C(C)(C)c4ccccn4)n3)n2)=N1 7.746052 0.4716981132075472</t>
  </si>
  <si>
    <t>CC(C)NCc1ccc(CN(Cc2ccccn2)Cc2cccc(-c3cccc(N(C)C)c3)n2)cn1 7.74605 0.49230769230769234</t>
  </si>
  <si>
    <t>C1=CC(Nc2ccccn2)=CCN1 7.746042 0.2926829268292683</t>
  </si>
  <si>
    <t>CC1=C(N=Cc2ccccn2)C(CN(C)Cc2cccnn2)c2cccnc2C1 7.7460375 0.3728813559322034</t>
  </si>
  <si>
    <t>CNCN(Cc1ccccn1)c1cccc2ncc(CN(C)C(C)C)cc12 7.7460365 0.3684210526315789</t>
  </si>
  <si>
    <t>CC1=CC(C)CC(C)C1c1ncccc1CN(Cc1ccccn1)Cc1ccc(-c2cccc(N(C)C)c2)cn1 7.7460356 0.3246753246753247</t>
  </si>
  <si>
    <t>Cc1ccc2nc(CN(C)C3CCCCC3N(C)c3ccc4ncccc4c3)ccc2c1 7.746033 0.4727272727272727</t>
  </si>
  <si>
    <t>CC(C)CN(Cc1ccccn1)Cc1ncccc1-c1ccc(Cl)cc1N 7.7460303 0.3888888888888889</t>
  </si>
  <si>
    <t>CCNCCN(C)c1cccc2nccc(CF)c12 7.7460265 0.3333333333333333</t>
  </si>
  <si>
    <t>CCNCCN(C)c1ccc2nccc(CF)c2c1 7.7460084 0.22641509433962265</t>
  </si>
  <si>
    <t>Cc1cnc(CN(C)c2cccnc2CN(C)Cc2ncccc2C)c(C)c1 7.7459984 0.3333333333333333</t>
  </si>
  <si>
    <t>CN(Cc1ccccn1)C1=CNC=C(CN(C)c2cccc(F)c2)C1 7.745995 0.4</t>
  </si>
  <si>
    <t>COC1(C)N=COC1c1ccc(C2=NC(C)(C)CO2)cn1 7.745995 0.37254901960784315</t>
  </si>
  <si>
    <t>CN(C)Cc1nccc2cc(N(C)C3CCCCC3N(Cc3ccc4cccnc4c3)Cc3ccccn3)ccc12 7.745994 0.3880597014925373</t>
  </si>
  <si>
    <t>CC1=C(C)C23C(C)=C(C)C(C)C(c4cccc(CN(Cc5ccccn5)Cc5ccccn5)n4)C2=C(C(C)(C)c2ccccn2)NC(c2cccc(CN(Cc4ccccn4)Cc4ccccn4)n2)=C3C(c2cccc(CN(Cc3ccccn3)Cc3ccccn3)n2)C1C 7.7459927 0.36486486486486486</t>
  </si>
  <si>
    <t>Cc1cnc(C2CCC2(C)C)c(C)c1C(C)C1(C)COC(c2cccc(C3=NC(C)(C)CO3)n2)=N1 7.745987 0.4642857142857143</t>
  </si>
  <si>
    <t>CCNCc1cccc(CN(C)Cc2cccc(-c3cccc(N(C)C)c3)n2)n1 7.7459855 0.40384615384615385</t>
  </si>
  <si>
    <t>CN(C)C1=C(N(C)Cc2ccccn2)CC=CN1 7.745983 0.46</t>
  </si>
  <si>
    <t>CC(C)N(C)Cc1ccc(-c2cc(Cl)ccc2N)cn1 7.745979 0.3137254901960784</t>
  </si>
  <si>
    <t>CCNc1ccc2nc(CN(C)C3CCC(N(C)c4ccc5nccc(CF)c5c4)CC3)ccc2c1 7.745972 0.24675324675324675</t>
  </si>
  <si>
    <t>Cc1cccc(CN(C)CN(C)Cc2cccc(-c3cccc(Cl)c3N)n2)n1 7.7459707 0.5</t>
  </si>
  <si>
    <t>CN(CCN(Cc1ccccn1)c1cccc2cccnc12)Cc1cccnc1 7.7459683 0.46153846153846156</t>
  </si>
  <si>
    <t>CC(C)N(Cc1ccccn1)c1ccc(-c2cc(CN(Cc3ccccn3)C3CCC(N(C)c4ccc5ccc(CF)nc5c4)CC3)ccn2)cc1 7.745964 0.3108108108108108</t>
  </si>
  <si>
    <t>Cc1cnc2c(N(C)CCN(Cc3cccnc3)Cc3ccccn3)cccc2c1 7.7459607 0.45454545454545453</t>
  </si>
  <si>
    <t>C=Cc1ccccc1SCc1ccccn1 7.745959 0.4722222222222222</t>
  </si>
  <si>
    <t>CN(CCN(Cc1ccccn1)c1ccc2ncccc2c1)Cc1ccccn1 7.7459574 0.4583333333333333</t>
  </si>
  <si>
    <t>Cc1cc(C)c(CN(C)Cc2cc(N(C)Cc3ncccc3C)ccn2)cn1 7.7459555 0.3050847457627119</t>
  </si>
  <si>
    <t>Cc1cccnc1CN(C)Cc1cc(N(C)Cc2nccc(C)c2C)ccn1 7.7459426 0.32727272727272727</t>
  </si>
  <si>
    <t>Cc1cccc(N(C)C2=CNC=CC2)c1C 7.7459373 0.22641509433962265</t>
  </si>
  <si>
    <t>Cc1ccnc(CN(C)Cc2cccnc2C2=CCC=CN2)c1 7.745935 0.38333333333333336</t>
  </si>
  <si>
    <t>Cc1cccnc1-c1ccccc1N(C)CCN(C)Cc1ccccn1 7.7459335 0.42857142857142855</t>
  </si>
  <si>
    <t>CN(Cc1ccc2ncccc2c1)C12CCC(N(C)Cc3ccc4ncccc4c3)(CC1)C2 7.74593 0.32</t>
  </si>
  <si>
    <t>Cc1ccc(CN(C)c2ccc(CN(Cc3ccccn3)Cc3nc(C)c(C)cc3C)nc2)nc1C 7.7459245 0.4107142857142857</t>
  </si>
  <si>
    <t>CN(C)Cc1nccc2cc(N(C)C3CCCCC3N(Cc3ccc4ncccc4c3)Cc3ccccn3)ccc12 7.7459188 0.3939393939393939</t>
  </si>
  <si>
    <t>Cc1cncc(N(C)Cc2cccnc2N(C)C(C)C)c1 7.7459 0.32075471698113206</t>
  </si>
  <si>
    <t>CCCN(Cc1ccccn1)c1ccc2cccnc2c1CN(C)Cc1ccccn1 7.7459 0.4423076923076923</t>
  </si>
  <si>
    <t>CN(CCN(C)C(C)(C)c1ccccn1)c1ccc2cccnc2c1 7.745891 0.40384615384615385</t>
  </si>
  <si>
    <t>CN(C)Cc1ccc2cc(N(C)C3CCCCC3N(Cc3ccc4ncccc4c3)Cc3cccnc3C(C)(C)C)ccc2n1 7.7458897 0.3380281690140845</t>
  </si>
  <si>
    <t>CCCN(Cc1ccccn1)Cc1cccc(-c2cccc(N(C)Cc3ccccn3)c2C)n1 7.7458816 0.4807692307692308</t>
  </si>
  <si>
    <t>CNCc1cc(CN(CN(C)c2ccc3nc(CF)ccc3c2)C2CCC(N(C)c3ccc4cccnc4c3)CC2)ccn1 7.7458735 0.2911392405063291</t>
  </si>
  <si>
    <t>Cc1ccnc(CN(C)Cc2ncccc2N(C)Cc2ncc(C)c(C)c2C)c1 7.745871 0.36363636363636365</t>
  </si>
  <si>
    <t>Cc1cc(C)nc(CN(C)c2ccnc(CN(C)Cc3ccc(C)nc3)c2)c1 7.74587 0.2982456140350877</t>
  </si>
  <si>
    <t>Cc1cccnc1-c1cccc(CN(C)Cc2ccccn2)c1 7.7458663 0.4791666666666667</t>
  </si>
  <si>
    <t>Cc1cnc(CN(C)C2=CCC=C(CN(C)Cc3nc(C)c(C)c(C)c3C)N2)c(C)c1C 7.745864 0.22727272727272727</t>
  </si>
  <si>
    <t>CN(Cc1ccccc1)c1ccccc1-c1cccc(CN(Cc2ccccn2)Cc2cccc(F)n2)n1 7.7458596 0.49056603773584906</t>
  </si>
  <si>
    <t>Cc1cc(C)c(N(C)Cc2ccccn2)c(N(Cc2ccccn2)CN(C)Cc2ccccn2)c1 7.7458563 0.48936170212765956</t>
  </si>
  <si>
    <t>CN(CCN(C)C(C)(C)c1ccccn1)c1ccc2ncccc2c1 7.7458506 0.36</t>
  </si>
  <si>
    <t>CC(C)C(C)(c1cccnc1)N(C)CC1=CC(N(C)c2ccc3cccnc3c2)C=CN1 7.745847 0.25</t>
  </si>
  <si>
    <t>Cc1cccnc1CN(C)C1=C(NCc2ccccn2)CNC=C1 7.7458467 0.3220338983050847</t>
  </si>
  <si>
    <t>Cc1c(C)c(C)c(N(C)CC2=CC(N(C)C(c3ccccc3)c3ccccn3)C=CN2)c(C)c1C 7.7458367 0.4406779661016949</t>
  </si>
  <si>
    <t>Cc1nc(CN(C)Cc2cccc(CN(Cc3nc(C)c(C)c(C)c3C)Cc3nc(C)c(C)c(C)c3C)n2)c(C)c(C)c1C 7.7458353 0.43902439024390244</t>
  </si>
  <si>
    <t>CC(C)C1COC(c2cc(C(C)(C)c3ccccn3)ccn2)=N1 7.745835 0.26666666666666666</t>
  </si>
  <si>
    <t>Cc1ccc(CN(C)c2ccc(CN(C)Cc3cnc(C)c(C)c3)nc2)nc1 7.7458277 0.5</t>
  </si>
  <si>
    <t>CN(CCN(C)C1C=CC=CN1)c1ccc2ccc(CF)nc2c1 7.7458224 0.28125</t>
  </si>
  <si>
    <t>Cc1cc(CN(C)Cc2nc(C)c(C)c(C)c2C)nc(C)c1C 7.74582 0.3023255813953488</t>
  </si>
  <si>
    <t>CC(C)N(CCN(C)Cc1ccccn1)c1cccc2ncccc12 7.7458196 0.4583333333333333</t>
  </si>
  <si>
    <t>CCN(CCN(C)c1ccc2nccc(CF)c2c1)C(C)C 7.745814 0.2962962962962963</t>
  </si>
  <si>
    <t>C=CCN(Cc1ccccn1)Cc1ccc(-c2ccccc2N(C)C)cn1 7.7458067 0.4222222222222222</t>
  </si>
  <si>
    <t>CC(C)N(C)Cc1ncccc1-c1cccc(Cl)c1N 7.745793 0.32</t>
  </si>
  <si>
    <t>Cc1ccc(N(Cc2ccccn2)C2CCCCC2N(C)c2ccc3c(CN(C)C)ccnc3c2)c(C)c1C 7.7457895 0.40625</t>
  </si>
  <si>
    <t>CN(Cc1ccccn1)Cc1cc(N(C)Cc2ccon2)ccn1 7.7457805 0.4883720930232558</t>
  </si>
  <si>
    <t>CN(C)Cc1nccc2cccc(N(C)C3CCCCC3N(Cc3ccc4ncccc4c3)Cc3ccccn3)c12 7.7457757 0.40298507462686567</t>
  </si>
  <si>
    <t>CCCNCc1cccc(-c2cccc(N=Cc3ccccn3)c2)n1 7.7457657 0.36923076923076925</t>
  </si>
  <si>
    <t>Cc1ccccc1N(C)Cc1ncccc1C 7.7457647 0.4146341463414634</t>
  </si>
  <si>
    <t>Cc1ccc(CN(Cc2ccccn2)Cc2cccc(CN(Cc3ccccn3)Cc3cccc(-c4c(N)cccc4Cl)n3)n2)nc1C 7.7457614 0.43548387096774194</t>
  </si>
  <si>
    <t>C1=CNC(SCc2ccccn2)=C(SCc2ccccn2)C1 7.7457604 0.425</t>
  </si>
  <si>
    <t>Cc1ccc(CN(C)C)c(N(C)Cc2ccccn2)n1 7.7457566 0.4772727272727273</t>
  </si>
  <si>
    <t>CN(Cc1cc(-c2ccccn2)ccn1)C1CCC(N(C)c2ccc3nc4c(cc3c2)CCC4)CC1 7.7457423 0.34328358208955223</t>
  </si>
  <si>
    <t>Cc1ccc(-c2cccnc2CN(Cc2ccccn2)C(C)C)c(NCc2ccccn2)c1 7.7457213 0.47058823529411764</t>
  </si>
  <si>
    <t>CC(C)C(C)(c1cccnc1)N(C)CC1=CC(N(C)c2ccc3ncccc3c2)C=CN1 7.7457166 0.25333333333333335</t>
  </si>
  <si>
    <t>CC(C)N(C)Cc1cccc(-c2cccc(Cl)c2Cl)n1 7.7457113 0.3673469387755102</t>
  </si>
  <si>
    <t>CC(C)N(C)c1ccc(Cl)c(Cl)c1N(C)C1CCCCC1N(C)c1ccc2ccc(CF)nc2c1 7.74571 0.4444444444444444</t>
  </si>
  <si>
    <t>Cc1cc(C)c(C(C)(c2ccc(CN(Cc3ccccn3)Cc3ccccn3)cn2)c2cc(CN(C)Cc3ccccn3)ccn2)c(C)c1 7.7457037 0.37681159420289856</t>
  </si>
  <si>
    <t>CN(CCNCc1ccccn1)c1ccc2ncccc2c1 7.7456956 0.5</t>
  </si>
  <si>
    <t>Cc1ccccc1N(Cc1ccccn1)Cc1ccon1 7.7456794 0.425</t>
  </si>
  <si>
    <t>CN(Cc1ccccn1)C1=C(CN(C)c2cccc(F)c2)NC=CC1 7.7456756 0.39285714285714285</t>
  </si>
  <si>
    <t>CN(c1ccc(N)cc1Cl)C1CCCCC1N(C)c1cccc2ncccc12 7.7456675 0.4716981132075472</t>
  </si>
  <si>
    <t>Cc1cccnc1-c1ccc(CN(C)Cc2ccccn2)cc1 7.7456603 0.4782608695652174</t>
  </si>
  <si>
    <t>Cc1cnc(CN(C)C2=CCC=C(CN(C)C)N2)c(C)c1C 7.745659 0.23728813559322035</t>
  </si>
  <si>
    <t>CNCc1cccc(CN(Cc2ccccn2)Cc2cccc(-c3ccc(Cl)cc3N)n2)n1 7.7456493 0.45161290322580644</t>
  </si>
  <si>
    <t>Cc1cnccc1CN(C)Cc1ncccc1N(C)Cc1ncc(C)c(C)c1C 7.745644 0.2982456140350877</t>
  </si>
  <si>
    <t>Cc1cccnc1CN(Cc1cccnc1-c1ccccc1N(C)C)CC(C)(C)C 7.745642 0.36363636363636365</t>
  </si>
  <si>
    <t>CN(C)c1ccnc(CN(Cc2ccnc(C(C)(C)c3ccccn3)c2)Cc2ccccn2)c1 7.745635 0.4444444444444444</t>
  </si>
  <si>
    <t>Cc1ccnc(CN(C)Cc2cc(C(C)(c3ccccn3)c3ccccn3)ccn2)c1 7.745632 0.39215686274509803</t>
  </si>
  <si>
    <t>CN(CCN(C)C1CCC(N(C)c2cccc3nc(CF)ccc23)CC1)c1cccc2nc(CF)ccc12 7.7456293 0.41379310344827586</t>
  </si>
  <si>
    <t>CN(C)Cc1ccc2cccc(N(C)C3CCC(N(Cc4ccc5ncccc5c4)Cc4ccccn4)CC3)c2n1 7.745625 0.37142857142857144</t>
  </si>
  <si>
    <t>Cc1cc(CN(C)CC2=CCC=C(N(C)Cc3cc(C)c(C)c(C)n3)N2)nc(C)c1C 7.745604 0.24528301886792453</t>
  </si>
  <si>
    <t>Cc1ccnc(CN(C)c2ccc(CN(C)Cc3c(C)cncc3C)nc2)c1 7.7455997 0.3877551020408163</t>
  </si>
  <si>
    <t>CCN(Cc1ccccn1)Cc1cccc(-c2c(N)cccc2Cl)n1 7.7455945 0.48</t>
  </si>
  <si>
    <t>Cc1ccc(CN(C)Cc2ncccc2N(C)Cc2nc(C)cc(C)c2C)nc1 7.74559 0.43137254901960786</t>
  </si>
  <si>
    <t>Cc1ccc(CN(C)Cc2ncccc2N(C)Cc2ncc(C)c(C)c2C)nc1 7.745589 0.46808510638297873</t>
  </si>
  <si>
    <t>CNc1cc(C)cc(-c2cccc(CN(Cc3ccccn3)C3CCC(N(C)c4ccc5nc(CF)ccc5c4)CC3)n2)c1 7.745578 0.36619718309859156</t>
  </si>
  <si>
    <t>Cc1cccc(N(Cc2ccccn2)Cc2ccon2)c1 7.74557 0.4222222222222222</t>
  </si>
  <si>
    <t>Cc1cncc(CN(C)Cc2ncccc2N(C)Cc2nc(C)c(C)cc2C)c1 7.7455697 0.3050847457627119</t>
  </si>
  <si>
    <t>Cc1ccc(CN(C)Cc2cccc(N(C)Cc3nc(C)c(C)cc3C)n2)nc1 7.7455664 0.4583333333333333</t>
  </si>
  <si>
    <t>CC(C)N(Cc1ccccn1)c1ccccc1-c1cccc(CN(Cc2ccccn2)Cc2ccc(C(C)(C)C)cn2)n1 7.7455664 0.4153846153846154</t>
  </si>
  <si>
    <t>COC(C)c1cccc(CN(Cc2ccccn2)Cc2cc(C3=NC(c4ccccn4)CO3)ccn2)n1 7.7455645 0.4084507042253521</t>
  </si>
  <si>
    <t>CN(CCNCc1ccccn1)c1ccc2cccnc2c1 7.7455564 0.4883720930232558</t>
  </si>
  <si>
    <t>CNCc1cccc(CN(Cc2ccccn2)Cc2cccc(-c3c(N)cccc3Cl)n2)n1 7.7455497 0.4426229508196721</t>
  </si>
  <si>
    <t>Cc1cccnc1CN(C)Cc1cccc(N(C)Cc2ncc(C)c(C)c2C)n1 7.7455444 0.4074074074074074</t>
  </si>
  <si>
    <t>Cc1cccc(NCc2ccccn2)c1-c1cccc(CN(Cc2ccccn2)Cc2ccccn2)n1 7.7455344 0.48214285714285715</t>
  </si>
  <si>
    <t>Cc1cccc(CN(C)C2C=CNC(CN(C)Cc3ccc4ncccc4c3)=C2)n1 7.7455277 0.359375</t>
  </si>
  <si>
    <t>CN(C)c1ccccc1-c1ccc(CN(Cc2ccccn2)CC2C=CNC=C2)nc1 7.7455263 0.4</t>
  </si>
  <si>
    <t>CC(C)N(C)Cc1ncccc1-c1c(N)cccc1Cl 7.745522 0.3018867924528302</t>
  </si>
  <si>
    <t>CCCN(Cc1ccccn1)c1cc2ccccc2c(-c2ccc3c(c2)OCCOCCOCCOCCOCCO3)c1-c1cccc(-c2cccc(C)c2N(C)Cc2ccccn2)c1C 7.7455015 0.2911392405063291</t>
  </si>
  <si>
    <t>CC(C)N(C)CCN(C)c1cccc2nccc(CN(C)C)c12 7.7455 0.3673469387755102</t>
  </si>
  <si>
    <t>Cc1cc(C)c(CN(C)Cc2ccc(N(C)Cc3ncccc3C)cn2)cn1 7.7454944 0.33962264150943394</t>
  </si>
  <si>
    <t>CN(Cc1ccc2ncccc2c1)C1CCCCC1N(C)c1ccc2nccc(CF)c2c1 7.7454867 0.3870967741935484</t>
  </si>
  <si>
    <t>CC(C)C(C)(c1cccnc1)N(Cc1ccccn1)Cc1ccc(-c2cccc(N(C)C)c2)cn1 7.7454863 0.3442622950819672</t>
  </si>
  <si>
    <t>Cc1ccc(N)cc1N(C)Cc1ncccc1C(C)(C)C 7.7454786 0.3269230769230769</t>
  </si>
  <si>
    <t>Cc1cccc(CN(C)Cc2cc(N(C)Cc3nccc(C)c3C)ccn2)n1 7.745475 0.46808510638297873</t>
  </si>
  <si>
    <t>COC(=O)c1ncccc1CN(Cc1ccccn1)Cc1cc(C(C)(C)c2ccccn2)ccn1 7.7454596 0.37735849056603776</t>
  </si>
  <si>
    <t>Cc1cnc(CN(Cc2ccccn2)Cc2ccc(N(C)Cc3nc(C)c(C)cc3C)cn2)c(C)c1 7.745454 0.39215686274509803</t>
  </si>
  <si>
    <t>Cc1cncc(CN(C)Cc2cnccc2N(C)Cc2nc(C)c(C)cc2C)c1 7.7454486 0.2459016393442623</t>
  </si>
  <si>
    <t>CC(C)N(C)Cc1cccc(-c2cc(N)cc(Cl)c2)n1 7.7454457 0.33962264150943394</t>
  </si>
  <si>
    <t>Cc1c(NCc2ccccn2)cccc1-c1ncccc1CN(C)C1CCCCC1N(C)c1ccc2nc(CF)ccc2c1 7.745443 0.3783783783783784</t>
  </si>
  <si>
    <t>Cc1ccnc2cccc(N(C)CCN(C)CCN)c12 7.7454357 0.3829787234042553</t>
  </si>
  <si>
    <t>Cc1ccc(C2=NC(=O)C(C(C)c3ccccn3)O2)nc1C1CCC1(C)C 7.745432 0.2535211267605634</t>
  </si>
  <si>
    <t>Cc1cc(-c2cccc(NCc3ccccn3)c2)cnc1CN(C)C(C)C 7.7454305 0.3508771929824561</t>
  </si>
  <si>
    <t>CN(CCN(Cc1ccccn1)c1cccc2ncccc12)C(C)(C)c1ccccn1 7.745423 0.38181818181818183</t>
  </si>
  <si>
    <t>CN(CCN(C)C1CCCCC1N(C)c1cccc2ncccc12)c1cccc2ncc(CF)cc12 7.7454205 0.4262295081967213</t>
  </si>
  <si>
    <t>Cc1cnc(N(C)Cc2ccccn2)c(CN(C)C)c1 7.7454195 0.5</t>
  </si>
  <si>
    <t>CCCN(Cc1ccccn1)c1cc2cccnc2cc1CN(Cc1ccccn1)Cc1cccc(F)n1 7.745409 0.43859649122807015</t>
  </si>
  <si>
    <t>CN(Cc1cccc(C2=NC(C)(C)CO2)n1)Cc1cccc(C(C)(C)c2ccccn2)n1 7.7453995 0.4807692307692308</t>
  </si>
  <si>
    <t>CN(Cc1ccc(C2=NC(C)(C)CO2)cn1)Cc1cccc(C(C)(C)c2ccccn2)n1 7.745388 0.3870967741935484</t>
  </si>
  <si>
    <t>CNCN(Cc1ccccn1)c1cccc2nc(CN(C)C(C)C)ccc12 7.7453837 0.41818181818181815</t>
  </si>
  <si>
    <t>COc1ccccc1-c1ccc(CN(Cc2ccccn2)Cc2ccccn2)cn1 7.745383 0.4878048780487805</t>
  </si>
  <si>
    <t>CCN(Cc1ccccn1)Cc1ccc2cccc(N(C)CCN(C)Cc3nc(C)c(C)c(C)c3C)c2n1 7.745382 0.4098360655737705</t>
  </si>
  <si>
    <t>CC(C)N(C)Cc1ccc(-c2cc(N)ccc2Cl)cn1 7.74538 0.3137254901960784</t>
  </si>
  <si>
    <t>Cc1cccnc1CN(C)Cc1ncccc1C(C)(c1ccccn1)c1ccccn1 7.7453694 0.38</t>
  </si>
  <si>
    <t>CNCCN(Cc1ccccn1)c1cc(C)c(C)c(N(C)Cc2ncccc2C)c1 7.7453604 0.40350877192982454</t>
  </si>
  <si>
    <t>CC(C)N(C)CCN(C)c1ccc2nccc(CN(C)C)c2c1 7.7453585 0.2641509433962264</t>
  </si>
  <si>
    <t>CC(C)N(C)Cc1cccc(-c2ccccc2N(C)C)n1 7.745346 0.40425531914893614</t>
  </si>
  <si>
    <t>Cc1cccc(N(C)Cc2nc(C)c(C)c(C)c2C)c1CN(C)Cc1ccccn1 7.7453403 0.4528301886792453</t>
  </si>
  <si>
    <t>CC1C=C(N(C)Cc2ccccn2)Cc2cccnc21 7.7453175 0.4375</t>
  </si>
  <si>
    <t>CCCN(Cc1ccccn1)Cc1ccc(-c2ccccc2N=Cc2ccccn2)cn1 7.745314 0.4074074074074074</t>
  </si>
  <si>
    <t>CC(C)N(C)CCN(C)c1cccc2c(CN(C)C)ccnc12 7.745292 0.45652173913043476</t>
  </si>
  <si>
    <t>Cc1cc(C)c(C(C)(c2ccccn2)c2cc(CN(Cc3ccccn3)Cc3ccccn3)ccn2)cc1C 7.7452893 0.4444444444444444</t>
  </si>
  <si>
    <t>Cc1ccnc2ccc(N(C)CCN(C)CCN)cc12 7.7452707 0.26</t>
  </si>
  <si>
    <t>CC(C)C(C)N(Cc1ccccn1)c1ccc2nc(C(C)(C)C)ccc2c1 7.7452693 0.4117647058823529</t>
  </si>
  <si>
    <t>CN(Cc1cc(-c2ccccn2)ccn1)C1CCC(N(C)c2ccc3cc4c(nc3c2)CCC4)CC1 7.7452683 0.3484848484848485</t>
  </si>
  <si>
    <t>Cc1cc(CN(C)Cc2ccc(N(C)Cc3ncccc3C)cn2)cnc1C 7.745263 0.33962264150943394</t>
  </si>
  <si>
    <t>Cc1ccc(CN(C)CCCN(C)c2ccc3nccc(CF)c3c2)nc1 7.74526 0.48</t>
  </si>
  <si>
    <t>Cc1ccc2ccc(CN(C)C3CCC(N(C)c4ccc5nc(CF)ccc5c4)CC3)nc2c1 7.7452517 0.3333333333333333</t>
  </si>
  <si>
    <t>Cc1cc(CN(Cc2ccccn2)Cc2ncccc2-c2ccc(N(C)C)cc2)cnc1C1CCC1(C)C 7.745249 0.31746031746031744</t>
  </si>
  <si>
    <t>Cc1cccc(N(C)Cc2cc(C(C)(C)C)ccn2)c1C 7.7452455 0.3958333333333333</t>
  </si>
  <si>
    <t>CN(C1=CNC(CN(Cc2ccccn2)Cc2ccccn2)=CC1)c1ccc(Cl)c(Cl)c1 7.7452374 0.46551724137931033</t>
  </si>
  <si>
    <t>CC1(C)C=Cc2ccc(CN(Cc3ccnc(C4=NC(C)(C)CO4)c3)Cc3cc(C(C)(C)C)ccn3)nc2C1 7.745222 0.30434782608695654</t>
  </si>
  <si>
    <t>CCCN(Cc1ccccn1)c1ccc(C)c(C)c1-c1ncccc1CN(Cc1ccccn1)Cc1ncccc1C 7.7452106 0.37037037037037035</t>
  </si>
  <si>
    <t>CC1COC(c2cc(CN(C)Cc3ccc(N)cn3)ccn2)=N1 7.745207 0.2982456140350877</t>
  </si>
  <si>
    <t>Cc1cc(CN(C)c2ccc(CN(C)Cc3ccccn3)nc2)nc(C)c1C 7.7452025 0.47058823529411764</t>
  </si>
  <si>
    <t>CN(Cc1ccccn1)C1=C(CN(C)c2ccc(F)cc2)NC=CC1 7.745193 0.39655172413793105</t>
  </si>
  <si>
    <t>Cc1cc(N=Cc2ccccn2)c(C)cc1CNCc1ccccn1 7.7451916 0.48</t>
  </si>
  <si>
    <t>Cc1cc(-c2ccc(CN(C)Cc3ccccn3)cn2)ccc1N 7.7451777 0.4339622641509434</t>
  </si>
  <si>
    <t>Cc1cc2ncccc2cc1CN(C)CC1=CC(N(C)Cc2ccccn2)C=CN1 7.7451773 0.3492063492063492</t>
  </si>
  <si>
    <t>CC(C)N(C)CC1=CCC(N(C)Cc2cccc3ncccc23)=CN1 7.7451696 0.3103448275862069</t>
  </si>
  <si>
    <t>CCNc1cccc(-c2ncccc2C2(C)CC(Cl)C2Cl)n1 7.7451615 0.4067796610169492</t>
  </si>
  <si>
    <t>CN(C)Cc1cccnc1CN(C)Cc1ncccc1-c1ccccc1N 7.7451563 0.3469387755102041</t>
  </si>
  <si>
    <t>CCN(Cc1ccccn1)c1ccc(C)c(C2CC(C)(C)C2)c1-c1cc(CN(Cc2ccccn2)Cc2ncccc2C)ccn1 7.7451487 0.3125</t>
  </si>
  <si>
    <t>Cc1cccc(N(C)Cc2cc(C)c(C)cn2)c1 7.7451487 0.38095238095238093</t>
  </si>
  <si>
    <t>Cc1cnc(CN(C)C2C=CNC(CN(C)Cc3ccc4ncccc4c3)=C2)cc1C 7.7451453 0.28169014084507044</t>
  </si>
  <si>
    <t>CN(C)Cc1ccnc2cc(N(C)CCN(C)CC(C)(C)N)ccc12 7.745145 0.2631578947368421</t>
  </si>
  <si>
    <t>Cc1cccnc1CN(C)c1cccnc1CN(C)C 7.745142 0.3953488372093023</t>
  </si>
  <si>
    <t>CC(c1ccccn1)(c1ccccn1)c1cccnc1CN(Cc1ccccn1)Cc1cccnc1C1OC=NC1(C)C 7.745141 0.3448275862068966</t>
  </si>
  <si>
    <t>Cc1cc(C2=NC(C(C)N=Cc3ccccn3)CO2)ccn1 7.745133 0.31666666666666665</t>
  </si>
  <si>
    <t>Cc1cc(C)c(C)c(CN(C)c2cccnc2CN(C)Cc2ncccc2C)n1 7.7451224 0.34615384615384615</t>
  </si>
  <si>
    <t>CCCN(Cc1ccccn1)Cc1ncccc1-c1cccc(C)c1N(C)Cc1ccccn1 7.7451134 0.46</t>
  </si>
  <si>
    <t>CC(C)NCc1ccc(CN(Cc2ccccn2)Cc2ccc(-c3cccc(N(C)C)c3)cn2)cn1 7.7451005 0.37037037037037035</t>
  </si>
  <si>
    <t>CN(CCN(Cc1ccccn1)c1ccc2c(CF)ccnc2c1)C1CCC(N(C)c2ccc3cccnc3c2)CC1 7.745093 0.36363636363636365</t>
  </si>
  <si>
    <t>Cc1cccnc1CN(C)Cc1ncccc1N(C)Cc1ncc(C)c(C)c1C 7.745082 0.3333333333333333</t>
  </si>
  <si>
    <t>CCCN(Cc1ccccn1)Cc1cc(-c2cccc(N=Cc3ccccn3)c2)ccn1 7.7450805 0.4074074074074074</t>
  </si>
  <si>
    <t>Cc1cc(CN(C)Cc2cccc(N(C)Cc3cc(C)c(C)c(C)n3)n2)ccn1 7.745077 0.3584905660377358</t>
  </si>
  <si>
    <t>CC(C)C(C)N(Cc1ccccn1)c1ccc2ncccc2c1 7.745074 0.43478260869565216</t>
  </si>
  <si>
    <t>Cc1cc(C)c(CN(C)c2cccc(CN(C)Cc3ncccc3C)n2)nc1C 7.745068 0.38181818181818183</t>
  </si>
  <si>
    <t>CC1(C)COC(c2ccnc(C3OC=NC3(C)C)c2)=N1 7.7450657 0.3958333333333333</t>
  </si>
  <si>
    <t>Cc1ccc(CN(C)Cc2cccc(N(C)Cc3cc(C)c(C)c(C)n3)n2)nc1 7.7450547 0.4583333333333333</t>
  </si>
  <si>
    <t>CC(c1ccnc(CN(Cc2ccccn2)Cc2cccnc2C2OC=NC2(C)C)c1)(c1ccccn1)c1ccccn1 7.7450457 0.3448275862068966</t>
  </si>
  <si>
    <t>CC(C)N(C)CCN(C)c1cccc2nc3c(cc12)CCC3 7.7450385 0.39655172413793105</t>
  </si>
  <si>
    <t>Cc1cccnc1CN(C)C1C=CNC(CN(C)Cc2ccc3ncccc3c2)=C1 7.745038 0.29411764705882354</t>
  </si>
  <si>
    <t>Cc1cccc(NCc2ccccn2)c1-c1ccc(CN(Cc2ccccn2)Cc2ccccn2)cn1 7.745037 0.43478260869565216</t>
  </si>
  <si>
    <t>Cc1cccc(NCc2ccccn2)c1-c1cccc(CN(Cc2ccccn2)C2CCC(N(C)c3ccc4nc(CF)ccc4c3)CC2)n1 7.745033 0.35135135135135137</t>
  </si>
  <si>
    <t>CC(C)N(C)CCN(C)c1ccc2c(CN(C)C)ccnc2c1 7.7450275 0.2692307692307692</t>
  </si>
  <si>
    <t>Cc1ccc(CN(C)Cc2ncccc2N(C)Cc2nc(C)c(C)cc2C)nc1 7.7450233 0.44</t>
  </si>
  <si>
    <t>Cc1cccc(NCc2ccccn2)c1-c1ncccc1CN(Cc1ccccn1)Cc1ccccn1 7.745023 0.4444444444444444</t>
  </si>
  <si>
    <t>CN(CCN(Cc1cccnc1)c1cccc2ncccc12)Cc1ccccn1 7.7450104 0.3968253968253968</t>
  </si>
  <si>
    <t>CN(Cc1ccccn1)Cc1cc(-c2ccccc2N)ccn1 7.7450094 0.4782608695652174</t>
  </si>
  <si>
    <t>CC(N)C(C)CN(Cc1ccccn1)c1cccc2ncccc12 7.7449994 0.4</t>
  </si>
  <si>
    <t>Cc1ccnc2cccc(N(CCN(C)C(C)C)Cc3ccccn3)c12 7.744996 0.43137254901960786</t>
  </si>
  <si>
    <t>Cc1cccc(N(C)Cc2cccc(C(C)(C)c3ccccn3)n2)c1 7.7449875 0.42</t>
  </si>
  <si>
    <t>Cc1ccc(-c2ccccc2NCc2ccccn2)nc1CN(C)C1CCC(N(C)c2ccc3cccnc3c2)CC1 7.7449865 0.30985915492957744</t>
  </si>
  <si>
    <t>Cc1ccc(C)c(C(C)(C)C)c1N(C)Cc1ccccn1 7.744982 0.4883720930232558</t>
  </si>
  <si>
    <t>Cc1cccc(CN(C)Cc2ncccc2N(C)Cc2ncc(C)c(C)c2C)n1 7.7449455 0.4489795918367347</t>
  </si>
  <si>
    <t>CN(C)Cc1nccc2cc(N(C)C3CCCCC3N(Cc3ccccn3)Cc3cccc4ncccc34)ccc12 7.744929 0.3939393939393939</t>
  </si>
  <si>
    <t>Cc1cccnc1CN(C)Cc1cccc(N(C)C(C)(c2cccnc2)c2ccccn2)c1C 7.744905 0.3064516129032258</t>
  </si>
  <si>
    <t>CC(C)C(C)(c1cccnc1)N(Cc1ccccn1)Cc1ncccc1-c1cccc(N(C)C)c1 7.744903 0.3333333333333333</t>
  </si>
  <si>
    <t>Cc1nc(CN(C)c2cccnc2CN(C)Cc2ccccn2)c(C)c(C)c1C 7.744897 0.45098039215686275</t>
  </si>
  <si>
    <t>Cc1cccc(N(C)Cc2cccc(N(C)C(C)C)n2)c1C 7.744897 0.37777777777777777</t>
  </si>
  <si>
    <t>Cc1c(CN(C)c2cccnc2CN(C)Cc2ccccn2)nc(C(C)(C)C)c(C)c1C 7.744895 0.41818181818181815</t>
  </si>
  <si>
    <t>C=Nc1cccc(-c2cccc(CN(C)Cc3cccc(C)c3)n2)c1 7.744892 0.3888888888888889</t>
  </si>
  <si>
    <t>CC1=CC(CN(C)Cc2ccccn2)CC(C)=C1c1cccc(N=Cc2ccccn2)c1 7.7448854 0.3424657534246575</t>
  </si>
  <si>
    <t>Cc1cnc(CN(C)Cc2ccc(N(C)Cc3cccc(C)n3)cn2)c(C)c1 7.7448845 0.4583333333333333</t>
  </si>
  <si>
    <t>CC(C)NCc1ncccc1-c1cccnc1C(C)(C)C 7.7448792 0.25</t>
  </si>
  <si>
    <t>CC(C)NCc1ncccc1-c1cccc(NCc2ccccn2)c1 7.7448792 0.3898305084745763</t>
  </si>
  <si>
    <t>CC(C)N(C)CCN(C)c1cccc2ncc3c(c12)CCC3 7.7448754 0.32075471698113206</t>
  </si>
  <si>
    <t>Cc1cc(NCc2ccccn2)ccc1-c1cccc(CN(C)C2CCCCC2N(C)c2ccc3cccnc3c2)n1 7.7448716 0.4264705882352941</t>
  </si>
  <si>
    <t>Cc1cc(NCc2ccccn2)ccc1-c1ccc(CN(Cc2ccccn2)Cc2ccccn2)cn1 7.744869 0.4166666666666667</t>
  </si>
  <si>
    <t>CCOC1(C)COC(c2ncccc2C2=NC(C)(C)CO2)=N1 7.744868 0.3958333333333333</t>
  </si>
  <si>
    <t>Cc1cccnc1CN(Cc1ccc2ncccc2c1)C1CCCCC1N(C)c1cccc2cc(CN(C)C)cnc12 7.7448545 0.46875</t>
  </si>
  <si>
    <t>Cc1ccc(C)c(N(C)Cc2ncccc2C(C)(C)C)c1C 7.7448454 0.2857142857142857</t>
  </si>
  <si>
    <t>Cc1cc(C)c(NCc2ccccn2)c(C)c1C 7.744845 0.4594594594594595</t>
  </si>
  <si>
    <t>Cc1cnccc1CN(C)Cc1ncccc1N(C)Cc1cc(C)c(C)c(C)n1 7.7448344 0.3220338983050847</t>
  </si>
  <si>
    <t>Cc1cccnc1CN(C)c1ccnc(CN(C)Cc2c(C)cncc2C)c1 7.744828 0.3157894736842105</t>
  </si>
  <si>
    <t>Cc1cccc(-c2cccc(CN(C)Cc3cc(N)ccn3)n2)c1 7.7448235 0.4897959183673469</t>
  </si>
  <si>
    <t>CN(c1ccc2cc(C3=CCC=CN3)cnc2c1)C1CCC(N(Cc2ccc(C(C)(C)c3ccccn3)nc2)Cc2ccccn2)CC1 7.7448215 0.3375</t>
  </si>
  <si>
    <t>COC(=O)C(=O)C(C)C1(C)COC(c2ccc(CN(Cc3ccccn3)Cc3cccc(C4=NC(C)(C)CO4)n3)nc2)=N1 7.744821 0.379746835443038</t>
  </si>
  <si>
    <t>Cc1cc(CN(C)Cc2ncccc2N(C)Cc2cc(C)c(C)c(C)n2)ccn1 7.7448134 0.3275862068965517</t>
  </si>
  <si>
    <t>CN(C)Cc1ccc2cc(N(C)Cc3ccc4ccc(N(C)Cc5cccc(-c6ccc7c(c6)OCCOCCOCCOCCOCCO7)n5)cc4n3)ccc2n1 7.744811 0.32</t>
  </si>
  <si>
    <t>CC(C)C1=CC2(C=CN1)C=C(c1ccc(CN(Cc3ccccn3)Cc3cccc(-c4ccccc4N=Cc4ccccn4)n3)cn1)CC(c1ccc(CN(Cc3ccccn3)Cc3ccccn3)cn1)C2(C)C 7.744807 0.2755102040816326</t>
  </si>
  <si>
    <t>Cc1ccc(C)c(N(Cc2ccccn2)C2CCCC(N(C)c3cccc4ncc(CN(C)C)cc34)C2)c1C 7.7448053 0.3382352941176471</t>
  </si>
  <si>
    <t>Cc1cccnc1CN(C)Cc1cccc(N(C)Cc2cc(C)c(C)c(C)n2)n1 7.7448025 0.375</t>
  </si>
  <si>
    <t>CN(CCN(C)C(C)(C)c1ccccn1)c1cccc2ncccc12 7.744795 0.44680851063829785</t>
  </si>
  <si>
    <t>CNC1=C(N(C)Cc2ncccc2C)CC=CN1 7.744791 0.2909090909090909</t>
  </si>
  <si>
    <t>CN(C)c1ccccc1-c1ccnc(CN(Cc2ccccc2)Cc2cccnc2)c1 7.744784 0.32653061224489793</t>
  </si>
  <si>
    <t>CNc1ncc(C)cc1C 7.7447824 0.24324324324324326</t>
  </si>
  <si>
    <t>CC(C)N(C)Cc1cncc(-c2c(N)cccc2Cl)c1 7.744775 0.2545454545454545</t>
  </si>
  <si>
    <t>CN(C)c1ccccc1-c1ccnc(CN(Cc2ccccc2)Cc2ccccn2)c1 7.744775 0.47619047619047616</t>
  </si>
  <si>
    <t>Cc1cnc(CN(C)Cc2ccc(N(C)C)nc2)c(C)c1C 7.744769 0.3333333333333333</t>
  </si>
  <si>
    <t>CN(C)c1ccccc1-c1ccnc(CN(CF)Cc2ccccn2)c1 7.7447476 0.4523809523809524</t>
  </si>
  <si>
    <t>CCN(CC1=CCC=C(N(C)Cc2ccccn2)N1)c1cccc(N)c1N 7.744735 0.3793103448275862</t>
  </si>
  <si>
    <t>CN(Cc1ccccn1)Cc1nccc2cc(N(C)Cc3nccc4cc(N(C)Cc5ncccc5-c5cccc6c5OCCOCCOCCOCCOCCO6)ccc34)ccc12 7.7447305 0.34285714285714286</t>
  </si>
  <si>
    <t>COC(=O)c1cc(CN(Cc2ccccn2)Cc2cc(C(C)(C)c3ccccn3)ccn2)ccn1 7.7447276 0.38461538461538464</t>
  </si>
  <si>
    <t>Cc1cnc2cccc(N(C)CCN(C)C(C)C)c2c1 7.7447243 0.391304347826087</t>
  </si>
  <si>
    <t>CN(C)c1ccccc1-c1cccnc1CN(Cc1ccccc1)Cc1ccccn1 7.74472 0.4878048780487805</t>
  </si>
  <si>
    <t>Cc1cccc(N(C)Cc2ccc(C(C)(C)C)cn2)c1C 7.74472 0.34782608695652173</t>
  </si>
  <si>
    <t>CC1(C)COC(c2cccc(CN(Cc3ccccn3)Cc3cc(C(C)(C)c4ccccn4)ccn3)n2)=N1 7.7447176 0.43103448275862066</t>
  </si>
  <si>
    <t>Cc1cccc(CN(C)CC2=C(N(C)Cc3cccc(C4=CCC=CN4)n3)CC=CN2)n1 7.744717 0.39285714285714285</t>
  </si>
  <si>
    <t>Cc1ccnc2cc(N(C)CCN(C)C(C)(C)C)ccc12 7.744712 0.2549019607843137</t>
  </si>
  <si>
    <t>CC(C)N(Cc1ccccn1)c1ccccc1-c1cccc(CN(Cc2ccccn2)C2CCC(N(C)c3ccc4c(CF)ccnc4c3)CC2)n1 7.744707 0.35135135135135137</t>
  </si>
  <si>
    <t>CC(c1ccccn1)C1N=C(c2ccc(C3CCC3(C)C)nc2)OC1=O 7.744703 0.2608695652173913</t>
  </si>
  <si>
    <t>COC(=O)C(=O)C(C)C1(C)COC(c2cccnc2C2=NC(C)(C)CO2)=N1 7.7447004 0.3392857142857143</t>
  </si>
  <si>
    <t>Cc1cc(C)c(CN(C)c2cccnc2CN(C)Cc2cccnc2C)nc1C 7.744699 0.3584905660377358</t>
  </si>
  <si>
    <t>Cc1ccc(N(C)Cc2ncccc2C(C)(C)C)c(C)c1 7.7446976 0.34</t>
  </si>
  <si>
    <t>Cc1ccc(CN(Cc2ccccn2)Cc2cccc(CN(C)Cc3cccc(-c4ccc(Cl)cc4N)n3)n2)nc1 7.744697 0.4827586206896552</t>
  </si>
  <si>
    <t>CC(C)N(Cc1ccccn1)Cc1ccc(-c2ccc(Cl)c(NCc3ccccn3)c2)cn1 7.744688 0.47058823529411764</t>
  </si>
  <si>
    <t>Fc1ncccc1CN(Cc1ccccn1)Cc1ccc(-c2cccc(NCc3ccccn3)c2)cn1 7.7446876 0.4</t>
  </si>
  <si>
    <t>CCCN(Cc1ccccn1)Cc1ncccc1-c1cccc(N=Cc2ccccn2)c1 7.744685 0.3793103448275862</t>
  </si>
  <si>
    <t>Cc1ccc(N)c(-c2ccc(CN(C)Cc3ccccn3)cn2)c1 7.7446704 0.4339622641509434</t>
  </si>
  <si>
    <t>Cc1ccc(CN(C)Cc2cccc(-c3cccc(N(C)C(C)C)c3)n2)nc1 7.74467 0.4791666666666667</t>
  </si>
  <si>
    <t>Cc1cc(C)c(C)c(CN(C)C2=CCC=C(CN(C)C)N2)n1 7.7446527 0.2037037037037037</t>
  </si>
  <si>
    <t>Cc1cnc(CN(C)Cc2ccc(N(C)Cc3ncccc3C)cn2)c(C)c1 7.7446523 0.40816326530612246</t>
  </si>
  <si>
    <t>CCCN(Cc1ccccn1)c1ccccc1-c1cc(C(C)(C)C)ccn1 7.7446404 0.39622641509433965</t>
  </si>
  <si>
    <t>CC1=C(C)C(C)C2(CC1)C(C)=C(c1c(C)c(C)cc(N(C)Cc3ccccn3)c1C)C(C)=C(C)C2N(C)Cc1ccccn1 7.74464 0.3582089552238806</t>
  </si>
  <si>
    <t>CN(Cc1ccccn1)C1=CNC=C(SCc2ccccn2)C1 7.744639 0.42857142857142855</t>
  </si>
  <si>
    <t>COC(=O)C(=O)C(=O)C(C)N=Cc1ncc(C)cc1C 7.744634 0.17142857142857143</t>
  </si>
  <si>
    <t>CN(CCN(Cc1ccccn1)C(C)(N)c1ccccc1)c1cccc2ncccc12 7.7446074 0.38181818181818183</t>
  </si>
  <si>
    <t>Cc1cc(N)ccc1-c1ccc(CN(C)C2CCCCC2N(C)c2ccc3cccnc3c2)cn1 7.7446012 0.34782608695652173</t>
  </si>
  <si>
    <t>Cc1ccnc2ccc(N(CCN(C)C(C)C)Cc3ccccn3)cc12 7.7446012 0.4230769230769231</t>
  </si>
  <si>
    <t>Cc1cc(CN(C)c2cccnc2CN(C)Cc2cccnc2C)nc(C)c1C 7.7445774 0.34545454545454546</t>
  </si>
  <si>
    <t>CN(CCN(Cc1ccccn1)c1cccc2ncc(CF)cc12)Cc1ccccn1 7.744576 0.4262295081967213</t>
  </si>
  <si>
    <t>CN(Cc1ccccn1)C1=CNC(CN(C)c2cccc(F)c2)=CC1 7.7445745 0.39285714285714285</t>
  </si>
  <si>
    <t>CC(C)NCc1ccc(CN(Cc2ccccn2)Cc2cccc(-c3cccc(N=Cc4ccccn4)c3)n2)cn1 7.7445674 0.4444444444444444</t>
  </si>
  <si>
    <t>C1=CNC(Nc2ccccn2)C(SCc2ccccn2)=C1 7.744563 0.3695652173913043</t>
  </si>
  <si>
    <t>Cc1ccccc1N(Cc1cccc(N(C)C)c1)Cc1ccccn1 7.7445536 0.42857142857142855</t>
  </si>
  <si>
    <t>Cc1cnc2cccc(N(C)CCN(Cc3cccnc3)Cc3ccccn3)c2c1 7.7445498 0.43636363636363634</t>
  </si>
  <si>
    <t>CNC1C=Cc2ccccc2N1 7.744545 0.23333333333333334</t>
  </si>
  <si>
    <t>CC(C)C1=CC2(C=CN1)C=CC(C)(C)C(c1cccc(CN(Cc3ccccn3)Cc3ccccn3)n1)C2c1cccc(CN(Cc2ccccn2)c2ccc3ncccc3c2)n1 7.7445397 0.32432432432432434</t>
  </si>
  <si>
    <t>Cc1cnc(CN(C)C2=CCC=C(CN(C)C3=CCC=CN3)N2)c(C)c1C 7.7445354 0.3333333333333333</t>
  </si>
  <si>
    <t>C=CCN(C)Cc1cccc(-c2cccc(C)c2NCc2ccccn2)n1 7.744522 0.4727272727272727</t>
  </si>
  <si>
    <t>Cc1ccc(NCc2ccccn2)c(-c2ccc(CN(C)C3CCC(N(C)c4ccc5cccnc5c4)CC3)cn2)c1 7.7445216 0.29333333333333333</t>
  </si>
  <si>
    <t>Cc1ccc(N(Cc2ccccn2)C2CCCC(N(C)c3ccc4nccc(CF)c4c3)C2)c(C)c1C 7.744509 0.32857142857142857</t>
  </si>
  <si>
    <t>CC(C(=O)c1ccnc(CNc2ccnc(CF)c2)c1)c1ccccn1 7.7445087 0.29310344827586204</t>
  </si>
  <si>
    <t>Cc1cc(NCc2ccccn2)cc(-c2ccc(C)c(CN(C)C3CCCCC3N(C)c3ccc4cccnc4c3)n2)c1 7.7445064 0.3888888888888889</t>
  </si>
  <si>
    <t>Cc1cc(C)c(C)c(CN(C)c2ccnc(CN(C)Cc3ccncc3C)c2)n1 7.7445016 0.27419354838709675</t>
  </si>
  <si>
    <t>Cc1nc(CN(Cc2ccc3cccnc3c2)C2CCCCC2N(C)c2cccc3cc(CN(C)Cc4ccccn4)cnc23)c(C)c(C)c1C 7.7444696 0.4</t>
  </si>
  <si>
    <t>CC1=CCC(c2cc(CN(Cc3ccccn3)Cc3cc(-c4cccc(N=Cc5ccccn5)c4)ccn3)ccn2)C(C)(C)C12C=CNC(C(C)C)=C2 7.7444687 0.27472527472527475</t>
  </si>
  <si>
    <t>CN(CCN(C)C(C)(C)c1ccccn1)c1ccc2nccc(CF)c2c1 7.744463 0.2833333333333333</t>
  </si>
  <si>
    <t>Cc1cncc(-c2ccc(CN(C)C3CCC(N(C)c4ccc5nccc(CN(C)C)c5c4)CC3)cc2)c1 7.744462 0.23943661971830985</t>
  </si>
  <si>
    <t>Cc1cccc(N(C)Cc2ncccc2C(C)(C)c2ccccn2)c1 7.7444606 0.3333333333333333</t>
  </si>
  <si>
    <t>Cc1ccccc1CN(C)CCN(C)c1ccc2cccnc2c1 7.744452 0.4791666666666667</t>
  </si>
  <si>
    <t>CCCN(Cc1ccccn1)c1ccc(C)c(C)c1-c1cc(CN(Cc2ccccn2)Cc2ncccc2C)ccn1 7.7444463 0.3508771929824561</t>
  </si>
  <si>
    <t>Cc1cc(C)c(N=Cc2ccccn2)c(CNCc2ccccn2)c1 7.7444444 0.41509433962264153</t>
  </si>
  <si>
    <t>CNc1cc(-c2cccc(CN(C)C3CCC(N(C)Cc4ccon4)CC3)n2)c2cccnc2c1 7.74444 0.3088235294117647</t>
  </si>
  <si>
    <t>CN(c1ccc2cc3c(nc2c1)CCCC3)C1CCC(N(C)c2ccc3cc4c(nc3c2)CCCC4)CC1 7.7444396 0.46</t>
  </si>
  <si>
    <t>CC(C)(c1cccc(CN(Cc2ccccn2)Cc2cccc(-c3cccc(N=Cc4ccccn4)c3)n2)n1)c1cccc(C2CCC2(C)C)n1 7.74443 0.4155844155844156</t>
  </si>
  <si>
    <t>CC1=CCC(N(C)c2ccc3c(CF)ccnc3c2)C(C)C1 7.744427 0.26153846153846155</t>
  </si>
  <si>
    <t>Cc1ccc(N)c(N(C)CC2=CCC=CN2)c1C 7.7444105 0.37735849056603776</t>
  </si>
  <si>
    <t>CN(Cc1cccnn1)C1=CNCC(N(C)Cc2cccnn2)=C1 7.7444005 0.47619047619047616</t>
  </si>
  <si>
    <t>CCOC(=O)c1cccc(CN(Cc2ccccn2)Cc2cccc(C(C)(c3ccccn3)c3ccccn3)n2)n1 7.7444 0.4098360655737705</t>
  </si>
  <si>
    <t>CC(C)N(C)Cc1cnc2ccc(N(C)C(C)C)cc2c1 7.7443953 0.26</t>
  </si>
  <si>
    <t>CC(C)N(C)Cc1cccnc1-c1ccccc1N(C)Cc1ccccn1 7.744388 0.4791666666666667</t>
  </si>
  <si>
    <t>CCN(C)CCN(C)c1ccc2nccc(CN(C)C)c2c1 7.7443857 0.2857142857142857</t>
  </si>
  <si>
    <t>CCN(Cc1ccccn1)c1ccc2nc(CN(C)C(C)C)ccc2c1 7.744383 0.47058823529411764</t>
  </si>
  <si>
    <t>Cc1cc(CN(C)C2=CCC=C(CN(C)Cc3nc(C)c(C)c(C)c3C)N2)nc(C)c1C 7.744365 0.2</t>
  </si>
  <si>
    <t>CC1=C(CN(C)Cc2ccccn2)CC(C)C=C1c1cccc(N=Cc2ccccn2)c1 7.744359 0.3484848484848485</t>
  </si>
  <si>
    <t>Cc1cncc(CN(C)Cc2cc(N(C)Cc3nc(C)c(C)cc3C)ccn2)c1 7.744355 0.2807017543859649</t>
  </si>
  <si>
    <t>CN(C)c1ccccc1C1=CC=CNC1NCc1ccccn1 7.744354 0.3559322033898305</t>
  </si>
  <si>
    <t>CC1=C(c2ccccc2)C(CN(C)Cc2ccccn2)CC=C1c1c(C)ccc(NCc2ccccn2)c1C 7.744351 0.33783783783783783</t>
  </si>
  <si>
    <t>Cc1cccnc1CN(C)Cc1ncccc1N(C)Cc1cc(C)c(C)c(C)n1 7.744348 0.36538461538461536</t>
  </si>
  <si>
    <t>CCCN(Cc1ccccn1)Cc1ncccc1-c1ccccc1N=Cc1ccccn1 7.74434 0.41509433962264153</t>
  </si>
  <si>
    <t>Cc1cccnc1CN(CCN(C)c1ccc2ncccc2c1)Cc1ccccn1 7.7443266 0.48</t>
  </si>
  <si>
    <t>CN(CCN(Cc1ccccn1)c1ccc2nccc(CF)c2c1)C(C)(C)c1ccccn1 7.744326 0.3442622950819672</t>
  </si>
  <si>
    <t>CN(CN(Cc1ccccn1)C1CCCCC1N(C)c1ccc2cccnc2c1)c1ccc2cccnc2c1 7.7443223 0.4727272727272727</t>
  </si>
  <si>
    <t>Cc1nc(CN(C)C2=CCC=C(CN(C)C3=CCC=CN3)N2)c(C)c(C)c1C 7.744309 0.29508196721311475</t>
  </si>
  <si>
    <t>CNCc1ncc(Cl)cc1N(C)Cc1cccc(F)n1 7.7443047 0.37735849056603776</t>
  </si>
  <si>
    <t>CC(C)N(C)CN(Cc1ccccn1)c1ccc2cccnc2c1 7.7443037 0.46</t>
  </si>
  <si>
    <t>CCN(C)CCN(C)c1cccc2ncc(C)cc12 7.744299 0.4</t>
  </si>
  <si>
    <t>CCCN(Cc1ccccn1)c1ccc(-c2cc(CN(Cc3ccccn3)Cc3ncccc3C)ccn2)c(C)c1C 7.744294 0.35714285714285715</t>
  </si>
  <si>
    <t>Cc1ccnc2ccc(N(C)CCN(C)C3C=CNC(C(C)C)=C3)cc12 7.744288 0.23880597014925373</t>
  </si>
  <si>
    <t>Cc1cnc(CN(Cc2ccccn2)Cc2nc(N(C)C)c(C)cc2C)c(C)c1 7.744265 0.45454545454545453</t>
  </si>
  <si>
    <t>Cc1cccc(N(C)C)c1N(Cc1ccccc1)Cc1ccccn1 7.7442636 0.4166666666666667</t>
  </si>
  <si>
    <t>CCCN(Cc1ccccn1)Cc1cc(-c2ccccc2N=Cc2ccccn2)ccn1 7.7442636 0.4074074074074074</t>
  </si>
  <si>
    <t>Cc1ccc(-c2ccc(NCc3ccccn3)cc2)nc1CNCc1ccccn1 7.7442613 0.4222222222222222</t>
  </si>
  <si>
    <t>CC(C)N(C)Cc1ccncc1-c1ccccc1N(C)C 7.744235 0.2857142857142857</t>
  </si>
  <si>
    <t>CN(C)Cc1ccc2cc(N(C)Cc3ccc4cccc(N(C)Cc5cc(-c6ccc7c(c6)OCCOCCOCCOCCOCCO7)ccn5)c4n3)ccc2n1 7.7442284 0.3170731707317073</t>
  </si>
  <si>
    <t>CC(C)CN(Cc1ccccn1)Cc1ccc(-c2cccc(N=Cc3ccccn3)c2)cn1 7.7442217 0.3620689655172414</t>
  </si>
  <si>
    <t>CCNCc1cccc(-c2c(C)cccc2NCc2ccccn2)n1 7.744221 0.41304347826086957</t>
  </si>
  <si>
    <t>Cc1cc(C)c(C(C)(C)c2ccc(CN(Cc3ccccn3)C3CCCC(N(C)c4ccc5cc(CN(C)C)cnc5c4)C3)cn2)c(N(C)Cc2ccccn2)c1 7.7442183 0.3</t>
  </si>
  <si>
    <t>CC(C)C1=CC2C(c3ccc(CN(Cc4ccccn4)Cc4ccc(-c5cccc(N(C)C)c5)cn4)cn3)=CC(C)(C)C(NCc3ccccn3)C2=CN1 7.744216 0.2708333333333333</t>
  </si>
  <si>
    <t>CC1(C)COC(c2cc(CN(Cc3ccccn3)Cc3cc(C(C)(C)c4ccccn4)ccn3)ccn2)=N1 7.744212 0.3448275862068966</t>
  </si>
  <si>
    <t>CNCc1ccc2cccc(N(C)C3CCCCC3N(Cc3ccc4ncccc4c3)Cc3nc(C)c(C)c(C)c3C)c2n1 7.7442083 0.43243243243243246</t>
  </si>
  <si>
    <t>CNC12N=CC(C)=CC1(N(Cc1nc(C)c(C)c(C)c1C)Cc1nc(C)c(C)c(C)c1C)CC(N(Cc1nc(C)c(C)c(C)c1C)Cc1nc(C)c(C)c(C)c1C)CC2N(Cc1nc(C)c(C)c(C)c1C)Cc1nc(C)c(C)c(C)c1C 7.744207 0.16901408450704225</t>
  </si>
  <si>
    <t>CC(C)N(C)Cc1ccc2cc(N(C)C3CCC(N(C)c4ccc5nc(CF)ccc5c4)CC3)ccc2n1 7.7442017 0.3559322033898305</t>
  </si>
  <si>
    <t>CCN(Cc1ccccn1)c1cccc(C(C)(C)C)c1-c1cc(CN(Cc2ccccn2)Cc2ncccc2C)ccn1 7.7441993 0.3389830508474576</t>
  </si>
  <si>
    <t>Cc1ccc(-c2cccc(NCc3ccccn3)c2)nc1CNCc1ccccn1 7.744198 0.3958333333333333</t>
  </si>
  <si>
    <t>Cc1cnc(CN(C)Cc2cccc(C3=NC(C)CO3)n2)c(C)c1C 7.7441883 0.40350877192982454</t>
  </si>
  <si>
    <t>COC(=O)C1CC(c2ccccn2)C(c2ccccn2)N(C)C1c1ncccc1CNCc1ncccc1C(C)(c1ccccn1)c1ccccn1 7.7441835 0.2976190476190476</t>
  </si>
  <si>
    <t>Cc1ccc2ccc(CN(C)C3CCCCC3N(C)c3ccc4nc(CN(C)C)ccc4c3)nc2c1 7.744162 0.4716981132075472</t>
  </si>
  <si>
    <t>Cc1ccc(C(C)(C)c2cc(CN(Cc3ccccn3)Cc3ccccn3)ccn2)cc1N=Cc1ccccn1 7.744143 0.3870967741935484</t>
  </si>
  <si>
    <t>Cc1cnc(C(C)(C)c2ccccn2)c(C)c1 7.74414 0.35555555555555557</t>
  </si>
  <si>
    <t>CC(C)N(C)CC1=CC(N(C)c2ccc3c(CF)ccnc3c2)C=CN1 7.7441387 0.2878787878787879</t>
  </si>
  <si>
    <t>CC1C(N(C)Cc2ccccn2)=CC(Cl)c2cccnc21 7.7441373 0.4583333333333333</t>
  </si>
  <si>
    <t>CC(C)N(Cc1ccccn1)c1cccc(C2=NC(C)(C)CO2)c1 7.744135 0.3888888888888889</t>
  </si>
  <si>
    <t>CC1=C(C)C(C)CC(c2cc(CN(C)Cc3cc(-c4cccc(N(C)C)c4)ccn3)ccn2)C1 7.744133 0.27941176470588236</t>
  </si>
  <si>
    <t>CN(C)Cc1cnc2cccc(N(C)C3CCCCC3N(Cc3ccccn3)Cc3cccnc3-c3cccnc3CNc3cccnc3CF)c2c1 7.744123 0.3132530120481928</t>
  </si>
  <si>
    <t>Cc1ccc(-c2cccc(CN(Cc3ccc([Si](C(C)C)(C(C)C)C(C)C)cn3)Cc3cccc(C4=NC(C)(C)CO4)n3)n2)cc1 7.7441154 0.46551724137931033</t>
  </si>
  <si>
    <t>CN(C)Cc1ccc2cc(N(C)C3CCC(N(Cc4ccc5ncccc5c4)Cc4cccc(F)n4)CC3)ccc2n1 7.744114 0.3088235294117647</t>
  </si>
  <si>
    <t>Cc1cncc(CN(C)Cc2ccc(N(C)Cc3nc(C)c(C)cc3C)cn2)c1 7.7441072 0.3584905660377358</t>
  </si>
  <si>
    <t>CCN(C)CCN(C)c1ccc2c(CN(C)C)ccnc2c1 7.7440953 0.28846153846153844</t>
  </si>
  <si>
    <t>CC(C)N(CCN(C)c1cccc2ncccc12)Cc1cccnn1 7.744091 0.46938775510204084</t>
  </si>
  <si>
    <t>CN(CCN(Cc1ccccn1)c1cccc2ncccc12)Cc1ccccn1 7.744073 0.4489795918367347</t>
  </si>
  <si>
    <t>CCNCc1cc(-c2ccc(C)cc2NCc2ccccn2)ccn1 7.7440443 0.40425531914893614</t>
  </si>
  <si>
    <t>Cc1cc(CN(C)C)nc(C)c1C(C)(C)C 7.744044 0.2619047619047619</t>
  </si>
  <si>
    <t>CN(c1ccnc(CN(Cc2ccccn2)C2=CCC=CN2)c1)C(C)(C)c1ccccn1 7.74404 0.4426229508196721</t>
  </si>
  <si>
    <t>CCCN(Cc1ccccn1)Cc1ncccc1-c1cccc(N(C)Cc2ccccn2)c1C 7.74404 0.46</t>
  </si>
  <si>
    <t>Cc1cnc(CN(Cc2ccccn2)C2=CCC=CN2)c(C)c1 7.7440286 0.48214285714285715</t>
  </si>
  <si>
    <t>COC(=O)C(=O)C(C)C1(C)COC(c2cnccc2C2=NC(C)(C)CO2)=N1 7.74402 0.32142857142857145</t>
  </si>
  <si>
    <t>CCN(Cc1ccccn1)c1ccc(-c2cc(CN(C)C3CCC(N(C)Cc4nc(C)c(C)c(C)c4C)CC3)ccn2)c2cccnc12 7.744015 0.30666666666666664</t>
  </si>
  <si>
    <t>Cc1cc(CN(C)Cc2ccc(N(C)Cc3nc(C)cc(C)c3C)cn2)ccn1 7.743989 0.3333333333333333</t>
  </si>
  <si>
    <t>COc1ccnc(CN(Cc2cc(C)c(C)c(C)n2)Cc2cc(C(C)C)c(C)c(C)n2)c1 7.743985 0.3709677419354839</t>
  </si>
  <si>
    <t>CNc1ccc2nc(CN(C)C3CCCCC3N(C)c3ccc4nc(CF)ccc4c3)ccc2c1 7.7439756 0.4576271186440678</t>
  </si>
  <si>
    <t>CN(CCN(C)c1ccc2nc(CF)ccc2c1)Cc1ccccn1 7.743975 0.46938775510204084</t>
  </si>
  <si>
    <t>CCN(C)CCN(C)c1cccc2c(CN(C)C)ccnc12 7.7439723 0.4666666666666667</t>
  </si>
  <si>
    <t>CC(C)N(C)CC1=CC(N(C)c2ccc3nccc(CF)c3c2)C=CN1 7.7439704 0.2835820895522388</t>
  </si>
  <si>
    <t>CC(C)N(CCN(C)c1ccc2cccnc2c1)C(C)C 7.7439623 0.4</t>
  </si>
  <si>
    <t>Cc1ccnc(CN(C)c2ccccc2F)c1C 7.743962 0.3404255319148936</t>
  </si>
  <si>
    <t>CC(C)N(C)CC1=CC(N(C)c2ccc3cccnc3c2)C=CN1 7.743959 0.296875</t>
  </si>
  <si>
    <t>CC1=Cc2cccnc2C(N(C)Cc2cc(C(C)(C)c3ccccn3)ccn2)C1C 7.743957 0.31746031746031744</t>
  </si>
  <si>
    <t>CNCc1nc(N(C)Cc2cccc(C)n2)ccc1Cl 7.743956 0.4444444444444444</t>
  </si>
  <si>
    <t>CC(C)N(C)Cc1ccc(-c2ccccc2N(C)Cc2ccccn2)cn1 7.743946 0.4791666666666667</t>
  </si>
  <si>
    <t>C=Cc1ccc(CN(Cc2ccccn2)Cc2cccc(C(C)(c3ccccn3)c3ccccn3)n2)nc1 7.74394 0.4727272727272727</t>
  </si>
  <si>
    <t>CC1=CCC(CN(C)Cc2cccc(-c3cccc(N=Cc4ccccn4)c3)n2)C=C1C 7.743939 0.373134328358209</t>
  </si>
  <si>
    <t>Cc1cc(NCc2ccccn2)cc(-c2ccc(CN(Cc3ccccn3)Cc3ccccn3)cn2)c1CF 7.743933 0.37735849056603776</t>
  </si>
  <si>
    <t>CCCN(Cc1ccccn1)c1ccc2nccc(CN(Cc3ccccn3)Cc3ncccc3F)c2c1 7.7439322 0.37037037037037035</t>
  </si>
  <si>
    <t>CN1CCN(CCc2nc3ccccc3o2)CCN(Cc2cc(-c3ccc4ncccc4c3)ccn2)CC1 7.7439322 0.421875</t>
  </si>
  <si>
    <t>Cc1ccccc1N(C)Cc1cccc(C(C)(C)c2ccccn2)n1 7.7439265 0.44680851063829785</t>
  </si>
  <si>
    <t>CC1=CCC(C)C(CN(C)Cc2cc(-c3cccc(N(C)C)c3)ccn2)=C1 7.7439218 0.29508196721311475</t>
  </si>
  <si>
    <t>CN(C)Cc1ccc2cccc(N(C)Cc3ccc4cccc(N(C)Cc5ncccc5-c5ccc6c(c5)OCCOCCOCCOCCOCCO6)c4n3)c2n1 7.7439203 0.34375</t>
  </si>
  <si>
    <t>C=Nc1cccc(-c2ccc(CN(C)Cc3ccccc3C)nc2)c1 7.7439184 0.34615384615384615</t>
  </si>
  <si>
    <t>CC(C)N(Cc1ccccn1)Cc1cccc(-c2ccc(Cl)cc2N)n1 7.743916 0.4897959183673469</t>
  </si>
  <si>
    <t>CC(C)N(C)Cc1ncccc1-c1ccccc1N(C)C 7.743912 0.35555555555555557</t>
  </si>
  <si>
    <t>CC1=CC(N(C)Cc2ccccn2)C(c2ccc(CN(Cc3ccccn3)c3ccc4ncccc4c3)cn2)CC1C 7.7439117 0.32857142857142857</t>
  </si>
  <si>
    <t>CN(CC1=CCC(N(C)c2ccc(Cl)c(Cl)c2)=CN1)Cc1ccccn1 7.743909 0.43636363636363634</t>
  </si>
  <si>
    <t>Cc1ccc(CN(C)Cc2cc(N(C)Cc3nc(C)c(C)cc3C)ccn2)nc1 7.743905 0.4583333333333333</t>
  </si>
  <si>
    <t>CCNCc1cccc(-c2cc(Cl)ccc2N)n1 7.743903 0.2545454545454545</t>
  </si>
  <si>
    <t>COc1ccccc1-c1cc(CN(Cc2ccccn2)Cc2ccccn2)ccn1 7.743871 0.4878048780487805</t>
  </si>
  <si>
    <t>Cc1cc(CN(C)C2=CCC=C(CN(C)C)N2)nc(C)c1C 7.7438664 0.21052631578947367</t>
  </si>
  <si>
    <t>Cc1ccnc(CN(Cc2cc(C(C)(c3ccccn3)c3ccccn3)ccn2)Cc2cccc(F)n2)c1C 7.7438626 0.375</t>
  </si>
  <si>
    <t>Cc1cccc(N(C)Cc2ncccc2N)c1C 7.743857 0.37777777777777777</t>
  </si>
  <si>
    <t>Cc1c(C)c(C)c(N(C)CCN(C)C)c(C)c1C 7.743856 0.25</t>
  </si>
  <si>
    <t>C=Cc1ccc(SCc2ccccn2)cc1 7.743852 0.4722222222222222</t>
  </si>
  <si>
    <t>Cc1cncc(CN(C)Cc2cc(-c3cccc(N(C)C(C)C)c3)ccn2)c1 7.7438507 0.30357142857142855</t>
  </si>
  <si>
    <t>Cc1cccnc1CN(C)CCN(Cc1ccccn1)c1ccc2nc(CF)ccc2c1 7.7438345 0.39655172413793105</t>
  </si>
  <si>
    <t>Cc1c(C)c(C)c(N(C)C2CCCC(N(C)c3ccc4c(CF)ccnc4c3)C2)c(C)c1C 7.743833 0.23880597014925373</t>
  </si>
  <si>
    <t>Cc1ccnc2ccc(N(C)C3=C(CN(C)C(C)C(C)C)NC=CC3)cc12 7.7438254 0.22857142857142856</t>
  </si>
  <si>
    <t>Cc1cncc(CN(C)c2ccccc2-c2cccc(CN(Cc3ccccn3)C3CCC(N(C)c4ccc5nc(CF)ccc5c4)CC3)n2)c1 7.7438235 0.3291139240506329</t>
  </si>
  <si>
    <t>CCCN(Cc1ccccn1)c1cc(CN(C)Cc2ccccn2)c2ncccc2c1 7.7438235 0.45098039215686275</t>
  </si>
  <si>
    <t>CCCN(CC1=CC(N(C)Cc2ncccc2C)C=CN1)c1ccc2cccnc2c1 7.743819 0.2571428571428571</t>
  </si>
  <si>
    <t>CCNCc1ncccc1-c1cc(C)ccc1NCc1ccccn1 7.7438116 0.375</t>
  </si>
  <si>
    <t>Cc1ccc(-c2cccc(CN(C)C3CCCCC3N(C)Cc3cc(-c4ccc5ncccc5c4)ccn3)n2)nc1 7.74378 0.45161290322580644</t>
  </si>
  <si>
    <t>Cc1ccc(N(C)Cc2ncccc2C(C)(C)C)c(C)c1C 7.7437625 0.32</t>
  </si>
  <si>
    <t>Cc1ccc(NCc2ccccn2)cc1-c1ccc(CN(C)C2CCC(N(C)c3ccc4cccnc4c3)CC2)cn1 7.7437572 0.29333333333333333</t>
  </si>
  <si>
    <t>CC(C)N(C)C1C=CNC(CN(C)c2ccc3cccnc3c2)=C1 7.7437572 0.2786885245901639</t>
  </si>
  <si>
    <t>CCN(C)Cc1ncccc1-c1cc(Cl)ccc1N 7.743753 0.3076923076923077</t>
  </si>
  <si>
    <t>CC(C)N(C)Cc1cccc(-c2cccc(N(C)C)c2)n1 7.7437477 0.4074074074074074</t>
  </si>
  <si>
    <t>CN(CCN(Cc1ccccn1)c1cccc2ccnc(CF)c12)Cc1ccccn1 7.7437406 0.4339622641509434</t>
  </si>
  <si>
    <t>CCN(Cc1ccccn1)Cc1ncccc1-c1ccccc1N(C)Cc1ccccn1 7.7437315 0.5</t>
  </si>
  <si>
    <t>CN(Cc1cccc(C2=CCC=CN2)n1)Cc1cccc(C(C)(C)c2ccccn2)n1 7.743718 0.4727272727272727</t>
  </si>
  <si>
    <t>Cc1cc(CN(C)CCN(Cc2ccccn2)c2ccc3ncccc3c2)ccn1 7.743707 0.390625</t>
  </si>
  <si>
    <t>CC(C)N(C)Cc1ccc2cc(N(C)C3CCC(N(C)c4ccc5ccc(CF)nc5c4)CC3)ccc2n1 7.743705 0.3442622950819672</t>
  </si>
  <si>
    <t>Cc1ccc(C)c(CN(Cc2ccc(C(C)(c3ccccn3)c3ccccn3)cn2)Cc2cccc(F)n2)n1 7.7437024 0.39436619718309857</t>
  </si>
  <si>
    <t>CCNCc1cc(-c2cccc(NCc3ccccn3)c2C)ccn1 7.7436976 0.40425531914893614</t>
  </si>
  <si>
    <t>CC(c1ccccn1)(c1ccccn1)c1cccnc1CNc1ccccc1 7.743671 0.40384615384615385</t>
  </si>
  <si>
    <t>Cc1cncc(CN(C)Cc2ccc(N(C)Cc3cc(C)c(C)c(C)n3)cn2)c1 7.7436695 0.3584905660377358</t>
  </si>
  <si>
    <t>Cc1cncc(CN(C)CCN(Cc2ccccn2)c2cccc3cccnc23)c1 7.743658 0.42857142857142855</t>
  </si>
  <si>
    <t>Cc1cnc(CN(C)Cc2ccc(N(C)Cc3nc(C)ccc3C)cn2)c(C)c1 7.743653 0.4</t>
  </si>
  <si>
    <t>COC(=O)C1CN(C)C(c2ccc(C)c(C)n2)C(CN(C)Cc2cc(-c3ccc(N(C)C)cc3)ccn2)C1c1ccc(C)c(C)n1 7.743651 0.23863636363636365</t>
  </si>
  <si>
    <t>Cc1cnc(CN(C)Cc2cc(C3=NC(C)CO3)ccn2)c(C)c1C 7.74365 0.27586206896551724</t>
  </si>
  <si>
    <t>CC(C)N(C)CN(C)c1ccc2nc(CF)ccc2c1 7.743646 0.30357142857142855</t>
  </si>
  <si>
    <t>Cc1ccnc2cc(N(C)CCN(Cc3ccccc3)C(C)C)ccc12 7.743646 0.38461538461538464</t>
  </si>
  <si>
    <t>FCNc1cccc(-c2ncccc2C(NCc2ccccn2)c2ccccc2)n1 7.7436357 0.3333333333333333</t>
  </si>
  <si>
    <t>CC(C)N(CCN(C)c1cccc2nccc(CF)c12)C(C)C 7.7436304 0.3673469387755102</t>
  </si>
  <si>
    <t>Cc1cnc(N(C)C2=C(N(C)C(C)C)CC=CN2)c(C)c1 7.7436233 0.23076923076923078</t>
  </si>
  <si>
    <t>Cc1cncc(CN(C)Cc2cccc(N(C)Cc3nc(C)c(C)c(C)c3C)n2)c1 7.74362 0.3333333333333333</t>
  </si>
  <si>
    <t>CN(Cc1ccccn1)C1=CCC=C(CN(Cc2ccccn2)c2cccc(F)c2)N1 7.74362 0.4</t>
  </si>
  <si>
    <t>Cc1cnc(CN(C)C2=C(CN(Cc3ccccn3)c3ccccc3F)NC=CC2)c(C)c1C 7.7436175 0.32857142857142857</t>
  </si>
  <si>
    <t>Cc1ccc(N(C)Cc2cccc(C(C)(C)C)n2)c(C)c1 7.7436104 0.36363636363636365</t>
  </si>
  <si>
    <t>CCCN(Cc1ccccn1)c1cc(C)cc(C)c1-c1cc(CN(Cc2ccccn2)Cc2ncccc2C)ccn1 7.743606 0.3508771929824561</t>
  </si>
  <si>
    <t>CCN(Cc1ccccn1)c1ccc(C)cc1-c1cnccc1CN(Cc1ccccn1)Cc1ncccc1C 7.743605 0.35714285714285715</t>
  </si>
  <si>
    <t>CC(C)N(C)C1C=CNC(CN(C)c2ccc3ncccc3c2)=C1 7.743601 0.2833333333333333</t>
  </si>
  <si>
    <t>Cc1cccc(CN(Cc2cccc(CNC(C)C)n2)Cc2cccc(-c3cccc(N(C)C)c3)n2)n1 7.743599 0.3968253968253968</t>
  </si>
  <si>
    <t>CCC(C)N(Cc1ccccn1)Cc1ncccc1-c1ccccc1N=Cc1ccccn1 7.7435975 0.4074074074074074</t>
  </si>
  <si>
    <t>Cc1cccnc1CN(C)CC1=CCC=C(N(C)C(c2ccccn2)c2ccccn2)N1 7.7435927 0.31746031746031744</t>
  </si>
  <si>
    <t>Cc1ccc(CN(C)Cc2ccc(N(C)Cc3nc(C)c(C)cc3C)cn2)nc1 7.743588 0.5</t>
  </si>
  <si>
    <t>CN(CCN(C)c1ccc2ncc(CF)cc2c1)Cc1cccnc1 7.743562 0.3103448275862069</t>
  </si>
  <si>
    <t>CN(Cc1ccc(-c2cccc(N(C)C)c2)cn1)CC(C)(C)C 7.743541 0.3617021276595745</t>
  </si>
  <si>
    <t>CCNCc1ncccc1-c1cc(C(C)(C)C)ccc1NCc1ccccn1 7.743539 0.35294117647058826</t>
  </si>
  <si>
    <t>Cc1cccc(N(C)Cc2ccccn2)c1CN(Cc1ccccn1)C(C)(N)N(Cc1cccc2ncccc12)C(C)C 7.7435384 0.359375</t>
  </si>
  <si>
    <t>CC(C)C1=CC2(C=CN1)C=CC(C)(C)C(c1cc(CN(Cc3ccccn3)c3ccc4ncccc4c3)ccn1)C2c1ncccc1CN(Cc1ccccn1)Cc1ccccn1 7.743528 0.27058823529411763</t>
  </si>
  <si>
    <t>Cc1cc(CN(C)Cc2cccc(C3=NC(C)CO3)n2)nc(C)c1C 7.7435193 0.3684210526315789</t>
  </si>
  <si>
    <t>Cc1cccnc1CN(Cc1ccc2ncccc2c1)C1CCC(N(C)c2ccc3nc(CN(C)C)ccc3c2)CC1 7.743515 0.29411764705882354</t>
  </si>
  <si>
    <t>Cc1ccccc1N(C)CCN(C)Cc1ccc2cccnc2c1 7.743495 0.4375</t>
  </si>
  <si>
    <t>Cc1cccnc1CN(C)Cc1ccc(N(C)Cc2cc(C)c(C)c(C)n2)nc1 7.7434945 0.288135593220339</t>
  </si>
  <si>
    <t>Cc1ccccc1N(C)Cc1ncccc1C(C)(C)c1ccccn1 7.743494 0.36</t>
  </si>
  <si>
    <t>Cc1cccnc1CN(C)Cc1ccc(N(C)Cc2ncc(C)c(C)c2C)cn1 7.743487 0.36</t>
  </si>
  <si>
    <t>CC(C)N(C)Cc1ccc(-c2ccccc2N(C)C)cn1 7.7434793 0.3404255319148936</t>
  </si>
  <si>
    <t>Cc1ccnc(CN(C)Cc2cccc(N(C)Cc3nc(C)c(C)c(C)c3C)n2)c1 7.743476 0.38181818181818183</t>
  </si>
  <si>
    <t>CN(C)c1ccccc1-c1cccnc1CN(CF)Cc1ccccn1 7.743474 0.4634146341463415</t>
  </si>
  <si>
    <t>CN(CCCN(C)Cc1ccc2cccnc2c1)Cc1ccc2ncccc2c1 7.7434716 0.40425531914893614</t>
  </si>
  <si>
    <t>CCOC(=O)c1cccc(CN(Cc2ccccn2)Cc2cc(C(C)(c3ccccn3)c3ccccn3)ccn2)n1 7.743469 0.38235294117647056</t>
  </si>
  <si>
    <t>Cc1ccc(CN(C)Cc2cc(N(C)Cc3cc(C)c(C)c(C)n3)ccn2)nc1 7.7434688 0.4583333333333333</t>
  </si>
  <si>
    <t>Cc1ccc(N(Cc2ccccn2)C2CCCC(N(C)c3ccc4c(CF)ccnc4c3)C2)c(C(C)(C)c2ccccn2)c1 7.7434654 0.2987012987012987</t>
  </si>
  <si>
    <t>CN(Cc1ccccn1)c1cccc(-c2cccc(C3CCC3(C)C)n2)c1 7.7434626 0.42857142857142855</t>
  </si>
  <si>
    <t>Cc1cccc(-c2cc(CN(C)C3CCCC(N(C)c4ccc5nccc(CN(C)C)c5c4)C3)ccn2)c1 7.7434525 0.22972972972972974</t>
  </si>
  <si>
    <t>Cc1cccc(N(C)CC2=C(N(C)Cc3ccccn3)CC=CN2)c1 7.743452 0.4074074074074074</t>
  </si>
  <si>
    <t>Cc1cc(N(C)Cc2cc(C(C)(C)C)ccn2)ccc1N 7.7434487 0.3076923076923077</t>
  </si>
  <si>
    <t>CN(C)Cc1ccc2cc(N(C)C3CCCC(N(C)Cc4ccc5ncccc5c4)C3)ccc2n1 7.743442 0.31746031746031744</t>
  </si>
  <si>
    <t>FCNc1cccc(CN(Cc2ccccn2)Cc2cccc(-c3cccc(Cl)c3Cl)n2)n1 7.7434416 0.4444444444444444</t>
  </si>
  <si>
    <t>CC(c1ccnc(CNc2ccccc2)c1)(c1ccccn1)c1ccccn1 7.74344 0.3888888888888889</t>
  </si>
  <si>
    <t>CCNCc1ccc(-c2cc(NCc3ccccn3)ccc2C)cn1 7.7434373 0.3958333333333333</t>
  </si>
  <si>
    <t>Cc1ccnc(CN(C)c2cccc(-c3ccnc(CN(C)C(C)(c4cccnc4)C(C)C)c3)c2)c1 7.743427 0.2537313432835821</t>
  </si>
  <si>
    <t>Cc1ccnc(CN(C)Cc2ncccc2N(C)Cc2nc(C)c(C)c(C)c2C)c1 7.743425 0.3392857142857143</t>
  </si>
  <si>
    <t>FCNc1cc(-c2ncccc2C(NCc2ccccn2)c2ccccc2)ccn1 7.7434206 0.3384615384615385</t>
  </si>
  <si>
    <t>CCN(Cc1ccccn1)c1cccc(-c2cc(CN(Cc3ccccn3)Cc3cc(C)ccn3)ccn2)c1C 7.7434196 0.38461538461538464</t>
  </si>
  <si>
    <t>Cc1cccnc1CN(Cc1ccc2cccnc2c1)C1CCC(N(C)c2ccc3cc(CN(C)C)cnc3c2)CC1 7.7434177 0.25</t>
  </si>
  <si>
    <t>Cc1ccccc1-c1cccnc1CN(C)Cc1cccc(N(C)C(C)C)n1 7.743416 0.4074074074074074</t>
  </si>
  <si>
    <t>CN(CCCN(C)Cc1ncccc1-c1cccc2ncccc12)Cc1cccnc1 7.743416 0.32142857142857145</t>
  </si>
  <si>
    <t>CN(c1ccc2cc3c(nc2c1)CCCC3)C1CCC(N(C)c2cccc3nc4c(cc23)CCCC4)CC1 7.7434154 0.47368421052631576</t>
  </si>
  <si>
    <t>C1=CC(SCc2ccccn2)=C(SCc2ccccn2)C(SCc2ccccn2)N1 7.743412 0.3953488372093023</t>
  </si>
  <si>
    <t>Cc1cnc(CN(C)CN(Cc2ccccn2)c2cc(C)cc(N(C)Cc3ccccn3)c2C)c(C)c1 7.743402 0.4444444444444444</t>
  </si>
  <si>
    <t>Cc1cc(CN(C)Cc2cc(N(C)Cc3cc(C)c(C)c(C)n3)ccn2)ccn1 7.743394 0.29508196721311475</t>
  </si>
  <si>
    <t>Cc1ccc(N(C)Cc2cc(N)ccn2)cc1C 7.743368 0.3404255319148936</t>
  </si>
  <si>
    <t>Cc1ccccc1-c1ccc(CN(C)Cc2cccc(N)n2)cn1 7.7433662 0.39622641509433965</t>
  </si>
  <si>
    <t>Cc1ccc(CN(C)Cc2ncc(N(C)Cc3cc(C)ccn3)c(C)c2C)nc1 7.7433643 0.46808510638297873</t>
  </si>
  <si>
    <t>FCNc1ncccc1-c1cccc(C(NCc2ccccn2)c2ccccc2)n1 7.743364 0.3181818181818182</t>
  </si>
  <si>
    <t>CCN(Cc1ccccn1)Cc1ncccc1-c1cccc(N(C)Cc2ccccn2)c1 7.7433505 0.4230769230769231</t>
  </si>
  <si>
    <t>Cc1cc(C)c(C(C)(C)N=Cc2ccccn2)cc1NCc1ccccn1 7.743346 0.3508771929824561</t>
  </si>
  <si>
    <t>COC(=O)C1C2C(c3ccccn3)N(C)C(c3ccccn3)C1(C(=O)OC)CC(=O)N2C 7.743345 0.49206349206349204</t>
  </si>
  <si>
    <t>CC(C)C(C)(c1cccnc1)c1cccc(CN(Cc2ccccn2)Cc2ccc(-c3ccccc3N(C)C)cn2)n1 7.7433352 0.34328358208955223</t>
  </si>
  <si>
    <t>Cc1cnc(-c2ccc(NCc3ccccn3)c(C)c2)c(CN(C)C2CCCCC2N(C)c2ccc3cccnc3c2)c1 7.7433352 0.3835616438356164</t>
  </si>
  <si>
    <t>FCc1ccc(SCc2ccccn2)c(SCc2ccccn2)n1 7.7433305 0.4358974358974359</t>
  </si>
  <si>
    <t>CNCCN(Cc1ccccn1)c1ccc2nc(CF)ccc2c1 7.7433267 0.45098039215686275</t>
  </si>
  <si>
    <t>CN(CCN(C)c1ccc2ccc(CF)nc2c1)Cc1ccccn1 7.743325 0.5</t>
  </si>
  <si>
    <t>COC(=O)C(=O)C(=O)OC 7.7433114 0.14893617021276595</t>
  </si>
  <si>
    <t>CN(CCCN(C)Cc1ccc2ncccc2c1)Cc1ccc2ncccc2c1 7.7433105 0.4418604651162791</t>
  </si>
  <si>
    <t>CC(C)(c1ccccn1)N(Cc1ccc2ncccc2c1)Cc1ccccn1 7.743304 0.38461538461538464</t>
  </si>
  <si>
    <t>CC(c1ccccn1)(c1ccccn1)c1cccnc1CNC1=CC=CNC1 7.7432995 0.3442622950819672</t>
  </si>
  <si>
    <t>Cc1ccc(N)cc1-c1ccc(CN(C)Cc2ccccn2)cn1 7.743297 0.4339622641509434</t>
  </si>
  <si>
    <t>CCCN(Cc1ccccn1)c1cc(CN(C)Cc2ccccn2)cc2ncccc12 7.7432966 0.4074074074074074</t>
  </si>
  <si>
    <t>FCc1nc(SCc2ccccn2)ccc1SCc1ccccn1 7.743295 0.425</t>
  </si>
  <si>
    <t>CN(CCF)Cc1cccc(-c2cccc(N=Cc3ccccn3)c2)n1 7.7432923 0.44642857142857145</t>
  </si>
  <si>
    <t>Cc1nc(CN(C)Cc2nc(C)c(C)c(C)c2C)c(C)c(C)c1C 7.74328 0.2777777777777778</t>
  </si>
  <si>
    <t>FCNc1ncccc1-c1ncccc1C(NCc1ccccn1)c1ccccc1 7.743273 0.3333333333333333</t>
  </si>
  <si>
    <t>Cc1cncc(CN(C)c2ccccc2-c2cccnc2CN(C)C(C)C)c1 7.743265 0.3103448275862069</t>
  </si>
  <si>
    <t>C1=CNCC(NCc2ccc(C(c3ccccn3)c3ccccn3)cn2)=C1 7.743264 0.28846153846153844</t>
  </si>
  <si>
    <t>CC(C)C1=CC(N(C)Cc2cccc(-c3cccc(N(C)C)c3)n2)C=CN1 7.743262 0.3283582089552239</t>
  </si>
  <si>
    <t>CC(C)C(C)(c1cccnc1)N(Cc1ccccn1)Cc1cccc(-c2cccc(N=Cc3ccccn3)c2)n1 7.743256 0.3918918918918919</t>
  </si>
  <si>
    <t>C=CCN(C)Cc1cccc(C(C)(C)c2cccc(CN(Cc3cccc(C)n3)Cc3cccc(-c4cccc(N(C)C)c4)n3)n2)n1 7.7432523 0.3793103448275862</t>
  </si>
  <si>
    <t>Cc1cc(NCc2ccccn2)ccc1-c1ccc(CN(C)C2CCC(N(C)c3ccc4cccnc4c3)CC2)cn1 7.743242 0.29333333333333333</t>
  </si>
  <si>
    <t>CCN(Cc1ccccn1)c1ccc2nc(CN(C)C3CCC(N(C)c4ccc5nc(CF)ccc5c4)CC3)ccc2c1 7.743234 0.39344262295081966</t>
  </si>
  <si>
    <t>CCN(C)Cc1ccc(-c2cc(Cl)ccc2N)cn1 7.7432275 0.3617021276595745</t>
  </si>
  <si>
    <t>c1ccc(C2=NC(c3ccccc3)C(c3ccccc3)O2)cc1 7.7432275 0.2</t>
  </si>
  <si>
    <t>CN(CCN(Cc1cccnc1)c1cccc2ncccc12)Cc1cccnn1 7.7432218 0.5</t>
  </si>
  <si>
    <t>Cc1cnc(CN(C)CCN(C)Cc2nc3ccccc3n2C)c(C)c1C 7.743221 0.41509433962264153</t>
  </si>
  <si>
    <t>Cc1ccc(-c2cccc(NCc3ccccn3)c2)nc1CN(C)Cc1ccccn1 7.7432146 0.45454545454545453</t>
  </si>
  <si>
    <t>Cc1cccnc1CN(C)CCN(c1ccc2ncccc2c1)C(C)C 7.743208 0.37735849056603776</t>
  </si>
  <si>
    <t>CN(Cc1ccc2cccnc2c1)C1CCC(N(C)c2ccc3c(CF)ccnc3c2)CC1 7.7431984 0.26865671641791045</t>
  </si>
  <si>
    <t>Cc1cc(CN(C)CCCN(C)c2ccc3nc(CF)ccc3c2)nc(C)c1C 7.7431955 0.2962962962962963</t>
  </si>
  <si>
    <t>FCNc1cccc(-c2cc(C(NCc3ccccn3)c3ccccc3)ccn2)n1 7.743189 0.3793103448275862</t>
  </si>
  <si>
    <t>Cc1ccc(-c2ncccc2CN(C)Cc2ncccc2C)cc1 7.743184 0.375</t>
  </si>
  <si>
    <t>CNCc1cccc(CN(Cc2ccccn2)Cc2cc(-c3cccc(N(C)C)c3)ccn2)n1 7.7431774 0.45</t>
  </si>
  <si>
    <t>CC(C)C(C)(c1cccnc1)c1cccc(CN(Cc2ccccn2)Cc2cccc(-c3cccc(N(C)C)c3)n2)n1 7.743173 0.47058823529411764</t>
  </si>
  <si>
    <t>Cc1ccc(N(C)c2ccc3cccnc3c2)c(-c2ccc(CN(Cc3ccccn3)C3CCCCC3)cn2)c1 7.743169 0.3333333333333333</t>
  </si>
  <si>
    <t>CN(Cc1ccccn1)Cc1ncccc1-c1cccc(NCc2ccccn2)c1 7.7431674 0.4339622641509434</t>
  </si>
  <si>
    <t>CN(Cc1ncccc1-c1ccccn1)C1CCC(N(C)c2cccc3nccc(CF)c23)CC1 7.7431498 0.29850746268656714</t>
  </si>
  <si>
    <t>Cc1ccc2ccc(CN(C)C3CCCCC3N(C)c3ccc4c(CF)ccnc4c3)nc2c1 7.7431445 0.43333333333333335</t>
  </si>
  <si>
    <t>CC(C)CN(Cc1ccccn1)Cc1cc(-c2cccc(N=Cc3ccccn3)c2)ccn1 7.743143 0.375</t>
  </si>
  <si>
    <t>Cc1ccc(-c2ccc(NCc3ccccn3)cc2)nc1CN(C)Cc1ccccn1 7.7431397 0.4528301886792453</t>
  </si>
  <si>
    <t>Cc1cnccc1-c1ncccc1CN(C)C1CCCCC1N(C)c1cccc2c(CN(C)C)ccnc12 7.743125 0.4307692307692308</t>
  </si>
  <si>
    <t>CC1CC(N)C1c1cccc(CN(Cc2ccccn2)Cc2cccc(-c3cccc(N=Cc4ccccn4)c3)n2)n1 7.7431226 0.45714285714285713</t>
  </si>
  <si>
    <t>CC1=CCC(N(C)Cc2ccc(-c3cccc(N=Cc4ccccn4)c3)cn2)C2(C)N=CC=CC12 7.7431207 0.27848101265822783</t>
  </si>
  <si>
    <t>Cc1ccc(CN(C)Cc2ccc(N(C)Cc3cc(C)c(C)c(C)n3)cn2)nc1 7.743112 0.5</t>
  </si>
  <si>
    <t>CNC1=CNCC(SCc2ccccn2)=C1N(Cc1ccccn1)Cc1ccccn1 7.743103 0.3541666666666667</t>
  </si>
  <si>
    <t>CN(c1ccc2cc3c(nc2c1)CCCC3)C1CCCC(N(C)c2ccc3cc4c(nc3c2)CCCC4)C1 7.7431016 0.4423076923076923</t>
  </si>
  <si>
    <t>CCCN(Cc1ccccn1)c1ccc2nc(CN(C)Cc3ncccc3C)ccc2c1 7.7430997 0.42857142857142855</t>
  </si>
  <si>
    <t>Cc1ccc(-c2cccc(CN(Cc3ccccn3)Cc3ccccn3)n2)c(-c2ccc(CN(Cc3ccccn3)Cc3ccccn3)cn2)c1 7.7430997 0.4745762711864407</t>
  </si>
  <si>
    <t>CC(C)N(C)Cc1ccc2cc(N(C)C3CCC(N(C)c4ccc5cccnc5c4)CC3)ccc2n1 7.743096 0.375</t>
  </si>
  <si>
    <t>C(=Nc1ccccc1-c1cccc(CN(Cc2ccccc2)Cc2ccccn2)n1)c1ccccn1 7.7430825 0.43636363636363634</t>
  </si>
  <si>
    <t>CN(C)c1ccccc1-c1cccc(CN(Cc2ccccn2)C2CCC(N(C)c3ccc4nc(CF)ccc4c3)CC2)n1 7.7430806 0.3880597014925373</t>
  </si>
  <si>
    <t>CN(Cc1ccc2ncccc2c1)C1CCC(N(C)c2ccc3c(CF)ccnc3c2)CC1 7.743077 0.2727272727272727</t>
  </si>
  <si>
    <t>Cc1cccc(NCc2ccccn2)c1-c1cccc(CN(C)C2CCC(N(C)c3ccc4cccnc4c3)CC2)n1 7.7430725 0.3380281690140845</t>
  </si>
  <si>
    <t>CNc1ccc(Cl)cn1 7.7430673 0.19047619047619047</t>
  </si>
  <si>
    <t>Cc1ccc2ccc(CN(C)C3CCCCC3N(C)c3ccc4nccc(CF)c4c3)nc2c1 7.743065 0.41935483870967744</t>
  </si>
  <si>
    <t>Cc1ccnc2ccc(N(C)CCCN(C)Cc3ccccn3)cc12 7.743058 0.39622641509433965</t>
  </si>
  <si>
    <t>COCc1ccc(-c2cc(CN(Cc3ccccn3)Cc3ccccn3)ccn2)cc1-c1cc(CN(Cc2ccccn2)Cc2ccccn2)ccn1 7.7430563 0.45</t>
  </si>
  <si>
    <t>CCN(Cc1ccccn1)Cc1cc(-c2ccccc2N(C)C)ccn1 7.743051 0.4634146341463415</t>
  </si>
  <si>
    <t>Cc1cc(C)c(CN(C)c2ccc(CN(C)Cc3ncccc3C)nc2)nc1C 7.7430506 0.3508771929824561</t>
  </si>
  <si>
    <t>Cc1cc(CN(C)Cc2ccc(N(C)Cc3cc(C)c(C)c(C)n3)cn2)ccn1 7.743045 0.3333333333333333</t>
  </si>
  <si>
    <t>CN(Cc1ccccn1)C1=CNC=CC1CN(Cc1ccccn1)Cc1cccc(-c2cccc(Cl)c2N)n1 7.7430325 0.3787878787878788</t>
  </si>
  <si>
    <t>Cc1ccc(CN(C)Cc2cccc(N(C)Cc3nc(C)c(C)c(C)c3C)n2)nc1 7.7430263 0.46808510638297873</t>
  </si>
  <si>
    <t>Cc1ccc(-c2cccc(NCc3ccccn3)c2)nc1CN(Cc1ccccn1)C1CCC(N(C)c2ccc3nccc(CN(C)C)c3c2)CC1 7.7430243 0.3023255813953488</t>
  </si>
  <si>
    <t>CN(CCN(C)c1ccc2cc(CF)cnc2c1)Cc1ccccn1 7.743024 0.4166666666666667</t>
  </si>
  <si>
    <t>Cc1cnccc1CN(C)Cc1ncccc1N(C)Cc1nc(C)c(C)c(C)c1C 7.743019 0.3103448275862069</t>
  </si>
  <si>
    <t>CC1=C(C)CC(N(C)CC2=CCC=C(N(C)c3cccc4ncccc34)N2)C(C)C1 7.743013 0.2727272727272727</t>
  </si>
  <si>
    <t>Cc1cc(CN(C)CC2=CC(N(C)Cc3ncccc3C)C=CN2)c2ncccc2c1 7.7430096 0.3548387096774194</t>
  </si>
  <si>
    <t>Cc1cc(N(C)Cc2ccccn2)c(C)c(N(Cc2ccccn2)Cc2ncc(CN(Cc3ccccn3)Cc3ccccn3)cc2C)c1 7.7430077 0.4444444444444444</t>
  </si>
  <si>
    <t>Cc1ccc(CN(C)Cc2ncccc2N(C)Cc2nc(C)c(C)c(C)c2C)nc1 7.743004 0.4489795918367347</t>
  </si>
  <si>
    <t>Cc1cc(C)c(CN(C)C2=CCC=C(CN(C)C)N2)nc1C 7.743003 0.1935483870967742</t>
  </si>
  <si>
    <t>CN(C1=CNC(CN(C)C(C)(C)C)=CC1)c1ccc2cc(CF)cnc2c1 7.742996 0.2222222222222222</t>
  </si>
  <si>
    <t>CN(CCN(C)c1ccc2ncccc2c1)Cc1cccnc1 7.742994 0.4</t>
  </si>
  <si>
    <t>CC(C)CN(C)CC1=CC(N(C)c2ccc3nccc(CF)c3c2)C=CN1 7.7429814 0.29411764705882354</t>
  </si>
  <si>
    <t>Cc1cccc(N(C)CC2=C(N(C)Cc3ncccc3C)CC=CN2)c1 7.742975 0.26229508196721313</t>
  </si>
  <si>
    <t>Cc1ccccc1N(C)Cc1nccc(C)c1C 7.74297 0.36363636363636365</t>
  </si>
  <si>
    <t>C1=CNCC(NCc2cc(C(c3ccccn3)c3ccccn3)ccn2)=C1 7.7429667 0.28846153846153844</t>
  </si>
  <si>
    <t>CC1(C)CC(c2cccc(CN(Cc3ccccn3)Cc3cccc(-c4cccc(N=Cc5ccccn5)c4)n3)n2)C1 7.7429585 0.47761194029850745</t>
  </si>
  <si>
    <t>Cc1ccccc1CN(C)CCN(C)c1cccc2ncccc12 7.742956 0.48936170212765956</t>
  </si>
  <si>
    <t>CN(Cc1ccc2ncccc2c1)C1CCC(N(C)c2ccc3nccc(CF)c3c2)CC1 7.742953 0.2727272727272727</t>
  </si>
  <si>
    <t>CC1=C(c2ccccc2)C(CN(C)Cc2ncccc2N)CC=C1c1ccccc1N(C)C 7.7429447 0.25</t>
  </si>
  <si>
    <t>CCNCc1ncccc1-c1cccc(NCc2ccccn2)c1C 7.742944 0.391304347826087</t>
  </si>
  <si>
    <t>CC(C)N(Cc1ccccn1)c1ccc(N=Cc2ccccn2)cc1 7.7429404 0.45652173913043476</t>
  </si>
  <si>
    <t>Cc1cc(CN(C)Cc2cccc(N(C)Cc3nc(C)c(C)c(C)c3C)n2)ccn1 7.742932 0.3584905660377358</t>
  </si>
  <si>
    <t>CN(Cc1ccc2ccc(N(C)C3CCC(N(C)c4ccc5ncccc5c4)CC3)cc2n1)C1CCCCC1N(C)c1ccc2ccc(CF)nc2c1 7.7429314 0.4603174603174603</t>
  </si>
  <si>
    <t>CN(C)Cc1cncc2cc(N(C)CCN(Cc3ccccn3)C(C)(C)C)ccc12 7.7429233 0.3684210526315789</t>
  </si>
  <si>
    <t>CNc1ncccc1Cl 7.7429204 0.3076923076923077</t>
  </si>
  <si>
    <t>Cc1ccccc1-c1ccc(CN(C)Cc2cc(N)ccn2)cn1 7.74292 0.3392857142857143</t>
  </si>
  <si>
    <t>Cc1cccc(N(C)CC2=C(N(C)Cc3ccccn3)CC=CN2)c1C 7.7429104 0.42592592592592593</t>
  </si>
  <si>
    <t>CC(C)N(CCN(C)c1cccc2nccc(C(C)(C)C)c12)C(C)C 7.7429004 0.3673469387755102</t>
  </si>
  <si>
    <t>Fc1ccccc1NCc1ncccc1C(c1ccccn1)c1ccccn1 7.742897 0.2765957446808511</t>
  </si>
  <si>
    <t>CC(c1ccccn1)c1ccc(C2=NCC(C)(C)O2)cn1 7.742895 0.2982456140350877</t>
  </si>
  <si>
    <t>CN(CCF)Cc1ncccc1-c1ccc(N(C)C)cc1 7.7428846 0.34782608695652173</t>
  </si>
  <si>
    <t>FCc1nccc(SCc2ccccn2)c1SCc1ccccn1 7.7428813 0.4358974358974359</t>
  </si>
  <si>
    <t>CN(CC1=CCC=C(N(C)Cc2cccc(C3=CCC=CN3)n2)N1)Cc1ccccn1 7.742878 0.4745762711864407</t>
  </si>
  <si>
    <t>Cc1ccc(N(C)Cc2cc(C(C)(C)C)ccn2)cc1C 7.7428727 0.32653061224489793</t>
  </si>
  <si>
    <t>CC(C)C(C)N(C)Cc1cccc(N(C)c2ccc3nc(CF)ccc3c2)n1 7.7428646 0.3148148148148148</t>
  </si>
  <si>
    <t>CCNCc1cccc(-c2cccc(Cl)c2NCc2ccccn2)n1 7.742863 0.40425531914893614</t>
  </si>
  <si>
    <t>CNc1ccccc1-c1cc(C(C)(C)N(C)Cc2ccccn2)ccn1 7.742861 0.38181818181818183</t>
  </si>
  <si>
    <t>CN(C)c1ccccc1-c1ccc(CN(Cc2ccccn2)C2CCC(N(C)c3ccc4nc(CF)ccc4c3)CC2)cn1 7.742857 0.3194444444444444</t>
  </si>
  <si>
    <t>Cc1ccc2c(CN(C)C(C)C)ccnc2c1 7.742857 0.28888888888888886</t>
  </si>
  <si>
    <t>Cc1ccnc(CN(C)CCNc2ccc3nccc(CF)c3c2)c1C 7.7428403 0.2631578947368421</t>
  </si>
  <si>
    <t>CN(C)c1cccc(-c2cccc(CN(Cc3ccccn3)C3CCC(N(C)c4ccc5nc(CF)ccc5c4)CC3)n2)c1 7.7428317 0.3972602739726027</t>
  </si>
  <si>
    <t>CC(C)CN(C)Cc1cnccc1-c1cc(Cl)ccc1N 7.742828 0.22413793103448276</t>
  </si>
  <si>
    <t>CCN(CCN(C)Cc1ccc2cccnc2c1)Cc1ccc2cccnc2c1 7.7428236 0.425531914893617</t>
  </si>
  <si>
    <t>CN(CCN(Cc1ccccn1)c1ccc2nccc(CF)c2c1)Cc1ccccn1 7.74282 0.39344262295081966</t>
  </si>
  <si>
    <t>Cc1cncc(CN(C)c2cc(N(C)C3CCCCC3N(C)c3ccc4ccc(CF)nc4c3)ccc2C)c1 7.7428193 0.4307692307692308</t>
  </si>
  <si>
    <t>Cc1ccc(CN(c2ccc(Cl)nc2)C2CCC(N(C)c3ccc4ccc(CF)nc4c3)CC2)nc1C 7.7428045 0.30985915492957744</t>
  </si>
  <si>
    <t>C1=CNCC(NCc2cccc(C(c3ccccn3)c3ccccn3)n2)=C1 7.742803 0.3</t>
  </si>
  <si>
    <t>CN(CCN(C)c1ccc2ncc(CF)cc2c1)Cc1ccccn1 7.742802 0.4098360655737705</t>
  </si>
  <si>
    <t>CNCCN(Cc1ccccn1)c1cccc2ccc(CF)nc12 7.7428 0.43103448275862066</t>
  </si>
  <si>
    <t>CNc1cccc(Cl)n1 7.742793 0.34210526315789475</t>
  </si>
  <si>
    <t>Cc1ccc(N(C)Cc2ccc(C(C)(C)C)cn2)cc1C 7.7427716 0.35555555555555557</t>
  </si>
  <si>
    <t>CC1C=CC(C)C(C)(c2cccc(CN(Cc3ccccn3)C3CCC(N(C)c4ccc5nc(-c6ccc7ncccc7c6)ccc5c4)CC3)n2)C1 7.742771 0.3023255813953488</t>
  </si>
  <si>
    <t>CC(C)N(Cc1ccccn1)Cc1ccc2cc(N(C)C3CCC(N(C)c4ccc5ncccc5c4)CC3)ccc2n1 7.7427506 0.4716981132075472</t>
  </si>
  <si>
    <t>Cc1cc(C)c(CN(C)Cc2ccc(N(C)Cc3ncccc3C)cn2)nc1C 7.7427335 0.3508771929824561</t>
  </si>
  <si>
    <t>CCN(CCN(C)Cc1nc(C)c(C)cc1C)c1cccc2cccnc12 7.7427287 0.47058823529411764</t>
  </si>
  <si>
    <t>Cc1ccc(CN(Cc2cc(N)ccn2)Cc2cccc(-c3cccc(C)c3C)n2)nc1 7.742705 0.38461538461538464</t>
  </si>
  <si>
    <t>Cc1cccnc1CN(C)Cc1cccc(N(C)Cc2nc(C)c(C)c(C)c2C)n1 7.7427044 0.38181818181818183</t>
  </si>
  <si>
    <t>CCN(Cc1ccccn1)c1ccccc1-c1cccnc1CN(Cc1ccccn1)C(C)(N)c1ccccn1 7.7427 0.3448275862068966</t>
  </si>
  <si>
    <t>Cc1cccc(-c2ccnc(CN(Cc3ccccn3)CC(C)(C)C)c2)c1N=Cc1ccccn1 7.7426944 0.45614035087719296</t>
  </si>
  <si>
    <t>CCN(Cc1cc(CF)ccn1)Cc1cc(-c2cccc(N(C)C)c2)ccn1 7.742685 0.3018867924528302</t>
  </si>
  <si>
    <t>Cc1cncc(CN(C)C2=CNC=CC2CN(C)Cc2ccc3ncccc3c2)c1 7.742681 0.24285714285714285</t>
  </si>
  <si>
    <t>Cc1ccc(N(C)CCN(C)Cc2cccc3ncccc23)cc1 7.742676 0.4782608695652174</t>
  </si>
  <si>
    <t>CN(C)c1ccccc1-c1cccc(CN(Cc2ccccn2)C2CCC(N(C)c3ccc4ccc(CF)nc4c3)CC2)n1 7.7426643 0.3939393939393939</t>
  </si>
  <si>
    <t>Cc1ccnc2c(N(C)CCN(C)C(C)C)cccc12 7.7426553 0.4883720930232558</t>
  </si>
  <si>
    <t>Cc1cccnc1CN(C)Cc1ncccc1N(C)Cc1nc(C)c(C)c(C)c1C 7.7426457 0.35294117647058826</t>
  </si>
  <si>
    <t>COC(=O)C(=O)C(=O)C1(C)N=COC1c1ccccn1 7.7426434 0.3548387096774194</t>
  </si>
  <si>
    <t>CN(CCCN(C)c1ccc2ncccc2c1)Cc1ccon1 7.742639 0.5</t>
  </si>
  <si>
    <t>CCN(Cc1cccc(-c2cccc(N=Cc3ccccn3)c2)n1)Cc1ccc2c(n1)CCC2 7.742634 0.4084507042253521</t>
  </si>
  <si>
    <t>CCN(CCN(C)c1cccc2nccc(C)c12)Cc1cccnc1 7.7426305 0.34545454545454546</t>
  </si>
  <si>
    <t>CN(c1cccc2c3c(cnc12)CCCC3)C1CCCCC1N(C)c1cccc2ncc3c(c12)CCCC3 7.7426295 0.46551724137931033</t>
  </si>
  <si>
    <t>CC1(C)CC(c2ccc(CN(Cc3ccccn3)Cc3cccc(-c4cccc(N=Cc5ccccn5)c4)n3)cn2)C1 7.7426267 0.4383561643835616</t>
  </si>
  <si>
    <t>Cc1ccc(-c2cc(CN(C)Cc3ccccn3)ccn2)cc1N 7.7426195 0.47058823529411764</t>
  </si>
  <si>
    <t>CN(C)c1cccc(-c2cccc(CN(Cc3cccc(C(C)(C)C)n3)C3CCC(N(C)c4ccc5nc(CF)ccc5c4)CC3)n2)c1 7.74259 0.2987012987012987</t>
  </si>
  <si>
    <t>CC(C)CN(C)CC1=CC(N(C)c2ccc3ncccc3c2)C=CN1 7.74258 0.3125</t>
  </si>
  <si>
    <t>Cc1ccc(-c2ccc(CN(C)Cc3ccccn3)cn2)c(NCc2ccccn2)c1 7.74258 0.40350877192982454</t>
  </si>
  <si>
    <t>CCCN(C)Cc1cccc(-c2cccc(N=Cc3ccccn3)c2)n1 7.7425737 0.44642857142857145</t>
  </si>
  <si>
    <t>Cc1cc(NCc2ccccn2)ccc1-c1cncc(CN(C)C2CCCC(N(C)c3ccc4cccnc4c3)C2)c1 7.742573 0.2948717948717949</t>
  </si>
  <si>
    <t>Cc1ccc(C)c(N(C)Cc2cccc(N)n2)c1 7.7425723 0.36363636363636365</t>
  </si>
  <si>
    <t>Cc1cnc(CN(CCN(C)c2ccc3nccc(CF)c3c2)CC(C)C)c(C)c1C 7.7425704 0.24242424242424243</t>
  </si>
  <si>
    <t>Cc1cnc(CN(C)CCNc2ccc3ncccc3c2)c(C)c1C 7.742569 0.3333333333333333</t>
  </si>
  <si>
    <t>Cc1cc(-c2cccc(NCc3ccccn3)c2C)cnc1CN(Cc1ccccn1)C1CCC(N(C)c2cccc3ccc(CF)nc23)CC1 7.742556 0.38271604938271603</t>
  </si>
  <si>
    <t>CCN(CCN(C)c1ccc2nccc(C)c2c1)Cc1ccccn1 7.7425528 0.46</t>
  </si>
  <si>
    <t>CC(C)CN(Cc1ccccn1)Cc1ncccc1-c1cccc(N=Cc2ccccn2)c1 7.7425385 0.35</t>
  </si>
  <si>
    <t>Cc1cc(C)c(CN(C)Cc2cccc(N(C)Cc3nc(C)c(C)cc3C)n2)cn1 7.742529 0.3584905660377358</t>
  </si>
  <si>
    <t>Cc1nc(CN(C)Cc2cnccc2N(C)C)c(C)c(C)c1C 7.7425275 0.2692307692307692</t>
  </si>
  <si>
    <t>Fc1ccccc1NCc1cc(C(c2ccccn2)c2ccccn2)ccn1 7.7425222 0.3191489361702128</t>
  </si>
  <si>
    <t>Cc1ccc(CN(Cc2ccccn2)Cc2cc(C3=NC(=O)C(C(C)C)O3)ccn2)nc1 7.7425075 0.37037037037037035</t>
  </si>
  <si>
    <t>CNCc1cccc(CN(C)Cc2cccc(-c3cccc(N)c3Cl)n2)n1 7.7425017 0.40384615384615385</t>
  </si>
  <si>
    <t>Fc1ccccc1NCc1ccc(C(c2ccccn2)c2ccccn2)cn1 7.7424974 0.3191489361702128</t>
  </si>
  <si>
    <t>Cc1ccc(CN(C)C2CCCCC2N(C)c2cccc3cccnc23)nc1-c1c(C)cccc1NCc1ccccn1 7.742492 0.49230769230769234</t>
  </si>
  <si>
    <t>Cc1cccc(N(C)CC2=CCC(N(C)Cc3ccccn3)=CN2)c1 7.7424726 0.4067796610169492</t>
  </si>
  <si>
    <t>Cc1cncc(CN(C)c2c(Cl)ccc(N(C)C(C)(C)c3cccnc3CN(Cc3ccccn3)C3CCC(N(C)c4ccc5nc(CF)ccc5c4)CC3)c2Cl)c1 7.7424703 0.27472527472527475</t>
  </si>
  <si>
    <t>CC1=C(C)C2(C=C(C(C)C)NC3=C2C(C)(C)C(C)C(c2ccc(CN(Cc4ccccn4)Cc4ccccn4)cn2)=C3)C2(C(C)C=CC(C)C2C)C(c2cccc(CN(Cc3ccccn3)Cc3cccc(-c4ccc5ncccc5c4)n3)n2)C1c1cc(CN(Cc2ccccn2)Cc2ccccn2)ccn1 7.7424693 0.2857142857142857</t>
  </si>
  <si>
    <t>Cc1cc(NCc2ccccn2)ccc1-c1ccc(C)c(CN(C)C2CCCCC2N(C)c2ccc3cccnc3c2)n1 7.742467 0.39436619718309857</t>
  </si>
  <si>
    <t>CNCc1cc(N(C)Cc2cc(C)c(C)c(C)n2)ccn1 7.742462 0.3018867924528302</t>
  </si>
  <si>
    <t>CNc1cc(Cl)ccc1C(C)(C)c1ccccn1 7.7424545 0.32</t>
  </si>
  <si>
    <t>Cc1cccc(-c2ccc(CN(Cc3ccccn3)Cc3cccc(N)n3)cn2)c1NCc1ccccn1 7.7424483 0.36507936507936506</t>
  </si>
  <si>
    <t>CCN(CCN(C)Cc1ccc2ncccc2c1)Cc1ccc2ncccc2c1 7.7424383 0.425531914893617</t>
  </si>
  <si>
    <t>Cc1cnc(CN(CCN(Cc2ccccn2)c2cccc3cccnc23)C(C)C)c(C)c1C 7.7424192 0.5</t>
  </si>
  <si>
    <t>Cc1ccccc1-c1cc(CN(C)C2CCC(N(C)Cc3cccc(-c4cccc5cccnc45)n3)CC2)ccn1 7.742419 0.36507936507936506</t>
  </si>
  <si>
    <t>Cc1cncc(CN(C)c2ccccc2-c2cccc(CN(Cc3ccccn3)C(C)C)n2)c1 7.7424107 0.42105263157894735</t>
  </si>
  <si>
    <t>CN(CCN(C)c1cccc2cc(CF)cnc12)Cc1ccccn1 7.742405 0.4897959183673469</t>
  </si>
  <si>
    <t>Cc1cnccc1CN(Cc1ccc2ncccc2c1)C1CCC(N(C)c2ccc3nccc(CF)c3c2)CC1 7.742403 0.23684210526315788</t>
  </si>
  <si>
    <t>Cc1cnc(C2CCC2(C)C)c(C)c1CN(Cc1ccccn1)Cc1cccc(-c2cccc(N=Cc3ccccn3)c2)n1 7.7423983 0.41025641025641024</t>
  </si>
  <si>
    <t>Cc1cccc(CN(C)Cc2ccc(N(C)Cc3cc(C)c(C)c(C)n3)cn2)n1 7.7423935 0.46808510638297873</t>
  </si>
  <si>
    <t>CC(C)C(C)(c1cccnc1)N(Cc1ccccn1)Cc1ccc(-c2cccc(N=Cc3ccccn3)c2)cn1 7.742391 0.3283582089552239</t>
  </si>
  <si>
    <t>CC(c1ccccn1)(c1ccccn1)c1cccnc1CNc1ccccc1F 7.742387 0.375</t>
  </si>
  <si>
    <t>CC(C)[Si](c1cccc(CN(C)Cc2nc3ccccc3n2C)n1)(C(C)C)C(C)C 7.7423806 0.41509433962264153</t>
  </si>
  <si>
    <t>Cc1ccc(N(C)Cc2ncccc2C)cc1C 7.742372 0.32608695652173914</t>
  </si>
  <si>
    <t>CN(CCNCc1ccccn1)c1cccc2ncccc12 7.742362 0.5</t>
  </si>
  <si>
    <t>Cc1ccnc(CN(C)Cc2ncccc2C(C)(c2ccccn2)c2ccccn2)c1C 7.7423615 0.3584905660377358</t>
  </si>
  <si>
    <t>Cc1cc(N)ccc1-c1ccc(CN(C)C2CCCCC2N(C)c2ccc3c(CF)ccnc3c2)cn1 7.742352 0.3013698630136986</t>
  </si>
  <si>
    <t>CC(C)N(CC1=CC(N(C)c2ccc3ccc(CF)nc3c2)C=CN1)Cc1ccccn1 7.7423496 0.3870967741935484</t>
  </si>
  <si>
    <t>CN(Cc1cccnn1)C1=C(N(C)Cc2cccnn2)NCC=C1 7.7423444 0.47619047619047616</t>
  </si>
  <si>
    <t>C(=Nc1ccccc1-c1ccc(CN(Cc2ccccc2)Cc2ccccn2)nc1)c1ccccn1 7.7423387 0.4166666666666667</t>
  </si>
  <si>
    <t>Cc1cccc(N(Cc2cccc(N(C)C)c2)Cc2ccccn2)c1C(C)(C)C 7.742336 0.38181818181818183</t>
  </si>
  <si>
    <t>CN(CN(Cc1ccccn1)C1CCCCC1N(C)c1cccc2ncc(CF)cc12)c1cccc2ncccc12 7.7423353 0.3939393939393939</t>
  </si>
  <si>
    <t>CC(C)C(C)(c1cccnc1)N(C)Cc1cccc(-c2cccc(N=Cc3ccccn3)c2)n1 7.742333 0.36</t>
  </si>
  <si>
    <t>Cc1ccccc1N(C)CC1=C(N(C)Cc2ccccn2)CC=CN1 7.7423058 0.45098039215686275</t>
  </si>
  <si>
    <t>CNCCN(Cc1ccccn1)c1ccc2ncc(CF)cc2c1 7.7423053 0.36363636363636365</t>
  </si>
  <si>
    <t>Cc1cnc(N(C)C2CCCC(N(C)c3ccc4c(CN(C)C)ccnc4c3)C2)c(C)c1 7.742301 0.28125</t>
  </si>
  <si>
    <t>COC(C)c1cccc(CN(Cc2ccccn2)Cc2cc(-c3ccccc3N(C)C)ccn2)n1 7.7422824 0.4375</t>
  </si>
  <si>
    <t>CN(C)c1ccccc1-c1ncccc1CN(Cc1ccccn1)C1CCC(N(C)c2ccc3nc(CF)ccc3c2)CC1 7.7422686 0.323943661971831</t>
  </si>
  <si>
    <t>Cc1ccc(C(C)(C)C)c(C)c1N(C)Cc1ccccn1 7.742268 0.4666666666666667</t>
  </si>
  <si>
    <t>Cc1nc(CN(C)CCN(C)c2cccc3ccnc(CN(Cc4ccccn4)Cc4cccnc4F)c23)c(C)c(C)c1C 7.7422657 0.35526315789473684</t>
  </si>
  <si>
    <t>CN(CCN(C)c1ccc2ncccc2c1)Cc1ccccn1 7.7422643 0.4583333333333333</t>
  </si>
  <si>
    <t>CCN(Cc1ccccn1)c1ccc(-c2cccc(CN(Cc3ccccn3)Cc3nc(C)c(C)cc3C)n2)cc1 7.742261 0.4838709677419355</t>
  </si>
  <si>
    <t>Cc1cnc(CN(C)Cc2cccc(N(C)Cc3nc(C)c(C)cc3C)n2)c(C)c1 7.742247 0.34615384615384615</t>
  </si>
  <si>
    <t>C=CCN(C)Cc1cccc(-c2cc(Cl)ccc2N)n1 7.742241 0.37037037037037035</t>
  </si>
  <si>
    <t>CN(CCN(C)c1cccc2nc(CF)ccc12)Cc1cccnc1 7.7422347 0.37735849056603776</t>
  </si>
  <si>
    <t>Cc1cccnc1CN(CCN(C)c1ccc2nccc(CF)c2c1)C(C)C 7.7422295 0.3620689655172414</t>
  </si>
  <si>
    <t>FCNc1cc(-c2cc(C(NCc3ccccn3)c3ccccc3)ccn2)ccn1 7.7422285 0.3230769230769231</t>
  </si>
  <si>
    <t>Cc1c(NCc2ccccn2)cccc1-c1cccc(CNC(C)C)n1 7.742219 0.36363636363636365</t>
  </si>
  <si>
    <t>CCN(C)CCN(C)c1cccc2nc(C)ccc12 7.742202 0.4090909090909091</t>
  </si>
  <si>
    <t>CNc1ccc2nc(CN(C)C3CCC(N(C)c4ccc5nc(CF)ccc5c4)CC3)ccc2c1 7.7422013 0.3333333333333333</t>
  </si>
  <si>
    <t>CCNCc1ncccc1-c1cc(NCc2ccccn2)ccc1C 7.7421937 0.375</t>
  </si>
  <si>
    <t>NCCNc1cccc2ncccc12 7.7421856 0.3</t>
  </si>
  <si>
    <t>Cc1cccnc1CN(C)Cc1cnccc1N(C)Cc1nc(C)c(C)c(C)c1C 7.7421794 0.3103448275862069</t>
  </si>
  <si>
    <t>Cc1cncc(CN(C)CCN(C)c2ccc3nc(CF)ccc3c2)c1 7.7421474 0.37254901960784315</t>
  </si>
  <si>
    <t>Cc1ccccc1-c1ncccc1CN(C)Cc1ncccc1N 7.7421465 0.35294117647058826</t>
  </si>
  <si>
    <t>Cc1cc(NCc2ccccn2)ccc1-c1ccc(CN(C)C2CCCCC2N(C)c2ccc3c(CF)ccnc3c2)cn1 7.7421446 0.36363636363636365</t>
  </si>
  <si>
    <t>CC(N)C(C)N(Cc1ccccn1)c1ccc2ncccc2c1 7.742142 0.4166666666666667</t>
  </si>
  <si>
    <t>Cc1cc(CNCc2ccccn2)cnc1-c1cccc(NCc2ccccn2)c1 7.742138 0.3958333333333333</t>
  </si>
  <si>
    <t>CC1=CC(c2cc(CN(Cc3cc(-c4cccc(N=Cc5ccccn5)c4)ccn3)Cc3cc(C)c(C)c(C)n3)ccn2)C(C)CC1C 7.742127 0.2891566265060241</t>
  </si>
  <si>
    <t>FCc1ccc(C(c2ccccn2)c2ccccn2)c(NCc2ccccn2)n1 7.742112 0.37777777777777777</t>
  </si>
  <si>
    <t>CN(c1ccc2nc3c(cc2c1)CCCC3)C1CCCCC1N(C)c1ccc2cc(CF)cnc2c1 7.742091 0.45161290322580644</t>
  </si>
  <si>
    <t>CC(C)N(Cc1ccccn1)Cc1ncccc1-c1cccc(N(C)Cc2ccccn2)c1 7.742085 0.5</t>
  </si>
  <si>
    <t>CN(CN(Cc1ccccn1)C1CCC(N(C)c2ccc3cccnc3c2)CC1)c1ccc2cccnc2c1 7.742077 0.4107142857142857</t>
  </si>
  <si>
    <t>CCc1cccc(CNCc2ccc(-c3cccc(N=Cc4ccccn4)c3)cn2)c1 7.7420673 0.3333333333333333</t>
  </si>
  <si>
    <t>Cc1cccc(N(C)CC2=C(N(C)Cc3nccc(C)c3C)CC=CN2)c1C 7.7420526 0.26666666666666666</t>
  </si>
  <si>
    <t>CN(Cc1ccc2ncccc2c1)C1CCCC(N(C)c2ccc3nccc(CF)c3c2)C1 7.74205 0.27941176470588236</t>
  </si>
  <si>
    <t>CCN(Cc1ccccn1)Cc1cc(-c2cccc(N(C)C)c2)ccn1 7.742044 0.4634146341463415</t>
  </si>
  <si>
    <t>Cc1ccnc2cccc(N(C)CCN(C)C(C)C)c12 7.7420387 0.391304347826087</t>
  </si>
  <si>
    <t>Cc1cnc(CN(C)Cc2ncccc2C(C)(c2ccccn2)c2ccccn2)c(C)c1 7.7420373 0.3392857142857143</t>
  </si>
  <si>
    <t>Cc1ccc(CN(Cc2ccc3ncccc3c2)C2CCCCC2N(C)c2ccc3nccc(CF)c3c2)nc1C 7.742036 0.34210526315789475</t>
  </si>
  <si>
    <t>CCN(Cc1ccccn1)Cc1ncccc1-c1ccccc1N(C)C 7.7420306 0.475</t>
  </si>
  <si>
    <t>Cc1ccc(C)c(N(C)CC2=C(N(C)Cc3ccccn3)CC=CN2)c1 7.7420225 0.4444444444444444</t>
  </si>
  <si>
    <t>CCNCc1ncccc1-c1c(C)cccc1NCc1ccccn1 7.742019 0.375</t>
  </si>
  <si>
    <t>CNC1=C(N(C)Cc2nc(C)c(C)c(C)c2C)CC=CN1 7.7419977 0.19047619047619047</t>
  </si>
  <si>
    <t>Cc1cccc(C2=NC(C3=NC(C(C)N=Cc4ccccn4)CO3)CO2)n1 7.741981 0.30303030303030304</t>
  </si>
  <si>
    <t>CCOC(C)c1cccc(CN(Cc2ccccn2)Cc2cccc(-c3cccc(N=Cc4ccccn4)c3)n2)n1 7.7419777 0.5</t>
  </si>
  <si>
    <t>Clc1ccc(Cl)c(N(Cc2ccccn2)C2=CC=CNC2NCc2ccccn2)c1 7.7419724 0.3728813559322034</t>
  </si>
  <si>
    <t>CCCN(C)Cc1cccc(-c2ccc(N=Cc3ccccn3)cc2)n1 7.7419662 0.46296296296296297</t>
  </si>
  <si>
    <t>CCN(Cc1ccccn1)c1ccc(C)c(C)c1N(C)Cc1ccccn1 7.741965 0.4782608695652174</t>
  </si>
  <si>
    <t>Cc1ccc(N(Cc2ccccn2)Cc2ncccc2C(C)(C)c2ccccn2)cc1C 7.741961 0.35714285714285715</t>
  </si>
  <si>
    <t>CC(C)(CN(Cc1ccccn1)Cc1cccc(-c2cccc(N=Cc3ccccn3)c2)n1)c1ccccn1 7.741951 0.47692307692307695</t>
  </si>
  <si>
    <t>CN(CCN(Cc1ccccn1)C(C)(C)c1ccccn1)c1cccc2ncccc12 7.74195 0.4074074074074074</t>
  </si>
  <si>
    <t>CCN(CCN(C)c1cccc2nccc(C)c12)Cc1ccccn1 7.7419496 0.46938775510204084</t>
  </si>
  <si>
    <t>CC(C)CN(Cc1ccccn1)Cc1ncccc1-c1ccccc1N=Cc1ccccn1 7.741945 0.40350877192982454</t>
  </si>
  <si>
    <t>CN(C)Cc1cccc(CN(Cc2ccccn2)Cc2cccc(-c3ccc(Cl)cc3N)n2)n1 7.7419405 0.4745762711864407</t>
  </si>
  <si>
    <t>Cc1cnc(-c2cccc(NCc3ccccn3)c2)c(CN(C)Cc2ccccn2)c1 7.74193 0.40350877192982454</t>
  </si>
  <si>
    <t>Cc1ccc(C)c(N(C)Cc2ncccc2C)c1 7.7419205 0.37777777777777777</t>
  </si>
  <si>
    <t>CC(C)N(C)Cc1cncc(-c2cccc(N(C)C)c2)c1 7.741914 0.23076923076923078</t>
  </si>
  <si>
    <t>CC(C)N(C)CN(C)c1cccc2nc(CF)ccc12 7.741899 0.36363636363636365</t>
  </si>
  <si>
    <t>CC(C)C1COC(c2cc(C3=NC(C)(C)CO3)ccn2)=N1 7.7418847 0.38</t>
  </si>
  <si>
    <t>C1=CNC(NCc2cccc(-c3ccccn3)n2)C=C1 7.741883 0.4489795918367347</t>
  </si>
  <si>
    <t>CC(C)N(C)Cc1ncccc1-c1cc(Cl)ccc1Cl 7.741881 0.34</t>
  </si>
  <si>
    <t>CNc1cc(C)nc(CN(Cc2cc(C)c(C)c(C)n2)Cc2nc(C)c(C)c(C)c2C)c1 7.7418776 0.2222222222222222</t>
  </si>
  <si>
    <t>CC(C)C(C)(c1cccnc1)c1cc(CN(Cc2ccccn2)Cc2ccc(-c3ccccc3N(C)C)cn2)ccn1 7.741866 0.31746031746031744</t>
  </si>
  <si>
    <t>CC(C)N(Cc1ccccn1)c1cccc(N=Cc2ccccn2)c1 7.7418456 0.4583333333333333</t>
  </si>
  <si>
    <t>C1=CC(c2cc(C(c3ccccc3)c3ccccn3)ccn2)C=CN1 7.741841 0.32727272727272727</t>
  </si>
  <si>
    <t>Cc1ccccc1-c1ccc(CN(C)CC2=CCC=CN2)cn1 7.741832 0.42105263157894735</t>
  </si>
  <si>
    <t>CN(C)c1ccccc1-c1cncc(CN(Cc2ccccn2)C2CCC(N(C)c3cccc4ncc(CF)cc34)CC2)c1 7.7418284 0.2972972972972973</t>
  </si>
  <si>
    <t>Cc1nc(CN(C)C2=CCC=C(CN(C)C)N2)c(C)c(C)c1C 7.7418175 0.19672131147540983</t>
  </si>
  <si>
    <t>Cc1cccnc1CN(Cc1ccc2ncccc2c1)C1CCC(N(C)c2ccc3nccc(CF)c3c2)CC1 7.7418165 0.24324324324324326</t>
  </si>
  <si>
    <t>CNC1=CNCC(NCc2ccccn2)=C1N(C)Cc1ccccn1 7.741813 0.39622641509433965</t>
  </si>
  <si>
    <t>CN(CN(C)C1CCCCC1N(C)c1ccc2cccnc2c1)c1ccc2cccnc2c1 7.7418065 0.47058823529411764</t>
  </si>
  <si>
    <t>CNc1cccc(Cl)c1C(C)(C)c1ccccn1 7.7417927 0.33962264150943394</t>
  </si>
  <si>
    <t>CN1CCN(C)CC(c2ccc3ncccc3c2)N(Cc2nc3ccccc3n2C)CC1 7.741792 0.5</t>
  </si>
  <si>
    <t>Cc1cnc(CN(C)Cc2cccc(N(C)Cc3cc(C)c(C)c(C)n3)n2)c(C)c1 7.74178 0.3333333333333333</t>
  </si>
  <si>
    <t>Cc1cc(NCc2ccccn2)ccc1-c1ncccc1CN(C)C1CCCC(N(C)c2ccc3cccnc3c2)C1 7.7417645 0.30666666666666664</t>
  </si>
  <si>
    <t>Cc1cnc(C)c(CN(Cc2ccc(N(C)Cc3ncccc3C)cn2)Cc2nc(C)c(C)c(C)c2C)c1 7.741759 0.29577464788732394</t>
  </si>
  <si>
    <t>Cc1cncc(CN(C)Cc2cc(-c3cccc(N(C)C(C)C)c3)ccn2)c1C 7.741754 0.3</t>
  </si>
  <si>
    <t>CC(C)C(C)N(Cc1ccccn1)Cc1cc(N(C)c2ccc3ncccc3c2)ccn1 7.7417383 0.43137254901960786</t>
  </si>
  <si>
    <t>Cc1ccncc1CN(C)CCN(C)c1ccc2ccc(CF)nc2c1 7.7417374 0.33962264150943394</t>
  </si>
  <si>
    <t>FCc1ncc(SCc2ccccn2)cc1SCc1ccccn1 7.7417316 0.4146341463414634</t>
  </si>
  <si>
    <t>Cc1ccc(C)c(N(C)CC2=C(N(C)Cc3ccccn3)CC=CN2)c1C 7.7417307 0.3898305084745763</t>
  </si>
  <si>
    <t>Cc1cc(-c2cccc(CN(C)Cc3cc(N)ccn3)n2)ccc1N 7.7417245 0.47058823529411764</t>
  </si>
  <si>
    <t>CCN(C)CCN(C)c1cccc2c(C)ccnc12 7.741723 0.5</t>
  </si>
  <si>
    <t>CC(C)N(CCN(C)c1ccc2nc(CN(C)C)ccc2c1)C(C)C 7.7417145 0.3409090909090909</t>
  </si>
  <si>
    <t>COC(=O)C(=O)C(C)c1ccc(CNCc2cc(C(C)(c3ccccn3)c3ccccn3)ccn2)cn1 7.741707 0.2698412698412698</t>
  </si>
  <si>
    <t>CNc1ccc2nc(CN(C)C(C)C)ccc2c1 7.7416935 0.3488372093023256</t>
  </si>
  <si>
    <t>Cc1cc(-c2cc(CN(C)Cc3ccccn3)ccn2)ccc1NCc1ccccn1 7.741687 0.43636363636363634</t>
  </si>
  <si>
    <t>Cc1cc(-c2ccc(CN(C)Cc3cc(N)ccn3)cc2)ccn1 7.741685 0.2962962962962963</t>
  </si>
  <si>
    <t>CNC1=C(N(C)Cc2ncc(C)cc2C)CC=CN1 7.7416835 0.24074074074074073</t>
  </si>
  <si>
    <t>CC(C)N(C)Cc1ccnc2ccc(N(C)C(C)C)cc12 7.741678 0.2857142857142857</t>
  </si>
  <si>
    <t>Cc1c(N)cccc1-c1cc(CN(C)Cc2ccccn2)ccn1 7.741673 0.5</t>
  </si>
  <si>
    <t>CN(CCN(C)c1cccc2ncc(CF)cc12)Cc1cccnc1 7.741672 0.37037037037037035</t>
  </si>
  <si>
    <t>CC(C)C(C)N(Cc1ccccn1)Cc1cc(N(C)c2ccc3cccnc3c2)ccn1 7.7416716 0.42592592592592593</t>
  </si>
  <si>
    <t>Cc1ccc2nc(CN(C)C3CCCC(N(C)c4ccc5nc(CN(C)C)ccc5c4)C3)ccc2c1 7.741656 0.3508771929824561</t>
  </si>
  <si>
    <t>CN(CCNC(C)(C)c1ccccn1)c1ccc2ncccc2c1 7.7416368 0.34545454545454546</t>
  </si>
  <si>
    <t>CN(c1ccccc1-c1cccc(CN(Cc2ccccn2)Cc2ccccn2)n1)C1C=CC=CN1 7.741635 0.49122807017543857</t>
  </si>
  <si>
    <t>C(=Nc1ccccc1-c1cccnc1CN(Cc1ccccc1)Cc1ccccn1)c1ccccn1 7.7416334 0.425531914893617</t>
  </si>
  <si>
    <t>CC(C)(c1cccc(N=Cc2ccccn2)c1)c1ccccn1 7.7416263 0.4375</t>
  </si>
  <si>
    <t>Cc1ccc(NCc2ccccn2)cc1-c1ccc(CN(C)Cc2ccccn2)cn1 7.7416186 0.40350877192982454</t>
  </si>
  <si>
    <t>CCN(Cc1ccccn1)C1CCC(N(C)c2ccc3cccnc3c2)CC1N(C)c1ccc2cccnc2c1 7.741601 0.38333333333333336</t>
  </si>
  <si>
    <t>CCN(Cc1ccccn1)c1ccccc1-c1ncccc1C(C)(C)C 7.741597 0.4</t>
  </si>
  <si>
    <t>CC(C)N(C)CN(C)c1cccc2ncc(CF)cc12 7.7415943 0.28846153846153844</t>
  </si>
  <si>
    <t>Cc1nc(CN(C)C2C=CNC(CN(C)Cc3ccc4ncccc4c3)=C2)c(C)c(C)c1C 7.7415876 0.28169014084507044</t>
  </si>
  <si>
    <t>CN(c1cccc2c3c(cnc12)CCCC3)C1CCC(N(C)c2cccc3c4c(cnc23)CCCC4)CC1 7.741586 0.4074074074074074</t>
  </si>
  <si>
    <t>Cc1cccnc1CN(C)c1ccccc1-c1cccc(CN(C)C(C)C)n1 7.741583 0.39285714285714285</t>
  </si>
  <si>
    <t>CCNCc1ccc(-c2ccc(C(C)(C)c3ccccn3)nc2)cn1 7.7415586 0.38636363636363635</t>
  </si>
  <si>
    <t>Cc1ccnc2cc(N(C)CCN(C)CF)ccc12 7.741555 0.2916666666666667</t>
  </si>
  <si>
    <t>CC1=CC(C)=C(C)C(NCc2cccc(C(C)(c3ccccn3)c3ccccn3)n2)N1 7.7415543 0.4</t>
  </si>
  <si>
    <t>CCCNCc1ncccc1-c1ccccc1N=Cc1ccccn1 7.7415476 0.45098039215686275</t>
  </si>
  <si>
    <t>FCNc1ncccc1-c1cc(C(NCc2ccccn2)c2ccccc2)ccn1 7.7415447 0.3230769230769231</t>
  </si>
  <si>
    <t>CC(c1ccccn1)(c1ccccn1)c1cccc(CNC2=CCNC=C2)n1 7.7415404 0.43103448275862066</t>
  </si>
  <si>
    <t>CC(C)C(C)(c1cccnc1)N(Cc1ccccn1)Cc1cc(-c2cccc(N=Cc3ccccn3)c2)ccn1 7.7415385 0.3333333333333333</t>
  </si>
  <si>
    <t>CN(c1ccc2ncc3c(c2c1)CCCC3)C1CCC(N(C)c2cccc3ncc4c(c23)CCCC4)CC1 7.7415104 0.3181818181818182</t>
  </si>
  <si>
    <t>Cc1c(CN(Cc2ccccn2)Cc2ccc(-c3cccc(N)c3)cn2)cccc1N(C)Cc1ccccn1 7.7415075 0.42105263157894735</t>
  </si>
  <si>
    <t>Cc1cc(CN(C)CCN(C)Cc2nc3ccccc3n2C)nc(C)c1C 7.7415 0.41509433962264153</t>
  </si>
  <si>
    <t>CN(CCF)c1cccc(-c2ccccc2)c1N(Cc1ccccn1)Cc1ccccn1 7.7414975 0.4117647058823529</t>
  </si>
  <si>
    <t>CN(Cc1ccccn1)C1=CCC=C(CN(C)c2cccc(F)c2)N1 7.741495 0.4</t>
  </si>
  <si>
    <t>Cc1cc(CN(C)C)c(N(C)Cc2ccccn2)nc1C 7.741494 0.4888888888888889</t>
  </si>
  <si>
    <t>CCN(Cc1cccc(-c2cccc(N=Cc3ccccn3)c2)n1)Cc1cccc(C(C)(C)C)n1 7.7414937 0.4393939393939394</t>
  </si>
  <si>
    <t>Cc1cccnc1CN(C)CCCN(C)c1ccc2nccc(C)c2c1 7.7414913 0.32142857142857145</t>
  </si>
  <si>
    <t>Cc1cnc(CN(C)c2ccccc2C)c(C)c1 7.741489 0.35555555555555557</t>
  </si>
  <si>
    <t>CCOC(C)c1cc(CN(Cc2ccccn2)Cc2cc(-c3cccc(N(C)C)c3)ccn2)ccn1 7.7414827 0.37681159420289856</t>
  </si>
  <si>
    <t>Fc1cccc(CN(Cc2ccccn2)Cc2nccc3ccccc23)n1 7.7414794 0.5</t>
  </si>
  <si>
    <t>CN(CCN(C)c1cccc2nc(CF)ccc12)Cc1ccccn1 7.741473 0.45098039215686275</t>
  </si>
  <si>
    <t>Cc1ccc(CN(C)Cc2cc(N(C)Cc3nc(C)c(C)c(C)c3C)ccn2)nc1 7.7414536 0.4583333333333333</t>
  </si>
  <si>
    <t>CC(C)N(C)Cc1cnccc1-c1cccc(N(C)C)c1 7.741446 0.25925925925925924</t>
  </si>
  <si>
    <t>CNCc1nccc2c1C(N(C)Cc1ccc3ccccc3n1)CC2 7.7414412 0.3793103448275862</t>
  </si>
  <si>
    <t>Cc1ccc(N)cc1-c1cc(CN(C)Cc2ccccn2)ccn1 7.741437 0.47058823529411764</t>
  </si>
  <si>
    <t>CCNCCN(C)c1ccc2c(CN(C)C)ccnc2c1 7.7414346 0.24074074074074073</t>
  </si>
  <si>
    <t>Cc1ccc(CN(C)CCN(Cc2ccccn2)c2ccc3nc(CF)ccc3c2)nc1C 7.7414236 0.42857142857142855</t>
  </si>
  <si>
    <t>Cc1ccc(N(C)CC2=C(N(C)Cc3ncccc3C)CC=CN2)cc1C 7.7414155 0.25757575757575757</t>
  </si>
  <si>
    <t>CC(C)C(C)(c1cccnc1)c1cc(CN(Cc2ccccn2)Cc2cc(-c3ccccc3N(C)C)ccn2)ccn1 7.741403 0.3225806451612903</t>
  </si>
  <si>
    <t>Cc1ccnc2ccc(N(C)CCN(C)C(C)C)cc12 7.741394 0.2549019607843137</t>
  </si>
  <si>
    <t>C(=Nc1ccccc1-c1ccnc(CN(Cc2ccccc2)Cc2ccccn2)c1)c1ccccn1 7.741391 0.4166666666666667</t>
  </si>
  <si>
    <t>C1=CCNC(NCc2ncccc2C(c2ccccn2)c2ccccn2)=C1 7.741383 0.25</t>
  </si>
  <si>
    <t>Cc1cc(C)c(N(CC2=C(N(C)Cc3ccccn3)CC=CN2)Cc2cccnc2)c(C)c1C 7.741377 0.3333333333333333</t>
  </si>
  <si>
    <t>CN(CCF)Cc1cccc(-c2ccccc2N=Cc2ccccn2)n1 7.7413716 0.46296296296296297</t>
  </si>
  <si>
    <t>Cc1c(NCc2ccccn2)cccc1-c1ccc(CNC(C)C)nc1 7.741366 0.34</t>
  </si>
  <si>
    <t>CN1CCN(C)CC(N(C)c2ccc3ncccc3c2)N(Cc2nc3ccccc3n2C)CC1 7.7413588 0.4745762711864407</t>
  </si>
  <si>
    <t>COC(C)c1cc(CN(Cc2ccccn2)Cc2cc(-c3ccccc3N(C)C)ccn2)ccn1 7.741338 0.37735849056603776</t>
  </si>
  <si>
    <t>CN(c1ccc2c3c(cnc2c1)CCCC3)C1CCC(N(C)c2cccc3ncc4c(c23)CCCC4)CC1 7.741338 0.3181818181818182</t>
  </si>
  <si>
    <t>Cc1ccc(N(C)Cc2ncc(C)cc2C)cc1 7.7413063 0.375</t>
  </si>
  <si>
    <t>Cc1cc(N)cc(-c2ncccc2CN(C)Cc2ccccn2)c1 7.7413044 0.4230769230769231</t>
  </si>
  <si>
    <t>CCN(Cc1ccccn1)Cc1ncccc1-c1cccc(N(C)C)c1 7.741301 0.4222222222222222</t>
  </si>
  <si>
    <t>Cc1cc(CN(C)Cc2cc(N(C)Cc3nc(C)c(C)c(C)c3C)ccn2)ccn1 7.7412996 0.29508196721311475</t>
  </si>
  <si>
    <t>CC(C)C(C)(c1cccnc1)c1ncccc1CN(Cc1ccccn1)Cc1cc(-c2cccc(N(C)C)c2)ccn1 7.7412953 0.32894736842105265</t>
  </si>
  <si>
    <t>CC(c1ccc(CNc2ccccc2F)nc1)(c1ccccn1)c1ccccn1 7.7412834 0.3684210526315789</t>
  </si>
  <si>
    <t>CN(c1ccc2nc3c(cc2c1)CCCC3)C1CCC(N(C)c2ccc3cc(CF)cnc3c2)CC1 7.7412815 0.3484848484848485</t>
  </si>
  <si>
    <t>Cc1ccnc(CN(C)CCNc2cccc3nccc(CF)c23)c1C 7.741273 0.2786885245901639</t>
  </si>
  <si>
    <t>Cc1ccc(C)c(N(C)Cc2cc(C(C)(C)C)ccn2)c1C 7.741268 0.32653061224489793</t>
  </si>
  <si>
    <t>CCN(Cc1ccccn1)c1cccc(-c2cc(CN(Cc3ccccn3)Cc3nc(C)c(C)cc3C)ccn2)c1 7.741251 0.4057971014492754</t>
  </si>
  <si>
    <t>Cc1ccc2nccc(CN(C)C3CCC(N(C)c4ccc5ncc(CF)cc5c4)CC3)c2c1 7.7412457 0.2608695652173913</t>
  </si>
  <si>
    <t>CN(C)c1ccccc1-c1cnccc1CN(C)C(C)(C)c1cccnc1 7.7412453 0.23214285714285715</t>
  </si>
  <si>
    <t>CN(c1ccc2c3c(cnc2c1)CCCC3)C1CCC(N(C)c2cccc3nc4c(cc23)CCCC4)CC1 7.741245 0.3939393939393939</t>
  </si>
  <si>
    <t>Cc1ccc(N(C)Cc2ccc(C(C)(C)c3ccccn3)cn2)cc1 7.7412405 0.39215686274509803</t>
  </si>
  <si>
    <t>Cc1ccc(NCc2ccccn2)c(-c2cccc(CN(C)C3CCC(N(C)c4ccc5nccc(CN(C)C)c5c4)CC3)n2)c1 7.7412405 0.3076923076923077</t>
  </si>
  <si>
    <t>CN(Cc1ccccn1)C1=CNC(C(C)(c2ccccn2)c2ccccn2)=CC1 7.74124 0.43137254901960786</t>
  </si>
  <si>
    <t>Cc1ccc(-c2cccc(CN(C)C3CCC(N(C)Cc4cc(-c5ccc6ncccc6c5)ccn4)CC3)n2)nc1 7.741238 0.375</t>
  </si>
  <si>
    <t>Cc1ccnc(C2CCC2(C)C)c1C(=O)C(C)C(=O)C(=O)C(=O)C(=O)C(=O)C(=O)C(=O)C(=O)C(=O)C(=O)C(=O)C(=O)C(=O)C(=O)C=O 7.741237 0.1794871794871795</t>
  </si>
  <si>
    <t>Cc1ccc(-c2cccc(CN(C)Cc3ccc(N)cn3)n2)cc1C 7.7412353 0.45098039215686275</t>
  </si>
  <si>
    <t>CNCc1nccc(N(C)Cc2cc(C)ccn2)c1Cl 7.741231 0.4375</t>
  </si>
  <si>
    <t>Cc1cc(NCc2ccccn2)cc(-c2ncccc2CN(C)Cc2ccccn2)c1 7.7412267 0.41818181818181815</t>
  </si>
  <si>
    <t>Cc1cc(C)c(CN(CCN(Cc2ccccn2)c2cccc3ncccc23)C(C)C)nc1C 7.741207 0.4727272727272727</t>
  </si>
  <si>
    <t>CN(C)c1cccc(-c2cccc(CN(C)C3CCC(N(C)c4ccc5cc(CF)cnc5c4)CC3)n2)c1 7.7412066 0.30666666666666664</t>
  </si>
  <si>
    <t>CN(C)c1ccccc1-c1ccc(CN(Cc2ccccn2)Cc2cccc(C(C)(C)C)n2)nc1 7.7412047 0.41818181818181815</t>
  </si>
  <si>
    <t>Cc1ccnc(CN(Cc2ccc3ncccc3c2)C2CCCCC2N(C)c2ccc3c(CN(C)C)nccc3c2)c1C 7.7412024 0.3380281690140845</t>
  </si>
  <si>
    <t>CC(C)N(C)Cc1ncccc1-c1cccc(N(C)C)c1 7.7411885 0.3</t>
  </si>
  <si>
    <t>Cc1cc(Cl)ccc1N(C)CC1=CCC=CN1 7.741185 0.37735849056603776</t>
  </si>
  <si>
    <t>Cc1cnc(CN(C)Cc2cccc(-c3cccc(N(C)C(C)C)c3)n2)c(C)c1 7.7411833 0.3793103448275862</t>
  </si>
  <si>
    <t>Cc1cc(C)c(C(C)(C)c2ccc(CN(Cc3ccccn3)C3CCCC(N(C)c4cccc5nccc(C)c45)C3)cn2)c(N(C)Cc2ccccn2)c1 7.741183 0.3076923076923077</t>
  </si>
  <si>
    <t>CCCN(C)Cc1cccc(-c2ccccc2N=Cc2ccccn2)n1 7.74118 0.46296296296296297</t>
  </si>
  <si>
    <t>C1=CCNC(NCc2cccc(C(c3ccccn3)c3ccccn3)n2)=C1 7.7411776 0.3</t>
  </si>
  <si>
    <t>Cc1ccc2cc(N(C)C3C=CNC(CN(C)C(C)C)=C3)ccc2n1 7.741167 0.3064516129032258</t>
  </si>
  <si>
    <t>CN(CCN(C)c1cccc2ncccc12)Cc1cccnc1 7.7411523 0.44680851063829785</t>
  </si>
  <si>
    <t>CCc1cc(CN(Cc2ccccn2)Cc2ncccc2-c2ccccc2N(C)C)ccn1 7.7411494 0.43478260869565216</t>
  </si>
  <si>
    <t>Cc1cccnc1CN(C)Cc1ccc2cc(N(Cc3ccnc(C(C)(C)C(C)C)c3)Cc3ccccn3)ccc2n1 7.7411475 0.35294117647058826</t>
  </si>
  <si>
    <t>CN(CC1=CCCN=C1)c1ccc2nc(CF)ccc2c1 7.741141 0.29508196721311475</t>
  </si>
  <si>
    <t>Cc1ccc(CN(Cc2ccnc(-c3ccc(C)c(N(Cc4ccccn4)C(C)C)c3)c2)Cc2ccccn2)nc1 7.741136 0.36363636363636365</t>
  </si>
  <si>
    <t>CCN(Cc1ccccn1)Cc1nc2c(N(C)CCN(C)Cc3ccon3)cccc2c(C)c1C 7.741135 0.4</t>
  </si>
  <si>
    <t>CC(c1ccccn1)(c1ccccn1)c1cccnc1CNC1=CC=CCN1 7.7411313 0.3442622950819672</t>
  </si>
  <si>
    <t>CCN(Cc1cc(CN(Cc2ccccn2)Cc2ncccc2C)ccn1)c1ccc2ncccc2c1 7.741104 0.38333333333333336</t>
  </si>
  <si>
    <t>Cc1ccc(-c2cc(C)c(C)c(C)c2)cc1CN(C)Cc1ccccn1 7.7411027 0.46808510638297873</t>
  </si>
  <si>
    <t>CNc1ncc(C)c(C)c1C 7.741102 0.25</t>
  </si>
  <si>
    <t>CC(C)N(C)CN(C)c1ccc2ncccc2c1 7.7411 0.35555555555555557</t>
  </si>
  <si>
    <t>CN(CCN(C)c1cccc2ncc(CF)cc12)Cc1ccccn1 7.741095 0.43333333333333335</t>
  </si>
  <si>
    <t>Cc1cnc(C)c(CN(C)Cc2cccc(N(C)Cc3nc(C)c(C)c(C)c3C)n2)c1 7.7410874 0.3333333333333333</t>
  </si>
  <si>
    <t>CNc1cc(-c2cc(C(C)C(C)C)ccn2)ccn1 7.7410865 0.20754716981132076</t>
  </si>
  <si>
    <t>Cc1cccnc1CN(Cc1ccccn1)Cc1ccnc(-c2cccc(NCc3ccccn3)c2)c1C 7.741067 0.37681159420289856</t>
  </si>
  <si>
    <t>CN(c1cccc2nc3c(cc12)CCCC3)C1CCCC(N(C)c2cccc3nc4c(cc23)CCCC4)C1 7.7410436 0.5</t>
  </si>
  <si>
    <t>Cc1ccnc2c(N(C)C3=CCC=C(CN(Cc4ccccn4)C(C)C(C)C)N3)cccc12 7.7410297 0.34375</t>
  </si>
  <si>
    <t>CN(C)c1cccnc1CN(Cc1ccccn1)c1ccccc1F 7.741025 0.425531914893617</t>
  </si>
  <si>
    <t>Cc1ccccc1-c1cc(CN(C)Cc2cc(N)ccn2)ccn1 7.7410197 0.37735849056603776</t>
  </si>
  <si>
    <t>FCc1ncccc1NCc1ncccc1C(c1ccccn1)c1ccccn1 7.741015 0.2765957446808511</t>
  </si>
  <si>
    <t>FCNc1ccc(-c2ncccc2C(NCc2ccccn2)c2ccccn2)cn1 7.7410145 0.33962264150943394</t>
  </si>
  <si>
    <t>CCN(Cc1ccccn1)c1cccc2nccc(CN(C)C(C)C)c12 7.7409997 0.40384615384615385</t>
  </si>
  <si>
    <t>CC1=CC(C)CC(C)(c2cc(CN(Cc3ccccn3)C3CCC(N(C)c4ccc5nc(-c6ccc7ncccc7c6)ccc5c4)CC3)ccn2)C1C 7.7409916 0.25882352941176473</t>
  </si>
  <si>
    <t>CCN(Cc1ccccn1)Cc1ncccc1-c1cc(C)ccc1N(C)Cc1ccccn1 7.740985 0.47058823529411764</t>
  </si>
  <si>
    <t>Cc1ccc(N(Cc2ccccn2)Cc2ncccc2N(C)C(C)(C)c2ccccn2)cc1C 7.7409844 0.38596491228070173</t>
  </si>
  <si>
    <t>CCN(C)CCN(C)c1cccc2nccc(C)c12 7.7409716 0.4</t>
  </si>
  <si>
    <t>Cc1cccc(CN(C)c2cccc(-c3cccc(CN(C)C(C)C)n3)c2)n1 7.7409716 0.425531914893617</t>
  </si>
  <si>
    <t>Cc1cc(-c2cccc(NCc3ccccn3)c2C)cnc1CN(C)C(C)C 7.740966 0.3389830508474576</t>
  </si>
  <si>
    <t>CCN(Cc1ccccn1)c1cc(-c2cc(CN(Cc3ccccn3)C3CCC(N(C)c4ccc5nccc(CF)c5c4)CC3)ccn2)cc(C)c1C 7.7409606 0.2682926829268293</t>
  </si>
  <si>
    <t>CC(C)N(Cc1cccc(-c2cccc(N(C)C)c2)n1)Cc1cccc(C(C)(C)C)n1 7.7409544 0.3548387096774194</t>
  </si>
  <si>
    <t>CNCCN(Cc1ccccn1)c1ccc2ncccc2c1 7.740948 0.42</t>
  </si>
  <si>
    <t>Cc1ccc(NCc2ccccn2)c(-c2cccnc2CNC(C)C)c1 7.740941 0.34</t>
  </si>
  <si>
    <t>CC(C)(CN(Cc1ccccn1)c1ccc2ncccc2c1)c1ccccc1 7.7409353 0.4117647058823529</t>
  </si>
  <si>
    <t>Cc1cccc(-c2cccnc2CN(C)Cc2ccccn2)c1N 7.740931 0.4791666666666667</t>
  </si>
  <si>
    <t>Cc1cncc(CN(C)c2ccccc2-c2ccc(CN(Cc3ccccn3)C3CCC(N(C)c4ccc5nccc(CF)c5c4)CC3)cn2)c1 7.740924 0.27710843373493976</t>
  </si>
  <si>
    <t>Cc1cnc(C)c(CN(C)Cc2ccc(N(C)Cc3cc(C)c(C)c(C)n3)cn2)c1 7.740922 0.39215686274509803</t>
  </si>
  <si>
    <t>CC1(C)CC(c2cc(CN(Cc3ccccn3)Cc3cc(-c4cccc(N=Cc5ccccn5)c4)ccn3)ccn2)C1 7.74092 0.34210526315789475</t>
  </si>
  <si>
    <t>CN(C)c1cccnc1CN(Cc1ccccn1)c1cccc(F)c1 7.7409105 0.42857142857142855</t>
  </si>
  <si>
    <t>Cc1ccnc(CN(C)CCN(C)c2ccc3nc(CF)ccc3c2)c1 7.7409053 0.3877551020408163</t>
  </si>
  <si>
    <t>CC(C)N(C)Cc1ccnc(-c2cccc(N(C)C)c2)c1 7.7409034 0.2786885245901639</t>
  </si>
  <si>
    <t>Cc1ccc(-c2cccc(CN(C)Cc3cc(N)ccn3)n2)cc1N 7.7409005 0.47058823529411764</t>
  </si>
  <si>
    <t>CC(C)N(C)Cc1ccc(-c2cccc(N(C)C)c2)cn1 7.7408895 0.3333333333333333</t>
  </si>
  <si>
    <t>CCCN(CC1=CC(N(C)Cc2nc(C)c(C)c(C)c2C)C=CN1)c1ccc2cccnc2c1 7.7408714 0.2465753424657534</t>
  </si>
  <si>
    <t>Cc1cccnc1CN(C)CCN(C)c1ccc2nc(CF)ccc2c1 7.7408695 0.33962264150943394</t>
  </si>
  <si>
    <t>CC(C)C(C)(c1cccnc1)c1cccc(CN(Cc2ccccn2)Cc2cccc(-c3cccc(N=Cc4ccccn4)c3)n2)n1 7.740863 0.4266666666666667</t>
  </si>
  <si>
    <t>Cc1ccccc1N(C)CC1=CCC(N(C)Cc2ccccn2)=CN1 7.740863 0.45098039215686275</t>
  </si>
  <si>
    <t>Cc1cncc(CN(C)c2ccccc2-c2cccc(CN(Cc3ccccn3)Cc3ccc(C(C)(C)C)cn3)n2)c1 7.740861 0.3888888888888889</t>
  </si>
  <si>
    <t>Cc1cc(-c2ncccc2CN(C)Cc2ncccc2N)ccc1N 7.740838 0.33962264150943394</t>
  </si>
  <si>
    <t>Cc1ccc(N(C)CC2=CCC(N(C)Cc3ccccn3)=CN2)cc1C 7.740836 0.4</t>
  </si>
  <si>
    <t>CC1C=CC(C)C(c2cc(CN(C)C3CCC(N(C)c4ccc5c(-c6ccc7ncccc7c6)ccnc5c4)CC3)ccn2)C1C 7.7408333 0.225</t>
  </si>
  <si>
    <t>CNCc1ccccc1-c1ncccc1C 7.740832 0.2926829268292683</t>
  </si>
  <si>
    <t>C=C1C=CNC(C2=CCC(N(C)C)=CN2)=C1 7.7408285 0.30612244897959184</t>
  </si>
  <si>
    <t>Cc1cc(C)c(C)c(CN(C)CCCN(C)c2ccc3nccc(CF)c3c2)n1 7.740818 0.26229508196721313</t>
  </si>
  <si>
    <t>CN(CCCN(C)c1cccc2ncccc12)Cc1ccon1 7.740817 0.5</t>
  </si>
  <si>
    <t>Cc1nc(C2CC3(C=CNC(C(C)C)=C3)C=C(c3ccc(CN(Cc4ccccn4)Cc4ncccc4-c4ccccc4N=Cc4ccccn4)cn3)C2(C)C)c(C)c(C)c1CN(Cc1ccccn1)Cc1ccccn1 7.740809 0.23300970873786409</t>
  </si>
  <si>
    <t>CN(c1ccc2c3c(cnc2c1)CCCC3)C1CCC(N(C)c2cccc3c4c(cnc23)CCCC4)CC1 7.740803 0.359375</t>
  </si>
  <si>
    <t>Cc1cc(NCc2ccccn2)ccc1-c1ccc(CN(C)Cc2ccccn2)cn1 7.740803 0.40350877192982454</t>
  </si>
  <si>
    <t>CCCN(Cc1ccccn1)c1ccc2nccc(CN(Cc3ncccc3C)Cc3ncccc3F)c2c1 7.740794 0.3220338983050847</t>
  </si>
  <si>
    <t>CC(C)C1=CC2(C=CN1)CC(N(C)Cc1ccccn1)C(C)(C)C=C2c1ccc(CN(Cc2ccccn2)c2ccc3ncccc3c2)cn1 7.7407928 0.27380952380952384</t>
  </si>
  <si>
    <t>Cc1cccnc1CN(C)C1CCC(N(Cc2cccnc2-c2ccc3nccc(C)c3c2N(C)C)Cc2ncccc2C)CC1 7.7407885 0.24285714285714285</t>
  </si>
  <si>
    <t>Cc1cccc(CN(C)c2cccc(-c3cccc(CN(Cc4ccccn4)C(C)C)n3)c2)n1 7.7407856 0.48333333333333334</t>
  </si>
  <si>
    <t>Cc1ccnc(CN(C)Cc2ccc3cc(N(Cc4ccccn4)CC(C)(C)C)ccc3n2)c1C 7.7407737 0.4067796610169492</t>
  </si>
  <si>
    <t>Cc1cccnc1CN(CCN(C)c1cccc2ncccc12)Cc1cnccc1F 7.740748 0.3559322033898305</t>
  </si>
  <si>
    <t>CC(C)(CN(Cc1ccccn1)c1ccc2cccnc2c1)c1ccccc1 7.7407417 0.45098039215686275</t>
  </si>
  <si>
    <t>Cc1cnc2cc(N(CCN(C)Cc3ncccc3C)Cc3ccccn3)ccc2c1 7.740739 0.38181818181818183</t>
  </si>
  <si>
    <t>Cc1cnc(CNCc2cnccc2N(C)Cc2nc(C)c(C)cc2C)c(C)c1 7.740728 0.2833333333333333</t>
  </si>
  <si>
    <t>Cc1c(NCc2ccccn2)cccc1-c1ccnc(CNC(C)C)c1 7.740718 0.36065573770491804</t>
  </si>
  <si>
    <t>CC(C)C(C)(c1cccnc1)N(C)Cc1ncccc1-c1cccc(N=Cc2ccccn2)c1 7.740718 0.30434782608695654</t>
  </si>
  <si>
    <t>CN(CCN(C)c1ccc2nc3c(cc2c1)CCC3)Cc1ccccn1 7.7407126 0.39285714285714285</t>
  </si>
  <si>
    <t>CN(C)c1ccccc1-c1cccc(CN(Cc2ccccn2)Cc2cccnc2C(C)(C)C)n1 7.7407064 0.45454545454545453</t>
  </si>
  <si>
    <t>CCN(C)CC1=CC(N(C)c2ccc3cccnc3c2)C=CN1 7.740706 0.3225806451612903</t>
  </si>
  <si>
    <t>CC(C)C1=CC(N(C)Cc2cc(-c3cccc(N(C)C)c3)ccn2)C=CN1 7.7407045 0.2698412698412698</t>
  </si>
  <si>
    <t>CN(CCF)Cc1ncccc1-c1cccc(N=Cc2ccccn2)c1 7.7407036 0.35</t>
  </si>
  <si>
    <t>Cc1ccc(C)c(N(C)Cc2ccc(C(C)(C)C)cn2)c1C 7.7407026 0.36363636363636365</t>
  </si>
  <si>
    <t>CN(C)c1cccnc1CN(C)c1ccccc1C(C)(C)C 7.7407007 0.3695652173913043</t>
  </si>
  <si>
    <t>CN(C)c1cccnc1CN(Cc1ccccn1)c1ccc(F)cc1 7.7406964 0.40816326530612246</t>
  </si>
  <si>
    <t>Cc1ccc(N(C)Cc2ncccc2N)c(C)c1 7.740693 0.3541666666666667</t>
  </si>
  <si>
    <t>CNc1ccc(C)c(-c2cccc(C(C)C(C)C)n2)n1 7.7406907 0.20754716981132076</t>
  </si>
  <si>
    <t>C=CCN(C)Cc1cccc(-c2cccc(Cl)c2N)n1 7.7406864 0.38461538461538464</t>
  </si>
  <si>
    <t>Cc1cncc(CN(C)CN(CC2=CCC=C(N(C)C(C)C)N2)c2cccc3ncccc23)c1 7.7406673 0.22972972972972974</t>
  </si>
  <si>
    <t>CCNCc1cc(CN(Cc2ccccn2)c2ccc3nc(CF)ccc3c2)ccn1 7.740662 0.39655172413793105</t>
  </si>
  <si>
    <t>CCN(Cc1ccccn1)c1ccc2nccc(CN(C)C(C)C)c2c1 7.7406607 0.39622641509433965</t>
  </si>
  <si>
    <t>CNC1=C(N(C)Cc2ncccc2Cl)CC=CN1 7.7406497 0.3090909090909091</t>
  </si>
  <si>
    <t>Cc1ccc(C)c(N(C)C)c1 7.7406473 0.29411764705882354</t>
  </si>
  <si>
    <t>Cc1cccc(CN(Cc2ccccn2)C(C)(N)N(Cc2ccc3cccnc3c2)C(C)(N)N(CCN(C)C(C)C)c2ccc3cccnc3c2)c1N(C)Cc1ccccn1 7.740638 0.3</t>
  </si>
  <si>
    <t>CC(c1ccccn1)(c1ccccn1)c1cccc(CN2C=CCC=C2)n1 7.7406325 0.4339622641509434</t>
  </si>
  <si>
    <t>CC(C)C(C)(c1cccnc1)N(C)Cc1cc(-c2cccc(N=Cc3ccccn3)c2)ccn1 7.740632 0.3</t>
  </si>
  <si>
    <t>CCC(C)c1cccc(CN(Cc2ccccn2)C2CCCCC2N(C)c2ccc3nc(-c4ccc5ncccc5c4)ccc3c2)n1 7.74063 0.3611111111111111</t>
  </si>
  <si>
    <t>Cc1ccc(CN(Cc2cc(C)ccn2)Cc2ccc3cc(C)ccc3n2)nc1 7.740624 0.46808510638297873</t>
  </si>
  <si>
    <t>Cc1ccnc(CN(CC2=CC=NC(n3c(CN(Cc4nc(C)c(C)cc4C)CC4CCCN4Cc4nc5ccccc5n4Cc4cc(C)ccn4)nc4ccccc43)C2)Cc2cc(C)c(C)cn2)c1 7.7406197 0.37</t>
  </si>
  <si>
    <t>FCc1ccc(NCc2cccc(C(c3ccccn3)c3ccccn3)n2)cn1 7.740613 0.30612244897959184</t>
  </si>
  <si>
    <t>CCN(Cc1cccc(N(C)C)c1)Cc1ccc2cccnc2c1 7.7406077 0.3269230769230769</t>
  </si>
  <si>
    <t>FCNc1cccc(-c2cccc(C(NCc3ccccn3)c3ccccn3)n2)n1 7.7406073 0.3888888888888889</t>
  </si>
  <si>
    <t>CC(C)N(CC1=CCC(N(C)Cc2ccccn2)=CN1)c1cc(N)cc(Cl)c1 7.7406063 0.39344262295081966</t>
  </si>
  <si>
    <t>CC(C)N(Cc1ccccn1)c1ccccc1-c1ncccc1C(C)(C)C 7.7405834 0.4375</t>
  </si>
  <si>
    <t>CC(C)N(Cc1ccccn1)Cc1ccc(-c2cccc(N(C)Cc3ccc(C(C)(C)C)cn3)c2)cn1 7.740575 0.43636363636363634</t>
  </si>
  <si>
    <t>Cc1ccc(CN(Cc2ccccn2)C2=CNC=CC2CN(C)Cc2cccc(-c3c(N)cccc3Cl)n2)nc1 7.740568 0.375</t>
  </si>
  <si>
    <t>Cc1ccnc(C2=CCC(N(C)CC3=CCC=CN3)=CN2)c1 7.7405677 0.38333333333333336</t>
  </si>
  <si>
    <t>CCN(Cc1ccccn1)c1ccccc1-c1cnccc1C(C)(C)C 7.7405667 0.38461538461538464</t>
  </si>
  <si>
    <t>CCc1ccccc1CNCc1ccc(-c2cccc(N=Cc3ccccn3)c2)cn1 7.740556 0.3387096774193548</t>
  </si>
  <si>
    <t>CN(C)c1ccccc1-c1ncccc1CN(Cc1ccccn1)C1CCC(N(C)c2cccc3nc(CF)ccc23)CC1 7.7405457 0.3157894736842105</t>
  </si>
  <si>
    <t>Cc1ccnc(CN(C)Cc2cc3ccccc3cn2)c1 7.7405443 0.41304347826086957</t>
  </si>
  <si>
    <t>CN(C)c1ccccc1-c1cccnc1CN(Cc1ccccn1)C1CCC(N(C)c2cccc3nc(CF)ccc23)CC1 7.740527 0.32432432432432434</t>
  </si>
  <si>
    <t>CN(C)c1cccc(-c2cccc(CN(Cc3ccccn3)CC(C)(C)c3cccc(N(C)Cc4ccccn4)c3)n2)c1 7.7405257 0.5</t>
  </si>
  <si>
    <t>Cc1ccc(C)c(CN(C)Cc2ccc(N(C)Cc3cc(C)c(C)c(C)n3)cn2)n1 7.740523 0.33962264150943394</t>
  </si>
  <si>
    <t>CCN(C)Cc1ncccc1-c1ccc(Cl)cc1N 7.7405186 0.3076923076923077</t>
  </si>
  <si>
    <t>Cc1ccccc1N(C)Cc1ccc(C(C)(C)c2ccccn2)cn1 7.7405043 0.42857142857142855</t>
  </si>
  <si>
    <t>Cc1ccc(C)c(N(C)Cc2cccc(C(C)(C)c3ccccn3)n2)c1 7.7405024 0.44</t>
  </si>
  <si>
    <t>CCN(C)CC1=CC(N(C)c2ccc3ncccc3c2)C=CN1 7.740502 0.32786885245901637</t>
  </si>
  <si>
    <t>CC(N)C(C)N(Cc1ccccn1)c1cccc2ncccc12 7.7404995 0.4166666666666667</t>
  </si>
  <si>
    <t>CCCN(Cc1ccccn1)c1ccc2ncccc2c1 7.7404866 0.44680851063829785</t>
  </si>
  <si>
    <t>Cc1c(C)c(C)c(N(C)CC2=CCC(N(C)Cc3ccccn3)=CN2)c(C)c1C 7.74048 0.4107142857142857</t>
  </si>
  <si>
    <t>CN(C)c1ccccc1-c1cccnc1CN(Cc1ccccn1)Cc1cccnc1CF 7.7404633 0.4444444444444444</t>
  </si>
  <si>
    <t>CC(C)C1=CC2(C=CN1)C=CC(c1cc(CN(Cc3ccccn3)Cc3ccccn3)ccn1)C(c1cc(CN(Cc3ccccn3)Cc3cc(-c4ccc5cccnc5c4N)ccn3)ccn1)C2(C)C 7.740457 0.27058823529411763</t>
  </si>
  <si>
    <t>Cc1ccc(C2CCC2(C)C)nc1C1=NC(=O)C(C(C)C(=O)C(=O)C(=O)C(=O)C(=O)C(=O)C(=O)C(C)C(=O)C(=O)C(=O)C(=O)C(=O)C(=O)C(=O)C(=O)C(=O)C(C)C)O1 7.7404437 0.18840579710144928</t>
  </si>
  <si>
    <t>Cc1cncc(CN(CC2=CC(N(C)Cc3ccccn3)C=CN2)Cc2cccc(-c3cccc(N=Cc4ccccn4)c3)n2)c1 7.7404394 0.38095238095238093</t>
  </si>
  <si>
    <t>Cc1ccc2c(CN(C)C3CCCCC3N(C)c3ccc4c(CF)ccnc4c3)ccnc2c1 7.740431 0.40350877192982454</t>
  </si>
  <si>
    <t>CC1=CCC(C)C=C1CN(C)Cc1cccc(-c2cccc(N=Cc3ccccn3)c2)n1 7.740412 0.3880597014925373</t>
  </si>
  <si>
    <t>CC(C)CN(C)Cc1cccc(-c2cccc(N=Cc3ccccn3)c2)n1 7.7404118 0.43859649122807015</t>
  </si>
  <si>
    <t>CCNCc1cccc(-c2ccc(Cl)c(Cl)c2)n1 7.7404027 0.3157894736842105</t>
  </si>
  <si>
    <t>CCNCc1cccc(-c2ccc(Cl)cc2N)n1 7.7404 0.2545454545454545</t>
  </si>
  <si>
    <t>Cc1c(NCc2ccccn2)cccc1-c1cccnc1CNC(C)C 7.7403936 0.3541666666666667</t>
  </si>
  <si>
    <t>C1=CNC(c2ccccc2NCc2ccccn2)=CC1 7.7403836 0.47058823529411764</t>
  </si>
  <si>
    <t>CC(C)C(C)(c1cccnc1)N(C)Cc1ncccc1-c1ccc(N=Cc2ccccn2)cc1 7.7403703 0.3125</t>
  </si>
  <si>
    <t>CC(C)N(CCN(Cc1cccnc1)c1cccc(N(C)Cc2cccc(N(C)Cc3cccc4ncccc34)c2)c1)Cc1ccccn1 7.740361 0.42857142857142855</t>
  </si>
  <si>
    <t>COC1(C)COC(c2ncccc2C2=NC(C)(C)CO2)=N1 7.740352 0.4222222222222222</t>
  </si>
  <si>
    <t>Cc1ccc(CN(C)c2ccc(CN(Cc3ccccn3)c3ccccc3F)nc2)nc1 7.7403517 0.42857142857142855</t>
  </si>
  <si>
    <t>COC(C)c1ncccc1CN(Cc1ccccn1)Cc1ncccc1-c1ccccc1N(C)C 7.740347 0.39215686274509803</t>
  </si>
  <si>
    <t>CC(C)N(C)c1ccc2nccc(CN(C)C(C)(C)c3ccccn3)c2c1 7.740338 0.32142857142857145</t>
  </si>
  <si>
    <t>CCN(Cc1ccccn1)Cc1cccc(-c2ccc(N=Cc3ccccn3)cc2)n1 7.740325 0.4745762711864407</t>
  </si>
  <si>
    <t>Cc1cccnc1CN(C)c1ccccc1-c1cc(CN(C)C(C)C)ccn1 7.740322 0.3103448275862069</t>
  </si>
  <si>
    <t>Cc1cccnc1CN(C)c1ccc2ccc(CN(C)C(C)C(C)C)nc2c1C 7.740319 0.32142857142857145</t>
  </si>
  <si>
    <t>C=CCN(C)Cc1cccc(-c2cc(NCc3ccccn3)ccc2Cl)n1 7.7403183 0.4482758620689655</t>
  </si>
  <si>
    <t>CN(C)c1ccccc1-c1ccc(CN(Cc2ccccn2)Cc2ccc(F)cn2)cn1 7.7402973 0.4166666666666667</t>
  </si>
  <si>
    <t>CC(C)N(Cc1ccccn1)CC1C=CNC=C1N(C)c1ccc2cccnc2c1 7.7402945 0.4</t>
  </si>
  <si>
    <t>Cc1cccnc1CN(Cc1ccc2ncccc2c1)C1CCC(N(C)Cc2cc(-c3ccc4ncccc4c3)ccn2)CC1 7.7402854 0.29850746268656714</t>
  </si>
  <si>
    <t>Cc1ccnc(CN(C)CCN(C)c2ccc3ncc(CF)cc3c2)c1 7.7402806 0.3584905660377358</t>
  </si>
  <si>
    <t>CNCCN(Cc1ccccn1)c1cccc2ncc(CF)cc12 7.740279 0.35714285714285715</t>
  </si>
  <si>
    <t>CC(C)C(C)N(Cc1ccccn1)Cc1ncccc1N(C)c1cccc2ncccc12 7.7402782 0.43137254901960786</t>
  </si>
  <si>
    <t>CCN(CC1=CC(N(C)c2ccc3nccc(CF)c3c2)C=CN1)Cc1ccccn1 7.7402782 0.35714285714285715</t>
  </si>
  <si>
    <t>Cc1cccnc1CN(Cc1ccc(-c2cccc(N(C)Cc3ccccn3)c2)nc1)Cc1ccccn1 7.740277 0.4090909090909091</t>
  </si>
  <si>
    <t>CCN(Cc1ccccn1)c1ccc(C)c(-c2cc(CN(Cc3ccccn3)Cc3cc(C)c(C)cn3)ccn2)c1 7.740274 0.37735849056603776</t>
  </si>
  <si>
    <t>CN(Cc1ccncc1)Cc1nccc2ccccc12 7.7402663 0.32653061224489793</t>
  </si>
  <si>
    <t>CC(C)N(C)CC1=C(N(C)c2ccc3nc(CF)ccc3c2)CC=CN1 7.7402577 0.2647058823529412</t>
  </si>
  <si>
    <t>CCN(Cc1ccc2ncccc2c1)Cc1ccccc1N(C)C 7.7402573 0.33962264150943394</t>
  </si>
  <si>
    <t>CC(c1cccc(C2=NC(C)(C)CO2)n1)C1OC(c2ncccc2C2CCC2(C)C)=NC1=O 7.740254 0.3968253968253968</t>
  </si>
  <si>
    <t>CC1=CC(N(C)c2ccc(CN(C)Cc3ccccn3)nc2)c2ncccc2C1Cl 7.7402487 0.40350877192982454</t>
  </si>
  <si>
    <t>Cc1ccc(N(C)CC2=CCC(N(C)Cc3ccccn3)=CN2)c(C)c1C 7.740241 0.42592592592592593</t>
  </si>
  <si>
    <t>CN1CCN(C)CCN(Cc2cnc3cc(N(C)c4ccc5cccnc5c4)ccc3c2)CC1 7.740223 0.4107142857142857</t>
  </si>
  <si>
    <t>CNCCN(Cc1ccccn1)c1cccc2nc(CF)ccc12 7.7402205 0.42592592592592593</t>
  </si>
  <si>
    <t>Cc1c(-c2ccccc2)ccc(C2=CC=CC(NCc3ccccn3)C2)c1NCc1ccccn1 7.7402096 0.4126984126984127</t>
  </si>
  <si>
    <t>CCCN(C)Cc1cc(-c2cccc(N=Cc3ccccn3)c2)ccn1 7.7401915 0.3620689655172414</t>
  </si>
  <si>
    <t>Cc1cc(C)c(CN(C)Cc2ccc(N(C)Cc3cc(C)c(C)c(C)n3)cn2)cn1 7.7401757 0.33962264150943394</t>
  </si>
  <si>
    <t>Cc1ccnc2cc(N(C)CCN(C)C(C)C)ccc12 7.7401757 0.2549019607843137</t>
  </si>
  <si>
    <t>CC1=CCCC(C)(c2cc(CN(Cc3ccccn3)C3CCC(N(C)c4ccc5nccc(-c6ccc7ncccc7c6)c5c4)CC3)ccn2)C1C 7.7401643 0.2558139534883721</t>
  </si>
  <si>
    <t>Cc1cc(C)c(CN(C)Cc2cc(N(C)Cc3cc(C)c(C)c(C)n3)ccn2)cn1 7.7401605 0.2786885245901639</t>
  </si>
  <si>
    <t>CCN(Cc1ccccn1)Cc1ccc2cccc(N(Cc3ccccn3)Cc3ncccc3C)c2n1 7.740144 0.43636363636363634</t>
  </si>
  <si>
    <t>Cc1ccc(CN(Cc2cccc(-c3cccc(N(C)C)c3)n2)C2CCCC(N(C)c3ccc4ccc(CF)nc4c3)C2)nc1 7.7401414 0.3287671232876712</t>
  </si>
  <si>
    <t>CCN(Cc1ccccn1)c1ccc(C)c(N(C)Cc2ccccn2)c1C 7.7401404 0.4782608695652174</t>
  </si>
  <si>
    <t>CN(c1ccc2ncc3c(c2c1)CCCC3)C1CCCC(N(C)c2cccc3ncc4c(c23)CCCC4)C1 7.740131 0.3088235294117647</t>
  </si>
  <si>
    <t>CN(c1cccc2c3c(cnc12)CCCC3)C1CCCC(N(C)c2cccc3c4c(cnc23)CCCC4)C1 7.740122 0.39285714285714285</t>
  </si>
  <si>
    <t>CC1C=C2C=CC=NC2C(N(C)C2=CNC=CC2CN(C)c2ccc3cccnc3c2)C1 7.7401175 0.23170731707317074</t>
  </si>
  <si>
    <t>CN(Cc1cncc(-c2ccccc2N(C)Cc2cccnc2)c1)Cc1ccccn1 7.7401156 0.42592592592592593</t>
  </si>
  <si>
    <t>CCN(C)Cc1cccc(-c2ccc(N(C)C)cc2)n1 7.7401114 0.45454545454545453</t>
  </si>
  <si>
    <t>CN(Cc1ccccn1)Cc1ncccc1C1=NC(c2ccccn2)CO1 7.7400947 0.41818181818181815</t>
  </si>
  <si>
    <t>Cc1ccc(CN(C)Cc2cc(N(C)Cc3nc(C)c(C)cc3C)ccn2)nc1C 7.740087 0.32727272727272727</t>
  </si>
  <si>
    <t>CNCc1cccc(CN(C)Cc2cccc(-c3ccc(Cl)cc3N)n2)n1 7.7400804 0.3888888888888889</t>
  </si>
  <si>
    <t>Cc1cccnc1CN(C)CCN(C)c1ccc2ncc(CF)cc2c1 7.7400723 0.3220338983050847</t>
  </si>
  <si>
    <t>CCN(CC1=CC(N(C)c2ccc3ncccc3c2)C=CN1)Cc1ccccn1 7.7400365 0.390625</t>
  </si>
  <si>
    <t>CN(C)Cc1ccnc2ccc(C3CN(C)CCN(C)CCN3Cc3nc4ccccc4n3C)cc12 7.7400303 0.4375</t>
  </si>
  <si>
    <t>C1=CC(NCc2cccc(C(c3ccccn3)c3ccccn3)n2)=CCN1 7.740027 0.32</t>
  </si>
  <si>
    <t>CC(C)N(C)CC1=CCC(N(C)c2ccc3cc(CF)cnc3c2)=CN1 7.7400246 0.2222222222222222</t>
  </si>
  <si>
    <t>CN1CCN(C)CCN(Cc2cnc3ccc(N(C)c4ccc5cccnc5c4)cc3c2)CC1 7.7400246 0.4067796610169492</t>
  </si>
  <si>
    <t>CC(C)(CN(Cc1ccccn1)Cc1ncccc1-c1cccc(N=Cc2ccccn2)c1)c1ccccn1 7.7400208 0.359375</t>
  </si>
  <si>
    <t>Cc1cc(CN(Cc2cccc3ncccc23)C2CCCCC2N(C)c2cccc3ncc(CN(C)C)cc23)nc(C)c1C 7.7400184 0.36619718309859156</t>
  </si>
  <si>
    <t>Cc1cnc(CN(C)Cc2cc(N(C)Cc3cc(C)c(C)c(C)n3)ccn2)c(C)c1 7.7400165 0.3090909090909091</t>
  </si>
  <si>
    <t>C=CCN(C)Cc1ncccc1-c1ccccc1N(C)Cc1ccccn1 7.740015 0.46938775510204084</t>
  </si>
  <si>
    <t>C1=CC(NCc2ncccc2C(c2ccccn2)c2ccccn2)=CCN1 7.74001 0.2692307692307692</t>
  </si>
  <si>
    <t>CCN(Cc1ccccn1)Cc1cccc(-c2ccccc2N=Cc2ccccn2)n1 7.7400017 0.4444444444444444</t>
  </si>
  <si>
    <t>CCOC(C)c1cccc(CN(Cc2ccccn2)Cc2cc(-c3ccccc3N=Cc3ccccn3)ccn2)n1 7.7400007 0.3698630136986301</t>
  </si>
  <si>
    <t>COC(C)c1cccc(CN(Cc2ccccn2)Cc2ccc(-c3cccc(N=Cc4ccccn4)c3)cn2)n1 7.7399974 0.4084507042253521</t>
  </si>
  <si>
    <t>Cc1ccc(-c2ccc(C)c(CNCc3ccccn3)c2NCc2ccccn2)c(NCc2ccccn2)c1 7.739997 0.3958333333333333</t>
  </si>
  <si>
    <t>Cc1ccc(NCc2ccccn2)cc1-c1ccc(CNC(C)C)nc1 7.7399955 0.3548387096774194</t>
  </si>
  <si>
    <t>CC(C)C(C)(c1cccnc1)N(Cc1ccccn1)C1CCCCC1N(C)c1ccc2nc(-c3ccc4ncccc4c3)ccc2c1 7.739991 0.3561643835616438</t>
  </si>
  <si>
    <t>CC(c1ccccn1)(c1ccccn1)c1cccc(CNc2cccnc2CF)n1 7.7399774 0.45454545454545453</t>
  </si>
  <si>
    <t>CC(C)N(C)c1cccc2ncc(CN(C)C3CCCC(N(C)c4cccc5ncccc45)C3)cc12 7.739977 0.29850746268656714</t>
  </si>
  <si>
    <t>CC(C)C(C)(c1ccccn1)c1cccc(CN(Cc2ccccn2)Cc2cccc(-c3cccc(N=Cc4ccccn4)c3)n2)n1 7.73996 0.47058823529411764</t>
  </si>
  <si>
    <t>Cc1cnc(CN(C)Cc2ccc(N(C)Cc3cc(C)c(C)c(C)n3)cn2)c(C)c1 7.7399573 0.39215686274509803</t>
  </si>
  <si>
    <t>Cc1cccc(-c2ccc(C(C)C)cn2)c1 7.7399516 0.24242424242424243</t>
  </si>
  <si>
    <t>Cc1ccc(CN(Cc2ccccn2)Cc2cccc(-c3ccccc3N(C)C)n2)nc1 7.7399483 0.49019607843137253</t>
  </si>
  <si>
    <t>CCN(Cc1ccccn1)Cc1cc(-c2cccc(N(C)Cc3ccccn3)c2C)ccn1 7.739935 0.48</t>
  </si>
  <si>
    <t>Cc1ccccc1CN(C)Cc1cccc(-c2ccccc2N(C)C)n1 7.739931 0.4583333333333333</t>
  </si>
  <si>
    <t>Cc1cncc(CN(CCN(C)c2ccc3nccc(C)c3c2)C(C)C)c1 7.7399306 0.3103448275862069</t>
  </si>
  <si>
    <t>CN(CCN(C)c1cccc2ncccc12)Cc1ccccn1 7.7399273 0.4666666666666667</t>
  </si>
  <si>
    <t>Cc1ccc2nccc(CN(C)C3CCCCC3N(C)c3ccc4nccc(CF)c4c3)c2c1 7.739918 0.40350877192982454</t>
  </si>
  <si>
    <t>Cc1cnc(CN(C)c2ccccc2-c2cccc(CN(Cc3ccccn3)C3CCC(N(C)c4ccc5cc(CF)cnc5c4)CC3)n2)c(C)c1 7.739911 0.325</t>
  </si>
  <si>
    <t>Cc1ccc(N)cc1-c1ccc(CN(C)C2C=CC=CN2)cn1 7.7399077 0.25757575757575757</t>
  </si>
  <si>
    <t>Cc1cc(NCc2ccccn2)ccc1-c1cccnc1CN(C)C1CCC(N(C)c2ccc3c(CF)ccnc3c2)CC1 7.739896 0.28205128205128205</t>
  </si>
  <si>
    <t>Cc1cncc(CN(C)c2cccc(-c3cccc(CN(Cc4ccccn4)C(C)C)n3)c2)c1C 7.7398906 0.43283582089552236</t>
  </si>
  <si>
    <t>CN(CCN(C)C1C=CC=CN1)c1ccc2ncccc2c1 7.7398787 0.33962264150943394</t>
  </si>
  <si>
    <t>Fc1ccccc1CN(Cc1ccccn1)Cc1cccc(-c2ccccc2N=Cc2ccccn2)n1 7.7398753 0.49056603773584906</t>
  </si>
  <si>
    <t>CN(C)c1ccccc1-c1cccnc1CN(Cc1cccc(F)n1)C1CCC(N(C)c2cccc3nc(CF)ccc23)CC1 7.739866 0.3116883116883117</t>
  </si>
  <si>
    <t>CC(C)N(C)Cc1cc(-c2cccc(N(C)C)c2)ccn1 7.739864 0.3404255319148936</t>
  </si>
  <si>
    <t>CN(CCN(C)C1C=CC=CN1)c1ccc2cccnc2c1 7.7398624 0.3333333333333333</t>
  </si>
  <si>
    <t>CN(CCCN(C)c1ccc2nccc(CF)c2c1)Cc1ccon1 7.739861 0.4791666666666667</t>
  </si>
  <si>
    <t>CC1(C)COC(c2cccc(CN(Cc3ccccn3)Cc3cccc(C(C)(c4ccccn4)c4ccccn4)n3)n2)=N1 7.7398586 0.4716981132075472</t>
  </si>
  <si>
    <t>CN(CCN(C)c1ccc2nccc(CF)c2c1)Cc1cccnc1 7.7398562 0.3090909090909091</t>
  </si>
  <si>
    <t>C1=CC(CN(Cc2ccccn2)Cc2cc(-c3cccc(N=Cc4ccccn4)c3)ccn2)C=CN1 7.7398505 0.36363636363636365</t>
  </si>
  <si>
    <t>Cc1cccnc1CNCCN(C)c1ccc2ncccc2c1 7.739844 0.3269230769230769</t>
  </si>
  <si>
    <t>Cc1ccc(CN(Cc2ccccn2)Cc2cc(-c3ccccc3N=Cc3ccccn3)ccn2)cc1 7.7398257 0.4067796610169492</t>
  </si>
  <si>
    <t>Cc1ccc(N(C)C)cc1NCc1ccccn1 7.739822 0.4146341463414634</t>
  </si>
  <si>
    <t>Cc1cccc(-c2cccc(CN(C)Cc3cc(N)ccn3)n2)c1C 7.739815 0.48</t>
  </si>
  <si>
    <t>CN(CN(Cc1ccccn1)C1CCC(N(C)c2cccc3ncccc23)CC1)c1cccc2ncccc12 7.739806 0.39285714285714285</t>
  </si>
  <si>
    <t>CN(C1=CNC(CN(C)C(C)(C)C)=CC1)c1ccc2cccnc2c1 7.739797 0.2786885245901639</t>
  </si>
  <si>
    <t>Cc1ccccc1-c1ncccc1C(C)C 7.739783 0.2826086956521739</t>
  </si>
  <si>
    <t>Cc1cccnc1CN(C)CCN(C)c1cccc2cc(CF)cnc12 7.7397795 0.49019607843137253</t>
  </si>
  <si>
    <t>Cc1cccc(CN(Cc2ccccn2)Cc2ncccc2-c2cccc(N=Cc3ccccn3)c2)c1 7.739779 0.3508771929824561</t>
  </si>
  <si>
    <t>CN(CCN(C)c1cccc2ncc(CF)cc12)Cc1ncccc1F 7.7397647 0.38181818181818183</t>
  </si>
  <si>
    <t>CN(Cc1ccccn1)c1ccccc1-c1cccnc1CN(C)C(C)(C)c1cccnc1 7.7397623 0.42592592592592593</t>
  </si>
  <si>
    <t>CN(C)Cc1cccc(-c2ccccc2N)n1 7.7397585 0.4418604651162791</t>
  </si>
  <si>
    <t>CN(C)c1ccnc(CN(Cc2ccccn2)c2ccc(F)cc2)c1 7.739747 0.425531914893617</t>
  </si>
  <si>
    <t>Cc1ccc(N(C)Cc2ccc(C(C)(C)C)cn2)c(C)c1C 7.739746 0.35555555555555557</t>
  </si>
  <si>
    <t>Cc1ccc(NCc2ccccn2)cc1-c1cccnc1CN(C)C1CCC(N(C)c2ccc3nccc(CN(C)C)c3c2)CC1 7.739743 0.28205128205128205</t>
  </si>
  <si>
    <t>CCNCc1cc(-c2cc(C(C)(C)c3ccccn3)ccn2)ccn1 7.739742 0.35</t>
  </si>
  <si>
    <t>CC1C=CC(C)C(C)(c2ncccc2CN(Cc2ccccn2)C2CCC(N(C)c3ccc4c(-c5ccc6cccnc6c5)ccnc4c3)CC2)C1 7.7397413 0.27380952380952384</t>
  </si>
  <si>
    <t>FCNc1cccc(-c2ncccc2C(NCc2ccccn2)c2ccccn2)n1 7.7397404 0.3333333333333333</t>
  </si>
  <si>
    <t>CCN(C)CCN(C)c1ccc2c(C)ccnc2c1 7.739723 0.2708333333333333</t>
  </si>
  <si>
    <t>CCN(Cc1ccccn1)Cc1ccc(-c2cccc(N=Cc3ccccn3)c2)cn1 7.7397194 0.38</t>
  </si>
  <si>
    <t>CC1(C)COC(c2ncccc2CN(Cc2ccccn2)Cc2cccc(C(C)(c3ccccn3)c3ccccn3)n2)=N1 7.739717 0.3787878787878788</t>
  </si>
  <si>
    <t>CN(Cc1cccc(-c2cccc(Cl)c2N)n1)CC1C=CNC=C1N(C)Cc1ccccn1 7.7397084 0.421875</t>
  </si>
  <si>
    <t>CCCN(C)Cc1ncccc1-c1ccc(N=Cc2ccccn2)cc1 7.739703 0.3508771929824561</t>
  </si>
  <si>
    <t>CC(C)CN(C)Cc1ncccc1-c1cccc(N(C)C)c1 7.7397027 0.3018867924528302</t>
  </si>
  <si>
    <t>Cc1ccccc1CN(C)Cc1cccc(-c2cccc(N(C)C)c2)n1 7.7397027 0.44</t>
  </si>
  <si>
    <t>Cc1ccc2nc(CN(C)C3CCC(N(C)c4ccc5nccc(CN(C)C)c5c4)CC3)ccc2c1 7.7396975 0.3125</t>
  </si>
  <si>
    <t>CC(c1cccc(CN(C)c2c(CCl)c(Cl)c(CCl)c(CCl)c2N(C)Cc2ccccn2)c1)N(Cc1ccccn1)Cc1ccccn1 7.739696 0.42105263157894735</t>
  </si>
  <si>
    <t>CC(C)N(C)CC1=C(N(C)c2ccc3ccc(CF)nc3c2)CC=CN1 7.739691 0.26865671641791045</t>
  </si>
  <si>
    <t>Cc1ccc(N(C)CC2=CCC(N(C)Cc3nccc(C)c3C)=CN2)cc1C 7.7396846 0.22058823529411764</t>
  </si>
  <si>
    <t>CCC(C)(c1ccccn1)c1cccc(CN(Cc2ccccn2)Cc2cccc(-c3cccc(N=Cc4ccccn4)c3)n2)n1 7.7396784 0.47761194029850745</t>
  </si>
  <si>
    <t>CN(C)c1ccnc(CN(Cc2ccccn2)c2ccccc2F)c1 7.7396607 0.44680851063829785</t>
  </si>
  <si>
    <t>CNC1=C(c2cccc(CN(C)C3CCC(N(C)c4ccc5ncccc5c4)CC3)n2)CCC(c2ccccc2)=C1c1ccccc1 7.7396517 0.3013698630136986</t>
  </si>
  <si>
    <t>CC(C)(C)c1cccc(NCc2ccc(-c3cccc(NCc4ccccn4)c3)cn2)c1 7.739648 0.36666666666666664</t>
  </si>
  <si>
    <t>Cc1cnc(CN(C)Cc2cc(-c3cccc(N(C)C(C)C)c3)ccn2)c(C)c1 7.739644 0.32727272727272727</t>
  </si>
  <si>
    <t>CN(CCN(C)c1cccc2nccc(CF)c12)Cc1cccnc1 7.7396407 0.34545454545454546</t>
  </si>
  <si>
    <t>CC(C)N(Cc1ccccn1)Cc1cccc(-c2cccc(N=Cc3ccccn3)c2)n1 7.7396374 0.48333333333333334</t>
  </si>
  <si>
    <t>Cc1ccccc1CN(C)Cc1ccc(-c2ccccc2N(C)C)cn1 7.739634 0.3829787234042553</t>
  </si>
  <si>
    <t>Cc1ccc(N(C)Cc2ncccc2C)c(C)c1 7.7396326 0.37777777777777777</t>
  </si>
  <si>
    <t>Cc1cncc(CN(C)c2ccccc2-c2cccnc2CN(Cc2ccccn2)Cc2ncccc2C(C)(C)C)c1 7.7396297 0.36507936507936506</t>
  </si>
  <si>
    <t>CCN(Cc1ccccn1)Cc1nccc2cccc(N(C)Cc3cccc(C4CC(C)(C)C4)n3)c12 7.7396255 0.359375</t>
  </si>
  <si>
    <t>CCOC(C)c1cc(CN(Cc2ccccn2)Cc2cc(-c3cccc(N=Cc4ccccn4)c3)ccn2)ccn1 7.7396216 0.3466666666666667</t>
  </si>
  <si>
    <t>Cc1cc(N(C)CC2=CCC(N(C)Cc3ccccn3)=CN2)cc(C)c1C 7.7395988 0.4074074074074074</t>
  </si>
  <si>
    <t>CC(C)NCCN(C)c1ccc2ncccc2c1 7.7395964 0.3617021276595745</t>
  </si>
  <si>
    <t>Cc1c(C)c(C)c(N(C)Cc2ncccc2C(C)(C)C)c(C)c1C 7.739581 0.30434782608695654</t>
  </si>
  <si>
    <t>CC(C)c1cc(CNCNc2ccc3nccc(CF)c3c2)ccn1 7.739567 0.1724137931034483</t>
  </si>
  <si>
    <t>C1=CNC(C2=NC(c3ccccn3)CO2)=CC1 7.7395544 0.3888888888888889</t>
  </si>
  <si>
    <t>Cc1ncccc1CN(C)Cc1ccc2ncccc2c1 7.739545 0.43478260869565216</t>
  </si>
  <si>
    <t>FCNc1ncccc1-c1cccc(C(NCc2ccccn2)c2ccccn2)n1 7.739519 0.3269230769230769</t>
  </si>
  <si>
    <t>Cc1cccc(CN(C)Cc2cccc(-c3ccccc3N(C)C)n2)c1 7.739517 0.44</t>
  </si>
  <si>
    <t>CC(C)N(C)CC1=C(N(C)c2ccc3cc(CF)cnc3c2)CC=CN1 7.7395105 0.19444444444444445</t>
  </si>
  <si>
    <t>C=CCN(C)Cc1cccc(-c2ccc(Cl)c(Cl)c2)n1 7.73951 0.39215686274509803</t>
  </si>
  <si>
    <t>Cc1cc(C)cc(N(C)CC2=CCC(N(C)Cc3ccccn3)=CN2)c1 7.739499 0.41509433962264153</t>
  </si>
  <si>
    <t>Cc1cnccc1CN(C)c1ccccc1-c1cccnc1CN(Cc1ccccn1)C(C)C 7.7394977 0.4444444444444444</t>
  </si>
  <si>
    <t>CN(C)c1cccc(-c2cncc(CN(Cc3ccccn3)Cc3cccc(F)n3)c2)c1 7.7394915 0.421875</t>
  </si>
  <si>
    <t>Cc1cccnc1CN(C)c1ccc(-c2cc(CN(Cc3ccccn3)C(C)C)ccn2)cc1 7.7394915 0.42857142857142855</t>
  </si>
  <si>
    <t>Cc1cnc(CN(C)c2cccnc2CN(C)C)c(C)c1C 7.7394867 0.3541666666666667</t>
  </si>
  <si>
    <t>Cc1cccc2nc(CN(C)C3CCCC(N(C)c4cccc5nc(CF)ccc45)C3)ccc12 7.739485 0.4032258064516129</t>
  </si>
  <si>
    <t>FCNc1ncccc1-c1ncccc1C(NCc1ccccn1)c1ccccn1 7.739483 0.3333333333333333</t>
  </si>
  <si>
    <t>C1=CNC(c2cccnn2)=CC1 7.7394814 0.3333333333333333</t>
  </si>
  <si>
    <t>Cc1ccccc1N(Cc1ccccn1)Cc1ncccc1N(C)C 7.739479 0.43478260869565216</t>
  </si>
  <si>
    <t>CCN(Cc1ccccn1)c1cccc(-c2cccc(C(C)(C)C)n2)c1 7.739473 0.46551724137931033</t>
  </si>
  <si>
    <t>Cc1cccnc1CNCCN(C)c1ccc2nc(CN(C)C)ccc2c1 7.739472 0.3220338983050847</t>
  </si>
  <si>
    <t>Cc1cc(C)c(N(C)CC2=C(N(C)Cc3ccccn3)CC=CN2)cc1C 7.739461 0.46153846153846156</t>
  </si>
  <si>
    <t>Cc1ccc(CN(Cc2ccccn2)Cc2cccc(-c3ccc(N(C)Cc4ncccc4C)cc3)n2)nc1 7.739443 0.453125</t>
  </si>
  <si>
    <t>CCCN(C)Cc1cc(-c2ccccc2N=Cc2ccccn2)ccn1 7.7394304 0.4339622641509434</t>
  </si>
  <si>
    <t>CCN(Cc1ccccn1)c1ccc2nccc(CN(C)C3CCCCC3N(C)c3ccc4c(CF)ccnc4c3)c2c1 7.739417 0.4603174603174603</t>
  </si>
  <si>
    <t>CC(C)c1cc(CN(Cc2ccccn2)Cc2ccc(-c3cccc(N(C)C)c3)cn2)ccn1 7.73941 0.38461538461538464</t>
  </si>
  <si>
    <t>Cc1cc(-c2cc(CN(C)Cc3cc(N)ccn3)ccn2)ccc1N 7.7394056 0.32142857142857145</t>
  </si>
  <si>
    <t>C=Nc1ccccc1-c1cccc(CN(Cc2ccccn2)Cc2cccc(C3=NC(C(C)C)CO3)n2)n1 7.739402 0.38571428571428573</t>
  </si>
  <si>
    <t>Cc1ccc(CN(Cc2ccc(-c3cccc(N(C)C)c3)nc2)Cc2ccccn2)nc1 7.7393975 0.42857142857142855</t>
  </si>
  <si>
    <t>FCNc1ncccc1-c1ccc(C(NCc2ccccn2)c2ccccn2)cn1 7.7393923 0.3148148148148148</t>
  </si>
  <si>
    <t>Cc1cnc(CN(C)CCN(Cc2ccccn2)c2ccc3ncccc3c2)c(C)c1 7.7393894 0.38181818181818183</t>
  </si>
  <si>
    <t>Cc1ccc(CN(C)c2ccc(CN(C)Cc3cc(C)c(C)c(C)n3)nc2)nc1C 7.7393837 0.375</t>
  </si>
  <si>
    <t>Cc1ccc(C)c(CN(C)CCN(C)c2ccc3nc(CF)ccc3c2)n1 7.739378 0.38</t>
  </si>
  <si>
    <t>CCN(CC1=CC(N(C)Cc2ccccn2)C=CN1)c1ccc2ncccc2c1 7.7393746 0.3548387096774194</t>
  </si>
  <si>
    <t>Cc1cccnc1CN(C)c1ccc(CN(Cc2ccccn2)c2ccccc2F)nc1 7.7393684 0.375</t>
  </si>
  <si>
    <t>Cc1ccc(-c2cc(CN(C)Cc3cc(N)ccn3)ccn2)cc1C 7.739366 0.32727272727272727</t>
  </si>
  <si>
    <t>Cc1cc(-c2ccc(CN(C)Cc3cc(N)ccn3)cn2)ccc1NCc1ccccn1 7.739354 0.3384615384615385</t>
  </si>
  <si>
    <t>CC(C)N(C)CN(C)c1ccc2nccc(CF)c2c1 7.7393527 0.2222222222222222</t>
  </si>
  <si>
    <t>Cc1ccnc(CN(C)c2cccc(-c3ccnc(CN(C)C(C)C)c3)c2)c1 7.7393517 0.3148148148148148</t>
  </si>
  <si>
    <t>c1ccc(NCc2cccc(C(c3ccccc3)(c3ccccn3)c3ccccn3)n2)cc1 7.7393465 0.34545454545454546</t>
  </si>
  <si>
    <t>CN(C)c1cccc(-c2cccc(CN(C)C(C)(C)c3ccccn3)n2)c1 7.739338 0.46551724137931033</t>
  </si>
  <si>
    <t>CCN(Cc1ccccn1)c1ccc2cccnc2c1CN(C)Cc1ccccn1 7.739331 0.46</t>
  </si>
  <si>
    <t>CC(C)N(CCN(C)c1cccc2nccc(CN(C)C)c12)C(C)C 7.7393284 0.3673469387755102</t>
  </si>
  <si>
    <t>CCN(CC1=CC(N(C)Cc2ccccn2)C=CN1)c1ccc2cccnc2c1 7.7393165 0.3709677419354839</t>
  </si>
  <si>
    <t>CCN(Cc1ccccn1)c1cc2ncccc2cc1CN(C)C(C)(C)c1ccccn1 7.7393165 0.39285714285714285</t>
  </si>
  <si>
    <t>Cc1cnc2cc(N(C)CCN(C)Cc3ccccn3)ccc2c1 7.7393107 0.44680851063829785</t>
  </si>
  <si>
    <t>Cc1cc(C)nc(CN(C)Cc2ccc(-c3ccccc3C)nc2)c1 7.7393045 0.3333333333333333</t>
  </si>
  <si>
    <t>CN(c1cccc2nc3c(cc12)CCCC3)C1CCC(N(C)c2cccc3cc(CF)cnc23)CC1 7.7393026 0.47619047619047616</t>
  </si>
  <si>
    <t>C=Nc1cccc(-c2cccc(CN(Cc3ccccn3)Cc3cccc(C4=NC(C(C)C)CO4)n3)n2)c1 7.739298 0.47761194029850745</t>
  </si>
  <si>
    <t>CN(CCc1nc2ccccc2o1)Cc1ccccn1 7.7392964 0.4583333333333333</t>
  </si>
  <si>
    <t>Cc1cccnc1CN(C)c1cccc(-c2ccc(CN(C)C(C)C)nc2)c1 7.7392936 0.29310344827586204</t>
  </si>
  <si>
    <t>FCNc1cccc(-c2cc(C(NCc3ccccn3)c3ccccn3)ccn2)n1 7.739292 0.3728813559322034</t>
  </si>
  <si>
    <t>CC(C)N(C)CN(C)c1ccc2c(CF)ccnc2c1 7.73929 0.22641509433962265</t>
  </si>
  <si>
    <t>COc1ccnc(-c2nccc(CN(Cc3ccccn3)C3CCCCC3N(C)c3ccc4nc(CF)ccc4c3)c2C)c1 7.739287 0.345679012345679</t>
  </si>
  <si>
    <t>CN(CCN)C1=CNC=CC1CN(C)c1cccc2ncccc12 7.7392845 0.3448275862068966</t>
  </si>
  <si>
    <t>C=CCN(C)Cc1cccc(-c2ccccc2N(C)C)n1 7.739269 0.4375</t>
  </si>
  <si>
    <t>Cc1cncc(CN(C)c2ccccc2-c2ncccc2CN(Cc2ccccn2)Cc2ncccc2C)c1 7.7392683 0.359375</t>
  </si>
  <si>
    <t>CNCCN(C)c1ccc2nc(CF)ccc2c1 7.739266 0.3090909090909091</t>
  </si>
  <si>
    <t>CN(C)c1ccccc1-c1ccnc(CN(Cc2ccccn2)Cc2cccnc2F)c1 7.739263 0.43478260869565216</t>
  </si>
  <si>
    <t>Cc1ccc(CN(Cc2ccc(CN(C)Cc3cc(-c4cccc(N(C)Cc5ccc(C)cn5)c4)ccn3)cn2)Cc2cc(C)c(C)c(C)n2)nc1 7.7392483 0.3492063492063492</t>
  </si>
  <si>
    <t>Cc1cncc(CN(C)c2ccc(C)c(C)c2C2=CC(N(C)Cc3cc(C)ccn3)C=CN2)c1 7.739247 0.25</t>
  </si>
  <si>
    <t>CC(c1ccccn1)C1OC(c2cccnc2C2CC(C)(C)C2)=NC1=O 7.739238 0.25757575757575757</t>
  </si>
  <si>
    <t>Cc1cnc(CC2CN(C)CCN(C)CC(Cc3nc4ccccc4n3C)N2Cc2nc3ccccc3n2C)c(C)c1C 7.739237 0.47368421052631576</t>
  </si>
  <si>
    <t>CC1=CC(C)CC(CN(C)Cc2cc(-c3cccc(N=Cc4ccccn4)c3)ccn2)=C1 7.739235 0.3188405797101449</t>
  </si>
  <si>
    <t>CCN(Cc1ccccn1)Cc1ccc(-c2ccccc2N=Cc2ccccn2)cn1 7.7392297 0.41818181818181815</t>
  </si>
  <si>
    <t>CN(C)c1ccccc1-c1ccnc(CN(Cc2ccccn2)Cc2cccc(F)n2)c1 7.739227 0.4444444444444444</t>
  </si>
  <si>
    <t>CCCN(Cc1ccccn1)c1ccc2nccc(CN(C)Cc3ncccc3C)c2c1 7.7392235 0.3492063492063492</t>
  </si>
  <si>
    <t>CN(Cc1ccccc1)Cc1ncccc1-c1cccc(N(C)C)c1 7.739218 0.3148148148148148</t>
  </si>
  <si>
    <t>CCNCc1cccc(-c2cccc(N(C)C)c2)n1 7.7392163 0.35714285714285715</t>
  </si>
  <si>
    <t>CN(CCN(C)c1ccc2c(CF)ccnc2c1)Cc1ccccn1 7.7392125 0.40384615384615385</t>
  </si>
  <si>
    <t>Cc1ccc(-c2ccccc2)c(C2=CC(c3ccccc3)=CC(c3ccccc3)C2NCc2ccccn2)c1NCc1ccccn1 7.73921 0.4153846153846154</t>
  </si>
  <si>
    <t>CCN(Cc1cc(C)ccn1)Cc1cc(-c2cccc(N(C)C)c2)ccn1 7.739185 0.32075471698113206</t>
  </si>
  <si>
    <t>CN(CCN(C)c1ccc2nccc(CF)c2c1)Cc1ccccn1 7.7391825 0.39622641509433965</t>
  </si>
  <si>
    <t>CCN(Cc1ccccn1)c1cc(C)c(C)c(N(C)Cc2ccccn2)c1C 7.7391706 0.5</t>
  </si>
  <si>
    <t>Cc1ccc(CN(C)c2ccccc2-c2cccc(CN(C)C(C)C)n2)nc1C 7.739167 0.3392857142857143</t>
  </si>
  <si>
    <t>CCCN(Cc1ccccn1)C1CCC(N(C)c2ccc3ncc(-c4ccc5ncccc5c4)cc3c2)CC1 7.739154 0.3384615384615385</t>
  </si>
  <si>
    <t>CCN(Cc1ccccn1)c1cc2cccnc2cc1CN(C)C(C)(C)c1ccccn1 7.7391534 0.39285714285714285</t>
  </si>
  <si>
    <t>CN(C)Cc1cnc2cccc(N(C)CCN(C)Cc3ccccn3)c2c1 7.73915 0.43333333333333335</t>
  </si>
  <si>
    <t>CCN(Cc1ccccn1)c1cccc(-c2cc(CN(Cc3ccccn3)Cc3cc(C)ccn3)ccn2)c1-c1cc(C2CCC2(C)C)ccn1 7.739147 0.32926829268292684</t>
  </si>
  <si>
    <t>CC(C)N(C)Cc1cccc(-c2cccc(N=Cc3ccccn3)c2)n1 7.739146 0.43548387096774194</t>
  </si>
  <si>
    <t>CCN(Cc1cc(-c2cccc(N(C)C)c2)ccn1)Cc1cc(C(C)(C)C)ccn1 7.7391434 0.3148148148148148</t>
  </si>
  <si>
    <t>CN(C)Cc1ccc2cc(N(C)CC3=CCCN=C3)ccc2n1 7.7391405 0.3</t>
  </si>
  <si>
    <t>CN(CCN(C)c1cccc2nccc(CF)c12)Cc1ccccn1 7.7391386 0.41509433962264153</t>
  </si>
  <si>
    <t>Cc1ccc(N(C)Cc2cccc(C(C)(C)c3ccccn3)n2)c(C)c1 7.7391253 0.44</t>
  </si>
  <si>
    <t>Cc1ccc(NCc2ccccn2)cc1-c1ccnc(CNC(C)C)c1 7.739117 0.36065573770491804</t>
  </si>
  <si>
    <t>CNCc1cccc(-c2ccc(NCc3ccccn3)c(C)c2)n1 7.739116 0.4067796610169492</t>
  </si>
  <si>
    <t>Cc1cncc(CN(C)CCN(C)c2ccc3ccc(CN(C)C)nc3c2)c1 7.7391148 0.35294117647058826</t>
  </si>
  <si>
    <t>C=CCN(C)Cc1cccc(-c2cccc(N(C)C)c2)n1 7.739111 0.4</t>
  </si>
  <si>
    <t>CC1=CCC(C)(c2ncccc2CN(Cc2ccccn2)c2cccc3cccnc23)C(C)C1 7.73911 0.35</t>
  </si>
  <si>
    <t>Cc1cnc2ccc(N(C)CCN(C)Cc3ccccn3)cc2c1 7.739097 0.4375</t>
  </si>
  <si>
    <t>CC(C)CN(C)Cc1ccc(-c2cccc(N=Cc3ccccn3)c2)cn1 7.7390933 0.3442622950819672</t>
  </si>
  <si>
    <t>CC(C)C1=CC2(C=CN1)C=C(c1ccc(CN(Cc3ccccn3)c3ccc4ncccc4c3)cn1)CC(C)(C)C2c1cccc(CN(Cc2ccccn2)Cc2ccccn2)n1 7.7390924 0.2823529411764706</t>
  </si>
  <si>
    <t>CC(C)CN(Cc1ccccn1)c1cccc2c(CN(C)Cc3ccccn3)ccnc12 7.739088 0.42592592592592593</t>
  </si>
  <si>
    <t>CN1CCN(C)CCN(Cc2cnc3c(N(C)c4ccc5ncccc5c4)cccc3c2)CC1 7.7390776 0.4</t>
  </si>
  <si>
    <t>Cc1cccc(N(C)CCN(C)Cc2cccc3ncccc23)c1C 7.7390733 0.4583333333333333</t>
  </si>
  <si>
    <t>Cc1cc(NCc2ccccn2)cc(-c2cccc(CN(C)Cc3cc(N)ccn3)n2)c1 7.7390704 0.48214285714285715</t>
  </si>
  <si>
    <t>CN(Cc1ccccn1)c1ccc2nc(CN(C)C3CCCCC3N(C)c3ccc4cc(CF)cnc4c3)ccc2c1 7.739064 0.4918032786885246</t>
  </si>
  <si>
    <t>CN(C)CCCN(C)c1ccc2c(CF)ccnc2c1 7.7390547 0.29411764705882354</t>
  </si>
  <si>
    <t>CC(c1ccccn1)(c1ccccn1)c1cccnc1CNc1cccnc1CF 7.7390437 0.375</t>
  </si>
  <si>
    <t>Cc1cncc(CN(Cc2ccccn2)Cc2ccc(-c3cccc(N(C)C)c3)cn2)c1 7.7390394 0.4</t>
  </si>
  <si>
    <t>CCc1cccc(CN(Cc2ccccn2)Cc2cc(-c3ccccc3N=Cc3ccccn3)ccn2)n1 7.739019 0.4067796610169492</t>
  </si>
  <si>
    <t>Cc1cccc(CN(C)Cc2cccc(-c3cccc(N(C)C)c3)n2)c1 7.7390127 0.4117647058823529</t>
  </si>
  <si>
    <t>CCN(Cc1ccccn1)c1ccccc1-c1ccc(C(C)(C)C)cn1 7.7390065 0.38461538461538464</t>
  </si>
  <si>
    <t>CC1=C(NCc2ccccn2)CC(c2cc(-c3ccccc3)cc(C)c2NCc2ccccn2)C=C1 7.7390056 0.390625</t>
  </si>
  <si>
    <t>Cc1ncccc1CN(C)CCN(C)c1ccc2ncccc2c1 7.73898 0.5</t>
  </si>
  <si>
    <t>CN(C)Cc1ccc2c(N(C)CCN(C)Cc3ccccn3)cccc2n1 7.73898 0.48</t>
  </si>
  <si>
    <t>CC(C)N(CC1=CC(N(C)c2ccc3ncccc3c2)C=CN1)Cc1ccccn1 7.7389793 0.41379310344827586</t>
  </si>
  <si>
    <t>Cc1cnccc1CN(C)CN(C)c1ccc(Cl)c(N(C)Cc2ccccn2)c1C 7.738976 0.45454545454545453</t>
  </si>
  <si>
    <t>CN(C)c1ccccc1-c1cccnc1CN(Cc1ccccn1)Cc1ccc(F)cn1 7.738976 0.4444444444444444</t>
  </si>
  <si>
    <t>CC(C)(C)c1cccc(NCc2cc(-c3cccc(NCc4ccccn4)c3)ccn2)c1 7.738973 0.3793103448275862</t>
  </si>
  <si>
    <t>CC(C)N(Cc1ccccn1)c1cccc(-c2cccc(C(C)(C)C)n2)c1 7.738958 0.4576271186440678</t>
  </si>
  <si>
    <t>CNCc1ccc2cccc(N(C)C3CCCCC3N(Cc3ccccn3)c3ccc4ncccc4c3)c2n1 7.738955 0.47761194029850745</t>
  </si>
  <si>
    <t>CCc1ccccc1CNCc1cc(-c2ccccc2N=Cc2ccccn2)ccn1 7.7389536 0.39655172413793105</t>
  </si>
  <si>
    <t>Cc1ccccc1N(C)Cc1ncc(C)c(C)c1C 7.7389507 0.36363636363636365</t>
  </si>
  <si>
    <t>COC(=O)C(=O)C(=O)C(C)C(C)C(=O)C(=O)C(=O)C(=O)C(=O)C(=O)C(=O)C(=O)C(C)C(=O)C(=O)C(=O)C(=O)C(=O)C(=O)C=O 7.7389493 0.125</t>
  </si>
  <si>
    <t>CN(Cc1ccc2ncccc2c1)C1NC=CC=C1N(C)C1C=CC=CN1 7.738947 0.29850746268656714</t>
  </si>
  <si>
    <t>Cc1cccc(N(C)CC2=CCC=C(N(C)Cc3ccccn3)N2)c1 7.7389216 0.41379310344827586</t>
  </si>
  <si>
    <t>Cc1cc(C)nc(CN(C)CCN(Cc2ccccn2)c2cccc3ncc(CF)cc23)c1 7.7389107 0.36666666666666664</t>
  </si>
  <si>
    <t>Cc1ccc2nc(CN(C)C3CCCC(N(C)c4ccc5nccc(CN(C)C)c5c4)C3)ccc2c1 7.7389097 0.3181818181818182</t>
  </si>
  <si>
    <t>Cc1cnccc1CN(C)CCN(C)c1ccc2ncccc2c1 7.738905 0.43137254901960786</t>
  </si>
  <si>
    <t>C1=CNC(NCc2ccccn2)C(c2ccccc2N=Cc2ccccn2)=C1 7.738904 0.39285714285714285</t>
  </si>
  <si>
    <t>Cc1ccc(CN(Cc2ccccn2)Cc2cc(-c3ccccc3N(C)C)ccn2)nc1 7.7389026 0.4444444444444444</t>
  </si>
  <si>
    <t>Cc1ccc(N(C)Cc2ncccc2C(C)(C)c2ccccn2)c(C)c1 7.738902 0.3584905660377358</t>
  </si>
  <si>
    <t>CC(C)N(C)Cc1cncc(-c2cccc(N=Cc3ccccn3)c2)c1 7.7389016 0.35</t>
  </si>
  <si>
    <t>CC(C)c1ncccc1CN(Cc1ccccn1)Cc1ccc(-c2cccc(N(C)C)c2)cn1 7.738901 0.4</t>
  </si>
  <si>
    <t>CNCCN(Cc1ccccn1)c1cccc2cccnc12 7.7388783 0.4888888888888889</t>
  </si>
  <si>
    <t>Cc1cccnc1CN(CCN(C)c1ccc2nccc(C)c2c1)Cc1cccnc1C(C)(C)C 7.7388697 0.2857142857142857</t>
  </si>
  <si>
    <t>Cc1cc(N)ccc1-c1ccc(CN(C)Cc2cccnn2)cn1 7.7388625 0.44</t>
  </si>
  <si>
    <t>Cc1cc(NCc2ccccn2)ccc1-c1cccnc1CN(C)Cc1ccccn1 7.7388544 0.4</t>
  </si>
  <si>
    <t>C1=CNC(c2ccccn2)=CC1 7.738853 0.5</t>
  </si>
  <si>
    <t>CC(C)C(C)N(C)Cc1cc(N(C)c2ccc3cccnc3c2)ccn1 7.7388463 0.35185185185185186</t>
  </si>
  <si>
    <t>Cc1cc(C)c(C)c(CN(C)c2ccccc2C)n1 7.7388415 0.32608695652173914</t>
  </si>
  <si>
    <t>CC(C)NCCN(C)c1cccc2ncccc12 7.738835 0.45454545454545453</t>
  </si>
  <si>
    <t>CC(C)C1(C)N=COC1c1ncccc1CN(Cc1ccccn1)Cc1cc(-c2ccc(N=Cc3ccccn3)cc2)ccn1 7.738822 0.29411764705882354</t>
  </si>
  <si>
    <t>CCNCc1ncccc1-c1ccc(N(C)C2CCC(N(C)c3ccc4c(CF)ccnc4c3)CC2)cc1C 7.7388077 0.21333333333333335</t>
  </si>
  <si>
    <t>CCN(c1ccc2ncccc2c1)C1CCCCC1N(C)c1ccc2ncccc2c1 7.7388067 0.4897959183673469</t>
  </si>
  <si>
    <t>Cc1ccccc1CN(C)Cc1cc(-c2ccccc2N(C)C)ccn1 7.738801 0.3333333333333333</t>
  </si>
  <si>
    <t>CN(C)c1ccccc1-c1cccnc1CN(Cc1ccc(F)nc1)Cc1ccccn1 7.738796 0.4166666666666667</t>
  </si>
  <si>
    <t>Cc1cc(CN(C)CCN(C)c2ccc3cccnc3c2)ccn1 7.7387767 0.38461538461538464</t>
  </si>
  <si>
    <t>CC(C)C(C)N(C)Cc1cc(N(C)c2ccc3ncccc3c2)ccn1 7.7387743 0.3103448275862069</t>
  </si>
  <si>
    <t>CC(c1ccccn1)(c1ccccn1)c1cccc(CNC2=CCC=CN2)n1 7.7387605 0.43103448275862066</t>
  </si>
  <si>
    <t>Cc1ccc(N)cc1-c1ccc(CN(C)Cc2cc(N)ccn2)cn1 7.7387567 0.2982456140350877</t>
  </si>
  <si>
    <t>Cc1ccnc2c(C3CN(C)CCN(C)CCN3Cc3nc4ccccc4n3C)cccc12 7.7387486 0.4745762711864407</t>
  </si>
  <si>
    <t>CC(C)N(Cc1ccccn1)Cc1ccc(-c2cccc(N=Cc3ccccn3)c2)cn1 7.738746 0.46153846153846156</t>
  </si>
  <si>
    <t>CN(C)c1ccccc1-c1cccc(CN(Cc2cccc(F)n2)Cc2cccc(F)n2)n1 7.7387424 0.4166666666666667</t>
  </si>
  <si>
    <t>C=Nc1ccccc1-c1cccc(CN(C)Cc2cccc(C3COC(CC)=N3)n2)n1 7.7387376 0.3548387096774194</t>
  </si>
  <si>
    <t>CN(Cc1ccccn1)C1CCC(N(C)c2ccc3ccc(CF)nc3c2)C(N(Cc2ccccn2)c2ccc3cccnc3c2)C1 7.738731 0.38461538461538464</t>
  </si>
  <si>
    <t>CC(C)N(C)C1=CNC=CC1CN(C)c1ccc2cccnc2c1 7.7387247 0.3</t>
  </si>
  <si>
    <t>Cc1cc(CN(C)Cc2ccc3ncccc3c2)ccn1 7.7387214 0.3541666666666667</t>
  </si>
  <si>
    <t>CC(C)(c1cccc(-c2ccccc2)n1)c1ccccc1NCc1ccccn1 7.7387195 0.39655172413793105</t>
  </si>
  <si>
    <t>Cc1cc(-c2ncccc2CN(Cc2ccccn2)C2CCCC(N(C)c3cccc4ncc(CF)cc34)C2)ccc1N(C)Cc1ccccn1 7.7387147 0.3076923076923077</t>
  </si>
  <si>
    <t>CN(C)c1ccccc1-c1cccnc1CN(Cc1ccccn1)Cc1cccc(F)n1 7.7387056 0.45161290322580644</t>
  </si>
  <si>
    <t>CC(C)N(Cc1ccccn1)Cc1cccc(-c2ccccc2N=Cc2ccccn2)n1 7.7387 0.47058823529411764</t>
  </si>
  <si>
    <t>CC(c1ccccn1)(c1ccccn1)c1cccnc1CN(Cc1ccccn1)c1ccc(F)cc1 7.7387 0.37037037037037035</t>
  </si>
  <si>
    <t>Cc1ccc2c(CN(C)C3CCC(N(C)c4ccc5c(CF)ccnc5c4)CC3)ccnc2c1 7.738692 0.2786885245901639</t>
  </si>
  <si>
    <t>C1=CNC(c2ccc(NCc3ccccn3)cc2)=CC1 7.7386775 0.47058823529411764</t>
  </si>
  <si>
    <t>CN(O)c1cccnc1CN(Cc1ccccn1)c1ccccc1F 7.738671 0.40816326530612246</t>
  </si>
  <si>
    <t>CCNCc1cc(CN(Cc2ccccn2)c2ccc3ncccc3c2)ccn1 7.738665 0.35294117647058826</t>
  </si>
  <si>
    <t>CCN(Cc1ccccn1)Cc1cc(-c2cccc(N=Cc3ccccn3)c2)ccn1 7.738662 0.3958333333333333</t>
  </si>
  <si>
    <t>Cc1cc(N(C)Cc2ccccn2)ccc1-c1ccc(CN(Cc2ccccn2)C(C)C)cn1 7.738661 0.4528301886792453</t>
  </si>
  <si>
    <t>Cc1cc(NCc2ccccn2)cc(-c2ccc(CN(C)Cc3cc(N)ccn3)cn2)c1 7.7386527 0.359375</t>
  </si>
  <si>
    <t>Cc1cccnc1CN(C)CCN(C)c1cccc2ncc(CF)cc12 7.7386465 0.38181818181818183</t>
  </si>
  <si>
    <t>CC1=C(c2ccccc2)C(c2cccc(NCc3ccccn3)c2C)CC=C1c1ccccc1 7.738642 0.3333333333333333</t>
  </si>
  <si>
    <t>Cc1cncc(CN(C)c2ccc3nc(CN(C)C4CCCCC4N(C)c4ccc5ccc(CF)nc5c4)ccc3c2)c1 7.7386355 0.391304347826087</t>
  </si>
  <si>
    <t>CCN(Cc1cc(CN(Cc2ncccc2C)Cc2ncccc2C)ccn1)c1ccc2ncccc2c1 7.7386284 0.3</t>
  </si>
  <si>
    <t>Cc1ccnc(CN(C)CCN(C)c2ccc3cccnc3c2)c1 7.7386236 0.38461538461538464</t>
  </si>
  <si>
    <t>CCN(Cc1ccccn1)c1ccc(C)c(-c2cc(CN(Cc3ccccn3)Cc3ncccc3C)ccn2)c1C 7.738614 0.36363636363636365</t>
  </si>
  <si>
    <t>CC(C)(C)c1cccc(CN(Cc2ccccn2)Cc2ccc(-c3cccc(N=Cc4ccccn4)c3)cn2)n1 7.738613 0.391304347826087</t>
  </si>
  <si>
    <t>CC1=CC(N(C)c2ccc3nccc(CN(C)Cc4ncc(C)c(C)c4C)c3c2)CC(C)C1 7.738611 0.21052631578947367</t>
  </si>
  <si>
    <t>Cc1cnc(CN(C)Cc2cc(N(C)Cc3nc(C)c(C)c(C)c3C)ccn2)c(C)c1 7.738603 0.3090909090909091</t>
  </si>
  <si>
    <t>CN1CCN(C)CCN(Cc2cc(N(C)c3ccc4ncccc4c3)cc3cccnc23)CC1 7.7386007 0.42857142857142855</t>
  </si>
  <si>
    <t>CN(C)c1cccc(-c2cccc(CN(Cc3cccc(F)n3)Cc3cccc(F)n3)n2)c1 7.7385936 0.4716981132075472</t>
  </si>
  <si>
    <t>C=CCN(C)Cc1cccc(-c2cccc(N(C)Cc3cccc(C)n3)c2)n1 7.7385936 0.4583333333333333</t>
  </si>
  <si>
    <t>CCN(C)c1ccc2c(CN(C)C(C)C)ccnc2c1 7.73859 0.2549019607843137</t>
  </si>
  <si>
    <t>CCN(Cc1ccccn1)c1ccc2nc(CN(C)Cc3cccnn3)ccc2c1 7.7385664 0.48</t>
  </si>
  <si>
    <t>CC(C)c1cc(CN(Cc2ccccn2)Cc2cc(-c3cccc(N(C)C)c3)ccn2)ccn1 7.738555 0.40816326530612246</t>
  </si>
  <si>
    <t>CCN(CC1=CC(N(C)Cc2cc(C)ccn2)C=CN1)c1ccc2ncccc2c1 7.7385516 0.2608695652173913</t>
  </si>
  <si>
    <t>Cc1ccnc(CN(C)CCN(C)c2ccc3nc(CN(C)C)ccc3c2)c1 7.7385454 0.3877551020408163</t>
  </si>
  <si>
    <t>COC(C)c1cccc(CN(Cc2ccccn2)Cc2cc(-c3ccccc3N=Cc3ccccn3)ccn2)n1 7.7385445 0.4</t>
  </si>
  <si>
    <t>CN(CCN(C)c1ccc2nccc(CF)c2c1)Cc1cc(F)ccn1 7.7385416 0.3269230769230769</t>
  </si>
  <si>
    <t>CCN(Cc1ccccn1)Cc1ncccc1-c1cccc(N=Cc2ccccn2)c1 7.7385235 0.36538461538461536</t>
  </si>
  <si>
    <t>CCN(Cc1ccccn1)c1ccc2nccc(C3CC3N(C)Cc3ccccn3)c2c1 7.7385206 0.45454545454545453</t>
  </si>
  <si>
    <t>CN(C)c1cccc(-c2cccnc2CN(Cc2ccccn2)Cc2ccc(F)cn2)c1 7.73851 0.4</t>
  </si>
  <si>
    <t>CC(C)CN(C)Cc1ccc(-c2ccc(Cl)cc2N)cn1 7.738509 0.34</t>
  </si>
  <si>
    <t>CCNCc1cccc(CN(Cc2ccccn2)c2ccc3ncccc3c2)n1 7.738508 0.4074074074074074</t>
  </si>
  <si>
    <t>CCN(Cc1ccccn1)c1ccc2c(CN(Cc3ccccn3)Cc3ncccc3F)ccnc2c1 7.7385073 0.39215686274509803</t>
  </si>
  <si>
    <t>CNCc1ccc2cc(N(C)C3CCC(N(C)c4ccc5nc(CF)ccc5c4)CC3)ccc2n1 7.7385035 0.3684210526315789</t>
  </si>
  <si>
    <t>CN(CCN(C)C1C=CC=CN1)c1cccc2ncccc12 7.738503 0.42</t>
  </si>
  <si>
    <t>Fc1ccccc1CN(Cc1ccccn1)Cc1ncccc1-c1ccccc1N=Cc1ccccn1 7.7384996 0.5</t>
  </si>
  <si>
    <t>Cc1cccnc1CN(C)CCN(C)c1cccc2nc(CF)ccc12 7.7384953 0.41509433962264153</t>
  </si>
  <si>
    <t>CC(C)N(Cc1cccc(CN(C)c2ccc3ncccc3c2)n1)C1CCC(N(C)c2ccc3ncccc3c2)CC1 7.7384915 0.3064516129032258</t>
  </si>
  <si>
    <t>Cc1nc(CN(C)CCCN(C)c2ccc3nccc(CF)c3c2)c(C)c(C)c1C 7.738482 0.25</t>
  </si>
  <si>
    <t>FCc1cccc(-c2ccccc2NCc2ccccn2)n1 7.7384806 0.4166666666666667</t>
  </si>
  <si>
    <t>C=CCN(C)Cc1cccc(-c2ccc(N(C)C)cc2)n1 7.7384806 0.4166666666666667</t>
  </si>
  <si>
    <t>CN(Cc1cccc(C2=CCC=CN2)n1)Cc1cccc(N(C)C)n1 7.7384787 0.40384615384615385</t>
  </si>
  <si>
    <t>CC1=CC(NCc2ccccn2)CC(c2cc(NCc3ccccn3)cc(C)c2-c2ccccc2)=C1 7.738474 0.373134328358209</t>
  </si>
  <si>
    <t>C=CCN(C)Cc1cccc(-c2cccc(Cl)c2Cl)n1 7.7384725 0.4</t>
  </si>
  <si>
    <t>Cc1ccc(N)c(-c2cc(CN(C)Cc3cc(N)ccn3)ccn2)c1 7.738464 0.32142857142857145</t>
  </si>
  <si>
    <t>CCN(Cc1ccccn1)Cc1ncccc1-c1ccc(N=Cc2ccccn2)cc1 7.738464 0.3877551020408163</t>
  </si>
  <si>
    <t>Cc1cccnc1CN(C)CCN(C)c1ccc2nc(CN(C)C)ccc2c1 7.7384605 0.34615384615384615</t>
  </si>
  <si>
    <t>Cc1cc(-c2ccc(CNCc3ccccn3)cc2NCc2ccccn2)cnc1C(C)(C)C 7.738457 0.36538461538461536</t>
  </si>
  <si>
    <t>Cc1ccnc2c(N(CCN(Cc3ccccn3)C(C)C(C)C)Cc3ccc4ncccc4c3)cccc12 7.7384534 0.375</t>
  </si>
  <si>
    <t>CN(C)c1ccccc1-c1cccnc1CN(Cc1ccccn1)Cc1cccnc1F 7.738447 0.45454545454545453</t>
  </si>
  <si>
    <t>CN(C)c1ccccc1-c1cccc(CN(Cc2ccccn2)C2C=CC=CN2)n1 7.738429 0.44642857142857145</t>
  </si>
  <si>
    <t>CN(Cc1cccc(CF)n1)Cc1cccc(-c2cccc(N(C)C)c2)n1 7.738426 0.44680851063829785</t>
  </si>
  <si>
    <t>CC(C)NCc1cccc(-c2cc(NCc3ccccn3)ccc2Cl)n1 7.7384186 0.3492063492063492</t>
  </si>
  <si>
    <t>CN(Cc1ccccn1)c1cc(Cl)cc(N(Cc2ccccn2)Cc2cccc(C(C)(C)C3=CC(N(Cc4ccccn4)Cc4ccccn4)C=CN3)n2)c1Cl 7.7384105 0.3939393939393939</t>
  </si>
  <si>
    <t>Cc1ccc(-c2cccc(CN(C)Cc3cccc(N)n3)n2)c(C)c1 7.7383966 0.42857142857142855</t>
  </si>
  <si>
    <t>Cc1cncc(CN(C)CCN(C)c2ccc3nccc(CF)c3c2)c1 7.7383933 0.32142857142857145</t>
  </si>
  <si>
    <t>Fc1ccccc1NCc1cccc(-c2ccccc2NCc2ccccn2)n1 7.7383895 0.4</t>
  </si>
  <si>
    <t>CNc1ccc2nc(CN(C)C3CCC(N(C)c4ccc5nccc(CF)c5c4)CC3)ccc2c1 7.7383747 0.25675675675675674</t>
  </si>
  <si>
    <t>Cc1ccc(CN(Cc2cncc(-c3cccc(N(C)C)c3)c2)Cc2cccc(C(C)(C)C)n2)nc1 7.738372 0.3389830508474576</t>
  </si>
  <si>
    <t>CN(Cc1nc2ccccc2o1)C1CCCCC1N(C)c1ccc2ncccc2c1 7.7383585 0.42105263157894735</t>
  </si>
  <si>
    <t>CC1Cc2cccnc2C=C1Cl 7.73834 0.24489795918367346</t>
  </si>
  <si>
    <t>CNc1c(C)ncc(C)c1C 7.7383385 0.2222222222222222</t>
  </si>
  <si>
    <t>CNCCN(Cc1ccccn1)c1ccc2c(CF)ccnc2c1 7.7383327 0.37735849056603776</t>
  </si>
  <si>
    <t>CNCCN(Cc1ccccn1)c1ccc2nccc(CF)c2c1 7.7383327 0.37037037037037035</t>
  </si>
  <si>
    <t>Cc1cncc(CN(C)CCN(C)c2cccc3ncccc23)c1 7.7383194 0.4117647058823529</t>
  </si>
  <si>
    <t>CC(C)C1=CC2(C=CN1)C=C(c1ccc(CN(Cc3ccccn3)c3ccc4ncccc4c3)cn1)CC(C)(C)C2c1cc(CN(Cc2ccccn2)Cc2ccccn2)ccn1 7.738306 0.25842696629213485</t>
  </si>
  <si>
    <t>CCN(Cc1cc(C)ccn1)Cc1cc(-c2ccc(N(C)C)cc2)ccn1 7.738303 0.3333333333333333</t>
  </si>
  <si>
    <t>COC(C)c1ccc(CN(Cc2ccccn2)Cc2cc(-c3ccccc3N=Cc3ccccn3)ccn2)cn1 7.738299 0.3333333333333333</t>
  </si>
  <si>
    <t>Cc1ccccc1CN(C)Cc1ccc(-c2cccc(N(C)C)c2)cn1 7.7382936 0.3673469387755102</t>
  </si>
  <si>
    <t>CCN(Cc1ccccn1)Cc1cc(-c2ccc(N=Cc3ccccn3)cc2)ccn1 7.7382827 0.40425531914893614</t>
  </si>
  <si>
    <t>Cc1ccc(CN(C)C2CCCCC2N(C)c2ccc3ncccc3c2)nc1-c1cccc(C)c1N(C)Cc1ccccn1 7.7382812 0.46875</t>
  </si>
  <si>
    <t>COC(=O)c1cccc(CN(Cc2ccccn2)Cc2cc(C(C)(c3ccccn3)c3ccccn3)ccn2)n1 7.7382784 0.4153846153846154</t>
  </si>
  <si>
    <t>Cc1cc(C)c(N(C)CC2=CCC(N(C)Cc3ccccn3)=CN2)cc1C 7.7382727 0.46153846153846156</t>
  </si>
  <si>
    <t>Cc1cncc(CN(C)C2=CNC(CN(Cc3ccccn3)Cc3cccc(-c4cccc(N)c4Cl)n3)=CC2)c1 7.7382703 0.34615384615384615</t>
  </si>
  <si>
    <t>Cc1cnccc1N(C)Cc1ncccc1N 7.738267 0.3541666666666667</t>
  </si>
  <si>
    <t>Cc1ccc(CN(Cc2ccccn2)Cc2cc(-c3cccc(N(C)C)c3)ccn2)nc1 7.7382627 0.4444444444444444</t>
  </si>
  <si>
    <t>CC(C)N(C)CC1=CCC(N(C)c2cccc3nccc(CF)c23)=CN1 7.738246 0.2676056338028169</t>
  </si>
  <si>
    <t>CCN(Cc1ccccn1)c1ccc(N=Cc2ccccn2)c(C)c1 7.7382383 0.46153846153846156</t>
  </si>
  <si>
    <t>CNCc1cc(-c2ccccn2)ccn1 7.7382345 0.39473684210526316</t>
  </si>
  <si>
    <t>Cc1cc(CN(Cc2ccc3ncccc3c2)Cc2cc(N)ccn2)cnc1C 7.7382245 0.31666666666666665</t>
  </si>
  <si>
    <t>CCN(Cc1ccccn1)Cc1cc(-c2ccccc2N=Cc2ccccn2)ccn1 7.738224 0.41818181818181815</t>
  </si>
  <si>
    <t>CCN(CC1=CC(N(C)Cc2ccccn2)C=CN1)c1cccc2ncccc12 7.7382083 0.3548387096774194</t>
  </si>
  <si>
    <t>CC(C)N(CC1=CC(N(C)Cc2ccccn2)C=CN1)c1ccc2cccnc2c1 7.7382026 0.36507936507936506</t>
  </si>
  <si>
    <t>CN(Cc1ccccn1)CN(Cc1ccccn1)c1cccc2ncccc12 7.738199 0.4583333333333333</t>
  </si>
  <si>
    <t>CC(c1ccc(CNc2cccnc2CF)nc1)(c1ccccn1)c1ccccn1 7.7381988 0.35</t>
  </si>
  <si>
    <t>CN(CCN(Cc1ccccn1)c1ccc2cccnc2c1)Cc1ccon1 7.7381907 0.4897959183673469</t>
  </si>
  <si>
    <t>Cc1cccc(CN(Cc2ccc(CN(C)C)nc2)Cc2cccc(-c3cccc(N(C)C)c3)n2)n1 7.7381854 0.42857142857142855</t>
  </si>
  <si>
    <t>Cc1ccc(CN(C)Cc2ccc3c(N(C)CCF)cccc3n2)nc1 7.7381845 0.5</t>
  </si>
  <si>
    <t>CN(C)Cc1nccc2cccc(N(C)CCN(C)Cc3ccccn3)c12 7.7381806 0.4423076923076923</t>
  </si>
  <si>
    <t>CC(C)(C)c1ccc(CN(Cc2ccccn2)Cc2cccc(-c3ccc(N=Cc4ccccn4)cc3)n2)cn1 7.7381783 0.42028985507246375</t>
  </si>
  <si>
    <t>Cc1ccnc2ccc(N(C)CCN(C)CC(C)C)cc12 7.7381783 0.2549019607843137</t>
  </si>
  <si>
    <t>Cc1ccccc1N(Cc1ccccn1)Cc1cc(N(C)C)ccn1 7.738176 0.45652173913043476</t>
  </si>
  <si>
    <t>Cc1c(CN(C)Cc2ncccc2-c2cc(Cl)ccc2N)cccc1NCc1ccccn1 7.738175 0.3181818181818182</t>
  </si>
  <si>
    <t>Cc1cnc(CN(C)C2=C(CN(Cc3ccc4ncccc4c3)C(C)C)NC=CC2)c(C)c1 7.73817 0.23943661971830985</t>
  </si>
  <si>
    <t>CN(CCN(Cc1ccccn1)c1ccc2ncccc2c1)Cc1ccon1 7.7381654 0.5</t>
  </si>
  <si>
    <t>CC(C)N(CC1=CC(N(C)Cc2ccccn2)C=CN1)c1ccc2ncccc2c1 7.738165 0.3492063492063492</t>
  </si>
  <si>
    <t>Cc1cc(CN(Cc2ccccn2)C(C)C)cnc1-c1ccccc1N(C)C 7.7381525 0.48</t>
  </si>
  <si>
    <t>CC(c1ccc(CNc2cccc(CF)n2)nc1)(c1ccccn1)c1ccccn1 7.738152 0.4642857142857143</t>
  </si>
  <si>
    <t>CN(c1cccc2ncccc12)C1CCCCC1N(C)c1cccc2ncc3c(c12)CCCC3 7.7381363 0.45454545454545453</t>
  </si>
  <si>
    <t>FCN(Cc1ccccn1)Cc1ncccc1-c1ccccc1N=Cc1ccccn1 7.7381334 0.45098039215686275</t>
  </si>
  <si>
    <t>CN(C)Cc1cncc2c(N(C)CCN(C)Cc3ccccn3)cccc12 7.7381306 0.4117647058823529</t>
  </si>
  <si>
    <t>CCN(Cc1ccccn1)c1cccc(C)c1-c1cc(CN(Cc2ccccn2)Cc2cc(C)c(C)c(C)n2)ccn1 7.7381234 0.359375</t>
  </si>
  <si>
    <t>CC(C)N(C)Cc1ccc(-c2cccc(N=Cc3ccccn3)c2)cn1 7.738121 0.35714285714285715</t>
  </si>
  <si>
    <t>Cc1ccc(N(C)Cc2ncccc2N)c(C)c1C 7.7381186 0.3333333333333333</t>
  </si>
  <si>
    <t>Cc1cccc(-c2ccc(NC3CCC(N(C)c4cccc5cc(CN(C)C)cnc45)CC3)cc2)n1 7.738113 0.30434782608695654</t>
  </si>
  <si>
    <t>Cc1cnc(CN(C)c2ncc(C)cc2CN(C)C)c(C)c1 7.7381077 0.28888888888888886</t>
  </si>
  <si>
    <t>Cc1cncc(CN(C)CCN(Cc2ccccn2)c2ccc3nccc(C)c3c2)c1 7.7381024 0.36231884057971014</t>
  </si>
  <si>
    <t>CC(C)NCc1ncccc1CN(Cc1ccccn1)C1CCC(N(C)c2ccc3cc(-c4ccc5cccnc5c4)cnc3c2)CC1 7.7380986 0.3026315789473684</t>
  </si>
  <si>
    <t>COc1cccc(-c2cc(CN(Cc3ccccn3)Cc3ccccn3)ccn2)c1C 7.7380886 0.46551724137931033</t>
  </si>
  <si>
    <t>CCOC(=O)C(=O)N1CCN(C)CCN(C(=O)C(=O)C(=O)C(=O)C(=O)C(=O)C(=O)C(=O)C(=O)C(=O)C(=O)C(=O)C(=O)C(=O)C(=O)C(=O)C(=O)C(=O)C(=O)C(=O)C(=O)C(=O)C(=O)C(=O)C(=O)C(=O)C(=O)C(=O)C(=O)C(=O)C(=O)C(=O)C(=O)C(C)=O)CC1 7.73808 0.30357142857142855</t>
  </si>
  <si>
    <t>CCN(Cc1ccccn1)c1ccc2nc(CN(Cc3ccccn3)Cc3ncc(C)c(C)c3C)ccc2c1 7.7380757 0.5</t>
  </si>
  <si>
    <t>CNc1cc(C)c(C)c(C)n1 7.7380724 0.16279069767441862</t>
  </si>
  <si>
    <t>CCN(Cc1ccccn1)c1cc(-c2cc(CN(Cc3ccccn3)Cc3ncccc3C)ccn2)ccc1-c1cc(C2CCC2(C)C)ccn1 7.7380705 0.3023255813953488</t>
  </si>
  <si>
    <t>CN(c1ccc2nc3c(cc2c1)CCCC3)C1CCC(N(C)c2ccc3c(CF)ccnc3c2)CC1 7.7380557 0.34328358208955223</t>
  </si>
  <si>
    <t>CCN(C)Cc1cc(-c2cccc(N(C)C)c2)ccn1 7.738055 0.3469387755102041</t>
  </si>
  <si>
    <t>CCN(Cc1ccccn1)c1cc2ncccc2cc1CN(C)Cc1ccccn1 7.738054 0.46</t>
  </si>
  <si>
    <t>CN(c1ccc2nc3c(cc2c1)CCCC3)C1CCC(N(C)c2ccc3nccc(CF)c3c2)CC1 7.7380443 0.34328358208955223</t>
  </si>
  <si>
    <t>Cc1cccnc1CN(C)Cc1ccc2ncccc2c1 7.738031 0.3469387755102041</t>
  </si>
  <si>
    <t>COC(=O)C1(C)COC(c2cc(CN(Cc3ccccn3)Cc3cc(C4=NC(C)(C)CO4)ccn3)ccn2)=N1 7.7380223 0.3333333333333333</t>
  </si>
  <si>
    <t>CN(CC1=CCC(N(C)C(c2ccccn2)c2ccccn2)=CN1)c1cccc(F)c1 7.7380095 0.30303030303030304</t>
  </si>
  <si>
    <t>Cc1cccc(CN(C)Cc2cccc(C3=NC(c4ccccn4)CO3)n2)n1 7.738 0.49056603773584906</t>
  </si>
  <si>
    <t>CC(C)C(C)(c1cccnc1)c1cc(CN(Cc2ccccn2)Cc2ncccc2-c2cccc(N=Cc3ccccn3)c2)ccn1 7.737994 0.2840909090909091</t>
  </si>
  <si>
    <t>C=CCN(C)Cc1cccc(-c2cc(Cl)ccc2Cl)n1 7.737993 0.38461538461538464</t>
  </si>
  <si>
    <t>Cc1cccnc1CNCCN(C)c1cccc2ncccc12 7.7379913 0.40816326530612246</t>
  </si>
  <si>
    <t>CC(C)c1cccc(CN(Cc2ccccn2)Cc2ccc(-c3cccc(N=Cc4ccccn4)c3)cn2)n1 7.7379875 0.39705882352941174</t>
  </si>
  <si>
    <t>Cc1cncc(CN(C)c2c(C)ccc(C)c2C)c1 7.7379804 0.26666666666666666</t>
  </si>
  <si>
    <t>CN(Cc1ccccn1)Cc1ncccc1-c1cc(Cl)ccc1N 7.7379804 0.44</t>
  </si>
  <si>
    <t>CCN(Cc1ccccn1)Cc1ncccc1-c1ccccc1N=Cc1ccccn1 7.737973 0.42592592592592593</t>
  </si>
  <si>
    <t>Cc1cnc(CN(C)c2ccccc2-c2cncc(CN(Cc3ccccn3)C(C)C)c2)c(C)c1 7.7379594 0.4</t>
  </si>
  <si>
    <t>Cc1ccnc(CN(C)CCN(C)c2cccc3cc(C)cnc23)c1 7.7379513 0.4791666666666667</t>
  </si>
  <si>
    <t>CC1=CCC(c2cc(NCc3ccccn3)c(-c3ccccc3)cc2C)C=C1NCc1ccccn1 7.737951 0.390625</t>
  </si>
  <si>
    <t>Cc1cc(N(C)Cc2ncccc2N)cc(C)c1C 7.7379456 0.3125</t>
  </si>
  <si>
    <t>COC(C)c1cc(CN(Cc2ccccn2)Cc2cc(-c3cccc(N=Cc4ccccn4)c3)ccn2)ccn1 7.7379427 0.3698630136986301</t>
  </si>
  <si>
    <t>COC(=O)c1ncccc1CN(Cc1ccccn1)Cc1ncccc1C(C)(c1ccccn1)c1ccccn1 7.737941 0.37735849056603776</t>
  </si>
  <si>
    <t>CNC1=C(Cl)NCC=C1N(C)Cc1ccc(C)cn1 7.737937 0.4166666666666667</t>
  </si>
  <si>
    <t>CC(C)(C)c1cc(CN(Cc2ccccn2)Cc2cccc(-c3cccc(N=Cc4ccccn4)c3)n2)ccn1 7.7379365 0.47761194029850745</t>
  </si>
  <si>
    <t>Cc1cccnc1CN(C)CCN(C)c1ccc2ncccc2c1 7.737935 0.40816326530612246</t>
  </si>
  <si>
    <t>CC(C)N(Cc1ccccn1)c1ccc2ccc(CN(C)C(C)(C)c3ccccn3)nc2c1 7.737915 0.43636363636363634</t>
  </si>
  <si>
    <t>Cc1cccnc1CN(C)CCN(C)c1ccc2cccnc2c1 7.7379065 0.4</t>
  </si>
  <si>
    <t>Cc1cc2cccnc2cc1CN(C)Cc1ccccn1 7.737906 0.5</t>
  </si>
  <si>
    <t>CC(C)C(C)(c1cccnc1)N(C)c1ccc2nc(CF)ccc2c1 7.7379055 0.2727272727272727</t>
  </si>
  <si>
    <t>CC(c1ccccn1)(c1ccccn1)c1cccnc1CN(Cc1ccccn1)c1cccc(CF)n1 7.7378993 0.375</t>
  </si>
  <si>
    <t>CN(C)Cc1ccc(-c2ccccc2N)cn1 7.737898 0.35714285714285715</t>
  </si>
  <si>
    <t>CCNCCN(C)c1cccc2nccc(C)c12 7.737887 0.3541666666666667</t>
  </si>
  <si>
    <t>Cc1ccc(-c2cccc(CN(C)Cc3cc(N)ccn3)n2)c(C)c1 7.7378845 0.47058823529411764</t>
  </si>
  <si>
    <t>CC(C)c1cccc(CN(Cc2ccccn2)Cc2cccc(-c3ccccc3N=Cc3ccccn3)n2)n1 7.7378774 0.421875</t>
  </si>
  <si>
    <t>Cc1ccc(N(C)Cc2cc(C(C)(C)c3ccccn3)ccn2)cc1C 7.7378764 0.40384615384615385</t>
  </si>
  <si>
    <t>CC(C)N(C)CC1=C(N(C)c2ccc3nc(CN(C)C)ccc3c2)CC=CN1 7.7378745 0.26785714285714285</t>
  </si>
  <si>
    <t>CCN(Cc1ccccn1)c1ccccc1-c1ccc(CN(C)Cc2cc(C)c(C)c(C)n2)nc1 7.7378697 0.38333333333333336</t>
  </si>
  <si>
    <t>CNCCN(Cc1ccccn1)c1cccc2nccc(CF)c12 7.73786 0.37037037037037035</t>
  </si>
  <si>
    <t>CC(C)N(C)Cc1ccc(-c2ccccc2N=Cc2ccccn2)cn1 7.737859 0.41818181818181815</t>
  </si>
  <si>
    <t>Cc1ccnc(CN(C)Cc2cccc(-c3c(C)cccc3N)n2)c1 7.737857 0.5</t>
  </si>
  <si>
    <t>Cc1cccc(N(Cc2ccccn2)Cc2cc(N(C)C)ccn2)c1 7.7378545 0.42857142857142855</t>
  </si>
  <si>
    <t>CC(C)c1cc(CN(Cc2ccccn2)Cc2cccc(-c3cccc(N=Cc4ccccn4)c3)n2)ccn1 7.737839 0.48484848484848486</t>
  </si>
  <si>
    <t>CCC(C)(c1ccccn1)c1ncccc1CN(Cc1ccccn1)Cc1ncccc1-c1cccc(Cl)c1Cl 7.7378287 0.35714285714285715</t>
  </si>
  <si>
    <t>FCNc1ncccc1-c1cc(C(NCc2ccccn2)c2ccccn2)ccn1 7.7378283 0.3148148148148148</t>
  </si>
  <si>
    <t>CN(C)c1cccc(-c2cccc(CN(Cc3ccccn3)C3C=CC=CN3)n2)c1 7.737828 0.4603174603174603</t>
  </si>
  <si>
    <t>CC(C)CN(C)Cc1cc(-c2cccc(N(C)C)c2)ccn1 7.737828 0.3269230769230769</t>
  </si>
  <si>
    <t>CCN(Cc1ccccn1)c1ccc2nccc(CN(C)C3CCC(N(C)c4ccc5c(CF)ccnc5c4)CC3)c2c1 7.737825 0.34328358208955223</t>
  </si>
  <si>
    <t>Cc1cc(N)ccc1-c1ccc(CN(C)Cc2ncccc2N)cn1 7.737811 0.26229508196721313</t>
  </si>
  <si>
    <t>Cc1ccc(N(C)CC2=CCC=C(N(C)Cc3ccccn3)N2)cc1C 7.7378073 0.4074074074074074</t>
  </si>
  <si>
    <t>Cc1cnc(C)c(CN(C)c2ccccc2-c2cc(CN(Cc3ccccn3)C(C)C)ccn2)c1 7.7378016 0.4067796610169492</t>
  </si>
  <si>
    <t>c1ccc(-c2ccccn2)cc1 7.737798 0.41935483870967744</t>
  </si>
  <si>
    <t>CN(C)c1cccc(-c2ccc(CN(Cc3ccccn3)CC(C)(C)c3cccc(N(C)C)c3)nc2)c1 7.737795 0.41818181818181815</t>
  </si>
  <si>
    <t>C1=CNC(Nc2cccc(C(c3ccccc3)c3ccccn3)n2)C=C1 7.737795 0.31666666666666665</t>
  </si>
  <si>
    <t>Cc1cccnc1CN(C)Cc1ncc(N(C)Cc2ncc(C)c(C)c2C)c(C)c1C 7.737794 0.34</t>
  </si>
  <si>
    <t>Cc1ccc(CN(Cc2ccccn2)c2ccccc2F)nc1N(C)C 7.7377934 0.43137254901960786</t>
  </si>
  <si>
    <t>CCN(Cc1ccccn1)c1cc(CN(C)C(C)(C)c2ccccn2)c2cccnc2c1 7.737785 0.3684210526315789</t>
  </si>
  <si>
    <t>Cc1ccc(C)c(CN(Cc2ccccn2)Cc2ncccc2-c2ccccc2N=Cc2ccccn2)c1 7.73778 0.423728813559322</t>
  </si>
  <si>
    <t>Cc1cnc(CN(C)Cc2cc(-c3cccc(N(C)C(C)C)c3)ccn2)c(C)c1C 7.737777 0.31666666666666665</t>
  </si>
  <si>
    <t>Cc1ccccc1N(C)Cc1nc(C)c(C)cc1C 7.7377734 0.3333333333333333</t>
  </si>
  <si>
    <t>Cc1ccccc1CN(C)Cc1ncccc1-c1ccccc1N(C)C 7.73777 0.3673469387755102</t>
  </si>
  <si>
    <t>CCN(Cc1ccccn1)Cc1ccc2cccc(N(C)Cc3ncccc3C(C)(C)C)c2n1 7.7377663 0.41379310344827586</t>
  </si>
  <si>
    <t>CC(C)(C)c1ncccc1CN(Cc1ccccn1)Cc1ccc(-c2cccc(N=Cc3ccccn3)c2)cn1 7.737762 0.3508771929824561</t>
  </si>
  <si>
    <t>CCNc1ccccc1-c1cc(C(C)(C)c2ccccn2)ccn1 7.737758 0.41818181818181815</t>
  </si>
  <si>
    <t>Cc1ccc2nc(CN(C)Cc3ccc(C)nc3)ccc2c1 7.73775 0.4222222222222222</t>
  </si>
  <si>
    <t>Cc1ccc(CN(Cc2cccc(F)n2)Cc2cccc(-c3ccc(N(C)C)cc3)n2)nc1 7.7377415 0.42</t>
  </si>
  <si>
    <t>CC(C)N(Cc1ccccn1)Cc1cc(-c2cccc(N=Cc3ccccn3)c2)ccn1 7.7377377 0.48</t>
  </si>
  <si>
    <t>Cc1cccc(CN(Cc2cc(-c3ccccc3N(C)C)ccn2)C2CCC(N(C)c3ccc4nccc(CF)c4c3)CC2)n1 7.7377353 0.3026315789473684</t>
  </si>
  <si>
    <t>CC(C)C(C)(c1cccnc1)c1cccc(CN(Cc2ccccn2)C2CCCCC2N(C)c2ccc3ccc(-c4ccc5ncccc5c4)nc3c2)n1 7.737735 0.3170731707317073</t>
  </si>
  <si>
    <t>Cc1ccc2c(CN(C)C3CCCC(N(C)c4ccc5c(CF)ccnc5c4)C3)ccnc2c1 7.737735 0.2857142857142857</t>
  </si>
  <si>
    <t>CC(C)C(C)(c1cccnc1)c1cccc(CN(Cc2ccccn2)C2CCCCC2N(C)c2ccc3cc(-c4ccc5ncccc5c4)cnc3c2)n1 7.7377286 0.325</t>
  </si>
  <si>
    <t>CCN(Cc1ccccn1)Cc1ccc2cccc(N(C)C3C=CC=CN3)c2n1 7.737707 0.4666666666666667</t>
  </si>
  <si>
    <t>CCN(Cc1ccccn1)c1ccc2nccc(CN(C)C3CCC(N(C)c4ccc5nccc(CF)c5c4)CC3)c2c1 7.737705 0.359375</t>
  </si>
  <si>
    <t>Cc1cnc(CN(Cc2cncc(-c3cccc(N(C)Cc4ccccn4)c3)c2)Cc2ccccn2)c(C)c1C 7.737703 0.37037037037037035</t>
  </si>
  <si>
    <t>C=CCN(C)Cc1cc(-c2ccccc2N(C)Cc2cccc(C)n2)ccn1 7.737696 0.41509433962264153</t>
  </si>
  <si>
    <t>CN(Cc1ccc(-c2cccc(N(C)C)c2)cn1)CC1C=CNC=C1N(C)Cc1ccccn1 7.7376943 0.3384615384615385</t>
  </si>
  <si>
    <t>CN(Cc1cccc(-c2cccc(N(C)C)c2)n1)Cc1ncccc1CF 7.737692 0.4528301886792453</t>
  </si>
  <si>
    <t>CN(Cc1cc(-c2ccc3c(c2)OCCOCCOCCOCCOCCO3)ccn1)Cc1ccc2cccc(N(C)Cc3ccc4cccc(N(C)Cc5ccc6ncccc6c5)c4n3)c2n1 7.7376795 0.3058823529411765</t>
  </si>
  <si>
    <t>CC(C)N(CC1=CC(N(C)Cc2ccccn2)C=CN1)c1cccc2ncccc12 7.73767 0.3492063492063492</t>
  </si>
  <si>
    <t>Cc1ccc(-c2cccc(NCc3ccccn3)c2)nc1CN(Cc1ccccn1)Cc1cccc(N(C)C)n1 7.737658 0.45454545454545453</t>
  </si>
  <si>
    <t>Cc1ccc2nc(CN(C)Cc3cccnc3C)ccc2c1 7.7376537 0.40816326530612246</t>
  </si>
  <si>
    <t>CC(C(=O)C(=O)C(=O)C(=O)C(=O)C(=O)C(=O)C(=O)C(=O)C(=O)C(=O)C(=O)C(=O)C(=O)C(=O)C(=O)C(=O)C(=O)C(=O)C=O)C(=O)c1ncccc1C1CCC1(C)C 7.737652 0.21333333333333335</t>
  </si>
  <si>
    <t>Cc1ccc(N(C)Cc2cc(N)ccn2)c(C)c1C 7.7376513 0.391304347826087</t>
  </si>
  <si>
    <t>CC(C)CN(C)Cc1cc(-c2cccc(N=Cc3ccccn3)c2)ccn1 7.737646 0.3559322033898305</t>
  </si>
  <si>
    <t>Cc1ccc2c(CN(C)C3CCCC(N(C)c4ccc5nccc(CF)c5c4)C3)ccnc2c1 7.7376456 0.2727272727272727</t>
  </si>
  <si>
    <t>CC(C)N(CC1=CCC=CN1)Cc1cccc(-c2cccc(N=Cc3ccccn3)c2)n1 7.737641 0.4264705882352941</t>
  </si>
  <si>
    <t>Cc1ccccc1N(C)CC1=CCC=C(N(C)Cc2ccccn2)N1 7.7376404 0.46</t>
  </si>
  <si>
    <t>Cc1ccc(CN(C)c2cccnc2CN(Cc2ccccn2)Cc2ncccc2-c2ccccc2N)nc1 7.737637 0.40350877192982454</t>
  </si>
  <si>
    <t>CN(C)c1cccc(-c2ccc(CN(Cc3ccccn3)Cc3cccc(C(C)(C)c4ccccn4)n3)cn2)c1 7.737633 0.4393939393939394</t>
  </si>
  <si>
    <t>CN(C)Cc1cnccc1-c1ccccc1N 7.737631 0.2826086956521739</t>
  </si>
  <si>
    <t>CN(c1ccc2cc3c(nc2c1)CCCC3)C1CCC(N(C)c2ccc3c(CF)ccnc3c2)CC1 7.7376165 0.35384615384615387</t>
  </si>
  <si>
    <t>COCc1cccc(CN(Cc2ccccn2)Cc2cc(-c3ccccc3N=Cc3ccccn3)ccn2)n1 7.7376122 0.45161290322580644</t>
  </si>
  <si>
    <t>CNCc1cc(CN(Cc2ccccn2)c2ccc3nc(CN(C)Cc4ncccc4C)ccc3c2)ccn1 7.7376065 0.375</t>
  </si>
  <si>
    <t>COC(=O)C(=O)C(=O)C1(C)COC(c2cccc(CNCc3cccc(C4=NC(C)(C)CO4)n3)n2)=N1 7.737598 0.4807692307692308</t>
  </si>
  <si>
    <t>Cc1cccc(CN(C)Cc2ccc(-c3cccc(N(C)C)c3)cn2)c1 7.737592 0.3958333333333333</t>
  </si>
  <si>
    <t>COC(C)c1cc(CN(Cc2ccccn2)Cc2cc(-c3ccccc3N=Cc3ccccn3)ccn2)ccn1 7.7375894 0.34328358208955223</t>
  </si>
  <si>
    <t>Cc1cccc(CN(Cc2cccc(F)n2)Cc2cccc(-c3ccccc3N(C)C)n2)n1 7.7375746 0.45652173913043476</t>
  </si>
  <si>
    <t>Cc1cc(C)nc(CN(C)Cc2cccc(-c3cc(C)ccc3N)n2)c1 7.737573 0.425531914893617</t>
  </si>
  <si>
    <t>CCN(Cc1ccccn1)c1ccccc1-c1cc(C(C)(C)C)ccn1 7.7375717 0.38461538461538464</t>
  </si>
  <si>
    <t>CCN(Cc1cc(C)ccn1)Cc1cc(-c2cccc(N=Cc3ccccn3)c2)ccn1 7.7375684 0.3728813559322034</t>
  </si>
  <si>
    <t>CCCN(Cc1ccccn1)Cc1cccc(N(C)c2cccc3ncc(CF)cc23)n1 7.7375674 0.41379310344827586</t>
  </si>
  <si>
    <t>Cc1cccc2nccc(CN(C)C3CCCC(N(C)c4cccc5ncc(CF)cc45)C3)c12 7.737563 0.2631578947368421</t>
  </si>
  <si>
    <t>CC(C)(C1=CC2C(=CN1)C=Cc1cccnc12)c1ccc(CN(Cc2ccccn2)Cc2ccccn2)cn1 7.7375584 0.3448275862068966</t>
  </si>
  <si>
    <t>Cc1ccnc2ccc(C3CN(C)CCN(C)CCN3Cc3nc4ccccc4n3C)cc12 7.7375555 0.4745762711864407</t>
  </si>
  <si>
    <t>Cc1cnc2cccc(N(C)CCN(C)Cc3ccccn3)c2c1 7.7375507 0.44680851063829785</t>
  </si>
  <si>
    <t>C=Cc1ccccc1N(C)CCN(C)Cc1ccc2ncccc2c1 7.737549 0.4117647058823529</t>
  </si>
  <si>
    <t>COC(=O)c1cc(CN2CCN(C)CCN(C(=O)C(=O)C(=O)C(=O)C(=O)C(=O)C(=O)C(=O)C(=O)C(=O)C(=O)C(=O)C(=O)C(=O)C(=O)C(=O)C(=O)C(=O)C(=O)C(=O)C(=O)C(=O)C(=O)C(=O)C(=O)C(=O)C(=O)C(=O)C(=O)C(=O)C(=O)C(=O)C(=O)C(=O)C=O)CC2)ccn1 7.7375436 0.3880597014925373</t>
  </si>
  <si>
    <t>CN(C)c1ccc(-c2ccc(CN(Cc3ccc(F)nc3)Cc3cccc(F)n3)nc2)cc1 7.7375417 0.3333333333333333</t>
  </si>
  <si>
    <t>CCNCCN(C)c1ccc2nccc(C)c2c1 7.737531 0.22641509433962265</t>
  </si>
  <si>
    <t>Cc1ccccc1CN(C)Cc1cccc(-c2cccc(N=Cc3ccccn3)c2)n1 7.737512 0.4482758620689655</t>
  </si>
  <si>
    <t>CC1=CCC(C)C=C1N(CCN(C)c1ccc2ncccc2c1)Cc1ccccn1 7.737496 0.3492063492063492</t>
  </si>
  <si>
    <t>Cc1cncc(CN(C)Cc2ccc3cccc(C)c3n2)c1 7.7374916 0.3541666666666667</t>
  </si>
  <si>
    <t>CN(Cc1ccccn1)C1=CNC(CN(Cc2ccccn2)Cc2cccc(-c3cccc(Cl)c3N)n2)=CC1 7.73749 0.4090909090909091</t>
  </si>
  <si>
    <t>COC(=O)NCNC(=O)c1ncc(C)c(OC)c1C 7.7374883 0.34615384615384615</t>
  </si>
  <si>
    <t>CN(CCN(Cc1ccccn1)c1cccc2cccnc12)Cc1ccon1 7.7374873 0.5</t>
  </si>
  <si>
    <t>Cc1cccnc1CN(Cc1ccc(-c2cccc(N(C)C)c2)cn1)Cc1cccc(C(C)(C)C)n1 7.737486 0.3380281690140845</t>
  </si>
  <si>
    <t>CC(C)N(Cc1ccccn1)Cc1cc(-c2ccc(N=Cc3ccccn3)cc2)ccn1 7.7374573 0.48</t>
  </si>
  <si>
    <t>CNCCN(Cc1ccccn1)c1cccc2nccc(CN(C)Cc3ncc(C)c(C)c3C)c12 7.737457 0.3283582089552239</t>
  </si>
  <si>
    <t>CCN(Cc1ccccn1)c1cccc(-c2cccc(CN(Cc3ccccn3)C3CCC(N(C)c4ccc5ccc(CF)nc5c4)CC3)n2)c1-c1ccccn1 7.7374473 0.38571428571428573</t>
  </si>
  <si>
    <t>Cc1cc(C)c(C)c(CN(C)c2ccc(CN(C)C)cn2)n1 7.737432 0.26</t>
  </si>
  <si>
    <t>CC(C)C1N=COC1c1cc(CN(Cc2ccccn2)Cc2ccc(-c3cccc(N(C)C)c3)cn2)ccn1 7.737425 0.33766233766233766</t>
  </si>
  <si>
    <t>CC(C)N(Cc1cc(-c2cccc(N(C)C)c2)ccn1)Cc1cc(C(C)(C)C)ccn1 7.7374234 0.37254901960784315</t>
  </si>
  <si>
    <t>Cc1ccccc1CN(C)Cc1cc(-c2cccc(N(C)C)c2)ccn1 7.7374196 0.3584905660377358</t>
  </si>
  <si>
    <t>CCN(Cc1ccccn1)c1ccc2nccc(CN(C)C(C)(C)c3ccccn3)c2c1 7.737414 0.3559322033898305</t>
  </si>
  <si>
    <t>CC1=CC(C)CC2(N(C)Cc3cc(-c4cccc(N=Cc5ccccn5)c4)ccn3)N=CC=CC12 7.737409 0.2894736842105263</t>
  </si>
  <si>
    <t>CNCCN(Cc1ccccn1)c1cccc2ncccc12 7.7374063 0.4166666666666667</t>
  </si>
  <si>
    <t>CN(CC1=CC(N(C)c2ccc3ncccc3c2)C=CN1)Cc1ccccc1 7.7374015 0.3125</t>
  </si>
  <si>
    <t>Cc1cnc(CN(Cc2ccccn2)c2cccc3ncccc23)c(CN(Cc2ccccn2)Cc2ccccn2)c1 7.7374015 0.4</t>
  </si>
  <si>
    <t>CC(c1ccnc(CNC2=CCC=CN2)c1)(c1ccccn1)c1ccccn1 7.7373986 0.38333333333333336</t>
  </si>
  <si>
    <t>CC(C)NCc1ccc(-c2cc(NCc3ccccn3)ccc2Cl)cn1 7.737386 0.3492063492063492</t>
  </si>
  <si>
    <t>Cc1ccc2ccc(N(C)C3CCC(N(C)Cc4cccc(-c5cccc(N(C)C)c5)n4)CC3)cc2n1 7.737386 0.3770491803278688</t>
  </si>
  <si>
    <t>CC(C)N(C)CC1=C(N(C)c2ccc3ccc(CN(C)C)nc3c2)CC=CN1 7.737377 0.2727272727272727</t>
  </si>
  <si>
    <t>CN(C)c1cccc(-c2ccnc(CN(C)C(C)(C)c3ccccn3)c2)c1 7.7373767 0.3584905660377358</t>
  </si>
  <si>
    <t>CN(Cc1ccccn1)C1=CNC(CN(CC(C)(C)C)c2ccc3cccnc3c2)=CC1 7.7373757 0.3709677419354839</t>
  </si>
  <si>
    <t>Cc1cccc(NCc2ccccn2)c1-c1cccc(CN(C)Cc2cc(N)ccn2)n1 7.737368 0.4909090909090909</t>
  </si>
  <si>
    <t>Cc1cccnc1CN(CN(C)c1ccc2ncccc2c1)C1CCC(N(C)c2ccc3nccc(CF)c3c2)CC1 7.7373657 0.24</t>
  </si>
  <si>
    <t>CC(C)N(Cc1ccccn1)Cc1cc(-c2ccccc2N=Cc2ccccn2)ccn1 7.7373643 0.47058823529411764</t>
  </si>
  <si>
    <t>CN(C)c1ccccc1C(C)(C)c1ccon1 7.7373533 0.30952380952380953</t>
  </si>
  <si>
    <t>CN(C)c1cccc(-c2cccnc2CN(Cc2cncc(F)c2)Cc2cccc(F)n2)c1 7.7373447 0.3150684931506849</t>
  </si>
  <si>
    <t>CCN(Cc1ccccn1)c1ccc2nccc(CN(Cc3ccccn3)Cc3ncccc3N)c2c1 7.737342 0.37735849056603776</t>
  </si>
  <si>
    <t>CN(CC1=CC(N(C)c2ccc3cccnc3c2)C=CN1)Cc1ccccc1 7.737334 0.3076923076923077</t>
  </si>
  <si>
    <t>Cc1cc(CN(C)CCN(C)c2cccc3ncccc23)ccn1 7.7373295 0.42857142857142855</t>
  </si>
  <si>
    <t>Cc1cc(NCc2ccccn2)ccc1-c1ccc(CN(C)Cc2cc(N)ccn2)cn1 7.7373295 0.3384615384615385</t>
  </si>
  <si>
    <t>CC(C)N(Cc1ccccn1)Cc1ncccc1-c1cccc(N=Cc2ccccn2)c1 7.737327 0.4528301886792453</t>
  </si>
  <si>
    <t>CNCc1ccccc1-c1cc(C(C)(C)c2ccccn2)ccn1 7.7373223 0.3220338983050847</t>
  </si>
  <si>
    <t>Cc1cncc(CN(Cc2ccccn2)Cc2cccc(-c3cccc(N=Cc4ccccn4)c3)n2)c1 7.7373104 0.48484848484848486</t>
  </si>
  <si>
    <t>CN(Cc1cccc(N(C)C)n1)Cc1ncccc1C1=CCC=CN1 7.737309 0.3770491803278688</t>
  </si>
  <si>
    <t>CN(Cc1ccccn1)Cc1cc(-c2cccc(N(C)Cc3ccccn3)c2)ccn1 7.737306 0.5</t>
  </si>
  <si>
    <t>Cc1ccc2nccc(CN(C)C3CCCC(N(C)c4ccc5nccc(CF)c5c4)C3)c2c1 7.7373047 0.28125</t>
  </si>
  <si>
    <t>CC(C)C1=CC(N(C)Cc2cccc(-c3cccc(N=Cc4ccccn4)c3)n2)C=CN1 7.7373037 0.36</t>
  </si>
  <si>
    <t>Cc1ccc(N(C)C2CCCC(N(C)c3ccc4ccc(CN(C)C)nc4c3)C2)cc1N(C)Cc1ccc(C)c(C)n1 7.7372985 0.265625</t>
  </si>
  <si>
    <t>CCCN(C)Cc1ccc2cccc(N(C)CC3=C(N(C)Cc4ccccn4)CC=CN3)c2n1 7.7372947 0.36363636363636365</t>
  </si>
  <si>
    <t>Cc1cc(C)c(CN(C)c2ccncc2CN(C)C)nc1C 7.7372932 0.28846153846153844</t>
  </si>
  <si>
    <t>C(=Nc1ccccc1-c1cccnc1CN(Cc1ccccn1)Cc1ccccn1)c1ccccn1 7.7372904 0.47619047619047616</t>
  </si>
  <si>
    <t>Cc1ccc2ccc(CN(C)Cc3ncccc3N)nc2c1 7.737287 0.36538461538461536</t>
  </si>
  <si>
    <t>CN(CN(Cc1ccccn1)C(C)(C)c1ccccn1)c1ccc2cccnc2c1 7.737278 0.42592592592592593</t>
  </si>
  <si>
    <t>CC(C)N(C)Cc1ncccc1-c1ccccc1N=Cc1ccccn1 7.7372775 0.45098039215686275</t>
  </si>
  <si>
    <t>Cc1ccnc(CN(Cc2ccccn2)Cc2ccnc3cccc(C)c23)c1 7.7372656 0.46511627906976744</t>
  </si>
  <si>
    <t>CC(C)CN(C)Cc1cc(-c2ccc(N=Cc3ccccn3)cc2)ccn1 7.737263 0.35714285714285715</t>
  </si>
  <si>
    <t>Cc1cc(N(C)C)nc(CN(Cc2ccccn2)c2ccccc2F)c1C 7.7372613 0.3888888888888889</t>
  </si>
  <si>
    <t>Cc1ccnc2c(N(C)CCN(C)CC3=NC(C)CO3)cccc12 7.7372603 0.38181818181818183</t>
  </si>
  <si>
    <t>Cc1cnc(CN(C)CCN(C)c2ccc3nc(CF)ccc3c2)c(C)c1C 7.737255 0.39215686274509803</t>
  </si>
  <si>
    <t>Cc1cc(CN(C)CCN(C)c2ccc3c(CF)ccnc3c2)ccn1 7.737248 0.2962962962962963</t>
  </si>
  <si>
    <t>Cc1ccc(-c2ccc(CN(C)Cc3cc(C)c(C)c(C)n3)cc2)nc1 7.7372465 0.3958333333333333</t>
  </si>
  <si>
    <t>CCN(CC1=CCC(N(C)C(C)C)=CN1)c1cccc2ncccc12 7.737246 0.3</t>
  </si>
  <si>
    <t>CC(C)N(Cc1ccccn1)Cc1ccc2cccc(N(C)C3C=CC=CN3)c2n1 7.737243 0.42105263157894735</t>
  </si>
  <si>
    <t>CN(Cc1cccc(-c2cc(N)ccc2Cl)n1)CC1C=CNC(N(C)Cc2ccccn2)=C1 7.737241 0.4090909090909091</t>
  </si>
  <si>
    <t>CNCc1cccc(CN(Cc2ccccn2)c2ccc3nc(CN(C)Cc4ncccc4C)ccc3c2)n1 7.7372174 0.4098360655737705</t>
  </si>
  <si>
    <t>Cc1ccnc(CN(C)CCN(C)c2ccc3nccc(CF)c3c2)c1 7.7372046 0.34615384615384615</t>
  </si>
  <si>
    <t>CC(C)N(Cc1ccccn1)Cc1ncccc1-c1ccc(N=Cc2ccccn2)cc1 7.737203 0.47058823529411764</t>
  </si>
  <si>
    <t>Cc1ccccc1N(C)Cc1cc(C)c(C)c(C)n1 7.7371993 0.38636363636363635</t>
  </si>
  <si>
    <t>CC(C)c1cc(CN(Cc2ccccn2)Cc2ccc(-c3cccc(N=Cc4ccccn4)c3)cn2)ccn1 7.737198 0.3448275862068966</t>
  </si>
  <si>
    <t>CNCc1cccc(-c2cccc(NCc3ccccn3)c2C)n1 7.737198 0.38461538461538464</t>
  </si>
  <si>
    <t>C1=CNC(Nc2cc(C(c3ccccc3)c3ccccn3)ccn2)C=C1 7.737189 0.3114754098360656</t>
  </si>
  <si>
    <t>CC(C)N(C)Cc1ncccc1-c1cccc(N=Cc2ccccn2)c1 7.737185 0.3620689655172414</t>
  </si>
  <si>
    <t>CC(C)C(C)(c1cccnc1)N(Cc1ccccn1)c1ccc2nc(CF)ccc2c1 7.737179 0.3709677419354839</t>
  </si>
  <si>
    <t>CN(CN(Cc1cccnn1)C1CCCC(N(C)c2cccc3ncccc23)C1)c1cccc2ncccc12 7.737177 0.3448275862068966</t>
  </si>
  <si>
    <t>Cc1cnc(CN(C)c2c(-c3cccnc3CN(C)C(C)C(C)N)ccc(Cl)c2Cl)c(C)c1 7.737171 0.26865671641791045</t>
  </si>
  <si>
    <t>Cc1c(C)c(C)c(N(C)CC2=CCC=C(N(C)Cc3ccccn3)N2)c(C)c1C 7.7371707 0.41818181818181815</t>
  </si>
  <si>
    <t>Cc1cc(C)c(C)c(-c2cncc(CN(C)Cc3cccc(N)n3)c2)c1 7.7371554 0.3333333333333333</t>
  </si>
  <si>
    <t>CN(Cc1ccccn1)C1=CNC(CN(C)c2cccc(Cc3ccccn3)c2)=CC1 7.737149 0.38596491228070173</t>
  </si>
  <si>
    <t>Cc1cccnc1CN(C)CCN(C)c1cccc2nccc(CF)c12 7.737147 0.37037037037037035</t>
  </si>
  <si>
    <t>Cc1ccc(NCc2ccccn2)c(-c2ccc(C)c(CN(C)Cc3cc(N)ccn3)n2)c1 7.737128 0.35384615384615387</t>
  </si>
  <si>
    <t>CCCN(Cc1ccccn1)c1ccc2nccc(CF)c2c1 7.7371235 0.36538461538461536</t>
  </si>
  <si>
    <t>COCc1ccccc1-c1ncccc1CNCc1ncccc1C(C)(c1ccccn1)c1ccccn1 7.7371135 0.3333333333333333</t>
  </si>
  <si>
    <t>CCOC(=O)c1cccc(CN(Cc2ccccn2)Cc2cccc(C3=NC(=O)C(C)(C)O3)n2)n1 7.737112 0.4057971014492754</t>
  </si>
  <si>
    <t>Cc1ccc(CN(Cc2ccccn2)Cc2cccc(-c3ccc(N=Cc4ccccn4)cc3)n2)nc1 7.7371097 0.4603174603174603</t>
  </si>
  <si>
    <t>CC(C)N(Cc1ccccn1)c1cccc(-c2cncc(C(C)(C)C)c2)c1 7.7371044 0.39622641509433965</t>
  </si>
  <si>
    <t>Cc1cccc(-c2ccc(CN(C)Cc3nccc(C)c3C)cn2)c1C 7.737104 0.2857142857142857</t>
  </si>
  <si>
    <t>CN(c1cccc2nc(CF)ccc12)C1CCCC(N(C)c2cccc3nc4c(cc23)CCCC4)C1 7.737103 0.4126984126984127</t>
  </si>
  <si>
    <t>CNCN(c1ccc2nccc(CF)c2c1)C1CCC(N(C)c2ccc3c(CF)ccnc3c2)CC1 7.7371006 0.20833333333333334</t>
  </si>
  <si>
    <t>CNCc1ccc(-c2ccc(C)cc2NCc2ccccn2)cn1 7.737086 0.3728813559322034</t>
  </si>
  <si>
    <t>CCNCc1cccc(-c2cccc(N=Cc3ccccn3)c2)n1 7.737082 0.38095238095238093</t>
  </si>
  <si>
    <t>Cc1cccc(CNCc2ccc(-c3cccc(N=Cc4ccccn4)c3)cn2)c1 7.737082 0.3548387096774194</t>
  </si>
  <si>
    <t>Cc1cncc(N(C)CCN(C)c2ccc(N)cc2Cl)c1 7.737071 0.2641509433962264</t>
  </si>
  <si>
    <t>Cc1ccc(CN(C)C2CCC(N(C)c3ccc4cccnc4c3)CC2N(Cc2ccccn2)c2ccc3ncccc3c2)nc1 7.7370644 0.417910447761194</t>
  </si>
  <si>
    <t>Cc1ccnc(CN(C)CCN(C)c2cccc3ncc(CF)cc23)c1C 7.7370596 0.3275862068965517</t>
  </si>
  <si>
    <t>C1=CC(c2ncccc2C(c2ccccn2)c2ccccn2)C=CN1 7.737054 0.2830188679245283</t>
  </si>
  <si>
    <t>Cc1ccc(CN(Cc2ccc(-c3cccc(N=Cc4ccccn4)c3)nc2)Cc2ccccn2)nc1 7.7370505 0.38571428571428573</t>
  </si>
  <si>
    <t>CN(C)Cc1cnc2cc(N(C)C3CCC(N(C)c4cccc5nc6c(cc45)CCCC6)CC3)ccc2c1 7.7370453 0.37681159420289856</t>
  </si>
  <si>
    <t>CCN(Cc1ccccn1)c1ccc2nc(CN(C)Cc3ncccc3F)ccc2c1 7.737038 0.43636363636363634</t>
  </si>
  <si>
    <t>CC(C)c1cccc(CN(Cc2ccccn2)Cc2cc(-c3cccc(N=Cc4ccccn4)c3)ccn2)n1 7.737027 0.4090909090909091</t>
  </si>
  <si>
    <t>CC(C)(C1=CC2C(=CN1)C=Cc1cccnc12)c1cc(CN(Cc2ccccn2)Cc2ccccn2)ccn1 7.737025 0.3389830508474576</t>
  </si>
  <si>
    <t>CC(C)N(C)Cc1cc(-c2cccc(N=Cc3ccccn3)c2)ccn1 7.737016 0.37037037037037035</t>
  </si>
  <si>
    <t>Cc1ccnc2cc(N(C)CCN(C)CC(C)C)ccc12 7.7370086 0.2549019607843137</t>
  </si>
  <si>
    <t>Cc1cc(C)c(C)c(N(C)Cc2cc(N)ccn2)c1 7.7370033 0.3829787234042553</t>
  </si>
  <si>
    <t>Cc1ccnc2cc(N(C)C3C=CNC(CN(C)C(C)C)=C3)ccc12 7.7370033 0.296875</t>
  </si>
  <si>
    <t>Cc1cc(C)c(N(C)Cc2cc(C(C)(C)C)ccn2)cc1C 7.7369995 0.391304347826087</t>
  </si>
  <si>
    <t>CCN(c1ccc2cccnc2c1)C1CCC(N(C)c2ccc3ncccc3c2)CC1 7.736997 0.3157894736842105</t>
  </si>
  <si>
    <t>CCN(Cc1ccccn1)c1ccc2nc(CN(C)Cc3ncccc3C)ccc2c1 7.7369714 0.43636363636363634</t>
  </si>
  <si>
    <t>CNC1=C(N(Cc2ccccn2)Cc2nc(C)ccc2C)NCC=C1N(C)Cc1ccccn1 7.7369714 0.3387096774193548</t>
  </si>
  <si>
    <t>CC(C)C1N=COC1c1cc(CN(Cc2ccccn2)Cc2cc(-c3cccc(N(C)C)c3)ccn2)ccn1 7.736971 0.35135135135135137</t>
  </si>
  <si>
    <t>Cc1ccc2c(CN(C)C3CCCC(N(C)c4ccc5c(CN(C)C)ccnc5c4)C3)ccnc2c1 7.7369685 0.29508196721311475</t>
  </si>
  <si>
    <t>Cc1ccccc1CN(C)Cc1ncccc1-c1cccc(N(C)C)c1 7.7369556 0.3584905660377358</t>
  </si>
  <si>
    <t>Cc1cccc(CN(C)Cc2cccc(-c3cccc(N=Cc4ccccn4)c3)n2)c1 7.7369556 0.4406779661016949</t>
  </si>
  <si>
    <t>CN(c1cc(Cl)c(Cl)cc1N(C)C1CCCCC1N(Cc1ccccn1)c1ccc2cccnc2c1)C1C=CC=CN1 7.736955 0.37681159420289856</t>
  </si>
  <si>
    <t>CC(C)N(Cc1ccccn1)Cc1ncccc1-c1ccccc1N=Cc1ccccn1 7.736952 0.4897959183673469</t>
  </si>
  <si>
    <t>CN(C)CCN(Cc1cccnc1)c1cccc2ncc(CF)cc12 7.7369494 0.2982456140350877</t>
  </si>
  <si>
    <t>Cc1ccc(CN(C)c2ccccc2-c2cc(CN(Cc3ccccn3)C(C)C)ccn2)nc1C 7.736943 0.41379310344827586</t>
  </si>
  <si>
    <t>CN(C)c1cccc(-c2cccnc2CN(Cc2ccc(F)nc2)Cc2cccc(F)n2)c1 7.7369356 0.323943661971831</t>
  </si>
  <si>
    <t>Cc1ccc(-c2cc(CN(C)Cc3ccccn3)ccn2)c(C)c1C 7.736927 0.4897959183673469</t>
  </si>
  <si>
    <t>CN(C)c1cccc(-c2cc(CN(C)C3CCC(N(C)c4ccc5nccc(CF)c5c4)CC3)ccn2)c1 7.736926 0.2222222222222222</t>
  </si>
  <si>
    <t>CC(C)N(Cc1ccccn1)c1cccc(-c2ccccn2)c1 7.7369237 0.4772727272727273</t>
  </si>
  <si>
    <t>CCN(Cc1ccccn1)c1cccnc1CN(Cc1ccccn1)Cc1ncccc1-c1ccccc1N=Cc1ccccn1 7.7369237 0.37735849056603776</t>
  </si>
  <si>
    <t>CCOC1(C)N=COC1c1cc(CN(Cc2ccccn2)Cc2cc(-c3ccccc3N=Cc3ccccn3)ccn2)ccn1 7.7369113 0.2875</t>
  </si>
  <si>
    <t>CN(Cc1cc(-c2cccc(N=Cc3ccccn3)c2)ccn1)C1C=CNC(C(C)(C)C)=C1 7.7369018 0.3142857142857143</t>
  </si>
  <si>
    <t>CN(c1ccc2c(CF)ccnc2c1)C1CCC(N(C)c2cccc3nc4c(cc23)CCCC4)CC1 7.736897 0.37681159420289856</t>
  </si>
  <si>
    <t>CC(C)N(C)CC1=C(N(C)c2ccc3cccnc3c2)CC=CN1 7.7368965 0.2786885245901639</t>
  </si>
  <si>
    <t>Cc1ccc2ncccc2c1CN(C)Cc1ccccn1 7.736893 0.4782608695652174</t>
  </si>
  <si>
    <t>Cc1ccc(-c2ccc(C)c(CN(C)Cc3cc(N)ccn3)n2)c(NCc2ccccn2)c1 7.7368927 0.35384615384615387</t>
  </si>
  <si>
    <t>Cc1cnc(CN(C)c2cccc(-c3cccc(CN(Cc4ccccn4)C(C)C)n3)c2)c(C)c1C 7.736889 0.4461538461538462</t>
  </si>
  <si>
    <t>Cc1ccc(CN(Cc2cc(-c3cccc(N(C)C)c3)ccn2)Cc2cccc(F)n2)nc1 7.736888 0.3888888888888889</t>
  </si>
  <si>
    <t>CCc1cccc(CN(C)Cc2cccc(-c3cccc(N=Cc4ccccn4)c3)n2)n1 7.7368836 0.4727272727272727</t>
  </si>
  <si>
    <t>Cc1ccc2nc(CN(C)Cc3cccc(N)n3)ccc2c1 7.7368755 0.4418604651162791</t>
  </si>
  <si>
    <t>CN(C)c1ccc(-c2ccnc(CN(C)C(C)(C)c3ccccn3)c2)cc1 7.736874 0.36538461538461536</t>
  </si>
  <si>
    <t>Cc1ccc2nc(CN(C)Cc3ncccc3C)ccc2c1 7.736868 0.3829787234042553</t>
  </si>
  <si>
    <t>CN(c1cccc2nc3c(cc12)CCCC3)C1CCC(N(C)c2cccc3c(CF)ccnc23)CC1 7.7368665 0.4307692307692308</t>
  </si>
  <si>
    <t>CC(C)N(C)CC1=CCC=C(N(C)c2ccc3ccc(CF)nc3c2)N1 7.7368364 0.2727272727272727</t>
  </si>
  <si>
    <t>Cc1cc(CN(C)Cc2ccccn2)c2ncccc2c1 7.736832 0.5</t>
  </si>
  <si>
    <t>CC(c1ccccn1)(c1ccccn1)c1cccnc1CN(Cc1cccnc1F)Cc1ncccc1C(C)(c1ccccn1)c1ccccn1 7.7368298 0.36538461538461536</t>
  </si>
  <si>
    <t>CCNCc1ccc(-c2cccc(N(C)C)c2)cn1 7.7368255 0.2826086956521739</t>
  </si>
  <si>
    <t>Cc1ccc(C)c(CN(C)CCN(C)c2cccc3nccc(CF)c23)n1 7.7368083 0.37037037037037035</t>
  </si>
  <si>
    <t>Cc1cccnc1CN(C)CCN(C)c1ccc2nccc(CF)c2c1 7.7368073 0.3275862068965517</t>
  </si>
  <si>
    <t>CN(CCN(CC(C)(C)C)c1ccc2ncccc2c1)Cc1ccc2ncccc2c1 7.736804 0.38461538461538464</t>
  </si>
  <si>
    <t>Cc1ccc2ccc(CN(C)Cc3cccc(N)n3)nc2c1 7.736802 0.4186046511627907</t>
  </si>
  <si>
    <t>CN(Cc1ccccn1)C1=CNC=C(CN(Cc2ccccn2)Cc2cccc(-c3cccc(N(C)C)c3)n2)C1 7.736783 0.5</t>
  </si>
  <si>
    <t>Cc1ccc(CN(C)Cc2cccc(-c3ccc(Cl)c(N)c3)n2)nc1 7.736778 0.4489795918367347</t>
  </si>
  <si>
    <t>Cc1ccnc(CN(Cc2cc(N)ccn2)Cc2ccnc3cc(C)ccc23)c1 7.7367764 0.32075471698113206</t>
  </si>
  <si>
    <t>Cc1cc(N)ccc1-c1ncccc1CN(C)Cc1cc(N)ccn1 7.736773 0.3333333333333333</t>
  </si>
  <si>
    <t>Cc1ccc(C2=NC(=O)C(C(C)C3(C)COC(c4cccc(C5=NC(C)(C)CO5)n4)=N3)O2)c(C2CCC2(C)C)n1 7.736767 0.4126984126984127</t>
  </si>
  <si>
    <t>Cc1ccc(C)c(CN(C)CCN(C)c2cccc3c(CF)ccnc23)n1 7.7367663 0.4074074074074074</t>
  </si>
  <si>
    <t>CCN(c1ccc2nc(CF)ccc2c1)C1CCC(N(C)c2ccc3nccc(CF)c3c2)CC1 7.736763 0.30434782608695654</t>
  </si>
  <si>
    <t>CCN(CC1=CC(N(C)Cc2ncccc2C)C=CN1)c1ccc2ncccc2c1 7.7367625 0.2535211267605634</t>
  </si>
  <si>
    <t>CCN(CC1=CC(N(C)Cc2ncccc2C)C=CN1)c1ccc2cccnc2c1 7.7367563 0.25</t>
  </si>
  <si>
    <t>CN(CC1=CNC=C(N(C)Cc2ccccn2)C1)Cc1cccc2cccnc12 7.7367535 0.49056603773584906</t>
  </si>
  <si>
    <t>CN(C1=C(CN(Cc2ccccc2)Cc2ccccn2)NC=CC1)c1ccc2ncccc2c1 7.7367516 0.4</t>
  </si>
  <si>
    <t>CCN(Cc1ccccn1)c1ccc(-c2ncccc2CN(Cc2ccccn2)Cc2ncc(C)c(C)c2C)c(C)c1C 7.736746 0.37037037037037035</t>
  </si>
  <si>
    <t>CCc1ccccc1C1=NC(c2ccccn2)C(C)O1 7.736745 0.25</t>
  </si>
  <si>
    <t>CNCc1cccc(CNCc2ncccc2-c2cccc(N=Cc3ccccn3)c2)n1 7.7367406 0.3333333333333333</t>
  </si>
  <si>
    <t>Cc1cccc2c(CN(C)C3CCCC(N(C)c4ccc5c(CF)ccnc5c4)C3)ccnc12 7.7367334 0.2571428571428571</t>
  </si>
  <si>
    <t>CCC(C)(c1ccccn1)c1cc(CN(Cc2ccccn2)Cc2cc(-c3cccc(N=Cc4ccccn4)c3)ccn2)ccn1 7.736727 0.32894736842105265</t>
  </si>
  <si>
    <t>CC1CC=CC2(C=Cc3ccc(C(C)(C)c4cc(-c5cccc(N=Cc6ccccn6)c5)ccn4)cc3C2C)C1C 7.736725 0.26582278481012656</t>
  </si>
  <si>
    <t>CC(C)N(C)CC1=CCC(N(C)c2ccc3cccnc3c2)=CN1 7.7367105 0.2786885245901639</t>
  </si>
  <si>
    <t>Cc1ccc2nc(CN(C)Cc3cc(N)ccn3)ccc2c1 7.7367067 0.391304347826087</t>
  </si>
  <si>
    <t>CC(C)C(C)(c1cccnc1)c1cccc(CN(Cc2ccccn2)C2CCC(N(C)c3ccc4nc(-c5ccc6ncccc6c5)ccc4c3)CC2)n1 7.7366977 0.29545454545454547</t>
  </si>
  <si>
    <t>Cc1ccc(N(C)Cc2cc(C(C)(C)c3ccccn3)ccn2)c(C)c1 7.7366962 0.43137254901960786</t>
  </si>
  <si>
    <t>CCNCc1cccc(-c2ccc(N=Cc3ccccn3)cc2)n1 7.73669 0.38181818181818183</t>
  </si>
  <si>
    <t>CN(C)c1cccc(-c2ccnc(CN(Cc3ccccn3)Cc3cccc(C(C)(C)c4ccccn4)n3)c2)c1 7.7366853 0.43548387096774194</t>
  </si>
  <si>
    <t>Cc1cnc(C2CCC2(C)C)c(C)c1C1=NC(C(C)C2(C)N=COC2c2ncccc2C2=NC(C)(C)CO2)C(=O)O1 7.7366767 0.23170731707317074</t>
  </si>
  <si>
    <t>CC(C)N(C)CC1=C(N(C)c2cccc3ncccc23)CC=CN1 7.736676 0.288135593220339</t>
  </si>
  <si>
    <t>CCOC(=O)c1cccc(-c2cccc(C(C)NCc3ccccn3)n2)n1 7.736676 0.3333333333333333</t>
  </si>
  <si>
    <t>CC(C)c1cc(CNc2ccccc2-c2ccc(C(C)(C)C)cn2)ccn1 7.736674 0.21739130434782608</t>
  </si>
  <si>
    <t>C=Nc1ccccc1-c1cccc(CN(C)Cc2ncc(C)cc2C)n1 7.73667 0.4107142857142857</t>
  </si>
  <si>
    <t>CCN(Cc1ccccn1)C1=CCC(N(C)C(C)(C)c2ccccn2)C(C)=C1c1ccc2cccnc2c1 7.736669 0.3142857142857143</t>
  </si>
  <si>
    <t>CN(c1ccc2nccc(CF)c2c1)C1CCCC(N(C)c2cccc3cc4c(nc23)CCCC4)C1 7.736665 0.5</t>
  </si>
  <si>
    <t>Cc1cccnc1CN(C)CCN(C)c1cccc2ncccc12 7.7366624 0.45652173913043476</t>
  </si>
  <si>
    <t>CC(C)N(C)CC1=C(N(C)c2ccc3c(CF)ccnc3c2)CC=CN1 7.736654 0.2112676056338028</t>
  </si>
  <si>
    <t>CN(c1cccc2ncccc12)C1CCCCC1Nc1ccc2cccnc2c1 7.7366533 0.4727272727272727</t>
  </si>
  <si>
    <t>Cc1ccc(CN(Cc2ccccn2)Cc2cccc(-c3ccccc3N=Cc3ccccn3)n2)nc1 7.736653 0.43103448275862066</t>
  </si>
  <si>
    <t>Cc1ccc(CN(Cc2ccccn2)Cc2cc(-c3ccccc3N=Cc3ccccn3)ccn2)c(C)c1 7.736651 0.4166666666666667</t>
  </si>
  <si>
    <t>Cc1cncc(CN(C)CC2=CC(N(C)c3ccc4nc(CF)ccc4c3)C=CN2)c1 7.73665 0.2777777777777778</t>
  </si>
  <si>
    <t>CCNCc1cc(CN(Cc2ccccn2)c2ccc3nc(C)ccc3c2)ccn1 7.7366486 0.3559322033898305</t>
  </si>
  <si>
    <t>CN(CCCN(C)c1cccc(-c2cccc(-c3ccccc3)c2)c1N(C)Cc1ccccn1)Cc1ccccn1 7.736648 0.42592592592592593</t>
  </si>
  <si>
    <t>CC(C)N(Cc1ccccn1)Cc1ccc2cc(N(C)C3C=CC=CN3)ccc2n1 7.736645 0.44642857142857145</t>
  </si>
  <si>
    <t>Cc1ccnc2ccc(N(C)C3C=CNC(CN(C)CC(C)C)=C3)cc12 7.7366447 0.3076923076923077</t>
  </si>
  <si>
    <t>Cc1cc(CN(C)Cc2ccccn2)c2cccnc2c1 7.736635 0.4782608695652174</t>
  </si>
  <si>
    <t>CC(C)CN(Cc1ccccn1)c1ccc2nc(CF)ccc2c1 7.736634 0.46</t>
  </si>
  <si>
    <t>Cc1ccccc1CN(C)Cc1cccc(-c2ccccc2N=Cc2ccccn2)n1 7.7366266 0.4909090909090909</t>
  </si>
  <si>
    <t>Cc1ccc2ccc(CN(C)Cc3cc(N)ccn3)nc2c1 7.736624 0.3695652173913043</t>
  </si>
  <si>
    <t>Cc1ccc2nccc(CN(C)C3CCCC(N(C)c4ccc5c(CN(C)C)ccnc5c4)C3)c2c1 7.7366166 0.28125</t>
  </si>
  <si>
    <t>Cc1cccc(CN(C)Cc2cc(-c3cccc(N(C)C)c3)ccn2)c1 7.736601 0.3333333333333333</t>
  </si>
  <si>
    <t>Cc1cccnc1CN(Cc1ccccn1)Cc1ncccc1-c1cccc(N(C)C)c1 7.7365885 0.43478260869565216</t>
  </si>
  <si>
    <t>CC(C)c1ncccc1CN(Cc1ccccn1)Cc1ccc(-c2cccc(N=Cc3ccccn3)c2)cn1 7.736588 0.35714285714285715</t>
  </si>
  <si>
    <t>Cc1c(Cl)ccc(N(C)CC2=CCC(N(C)Cc3ccccn3)=CN2)c1C 7.7365837 0.49056603773584906</t>
  </si>
  <si>
    <t>CNc1ccc(Cl)c(Cl)c1-c1cccc(CN(Cc2ccccn2)C2CCC(N(C)c3ccc4nc(CF)ccc4c3)CC2)n1 7.7365828 0.3466666666666667</t>
  </si>
  <si>
    <t>FCc1nccc(NCc2ccccn2)c1C1=CCC=CN1 7.7365823 0.41379310344827586</t>
  </si>
  <si>
    <t>Cc1cnc(CN(C)CCN(C)c2cccc3ncc(CF)cc23)c(C)c1 7.7365804 0.34545454545454546</t>
  </si>
  <si>
    <t>Fc1ccc(CN(Cc2ccccn2)Cc2cccc(-c3cccc(N=Cc4ccccn4)c3)n2)nc1 7.736579 0.49206349206349204</t>
  </si>
  <si>
    <t>Cc1ccc(CN(Cc2ccccn2)Cc2ccc(-c3cccc(N=Cc4ccccn4)c3)cn2)nc1 7.7365785 0.39215686274509803</t>
  </si>
  <si>
    <t>Cc1cnc(CN(C)c2cccnc2CN(Cc2ccccn2)c2ccccc2F)c(C)c1 7.736576 0.4107142857142857</t>
  </si>
  <si>
    <t>Cc1ccc(N(C)C)c(C)c1 7.7365756 0.2571428571428571</t>
  </si>
  <si>
    <t>Cc1ccc(CN(Cc2cc(-c3cccc(N=Cc4ccccn4)c3)ccn2)C(C)C)nc1 7.7365704 0.39655172413793105</t>
  </si>
  <si>
    <t>Cc1ccccc1CN(C)Cc1ccc(-c2cccc(N=Cc3ccccn3)c2)cn1 7.7365704 0.4</t>
  </si>
  <si>
    <t>CN(CC1=CC(N(C)c2cccc3ncccc23)C=CN1)C1CCCC(N(C)c2cccc3ncccc23)C1 7.7365694 0.3181818181818182</t>
  </si>
  <si>
    <t>Cc1c(N(C)CCNCc2ccccn2)ccc2ncccc12 7.7365584 0.4772727272727273</t>
  </si>
  <si>
    <t>CN(C)c1cccc(CN(C)c2ccccc2F)n1 7.7365475 0.38095238095238093</t>
  </si>
  <si>
    <t>Cc1ccccc1-c1cc(CN(C)Cc2cc(C)c(C)c(C)n2)ccn1 7.7365417 0.37037037037037035</t>
  </si>
  <si>
    <t>CN(C)Cc1ncccc1-c1ccccc1N 7.7365375 0.35714285714285715</t>
  </si>
  <si>
    <t>Cc1ccc(CN(Cc2ccccn2)Cc2cccnc2-c2cccc(N=Cc3ccccn3)c2)nc1 7.736533 0.36363636363636365</t>
  </si>
  <si>
    <t>CC(C)C1=CC(N(Cc2ccccn2)Cc2cc(-c3ccc(N=Cc4ccccn4)cc3)ccn2)C=CN1 7.7365294 0.3142857142857143</t>
  </si>
  <si>
    <t>Cc1cccnc1CN(C)Cc1nccc2ccccc12 7.7365227 0.3695652173913043</t>
  </si>
  <si>
    <t>CC(C)(C)c1ncccc1CN(Cc1ccccn1)Cc1cc(-c2ccccc2N=Cc2ccccn2)ccn1 7.7365217 0.36507936507936506</t>
  </si>
  <si>
    <t>Cc1cnc(CN(C)CCN(C)c2cccc3nc(CF)ccc23)c(C)c1 7.7365165 0.3888888888888889</t>
  </si>
  <si>
    <t>CC1=C(c2ccccc2)C(c2ccc(C)c(C)c2NCc2ccccn2)CC=C1c1ccccc1 7.736516 0.36923076923076925</t>
  </si>
  <si>
    <t>Cc1cccc(CN(CC2=CCC(N(C)Cc3ccccn3)=CN2)c2cc(C)c(C)c(Cl)c2)n1 7.7365146 0.390625</t>
  </si>
  <si>
    <t>CNc1ccc2nccc(CN(C)C(C)C)c2c1 7.736512 0.2549019607843137</t>
  </si>
  <si>
    <t>CNc1cc(C)cc(C)c1-c1cccc(CN(Cc2ccccn2)C2CCC(N(C)c3ccc4nccc(C)c4c3)CC2)n1 7.7365093 0.3424657534246575</t>
  </si>
  <si>
    <t>Cc1cccc(CN(C)Cc2ncccc2-c2cccc(N(C)C)c2)c1 7.7365017 0.2857142857142857</t>
  </si>
  <si>
    <t>CC(C)c1cccc(CN(Cc2ccccn2)Cc2cc(-c3ccccc3N=Cc3ccccn3)ccn2)n1 7.7364974 0.39344262295081966</t>
  </si>
  <si>
    <t>Cc1cc(N)cc(CN(Cc2ccnc3c(C)cccc23)C2CCC(N(C)c3cccc4cc(CF)cnc34)CC2)n1 7.7364945 0.2948717948717949</t>
  </si>
  <si>
    <t>CC1=C(C)C(C)C(c2ncccc2CN(Cc2ccccn2)Cc2ccccn2)C23C(C)=C(C)C(c4ncccc4CN(Cc4ccccn4)Cc4ccccn4)C(C)C2=C(c2ncccc2CN(Cc2ccccn2)Cc2ccccn2)NC(C(C)(C)c2ccc4ncccc4c2)=C13 7.73649 0.26436781609195403</t>
  </si>
  <si>
    <t>CC(C)N(C)CC1=C(N(C)c2ccc3ncccc3c2)CC=CN1 7.7364874 0.26666666666666666</t>
  </si>
  <si>
    <t>Cc1ccnc(CN(Cc2ccc3cc(N(C)Cc4ncccc4C)ccc3n2)C2CCC(N(C)c3ccc4nc(CF)ccc4c3)CC2)c1 7.7364807 0.28205128205128205</t>
  </si>
  <si>
    <t>CNCN(Cc1ccccn1)c1ccc2nc(CF)ccc2c1 7.7364798 0.46</t>
  </si>
  <si>
    <t>Cc1ccc2cc(N(CCN(C)Cc3ncccc3C)Cc3nccc(C)c3C)ccc2n1 7.7364764 0.34545454545454546</t>
  </si>
  <si>
    <t>CN(CCNc1ccc2nccc(-c3ccccn3)c2c1)C(C)(C)C 7.736476 0.3050847457627119</t>
  </si>
  <si>
    <t>CC1(C)COC(c2cc(C3=NCC(C)(C)O3)ccn2)=N1 7.7364655 0.4444444444444444</t>
  </si>
  <si>
    <t>Cc1ccnc2cccc(N(C)CCN(C(C)C)C(C)C)c12 7.736465 0.391304347826087</t>
  </si>
  <si>
    <t>Cc1cc(C)cc(N(C)CC2=CCC=C(N(C)Cc3ccccn3)N2)c1 7.736465 0.4230769230769231</t>
  </si>
  <si>
    <t>CCc1cccc(CN(C)Cc2cccc(-c3ccc(N=Cc4ccccn4)cc3)n2)n1 7.7364645 0.49056603773584906</t>
  </si>
  <si>
    <t>CC(C)(C)c1cc(CN(Cc2ccccn2)Cc2cc(-c3cccc(N=Cc4ccccn4)c3)ccn2)ccn1 7.736452 0.35714285714285715</t>
  </si>
  <si>
    <t>CCNCc1ccc2nccc(C)c2c1 7.736445 0.22727272727272727</t>
  </si>
  <si>
    <t>CC(C)(C)c1ncccc1CN(Cc1ccccn1)Cc1ncccc1-c1ccccc1N=Cc1ccccn1 7.736426 0.37735849056603776</t>
  </si>
  <si>
    <t>Cc1cnc(C)c(CN(C)CCN(C)c2ccc3nccc(CF)c3c2)c1 7.736418 0.35185185185185186</t>
  </si>
  <si>
    <t>CC(C)C(C)(c1cccnc1)c1cccc(CN(Cc2ccccn2)C2CCCCC2N(C)c2cccc3ccc(-c4cccc5cccnc45)nc23)n1 7.73641 0.41333333333333333</t>
  </si>
  <si>
    <t>Cc1ccc(C)c(CN(C)CCN(C)c2ccc3nc4c(cc3c2)CCC4)n1 7.736405 0.3090909090909091</t>
  </si>
  <si>
    <t>Cc1ccc2nc(CN(C)Cc3ccc(N)cn3)ccc2c1 7.736401 0.5</t>
  </si>
  <si>
    <t>CC(C)N(C)CC1=C(N(C)c2ccc3nccc(CF)c3c2)CC=CN1 7.736395 0.20833333333333334</t>
  </si>
  <si>
    <t>CC(C)C1N=COC1c1cc(CN(Cc2ccccn2)Cc2ccc(-c3cccc(N=Cc4ccccn4)c3)cn2)ccn1 7.7363906 0.30952380952380953</t>
  </si>
  <si>
    <t>CC(C)C(C)(c1cccnc1)c1cccc(CN(Cc2ccccn2)C2CCC(N(C)c3ccc4cc(-c5ccc6ncccc6c5)cnc4c3)CC2)n1 7.736389 0.2839506172839506</t>
  </si>
  <si>
    <t>Cc1ccc(N(C)CCN(C)Cc2cccc3ncccc23)c(C)c1C 7.736386 0.4489795918367347</t>
  </si>
  <si>
    <t>Cc1cccc(N)c1CN(C)CCN(C)c1cccc2ncccc12 7.736379 0.42</t>
  </si>
  <si>
    <t>Cc1ccc(C2CCC2(C)C)nc1C(=O)C(=O)C(=O)C(=O)C(=O)C(=O)C(=O)C(=O)C(=O)C(=O)C(=O)C(=O)C(=O)C=O 7.736378 0.1724137931034483</t>
  </si>
  <si>
    <t>CCNCc1cccc(CN(Cc2ccccn2)c2ccc3nc(C)ccc3c2)n1 7.7363734 0.39285714285714285</t>
  </si>
  <si>
    <t>CN(CC1=C(N(C)Cc2ccccn2)CC=CN1)Cc1ccc2cccnc2c1 7.7363644 0.36666666666666664</t>
  </si>
  <si>
    <t>CN(C)Cc1cc(-c2ccccc2N)ccn1 7.736364 0.36363636363636365</t>
  </si>
  <si>
    <t>Cc1ccnc(CN(C)Cc2ccc3cccc(C)c3n2)c1 7.736361 0.40816326530612246</t>
  </si>
  <si>
    <t>Cc1ccnc(CN(C)Cc2ccc3ccccc3n2)c1C 7.736355 0.4878048780487805</t>
  </si>
  <si>
    <t>CN(C)c1cccc(-c2cccnc2CN(C)C2CCCC(N(C)c3ccc4nccc(CF)c4c3)C2)c1 7.7363462 0.24</t>
  </si>
  <si>
    <t>CNc1ccccc1-c1ncccc1C(C)(C)C 7.736344 0.2916666666666667</t>
  </si>
  <si>
    <t>CNCc1ccc(-c2cccc(NCc3ccccn3)c2C)cn1 7.736338 0.3617021276595745</t>
  </si>
  <si>
    <t>CN(CCN(C)Cc1ccc(-c2cccc3ncccc23)cn1)Cc1ccccn1 7.736328 0.4230769230769231</t>
  </si>
  <si>
    <t>Cc1ccc(-c2cccc(CN(C)Cc3cc(N)ccn3)n2)c(C)c1C 7.736319 0.47058823529411764</t>
  </si>
  <si>
    <t>CCN(CC1=CC(N(C)Cc2ncccc2C)C=CN1)c1cccc2cccnc12 7.736311 0.3898305084745763</t>
  </si>
  <si>
    <t>CC(C)N(Cc1ccccn1)C1CCCCC1N(C)c1ccc2nc(-c3ccc4ncccc4c3)ccc2c1 7.7362957 0.4126984126984127</t>
  </si>
  <si>
    <t>CN(Cc1ccccc1)Cc1cc(-c2cccc(N=Cc3ccccn3)c2)ccn1 7.7362924 0.3620689655172414</t>
  </si>
  <si>
    <t>CN(Cc1cccc(N(C)C)n1)Cc1ncccc1-c1ccccc1 7.7362914 0.4489795918367347</t>
  </si>
  <si>
    <t>Cc1cnc(CN(C)CCN(C)c2ccc3nccc(CF)c3c2)cc1C 7.7362895 0.38461538461538464</t>
  </si>
  <si>
    <t>CC(C)c1cc(CN(Cc2ccccn2)Cc2cc(-c3cccc(N=Cc4ccccn4)c3)ccn2)ccn1 7.736255 0.36363636363636365</t>
  </si>
  <si>
    <t>CN(CCN)CC1=CCC=C(N(C)c2ccc3cccnc3c2)N1 7.736253 0.31666666666666665</t>
  </si>
  <si>
    <t>CCNc1ccc2cccnc2c1 7.736253 0.3469387755102041</t>
  </si>
  <si>
    <t>CN(CN)c1ccc(C2=CCC=CN2)nc1 7.736251 0.35185185185185186</t>
  </si>
  <si>
    <t>Cc1ccc(-c2cccc(NCc3ccccn3)c2)nc1CN(Cc1ccccn1)Cc1ncccc1N(C)C 7.7362504 0.4264705882352941</t>
  </si>
  <si>
    <t>Cc1ccc(CN(Cc2ccccn2)Cc2cc(-c3ccccc3N(C)C)ccn2)nc1C 7.73625 0.42592592592592593</t>
  </si>
  <si>
    <t>Cc1cccc2ncc(CN(C)Cc3ccccn3)cc12 7.7362485 0.4791666666666667</t>
  </si>
  <si>
    <t>CN(c1ccc2ncc(-c3ccc4ncccc4c3)cc2c1)C1CCC(N(Cc2ccccn2)Cc2cccc(C3CC(C)(C)C3)n2)CC1 7.736245 0.3150684931506849</t>
  </si>
  <si>
    <t>CC(C)C1N=COC1c1ncccc1CN(Cc1ccccn1)Cc1cc(-c2cccc(N=Cc3ccccn3)c2)ccn1 7.736221 0.30985915492957744</t>
  </si>
  <si>
    <t>Cc1cccnc1CN(CC1=CCC(N(C)Cc2cncc(C)c2C)=CN1)Cc1ccc2ncccc2c1 7.736218 0.25316455696202533</t>
  </si>
  <si>
    <t>Cc1cnc(CN(C)c2ccccc2-c2cccnc2CN(Cc2ccccn2)C(C)C)c(C)c1 7.736204 0.4444444444444444</t>
  </si>
  <si>
    <t>CC(C)c1cccc(CNCc2cccc(-c3cccc(N=Cc4ccccn4)c3)n2)n1 7.7361937 0.3582089552238806</t>
  </si>
  <si>
    <t>Cc1ccc(C)c(CN(C)CCN(C)c2ccc3c(CF)ccnc3c2)n1 7.736176 0.32727272727272727</t>
  </si>
  <si>
    <t>Cc1ccc(C)c(CN(C)CCN(C)c2ccc3nccc(CF)c3c2)n1 7.7361736 0.32142857142857145</t>
  </si>
  <si>
    <t>Cc1ccnc(CN(C)CCN(C)c2ccc3nc(C)ccc3c2)c1 7.736173 0.40425531914893614</t>
  </si>
  <si>
    <t>Cc1ccnc(CN(C)C2C=CNC(CN(c3ccc4cccnc4c3)C(C)C)=C2)c1 7.736161 0.2714285714285714</t>
  </si>
  <si>
    <t>CN(Cc1ccc(N(C)C)cn1)Cc1cccc(C2=CCC=CN2)n1 7.7361608 0.42592592592592593</t>
  </si>
  <si>
    <t>CNCc1ccc2ncccc2c1 7.736159 0.3023255813953488</t>
  </si>
  <si>
    <t>Cc1cc(C)c(C)c(N(C)Cc2ccc(N)cn2)c1 7.7361584 0.3953488372093023</t>
  </si>
  <si>
    <t>CN(C)Cc1ccc(-c2ccc(N)cc2)cn1 7.7361565 0.39473684210526316</t>
  </si>
  <si>
    <t>Cc1ccc(N)c(-c2ncccc2CN(C)Cc2ncccc2N)c1C 7.736152 0.33962264150943394</t>
  </si>
  <si>
    <t>CN(CC1=C(N(C)Cc2ccccn2)CC=CN1)Cc1ccc2ncccc2c1 7.7361507 0.36666666666666664</t>
  </si>
  <si>
    <t>Cc1ccnc(C2CCC2(C)C)c1C(=O)C(=O)C(=O)C(=O)C(=O)C(=O)C(=O)C(=O)C(=O)C(=O)C(=O)C(=O)C(=O)C=O 7.73615 0.19444444444444445</t>
  </si>
  <si>
    <t>Cc1cccnc1CN(Cc1ccccn1)Cc1ccnc2ccc(N(Cc3ccccn3)C(C)C)cc12 7.736146 0.37735849056603776</t>
  </si>
  <si>
    <t>CCN(Cc1ccccn1)c1ccc2nccc(CN(C)Cc3ccccn3)c2c1 7.7361383 0.4230769230769231</t>
  </si>
  <si>
    <t>Cc1cccc(CN(C)Cc2cccc(-c3ccccc3N=Cc3ccccn3)n2)c1 7.7361355 0.4482758620689655</t>
  </si>
  <si>
    <t>Fc1ccccc1N(Cc1ccccn1)Cc1ncccc1-c1ccccc1NCc1ccccn1 7.7361336 0.3469387755102041</t>
  </si>
  <si>
    <t>CC(C)N(C)CN(C)c1ccc2nccc(CN(C)C)c2c1 7.736132 0.24528301886792453</t>
  </si>
  <si>
    <t>Cc1cccc(N(Cc2ccccn2)Cc2ncccc2N(C)C)c1C 7.7361293 0.40816326530612246</t>
  </si>
  <si>
    <t>Cc1ccccc1N(Cc1ccccn1)Cc1nc(N(C)C)cc(C)c1C 7.736127 0.4117647058823529</t>
  </si>
  <si>
    <t>CC(C)(CN(Cc1ccccn1)c1cccc2ncccc12)c1ccccc1NCc1ccccn1 7.7361193 0.3559322033898305</t>
  </si>
  <si>
    <t>Cc1cc(C)c(CN(C)CCN(C)c2ccc3ncccc3c2)cn1 7.7360973 0.43137254901960786</t>
  </si>
  <si>
    <t>Cc1cccnc1CN(CCN(C)c1ccc2nccc(C)c2c1)C1CCC(N(C)c2ccc3nccc(C)c3c2)CC1 7.7360973 0.25</t>
  </si>
  <si>
    <t>Cc1cccnc1CN(Cc1ccccn1)Cc1ccnc2cc(N(Cc3ccccn3)C(C)C)ccc12 7.736095 0.38461538461538464</t>
  </si>
  <si>
    <t>CCNCc1ccc(-c2cccc(N=Cc3ccccn3)c2)cn1 7.7360854 0.3684210526315789</t>
  </si>
  <si>
    <t>Cc1ccnc(CN(C)C2C=CNC(CN(c3ccc4ncccc4c3)C(C)C)=C2)c1 7.7360735 0.2571428571428571</t>
  </si>
  <si>
    <t>CC(C)N(C)CC1=CCC(N(C)c2cccc3ncccc23)=CN1 7.736071 0.30158730158730157</t>
  </si>
  <si>
    <t>Cc1cccc(-c2ccc(CN(C)Cc3cc(C)c(C)c(C)n3)cc2)n1 7.7360578 0.40425531914893614</t>
  </si>
  <si>
    <t>CCNCc1cccc(-c2cccc(N(C)Cc3ccccn3)c2C)n1 7.736049 0.4528301886792453</t>
  </si>
  <si>
    <t>Cc1cccnc1CN(C)c1ccc2nc(CN(C)C3CCC(N(C)c4ccc5nc(CF)ccc5c4)CC3)ccc2c1 7.736048 0.30985915492957744</t>
  </si>
  <si>
    <t>C=Nc1cccc(-c2ccnc(CNCc3cccc(C4=NC(C(C)C)CO4)n3)c2)c1 7.7360344 0.2564102564102564</t>
  </si>
  <si>
    <t>Cc1ccc2c(N(C)CCN(C)Cc3cnccc3C)cccc2n1 7.7360315 0.37254901960784315</t>
  </si>
  <si>
    <t>CCN(C)CN(C)c1cccc2nccc(CN(C)C)c12 7.7360287 0.3</t>
  </si>
  <si>
    <t>CN(c1cccc2ncccc12)C1C=CNC(C(C)(C)NCc2ccccn2)=C1 7.736025 0.2857142857142857</t>
  </si>
  <si>
    <t>CN(CN(Cc1ccccn1)C(C)(C)c1ccccn1)c1cccc2ncccc12 7.7360234 0.41509433962264153</t>
  </si>
  <si>
    <t>Cc1ccc(C)c(-c2ccc(C)c(CN(C)Cc3ccccn3)c2NCc2ccccn2)c1C 7.736019 0.4</t>
  </si>
  <si>
    <t>CC(C)N(C)CN(C)c1ccc2c(CN(C)C)ccnc2c1 7.7360177 0.25</t>
  </si>
  <si>
    <t>Cc1ccc(CN(C)c2ccc3nc(CN(C)C4CCC(N(C)c5ccc6ccc(CF)nc6c5)CC4)ccc3c2)nc1 7.7360144 0.4098360655737705</t>
  </si>
  <si>
    <t>CC(C)c1ncccc1CN(Cc1ccccn1)Cc1ccc(-c2ccccc2N=Cc2ccccn2)cn1 7.7360044 0.3709677419354839</t>
  </si>
  <si>
    <t>CCNCC1=CC(N(C)c2ccc3cccnc3c2)C=CN1 7.735998 0.296875</t>
  </si>
  <si>
    <t>CN(C)c1ccccc1C1=C(NCc2ccccn2)CNC=C1 7.7359896 0.34</t>
  </si>
  <si>
    <t>Cc1cnc(CN(Cc2cncc(-c3ccccc3N(C)C)c2)Cc2ccccn2)c(C)c1 7.735988 0.37735849056603776</t>
  </si>
  <si>
    <t>Cc1cccc(CN(Cc2ccccn2)Cc2cccc(-c3ccccc3N=Cc3ccccn3)n2)n1 7.7359877 0.45454545454545453</t>
  </si>
  <si>
    <t>CN(Cc1ccccn1)C1=CNC(CN(Cc2ccccn2)Cc2cccc(-c3cccc(Cl)c3Cl)n2)=CC1 7.7359776 0.421875</t>
  </si>
  <si>
    <t>CCN(c1cccc2cccnc12)C1CCC(N(C)c2ccc3ncccc3c2)CC1 7.7359743 0.4716981132075472</t>
  </si>
  <si>
    <t>CCNCc1cccc(-c2cc(Cl)cc(Cl)c2)n1 7.735968 0.30357142857142855</t>
  </si>
  <si>
    <t>Cc1cccnc1CN(Cc1cc(-c2cccc(N=Cc3ccccn3)c2)ccn1)C(C)C 7.7359653 0.4</t>
  </si>
  <si>
    <t>Cc1cccnc1CN(C)c1ccc(C)c(C)c1C 7.73596 0.36363636363636365</t>
  </si>
  <si>
    <t>Cc1ccc(N=Cc2ccccn2)c(-c2ccc(CN(Cc3ccccn3)Cc3ccccn3)cn2)c1 7.7359567 0.38461538461538464</t>
  </si>
  <si>
    <t>Cc1cccc2nccc(CN(C)C3CCCC(N(C)c4cccc5nccc(CF)c45)C3)c12 7.7359567 0.29411764705882354</t>
  </si>
  <si>
    <t>CCN(C)c1ccccc1-c1cc(C(C)(C)C)ccn1 7.7359557 0.3</t>
  </si>
  <si>
    <t>CN(CCN(C)Cc1ccc2cccnc2c1)Cc1ccc2cccnc2c1 7.7359376 0.5</t>
  </si>
  <si>
    <t>Fc1ccc(CN(Cc2ccccn2)Cc2cccc(-c3ccccc3N=Cc3ccccn3)n2)nc1 7.735931 0.42857142857142855</t>
  </si>
  <si>
    <t>CN(C)c1cccc(-c2cccc(C(C)(C)C3=CC(N(C)Cc4ccccn4)C=CN3)c2NCc2ccccn2)c1 7.735927 0.3246753246753247</t>
  </si>
  <si>
    <t>Cc1ccc(-c2cc(C(C)C)ccn2)cc1 7.735926 0.2391304347826087</t>
  </si>
  <si>
    <t>Cc1ccccc1CN(C)Cc1ccc(-c2ccccc2N=Cc2ccccn2)cn1 7.7359247 0.4642857142857143</t>
  </si>
  <si>
    <t>Cc1ccnc(CN(C)C2=C(CN(C)Cc3ccc4ncccc4c3)NC=CC2)c1 7.7359242 0.30303030303030304</t>
  </si>
  <si>
    <t>CN(c1ccc2ncc(CF)cc2c1)C1CCCCC1N(C)c1ccc2nc(CF)ccc2c1 7.7359223 0.48214285714285715</t>
  </si>
  <si>
    <t>Cc1ccc(-c2ccc(CN(Cc3ccccn3)Cc3cc(N)ccn3)cn2)c(N(C)Cc2ccccn2)c1C 7.7359176 0.36363636363636365</t>
  </si>
  <si>
    <t>Cc1ccc(CN(Cc2ccccn2)Cc2cccnc2-c2ccccc2N=Cc2ccccn2)nc1 7.735911 0.4067796610169492</t>
  </si>
  <si>
    <t>CC(C)CN(Cc1ccccn1)Cc1cccc(N(C)c2ccc3ncccc3c2)n1 7.7359037 0.41818181818181815</t>
  </si>
  <si>
    <t>Cc1cccc(CN(C)Cc2cccc(-c3cc(Cl)ccc3N)n2)n1 7.7358994 0.5</t>
  </si>
  <si>
    <t>CC(C)CN(Cc1ccccn1)c1ccc2ncccc2c1 7.735899 0.43478260869565216</t>
  </si>
  <si>
    <t>CCN(CC1=CC(N(C)Cc2cc(C)c(C)c(C)n2)C=CN1)c1ccc2ncccc2c1 7.7358894 0.24</t>
  </si>
  <si>
    <t>Cc1cccnc1CN(C)CCN(Cc1ccccn1)c1cccc2nccc(C)c12 7.7358894 0.35714285714285715</t>
  </si>
  <si>
    <t>CCN(Cc1cc(-c2ccccc2N=Cc2ccccn2)ccn1)Cc1ncccc1C 7.735883 0.4406779661016949</t>
  </si>
  <si>
    <t>Cc1cc(C)c(C)c(CN(C)CCN(C)c2ccc3ccc(CF)nc3c2)n1 7.7358775 0.34615384615384615</t>
  </si>
  <si>
    <t>Cc1ccc2c(CN(C)Cc3ccccn3)ccnc2c1 7.7358766 0.46808510638297873</t>
  </si>
  <si>
    <t>CCNCc1cc(-c2cc(C)ccc2N(C)Cc2ccccn2)ccn1 7.735857 0.46153846153846156</t>
  </si>
  <si>
    <t>CN(C)Cc1cncc(-c2ccc(N)cc2)c1 7.735849 0.22727272727272727</t>
  </si>
  <si>
    <t>CC(C)CN(C)CC1=CCC(N(C)c2ccc3cccnc3c2)=CN1 7.7358413 0.27419354838709675</t>
  </si>
  <si>
    <t>Cc1ccc(CN(Cc2ccccn2)Cc2cc(-c3cccc(N(C)C)c3)ccn2)nc1C 7.735841 0.45</t>
  </si>
  <si>
    <t>CNCc1cccc(-c2ccc(NCc3ccccn3)cc2C)n1 7.735839 0.3728813559322034</t>
  </si>
  <si>
    <t>CNCCN(C)c1cccc2ncc(CF)cc12 7.735837 0.34</t>
  </si>
  <si>
    <t>CCNCc1cc(-c2cccc(N(C)C)c2)ccn1 7.7358346 0.3181818181818182</t>
  </si>
  <si>
    <t>CN(Cc1cccc(-c2cccc(N(C)C)c2)n1)Cc1cccc(C(C)(C)C)n1 7.735833 0.42</t>
  </si>
  <si>
    <t>CN(CCN(C)Cc1ccc2cccnc2c1)Cc1ccc2ncccc2c1 7.7358303 0.45454545454545453</t>
  </si>
  <si>
    <t>Cc1ccnc2ccc(N(C)CCN(C(C)C)C(C)C)cc12 7.7358217 0.2549019607843137</t>
  </si>
  <si>
    <t>Cc1cc(Cl)cc(N(C)CC2=CCC(N(C)Cc3ccccn3)=CN2)c1C 7.735819 0.4727272727272727</t>
  </si>
  <si>
    <t>CN(Cc1ccccn1)c1ccc(NCc2ccccn2)cc1-c1cccnc1CN(Cc1ccccn1)Cc1ncccc1N 7.735815 0.4067796610169492</t>
  </si>
  <si>
    <t>Cc1cccc(CN(C)Cc2ccc(-c3cccc(N=Cc4ccccn4)c3)cn2)c1 7.735808 0.3492063492063492</t>
  </si>
  <si>
    <t>CCN(Cc1ccccn1)c1cc(C)c(-c2cc(CN(Cc3ccccn3)Cc3cc(C)c(C)c(C)n3)ccn2)cc1C 7.7358003 0.35714285714285715</t>
  </si>
  <si>
    <t>CN(c1ccc2nc(CF)ccc2c1)C1CCC(N(C)c2ccc3nc(CF)ccc3c2)CC1 7.7357917 0.42</t>
  </si>
  <si>
    <t>CC(C)NCc1cccc(CN(Cc2ccccn2)c2ccc3ncccc3c2)n1 7.7357874 0.4</t>
  </si>
  <si>
    <t>CCNCc1cccc(-c2ccccc2N=Cc2ccccn2)n1 7.7357774 0.46153846153846156</t>
  </si>
  <si>
    <t>Cc1cnc(CN(C)CCN(C)c2cccc3nccc(CF)c23)c(C)c1 7.735775 0.3392857142857143</t>
  </si>
  <si>
    <t>Cc1nc(CN(C)C2=C(N(C)Cc3nc(C)c(C)c(C)c3C)C(N(C)Cc3nc(C)c(C)c(C)c3C)C(N(C)Cc3nc(C)c(C)c(C)c3C)=C(CN(C)CC3=CC(N(C)Cc4nc(C)c(C)c(C)c4C)C=CN3)N2)c(C)c(C)c1C 7.7357635 0.2714285714285714</t>
  </si>
  <si>
    <t>CC(C)C(C)(c1cccnc1)N(Cc1ccccn1)C1CCC(N(C)c2ccc3nccc(-c4ccc5ncccc5c4)c3c2)CC1 7.7357526 0.2857142857142857</t>
  </si>
  <si>
    <t>Cc1ccnc(CN(C)CCc2nc3ccccc3o2)c1 7.7357483 0.36</t>
  </si>
  <si>
    <t>Cc1cccc(-c2ccccc2)n1 7.7357464 0.35294117647058826</t>
  </si>
  <si>
    <t>CCOC(=O)c1cccc(-c2cc(C(C)NCc3ccccn3)ccn2)n1 7.735742 0.3333333333333333</t>
  </si>
  <si>
    <t>Cc1ccc(CN(Cc2cc(-c3cccc(N(C)C)c3)ccn2)Cc2ncccc2C(C)(C)C)nc1C 7.7357383 0.3194444444444444</t>
  </si>
  <si>
    <t>CC(C)c1cc(CN(Cc2ccccn2)Cc2cc(-c3ccccc3N=Cc3ccccn3)ccn2)ccn1 7.7357354 0.36507936507936506</t>
  </si>
  <si>
    <t>CN(c1ccc2cccnc2c1)C1CCC(N(Cc2ccccn2)c2ccc3cccnc3c2)CC1 7.73573 0.4423076923076923</t>
  </si>
  <si>
    <t>CCN(C)Cc1cc(-c2cccc(N=Cc3ccccn3)c2)ccn1 7.7357225 0.375</t>
  </si>
  <si>
    <t>CN(Cc1cccnc1)Cc1cncc(-c2ccc(N(C)C)cc2)c1 7.7357187 0.2653061224489796</t>
  </si>
  <si>
    <t>CN(CCN(C)Cc1ccc2ncccc2c1)Cc1ccc2ncccc2c1 7.735711 0.5</t>
  </si>
  <si>
    <t>Cc1cc(C)c(N)c(C(C)(c2ccccn2)c2ccccn2)c1 7.7357025 0.4</t>
  </si>
  <si>
    <t>Cc1ccc2ncc(CN(C)Cc3ncccc3N)cc2c1 7.7357016 0.2857142857142857</t>
  </si>
  <si>
    <t>CN(Cc1cc(-c2ccc3cccnc3c2)ccn1)C1CCC(N(C)c2cccc(-c3ccccn3)c2)CC1 7.7356973 0.3384615384615385</t>
  </si>
  <si>
    <t>CN(Cc1ccon1)Cc1ncccc1-c1ccccc1NCc1ccccn1 7.735696 0.4117647058823529</t>
  </si>
  <si>
    <t>CC(C)(c1ccccn1)c1cccc(CN(Cc2ccccn2)Cc2cccc(-c3cccc(N=Cc4ccccn4)c3)n2)n1 7.735691 0.5</t>
  </si>
  <si>
    <t>CN(CCN(Cc1ccccn1)c1ccc2cccnc2c1)c1cccc(F)c1 7.7356853 0.4528301886792453</t>
  </si>
  <si>
    <t>CN(Cc1ccccn1)Cc1cc(-c2ccccc2N(C)C)ccn1 7.735684 0.4782608695652174</t>
  </si>
  <si>
    <t>Cc1ccc(-c2cc(CN(C)Cc3cc(N)ccn3)ccn2)c(C)c1 7.7356715 0.32142857142857145</t>
  </si>
  <si>
    <t>COC(=O)C(=O)N1CCN(C)CCN(C(=O)C(=O)C(=O)C(=O)C(=O)C(=O)C(=O)C(=O)C(=O)C(=O)C(=O)C(=O)C(=O)C(=O)C(=O)C(=O)C(=O)C(=O)C(=O)C(=O)C(=O)C(=O)C(=O)C(=O)C(=O)C(=O)C(=O)C(=O)C(=O)C(=O)C(=O)C(=O)C(=O)C(C)=O)CC1 7.7356677 0.26666666666666666</t>
  </si>
  <si>
    <t>CCN(C)Cc1ncccc1-c1ccc(N=Cc2ccccn2)cc1 7.73565 0.36363636363636365</t>
  </si>
  <si>
    <t>Cc1c(C(C)(c2ccccn2)c2ccccn2)ccnc1CNc1ccccc1F 7.735647 0.3559322033898305</t>
  </si>
  <si>
    <t>Cc1cc(C)nc(CN(Cc2ccccn2)Cc2ccc(-c3ccccc3N(C)C)cn2)c1 7.735638 0.4166666666666667</t>
  </si>
  <si>
    <t>CC(C)C(C)(c1cccnc1)N(Cc1ccccn1)Cc1cccc(N(C)c2ccc3ncccc3c2)n1 7.735631 0.3283582089552239</t>
  </si>
  <si>
    <t>Cc1ccnc(CN(C)CCN(C)c2cccc3ncc4c(c23)CCC4)c1 7.7356296 0.3333333333333333</t>
  </si>
  <si>
    <t>CN(Cc1cccc(C2=CCC=CN2)n1)Cc1cccc(C(C)(c2ccccn2)c2ccccn2)n1 7.7356267 0.4642857142857143</t>
  </si>
  <si>
    <t>CNCN(Cc1ccccn1)c1ccc2cc(CF)cnc2c1 7.7356095 0.3888888888888889</t>
  </si>
  <si>
    <t>C1=CNC(c2ccncc2)=CC1 7.7356076 0.3333333333333333</t>
  </si>
  <si>
    <t>Cc1cccc2ccc(CN(C)Cc3cc(N)ccn3)nc12 7.7356067 0.39215686274509803</t>
  </si>
  <si>
    <t>CNCN(Cc1ccccn1)c1ccc2ccc(CF)nc2c1 7.7356014 0.46938775510204084</t>
  </si>
  <si>
    <t>C=CCN(C)Cc1cccc(-c2cccc(N=Cc3ccccn3)c2)n1 7.735595 0.44642857142857145</t>
  </si>
  <si>
    <t>CC(C)C1N=COC1c1cc(CN(Cc2ccccn2)Cc2cc(-c3cccc(N=Cc4ccccn4)c3)ccn2)ccn1 7.7355895 0.32098765432098764</t>
  </si>
  <si>
    <t>Cc1cccc(N)c1-c1cc(CN(C)Cc2cc(N)ccn2)ccn1 7.7355857 0.37735849056603776</t>
  </si>
  <si>
    <t>CC(C)c1cccc(CN(C)Cc2cccc(-c3cccc(N(C)C)c3)n2)n1 7.7355833 0.42</t>
  </si>
  <si>
    <t>CNc1cccc2c(CN(C)C(C)C)ccnc12 7.7355447 0.3469387755102041</t>
  </si>
  <si>
    <t>CCN(Cc1ccccn1)Cc1ncc(-c2cccc(N(C)C)c2)c(C)c1C 7.735536 0.3888888888888889</t>
  </si>
  <si>
    <t>CN(c1ccc2nc(CF)ccc2c1)C1CCC(N(Cc2ccccn2)c2ccc3cccnc3c2)CC1 7.7355304 0.423728813559322</t>
  </si>
  <si>
    <t>COC(=O)C1N=COC1c1ncccc1C1=NC(C)(C)CO1 7.735526 0.3392857142857143</t>
  </si>
  <si>
    <t>Cc1cnc(CN(Cc2cc(C(C)(C)C)ccn2)Cc2cccc(-c3cccc(N(C)C)c3)n2)c(C)c1 7.7355237 0.4057971014492754</t>
  </si>
  <si>
    <t>CN(Cc1ccccn1)Cc1ccc(-c2cccc(N(C)C)c2)cn1 7.735517 0.48936170212765956</t>
  </si>
  <si>
    <t>CNCc1ccc(-c2cc(NCc3ccccn3)ccc2C)cn1 7.73551 0.3728813559322034</t>
  </si>
  <si>
    <t>CCN(C)CC1=CC(N(C)c2ccc3nccc(C)c3c2)C=CN1 7.735504 0.3225806451612903</t>
  </si>
  <si>
    <t>Cc1cnc(CN(C)CCN(C)c2ccc3cccnc3c2)c(C)c1 7.7355013 0.37037037037037035</t>
  </si>
  <si>
    <t>Cc1cnc(CN(Cc2cncc(-c3ccccc3N(C)C)c2)Cc2ccccn2)c(C)c1C 7.7354994 0.38461538461538464</t>
  </si>
  <si>
    <t>Cc1cc(NCc2ccccn2)ccc1-c1ccc(C)c(CN(C)Cc2cc(N)ccn2)n1 7.7354937 0.359375</t>
  </si>
  <si>
    <t>CCN(CC1=CC(N(C)Cc2ncccc2C)C=CN1)c1cccc2ncccc12 7.7354794 0.2714285714285714</t>
  </si>
  <si>
    <t>Cc1cncc(CN(C)c2ccccc2-c2cccc(CN(C)Cc3cc(N)ccn3)n2)c1 7.7354774 0.4098360655737705</t>
  </si>
  <si>
    <t>CCCN(CCN(C)Cc1ccc2cccnc2c1)c1ccc2cccnc2c1 7.7354693 0.39215686274509803</t>
  </si>
  <si>
    <t>CC(C)C(C)(c1cccnc1)N(Cc1ccccn1)C1CCC(N(C)c2ccc3c(-c4ccc5ncccc5c4)ccnc3c2)CC1 7.735469 0.28205128205128205</t>
  </si>
  <si>
    <t>COC(=O)C(=O)C(=O)C(C)C(C)C(=O)C(=O)C(=O)C(=O)C(=O)C(=O)C(C)C(=O)C(=O)C(=O)C(=O)C(=O)C(=O)C(=O)C(=O)C(=O)C(=O)C(=O)C=O 7.735465 0.125</t>
  </si>
  <si>
    <t>CC(C)N(C)c1cccnc1-c1ccccc1N(C)CN 7.735457 0.3695652173913043</t>
  </si>
  <si>
    <t>CN(Cc1cccc(-c2ccc(N(C)C)cc2)n1)Cc1cccc(C(C)(C)C)n1 7.735455 0.4375</t>
  </si>
  <si>
    <t>CN(CC1=C(N(C)Cc2ccccn2)NC=CC1)Cc1cccc2cccnc12 7.735451 0.48148148148148145</t>
  </si>
  <si>
    <t>Cc1cncc(CN(Cc2ccccn2)Cc2ncccc2-c2cccc(N(C)C)c2)c1C 7.7354507 0.37037037037037035</t>
  </si>
  <si>
    <t>CN(Cc1cc(-c2ccccc2N(C)C)ccn1)Cc1cc(C(C)(C)C)ccn1 7.73544 0.3333333333333333</t>
  </si>
  <si>
    <t>Cc1cc(CN(C)CC2=CC(N(C)c3ccc4ccc(CF)nc4c3)C=CN2)ccn1 7.735435 0.3</t>
  </si>
  <si>
    <t>CCNCc1ccc2c(C)ccnc2c1 7.7354317 0.22727272727272727</t>
  </si>
  <si>
    <t>Cc1nc(CN(C)CCN(Cc2ccccn2)c2cccc3ncccc23)c(C)c(C)c1C 7.735424 0.36666666666666664</t>
  </si>
  <si>
    <t>Cc1ccc(CN(C)C2=C(CN(C)Cc3ccc4ncccc4c3)NC=CC2)nc1 7.7354193 0.3442622950819672</t>
  </si>
  <si>
    <t>CC(C)N(C)Cc1c(N(C)Cc2ccccn2)ccc2cccnc12 7.7354183 0.4791666666666667</t>
  </si>
  <si>
    <t>CC(C)NCCN(C)c1ccc2nccc(CN(C)C)c2c1 7.735413 0.23214285714285715</t>
  </si>
  <si>
    <t>Cc1ccnc(-c2ccccc2)c1 7.7354064 0.36</t>
  </si>
  <si>
    <t>Cc1cccnc1CN(Cc1cc(-c2ccccc2N=Cc2ccccn2)ccn1)C(C)C 7.735402 0.4406779661016949</t>
  </si>
  <si>
    <t>CN(c1ccc2cccnc2c1)C1CCC(Nc2cccc3cccnc23)CC1 7.735393 0.39285714285714285</t>
  </si>
  <si>
    <t>CN(CN)CN(C)c1cccc2ncccc12 7.7353806 0.4186046511627907</t>
  </si>
  <si>
    <t>Cc1ccc(CN(Cc2ccccn2)Cc2cc(-c3ccccc3N=Cc3ccccn3)ccn2)cn1 7.7353764 0.3870967741935484</t>
  </si>
  <si>
    <t>Cc1ccc(CN(Cc2cccnc2C(C)(C)C)Cc2ncccc2-c2cccc(N=Cc3ccccn3)c2)nc1 7.7353754 0.3013698630136986</t>
  </si>
  <si>
    <t>CN(Cc1ccc(-c2ccon2)cn1)Cc1ncccc1C(C)(C)C 7.7353706 0.34615384615384615</t>
  </si>
  <si>
    <t>Cc1cncc(CN(C)c2ccc3nc(CN(C)C(C)C)ccc3c2)c1 7.7353687 0.28846153846153844</t>
  </si>
  <si>
    <t>CN(Cc1ccccn1)Cc1ncccc1N(C)Cc1ncccc1-c1ccccc1N 7.735367 0.44</t>
  </si>
  <si>
    <t>Cc1ccccc1CN(C)Cc1ncccc1-c1cccc(N=Cc2ccccn2)c1 7.735363 0.4067796610169492</t>
  </si>
  <si>
    <t>Cc1cnc(CN(C)CCN(C)c2cccc3nc(CF)ccc23)c(C)c1C 7.7353578 0.37037037037037035</t>
  </si>
  <si>
    <t>Cc1ccc(CN(Cc2ccccn2)C2=CNC(CN(C)Cc3cccc(-c4cccc(N(C)C)c4)n3)=CC2)nc1 7.735357 0.4307692307692308</t>
  </si>
  <si>
    <t>Cc1cc(C)c(N(C)Cc2ncccc2C(C)(C)c2ccccn2)cc1C 7.735357 0.37254901960784315</t>
  </si>
  <si>
    <t>CCN(Cc1ccccn1)Cc1ccc2cccc(N(C)Cc3ncccc3C)c2n1 7.7353525 0.43636363636363634</t>
  </si>
  <si>
    <t>CN(c1ccc2nc(CF)ccc2c1)C1CCC(N(C)c2ccc3cc(CF)cnc3c2)CC1 7.7353477 0.3559322033898305</t>
  </si>
  <si>
    <t>CN(Cc1cccc(-c2ccc3c(c2)OCCOCCOCCOCCOCCO3)n1)Cc1ccc2cccc(N(C)Cc3ccc4cccc(N(C)c5ccc6ncccc6c5)c4n3)c2n1 7.735346 0.32</t>
  </si>
  <si>
    <t>Cc1ccccc1CN(C)Cc1cc(-c2cccc(N=Cc3ccccn3)c2)ccn1 7.73534 0.41379310344827586</t>
  </si>
  <si>
    <t>CC(C)C1=CCC(N(C)CCN(C)c2ccc3c(CN(C)C)ccnc3c2)=CN1 7.735335 0.21875</t>
  </si>
  <si>
    <t>CN(c1ccc2nc(CF)ccc2c1)C1CCC(N(C)c2ccc3ccc(CF)nc3c2)CC1 7.735333 0.40384615384615385</t>
  </si>
  <si>
    <t>CNc1cccc2c(CN(C)C3CCCCC3N(C)c3ccc4c(CF)ccnc4c3)ccnc12 7.735321 0.34328358208955223</t>
  </si>
  <si>
    <t>CNc1ccccc1-c1cccc(C(C)(C)C)n1 7.735316 0.34</t>
  </si>
  <si>
    <t>CNCc1cc(-c2cc(C)ccn2)ccn1 7.735314 0.38636363636363635</t>
  </si>
  <si>
    <t>CN(CC1=CNC=C(N(C)Cc2ccccn2)C1)Cc1cccc2ncccc12 7.7353106 0.3728813559322034</t>
  </si>
  <si>
    <t>C=Cc1ccc(CN(Cc2ccccn2)Cc2cccc(-c3cccc(N=Cc4ccccn4)c3)n2)cc1 7.7353067 0.47692307692307695</t>
  </si>
  <si>
    <t>CC(C)C(C)(c1cccnc1)N(C)c1ccc2ncccc2c1 7.7353034 0.25925925925925924</t>
  </si>
  <si>
    <t>CCCN(CCN(C)Cc1ccc2ncccc2c1)c1ccc2ncccc2c1 7.735302 0.4</t>
  </si>
  <si>
    <t>CC(C)C(C)(c1cccnc1)N(C)c1ccc2cccnc2c1 7.7353005 0.2807017543859649</t>
  </si>
  <si>
    <t>C=Cc1ccc(CN(Cc2ccccn2)Cc2cccc(C3=NC(c4ccccn4)C(C)O3)n2)nc1 7.7352877 0.40625</t>
  </si>
  <si>
    <t>Fc1cccc(CN(Cc2ccccn2)Cc2cccc(-c3ccccc3N=Cc3ccccn3)n2)n1 7.7352858 0.4528301886792453</t>
  </si>
  <si>
    <t>CC(C)C(C)(c1cccnc1)N(Cc1ccccn1)c1ccc2ncccc2c1 7.7352757 0.38181818181818183</t>
  </si>
  <si>
    <t>CC(C)C(C)(c1cccnc1)N(Cc1ccccn1)c1ccc2cccnc2c1 7.7352686 0.40350877192982454</t>
  </si>
  <si>
    <t>CC(C)NCc1cccc(-c2cccc(N(C)C)c2)n1 7.7352686 0.3508771929824561</t>
  </si>
  <si>
    <t>CN(CC1=CCC(N(C)Cc2ccccn2)=CN1)Cc1cccc2cccnc12 7.7352667 0.49056603773584906</t>
  </si>
  <si>
    <t>Cc1ccc(CN(C)c2ccc(C3=CC(N(C)Cc4ccccn4)C=CN3)nc2)nc1 7.735261 0.36507936507936506</t>
  </si>
  <si>
    <t>CCNCc1ncccc1-c1cccc(N(C)C)c1 7.735259 0.27450980392156865</t>
  </si>
  <si>
    <t>CNCc1ccc2cccc(N(C)C3CCC(N(Cc4ccccn4)c4ccc5nccc(CF)c5c4)CC3)c2n1 7.7352576 0.37662337662337664</t>
  </si>
  <si>
    <t>CC(C)C(c1ccccc1)c1cccnc1-c1cccnc1NC1C=CC=CN1 7.735256 0.2727272727272727</t>
  </si>
  <si>
    <t>Cc1ccc(CN(Cc2ccccn2)c2ccc3nc(CN(C)C(C)C)ccc3c2)nc1C 7.735252 0.43636363636363634</t>
  </si>
  <si>
    <t>CN(c1ccc2ncccc2c1)C1CCC(N(Cc2ccccn2)c2cccc3cccnc23)CC1 7.7352514 0.43103448275862066</t>
  </si>
  <si>
    <t>CN(Cc1cccc(-c2cccc(N=Cc3ccccn3)c2)n1)Cc1cccc(C(C)(C)C)n1 7.735244 0.4482758620689655</t>
  </si>
  <si>
    <t>Cc1ccc(CN(C)C2=CNC(CN(C)Cc3ccc4cccnc4c3)=CC2)nc1 7.735239 0.35</t>
  </si>
  <si>
    <t>CCN(CC1=CC(N(C)Cc2ncccc2-c2ccc3ncccc3c2)C=CN1)Cc1ccccn1 7.735234 0.3472222222222222</t>
  </si>
  <si>
    <t>CC(C)C1=NC(c2cccc(CN(Cc3ccccn3)Cc3cccc(-c4cccc(N=Cc5ccccn5)c4)n3)n2)CO1 7.735231 0.43243243243243246</t>
  </si>
  <si>
    <t>CCNCc1cccc(-c2ccc(N(C)Cc3ccccn3)cc2C)n1 7.7352304 0.43636363636363634</t>
  </si>
  <si>
    <t>CN(Cc1cccc(F)n1)Cc1cccc(-c2cccc(Cl)c2N)n1 7.7352247 0.42857142857142855</t>
  </si>
  <si>
    <t>CC1C=C(N(C)Cc2ccccn2)c2cccnc2C1Cl 7.735223 0.4583333333333333</t>
  </si>
  <si>
    <t>Cc1ccc2c(N(C)CCN(C)Cc3ccncc3C)cccc2n1 7.7352085 0.37254901960784315</t>
  </si>
  <si>
    <t>CN(CCN(C)Cc1ncccc1-c1cccc2ncccc12)Cc1ccccn1 7.7352047 0.44</t>
  </si>
  <si>
    <t>CCN(C)Cc1cc(-c2ccc(N=Cc3ccccn3)cc2)ccn1 7.735201 0.37735849056603776</t>
  </si>
  <si>
    <t>CN(CC1=CCC(N(C)Cc2ccccn2)=CN1)Cc1ccc2ncccc2c1 7.735191 0.3728813559322034</t>
  </si>
  <si>
    <t>Cc1ccccc1CN(C)Cc1cc(-c2ccc(N=Cc3ccccn3)cc2)ccn1 7.735191 0.39655172413793105</t>
  </si>
  <si>
    <t>Cc1nccc(CN(C)CCN(C)c2ccc3cccnc3c2)c1C 7.7351866 0.43137254901960786</t>
  </si>
  <si>
    <t>Cc1ccc(CN(Cc2ccccn2)Cc2ncccc2-c2ccccc2N=Cc2ccccn2)nc1 7.7351847 0.41379310344827586</t>
  </si>
  <si>
    <t>CCN(CC1=CC(N(C)Cc2nc(C)c(C)c(C)c2C)C=CN1)c1ccc2ncccc2c1 7.73518 0.24324324324324326</t>
  </si>
  <si>
    <t>Cc1cncc(C)c1CN(C)CCN(C)c1ccc2ncccc2c1 7.735179 0.39215686274509803</t>
  </si>
  <si>
    <t>CC(C)c1ncccc1CN(Cc1ccccn1)Cc1ncccc1-c1ccccc1N=Cc1ccccn1 7.7351646 0.38461538461538464</t>
  </si>
  <si>
    <t>CN(Cc1ccccc1)Cc1nc2ccccc2o1 7.735162 0.3488372093023256</t>
  </si>
  <si>
    <t>Cc1cc(C)nc(CN(C)Cc2ccc(-c3cc(N)ccc3C)nc2)c1 7.73516 0.29310344827586204</t>
  </si>
  <si>
    <t>CN(Cc1ccon1)Cc1ncccc1-c1cccc(NCc2ccccn2)c1 7.7351584 0.375</t>
  </si>
  <si>
    <t>CCCN(Cc1ccccn1)C1=CCC(c2ccccc2N(C)C)C(c2ccccc2N(C)C)=C1c1ccccc1C(C)C 7.735158 0.3181818181818182</t>
  </si>
  <si>
    <t>Cc1ccc(-c2cccc(CN(C)Cc3ccccn3)c2)nc1CN(Cc1ccccn1)Cc1cccc(-c2cccc(N=Cc3ccccn3)c2)n1 7.735151 0.4444444444444444</t>
  </si>
  <si>
    <t>CN(C)Cc1ccnc2c(N(C)C3CCC(N(C)c4cccc5ncc6c(c45)CCCC6)CC3)cccc12 7.7351456 0.3181818181818182</t>
  </si>
  <si>
    <t>Cc1ccccc1N(Cc1ccccn1)Cc1ncccc1N(C)Cc1cc(C)c(C)c(C)n1 7.7351437 0.4528301886792453</t>
  </si>
  <si>
    <t>CNCc1nccc2cc(N(C)CCN(C)Cc3cc(C)c(C)c(C)n3)ccc12 7.73514 0.288135593220339</t>
  </si>
  <si>
    <t>Cc1ccccc1CN(C)CC1=CC(N(C)c2ccc3cccnc3c2)C=CN1 7.7351346 0.31746031746031744</t>
  </si>
  <si>
    <t>Cc1ccccc1CN(C)CC1=CC(N(C)c2ccc3ncccc3c2)C=CN1 7.735133 0.3225806451612903</t>
  </si>
  <si>
    <t>Cc1cnc(CN(C)CCN(C)c2ccc3nccc(CF)c3c2)c(C)c1 7.735132 0.34545454545454546</t>
  </si>
  <si>
    <t>CC(C)c1cccc(CN(C)c2ccc3nc(CN(C)C(C)C)ccc3c2)n1 7.7351274 0.34</t>
  </si>
  <si>
    <t>Cc1cccnc1CN(C)C1C=CNC(CN(c2ccc3ncccc3c2)C(C)C)=C1 7.7351255 0.25</t>
  </si>
  <si>
    <t>CN(Cc1ccccn1)C1=CNC(CN(Cc2ccccn2)CC(C)(C)c2cc(N(C)Cc3ccccn3)cc3ncccc23)=CC1 7.735125 0.38235294117647056</t>
  </si>
  <si>
    <t>Cc1ccc(CN(C)c2ccc(-c3cccc(CN(C)Cc4cccc(F)n4)n3)cc2)nc1 7.735123 0.4489795918367347</t>
  </si>
  <si>
    <t>CC(C)C1(C)COC(c2cc(CN(Cc3ccccn3)Cc3cc(-c4cccc(N(C)C)c4)ccn3)ccn2)=N1 7.7351155 0.33766233766233766</t>
  </si>
  <si>
    <t>CC(N)c1cccc(-c2cccc(NCc3ccccn3)c2)n1 7.7351108 0.4</t>
  </si>
  <si>
    <t>Cc1cc(C)c(CN(C)CCN(Cc2ccccn2)c2ccc3nccc(C)c3c2)cn1 7.7351046 0.34782608695652173</t>
  </si>
  <si>
    <t>CC(C)N(C)CC1=C(N(C)c2cccc3ncccc23)NC=CC1 7.7350836 0.2833333333333333</t>
  </si>
  <si>
    <t>Cc1ccc(CN(Cc2cc(C(C)(C)C)ccn2)Cc2ncccc2-c2cccc(N(C)C)c2)nc1C 7.7350807 0.3108108108108108</t>
  </si>
  <si>
    <t>CCN(Cc1ccccn1)c1cc(C)c(-c2cc(CN(Cc3ccccn3)Cc3nc(C)c(C)c(C)c3C)ccn2)c(C)c1 7.73508 0.35714285714285715</t>
  </si>
  <si>
    <t>Cc1cccnc1CN(CN(C)c1ccc2ncccc2c1)C(C)C 7.735075 0.34615384615384615</t>
  </si>
  <si>
    <t>CN(Cc1ccccn1)c1ccccc1-c1cccc(CN(C)C2C=CC=CN2)n1 7.7350717 0.43859649122807015</t>
  </si>
  <si>
    <t>Cc1ccnc(CN(C)Cc2cc3ncccc3cc2C)c1 7.735069 0.38</t>
  </si>
  <si>
    <t>Cc1cccnc1CN(Cc1ccccn1)Cc1c(-c2cccc(NCc3ccccn3)c2C)nc(C)c(C)c1C 7.735067 0.35714285714285715</t>
  </si>
  <si>
    <t>Cc1ccc(CN(C)C2=CNC(CN(C)Cc3ccc4ncccc4c3)=CC2)nc1 7.7350636 0.35</t>
  </si>
  <si>
    <t>Cc1ccc(C)c(CN(Cc2nc(C)ccc2N)Cc2ccnc3ccccc23)n1 7.735046 0.2807017543859649</t>
  </si>
  <si>
    <t>Cc1ccc(N(C)Cc2cccc(N(C)C3C=CC=CN3)n2)c(C)c1C 7.735039 0.30158730158730157</t>
  </si>
  <si>
    <t>CN(c1ccc2ncc(CF)cc2c1)C1CCC(N(C)c2ccc3nc(CF)ccc3c2)CC1 7.735037 0.35</t>
  </si>
  <si>
    <t>Cc1cnccc1CN(C)c1ccc2nc(CN(C)C(C)(C)C)ccc2c1 7.735036 0.2830188679245283</t>
  </si>
  <si>
    <t>CCNCc1cc(-c2ccc(C)cc2N(C)Cc2cc(C)ccn2)ccn1 7.735025 0.32727272727272727</t>
  </si>
  <si>
    <t>CCN(c1cccc2c(CF)ccnc12)C1CCCCC1N(C)c1ccc2nccc(CF)c2c1 7.7350235 0.3870967741935484</t>
  </si>
  <si>
    <t>Cc1cc(C)c(C)c(N(C)CCN(C)Cc2cccc3ncccc23)c1C 7.735011 0.4583333333333333</t>
  </si>
  <si>
    <t>C=CCN(C)Cc1cccc(-c2ccc(N=Cc3ccccn3)cc2)n1 7.7349935 0.45454545454545453</t>
  </si>
  <si>
    <t>CN(c1ccc2ncccc2c1)C1CCC(N(Cc2ccccn2)c2ccc3cc(CF)cnc3c2)CC1 7.7349873 0.3384615384615385</t>
  </si>
  <si>
    <t>Cc1ccccc1CN(C)Cc1ncccc1-c1ccccc1N=Cc1ccccn1 7.734987 0.5</t>
  </si>
  <si>
    <t>Cc1ccc(N(Cc2ccccn2)Cc2ncccc2N(C)C)c(C)c1 7.734986 0.42</t>
  </si>
  <si>
    <t>Cc1ccc(CN(CC2=CC(N(C)c3ccc4ncccc4c3)C=CN2)Cc2ccccn2)nc1 7.7349806 0.38235294117647056</t>
  </si>
  <si>
    <t>CCN(C)Cc1ncccc1-c1ccccc1N=Cc1ccccn1 7.7349687 0.46</t>
  </si>
  <si>
    <t>Cc1nc(CN(C)CCN(C)c2ccc3nc(CF)ccc3c2)c(C)c(C)c1C 7.734968 0.3269230769230769</t>
  </si>
  <si>
    <t>CN(C)Cc1cnc2cc(N(C)C3=CNC=CC3C(C)(C)C)ccc2c1 7.734967 0.18333333333333332</t>
  </si>
  <si>
    <t>CN(C)c1cccc(-c2cccc(CN(C)C3C=CC=CN3)n2)c1 7.7349634 0.3492063492063492</t>
  </si>
  <si>
    <t>CN(CCN(Cc1ccccn1)c1ccccc1F)c1ccc2cccnc2c1 7.734956 0.4444444444444444</t>
  </si>
  <si>
    <t>Cc1c(C)c(N(C)Cc2ccccn2)c(N(C)Cc2ccccn2)c(C(C)(C)C)c1C 7.7349515 0.4772727272727273</t>
  </si>
  <si>
    <t>Cc1ccc(CN(C)c2ccc(-c3cc(CN(Cc4ccccn4)Cc4cc(C)cc(C)n4)ccn3)cc2)nc1 7.7349353 0.35384615384615387</t>
  </si>
  <si>
    <t>Cc1cccc(CN(C)CC2=CC(N(C)c3ccc4ncccc4c3)C=CN2)c1 7.7349286 0.31343283582089554</t>
  </si>
  <si>
    <t>Cc1cncc(-c2cccc(NCc3ccccn3)c2C(C)(C)C)c1 7.734927 0.3548387096774194</t>
  </si>
  <si>
    <t>CC(C)C1=CC(N(C)Cc2ncccc2-c2cccc(N=Cc3ccccn3)c2)C=CN1 7.734911 0.32857142857142857</t>
  </si>
  <si>
    <t>Fc1ccc(CN(Cc2ccccn2)Cc2ncccc2-c2ccccc2N=Cc2ccccn2)nc1 7.734902 0.43636363636363634</t>
  </si>
  <si>
    <t>CN(c1ccc2cc(CF)cnc2c1)C1CCC(N(C)c2ccc3ccc(CF)nc3c2)CC1 7.7349014 0.3620689655172414</t>
  </si>
  <si>
    <t>C1=CNC(N(Cc2ccccn2)Cc2cccc(-c3cccc(N=Cc4ccccn4)c3)n2)C=C1 7.7348986 0.4057971014492754</t>
  </si>
  <si>
    <t>c1ccc(CNc2cccc(-c3cccnc3)c2)nc1 7.734898 0.4230769230769231</t>
  </si>
  <si>
    <t>Cc1cncc(CN(Cc2cccc(-c3cccc(N=Cc4ccccn4)c3)n2)Cc2cccnc2F)c1 7.734897 0.40540540540540543</t>
  </si>
  <si>
    <t>CN(CC1=CCC(N(C)Cc2cccnn2)=CN1)Cc1cccc2cccnc12 7.7348857 0.4727272727272727</t>
  </si>
  <si>
    <t>c1ccc(CNc2cccc(-c3ccccn3)c2)nc1 7.7348833 0.4489795918367347</t>
  </si>
  <si>
    <t>Cc1cc(C)c(C)c(CN(C)CCN(C)c2cccc3ncc(CF)cc23)n1 7.734879 0.3333333333333333</t>
  </si>
  <si>
    <t>CN(c1ccc2ccc(CF)nc2c1)C1CCC(N(C)c2ccc3ccc(CF)nc3c2)CC1 7.734876 0.42857142857142855</t>
  </si>
  <si>
    <t>CC1N=COC1c1cccc(CN(C)Cc2cc3ccccc3cn2)n1 7.734875 0.38181818181818183</t>
  </si>
  <si>
    <t>CNCc1c(NCc2ccccn2)cccc1-c1ncccc1C 7.7348604 0.3617021276595745</t>
  </si>
  <si>
    <t>CC(C)C1=CC(N(C)Cc2ncccc2-c2ccccc2N=Cc2ccccn2)C=CN1 7.7348604 0.38095238095238093</t>
  </si>
  <si>
    <t>CCN(Cc1ccccn1)Cc1nccc2cccc(N(C)Cc3ccccn3)c12 7.734855 0.46938775510204084</t>
  </si>
  <si>
    <t>CCNCc1cc(-c2cccc(N=Cc3ccccn3)c2)ccn1 7.7348456 0.38181818181818183</t>
  </si>
  <si>
    <t>Cc1ccc(CN(C)Cc2ncccc2-c2ccccc2N(C)C)cc1C 7.734844 0.2962962962962963</t>
  </si>
  <si>
    <t>CNc1cc(Cl)cc(C(C)(C)c2ccccn2)c1F 7.7348433 0.3018867924528302</t>
  </si>
  <si>
    <t>c1ccc(CNc2ccccc2-c2ccccn2)nc1 7.7348433 0.4857142857142857</t>
  </si>
  <si>
    <t>CC(C)N(Cc1ccccn1)c1ccc2nc(CN(C)C3C=CC=CN3)ccc2c1 7.7348256 0.40625</t>
  </si>
  <si>
    <t>Cc1ccccc1CN(C)Cc1cc(-c2ccccc2N=Cc2ccccn2)ccn1 7.7348204 0.4642857142857143</t>
  </si>
  <si>
    <t>CCN(Cc1ccccn1)c1cc2ncccc2cc1CN(C)Cc1ncccc1C 7.734808 0.3793103448275862</t>
  </si>
  <si>
    <t>CC(C)(CN(Cc1ccccn1)c1ccc2ncccc2c1)c1ccccn1 7.734805 0.4117647058823529</t>
  </si>
  <si>
    <t>CN(C)Cc1ccc2cc(N(C)C3CCC(N(C)c4ccc5nc(CF)ccc5c4)CC3)ccc2n1 7.734792 0.38181818181818183</t>
  </si>
  <si>
    <t>CNCCN(Cc1ncccc1C)c1cccc2cccnc12 7.734788 0.4782608695652174</t>
  </si>
  <si>
    <t>CCNCc1ccccc1-c1cc(CN(Cc2ccccn2)Cc2ccc(-c3cccc(N=Cc4ccccn4)c3)cn2)ccn1 7.7347865 0.3170731707317073</t>
  </si>
  <si>
    <t>Cc1ccc(-c2cccc(NCc3ccccn3)c2)nc1CN(C)Cc1cc(C)c(C)c(C)n1 7.734783 0.38095238095238093</t>
  </si>
  <si>
    <t>CN(c1ccc2ncccc2c1)C1CCCCC1N(Cc1ccccn1)c1ccc2ccnc(CF)c2c1 7.7347827 0.40625</t>
  </si>
  <si>
    <t>Cc1cccnc1CN(C)c1ccccc1-c1cccnc1CN(C)Cc1ccccn1 7.734782 0.4489795918367347</t>
  </si>
  <si>
    <t>Cc1c(-c2ccccc2N=Cc2ccccn2)cnc(CN(CF)Cc2ccccn2)c1C 7.7347794 0.4067796610169492</t>
  </si>
  <si>
    <t>Cc1cccc(CN(C)C2=C(CN(C)Cc3ccc4cccnc4c3)NC=CC2)n1 7.73477 0.35</t>
  </si>
  <si>
    <t>Cc1cc(C)c(CN(C)CCN(C)c2cccc3nc(CF)ccc23)nc1C 7.7347665 0.35185185185185186</t>
  </si>
  <si>
    <t>CNCN(Cc1ccccn1)c1cccc2ncc(CN(C)Cc3ncc(C)c(C)c3C)cc12 7.734765 0.3333333333333333</t>
  </si>
  <si>
    <t>CN(C)Cc1cnc2cc(N(C)C3CCCCC3N(C)c3ccc4ccc(CF)nc4c3)ccc2c1 7.734762 0.47368421052631576</t>
  </si>
  <si>
    <t>Cc1ccc(N(Cc2ccccn2)Cc2ccc(N(C)C)cn2)c(C)c1 7.734759 0.42</t>
  </si>
  <si>
    <t>Cc1cnccc1CN(Cc1ccccn1)Cc1ncccc1-c1ccccc1N=Cc1ccccn1 7.734759 0.4166666666666667</t>
  </si>
  <si>
    <t>CC(C)N(C)CC1=C(N(C)c2ccc3c(CN(C)C)ccnc3c2)CC=CN1 7.7347584 0.21739130434782608</t>
  </si>
  <si>
    <t>Cc1cnc(CN(C)CCN(Cc2ccccn2)c2ccc3nccc(C)c3c2)c(C)c1 7.7347536 0.3684210526315789</t>
  </si>
  <si>
    <t>Cc1cccc(-c2cccc(NCc3cccc(C(C)(C)C)n3)c2)n1 7.734747 0.29411764705882354</t>
  </si>
  <si>
    <t>CCN(C)Cc1cc(-c2ccccc2N=Cc2ccccn2)ccn1 7.7347445 0.45098039215686275</t>
  </si>
  <si>
    <t>Cc1cc(C)c(CN(C)C2=C(CN(C)Cc3ccc4cccnc4c3)NC=CC2)cn1 7.734739 0.2608695652173913</t>
  </si>
  <si>
    <t>Cc1cccc(C)c1N(Cc1ccccn1)Cc1ncccc1N(C)C 7.7347336 0.4166666666666667</t>
  </si>
  <si>
    <t>CNc1cccc(N(C)Cc2cc(C)c(C)cn2)c1F 7.734732 0.35294117647058826</t>
  </si>
  <si>
    <t>Cc1ccnc(CN(Cc2cccnc2C(C)(C)c2c(N(Cc3ccccn3)C(C)C)ccc3ncccc23)Cc2ncccc2C(C)(C)C)c1C 7.7347274 0.28378378378378377</t>
  </si>
  <si>
    <t>CNCc1cc(-c2cc(NCc3ccccn3)ccc2C)ccn1 7.734726 0.3793103448275862</t>
  </si>
  <si>
    <t>CN(Cc1cnc2cccc(N(C)Cc3ccc4cc(N(C)c5ccc6ncccc6c5)ccc4n3)c2c1)Cc1cccc(-c2ccc3c(c2)OCCOCCOCCOCCOCCO3)n1 7.734721 0.2891566265060241</t>
  </si>
  <si>
    <t>CNCc1ccc2cccc(N(C)C3=C(CN(C)Cc4ccccn4)NC=CC3)c2n1 7.734712 0.36923076923076925</t>
  </si>
  <si>
    <t>CC(C)C1COC(c2cccc(CN(Cc3ccccn3)Cc3cccc(-c4cccc(N(C)C)c4)n3)n2)=N1 7.7347107 0.49230769230769234</t>
  </si>
  <si>
    <t>Cc1ccnc(CN(C)c2cccc(-c3cc(CN(Cc4ccccn4)Cc4cc(C)c(C)c(C)n4)ccn3)c2)c1 7.734696 0.39436619718309857</t>
  </si>
  <si>
    <t>CCCN(C)Cc1ccc2cccc(N(C)Cc3ncccc3C)c2n1 7.7346845 0.46</t>
  </si>
  <si>
    <t>CC(C)N(C)CC1=C(N(C)c2ccc3nccc(CN(C)C)c3c2)CC=CN1 7.7346826 0.21428571428571427</t>
  </si>
  <si>
    <t>Cc1cccc(CN(C)Cc2cc(-c3cccc(N=Cc4ccccn4)c3)ccn2)c1 7.734682 0.36065573770491804</t>
  </si>
  <si>
    <t>CC(C)CN(C)CC1=CC(N(C)Cc2ncccc2-c2ccc3ncccc3c2)C=CN1 7.7346773 0.2602739726027397</t>
  </si>
  <si>
    <t>Cc1ccc(CN(C)c2cccnc2CN(C)Cc2cccnc2-c2ccccc2N)nc1 7.7346735 0.375</t>
  </si>
  <si>
    <t>Cc1cccnc1CN(C)C1=C(CN(C)c2ccc(Cl)c(Cl)c2)NC=CC1 7.734672 0.3114754098360656</t>
  </si>
  <si>
    <t>CN(CC1=C(N(C)Cc2ccccn2)CC=CN1)Cc1cccc2ncccc12 7.7346716 0.36666666666666664</t>
  </si>
  <si>
    <t>Cc1cncc(C)c1CN(CCN(C)c1ccc2nccc(C)c2c1)C(C)C 7.734666 0.32727272727272727</t>
  </si>
  <si>
    <t>CCN(Cc1ccccn1)c1cc2cccnc2cc1CN(C)Cc1ncccc1C 7.734662 0.3793103448275862</t>
  </si>
  <si>
    <t>Cc1cccc(CN(Cc2ccccn2)Cc2ncccc2-c2ccccc2N=Cc2ccccn2)n1 7.734656 0.43859649122807015</t>
  </si>
  <si>
    <t>CC(C)(c1ccccn1)c1cccnc1CN(Cc1ccccn1)Cc1cccc(-c2cccc(N=Cc3ccccn3)c2)n1 7.7346525 0.45714285714285713</t>
  </si>
  <si>
    <t>c1ccc(CNc2ccc(-c3ccccn3)cc2)nc1 7.73465 0.4857142857142857</t>
  </si>
  <si>
    <t>Cc1cc2cccnc2cc1CN(C)Cc1cccc(N)n1 7.73465 0.40384615384615385</t>
  </si>
  <si>
    <t>Cc1ccc(NCc2ccccn2)cc1-c1cccnc1CNc1cccc(C(C)(C)C)c1 7.7346263 0.3181818181818182</t>
  </si>
  <si>
    <t>CC1=C(C)CC2(C=CC3(C(C)=C(C)c4c(cc(C(C)(C)c5cc(CN(Cc6ccccn6)Cc6ccccn6)ccn5)c5cc(C)c6ncccc6c45)C3C)C(c3cc(CN(Cc4ccccn4)Cc4ccccn4)ccn3)C2c2cc(CN(Cc3ccccn3)Cc3ccccn3)ccn2)C(C)C1 7.734619 0.23157894736842105</t>
  </si>
  <si>
    <t>C1=CNCC(Nc2cc(C(c3ccccc3)c3ccccn3)ccn2)=C1 7.734617 0.29508196721311475</t>
  </si>
  <si>
    <t>CN(CC1=CC(N(C)Cc2ccccn2)C=CN1)c1ccc2nc(CF)ccc2c1 7.734616 0.36507936507936506</t>
  </si>
  <si>
    <t>Cc1cccnc1CN(C)c1c(C)c(C)c(C)c(C)c1C 7.7346144 0.3333333333333333</t>
  </si>
  <si>
    <t>Cc1ccc(N(Cc2ccccn2)Cc2cc(N(C)C)ccn2)cc1C 7.734608 0.4166666666666667</t>
  </si>
  <si>
    <t>CN(c1ccc2ncc(CF)cc2c1)C1CCC(N(C)c2ccc3ccc(CF)nc3c2)CC1 7.734593 0.3442622950819672</t>
  </si>
  <si>
    <t>Cc1cccnc1CN(C)Cc1ccc2cc(N(Cc3ccccn3)C(C)C)ccc2n1 7.734592 0.42105263157894735</t>
  </si>
  <si>
    <t>CC(C)C(C)(c1cccnc1)c1ncccc1CN(Cc1ccccn1)C1CCCCC1N(C)c1ccc2nccc(-c3ccc4ncccc4c3)c2c1 7.7345862 0.3170731707317073</t>
  </si>
  <si>
    <t>Cc1ccc(C)c(CN(C)C2=C(CN(C)Cc3ccc4cccnc4c3)NC=CC2)n1 7.734583 0.2463768115942029</t>
  </si>
  <si>
    <t>Cc1ccc(CN(Cc2cc(-c3ccccc3N(C)C)ccn2)Cc2cc(C)c(C)c(C)n2)nc1 7.734576 0.3508771929824561</t>
  </si>
  <si>
    <t>CN(Cc1ccc(F)nc1)Cc1cc(-c2ccccc2N(C)C)ccn1 7.734575 0.3157894736842105</t>
  </si>
  <si>
    <t>C1=CC(Nc2ccc(C(c3ccccc3)c3ccccn3)cn2)=CCN1 7.7345743 0.2903225806451613</t>
  </si>
  <si>
    <t>CNCc1cc(-c2cccc(CN(C)Cc3cccc(C4=NC(C)CO4)n3)n2)ccn1 7.7345667 0.4067796610169492</t>
  </si>
  <si>
    <t>C=Cc1cccc(CN(C)Cc2cccc(-c3cc(Cl)ccc3N)n2)c1NCc1ccccn1 7.734565 0.4090909090909091</t>
  </si>
  <si>
    <t>CCC1COC(c2cccc(CN(Cc3ccccn3)Cc3cccc(-c4cccc(N=Cc5ccccn5)c4)n3)n2)=N1 7.7345634 0.4507042253521127</t>
  </si>
  <si>
    <t>C=Cc1ccc(CN(Cc2ccccn2)Cc2cccc(-c3ccccc3N=Cc3ccccn3)n2)cc1 7.73456 0.49206349206349204</t>
  </si>
  <si>
    <t>Cc1cccnc1CN(Cc1ncccc1C)c1ccc2nc(CN(C)C(C)C)ccc2c1 7.734549 0.3392857142857143</t>
  </si>
  <si>
    <t>Cc1cccc(CN(C)C2=C(CN(C)Cc3ccc4ncccc4c3)NC=CC2)n1 7.734546 0.35</t>
  </si>
  <si>
    <t>Cc1cc(C)c(CN(C)CCN(C)c2ccc3nc4c(cc3c2)CCC4)nc1C 7.734543 0.3076923076923077</t>
  </si>
  <si>
    <t>CC(C)C1COC(c2cccc(CN(Cc3ccccn3)Cc3cccc(-c4cccc(N=Cc5ccccn5)c4)n3)n2)=N1 7.734541 0.4444444444444444</t>
  </si>
  <si>
    <t>CCNCc1cc(-c2cccc(N(C)Cc3ccccn3)c2C)ccn1 7.7345395 0.46153846153846156</t>
  </si>
  <si>
    <t>Cc1cc(C)cc(N(Cc2ccccn2)Cc2ccc(N(C)C)cn2)c1 7.734531 0.425531914893617</t>
  </si>
  <si>
    <t>CN(Cc1ccccn1)Cc1ncccc1-c1ccccc1N(C)C 7.73453 0.4888888888888889</t>
  </si>
  <si>
    <t>COC(=O)C(=O)C(=O)C1(C)N=COC1c1cccnc1C1=NC(C)(C)CO1 7.7345276 0.3220338983050847</t>
  </si>
  <si>
    <t>Cc1cc(C)c(CN(C)C2=C(CN(C)Cc3ccc4ncccc4c3)NC=CC2)cn1 7.734526 0.2608695652173913</t>
  </si>
  <si>
    <t>Cc1ccc(N(C)Cc2ccccn2)c(CN(Cc2ccccn2)Cc2ccc(-c3cccc(N(C)C)c3)cn2)c1 7.734523 0.42105263157894735</t>
  </si>
  <si>
    <t>Cc1cc2cccnc2cc1CN(C)Cc1cc(N)ccn1 7.734519 0.36538461538461536</t>
  </si>
  <si>
    <t>CCNCc1cc(-c2ccc(N=Cc3ccccn3)cc2)ccn1 7.734508 0.36363636363636365</t>
  </si>
  <si>
    <t>CNCc1ccc(-c2ccc(NCc3ccccn3)cc2C)cn1 7.7345057 0.3728813559322034</t>
  </si>
  <si>
    <t>c1ccc(CNc2ccccc2-c2ccncc2)nc1 7.7344847 0.4594594594594595</t>
  </si>
  <si>
    <t>CN(CNCc1ccccn1)c1ccc2cccnc2c1 7.734483 0.4418604651162791</t>
  </si>
  <si>
    <t>Cc1cnc(CN(C)CCN(C)c2cccc3ncccc23)c(C)c1 7.7344737 0.4117647058823529</t>
  </si>
  <si>
    <t>Cc1cncc(CN(C)c2ccc3nc(CN(Cc4ccccn4)Cc4ncccc4F)ccc3c2)c1 7.7344713 0.43548387096774194</t>
  </si>
  <si>
    <t>CC1=CCCC(C)=C1CN(C)Cc1cc(-c2ccccc2N=Cc2ccccn2)ccn1 7.734443 0.36923076923076925</t>
  </si>
  <si>
    <t>CN(Cc1cccc(F)n1)c1ccc2nc(CN(C)C3CCC(N(C)c4ccc5c(CF)ccnc5c4)CC3)ccc2c1 7.734439 0.2777777777777778</t>
  </si>
  <si>
    <t>Cc1ccccc1N(Cc1ccc2ncccc2c1)C1CCC(N(C)c2ccc3nccc(CF)c3c2)CC1 7.734433 0.3</t>
  </si>
  <si>
    <t>Cc1cccnc1CN(Cc1ccccn1)Cc1ncccc1-c1ccccc1N=Cc1ccccn1 7.7344327 0.49056603773584906</t>
  </si>
  <si>
    <t>Cc1cc2cccnc2cc1CN(C)Cc1ncccc1C 7.734427 0.40425531914893614</t>
  </si>
  <si>
    <t>Cc1cnc(CN(C)CCN(C)c2cccc3nccc(CF)c23)c(C)c1C 7.734425 0.32142857142857145</t>
  </si>
  <si>
    <t>C1=CNC(N(Cc2ccccn2)Cc2cccc(-c3ccccc3N=Cc3ccccn3)n2)C=C1 7.7344246 0.40625</t>
  </si>
  <si>
    <t>Cc1cccc(N(C)Cc2ccccn2)c1CN(C)Cc1ccc2ncccc2c1 7.7344246 0.4444444444444444</t>
  </si>
  <si>
    <t>CNCN(Cc1ccccn1)Cc1ccc2c(N(C)Cc3nc(C)c(C)cc3C)cccc2n1 7.734423 0.4166666666666667</t>
  </si>
  <si>
    <t>CN(c1ccc2cccnc2c1)C1CCCCC1N(C)c1ccc2cc(CF)cnc2c1 7.7344174 0.4528301886792453</t>
  </si>
  <si>
    <t>Cc1ccc(CN(C)Cc2cccc(-c3ccccc3N(C)C)n2)nc1 7.7344136 0.5</t>
  </si>
  <si>
    <t>CNc1cccc(N(C)Cc2ncccc2N)c1F 7.734403 0.34</t>
  </si>
  <si>
    <t>Cc1ccc(-c2ccccc2NCc2ccccn2)nc1 7.7343984 0.40476190476190477</t>
  </si>
  <si>
    <t>CCN(c1ccc2ncccc2c1)C1CCC(N(C)c2ccc3c(CF)ccnc3c2)CC1 7.7343926 0.27692307692307694</t>
  </si>
  <si>
    <t>Cc1cnc(CN(C)CCN(C)c2ccc3cccnc3c2)c(C)c1C 7.73439 0.37037037037037035</t>
  </si>
  <si>
    <t>Cc1ccc(C)c(CN(C)C2=C(CN(C)Cc3ccc4ncccc4c3)NC=CC2)n1 7.734389 0.2463768115942029</t>
  </si>
  <si>
    <t>Cc1cc2ncccc2cc1CN(C)Cc1ncccc1C 7.734388 0.40425531914893614</t>
  </si>
  <si>
    <t>CN(c1ccc2cccnc2c1)C1CCC(Nc2cccc3ncccc23)CC1 7.734386 0.31666666666666665</t>
  </si>
  <si>
    <t>CN(C)c1cccc(-c2ccnc(CN(Cc3ccccn3)Cc3cccnc3C3OC=NC3(C)C)c2)c1 7.734383 0.3389830508474576</t>
  </si>
  <si>
    <t>CN(c1ccc2ncc(CF)cc2c1)C1CCC(N(C)c2ccc3ncc(CF)cc3c2)CC1 7.7343736 0.27586206896551724</t>
  </si>
  <si>
    <t>Cc1ccc(CN(C)C2=CNC(CN(C)Cc3cccc4cccnc34)=CC2)nc1 7.7343726 0.45614035087719296</t>
  </si>
  <si>
    <t>Cc1ccnc(CN(C)Cc2ccc3ncccc3c2)c1C 7.734372 0.3269230769230769</t>
  </si>
  <si>
    <t>Cc1ccc(N(C)Cc2nccc(C)c2C)c(C)c1 7.7343717 0.3191489361702128</t>
  </si>
  <si>
    <t>CC1=C(NCc2ccccn2)C(c2c(NCc3ccccn3)ccc(-c3ccccc3)c2C)CC=C1c1ccccc1 7.734365 0.36363636363636365</t>
  </si>
  <si>
    <t>Cc1ccc(C)c(CN(C)CC2=CC(N(C)c3ccc4nc(CF)ccc4c3)C=CN2)n1 7.734346 0.28169014084507044</t>
  </si>
  <si>
    <t>CN(C)c1ccc2ccc(CN(C)C3CCCC(N(C)c4ccc5cc(CF)cnc5c4)C3)nc2c1 7.734344 0.296875</t>
  </si>
  <si>
    <t>Cc1cnc(CN(Cc2ccccn2)Cc2cc(-c3cccc(N(C)C)c3)ccn2)c(C)c1 7.734343 0.40816326530612246</t>
  </si>
  <si>
    <t>CN(C)c1ccc2ccc(CN(C)C3CCCC(N(C)c4ccc5ccc(CF)nc5c4)C3)nc2c1 7.734337 0.36666666666666664</t>
  </si>
  <si>
    <t>Cc1ccnc2ccc(N(C)CCN(C)Cc3ccccn3)cc12 7.7343364 0.4117647058823529</t>
  </si>
  <si>
    <t>CC(C)NCc1ncccc1CN(Cc1ccccn1)Cc1ccc(-c2cccc3ncccc23)cn1 7.734319 0.36507936507936506</t>
  </si>
  <si>
    <t>CCN(Cc1ccccn1)c1cc(C)c(C)cc1N(C)Cc1ncc(C)c(C)c1C 7.7343054 0.4897959183673469</t>
  </si>
  <si>
    <t>Cc1nc(CN(C)CCN(C)c2ccc3ccc(CF)nc3c2)c(C)c(C)c1C 7.7343044 0.3269230769230769</t>
  </si>
  <si>
    <t>CCN(Cc1cc(C)ccn1)c1ccc2nc(CN(C)Cc3cccc(C)n3)ccc2c1 7.734299 0.46</t>
  </si>
  <si>
    <t>Cc1cccnc1CN(C)Cc1cnc2c(N(C)C(C)(C)c3cccnc3)cccc2c1 7.734298 0.32786885245901637</t>
  </si>
  <si>
    <t>CN(Cc1ccc(-c2cccc(N(C)C)c2)cn1)Cc1cccc(C(C)(C)C)n1 7.7342935 0.36363636363636365</t>
  </si>
  <si>
    <t>Cc1ccc2ccc(CN(C)Cc3ccc(C)nc3C)nc2c1 7.7342916 0.37777777777777777</t>
  </si>
  <si>
    <t>CCNCc1cccc(-c2cccc(C3=NC(C)C(C)O3)n2)n1 7.734288 0.27450980392156865</t>
  </si>
  <si>
    <t>CC(C)N(Cc1ccccn1)Cc1ccc2cccc(N(C)Cc3cccc(N)n3)c2n1 7.734285 0.47058823529411764</t>
  </si>
  <si>
    <t>CN(Cc1ccccn1)Cc1ncccc1-c1cccc(N(C)C)c1 7.734284 0.46938775510204084</t>
  </si>
  <si>
    <t>CCNc1cnccc1-c1ncccc1C(C)(C)c1ccccn1 7.7342834 0.3793103448275862</t>
  </si>
  <si>
    <t>CN(c1ccc2ncccc2c1)C1CCCCC1N(C)c1ccc2cc(CF)cnc2c1 7.734281 0.43636363636363634</t>
  </si>
  <si>
    <t>Cc1cccnc1CN(C)C1=C(CN(C)Cc2ccc3cccnc3c2)NC=CC1 7.734271 0.25757575757575757</t>
  </si>
  <si>
    <t>Cc1cncc(CN(C)CCN(C)c2ccc3nccc(C)c3c2)c1 7.734268 0.32075471698113206</t>
  </si>
  <si>
    <t>Fc1ccc(CN(Cc2ccccn2)Cc2cc(-c3ccccc3N=Cc3ccccn3)ccn2)cn1 7.7342663 0.4067796610169492</t>
  </si>
  <si>
    <t>CNCCN(C)c1ccc2ncccc2c1 7.7342644 0.38636363636363635</t>
  </si>
  <si>
    <t>CCN(Cc1ccccn1)c1ccc2nc(CN(C)Cc3nc(C)ccc3C)ccc2c1 7.7342615 0.42105263157894735</t>
  </si>
  <si>
    <t>CN(C)Cc1ccc2cc(N(C)C3CCC(N(C)c4ccc5ccc(CF)nc5c4)CC3)ccc2n1 7.73426 0.3684210526315789</t>
  </si>
  <si>
    <t>CN(Cc1ccccn1)C1=CCC=C(CN(Cc2ccccn2)Cc2cccc(-c3cccc(N(C)C)c3)n2)N1 7.734257 0.5</t>
  </si>
  <si>
    <t>Cc1cccc(CN(C)Cc2cc(-c3ccccc3N=Cc3ccccn3)ccn2)c1 7.7342563 0.423728813559322</t>
  </si>
  <si>
    <t>CCN(c1ccc2ncccc2c1)C1CCC(N(C)c2ccc3nccc(CF)c3c2)CC1 7.734256 0.27692307692307694</t>
  </si>
  <si>
    <t>CNCc1ncccc1-c1c(C)cccc1NCc1ccccn1 7.7342544 0.3793103448275862</t>
  </si>
  <si>
    <t>CN(C)c1ccc(C2=CCC(N(C)C3C=CC=CN3)=CN2)nc1 7.7342486 0.24242424242424243</t>
  </si>
  <si>
    <t>CNc1ccc2c(CN(C)C3CCCC(N(C)c4ccc5c(CF)ccnc5c4)C3)ccnc2c1 7.734247 0.24242424242424243</t>
  </si>
  <si>
    <t>Cc1ccc(N(C)Cc2ncc(C)c(C)c2C)cc1C 7.7342443 0.29545454545454547</t>
  </si>
  <si>
    <t>Cc1cccc(CN(C)Cc2ccc(-c3cccc(N=Cc4ccccn4)c3)cn2)c1C 7.7342386 0.3870967741935484</t>
  </si>
  <si>
    <t>CC(C)N(CC1=C(N(C)c2ccc3nccc(CF)c3c2)CC=CN1)Cc1ccccn1 7.734237 0.375</t>
  </si>
  <si>
    <t>CNCc1cc(CN(Cc2ccccn2)c2ccc3nc(CF)ccc3c2)ccn1 7.734229 0.4107142857142857</t>
  </si>
  <si>
    <t>CN(Cc1ccccn1)C1=C(CN(C)c2ccc(Cl)c(Cl)c2)NC=CC1 7.7342267 0.5</t>
  </si>
  <si>
    <t>Cc1ccnc(CN(Cc2cccc(F)n2)Cc2cccc(-c3ccccc3N=Cc3ccccn3)n2)c1 7.734221 0.3968253968253968</t>
  </si>
  <si>
    <t>Cc1cc(C)c(CN(C)CCN(Cc2ccccn2)c2ccc3nccc(C)c3c2)nc1C 7.734217 0.3548387096774194</t>
  </si>
  <si>
    <t>Fc1cccc(CN(Cc2ccccn2)Cc2ncccc2-c2ccccc2N=Cc2ccccn2)n1 7.7342134 0.43636363636363634</t>
  </si>
  <si>
    <t>Cc1ccnc2ccc(N(C)CCCN(C)Cc3ccon3)cc12 7.734211 0.48936170212765956</t>
  </si>
  <si>
    <t>Cc1ccc(CN(C)c2c(N(C)C(C)C)ccc(Cl)c2Cl)nc1 7.7342105 0.4666666666666667</t>
  </si>
  <si>
    <t>CN(c1cncc(-c2ccccn2)c1)C1CCC(N(C)c2ccc3cc(CF)cnc3c2)CC1 7.7342057 0.2923076923076923</t>
  </si>
  <si>
    <t>CC1=C(NCc2ccccn2)C(c2ccccc2)CC=C1c1c(NCc2ccccn2)ccc(-c2ccccc2)c1C 7.734201 0.373134328358209</t>
  </si>
  <si>
    <t>CN(Cc1cncc(F)c1)Cc1ccncc1-c1ccccc1N(C)C 7.7341943 0.25</t>
  </si>
  <si>
    <t>Cc1cc(CN(C)CCN(C)c2cccc3ncc(CF)cc23)nc(C)c1C 7.7341924 0.3392857142857143</t>
  </si>
  <si>
    <t>CN(Cc1ccc2c(n1)CCC2)Cc1ncccc1-c1ccccc1N=Cc1ccccn1 7.7341895 0.38333333333333336</t>
  </si>
  <si>
    <t>CCN(Cc1ccccn1)c1cc(-c2cccc(CN(Cc3ccccn3)C3CCCCC3N(C)c3ccc4nc(CF)ccc4c3)n2)c2cccnc2c1 7.7341876 0.3625</t>
  </si>
  <si>
    <t>Cc1cc(CN(C)c2ccccc2-c2ccc(CN(C)Cc3ccccn3)cn2)cnc1C 7.734184 0.4107142857142857</t>
  </si>
  <si>
    <t>CC(C)C1COC(c2cccc(CN(Cc3ccccn3)Cc3ccc(-c4cccc(N(C)C)c4)cn3)n2)=N1 7.734183 0.4166666666666667</t>
  </si>
  <si>
    <t>CCN(CC1=C(N(C)c2ccc3ncccc3c2)CC=CN1)Cc1ccccn1 7.734178 0.390625</t>
  </si>
  <si>
    <t>CNCc1cc(CN(C)Cc2ccc3cccc(N(C)Cc4ncccc4C)c3n2)ccn1 7.7341723 0.36666666666666664</t>
  </si>
  <si>
    <t>CN(Cc1ccccn1)C1C=CNC(CN(Cc2ccccn2)c2ccc3ncccc3c2)=C1 7.734169 0.36666666666666664</t>
  </si>
  <si>
    <t>CNCc1nccc2c(N(C)CCN(C)Cc3nc(C)c(C)c(C)c3C)cccc12 7.734163 0.35714285714285715</t>
  </si>
  <si>
    <t>CN(Cc1ncccc1-c1cccc(N)c1Cl)C1C=CC=CN1 7.73416 0.3225806451612903</t>
  </si>
  <si>
    <t>Cc1ccnc(CN(C)C2C=CNC(CN(C)c3ccc4nc(CF)ccc4c3)=C2)c1 7.73416 0.2465753424657534</t>
  </si>
  <si>
    <t>CCNCc1ncccc1-c1ccc(N=Cc2ccccn2)cc1 7.7341595 0.37037037037037035</t>
  </si>
  <si>
    <t>CCNCc1cc(-c2ccccc2N=Cc2ccccn2)ccn1 7.734159 0.4339622641509434</t>
  </si>
  <si>
    <t>Cc1cncc(CN(C)CCN(C)c2cccc3nccc(C)c23)c1 7.7341433 0.32727272727272727</t>
  </si>
  <si>
    <t>Cc1cccc(-c2cccc(C(C)C)n2)c1NCc1ccccn1 7.734137 0.39655172413793105</t>
  </si>
  <si>
    <t>Cc1cccnc1CN(C)c1ccc2nc(CN(Cc3ccccn3)C(C)C)ccc2c1 7.7341256 0.4807692307692308</t>
  </si>
  <si>
    <t>Cc1ccc(CN(Cc2cc(C)ccn2)Cc2cc(-c3cccc(N=Cc4ccccn4)c3)ccn2)nc1 7.7341228 0.3492063492063492</t>
  </si>
  <si>
    <t>Cc1ccc(CN(C)c2cccnc2CN(Cc2ccccn2)Cc2cccc(-c3cccc(N)c3Cl)n2)nc1 7.7341094 0.390625</t>
  </si>
  <si>
    <t>Cc1ccc(CN(C)Cc2cccc(-c3ccc(N)cc3Cl)n2)nc1 7.734104 0.4489795918367347</t>
  </si>
  <si>
    <t>Cc1cc(C)nc(CN(C)Cc2ccnc(-c3cc(N)ccc3C)c2)c1 7.7341 0.3157894736842105</t>
  </si>
  <si>
    <t>CN(c1ccc2nc(CF)ccc2c1)C1CCCC(N(C)c2ccc3ccc(CF)nc3c2)C1 7.7340875 0.4074074074074074</t>
  </si>
  <si>
    <t>CN(Cc1ccccn1)Cc1ncccc1-c1ccc(N(C)C)cc1 7.7340865 0.46808510638297873</t>
  </si>
  <si>
    <t>Cc1cncc(CN(C)c2ccc3nc(CN(Cc4ccccn4)Cc4ccc(C(C)(C)C)cn4)ccc3c2)c1C 7.7340856 0.43548387096774194</t>
  </si>
  <si>
    <t>CC(C)N(Cc1ccccn1)c1ccc2nccc(CN(C)Cc3ccccn3)c2c1 7.734084 0.4117647058823529</t>
  </si>
  <si>
    <t>Cc1cc(N(C)Cc2ncccc2C(C)(C)c2ccccn2)c(C)c(C)c1C 7.7340717 0.3584905660377358</t>
  </si>
  <si>
    <t>Cc1cccnc1CN(C)C1=C(CN(C)Cc2ccc3ncccc3c2)NC=CC1 7.73407 0.25757575757575757</t>
  </si>
  <si>
    <t>Fc1cccc(CN(Cc2ccccn2)Cc2cc(-c3ccccc3N=Cc3ccccn3)ccn2)n1 7.734068 0.42857142857142855</t>
  </si>
  <si>
    <t>FCNCc1cc(-c2cc(C(c3ccccn3)c3ccccn3)ccn2)ccn1 7.7340574 0.3541666666666667</t>
  </si>
  <si>
    <t>Cc1ccc(CN(C)Cc2ccc(-c3ccccc3N(C)C)nc2)nc1 7.734057 0.4888888888888889</t>
  </si>
  <si>
    <t>CC1COC(c2cccc(CN(C)Cc3cccc(C4=NC(C)CO4)n3)n2)=N1 7.734053 0.45652173913043476</t>
  </si>
  <si>
    <t>Cc1ccc(N(C)C)c(C)c1C 7.734048 0.20833333333333334</t>
  </si>
  <si>
    <t>Cc1cnc(CN(Cc2ccccn2)Cc2cccc(-c3cccc(N=Cc4ccccn4)c3)n2)c(C)c1 7.7340407 0.48484848484848486</t>
  </si>
  <si>
    <t>Cc1cnc(CN(C)CCN(C)c2ccc3nccc(CF)c3c2)c(C)c1C 7.7340403 0.32142857142857145</t>
  </si>
  <si>
    <t>CN(Cc1ncccc1N)Cc1ccnc2ccccc12 7.7340364 0.3469387755102041</t>
  </si>
  <si>
    <t>CN(CC1=CC(N(C)Cc2ccccn2)C=CN1)c1ccc2cc(CF)cnc2c1 7.7340317 0.3333333333333333</t>
  </si>
  <si>
    <t>Cc1cccnc1CN(Cc1cnc2ccc(N(C)Cc3ccccn3)cc2c1)Cc1ccccn1 7.73403 0.39215686274509803</t>
  </si>
  <si>
    <t>Cc1ccc(-c2ccccc2C)c(NCc2ccccn2)c1 7.7340255 0.40476190476190477</t>
  </si>
  <si>
    <t>CC(C)N(C)Cc1ccc2cccc(N(C)Cc3ncccc3N)c2n1 7.7340198 0.43137254901960786</t>
  </si>
  <si>
    <t>CCNCc1ncccc1-c1cccc(N=Cc2ccccn2)c1 7.7340164 0.375</t>
  </si>
  <si>
    <t>CC1=CC(C)CC(C)(c2cc(CN(Cc3ccccn3)c3ccc4ncccc4c3)ccn2)C1 7.734009 0.2857142857142857</t>
  </si>
  <si>
    <t>Cc1cncc(CN(C)Cc2ccc(-c3cccc(N(C)C)c3)nc2)c1 7.7340064 0.25925925925925924</t>
  </si>
  <si>
    <t>Fc1cc(CN(Cc2ccccn2)Cc2cc(-c3cccc(N=Cc4ccccn4)c3)ccn2)ccn1 7.7340035 0.37735849056603776</t>
  </si>
  <si>
    <t>CN(c1ccc2ncccc2c1)C1CCCCC1N(C)c1ccc2ncc(CF)cc2c1 7.7339997 0.4528301886792453</t>
  </si>
  <si>
    <t>CN(CCN(Cc1cccnc1)c1ccc2ncccc2c1)c1ccccc1F 7.7339873 0.38181818181818183</t>
  </si>
  <si>
    <t>C=CCN(C)Cc1cccc(-c2ccccc2N=Cc2ccccn2)n1 7.733987 0.45454545454545453</t>
  </si>
  <si>
    <t>Cc1ccc2c(N(C)CCN(C)Cc3ncccc3C)cccc2n1 7.7339854 0.4489795918367347</t>
  </si>
  <si>
    <t>CN(CCN(Cc1cccc2ncccc12)CC(C)(C)C)c1cccc2ncc(CF)cc12 7.73398 0.3728813559322034</t>
  </si>
  <si>
    <t>Cc1c(-c2ccccc2)ccc(C2=C(NCc3ccccn3)C(c3ccccc3)CC=C2c2ccccc2)c1NCc1ccccn1 7.733977 0.4</t>
  </si>
  <si>
    <t>Cc1c(CN(C)CC2=CCC=CN2)ccc2cccnc12 7.733977 0.45454545454545453</t>
  </si>
  <si>
    <t>Cc1cc(-c2cccc(CN(Cc3ccccn3)Cc3ccc(N)cn3)n2)c(N(C)Cc2ncccc2C)cc1C 7.7339764 0.4057971014492754</t>
  </si>
  <si>
    <t>CC(C)N(Cc1ccccn1)c1ccc2c(CN(C)Cc3ccccn3)ccnc2c1 7.733974 0.42</t>
  </si>
  <si>
    <t>C=Nc1ccccc1-c1cccc(CNC)n1 7.733972 0.3</t>
  </si>
  <si>
    <t>Cc1ccc(NCc2ccccn2)c(-c2cccc(C(C)C)n2)c1 7.733969 0.36065573770491804</t>
  </si>
  <si>
    <t>CC(C)NCc1cccc(-c2cccc(N=Cc3ccccn3)c2)n1 7.733968 0.375</t>
  </si>
  <si>
    <t>CNc1ccc(-c2cccc(C(C)(C)C)n2)cc1 7.7339673 0.32</t>
  </si>
  <si>
    <t>CCOC(=O)c1cc(-c2cccc(C(C)NCc3ccccn3)n2)ccn1 7.7339664 0.34782608695652173</t>
  </si>
  <si>
    <t>Cc1cnccc1CN(C)CCN(C)c1ccc2nccc(C)c2c1 7.7339606 0.30357142857142855</t>
  </si>
  <si>
    <t>Cc1ccc(CN(C)C2=C(CN(C)Cc3ccc4ncccc4c3)NC=CC2)nc1C 7.733959 0.2571428571428571</t>
  </si>
  <si>
    <t>Cc1cnc(F)o1 7.7339516 0.22857142857142856</t>
  </si>
  <si>
    <t>CCc1ccc2c(c1)C(C)CC(N)=C2c1ccccc1C1=NC(C(C)C)C(C(C)C)O1 7.7339487 0.16049382716049382</t>
  </si>
  <si>
    <t>CNCCN(C)c1ccc2cccnc2c1 7.733947 0.37777777777777777</t>
  </si>
  <si>
    <t>Cc1ccc(CN(C)Cc2cccc(-c3cccc(N(C)C)c3)n2)nc1 7.7339444 0.4888888888888889</t>
  </si>
  <si>
    <t>CN(Cc1ccccn1)c1cccc(-c2cncc(CN(C)C3C=CC=CN3)c2)c1 7.7339354 0.4</t>
  </si>
  <si>
    <t>CN(CC1=CC(N(C)Cc2ccccn2)C=CN1)c1ccc2ncc(CF)cc2c1 7.733927 0.3283582089552239</t>
  </si>
  <si>
    <t>CC(C)(c1ccccn1)c1ncccc1CN(Cc1ccccn1)Cc1ccc(-c2cccc(N=Cc3ccccn3)c2)cn1 7.733927 0.32894736842105265</t>
  </si>
  <si>
    <t>Cc1cnc(CN(C)CCN(C)c2cccc3c(CF)ccnc23)c(C)c1C 7.7339234 0.38181818181818183</t>
  </si>
  <si>
    <t>CN(CNCc1ccccn1)c1ccc2nccc(CF)c2c1 7.7339234 0.3877551020408163</t>
  </si>
  <si>
    <t>CCN(Cc1ccccn1)c1ccc2nc(CF)ccc2c1 7.7339234 0.48936170212765956</t>
  </si>
  <si>
    <t>Cc1cccnc1CN(C)CCN(C)Cc1ncccc1-c1ccc2ncccc2c1 7.733892 0.39215686274509803</t>
  </si>
  <si>
    <t>Cc1ccc(CN(Cc2ccccn2)C2=C(CN(C)Cc3cccc(-c4cccc(N=Cc5ccccn5)c4)n3)NC=CC2)nc1 7.73388 0.3684210526315789</t>
  </si>
  <si>
    <t>Cc1ccc(NCc2ccccn2)c(-c2ccccc2C)c1 7.733879 0.40476190476190477</t>
  </si>
  <si>
    <t>CN(CC1=CC(N(C)Cc2ccccn2)C=CN1)c1ccc2ccc(CF)nc2c1 7.7338777 0.3709677419354839</t>
  </si>
  <si>
    <t>Cc1cnc(CN(C)c2ccc(C3=CC(N(C)Cc4cccc(C)n4)C=CN3)nc2)c(C)c1 7.7338767 0.34328358208955223</t>
  </si>
  <si>
    <t>Cc1ccc(CN(Cc2ccccn2)c2ccc(-c3ccccc3CN(C)Cc3ccccn3)cc2N(C)Cc2ccccn2)nc1C 7.733874 0.43103448275862066</t>
  </si>
  <si>
    <t>Cc1cc(-c2cccnc2CN(C)c2cccnc2CN(C)Cc2ccccn2)ccc1N 7.7338686 0.4107142857142857</t>
  </si>
  <si>
    <t>Cc1cnc(CN(Cc2ccccn2)Cc2cccc(-c3cccc(N=Cc4ccccn4)c3)n2)c(C)c1C 7.733853 0.49230769230769234</t>
  </si>
  <si>
    <t>Cc1ccc(CN(C)Cc2cccc(-c3ccccc3N(C)Cc3cccc(C)n3)n2)nc1 7.733848 0.4528301886792453</t>
  </si>
  <si>
    <t>Cc1ccc(CN(C)Cc2cccc(-c3cccc(N(C)Cc4cccc(C)n4)c3)n2)nc1 7.7338457 0.44</t>
  </si>
  <si>
    <t>Cc1cccnc1CN(C)c1cc(-c2cccc(CN(CC3=NC(C(C)C(C)C)CO3)Cc3ccccn3)n2)cc2ncccc12 7.7338343 0.36585365853658536</t>
  </si>
  <si>
    <t>Cc1ccnc(CN(C)Cc2cccc(-c3cccc(N(C)C)c3)n2)c1 7.7338243 0.4897959183673469</t>
  </si>
  <si>
    <t>CN(CCN(Cc1ccccn1)c1cccc(F)c1)c1cccc2ncccc12 7.7338095 0.4074074074074074</t>
  </si>
  <si>
    <t>CC(C)c1cccc(CN(Cc2ccccn2)c2ccc3nc(CN(C)Cc4cccc(F)n4)ccc3c2)n1 7.7338023 0.43859649122807015</t>
  </si>
  <si>
    <t>CCN(Cc1ccccn1)Cc1cccc(N(C)c2ccc3nc(CF)ccc3c2)n1 7.7338 0.48148148148148145</t>
  </si>
  <si>
    <t>Cc1cc(N(C)C(C)C)c(C)cc1N(C)Cc1ncccc1C 7.7337976 0.3695652173913043</t>
  </si>
  <si>
    <t>CCCN(CC1=CCC(N(C)Cc2ccccn2)=CN1)c1cccc2cccnc12 7.73379 0.42105263157894735</t>
  </si>
  <si>
    <t>CNCN(Cc1cc(C)ccn1)c1ccc2nc(CF)ccc2c1 7.7337875 0.2982456140350877</t>
  </si>
  <si>
    <t>Cc1ccnc(CN(C)Cc2cc(-c3ccccc3N(C)C)ccn2)c1 7.733784 0.36</t>
  </si>
  <si>
    <t>CN(c1ccc(-c2ccccn2)nc1)C1CCC(N(C)c2cccc3nc(CF)ccc23)CC1 7.7337737 0.375</t>
  </si>
  <si>
    <t>CNCc1cccc(CN(Cc2ccccn2)c2ccc3nc(CF)ccc3c2)n1 7.733771 0.4528301886792453</t>
  </si>
  <si>
    <t>CCN(Cc1ccc2ncccc2c1)Cc1ncccc1N(C)C 7.7337637 0.3333333333333333</t>
  </si>
  <si>
    <t>CC(C)N(C)CC1=CCC=C(N(C)c2ccc3c(CF)ccnc3c2)N1 7.733757 0.2112676056338028</t>
  </si>
  <si>
    <t>Cc1ccnc2cccc(N(C)CCN(C)Cc3ccccn3)c12 7.73374 0.43137254901960786</t>
  </si>
  <si>
    <t>Cc1ccc2cc(N(C)C3=C(CN(C)C(C)C)NC=CC3)ccc2n1 7.73374 0.24561403508771928</t>
  </si>
  <si>
    <t>Cc1ccc(C)c(CN(C)Cc2ccc3cccc(C)c3n2)n1 7.733733 0.4418604651162791</t>
  </si>
  <si>
    <t>CN(CC1=CCC(N(C)Cc2ccccn2)=CN1)Cc1cccc2ncccc12 7.7337303 0.3898305084745763</t>
  </si>
  <si>
    <t>Cc1ccc(CNCc2cccc(-c3cccc(N=Cc4ccccn4)c3)n2)nc1 7.73372 0.3548387096774194</t>
  </si>
  <si>
    <t>Cc1cnc(CN(C)CCN(C)c2ccc3nc(C)ccc3c2)c(C)c1 7.733708 0.3673469387755102</t>
  </si>
  <si>
    <t>Cc1cnc(CN(Cc2ccc(-c3cccc(N=Cc4ccccn4)c3)nc2)Cc2ccccn2)c(C)c1 7.733702 0.36486486486486486</t>
  </si>
  <si>
    <t>Cc1ccc(-c2cccc(NCc3ccc(C(C)(C)C)cn3)c2)nc1 7.7336946 0.3018867924528302</t>
  </si>
  <si>
    <t>Cc1ccc(-c2cccc(NCc3ccccn3)c2)nc1 7.7336936 0.39285714285714285</t>
  </si>
  <si>
    <t>CNCc1ncccc1-c1ccccc1NC 7.733693 0.3</t>
  </si>
  <si>
    <t>CCNCc1cc(-c2cccc(N(C)Cc3cc(C)ccn3)c2C)ccn1 7.733674 0.3333333333333333</t>
  </si>
  <si>
    <t>Cc1cc(N(C)CCN(C)Cc2ccc3cccnc3c2)c(C)c(C)c1C 7.7336717 0.39215686274509803</t>
  </si>
  <si>
    <t>CCNc1cccc2cccnc12 7.7336707 0.4594594594594595</t>
  </si>
  <si>
    <t>Cc1ccc(CN(C)Cc2cc(-c3ccccc3N(C)C)ccn2)nc1 7.7336683 0.4888888888888889</t>
  </si>
  <si>
    <t>Cc1ccnc(CN(C)CCN(C)c2cccc3c(C)ccnc23)c1 7.733668 0.42857142857142855</t>
  </si>
  <si>
    <t>Cc1c(C)c(C)c(-c2ccc(CNCc3ccccn3)c(C)c2NCc2ccccn2)c(C)c1C 7.733665 0.4418604651162791</t>
  </si>
  <si>
    <t>CNCc1ncccc1-c1ccc(NCc2ccccn2)cc1C 7.733665 0.3617021276595745</t>
  </si>
  <si>
    <t>CN(CC1=CC(N(C)Cc2ccccn2)C=CN1)c1cccc2cc(CF)cnc12 7.7336545 0.35384615384615387</t>
  </si>
  <si>
    <t>C1=CNC(NCc2cccc(-c3cccc(C(c4ccccc4)c4ccccn4)n3)n2)C=C1 7.733654 0.34375</t>
  </si>
  <si>
    <t>Cc1ccc(CN(Cc2ccccn2)Cc2cc(-c3cccc(N=Cc4ccccn4)c3)ccn2)nc1C 7.733654 0.40298507462686567</t>
  </si>
  <si>
    <t>Cc1ccc(-c2cccc(NCc3ccc(C(C)(C)C)cn3)c2)cn1 7.733634 0.24615384615384617</t>
  </si>
  <si>
    <t>c1ccc(-c2ccncc2)cc1 7.7336326 0.3</t>
  </si>
  <si>
    <t>CN(CC1=CNC=C(N(C)Cc2ccccn2)C1)Cc1ncccc1-c1cc(Cl)ccc1N 7.7336264 0.375</t>
  </si>
  <si>
    <t>Cc1c(C)c(N)c(C)c(N(C)Cc2ccccn2)c1C 7.733604 0.5</t>
  </si>
  <si>
    <t>Cc1cc(CN(C)c2cccc3ccc(CN(CF)Cc4ccccn4)nc23)nc(C)c1C 7.733593 0.41379310344827586</t>
  </si>
  <si>
    <t>Cc1cccnc1CN(C)c1cccc2ccc(CN(Cc3ccccn3)C(C)C)nc12 7.733588 0.4528301886792453</t>
  </si>
  <si>
    <t>Cc1ccnc(CN(C)Cc2ccc(-c3ccc(N(C)Cc4ccncc4)cc3)nc2)c1C 7.7335873 0.21666666666666667</t>
  </si>
  <si>
    <t>CN(Cc1ccccn1)c1ccc(Cl)c(Cl)c1N(C)C1CCCCC1N(C)c1ccc2cccnc2c1 7.733581 0.45</t>
  </si>
  <si>
    <t>Cc1cc(CN(C)c2cccc(-c3cc(CN(Cc4ccccn4)Cc4cc(C)c(C)c(C)n4)ccn3)c2)cnc1C 7.73358 0.3835616438356164</t>
  </si>
  <si>
    <t>CC(C)N(C)CC1=CCC=C(N(C)c2ccc3nccc(CF)c3c2)N1 7.733579 0.20833333333333334</t>
  </si>
  <si>
    <t>Cc1cnc(CN(C)c2ccccc2-c2ccc(CN(Cc3ccccn3)Cc3nc(C)c(C)c(C)c3C)nc2)c(C)c1 7.7335773 0.35384615384615387</t>
  </si>
  <si>
    <t>Cc1cc2cccnc2cc1CN(C)CCN(C)Cc1ccc2ncccc2c1 7.733563 0.46808510638297873</t>
  </si>
  <si>
    <t>CN(C)Cc1ccnc2cccc(N(C)C3CCCC(N(C)c4cccc5c6c(cnc45)CCCC6)C3)c12 7.7335563 0.3013698630136986</t>
  </si>
  <si>
    <t>CN(C)Cc1ccc2cc(N(C)C3CCC(N(C)c4cccc5cc(CF)cnc45)CC3)ccc2n1 7.7335386 0.3939393939393939</t>
  </si>
  <si>
    <t>CN(c1cccc2ncccc12)C(C)(C)C 7.733537 0.36585365853658536</t>
  </si>
  <si>
    <t>Cc1cc(CN(C)c2ccc3nc(CN(C)C(C)C)ccc3c2)ccn1 7.733517 0.2982456140350877</t>
  </si>
  <si>
    <t>Cc1cccc(CN(C)c2c(Cl)ccc(C)c2N(CC2=CCC=CN2)Cc2ccccn2)n1 7.7335134 0.49206349206349204</t>
  </si>
  <si>
    <t>CC(C)N(C)CC1=CCC=C(N(C)c2ccc3cccnc3c2)N1 7.7335024 0.2786885245901639</t>
  </si>
  <si>
    <t>Cc1cc(CN(Cc2ccccn2)Cc2cccnc2-c2cccc(N(C)C)c2)nc(C)c1C 7.7334986 0.3939393939393939</t>
  </si>
  <si>
    <t>Cc1c(C)c(C)c(N(C)CCN(C)Cc2ccc3ncccc3c2)c(C)c1C 7.7334924 0.40816326530612246</t>
  </si>
  <si>
    <t>Cc1ccc(CN(C)Cc2cccnc2-c2ccc(Cl)cc2N)nc1 7.733491 0.43137254901960786</t>
  </si>
  <si>
    <t>CCN(c1ccc2cccnc2c1)C1CCCC(N(C)c2ccc3c(CF)ccnc3c2)C1 7.733489 0.2835820895522388</t>
  </si>
  <si>
    <t>CNCCN(C)c1cccc2nccc(CF)c12 7.733486 0.3469387755102041</t>
  </si>
  <si>
    <t>Cc1cncc(-c2cccc(NCc3cc(C(C)(C)C)ccn3)c2)c1 7.733486 0.26153846153846155</t>
  </si>
  <si>
    <t>CCNCc1cccc(-c2cc(C)c(C)cc2N(C)Cc2ccccn2)n1 7.7334743 0.46153846153846156</t>
  </si>
  <si>
    <t>Cc1ccc(N(C)Cc2ncc(C)cc2C)c(C)c1 7.7334642 0.36585365853658536</t>
  </si>
  <si>
    <t>Cc1cccc(-c2cccc(C)c2NCc2ccccn2)c1NCc1ccccn1 7.733455 0.4722222222222222</t>
  </si>
  <si>
    <t>Cc1ccnc(CN(C)c2ccc(C)c(C)c2C)c1C 7.733453 0.3111111111111111</t>
  </si>
  <si>
    <t>CC1(C)N=COC1c1ncccc1CN(Cc1ccccn1)Cc1cc(-c2cccc(N=Cc3ccccn3)c2)ccn1 7.7334523 0.3125</t>
  </si>
  <si>
    <t>CCN(c1ccc2nccc(CF)c2c1)C1CCC(N(C)c2ccc3c(CF)ccnc3c2)CC1 7.7334476 0.21739130434782608</t>
  </si>
  <si>
    <t>Cc1ccnc2cc(N(C)CCN(C)Cc3ccccn3)ccc12 7.733447 0.4117647058823529</t>
  </si>
  <si>
    <t>Cc1ccc(-c2ccc(NCc3ccccn3)cc2)nc1 7.73344 0.40476190476190477</t>
  </si>
  <si>
    <t>Cc1cccnc1CN(C)c1cccc2cc(CN(C)C(C)C)cnc12 7.733438 0.4230769230769231</t>
  </si>
  <si>
    <t>CN(Cc1ccc2c(n1)CCCC2)c1ccc2ncccc2c1 7.733433 0.32786885245901637</t>
  </si>
  <si>
    <t>Cc1cc(C)c(C)c(CN(C)CCN(C)c2ccc3nccc(CF)c3c2)n1 7.7334237 0.29310344827586204</t>
  </si>
  <si>
    <t>Cc1cc(CN(Cc2ccccn2)Cc2ccncc2-c2cccc(N(C)C)c2)nc(C)c1C 7.7334185 0.39705882352941174</t>
  </si>
  <si>
    <t>CNCCN(C)c1ccc2nccc(CF)c2c1 7.733412 0.23529411764705882</t>
  </si>
  <si>
    <t>CN(c1ccc2ncc(CF)cc2c1)C1CCCC(N(C)c2ccc3cc(CF)cnc3c2)C1 7.7334104 0.2903225806451613</t>
  </si>
  <si>
    <t>CCNCc1cccc(-c2cc(C)cc(N=Cc3ccccn3)c2)n1 7.73341 0.3728813559322034</t>
  </si>
  <si>
    <t>Cc1cc(CN(C)CCN(C)c2cccc3nccc(CF)c23)nc(C)c1C 7.733409 0.3392857142857143</t>
  </si>
  <si>
    <t>FCNCc1ncccc1-c1ncccc1C(c1ccccn1)c1ccccn1 7.733406 0.2916666666666667</t>
  </si>
  <si>
    <t>CCN(Cc1ccccn1)Cc1cccc(N(C)c2cccc3ccc(CF)nc23)n1 7.7333837 0.43636363636363634</t>
  </si>
  <si>
    <t>CN(Cc1ccccn1)C1C=CNC(CN(Cc2ccccn2)c2cccc3ncccc23)=C1 7.7333817 0.36666666666666664</t>
  </si>
  <si>
    <t>Cc1cc(CN(C)CCN(C)c2ccc3ncccc3c2)nc(C)c1C 7.7333813 0.37735849056603776</t>
  </si>
  <si>
    <t>Cc1cccnc1CN(C)Cc1ccc2cc(N(Cc3ccccn3)Cc3cccc(C(C)C)n3)ccc2n1 7.7333755 0.4098360655737705</t>
  </si>
  <si>
    <t>Cc1cccc(CN(C)Cc2cccc(-c3ccc(N(C)Cc4ncccc4C)cc3)n2)n1 7.7333694 0.4528301886792453</t>
  </si>
  <si>
    <t>Cc1cnccc1CN(C)CCN(C)c1cccc2nccc(C)c12 7.7333684 0.35185185185185186</t>
  </si>
  <si>
    <t>Cc1ccc2c(CN(C)C3CCCC(N(C)c4ccc5c(C)ccnc5c4)C3)ccnc2c1 7.733368 0.2903225806451613</t>
  </si>
  <si>
    <t>CN(c1ccc2ncccc2c1)C1CCC(N(C)c2ccc3nc(CF)ccc3c2)CC1 7.733367 0.4107142857142857</t>
  </si>
  <si>
    <t>CN(c1ccc2nc(CF)ccc2c1)C1CCC(N(C)c2cccc3ncc(CF)cc23)CC1 7.733359 0.390625</t>
  </si>
  <si>
    <t>CN(CC1=CCC=CN1)Cc1cccc(-c2ccc(Cl)cc2N)n1 7.733354 0.3870967741935484</t>
  </si>
  <si>
    <t>Cc1cncc(CN(C)C2CC(N(C)c3ccc4cccnc4c3)CC(N(C)c3ccc4cccnc4c3)C2)c1 7.7333484 0.27692307692307694</t>
  </si>
  <si>
    <t>Cc1cnc(CN(C)Cc2ccnc3ccc(N(Cc4ccccn4)CC(C)C)cc23)c(C)c1C 7.733342 0.3333333333333333</t>
  </si>
  <si>
    <t>Cc1ccc(CN(C)Cc2ccc(-c3ccc(Cl)cc3N)nc2)nc1 7.733334 0.4489795918367347</t>
  </si>
  <si>
    <t>Cc1ccccc1-c1ccccn1 7.7333336 0.37142857142857144</t>
  </si>
  <si>
    <t>CNCc1cccc(-c2cc(NCc3ccccn3)ccc2Cl)n1 7.7333264 0.36666666666666664</t>
  </si>
  <si>
    <t>Cc1cc(C)c(CN(C)CCN(C)c2ccc3ccc(C)nc3c2)cn1 7.733323 0.34</t>
  </si>
  <si>
    <t>Cc1cccnc1CN(C)C1=CNC(CN(C)c2ccc(Cl)c(Cl)c2)=CC1 7.73332 0.3114754098360656</t>
  </si>
  <si>
    <t>CC(C)N(c1cccc2cccnc12)C1CCC(N(C)c2ccc3nccc(CF)c3c2)CC1 7.7333155 0.390625</t>
  </si>
  <si>
    <t>Cc1ccc(CN(C)Cc2ccc(-c3cccc(N(C)C)c3)nc2)nc1 7.7333136 0.46808510638297873</t>
  </si>
  <si>
    <t>Cc1cc(C)c(CN(Cc2ccccn2)Cc2cccnc2-c2cccc(N(C)C)c2)nc1C 7.7333064 0.3880597014925373</t>
  </si>
  <si>
    <t>Cc1ccnc(CN(C)CCN(C)c2ccc3nccc(C)c3c2)c1 7.733302 0.3673469387755102</t>
  </si>
  <si>
    <t>Cc1c(CN(C)Cc2cc(N)ccn2)ccc2cccnc12 7.7333007 0.4489795918367347</t>
  </si>
  <si>
    <t>Cc1ccc2ccc(N(C)C3=CNC(CN(C)C(C)C)=CC3)cc2n1 7.7333 0.22413793103448276</t>
  </si>
  <si>
    <t>Cc1cc(CN(C)CCN(C)c2cccc3ccc(CN(C)C)nc23)nc(C)c1C 7.7333 0.40384615384615385</t>
  </si>
  <si>
    <t>Fc1cccc(CN(Cc2cccc(F)n2)Cc2cccc(-c3ccccc3N=Cc3ccccn3)n2)n1 7.733297 0.47058823529411764</t>
  </si>
  <si>
    <t>Cc1cccnc1CN(C)Cc1c(C)ccc2ncccc12 7.73329 0.3</t>
  </si>
  <si>
    <t>Cc1cc2ccccc2c(C2C=C(c3ccccc3)C=C(c3ccccc3)C2NCc2ccccn2)c1NCc1ccccn1 7.733289 0.46875</t>
  </si>
  <si>
    <t>c1ccc(CNc2cccc(-c3ccncc3)c2)nc1 7.733279 0.44</t>
  </si>
  <si>
    <t>Cc1cc(CN(C)CCN(C)c2ccc3nccc(C)c3c2)ccn1 7.7332788 0.28846153846153844</t>
  </si>
  <si>
    <t>Cc1cncc(CN(C)c2cccc3c(CN(C)C(C)C)ccnc23)c1 7.7332716 0.3392857142857143</t>
  </si>
  <si>
    <t>Cc1ccnc(CN(C)Cc2cccnc2-c2ccccc2N(C)C)c1 7.7332683 0.34545454545454546</t>
  </si>
  <si>
    <t>CC(C)CN(Cc1ccccn1)Cc1ncccc1N(C)c1cccc2ncccc12 7.7332673 0.4230769230769231</t>
  </si>
  <si>
    <t>Cc1cncc(CN(C)Cc2ncc(-c3cccc(N(C)Cc4cc(C)ccn4)c3)cc2C)c1 7.7332625 0.2727272727272727</t>
  </si>
  <si>
    <t>Cc1ccc2c(CN(C)Cc3ncccc3C)nccc2c1 7.7332606 0.32</t>
  </si>
  <si>
    <t>Cc1nc(CN(C)C2C=CNC(CN(c3ccc4ncccc4c3)C(C)C)=C2)c(C)c(C)c1C 7.7332597 0.24</t>
  </si>
  <si>
    <t>Cc1ccc(CN(Cc2ccccn2)C2=CNC(CN(C)Cc3cccc(-c4cccc(N=Cc5ccccn5)c4)n3)=CC2)nc1 7.7332587 0.3783783783783784</t>
  </si>
  <si>
    <t>Cc1ccc(N(Cc2ccccn2)Cc2ncccc2N(C)C)c(C)c1C 7.733256 0.4</t>
  </si>
  <si>
    <t>CCNc1cc(-c2ncccc2C(C)(C)c2ccccn2)ccn1 7.733256 0.43636363636363634</t>
  </si>
  <si>
    <t>Cc1ccc(-c2cc(C(C)C)ccn2)cc1NCc1ccccn1 7.7332497 0.3469387755102041</t>
  </si>
  <si>
    <t>CC(C)N(CC1=C(N(C)c2cccc3ncccc23)CC=CN1)Cc1ccccn1 7.733247 0.42105263157894735</t>
  </si>
  <si>
    <t>CNCCN(C)c1ccc2c(CF)ccnc2c1 7.7332416 0.22641509433962265</t>
  </si>
  <si>
    <t>Cc1ccc(CN(Cc2ccccn2)Cc2cc(-c3ccccc3N=Cc3ccccn3)ccn2)nc1C 7.733235 0.4166666666666667</t>
  </si>
  <si>
    <t>Cc1cc(C)c(CN(C)CCN(C)c2ccc3nccc(CF)c3c2)nc1C 7.7332277 0.2807017543859649</t>
  </si>
  <si>
    <t>Cc1ccnc(CN(C)c2cc(C)c(C)cc2C)c1 7.733227 0.42857142857142855</t>
  </si>
  <si>
    <t>CC1=CC(NCc2ccccn2)CC(c2ccccc2)=C1c1ccc(-c2ccccc2)c(C)c1NCc1ccccn1 7.733226 0.40625</t>
  </si>
  <si>
    <t>CN(Cc1cc(CF)ccn1)Cc1cc(-c2cccc(N=Cc3ccccn3)c2)ccn1 7.733226 0.3559322033898305</t>
  </si>
  <si>
    <t>CC(C)N(C)CC1=CCC=C(N(C)c2cccc3cccnc23)N1 7.7332115 0.43137254901960786</t>
  </si>
  <si>
    <t>Cc1ccnc(CN(C)Cc2cccnc2-c2cccnc2C)c1C 7.7332096 0.35294117647058826</t>
  </si>
  <si>
    <t>COC1(C)N=COC1c1ncccc1CN(Cc1ccccn1)Cc1cc(-c2ccccc2N=Cc2ccccn2)ccn1 7.7332034 0.2987012987012987</t>
  </si>
  <si>
    <t>CC(C)CN(Cc1ccccn1)c1ccc2nccc(C(C)(C)C)c2c1 7.733197 0.37735849056603776</t>
  </si>
  <si>
    <t>Cc1cnc2cccc(N(C)C3=CNC(CN(C)C(C)C)=CC3)c2c1 7.733195 0.23529411764705882</t>
  </si>
  <si>
    <t>Cc1cc(C)nc(CN(C)Cc2ccc3cc(C)ccc3n2)c1 7.733166 0.42857142857142855</t>
  </si>
  <si>
    <t>CN(Cc1ccccn1)CN(C)c1cccc2ncccc12 7.7331657 0.46808510638297873</t>
  </si>
  <si>
    <t>CC1=CC(c2c(-c3ccccc3)ccc(NCc3ccccn3)c2C)C(c2ccccc2)C=C1c1ccccc1 7.733158 0.375</t>
  </si>
  <si>
    <t>Cc1cnc(CN(C)CC2=CC(N(C)c3ccc4nc(CF)ccc4c3)C=CN2)c(C)c1 7.7331476 0.2923076923076923</t>
  </si>
  <si>
    <t>Cc1cc(CN(Cc2ccccn2)Cc2cc(-c3cccc(N=Cc4ccccn4)c3)ccn2)cnc1C 7.733144 0.359375</t>
  </si>
  <si>
    <t>c1ccc(CN(Cc2ccccn2)c2ccc3ncccc3c2)cc1 7.733141 0.425531914893617</t>
  </si>
  <si>
    <t>CC(C)N(Cc1ccccn1)C1CCC(N(C)c2ccc3nc(-c4ccc5ncccc5c4)ccc3c2)CC1 7.7331276 0.36666666666666664</t>
  </si>
  <si>
    <t>CCN(Cc1ccccn1)c1ccc2nccc(CN(C)Cc3ncccc3F)c2c1 7.733117 0.36065573770491804</t>
  </si>
  <si>
    <t>CCN(Cc1ccccn1)c1ccc2nccc(CN(C)Cc3ncccc3C)c2c1 7.733097 0.36065573770491804</t>
  </si>
  <si>
    <t>Cc1cc(C)c(C)c(CN(C)CCN(C)c2cccc3nc4c(cc23)CCC4)n1 7.73309 0.3484848484848485</t>
  </si>
  <si>
    <t>Cc1ccc(-c2ccc(-c3ccc(CNCc4ccccn4)cc3)cc2)nc1 7.7330875 0.4523809523809524</t>
  </si>
  <si>
    <t>Cc1cnc(CN(C)C2=C(CN(C)Cc3ccc4cccnc4c3)NC=CC2)c(C)c1 7.7330847 0.24285714285714285</t>
  </si>
  <si>
    <t>Cc1cccnc1CN(c1ccc2nc(CF)ccc2c1)C1CCCCC1N(C)c1ccc2c(CN(C)C)cncc2c1 7.733077 0.36363636363636365</t>
  </si>
  <si>
    <t>CN(Cc1ccncc1C(C)(C)C)Cc1ncccc1-c1ccccc1N=Cc1ccccn1 7.7330766 0.3709677419354839</t>
  </si>
  <si>
    <t>C1=CNC(N(Cc2ccccn2)Cc2ncccc2-c2ccccc2N=Cc2ccccn2)C=C1 7.7330728 0.4126984126984127</t>
  </si>
  <si>
    <t>CN(c1ccc2cccnc2c1)C1CCC(N(C)c2ccc3cc(CF)cnc3c2)CC1 7.7330713 0.3157894736842105</t>
  </si>
  <si>
    <t>Cc1cnc(CN(C)c2ccccc2-c2cc(CN(C)C3CCC(N(C)c4ccc5nccc(C)c5c4)CC3)ccn2)c(C)c1 7.733068 0.22784810126582278</t>
  </si>
  <si>
    <t>Cc1ccc(-c2ccccn2)cc1NCc1ccccn1 7.7330666 0.4146341463414634</t>
  </si>
  <si>
    <t>Cc1cc2cccnc2cc1N(Cc1ccccn1)C1CCCCC1N(C)c1ccc2cccnc2c1 7.7330666 0.45614035087719296</t>
  </si>
  <si>
    <t>Cc1cc(CN(C)CCN(C)c2cccc3nccc(C)c23)ccn1 7.7330647 0.34615384615384615</t>
  </si>
  <si>
    <t>Cc1ccc(NCc2ccccn2)c(-c2cccc(C)c2NCc2ccccn2)c1 7.7330647 0.4107142857142857</t>
  </si>
  <si>
    <t>CN(c1ccc2ccc(CF)nc2c1)C1CCC(N(C)c2cccc3nc(CF)ccc23)CC1 7.7330527 0.44642857142857145</t>
  </si>
  <si>
    <t>CNC1C(N(C)Cc2ccccn2)CCCC1N(c1ccc2ncccc2c1)c1ccc2nccc(C)c2c1 7.7330513 0.45161290322580644</t>
  </si>
  <si>
    <t>CCNCc1ncccc1-c1ccccc1N=Cc1ccccn1 7.733047 0.46938775510204084</t>
  </si>
  <si>
    <t>CC(C)N(C)Cc1cc2cccnc2cc1N(C)Cc1ccccn1 7.7330422 0.5</t>
  </si>
  <si>
    <t>CN(Cc1ccc(-c2ccc3ncccc3c2)cn1)C1CCCCC1N(C)c1ccc2nc(CF)ccc2c1 7.733041 0.4393939393939394</t>
  </si>
  <si>
    <t>CCN(Cc1ccccn1)c1ccc2c(CN(C)Cc3ncccc3C)ccnc2c1 7.7330294 0.36666666666666664</t>
  </si>
  <si>
    <t>CNc1ccccc1-c1ccc(C(C)(C)C)cn1 7.7330246 0.21568627450980393</t>
  </si>
  <si>
    <t>Cc1c(-c2ccccc2)ccc(C2=C(c3ccccc3)C(c3ccccc3)=CCC2NCc2ccccn2)c1NCc1ccccn1 7.7330246 0.4</t>
  </si>
  <si>
    <t>Cc1cc(CN(C)CCN(C)c2cccc3c(CF)ccnc23)nc(C)c1C 7.7330217 0.4</t>
  </si>
  <si>
    <t>CNCc1cccc(-c2cc(Cl)ccc2N)n1 7.733019 0.2641509433962264</t>
  </si>
  <si>
    <t>Cc1cncc(-c2cccc(NCc3ccc(C(C)(C)C)cn3)c2)c1 7.7330117 0.24242424242424243</t>
  </si>
  <si>
    <t>Cc1ncccc1CN(C)Cc1ccc2c(C)cccc2n1 7.7329984 0.40816326530612246</t>
  </si>
  <si>
    <t>Cc1ccc(N(C)CCN(C)C(C)C(C)C)c(-c2cccc(C)c2N(C)Cc2ccc3ncccc3c2)c1 7.7329907 0.328125</t>
  </si>
  <si>
    <t>CN(c1ccc2cccnc2c1)C1CCC(N(C)c2ccc3ccc(CF)nc3c2)CC1 7.7329855 0.41818181818181815</t>
  </si>
  <si>
    <t>Cc1cc(-c2cccc(NCc3ccc(C(C)(C)C)cn3)c2)ccn1 7.732984 0.265625</t>
  </si>
  <si>
    <t>CN(CC1=CNC=C(N(C)Cc2ccccn2)C1)Cc1cccc(-c2ccc(Cl)cc2N)n1 7.732984 0.4444444444444444</t>
  </si>
  <si>
    <t>Cc1cccnc1CN(C)C1=CNC(CN(C)Cc2cccc3cccnc23)=CC1 7.7329826 0.48148148148148145</t>
  </si>
  <si>
    <t>Cc1cnc(CN(C)CCN(C)c2cccc3nccc(CN(C)C)c23)c(C)c1 7.732978 0.32142857142857145</t>
  </si>
  <si>
    <t>CN(Cc1ccc2ncccc2c1)Cc1ccccc1N(C)C 7.732977 0.4166666666666667</t>
  </si>
  <si>
    <t>CNCc1cc(-c2cc(C)c(C)cn2)ccn1 7.732975 0.26</t>
  </si>
  <si>
    <t>CN(Cc1ccccn1)c1cc2cccnc2cc1CN(Cc1ccccn1)C(C)(C)c1ccccn1 7.7329707 0.46153846153846156</t>
  </si>
  <si>
    <t>Cc1cnc(CN(CCN(C)c2ccc3nccc(C)c3c2)Cc2cc(C)c(C)c(C)n2)cc1C 7.7329683 0.3</t>
  </si>
  <si>
    <t>CCCN(C)C1=CNC(N(C)Cc2ccccn2)C(N(C)c2ccc3ncccc3c2)=C1 7.7329597 0.34375</t>
  </si>
  <si>
    <t>CNCCN(Cc1ccccn1)c1ccc2nccc(C)c2c1 7.7329574 0.38461538461538464</t>
  </si>
  <si>
    <t>CC(C)C(C)(c1cccnc1)N(C)Cc1cccc(N(C)c2ccc3ncccc3c2)n1 7.7329555 0.26865671641791045</t>
  </si>
  <si>
    <t>CC(C)(c1ccccn1)c1ncccc1CN(Cc1ccccn1)Cc1ncccc1-c1cccc(N=Cc2ccccn2)c1 7.732952 0.3246753246753247</t>
  </si>
  <si>
    <t>COC(=O)C1N=COC1c1cc(C2=NC(C)(C)CO2)ccn1 7.7329445 0.35714285714285715</t>
  </si>
  <si>
    <t>CN(c1cccc2ncccc12)C1CCC(N(Cc2ccccn2)c2cccc3ncccc23)CC1 7.732941 0.4230769230769231</t>
  </si>
  <si>
    <t>CN(CC1=CC(N(C)c2cccc3cccnc23)C=CN1)Cc1ccccn1 7.7329307 0.42105263157894735</t>
  </si>
  <si>
    <t>Cc1cc(C)c(CN(Cc2ccccn2)Cc2cccc(-c3cccc(N=Cc4ccccn4)c3)n2)nc1C 7.732929 0.49230769230769234</t>
  </si>
  <si>
    <t>CN(Cc1ccccn1)C1=CNC(CN(C)c2ccc(Cl)c(Cl)c2)=CC1 7.732923 0.5</t>
  </si>
  <si>
    <t>CC(C)C1COC(c2cc(CN(Cc3ccccn3)Cc3cc(-c4cccc(N=Cc5ccccn5)c4)ccn3)ccn2)=N1 7.7329216 0.3132530120481928</t>
  </si>
  <si>
    <t>CN(c1ccc2ccc(CF)nc2c1)C1CCC(N(C)c2cccc3ncc(CF)cc23)CC1 7.732918 0.3968253968253968</t>
  </si>
  <si>
    <t>CC(C)(c1ccccn1)c1ncccc1CN(Cc1ccccn1)Cc1ncccc1-c1ccccc1N=Cc1ccccn1 7.732915 0.35384615384615387</t>
  </si>
  <si>
    <t>CN(c1ccc2ncccc2c1)C1CCC(N(C)c2ccc3cc(CF)cnc3c2)CC1 7.732913 0.3050847457627119</t>
  </si>
  <si>
    <t>CC(C)c1cc(CN(Cc2ccccn2)C2CCC(N(C)c3ccc4nc(-c5ccc6ncccc6c5)ccc4c3)CC2)ccn1 7.7329116 0.3013698630136986</t>
  </si>
  <si>
    <t>Cc1cccnc1CN(C)c1cccc2cnc(CN(Cc3cccnc3)C(C)C)cc12 7.7329087 0.3225806451612903</t>
  </si>
  <si>
    <t>Cc1cc(CN(Cc2ccc(-c3ccc(C)c(C)c3N(C)Cc3ccccn3)nc2)Cc2ccccn2)nc(C)c1C 7.7329082 0.36363636363636365</t>
  </si>
  <si>
    <t>CCN(Cc1ccccn1)c1ccc2ncccc2c1N(C)CC(C)(C)C 7.7329073 0.4423076923076923</t>
  </si>
  <si>
    <t>Cc1ccc(CN(C)Cc2cccc(-c3cccc(N=Cc4ccccn4)c3)n2)cn1 7.732906 0.4262295081967213</t>
  </si>
  <si>
    <t>CCN(c1cccc2cccnc12)C1CCC(N(C)c2ccc3nccc(CN(C)C)c3c2)CC1 7.732898 0.3968253968253968</t>
  </si>
  <si>
    <t>C1=CC(N(Cc2ccccn2)Cc2ncccc2-c2ccccc2N=Cc2ccccn2)C=CN1 7.7328906 0.38596491228070173</t>
  </si>
  <si>
    <t>CC(C)N(Cc1ccccn1)C1CCCC(N(C)c2ccc3nc(-c4ccc5cccnc5c4)ccc3c2)C1 7.7328844 0.34328358208955223</t>
  </si>
  <si>
    <t>Cc1nc(CN(C)CCN(C)c2cccc3ccc(CN(C)C)nc23)c(C)c(C)c1C 7.7328806 0.4117647058823529</t>
  </si>
  <si>
    <t>CC(C)N(c1ccc2nccc(CF)c2c1)C1CCC(N(C)c2ccc3c(CF)ccnc3c2)CC1 7.7328787 0.21428571428571427</t>
  </si>
  <si>
    <t>Cc1cccnc1CN(C)Cc1ccc2cc(N(Cc3ccnc(C(C)C)c3)Cc3ccccn3)ccc2n1 7.7328763 0.36923076923076925</t>
  </si>
  <si>
    <t>Cc1cc(-c2ccccc2)c(C2=C(NCc3ccccn3)C(c3ccccc3)=CCC2c2ccccc2)cc1NCc1ccccn1 7.7328696 0.373134328358209</t>
  </si>
  <si>
    <t>Cc1ccnc(CNCN(C)c2ccc3ncccc3c2)c1 7.7328672 0.3090909090909091</t>
  </si>
  <si>
    <t>CN(CC1=CC(N(C)C2C=CC=CN2)C=CN1)c1ccc2ncccc2c1 7.732862 0.29411764705882354</t>
  </si>
  <si>
    <t>C=Cc1ccc(CN(Cc2ccccn2)Cc2cc(-c3ccccc3N=Cc3ccccn3)ccn2)cc1 7.7328615 0.49206349206349204</t>
  </si>
  <si>
    <t>CCN(Cc1ccccn1)c1ccc2cccnc2c1-c1cccnc1CN(Cc1ccccc1)Cc1ccccn1 7.732859 0.3898305084745763</t>
  </si>
  <si>
    <t>CCCN(Cc1ccccn1)c1cc2cccnc2cc1N(Cc1ccccn1)Cc1cccc(F)n1 7.732857 0.4</t>
  </si>
  <si>
    <t>CNCc1ccc2cccc(N(C)C3CCC(N(C)Cc4cc(-c5ccc6ncccc6c5)ccn4)CC3)c2n1 7.7328568 0.3611111111111111</t>
  </si>
  <si>
    <t>CN(c1ccc2ncccc2c1)C1CCC(N(C)c2ccc3ccc(CF)nc3c2)CC1 7.732853 0.40350877192982454</t>
  </si>
  <si>
    <t>Cc1ccc(C)c(CN(C)CCN(C)c2ccc3c(CN(C)C)ccnc3c2)n1 7.732841 0.3090909090909091</t>
  </si>
  <si>
    <t>CC(C)NCc1ccc(-c2cccc(N=Cc3ccccn3)c2)cn1 7.73284 0.3620689655172414</t>
  </si>
  <si>
    <t>Cc1cccnc1CN(C)Cc1ccc2cccnc2c1C 7.7328396 0.5</t>
  </si>
  <si>
    <t>Cc1cncc(-c2ccccc2NCc2ccccn2)c1 7.7328362 0.4</t>
  </si>
  <si>
    <t>CCCN(CC1=CCC(N(C)Cc2ccccn2)=CN1)c1cccc2ncccc12 7.7328353 0.3492063492063492</t>
  </si>
  <si>
    <t>Cc1cccnc1CN(C)CCN(C)c1cccc2c(C)ccnc12 7.7328277 0.5</t>
  </si>
  <si>
    <t>Cc1cccc(-c2ccc(CN(C)Cc3cc(C(C)(c4ccccn4)c4ccccn4)ccn3)cc2)n1 7.7328277 0.4067796610169492</t>
  </si>
  <si>
    <t>Cc1ccc(CN(C)Cc2cc(-c3cccc(N(C)Cc4ccccn4)c3)ccn2)nc1C 7.732821 0.46296296296296297</t>
  </si>
  <si>
    <t>CN(C)CCN(C)c1ccc2nc(CF)ccc2c1 7.7328205 0.3269230769230769</t>
  </si>
  <si>
    <t>Cc1ccc(CN(C)Cc2ccc(-c3cccc(N=Cc4ccccn4)c3)nc2)cn1 7.7328186 0.36666666666666664</t>
  </si>
  <si>
    <t>CC(C)N(Cc1ccccn1)C1CCC(N(C)c2ccc3cc(-c4ccc5cccnc5c4)cnc3c2)CC1 7.7328134 0.36507936507936506</t>
  </si>
  <si>
    <t>Cc1cccnc1CN(C)Cc1cc(-c2ccccc2N(C)C)ccn1 7.732813 0.34545454545454546</t>
  </si>
  <si>
    <t>COC(=O)C1CC(C(=O)C(=O)C(=O)C(=O)C(=O)C(=O)C(=O)C(=O)C(=O)C(=O)C(=O)C(=O)C(=O)C(=O)C(=O)C(=O)C(=O)C(=O)C(=O)C(=O)C(=O)C(=O)C(=O)C(=O)C(=O)C(=O)C(=O)C(=O)C(=O)C(=O)C(=O)C=O)C(C(=O)NCc2ccccn2)N(C)C1 7.732813 0.2857142857142857</t>
  </si>
  <si>
    <t>CN(Cc1cc(-c2cccc(N(C)C)c2)ccn1)Cc1cc(C(C)(C)C)ccn1 7.732807 0.34615384615384615</t>
  </si>
  <si>
    <t>CN(Cc1ccc(N)cn1)Cc1cccc(-c2ccc(N(C)C)cc2)n1 7.7328053 0.46938775510204084</t>
  </si>
  <si>
    <t>CN(c1ccc2ncc(CF)cc2c1)C1CCC(N(C)c2ccc3cccnc3c2)CC1 7.732798 0.29508196721311475</t>
  </si>
  <si>
    <t>Cc1nc(CN(Cc2ccccn2)Cc2ccc(-c3cccc(N(C)C)c3)cn2)c(C)c(C)c1C 7.732791 0.4</t>
  </si>
  <si>
    <t>CCOC1(C)COC(c2cccc(CN(Cc3ccccn3)Cc3cccc(-c4cccc(N=Cc5ccccn5)c4)n3)n2)=N1 7.732789 0.44594594594594594</t>
  </si>
  <si>
    <t>Cc1cccnc1CN(C)c1cc(Cl)c(Cl)cc1N(C)C1CCCCC1N(C)c1ccc2cccnc2c1 7.7327886 0.43333333333333335</t>
  </si>
  <si>
    <t>CN(CC1=CC(N(C)C2C=CC=CN2)C=CN1)c1ccc2cccnc2c1 7.7327867 0.2898550724637681</t>
  </si>
  <si>
    <t>CN(c1ccc2nc3c(cc2c1)CCC3)C1CCC(N(C)c2ccc3nc4c(cc3c2)CCC4)CC1 7.732782 0.45098039215686275</t>
  </si>
  <si>
    <t>Cc1cc(CN(C)CCN(C)c2ccc3nccc(CF)c3c2)nc(C)c1C 7.732779 0.30357142857142855</t>
  </si>
  <si>
    <t>Cc1cccc(-c2cccc(NCc3ccc(C(C)(C)C)cn3)c2)n1 7.7327766 0.2727272727272727</t>
  </si>
  <si>
    <t>Cc1ccc(CN(C)Cc2ccc(-c3cccc(N=Cc4ccccn4)c3)cn2)c(C)c1 7.732772 0.359375</t>
  </si>
  <si>
    <t>CN(Cc1ncccc1-c1cccc(N=Cc2ccccn2)c1)Cc1ncccc1C(C)(C)C 7.7327647 0.3387096774193548</t>
  </si>
  <si>
    <t>CC1(C)CCC1c1cccc(C2=NC(=O)C(C(C)(c3ccccn3)c3ccccn3)O2)n1 7.7327423 0.3</t>
  </si>
  <si>
    <t>CC(C)C(C)(c1cccnc1)c1cccc(CN(Cc2ccccn2)c2ccc3ncccc3c2)n1 7.7327266 0.34375</t>
  </si>
  <si>
    <t>CCN(c1cccc2cc3c(nc12)CCC3)C1CCC(N(C)c2ccc3c(CN(C)C)ccnc3c2)CC1 7.732722 0.463768115942029</t>
  </si>
  <si>
    <t>CCN(Cc1ccccn1)c1ccc2nc(CN(C)Cc3nc(C)c(C)cc3C)ccc2c1 7.732721 0.42105263157894735</t>
  </si>
  <si>
    <t>CN(Cc1cc(-c2ccc3ncccc3c2)ccn1)C1CCCCC1N(C)c1ccc2nc(CF)ccc2c1 7.7327166 0.4393939393939394</t>
  </si>
  <si>
    <t>Cc1cccc2nc(CN(C)Cc3cc(N)ccn3)ccc12 7.7327104 0.38461538461538464</t>
  </si>
  <si>
    <t>CCNCc1cccc(-c2cc(C)ccc2N=Cc2ccccn2)n1 7.7327037 0.42105263157894735</t>
  </si>
  <si>
    <t>Cc1cc(CN(C)CCN(C)c2cccc3ncccc23)nc(C)c1C 7.73267 0.43137254901960786</t>
  </si>
  <si>
    <t>CC(C)N(C)CC1=CCC=C(N(C)c2cccc3ncccc23)N1 7.7326665 0.2857142857142857</t>
  </si>
  <si>
    <t>Cc1ccc(CN(C)c2cccc(C)c2-c2cc(CN(Cc3ccccn3)Cc3ncccc3C)ccn2)nc1C 7.7326627 0.38461538461538464</t>
  </si>
  <si>
    <t>Cc1ccc(N)c(-c2ncccc2CN(C)C)c1 7.73266 0.32653061224489793</t>
  </si>
  <si>
    <t>CN(C)c1ccccc1C1=C(NCc2ccccn2)C=CNC1 7.7326555 0.34</t>
  </si>
  <si>
    <t>CC(C)N(Cc1ccccn1)Cc1ccc2cccc(N(C)Cc3cc(N(C)C(C)(C)c4ccccn4)ccn3)c2n1 7.732643 0.39344262295081966</t>
  </si>
  <si>
    <t>CCN(Cc1ccccn1)Cc1ccc2cccc(N(C)CC3=Cc4ncccc4C(C)C3C3=NCC(C)(C)O3)c2n1 7.7326303 0.3116883116883117</t>
  </si>
  <si>
    <t>Cc1cccnc1CN(C)c1ccc2nc(CN(C)C(C)C)ccc2c1 7.7326255 0.3392857142857143</t>
  </si>
  <si>
    <t>CN(c1ccc2ncccc2c1)C1CCC(N(C)c2ccc3ncc(CF)cc3c2)CC1 7.7326164 0.3157894736842105</t>
  </si>
  <si>
    <t>CN(CC1=CCC(N(C)Cc2ccccn2)=CN1)Cc1cccc(-c2cccc(N(C)C)c2)n1 7.7326117 0.4827586206896552</t>
  </si>
  <si>
    <t>CCNCc1cccc(-c2ccc(C)cc2N=Cc2ccccn2)n1 7.7326083 0.42105263157894735</t>
  </si>
  <si>
    <t>Cc1cccc(CN(Cc2ncccc2C)Cc2ncccc2-c2cccc(N=Cc3ccccn3)c2)n1 7.7326045 0.375</t>
  </si>
  <si>
    <t>Cc1ccc(C(C)(c2ccccn2)c2ncccc2CN(Cc2ccccn2)C2CCCCC2N(C)c2cccc3nccc(CN(C)C)c23)c2ncccc12 7.732601 0.3253012048192771</t>
  </si>
  <si>
    <t>CN(CC1=CC(N(C)c2ccc3cccnc3c2)C=CN1)Cc1cccnc1 7.732598 0.29411764705882354</t>
  </si>
  <si>
    <t>CN(CC1=CCC=C(N(C)Cc2ccccn2)N1)Cc1ccc2ncccc2c1 7.732596 0.3728813559322034</t>
  </si>
  <si>
    <t>Cc1cnc(CN(Cc2ncccc2C)Cc2ncccc2-c2cccc(N(C)C)c2)c(C)c1 7.732594 0.2647058823529412</t>
  </si>
  <si>
    <t>Cc1cnc(CN(C)CCN(C)c2ccc3nccc(CN(C)C)c3c2)c(C)c1 7.7325897 0.32727272727272727</t>
  </si>
  <si>
    <t>Cc1cncc(CN(C)Cc2cc(-c3cccc(N(C)C)c3)ccn2)c1 7.732582 0.3157894736842105</t>
  </si>
  <si>
    <t>Cc1cccc(CN2CCCC2c2cccc(-c3cccnc3C3=NC(c4ccccn4)CO3)n2)n1 7.7325816 0.4307692307692308</t>
  </si>
  <si>
    <t>Cc1cccc2nc(CN(C)Cc3ncccc3N)ccc12 7.7325797 0.37735849056603776</t>
  </si>
  <si>
    <t>Cc1nc(CN(C)CCN(C)c2cccc3nccc(CF)c23)c(C)c(C)c1C 7.732578 0.3333333333333333</t>
  </si>
  <si>
    <t>Cc1ccc(CN(C)Cc2cc(-c3cccc(N=Cc4ccccn4)c3)ccn2)cc1C 7.732578 0.3770491803278688</t>
  </si>
  <si>
    <t>Cc1cccc2ncc(CN(C)Cc3ncccc3N)cc12 7.732575 0.2857142857142857</t>
  </si>
  <si>
    <t>Cc1ccc(-c2cccc(NCc3ccccn3)c2)cn1 7.732554 0.4</t>
  </si>
  <si>
    <t>CNCN(Cc1ncccc1C)c1ccc2nc(CF)ccc2c1 7.7325473 0.3103448275862069</t>
  </si>
  <si>
    <t>Cc1cnc(CN(C)CC2=CC(N(C)c3ccc4cc(CF)cnc4c3)C=CN2)c(C)c1 7.732545 0.273972602739726</t>
  </si>
  <si>
    <t>Cc1cnc(CN(C)c2c(C)ccc(C)c2C)c(C)c1 7.732528 0.32558139534883723</t>
  </si>
  <si>
    <t>CCN(Cc1ccccn1)c1cc2cccnc2cc1CN(C)C(C)(C)c1ccon1 7.732526 0.3548387096774194</t>
  </si>
  <si>
    <t>Cc1cc(CN(Cc2ccccn2)Cc2ncccc2-c2ccccc2N=Cc2ccccn2)cnc1C 7.7325215 0.4032258064516129</t>
  </si>
  <si>
    <t>Cc1cc(C)c(CN(Cc2ccccn2)c2cc(N(Cc3ccccn3)C(C)C)cc(N(Cc3ccccn3)C(C)C)c2Cl)nc1C 7.73252 0.3728813559322034</t>
  </si>
  <si>
    <t>Cc1cccnc1CN(Cc1cc(-c2cccc(N(C)C)c2)ccn1)Cc1cc(C)c(C)c(C)n1 7.73252 0.3188405797101449</t>
  </si>
  <si>
    <t>CCN(Cc1ccccn1)Cc1ccc2cccc(N(C)Cc3nc(C)c(C)cc3C)c2n1 7.7325034 0.41379310344827586</t>
  </si>
  <si>
    <t>CN(c1ccc2nc3c(cc2c1)CCC3)C1CCC(N(C)c2ccc3cc4c(nc3c2)CCC4)CC1 7.7325006 0.42592592592592593</t>
  </si>
  <si>
    <t>Cc1ccc2c(N(C)CCN(C)Cc3ccnc(C)c3C)cccc2n1 7.7324944 0.39622641509433965</t>
  </si>
  <si>
    <t>Cc1ccc(CN(Cc2ccccn2)Cc2cccnc2C(C)(C)c2ncccc2-c2ccccc2N=Cc2ccccn2)nc1 7.732492 0.36923076923076925</t>
  </si>
  <si>
    <t>Cc1cc(C)c(N(C)Cc2cc(C(C)(C)c3ccccn3)ccn2)c(C)c1 7.7324824 0.42</t>
  </si>
  <si>
    <t>CN(Cc1cc(-c2cccc(N=Cc3ccccn3)c2)ccn1)Cc1cc(C(C)(C)C)ccn1 7.7324653 0.35</t>
  </si>
  <si>
    <t>CN(Cc1cccc(N(C)C)c1)Cc1ccc2ncccc2c1 7.7324624 0.3829787234042553</t>
  </si>
  <si>
    <t>Cc1c(N)cccc1CN(C)CC1=CC(N(C)c2ccc3cccnc3c2)C=CN1 7.732457 0.3181818181818182</t>
  </si>
  <si>
    <t>CC(C)N(CCN(c1cccc2nccc(-c3cc(C(C)(C)C)ccn3)c12)C(C)C)Cc1ccccn1 7.732433 0.48214285714285715</t>
  </si>
  <si>
    <t>CN(C)c1cccc(-c2cccnc2CN(C)C2C=CNC=C2)c1 7.732432 0.25862068965517243</t>
  </si>
  <si>
    <t>Cc1ccnc(CN(C)CCN(C)c2ccc3c(C)ccnc3c2)c1 7.732432 0.3673469387755102</t>
  </si>
  <si>
    <t>CCNCc1cc(-c2cc(C)c(C)c(N(C)Cc3ccccn3)c2)ccn1 7.7324195 0.46153846153846156</t>
  </si>
  <si>
    <t>Cc1cccc(CN(CC2=CC(N(C)Cc3ccccn3)C=CN2)c2cccc3cccnc23)n1 7.732415 0.3709677419354839</t>
  </si>
  <si>
    <t>Cc1cncc(CN(C)c2ccc3nccc(CN(C)C(C)C)c3c2)c1 7.732409 0.22033898305084745</t>
  </si>
  <si>
    <t>Cc1cc(CN(Cc2ccnc(C(C)C)c2)Cc2cc(-c3cccc(N(C)C)c3)ccn2)nc(C)c1C 7.7324033 0.28378378378378377</t>
  </si>
  <si>
    <t>Cc1ccc2c(CN(C)Cc3ncccc3N)ccnc2c1 7.732399 0.32075471698113206</t>
  </si>
  <si>
    <t>Cc1cccc(N(C)Cc2cc(N(C)C)ccn2)c1 7.732396 0.3695652173913043</t>
  </si>
  <si>
    <t>CNc1ccc(-c2ccc(C(C)(C)C)cn2)cc1 7.7323937 0.17857142857142858</t>
  </si>
  <si>
    <t>CCCN(Cc1ccccn1)c1cc2cccnc2cc1-c1cccc(CN(Cc2ccccn2)Cc2ncccc2F)n1 7.7323933 0.4</t>
  </si>
  <si>
    <t>Cc1cc(C)c(C)c(N(C)Cc2nc(N)c(C)c(C)c2C)c1 7.7323866 0.23529411764705882</t>
  </si>
  <si>
    <t>CNc1ccc(-c2cccc(CN(C)Cc3cc(C)ccn3)n2)cc1Cl 7.7323837 0.43636363636363634</t>
  </si>
  <si>
    <t>Cc1cccc(C)c1CN(C)CC1=CC(N(C)c2ccc3ncccc3c2)C=CN1 7.732375 0.30303030303030304</t>
  </si>
  <si>
    <t>CN(C)Cc1cnccc1-c1cc(N)ccc1N 7.7323694 0.22</t>
  </si>
  <si>
    <t>Cc1ccnc(CN(C)CN(C)c2ccc(Cl)c(Cl)c2N(C)Cc2ncc(C)c(C)c2C)c1C 7.7323656 0.2833333333333333</t>
  </si>
  <si>
    <t>CCN(Cc1ccccn1)Cc1cc2cc(N(C)Cc3cc(C)c(C)c(C)n3)ccc2cn1 7.7323627 0.3728813559322034</t>
  </si>
  <si>
    <t>CCNc1cc(-c2ccc(C(C)(C)c3ccccn3)cn2)ccn1 7.732355 0.44642857142857145</t>
  </si>
  <si>
    <t>CN(C)Cc1ccc2cc(N(C)CCF)ccc2n1 7.7323546 0.36585365853658536</t>
  </si>
  <si>
    <t>CC(C)C(C)(c1cccnc1)N(C)Cc1ncccc1N(C)c1ccc2ncccc2c1 7.732354 0.2786885245901639</t>
  </si>
  <si>
    <t>Cc1cc(C)c(C)c(CN(C)CCN(C)c2ccc3c(CN(C)C)cncc3c2)n1 7.7323523 0.2807017543859649</t>
  </si>
  <si>
    <t>CC(C)C(C)N(C)Cc1ncccc1-c1cc2ncccc2cc1N 7.732352 0.2857142857142857</t>
  </si>
  <si>
    <t>CNCc1cccc(CN(C)c2ccc3nc(CN(C)Cc4nc(C)ccc4C)ccc3c2)n1 7.7323503 0.38181818181818183</t>
  </si>
  <si>
    <t>Cc1cc(C)c(CN(C)CCN(C)c2ccc3cncc(CN(C)C)c3c2)nc1C 7.732349 0.2631578947368421</t>
  </si>
  <si>
    <t>Cc1nc(CN(C)CCN(C)c2ccc3ncc(CN(C)C)cc3c2)c(C)c(C)c1C 7.732347 0.2857142857142857</t>
  </si>
  <si>
    <t>Cc1cncc(CN(C)Cc2cccc(-c3cccc(Cl)c3Cl)n2)c1 7.732347 0.38181818181818183</t>
  </si>
  <si>
    <t>CC(C)(CN(Cc1ccccn1)c1ccc2nccc(CF)c2c1)c1ccccn1 7.732345 0.3684210526315789</t>
  </si>
  <si>
    <t>Cc1ccc2c(CN(C)Cc3ncccc3C)ccnc2c1 7.7323422 0.3333333333333333</t>
  </si>
  <si>
    <t>Cc1c(-c2ccnc(CN(C)C(C)C)c2)cc(Cl)cc1N(C)Cc1ccccn1 7.732339 0.5</t>
  </si>
  <si>
    <t>Cc1cncc(-c2cccc(NCc3ccccn3)c2)c1 7.732337 0.39285714285714285</t>
  </si>
  <si>
    <t>CCOC1(C)COC(c2ncccc2CN(Cc2ccccn2)Cc2ccc(-c3cccc(N=Cc4ccccn4)c3)cn2)=N1 7.732321 0.3023255813953488</t>
  </si>
  <si>
    <t>Cc1cc(C)c(CN(Cc2ccccn2)Cc2ccnc3ccc(N(Cc4ccccn4)C(C)C)cc23)nc1C 7.732314 0.35714285714285715</t>
  </si>
  <si>
    <t>Cc1cccnc1CN(C)Cc1ccnc2ccc(N(C)C(C)C)cc12 7.732311 0.3157894736842105</t>
  </si>
  <si>
    <t>CNCc1ncccc1-c1cccc(Cl)c1NCc1ccccn1 7.732308 0.38596491228070173</t>
  </si>
  <si>
    <t>CN(Cc1ccccn1)C1=CNC(CN(C)c2ccc(Cl)cc2N)=CC1 7.7323055 0.4727272727272727</t>
  </si>
  <si>
    <t>Cc1cnc(CN(C)C2=CNC(CN(C)Cc3ccc4cccnc4c3)=CC2)c(C)c1 7.7323046 0.2463768115942029</t>
  </si>
  <si>
    <t>Cc1ccc(CN(C)Cc2cccc(-c3cccc(N=Cc4ccccn4)c3)n2)nc1 7.732302 0.46551724137931033</t>
  </si>
  <si>
    <t>Cc1cnc(CN(C)CCN(C)c2ccc3ccnc(CN(C)C)c3c2)c(C)c1C 7.732302 0.3090909090909091</t>
  </si>
  <si>
    <t>CCN(c1cccc2ncccc12)C1CCC(N(C)c2cccc3nccc(CF)c23)CC1 7.732295 0.30158730158730157</t>
  </si>
  <si>
    <t>Cc1ccc(C)c(CN(C)CC2=CC(N(C)c3ccc4cccnc4c3)C=CN2)c1C 7.7322907 0.2898550724637681</t>
  </si>
  <si>
    <t>Cc1ccc(CN(C)Cc2ncccc2-c2ccc(Cl)cc2N)nc1 7.7322807 0.44</t>
  </si>
  <si>
    <t>CCOC1(C)COC(c2ncccc2CN(Cc2ccccn2)Cc2cccc(-c3ccc(N=Cc4ccccn4)cc3)n2)=N1 7.7322793 0.375</t>
  </si>
  <si>
    <t>Cc1ccc2c(N(C)CCN(C)Cc3ccc(C)c(C)n3)cccc2n1 7.7322598 0.4782608695652174</t>
  </si>
  <si>
    <t>Cc1cccnc1CN(C)c1cccc2nc(CN(C)C3CCCC(N(C)c4cccc5nc(CF)ccc45)C3)ccc12 7.732255 0.3472222222222222</t>
  </si>
  <si>
    <t>Cc1ccc(CN(C)Cc2ccc(-c3cccc(N=Cc4ccccn4)c3)nc2)nc1 7.732249 0.3728813559322034</t>
  </si>
  <si>
    <t>Cc1ccnc(CN(C)Cc2ccnc3ccc(C)cc23)c1 7.7322416 0.375</t>
  </si>
  <si>
    <t>Cc1cccnc1CN(C)Cc1cnccc1-c1ccccc1N(C)C 7.7322345 0.3090909090909091</t>
  </si>
  <si>
    <t>CCNCc1nc2ccccc2o1 7.7322316 0.375</t>
  </si>
  <si>
    <t>CN(c1ccc2cc3c(nc2c1)CCC3)C1CCC(N(C)c2ccc3cc4c(nc3c2)CCC4)CC1 7.7322288 0.46</t>
  </si>
  <si>
    <t>CN(C)c1ccc2nc(CN(C)C(C)(C)c3cccnc3)ccc2c1 7.732227 0.32</t>
  </si>
  <si>
    <t>CCN(C)CC1=CCC(N(C)c2ccc3nc(C)ccc3c2)=CN1 7.732223 0.2727272727272727</t>
  </si>
  <si>
    <t>CC1=CC(NCc2ccccn2)CC(c2cc(NCc3ccccn3)c(C)c(-c3ccccc3)c2)=C1c1ccccc1 7.7322206 0.373134328358209</t>
  </si>
  <si>
    <t>CCNCc1cccc(-c2cc(N=Cc3ccccn3)ccc2C)n1 7.732216 0.39655172413793105</t>
  </si>
  <si>
    <t>Cc1cc2cccnc2c(CN(C)CC2=C(N(C)Cc3nc(C)c(C)c(C)c3C)CC=CN2)c1C 7.7322087 0.27941176470588236</t>
  </si>
  <si>
    <t>CN(Cc1ccccn1)c1ccc2cc(CN(C)C(C)(C)c3ccccn3)cnc2c1 7.7322063 0.4339622641509434</t>
  </si>
  <si>
    <t>CN(CC1=CC(N(C)c2ccc3cccnc3c2)C=CN1)Cc1cccnc1F 7.7322025 0.3225806451612903</t>
  </si>
  <si>
    <t>Cc1cncc(CN(C)c2ccc3nccc(CN(C)C4CCC(N(C)c5ccc6c(CF)ccnc6c5)CC4)c3c2)c1 7.7321997 0.22666666666666666</t>
  </si>
  <si>
    <t>Cc1cccnc1CN(C)Cc1ccc2c(C)cccc2n1 7.7321973 0.40816326530612246</t>
  </si>
  <si>
    <t>CN(c1cccc2ncccc12)C1CCC(Nc2cccc3ncccc23)CC1 7.732177 0.35185185185185186</t>
  </si>
  <si>
    <t>Cc1ccc2c(N(C)CCNC(C)C)cccc2n1 7.7321754 0.3541666666666667</t>
  </si>
  <si>
    <t>C1=CNC(Nc2ncccc2C(c2ccccn2)c2ccccn2)C=C1 7.7321706 0.3392857142857143</t>
  </si>
  <si>
    <t>Cc1cncc(CN(C)CC2=CC(N(C)c3ccc4nc(C)ccc4c3)C=CN2)c1 7.732166 0.29411764705882354</t>
  </si>
  <si>
    <t>Cc1cccnc1CN(C)CCN(C)c1cccc2nccc(C)c12 7.7321596 0.40816326530612246</t>
  </si>
  <si>
    <t>CN(CC1=CC(N(C)c2ccc3cccnc3c2)C=CN1)Cc1ccccn1 7.7321405 0.3898305084745763</t>
  </si>
  <si>
    <t>Cc1ccc(N(C)Cc2ccccn2)c(CN(Cc2ccccn2)C(C)(N)N(Cc2ccccn2)c2ccc3cc(CN(C)C)cnc3c2)c1C 7.732136 0.34782608695652173</t>
  </si>
  <si>
    <t>CN(c1ccc2ncccc2c1)C1CCC(N(C)c2ccc3nc4c(cc3c2)CCC4)CC1 7.7321343 0.43859649122807015</t>
  </si>
  <si>
    <t>CN(c1ccc2nc(CF)ccc2c1)C1CCC(N(C)c2ccc3c(CF)ccnc3c2)CC1 7.7321334 0.3442622950819672</t>
  </si>
  <si>
    <t>Cc1cccc(CN(C)c2ccc(Cl)c(-c3cccc(CN(C)C4C=CNC(C(C)C)=C4)n3)c2C)n1 7.7321253 0.3382352941176471</t>
  </si>
  <si>
    <t>CNCCN(Cc1ccccn1)c1cccc2c(C)ccnc12 7.7321215 0.39215686274509803</t>
  </si>
  <si>
    <t>Cc1ccncc1CN(C)Cc1ccnc2c(C)cccc12 7.732116 0.3673469387755102</t>
  </si>
  <si>
    <t>Cc1ccc2c(CN(C)Cc3cc(N)ccn3)ccnc2c1 7.732115 0.3333333333333333</t>
  </si>
  <si>
    <t>CN(Cc1ccnc(C(C)(C)C)c1)Cc1cc(-c2cccc(N(C)C)c2)ccn1 7.732115 0.3157894736842105</t>
  </si>
  <si>
    <t>CN(C)CCN(C)c1ccc2ncc(CF)cc2c1 7.7321043 0.26</t>
  </si>
  <si>
    <t>CN(C1=CCC=CN1)C1=CCC=C(CN(Cc2ccccn2)c2cc(Cl)ccc2Cl)N1 7.732095 0.453125</t>
  </si>
  <si>
    <t>Cc1ccc(CN(C)C2=CCC=C(CN(C)Cc3ccc4ncccc4c3)N2)nc1 7.7320914 0.35</t>
  </si>
  <si>
    <t>CN(C)CCN(C)c1ccc2cc(CF)cnc2c1 7.73209 0.2653061224489796</t>
  </si>
  <si>
    <t>Cc1ccnc(CN(C)Cc2ncccc2-c2ccccc2N(C)Cc2ccccn2)c1C 7.7320895 0.46</t>
  </si>
  <si>
    <t>Cc1nc(CN(C)CCN(C)c2cccc3c(CF)ccnc23)c(C)c(C)c1C 7.7320876 0.4074074074074074</t>
  </si>
  <si>
    <t>CN(CC1=CC(N(C)c2ccc3ncccc3c2)C=CN1)Cc1ccccn1 7.7320848 0.3898305084745763</t>
  </si>
  <si>
    <t>CCNCc1cccc(-c2ccc(Cl)c(N(C)Cc3ccccn3)c2C(C)C)n1 7.7320814 0.42105263157894735</t>
  </si>
  <si>
    <t>Cc1cncc(CN(C)Cc2cccc(-c3cccc(N=Cc4ccccn4)c3)n2)c1 7.732054 0.41935483870967744</t>
  </si>
  <si>
    <t>CN(C)Cc1ccc2ccc(N(C)C3CCC(N(C)c4ccc5cccnc5c4)CC3)cc2n1 7.7320523 0.39215686274509803</t>
  </si>
  <si>
    <t>CC(C)C(C)(c1cccnc1)N(C)Cc1cc(N(C)c2ccc3cccnc3c2)ccn1 7.7320504 0.296875</t>
  </si>
  <si>
    <t>CN(C)Cc1ccc2ccc(N(C)C3CCC(N(C)c4ccc5ncccc5c4)CC3)cc2n1 7.732047 0.37735849056603776</t>
  </si>
  <si>
    <t>Cc1ccc(CN(C)Cc2ccc(-c3cccc(N=Cc4ccccn4)c3)cn2)cn1 7.7320457 0.34375</t>
  </si>
  <si>
    <t>c1ccc(CN(CCN(Cc2cccnc2)Cc2cccc3cccnc23)c2cccc3cccnc23)nc1 7.7320333 0.4107142857142857</t>
  </si>
  <si>
    <t>Cc1cccnc1CN(C)Cc1ccc(-c2cccc(N(C)C)c2)cn1 7.732031 0.35294117647058826</t>
  </si>
  <si>
    <t>CN(C)c1cccc2nc(CN(C)C3CCCC(N(C)c4cccc5nc(CF)ccc45)C3)ccc12 7.732024 0.4166666666666667</t>
  </si>
  <si>
    <t>Cc1ccc(-c2cc(C)ccn2)cc1 7.732011 0.3684210526315789</t>
  </si>
  <si>
    <t>CC1CC(N(C)c2ccc3cccnc3c2)=CC2N=CC=CC12 7.732011 0.265625</t>
  </si>
  <si>
    <t>Cc1cncc(CN(C)Cc2ccc(-c3cccc(N=Cc4ccccn4)c3)nc2)c1 7.7319956 0.34375</t>
  </si>
  <si>
    <t>Cc1ccc(CN(C)c2cccnc2CN(Cc2ccccn2)c2cc(Cl)ccc2C(C)C)nc1C 7.7319946 0.4262295081967213</t>
  </si>
  <si>
    <t>Cc1cncc(CN(C)CC2=CC(N(C)c3ccc4cccnc4c3)C=CN2)c1 7.731987 0.28169014084507044</t>
  </si>
  <si>
    <t>CC1=CC(NCc2ccccn2)CC(c2ccccc2)=C1c1cc(NCc2ccccn2)c(C)c(-c2ccccc2)c1 7.731979 0.373134328358209</t>
  </si>
  <si>
    <t>CC(C)C(C)(c1cccnc1)N(C)Cc1cc(N(C)c2ccc3ncccc3c2)ccn1 7.731972 0.2647058823529412</t>
  </si>
  <si>
    <t>Cc1cc(NCc2ccccn2)ccc1-c1cc(CN(C)Cc2ccc(N)cn2)cnc1C 7.731959 0.3333333333333333</t>
  </si>
  <si>
    <t>CN(C)c1ccccc1-c1ccnc(CNC2C=CC=CN2)c1 7.7319555 0.3442622950819672</t>
  </si>
  <si>
    <t>CN(c1ccc2nc(CF)ccc2c1)C1CCC(N(C)c2ccc3nccc(CF)c3c2)CC1 7.731951 0.3387096774193548</t>
  </si>
  <si>
    <t>CN(c1ccc2cccnc2c1)C1CCC(N(C)c2ccc3cccnc3c2)CC1 7.7319493 0.391304347826087</t>
  </si>
  <si>
    <t>CC(C)C(C)(c1cccnc1)N(C)Cc1ncccc1N(C)c1cccc2cccnc12 7.731948 0.41509433962264153</t>
  </si>
  <si>
    <t>Cc1cnc(CN(C)Cc2cc(-c3cccc(N(C)Cc4ccccn4)c3)ccn2)c(C)c1 7.7319474 0.39655172413793105</t>
  </si>
  <si>
    <t>Cc1ccc(-c2ccc(NCc3ccccn3)cc2)cn1 7.7319465 0.425</t>
  </si>
  <si>
    <t>Cc1cc(-c2ccccc2NCc2ccccn2)ccn1 7.7319384 0.41509433962264153</t>
  </si>
  <si>
    <t>Cc1cc(CN(C)c2ccc3nc(CN(Cc4ccccn4)Cc4ncccc4C)ccc3c2)cnc1C 7.7319336 0.4576271186440678</t>
  </si>
  <si>
    <t>C=CCN(C)Cc1ncccc1-c1ccccc1N=Cc1ccccn1 7.7319303 0.4339622641509434</t>
  </si>
  <si>
    <t>Cc1cncc(CN(C)c2cccnc2CN(Cc2ccccn2)Cc2cccc(-c3cccc(N=Cc4ccccn4)c3)n2)c1 7.7319236 0.4155844155844156</t>
  </si>
  <si>
    <t>Cc1ccc2c(N(C)CCCN(C)C)cccc2n1 7.731923 0.46511627906976744</t>
  </si>
  <si>
    <t>Cc1ccc(CN(C)Cc2cc(-c3cccc(N(C)C)c3)ccn2)nc1 7.7319083 0.5</t>
  </si>
  <si>
    <t>Cc1cccc(CN(CC2=CC(N(C)Cc3ccccn3)C=CN2)c2ccc3ncccc3c2)n1 7.7319045 0.34328358208955223</t>
  </si>
  <si>
    <t>Cc1cccc(-c2ccccc2NCc2ccccn2)n1 7.731903 0.40476190476190477</t>
  </si>
  <si>
    <t>Cc1cncc(CN(C)CC2=CC(N(C)c3ccc4ncccc4c3)C=CN2)c1 7.7319016 0.2857142857142857</t>
  </si>
  <si>
    <t>Cc1ccc(CN(C)Cc2cccc(-c3ccc(N=Cc4ccccn4)cc3)n2)nc1 7.7319007 0.48214285714285715</t>
  </si>
  <si>
    <t>Cc1nc(CN(C)CCN(C)c2ccc3nccc(CF)c3c2)c(C)c(C)c1C 7.731898 0.2807017543859649</t>
  </si>
  <si>
    <t>CCN(Cc1ccccn1)Cc1ccc2cccc(N(C)Cc3nc(C)c(C)c(C)c3C)c2n1 7.7318935 0.42105263157894735</t>
  </si>
  <si>
    <t>CCN(Cc1ccccn1)c1ccc2c(CN(C)C3C=CC=CN3)ccnc2c1 7.7318907 0.40625</t>
  </si>
  <si>
    <t>CC(C)(c1ccnc(CNCc2ccccc2C(C)(C)c2cc(-c3cccc(N=Cc4ccccn4)c3)ccn2)c1)c1ccccn1 7.7318845 0.2916666666666667</t>
  </si>
  <si>
    <t>CN(c1ccc2ncccc2c1)C(C)(C)C 7.7318816 0.3333333333333333</t>
  </si>
  <si>
    <t>Cc1ccccc1-c1c(C)cccc1NCc1ccccn1 7.7318797 0.425</t>
  </si>
  <si>
    <t>Cc1cnc(CN(C)Cc2cccc(-c3cccc(Cl)c3N)n2)c(C)c1 7.731877 0.38596491228070173</t>
  </si>
  <si>
    <t>Cc1cccnc1CN(C)c1ccc2ccc(CN(C)C(C)C)nc2c1 7.731872 0.34545454545454546</t>
  </si>
  <si>
    <t>Cc1ccnc(CN(C)Cc2cc(-c3cccc(N(C)C)c3)ccn2)c1 7.7318645 0.3673469387755102</t>
  </si>
  <si>
    <t>Cc1cncc(-c2ccc(NCc3ccccn3)cc2)c1 7.7318525 0.3953488372093023</t>
  </si>
  <si>
    <t>Cc1cccc(C2(C)N=COC2c2cc(C3=NC(C)(C)CO3)ccn2)c1 7.731836 0.375</t>
  </si>
  <si>
    <t>CNCc1ncccc1CN(Cc1ccccn1)c1ccc2ncccc2c1 7.7318234 0.35714285714285715</t>
  </si>
  <si>
    <t>CN(Cc1cccnn1)CN(C)c1ccc2cccnc2c1 7.7318196 0.5</t>
  </si>
  <si>
    <t>CCN(Cc1ccccn1)Cc1nccc2cccc(N(C)Cc3ncccc3C)c12 7.731819 0.39285714285714285</t>
  </si>
  <si>
    <t>Cc1c(-c2ccc(CN(C)C(C)C)nc2)cc(Cl)cc1N(C)Cc1ccccn1 7.7318163 0.49056603773584906</t>
  </si>
  <si>
    <t>CNCc1cccc(CN(C)Cc2cccc(N(C)c3ccc4nc(CF)ccc4c3)n2)n1 7.7318106 0.3333333333333333</t>
  </si>
  <si>
    <t>Cc1cncc(CN(C)CC2=CC(N(C)c3cccc4cccnc34)C=CN2)c1 7.73179 0.375</t>
  </si>
  <si>
    <t>CN(c1ccc2ncccc2c1)C1CCC(N(C)c2ccc3cccnc3c2)CC1 7.731785 0.3673469387755102</t>
  </si>
  <si>
    <t>CN(CN)C1=CNC=CC1CN(C)c1ccc2cccnc2c1 7.731785 0.2833333333333333</t>
  </si>
  <si>
    <t>CN(c1ccc2cccnc2c1)C1CCCC(N(C)c2ccc3cc(CF)cnc3c2)C1 7.7317743 0.3220338983050847</t>
  </si>
  <si>
    <t>CN(C)Cc1ccc2cccc(N(C)CCF)c2n1 7.7317743 0.47619047619047616</t>
  </si>
  <si>
    <t>Cc1ccnc(CN(C)Cc2cccc(-c3ccc(N=Cc4ccccn4)cc3)n2)c1 7.7317715 0.48214285714285715</t>
  </si>
  <si>
    <t>Cc1cccc(C2=NC(c3ccccn3)C(C)O2)c1 7.731764 0.25806451612903225</t>
  </si>
  <si>
    <t>CN(c1ccc2ccc(CF)nc2c1)C1CCCC(N(C)c2cccc3ncc(CF)cc23)C1 7.7317615 0.4</t>
  </si>
  <si>
    <t>CCN(Cc1ccccn1)C1=C(CN(C)c2ccc3nc(CF)ccc3c2)NC=CC1 7.7317586 0.3484848484848485</t>
  </si>
  <si>
    <t>CN(Cc1cccc(-c2ccc3ncccc3c2)n1)C1CCC(N(C)c2ccc3nc(CF)ccc3c2)CC1 7.7317533 0.3380281690140845</t>
  </si>
  <si>
    <t>CCC1=NC(C(C)N(C)Cc2cc(-c3c(N)ccc4cccnc34)ccn2)CO1 7.7317476 0.2714285714285714</t>
  </si>
  <si>
    <t>CC(C)N(C)C1=C(CN(C)c2ccc3ccc(CN(C)C)nc3c2)NC=CC1 7.731741 0.2962962962962963</t>
  </si>
  <si>
    <t>Cc1cc(CN(C)c2ccccc2-c2ccc(CN(C)Cc3ccc(N)cn3)cn2)cnc1C 7.731737 0.3</t>
  </si>
  <si>
    <t>Cc1ccc2c(CN(C)Cc3ccc(N)cn3)ccnc2c1 7.7317348 0.43478260869565216</t>
  </si>
  <si>
    <t>Cc1cnc2cccc(N(C)CCN(Cc3cccc4ncccc34)CC(C)(C)C)c2c1 7.7317333 0.39285714285714285</t>
  </si>
  <si>
    <t>Cc1nc(CN(C)CCN(C)c2cccc3nc4c(cc23)CCC4)c(C)c(C)c1C 7.7317324 0.35384615384615387</t>
  </si>
  <si>
    <t>CN(c1ccc2cc(CF)cnc2c1)C1CCC(N(C)c2ccc3c(CF)ccnc3c2)CC1 7.7317286 0.25757575757575757</t>
  </si>
  <si>
    <t>Cc1cncc(CN(C)Cc2cccc(-c3ccc(N=Cc4ccccn4)cc3)n2)c1 7.7317142 0.4262295081967213</t>
  </si>
  <si>
    <t>Cc1cccnc1-c1ccccc1NCc1ccccn1 7.731713 0.425</t>
  </si>
  <si>
    <t>Cc1cc(-c2ccc(-c3ccc(-c4ccc(-c5ccccc5N=Cc5ccccn5)cc4)cc3)cc2)ccc1-c1ccccc1-c1ccnc(CNCc2cncc(-c3ccc4c(c3)OCCOCCOCCOCCOCCO4)c2)c1 7.7317066 0.2976190476190476</t>
  </si>
  <si>
    <t>CNCc1ncccc1CN(Cc1ccccn1)c1cccc2cccnc12 7.731704 0.4117647058823529</t>
  </si>
  <si>
    <t>Cc1cc(C)c(CN(C)CCN(C)c2cccc3nccc(CN(C)C)c23)nc1C 7.731704 0.3333333333333333</t>
  </si>
  <si>
    <t>Cc1cccnc1CN(C)C1=CNC(CN(C)Cc2cccc3ncccc23)=CC1 7.7317038 0.32786885245901637</t>
  </si>
  <si>
    <t>CNc1cccc(-c2cccc(CN(C)c3ccc(CN(C)Cc4ncccc4C)nc3)n2)c1 7.7317038 0.4032258064516129</t>
  </si>
  <si>
    <t>Cc1nc(CN(C)CCN(C)c2cccc3ncccc23)c(C)c(C)c1C 7.731701 0.4489795918367347</t>
  </si>
  <si>
    <t>Cc1ccc2nccc(CN(C)Cc3ncccc3N)c2c1 7.7316937 0.3148148148148148</t>
  </si>
  <si>
    <t>Cc1cc(-c2nc(CN(C)C3CCC(N(C)c4ccc5ncccc5c4)CC3)cc(C)c2C)ccc1N(C)C 7.7316847 0.28169014084507044</t>
  </si>
  <si>
    <t>CCCN(CC1=CCC=C(N(C)Cc2ccccn2)N1)c1cccc2cccnc12 7.731684 0.42105263157894735</t>
  </si>
  <si>
    <t>Cc1cnc(CN(Cc2ccccn2)CN(C)c2cccc3ncccc23)c(C)c1C 7.731674 0.38181818181818183</t>
  </si>
  <si>
    <t>CC(C)NCc1cccc(-c2cc(Cl)cc(Cl)c2)n1 7.7316723 0.2982456140350877</t>
  </si>
  <si>
    <t>CN(c1ccc2ncccc2c1)C1CCC(N(C)c2ccc3cc4c(nc3c2)CCC4)CC1 7.731672 0.43103448275862066</t>
  </si>
  <si>
    <t>Cc1cccnc1CN(C)Cc1ncccc1-c1ccccc1N(C)Cc1ncccc1C 7.7316685 0.3541666666666667</t>
  </si>
  <si>
    <t>CN(Cc1ncccc1F)c1ccc2ccc(CN(Cc3cccc(F)n3)Cc3ncccc3F)nc2c1 7.7316685 0.41818181818181815</t>
  </si>
  <si>
    <t>Cc1cc(C)c(C)c(CN(C)c2cccc(-c3ccnc(CN(C)C(C)C)c3)c2C)n1 7.7316675 0.3</t>
  </si>
  <si>
    <t>Cc1cc(CN(C)c2ccccc2-c2ccc(CN(C)Cc3ccc(C)c(C)n3)nc2)cnc1C 7.731663 0.3157894736842105</t>
  </si>
  <si>
    <t>Cc1cnc(CN(C)Cc2cnc3c(C)cccc3c2)cc1C 7.731661 0.3617021276595745</t>
  </si>
  <si>
    <t>CN(CC1=CCC(N(C)c2ccc3ccc(CF)nc3c2)=CN1)Cc1ccccn1 7.7316537 0.3898305084745763</t>
  </si>
  <si>
    <t>Cc1cnc(CN(C)c2cc(C)c(NCc3ccccn3)cc2C)c(C)c1 7.73165 0.4074074074074074</t>
  </si>
  <si>
    <t>CNCc1ccc2nccc(CN(C)Cc3nc(C)c(C)c(C)c3C)c2c1 7.731648 0.2459016393442623</t>
  </si>
  <si>
    <t>CC(C)CN(Cc1ccccn1)c1ccc2nccc(CF)c2c1 7.731646 0.38461538461538464</t>
  </si>
  <si>
    <t>Cc1ccc(-c2ccc(C)c(NCc3ccccn3)c2)nc1 7.731642 0.3695652173913043</t>
  </si>
  <si>
    <t>CN(c1ccc2ccc(CF)nc2c1)C1CCC(N(C)c2ccc3c(CF)ccnc3c2)CC1 7.7316413 0.35</t>
  </si>
  <si>
    <t>CCN(Cc1ccccn1)Cc1cccc(N(C)c2ccc3ncccc3c2)n1 7.7316365 0.4423076923076923</t>
  </si>
  <si>
    <t>Cc1ccnc(CN(C)Cc2ncccc2-c2cccc(N(C)C)c2)c1 7.731635 0.3392857142857143</t>
  </si>
  <si>
    <t>Cc1cnc(CN(C)Cc2cccc(-c3cccc(N(C)Cc4cccc(C)n4)c3)n2)c(C)c1 7.731629 0.41509433962264153</t>
  </si>
  <si>
    <t>CC(C)N(Cc1ccccn1)c1ccc2nccc(CN(C)C3C=CC=CN3)c2c1 7.7316217 0.3939393939393939</t>
  </si>
  <si>
    <t>CN(CCN(Cc1ccccn1)c1cccc2ncccc12)c1ccccc1F 7.7316165 0.39622641509433965</t>
  </si>
  <si>
    <t>CN(c1ccc2ncccc2c1)C1CCC(N(C)c2ccc3ncccc3c2)CC1 7.731615 0.4</t>
  </si>
  <si>
    <t>Cc1cnc(-c2cccc(NCc3ccccn3)c2)cc1NCc1ccccn1 7.7316146 0.3793103448275862</t>
  </si>
  <si>
    <t>CC(C)NCc1ncccc1-c1cccc(N=Cc2ccccn2)c1 7.7315974 0.3684210526315789</t>
  </si>
  <si>
    <t>Cc1cc(C)nc(CN(C)c2cc(-c3ccnc(CN(C)C(C)C)c3)ccc2C)c1 7.7315965 0.3103448275862069</t>
  </si>
  <si>
    <t>CC(C)NCc1cc(-c2cccc(N=Cc3ccccn3)c2)ccn1 7.7315803 0.375</t>
  </si>
  <si>
    <t>CCCN(Cc1ccccn1)c1ccc2nccc(C(C)(C)c3ccccn3)c2c1 7.731578 0.3684210526315789</t>
  </si>
  <si>
    <t>Cc1ccc2nccc(CN(C)Cc3ncccc3C)c2c1 7.731576 0.3269230769230769</t>
  </si>
  <si>
    <t>CN(C)CCN(C)c1ccc2ccc(CF)nc2c1 7.731575 0.34146341463414637</t>
  </si>
  <si>
    <t>Cc1cnc2cccc(N(CCN(C)C)Cc3ccccn3)c2c1 7.731574 0.48936170212765956</t>
  </si>
  <si>
    <t>CN(CC1=C(N(C)Cc2ccccn2)CC=CN1)Cc1cccc(-c2cccc(Cl)c2Cl)n1 7.731564 0.4666666666666667</t>
  </si>
  <si>
    <t>CCN(Cc1ccccn1)C1=C(CN(C)c2cccc3ccc(CF)nc23)NC=CC1 7.731564 0.391304347826087</t>
  </si>
  <si>
    <t>CN(C)Cc1ccc2cc(N(C)C3CCC(N(C)c4ccc5nccc(CF)c5c4)CC3)ccc2n1 7.7315545 0.2835820895522388</t>
  </si>
  <si>
    <t>CC(C)N(C)C1=CCC(CN(Cc2ccccn2)c2ccc3cccnc3c2)=CN1 7.731552 0.3870967741935484</t>
  </si>
  <si>
    <t>Cc1ccc(CN(C)Cc2ccc(-c3cccc(N=Cc4ccccn4)c3)cn2)nc1 7.7315516 0.41509433962264153</t>
  </si>
  <si>
    <t>CN(c1ccc2cc(CF)cnc2c1)C1CCC(N(C)c2ccc3nccc(CF)c3c2)CC1 7.7315445 0.25</t>
  </si>
  <si>
    <t>Cc1cccnc1CN(CC1=CC(N(C)Cc2ccccn2)C=CN1)c1ccc2ncccc2c1 7.7315435 0.3283582089552239</t>
  </si>
  <si>
    <t>Cc1ccccc1-c1ncccc1C(C)N=Cc1ccccn1 7.7315335 0.42857142857142855</t>
  </si>
  <si>
    <t>Cc1ccc(CN(C)Cc2cc(-c3ccccc3N=Cc3ccccn3)ccn2)c(C)c1 7.731516 0.4166666666666667</t>
  </si>
  <si>
    <t>CN(C)Cc1ccc2c(N(C)C3CCCCC3N(C)c3ccc4cccnc4c3)cccc2n1 7.731516 0.48214285714285715</t>
  </si>
  <si>
    <t>C1=CC(CN(Cc2ccccn2)c2ccc3ncccc3c2)C=CN1 7.731504 0.38596491228070173</t>
  </si>
  <si>
    <t>Cc1cccnc1CN(C)c1cc(Cl)c(Cl)cc1N(C)C1CCC(N(C)c2ccc3c(CF)ccnc3c2)CC1 7.731502 0.3384615384615385</t>
  </si>
  <si>
    <t>Cc1ccc(-c2ccc(NCc3ccccn3)c(C)c2)nc1 7.7314954 0.3695652173913043</t>
  </si>
  <si>
    <t>Cc1ccc(-c2ccccc2N(C)C)c(CN(C)Cc2ccccn2)n1 7.7314925 0.46938775510204084</t>
  </si>
  <si>
    <t>CC(C)C(C)(c1ccccn1)N(Cc1ccccn1)c1ccc2nccc(CF)c2c1 7.7314916 0.3620689655172414</t>
  </si>
  <si>
    <t>CCNCc1cccc(-c2ccc(C)c(N(C)Cc3ccccn3)c2C)n1 7.7314878 0.43636363636363634</t>
  </si>
  <si>
    <t>Cc1ccc2nccc(CN(C)Cc3cc(N)ccn3)c2c1 7.7314715 0.32653061224489793</t>
  </si>
  <si>
    <t>Cc1cccnc1CN(C)Cc1ncccc1-c1ccccc1N(C)C 7.7314634 0.32</t>
  </si>
  <si>
    <t>CNCN(Cc1ccccn1)c1ccc2c(CF)ccnc2c1 7.731457 0.3617021276595745</t>
  </si>
  <si>
    <t>CN(c1ccc2ccc(CF)nc2c1)C1CCC(N(C)c2ccc3nccc(CF)c3c2)CC1 7.7314525 0.3387096774193548</t>
  </si>
  <si>
    <t>Cc1cc(NCc2ccccn2)ccc1-c1ccc(C)c(CN(C)Cc2cc(C)c(C)c(C)n2)n1 7.7314496 0.359375</t>
  </si>
  <si>
    <t>Cc1ccc(CN(C)Cc2cccnc2-c2cccc(N=Cc3ccccn3)c2)nc1 7.731443 0.3793103448275862</t>
  </si>
  <si>
    <t>Cc1ccnc(CN(C)CCN(C)c2cccc3c(C)ccnc23)c1C 7.7314425 0.44680851063829785</t>
  </si>
  <si>
    <t>Cc1cccc(CN(C)Cc2cccc(-c3cccc(N=Cc4ccccn4)c3)n2)n1 7.731441 0.4727272727272727</t>
  </si>
  <si>
    <t>Cc1cnc(CN(CC2=CCC=C(N(C)Cc3ccccn3)N2)c2cc(Cl)ccc2Cl)c(C)c1 7.7314405 0.4</t>
  </si>
  <si>
    <t>CN(CCF)Cc1ncccc1N(C)c1ccc2cccnc2c1 7.7314367 0.3584905660377358</t>
  </si>
  <si>
    <t>CN(c1ccc2nc3c(cc2c1)CCC3)C1CCC(N(C)c2cccc3nc4c(cc23)CCC4)CC1 7.731435 0.46551724137931033</t>
  </si>
  <si>
    <t>CNCc1cc(CN(Cc2ccc(N)cn2)c2ccc3nc(CF)ccc3c2)ccn1 7.731434 0.28125</t>
  </si>
  <si>
    <t>CN(Cc1ccccn1)C1=C(c2ccncc2)NC=CC1 7.7314234 0.4339622641509434</t>
  </si>
  <si>
    <t>CN(c1cccc2nc(CF)ccc12)C1CCC(N(C)c2cccc3nc(CF)ccc23)CC1 7.731417 0.4897959183673469</t>
  </si>
  <si>
    <t>Cc1ccnc(CN(C)Cc2cc(-c3ccc(N(C)C)cc3)ccn2)c1 7.731412 0.3829787234042553</t>
  </si>
  <si>
    <t>Cc1cccnc1CN(C)Cc1cccc(-c2cccc(N=Cc3ccccn3)c2)n1 7.731398 0.4406779661016949</t>
  </si>
  <si>
    <t>CC(C)c1ncccc1CN(C)Cc1ncccc1-c1cccc(N=Cc2ccccn2)c1 7.7313933 0.328125</t>
  </si>
  <si>
    <t>Cc1cc(CN(C)Cc2cc(N)ccn2)cc2cccnc12 7.7313895 0.36538461538461536</t>
  </si>
  <si>
    <t>CN(c1ccc2nc(CF)ccc2c1)C1CCC(N(C)c2cccc3c(CF)ccnc23)CC1 7.731388 0.42857142857142855</t>
  </si>
  <si>
    <t>CCN(Cc1ccccn1)Cc1cc2c(N(C)Cc3cc(C)c(C)c(C)n3)cccc2cn1 7.731384 0.41379310344827586</t>
  </si>
  <si>
    <t>CC(C)N(Cc1ccccn1)Cc1cccc(N(C)c2ccc3nc(CF)ccc3c2)n1 7.7313676 0.4716981132075472</t>
  </si>
  <si>
    <t>CCNc1cccc2ncccc12 7.7313633 0.32653061224489793</t>
  </si>
  <si>
    <t>CNCN(Cc1ccccn1)c1ccc2nccc(CF)c2c1 7.7313595 0.3541666666666667</t>
  </si>
  <si>
    <t>CN(CCF)Cc1ncccc1N(C)c1ccc2ncccc2c1 7.731356 0.36538461538461536</t>
  </si>
  <si>
    <t>Cc1cnccc1CN(C)Cc1ccc(-c2cccc(N=Cc3ccccn3)c2)cn1 7.7313533 0.359375</t>
  </si>
  <si>
    <t>CCN(Cc1ccccn1)c1cccc(C)c1-c1cnccc1CN(Cc1ccccn1)Cc1cc(-c2cccc(N)c2C)ccn1 7.731347 0.32051282051282054</t>
  </si>
  <si>
    <t>CNCCN(Cc1ccccn1)Cc1ncccc1-c1c(N)ccc2ncccc12 7.7313423 0.39285714285714285</t>
  </si>
  <si>
    <t>CCN(Cc1ccccn1)C1=CNC(CN(C)c2ccc3nc(CF)ccc3c2)=CC1 7.7313423 0.359375</t>
  </si>
  <si>
    <t>CC1=CC(C)CCC1N(C)Cc1cc(-c2cccc(N(C)c3ccc4nc(CF)ccc4c3)c2)ccn1 7.731334 0.2894736842105263</t>
  </si>
  <si>
    <t>Cc1c(NCc2ccccn2)cccc1-c1ccccn1 7.7313275 0.425</t>
  </si>
  <si>
    <t>Cc1cc(C)c(-c2ccc(CN(C)Cc3ccccn3)cn2)c(N(C)Cc2ccccn2)c1 7.7313213 0.47058823529411764</t>
  </si>
  <si>
    <t>CC(C)C1(C)N=COC1c1cc(CN(Cc2ccccn2)C2CCC(N(C)c3ccc4nccc(-c5ccc6ncccc6c5)c4c3)CC2)ccn1 7.7313204 0.25287356321839083</t>
  </si>
  <si>
    <t>CC(C)NCc1ncccc1-c1ccccc1N=Cc1ccccn1 7.731317 0.46</t>
  </si>
  <si>
    <t>Cc1ccc(-c2ccc(CN(C)Cc3ccccn3)cn2)c(N(C)Cc2ccc(C)c(C)n2)c1 7.731316 0.4098360655737705</t>
  </si>
  <si>
    <t>Cc1cccc(C)c1CN(C)Cc1cc(-c2ccccc2N=Cc2ccccn2)ccn1 7.7313075 0.4909090909090909</t>
  </si>
  <si>
    <t>Cc1cccnc1CN(C)Cc1ccc(-c2cccc(N=Cc3ccccn3)c2)nc1 7.7312965 0.3870967741935484</t>
  </si>
  <si>
    <t>Cc1ccc(N(C)Cc2cc(C)c(C)c(C)n2)cc1C 7.731296 0.2708333333333333</t>
  </si>
  <si>
    <t>Cc1cnc(CN(C)Cc2cccc(-c3cccc(N(C)C)c3)n2)cc1C 7.7312927 0.46</t>
  </si>
  <si>
    <t>Cc1cccc(-c2cccc(NCc3ccccn3)c2)n1 7.731291 0.43636363636363634</t>
  </si>
  <si>
    <t>Cc1cccnc1-c1cccc(NCc2ccc(C(C)(C)C)cn2)c1 7.731261 0.27692307692307694</t>
  </si>
  <si>
    <t>Cc1cccnc1CN(Cc1ccccn1)Cc1ccnc2ccc(N(C)Cc3ccccn3)cc12 7.73126 0.4</t>
  </si>
  <si>
    <t>Cc1cccc(CN(C)C2=CCC=C(CN(C)Cc3ccc4ncccc4c3)N2)n1 7.7312546 0.3559322033898305</t>
  </si>
  <si>
    <t>COC(=O)C(=O)C(=O)C1(C)N=COC1c1cc(C2=NC(C)(C)CO2)ccn1 7.731245 0.31666666666666665</t>
  </si>
  <si>
    <t>FCc1ccnc2ccc(N(Cc3ccccc3)Cc3ccccn3)cc12 7.731243 0.3695652173913043</t>
  </si>
  <si>
    <t>CNCc1cc(CN(Cc2ccccn2)c2ccc3ncccc3c2)ccn1 7.731243 0.36363636363636365</t>
  </si>
  <si>
    <t>Cc1cccc(CN(C)Cc2ccc(-c3cccc(N=Cc4ccccn4)c3)nc2)n1 7.7312384 0.38095238095238093</t>
  </si>
  <si>
    <t>CN(c1ccc2nc3c(cc2c1)CCC3)C1CCCC(N(C)c2ccc3nc4c(cc3c2)CCC4)C1 7.731238 0.4339622641509434</t>
  </si>
  <si>
    <t>Cc1cncc(CN(C)Cc2ccc(-c3cccc(N=Cc4ccccn4)c3)cn2)c1 7.731231 0.3384615384615385</t>
  </si>
  <si>
    <t>CCN=Cc1ccc2ncccc2c1 7.73123 0.2826086956521739</t>
  </si>
  <si>
    <t>CNCCN(C)c1cccc2ncccc12 7.7312284 0.4878048780487805</t>
  </si>
  <si>
    <t>CN(CCNc1ccc2nc3c(cc2c1)CCC3)Cc1ccc2ccccc2n1 7.7312274 0.39215686274509803</t>
  </si>
  <si>
    <t>Cc1ccc(CN(C)Cc2cccc(-c3ccccc3N=Cc3ccccn3)n2)nc1 7.7312245 0.48214285714285715</t>
  </si>
  <si>
    <t>Cc1nccc(CN(C)CCN(C)c2cccc3nccc(C)c23)c1C 7.731198 0.3584905660377358</t>
  </si>
  <si>
    <t>CN(Cc1ccccn1)Cc1ncccc1-c1cccc(N=Cc2ccccn2)c1 7.7311974 0.40350877192982454</t>
  </si>
  <si>
    <t>Cc1ccc(CN(C)CC2=CC(N(C)c3ccc4ncccc4c3)C=CN2)nc1 7.7311974 0.3793103448275862</t>
  </si>
  <si>
    <t>Cc1ccccc1C1(C)N=COC1c1cc(C2=NC(C)(C)CO2)ccn1 7.7311788 0.35714285714285715</t>
  </si>
  <si>
    <t>CNCCN(Cc1ccccn1)c1cccc2nccc(C)c12 7.731168 0.39215686274509803</t>
  </si>
  <si>
    <t>CN(c1ccc2cc3c(nc2c1)CCC3)C1CCC(N(C)c2cccc3nc4c(cc23)CCC4)CC1 7.7311654 0.47368421052631576</t>
  </si>
  <si>
    <t>CN(CC1=CCC=C(N(C)Cc2ccccn2)N1)Cc1cccc2ncccc12 7.731164 0.3728813559322034</t>
  </si>
  <si>
    <t>Cc1cnc2ccc(N(C)CCN(C)Cc3nc(C)c(C)c(C)c3C)cc2c1 7.731163 0.35294117647058826</t>
  </si>
  <si>
    <t>Cc1cc(CN(Cc2cc(C)c(C)c(C)n2)Cc2ccnc3ccccc23)nc(C)c1C 7.731163 0.35294117647058826</t>
  </si>
  <si>
    <t>Cc1cccnc1CN(Cc1ccccn1)Cc1cccc(-c2cc(N(CCN(C)Cc3nc(C)c(C)c(C)c3C)Cc3ccccn3)cc3ncccc23)n1 7.731148 0.3561643835616438</t>
  </si>
  <si>
    <t>Cc1ccc2ncccc2c1N(Cc1ccccn1)C1CCCCC1N(C)c1cccc2ncccc12 7.731147 0.45614035087719296</t>
  </si>
  <si>
    <t>Cc1cnccc1CN(C)Cc1cccc(-c2ccccc2N=Cc2ccccn2)n1 7.731145 0.43333333333333335</t>
  </si>
  <si>
    <t>CN(Cc1cc(-c2ccc3ncccc3c2)ccn1)C1CCCCC1N(C)c1ccc2ncccc2c1 7.731144 0.49056603773584906</t>
  </si>
  <si>
    <t>Cc1ccnc(CN(C)CCN(C)c2ccc3nccc(C)c3c2)c1C 7.731134 0.29411764705882354</t>
  </si>
  <si>
    <t>CN(Cc1cccc(F)n1)Cc1cccc(-c2cccc(N=Cc3ccccn3)c2)n1 7.7311316 0.4727272727272727</t>
  </si>
  <si>
    <t>Cc1cc(C)nc(CN(C)CCN(C)Cc2cc(-c3cccc4ncccc34)ccn2)c1 7.731131 0.39622641509433965</t>
  </si>
  <si>
    <t>Cc1ccc(C(C)(C)c2cc(NCc3ccccn3)ccn2)cc1N=Cc1ccccn1 7.7311177 0.39344262295081966</t>
  </si>
  <si>
    <t>Cc1cccc(CN(C)Cc2cccc(-c3ccc(N=Cc4ccccn4)cc3)n2)n1 7.7311053 0.49056603773584906</t>
  </si>
  <si>
    <t>CN(CCF)c1ccc2ncccc2c1 7.7311044 0.40476190476190477</t>
  </si>
  <si>
    <t>CN(Cc1cnc2ccc(N(C)Cc3ccccn3)cc2c1)Cc1ccccn1 7.731102 0.46</t>
  </si>
  <si>
    <t>CC(C)(C)c1ccnc(-c2ccc(N(Cc3ccccn3)C3C=CC=CN3)cc2)c1 7.7310877 0.41935483870967744</t>
  </si>
  <si>
    <t>CN(Cc1ccccn1)Cc1ncccc1-c1ccc(N=Cc2ccccn2)cc1 7.7310815 0.4</t>
  </si>
  <si>
    <t>CN(c1ccc2cccnc2c1)C1C2CCC1C(N(Cc1ccccn1)c1ccc3cccnc3c1)C2 7.731079 0.3898305084745763</t>
  </si>
  <si>
    <t>Cc1cccc(-c2cccc(NCc3cccc(C(C)(C)c4ccccn4)n3)c2)n1 7.7310734 0.3709677419354839</t>
  </si>
  <si>
    <t>Cc1cccnc1CNCN(C)c1ccc2ncccc2c1 7.7310677 0.3137254901960784</t>
  </si>
  <si>
    <t>CC(C)N(C)Cc1ccc2cc(N(C)C)ccc2n1 7.731062 0.375</t>
  </si>
  <si>
    <t>Cc1ccc(CN(C)CC2=C(N(C)c3ccc4nc(CF)ccc4c3)CC=CN2)nc1 7.7310605 0.40350877192982454</t>
  </si>
  <si>
    <t>Cc1ccnc(CN(C)Cc2cc(-c3ccccc3N(C)C)ccn2)c1C 7.7310534 0.32142857142857145</t>
  </si>
  <si>
    <t>CN(c1ccc2ncccc2c1)C1C2CCC1C(N(Cc1ccccn1)c1ccc3cccnc3c1)C2 7.731048 0.3709677419354839</t>
  </si>
  <si>
    <t>Cc1cncc(CN(C)Cc2cccnc2-c2cccc(N=Cc3ccccn3)c2)c1 7.731044 0.3384615384615385</t>
  </si>
  <si>
    <t>Cc1cc(C)c(N(C)Cc2ccncc2C)c(N(C)Cc2ccccn2)c1 7.731039 0.4897959183673469</t>
  </si>
  <si>
    <t>CCN(Cc1ccccn1)c1ccc2nccc(CN(C)Cc3nc(C)ccc3C)c2c1 7.731038 0.36507936507936506</t>
  </si>
  <si>
    <t>CN(c1ccc2cccnc2c1)C1C2CCC1C(N(Cc1ccccn1)c1ccc3ncccc3c1)C2 7.731036 0.3709677419354839</t>
  </si>
  <si>
    <t>Cc1ccc(CN(C)c2cc(C)c(-c3cc(CN(Cc4ccccn4)Cc4ncccc4C)ccn3)cc2C)nc1 7.731032 0.375</t>
  </si>
  <si>
    <t>CN(C)Cc1cnc2ccc(N(C)C(C)(C)C)cc2c1 7.73103 0.22448979591836735</t>
  </si>
  <si>
    <t>CN(c1cccc2ncccc12)C1CCCCC1N(C)c1cccc2ncc(CF)cc12 7.7310295 0.4716981132075472</t>
  </si>
  <si>
    <t>Cc1ccc2nccc(CN(C)Cc3ccc(N)cn3)c2c1 7.731022 0.425531914893617</t>
  </si>
  <si>
    <t>Cc1cc(C)c(C)c(-c2ncccc2CN(C)Cc2nc(C)cc(C)c2C)c1 7.7310176 0.35185185185185186</t>
  </si>
  <si>
    <t>Cc1cnc(CN(C)CCc2nc3ccccc3o2)c(C)c1C 7.731017 0.3076923076923077</t>
  </si>
  <si>
    <t>CNc1ccccc1-c1cc(C(C)(C)C)ccn1 7.731016 0.23529411764705882</t>
  </si>
  <si>
    <t>CN(c1ccc2cc(CF)cnc2c1)C1CCC(N(C)c2cccc3nccc(CF)c23)CC1 7.7310157 0.30434782608695654</t>
  </si>
  <si>
    <t>CN(c1ccc2ncccc2c1)C1C2CCC1C(N(Cc1ccccn1)c1ccc3ncccc3c1)C2 7.7309957 0.39655172413793105</t>
  </si>
  <si>
    <t>Cc1cc(CN(C)CCN(C)c2ccc3nccc(C)c3c2)cnc1C 7.730995 0.3018867924528302</t>
  </si>
  <si>
    <t>CC(N)C(C)(c1cccnc1)N(C)Cc1ccc(N(C)c2ccc3cccnc3c2)cn1 7.730995 0.3076923076923077</t>
  </si>
  <si>
    <t>Cc1cc(N(C)Cc2ccc(C)c(C)n2)ccc1-c1cc(CN(Cc2ccccn2)Cc2cc(C)c(C)c(C)n2)ccn1 7.730995 0.36363636363636365</t>
  </si>
  <si>
    <t>CNCc1cccc(CN(Cc2ccccn2)c2ccc3ncccc3c2)n1 7.7309833 0.4230769230769231</t>
  </si>
  <si>
    <t>CC(C)C(C)(c1cccnc1)c1cc(CN(Cc2ccccn2)c2ccc3ncccc3c2)ccn1 7.730978 0.3076923076923077</t>
  </si>
  <si>
    <t>Cc1cc(CN(C)CCN(C)c2ccc3c(CN(C)C)nccc3c2)nc(C)c1C 7.7309723 0.30357142857142855</t>
  </si>
  <si>
    <t>CN(c1ccc2ccc(CF)nc2c1)C1CCC(N(C)c2cccc3c(CF)ccnc23)CC1 7.7309713 0.43548387096774194</t>
  </si>
  <si>
    <t>CNCN(Cc1cc(C)ccn1)C1=CCC=C(CN(C)c2ccc3nc(CF)ccc3c2)N1 7.7309666 0.2465753424657534</t>
  </si>
  <si>
    <t>Cc1c(NCc2ccccn2)ccnc1-c1ccccc1NCc1ccccn1 7.73096 0.4146341463414634</t>
  </si>
  <si>
    <t>CN(CC1=CC(N(C)C(c2ccccc2)c2ccccn2)C=CN1)c1ccc2ncccc2c1 7.7309427 0.4</t>
  </si>
  <si>
    <t>Cc1cnc(CN(C)Cc2cc(-c3ccccc3N(C)C)ccn2)c(C)c1 7.730936 0.32075471698113206</t>
  </si>
  <si>
    <t>Cc1cncc(CN(C)CC2=CC(N(C)c3cccc4ncccc34)C=CN2)c1 7.730917 0.3</t>
  </si>
  <si>
    <t>CN(c1ccc2nc3c(cc2c1)CCC3)C1CCCC(N(C)c2ccc3cc4c(nc3c2)CCC4)C1 7.7309103 0.4107142857142857</t>
  </si>
  <si>
    <t>Cc1cc(N(C)Cc2ccccn2)cc(N(C)Cc2cccnc2C)c1C 7.730909 0.5</t>
  </si>
  <si>
    <t>Cc1cnc(CN(C)Cc2ccc3cccc(C)c3n2)c(C)c1C 7.730908 0.37254901960784315</t>
  </si>
  <si>
    <t>CNCc1cc(-c2cc(C(C)(C)c3ccccn3)ccn2)ccn1 7.7309 0.31666666666666665</t>
  </si>
  <si>
    <t>Cc1cnc(C)c(CN(C)c2ccc3nc(CN(C)C(C)C)ccc3c2)c1 7.730898 0.32075471698113206</t>
  </si>
  <si>
    <t>CNCc1cccc(-c2cccc(N(C)Cc3cccc(C)n3)c2)n1 7.730895 0.425531914893617</t>
  </si>
  <si>
    <t>Cc1cnc(CN(C)c2c(N(C)C3CCC(N(Cc4ccccn4)c4ccc5cccnc5c4)CC3)ccc(Cl)c2Cl)c(C)c1 7.7308865 0.33783783783783783</t>
  </si>
  <si>
    <t>CN(Cc1ccccn1)Cc1cc(-c2cccc(N=Cc3ccccn3)c2)ccn1 7.7308846 0.4339622641509434</t>
  </si>
  <si>
    <t>Cc1nc(CN(C)CCN(C)c2ccc3c(CN(C)C)nccc3c2)c(C)c(C)c1C 7.730881 0.2711864406779661</t>
  </si>
  <si>
    <t>CN(c1ccc2cc(CF)cnc2c1)C1CCC(N(C)c2cccc3c(CF)ccnc23)CC1 7.730875 0.3382352941176471</t>
  </si>
  <si>
    <t>Cc1cccnc1CN(C)Cc1ccnc2ccc(N(Cc3ccccn3)C(C)C)cc12 7.730862 0.3559322033898305</t>
  </si>
  <si>
    <t>Cc1cc(CN(C)CCN(C)c2cccc3c(CN(C)C)nccc23)nc(C)c1C 7.730853 0.35714285714285715</t>
  </si>
  <si>
    <t>Cc1ccc(-c2cc(C)ccc2NCc2ccccn2)nc1 7.7308526 0.38636363636363635</t>
  </si>
  <si>
    <t>CN(c1ccc2nc3c(cc2c1)CCC3)C1CCC(N(C)c2cccc3ncc4c(c23)CCC4)CC1 7.7308497 0.4153846153846154</t>
  </si>
  <si>
    <t>CN(C)c1cccnc1CN(Cc1ccccn1)Cc1ccnc2ccccc12 7.7308435 0.46511627906976744</t>
  </si>
  <si>
    <t>Cc1ccc(CN(C)Cc2cc(-c3cccc(N=Cc4ccccn4)c3)ccn2)cn1 7.7308407 0.3492063492063492</t>
  </si>
  <si>
    <t>C=Cc1ccc(CN(Cc2ccccn2)Cc2cccc(-c3ccccc3N=Cc3ccccn3)n2)nc1 7.730835 0.4126984126984127</t>
  </si>
  <si>
    <t>Cc1ccc(CN(C)Cc2ccc(-c3ccccc3N=Cc3ccccn3)cn2)nc1 7.730832 0.43636363636363634</t>
  </si>
  <si>
    <t>Cc1ccc(CN(CC2=CC(N(C)Cc3ncccc3C)C=CN2)c2ccc3ncccc3c2)nc1 7.7308307 0.3181818181818182</t>
  </si>
  <si>
    <t>Cc1ccc(N)c(-c2cccnc2CN(C)C)c1 7.730822 0.2916666666666667</t>
  </si>
  <si>
    <t>CCOC(=O)c1cc(CN(Cc2ccccn2)Cc2cccc(-c3cccc(N=Cc4ccccn4)c3)n2)ccn1 7.730811 0.4520547945205479</t>
  </si>
  <si>
    <t>Cc1cc(-c2cccc(NCc3ccccn3)c2)ccn1 7.730808 0.41509433962264153</t>
  </si>
  <si>
    <t>FCc1cc(C2=NC(c3ccccn3)CO2)ccn1 7.7308073 0.2727272727272727</t>
  </si>
  <si>
    <t>C1=CNC(c2cccc(C(C3=CCC=CN3)c3ccccn3)n2)=CC1 7.730793 0.3508771929824561</t>
  </si>
  <si>
    <t>Cc1ccnc(CN(C)C2C=CNC(CN(C)c3ccc4ccc(CN(C)C)nc4c3)=C2)c1C 7.73079 0.2465753424657534</t>
  </si>
  <si>
    <t>C1=CNC(c2ncccc2C(c2ccccc2)c2ccccn2)=CC1 7.7307873 0.3508771929824561</t>
  </si>
  <si>
    <t>Cc1cccc(-c2ccc(NCc3ccccn3)cc2)n1 7.730787 0.40476190476190477</t>
  </si>
  <si>
    <t>CN(Cc1ccccn1)Cc1cc(N(C)Cc2ncccc2-c2cccc(N(C)Cc3ccccn3)c2)ccn1 7.730787 0.42592592592592593</t>
  </si>
  <si>
    <t>CN(c1ccc2nc(CF)ccc2c1)C1CCCC(N(C)c2ccc3nccc(CF)c3c2)C1 7.7307854 0.34375</t>
  </si>
  <si>
    <t>Cc1cncc(CN(C)c2ccccc2-c2cccc(CN(C)C(C)(c3cccnc3)c3ccccn3)n2)c1C 7.7307773 0.3333333333333333</t>
  </si>
  <si>
    <t>CN(Cc1cccc(F)n1)Cc1cccc(-c2ccc(N=Cc3ccccn3)cc2)n1 7.7307625 0.49056603773584906</t>
  </si>
  <si>
    <t>CC(C)c1cc(CN(C)c2ccc3nc(CN(C)Cc4ccccn4)ccc3c2)ccn1 7.730761 0.42857142857142855</t>
  </si>
  <si>
    <t>Cc1cccnc1CN(C)C1=CNC(CN(C)c2ccc(Cl)cc2Cl)=CC1 7.730731 0.32786885245901637</t>
  </si>
  <si>
    <t>CN(Cc1ccccn1)Cc1cc(-c2ccccc2N=Cc2ccccn2)ccn1 7.7307267 0.46</t>
  </si>
  <si>
    <t>Cc1cc(C)c(CN(C)Cc2ccc3ncccc3c2)c(C)n1 7.730726 0.32075471698113206</t>
  </si>
  <si>
    <t>Cc1cncc(CN(C)c2cccnc2CN(Cc2ccccn2)Cc2cccc(-c3cccc(N=Cc4ccccn4)c3)n2)c1C 7.73072 0.41025641025641024</t>
  </si>
  <si>
    <t>Cc1cc(CN(C)Cc2ccc3cc(N(Cc4ccccn4)C(C)C)ccc3n2)nc(C)c1C 7.730714 0.41379310344827586</t>
  </si>
  <si>
    <t>CN(c1ccc2cccnc2c1)C1CCCCC1N(C)c1ccc2c(CF)ccnc2c1 7.7307076 0.4444444444444444</t>
  </si>
  <si>
    <t>CN(Cc1cc(-c2ccc3ncccc3c2)ccn1)C1CCC(N(C)c2ccc3nc(CF)ccc3c2)CC1 7.7307076 0.32857142857142857</t>
  </si>
  <si>
    <t>CN(Cc1ccccn1)Cc1ncccc1-c1ccccc1N=Cc1ccccn1 7.7307014 0.46938775510204084</t>
  </si>
  <si>
    <t>Cc1cccnc1-c1ccccc1NCc1cccc(C(C)(C)c2ccccn2)n1 7.7306986 0.3387096774193548</t>
  </si>
  <si>
    <t>Cc1ccc(CN(c2cc(Cl)ccc2N(C)Cc2cc(C)c(C)c(C)n2)C2CCC(N(C)c3ccc4c(C)ccnc4c3)CC2)nc1C 7.7306924 0.24675324675324675</t>
  </si>
  <si>
    <t>CCOC(=O)C(=O)C(=O)C(=O)C(=O)C(=O)C(=O)C(=O)C(=O)C(=O)C(=O)C(=O)C=O 7.7306776 0.18867924528301888</t>
  </si>
  <si>
    <t>Cc1ccnc2cccc(N(C)CCNC(C)C)c12 7.730672 0.3469387755102041</t>
  </si>
  <si>
    <t>Cc1cnccc1CN(C)CC1=CC(N(C)c2ccc3ncccc3c2)C=CN1 7.730658 0.2923076923076923</t>
  </si>
  <si>
    <t>Cc1cncc(CN(C)Cc2ncccc2-c2cccc(N(C)C)c2)c1C 7.730656 0.3333333333333333</t>
  </si>
  <si>
    <t>CNCN(Cc1ccccn1)c1cc(C)c2ccc(CN(C)Cc3cc(C)c(C)c(C)n3)nc2c1 7.7306523 0.3870967741935484</t>
  </si>
  <si>
    <t>Cc1cccnc1CN(Cc1ccc(-c2cccc(N=Cc3ccccn3)c2)cn1)Cc1cc(C)c(C)c(C)n1 7.730652 0.34782608695652173</t>
  </si>
  <si>
    <t>Cc1cccnc1CN(C)Cc1ncccc1-c1cccc(N(C)C)c1 7.730647 0.3076923076923077</t>
  </si>
  <si>
    <t>CC(C)N(C)C1=CNC(CN(Cc2ccccn2)c2ccc3cccnc3c2)=CC1 7.7306457 0.39344262295081966</t>
  </si>
  <si>
    <t>Cc1nc(CN(C)CCN(C)c2ccc3ccnc(CN(C)C)c3c2)c(C)c(C)c1C 7.7306337 0.2711864406779661</t>
  </si>
  <si>
    <t>Cc1cccc(CN(C)c2ccc(C)c(-c3cncc(CN(C)C(C)C)c3)c2Cl)n1 7.730633 0.3448275862068966</t>
  </si>
  <si>
    <t>CCN(Cc1ccccn1)c1cc2ncccc2c(CN(C)Cc2cc(C)c(C)c(C)n2)c1C 7.730619 0.3709677419354839</t>
  </si>
  <si>
    <t>Cc1ccc(CN(C)CC2=CC(N(C)c3cccc4ncccc34)C=CN2)cn1 7.730611 0.31343283582089554</t>
  </si>
  <si>
    <t>Cc1ccnc2ccc(N(C)CCCN(C)C)cc12 7.730608 0.30612244897959184</t>
  </si>
  <si>
    <t>Cc1ccc(CN(Cc2ccccn2)c2ccc3nc(CN(C)Cc4ncccc4C)ccc3c2)nc1C 7.730607 0.42105263157894735</t>
  </si>
  <si>
    <t>Cc1ccnc(CN(C)Cc2ccnc3c(C)cccc23)c1 7.7306066 0.36</t>
  </si>
  <si>
    <t>Cc1ccc(CN(C)CN(C)c2cccc3ncccc23)nc1 7.730605 0.4888888888888889</t>
  </si>
  <si>
    <t>CN(CN(C)C1C=CC=CN1)c1cccc2ncccc12 7.7306 0.3584905660377358</t>
  </si>
  <si>
    <t>CN(c1ccc2cc3c(nc2c1)CCC3)C1CCC(N(C)c2cccc3ncc4c(c23)CCC4)CC1 7.7305975 0.421875</t>
  </si>
  <si>
    <t>CN(c1ccc2cc3c(nc2c1)CCC3)C1CCCC(N(C)c2ccc3cc4c(nc3c2)CCC4)C1 7.7305913 0.4423076923076923</t>
  </si>
  <si>
    <t>CN(CC1=CC(N(C)c2ccc3cccnc3c2)C=CN1)Cc1cccnn1 7.730589 0.38596491228070173</t>
  </si>
  <si>
    <t>CN(c1ccc2nc3c(cc2c1)CCC3)C1CCC(N(C)c2ccc3c(CF)ccnc3c2)CC1 7.730576 0.34328358208955223</t>
  </si>
  <si>
    <t>CN(CCF)Cc1cc(N(C)c2ccc3ncccc3c2)ccn1 7.7305756 0.37254901960784315</t>
  </si>
  <si>
    <t>CN(Cc1ccc(F)cn1)Cc1ccc(-c2ccc(N=Cc3ccccn3)cc2)cn1 7.730564 0.39622641509433965</t>
  </si>
  <si>
    <t>CC(C)c1cccc(N(C)Cc2ccccn2)c1-c1cnccc1CN(Cc1ccccn1)Cc1ncccc1-c1ccccc1N 7.7305465 0.3382352941176471</t>
  </si>
  <si>
    <t>CNCc1ccc2cccc(N(C)C(C)(C)c3ccccn3)c2n1 7.7305436 0.3888888888888889</t>
  </si>
  <si>
    <t>Cc1cc(C)c(C)c(CN(C)Cc2cc(-c3cccc(N=Cc4ccccn4)c3)ccn2)c1 7.7305355 0.36507936507936506</t>
  </si>
  <si>
    <t>Cc1cccnc1CN(C)Cc1ccc(-c2cccc(N=Cc3ccccn3)c2)cn1 7.7305303 0.39344262295081966</t>
  </si>
  <si>
    <t>CN(C)CC1=CC(N(C)c2ccc3cc(CF)cnc3c2)C=CN1 7.7305274 0.30158730158730157</t>
  </si>
  <si>
    <t>Cc1cc(C)c(CN(Cc2ccccn2)c2ccc3ncc(CN(C)Cc4ncccc4C)cc3c2)cn1 7.7305055 0.34328358208955223</t>
  </si>
  <si>
    <t>Cc1ncccc1CN(C)CC1=CC(N(C)c2cccc3cccnc23)C=CN1 7.7305007 0.42857142857142855</t>
  </si>
  <si>
    <t>Cc1ccc(CN(C)Cc2cccc(-c3cccc(N(C)C)c3)n2)nc1C 7.7304974 0.42</t>
  </si>
  <si>
    <t>CN(Cc1ccc2cc(N(Cc3ccccn3)c3ccccc3)ccc2n1)C(C)(C)c1ccccn1 7.730492 0.43636363636363634</t>
  </si>
  <si>
    <t>CN(c1ccc2nc3c(cc2c1)CCC3)C1CCC(N(C)c2ccc3nccc(CF)c3c2)CC1 7.730489 0.34328358208955223</t>
  </si>
  <si>
    <t>Cc1ccc2ccc(N(C)CCN(C)Cc3cc(C)c(C)c(C)n3)cc2n1 7.730487 0.3958333333333333</t>
  </si>
  <si>
    <t>CCNCc1cc(-c2cccc(C)c2N=Cc2ccccn2)ccn1 7.7304845 0.42857142857142855</t>
  </si>
  <si>
    <t>CNCc1cc(CN(C)c2ccc3nccc(CN(C)Cc4ncccc4C)c3c2)ccn1 7.7304807 0.2537313432835821</t>
  </si>
  <si>
    <t>CN(Cc1ccccn1)Cc1cc(-c2ccc(N=Cc3ccccn3)cc2)ccn1 7.7304797 0.41509433962264153</t>
  </si>
  <si>
    <t>Cc1cccc(CN(C)Cc2ccc3cccc(N(C)Cc4cc(CF)ccn4)c3n2)n1 7.7304707 0.43137254901960786</t>
  </si>
  <si>
    <t>CN(c1ccc2c(CF)ccnc2c1)C1CCC(N(C)c2cccc3cc(CF)cnc23)CC1 7.730468 0.34375</t>
  </si>
  <si>
    <t>CN(c1ccc2ncccc2c1)C1CCCCC1N(C)c1ccc2nccc(CF)c2c1 7.7304544 0.4444444444444444</t>
  </si>
  <si>
    <t>Cc1ccc2cc(N(C)C3CCCCC3N(C)c3ccc4nc(CN(C)C)ccc4c3)ccc2n1 7.730444 0.44</t>
  </si>
  <si>
    <t>CN(Cc1cccc(F)n1)Cc1cccc(-c2ccccc2N=Cc2ccccn2)n1 7.730436 0.49056603773584906</t>
  </si>
  <si>
    <t>Cc1cc(CN(C)Cc2ccnc3ccccc23)nc(C)c1C 7.730436 0.33962264150943394</t>
  </si>
  <si>
    <t>Cc1cccc(CN(C)CC2=CC(N(C)c3ccc4ncccc4c3)C=CN2)n1 7.7304316 0.38596491228070173</t>
  </si>
  <si>
    <t>CN(CC1=CC(N(C)Cc2ccccn2)C=CN1)c1ccc2c(CF)ccnc2c1 7.7304254 0.34375</t>
  </si>
  <si>
    <t>Cc1ccnc(C2CCC2(C)C)c1C(=O)C(=O)C(=O)C(=O)C(=O)C(=O)C(=O)C(=O)C(=O)C(=O)C(=O)C(=O)C(=O)C(=O)C(=O)C(=O)C(=O)C(=O)C(=O)C=O 7.730421 0.19444444444444445</t>
  </si>
  <si>
    <t>CN(CC1=CC(N(C)Cc2ccccn2)C=CN1)c1ccc2nccc(CF)c2c1 7.730417 0.3384615384615385</t>
  </si>
  <si>
    <t>Cc1ncccc1-c1ccccc1NCc1ccccn1 7.7304134 0.4473684210526316</t>
  </si>
  <si>
    <t>CCN(Cc1ccccn1)Cc1cccc(N(C)c2cccc3cccnc23)n1 7.7304106 0.4583333333333333</t>
  </si>
  <si>
    <t>CCN(Cc1ccccn1)c1ccc2nccc(CN(C)Cc3ncc(C)cc3C)c2c1 7.7304053 0.34375</t>
  </si>
  <si>
    <t>Cc1cncc(CN(C)Cc2cccc(-c3cccc(N=Cc4ccccn4)c3)n2)c1C 7.7304053 0.4126984126984127</t>
  </si>
  <si>
    <t>CN(CC1=CC(N(C)c2ccc3ncccc3c2)C=CN1)Cc1cccnn1 7.730405 0.39285714285714285</t>
  </si>
  <si>
    <t>Cc1cc(C)nc(CN(C)Cc2cc(-c3ccccc3N(C)C)ccn2)c1 7.7304044 0.34545454545454546</t>
  </si>
  <si>
    <t>Cc1ccc(C)c(CN(C)Cc2cc(-c3ccccc3N=Cc3ccccn3)ccn2)c1C 7.730403 0.423728813559322</t>
  </si>
  <si>
    <t>Cc1ccc2ncccc2c1N(Cc1ccccn1)C1CCC(N(C)c2cccc3cccnc23)CC1 7.7303977 0.43333333333333335</t>
  </si>
  <si>
    <t>CC(C)C1(C)COC(c2cccc(CN(Cc3ccccn3)C3CCC(N(C)c4ccc5ncc(-c6ccc7ncccc7c6)cc5c4)CC3)n2)=N1 7.730383 0.30864197530864196</t>
  </si>
  <si>
    <t>Cc1ccnc(CN(C)C2C=CNC(CN(C)c3ccc4nccc(CF)c4c3)=C2)c1 7.730379 0.2465753424657534</t>
  </si>
  <si>
    <t>CN(c1ccc2nc3c(cc2c1)CCC3)C1CCC(N(C)c2cccc3c4c(cnc23)CCC4)CC1 7.730375 0.453125</t>
  </si>
  <si>
    <t>Cc1cccnc1CN(C)Cc1cccc(-c2ccccc2N=Cc2ccccn2)n1 7.7303743 0.48214285714285715</t>
  </si>
  <si>
    <t>CNCc1cc(CN(Cc2ccccn2)c2ccc3nc(C)ccc3c2)ccn1 7.7303734 0.3684210526315789</t>
  </si>
  <si>
    <t>C1=CNC(Nc2cccc(C(c3ccccn3)c3ccccn3)n2)C=C1 7.730371 0.3392857142857143</t>
  </si>
  <si>
    <t>CN(c1ccc2ncccc2c1)C1C2CCC1C(Nc1cccc3cccnc13)C2 7.730357 0.47368421052631576</t>
  </si>
  <si>
    <t>CCNC1=C(C)c2ncccc2CC1c1cc(CN(Cc2ccccn2)Cc2ccc(-c3cccc(N=Cc4ccccn4)c3)cn2)ccn1 7.7303557 0.29347826086956524</t>
  </si>
  <si>
    <t>Cc1cc(-c2ccc(CN(C)Cc3ccccn3)cn2)ccc1N=Cc1ccccn1 7.730343 0.4</t>
  </si>
  <si>
    <t>Cc1ccc(CN(C)Cc2cc(-c3cccc(N=Cc4ccccn4)c3)ccn2)nc1 7.7303367 0.4</t>
  </si>
  <si>
    <t>CN(c1ccc2nc(CF)ccc2c1)C1CCCC(N(C)c2cccc3c(CF)ccnc23)C1 7.7303324 0.4307692307692308</t>
  </si>
  <si>
    <t>Cc1ccc(CN(C)Cc2cc(-c3ccccc3N=Cc3ccccn3)ccn2)cn1 7.7303305 0.39344262295081966</t>
  </si>
  <si>
    <t>Cc1cccc(CN(C)Cc2cccc(-c3ccccc3N=Cc3ccccn3)n2)n1 7.7303233 0.49056603773584906</t>
  </si>
  <si>
    <t>Cc1cccnc1CN(C)CC1=C(N(C)c2ccc3nc(CF)ccc3c2)CC=CN1 7.730323 0.2535211267605634</t>
  </si>
  <si>
    <t>CN(CC1=CCC=C(N(C)Cc2ccccn2)N1)Cc1cccc(-c2cccc(Cl)c2N)n1 7.730315 0.45901639344262296</t>
  </si>
  <si>
    <t>Cc1cccnc1CN(C)c1cccnc1CN(Cc1ccccn1)Cc1ccc(-c2cccc(N=Cc3ccccn3)c2)cn1 7.730312 0.34285714285714286</t>
  </si>
  <si>
    <t>CCNCc1cc(-c2ccc(C)c(N=Cc3ccccn3)c2)ccn1 7.73031 0.4444444444444444</t>
  </si>
  <si>
    <t>CN(CC1=CC(N(C)Cc2ccccn2)C=CN1)c1cccc2cccnc12 7.730308 0.46296296296296297</t>
  </si>
  <si>
    <t>CNCN(Cc1ccccn1)c1cccc2nccc(CF)c12 7.7303057 0.36363636363636365</t>
  </si>
  <si>
    <t>Cc1cc(-c2ccc(NCc3ccccn3)cc2)ccn1 7.730302 0.4146341463414634</t>
  </si>
  <si>
    <t>Cc1cc(CN(C)CC2=CC(N(C)c3cccc4ncccc34)C=CN2)ccn1 7.730297 0.3283582089552239</t>
  </si>
  <si>
    <t>Cc1c(N)ccc(CN(C)CC2=CC(N(C)c3ccc4cccnc4c3)C=CN2)c1C 7.7302933 0.27941176470588236</t>
  </si>
  <si>
    <t>C(=Nc1cccc(-c2cccc(CN(Cc3ccc(-c4ccccc4)nc3)Cc3ccccn3)n2)c1)c1ccccn1 7.730291 0.47692307692307695</t>
  </si>
  <si>
    <t>Cc1c(N(C)Cc2ccccn2)c(C)c(C(C)(C)C)c(C)c1N(Cc1ccccn1)C(C)(C)N(Cc1ccccn1)c1c(C)c(N(C)Cc2ccccn2)c(C)c(C(C)(C)C)c1C 7.730289 0.4375</t>
  </si>
  <si>
    <t>CN(Cc1ccc2ncccc2c1)Cc1ccccc1N=Cc1ccccn1 7.730284 0.4107142857142857</t>
  </si>
  <si>
    <t>Cc1cccnc1CN(C)C1=CCC=C(CN(C)Cc2cccc3cccnc23)N1 7.730278 0.48148148148148145</t>
  </si>
  <si>
    <t>Cc1ccc(CN(C)c2ccccc2-c2cncc(CN(C)C(C)(c3cccnc3)c3ccccn3)c2)nc1C 7.730276 0.3</t>
  </si>
  <si>
    <t>CCN(Cc1ccccn1)C1CCCC(N(C)c2c3c(C)c(C)c(C)nc3c(C)c3nc(C)c(C)c(C)c23)C1 7.730271 0.3898305084745763</t>
  </si>
  <si>
    <t>Cc1cccnc1-c1ccc(NCc2ccccn2)cc1 7.7302666 0.425</t>
  </si>
  <si>
    <t>Cc1cnc(CN(C)Cc2ccnc3cc(C)ccc23)c(C)c1 7.730266 0.3333333333333333</t>
  </si>
  <si>
    <t>Cc1ccc2nccc(CN(C)Cc3nc(C)ccc3C)c2c1 7.730265 0.2727272727272727</t>
  </si>
  <si>
    <t>CN(c1ccc2ccc(CF)nc2c1)C1CCCC(N(C)c2ccc3nccc(CF)c3c2)C1 7.7302613 0.34375</t>
  </si>
  <si>
    <t>Cc1cccnc1CN(Cc1ccccn1)Cc1ccc(N(C)Cc2ccc(-c3cccc(N=Cc4ccccn4)c3)cn2)cn1 7.730261 0.34782608695652173</t>
  </si>
  <si>
    <t>Cc1ccc(CN(C)Cc2ncccc2-c2ccc(N=Cc3ccccn3)cc2)nc1 7.730258 0.4</t>
  </si>
  <si>
    <t>CCN(Cc1ccccn1)C1CCC(N(C)c2c(C)c3nc(C)c(C)c(C)c3c3nc(C)c(C)c(C)c23)CC1 7.7302537 0.3728813559322034</t>
  </si>
  <si>
    <t>CN(c1ccc2cccnc2c1)C1CCCC(N(C)c2ccc3cccnc3c2)C1 7.7302427 0.3958333333333333</t>
  </si>
  <si>
    <t>CN(C)c1ccc2c(CN(C)C(C)(C)C)ccnc2c1 7.73024 0.23529411764705882</t>
  </si>
  <si>
    <t>CCN(Cc1ncccc1C(C)(C)C)c1ccc2ncccc2c1 7.730236 0.2777777777777778</t>
  </si>
  <si>
    <t>CN(c1ccc2nc3c(cc2c1)CCC3)C1CCC(N(C)c2ccc3ncc4c(c3c2)CCC4)CC1 7.730235 0.36507936507936506</t>
  </si>
  <si>
    <t>C1=CNC(c2cccc(C(c3ccccc3)c3ccccn3)n2)=CC1 7.730233 0.3508771929824561</t>
  </si>
  <si>
    <t>Cc1cc(-c2cc(CN(C)C(C)C)ccn2)c(C)c(N(C)Cc2cnc(C)c(C)c2)c1 7.730227 0.234375</t>
  </si>
  <si>
    <t>CCNCc1cc(-c2cccc(N=Cc3ccccn3)c2C)ccn1 7.7302256 0.45454545454545453</t>
  </si>
  <si>
    <t>c1ccc(CSc2ccccc2-c2ccccn2)nc1 7.7302256 0.4857142857142857</t>
  </si>
  <si>
    <t>CC1=NC2(COC(c3ncc(C)cc3C)=N2)C(C(C)C)O1 7.730218 0.23636363636363636</t>
  </si>
  <si>
    <t>CN(CCN)c1ccc2c(CF)ccnc2c1 7.730213 0.23529411764705882</t>
  </si>
  <si>
    <t>Cc1ccc(-c2cccc(CN(C)C3CCC(N(C)Cc4cccc(-c5ccc6ncccc6c5)n4)CC3)n2)nc1-c1ccccn1 7.7302046 0.4032258064516129</t>
  </si>
  <si>
    <t>CN(Cc1cccnn1)C1CCCCC1N(C)c1ccc2ncc(-c3ccc4ncccc4c3)cc2c1 7.730202 0.43333333333333335</t>
  </si>
  <si>
    <t>CN(CCN)c1ccc2cccnc2c1 7.730201 0.3953488372093023</t>
  </si>
  <si>
    <t>CN(c1ccc2cc(CF)cnc2c1)C1CCCC(N(C)c2cccc3ncccc23)C1 7.7302 0.3230769230769231</t>
  </si>
  <si>
    <t>Cc1cccc(-c2cccnc2CN(C)C)c1N 7.730194 0.3191489361702128</t>
  </si>
  <si>
    <t>Cc1ccc(C)c(CN(C)CC2=CC(N(C)Cc3cccc(-c4ccc5ncccc5c4)n3)C=CN2)c1C 7.7301893 0.32857142857142857</t>
  </si>
  <si>
    <t>Cc1cnc(CN(Cc2ccccn2)Cc2ccc3cc(N(C)Cc4ccc(C)c(C)n4)ccc3n2)c(C)c1 7.730181 0.46551724137931033</t>
  </si>
  <si>
    <t>Cc1ccc2cc(N(C)C3C=CNC(CN(C)Cc4ncccc4C)=C3)ccc2n1 7.730166 0.2898550724637681</t>
  </si>
  <si>
    <t>Cc1ccc2cc(N(C)c3ccc4nc(CN(Cc5ncccc5C(C)C(C)C)C5CCC(N(C)c6ccc7nc(CF)ccc7c6)CC5)ccc4c3)ccc2n1 7.7301655 0.2716049382716049</t>
  </si>
  <si>
    <t>Cc1ncccc1CN(C)Cc1ncccc1-c1cccc(N=Cc2ccccn2)c1 7.730165 0.36065573770491804</t>
  </si>
  <si>
    <t>Cc1ccnc(CN(C)Cc2ncccc2-c2ccccc2N(C)C)c1C 7.730159 0.3018867924528302</t>
  </si>
  <si>
    <t>CCCN(Cc1ccccn1)c1ccc(C)c(C)c1-c1cc(CN(Cc2ccccn2)Cc2cc(-c3cccc(N(C)C)c3)ccn2)ccn1 7.7301536 0.3333333333333333</t>
  </si>
  <si>
    <t>CN(Cc1ccccn1)c1cc(N(Cc2ccccn2)C(C)(C)NCc2ccccn2)c2ncccc2c1 7.7301517 0.42592592592592593</t>
  </si>
  <si>
    <t>Cc1ccnc2cc(N(C)C3=CNC(CN(C)C(C)C)=CC3)ccc12 7.7301474 0.2318840579710145</t>
  </si>
  <si>
    <t>Cc1ccnc(CN(C)Cc2cc(-c3cccc(N=Cc4ccccn4)c3)ccn2)c1 7.73014 0.38596491228070173</t>
  </si>
  <si>
    <t>Cc1ccnc(CN(C)Cc2cccc(-c3cccc(N(C)C)c3)n2)c1C 7.7301345 0.4339622641509434</t>
  </si>
  <si>
    <t>CNCc1cccc(-c2cccc(N(C)C)c2)n1 7.7301345 0.37037037037037035</t>
  </si>
  <si>
    <t>CN(c1ccc2cc3c(nc2c1)CCC3)C1CCC(N(C)c2cccc3c4c(cnc23)CCC4)CC1 7.7301335 0.4603174603174603</t>
  </si>
  <si>
    <t>Cc1cnccc1-c1ccccc1NCc1ccccn1 7.7301273 0.40476190476190477</t>
  </si>
  <si>
    <t>CCN(Cc1ccccn1)Cc1nccc2cccc(N(C)Cc3ncc(C)c(C)c3C)c12 7.730108 0.3728813559322034</t>
  </si>
  <si>
    <t>CN(c1cccc2cc(CF)cnc12)C1CCC(N(C)c2cccc3c(CF)ccnc23)CC1 7.7301054 0.39655172413793105</t>
  </si>
  <si>
    <t>CCN(Cc1ccccn1)c1ccc2ncccc2c1 7.7301006 0.4358974358974359</t>
  </si>
  <si>
    <t>Cc1cnc(CN(C)Cc2cccc(-c3cccc(N(C)C)c3)n2)c(C)c1 7.730098 0.4074074074074074</t>
  </si>
  <si>
    <t>CNCc1ccc2cccc(N(C)CCN(Cc3ccc4ncccc4c3)C(C)(C)c3ccccn3)c2n1 7.7300935 0.390625</t>
  </si>
  <si>
    <t>CCOC(=O)c1cc(CN(Cc2ccccn2)Cc2cccc(-c3ccccc3N=Cc3ccccn3)n2)ccn1 7.730086 0.3815789473684211</t>
  </si>
  <si>
    <t>Cc1cncc(CN(C)Cc2ccc(N(C)Cc3ncccc3-c3ccccn3)nc2)c1C 7.730078 0.3333333333333333</t>
  </si>
  <si>
    <t>Cc1cc([SiH3])cnc1CN(Cc1cccc([SiH3])n1)Cc1nc2ccccc2n1C 7.730077 0.3387096774193548</t>
  </si>
  <si>
    <t>CC(C)N(Cc1ccccn1)Cc1cccc(N(C)c2ccc3ncccc3c2)n1 7.730063 0.4897959183673469</t>
  </si>
  <si>
    <t>Cc1cccnc1CN(Cc1ccc2ncccc2c1)Cc1cc(N(C)C)ccn1 7.7300596 0.3275862068965517</t>
  </si>
  <si>
    <t>CC(C)N(Cc1ccccn1)c1ccc2nc(CF)ccc2c1 7.730053 0.46938775510204084</t>
  </si>
  <si>
    <t>Cc1cccnc1CN(C)CC1=CC(N(C)c2ccc3cccnc3c2)C=CN1 7.7300515 0.29850746268656714</t>
  </si>
  <si>
    <t>Cc1cncc(CN(C)Cc2cc(-c3cccc(N=Cc4ccccn4)c3)ccn2)c1 7.7300353 0.34375</t>
  </si>
  <si>
    <t>CC(C)N(Cc1ccccn1)Cc1cccc(N(C)c2ccc3cccnc3c2)n1 7.7300234 0.48</t>
  </si>
  <si>
    <t>C(=Nc1ccccc1-c1cccc(CN(Cc2ccccn2)Cc2cccc(-c3ccccc3)n2)n1)c1ccccn1 7.730017 0.4915254237288136</t>
  </si>
  <si>
    <t>CCN(Cc1ccccn1)c1cccc2nccc(CN(C)Cc3cc(C)c(C)c(C)n3)c12 7.7299986 0.3870967741935484</t>
  </si>
  <si>
    <t>CC(C)N(C)Cc1ccc2ccc(N(C)C)cc2n1 7.7299943 0.38461538461538464</t>
  </si>
  <si>
    <t>CCN(Cc1ccccn1)Cc1cc(N(C)c2ccc3ncccc3c2)ccn1 7.7299933 0.4318181818181818</t>
  </si>
  <si>
    <t>Cc1cccnc1CN(C)Cc1ccc(-c2ccccc2N=Cc2ccccn2)cn1 7.7299933 0.45614035087719296</t>
  </si>
  <si>
    <t>COC(=O)C(=O)N=Cc1ccccn1 7.729985 0.4</t>
  </si>
  <si>
    <t>Cc1ccc2ccc(N(C)CCN(C)Cc3nc(C)c(C)c(C)c3C)cc2n1 7.7299824 0.3469387755102041</t>
  </si>
  <si>
    <t>Cc1cc(C)nc(CN(C)Cc2ccnc3cc(C)ccc23)c1 7.729976 0.3333333333333333</t>
  </si>
  <si>
    <t>CCCN(Cc1ccccn1)c1ccc(C)c(C)c1-c1cc(CN(Cc2ccccn2)Cc2cc(-c3ccccc3N=Cc3ccccn3)ccn2)ccn1 7.7299733 0.34210526315789475</t>
  </si>
  <si>
    <t>Cc1ccnc(-c2ccc(C)c(NCc3ccccn3)c2)c1 7.72996 0.37777777777777777</t>
  </si>
  <si>
    <t>CN(CC1=CC(N(C)Cc2ccccn2)C=CN1)c1ccc2ncccc2c1 7.729947 0.3728813559322034</t>
  </si>
  <si>
    <t>Cc1cccnc1-c1cccc(NCc2ccccn2)c1 7.729942 0.4074074074074074</t>
  </si>
  <si>
    <t>Cc1ccc(-c2cc(C)cc(NCc3ccccn3)c2)nc1 7.7299404 0.37777777777777777</t>
  </si>
  <si>
    <t>Cc1ccc(-c2ccnc(CN(C)Cc3cc(C)c(C)c(C)n3)c2)nc1C 7.729931 0.3333333333333333</t>
  </si>
  <si>
    <t>FCc1ccc2cccc(N(Cc3ccccn3)Cc3ccccn3)c2n1 7.7299232 0.48</t>
  </si>
  <si>
    <t>CCc1cccc(CN(Cc2ccccn2)c2ccc3ncccc3c2)n1 7.729921 0.4489795918367347</t>
  </si>
  <si>
    <t>CNCc1cccc(-c2cccc(Cl)c2N)n1 7.729916 0.27450980392156865</t>
  </si>
  <si>
    <t>Cc1cccnc1CN(C)CC1=CC(N(C)c2ccc3ncccc3c2)C=CN1 7.7299128 0.30303030303030304</t>
  </si>
  <si>
    <t>CN(c1ccc2cccnc2c1)C1CCC(N(C)c2cccc3ncccc23)CC1 7.7299113 0.39622641509433965</t>
  </si>
  <si>
    <t>Cc1ccc(CN(C)CC2=CC(N(C)c3ccc4ncccc4c3)C=CN2)nc1C 7.729909 0.2898550724637681</t>
  </si>
  <si>
    <t>Cc1cncc(CN(C)Cc2ccc3cc(N(C)C4C=CC=CN4)ccc3n2)c1 7.729904 0.2786885245901639</t>
  </si>
  <si>
    <t>CN(c1cccc2ncc(CF)cc12)C1CCC(N(C)c2cccc3cccnc23)CC1 7.7298884 0.48148148148148145</t>
  </si>
  <si>
    <t>Cc1ccc(N)c(-c2ccnc(CN(C)C)c2)c1 7.729888 0.32653061224489793</t>
  </si>
  <si>
    <t>CC1C=Cc2ccc(C(C)(C)c3cc(C4=NC(c5ccccc5)C(C)O4)ccn3)cc2C1C 7.7298856 0.1780821917808219</t>
  </si>
  <si>
    <t>Cc1cccnc1-c1cccc(-c2ccccc2CNCc2ccccn2)c1 7.7298837 0.41304347826086957</t>
  </si>
  <si>
    <t>Cc1cc(C)c(CN(C)CC2=CC(N(C)c3ccc4ncccc4c3)C=CN2)cn1 7.729877 0.2878787878787879</t>
  </si>
  <si>
    <t>Cc1cc(-c2ccccc2NCc2cc(C(C)(C)c3ccccn3)ccn2)ccn1 7.7298684 0.30303030303030304</t>
  </si>
  <si>
    <t>CN(Cc1cccc(-c2cccc(N=Cc3ccccn3)c2)n1)C1C=CC=CN1 7.729864 0.38571428571428573</t>
  </si>
  <si>
    <t>CC1=C(c2ccccn2)NC=CC1 7.7298584 0.3333333333333333</t>
  </si>
  <si>
    <t>Cc1cc(-c2ccccc2N=Cc2ccccn2)nc(CN(C)Cc2ccccn2)c1C 7.7298503 0.43103448275862066</t>
  </si>
  <si>
    <t>Cc1ccc(CN(C)Cc2cccc(-c3cccc(N=Cc4ccccn4)c3)n2)nc1C 7.729846 0.4482758620689655</t>
  </si>
  <si>
    <t>CNc1cc(Cl)c(C)c(N(C)Cc2cccc(F)n2)c1 7.729844 0.39215686274509803</t>
  </si>
  <si>
    <t>Cc1ccc2ccc(N(C)C3CCCCC3N(C)c3ccc4nc(CN(C)C)ccc4c3)cc2n1 7.729844 0.4230769230769231</t>
  </si>
  <si>
    <t>Cc1cnc(CN(C)Cc2cc(-c3cccc(N(C)C)c3)ccn2)cc1C 7.7298393 0.36538461538461536</t>
  </si>
  <si>
    <t>Cc1ccc(CN(C)Cc2cccc(-c3ccc(N(C)C)cc3)n2)nc1C 7.729837 0.4375</t>
  </si>
  <si>
    <t>Cc1ccnc2cc(N(C)C3=C(CN(C)C(C)C)NC=CC3)ccc12 7.7298355 0.23529411764705882</t>
  </si>
  <si>
    <t>Cc1ccnc(CN(C)Cc2cc(-c3ccc(N=Cc4ccccn4)cc3)ccn2)c1 7.729834 0.3684210526315789</t>
  </si>
  <si>
    <t>Cc1ccnc(CN(Cc2ncccc2C)c2ccc3nc(CN(C)Cc4nc(C)ccc4C)ccc3c2)c1 7.7298098 0.3114754098360656</t>
  </si>
  <si>
    <t>CN(Cc1cc(-c2cccc(N(C)C)c2)ccn1)Cc1cc(C(C)(C)c2ccccn2)ccn1 7.729804 0.375</t>
  </si>
  <si>
    <t>CN(Cc1ncccc1-c1ccc2ncccc2c1)C1CCC(N(C)c2ccc3ncc(CF)cc3c2)CC1 7.7298026 0.25</t>
  </si>
  <si>
    <t>Cc1cc(CN(C)Cc2ncccc2-c2cccc(N=Cc3ccccn3)c2)ccn1 7.7298 0.3492063492063492</t>
  </si>
  <si>
    <t>Cc1ncccc1CN(C)Cc1ncccc1-c1ccccc1N=Cc1ccccn1 7.729799 0.4444444444444444</t>
  </si>
  <si>
    <t>CC(C)N(Cc1ccccn1)C1=CNC(CN(C)c2ccc3cc(CF)cnc3c2)=CC1 7.7297916 0.3194444444444444</t>
  </si>
  <si>
    <t>CCNCc1ncccc1-c1cc(N=Cc2ccccn2)ccc1C 7.729791 0.39285714285714285</t>
  </si>
  <si>
    <t>CN(CC1=CC(N(C)Cc2ccccn2)C=CN1)c1ccc2cccnc2c1 7.7297893 0.3898305084745763</t>
  </si>
  <si>
    <t>Cc1cc(CN(C)Cc2cc(-c3cccc(N=Cc4ccccn4)c3)ccn2)ccn1 7.729776 0.36065573770491804</t>
  </si>
  <si>
    <t>Cc1ccc(CN(C)c2cc(N(C)C(C)c3ccccn3)cc(Cl)c2Cl)cn1 7.7297716 0.3793103448275862</t>
  </si>
  <si>
    <t>Cc1ccc2nccc(CN(C)Cc3nccc(C)c3C)c2c1 7.729763 0.28</t>
  </si>
  <si>
    <t>CC(C)N(Cc1ncccc1C(C)(C)C)c1ccc2ncccc2c1 7.7297564 0.2830188679245283</t>
  </si>
  <si>
    <t>CCN(Cc1ccccn1)Cc1cccc(N(C)c2ccc3nccc(CF)c3c2)n1 7.72974 0.3770491803278688</t>
  </si>
  <si>
    <t>Cc1c(NCc2ccccn2)ccnc1-c1cccc(NCc2ccccn2)c1 7.729737 0.4</t>
  </si>
  <si>
    <t>CCN(Cc1cc(C)ccn1)c1ccc2ncc(CN(C)Cc3nc(C)c(C)c(C)c3C)cc2c1 7.7297277 0.26865671641791045</t>
  </si>
  <si>
    <t>CN(c1ccc2ncccc2c1)C1CCC(N(C)c2cccc3ncccc23)CC1 7.7297163 0.40384615384615385</t>
  </si>
  <si>
    <t>Cc1cc(C)c(C)c(CN(C)Cc2ncccc2-c2ccccc2N=Cc2ccccn2)c1 7.7297153 0.43103448275862066</t>
  </si>
  <si>
    <t>Cc1cnccc1CN(C)CC1=CC(N(C)c2cccc3ncccc23)C=CN1 7.729713 0.3088235294117647</t>
  </si>
  <si>
    <t>CN(C)CCN(C)c1cccc2ncc(CF)cc12 7.729706 0.391304347826087</t>
  </si>
  <si>
    <t>Cc1ccc2cc(N(C)C3CCC(N(C)c4ccc5nc(CN(C)C)ccc5c4)CC3)ccc2n1 7.7297044 0.34615384615384615</t>
  </si>
  <si>
    <t>Cc1ccc(CN(C)c2ccc(C)c(N(C)Cc3ccccn3)c2C)nc1 7.7296987 0.48936170212765956</t>
  </si>
  <si>
    <t>Cc1cc(C)c(N(C)Cc2nc(N)c(C)c(C)c2C)cc1C 7.729691 0.24489795918367346</t>
  </si>
  <si>
    <t>CCOC(=O)C(=O)C(=O)C(C)NC(=O)C(=O)C(=O)C(=O)C(=O)C(=O)C(=O)C(=O)C(=O)C(=O)C(=O)C(=O)C(=O)C(=O)C(=O)C(=O)C(=O)C=O 7.729681 0.15384615384615385</t>
  </si>
  <si>
    <t>CC(C)N(Cc1ccccn1)Cc1ccc(N(C)c2ccc3cccnc3c2)cn1 7.7296543 0.4897959183673469</t>
  </si>
  <si>
    <t>CN(c1ccc2nc3c(cc2c1)CCC3)C1CCCC(N(C)c2cccc3nc4c(cc23)CCC4)C1 7.729651 0.45</t>
  </si>
  <si>
    <t>CN(CN)c1ccc(Cl)c(Cl)c1N(C)Cc1cccc(F)n1 7.7296467 0.34615384615384615</t>
  </si>
  <si>
    <t>Cc1cccnc1CN(C)Cc1cnccc1-c1ccccc1N=Cc1ccccn1 7.7296467 0.45614035087719296</t>
  </si>
  <si>
    <t>Cc1cnc(CN(C)Cc2ccc(-c3ccc(Cl)c(Cl)c3)nc2)c(C)c1 7.729636 0.2777777777777778</t>
  </si>
  <si>
    <t>CCN(C)CC1=CCC(N(C)c2cccc3nc(C)ccc23)=CN1 7.729633 0.2857142857142857</t>
  </si>
  <si>
    <t>CN(Cc1cc(-c2ccc3ncccc3c2)ccn1)C1CCC(N(C)c2ccc3ncccc3c2)CC1 7.729616 0.3508771929824561</t>
  </si>
  <si>
    <t>CCNc1ncccc1-c1cc(C(C)(C)c2ccccn2)ccn1 7.729616 0.4107142857142857</t>
  </si>
  <si>
    <t>CC(C)N(Cc1cncc(C(C)(C)C)c1)c1ccc2ncccc2c1 7.7295995 0.2631578947368421</t>
  </si>
  <si>
    <t>Cc1cnccc1CN(C)c1cccc2nccc(CN(Cc3ccccn3)Cc3ncccc3C)c12 7.729594 0.35714285714285715</t>
  </si>
  <si>
    <t>Cc1cc(C)c(CN(C)C2C=CNC(CN(Cc3ccccn3)c3ccc4ncccc4c3)=C2)nc1C 7.7295923 0.29577464788732394</t>
  </si>
  <si>
    <t>Cc1cnc(CN(C)c2cc(C)c(C)c(C)c2C)c(C)c1C 7.7295823 0.3111111111111111</t>
  </si>
  <si>
    <t>Cc1cnc(CN(C)Cc2cccnc2-c2cccc(N(C)C)c2)c(C)c1 7.7295747 0.3392857142857143</t>
  </si>
  <si>
    <t>Cc1cncc(CN(C)c2ccc3nc(CN(C)Cc4ncccc4C)ccc3c2)c1 7.729573 0.3050847457627119</t>
  </si>
  <si>
    <t>CC(C)N(Cc1ccccn1)c1ccc2nc(C(C)(C)C)ccc2c1 7.729571 0.4583333333333333</t>
  </si>
  <si>
    <t>Cc1ccc2ccc(N(C)C3CCCC(N(C)c4ccc5nc(CF)ccc5c4)C3)cc2n1 7.729558 0.3728813559322034</t>
  </si>
  <si>
    <t>Clc1cccc(C2=CCC=CN2)n1 7.729554 0.3</t>
  </si>
  <si>
    <t>CCN(Cc1ccccn1)c1ccc2nccc(CN(C)Cc3nc(C)c(C)c(C)c3C)c2c1 7.7295523 0.36507936507936506</t>
  </si>
  <si>
    <t>CN(Cc1cccc(F)n1)Cc1ccc2cc(N(C)Cc3ccccn3)ccc2n1 7.7295456 0.5</t>
  </si>
  <si>
    <t>CN(Cc1ncccc1-c1ccc2ncccc2c1)C1CCCC(N(C)c2ccc3nc(CF)ccc3c2)C1 7.7295427 0.3287671232876712</t>
  </si>
  <si>
    <t>CNCc1cccc(-c2ccc(N(C)C)cc2)n1 7.729542 0.3404255319148936</t>
  </si>
  <si>
    <t>Cc1c(C2=NCC(C)(C)O2)cc(C2CCC2(C)C)nc1C1=NC(=O)C(C(C)c2cccc(C3=NC(C)(C)CO3)n2)O1 7.729534 0.3424657534246575</t>
  </si>
  <si>
    <t>CC(C)N(C)Cc1ccc2c(N(C)C)cccc2n1 7.729524 0.35714285714285715</t>
  </si>
  <si>
    <t>Cc1cnc(CN(C)CCN(C)c2ccc3nccc(C)c3c2)c(C)c1C 7.7295213 0.3269230769230769</t>
  </si>
  <si>
    <t>Cc1ccc(CN(C)Cc2cccc(-c3ccc(N=Cc4ccccn4)cc3)n2)nc1C 7.729515 0.4642857142857143</t>
  </si>
  <si>
    <t>Cc1cccc2c(CN(C)Cc3ncccc3N)ccnc12 7.7295146 0.4</t>
  </si>
  <si>
    <t>Cc1ccnc(CN(C)Cc2cc(-c3ccccc3N=Cc3ccccn3)ccn2)c1 7.7294984 0.43636363636363634</t>
  </si>
  <si>
    <t>Cc1cccnc1CN(C)Cc1ncccc1-c1cccc(N=Cc2ccccn2)c1 7.729497 0.42857142857142855</t>
  </si>
  <si>
    <t>CC(C)N(C)c1ccc2nc(CF)ccc2c1 7.7294855 0.3333333333333333</t>
  </si>
  <si>
    <t>CN(CCF)CCN(C)c1ccc2nc(-c3ccccn3)ccc2c1 7.729484 0.43137254901960786</t>
  </si>
  <si>
    <t>Cc1nc(CN(C)C2C=CNC(CN(Cc3ccccn3)c3ccc4cccnc4c3)=C2)c(C)c(C)c1C 7.7294817 0.32857142857142857</t>
  </si>
  <si>
    <t>CN(CC1=CCC=C(N(C)c2ccc3nc(CF)ccc3c2)N1)Cc1ccccn1 7.7294774 0.38333333333333336</t>
  </si>
  <si>
    <t>CN(c1ccc2c(CF)ccnc2c1)C1CCCCC1N(C)c1ccc2nccc(CF)c2c1 7.7294765 0.3620689655172414</t>
  </si>
  <si>
    <t>Cc1cccc(-c2ccc(C(C)C)c(CN(Cc3ccccn3)Cc3cccc(-c4ccc(N(C)C)cc4)n3)n2)c1 7.7294703 0.49230769230769234</t>
  </si>
  <si>
    <t>CN(Cc1cccnc1F)Cc1ncccc1-c1ccccc1N=Cc1ccccn1 7.7294703 0.47058823529411764</t>
  </si>
  <si>
    <t>Cc1cnc(CN(C)Cc2cccc(-c3cccc(Cl)c3Cl)n2)c(C)c1 7.7294636 0.4</t>
  </si>
  <si>
    <t>CC(C)NCc1cc(CN(C)c2ccc3ncccc3c2)ccn1 7.7294526 0.30357142857142855</t>
  </si>
  <si>
    <t>CCN(Cc1ccon1)Cc1ncccc1-c1ccccc1N=Cc1ccccn1 7.7294474 0.38333333333333336</t>
  </si>
  <si>
    <t>Cc1ccc(N(C)Cc2ccc3ncccc3c2)cc1N(Cc1ccccn1)CC(C)(C)c1ccccn1 7.729439 0.36507936507936506</t>
  </si>
  <si>
    <t>CC(C)C(C)N(Cc1ccccn1)Cc1ncccc1-c1ccccc1N(C)c1cccc2cccnc12 7.7294226 0.4074074074074074</t>
  </si>
  <si>
    <t>Cc1cc(-c2ccc(CN(C)Cc3ccccn3)cc2N=Cc2ccccn2)ccn1 7.729422 0.38333333333333336</t>
  </si>
  <si>
    <t>Cc1cccc(CN(C)CC2=C(N(C)c3cccc4ncccc34)CC=CN2)c1 7.729422 0.26153846153846155</t>
  </si>
  <si>
    <t>Cc1cnc(CN(C)Cc2cccnc2-c2cccc(N(C)Cc3c(C)cncc3C)c2)c(C)c1 7.7294 0.30158730158730157</t>
  </si>
  <si>
    <t>CNc1ccc2nc(CN(C)Cc3ccc(N)c(C)n3)ccc2c1 7.7293987 0.32653061224489793</t>
  </si>
  <si>
    <t>Cc1ncccc1-c1cccc(NCc2ccccn2)c1 7.7293954 0.4339622641509434</t>
  </si>
  <si>
    <t>Cc1ccc(CN(C)c2c(C)ccc(C)c2N(C)Cc2ccccn2)nc1C 7.7293878 0.4883720930232558</t>
  </si>
  <si>
    <t>CN(CN(CCNc1ccc2cccnc2c1)Cc1ccccn1)c1ccc2ncccc2c1 7.7293835 0.43859649122807015</t>
  </si>
  <si>
    <t>CN(C)CCN(C)c1cccc2nc(CF)ccc12 7.729383 0.4090909090909091</t>
  </si>
  <si>
    <t>Cc1cnc(CN(C)CC2=CC(N(C)c3ccc4cccnc4c3)C=CN2)c(C)c1 7.7293825 0.28169014084507044</t>
  </si>
  <si>
    <t>CN(CCN)Cc1cccnc1N(C)c1cccc2ncccc12 7.7293816 0.42</t>
  </si>
  <si>
    <t>CNCc1cccc(-c2ccc(C)c(N(C)Cc3ccccn3)c2)n1 7.729368 0.47058823529411764</t>
  </si>
  <si>
    <t>Cc1cccnc1CN(C)Cc1cc(-c2cccc(N=Cc3ccccn3)c2)ccn1 7.7293677 0.4067796610169492</t>
  </si>
  <si>
    <t>CN(c1cccc2nc3c(cc12)CCC3)C1CCC(N(C)c2cccc3ncc4c(c23)CCC4)CC1 7.7293606 0.41935483870967744</t>
  </si>
  <si>
    <t>Cc1ccnc(CN(C)C2C=CNC(CN(C)c3ccc4ncccc4c3)=C2)c1 7.7293606 0.2727272727272727</t>
  </si>
  <si>
    <t>CN(c1ccc2cc3c(nc2c1)CCC3)C1CCCC(N(C)c2cccc3nc4c(cc23)CCC4)C1 7.729358 0.4576271186440678</t>
  </si>
  <si>
    <t>C1=CC(Nc2ncccc2C(c2ccccn2)c2ccccn2)=CCN1 7.729355 0.2631578947368421</t>
  </si>
  <si>
    <t>CN(c1ccc2nccc(CF)c2c1)C1CCCCC1N(C)c1ccc2nccc(CF)c2c1 7.729353 0.38181818181818183</t>
  </si>
  <si>
    <t>CC(C)N(C)Cc1ccc(N(C)c2ccc3ccc(CF)nc3c2)cn1 7.7293334 0.32</t>
  </si>
  <si>
    <t>CNCc1cc(CN(C)c2ccc3nc(CN(C)Cc4nc(C)c(C)c(C)c4C)ccc3c2)ccn1 7.729329 0.2727272727272727</t>
  </si>
  <si>
    <t>CC(C)N(Cc1ccccn1)C1CCC(N(C)c2ccc3nccc(-c4ccc5ncccc5c4)c3c2)CC1 7.7293286 0.3384615384615385</t>
  </si>
  <si>
    <t>Cc1ccc(-c2cc(NCc3ccccn3)ccc2C)nc1 7.729314 0.3695652173913043</t>
  </si>
  <si>
    <t>Cc1ccc(C)c(CN(C)Cc2cc(-c3cccc(N(C)C)c3)ccn2)n1 7.7293134 0.35294117647058826</t>
  </si>
  <si>
    <t>CN(C)c1cccc(CN(Cc2cccc(F)n2)Cc2cccc(-c3cc(Cl)ccc3Cl)n2)n1 7.729313 0.3333333333333333</t>
  </si>
  <si>
    <t>CN(c1ccc2nccc(CF)c2c1)C1CCCCC1N(C)c1cccc2c(CF)ccnc12 7.729309 0.4727272727272727</t>
  </si>
  <si>
    <t>Cc1ccnc(CN(C)C2C=CNC(CN(C)c3ccc4cccnc4c3)=C2)c1 7.7293086 0.2878787878787879</t>
  </si>
  <si>
    <t>Cc1cc(C)nc(CN(C)Cc2ccnc3ccc(C)cc23)c1 7.729305 0.3269230769230769</t>
  </si>
  <si>
    <t>Cc1cncc(CN(C)CC2=CCC=C(N(C)c3ccc4nc(CF)ccc4c3)N2)c1 7.729302 0.265625</t>
  </si>
  <si>
    <t>Cc1cc(C)c(CN(C)Cc2ncccc2-c2ccccc2N(C)C)c(C)c1 7.729294 0.3018867924528302</t>
  </si>
  <si>
    <t>CNCN(Cc1cc(C)ccn1)c1ccc2nccc(CF)c2c1 7.7292895 0.29310344827586204</t>
  </si>
  <si>
    <t>CCOC(=O)c1ncccc1CN(Cc1ccccn1)Cc1ncccc1-c1ccc(N=Cc2ccccn2)cc1 7.729289 0.3225806451612903</t>
  </si>
  <si>
    <t>Cc1cnccc1CN(C)c1ccc2nccc(CN(Cc3ccccn3)Cc3ccc(N)cn3)c2c1 7.7292876 0.3448275862068966</t>
  </si>
  <si>
    <t>Cc1cccnc1CN(C)c1ccc2nc(CN(C)Cc3cccc(C(C)(C)C)n3)ccc2c1 7.7292805 0.3442622950819672</t>
  </si>
  <si>
    <t>Cc1cc(CN(C)Cc2cc(-c3ccccc3N=Cc3ccccn3)ccn2)ccn1 7.729278 0.4067796610169492</t>
  </si>
  <si>
    <t>CN(c1ccc2cccnc2c1)C1CCC(N(C)c2ccc3c(CF)ccnc3c2)CC1 7.7292767 0.3103448275862069</t>
  </si>
  <si>
    <t>Cc1cnc(CN(C)CC2=CC(N(C)c3ccc4ncccc4c3)C=CN2)c(C)c1 7.7292666 0.2857142857142857</t>
  </si>
  <si>
    <t>Cc1cccc2nccc(CN(C)Cc3cc(N)ccn3)c12 7.7292614 0.3333333333333333</t>
  </si>
  <si>
    <t>CC(C)N(C)Cc1cncc(N(C)c2cccc3nc(CF)ccc23)c1 7.729253 0.30303030303030304</t>
  </si>
  <si>
    <t>CC(C)N(Cc1ccccn1)c1ccc2ccc(CF)nc2c1 7.7292323 0.4791666666666667</t>
  </si>
  <si>
    <t>Cc1cc(N(C)C)nc(CN(Cc2ccccn2)c2cc(C)c(C)c(C)c2C)c1C 7.7292295 0.40384615384615385</t>
  </si>
  <si>
    <t>CNCc1nc(-c2ccc(NCc3ccccn3)c(C)c2C)ccc1C 7.7292194 0.34</t>
  </si>
  <si>
    <t>c1ccc(NCc2cccc(-c3cccc(C(c4ccccn4)c4ccccn4)n3)n2)cc1 7.7292094 0.38</t>
  </si>
  <si>
    <t>CN(c1cccc2ncccc12)C1CCC(N(C)c2cccc3ncc(CF)cc23)CC1 7.7292056 0.3333333333333333</t>
  </si>
  <si>
    <t>Cc1cccc2nccc(CN(C)Cc3ncccc3N)c12 7.7292023 0.34615384615384615</t>
  </si>
  <si>
    <t>Cc1cc(-c2cccc(NCc3cc(C(C)(C)c4ccccn4)ccn3)c2)ccn1 7.729202 0.3125</t>
  </si>
  <si>
    <t>Cc1nc(CN(C)C2C=CNC(CN(Cc3ccccn3)c3cccc4cccnc34)=C2)c(C)c(C)c1C 7.729199 0.3484848484848485</t>
  </si>
  <si>
    <t>CCN(Cc1cc(C(C)(C)C)ccn1)c1ccc2ncccc2c1 7.7291937 0.2909090909090909</t>
  </si>
  <si>
    <t>CN(CC1=CC(N(C)Cc2ccccn2)C=CN1)c1cccc2ncccc12 7.729193 0.3793103448275862</t>
  </si>
  <si>
    <t>Cc1cccnc1CN(C)c1ccc(-c2cc(CN(C)Cc3cc(C)c(C)c(C)n3)ccn2)cc1 7.729188 0.3125</t>
  </si>
  <si>
    <t>Cc1ncccc1-c1ccc(NCc2ccccn2)cc1 7.729186 0.43137254901960786</t>
  </si>
  <si>
    <t>Cc1ccc(C)c(CN(C)Cc2ncccc2-c2cccc(N(C)C)c2)n1 7.729183 0.30357142857142855</t>
  </si>
  <si>
    <t>CN(C)Cc1ccc2cccc(N(Cc3ccccn3)Cc3ccccn3)c2n1 7.7291827 0.4782608695652174</t>
  </si>
  <si>
    <t>Cc1cccnc1CN(C)Cc1ccc2cc(N(C)Cc3ccccn3)ccc2n1 7.729175 0.4528301886792453</t>
  </si>
  <si>
    <t>CCN(Cc1ccccn1)c1ccc2cccnc2c1-c1cnccc1CN(Cc1ccccn1)Cc1ccccn1 7.7291503 0.39655172413793105</t>
  </si>
  <si>
    <t>Cc1nc(CN(C)Cc2ccc3ccc(N(Cc4ccccn4)C(C)C)cc3n2)c(C)c(C)c1C 7.7291493 0.41379310344827586</t>
  </si>
  <si>
    <t>CN(Cc1ccccn1)Cc1cccc(N(C)Cc2cc(-c3c(N)cccc3Cl)ccn2)n1 7.7291493 0.46296296296296297</t>
  </si>
  <si>
    <t>C1=CC(c2ccc(-c3cccc(NCc4ccccn4)c3)cn2)C=CN1 7.7291455 0.3492063492063492</t>
  </si>
  <si>
    <t>CN(C)Cc1ccnc2cc(N(C)C3CCC(N(C)c4ccc5ncccc5c4)CC3)ccc12 7.729145 0.3103448275862069</t>
  </si>
  <si>
    <t>CC(C)N(Cc1ccccn1)Cc1ncccc1N(C)c1ccc2ncccc2c1 7.7291446 0.4897959183673469</t>
  </si>
  <si>
    <t>CN(Cc1ccccn1)Cc1ccc(N(C)Cc2ncccc2-c2cc(Cl)ccc2N)cn1 7.7291355 0.39655172413793105</t>
  </si>
  <si>
    <t>CN(c1ccc2ncccc2c1)C1CCC(N(C)c2ccc3c(CF)ccnc3c2)CC1 7.72913 0.3103448275862069</t>
  </si>
  <si>
    <t>Cc1cnc(CN(C)c2ccccc2-c2cc(CN(Cc3ccccn3)Cc3ccc(C(C)(c4ccccn4)c4ccccn4)cn3)ccn2)c(C)c1 7.729128 0.32857142857142857</t>
  </si>
  <si>
    <t>CN(c1ccc2nc3c(cc2c1)CCC3)C1CCCC(N(C)c2cccc3ncc4c(c23)CCC4)C1 7.7291083 0.40298507462686567</t>
  </si>
  <si>
    <t>CN(Cc1ccccn1)Cc1ccc2ccc(N(Cc3ccccn3)C3=CC=CNC3)cc2n1 7.729107 0.42105263157894735</t>
  </si>
  <si>
    <t>Cc1ccc(CN(C)CC2=CC(N(C)c3cccc4ncccc34)C=CN2)nc1C 7.729098 0.30434782608695654</t>
  </si>
  <si>
    <t>Cc1cccnc1CN(C)c1ccc2nc(CN(C)Cc3ccccn3)ccc2c1 7.729092 0.46153846153846156</t>
  </si>
  <si>
    <t>Cc1ccc(CN(C)C2C=CNC(CN(C)c3ccc4ncccc4c3)=C2)nc1 7.7290792 0.36507936507936506</t>
  </si>
  <si>
    <t>CN(Cc1ccccn1)Cc1cc(N(C)Cc2ncccc2-c2cc(Cl)ccc2N)ccn1 7.729073 0.40350877192982454</t>
  </si>
  <si>
    <t>CNCc1cc(-c2ccccc2N(C)C)ccn1 7.729072 0.3333333333333333</t>
  </si>
  <si>
    <t>CN(c1cccc2ncc3c(c12)CCC3)C1CCCCC1N(C)c1cccc2ncc3c(c12)CCC3 7.7290683 0.4807692307692308</t>
  </si>
  <si>
    <t>CN(c1ccc2cccnc2c1)C1CCC(N(C)c2ccc3nccc(CF)c3c2)CC1 7.729067 0.3</t>
  </si>
  <si>
    <t>CC(C)N(C)C1=C(CN(C)c2ccc3cccnc3c2)NC=CC1 7.729065 0.3050847457627119</t>
  </si>
  <si>
    <t>CN(C)c1ccc(-c2cccc(CN(C)c3cccc(-c4cc(CN(Cc5ccccn5)C5CCC(N(C)c6ccc7cc(CF)cnc7c6)CC5)ccn4)c3)n2)cc1 7.7290635 0.3333333333333333</t>
  </si>
  <si>
    <t>CN(Cc1cccc(-c2ccccc2N=Cc2ccccn2)n1)C1C=CC=CN1 7.7290606 0.3870967741935484</t>
  </si>
  <si>
    <t>CCN(CCN(C)Cc1ccc2ncccc2c1)c1ccc2ncccc2c1 7.729056 0.40816326530612246</t>
  </si>
  <si>
    <t>CN(C)CCN(C)c1ccc2cc(CN(C)C)cnc2c1 7.7290435 0.2978723404255319</t>
  </si>
  <si>
    <t>CN(Cc1ccccn1)c1ccc2c(CN(C)C(C)(C)c3ccccn3)ccnc2c1 7.7290387 0.4339622641509434</t>
  </si>
  <si>
    <t>Cc1cnc(C)c(C)c1CN(C)CCN(C)c1cccc2c(C)ccnc12 7.7290297 0.4117647058823529</t>
  </si>
  <si>
    <t>Cc1cccnc1CN(C)C1C=CNC(CN(C)c2ccc3nccc(CF)c3c2)=C1 7.729028 0.24</t>
  </si>
  <si>
    <t>Cc1ccc(CN(C)C2C=CNC(CN(C)c3ccc4cccnc4c3)=C2)nc1 7.7290134 0.359375</t>
  </si>
  <si>
    <t>Cc1cccc(CN(C)c2ccc(-c3cccc(CN(Cc4ccccn4)Cc4ccc(-c5cccc(NCc6ccccn6)c5)cn4)n3)cc2F)n1 7.7290096 0.43243243243243246</t>
  </si>
  <si>
    <t>CN(C)c1cccc(-c2cccc(CN(Cc3ccccn3)c3ccccc3F)n2)c1 7.729008 0.5</t>
  </si>
  <si>
    <t>CC(C)(C)c1ccnc2c(N(CF)Cc3ccccn3)cccc12 7.7290044 0.38461538461538464</t>
  </si>
  <si>
    <t>Cc1cc(C)c(CN(C)CC2=CC(N(C)c3ccc4nc(C)ccc4c3)C=CN2)cn1 7.7290025 0.29411764705882354</t>
  </si>
  <si>
    <t>CC(C)C(C)N(Cc1ccccn1)Cc1ncccc1-c1ccccc1N(C)c1cccc2ncccc12 7.728997 0.4</t>
  </si>
  <si>
    <t>Cc1cc(C)c(CN(C)Cc2ccc3cccc(C)c3n2)c(C)n1 7.7289968 0.391304347826087</t>
  </si>
  <si>
    <t>Cc1cccnc1CN(C)Cc1ccnc2cccc(C)c12 7.728989 0.375</t>
  </si>
  <si>
    <t>Cc1cccc(-c2cccc(NCc3ccc(C(C)(C)c4ccccn4)cn3)c2)n1 7.728986 0.3484848484848485</t>
  </si>
  <si>
    <t>CN(C)CC1=CC(N(C)c2cccc3ncc(CF)cc23)C=CN1 7.7289786 0.3125</t>
  </si>
  <si>
    <t>CN(Cc1ccc2c(n1)CCC2)Cc1nc2ccccc2o1 7.728969 0.30357142857142855</t>
  </si>
  <si>
    <t>Cc1cnccc1-c1ccc(NCc2ccccn2)cc1 7.7289667 0.4074074074074074</t>
  </si>
  <si>
    <t>CNCc1cc(CN(C)c2ccc3nc(CF)ccc3c2)ccn1 7.728959 0.2982456140350877</t>
  </si>
  <si>
    <t>Cc1cccc2nccc(CN(C)Cc3ccc(N)cn3)c12 7.7289515 0.3673469387755102</t>
  </si>
  <si>
    <t>Nc1cccc(CN(Cc2ccnc(CNC3C=CC=CN3)c2)c2ccc3ncccc3c2)n1 7.728947 0.3150684931506849</t>
  </si>
  <si>
    <t>Cc1cccnc1CN(C)Cc1cc(-c2ccccc2N=Cc2ccccn2)ccn1 7.728939 0.45614035087719296</t>
  </si>
  <si>
    <t>CN(Cc1ncccc1-c1ccccc1N)C1=CC=CCN1 7.7289376 0.2631578947368421</t>
  </si>
  <si>
    <t>Cc1ccc(-c2cccc(C)n2)c(NCc2ccccn2)c1 7.728937 0.38596491228070173</t>
  </si>
  <si>
    <t>CN(C)Cc1ccc2ncccc2c1 7.728933 0.38095238095238093</t>
  </si>
  <si>
    <t>Cc1ccnc2cc(N(C)C3=CNC(CN(C)CC(C)C)=CC3)ccc12 7.72893 0.24285714285714285</t>
  </si>
  <si>
    <t>CNCc1cccc(CN(C)Cc2cccc(N(C)c3ccc4ncccc4c3)n2)n1 7.7289286 0.375</t>
  </si>
  <si>
    <t>CN(C)Cc1ccc2cccnc2c1 7.728926 0.38095238095238093</t>
  </si>
  <si>
    <t>CN(c1ccc2ncccc2c1)C1CCC(N(C)c2ccc3nccc(CF)c3c2)CC1 7.7289205 0.3103448275862069</t>
  </si>
  <si>
    <t>COC(=O)c1cccc(-c2cccc(C(C)NCc3ccccn3)n2)n1 7.7289195 0.3508771929824561</t>
  </si>
  <si>
    <t>CN(Cc1ccccn1)Cc1cccc(N(C)Cc2ncccc2-c2ccc(Cl)cc2N)n1 7.728919 0.43103448275862066</t>
  </si>
  <si>
    <t>C1=C(c2ccccc2)C(c2ccccc2)=C(c2c(-c3ccccc3)ccc(-c3ccccc3)c2NCc2ccccn2)C(NCc2ccccn2)C1 7.7289186 0.45901639344262296</t>
  </si>
  <si>
    <t>Cc1cccc(CN(C)Cc2cc(-c3ccccc3N=Cc3ccccn3)ccn2)n1 7.728917 0.43103448275862066</t>
  </si>
  <si>
    <t>Cc1cnc(C)c(CN(C)c2ccc(C)c(N(C)Cc3ccccn3)c2C)c1 7.7289166 0.47058823529411764</t>
  </si>
  <si>
    <t>Cc1cnccc1-c1cccc(NCc2ccccn2)c1 7.7289124 0.4107142857142857</t>
  </si>
  <si>
    <t>CCOC(=O)c1cc(CN(Cc2ccccn2)Cc2cc(-c3ccc(N=Cc4ccccn4)cc3)ccn2)ccn1 7.728909 0.32786885245901637</t>
  </si>
  <si>
    <t>CN(CC1=C(N(Cc2ccccn2)Cc2ccc(F)cn2)CC=CN1)c1ccc2nc(CF)ccc2c1 7.7289004 0.32857142857142857</t>
  </si>
  <si>
    <t>CN(Cc1ncccc1-c1ccc2ncccc2c1)C1CCC(N(C)c2ccc3ncccc3c2)CC1 7.728896 0.29508196721311475</t>
  </si>
  <si>
    <t>C1=CNC(NCc2cccc(-c3ccc(C(c4ccccn4)c4ccccn4)cn3)n2)C=C1 7.728887 0.3333333333333333</t>
  </si>
  <si>
    <t>CC(C)N(C)Cc1ncccc1Nc1ccc2ncccc2c1 7.728884 0.2909090909090909</t>
  </si>
  <si>
    <t>Cc1nc(F)n(C)c1CN(C)CCN(C)c1ccc2ncccc2c1 7.7288833 0.35714285714285715</t>
  </si>
  <si>
    <t>CCNCc1cccc(-c2cc(C)c(Cl)c(N(C)Cc3cccc(C)n3)c2)n1 7.728874 0.37037037037037035</t>
  </si>
  <si>
    <t>Cc1ccc(NCc2ccccn2)c(-c2cccc(C)n2)c1 7.7288656 0.38596491228070173</t>
  </si>
  <si>
    <t>Cc1cnc2cc(N(C)C3CCCC(N(C)c4ccc5nc(CN(C)C)ccc5c4)C3)ccc2c1 7.72886 0.3508771929824561</t>
  </si>
  <si>
    <t>CC(C)N(Cc1ccccn1)Cc1cc(N(C)c2ccc3cccnc3c2)ccn1 7.728859 0.5</t>
  </si>
  <si>
    <t>CCN(Cc1ccccn1)c1ccc2nccc(CF)c2c1 7.7288566 0.37777777777777777</t>
  </si>
  <si>
    <t>CC(C)N(Cc1ccccn1)c1ccc2ccc(C(C)(C)C)nc2c1 7.7288547 0.43137254901960786</t>
  </si>
  <si>
    <t>Cc1cc(CN(C)Cc2cccc(-c3ccccc3N(C)C)n2)nc(C)c1C 7.7288146 0.43137254901960786</t>
  </si>
  <si>
    <t>CC(C)N(C)C1=C(CN(C)c2ccc3ncccc3c2)NC=CC1 7.7288146 0.3103448275862069</t>
  </si>
  <si>
    <t>Cc1ccnc(CN(C)Cc2nc(-c3ccccc3N(C)C)c(C)c(C)c2C)c1 7.728814 0.3333333333333333</t>
  </si>
  <si>
    <t>CNc1cc(Cl)c(C)cc1N(C)Cc1cccc(F)n1 7.7288127 0.39215686274509803</t>
  </si>
  <si>
    <t>Cc1cnc(CN(C)Cc2ncccc2-c2cccc(N(C)C)c2)c(C)c1 7.7288094 0.2807017543859649</t>
  </si>
  <si>
    <t>Cc1cnc(CN(C)Cc2ccnc3ccc(N(Cc4ccccn4)C(C)C)cc23)c(C)c1C 7.7287784 0.3442622950819672</t>
  </si>
  <si>
    <t>Cc1ncccc1-c1ccc(N=Cc2ccccn2)cc1CN(C)Cc1ccccn1 7.7287765 0.3793103448275862</t>
  </si>
  <si>
    <t>Cc1cncc(CN(C)CC2=CC(N(C)c3ccc4nccc(C)c4c3)C=CN2)c1 7.7287664 0.2857142857142857</t>
  </si>
  <si>
    <t>CN(c1cccc2ncc(CF)cc12)C1CCCC(N(C)c2cccc3cccnc23)C1 7.7287645 0.48214285714285715</t>
  </si>
  <si>
    <t>CN(Cc1cccnn1)C1CCC(N(C)c2ccc3ncc(-c4ccc5cccnc5c4)cc3c2)CC1 7.728762 0.31746031746031744</t>
  </si>
  <si>
    <t>CN(c1ccc2ncc3c(c2c1)CCC3)C1CCC(N(C)c2cccc3nc4c(cc23)CCC4)CC1 7.72876 0.3939393939393939</t>
  </si>
  <si>
    <t>CC1(C)COC(c2cccc(CN(Cc3ccccn3)Cc3cccc(-c4cccc(N=Cc5ccccn5)c4)n3)n2)=N1 7.728748 0.463768115942029</t>
  </si>
  <si>
    <t>CN(Cc1ccccn1)c1cc(C(C)(C)C2=CC(N(C)Cc3ccccn3)C=CN2)cc2ncccc12 7.728735 0.3870967741935484</t>
  </si>
  <si>
    <t>CNCc1ncccc1-c1cc(C)ccc1N(C)Cc1ccccn1 7.7287345 0.48</t>
  </si>
  <si>
    <t>CCN(Cc1ccccn1)Cc1ncccc1N(C)c1cccc2cccnc12 7.728734 0.4583333333333333</t>
  </si>
  <si>
    <t>Cc1cncc(CN(C)Cc2cc(-c3cccc(N=Cc4ccccn4)c3)ccn2)c1C 7.728728 0.359375</t>
  </si>
  <si>
    <t>Cc1cccnc1CN(Cc1ccccn1)c1ccc(-c2cccc(CN(Cc3ccccn3)Cc3ncccc3N)n2)c(-c2ccccn2)c1 7.7287254 0.4126984126984127</t>
  </si>
  <si>
    <t>CN(c1cccc2ncc3c(c12)CCC3)C1CCC(N(C)c2cccc3ncc4c(c23)CCC4)CC1 7.728724 0.35714285714285715</t>
  </si>
  <si>
    <t>Cc1cnc(CN(C)Cc2ccc3c(C)cccc3n2)c(C)c1C 7.728712 0.36538461538461536</t>
  </si>
  <si>
    <t>Cc1cccc(CN(Cc2ccccn2)c2ccc3nc(CN(C)Cc4nc(C)c(C)c(C)c4C)ccc3c2)n1 7.728709 0.423728813559322</t>
  </si>
  <si>
    <t>CCNCc1cccc(-c2cccc(N(C)Cc3ccccn3)c2-c2ccccc2NCc2ccccn2)n1 7.7287045 0.41379310344827586</t>
  </si>
  <si>
    <t>Cc1nc(CN(C)Cc2ccc3c(N(Cc4ccccn4)C(C)C)cccc3n2)c(C)c(C)c1C 7.728704 0.4166666666666667</t>
  </si>
  <si>
    <t>Cc1ccc(CN(C)Cc2ncccc2-c2cccc(N(C)C)c2)nc1C 7.7287016 0.3508771929824561</t>
  </si>
  <si>
    <t>Cc1cnc(CN(C)c2ccc3nc(CN(C)C(C)C)ccc3c2)c(C)c1 7.728698 0.32075471698113206</t>
  </si>
  <si>
    <t>CC(C)N(C)C1=C(CN(C)c2cccc3ncccc23)NC=CC1 7.728694 0.35714285714285715</t>
  </si>
  <si>
    <t>CN(Cc1ccccn1)Cc1nc2ccccc2n1Cc1ccccn1 7.7286906 0.48936170212765956</t>
  </si>
  <si>
    <t>Cc1cnc(CN(C)c2cc(C)c(Cl)c(C(C)(C)C)c2N(C)Cc2ccccn2)c(C)c1 7.7286863 0.4727272727272727</t>
  </si>
  <si>
    <t>CN(C)CCN(C)c1ccc2ccc(CN(C)C)nc2c1 7.7286816 0.42105263157894735</t>
  </si>
  <si>
    <t>Cc1cc(C)c(C)c(CN(C)Cc2ccc3c(C)cccc3n2)n1 7.728677 0.391304347826087</t>
  </si>
  <si>
    <t>CN(C)Cc1cccc(-c2ccc(Cl)c(N)c2)n1 7.728676 0.38181818181818183</t>
  </si>
  <si>
    <t>Cc1cnc(CN(C)Cc2cc(-c3cccc(N(C)C)c3)ccn2)c(C)c1 7.7286735 0.3269230769230769</t>
  </si>
  <si>
    <t>Cc1cc(C)c(C)c(CN(Cc2ncccc2-c2ccc3ncccc3c2)C2CCC(N(C)c3ccc4nc(CN(C)C)ccc4c3)CC2)n1 7.728671 0.2631578947368421</t>
  </si>
  <si>
    <t>Cc1cc2ccccc2c(C2=C(c3ccccc3)C(c3ccccc3)=CCC2NCc2ccccn2)c1NCc1ccccn1 7.7286644 0.5</t>
  </si>
  <si>
    <t>Cc1cccnc1CN(C)c1cccc2ccc(CN(C)Cc3ccccn3)nc12 7.728642 0.4807692307692308</t>
  </si>
  <si>
    <t>CN(Cc1cccnn1)C1=C(N(C)c2cc(Cl)ccc2N)NCC=C1 7.7286305 0.3508771929824561</t>
  </si>
  <si>
    <t>Cc1ccc(C)c(CN(C)Cc2ccnc3cccc(C)c23)n1 7.728622 0.3269230769230769</t>
  </si>
  <si>
    <t>CN(C)Cc1ccccc1N(C)Cc1ccc2ncccc2c1 7.7286205 0.3877551020408163</t>
  </si>
  <si>
    <t>C1=CNC(c2cc(C(c3ccccc3)c3ccccn3)ccn2)=CC1 7.728616 0.3448275862068966</t>
  </si>
  <si>
    <t>Cc1ccnc2cc(N(C)CCNC(C)C)ccc12 7.728614 0.2222222222222222</t>
  </si>
  <si>
    <t>CC(C)N(Cc1ccccn1)c1cccc2nccc(C(C)(C)C)c12 7.7286057 0.42857142857142855</t>
  </si>
  <si>
    <t>Cc1cnc(CN(C)CC2=CC(N(C)c3ccc4ncccc4c3)C=CN2)c(C)c1C 7.7286034 0.2857142857142857</t>
  </si>
  <si>
    <t>CN(C)Cc1nccc2cc(N(C)CCF)ccc12 7.728594 0.2549019607843137</t>
  </si>
  <si>
    <t>CN(CCCN(C)c1ccc2ncccc2c1)Cc1ccc2ncccc2c1 7.728593 0.4166666666666667</t>
  </si>
  <si>
    <t>Cc1ccc(CN(C)Cc2cc(-c3ccc(N(C)C)cc3)ccn2)nc1C 7.7285805 0.33962264150943394</t>
  </si>
  <si>
    <t>Cc1cc(C)c(CN(C)c2cccc(-c3cc(C4CC(C)(C)C4)ccn3)c2-c2cc(CN(Cc3ccccn3)Cc3ncccc3F)ccn2)cn1 7.7285805 0.29411764705882354</t>
  </si>
  <si>
    <t>Cc1cnc(CN(C)Cc2cccc(-c3cccc(N=Cc4ccccn4)c3)n2)c(C)c1 7.728577 0.41935483870967744</t>
  </si>
  <si>
    <t>Cc1cc(CN(C)CCN(C)c2cccc3nccc(C)c23)nc(C)c1C 7.728571 0.36538461538461536</t>
  </si>
  <si>
    <t>CNCCN(C)Cc1cc(-c2cccc3ncccc23)ccn1 7.728568 0.32142857142857145</t>
  </si>
  <si>
    <t>CN(c1ccc2c3c(cnc2c1)CCC3)C1CCC(N(C)c2cccc3nc4c(cc23)CCC4)CC1 7.728566 0.3939393939393939</t>
  </si>
  <si>
    <t>CN(c1cccc2c3c(cnc12)CCC3)C1CCCCC1N(C)c1cccc2ncc3c(c12)CCC3 7.728561 0.46551724137931033</t>
  </si>
  <si>
    <t>Cc1cc(NCc2ccccn2)cc(-c2cccc(C)n2)c1 7.72855 0.39285714285714285</t>
  </si>
  <si>
    <t>CN(c1cccc2ncccc12)C1CCCCC1N(C)c1cccc2nccc(CF)c12 7.7285423 0.4716981132075472</t>
  </si>
  <si>
    <t>COC(=O)c1cc(CN(Cc2ccccn2)Cc2cccc(-c3ccccc3N(C)C)n2)ccn1 7.7285404 0.45454545454545453</t>
  </si>
  <si>
    <t>Cc1ccc(-c2cccc(NCc3ccccn3)c2)nc1CN(C)Cc1ncccc1-c1cccc(N)c1 7.728536 0.3382352941176471</t>
  </si>
  <si>
    <t>Cc1cc(NCc2ccccn2)cc(-c2cc(C)ccn2)c1 7.728536 0.38636363636363635</t>
  </si>
  <si>
    <t>c1ccc(C2=NC(c3ccccn3)CO2)nc1 7.7285275 0.3333333333333333</t>
  </si>
  <si>
    <t>CC(C)N(Cc1ccccn1)Cc1cccc(N(C)c2cccc3ncccc23)n1 7.728519 0.4897959183673469</t>
  </si>
  <si>
    <t>CN(CCN(C)Cc1nc2ccccc2n1C)Cc1ccc2ncccc2c1 7.728518 0.42592592592592593</t>
  </si>
  <si>
    <t>Cc1ccc(CN(C)Cc2ccc3cccc(N(C)Cc4ncc(C)c(C)c4C)c3n2)cc1 7.7285094 0.34545454545454546</t>
  </si>
  <si>
    <t>CC(C)NCc1ncccc1CN(C)c1cccc2ncccc12 7.728507 0.34615384615384615</t>
  </si>
  <si>
    <t>CN(Cc1ccccn1)Cc1cccc(N(C)Cc2ncccc2-c2cccc(N(C)C)c2)n1 7.7284966 0.45454545454545453</t>
  </si>
  <si>
    <t>CCN(Cc1ccccn1)Cc1cc(N(C)c2ccc3nccc(CF)c3c2)ccn1 7.7284274 0.38181818181818183</t>
  </si>
  <si>
    <t>Cc1cccc(CN(C)C2C=CNC(CN(C)c3ccc4ncccc4c3)=C2)n1 7.7284136 0.3709677419354839</t>
  </si>
  <si>
    <t>Cc1cnc(-c2cccc(NC3CCC(N(C)c4ccc5ncccc5c4)CC3)c2)cc1-c1cccc(NCc2ccccn2)c1 7.728406 0.30864197530864196</t>
  </si>
  <si>
    <t>CNc1cccc(C2=CCC=CN2)n1 7.7284036 0.2830188679245283</t>
  </si>
  <si>
    <t>Cc1ccnc(CN(C)Cc2nc3ccccc3n2C)c1 7.7284 0.43137254901960786</t>
  </si>
  <si>
    <t>Cc1ccc2c(N(C)C3C=CNC(CN(C)Cc4ncccc4C)=C3)cccc2n1 7.7283964 0.30434782608695654</t>
  </si>
  <si>
    <t>Cc1cnc(CN(C)Cc2cccc(-c3cccc(N=Cc4ccccn4)c3)n2)c(C)c1C 7.728389 0.4426229508196721</t>
  </si>
  <si>
    <t>Cc1ccc(-c2ccc(NCc3ccccn3)cc2C)nc1 7.728385 0.3695652173913043</t>
  </si>
  <si>
    <t>Cc1cccnc1CN(C)c1ccc2ccc(CN(C)Cc3ccccn3)nc2c1 7.7283835 0.47058823529411764</t>
  </si>
  <si>
    <t>Cc1cccc(CN(C)C2C=CNC(CN(C)c3ccc4cccnc4c3)=C2)n1 7.7283826 0.36507936507936506</t>
  </si>
  <si>
    <t>Cc1ccc(CN(Cc2ccccn2)C2=C(CN(C)c3cccc4ccc(CN(C)C)nc34)NC=CC2)nc1 7.728382 0.3188405797101449</t>
  </si>
  <si>
    <t>CN(C)Cc1ccnc2cccc(N(C)C3CCC(N(C)c4cccc5cccnc45)CC3)c12 7.7283745 0.5</t>
  </si>
  <si>
    <t>CCN(Cc1ccccn1)Cc1ncccc1N(C)c1cccc2ncccc12 7.728368 0.4222222222222222</t>
  </si>
  <si>
    <t>CN(Cc1ccccn1)c1ccc(-c2ccccc2)nc1 7.7283587 0.4883720930232558</t>
  </si>
  <si>
    <t>CC(C)N(Cc1ccccn1)c1ccc(N(C)C2CCC(N(C)c3ccc4ccc(CF)nc4c3)CC2)c2cccnc12 7.7283506 0.3333333333333333</t>
  </si>
  <si>
    <t>Cc1cc(C)c(CN(C)CC2=CC(N(C)c3ccc4ncccc4c3)C=CN2)nc1C 7.728344 0.2898550724637681</t>
  </si>
  <si>
    <t>CNCc1cccc(-c2ccc(N(C)Cc3ccccn3)cc2C)n1 7.728325 0.4528301886792453</t>
  </si>
  <si>
    <t>CN(c1ccc2ncc3c(c2c1)CCC3)C1CCC(N(C)c2cccc3ncc4c(c23)CCC4)CC1 7.728323 0.3181818181818182</t>
  </si>
  <si>
    <t>CNc1c(Cl)ccc(C)c1N(C)Cc1cc(C)ccn1 7.7283173 0.38</t>
  </si>
  <si>
    <t>CN(Cc1ccccn1)C1=CNC(N(C)c2ccc(Cl)c(Cl)c2)=CC1 7.7283154 0.5</t>
  </si>
  <si>
    <t>C1=C(c2ccccc2)C(c2ccccc2)=C(c2ccc(-c3ccccc3)c(-c3ccccc3)c2NCc2ccccn2)C(NCc2ccccn2)C1 7.7283134 0.45161290322580644</t>
  </si>
  <si>
    <t>Cc1ccc(C)c(CN(C)c2ccc(C)c(N(C)Cc3ccccn3)c2C)n1 7.7283125 0.4791666666666667</t>
  </si>
  <si>
    <t>CNc1cncc(C)c1OC 7.7283034 0.28888888888888886</t>
  </si>
  <si>
    <t>Cc1cncc(CN(C)Cc2ncc(-c3cccc(N=Cc4ccccn4)c3)cc2C)c1 7.728303 0.35384615384615387</t>
  </si>
  <si>
    <t>Cc1cncc(CN(C)CC2=CC(N(C)c3cccc4nccc(C)c34)C=CN2)c1 7.728299 0.29577464788732394</t>
  </si>
  <si>
    <t>CNCc1cccc(CN(Cc2ncccc2C)c2ccc3ncccc3c2)n1 7.728297 0.3</t>
  </si>
  <si>
    <t>Cc1ncccc1CN(C)c1ccc2nc(CN(C)Cc3ncccc3N)ccc2c1 7.7282805 0.31666666666666665</t>
  </si>
  <si>
    <t>Cc1nc(CN(C)CCN(C)c2ccc3nccc(C)c3c2)c(C)c(C)c1C 7.728271 0.27586206896551724</t>
  </si>
  <si>
    <t>Cc1cc(C)c(CN(C)CCN(C)c2ccc3c(C)ccnc3c2)nc1C 7.7282667 0.2807017543859649</t>
  </si>
  <si>
    <t>CN(CC1=CC(N(C)Cc2cccnn2)C=CN1)c1ccc2ncccc2c1 7.728266 0.3448275862068966</t>
  </si>
  <si>
    <t>CNc1ccc(F)c(N(C)Cc2ccccn2)c1Cl 7.72826 0.5</t>
  </si>
  <si>
    <t>Cc1cncc(CN(C)Cc2cccnc2-c2cccc(N=Cc3ccccn3)c2)c1C(C)C 7.728254 0.34328358208955223</t>
  </si>
  <si>
    <t>Cc1ccc(CN(C)c2ccc3nc(CN(C)Cc4cccc(F)n4)ccc3c2)nc1 7.7282486 0.4791666666666667</t>
  </si>
  <si>
    <t>CN(C)Cc1ccnc2cc(N(C)C3CCCC(N(C)c4ccc5cccnc5c4)C3)ccc12 7.728242 0.31666666666666665</t>
  </si>
  <si>
    <t>CNCc1ncccc1-c1ccccc1N(C)C 7.7282395 0.3409090909090909</t>
  </si>
  <si>
    <t>CN(c1ccc2cccnc2c1)C1CCCC(N(C)c2cccc3ncccc23)C1 7.7282305 0.4</t>
  </si>
  <si>
    <t>CN(C)CCN(C)c1cccc2nccc(CF)c12 7.7282004 0.4</t>
  </si>
  <si>
    <t>Cc1cncc(C(C)(C)N(C)Cc2ccc3cc(N(C)C)ccc3n2)c1 7.728194 0.29411764705882354</t>
  </si>
  <si>
    <t>Cc1cnc(CN(C)Cc2cccc(-c3ccc(N=Cc4ccccn4)cc3)n2)c(C)c1 7.7281885 0.4262295081967213</t>
  </si>
  <si>
    <t>Cc1cnc(CN(C)Cc2ccc(-c3cccc(N=Cc4ccccn4)c3)nc2)c(C)c1 7.7281885 0.35384615384615387</t>
  </si>
  <si>
    <t>CN(c1ccc2c(CF)ccnc2c1)C1CCC(N(C)c2ccc3c(CF)ccnc3c2)CC1 7.728184 0.25862068965517243</t>
  </si>
  <si>
    <t>Cc1ccc(-c2ccccn2)nc1 7.7281733 0.38461538461538464</t>
  </si>
  <si>
    <t>Cc1ccc(CN(C)Cc2cc(-c3cccc(N=Cc4ccccn4)c3)ccn2)nc1C 7.728171 0.3770491803278688</t>
  </si>
  <si>
    <t>CCN(Cc1ccccn1)c1ccc2nc(C(C)(C)c3ccccn3)ccc2c1 7.728166 0.39622641509433965</t>
  </si>
  <si>
    <t>Cc1cnc(CN(C)CC2=CC(N(C)c3ccc4nc(C)ccc4c3)C=CN2)c(C)c1 7.728165 0.2898550724637681</t>
  </si>
  <si>
    <t>CN(c1ccc2cccnc2c1)C1CC2CCC1C2N(C)c1ccc2cccnc2c1 7.7281647 0.47058823529411764</t>
  </si>
  <si>
    <t>CC(C)N(Cc1cccnc1)c1ccc2ncccc2c1 7.728164 0.29411764705882354</t>
  </si>
  <si>
    <t>CN(Cc1ccccn1)Cc1cc(N(C)Cc2ccccn2)cc2cccnc12 7.728145 0.4791666666666667</t>
  </si>
  <si>
    <t>Cc1cc(C)c(CN(C)Cc2ccnc3cc(N(Cc4ccccn4)C(C)C)ccc23)nc1C 7.7281375 0.3442622950819672</t>
  </si>
  <si>
    <t>CN(Cc1cccnn1)C1CCCC(N(C)c2ccc3cc(-c4ccc5cccnc5c4)cnc3c2)C1 7.7281327 0.31746031746031744</t>
  </si>
  <si>
    <t>Cc1cnc(CN(C)Cc2ccc(-c3cccc(N(C)C)c3)nc2)c(C)c1C 7.7281275 0.26666666666666666</t>
  </si>
  <si>
    <t>CC1(C)COC(c2cccc(CN(Cc3ccccn3)Cc3cccc(-c4ccccc4N=Cc4ccccn4)n3)n2)=N1 7.7281256 0.4166666666666667</t>
  </si>
  <si>
    <t>CC(C)N(C)Cc1ccnc2cccc(N(C)C)c12 7.728124 0.3191489361702128</t>
  </si>
  <si>
    <t>CNCc1cc(-c2cccc(C)c2N(C)Cc2cc(C)ccn2)ccn1 7.7281194 0.2982456140350877</t>
  </si>
  <si>
    <t>CN(Cc1cccc(F)n1)Cc1nc2ccccc2n1C 7.728113 0.4583333333333333</t>
  </si>
  <si>
    <t>CN(C)c1cccc(C(C)(C)CN(Cc2ccccn2)c2ccc3ncccc3c2)c1 7.728111 0.3793103448275862</t>
  </si>
  <si>
    <t>Cc1cc(C)nc(CN(C)Cc2ccnc3c(C)cccc23)c1 7.7281075 0.3673469387755102</t>
  </si>
  <si>
    <t>CN(c1cccc2ncccc12)C1CCCC(N(C)c2cccc3nc(CF)ccc23)C1 7.7281046 0.43103448275862066</t>
  </si>
  <si>
    <t>CC1(C)COC(c2ncccc2CN(Cc2ccccn2)Cc2ccc(-c3cccc(N=Cc4ccccn4)c3)cn2)=N1 7.728104 0.30864197530864196</t>
  </si>
  <si>
    <t>CC1(C)COC(c2cccc(CN(Cc3ccccn3)Cc3ccc(-c4cccc(N=Cc5ccccn5)c4)cn3)n2)=N1 7.728098 0.39473684210526316</t>
  </si>
  <si>
    <t>Cc1c(C)c(N(C)Cc2ccccn2)c(C)c(N(Cc2ccccn2)C(C)(C)N(Cc2ccccn2)c2c(C)c(C)c(C)c(N(C)Cc3ccccn3)c2C)c1C 7.728097 0.4666666666666667</t>
  </si>
  <si>
    <t>CN(c1ccc2cccnc2c1)C1CCCC(N(C)c2ccc3c(CF)ccnc3c2)C1 7.7280955 0.31666666666666665</t>
  </si>
  <si>
    <t>CC1N=COC1c1ncccc1CN(C)Cc1cc(-c2cccc(N=Cc3ccccn3)c2)ccn1 7.7280717 0.2876712328767123</t>
  </si>
  <si>
    <t>Cc1cccc(CN(Cc2ccccn2)Cc2ccc3cccc(N(C)Cc4ncccc4C(C)(c4ccccn4)c4ccccn4)c3n2)n1 7.7280607 0.4032258064516129</t>
  </si>
  <si>
    <t>CN(c1ccc2ncccc2c1)C1CCCC(N(C)c2cccc3ncccc23)C1 7.72806 0.4074074074074074</t>
  </si>
  <si>
    <t>CN(Cc1ccccn1)Cc1ccc(N(C)Cc2ccc(-c3cccc(N(C)C)c3)cn2)cn1 7.728058 0.4423076923076923</t>
  </si>
  <si>
    <t>CC(C)c1cccc(CN(Cc2ccccn2)c2ccc3nc(CN(C)C)ccc3c2)n1 7.7280474 0.4528301886792453</t>
  </si>
  <si>
    <t>CN(c1ccc2c(CF)ccnc2c1)C1CCC(N(C)c2ccc3nccc(CF)c3c2)CC1 7.7280426 0.24193548387096775</t>
  </si>
  <si>
    <t>CCNCc1cccc(-c2cccc(N(C)Cc3ccccn3)c2-c2cccc(NCc3ccccn3)c2)n1 7.7280407 0.39344262295081966</t>
  </si>
  <si>
    <t>Cc1cc(CN(C)c2ccc3nc(CN(C)Cc4ccccn4)ccc3c2)cnc1C 7.72804 0.43636363636363634</t>
  </si>
  <si>
    <t>CN(c1ccc2cccnc2c1)C1CC2CCC1C2N(C)c1ccc2ncccc2c1 7.7280235 0.4444444444444444</t>
  </si>
  <si>
    <t>CN(c1ccc2ncccc2c1)C1CC2CCC1C2N(C)c1ccc2cccnc2c1 7.7280207 0.4444444444444444</t>
  </si>
  <si>
    <t>CNCc1cncc(-c2ccc(N(C)Cc3ccccn3)cc2C)c1 7.7280183 0.39285714285714285</t>
  </si>
  <si>
    <t>COC(=O)c1cccc(C(=O)Cc2ccc(C3=NC(=O)C(C)(C(=O)C(=O)C(=O)C(=O)C(=O)C(=O)C(=O)C(=O)C(C)C(=O)C(=O)C(=O)C(C)C(=O)C(=O)C(=O)C(C)C(=O)C(=O)C(=O)C(=O)C(C)C(C)C(C)C(C)C(=O)C(=O)C(=O)C=O)O3)c(C3=NC(=O)C(=O)O3)n2)n1 7.728016 0.15053763440860216</t>
  </si>
  <si>
    <t>CCCN(Cc1ccccn1)c1cc2ncccc2cc1-c1ncccc1CN(Cc1ccccn1)Cc1ncc(N)c(C)c1C 7.7279997 0.34285714285714286</t>
  </si>
  <si>
    <t>Cc1cc(CN(C)CC2=CC(N(C)c3ccc4nccc(C)c4c3)C=CN2)ccn1 7.7279935 0.3181818181818182</t>
  </si>
  <si>
    <t>COC(=O)c1ccc(CN(Cc2ccccn2)Cc2cc(-c3ccccc3N(C)C)ccn2)cn1 7.727985 0.35714285714285715</t>
  </si>
  <si>
    <t>Cc1cnc(CN(C)Cc2cccc(-c3ccc(N=Cc4ccccn4)cc3)n2)c(C)c1C 7.7279563 0.4576271186440678</t>
  </si>
  <si>
    <t>CN(c1ccc2ncccc2c1)C1CCCC(N(C)c2ccc3c(CF)ccnc3c2)C1 7.7279506 0.31666666666666665</t>
  </si>
  <si>
    <t>CCN(Cc1ccccn1)Cc1ccc2cccc(N(C)Cc3cccc(N(C)C)n3)c2n1 7.727949 0.4528301886792453</t>
  </si>
  <si>
    <t>Cc1cccc(N(C)C2CCCCC2N(C)c2ccc3nc(CN(C)C)ccc3c2)c1-c1cccc(-c2ccccc2)n1 7.72794 0.38235294117647056</t>
  </si>
  <si>
    <t>Cc1ccc2nccc(CN(C)Cc3ncc(C)c(C)c3C)c2c1 7.727933 0.32</t>
  </si>
  <si>
    <t>CN(Cc1ccccc1)c1ccc2nc(CF)ccc2c1 7.7279243 0.38095238095238093</t>
  </si>
  <si>
    <t>Cc1c(CN(C)Cc2ccccn2)nc(-c2ccc(N=Cc3ccccn3)cc2)c(C)c1C 7.7279215 0.39655172413793105</t>
  </si>
  <si>
    <t>CN(C)c1cccc(-c2cccc(CN(Cc3ccccn3)Cc3cccc(F)n3)n2)c1C1=CCC=CN1 7.727915 0.47619047619047616</t>
  </si>
  <si>
    <t>Cc1cccnc1CN(C)Cc1c(N(C)Cc2ccccn2)ccc2cccnc12 7.727913 0.4423076923076923</t>
  </si>
  <si>
    <t>CN(c1ccc2nccc(CF)c2c1)C1CCC(N(C)c2ccc3nccc(CF)c3c2)CC1 7.727905 0.2542372881355932</t>
  </si>
  <si>
    <t>CNc1ccc(C)c(N(C)Cc2cc(C)ccn2)c1Cl 7.7279043 0.35294117647058826</t>
  </si>
  <si>
    <t>CN(c1ccc2ncccc2c1)C1CC2CCC1C2N(C)c1ccc2ncccc2c1 7.72789 0.48</t>
  </si>
  <si>
    <t>CN(c1ccc2cccnc2c1)C1CCCC(N(C)c2ccc3nccc(CF)c3c2)C1 7.727884 0.3064516129032258</t>
  </si>
  <si>
    <t>Cc1cc(CN(C)Cc2ccnc3ccc(N(Cc4ccccn4)C(C)C)cc23)nc(C)c1C 7.7278786 0.359375</t>
  </si>
  <si>
    <t>Cc1ccc(N=Cc2ccccn2)c(C(C)(c2ccccn2)c2ccccn2)c1 7.727876 0.4791666666666667</t>
  </si>
  <si>
    <t>Cc1ccnc(C)c1N(C)C 7.7278705 0.24324324324324326</t>
  </si>
  <si>
    <t>CC(C)(CN(Cc1ccccn1)c1ccc2ncccc2c1)c1cccc(N=Cc2ccccn2)c1 7.7278643 0.3230769230769231</t>
  </si>
  <si>
    <t>CCNCC1=C(N(C)c2ccc3cccnc3c2)CC=CN1 7.727864 0.26229508196721313</t>
  </si>
  <si>
    <t>CCNCc1cccc(-c2cccc(-c3ccc(NCc4ccccn4)cc3C)n2)n1 7.72786 0.38</t>
  </si>
  <si>
    <t>Cc1ccnc2cc(N(CCN(C)C)Cc3ccccn3)ccc12 7.7278585 0.48936170212765956</t>
  </si>
  <si>
    <t>CN(c1cccc2ncccc12)C1CCC(N(C)c2cccc3ncccc23)CC1 7.727853 0.4318181818181818</t>
  </si>
  <si>
    <t>CC(C)N(Cc1ccccn1)Cc1ccc(N(C)c2cccc3ncccc23)cn1 7.727843 0.5</t>
  </si>
  <si>
    <t>CC(C(=O)C(=O)C(=O)C(=O)C(=O)C(=O)C(=O)C(=O)C(=O)C(=O)C(=O)C(=O)C(=O)C(=O)C(=O)C(=O)C(=O)C(=O)C(=O)C(=O)C(=O)C(=O)C(=O)C(=O)C(=O)C(=O)C(=O)C(=O)C=O)C(=O)C(=O)C(=O)C(=O)C(=O)C(=O)c1cccc(C2CCC2(C)C)n1 7.727831 0.20270270270270271</t>
  </si>
  <si>
    <t>CN(Cc1ccccn1)Cc1ncccc1N(C)Cc1ncccc1-c1ccc(N)cc1Cl 7.727823 0.49056603773584906</t>
  </si>
  <si>
    <t>Cc1cnc(CN(C)c2ccc3nc(CN(C)C(C)C)ccc3c2)c(C)c1C 7.727821 0.2962962962962963</t>
  </si>
  <si>
    <t>Cc1ccc(CN(Cc2ccccn2)c2ccccc2)nc1-c1cccc(N(C)C)c1 7.727819 0.4074074074074074</t>
  </si>
  <si>
    <t>CN(Cc1cccc(-c2cccc(N(C)C)c2)n1)Cc1cccc(C(C)(c2ccccn2)c2ccccn2)n1 7.727818 0.5</t>
  </si>
  <si>
    <t>CNCc1ncccc1-c1cccc(C)c1N(C)Cc1ccccn1 7.7278047 0.4117647058823529</t>
  </si>
  <si>
    <t>CCCN(CC1=CCC=C(N(C)Cc2ccccn2)N1)c1ccc2ncccc2c1C 7.7278037 0.34375</t>
  </si>
  <si>
    <t>CN(C)c1cccc(-c2ccc(CN(Cc3ccnc(C4=NC(C)(C)CO4)c3)Cc3ccccn3)nc2)c1 7.727802 0.34210526315789475</t>
  </si>
  <si>
    <t>CN(c1cccc2cccnc12)C1CCC(N(C)c2cccc3nccc(CF)c23)CC1 7.7278013 0.5</t>
  </si>
  <si>
    <t>CC(C)N(C)C1=CNC(CN(C)c2ccc3cccnc3c2)=CC1 7.7277946 0.3</t>
  </si>
  <si>
    <t>C=Nc1ccc(-c2ccnc(CN(C)C)c2)cc1 7.7277784 0.30434782608695654</t>
  </si>
  <si>
    <t>CN(c1ccc2c(CF)ccnc2c1)C1CCCC(N(C)c2cccc3nc4c(cc23)CCC4)C1 7.727772 0.36619718309859156</t>
  </si>
  <si>
    <t>Cc1cc(N(Cc2ccccn2)C2CCCC(N(C)c3ccc4nccc(CN(C)C)c4c3)C2)c2cccnc2c1 7.727767 0.32857142857142857</t>
  </si>
  <si>
    <t>Cc1ccnc(CN(C)Cc2ccnc3cccc(C)c23)c1C 7.7277584 0.3137254901960784</t>
  </si>
  <si>
    <t>CN(c1ccc2ncccc2c1)C1CCCC(N(C)c2ccc3nccc(CF)c3c2)C1 7.727755 0.31666666666666665</t>
  </si>
  <si>
    <t>CN(c1ccc2ncc3c(c2c1)CCC3)C1CCC(N(C)c2cccc3c4c(cnc23)CCC4)CC1 7.727753 0.359375</t>
  </si>
  <si>
    <t>CN(Cc1cc(-c2ccc3cccnc3c2)ccn1)C1CCC(N(C)c2ccc3c(CF)ccnc3c2)CC1 7.727741 0.29411764705882354</t>
  </si>
  <si>
    <t>CN(C)CCN(C)c1cccc2c(CF)ccnc12 7.727734 0.5</t>
  </si>
  <si>
    <t>CN(c1ccc2c3c(cnc2c1)CCC3)C1CCCCC1N(C)c1cccc2c3c(cnc12)CCC3 7.7277274 0.4745762711864407</t>
  </si>
  <si>
    <t>CNc1ccnc(CNCc2ncc(C)c(C)c2C)c1-c1ccc(C)cn1 7.7277255 0.2641509433962264</t>
  </si>
  <si>
    <t>C1=CNC(NCc2cccc(-c3cccc(C(c4ccccn4)c4ccccn4)n3)n2)C=C1 7.727724 0.36666666666666664</t>
  </si>
  <si>
    <t>C1=CNC(NCc2ccc(-c3ccc(C(c4ccccn4)c4ccccn4)cn3)cn2)C=C1 7.7277236 0.31343283582089554</t>
  </si>
  <si>
    <t>Cc1cccnc1CN(C)C1C=CNC(CN(C)c2ccc3ncccc3c2)=C1 7.7277203 0.265625</t>
  </si>
  <si>
    <t>CC1COC(c2cccc(CN(Cc3ccccn3)Cc3cccc(-c4cccc(N=Cc5ccccn5)c4)n3)n2)=N1 7.727719 0.463768115942029</t>
  </si>
  <si>
    <t>CN(C)CCN(C)c1ccc2nccc(CF)c2c1 7.727717 0.2857142857142857</t>
  </si>
  <si>
    <t>Cc1cccnc1CN(C)C1C=CNC(CN(C)c2ccc3cccnc3c2)=C1 7.727716 0.26153846153846155</t>
  </si>
  <si>
    <t>Cc1cc(C)c(CN(C)Cc2cc(-c3cccc(N=Cc4ccccn4)c3)ccn2)cn1 7.7277155 0.36507936507936506</t>
  </si>
  <si>
    <t>CN(c1ccc2c(CF)ccnc2c1)C1CCC(N(C)c2cccc3nccc(CF)c23)CC1 7.727714 0.2923076923076923</t>
  </si>
  <si>
    <t>CN(C)c1ccccc1-c1ccnc(CN(Cc2ccccn2)c2ccccc2F)c1 7.72771 0.4117647058823529</t>
  </si>
  <si>
    <t>Cc1cnc(C)c(CN(C)Cc2cc(-c3cccc(N=Cc4ccccn4)c3)ccn2)c1 7.7277026 0.34375</t>
  </si>
  <si>
    <t>CN(C)CC1=CCC(N(C)Cc2ccc3ncccc3c2)=CN1 7.7277026 0.2857142857142857</t>
  </si>
  <si>
    <t>Cc1cnc(CN(CC2=C(N(C)C(C)C)CC=CN2)c2ccc3cccnc3c2)c(C)c1 7.7276998 0.25</t>
  </si>
  <si>
    <t>CCN(Cc1ccccn1)c1ccc2cccnc2c1-c1cc(CN(Cc2ccccn2)Cc2ccc(F)cn2)ccn1 7.727694 0.36923076923076925</t>
  </si>
  <si>
    <t>CN(c1cccc2c3c(cnc12)CCC3)C1CCC(N(C)c2cccc3c4c(cnc23)CCC4)CC1 7.727683 0.4074074074074074</t>
  </si>
  <si>
    <t>Cc1cccc(-c2cccnc2C)c1NCc1ccccn1 7.7276697 0.4230769230769231</t>
  </si>
  <si>
    <t>CN(CCNc1ccc2ncccc2c1)Cc1ccc2ncccc2c1 7.727665 0.38</t>
  </si>
  <si>
    <t>Cc1cc(-c2ccccc2)c(-c2c(C)cc(C)c(CNCc3ccccn3)c2NCc2ccccn2)cc1NCc1ccccn1 7.727662 0.4666666666666667</t>
  </si>
  <si>
    <t>Cc1cnccc1CN(C)c1ccccc1-c1cccc(N(C)C(C)C)c1C 7.727647 0.2962962962962963</t>
  </si>
  <si>
    <t>CN(c1cccc2nccc(CF)c12)C1CCC(N(C)c2cccc3nccc(CF)c23)CC1 7.7276382 0.34545454545454546</t>
  </si>
  <si>
    <t>Cc1ccc2nccc(CN(C)Cc3nc(C)cc(C)c3C)c2c1 7.727637 0.26785714285714285</t>
  </si>
  <si>
    <t>Cc1ccc(CN(C)CC2=CC(N(C)c3ccc4c(C)ccnc4c3)C=CN2)cn1 7.7276125 0.2898550724637681</t>
  </si>
  <si>
    <t>FCN(Cc1ccccn1)c1cccc2cccnc12 7.7276025 0.47619047619047616</t>
  </si>
  <si>
    <t>CN(c1ccc2c(CF)ccnc2c1)C1CCC(N(C)c2cccc3c(CF)ccnc23)CC1 7.7276015 0.3389830508474576</t>
  </si>
  <si>
    <t>CC1=CC(C)(C)CC2(C=CC3(C=CC(C)C(C)(C)C3)CC2c2nc(C)ccc2CN(Cc2cc(-c3cc(N(C)c4ccc5nc(-c6ccc(N(C)C)cc6)ccc5c4)c4ncccc4c3)ccn2)Cc2cc(C(C)(c3ccccn3)C(C)C)ccn2)C1 7.727599 0.18699186991869918</t>
  </si>
  <si>
    <t>Cc1cnc(C)c(CN(C)Cc2cc(-c3ccc(N=Cc4ccccn4)cc3)ccn2)c1 7.727595 0.328125</t>
  </si>
  <si>
    <t>CC(C)N(Cc1ccc2ccc3cccnc3c2n1)C1CCC(N(C)c2ccc3cc(CF)cnc3c2)CC1 7.727578 0.3380281690140845</t>
  </si>
  <si>
    <t>CN(C)CCN(C)c1ccc2nc3c(cc2c1)CCC3 7.7275767 0.37037037037037035</t>
  </si>
  <si>
    <t>CN(c1ccc2c3c(cnc2c1)CCC3)C1CCC(N(C)c2cccc3c4c(cnc23)CCC4)CC1 7.727573 0.359375</t>
  </si>
  <si>
    <t>CC(C)C(C)N(C)Cc1cccc(-c2cccc(N(C)c3ccc4ncccc4c3)c2)n1 7.7275705 0.390625</t>
  </si>
  <si>
    <t>C=Nc1cccc(-c2cccc(CN(C)Cc3cccc(-c4cccc(C)c4)n3)n2)c1 7.7275677 0.42</t>
  </si>
  <si>
    <t>C1=CC(c2cc(-c3ccccc3NCc3ccccn3)ccn2)C=CN1 7.7275667 0.36666666666666664</t>
  </si>
  <si>
    <t>CC(C)N(Cc1ccc2ccc3cccnc3c2n1)C1CCC(N(C)c2ccc3ccc(CF)nc3c2)CC1 7.727562 0.4</t>
  </si>
  <si>
    <t>Cc1ccnc2ccc(N(C)C3C=CNC(CN(C)Cc4ccccn4)=C3)cc12 7.7275586 0.3492063492063492</t>
  </si>
  <si>
    <t>CC1N=COC1c1ncccc1CN(C)Cc1cc(-c2ccccc2N=Cc2ccccn2)ccn1 7.727558 0.3382352941176471</t>
  </si>
  <si>
    <t>Cc1ccc2ccc(N(C)C3CCCC(N(C)c4ccc5ncccc5c4)C3)cc2n1 7.727555 0.3392857142857143</t>
  </si>
  <si>
    <t>CN(Cc1cccnn1)c1cccc(N(C)Cc2ccon2)c1 7.7275534 0.46511627906976744</t>
  </si>
  <si>
    <t>CNCc1ccc(-c2cccc(N(C)C)c2)cn1 7.727539 0.2765957446808511</t>
  </si>
  <si>
    <t>Cc1cncc(CN(C)CC2=C(N(C)c3ccc4cccnc4c3)CC=CN2)c1 7.727536 0.2463768115942029</t>
  </si>
  <si>
    <t>Cc1cccnc1-c1ccccc1N 7.7275243 0.32558139534883723</t>
  </si>
  <si>
    <t>CN(C)CCN(C)c1ccc2c(CF)ccnc2c1 7.727522 0.2916666666666667</t>
  </si>
  <si>
    <t>Cc1ccc(-c2ccccc2NCc2ccccn2)nc1CN(Cc1ccccn1)Cc1cc(-c2cccc(N=Cc3ccccn3)c2)ccn1 7.7275186 0.3333333333333333</t>
  </si>
  <si>
    <t>Cc1cccc(N)c1-c1cccnc1CN(C)C 7.7275133 0.3125</t>
  </si>
  <si>
    <t>Cc1cccc(CN(C)c2c(Cl)cc(Cl)cc2N(Cc2ccccn2)Cc2cccc(C(C)C)n2)n1 7.7275133 0.4642857142857143</t>
  </si>
  <si>
    <t>CN(Cc1ccccn1)Cc1cncc2cc(N(C)CCN(C)Cc3cccc4ncccc34)ccc12 7.7274947 0.3870967741935484</t>
  </si>
  <si>
    <t>CN(C)Cc1ccnc2ccc(N(C)C3CCCC(N(C)c4cccc5cc6c(nc45)CCC6)C3)cc12 7.7274947 0.5</t>
  </si>
  <si>
    <t>CN(CC1=C(N(C)c2ccc3cccnc3c2)CC=CN1)Cc1ccccn1 7.7274833 0.3898305084745763</t>
  </si>
  <si>
    <t>Cc1cncc(CN(C)c2ccc3nc(CN(C)C4C=CC=CN4)ccc3c2)c1C 7.7274714 0.24193548387096775</t>
  </si>
  <si>
    <t>CN(CC1=CCC(N(C)c2ccc3cccnc3c2)=CN1)Cc1ccccn1 7.7274685 0.39655172413793105</t>
  </si>
  <si>
    <t>CN(Cc1ccc([SiH3])cn1)Cc1nc2ccccc2n1C 7.727466 0.43137254901960786</t>
  </si>
  <si>
    <t>CN(c1ccc2nccc(CF)c2c1)C1CCC(N(C)c2cccc3c(CF)ccnc23)CC1 7.727466 0.3333333333333333</t>
  </si>
  <si>
    <t>c1ccc(CN(Cc2cccnc2)c2ccc3ncccc3c2)nc1 7.7274613 0.39215686274509803</t>
  </si>
  <si>
    <t>CN(CC1=CCC(N(C)C2CCCC(N(C)c3cccc4ncccc34)C2)=CN1)c1cccc2ncccc12 7.7274365 0.36507936507936506</t>
  </si>
  <si>
    <t>CN(C)CCN(C)c1cccc2ncc(CN(C)C)cc12 7.727434 0.4</t>
  </si>
  <si>
    <t>C1=CNC=C(c2ncccc2C(c2ccccn2)c2ccccn2)C1 7.7274275 0.26785714285714285</t>
  </si>
  <si>
    <t>Cc1cnc(CN(C)Cc2cc(-c3cccc(N(C)C)c3)ccn2)c(C)c1C 7.7274194 0.3392857142857143</t>
  </si>
  <si>
    <t>Cc1ccc(CN(Cc2ccccn2)C2=C(CN(C)c3ccc4nc(CF)ccc4c3)NC=CC2)nc1C 7.7274184 0.34285714285714286</t>
  </si>
  <si>
    <t>Cc1cccnc1-c1cccc(NCc2ccc(C(C)(C)c3ccccn3)cn2)c1 7.7274113 0.29411764705882354</t>
  </si>
  <si>
    <t>Cc1ccc2c(CN(C)Cc3cc(C)c(C)c(C)n3)ccnc2c1 7.7274055 0.32</t>
  </si>
  <si>
    <t>Cc1ccnc(CN(C)Cc2cc(-c3ccccc3N=Cc3ccccn3)ccn2)c1C 7.7273993 0.423728813559322</t>
  </si>
  <si>
    <t>CNCc1nccc2cc(N(C)C3=C(CN(C)Cc4nc(C)c(C)c(C)c4C)NC=CC3)ccc12 7.7273955 0.1875</t>
  </si>
  <si>
    <t>Cc1ccc(CN(C)Cc2ccc3cc(N(C)Cc4ncccc4C)ccc3n2)nc1 7.727387 0.46</t>
  </si>
  <si>
    <t>CNCC1=CCC(N(C)c2ccc3nc(CF)ccc3c2)=CN1 7.7273836 0.296875</t>
  </si>
  <si>
    <t>Cc1ccc(N(Cc2ccccn2)Cc2ncc(N(C)C)c(C)c2C)cc1C 7.727383 0.39622641509433965</t>
  </si>
  <si>
    <t>Cc1cc(-c2ncccc2C)ccc1NCc1ccccn1 7.727382 0.3953488372093023</t>
  </si>
  <si>
    <t>CC(C)N(Cc1ccccn1)c1c(-c2ncccc2CN(Cc2ccccn2)Cc2ccccn2)ccc2ncccc12 7.7273717 0.4166666666666667</t>
  </si>
  <si>
    <t>CN(C)Cc1cncc(-c2cccc(N)c2Cl)c1 7.7273674 0.24528301886792453</t>
  </si>
  <si>
    <t>CN(Cc1ccccn1)Cc1cc(N(C)Cc2ccccn2)cc2ncccc12 7.7273664 0.4782608695652174</t>
  </si>
  <si>
    <t>Cc1cc2cccnc2cc1CN(C)Cc1cccc(C(C)(c2ccccn2)c2ccccn2)n1 7.7273655 0.41818181818181815</t>
  </si>
  <si>
    <t>CN(CCNc1ccc2cccnc2c1)Cc1ccc2ncccc2c1 7.727363 0.3584905660377358</t>
  </si>
  <si>
    <t>CN(CC1=CCC(N(C)c2ccc3ncccc3c2)=CN1)Cc1ccccn1 7.727361 0.39655172413793105</t>
  </si>
  <si>
    <t>CN(CC1=C(N(C)c2ccc3ncccc3c2)CC=CN1)Cc1ccccn1 7.727353 0.3898305084745763</t>
  </si>
  <si>
    <t>CC1=C(C)C(N(C)c2cc(Cl)c3ncccc3c2N(C)Cc2ccccn2)CCC1C 7.72735 0.5</t>
  </si>
  <si>
    <t>CN(C)c1ccccc1-c1cccnc1CN(Cc1ccccn1)c1ccccc1F 7.7273498 0.39215686274509803</t>
  </si>
  <si>
    <t>Cc1cc(CN(C)C2C=CNC(CN(C)c3ccc4cccnc4c3)=C2)nc(C)c1C 7.727349 0.2608695652173913</t>
  </si>
  <si>
    <t>CN(CCN(C)c1cccc2ccnc(CN(Cc3ccccn3)CC(C)(C)C)c12)c1ccc2ncccc2c1 7.7273326 0.45</t>
  </si>
  <si>
    <t>Cc1cccc(CN(C)c2ccccc2-c2ccc(CN(C)C)nc2)n1 7.7273297 0.425531914893617</t>
  </si>
  <si>
    <t>CNc1ccc(-c2cccc(C(C)(C)C)n2)nc1 7.7273293 0.35294117647058826</t>
  </si>
  <si>
    <t>Cc1cnc2c(N(C)C3CCCCC3N(C)c3cccc4cc(CF)cnc34)cccc2c1C 7.727325 0.5</t>
  </si>
  <si>
    <t>Cc1cccc(CN(C)c2cccc(-c3cccc(CN(C)C)n3)c2)n1 7.7273 0.46511627906976744</t>
  </si>
  <si>
    <t>c1ccc(CN(Cc2cccnc2)c2ccc3cccnc3c2)nc1 7.7272954 0.46938775510204084</t>
  </si>
  <si>
    <t>CC(C)N(Cc1ccccn1)c1ccc2nccc(C(C)(C)C)c2c1 7.7272954 0.42</t>
  </si>
  <si>
    <t>Cc1cncc(CN(C)Cc2cnc3c(N(C)Cc4ncccc4C)cccc3c2)c1 7.727294 0.4</t>
  </si>
  <si>
    <t>C=Nc1cccc(-c2cccc(CN(C)Cc3cccc(-c4ccc(C)cc4)n3)n2)c1 7.7272787 0.4117647058823529</t>
  </si>
  <si>
    <t>CN(c1ccc2c(CF)ccnc2c1)C1CCCC(N(C)c2ccc3c(CF)ccnc3c2)C1 7.727274 0.26666666666666666</t>
  </si>
  <si>
    <t>CC(C)N(C)c1ccc2nc(C(C)(C)C)ccc2c1 7.727272 0.22</t>
  </si>
  <si>
    <t>CC(C)N(C)c1cc(Cl)c(C(C)(C)C)c(-c2ccccn2)c1 7.7272687 0.3269230769230769</t>
  </si>
  <si>
    <t>Cc1ccnc(CN(C)Cc2nc(-c3cccc(N(C)C)c3)c(C)cc2C)c1 7.727262 0.3275862068965517</t>
  </si>
  <si>
    <t>Cc1cc(N(C)Cc2nc(C)c(C)c(C)c2C)c(C)c(C)c1C 7.7272573 0.2553191489361702</t>
  </si>
  <si>
    <t>Cc1ccnc2cccc(N(C)C3CCCCC3N(C)c3cccc4cc(CF)cnc34)c12 7.727251 0.49122807017543857</t>
  </si>
  <si>
    <t>Cc1cc2cccnc2cc1-c1ncccc1CN(C)C1CCCCC1N(C)c1ccc2ncccc2c1 7.7272406 0.39344262295081966</t>
  </si>
  <si>
    <t>CCN(Cc1ccccn1)c1ccc2cccnc2c1-c1cccc(CN(Cc2ccccn2)Cc2ncccc2N)n1 7.727239 0.39705882352941174</t>
  </si>
  <si>
    <t>Cc1ccnc2cccc(N(CCN(C)C)Cc3ccccn3)c12 7.727234 0.5</t>
  </si>
  <si>
    <t>Cc1cnc(CN(C)c2cc(Cl)cc(C(C)C)c2N(C)Cc2ccccn2)c(C)c1 7.727227 0.4727272727272727</t>
  </si>
  <si>
    <t>CCN(Cc1ccccn1)c1ccc2nccc(C(C)(C)C)c2c1 7.7272243 0.38461538461538464</t>
  </si>
  <si>
    <t>Cc1cccnc1CN(C)Cc1ccc2cc(N(C)Cc3ncccc3C)ccc2n1 7.727224 0.3584905660377358</t>
  </si>
  <si>
    <t>CN(CC1=C(N(C)C(c2ccccn2)c2ccccn2)CC=CN1)c1cc(Cl)ccc1Cl 7.727221 0.36666666666666664</t>
  </si>
  <si>
    <t>Cc1cnc(CN(c2ccc3cc4c(nc3c2)CCC4)C2CC(N(C)c3cccc4nc5c(cc34)CCC5)CCC2N(c2ccc3nc4c(cc3c2)CCC4)C2CCC(N(C)c3ccc4nc5c(cc4c3)CCC5)CC2)c(C)c1C 7.7272086 0.3146067415730337</t>
  </si>
  <si>
    <t>CNCc1ccc2cccc(N(Cc3cccnn3)C3C=CC=CN3)c2n1 7.727206 0.31666666666666665</t>
  </si>
  <si>
    <t>CN(CCN(C)c1ccccc1-c1ccc2cccnc2c1)Cc1ccccn1 7.7271996 0.4339622641509434</t>
  </si>
  <si>
    <t>CN(CCN(Cc1ccccn1)Cc1cccc2cccnc12)c1ccc2ncccc2c1 7.727185 0.4807692307692308</t>
  </si>
  <si>
    <t>CCN(Cc1ccccn1)c1ccc(-c2cc(C)c(C)c(C)n2)c(-c2cc(CN(Cc3ccccn3)Cc3cc(C)ccn3)ccn2)c1 7.7271795 0.3333333333333333</t>
  </si>
  <si>
    <t>Cc1cccnc1CN(C)Cc1nc2ccccc2n1C 7.727178 0.44</t>
  </si>
  <si>
    <t>CN(CCN(Cc1cccnc1)c1ccc2ncccc2c1)Cc1ccc2ncccc2c1 7.7271476 0.37037037037037035</t>
  </si>
  <si>
    <t>Cc1ccc(-c2ccc(CN(Cc3ccccn3)Cc3ncccc3-c3cccc(N=Cc4ccccn4)c3)cc2)nc1 7.7271338 0.3333333333333333</t>
  </si>
  <si>
    <t>CC(C)N(Cc1ccccn1)Cc1cc(N(C)c2cccc3ncccc23)ccn1 7.7271295 0.48</t>
  </si>
  <si>
    <t>CN(c1ccc2c(CF)ccnc2c1)C1CCCC(N(C)c2ccc3nccc(CF)c3c2)C1 7.7271256 0.25</t>
  </si>
  <si>
    <t>CC(C)Nc1cc(-c2cc(C(C)(C)c3ccccn3)ccn2)ccn1 7.7271185 0.31666666666666665</t>
  </si>
  <si>
    <t>Cc1c(-c2ccccc2N=Cc2ccccn2)cnc(CN(C)Cc2ccccn2)c1C 7.7271094 0.42857142857142855</t>
  </si>
  <si>
    <t>COC(=O)c1ncccc1-c1ncccc1C(C)NCc1ccccn1 7.7271094 0.3333333333333333</t>
  </si>
  <si>
    <t>C1=CC(Nc2cccc(C(c3ccccn3)c3ccccn3)n2)=CCN1 7.727107 0.25</t>
  </si>
  <si>
    <t>Cc1cncc(CN(C)c2ccc3nccc(CN(C)Cc4ccccn4)c3c2)c1 7.727103 0.36065573770491804</t>
  </si>
  <si>
    <t>CC(C)N(C)C1=CNC(CN(C)c2cccc3ncccc23)=CC1 7.727101 0.36363636363636365</t>
  </si>
  <si>
    <t>CN(C1=CNC(CN(C)C2C=CC=CN2)=CC1)c1ccc2cccnc2c1 7.727099 0.2857142857142857</t>
  </si>
  <si>
    <t>CNCN(Cc1ncccc1N)c1ccc2c(CF)ccnc2c1 7.727098 0.22580645161290322</t>
  </si>
  <si>
    <t>CCN(Cc1ccccn1)C1=CCC=C(CN(C)c2ccc3nc(CF)ccc3c2)N1 7.727078 0.359375</t>
  </si>
  <si>
    <t>CCN(Cc1ccccn1)c1ccc2ncccc2c1-c1cc(CN(Cc2ccccn2)Cc2cccc(F)n2)ccn1 7.7270455 0.38461538461538464</t>
  </si>
  <si>
    <t>Cc1ccc(N(C)Cc2ncccc2C)c(N(C)Cc2ncc(C)c(C)c2C)c1 7.727038 0.37254901960784315</t>
  </si>
  <si>
    <t>CCN(Cc1ccccn1)Cc1ccc2cccc(N(Cc3ccc4ncccc4c3)Cc3ccccn3)c2n1 7.727034 0.43859649122807015</t>
  </si>
  <si>
    <t>CCNCC1=C(N(C)c2ccc3ccc(C)nc3c2)CC=CN1 7.7270336 0.2033898305084746</t>
  </si>
  <si>
    <t>CC(C)(c1cccc(NCc2ccccn2)c1)c1cccc(-c2cccc(N=Cc3ccccn3)c2)n1 7.727032 0.32</t>
  </si>
  <si>
    <t>CN(CC1=CCC(N(C)c2cccc3cccnc23)=CN1)Cc1ccccn1 7.727028 0.42857142857142855</t>
  </si>
  <si>
    <t>Cc1c2c(nc3c(N(C)C4CCC(N(C)c5ccc6ncc7c(c6c5)CCC7)CC4)cccc13)CCC2 7.7270155 0.39705882352941174</t>
  </si>
  <si>
    <t>CC(C)c1cccc(CN(Cc2ccccn2)c2ccc3ncccc3c2)n1 7.727011 0.42857142857142855</t>
  </si>
  <si>
    <t>CC1=CC(c2cccc(N(C)C)c2)C(N(C)Cc2ccccn2)C=C1CN(C)Cc1ccc(-c2cc(C)cc3cccnc23)nc1 7.7269993 0.3037974683544304</t>
  </si>
  <si>
    <t>CN(c1ccc2nccc(CF)c2c1)C1CCCC(N(C)c2ccc3nccc(CF)c3c2)C1 7.7269826 0.26229508196721313</t>
  </si>
  <si>
    <t>C=Nc1ccccc1-c1cccc(CN(C)Cc2ccc(-c3cccc(C)c3)nc2)n1 7.7269816 0.3770491803278688</t>
  </si>
  <si>
    <t>c1ccc(CN(Cc2cccnc2)c2cccc3cccnc23)nc1 7.7269764 0.425531914893617</t>
  </si>
  <si>
    <t>CN(c1cccc2ncc3c(c12)CCC3)C1CCCC(N(C)c2cccc3ncc4c(c23)CCC4)C1 7.72697 0.3448275862068966</t>
  </si>
  <si>
    <t>CN(c1ccccc1F)c1cc(Cl)c(Cl)cc1N(Cc1ccccn1)Cc1cccc(F)n1 7.726968 0.5</t>
  </si>
  <si>
    <t>Cc1ccc(C2=NC(c3ccccn3)CO2)nc1 7.7269526 0.2641509433962264</t>
  </si>
  <si>
    <t>Cc1ccc2cccc(N(C)c3ccnc(CN(Cc4ccnc(C(C)(C)C)c4)Cc4ccccn4)c3)c2n1 7.7269354 0.359375</t>
  </si>
  <si>
    <t>Cc1cc(C)c(CN(C)CC2=CC(N(C)c3ccc4ncccc4c3)C=CN2)c(C)n1 7.7269263 0.2857142857142857</t>
  </si>
  <si>
    <t>CC(C)N(Cc1ccccn1)c1ccc2nccc(-c3ccc(CN(C)C4CCC(N(C)c5ccc6cccnc6c5)CC4)cn3)c2c1 7.7269115 0.3026315789473684</t>
  </si>
  <si>
    <t>Cc1cncc(CN(C)c2cc(C)cc3ncc(CN(C)Cc4ncccc4C)cc23)c1 7.726902 0.2698412698412698</t>
  </si>
  <si>
    <t>CN(C)CCN(C)c1ccc2cccnc2c1 7.7268996 0.43902439024390244</t>
  </si>
  <si>
    <t>CC(C)C(C)(c1cccnc1)N(Cc1ccccn1)Cc1ccc2ccc3cccnc3c2n1 7.726892 0.38596491228070173</t>
  </si>
  <si>
    <t>Cc1ccc(CN(C)c2cc(-c3ccc(CN(Cc4ccccn4)Cc4cc(C)c(C)c(C)n4)cn3)cc(N(C)Cc3ccccn3)c2C)nc1C 7.726878 0.38095238095238093</t>
  </si>
  <si>
    <t>CN(C)Cc1ccnc2cc(N(C)C3CCC(N(C)c4cccc5c6c(cnc45)CCC6)CC3)ccc12 7.7268753 0.3150684931506849</t>
  </si>
  <si>
    <t>Cc1c(C)c(C)c(-c2ccc(-c3cccc(N=Cc4ccccn4)c3)nc2CN(C)C(C)C(C)C)c(NCc2ccccn2)c1C 7.726864 0.3333333333333333</t>
  </si>
  <si>
    <t>CNCc1cccc(-c2cccc(N=Cc3ccccn3)c2)n1 7.7268596 0.39344262295081966</t>
  </si>
  <si>
    <t>Cc1cccnc1-c1c(C)cccc1NCc1ccccn1 7.7268553 0.4146341463414634</t>
  </si>
  <si>
    <t>CN(Cc1ccccn1)Cc1cc(N(C)Cc2ncccc2-c2cccc(N(C)C)c2)ccn1 7.726848 0.4107142857142857</t>
  </si>
  <si>
    <t>CN(C)CCN(C)c1ccc2ncccc2c1 7.7268467 0.45</t>
  </si>
  <si>
    <t>Cc1ccc2nccc(CN(C)Cc3cc(C)c(C)c(C)n3)c2c1 7.7268386 0.3137254901960784</t>
  </si>
  <si>
    <t>CN(CCN(C)c1cccc2ncccc12)c1cccc(F)c1 7.7268343 0.4666666666666667</t>
  </si>
  <si>
    <t>Cc1cccnc1CN(Cc1ccc2ncccc2c1)Cc1ccnc(-c2cccc(NCc3ccccn3)c2)c1C 7.7268267 0.3125</t>
  </si>
  <si>
    <t>CC(C)N(Cc1ccccn1)c1ccc2ncccc2c1 7.726821 0.4883720930232558</t>
  </si>
  <si>
    <t>Cc1c(N(Cc2ccccn2)C2CCCCC2N(C)c2ccc3nccc(CF)c3c2)cc2ncccc2c1C 7.726819 0.3880597014925373</t>
  </si>
  <si>
    <t>CCN(Cc1ccccn1)c1ccc2nc(C(C)(C)C)ccc2c1-c1cccc(CN(Cc2ccccn2)Cc2ncccc2C)n1 7.726815 0.36</t>
  </si>
  <si>
    <t>CC(C)C(C)(c1cccnc1)c1cccc(CN(Cc2ccccn2)Cc2ccc3ccc4cccnc4c3n2)n1 7.7268133 0.423728813559322</t>
  </si>
  <si>
    <t>CNCN(Cc1cccnn1)c1cccc2ncccc12 7.726804 0.4166666666666667</t>
  </si>
  <si>
    <t>CN(c1ccc2ncccc2c1)C1CC2CC1C(N(Cc1ccccn1)c1ccc3cccnc3c1)C2 7.726802 0.38333333333333336</t>
  </si>
  <si>
    <t>CN(C)Cc1nccc2c(N(C)C3CCCC(N(C)c4cccc5c(CF)ccnc45)C3)cccc12 7.726796 0.3387096774193548</t>
  </si>
  <si>
    <t>CCN(Cc1ccccn1)c1cccc2ncccc12 7.726793 0.4358974358974359</t>
  </si>
  <si>
    <t>CN(CC1=CC(N(C)C(c2ccccn2)c2ccccn2)C=CN1)c1ccc2nc(CF)ccc2c1 7.726781 0.2916666666666667</t>
  </si>
  <si>
    <t>Cc1ccc(CN(C)c2ccc(Cl)c(F)c2N(C)Cc2ncccc2C)nc1 7.726775 0.39622641509433965</t>
  </si>
  <si>
    <t>CNCc1ccc(-c2ccc(N(C)C)cc2)cn1 7.7267733 0.30952380952380953</t>
  </si>
  <si>
    <t>CC(C)N(C)Cc1ccc(N(C)c2ccc3cccnc3c2)cn1 7.726769 0.38461538461538464</t>
  </si>
  <si>
    <t>CNCc1cccc(-c2ccc(N(C)Cc3cccc(C)n3)c(C)c2)n1 7.726768 0.40816326530612246</t>
  </si>
  <si>
    <t>Cc1cnc(CN(C)Cc2ccnc3cccc(C)c23)c(C)c1C 7.726764 0.3018867924528302</t>
  </si>
  <si>
    <t>FCc1cc2c(N(Cc3ccccn3)Cc3ccccn3)cccc2cn1 7.726743 0.40476190476190477</t>
  </si>
  <si>
    <t>Cc1cc(CN(C)CC2=C(N(C)c3ccc4ncccc4c3)CC=CN2)ccn1 7.7267375 0.25757575757575757</t>
  </si>
  <si>
    <t>Cc1ccc2c(N(C)C3CCCC(N(C)c4cccc5nc(CN)ccc45)C3)cccc2n1 7.726731 0.3392857142857143</t>
  </si>
  <si>
    <t>CN(C)CCN(C)c1cccc2nc(CN(C)C)ccc12 7.726723 0.4186046511627907</t>
  </si>
  <si>
    <t>CN(c1ccc2nccc(CF)c2c1)C1CCCC(N(C)c2cccc3nccc(CF)c23)C1 7.726723 0.29411764705882354</t>
  </si>
  <si>
    <t>Cc1cnc(CN(C)Cc2cc(-c3cccc(N=Cc4ccccn4)c3)ccn2)c(C)c1 7.726719 0.36507936507936506</t>
  </si>
  <si>
    <t>Cc1cccnc1CN(C)CC1=CC(N(C)c2ccc3nccc(C)c3c2)C=CN1 7.726703 0.29411764705882354</t>
  </si>
  <si>
    <t>CC(C)C(C)N(C)Cc1ccc(-c2cccc(N(C)c3ccc4cccnc4c3)c2)cn1 7.7266965 0.32786885245901637</t>
  </si>
  <si>
    <t>Cc1cc(N(Cc2ccccn2)CC(C)C)cc2ncccc12 7.7266946 0.40816326530612246</t>
  </si>
  <si>
    <t>Cc1cc(N(C)Cc2ccccn2)c2c(CN(C)C3CCCC(N(C)c4ccc5c(C)ccnc5c4)C3)ccnc2c1 7.7266917 0.34285714285714286</t>
  </si>
  <si>
    <t>CC(C)C1=CC(N(C)c2ccc3ncccc3c2)C=CN1 7.726688 0.2711864406779661</t>
  </si>
  <si>
    <t>Cc1cnc(CN(C)Cc2ccnc3c(C)cccc23)c(C)c1C 7.726677 0.35294117647058826</t>
  </si>
  <si>
    <t>CN(CC1=C(N(C)c2ccc3cccnc3c2)CC=CN1)Cc1cccnn1 7.726661 0.38596491228070173</t>
  </si>
  <si>
    <t>Cc1cnc(CN(C)c2ccc3nc(CN(C)Cc4ccccn4)ccc3c2)c(C)c1 7.7266517 0.43636363636363634</t>
  </si>
  <si>
    <t>CNc1ccc2nccc(CN(C)Cc3ncccc3C)c2c1 7.726639 0.30357142857142855</t>
  </si>
  <si>
    <t>CN(CCN(C)c1ccc2nc(C3=CCC=CN3)ccc2c1)Cc1ccccn1 7.7266126 0.43548387096774194</t>
  </si>
  <si>
    <t>Cc1cncc(CN(C)CC2=CCC(N(C)c3cccc4cc(C)cnc34)=CN2)c1 7.7266026 0.265625</t>
  </si>
  <si>
    <t>CC(C)c1ccc(CN(Cc2ccccn2)c2cccc3cccnc23)cn1 7.7265925 0.40384615384615385</t>
  </si>
  <si>
    <t>Cc1cc(C)c(N(C)C)cc1C 7.726588 0.18421052631578946</t>
  </si>
  <si>
    <t>Cc1cc(C)c(CN(C)Cc2cc(-c3cccc(N=Cc4ccccn4)c3)ccn2)nc1C 7.726587 0.36507936507936506</t>
  </si>
  <si>
    <t>CCNCc1ncccc1CN(C)c1ccc2nccc(C)c2c1 7.726585 0.26666666666666666</t>
  </si>
  <si>
    <t>c1ccc(CN(Cc2ccccn2)c2ccc3ncccc3c2)nc1 7.7265844 0.4857142857142857</t>
  </si>
  <si>
    <t>CN(Cc1ccccn1)Cc1cccc(N(C)c2ccc3nc(CF)ccc3c2)n1 7.7265825 0.4807692307692308</t>
  </si>
  <si>
    <t>CN(C)Cc1ccc(-c2cc(N)ccc2Cl)nc1 7.726576 0.27450980392156865</t>
  </si>
  <si>
    <t>CCN(CC1=CCC(N(C)Cc2ccccn2)=CN1)c1ccc2cccnc2c1 7.726574 0.3770491803278688</t>
  </si>
  <si>
    <t>Cc1cccnc1CN(C)C1C=CNC(CN(C)c2cccc3ncccc23)=C1 7.7265444 0.3064516129032258</t>
  </si>
  <si>
    <t>Cc1cc(C)c(C)c(CN(C)Cc2ccnc3cccc(C)c23)n1 7.7265434 0.3148148148148148</t>
  </si>
  <si>
    <t>Cc1c(-c2cccnc2C(C)(C)c2cccc(NCc3ccccn3)c2)cccc1N(C)Cc1ccccn1 7.7265363 0.4</t>
  </si>
  <si>
    <t>Cc1cnc(CN(Cc2cccc(-c3cccc(NCc4ccccn4)c3)n2)Cc2cccc(-c3cccc(N(C)C)c3)n2)c(C)c1 7.726522 0.4492753623188406</t>
  </si>
  <si>
    <t>Cc1cncc(CN(C)c2cc(N(C)Cc3ccccn3)c3nc(CN(C)C(C)(C)c4cccnc4)ccc3c2)c1 7.7265096 0.34782608695652173</t>
  </si>
  <si>
    <t>CN(c1ccc2ncccc2c1)C12CCC(C1)C(N(Cc1ccccn1)c1cccc3cccnc13)C2 7.726498 0.38461538461538464</t>
  </si>
  <si>
    <t>CC(C)N(C)Cc1ccnc2ccc(N(C)C)cc12 7.726485 0.2653061224489796</t>
  </si>
  <si>
    <t>CCN(CC1=CCC(N(C)Cc2ccccn2)=CN1)c1cccc2cccnc12 7.7264786 0.4107142857142857</t>
  </si>
  <si>
    <t>CCN(Cc1ccccn1)c1ccc2cccnc2c1-c1cc(CN(Cc2ccccn2)Cc2ncccc2C)ccn1 7.726471 0.35384615384615387</t>
  </si>
  <si>
    <t>CNc1cc(C)c(N(C)Cc2cc(C)ccn2)c(Cl)c1 7.7264647 0.3877551020408163</t>
  </si>
  <si>
    <t>Cc1cncc(CN(C)CC2=CNC=C(N(C)c3cccc4cccnc34)C2)c1C 7.7264624 0.38333333333333336</t>
  </si>
  <si>
    <t>CNCc1cccc(CN(C)c2ccc3nc(CN(C)C)ccc3c2)n1 7.726454 0.3404255319148936</t>
  </si>
  <si>
    <t>Cc1ncccc1CN(C)c1ccc2nccc(CN(C)Cc3ccccn3)c2c1 7.7264524 0.38596491228070173</t>
  </si>
  <si>
    <t>Cc1cccc(CN(C)Cc2cc3ncccc3cc2N(C)Cc2ccccn2)n1 7.7264495 0.4716981132075472</t>
  </si>
  <si>
    <t>Cc1cccc(C2=NCC(c3ccccn3)O2)n1 7.726428 0.3076923076923077</t>
  </si>
  <si>
    <t>CN(C)c1ccccc1-c1ccnc(CN(Cc2ccccn2)c2cccc(CF)n2)c1 7.726427 0.38596491228070173</t>
  </si>
  <si>
    <t>CN(c1cccc2cccnc12)C1CCCC(N(C)c2cccc3nccc(CF)c23)C1 7.7264185 0.5</t>
  </si>
  <si>
    <t>CN(CCN(Cc1ccccn1)c1ccc2ncccc2c1)Cc1ccc2ncccc2c1 7.726414 0.4482758620689655</t>
  </si>
  <si>
    <t>CN(c1ccc2c3c(cnc2c1)CCC3)C1CCCC(N(C)c2cccc3ncc4c(c23)CCC4)C1 7.7264094 0.3088235294117647</t>
  </si>
  <si>
    <t>Cc1cc(C)c(CN(C)Cc2ccnc3c(C)cccc23)nc1C 7.7263956 0.37254901960784315</t>
  </si>
  <si>
    <t>Cc1cnc(CN(C)Cc2cnc3cc(N(C)Cc4ccccn4)ccc3c2)c(C)c1 7.7263927 0.3793103448275862</t>
  </si>
  <si>
    <t>Cc1ccc(N)cc1C(C)(C)N(C)C1=C(CN(C)c2ccc3cccnc3c2)NC=CC1 7.726391 0.2328767123287671</t>
  </si>
  <si>
    <t>Cc1cc(C)c(CN(C)Cc2ccnc3cccc(C)c23)nc1C 7.7263885 0.32075471698113206</t>
  </si>
  <si>
    <t>CN(c1cccc2ncccc12)C1CC2CCC1C2N(C)c1ccc2cccnc2c1 7.7263823 0.4482758620689655</t>
  </si>
  <si>
    <t>CC(C)NCc1cc(-c2cccnc2-c2cccc(NCc3cc(C(C)(C)C)ccn3)c2)ccn1 7.72638 0.2638888888888889</t>
  </si>
  <si>
    <t>Cc1cc(C)c(-c2cccc(NCc3ccccn3)c2)cn1 7.726374 0.4107142857142857</t>
  </si>
  <si>
    <t>CCN(Cc1ccccn1)c1ccc2ncccc2c1-c1cnc(CN(Cc2ccccn2)Cc2ncccc2C)c(C(C)(C)C)c1 7.726357 0.32786885245901637</t>
  </si>
  <si>
    <t>CCN(Cc1ccccn1)C1=CCC=C(CN(C)c2ccc3ccc(CF)nc3c2)N1 7.726355 0.36507936507936506</t>
  </si>
  <si>
    <t>CN(CC1C=C(NCc2ccccn2)C=CN1)c1ccc2ncccc2c1 7.726349 0.3384615384615385</t>
  </si>
  <si>
    <t>CN(c1ccc2ncccc2c1)C(C)(C)N=Cc1ccccn1 7.7263427 0.3584905660377358</t>
  </si>
  <si>
    <t>CCOC(=O)C(=O)C(=O)C(C)C(C)NC(=O)C(=O)C(=O)C(=O)C(=O)C(=O)C(=O)C(=O)C(=O)C(=O)C(=O)C(=O)C(=O)C(=O)C(=O)C(=O)C(=O)C(=O)C(=O)C(=O)C(=O)C(=O)C(=O)C(=O)C(=O)C(=O)C(=O)C(=O)C(=O)C(=O)C(=O)C=O 7.7263427 0.15151515151515152</t>
  </si>
  <si>
    <t>CN(c1ccc2ncccc2c1)C1CC2CCC1C2N(C)c1cccc2ncccc12 7.7263403 0.4909090909090909</t>
  </si>
  <si>
    <t>CN(CCCN(C)c1ccc2nccc(CF)c2c1)Cc1ccc2ncccc2c1 7.7263393 0.3389830508474576</t>
  </si>
  <si>
    <t>Cc1cc(C)c(CN(C)Cc2cc(-c3ccc(N=Cc4ccccn4)cc3)ccn2)nc1C 7.7263384 0.3492063492063492</t>
  </si>
  <si>
    <t>Fc1ccccc1N(Cc1ccccn1)Cc1cccc(-c2ccccc2N=Cc2ccccn2)n1 7.7263374 0.49056603773584906</t>
  </si>
  <si>
    <t>CC(C)N(Cc1ccccn1)c1ccc2nc(C(C)(C)c3ccccn3)ccc2c1 7.7263374 0.43137254901960786</t>
  </si>
  <si>
    <t>CNCc1cc(-c2cccc(N(C)C)c2)ccn1 7.7263246 0.2857142857142857</t>
  </si>
  <si>
    <t>CN(c1cccc2cccnc12)C12CCC(CC1)C2Nc1ccc2cccnc2c1 7.7263236 0.423728813559322</t>
  </si>
  <si>
    <t>Cc1ccc(CN(C)c2ccc(C3=CCC(N(C)Cc4ccccn4)=CN3)nc2)nc1 7.726319 0.3548387096774194</t>
  </si>
  <si>
    <t>Cc1cc(CN(C)c2ccc3cc(CN(C)C(C)C)cnc3c2)nc(C)c1C 7.7263064 0.22950819672131148</t>
  </si>
  <si>
    <t>Cc1ccc2ccc(N(CC3=CCC=C(N(C)C(C)C)N3)Cc3ccccn3)cc2n1 7.72629 0.359375</t>
  </si>
  <si>
    <t>CC(C)(c1ccccn1)c1ccnc2cccc(N(Cc3ccccc3)Cc3ccccn3)c12 7.7262735 0.3508771929824561</t>
  </si>
  <si>
    <t>CNCc1ccc2cccc(N(C)CC3=C(N(C)Cc4ccccn4)CC=CN3)c2n1 7.7262692 0.36507936507936506</t>
  </si>
  <si>
    <t>CC(C)C1=CCC(N(C)Cc2cccc(-c3cc(Cl)cc(Cl)c3)n2)=CN1 7.7262564 0.29508196721311475</t>
  </si>
  <si>
    <t>Cc1cccc(CN(C)Cc2ccc3cccc(N(C)Cc4ncccc4C)c3n2)n1 7.726255 0.4489795918367347</t>
  </si>
  <si>
    <t>CCN(Cc1ccccn1)c1cc(-c2ccccn2)ccc1N(C)Cc1ncccc1C 7.726246 0.41818181818181815</t>
  </si>
  <si>
    <t>Cc1cncc(CN(Cc2ccccn2)Cc2ccc(-c3cccc(N(C)C)c3)cn2)c1-c1ccccc1NCc1ccccn1 7.7262454 0.32051282051282054</t>
  </si>
  <si>
    <t>CC(=O)C(=O)C(=O)C(=O)C(=O)C(=O)C(=O)C(=O)C(=O)C(=O)C(=O)C(=O)C(=O)C(=O)C(=O)C(=O)C(=O)C(=O)C(=O)C(=O)C(=O)C(=O)C(=O)C(=O)C(=O)C(=O)C(=O)C(=O)C(=O)C(=O)C(=O)C(=O)C(=O)C(=O)CC(=O)c1cccc(C2CCC2(C)C)n1 7.72624 0.2112676056338028</t>
  </si>
  <si>
    <t>Cc1ccnc2ccc(N(C)CCN(Cc3ccc4ncccc4c3)CC(C)C)cc12 7.7262387 0.3</t>
  </si>
  <si>
    <t>CN(c1cccc2ncccc12)C1CC2CCC1C2N(C)c1ccc2ncccc2c1 7.7262278 0.45614035087719296</t>
  </si>
  <si>
    <t>CC(C)N(CC1=C(N(C)Cc2ccccn2)CC=CN1)c1ccc2cccnc2c1 7.7262273 0.3709677419354839</t>
  </si>
  <si>
    <t>CN(Cc1cc(-c2ccccc2N(C)C)ccn1)Cc1ccon1 7.726213 0.4772727272727273</t>
  </si>
  <si>
    <t>CN(C)CC1=CCC(N(C)Cc2cccc3ncccc23)=CN1 7.726212 0.32727272727272727</t>
  </si>
  <si>
    <t>CCN(Cc1ccccn1)c1ccc2cccnc2c1-c1ncccc1CN(Cc1ccccn1)Cc1cc(C(C)(C)c2ccccn2)ccn1 7.72621 0.3333333333333333</t>
  </si>
  <si>
    <t>FCc1cccc(N(Cc2ccccn2)Cc2cccc(-c3cccc(N=Cc4ccccn4)c3)n2)n1 7.7262087 0.42424242424242425</t>
  </si>
  <si>
    <t>CN(CCN(Cc1ccncc1)c1ccc2ncccc2c1)Cc1ccc2ncccc2c1 7.7261963 0.38461538461538464</t>
  </si>
  <si>
    <t>CN(Cc1ccccn1)Cc1ccc(N(C)c2ccc3nc(CF)ccc3c2)cn1 7.7261896 0.47058823529411764</t>
  </si>
  <si>
    <t>CN(CCN(Cc1ccccn1)c1ccc2cccnc2c1)Cc1ccc2ncccc2c1 7.7261853 0.4528301886792453</t>
  </si>
  <si>
    <t>CC(C)N(C)Cc1ccnc2cc(N(C)C)ccc12 7.7261844 0.2708333333333333</t>
  </si>
  <si>
    <t>Cc1nc(CN(C)C2C=CNC(CN(C)c3ccc4cccnc4c3)=C2)c(C)c(C)c1C 7.726178 0.25</t>
  </si>
  <si>
    <t>Cc1nc(CN(C)C2C=CNC(CN(C)c3ccc4ncccc4c3)=C2)c(C)c(C)c1C 7.726169 0.2537313432835821</t>
  </si>
  <si>
    <t>CNc1ccc2nc(CN(C)Cc3cc(C)c(C)c(C)n3)ccc2c1 7.7261677 0.32</t>
  </si>
  <si>
    <t>CC(C)N(C)Cc1ncccc1N(C)c1ccc2cccnc2c1 7.7261653 0.3333333333333333</t>
  </si>
  <si>
    <t>Cc1cnc(CN(C)Cc2ncccc2-c2ccc(N=Cc3ccccn3)cc2)c(C)c1C 7.7261596 0.36666666666666664</t>
  </si>
  <si>
    <t>Cc1ccc2ccc(N(C)C3CCC(N(C)c4ccc5nccc(CN(C)C)c5c4)CC3)cc2n1 7.7261543 0.25806451612903225</t>
  </si>
  <si>
    <t>CN(c1ccc2ncccc2c1)C1CC2CC1CC2N(C)c1ccc2ncccc2c1 7.72615 0.4782608695652174</t>
  </si>
  <si>
    <t>CNCc1cccc(-c2ccc(N=Cc3ccccn3)cc2)n1 7.7261453 0.39622641509433965</t>
  </si>
  <si>
    <t>FCc1nccc2cccc(N(Cc3ccccn3)Cc3ccccn3)c12 7.726143 0.4146341463414634</t>
  </si>
  <si>
    <t>Cc1cnc(CN(C)CC2=CC(N(C)c3ccc4c(C)ccnc4c3)C=CN2)cc1C 7.7261424 0.29411764705882354</t>
  </si>
  <si>
    <t>CN(Cc1cccnn1)C1=CNC=CC1CN(C)c1ccc2nccc(CF)c2c1 7.7261415 0.328125</t>
  </si>
  <si>
    <t>Cc1nc(CN(C)Cc2cc3cccc(C)c3cn2)c(C)c(C)c1C 7.72614 0.32</t>
  </si>
  <si>
    <t>CN(CC1=CCC(N(C)c2cccc3ncccc23)=CN1)Cc1ccccn1 7.7261395 0.41379310344827586</t>
  </si>
  <si>
    <t>CNCc1cc(-c2cc(C)c(C)cc2N(C)Cc2ccccn2)ccn1 7.726137 0.4897959183673469</t>
  </si>
  <si>
    <t>Cc1cc(CN(C)Cc2ccc(-c3cccc(N(C)C)c3)cn2)nc(C)c1C 7.7261333 0.35294117647058826</t>
  </si>
  <si>
    <t>Cc1ccc(-c2cccc(NCc3cccc(C(C)(c4ccccn4)c4ccccn4)n3)c2)nc1 7.7261333 0.4262295081967213</t>
  </si>
  <si>
    <t>CCN(Cc1ncccc1C)c1ccc2ncccc2c1 7.726124 0.29411764705882354</t>
  </si>
  <si>
    <t>CN(c1cccc2ncccc12)C1CCCC(N(C)c2cccc3ncccc23)C1 7.72612 0.43478260869565216</t>
  </si>
  <si>
    <t>CC(C)N(Cc1ccccn1)c1cccc2cccnc12 7.72611 0.5</t>
  </si>
  <si>
    <t>CCN(CC1=C(N(C)Cc2ncccc2C)CC=CN1)c1ccc2cccnc2c1 7.7261095 0.25</t>
  </si>
  <si>
    <t>Cc1ccccc1CN(C)CC1=C(N(C)c2ccc3nccc(C)c3c2)CC=CN1 7.7261066 0.2535211267605634</t>
  </si>
  <si>
    <t>CN(C)c1ccccc1-c1ccc(CF)c(NCc2ccccn2)n1 7.726105 0.35714285714285715</t>
  </si>
  <si>
    <t>Cc1cc(NCc2ccccn2)ccc1CNc1cccc2cccnc12 7.726104 0.36065573770491804</t>
  </si>
  <si>
    <t>CCNC1CCCCC1N(C)c1c(C)c2nc(C)c(C)c(C)c2c2nc(C)c(C)c(C)c12 7.726103 0.25862068965517243</t>
  </si>
  <si>
    <t>Cc1cnc(CNCN(C)c2ccc3cccnc3c2)c(C)c1 7.7260838 0.2857142857142857</t>
  </si>
  <si>
    <t>CN(Cc1cccc([SiH3])n1)Cc1nc2ccccc2n1C 7.726076 0.4583333333333333</t>
  </si>
  <si>
    <t>Cc1ccccc1N(CCN(C)c1ccc2c(C)ccnc2c1)C(C)C 7.726073 0.2909090909090909</t>
  </si>
  <si>
    <t>CC(C)c1ncccc1CN(Cc1ccccn1)c1ccc2ncccc2c1 7.7260675 0.4</t>
  </si>
  <si>
    <t>CNCc1cc(-c2ccc(C)c(N(C)Cc3cc(C)ccn3)c2)ccn1 7.7260656 0.33962264150943394</t>
  </si>
  <si>
    <t>CNc1cc(-c2cccc(CN(Cc3ccccn3)C3CCC(N(C)c4ccc5nccc(CF)c5c4)CC3)n2)cc2cccnc12 7.726064 0.33766233766233766</t>
  </si>
  <si>
    <t>CC(C)N(Cc1cccnc1)c1ccc2c(CF)ccnc2c1 7.726062 0.2413793103448276</t>
  </si>
  <si>
    <t>CC(C)N(Cc1ccc2ccc3cccnc3c2n1)C1CCC(N(C)c2ccc3cc4c(nc3c2)CCC4)CC1 7.72605 0.36619718309859156</t>
  </si>
  <si>
    <t>Cc1cc(C)c2cccc(N(C)C3CCCCC3N(C)c3ccc4nc(CN(C)C)ccc4c3)c2n1 7.7260423 0.45161290322580644</t>
  </si>
  <si>
    <t>Cc1cc(CN(C)CC2=CC(N(C)c3ccc4nccc(C)c4c3)C=CN2)cnc1C 7.726033 0.2898550724637681</t>
  </si>
  <si>
    <t>CCN(C)Cc1ccc2cccc(N(C)Cc3nc(C)c(C)c(C)c3C)c2n1 7.7260313 0.3793103448275862</t>
  </si>
  <si>
    <t>Cc1ccc(-c2ccc(CN(C)Cc3ccccn3)cc2)nc1CN(Cc1ccccn1)c1ccc2ncccc2c1 7.726022 0.39344262295081966</t>
  </si>
  <si>
    <t>Cc1cncc(CN(C)CC2=C(N(C)c3ccc4ncccc4c3)CC=CN2)c1C 7.726018 0.30303030303030304</t>
  </si>
  <si>
    <t>CC(C)N(C)Cc1cc(N(C)c2ccc3ncccc3c2)ccn1 7.7260175 0.34</t>
  </si>
  <si>
    <t>CC(C)C(C)N(Cc1ccccn1)c1ccc2nc(CN(Cc3ccccn3)c3ccc4nc(CF)ccc4c3)ccc2c1 7.7260103 0.4444444444444444</t>
  </si>
  <si>
    <t>CC(C)c1cc(CN(Cc2ccccn2)c2ccc3ncccc3c2)ccn1 7.7260017 0.37735849056603776</t>
  </si>
  <si>
    <t>CN(CCN(C)c1ccc2ccc(C3=CCC=CN3)nc2c1)Cc1ccccn1 7.7259994 0.42857142857142855</t>
  </si>
  <si>
    <t>Cc1cc(N)cc(-c2cc(CN(C)Cc3cc(N(C)C)ccn3)ccn2)c1 7.725985 0.3103448275862069</t>
  </si>
  <si>
    <t>CNCc1cccc(CN(C)C2=C(CN(C)c3ccc4ncccc4c3)NC=CC2)n1 7.725983 0.26865671641791045</t>
  </si>
  <si>
    <t>CN(Cc1ncccc1-c1ccc2ncccc2c1)C1CCCC(N(C)c2ccc3nccc(CF)c3c2)C1 7.725981 0.25675675675675674</t>
  </si>
  <si>
    <t>Cc1cccc(CN(C)CC2=C(N(C)c3ccc4cccnc4c3)CC=CN2)n1 7.725952 0.3793103448275862</t>
  </si>
  <si>
    <t>CNCCN(C)c1cccc2nc(C)ccc12 7.7259088 0.37777777777777777</t>
  </si>
  <si>
    <t>CN(c1cccc2c3c(cnc12)CCC3)C1CCCC(N(C)c2cccc3c4c(cnc23)CCC4)C1 7.725908 0.39285714285714285</t>
  </si>
  <si>
    <t>Cc1nc(CN(Cc2ccnc(-c3cc(Cl)c(Cl)c(N(C)Cc4ccccn4)c3)c2)Cc2ccccn2)c(C)c(C)c1C 7.725906 0.4426229508196721</t>
  </si>
  <si>
    <t>CN(C)Cc1ncccc1-c1cc(Cl)ccc1N 7.725902 0.32653061224489793</t>
  </si>
  <si>
    <t>Cc1ccc(CN(Cc2ccccn2)c2ccc(-c3cc(CN(Cc4ccccn4)Cc4ccc(-c5cccc(N(C)C)c5)cn4)ccn3)c(C(C)C)c2)nc1C 7.725902 0.34210526315789475</t>
  </si>
  <si>
    <t>CCN(Cc1ccccn1)Cc1cccc(N(C)c2ccc3nccc(C)c3c2)n1 7.7259016 0.3793103448275862</t>
  </si>
  <si>
    <t>Cc1cnc(C)c(CN(C)CC2=C(N(C)c3ccc4cccnc4c3)CC=CN2)c1 7.725901 0.2835820895522388</t>
  </si>
  <si>
    <t>Cc1cncc(CN(C)C2=CNC=CC2CN(C)c2ccc3cccnc3c2)c1 7.7258983 0.2463768115942029</t>
  </si>
  <si>
    <t>Cc1cccnc1CN(C)c1cc2cccnc2cc1-c1cccnc1CN(C)C(C)C(C)C 7.7258964 0.288135593220339</t>
  </si>
  <si>
    <t>Cc1cc(N(C)c2ccc3cccnc3c2)ccc1CN(C)Cc1ccccn1 7.7258945 0.4423076923076923</t>
  </si>
  <si>
    <t>c1ccc(CN(Cc2ccncc2)c2ccc3ncccc3c2)nc1 7.725892 0.40816326530612246</t>
  </si>
  <si>
    <t>Cc1cnccc1CN(C)c1ccc2nccc(CN(C)Cc3ccccn3)c2c1 7.7258883 0.3728813559322034</t>
  </si>
  <si>
    <t>CN(CCN(C)c1ccccc1F)c1ccc2cccnc2c1 7.725877 0.4666666666666667</t>
  </si>
  <si>
    <t>Cc1cccnc1CN(Cc1ccc(-c2cc3ncccc3cc2N(C)C)cn1)C1CCCCC1N(C)c1ccc2nc(CF)ccc2c1 7.725876 0.379746835443038</t>
  </si>
  <si>
    <t>CC(C)N(Cc1ccccn1)C1=CNC(CN(C)c2ccc3cccnc3c2)=CC1 7.7258744 0.3770491803278688</t>
  </si>
  <si>
    <t>CC(C)N(C)Cc1cc(N(C)c2ccc3cccnc3c2)ccn1 7.7258735 0.36538461538461536</t>
  </si>
  <si>
    <t>CCN(Cc1ccccn1)c1ccc2ncccc2c1-c1cc(CN(Cc2ccccn2)Cc2ncccc2N)ccn1 7.7258577 0.3389830508474576</t>
  </si>
  <si>
    <t>Cc1cncc(CN(C)c2ccc3nccc(CN(C)Cc4ncccc4C)c3c2)c1 7.7258563 0.26153846153846155</t>
  </si>
  <si>
    <t>CCN(Cc1cccnn1)c1ccc2ncccc2c1 7.725845 0.46511627906976744</t>
  </si>
  <si>
    <t>Cc1cc(NCc2ccccn2)cc(-c2ncccc2C)c1 7.7258406 0.38636363636363635</t>
  </si>
  <si>
    <t>CN(C)Cc1ccc(-c2cc(Cl)ccc2N)cn1 7.725818 0.32608695652173914</t>
  </si>
  <si>
    <t>CN(c1ccccc1-c1ccccn1)C1C=CC=CN1 7.725807 0.37735849056603776</t>
  </si>
  <si>
    <t>CC(C)N(CC1=CCC(N(C)Cc2ccccn2)=CN1)c1cccc2cccnc12 7.7258034 0.4107142857142857</t>
  </si>
  <si>
    <t>C=Nc1cccc(-c2cccc(CN(C)Cc3cccc(-c4ccccc4C)n3)n2)c1 7.7257934 0.41509433962264153</t>
  </si>
  <si>
    <t>CC(C)Nc1cccc(CN(Cc2ccccn2)c2ccc3ncccc3c2)n1 7.7257934 0.4074074074074074</t>
  </si>
  <si>
    <t>Cc1cc(C)c(CN(C)c2ccc3nc(CN(C)Cc4ccccn4)ccc3c2)nc1C 7.7257924 0.4444444444444444</t>
  </si>
  <si>
    <t>c1ccc(CN(Cc2cccnc2)c2cccc3ncccc23)nc1 7.725782 0.38636363636363635</t>
  </si>
  <si>
    <t>CN(C)CCN(C)c1cccc2nccc(CN(C)C)c12 7.725772 0.4090909090909091</t>
  </si>
  <si>
    <t>CNCc1ncccc1-c1ccc(N(C)C)cc1 7.725768 0.2765957446808511</t>
  </si>
  <si>
    <t>CN(CCN(C)c1ccc2cc(C3=CCC=CN3)cnc2c1)Cc1ccccn1 7.725768 0.421875</t>
  </si>
  <si>
    <t>CNCC1=C(N(C)c2ccc3ccc(CF)nc3c2)CC=CN1 7.7257586 0.2727272727272727</t>
  </si>
  <si>
    <t>CC(C)c1cc(CN(Cc2ccccn2)c2cccc3cccnc23)ccn1 7.725751 0.40384615384615385</t>
  </si>
  <si>
    <t>C1=CNC=C(CN(Cc2ccccn2)c2cccc3cccnc23)C1 7.7257495 0.3888888888888889</t>
  </si>
  <si>
    <t>CN(C)CCN(C)c1ccc2nccc(CN(C)C)c2c1 7.7257466 0.3191489361702128</t>
  </si>
  <si>
    <t>CCN(Cc1ccccn1)c1cc(-c2cc(CN(Cc3ccccn3)Cc3cc(C)ccn3)ccn2)cc2ncccc12 7.7257457 0.35714285714285715</t>
  </si>
  <si>
    <t>CNCc1ccc2cccc(N(C)CCN(C)Cc3ccc4ncccc4c3)c2n1 7.725734 0.46296296296296297</t>
  </si>
  <si>
    <t>Cc1cc(CN(C)Cc2ccnc3cccc(C)c23)nc(C)c1C 7.7257304 0.32727272727272727</t>
  </si>
  <si>
    <t>Cc1cc(CN(C)Cc2ccnc3c(C)cccc23)nc(C)c1C 7.7257247 0.36538461538461536</t>
  </si>
  <si>
    <t>CN(Cc1cc([SiH3])c([SiH3])cn1)Cc1nc2ccccc2n1C 7.725724 0.4230769230769231</t>
  </si>
  <si>
    <t>CN(C)c1ccc(Cl)c(-c2cccc(CN(Cc3ccccn3)Cc3cc(F)ccn3)n2)c1Cl 7.725722 0.45614035087719296</t>
  </si>
  <si>
    <t>CNCc1ncccc1-c1ccc(C)c(C)c1N(C)Cc1ccccn1 7.7257133 0.39622641509433965</t>
  </si>
  <si>
    <t>CC1=C(c2ccc(CN(C)c3ccc4ncccc4c3)cn2)CC(C)CC1C 7.7257113 0.25396825396825395</t>
  </si>
  <si>
    <t>CN(Cc1ccccn1)C1=CCC=C(CN(C)c2cc(Cl)cc(Cl)c2N(Cc2ccccn2)Cc2ccccn2)N1 7.7257113 0.4909090909090909</t>
  </si>
  <si>
    <t>CN(CCN(C)c1ccc2ncc(C3=CCC=CN3)cc2c1)Cc1ccccn1 7.7257032 0.4153846153846154</t>
  </si>
  <si>
    <t>CNCc1cc(-c2ccc(N(C)C)cc2)ccn1 7.7257013 0.2708333333333333</t>
  </si>
  <si>
    <t>CNCc1ncccc1CN(C)c1ccc2ncccc2c1 7.725701 0.35294117647058826</t>
  </si>
  <si>
    <t>Cc1cnc(CN(C)Cc2ccc3ccc(N(C)Cc4cc(C(C)(C)C)ccn4)cc3n2)c(C)c1 7.725694 0.3</t>
  </si>
  <si>
    <t>Cc1cnc2ccc(N(C)C3CCCC(N(C)c4ccc5c(CN(C)C)ccnc5c4)C3)cc2c1 7.7256827 0.28125</t>
  </si>
  <si>
    <t>Cc1ccnc2ccc(N(C)C3CCC(N(C)c4ccc5ncccc5c4)CC3)cc12 7.725682 0.3333333333333333</t>
  </si>
  <si>
    <t>CCOC(=O)c1cccc(-c2cc(C(=O)C(=O)C(C)NCc3ccccn3)ccn2)n1 7.725662 0.3472222222222222</t>
  </si>
  <si>
    <t>Fc1ccccc1N(Cc1ccccn1)Cc1ccc(-c2ccccc2N=Cc2ccccn2)cn1 7.7256474 0.5</t>
  </si>
  <si>
    <t>CN(Cc1ccccn1)C1=CCC(CN(Cc2ccccn2)c2ccc3ncccc3c2)=CN1 7.725637 0.3728813559322034</t>
  </si>
  <si>
    <t>CC(C)Nc1cccc(CN(Cc2ccccn2)c2ccc3cccnc3c2)n1 7.7256327 0.46153846153846156</t>
  </si>
  <si>
    <t>FCc1nccc2ccc(N(Cc3ccccn3)Cc3ccccn3)cc12 7.7256308 0.4146341463414634</t>
  </si>
  <si>
    <t>Cc1cnc2c(N(C)C3CCC(N(C)c4cccc5cc(CF)cnc45)CC3)cccc2c1C 7.725629 0.3709677419354839</t>
  </si>
  <si>
    <t>CC(C)N(CC1=CCC(N(C)Cc2ccccn2)=CN1)c1ccc2cccnc2c1 7.725627 0.3770491803278688</t>
  </si>
  <si>
    <t>CCN(Cc1cc(C(C)(C)c2ccccn2)ccn1)c1ccc2ncccc2c1 7.725618 0.31666666666666665</t>
  </si>
  <si>
    <t>CCc1ccccc1-c1ccc(C)cc1N=Cc1ccccn1 7.7256136 0.46938775510204084</t>
  </si>
  <si>
    <t>CC(C)(c1cccc(NCc2ccccn2)c1)c1ncccc1-c1cccc(N=Cc2ccccn2)c1 7.725609 0.3150684931506849</t>
  </si>
  <si>
    <t>CC(C)N(C)Cc1cnccc1N(C)c1cccc2ncccc12 7.7256045 0.32075471698113206</t>
  </si>
  <si>
    <t>CN(Cc1ccccn1)C1=C(CN(Cc2ccccn2)c2ccc3ncccc3c2)NC=CC1 7.7255983 0.3728813559322034</t>
  </si>
  <si>
    <t>Cc1ccnc(CN(C)C2=C(CN(c3ccc4ncccc4c3)C(C)C)NC=CC2)c1 7.725596 0.2647058823529412</t>
  </si>
  <si>
    <t>CC(C)c1cc(CN(Cc2ccccn2)c2ccc3nc(CN(C)Cc4ccc(-c5cccc(N)c5)cn4)ccc3c2)ccn1 7.7255883 0.35714285714285715</t>
  </si>
  <si>
    <t>Cc1cnc2cccc(N(C)C3CCCC(N(C)c4cccc5ncccc45)C3)c2c1 7.725576 0.37037037037037035</t>
  </si>
  <si>
    <t>Cc1cncc(CN(Cc2ccccn2)c2cccc3cccnc23)c1 7.725575 0.4117647058823529</t>
  </si>
  <si>
    <t>Cc1c(CN(C)Cc2ccccn2)cccc1N(C)c1ccc2cccnc2c1 7.725572 0.43636363636363634</t>
  </si>
  <si>
    <t>C1=CNCC(NCc2cccc(-c3cc(C(c4ccccn4)c4ccccn4)ccn3)n2)=C1 7.7255545 0.3125</t>
  </si>
  <si>
    <t>Cc1cncc(CN(Cc2ccccn2)c2ccc3ncccc3c2)c1 7.7255516 0.36363636363636365</t>
  </si>
  <si>
    <t>Cc1cncc(CN(C)c2ccc(-c3cccc(CN(Cc4ccccn4)Cc4ccc(-c5cccc(N(C)C)c5)cn4)n3)cc2)c1 7.725551 0.44285714285714284</t>
  </si>
  <si>
    <t>Cc1c(CN(C)Cc2ccccn2)cccc1N(C)c1ccc2ncccc2c1 7.725547 0.4444444444444444</t>
  </si>
  <si>
    <t>CNCc1ccc(-c2cccc(N=Cc3ccccn3)c2)cn1 7.7255344 0.38181818181818183</t>
  </si>
  <si>
    <t>CNCc1ccc2cc(N(C)C3C=CC=CN3)ccc2n1 7.725533 0.25806451612903225</t>
  </si>
  <si>
    <t>Cc1c(C)c(C)c(N(C)CN(C)c2ccc3nc(CN(C)C(C)C)ccc3c2)c(C)c1C 7.7255282 0.30612244897959184</t>
  </si>
  <si>
    <t>CC(C)C(C)N(C)Cc1ncccc1-c1cccc(N(C)c2ccc3ncccc3c2)c1 7.725513 0.2833333333333333</t>
  </si>
  <si>
    <t>Cc1ccccc1N(Cc1ccccn1)Cc1ncccc1-c1ccc(N(C)C)cc1 7.7255073 0.37037037037037035</t>
  </si>
  <si>
    <t>CNCc1nc(-c2cccc(Cl)c2Cl)ccc1C 7.725491 0.2037037037037037</t>
  </si>
  <si>
    <t>CN(Cc1ccc(-c2cccc(N(C)C)c2)cn1)Cc1ccon1 7.725487 0.4666666666666667</t>
  </si>
  <si>
    <t>c1ccc(CN(Cc2ccncc2)c2cccc3cccnc23)nc1 7.7254844 0.4444444444444444</t>
  </si>
  <si>
    <t>Cc1cccnc1CN(C)CC1=C(N(C)c2ccc3cccnc3c2)CC=CN1 7.725449 0.26153846153846155</t>
  </si>
  <si>
    <t>Cc1cccc(NCc2ccccn2)c1-c1cccnc1C 7.725439 0.3953488372093023</t>
  </si>
  <si>
    <t>Cc1ccc2ccc(N(C)C3CCCC(N(C)c4ccc5nccc(CF)c5c4)C3)cc2n1 7.725435 0.2608695652173913</t>
  </si>
  <si>
    <t>Cc1nc(CN(C)c2cccc3ccc(CN(C)Cc4ccccn4)nc23)c(C)c(C)c1C 7.7254343 0.46296296296296297</t>
  </si>
  <si>
    <t>CN(Cc1ccccn1)C1=CNC=CC1CN(C)c1ccc2ncccc2c1 7.725432 0.3793103448275862</t>
  </si>
  <si>
    <t>c1ccc(-c2cccnc2)nc1 7.7254314 0.3611111111111111</t>
  </si>
  <si>
    <t>CCN(C)c1ccc2cccnc2c1-c1cc(CN(C)C2CCC(N(C)c3ccc4ncccc4c3)CC2)ccn1 7.7254305 0.3188405797101449</t>
  </si>
  <si>
    <t>Cc1ccc(CN(C)c2ccc3nc(CN(C)Cc4cc(N)ccn4)ccc3c2)nc1C 7.725429 0.3050847457627119</t>
  </si>
  <si>
    <t>Cc1cc(CN(C)Cc2nc3ccccc3n2C)ncc1[SiH3] 7.725427 0.4074074074074074</t>
  </si>
  <si>
    <t>Cc1ccc(C)c(CN(Cc2ccccn2)c2ccc3ncccc3c2)c1C 7.7254233 0.37735849056603776</t>
  </si>
  <si>
    <t>Cc1cncc(CN(C)CC2=CCC=C(N(C)c3ccc4cccnc4c3)N2)c1 7.725416 0.25</t>
  </si>
  <si>
    <t>CN(C)CCN(C)c1ccc2c(CN(C)C)ccnc2c1 7.7253976 0.32608695652173914</t>
  </si>
  <si>
    <t>CCN(CC1=CCC(N(C)Cc2ccccn2)=CN1)c1cccc2ncccc12 7.725394 0.36065573770491804</t>
  </si>
  <si>
    <t>CC(C)Nc1cccc2ncccc12 7.725393 0.25</t>
  </si>
  <si>
    <t>CNCc1ccc2cccc(N(C)C3C=CC=CN3)c2n1 7.725387 0.42105263157894735</t>
  </si>
  <si>
    <t>CCc1ccccc1-c1cc(C)cc(N=Cc2ccccn2)c1 7.7253857 0.40384615384615385</t>
  </si>
  <si>
    <t>Cc1ccc2nccc(CN(C)Cc3nc(C)c(C)c(C)c3C)c2c1 7.7253757 0.2727272727272727</t>
  </si>
  <si>
    <t>CC1=NC(c2cccc(CN(C)Cc3cccc(-c4cccc(N=Cc5ccccn5)c4)n3)n2)CO1 7.725375 0.3880597014925373</t>
  </si>
  <si>
    <t>Cc1nc(CN(C)Cc2nc3ccccc3n2C)ccc1[SiH3] 7.725358 0.43137254901960786</t>
  </si>
  <si>
    <t>FCc1ccc(NCc2cccc(-c3cccc(C(c4ccccn4)c4ccccn4)n3)n2)cn1 7.7253513 0.3508771929824561</t>
  </si>
  <si>
    <t>CC(C)C(C)(c1cccnc1)c1cc(CN(Cc2ccccn2)Cc2ccc3ccc4cccnc4c3n2)ccn1 7.725334 0.390625</t>
  </si>
  <si>
    <t>CN(C)c1cc(-c2cncc3c2CCC3)ccc1N(C)C1CCCCC1N(C)c1ccc2cccnc2c1 7.7253313 0.3939393939393939</t>
  </si>
  <si>
    <t>FCc1nccc2c(N(Cc3ccccn3)Cc3ccccn3)cccc12 7.725329 0.425</t>
  </si>
  <si>
    <t>Cc1ccnc2cc(N(C)C3CCC(N(C)c4ccc5cccnc5c4)CC3)ccc12 7.725323 0.32727272727272727</t>
  </si>
  <si>
    <t>Cc1cc(C)c(CN(C)c2ccc(C)c(N(C)Cc3cccnc3)c2C)nc1C 7.7253222 0.25</t>
  </si>
  <si>
    <t>CN(Cc1ccon1)Cc1ncccc1-c1ccccc1N(C)C 7.725318 0.4772727272727273</t>
  </si>
  <si>
    <t>CC(C)N(CC1=C(N(C)Cc2ccccn2)CC=CN1)c1cccc2ncccc12 7.7253175 0.36065573770491804</t>
  </si>
  <si>
    <t>c1ccc(CN(Cc2ccccn2)c2cccc3ncccc23)nc1 7.725299 0.4857142857142857</t>
  </si>
  <si>
    <t>Cc1ccnc(CN(C)c2ccccc2-c2ccccn2)c1 7.725294 0.4888888888888889</t>
  </si>
  <si>
    <t>CN(Cc1ccccn1)C1=CNC=CC1CN(C)c1ccc2cccnc2c1 7.725292 0.3898305084745763</t>
  </si>
  <si>
    <t>CNCc1ccc2cccc(N(C)CC3=C(N(C)Cc4ncccc4C)CC=CN3)c2n1 7.725264 0.3484848484848485</t>
  </si>
  <si>
    <t>Cc1cc(C)c(CN(C)Cc2cc(-c3ccc(N(C)Cc4cc(C)c(C)c(C)n4)cc3)ccn2)nc1C 7.7252564 0.265625</t>
  </si>
  <si>
    <t>CNCc1cccc(-c2ccc(N(C)Cc3cccc(C)n3)cc2C)n1 7.725251 0.40816326530612246</t>
  </si>
  <si>
    <t>Cc1nc(CN(C)c2ccc3nc(CN(C)Cc4ccccn4)ccc3c2)c(C)c(C)c1C 7.72525 0.4444444444444444</t>
  </si>
  <si>
    <t>CCNCc1cc(N(C)Cc2ncccc2C)c2cccnc2c1 7.7252417 0.2982456140350877</t>
  </si>
  <si>
    <t>C1=CCNC(N(Cc2ccccn2)Cc2ncccc2-c2ccccc2N=Cc2ccccn2)=C1 7.725225 0.36065573770491804</t>
  </si>
  <si>
    <t>CCN(CC1=CCC(N(C)Cc2ncccc2C)=CN1)c1ccc2cccnc2c1 7.7252173 0.25</t>
  </si>
  <si>
    <t>CN(C)c1ccc2ccc(CN(C)C3C=CC=CN3)nc2c1 7.7252145 0.3125</t>
  </si>
  <si>
    <t>c1ccc(-c2ccccn2)nc1 7.7252116 0.48148148148148145</t>
  </si>
  <si>
    <t>C1=CNC(NCc2ncccc2-c2ncccc2C(c2ccccn2)c2ccccn2)C=C1 7.725211 0.3125</t>
  </si>
  <si>
    <t>Cc1cccnc1CN(C)Cc1ccc2cc(N(C)Cc3c(C)cncc3C)ccc2n1 7.725211 0.31666666666666665</t>
  </si>
  <si>
    <t>CCNCC1=CCC=C(N(C)c2cccc3ncccc23)N1 7.725211 0.2807017543859649</t>
  </si>
  <si>
    <t>FCNc1cccc(-c2cccc(C(c3ccccn3)c3ccccn3)n2)n1 7.725209 0.43137254901960786</t>
  </si>
  <si>
    <t>Cc1ccc2ccc(N(C)C3CCCC(N(C)c4ccc5nccc(CN(C)C)c5c4)C3)cc2n1 7.7252083 0.265625</t>
  </si>
  <si>
    <t>CC(C)N(Cc1ccccn1)c1ccc2nccc(CF)c2c1 7.725202 0.42</t>
  </si>
  <si>
    <t>CC(C)N(C)c1ccc2nccc(C(C)(C)C)c2c1 7.7251925 0.24489795918367346</t>
  </si>
  <si>
    <t>Cc1ccc2cccnc2c1N(C)CCN 7.7251825 0.4878048780487805</t>
  </si>
  <si>
    <t>Cc1cccnc1CN(C)c1ccc2nc(CN(C)C3C=CC=CN3)ccc2c1 7.725172 0.3088235294117647</t>
  </si>
  <si>
    <t>Cc1ccc(C)c(N(Cc2ccc3ncccc3c2)Cc2ccccn2)c1C 7.7251678 0.37037037037037035</t>
  </si>
  <si>
    <t>Cc1cnc(CN(C)Cc2ccnc3ccc(N(Cc4ccccn4)C4C=CNC=C4)cc23)c(C)c1C 7.725165 0.2972972972972973</t>
  </si>
  <si>
    <t>Nc1ccc(Cl)c(-c2cccnc2CN(Cc2ccccn2)C2=CCC=CN2)c1 7.725165 0.42857142857142855</t>
  </si>
  <si>
    <t>CC(C)(c1ccccn1)c1cccc(CN(Cc2ccccn2)c2ccc3ncccc3c2)n1 7.725146 0.4074074074074074</t>
  </si>
  <si>
    <t>CCNc1cnccc1-c1ncccc1C(C)(c1ccccn1)c1ccccn1 7.7251444 0.42857142857142855</t>
  </si>
  <si>
    <t>Cc1cc(N(C)C2CCCC(N(C)c3cccc4ncccc34)C2)c2cccnc2c1 7.7251334 0.37037037037037035</t>
  </si>
  <si>
    <t>CC(C)(C1=CC2C=Cc3cccnc3C2=CN1)c1ccccn1 7.7251306 0.29310344827586204</t>
  </si>
  <si>
    <t>CN(Cc1ccccn1)C1=CNC(CN(C)c2ccccc2-c2ccccn2)=CC1 7.7251134 0.42592592592592593</t>
  </si>
  <si>
    <t>Cc1cnc2c(N(C)C3CCCCC3N(C)c3ccc4nccc(CF)c4c3)cccc2c1C 7.7251067 0.4090909090909091</t>
  </si>
  <si>
    <t>Cc1ccc(CN(C)Cc2nc3ccccc3n2C)nc1C 7.725083 0.4489795918367347</t>
  </si>
  <si>
    <t>CNCC1=CC(N(C)c2ccc3cccnc3c2)C=CN1 7.7250824 0.3064516129032258</t>
  </si>
  <si>
    <t>CN(C)c1ccccc1-c1cccnc1CN(Cc1ccccn1)C1=CCNC=C1 7.7250767 0.3389830508474576</t>
  </si>
  <si>
    <t>CNCc1cccc(-c2ccccc2N=Cc2ccccn2)n1 7.72507 0.48</t>
  </si>
  <si>
    <t>FCc1ncccc1NCc1cccc(-c2cccc(C(c3ccccn3)c3ccccn3)n2)n1 7.725054 0.35714285714285715</t>
  </si>
  <si>
    <t>CN(CC1C(N(C)c2ccc3ncccc3c2)CCN1C)c1ccc2ncc(CF)cc2c1 7.7250257 0.29411764705882354</t>
  </si>
  <si>
    <t>CNCc1cc(CN(C)c2ccc3ncccc3c2)ccn1 7.7250233 0.32075471698113206</t>
  </si>
  <si>
    <t>CCN(Cc1cc(C)ccn1)c1ccc2nccc(CF)c2c1 7.725016 0.3090909090909091</t>
  </si>
  <si>
    <t>Cc1cccnc1CN(C)Cc1ccnc2ccc(N(C)Cc3ccccn3)cc12 7.725014 0.39285714285714285</t>
  </si>
  <si>
    <t>CNCC1=CC(N(C)c2ccc3ncccc3c2)C=CN1 7.725014 0.3114754098360656</t>
  </si>
  <si>
    <t>C1=CCNC(NCc2cccc(-c3cccc(C(c4ccccn4)c4ccccn4)n3)n2)=C1 7.725005 0.3220338983050847</t>
  </si>
  <si>
    <t>Cc1ccnc(CN(Cc2ccnc(-c3c(N(Cc4ccccn4)C(C)C)ccc4nccc(C(C)(C)C)c34)c2)Cc2ccccn2)c1 7.724996 0.3225806451612903</t>
  </si>
  <si>
    <t>Cc1nc(CN(C)Cc2ccc(-c3cccc(N(C)C)c3)nc2)c(C)c(C)c1C 7.724993 0.26229508196721313</t>
  </si>
  <si>
    <t>CN(Cc1ccccn1)C1=C(CN(Cc2cccnc2)c2cccc3ncccc23)NC=CC1 7.724982 0.3283582089552239</t>
  </si>
  <si>
    <t>Fc1ccc(N(Cc2ccccn2)Cc2ncccc2-c2ccccc2N=Cc2ccccn2)cc1 7.72498 0.4444444444444444</t>
  </si>
  <si>
    <t>CN(CC1=CCC=C(N(C)c2ccc3cccnc3c2)N1)Cc1ccccn1 7.7249794 0.39655172413793105</t>
  </si>
  <si>
    <t>Cc1cncc(CN(C)Cc2ccc(N(C)c3ccc4nc(CF)ccc4c3)cn2)c1 7.724978 0.37735849056603776</t>
  </si>
  <si>
    <t>Cc1ncccc1CN(C)Cc1cccc(N(C)c2ccc3nc(CF)ccc3c2)n1 7.7249765 0.3559322033898305</t>
  </si>
  <si>
    <t>CN(C)Cc1ccnc2ccc(N(C)CCCN(C)Cc3ccc4ncccc4c3)cc12 7.7249727 0.3448275862068966</t>
  </si>
  <si>
    <t>Cc1cc(N)nc(-c2cc(C)ccc2NCc2ccccn2)c1 7.724972 0.3728813559322034</t>
  </si>
  <si>
    <t>Cc1c(N=Cc2ccccn2)cccc1-c1ccc(C(C)C)c(-c2cccc(CN(Cc3ccccn3)Cc3ccccn3)n2)c1C 7.7249537 0.4126984126984127</t>
  </si>
  <si>
    <t>Cc1cccnc1CN(C)Cc1ccc2c(N(C)Cc3ncccc3C)cccc2n1 7.724946 0.37254901960784315</t>
  </si>
  <si>
    <t>CN(CC1=CCC=C(N(C)c2ccc3ncccc3c2)N1)Cc1ccccn1 7.724945 0.39655172413793105</t>
  </si>
  <si>
    <t>FCc1cccc(NCc2cccc(-c3cccc(C(c4ccccn4)c4ccccn4)n3)n2)n1 7.724914 0.39622641509433965</t>
  </si>
  <si>
    <t>Cc1cc(CN(C)Cc2cnc3cc(N(C)Cc4ccccn4)ccc3c2)nc(C)c1C 7.7249136 0.3898305084745763</t>
  </si>
  <si>
    <t>Cc1cc(C)c(-c2c(C(C)(C)C)ccc(NCc3ccccn3)c2C)cn1 7.724888 0.3492063492063492</t>
  </si>
  <si>
    <t>Cc1nc(CN(C)CN(C)c2ccc3c(CF)ccnc3c2)c(C)c(C)c1C 7.724888 0.22580645161290322</t>
  </si>
  <si>
    <t>COC(=O)C(=O)C(=O)C(=O)C(=O)C(=O)C(=O)C(=O)C(=O)C(=O)C(=O)C=O 7.724875 0.12727272727272726</t>
  </si>
  <si>
    <t>CNc1cc(-c2cc(CN(C)C3CCCCC3N(C)c3ccc4cccnc4c3)ccn2)c2ncccc2c1 7.7248745 0.3939393939393939</t>
  </si>
  <si>
    <t>FCNc1cccc(-c2ncccc2C(c2ccccn2)c2ccccn2)n1 7.7248406 0.3684210526315789</t>
  </si>
  <si>
    <t>Cc1ccc(CN(C)c2c(N(C)C)ccc(C)c2C)nc1 7.7248373 0.5</t>
  </si>
  <si>
    <t>Cc1nc(CN(C)c2cccc3cc(CN(C)Cc4ccccn4)cnc23)c(C)c(C)c1C 7.7248297 0.4067796610169492</t>
  </si>
  <si>
    <t>CN(c1ccc2ncccc2c1)C1C2CCC1(N(Cc1ccccn1)c1ccc3cccnc3c1)CC2 7.724823 0.3770491803278688</t>
  </si>
  <si>
    <t>C=Nc1cccc(-c2ccc(CN(C)Cc3cccc(-c4ccccc4C)n3)nc2)c1 7.7248187 0.41379310344827586</t>
  </si>
  <si>
    <t>CNc1cc(Cl)cc(N(C)Cc2cccc(F)n2)c1Cl 7.724817 0.37254901960784315</t>
  </si>
  <si>
    <t>CN(CC1=CC(N(C)c2ccc3cccnc3c2)C=CN1)Cc1ccon1 7.7247934 0.3559322033898305</t>
  </si>
  <si>
    <t>Cc1ncccc1CN(C)C1=CNC=CC1CN(C)c1ccc2cccnc2c1 7.724793 0.28125</t>
  </si>
  <si>
    <t>CC(C)N(C)c1ccc2ncccc2c1 7.724792 0.36585365853658536</t>
  </si>
  <si>
    <t>Cc1cnc(CN(C)CC2=C(N(C)c3ccc4cccnc4c3)CC=CN2)c(C)c1 7.72479 0.2463768115942029</t>
  </si>
  <si>
    <t>Cc1cc(CN(C)Cc2ccc(N(C)c3ccc4nc(CF)ccc4c3)cn2)ccn1 7.7247834 0.35185185185185186</t>
  </si>
  <si>
    <t>Cc1nc(CN(C)CN(C)c2ccc3cccnc3c2)c(C)c(C)c1C 7.7247677 0.3090909090909091</t>
  </si>
  <si>
    <t>CN(Cc1ccccn1)C1=CC(CN(C)c2cccc3ncc(CF)cc23)C=CN1 7.7247543 0.35384615384615387</t>
  </si>
  <si>
    <t>CN(C)Cc1cccc(-c2ccc(Cl)cc2N)n1 7.7247353 0.3673469387755102</t>
  </si>
  <si>
    <t>CNCc1ccc2cccc(N(C)Cc3ccccn3)c2n1 7.7247276 0.48936170212765956</t>
  </si>
  <si>
    <t>Cc1ccc(C)c(CN(C)C2=C(CN(c3ccc4ncccc4c3)C(C)C)NC=CC2)n1 7.7247195 0.24285714285714285</t>
  </si>
  <si>
    <t>CN(c1ccc2ncccc2c1)C1C2CCC1(N(Cc1ccccn1)c1ccc3ncccc3c1)CC2 7.724711 0.3793103448275862</t>
  </si>
  <si>
    <t>Cc1ccc(C)c(CN(C)CC2=CCC(N(C)c3cccc4ncccc34)=CN2)n1 7.7247086 0.26153846153846155</t>
  </si>
  <si>
    <t>Cc1cncc(CN(C)c2ccc3nc(CN(C)C(C)(c4cccnc4)c4ccccn4)ccc3c2)c1C 7.7247086 0.3</t>
  </si>
  <si>
    <t>Cc1cccc(CN(Cc2cccc(-c3ccc(N=Cc4ccccn4)cc3)n2)C2=CC=CNC2)n1 7.724705 0.3142857142857143</t>
  </si>
  <si>
    <t>CN(Cc1ccccn1)C1=C(CN(Cc2ccccn2)c2ccc3ncccc3c2)CC=CN1 7.7247005 0.3728813559322034</t>
  </si>
  <si>
    <t>CNc1cc(Cl)c(Cl)cc1N(C)Cc1cccc(F)n1 7.724696 0.45652173913043476</t>
  </si>
  <si>
    <t>Cc1ccc(CN(Cc2ccccn2)c2ccc3ncccc3c2)nc1 7.724693 0.43478260869565216</t>
  </si>
  <si>
    <t>Cc1cc(NCc2ccccn2)ccc1-c1ncccc1C 7.72469 0.3953488372093023</t>
  </si>
  <si>
    <t>CN(CC1=CC(N(C)c2ccc3ncccc3c2)C=CN1)Cc1ccon1 7.7246833 0.3620689655172414</t>
  </si>
  <si>
    <t>Cc1ncccc1CN(C)C1=CNC=CC1CN(C)c1cccc2cccnc12 7.7246814 0.45454545454545453</t>
  </si>
  <si>
    <t>CC(C)(C1=CC2C(=CN1)C=Cc1ncccc12)c1ccccn1 7.724681 0.2982456140350877</t>
  </si>
  <si>
    <t>CNCc1ccc(-c2ccc(N=Cc3ccccn3)cc2)cn1 7.72468 0.38461538461538464</t>
  </si>
  <si>
    <t>CC(C)N(C)Cc1ccc(N(C)c2cccc3ncccc23)cn1 7.7246766 0.3333333333333333</t>
  </si>
  <si>
    <t>Cc1cccnc1CN(C)Cc1cc(C)c(-c2ccc(N(C)C)cc2)c(C)n1 7.7246737 0.3157894736842105</t>
  </si>
  <si>
    <t>CN(Cc1cccnn1)C1=CNC=CC1CN(C)c1ccc2cccnc2c1 7.724672 0.3389830508474576</t>
  </si>
  <si>
    <t>CC(C)N(CC1=CCC(N(C)Cc2ccccn2)=CN1)c1cccc2ncccc12 7.72467 0.36065573770491804</t>
  </si>
  <si>
    <t>CNCc1cccc(-c2ccc(N(C)Cc3ccccn3)c(C)c2C)n1 7.724667 0.46153846153846156</t>
  </si>
  <si>
    <t>CN(Cc1ccc2c(N(C)Cc3ncccc3N)cccc2n1)Cc1ncccc1F 7.724666 0.3333333333333333</t>
  </si>
  <si>
    <t>CC(C)N(Cc1ccccn1)c1cccc2nccc(CF)c12 7.7246633 0.42857142857142855</t>
  </si>
  <si>
    <t>CC(C)N(C)c1ccc2nccc(CF)c2c1 7.724647 0.2653061224489796</t>
  </si>
  <si>
    <t>CN(CC1C=CNC=C1)c1ccc2cccnc2c1 7.724647 0.3333333333333333</t>
  </si>
  <si>
    <t>Cc1ccc(N(Cc2ccccn2)Cc2cccc(-c3cccc(N(C)C)c3)n2)c(C)c1 7.7246423 0.48333333333333334</t>
  </si>
  <si>
    <t>CCNc1cc(-c2ncccc2C(C)(c2ccccn2)c2ccccn2)ccn1 7.724635 0.49056603773584906</t>
  </si>
  <si>
    <t>Cc1cccc(CN(C)Cc2nc(-c3ccc(N(C)C)cc3)c(C)c(C)c2C)n1 7.724633 0.5</t>
  </si>
  <si>
    <t>Cc1cnc(C)c(CN(C)c2ccc3nccc(CN(C)Cc4ccccn4)c3c2)c1 7.724628 0.36666666666666664</t>
  </si>
  <si>
    <t>Cc1cccnc1CN(C)Cc1ccnc2ccc(N(C)Cc3cccnc3C)cc12 7.724623 0.3050847457627119</t>
  </si>
  <si>
    <t>CCN(Cc1ccccn1)c1cc2ncccc2cc1-c1cccc(CN(C)C(C)(C)c2ccccn2)n1 7.724619 0.43333333333333335</t>
  </si>
  <si>
    <t>CNCc1nc(-c2ccc(N=Cc3ccccn3)cc2)ccc1C 7.7246184 0.4074074074074074</t>
  </si>
  <si>
    <t>Cc1cc(CN(Cc2ccccn2)C2=CNC(CN(C)c3ccc4ncccc4c3)=CC2)ccn1 7.7246127 0.323943661971831</t>
  </si>
  <si>
    <t>CN(Cc1ccon1)Cc1ncccc1-c1cccc(N(C)C)c1 7.7246118 0.4375</t>
  </si>
  <si>
    <t>Cc1cccnc1CN(Cc1cccnc1C(C)(C)C)c1ccc2ncccc2c1 7.7246103 0.2982456140350877</t>
  </si>
  <si>
    <t>c1cncc(CN(Cc2cccnn2)c2cccc3cccnc23)c1 7.724601 0.40816326530612246</t>
  </si>
  <si>
    <t>CN(Cc1ccccn1)Cc1cc(N(C)c2ccc3ncc(CF)cc3c2)ccn1 7.724583 0.41818181818181815</t>
  </si>
  <si>
    <t>Cc1cnc(CN(C)c2cc(C)c(C)c(N(C)Cc3ccccn3)c2C)c(C)c1 7.7245736 0.48</t>
  </si>
  <si>
    <t>CNc1ccccc1-c1ncccc1C(C)(N)c1ccccn1 7.7245665 0.35294117647058826</t>
  </si>
  <si>
    <t>CC(c1ccccc1)(c1ccccn1)c1ncccc1CN(Cc1ccccn1)c1cccc2cccnc12 7.7245646 0.41379310344827586</t>
  </si>
  <si>
    <t>FCNc1cc(-c2cccc(C(c3ccccn3)c3ccccn3)n2)ccn1 7.724559 0.3064516129032258</t>
  </si>
  <si>
    <t>Cc1cccc(CN(C)c2cccc3nccc(CN(C)Cc4nc(C)c(C)c(C)c4C)c23)c1 7.7245555 0.265625</t>
  </si>
  <si>
    <t>Cc1cc(C)c(CN(C)c2cccc(N=Cc3ccccn3)c2C)nc1C 7.724536 0.48148148148148145</t>
  </si>
  <si>
    <t>Cc1cncc(CN(C)Cc2cccc(N(C)c3cccc4ccc(CF)nc34)n2)c1 7.7245326 0.41935483870967744</t>
  </si>
  <si>
    <t>Cc1cc(CN(C)c2ccc3nccc(CN(C)Cc4ncccc4C)c3c2)ccn1 7.724532 0.27419354838709675</t>
  </si>
  <si>
    <t>CC(C)N(Cc1ccc2ccc3cccnc3c2n1)C1CCC(N(C)c2ccc3c(CF)ccnc3c2)CC1 7.724526 0.3333333333333333</t>
  </si>
  <si>
    <t>Cc1ccccc1N(C)CCN(C)c1ccc2cccnc2c1 7.7245255 0.4772727272727273</t>
  </si>
  <si>
    <t>Cc1ccc(CN(C)Cc2cccc(N(C)c3ccc4nc(CF)ccc4c3)n2)nc1 7.7245193 0.46</t>
  </si>
  <si>
    <t>FCc1ccc(N(Cc2ccccn2)Cc2cccc(-c3ccccc3N=Cc3ccccn3)n2)cn1 7.7245173 0.39344262295081966</t>
  </si>
  <si>
    <t>CN(Cc1ccccn1)C1=C(CN(Cc2ccccn2)c2cccc3ncccc23)NC=CC1 7.724517 0.3728813559322034</t>
  </si>
  <si>
    <t>COC(=O)c1cccc(CN(Cc2ccccn2)Cc2cc(-c3ccccc3N=Cc3ccccn3)ccn2)n1 7.7245126 0.3888888888888889</t>
  </si>
  <si>
    <t>CC(C)N(C)Cc1ncccc1N(C)c1cccc2ncccc12 7.7245092 0.32653061224489793</t>
  </si>
  <si>
    <t>CN(C)CCN(C)Cc1ncccc1-c1cccc2ncccc12 7.724507 0.40425531914893614</t>
  </si>
  <si>
    <t>CNCc1cc(-c2cccc(N=Cc3ccccn3)c2)ccn1 7.7245064 0.39622641509433965</t>
  </si>
  <si>
    <t>CC(C)C1(C)N=COC1c1ncccc1CN(Cc1ccccn1)Cc1ccc2ccc3cccnc3c2n1 7.7244987 0.41935483870967744</t>
  </si>
  <si>
    <t>Cc1ccccc1N(C)CCN(C)c1cccc2nc(CN(C)C)ccc12 7.724489 0.38636363636363635</t>
  </si>
  <si>
    <t>CN(Cc1ccccn1)c1ccccc1-c1cnccc1CN(Cc1ccccn1)Cc1ccc(-c2cccc(N=Cc3ccccn3)c2)cn1 7.724476 0.35294117647058826</t>
  </si>
  <si>
    <t>Cc1ccc(CN(C)C2=C(CN(C)c3ccc4ccc(CF)nc4c3)NC=CC2)cn1 7.7244725 0.24</t>
  </si>
  <si>
    <t>Cc1cccnc1CN(C)c1ccc2ccc(CN(C)C3C=CC=CN3)nc2c1 7.7244678 0.31343283582089554</t>
  </si>
  <si>
    <t>CN(C)CC1=C(N(C)c2ccc3nc(CF)ccc3c2)CC=CN1 7.7244596 0.27692307692307694</t>
  </si>
  <si>
    <t>Cc1ccnc(CN(C)C2=CNC=CC2CN(C)c2ccc3ncccc3c2)c1 7.7244554 0.27692307692307694</t>
  </si>
  <si>
    <t>Cc1cccnc1CN(C)Cc1cc(C)c(-c2ccccc2N=Cc2ccccn2)c(C)n1 7.7244534 0.46551724137931033</t>
  </si>
  <si>
    <t>Cc1cccnc1CN(C)Cc1c(NCc2ccccn2)cccc1N(C)c1cccc2ncccc12 7.724449 0.3230769230769231</t>
  </si>
  <si>
    <t>Cc1cc(CN(C)c2cccc3ncc(CN(C)Cc4ccccn4)cc23)nc(C)c1C 7.724448 0.41379310344827586</t>
  </si>
  <si>
    <t>CC(C)N(Cc1ccccn1)c1cccc2ncccc12 7.724437 0.4883720930232558</t>
  </si>
  <si>
    <t>Cc1ccc(C)c(N(Cc2ccccn2)Cc2ccc(-c3cccc(N=Cc4ccccn4)c3)cn2)c1 7.7244334 0.3709677419354839</t>
  </si>
  <si>
    <t>Cc1cnccc1CN(C)c1ccc2nccc(CN(C)Cc3ncccc3C)c2c1 7.7244306 0.27419354838709675</t>
  </si>
  <si>
    <t>CN(C1=CC=CNC1N(C)Cc1ccccn1)c1ccc2cccnc2c1 7.7244215 0.39655172413793105</t>
  </si>
  <si>
    <t>FCNc1ncccc1-c1ncccc1C(c1ccccn1)c1ccccn1 7.724415 0.25</t>
  </si>
  <si>
    <t>Cc1ccnc2cc(N(C)C3CCC(N(C)c4cccc5nc6c(cc45)CCC6)CC3)ccc12 7.7243934 0.3939393939393939</t>
  </si>
  <si>
    <t>Cc1c(N)nc(CN(C)Cc2ccnc3cccc(C)c23)c(C)c1C 7.724388 0.3090909090909091</t>
  </si>
  <si>
    <t>Cc1ccc(C)c(CN(C)c2ccc3c(CN(C)Cc4ncccc4C)nccc3c2)n1 7.724382 0.2711864406779661</t>
  </si>
  <si>
    <t>Cc1cnccc1CN(C)Cc1cccc(N(C)c2ccc3ccc(CF)nc3c2)n1 7.724377 0.3103448275862069</t>
  </si>
  <si>
    <t>CN(CCN(Cc1cccnc1)c1cccc2ncccc12)Cc1cccc2ncccc12 7.7243657 0.4230769230769231</t>
  </si>
  <si>
    <t>C1=CNC(c2ccc(C(c3ccccn3)c3ccccn3)cn2)=CC1 7.7243414 0.3888888888888889</t>
  </si>
  <si>
    <t>CC1=C(CN(C)c2ccc3ncccc3c2)CC(C)C(N(C)Cc2ccccn2)=C1 7.724341 0.3728813559322034</t>
  </si>
  <si>
    <t>CN(CC1=CCC=C(N(C)c2cccc3ncccc23)N1)Cc1cccnc1 7.7243295 0.25396825396825395</t>
  </si>
  <si>
    <t>Cc1cccnc1CN(CCN(C)Cc1ccc2ncccc2c1)c1ccc2ncccc2c1 7.724328 0.37037037037037035</t>
  </si>
  <si>
    <t>CN(C)Cc1ccc2cccc(N(C)CC3=C(N(C)Cc4ccccn4)CC=CN3)c2n1 7.7243166 0.38333333333333336</t>
  </si>
  <si>
    <t>Cc1cccnc1CN(C)Cc1ccc(N(C)c2ccc3nc(CF)ccc3c2)cn1 7.724316 0.34545454545454546</t>
  </si>
  <si>
    <t>CN(C)c1c(-c2cnccc2CN(Cc2ccccn2)C2CCCCC2N(C)c2cccc3ncccc23)ccc2cccnc12 7.724305 0.4225352112676056</t>
  </si>
  <si>
    <t>CN(C)Cc1ccc(-c2ccccc2N(C)C)cn1 7.7243037 0.35714285714285715</t>
  </si>
  <si>
    <t>CN(C1=CC=CNC1N(C)Cc1ccccn1)c1cccc2cccnc12 7.7243004 0.41818181818181815</t>
  </si>
  <si>
    <t>CN(Cc1ccon1)Cc1cccc(-c2cccc(N=Cc3ccccn3)c2)n1 7.724295 0.4406779661016949</t>
  </si>
  <si>
    <t>CN(c1ccc2ncccc2c1)C1C2CCC1(N(Cc1ccccn1)c1cccc3cccnc13)CC2 7.7242937 0.4</t>
  </si>
  <si>
    <t>Cc1nc(CN(C)Cc2cc(-c3cccc(N(C)C)c3)ccn2)c(C)c(C)c1C 7.7242827 0.3392857142857143</t>
  </si>
  <si>
    <t>Cc1ccc(N(Cc2ccccn2)Cc2ccc(-c3cccc(N(C)C)c3)cn2)cc1C 7.724281 0.375</t>
  </si>
  <si>
    <t>Cc1cccnc1CN(C)CC1=CCC(N(C)c2cccc3ncccc23)=CN1 7.7242646 0.27419354838709675</t>
  </si>
  <si>
    <t>CNCc1cccc(N(C)Cc2cccc(-c3ccc(Cl)cc3N)n2)n1 7.724255 0.3</t>
  </si>
  <si>
    <t>CNc1cc(Cl)ccc1N(C)C 7.724251 0.23255813953488372</t>
  </si>
  <si>
    <t>CN(Cc1cccc(-c2ccccc2)n1)Cc1cccc(-c2cccc(N=Cc3ccccn3)c2)n1 7.7242427 0.5</t>
  </si>
  <si>
    <t>CN(CC1=CC(N(C)C(c2ccccn2)c2ccccn2)C=CN1)c1ccc2ncccc2c1 7.724242 0.3181818181818182</t>
  </si>
  <si>
    <t>CN(CC1=CNCC=C1NCc1ccccn1)c1cccc2cccnc12 7.7242274 0.4444444444444444</t>
  </si>
  <si>
    <t>Cc1nc(CN(C)Cc2ccnc3cccc(C)c23)c(C)c(C)c1C 7.7242174 0.32075471698113206</t>
  </si>
  <si>
    <t>FCNc1cccc(-c2cc(C(c3ccccn3)c3ccccn3)ccn2)n1 7.7242107 0.38596491228070173</t>
  </si>
  <si>
    <t>CNCc1ccc(-c2ccccc2N=Cc2ccccn2)cn1 7.724208 0.45098039215686275</t>
  </si>
  <si>
    <t>Cc1cnc(CN(C)c2ccc3nc(CN(C)Cc4ccc(N)cn4)ccc3c2)c(C)c1 7.724203 0.39622641509433965</t>
  </si>
  <si>
    <t>CCNc1ncccc1-c1ncccc1C(C)(c1ccccn1)c1ccccn1 7.7242002 0.46153846153846156</t>
  </si>
  <si>
    <t>CNCC1=CC(N(C)c2cccc3ncccc23)C=CN1 7.7241983 0.3333333333333333</t>
  </si>
  <si>
    <t>Cc1nc(CN(C)Cc2ncccc2-c2ccccc2N=Cc2ccccn2)c(C)c(C)c1C 7.7241983 0.42857142857142855</t>
  </si>
  <si>
    <t>Cc1cncc(CN(C)c2c(C)cc(N(C)Cc3ccccn3)cc2Cl)c1C 7.724194 0.49019607843137253</t>
  </si>
  <si>
    <t>Cc1cnc(CN(C)c2ccc3c(CN(C)Cc4ccccn4)nccc3c2)c(C)c1C 7.724187 0.39655172413793105</t>
  </si>
  <si>
    <t>Cc1cncc(CN(C)c2cc(C)c3ncc(CN(C)Cc4ncccc4C)cc3c2)c1 7.724184 0.2698412698412698</t>
  </si>
  <si>
    <t>Cc1nc(CN(C)Cc2cnc3ccc(N(C)Cc4ccccn4)cc3c2)c(C)c(C)c1C 7.724183 0.3728813559322034</t>
  </si>
  <si>
    <t>c1ccc(-c2ccncc2)nc1 7.7241507 0.3939393939393939</t>
  </si>
  <si>
    <t>Cc1cc(C)c2cccc(N(C)C3CCCC(N(C)c4ccc5nc(CN(C)C)ccc5c4)C3)c2n1 7.7241435 0.3382352941176471</t>
  </si>
  <si>
    <t>CN(Cc1ccccn1)C1=CNC(CN(C)c2cc(N(C)Cc3ccccn3)cc(N(C)Cc3ccccn3)c2N(C)Cc2ccccn2)=CC1 7.724141 0.4528301886792453</t>
  </si>
  <si>
    <t>CN(Cc1ccc2ncccc2c1)Cc1cc(-c2ccccc2)ccn1 7.7241325 0.37735849056603776</t>
  </si>
  <si>
    <t>CC(C)N(C)C1=CCC=C(CN(C)c2ccc3cccnc3c2)N1 7.72411 0.3</t>
  </si>
  <si>
    <t>FCc1cc(NCc2cccc(-c3cccc(C(c4ccccn4)c4ccccn4)n3)n2)ccn1 7.724108 0.375</t>
  </si>
  <si>
    <t>CN(C)Cc1cnc2ccc(N(C)CC3=C(N(C)Cc4ccccn4)CC=CN3)cc2c1 7.724107 0.34375</t>
  </si>
  <si>
    <t>Cc1cccc(CN(Cc2ccccn2)C2=CNC(CN(C)c3ccc4ncccc4c3)=CC2)n1 7.7241063 0.3384615384615385</t>
  </si>
  <si>
    <t>CNCCN(C)c1cccc2nccc(C)c12 7.7240996 0.3695652173913043</t>
  </si>
  <si>
    <t>Cc1ccc(CN(C)Cc2ncccc2N(C)c2ccc3nc(CF)ccc3c2)nc1 7.724092 0.4339622641509434</t>
  </si>
  <si>
    <t>CC(C)C(C)(c1ccccn1)c1cc(CN(Cc2ccccn2)Cc2ccc3ccc4cccnc4c3n2)ccn1 7.724071 0.43859649122807015</t>
  </si>
  <si>
    <t>Cc1cc(C)c2ccc(N(C)C3CCCCC3N(C)c3ccc4cc(CN(C)C)cnc4c3)cc2n1 7.724067 0.3114754098360656</t>
  </si>
  <si>
    <t>Cc1cccnc1CN(C)Cc1cccc(N(C)c2ccc3nc(CF)ccc3c2)n1 7.724066 0.3442622950819672</t>
  </si>
  <si>
    <t>CC(C)N(C)c1cccc2ncccc12 7.7240634 0.4</t>
  </si>
  <si>
    <t>CCN(CC1=CCC=C(N(C)Cc2ccccn2)N1)c1ccc2ncccc2c1 7.7240543 0.36666666666666664</t>
  </si>
  <si>
    <t>CC(C)c1cc(Cl)cc(N(C)Cc2ccon2)c1N(C)Cc1ccccn1 7.724048 0.5</t>
  </si>
  <si>
    <t>CCN(CC1=CCC(N(C)Cc2ncccc2C)=CN1)c1cccc2ncccc12 7.724043 0.28125</t>
  </si>
  <si>
    <t>CCN(Cc1ccccn1)c1ccc2nccc(C(C)(c3ccccc3)c3ccccn3)c2c1 7.7240396 0.3333333333333333</t>
  </si>
  <si>
    <t>CC1(C)CCC1c1cccc(C(=O)C(=O)C(=O)C(=O)C(=O)C(=O)C(=O)C(=O)C(=O)C(=O)C(=O)C(=O)C(=O)C(=O)C(=O)C(=O)C(=O)C(=O)C(=O)C(=O)C(=O)C(=O)C(=O)C(=O)C(=O)C(=O)C(=O)C(=O)C(=O)C(=O)C(=O)C(=O)C(=O)C(=O)C(=O)C=O)n1 7.724029 0.21428571428571427</t>
  </si>
  <si>
    <t>CCN(Cc1ccccn1)c1ccc2nccc(C(C)(C)c3ccccn3)c2c1 7.724027 0.35714285714285715</t>
  </si>
  <si>
    <t>CCN(Cc1ccccn1)Cc1ncccc1N(C)c1ccc2c(C)ccnc2c1 7.7240252 0.3684210526315789</t>
  </si>
  <si>
    <t>C1=CNC(c2ncccc2C(c2ccccn2)c2ccccn2)=CC1 7.7240214 0.37735849056603776</t>
  </si>
  <si>
    <t>CN(C)Cc1cccc(-c2ccc(N=Cc3ccccn3)cc2)n1 7.7240095 0.45098039215686275</t>
  </si>
  <si>
    <t>Cc1cccnc1CN(Cc1ccccc1N(C)Cc1ccccn1)c1cccc2cccnc12 7.7240086 0.4528301886792453</t>
  </si>
  <si>
    <t>CN(CC1=CC(N(C)C(c2ccccn2)c2ccccn2)C=CN1)c1ccc2cccnc2c1 7.724004 0.31343283582089554</t>
  </si>
  <si>
    <t>CC(C)N(Cc1ccccn1)C(C)(C)N(C)Cc1ccnc2ccc(N(C)c3ccc4ncccc4c3)cc12 7.724002 0.3442622950819672</t>
  </si>
  <si>
    <t>CN(C1=CC=CNC1NCc1ccccn1)c1ccc2ncccc2c1 7.724001 0.3230769230769231</t>
  </si>
  <si>
    <t>CN(CN)c1ccc2cc(CF)cnc2c1 7.723991 0.22916666666666666</t>
  </si>
  <si>
    <t>Cc1cc(-c2ncccc2C)ccc1N 7.7239895 0.2826086956521739</t>
  </si>
  <si>
    <t>CNc1cc(Cl)c(Cl)cc1N(C)Cc1cc(C)ccn1 7.7239895 0.5</t>
  </si>
  <si>
    <t>CC(C)N(Cc1cc(C(C)(C)c2ccccn2)ccn1)c1ccc2ncccc2c1 7.723989 0.3333333333333333</t>
  </si>
  <si>
    <t>Cc1ccc(CN(C)c2cc(Cl)cc(N)c2-c2cccnc2CN(C)Cc2ccc(N)cn2)nc1 7.723966 0.3793103448275862</t>
  </si>
  <si>
    <t>Cc1ccc(CN(C)C2=C(CN(C)c3ccc4nc(CF)ccc4c3)NC=CC2)nc1 7.7239623 0.3793103448275862</t>
  </si>
  <si>
    <t>Cc1cccc(-c2cccc(CN(Cc3ccccn3)c3cccc(N(C)C)c3)n2)c1N 7.723961 0.49056603773584906</t>
  </si>
  <si>
    <t>Cc1cccc(CN(Cc2cccc(-c3cccc(N(C)C)c3)n2)Cc2ccc3ccccc3n2)n1 7.7239594 0.5</t>
  </si>
  <si>
    <t>Cc1ncccc1CN(C)CC1=CCC=C(N(C)c2ccc3cccnc3c2)N1 7.723949 0.32786885245901637</t>
  </si>
  <si>
    <t>Cc1ccc(C)c(CN(C)c2ccc3nccc(CN(C)Cc4ccccn4)c3c2)n1 7.723946 0.38333333333333336</t>
  </si>
  <si>
    <t>CN(Cc1ccccn1)Cc1cccc(N(C)c2cccc3ncc(CF)cc23)n1 7.7239456 0.45454545454545453</t>
  </si>
  <si>
    <t>FCNc1ncccc1-c1cccc(C(c2ccccn2)c2ccccn2)n1 7.7239428 0.2962962962962963</t>
  </si>
  <si>
    <t>CCN(CC1=CCC=C(N(C)Cc2ccccn2)N1)c1cccc2cccnc12 7.7239337 0.4107142857142857</t>
  </si>
  <si>
    <t>Cc1cccc(-c2ccccn2)n1 7.7239323 0.5</t>
  </si>
  <si>
    <t>CC1(C)CCC1c1ncccc1C(=O)C(=O)C(=O)C(=O)C(=O)C(=O)C(=O)C(=O)C(=O)C(=O)C(=O)C(=O)C(=O)C(=O)C(=O)C(=O)C(=O)C(=O)C(=O)C(=O)C(=O)C(=O)C(=O)C(=O)C(=O)C(=O)C(=O)C(=O)C(=O)C(=O)C(=O)C(=O)C(=O)C(=O)C(=O)C=O 7.7239323 0.21428571428571427</t>
  </si>
  <si>
    <t>CC(C)(c1cccc(CNc2cccc(-c3cccc(-c4cccc(N=Cc5ccccn5)c4)n3)n2)n1)c1cccc(C2CCC2(C)C)n1 7.7239165 0.32926829268292684</t>
  </si>
  <si>
    <t>Cc1ccnc(-c2c(C)cccc2NCc2ccccn2)c1C 7.7239094 0.38636363636363635</t>
  </si>
  <si>
    <t>FCNc1ncccc1-c1ncccc1C(N=Cc1ccccn1)c1ccccn1 7.723907 0.3103448275862069</t>
  </si>
  <si>
    <t>Cc1ccnc(CN(Cc2ccnc(-c3cc(N(Cc4ccccn4)C(C)C)cc4ncccc34)c2)Cc2ccccn2)c1 7.7239013 0.3508771929824561</t>
  </si>
  <si>
    <t>Cc1ccc(CN(C)Cc2cccc(N(C)c3cccc4ccc(CF)nc34)n2)nc1 7.723897 0.4482758620689655</t>
  </si>
  <si>
    <t>CN(CN(Cc1ccccn1)c1cccc2ncccc12)c1ccccc1F 7.72389 0.40384615384615385</t>
  </si>
  <si>
    <t>Cc1cnccc1CN(C)c1ccccc1-c1ccc(CN(Cc2ccccn2)Cc2ccc(-c3cccc(N=Cc4ccccn4)c3)cn2)cn1 7.7238717 0.3103448275862069</t>
  </si>
  <si>
    <t>CNCCN(C)c1ccc2nccc(C)c2c1 7.723871 0.23529411764705882</t>
  </si>
  <si>
    <t>CN(C)Cc1cncc(-c2c(N)cccc2Cl)c1 7.7238708 0.27450980392156865</t>
  </si>
  <si>
    <t>CN(CCNc1ccc2ncccc2c1)Cc1ncccc1-c1cccc(N(C)C)c1 7.723862 0.3333333333333333</t>
  </si>
  <si>
    <t>Cc1ccc(CN(C)Cc2cccc(N(C)c3ccc4ccc(CF)nc4c3)n2)nc1 7.7238555 0.44</t>
  </si>
  <si>
    <t>Cc1cccc(CN(Cc2ccccn2)c2cccc3cccnc23)n1 7.7238545 0.4772727272727273</t>
  </si>
  <si>
    <t>CNCc1ncccc1-c1cccc(N=Cc2ccccn2)c1 7.7238526 0.3888888888888889</t>
  </si>
  <si>
    <t>Cc1ncccc1CN(C)CC1=CCC=C(N(C)c2ccc3ncccc3c2)N1 7.723848 0.3333333333333333</t>
  </si>
  <si>
    <t>CN(C)Cc1ncccc1-c1ccccc1N(C)C 7.7238245 0.35714285714285715</t>
  </si>
  <si>
    <t>CN(C)CC1=C(N(C)c2ccc3ccc(CF)nc3c2)CC=CN1 7.7237906 0.28125</t>
  </si>
  <si>
    <t>CN(Cc1ccccn1)C1=C(CN(C)c2ccc3nc(CF)ccc3c2)NC=CC1 7.723771 0.3709677419354839</t>
  </si>
  <si>
    <t>CN(CCCN(Cc1ccccn1)c1ccc2nc(CF)ccc2c1)c1ccc2ncccc2c1 7.7237673 0.43636363636363634</t>
  </si>
  <si>
    <t>CNCc1cc(-c2ccc(N=Cc3ccccn3)cc2)ccn1 7.723767 0.37735849056603776</t>
  </si>
  <si>
    <t>Cc1ccc(CN(C)c2ccc3nccc(CN(C)Cc4ccccn4)c3c2)nc1C 7.7237587 0.41379310344827586</t>
  </si>
  <si>
    <t>Cc1nccc(CN(C)CC2=CCC(N(C)c3cccc4ncccc34)=CN2)c1C 7.7237544 0.2923076923076923</t>
  </si>
  <si>
    <t>CN(Cc1ccccn1)c1ccc2nccc(CN(C)C3C=CC=CN3)c2c1 7.7237463 0.41935483870967744</t>
  </si>
  <si>
    <t>Fc1cccc(CN(Cc2ccccn2)c2ccc3ncccc3c2)n1 7.7237396 0.4482758620689655</t>
  </si>
  <si>
    <t>CN(C)CC1=CC(N(C)c2ccc3cccnc3c2)C=CN1 7.7237263 0.31666666666666665</t>
  </si>
  <si>
    <t>CC(C)c1cccc(CN(C)Cc2ccc(N(C)c3ccc4ncccc4c3)cn2)n1 7.7237177 0.39285714285714285</t>
  </si>
  <si>
    <t>CN(Cc1ccccn1)c1cc(C2CC(C)(C)C2)cc2cccnc12 7.7237043 0.47058823529411764</t>
  </si>
  <si>
    <t>CCN=Cc1cccc(-c2ccc(N=Cc3ccccn3)cc2)n1 7.7237034 0.4117647058823529</t>
  </si>
  <si>
    <t>CCNc1ncccc1-c1ccc(C(C)(c2ccccn2)c2ccccn2)cn1 7.7236986 0.4716981132075472</t>
  </si>
  <si>
    <t>CN(CCN)Cc1ncccc1-c1cccc2ncccc12 7.723679 0.3673469387755102</t>
  </si>
  <si>
    <t>CN(Cc1ccccn1)c1ccc2cccnc2c1-c1ncccc1CN(Cc1ccccn1)Cc1ccccn1 7.7236733 0.45098039215686275</t>
  </si>
  <si>
    <t>CN(Cc1ccccn1)C1=CNC(CN(C)c2cc(Cl)c(Cl)c(N(C)Cc3ccccn3)c2)=CC1 7.72366 0.5</t>
  </si>
  <si>
    <t>CN(Cc1ccccn1)C1=CNC(CN(Cc2ccccn2)c2cccc3ncccc23)=CC1 7.7236485 0.3728813559322034</t>
  </si>
  <si>
    <t>Cc1ccc(N(Cc2ccccn2)Cc2ncccc2-c2ccccc2N(C)C)cc1C 7.723627 0.3888888888888889</t>
  </si>
  <si>
    <t>Cc1cc(-c2cccc(NCc3ccc(C(C)(c4ccccn4)c4ccccn4)cn3)c2)ccn1 7.723622 0.34375</t>
  </si>
  <si>
    <t>CCN(Cc1ccccn1)c1ccc(-c2ncccc2CN(Cc2ccccn2)Cc2ncc(C)cc2C)c2ncccc12 7.723596 0.3333333333333333</t>
  </si>
  <si>
    <t>Cc1cccnc1CN(C)C1=C(CN(c2cccc3ncccc23)C(C)C)NC=CC1 7.7235827 0.2727272727272727</t>
  </si>
  <si>
    <t>Cc1cccc(CN(C)Cc2cccc(N(C)c3ccc4nc(CF)ccc4c3)n2)n1 7.7235746 0.5</t>
  </si>
  <si>
    <t>CNCC1=CCC=C(N(C)c2ccc3ccc(CF)nc3c2)N1 7.7235537 0.30158730158730157</t>
  </si>
  <si>
    <t>CC(C)N(Cc1ccccn1)c1cccc(-c2cc(CN(Cc3ccccn3)Cc3ccccn3)ccn2)c1N(C)c1ccc2ccc(CN(C)C)nc2c1 7.723553 0.40298507462686567</t>
  </si>
  <si>
    <t>Cc1cccnc1-c1cccc(NCc2cccc(C(C)(c3ccccn3)c3ccccn3)n2)c1 7.7235513 0.4166666666666667</t>
  </si>
  <si>
    <t>COC(=O)c1cc(CN(Cc2ccccn2)Cc2cc(-c3ccccc3N=Cc3ccccn3)ccn2)ccn1 7.7235503 0.3382352941176471</t>
  </si>
  <si>
    <t>CN(CC1=CCC=C(N(C)c2cccc3ncccc23)N1)Cc1ccccn1 7.7235475 0.39655172413793105</t>
  </si>
  <si>
    <t>CN(CC1=CCC=C(N(C)c2ccc3cccnc3c2)N1)Cc1cccnn1 7.723545 0.39285714285714285</t>
  </si>
  <si>
    <t>CC(C)c1cccc(-c2cc(CN(Cc3ccccn3)C3CCC(N(C)c4ccc5nccc(-c6ccc7ncccc7c6)c5c4)CC3)ccn2)c1 7.723542 0.2840909090909091</t>
  </si>
  <si>
    <t>Cc1cccnc1CN(Cc1ccccn1)c1ccc2ncccc2c1 7.7235317 0.39215686274509803</t>
  </si>
  <si>
    <t>Cc1nc(CN(C)CC2=C(N(C)c3ccc4cccnc4c3)CC=CN2)c(C)c(C)c1C 7.7235317 0.25</t>
  </si>
  <si>
    <t>CN(Cc1ccncc1)Cc1cccc(N(C)c2ccc3cccnc3c2)n1 7.7235303 0.375</t>
  </si>
  <si>
    <t>CN(Cc1ccc(-c2cccc(N=Cc3ccccn3)c2)cn1)Cc1ccon1 7.72353 0.3684210526315789</t>
  </si>
  <si>
    <t>CNCc1nccc2cc(N(C)CC3=C(N(C)Cc4ccccn4)CC=CN3)ccc12 7.723523 0.3333333333333333</t>
  </si>
  <si>
    <t>CN(C)CC1=CC(N(C)c2ccc3ncccc3c2)C=CN1 7.7235155 0.3220338983050847</t>
  </si>
  <si>
    <t>Cc1cccnc1CN(C)Cc1ccnc2ccc(N(C)Cc3cc(N)ccn3)cc12 7.7235155 0.2857142857142857</t>
  </si>
  <si>
    <t>C1=CNC(c2cccc(C(c3ccccn3)c3ccccn3)n2)=CC1 7.7235107 0.37735849056603776</t>
  </si>
  <si>
    <t>CC(C)C(C)(c1cccnc1)N(C)Cc1cccc(-c2cccc(N(C)c3ccc4ncccc4c3)c2)n1 7.7235065 0.33783783783783783</t>
  </si>
  <si>
    <t>Cc1cccc(-c2cccc(CN(C)Cc3cccc(-c4cccc(N=Cc5ccccn5)c4)n3)n2)c1 7.723503 0.4727272727272727</t>
  </si>
  <si>
    <t>CNCc1ncccc1-c1ccc(N=Cc2ccccn2)cc1 7.7235017 0.38461538461538464</t>
  </si>
  <si>
    <t>CCNCc1cccc(-c2cccc(NCc3ccccn3)c2-c2ccccc2N=Cc2ccccn2)n1 7.7234964 0.4098360655737705</t>
  </si>
  <si>
    <t>Cc1ccc2cc(N(C)CC3=CCC(N(Cc4ccccn4)Cc4ccc(C)c(C)n4)=CN3)ccc2n1 7.723496 0.34328358208955223</t>
  </si>
  <si>
    <t>Cc1cccnc1CN(C)Cc1ccnc2ccc(N(C)Cc3ncccc3C)cc12 7.7234917 0.3090909090909091</t>
  </si>
  <si>
    <t>Cc1ccc(CN(Cc2ccccn2)C2=C(CN(C)c3ccc4ncccc4c3)NC=CC2)nc1C 7.7234592 0.3235294117647059</t>
  </si>
  <si>
    <t>CN(CCN(C)c1cccc2cc3c(nc12)CCC3)Cc1cc(-c2ccccn2)ccn1 7.7234535 0.4461538461538462</t>
  </si>
  <si>
    <t>Cc1cc(C)c(CN(C)c2c(C)cc(C)c(C)c2N(C)Cc2ncccc2C)nc1C 7.723452 0.29411764705882354</t>
  </si>
  <si>
    <t>Cc1cccnc1CN(C)Cc1ccnc2cc(N(C)Cc3cc(N)ccn3)ccc12 7.7234406 0.2903225806451613</t>
  </si>
  <si>
    <t>Cc1cc(C)c(CN(C)CC2=CCC(N(C)c3cccc4ncccc34)=CN2)nc1C 7.7234273 0.25757575757575757</t>
  </si>
  <si>
    <t>CN(Cc1ccccn1)C1=CNC(CN(C)c2c(Cl)cc(Cl)cc2N(C)Cc2ccccn2)=CC1 7.7234235 0.5</t>
  </si>
  <si>
    <t>CC(C)C(C)(c1cccnc1)N(C)c1ccc2nc(-c3cccc(NCc4ccccn4)c3)ccc2c1 7.723415 0.3037974683544304</t>
  </si>
  <si>
    <t>CCN(CC1=CCC(N(C)Cc2cc(C)c(C)c(C)n2)=CN1)c1cccc2ncccc12 7.7234135 0.2608695652173913</t>
  </si>
  <si>
    <t>Cc1cnc(C)c(CN(C)Cc2cccc(N(C)c3ccc4nc(CF)ccc4c3)n2)c1 7.7234125 0.3275862068965517</t>
  </si>
  <si>
    <t>FCNc1cc(-c2cc(C(c3ccccn3)c3ccccn3)ccn2)ccn1 7.7233973 0.25</t>
  </si>
  <si>
    <t>Cc1ccnc(CN(C)Cc2ncccc2N(C)c2ccc3ncc(CF)cc3c2)c1 7.723388 0.2878787878787879</t>
  </si>
  <si>
    <t>CNCc1ncccc1CN(C)c1cccc2ncccc12 7.723382 0.3673469387755102</t>
  </si>
  <si>
    <t>CN(c1ccc2ncccc2c1)c1ccccc1CN(C)C(C)(c1cccnc1)c1ccccn1 7.723381 0.30158730158730157</t>
  </si>
  <si>
    <t>Cc1ccc(-c2cccc(N=Cc3ccccn3)c2)cc1 7.723378 0.4888888888888889</t>
  </si>
  <si>
    <t>Cc1cnc(CN(C)c2ccc3nc(CN(C)Cc4nccc(C)c4C)ccc3c2)c(C)c1 7.723378 0.3392857142857143</t>
  </si>
  <si>
    <t>CC(C1=CC2C=Cc3cccnc3C2=CN1)(c1ccccc1)c1ccccn1 7.7233768 0.31666666666666665</t>
  </si>
  <si>
    <t>CN(Cc1ccccn1)C1=CNC=C(CN(C)c2ccc3ccc(CF)nc3c2)C1 7.723372 0.3898305084745763</t>
  </si>
  <si>
    <t>Cc1cccc(-c2ccc(CN(C)Cc3cccc(N)n3)cn2)c1-c1ccccn1 7.723372 0.49056603773584906</t>
  </si>
  <si>
    <t>Cc1cc(C)c(C)c(CN(C)c2ccc3nccc(CN(C)Cc4nccc(C)c4C)c3c2)c1 7.7233663 0.21875</t>
  </si>
  <si>
    <t>Cc1nc(CN(C)Cc2ccc3cc(N(C)Cc4ccnc(C(C)C)c4)ccc3n2)c(C)c(C)c1C 7.7233653 0.25396825396825395</t>
  </si>
  <si>
    <t>Cc1ccc(-c2cccc(CN(C)Cc3cccc(-c4cccc(N=Cc5ccccn5)c4)n3)n2)cc1 7.7233577 0.4642857142857143</t>
  </si>
  <si>
    <t>CC(C)N(C)C1=CCC=C(CN(C)c2cccc3ncccc23)N1 7.7233567 0.34545454545454546</t>
  </si>
  <si>
    <t>Cc1cnccc1CN(C)CC1=CCC=C(N(C)c2cccc3cccnc23)N1 7.7233453 0.38333333333333336</t>
  </si>
  <si>
    <t>Cc1cccnc1CN(C)Cc1ccc2cc(N(C)C)ccc2n1 7.723343 0.36538461538461536</t>
  </si>
  <si>
    <t>Cc1cc(-c2ncccc2CN(C)C2CCC(N(C)c3ccc4nccc(CF)c4c3)CC2)cc2cccnc12 7.7233396 0.2777777777777778</t>
  </si>
  <si>
    <t>CCN(Cc1ccccn1)c1cccc(N(Cc2ccc3cccnc3c2)c2ccc3cccnc3c2)c1CN(Cc1ccccn1)Cc1ccccn1 7.7233396 0.4482758620689655</t>
  </si>
  <si>
    <t>CN(Cc1cccc(C2=CCC=CN2)n1)Cc1cccc(-c2cccc(N(C)C)c2)n1 7.7233343 0.3684210526315789</t>
  </si>
  <si>
    <t>CN(Cc1ccc(-c2ccc(N=Cc3ccccn3)cc2)cn1)Cc1ccon1 7.723331 0.39622641509433965</t>
  </si>
  <si>
    <t>Cc1cccnc1CN(C)CC1=CCC=C(N(C)c2ccc3cccnc3c2)N1 7.7233095 0.265625</t>
  </si>
  <si>
    <t>Cc1ccc(CN(C)C2=C(CN(C)c3ccc4ccc(CF)nc4c3)NC=CC2)nc1 7.723301 0.3620689655172414</t>
  </si>
  <si>
    <t>Cc1cc(CN(C)c2cccc3ccnc(CN(C)Cc4ccccn4)c23)nc(C)c1C 7.723285 0.42857142857142855</t>
  </si>
  <si>
    <t>CCOC(=O)c1cc(-c2cc(C(=O)C(=O)C(C)NCc3ccccn3)ccn2)ccn1 7.7232804 0.3380281690140845</t>
  </si>
  <si>
    <t>Cc1cccc(N(C)CC2=CC(N(C)c3ccc4cc(CF)cnc4c3)C=CN2)c1 7.723279 0.2638888888888889</t>
  </si>
  <si>
    <t>CN(Cc1ccccn1)Cc1ccc2cccc(N(C)Cc3ccon3)c2n1 7.7232757 0.4716981132075472</t>
  </si>
  <si>
    <t>CNCc1cccc(-c2ccc(C)cc2N=Cc2ccccn2)n1 7.7232738 0.43636363636363634</t>
  </si>
  <si>
    <t>Cc1cccnc1CN(C)Cc1cccc(N(C)c2cccc3ccc(CF)nc23)n1 7.7232695 0.4262295081967213</t>
  </si>
  <si>
    <t>Cc1cc(CN(C)c2ccc3nccc(CN(C)Cc4ncccc4C)c3c2)cnc1C 7.7232623 0.265625</t>
  </si>
  <si>
    <t>Cc1cncc(CN(C)c2ccccc2-c2cccnc2CN(Cc2ccccn2)Cc2ncccc2-c2cccc(N=Cc3ccccn3)c2)c1 7.72326 0.3150684931506849</t>
  </si>
  <si>
    <t>FCc1cccc(NCc2cc(-c3cc(C(c4ccccn4)c4ccccn4)ccn3)ccn2)n1 7.7232413 0.3225806451612903</t>
  </si>
  <si>
    <t>CNc1ccccc1-c1cc(C(C)(C)c2ccccn2)ccn1 7.723226 0.3269230769230769</t>
  </si>
  <si>
    <t>Cc1ccc(CN(C)CC2=CCC=C(N(C)c3cccc4ncccc34)N2)nc1 7.723213 0.38596491228070173</t>
  </si>
  <si>
    <t>CN(Cc1cccc(F)n1)c1c(N(C)C2CCCCC2N(C)c2ccc3cccnc3c2)ccc2cccnc12 7.723193 0.4918032786885246</t>
  </si>
  <si>
    <t>CNCc1cc(-c2ccccc2N=Cc2ccccn2)ccn1 7.7231812 0.45098039215686275</t>
  </si>
  <si>
    <t>Cc1cccnc1CN(C)C1=CNC=CC1CN(C)c1ccc2cccnc2c1 7.72318 0.26153846153846155</t>
  </si>
  <si>
    <t>Cc1ccnc(CN(C)C2=CNC(CN(c3ccc4ncccc4c3)C(C)C)=CC2)c1C 7.723174 0.23529411764705882</t>
  </si>
  <si>
    <t>CN(CC1=CCC=C(N(C)C(c2ccccn2)c2ccccn2)N1)c1ccc(Cl)c(Cl)c1 7.723169 0.3559322033898305</t>
  </si>
  <si>
    <t>Cc1cc(CN(C)C2CCC(N(C)c3ccc4nc(-c5cccc(-c6cccc(N(C)C)c6)n5)ccc4c3)CC2)nc(C)c1C 7.7231536 0.2714285714285714</t>
  </si>
  <si>
    <t>CN(C)c1c(-c2cnccc2CN(Cc2ccccn2)C2CCCC(N(C)c3cccc4ncc(CF)cc34)C2)ccc2cccnc12 7.723147 0.29411764705882354</t>
  </si>
  <si>
    <t>CC(C)(C1=CC2C(=CN1)C=Cc1cccnc12)c1ccccn1 7.723143 0.2982456140350877</t>
  </si>
  <si>
    <t>Cc1ccc(C)c(CN(C)Cc2cccc(N(C)c3ccc4nc(CF)ccc4c3)n2)n1 7.723139 0.39622641509433965</t>
  </si>
  <si>
    <t>Cc1cncc(CN(C)c2ccc3nccc(CN(C)Cc4cc(C)c(C)c(C)n4)c3c2)c1 7.7231283 0.25</t>
  </si>
  <si>
    <t>CN(C)CC1=CC(N(C)c2cccc3ncccc23)C=CN1 7.723121 0.3448275862068966</t>
  </si>
  <si>
    <t>CN(CCN(C)c1ccc2nccc(C3=CCC=CN3)c2c1)Cc1ccccn1 7.723119 0.421875</t>
  </si>
  <si>
    <t>Cc1ccc(N(Cc2ccccn2)Cc2ncccc2-c2ccc(N=Cc3ccccn3)cc2)cc1C 7.7230983 0.34375</t>
  </si>
  <si>
    <t>CNCc1ncccc1-c1ccccc1N=Cc1ccccn1 7.7230964 0.48936170212765956</t>
  </si>
  <si>
    <t>Cc1ccc(C)c(CN(C)CC2=CCC=C(N(C)c3ccc4cccnc4c3)N2)n1 7.723093 0.2537313432835821</t>
  </si>
  <si>
    <t>CN(Cc1ccccn1)C1=C(CN(C)c2ccc3cc(CF)cnc3c2)NC=CC1 7.7230897 0.34375</t>
  </si>
  <si>
    <t>CN(Cc1ccccn1)Cc1ncccc1N(C)c1ccc2ncccc2c1 7.7230887 0.45098039215686275</t>
  </si>
  <si>
    <t>CN(C1=CC=CC(NCc2ccccn2)N1)c1ccc2ncccc2c1 7.7230725 0.3064516129032258</t>
  </si>
  <si>
    <t>CN(Cc1ccccn1)Cc1ncccc1N(C)c1cccc2ncc(CF)cc12 7.723071 0.40350877192982454</t>
  </si>
  <si>
    <t>CN(Cc1cccnc1)c1ccc2nc(CF)ccc2c1 7.7230706 0.3125</t>
  </si>
  <si>
    <t>Cc1ccc(N(Cc2ccccn2)Cc2ncccc2-c2ccccc2N=Cc2ccccn2)cc1C 7.7230697 0.423728813559322</t>
  </si>
  <si>
    <t>CN(Cc1ccccn1)C1=CCC=C(CN(Cc2cccnc2)c2cccc3cccnc23)N1 7.7230687 0.3709677419354839</t>
  </si>
  <si>
    <t>CN(Cc1ccccn1)Cc1ncccc1N(C)c1ccc2cccnc2c1 7.723065 0.45098039215686275</t>
  </si>
  <si>
    <t>CNc1ccc2nccc(CN(C)Cc3nc(C)cc(C)c3C)c2c1 7.7230635 0.25</t>
  </si>
  <si>
    <t>Cc1cc(CN(C)C2=CNC(CN(Cc3ccccn3)c3ccc4ncccc4c3)=CC2)cnc1C 7.723033 0.3108108108108108</t>
  </si>
  <si>
    <t>Cc1cccnc1CN(C)Cc1ncccc1N(C)c1ccc2ccc(CF)nc2c1 7.7230067 0.3125</t>
  </si>
  <si>
    <t>Cc1ccc(-c2cc(C(C)C)ccn2)cc1N(C)Cc1ccccn1 7.7230043 0.48</t>
  </si>
  <si>
    <t>Cc1ncc(CN(C)C2=CNC=CC2CN(C)c2ccc3cccnc3c2)c(C)c1C 7.723002 0.2647058823529412</t>
  </si>
  <si>
    <t>CN(C)c1ccccc1-c1cccc(CN(C)c2ccccc2)n1 7.722995 0.40425531914893614</t>
  </si>
  <si>
    <t>Cc1ccc(N(Cc2ccccn2)Cc2ncccc2-c2cccc(N=Cc3ccccn3)c2)c(C)c1 7.722989 0.3484848484848485</t>
  </si>
  <si>
    <t>FCc1ncccc1NCc1ncccc1-c1ncccc1C(c1ccccn1)c1ccccn1 7.722984 0.24528301886792453</t>
  </si>
  <si>
    <t>CNCc1cccc(-c2ccc(N(C)Cc3ccccn3)c(C(C)C)c2Cl)n1 7.7229743 0.45454545454545453</t>
  </si>
  <si>
    <t>CN(C)Cc1cccc(-c2cccc(N(C)C)c2)n1 7.7229733 0.44</t>
  </si>
  <si>
    <t>CN(C)Cc1ccc(-c2ccc(N=Cc3ccccn3)cc2)cn1 7.722973 0.38461538461538464</t>
  </si>
  <si>
    <t>Cc1cccc(CN(C)Cc2cccc(N(C)c3cccc4ccc(CF)nc34)n2)n1 7.7229705 0.48148148148148145</t>
  </si>
  <si>
    <t>CN(C)Cc1cc(-c2ccccc2N(C)C)ccn1 7.722969 0.37777777777777777</t>
  </si>
  <si>
    <t>CN(Cc1ccc(-c2cccc(N=Cc3ccccn3)c2)cn1)Cc1ccc(-c2cccc(NCc3ccccn3)c2)cn1 7.7229433 0.35384615384615387</t>
  </si>
  <si>
    <t>Cc1ccc(-c2ccc(C)c(C)c2-c2cc(CN(Cc3ccccn3)Cc3ccccn3)ccn2)cc1N=Cc1ccccn1 7.7229433 0.38461538461538464</t>
  </si>
  <si>
    <t>CC(C)N(C)c1ccc2nc3c(cc2c1)CCC3 7.7229385 0.38461538461538464</t>
  </si>
  <si>
    <t>Cc1cc(C)c(CN(C)Cc2cccc(N(C)c3ccc4nc(CF)ccc4c3)n2)cn1 7.722938 0.3508771929824561</t>
  </si>
  <si>
    <t>CN(c1ccc2cccnc2c1)C1CCC(N(c2ccc3ncccc3c2)c2ccccn2)CC1 7.7229285 0.3050847457627119</t>
  </si>
  <si>
    <t>CC1=CCC(C)C=C1N(C)Cc1cc(-c2ccccc2N=Cc2ccccn2)ccn1 7.7229257 0.36363636363636365</t>
  </si>
  <si>
    <t>CNCc1ncc(-c2ccccc2N(C)C)cc1C 7.7229247 0.24528301886792453</t>
  </si>
  <si>
    <t>Cc1cccnc1CN(C)C1=C(CN(C)c2ccc3nc(CF)ccc3c2)NC=CC1 7.7229176 0.2571428571428571</t>
  </si>
  <si>
    <t>Cc1cnc(CN(C)Cc2nc3ccccc3n2C)c(C)c1C 7.722912 0.43137254901960786</t>
  </si>
  <si>
    <t>CN(Cc1ccccn1)C1=C(CN(C)c2ccc3ncc(CF)cc3c2)NC=CC1 7.722875 0.3384615384615385</t>
  </si>
  <si>
    <t>CNCc1ccc2c(C)ccnc2c1 7.722872 0.22448979591836735</t>
  </si>
  <si>
    <t>Cc1cnc(CN(C)c2ccc3nccc(CN(C)Cc4ccccn4)c3c2)c(C)c1 7.7228703 0.36065573770491804</t>
  </si>
  <si>
    <t>CC(C)c1ncccc1CN(C)Cc1cccc(N(C)c2ccc3ncccc3c2)n1 7.7228627 0.375</t>
  </si>
  <si>
    <t>CC(C)C(C)(c1cccnc1)N(C)Cc1ccc2ccc3cccnc3c2n1 7.722843 0.35714285714285715</t>
  </si>
  <si>
    <t>Cc1ccc(-c2cc(NCc3ccccn3)c(C)cc2-c2ccccc2)c(NCc2ccccn2)c1 7.72284 0.44642857142857145</t>
  </si>
  <si>
    <t>Cc1cccc(-c2ccc(NCc3ccc(C(C)(c4ccccn4)c4ccccn4)cn3)cc2)n1 7.7228155 0.4098360655737705</t>
  </si>
  <si>
    <t>CN(Cc1ccccn1)C1=CNC(CN(C)c2ccc3nc(CF)ccc3c2)=CC1 7.7227974 0.38333333333333336</t>
  </si>
  <si>
    <t>FCNc1ncccc1-c1cc(C(c2ccccn2)c2ccccn2)ccn1 7.7227836 0.25</t>
  </si>
  <si>
    <t>CN(c1ccc2ncccc2c1)C1CCC(N(c2ccccn2)c2cccc3cccnc23)CC1 7.7227817 0.45454545454545453</t>
  </si>
  <si>
    <t>Cc1cc(CN(C)Cc2cccc(N(C)c3ccc4nc(CF)ccc4c3)n2)cnc1C 7.722781 0.3275862068965517</t>
  </si>
  <si>
    <t>Cc1ccc(CN(C)CC2=NCC(N(c3cccc4c(CF)c(CF)c(CF)nc34)c3c(C)c4c(CF)c(CF)c(CF)nc4c4c(CF)c(CF)c(CF)nc34)C=C2)c(C)n1 7.722778 0.21794871794871795</t>
  </si>
  <si>
    <t>Cc1cc(CN(C)c2ccc3nc(CN(Cc4nc(C)c(C)c(C)c4C)Cc4nc(C)c(C)c(C)c4C)ccc3c2)cnc1C 7.722773 0.32727272727272727</t>
  </si>
  <si>
    <t>CN(CC1=CCC=C(N(C)C(c2ccccn2)c2ccccn2)N1)c1cc(Cl)ccc1Cl 7.722773 0.3728813559322034</t>
  </si>
  <si>
    <t>Cc1ccc(CN(C)c2cccnc2C2=CCC=C(N(C)Cc3ccccn3)N2)nc1 7.7227716 0.40350877192982454</t>
  </si>
  <si>
    <t>CCN(CC1=CCC=C(N(C)Cc2ccccn2)N1)c1cccc2ncccc12 7.7227354 0.36666666666666664</t>
  </si>
  <si>
    <t>CN(C)Cc1ccc(-c2ccc(Cl)cc2N)cn1 7.7227325 0.32608695652173914</t>
  </si>
  <si>
    <t>Cc1cnccc1CN(C)CC1=CCC=C(N(C)c2cccc3ncccc23)N1 7.7227173 0.2727272727272727</t>
  </si>
  <si>
    <t>C=Nc1cccc(-c2cccc(CN(C)Cc3cccc(-c4ccc(C)cc4C)n3)n2)c1 7.722715 0.375</t>
  </si>
  <si>
    <t>CN(C)c1ccc2nc3c(cc2c1)CCCC3 7.722705 0.40816326530612246</t>
  </si>
  <si>
    <t>CCN(CC1=CCC=C(N(C)Cc2ncccc2C)N1)c1ccc2cccnc2c1 7.7226996 0.25</t>
  </si>
  <si>
    <t>Cc1cccnc1CN(C)Cc1ccnc2cccc(N(C)Cc3ncccc3C)c12 7.722687 0.33962264150943394</t>
  </si>
  <si>
    <t>CCN(Cc1ccccn1)c1c(C(C)(C)C)c(N(C)Cc2ccccn2)cc2ncccc12 7.7226853 0.46153846153846156</t>
  </si>
  <si>
    <t>Cc1cccc(CN(C)c2ccc3nc(CN(C)Cc4nc(C)c(C)c(C)c4C)ccc3c2)n1 7.722685 0.46938775510204084</t>
  </si>
  <si>
    <t>Cc1cccnc1CN(C)C1=CNC(CN(c2cccc3ncccc23)C(C)C)=CC1 7.7226744 0.28125</t>
  </si>
  <si>
    <t>CN(C)Cc1cccc(-c2ccc(N(C)C)cc2)n1 7.7226644 0.4186046511627907</t>
  </si>
  <si>
    <t>Cc1ccc(-c2ccc(CN(C)Cc3cccc(-c4cccc(N=Cc5ccccn5)c4)n3)cc2)nc1 7.722655 0.4</t>
  </si>
  <si>
    <t>CN(Cc1ccccn1)C1=CCC=C(CN(Cc2ccccn2)c2cccc3cccnc23)N1 7.7226434 0.42592592592592593</t>
  </si>
  <si>
    <t>CNCc1ccc(C)c(CN(C)c2ccc3ncccc3c2)n1 7.722642 0.2909090909090909</t>
  </si>
  <si>
    <t>Cc1cncc(CN(C)c2ccccc2-c2cccnc2CN(Cc2ccccn2)Cc2ccc(N)c(-c3ccc(N=Cc4ccccn4)cc3)n2)c1 7.7226305 0.2839506172839506</t>
  </si>
  <si>
    <t>CCNc1ncccc1-c1cc(C(C)(c2ccccn2)c2ccccn2)ccn1 7.7226286 0.46296296296296297</t>
  </si>
  <si>
    <t>Cc1ccc(CN(Cc2ccccn2)c2ccc(N=Cc3ccccn3)cc2C2=CCC=CN2)nc1 7.722624 0.38028169014084506</t>
  </si>
  <si>
    <t>CN(c1ccc2ccc(C3=CCC=CN3)nc2c1)C1CCC(N(C)c2cccc3ccc(CF)nc23)CC1 7.722604 0.47692307692307695</t>
  </si>
  <si>
    <t>Cc1ccc(-c2ccccc2CNCc2ccccn2)nc1-c1cccc(-c2ccccc2)c1 7.722594 0.37254901960784315</t>
  </si>
  <si>
    <t>CC(C)N(CC1=CCC=C(N(C)Cc2ccccn2)N1)c1ccc2cccnc2c1 7.722593 0.3709677419354839</t>
  </si>
  <si>
    <t>CC(C)N(Cc1ccccn1)c1ccc2nccc(C(C)(C)c3ccccn3)c2c1 7.72259 0.3888888888888889</t>
  </si>
  <si>
    <t>CN(CC1=C(N(C)C(c2ccccc2)c2ccccn2)CC=CN1)c1ccc2ncccc2c1 7.72258 0.3582089552238806</t>
  </si>
  <si>
    <t>Cc1cncc(CNCc2ccc(N(C)c3ccc4ncccc4c3)cn2)c1 7.7225795 0.26785714285714285</t>
  </si>
  <si>
    <t>Cc1cc(-c2cccc(N(C)C)c2)c(C)nc1CN(C)c1ccnc(CN(C)Cc2ccccn2)c1 7.722577 0.4</t>
  </si>
  <si>
    <t>Cc1cccc2ccc(CN(C)C)nc12 7.722568 0.39473684210526316</t>
  </si>
  <si>
    <t>CN(C)Cc1ccc2c(N(C)C3CCCC(N(C)c4cc5ncccc5cc4N(C)Cc4ccccn4)C3)cccc2n1 7.7225413 0.390625</t>
  </si>
  <si>
    <t>Cc1cccc(-c2cccc(CN(C)Cc3ccc(-c4cccc(N=Cc5ccccn5)c4)cn3)n2)c1 7.722517 0.43548387096774194</t>
  </si>
  <si>
    <t>CN(Cc1ccccc1)c1ccc2ncccc2c1 7.7225084 0.36363636363636365</t>
  </si>
  <si>
    <t>CNCCN(C)c1ccc2c(C)ccnc2c1 7.7224975 0.23529411764705882</t>
  </si>
  <si>
    <t>Cc1cccnc1CN(C)Cc1ncccc1N(C)c1cccc2ccc(CF)nc12 7.7224975 0.45614035087719296</t>
  </si>
  <si>
    <t>CN(C)Cc1ncccc1-c1ccc(Cl)cc1N 7.722492 0.32653061224489793</t>
  </si>
  <si>
    <t>CN(Cc1ccon1)Cc1ncccc1-c1cccc(N=Cc2ccccn2)c1 7.7224917 0.3620689655172414</t>
  </si>
  <si>
    <t>CN(C)Cc1ccc2cc(N(C)C3C=CC=CN3)ccc2n1 7.722489 0.30612244897959184</t>
  </si>
  <si>
    <t>CC(C)N(C)c1cc(N(Cc2ccccn2)C(C)C)cc2ncccc12 7.7224874 0.48936170212765956</t>
  </si>
  <si>
    <t>CN(CCN(C)c1ccc2nc(CF)ccc2c1)Cc1ccc2ncccc2c1 7.7224803 0.36363636363636365</t>
  </si>
  <si>
    <t>CNCc1cc(CN(C)c2ccc3nc(C)ccc3c2)ccn1 7.722475 0.28846153846153844</t>
  </si>
  <si>
    <t>c1ccc(-c2cccnn2)nc1 7.7224736 0.45454545454545453</t>
  </si>
  <si>
    <t>CC(C)N(C)Cc1cc(-c2ccc3ncccc3c2)ccn1 7.72247 0.3469387755102041</t>
  </si>
  <si>
    <t>Cc1cc(CN(C)Cc2ccc(N(C)c3ccc4nc(CF)ccc4c3)cn2)cnc1C 7.7224593 0.35185185185185186</t>
  </si>
  <si>
    <t>CCN(Cc1ccccn1)C1=CCC=C(CN(C)c2cccc3cccnc23)N1 7.722453 0.43636363636363634</t>
  </si>
  <si>
    <t>Cc1ccnc(CN(C)Cc2ccnc3cccc(N(C)Cc4ccccn4)c23)c1C 7.722453 0.41818181818181815</t>
  </si>
  <si>
    <t>CN(CCN(CC(C)(C)C)c1ccc2ncccc2c1)c1ccc2ncccc2c1 7.722442 0.3829787234042553</t>
  </si>
  <si>
    <t>CC(C)C1=CC2(C=CN1)C(c1ccc(CN(Cc3ccccn3)c3ccc4ncccc4c3)cn1)=CCC(c1cccc(CN(Cc3ccccn3)c3ccc4ncccc4c3)n1)C2(C)C 7.722408 0.27058823529411763</t>
  </si>
  <si>
    <t>CCN(Cc1ccccn1)c1cccnc1-c1cc(C(C)(c2ccccn2)c2ccccn2)ccn1 7.7223935 0.375</t>
  </si>
  <si>
    <t>CN(C)Cc1ccc2cccc(N(C)Cc3ncccc3C(C)(C)C)c2n1 7.7223935 0.4489795918367347</t>
  </si>
  <si>
    <t>Cc1ncccc1CN(C)CC1=CCC=C(N(C)c2cccc3ncccc23)N1 7.7223926 0.3114754098360656</t>
  </si>
  <si>
    <t>CN(Cc1cc(-c2cccc(N=Cc3ccccn3)c2)ccn1)Cc1ccon1 7.7223825 0.3888888888888889</t>
  </si>
  <si>
    <t>COC(=O)NCNCc1cccc(C(=O)C(=O)C(=O)C(=O)C(=O)C(=O)C(=O)C(=O)C(=O)C(=O)C(=O)C(=O)C(=O)C(=O)C(=O)C(=O)C(=O)C(=O)C(=O)C(=O)C(=O)C(=O)C(=O)C(=O)C(=O)C(=O)C(=O)C(=O)C(=O)C(=O)C(=O)C(=O)C(=O)C(=O)C=O)n1 7.7223806 0.2222222222222222</t>
  </si>
  <si>
    <t>Cc1ccc(CN(C)c2cccnc2CN(Cc2ccccn2)c2ccc3nc(CF)ccc3c2)nc1 7.7223735 0.39344262295081966</t>
  </si>
  <si>
    <t>Cc1ccnc(-c2ccccc2N(C)Cc2ccnc(C)c2)c1 7.7223434 0.3333333333333333</t>
  </si>
  <si>
    <t>Cc1ccc(NC2CCC(N(C)c3cccc4cc(-c5ccc6ncccc6c5)cnc34)CC2)cc1 7.722334 0.375</t>
  </si>
  <si>
    <t>Cc1ccc(-c2ccc(CN(C)Cc3cccc(-c4ccc(N=Cc5ccccn5)cc4)n3)cc2)nc1 7.722328 0.4262295081967213</t>
  </si>
  <si>
    <t>CN(CCN(C)c1ccc2c(C3=CCC=CN3)ccnc2c1)Cc1ccccn1 7.7223277 0.421875</t>
  </si>
  <si>
    <t>CN(Cc1ccccn1)C1=CCC=C(CN(C)c2ccc(Cl)c(Cl)c2N(C)Cc2ccccn2)N1 7.7223163 0.49056603773584906</t>
  </si>
  <si>
    <t>CN(C)Cc1ncccc1-c1cccc(N=Cc2ccccn2)c1 7.722303 0.3888888888888889</t>
  </si>
  <si>
    <t>CN(CC1=C(N(C)C(c2ccccc2)c2ccccn2)CC=CN1)c1ccc2cccnc2c1 7.7222996 0.35294117647058826</t>
  </si>
  <si>
    <t>Cc1cccnc1CN(C)CCN(C)c1ccc2nc(-c3ccccn3)ccc2c1 7.722296 0.39285714285714285</t>
  </si>
  <si>
    <t>Cc1ccc(CN(C)c2c(Cl)ccc(N(C)Cc3cccc(F)n3)c2Cl)nc1 7.7222934 0.4117647058823529</t>
  </si>
  <si>
    <t>Cc1c(-c2ccccc2)ccc(NCc2ccccn2)c1-c1ccc(NCc2ccccn2)nc1CF 7.7222915 0.43333333333333335</t>
  </si>
  <si>
    <t>Cc1cccc(-c2c(C)ccc(C)c2-c2cc(CN(Cc3ccccn3)Cc3ccccn3)ccn2)c1N=Cc1ccccn1 7.722288 0.4262295081967213</t>
  </si>
  <si>
    <t>CCN(Cc1ccccn1)C1=CCC=C(CN(C)c2ccc3cccnc3c2)N1 7.722286 0.3770491803278688</t>
  </si>
  <si>
    <t>CN(Cc1ccccn1)Cc1cc(N(C)c2ccc3ncccc3c2)ccn1 7.722279 0.4791666666666667</t>
  </si>
  <si>
    <t>Cc1cccnc1CN(C)C1=C(CN(C)c2ccc3ccc(CF)nc3c2)NC=CC1 7.7222743 0.2608695652173913</t>
  </si>
  <si>
    <t>FCc1cc(-c2c(Cl)ccc(Cl)c2NCc2ccccn2)cc(NCc2ccccn2)n1 7.722267 0.43859649122807015</t>
  </si>
  <si>
    <t>CN(c1cccc2ncc(CF)cc12)C1CCCCC1N(C)c1cccc2ccc(C3=CCC=CN3)nc12 7.7222633 0.4852941176470588</t>
  </si>
  <si>
    <t>CC(C)N(CCN(C)c1cccc2ncccc12)Cc1cccc2ncccc12 7.722254 0.45652173913043476</t>
  </si>
  <si>
    <t>CN(Cc1ccon1)Cc1ncccc1-c1ccccc1N=Cc1ccccn1 7.7222285 0.41818181818181815</t>
  </si>
  <si>
    <t>Cc1cccnc1CN(Cc1ccc(C(C)(C)c2ccccn2)nc1)c1ccc2ncccc2c1 7.7222114 0.31746031746031744</t>
  </si>
  <si>
    <t>c1ccc(-c2cccc(-c3ccccc3NCc3ccccn3)n2)cc1 7.7222114 0.47058823529411764</t>
  </si>
  <si>
    <t>Cc1ccc(CN(C)c2ccc3ccc(CN(C)Cc4nc(C)c(C)c(C)c4C)nc3c2)nc1 7.722208 0.44</t>
  </si>
  <si>
    <t>Cc1cnc(CN(C)Cc2cccc(N(C)c3ccc4nc(CF)ccc4c3)n2)c(C)c1 7.722206 0.3275862068965517</t>
  </si>
  <si>
    <t>Cc1cc(CN(C)Cc2ccnc3ccc(N(C)Cc4ccccn4)cc23)nc(C)c1C 7.722203 0.38333333333333336</t>
  </si>
  <si>
    <t>CN(Cc1ccccn1)C1=CNC(CN(C)c2ccc3cc(CF)cnc3c2)=CC1 7.722193 0.3492063492063492</t>
  </si>
  <si>
    <t>Cc1ccccc1-c1cccc(CN(C)Cc2cccc(-c3cccc(N=Cc4ccccn4)c3)n2)n1 7.722191 0.4482758620689655</t>
  </si>
  <si>
    <t>Cc1ccnc(CN(C)c2ccc3nccc(CN(C)Cc4cc(C)c(C)c(C)n4)c3c2)c1 7.7221875 0.2857142857142857</t>
  </si>
  <si>
    <t>Cc1ccc(-c2cccc(NCc3ccccn3)c2)nc1-c1cccc(NCc2ccccn2)c1 7.722182 0.40350877192982454</t>
  </si>
  <si>
    <t>Cc1nc(N(c2nc(C)c(C)c(C)c2C)C2CCC(N(C)c3ccc4cc5c(nc4c3)CCCC5)CC2N(C)c2ccc3cc(CF)cnc3c2)c(C)c(C)c1C 7.7221704 0.31645569620253167</t>
  </si>
  <si>
    <t>Cc1cnc(CN(C)c2ccccc2-c2cnc(CN(Cc3ccccn3)Cc3ccc(-c4cccc(N=Cc5ccccn5)c4)cn3)c(C(C)C)c2)c(C)c1 7.722167 0.2875</t>
  </si>
  <si>
    <t>CC(C)C(C)(c1cccnc1)N(C)Cc1cc(-c2cccc(N(C)c3ccc4ncccc4c3)c2)ccn1 7.722166 0.24285714285714285</t>
  </si>
  <si>
    <t>Cc1cc(-c2ccccc2N)c(N(C)Cc2ccccn2)c(N(C)Cc2cccnn2)c1 7.7221627 0.47058823529411764</t>
  </si>
  <si>
    <t>CN(Cc1ccccn1)Cc1cccc(N(C)c2cccc3c(CF)ccnc23)n1 7.7221627 0.4716981132075472</t>
  </si>
  <si>
    <t>CC(C)N(C)Cc1ncccc1-c1ccc2ncccc2c1 7.7221503 0.3076923076923077</t>
  </si>
  <si>
    <t>CC1COC(c2cccc(CN(C)Cc3cccc(-c4cccc(N=Cc5ccccn5)c4)n3)n2)=N1 7.7221456 0.4</t>
  </si>
  <si>
    <t>CC(c1ccnc(-c2cc(CF)nc(NCc3ccccn3)c2)c1)(c1ccccn1)c1ccccn1 7.7221107 0.38095238095238093</t>
  </si>
  <si>
    <t>Cc1cccnc1-c1cccc(NCc2ccc(C(C)(c3ccccn3)c3ccccn3)cn2)c1 7.722101 0.3384615384615385</t>
  </si>
  <si>
    <t>CN(c1cccc2ncccc12)C1CCCCC1N(c1cccnc1)c1cccc2ncccc12 7.7221003 0.4807692307692308</t>
  </si>
  <si>
    <t>Cc1cc(CN(C)Cc2ccnc3cccc(N(C)Cc4ccccn4)c23)nc(C)c1C 7.7220936 0.42105263157894735</t>
  </si>
  <si>
    <t>CN(Cc1ccccn1)C1=CCC=C(CN(Cc2cccnc2)c2cccc3ncccc23)N1 7.7220864 0.3333333333333333</t>
  </si>
  <si>
    <t>CN(Cc1ccccn1)C1=CNC(CN(C)c2ccc3ccc(CF)nc3c2)=CC1 7.7220616 0.3898305084745763</t>
  </si>
  <si>
    <t>CCN(c1cccc2cccnc12)C12CCC(N(C)c3cccc4cccnc34)(CC1)C2 7.7220507 0.4888888888888889</t>
  </si>
  <si>
    <t>CN(Cc1ccccn1)C1=CNC(CN(C)c2ccc3ncc(CF)cc3c2)=CC1 7.7220497 0.34375</t>
  </si>
  <si>
    <t>Cc1ccc(CN(CC2=C(N(C)Cc3ncccc3C)CC=CN2)c2ccc3ncccc3c2)nc1C 7.722026 0.2328767123287671</t>
  </si>
  <si>
    <t>CCN(Cc1ccccn1)c1ccc2nc(C(C)(c3ccccn3)c3ccccn3)ccc2c1 7.7220182 0.4339622641509434</t>
  </si>
  <si>
    <t>CN(Cc1ccccn1)C1=CC(CN(C)c2cccc3cccnc23)C=CN1 7.7220087 0.46296296296296297</t>
  </si>
  <si>
    <t>Cc1cc(C)c(CN(Cc2ccccn2)c2ccc3ncccc3c2)cn1 7.7220078 0.36363636363636365</t>
  </si>
  <si>
    <t>C1=CNC(c2cc(C(c3ccccn3)c3ccccn3)ccn2)=CC1 7.722001 0.36363636363636365</t>
  </si>
  <si>
    <t>Cc1cnc(CN(C)Cc2cccc(N(C)c3cccc4ccc(CF)nc34)n2)c(C)c1 7.722 0.4126984126984127</t>
  </si>
  <si>
    <t>Cc1ccc(CN(C)c2ccc3ncc(CN(C)Cc4nc(C)c(C)c(C)c4C)cc3c2)nc1 7.721999 0.38181818181818183</t>
  </si>
  <si>
    <t>CN(c1cccc2ncccc12)C1C=CNC(CN)=C1 7.7219954 0.3448275862068966</t>
  </si>
  <si>
    <t>CN(CCN(C)c1ccc2ccc(CF)nc2c1)Cc1ccc2cccnc2c1 7.721981 0.36363636363636365</t>
  </si>
  <si>
    <t>CNCc1ccc2cc(N(C)Cc3ncccc3C)ccc2n1 7.721975 0.32142857142857145</t>
  </si>
  <si>
    <t>CNCc1ccc2ccc(N(C)Cc3cccc(N)n3)cc2n1 7.7219687 0.3333333333333333</t>
  </si>
  <si>
    <t>CN(C)Cc1ncccc1-c1ccccc1N=Cc1ccccn1 7.721958 0.48936170212765956</t>
  </si>
  <si>
    <t>CN(Cc1ccccn1)C1=CNC(CN(C)c2cccc3cc(CF)cnc23)=CC1 7.721949 0.3870967741935484</t>
  </si>
  <si>
    <t>Cc1ncccc1CN(C)Cc1cccc(N(C)c2ccc3ncccc3c2)n1 7.721946 0.3888888888888889</t>
  </si>
  <si>
    <t>CNCc1cccc(-c2cccc(C)c2N=Cc2ccccn2)n1 7.7219424 0.4528301886792453</t>
  </si>
  <si>
    <t>Cc1ccc(CN(C)c2c(C)cc(Cl)cc2N(C)Cc2ncc(C)cc2C)nc1 7.721937 0.4166666666666667</t>
  </si>
  <si>
    <t>CN(C)Cc1ncccc1-c1ccc(N=Cc2ccccn2)cc1 7.721935 0.38461538461538464</t>
  </si>
  <si>
    <t>Cc1nc(CN(Cc2nc(C)c(C)c(C)c2C)C2CCC(N(C)c3ccc4cccnc4c3)C(N(C)c3ccc4cc(-c5ccccn5)cnc4c3)C2)c(C)c(C)c1C 7.7219343 0.27631578947368424</t>
  </si>
  <si>
    <t>Cc1cc(CN(C)Cc2nc3ccccc3n2C)nc(C)c1C 7.7219176 0.43137254901960786</t>
  </si>
  <si>
    <t>CN(Cc1cc(-c2ccccc2N=Cc2ccccn2)ccn1)Cc1ccon1 7.7218995 0.4107142857142857</t>
  </si>
  <si>
    <t>CNCc1cc(-c2c(C)ccc(Cl)c2N(C)Cc2cccc(C)n2)ccn1 7.7218957 0.35714285714285715</t>
  </si>
  <si>
    <t>CN(C)Cc1cc(-c2cccc(N=Cc3ccccn3)c2)ccn1 7.721893 0.39622641509433965</t>
  </si>
  <si>
    <t>CN(Cc1ccccn1)c1cccc(-c2cc(-c3ccccc3)ccc2NCc2ccccn2)c1 7.7218766 0.4074074074074074</t>
  </si>
  <si>
    <t>CN(Cc1ccccn1)c1ccc2cccnc2c1-c1cccc(CN(Cc2ccccn2)Cc2ncccc2F)n1 7.7218738 0.4482758620689655</t>
  </si>
  <si>
    <t>Cc1cnc(CN(C)c2cc(C)c(N(C)Cc3ncccc3C)cc2C)c(C)c1 7.7218204 0.3541666666666667</t>
  </si>
  <si>
    <t>CNCc1cc(-c2cc(C)ccc2N=Cc2ccccn2)ccn1 7.721818 0.41818181818181815</t>
  </si>
  <si>
    <t>Cc1cccnc1CN(C)c1c(C)ccc(N(C)C)c1C 7.721795 0.32608695652173914</t>
  </si>
  <si>
    <t>Cc1c(-c2ccccc2)ccc(NCc2ccccn2)c1-c1cc(CF)nc(NCc2ccccn2)c1 7.7217855 0.45</t>
  </si>
  <si>
    <t>Cc1cccnc1-c1cccc(NCc2ccc(C(C)(C)N(C)Cc3cc(-c4cccc(N(C)C)c4)ccn3)cn2)c1 7.7217846 0.23170731707317074</t>
  </si>
  <si>
    <t>Cc1cc(N(c2cccc3cccnc23)C2CCC(N(C)c3ccc4ncccc4c3)CC2)ccn1 7.721756 0.43859649122807015</t>
  </si>
  <si>
    <t>CNCc1ncccc1-c1cc(C)ccc1N=Cc1ccccn1 7.7217417 0.4339622641509434</t>
  </si>
  <si>
    <t>Cc1nc(CN(C)Cc2ccc3ncccc3c2)oc1C 7.7217207 0.32075471698113206</t>
  </si>
  <si>
    <t>CN(Cc1ccccn1)C1=C(CN(C)c2cccc3ncc(CF)cc23)NC=CC1 7.7217183 0.38095238095238093</t>
  </si>
  <si>
    <t>CN(C)c1ccc2cc3c(nc2c1)CCCC3 7.7217064 0.4166666666666667</t>
  </si>
  <si>
    <t>Cc1cccnc1CN(C)C1CCCC(N(C)c2cccc3nccc(-c4cccc5ncccc45)c23)C1 7.72169 0.31343283582089554</t>
  </si>
  <si>
    <t>Cc1cccnc1CN(C)c1cccnc1C1=CCC=C(N(C)Cc2ccccn2)N1 7.721688 0.40350877192982454</t>
  </si>
  <si>
    <t>Cc1cc(C)c(C)c(CN(C)Cc2ccnc3ccc(N(C)Cc4ncccc4C)cc23)n1 7.721686 0.2857142857142857</t>
  </si>
  <si>
    <t>Cc1cncc(-c2ccc(CN(C)Cc3cccc(-c4cccc(N=Cc5ccccn5)c4)n3)cc2)c1 7.721677 0.3939393939393939</t>
  </si>
  <si>
    <t>CN(Cc1ccccn1)C1=CC(CN(C)c2ccc3cccnc3c2)C=CN1 7.721668 0.3898305084745763</t>
  </si>
  <si>
    <t>CN(C)Cc1cc(-c2ccccc2N=Cc2ccccn2)ccn1 7.7216673 0.45098039215686275</t>
  </si>
  <si>
    <t>CN(CCN(CC(C)(C)C)c1ccc2ncccc2c1)c1ccc2nccc(CF)c2c1 7.7216654 0.3103448275862069</t>
  </si>
  <si>
    <t>CN(Cc1ccccn1)C1=CCC=C(CN(Cc2ccccn2)c2cccc3ncccc23)N1 7.7216578 0.3793103448275862</t>
  </si>
  <si>
    <t>CC(C)N(CC1=CCC=C(N(C)Cc2ccccn2)N1)c1cccc2ncccc12 7.721651 0.36065573770491804</t>
  </si>
  <si>
    <t>CN(CCN(C)c1ccc2cc(CF)cnc2c1)Cc1ccc2cccnc2c1 7.721647 0.35714285714285715</t>
  </si>
  <si>
    <t>Cc1cccnc1CN(C)Cc1nccc2cc(N(C)Cc3nc(C)c(C)c(C)c3C)ccc12 7.7216372 0.26229508196721313</t>
  </si>
  <si>
    <t>CN(CCN(CC(C)(C)C)c1ccc2cccnc2c1)c1ccc2nccc(CF)c2c1 7.7216363 0.3</t>
  </si>
  <si>
    <t>Cc1nc(CN(C)C2=C(CN(Cc3ccccn3)c3ccc4ncccc4c3)NC=CC2)c(C)c(C)c1C 7.7216234 0.3108108108108108</t>
  </si>
  <si>
    <t>CN(Cc1cc(-c2ccccc2)ccn1)Cc1cccc(-c2ccc(N=Cc3ccccn3)cc2)n1 7.721611 0.47368421052631576</t>
  </si>
  <si>
    <t>CN(C)Cc1cncc2cccc(N(C)Cc3ncccc3C(C)(C)C)c12 7.721598 0.36363636363636365</t>
  </si>
  <si>
    <t>CN(CC1=C(N(C)C(c2ccccc2)c2ccccn2)CC=CN1)c1cccc2ncccc12 7.7215967 0.3582089552238806</t>
  </si>
  <si>
    <t>CNC1CCCCC1N(C(c1nc(C)c(C)c(C)c1C)(c1nc(C)c(C)c(C)c1C)c1nc(C)c(C)c(C)c1C)C(c1nc(C)c(C)c(C)c1C)(c1nc(C)c(C)c(C)c1C)c1nc(C)c(C)c(C)c1C 7.7215962 0.24528301886792453</t>
  </si>
  <si>
    <t>Cc1cnc(C)c(CN(C)Cc2ccc(N(C)c3cccc4cc(CF)cnc34)cn2)c1 7.721594 0.3448275862068966</t>
  </si>
  <si>
    <t>CN(CCN(C)c1ccc2nc(CF)ccc2c1)Cc1cccc2ncccc12 7.72159 0.42592592592592593</t>
  </si>
  <si>
    <t>CCN(c1cccc2cccnc12)C12CCC(N(C)c3cccc4ncccc34)(CC1)C2 7.721557 0.4230769230769231</t>
  </si>
  <si>
    <t>Cc1cccc(-c2ccc(CN(C)Cc3cccc(-c4cccc(N=Cc5ccccn5)c4)n3)cc2)n1 7.7215514 0.4262295081967213</t>
  </si>
  <si>
    <t>Cc1cc(CN(C)c2ccc3cccnc3c2)cc(NCc2ccccn2)c1 7.7215357 0.3793103448275862</t>
  </si>
  <si>
    <t>CC(C)C1=CC(N(C)Cc2cc(-c3cc(NCc4ccccn4)c4ncccc4c3)ccn2)C=CN1 7.7215304 0.2911392405063291</t>
  </si>
  <si>
    <t>CN(Cc1ccccn1)Cc1ncccc1N(C)c1cccc2ncccc12 7.7215247 0.46938775510204084</t>
  </si>
  <si>
    <t>Cc1cc(C)c2ccc(N(C)C3CCCC(N(C)c4ccc5c(CF)ccnc5c4)C3)cc2n1 7.721524 0.25</t>
  </si>
  <si>
    <t>CN(CCN(C)c1ccc2ncc(CF)cc2c1)Cc1ccc2ncccc2c1 7.721511 0.36363636363636365</t>
  </si>
  <si>
    <t>Cc1cnc(CN(C)Cc2ccnc3ccc(N(C)Cc4cnc(C)c(C)c4)cc23)c(C)c1 7.7215075 0.24193548387096775</t>
  </si>
  <si>
    <t>Cc1ccc(CN(C)c2cc(Cl)cc(N(C)Cc3cccc(F)n3)c2Cl)nc1C 7.7215014 0.36538461538461536</t>
  </si>
  <si>
    <t>Cc1cc(CN(C)CCN(C)c2ccc3ccc(-c4ccccn4)nc3c2)ccn1 7.7214975 0.3793103448275862</t>
  </si>
  <si>
    <t>CN(C)c1cccc(-c2ccc3c(n2)CCC3)c1 7.7214956 0.37735849056603776</t>
  </si>
  <si>
    <t>CNCc1cc(-c2cc(C)cc(N=Cc3ccccn3)c2)ccn1 7.7214704 0.375</t>
  </si>
  <si>
    <t>Cc1cnc(CN(C)Cc2ccc(N(C)c3cccc4ccc(CF)nc34)cn2)c(C)c1 7.7214565 0.41935483870967744</t>
  </si>
  <si>
    <t>CN(C1=CC=CC(NCc2ccccn2)N1)c1cccc2ncccc12 7.7214417 0.3064516129032258</t>
  </si>
  <si>
    <t>Cc1cc(-c2ccc(CN(C)CC3=CC(N(C)c4ccc5ncc(CF)cc5c4)C=CN3)nc2)ccc1N 7.721436 0.24691358024691357</t>
  </si>
  <si>
    <t>CC(C)N(C)Cc1cc(-c2cc(NCc3ccccn3)c3cccnc3c2)ccn1 7.7214336 0.359375</t>
  </si>
  <si>
    <t>Cc1ccc(-c2ccc(-c3ccccc3)cn2)cc1NCc1ccccn1 7.7214317 0.40350877192982454</t>
  </si>
  <si>
    <t>CCN(Cc1ccccn1)Cc1ccc2cccc(N(C)Cc3ccc4ncccc4c3)c2n1 7.7214236 0.43859649122807015</t>
  </si>
  <si>
    <t>CCN(Cc1ccccc1N(C)C)c1ccc2ncccc2c1 7.721416 0.35294117647058826</t>
  </si>
  <si>
    <t>CN(c1ccc2cccnc2c1)C1C2CCC1(N(C)c1ccc3cccnc3c1)CC2 7.7214108 0.3333333333333333</t>
  </si>
  <si>
    <t>CN(Cc1ccccn1)Cc1cc(N(C)c2ccc3nccc(CF)c3c2)ccn1 7.7213993 0.4074074074074074</t>
  </si>
  <si>
    <t>Cc1cncc(CN(C)c2ccc3cccnc3c2-c2cccc(CN(Cc3ccccn3)Cc3ncccc3C)n2)c1 7.721399 0.37333333333333335</t>
  </si>
  <si>
    <t>Cc1cccnc1CN(C)Cc1nccc2c(N(C)Cc3nc(C)c(C)c(C)c3C)cccc12 7.7213907 0.34545454545454546</t>
  </si>
  <si>
    <t>Cc1cnc(CN(C)CC2=CCC=C(N(C)c3cccc4cccnc34)N2)c(C)c1 7.7213807 0.36666666666666664</t>
  </si>
  <si>
    <t>c1cnnc(CNc2ccc3cccnc3c2)c1 7.721374 0.37777777777777777</t>
  </si>
  <si>
    <t>CCN(CCN(C)c1ccc2nccc(C)c2c1)Cc1ccc2ncccc2c1 7.721368 0.3157894736842105</t>
  </si>
  <si>
    <t>Cc1cc(CN(C)Cc2ccc3c(C)ccc(N(C)Cc4ncccc4C)c3n2)cnc1C 7.721347 0.2923076923076923</t>
  </si>
  <si>
    <t>CN(C)c1cc(-c2ncccc2CN(Cc2ccccn2)C2CCC(N(C)c3ccc4nccc(CF)c4c3)CC2)cc2cccnc12 7.721327 0.27848101265822783</t>
  </si>
  <si>
    <t>Cc1cc(CN(C)Cc2cccc(N(C)c3ccc4ncccc4c3)n2)ccn1 7.7213206 0.3620689655172414</t>
  </si>
  <si>
    <t>CN(c1ccc2cccnc2c1)C1C2CCC1(N(C)c1ccc3ncccc3c1)CC2 7.7213116 0.31666666666666665</t>
  </si>
  <si>
    <t>CC(C)N(Cc1ccccn1)c1ccccc1-c1ncccc1C1=CCC=CN1 7.7213073 0.46551724137931033</t>
  </si>
  <si>
    <t>CN(C)Cc1cc(-c2ccc(N=Cc3ccccn3)cc2)ccn1 7.7212977 0.37735849056603776</t>
  </si>
  <si>
    <t>Cc1cnccc1CN(C)Cc1cccc(N(C)c2ccc3nccc(CF)c3c2)n1 7.721293 0.3076923076923077</t>
  </si>
  <si>
    <t>Cc1cc(C)c(C)c(CN(C)C2=C(CN(Cc3ccccn3)c3cccc4ncccc34)NC=CC2)n1 7.721286 0.3055555555555556</t>
  </si>
  <si>
    <t>Fc1cc(CN(Cc2nccc3ccccc23)Cc2nccc3ccccc23)ccn1 7.7212696 0.3023255813953488</t>
  </si>
  <si>
    <t>Cc1cccnc1-c1ccccc1CN(C)Cc1cccc(-c2cccc(N=Cc3ccccn3)c2)n1 7.7212577 0.4</t>
  </si>
  <si>
    <t>CC1COC(c2cccc(CN(C)Cc3cc(-c4cccc(N(C)C)c4)ccn3)n2)=N1 7.721243 0.4</t>
  </si>
  <si>
    <t>CN(c1ccc2ncccc2c1)C1C2CCC1(N(C)c1ccc3cccnc3c1)CC2 7.721236 0.31666666666666665</t>
  </si>
  <si>
    <t>CN(C)Cc1ccc2cc(N(C)CCN(C)Cc3ccc4ncccc4c3)ccc2n1 7.721233 0.37037037037037035</t>
  </si>
  <si>
    <t>CCN(CC1=CCC=C(N(C)Cc2nc(C)c(C)c(C)c2C)N1)c1cccc2ncccc12 7.721216 0.26865671641791045</t>
  </si>
  <si>
    <t>Cc1cnccc1CN(CC1=CCC=C(N(C)Cc2ccccn2)N1)c1ccc2ncccc2c1 7.721209 0.3188405797101449</t>
  </si>
  <si>
    <t>CN(Cc1ccccn1)c1ccc2nc(CF)ccc2c1 7.7212048 0.5</t>
  </si>
  <si>
    <t>Cc1ccc(C)c(CN(C)c2cc(Cl)c(N(C)Cc3cccc(F)n3)cc2Cl)n1 7.7212024 0.3958333333333333</t>
  </si>
  <si>
    <t>Cc1cccc2cnc(CN(Cc3cc4ccccc4cn3)Cc3cccnc3F)cc12 7.7211947 0.3492063492063492</t>
  </si>
  <si>
    <t>CN(CCCN(Cc1ccccn1)c1ccc2ncccc2c1)c1ccc2ncccc2c1 7.72118 0.42</t>
  </si>
  <si>
    <t>CN(c1ccc2ncccc2c1)C1C2CCC1(N(C)c1ccc3ncccc3c1)CC2 7.721176 0.3392857142857143</t>
  </si>
  <si>
    <t>Cc1cccc(-c2ncccc2CN(C)Cc2ncccc2-c2cccc(N=Cc3ccccn3)c2)c1 7.7211733 0.3333333333333333</t>
  </si>
  <si>
    <t>CCN(CC1=CC(N(C)c2ccc3ncccc3c2)C=CN1)Cc1ccc2ncccc2c1 7.7211614 0.30303030303030304</t>
  </si>
  <si>
    <t>Cc1ccc(CN(C)Cc2cccc(N(C)c3ccc4ncccc4c3)n2)nc1 7.721144 0.44</t>
  </si>
  <si>
    <t>CN(CC1=CCC(N(C)C(c2ccccc2)c2ccccn2)=CN1)c1cccc2cccnc12 7.7211313 0.41379310344827586</t>
  </si>
  <si>
    <t>Cc1cc(NCc2ccccn2)cc(-c2cc(NCc3ccccn3)cc(-c3ccccc3)c2C)c1 7.7211266 0.4716981132075472</t>
  </si>
  <si>
    <t>CN(CC1CC(N(C)c2ccc3cccnc3c2)CN1C)c1ccc2cccnc2c1 7.7210956 0.2903225806451613</t>
  </si>
  <si>
    <t>Cc1cccnc1-c1cccc(CN(C)Cc2cccc(-c3cccc(N=Cc4ccccn4)c3)n2)c1 7.721092 0.40625</t>
  </si>
  <si>
    <t>CN(CCN(C)c1ccc2nc3c(cc2c1)CCC3)Cc1ccc2ncccc2c1 7.721085 0.3448275862068966</t>
  </si>
  <si>
    <t>CN(CCCNc1ccc2ncccc2c1)c1ccc2ncccc2c1 7.7210803 0.3877551020408163</t>
  </si>
  <si>
    <t>Cc1cnc2c(N(C)CC3C=CNC(N(C)Cc4ncccc4C)=C3)cccc2c1 7.72108 0.36507936507936506</t>
  </si>
  <si>
    <t>Cc1cncc(CN(C)Cc2cccc(N(C)c3ccc4cccnc4c3)n2)c1 7.721077 0.3442622950819672</t>
  </si>
  <si>
    <t>CN(Cc1cc(-c2ccccc2)ccn1)Cc1cc(-c2cccc(N(C)C)c2)ccn1 7.7210712 0.40425531914893614</t>
  </si>
  <si>
    <t>Cc1ccc(-c2ccc(CN(C)Cc3cc(-c4cccc(N=Cc5ccccn5)c4)ccn3)cc2)nc1 7.721063 0.3235294117647059</t>
  </si>
  <si>
    <t>CN(CCN(C)Cc1cccc2cc3c(nc12)CCC3)Cc1cc(-c2ccc3ncccc3c2)ccn1 7.7210546 0.4406779661016949</t>
  </si>
  <si>
    <t>CCN(Cc1ccccn1)c1cc2cccnc2cc1CN(C)Cc1ccc2ncccc2c1 7.7210402 0.38596491228070173</t>
  </si>
  <si>
    <t>CN(C)Cc1cncc(-c2cccc(N(C)C)c2)c1 7.721037 0.23404255319148937</t>
  </si>
  <si>
    <t>CN(C)Cc1cnc2c(N(C)CCN(C)Cc3ccc4ncccc4c3)cccc2c1 7.721016 0.5</t>
  </si>
  <si>
    <t>CC(C)N(Cc1ccc2ccc3cccnc3c2n1)Cc1ncccc1C(C)(C)C 7.7209954 0.38</t>
  </si>
  <si>
    <t>CN(Cc1ccc2c(n1)CCC2)c1ccc2ncccc2c1 7.7209816 0.32786885245901637</t>
  </si>
  <si>
    <t>CNc1c(N(C)Cc2cc(C)ccn2)cc(Cl)nc1C 7.7209725 0.4</t>
  </si>
  <si>
    <t>CN(C)Cc1cnccc1-c1cccc(N(C)C)c1 7.7209706 0.2549019607843137</t>
  </si>
  <si>
    <t>CNCc1ccc(CN(C)c2ccc3ccc(C)nc3c2)cn1 7.720967 0.2830188679245283</t>
  </si>
  <si>
    <t>Cc1ccccc1CN(C)c1ccc2ncccc2c1 7.7209616 0.3829787234042553</t>
  </si>
  <si>
    <t>Cc1cccnc1CN(C)c1ccc(CN(C)c2ccccc2-c2cccnc2CF)nc1 7.720952 0.3508771929824561</t>
  </si>
  <si>
    <t>Cc1cc(-c2ccc(-c3ccccc3)cn2)ccc1NCc1ccccn1 7.7209487 0.40350877192982454</t>
  </si>
  <si>
    <t>Cc1cncc(CN(C)c2cccc(-c3cccc(CN(C)Cc4cccc(-c5cccc(N=Cc6ccccn6)c5)n4)n3)c2)c1 7.7209435 0.38235294117647056</t>
  </si>
  <si>
    <t>Cc1cc(C)c(-c2ccc(NCc3ccccn3)cc2C)cn1 7.720938 0.38636363636363635</t>
  </si>
  <si>
    <t>CNCC1CCC(N(C)c2ccc3ncccc3c2)N1c1ccc2ncccc2c1 7.7209306 0.2903225806451613</t>
  </si>
  <si>
    <t>Cc1cccnc1-c1ccc(CN(C)Cc2cccc(-c3cccc(N=Cc4ccccn4)c3)n2)cc1 7.7209296 0.40625</t>
  </si>
  <si>
    <t>CNCN(C)c1ccc2c(CN(C)C)ccnc2c1 7.7209253 0.25</t>
  </si>
  <si>
    <t>CNCc1ccc2cccc(N(C)Cc3ncccc3C)c2n1 7.7209053 0.4489795918367347</t>
  </si>
  <si>
    <t>CN(Cc1ccccn1)C1=CC(CN(C)c2cccc3ncccc23)C=CN1 7.720903 0.3793103448275862</t>
  </si>
  <si>
    <t>Cc1cc(CN(C)c2ccc3cccnc3c2-c2cccc(CN(Cc3ccccn3)Cc3ncccc3N)n2)ccn1 7.7209024 0.37333333333333335</t>
  </si>
  <si>
    <t>c1ccc(CNc2cccc3ncccc23)nc1 7.7208867 0.4722222222222222</t>
  </si>
  <si>
    <t>CN(C)Cc1ncccc1-c1cccc(N(C)C)c1 7.720884 0.3125</t>
  </si>
  <si>
    <t>Cc1cc(NCc2ccccn2)ccc1CN(C)c1ccc2cccnc2c1 7.7208786 0.3793103448275862</t>
  </si>
  <si>
    <t>Cc1cccc(-c2cccc(CN(C)Cc3cccc(-c4cccc(N=Cc5ccccn5)c4)n3)n2)c1C 7.720876 0.43333333333333335</t>
  </si>
  <si>
    <t>Cc1cccc(-c2ccc(-c3ccccc3)cn2)c1NCc1ccccn1 7.720867 0.44642857142857145</t>
  </si>
  <si>
    <t>CN(C)Cc1nccc2cc(N(C)Cc3ncccc3N(C)C(C)(C)c3ccccn3)ccc12 7.7208657 0.3114754098360656</t>
  </si>
  <si>
    <t>CC(C)NCc1ccc(N(C)c2ccc3cccnc3c2)cn1 7.7208433 0.32727272727272727</t>
  </si>
  <si>
    <t>CCN(C)Cc1ncccc1-c1ccc2cccnc2c1 7.720834 0.34</t>
  </si>
  <si>
    <t>Cc1cc(C)c2ccc(N(C)C3CCCC(N(C)c4ccc5c(CN(C)C)ccnc5c4)C3)cc2n1 7.720825 0.25396825396825395</t>
  </si>
  <si>
    <t>CNc1ccc(N(C)C)c(C)c1Cl 7.7208247 0.2</t>
  </si>
  <si>
    <t>CN(c1ccc2cccnc2c1)C12CCC(Nc3cccc4ncccc34)(CC1)C2 7.7208233 0.27419354838709675</t>
  </si>
  <si>
    <t>Cc1c(NCc2ccccn2)cccc1-c1cccc(-c2ccccc2)n1 7.720819 0.43636363636363634</t>
  </si>
  <si>
    <t>CCN(C)c1ccc2ncccc2c1 7.720816 0.4</t>
  </si>
  <si>
    <t>Cc1ccnc(CN(C)C2=C(CN(C)c3ccc4nccc(CF)c4c3)NC=CC2)c1 7.720805 0.2608695652173913</t>
  </si>
  <si>
    <t>Cc1cccc(CN(Cc2ccc3ncccc3c2)Cc2ncccc2-c2ccccc2N(C)C)n1 7.7208033 0.3448275862068966</t>
  </si>
  <si>
    <t>Cc1cnc(CN(C)c2cccc(-c3cc(C(C)(C)C)ccn3)c2)c(C)c1 7.720792 0.24285714285714285</t>
  </si>
  <si>
    <t>Cc1cccnc1CN(C)Cc1cccc(N(C)c2ccc3ncccc3c2)n1 7.7207885 0.375</t>
  </si>
  <si>
    <t>CN(Cc1ccncc1CF)c1ccc2ncccc2c1 7.720786 0.32075471698113206</t>
  </si>
  <si>
    <t>CNCc1nccc2cc(N(C)Cc3ccccn3)ccc12 7.7207627 0.44</t>
  </si>
  <si>
    <t>CN(C)Cc1nccc2cccc(N(C)Cc3ncccc3C(C)(C)C)c12 7.720757 0.38</t>
  </si>
  <si>
    <t>CCN(Cc1ccccn1)c1ccccc1-c1cc(-c2ccc(C(C)(C)C)cn2)ccn1 7.7207456 0.3333333333333333</t>
  </si>
  <si>
    <t>Cc1cccnc1-c1ccccc1CN(C)Cc1cccc(-c2ccc(N=Cc3ccccn3)cc2)n1 7.7207394 0.4126984126984127</t>
  </si>
  <si>
    <t>Cc1cncc(CN(C)Cc2ccc(N(C)c3ccc4ncccc4c3)cn2)c1 7.7207327 0.35185185185185186</t>
  </si>
  <si>
    <t>CNCc1ncccc1-c1ccc(N=Cc2ccccn2)c(C)c1 7.720723 0.4528301886792453</t>
  </si>
  <si>
    <t>CN(C)Cc1cnc2cc(N(C)Cc3ncccc3C(C)(C)C)ccc2c1 7.720717 0.2631578947368421</t>
  </si>
  <si>
    <t>CN(Cc1ccccn1)C1=CNC(CN(C)c2cccc3ncc(CF)cc23)=CC1 7.7207084 0.38095238095238093</t>
  </si>
  <si>
    <t>Cc1cnc(C)c(CN(C)CC2=CCC(N(C)c3ccc4c(C)ccnc4c3)=CN2)c1 7.7206964 0.22388059701492538</t>
  </si>
  <si>
    <t>CN(c1cccc2cccnc12)C1C2CCC1(N(C)c1ccc3cccnc3c1)CC2 7.7206764 0.48214285714285715</t>
  </si>
  <si>
    <t>Cc1cccnc1CN(Cc1ccccn1)c1ccc(N(C)C(C)C)c2ncccc12 7.7206593 0.45098039215686275</t>
  </si>
  <si>
    <t>Cc1ccnc(CN(C)c2cc(Cl)cc(N(C)Cc3cnc(C)c(C)c3)c2Cl)c1 7.720649 0.37735849056603776</t>
  </si>
  <si>
    <t>CN(Cc1ccccn1)C1=CNC(CN(C)c2cccc3nc(CF)ccc23)=CC1 7.7206464 0.38333333333333336</t>
  </si>
  <si>
    <t>Cc1cc(-c2cccc(NCc3ccccn3)c2)cnc1-c1cccc(NCc2ccccn2)c1 7.7206445 0.38596491228070173</t>
  </si>
  <si>
    <t>CCn1c(CN(CCN(C)Cc2cccc3cccnc23)Cc2ccc3ncccc3c2)nc2ccccc21 7.7206426 0.4915254237288136</t>
  </si>
  <si>
    <t>Cc1cncc(CN(C)c2ccc3nc(CN(Cc4ccccn4)Cc4ccc(-c5cccc(N=Cc6ccccn6)c5)cn4)ccc3c2)c1 7.7206388 0.36486486486486486</t>
  </si>
  <si>
    <t>CN(Cc1ccccn1)C1=CCC=C(CNc2ccc3ncccc3c2)N1 7.720622 0.36666666666666664</t>
  </si>
  <si>
    <t>CN(Cc1ncccc1C(C)(C)C)c1ccc2ncccc2c1 7.7206044 0.32653061224489793</t>
  </si>
  <si>
    <t>Cc1cc(N)ccc1-c1ccc(CN(C)CCN(C)c2ccc3cccnc3c2)cn1 7.720591 0.3125</t>
  </si>
  <si>
    <t>Cc1cnccc1CN(C)c1ccc2nc(CN(Cc3ccccn3)Cc3cccc(-c4cccc(N=Cc5ccccn5)c4)n3)ccc2c1 7.7205863 0.41025641025641024</t>
  </si>
  <si>
    <t>CN(C)Cc1ccc(-c2cccc(N(C)C)c2)cn1 7.7205825 0.3488372093023256</t>
  </si>
  <si>
    <t>Cc1cncc(CN(C)C2=C(CN(C)c3ccc4cccnc4c3)NC=CC2)c1 7.720577 0.25</t>
  </si>
  <si>
    <t>CNCc1cc(-c2ccc(N=Cc3ccccn3)cc2C)ccn1 7.7205596 0.39285714285714285</t>
  </si>
  <si>
    <t>CN(C)Cc1cnc2ccc(N(C)CCN(C)Cc3ccc4ncccc4c3)cc2c1 7.7205563 0.37037037037037035</t>
  </si>
  <si>
    <t>Cc1cccc(CN(C)Cc2cccc(N(C)c3ccc4ncccc4c3)n2)n1 7.72055 0.4782608695652174</t>
  </si>
  <si>
    <t>Cc1ccc(CN(C)c2ccc3cccnc3c2-c2cccc(CN(Cc3ccccn3)Cc3ncccc3N)n2)nc1 7.720547 0.3787878787878788</t>
  </si>
  <si>
    <t>Cc1cc(-c2cc(-c3cccc(NCc4ccccn4)c3)ccn2)ccc1NCc1ccccn1 7.720538 0.3548387096774194</t>
  </si>
  <si>
    <t>Cc1cc(-c2ccccc2N=Cc2ccccn2)cnc1CN(C)Cc1ccon1 7.7205358 0.3968253968253968</t>
  </si>
  <si>
    <t>CNCc1cc(-c2cccc(N=Cc3ccccn3)c2C)ccn1 7.7205243 0.4716981132075472</t>
  </si>
  <si>
    <t>Cc1cc(C)nc(CN(Cc2ccccn2)c2ccc3cccnc3c2)c1 7.7205224 0.46</t>
  </si>
  <si>
    <t>CN(Cc1ccccn1)C1=CNC(CNc2cccc3ncccc23)=CC1 7.720513 0.35</t>
  </si>
  <si>
    <t>CN(c1ccc2nc(CF)ccc2c1)C1C=CC=CN1 7.720493 0.3220338983050847</t>
  </si>
  <si>
    <t>CN(Cc1ccc2ncccc2c1)c1cccc2ccc(CN(Cc3ccnc(C(C)(C)c4ccccn4)c3)Cc3ccccn3)nc12 7.7204776 0.4</t>
  </si>
  <si>
    <t>CCNCC1=CCC=C(N(C)c2cccc3nccc(C)c23)N1 7.7204595 0.23076923076923078</t>
  </si>
  <si>
    <t>CN(C)Cc1ccc2cccc(N(C)CC3=CCC=C(N(C)Cc4ccccn4)N3)c2n1 7.7204566 0.3898305084745763</t>
  </si>
  <si>
    <t>CN(C)Cc1cnc2cc(N(C)CC3=CCC=C(N(C)Cc4ccccn4)N3)ccc2c1 7.720451 0.36065573770491804</t>
  </si>
  <si>
    <t>CN(CCN(C)c1ccc2nccc(CF)c2c1)Cc1ccc2ccccc2n1 7.7204385 0.39285714285714285</t>
  </si>
  <si>
    <t>CC(C)c1cc(CN(Cc2ccccn2)c2ccc3nc(CN(C)Cc4ccc(-c5cccc(N=Cc6ccccn6)c5)cn4)ccc3c2)ccn1 7.7204347 0.3246753246753247</t>
  </si>
  <si>
    <t>CN(c1ccc2cc(-c3ccccc3)cnc2c1)C1CCCCC1N(C)c1ccc2c3c(cnc2c1)CCC3 7.7204285 0.36923076923076925</t>
  </si>
  <si>
    <t>CN(CCCN(C)c1ccc2ncccc2c1)Cc1nc2ccccc2n1C 7.720428 0.3793103448275862</t>
  </si>
  <si>
    <t>Cc1cncc(CN(C)c2ccc(C)c3ccc(CN(C)Cc4cc(C)c(C)c(C)n4)nc23)c1 7.720425 0.26666666666666666</t>
  </si>
  <si>
    <t>CC1COC(c2cc(CN(C)Cc3cc(-c4cccc(N=Cc5ccccn5)c4)ccn3)ccn2)=N1 7.7204213 0.3150684931506849</t>
  </si>
  <si>
    <t>CN(C)Cc1ncccc1-c1ccc(N(C)C)cc1 7.720414 0.3181818181818182</t>
  </si>
  <si>
    <t>CN(C)CC1=CCC(N(C)c2cccc3nccc(CF)c23)=CN1 7.7204113 0.2835820895522388</t>
  </si>
  <si>
    <t>CNCc1cc(-c2cccc(C)c2N=Cc2ccccn2)ccn1 7.720411 0.4444444444444444</t>
  </si>
  <si>
    <t>Cc1c(NCc2ccccn2)cccc1-c1ncccc1-c1cccc(NCc2ccccn2)c1 7.7204027 0.38333333333333336</t>
  </si>
  <si>
    <t>COc1ccc(-c2ccc(-c3ccccn3)c(C)c2-c2cc(CN(Cc3ccccn3)Cc3ccccn3)ccn2)c(-c2cc(CN(Cc3ccccn3)Cc3ccccn3)ccn2)c1 7.7203918 0.47619047619047616</t>
  </si>
  <si>
    <t>CNc1cc(Cl)c(F)cc1N(C)C 7.7203865 0.2222222222222222</t>
  </si>
  <si>
    <t>CNCc1ncccc1-c1cccc(C)c1N=Cc1ccccn1 7.720386 0.48</t>
  </si>
  <si>
    <t>Cc1cccc(-c2ccc(C3=NC(C(C)C)C(c4ccccn4)O3)cc2)n1 7.720384 0.25757575757575757</t>
  </si>
  <si>
    <t>Cc1cncc(CN(C)c2cccnc2CN(Cc2ccc(N)cn2)c2ccc3nc(CF)ccc3c2)c1C 7.7203445 0.273972602739726</t>
  </si>
  <si>
    <t>Cc1cccnc1CN(C)c1ccc2nccc(CN(C)Cc3nc(C)c(C)c(C)c3C)c2c1 7.720343 0.2857142857142857</t>
  </si>
  <si>
    <t>Cc1cc(C)c(CN(Cc2cccc(N(C)Cc3ccccn3)c2)c2ccc3ncccc3c2)nc1C 7.720337 0.3548387096774194</t>
  </si>
  <si>
    <t>Cc1cccc(-c2cccc(NCc3ccc(-c4cccc(NCc5ccccn5)c4)cn3)c2)n1 7.720333 0.3870967741935484</t>
  </si>
  <si>
    <t>CNCc1cc(-c2ccc(N(C)C)cc2N)ccn1 7.7203255 0.2413793103448276</t>
  </si>
  <si>
    <t>Cc1ccc2cccnc2c1 7.7203116 0.35</t>
  </si>
  <si>
    <t>Cc1cccnc1-c1ccc(CN(C)Cc2cccc(-c3ccccc3N=Cc3ccccn3)n2)cc1 7.720306 0.43548387096774194</t>
  </si>
  <si>
    <t>Cc1ccc(-c2ncccc2-c2ccccc2)cc1NCc1ccccn1 7.7203035 0.45454545454545453</t>
  </si>
  <si>
    <t>Cc1cccnc1CN(C)Cc1ccc(N(C)c2ccc3cccnc3c2)cn1 7.720292 0.35714285714285715</t>
  </si>
  <si>
    <t>CCN(C)c1ccc2cccnc2c1 7.7202873 0.3902439024390244</t>
  </si>
  <si>
    <t>Cc1cccc(CN(C)c2ccc(-c3cccc(CN(Cc4ccccn4)Cc4ccccn4)n3)c3cccnc23)n1 7.7202835 0.44642857142857145</t>
  </si>
  <si>
    <t>CN(Cc1cc(-c2ccc3ncccc3c2)ccn1)Cc1cc(C(C)(C)C)ccn1 7.720276 0.35185185185185186</t>
  </si>
  <si>
    <t>Cc1cccc(CN(C)c2ccc3cccnc3c2-c2cccc(CN(Cc3ccccn3)Cc3ncccc3C)n2)n1 7.7202682 0.4032258064516129</t>
  </si>
  <si>
    <t>CN(CC1=C(N(C)C2C=CC=CN2)CC=CN1)c1ccc2cccnc2c1 7.7202578 0.2857142857142857</t>
  </si>
  <si>
    <t>Cc1cccnc1CN(C)Cc1cccc(N(C)c2cccc3cccnc23)n1 7.7202454 0.4489795918367347</t>
  </si>
  <si>
    <t>Cc1ccc(CN(C)c2ccccc2-c2cccc(CN(C)Cc3cccc(-c4cccc(N=Cc5ccccn5)c4)n3)n2)nc1 7.72024 0.40298507462686567</t>
  </si>
  <si>
    <t>C1=CNC(Nc2cc(-c3ccc(C(c4ccccc4)c4ccccn4)cn3)ccn2)C=C1 7.720235 0.2714285714285714</t>
  </si>
  <si>
    <t>CN(CC1=C(N(C)C2C=CC=CN2)CC=CN1)c1ccc2ncccc2c1 7.720229 0.2898550724637681</t>
  </si>
  <si>
    <t>Cc1cccnc1CN(Cc1ccc2ncccc2c1)Cc1ncccc1-c1cccc(N=Cc2ccccn2)c1 7.7202287 0.3582089552238806</t>
  </si>
  <si>
    <t>Cc1cccc(CN(C)Cc2cccc(N(C)c3cccc4cccnc34)n2)n1 7.720209 0.5</t>
  </si>
  <si>
    <t>Cc1ccc2c(N(C)CCN(C)C)cccc2n1 7.720203 0.43902439024390244</t>
  </si>
  <si>
    <t>CNc1cc(Cl)ccc1N=Cc1ccccn1 7.720191 0.4782608695652174</t>
  </si>
  <si>
    <t>CN(C)Cc1ccc(-c2ccc(N(C)C)cc2)cn1 7.7201896 0.39473684210526316</t>
  </si>
  <si>
    <t>Cc1ccc(CN(C)c2cccnc2CN(Cc2ccccn2)c2ccc3ncccc3c2)nc1 7.720189 0.42105263157894735</t>
  </si>
  <si>
    <t>C1=CNC(Nc2ncccc2-c2ccc(C(c3ccccc3)c3ccccn3)cn2)C=C1 7.7201333 0.27941176470588236</t>
  </si>
  <si>
    <t>CNCc1ccc2ncccc2c1-c1cc(CN(C)Cc2ncccc2N)ccn1 7.7201333 0.2537313432835821</t>
  </si>
  <si>
    <t>CNCc1ncccc1-c1ccc(N=Cc2ccccn2)cc1C 7.720124 0.4074074074074074</t>
  </si>
  <si>
    <t>Cc1cncc(CN(C)Cc2cccc(N(C)c3cccc4ncccc34)n2)c1 7.7201214 0.3442622950819672</t>
  </si>
  <si>
    <t>CN(c1cccc2nc(CF)ccc12)C1CCC(N(C)c2cccc3nc(C4=CCC=CN4)ccc23)CC1 7.7201033 0.375</t>
  </si>
  <si>
    <t>Cc1cccnc1CN(C)c1cc(Cl)c(N(C)Cc2cncc(C)c2C)cc1Cl 7.7201023 0.39215686274509803</t>
  </si>
  <si>
    <t>Cc1cccnc1-c1ccc(CN(C)Cc2ccc(-c3cccc(N=Cc4ccccn4)c3)cn2)cc1 7.720034 0.36923076923076925</t>
  </si>
  <si>
    <t>CNCc1nc(-c2ccc(N=Cc3ccccn3)cc2)c(C)c(C)c1C 7.720017 0.38181818181818183</t>
  </si>
  <si>
    <t>CN(Cc1ccccn1)c1cc(-c2ncccc2CN(Cc2ccccn2)Cc2cc(F)ccn2)c2ncccc2c1 7.7200127 0.37037037037037035</t>
  </si>
  <si>
    <t>CN(C)CC1=CCC=C(N(C)c2ccc3ncc(CF)cc3c2)N1 7.720004 0.208955223880597</t>
  </si>
  <si>
    <t>Cc1cccc(NCc2ccccn2)c1-c1cccc(-c2ccccc2)n1 7.7199626 0.43636363636363634</t>
  </si>
  <si>
    <t>CN(c1cccc2ncccc12)C1CC2(N(C)c3cccc4ncccc34)CCC1C2 7.719955 0.3888888888888889</t>
  </si>
  <si>
    <t>CN(Cc1ccccn1)c1ccc2ncc(CF)cc2c1 7.7199535 0.4489795918367347</t>
  </si>
  <si>
    <t>CN(Cc1cc(C(C)(c2ccccc2)c2ccccn2)ccn1)c1cccc2cc3c(nc12)CCC3 7.7199144 0.43283582089552236</t>
  </si>
  <si>
    <t>Cc1cccnc1CN(C)C1=CCC=C(CN(c2cccc3ncccc23)C(C)C)N1 7.719905 0.26153846153846155</t>
  </si>
  <si>
    <t>CN(Cc1ncccc1-c1ccccc1N(C)C)C1=CC=CCN1 7.7198668 0.2962962962962963</t>
  </si>
  <si>
    <t>Cc1ccc(CN(C)c2ccc(CN(Cc3ccccn3)c3cccc4cccnc34)nc2)nc1 7.7198653 0.45098039215686275</t>
  </si>
  <si>
    <t>CN(Cc1cc(-c2ccccc2)ccn1)Cc1cc(-c2ccc(N=Cc3ccccn3)cc2)ccn1 7.719865 0.38461538461538464</t>
  </si>
  <si>
    <t>CNCc1cc(CN(C)c2cccc3nc(C)ccc23)ccn1 7.7198634 0.32142857142857145</t>
  </si>
  <si>
    <t>CN(CC1=CCC(N(C)c2ccc3cccnc3c2)=CN1)Cc1ccon1 7.719855 0.3620689655172414</t>
  </si>
  <si>
    <t>Cc1cc(-c2ncccc2C)ccc1N(C)Cc1ccc(C(C)(C)C)cn1 7.719853 0.36363636363636365</t>
  </si>
  <si>
    <t>CN(Cc1ccccn1)C1=CNC=C(CN(C)c2cccc3cccnc23)C1 7.7198496 0.47058823529411764</t>
  </si>
  <si>
    <t>Cc1cnccc1CN(C)c1ccc2nc(CN(Cc3ccccn3)Cc3ccc(-c4cccc(N=Cc5ccccn5)c4)cn3)ccc2c1 7.7198415 0.36486486486486486</t>
  </si>
  <si>
    <t>C1=CNC(Nc2ncccc2-c2ncccc2C(c2ccccc2)c2ccccn2)C=C1 7.71984 0.2878787878787879</t>
  </si>
  <si>
    <t>Cc1ncc(N(C)C)c(C)c1C 7.7198358 0.25</t>
  </si>
  <si>
    <t>CN(Cc1ccccn1)C1=CCC=C(CN(C)c2ccc3nc(CF)ccc3c2)N1 7.719833 0.38333333333333336</t>
  </si>
  <si>
    <t>Cc1cnc(CN(C)C2=CCC=C(CN(c3ccc4ncccc4c3)C(C)C)N2)c(C)c1 7.7198243 0.22857142857142856</t>
  </si>
  <si>
    <t>Cc1cccnc1CN(C)c1ccc(Cl)c(N(C)Cc2ncccc2C)c1Cl 7.719818 0.40425531914893614</t>
  </si>
  <si>
    <t>C1=CNC(Nc2cccc(-c3cccc(C(c4ccccc4)c4ccccn4)n3)n2)C=C1 7.719802 0.296875</t>
  </si>
  <si>
    <t>CN(CC1=C(N(C)C2C=CC=CN2)CC=CN1)c1cccc2ncccc12 7.719792 0.296875</t>
  </si>
  <si>
    <t>CNCc1ncc(-c2cccc(N=Cc3ccccn3)c2)c(C)c1C 7.7197695 0.38596491228070173</t>
  </si>
  <si>
    <t>Cc1cccnc1CN(C)C1=CNC(CN(C)c2cccc3nc(CF)ccc23)=CC1 7.719757 0.3055555555555556</t>
  </si>
  <si>
    <t>CCN(C)c1cccc2nccc(CN(C)C)c12 7.719752 0.32608695652173914</t>
  </si>
  <si>
    <t>Cc1cc(CN(C)c2ccc3nccc(CN(C)Cc4nc(C)c(C)cc4C)c3c2)cnc1C 7.7197514 0.23076923076923078</t>
  </si>
  <si>
    <t>Cc1cc(CN(C)C2=CCC=C(CN(c3ccc4cccnc4c3)C(C)C)N2)nc(C)c1C 7.719745 0.25</t>
  </si>
  <si>
    <t>Cc1ccccc1N(C)Cc1ccc(-c2cc(N)cc(Cl)c2)cn1 7.7197223 0.40384615384615385</t>
  </si>
  <si>
    <t>Cc1cccnc1CN(C)Cc1cccc(N(C)c2cccc3ncccc23)n1 7.7197165 0.375</t>
  </si>
  <si>
    <t>CN(CCCN(Cc1ccccn1)c1cccc2ncccc12)c1cccc2ncc(CF)cc12 7.719671 0.38333333333333336</t>
  </si>
  <si>
    <t>CN(CC1=CCC(N(C)C2C=CC=CN2)=CN1)c1ccc2cccnc2c1 7.7196455 0.28169014084507044</t>
  </si>
  <si>
    <t>Cc1cc(C)c(CN(C)Cc2cccc(N(C)c3ccc4ncccc4c3)n2)cn1 7.719642 0.35</t>
  </si>
  <si>
    <t>Cc1cncc(CN(C)c2ccc(Cl)c(N(C)Cc3cc(C)cc(C)n3)c2Cl)c1 7.719628 0.3103448275862069</t>
  </si>
  <si>
    <t>CN(C)CCN(C)c1ccc2cc(CN(C)Cc3ccc4cccnc4c3)cnc2c1 7.7196097 0.3333333333333333</t>
  </si>
  <si>
    <t>CN(C)c1c(Cl)ccc(-c2cncc(CN(Cc3ccccn3)Cc3ccccn3)c2)c1-c1ccccn1 7.71958 0.40350877192982454</t>
  </si>
  <si>
    <t>CCN(C)c1ccc2c(CF)ccnc2c1 7.7195644 0.24</t>
  </si>
  <si>
    <t>Cc1cccc(-c2cc(N=Cc3ccccn3)ccc2C)c1 7.7195497 0.4791666666666667</t>
  </si>
  <si>
    <t>C1=CNCC(Nc2cccc(-c3cccc(C(c4ccccc4)c4ccccn4)n3)n2)=C1 7.7195487 0.2878787878787879</t>
  </si>
  <si>
    <t>Cc1cccnc1-c1cccnc1-c1cccnc1CN(C)Cc1ccccn1 7.7195106 0.4583333333333333</t>
  </si>
  <si>
    <t>CC(C)N(CCN(c1ccc2ncccc2c1)c1cccc2c(C(C)(C)N)ccnc12)Cc1ccccn1 7.7195086 0.43548387096774194</t>
  </si>
  <si>
    <t>CC1C=CCC(C)C1(C)c1ccc2ccc3cccnc3c2n1 7.719501 0.34615384615384615</t>
  </si>
  <si>
    <t>Cc1cccnc1CN(C)C1=C(CN(C)c2cccc3nc(CF)ccc23)CC=CN1 7.719501 0.29411764705882354</t>
  </si>
  <si>
    <t>CN(C)Cc1ccc2c(N(C)Cc3cccc(N(C)Cc4ncccc4CF)n3)cccc2n1 7.7195005 0.31666666666666665</t>
  </si>
  <si>
    <t>Cc1cccnc1CN(C)Cc1cc(N(C)c2ccc3ncccc3c2)ccn1 7.7194986 0.3392857142857143</t>
  </si>
  <si>
    <t>CN(Cc1ccccn1)C1=CCC=C(CN(C)c2cccc3ccc(CF)nc23)N1 7.719497 0.42857142857142855</t>
  </si>
  <si>
    <t>CN(c1cccc2cccnc12)C1C2CCC1(N(C)c1cccc3ncccc13)CC2 7.719482 0.5</t>
  </si>
  <si>
    <t>CC(C)NCc1cc(N(C)c2ccc3ncccc3c2)ccn1 7.719468 0.3157894736842105</t>
  </si>
  <si>
    <t>Cc1cccnc1CN(Cc1ccc(-c2ccc3cccnc3c2N(C)Cc2ncccc2C)nc1)Cc1ccccn1 7.7194567 0.36507936507936506</t>
  </si>
  <si>
    <t>CNc1ccc(-c2cccc(C(C)(C)C)n2)nc1C 7.719456 0.34</t>
  </si>
  <si>
    <t>COC(=O)c1cccc(-c2cccc(C(=O)C(=O)C(C)NCc3ccccn3)n2)n1 7.719453 0.3448275862068966</t>
  </si>
  <si>
    <t>CN(c1ccc2ncccc2c1)C1CC2CCC1(N(C)c1ccc3ncccc3c1)C2 7.719448 0.3220338983050847</t>
  </si>
  <si>
    <t>CC(C)(c1cccc(N=Cc2ccccn2)c1)c1cccc(-c2cccc(N=Cc3ccccn3)c2)n1 7.7194376 0.375</t>
  </si>
  <si>
    <t>CC(C)C(C)N(C)Cc1ccc2cc(N(C)c3ccc4ncccc4c3)ccc2n1 7.719423 0.38461538461538464</t>
  </si>
  <si>
    <t>CN(Cc1ccccn1)C1=C(CN(C)c2cccc3nccc(CF)c23)NC=CC1 7.719418 0.3709677419354839</t>
  </si>
  <si>
    <t>Cc1cc(NCc2ccccn2)cc(-c2cc(N=Cc3ccccn3)ccc2C)c1 7.7194114 0.36666666666666664</t>
  </si>
  <si>
    <t>Cc1cc(CN(C)C2=C(CN(C)c3ccc4cccnc4c3)NC=CC2)ccn1 7.7194033 0.25757575757575757</t>
  </si>
  <si>
    <t>C1=CNC(Nc2ncccc2-c2cccc(C(c3ccccc3)c3ccccn3)n2)C=C1 7.719398 0.2835820895522388</t>
  </si>
  <si>
    <t>Cc1ccc(CN(Cc2ncccc2C)c2ccc3ncccc3c2)nc1C 7.719376 0.30357142857142855</t>
  </si>
  <si>
    <t>Cc1cccc(N(C)CCN(C)c2ccc3nccc(C)c3c2)c1 7.7193694 0.30612244897959184</t>
  </si>
  <si>
    <t>Cc1cc(NCc2ccccn2)cc(-c2cc(C)cnc2-c2cccc(NCc3ccccn3)c2)c1 7.7193594 0.3770491803278688</t>
  </si>
  <si>
    <t>CC(=O)C(=O)C(=O)C(=O)C(=O)C(=O)C(=O)C(=O)C(=O)C(=O)C(=O)C(=O)C(=O)C(=O)C(=O)C(=O)C(=O)C(=O)C(=O)C(=O)C(=O)C(=O)C(=O)C(=O)C(=O)C(=O)C(=O)C(=O)C(=O)C(=O)C(=O)C(=O)C(=O)C(=O)C(=O)C(=O)C(=O)C1=CCC=CN1 7.7193274 0.23076923076923078</t>
  </si>
  <si>
    <t>CN(C)Cc1nccc2cc(N(C)Cc3ncccc3C(C)(C)C)ccc12 7.7193274 0.2727272727272727</t>
  </si>
  <si>
    <t>Cc1cccnc1CN(C)c1ccc(C)c2ccc(CN(C)Cc3cc(C)c(C)c(C)n3)nc12 7.7193193 0.30158730158730157</t>
  </si>
  <si>
    <t>CC(C)N(Cc1ccccn1)c1ccc2ncccc2c1N(C)Cc1ccccn1 7.719302 0.4489795918367347</t>
  </si>
  <si>
    <t>Cc1ccnc(CN(C)C2=CCC=C(CN(C)c3ccc4ccc(CF)nc4c3)N2)c1 7.7192965 0.27692307692307694</t>
  </si>
  <si>
    <t>CN(C)c1ccccc1-c1ccccn1 7.719288 0.4</t>
  </si>
  <si>
    <t>CN(Cc1ccccn1)C1=CCC=C(CN(C)c2ccc3cc(CF)cnc3c2)N1 7.7192845 0.3548387096774194</t>
  </si>
  <si>
    <t>Cc1ccc2ncccc2c1 7.719273 0.3157894736842105</t>
  </si>
  <si>
    <t>Cc1cc(C)c(CN(C)c2cc(Cl)c(Cl)cc2N(C)Cc2cccc(F)n2)nc1C 7.719272 0.4489795918367347</t>
  </si>
  <si>
    <t>CN(CCN(C)c1ccc2ncccc2c1)Cc1ccc2cccnc2c1 7.7192698 0.40816326530612246</t>
  </si>
  <si>
    <t>CC(C)c1cc(CN(Cc2ccccn2)c2ccc3nc(CN(C)Cc4cc(-c5cccc(N(C)C)c5)ccn4)ccc3c2)ccn1 7.719265 0.36764705882352944</t>
  </si>
  <si>
    <t>CN(CCN(C)c1ccc2ncccc2c1)Cc1ccc2ncccc2c1 7.719265 0.43478260869565216</t>
  </si>
  <si>
    <t>CN(CCN(C)c1cccc2ncc(CF)cc12)Cc1cccc2ncccc12 7.7192636 0.4339622641509434</t>
  </si>
  <si>
    <t>Cc1cccnc1CN(Cc1ccccn1)c1ccc2nc(CN(C)Cc3cccc(-c4cccc(N=Cc5ccccn5)c4)n3)ccc2c1 7.71926 0.39436619718309857</t>
  </si>
  <si>
    <t>CN(c1cccc2ncccc12)C1C2CCC1(N(C)c1cccc3cccnc13)CC2 7.719253 0.4727272727272727</t>
  </si>
  <si>
    <t>CN(c1ccc2ncc(-c3ccc4cccnc4c3)cc2c1)C1CCC(N(C)c2ccccc2F)CC1 7.7192287 0.30303030303030304</t>
  </si>
  <si>
    <t>CN(CCN(C)c1cccc2nc(CF)ccc12)Cc1cccc2ncccc12 7.7192097 0.46153846153846156</t>
  </si>
  <si>
    <t>CC(C)N(Cc1ccccn1)Cc1cc(-c2cccc(N(C)c3ccc4ncccc4c3)c2)ccn1 7.7192035 0.4528301886792453</t>
  </si>
  <si>
    <t>Cc1cccnc1-c1ccc(CN(C)Cc2cc(-c3cccc(N=Cc4ccccn4)c3)ccn2)cc1 7.7192 0.375</t>
  </si>
  <si>
    <t>CNCc1cc(C)c(-c2ccccc2N(C)C)c(C)n1 7.7191896 0.24528301886792453</t>
  </si>
  <si>
    <t>CN(Cc1ccccn1)C1=CNC=C(CN(C)c2ccc3ncccc3c2)C1 7.71916 0.39285714285714285</t>
  </si>
  <si>
    <t>C1=CNCC(Nc2ncccc2-c2ncccc2C(c2ccccc2)c2ccccn2)=C1 7.71914 0.2727272727272727</t>
  </si>
  <si>
    <t>CN(Cc1ccccn1)C1=CCC=C(CN(C)c2ccc3ccc(CF)nc3c2)N1 7.719128 0.3898305084745763</t>
  </si>
  <si>
    <t>Cc1cccnc1CN(C)C1=CCC=C(CN(C)c2ccc3ccc(CN(C)C)nc3c2)N1 7.7191277 0.2878787878787879</t>
  </si>
  <si>
    <t>Cc1cc(NCc2ccccn2)cnc1C(C)Nc1cccc2ncccc12 7.719117 0.3283582089552239</t>
  </si>
  <si>
    <t>CN(C)c1cccc(-c2ccc(CN(C)c3ccccc3F)nc2)c1 7.7191024 0.36538461538461536</t>
  </si>
  <si>
    <t>Cc1ccnc(CN(C)C2=C(CN(C)c3ccc4ncccc4c3)NC=CC2)c1 7.7190804 0.28125</t>
  </si>
  <si>
    <t>CN(Cc1ccccn1)c1cc(Cl)c2ncccc2c1N(C)C1CCC(N(C)c2ccc3cc(CF)cnc3c2)CC1 7.7190804 0.40298507462686567</t>
  </si>
  <si>
    <t>Cc1cccnc1-c1cccc(CN(C)Cc2cc(-c3ccccc3N=Cc3ccccn3)ccn2)c1 7.7190504 0.42857142857142855</t>
  </si>
  <si>
    <t>CN(Cc1ccccn1)C1=CCC=C(CN(C)c2ccc3ncc(CF)cc3c2)N1 7.7190495 0.3492063492063492</t>
  </si>
  <si>
    <t>CN(C)Cc1ccc2cc(N(C)Cc3cccc(F)n3)ccc2n1 7.7190495 0.3695652173913043</t>
  </si>
  <si>
    <t>CN(Cc1ccccn1)C1=CNC=C(CN(C)c2ccc3cccnc3c2)C1 7.7190456 0.4107142857142857</t>
  </si>
  <si>
    <t>Cc1ccccc1-c1cc(CN(C)Cc2cc(-c3cccc(N=Cc4ccccn4)c3)ccn2)ccn1 7.719037 0.36923076923076925</t>
  </si>
  <si>
    <t>Cc1ccnc(CN(C)c2ccc3nc(CF)ccc3c2)c1 7.7190247 0.32653061224489793</t>
  </si>
  <si>
    <t>Cc1cc(NCc2ccccn2)ccc1CN(C)Cc1ncccc1-c1cc(N)c2cccnc2c1 7.7190194 0.32432432432432434</t>
  </si>
  <si>
    <t>CN(CCN(C)c1ccc2cccnc2c1)Cc1ccc2ncccc2c1 7.719016 0.40816326530612246</t>
  </si>
  <si>
    <t>CN(CCN(C)c1ccc2cccnc2c1)Cc1ccc2cccnc2c1 7.7190137 0.425531914893617</t>
  </si>
  <si>
    <t>Cc1cnc2cccc(N(C)CCN(C)c3c(C)cccc3C)c2c1 7.7190056 0.4</t>
  </si>
  <si>
    <t>CNc1cccnc1CN(Cc1ccccn1)c1ccc2ncccc2c1 7.7189946 0.37037037037037035</t>
  </si>
  <si>
    <t>CC(C)N(C)c1ccc2nc(CN(C)Cc3ccc4ncccc4c3)ccc2c1 7.718964 0.37037037037037035</t>
  </si>
  <si>
    <t>Cc1ccnc2cccc(N(C)CCN(C)C)c12 7.718959 0.42857142857142855</t>
  </si>
  <si>
    <t>CN(Cc1cc(C(C)(C)C)ccn1)c1ccc2ncccc2c1 7.7189555 0.35294117647058826</t>
  </si>
  <si>
    <t>CNc1ccc2nc(CF)ccc2c1 7.718944 0.32</t>
  </si>
  <si>
    <t>C1=CNC(N(Cc2ccccn2)c2ccc3ncccc3c2)C=C1 7.7189436 0.48148148148148145</t>
  </si>
  <si>
    <t>Cc1cc(C2=CC(N(C)CC3=C(N(C)c4ccc5cccnc5c4)CC=CN3)C=CN2)ccc1N 7.718938 0.21176470588235294</t>
  </si>
  <si>
    <t>Cc1cnc(C)c(CN(C)Cc2cc(N(C)c3ccc4ncccc4c3)ccn2)c1 7.7189245 0.3275862068965517</t>
  </si>
  <si>
    <t>CC(C)C(C)(c1cccnc1)N(C)c1ccc2nccc(-c3ccc(C(C)(C)C)cn3)c2c1 7.7189155 0.16901408450704225</t>
  </si>
  <si>
    <t>Cc1cnc(CN(C)Cc2cccc(N(C)c3ccc4ncccc4c3)n2)c(C)c1 7.7189136 0.35</t>
  </si>
  <si>
    <t>CN(Cc1ccccn1)c1cc(N(Cc2ccccn2)C(C)(C)C)c2ncccc2c1 7.718909 0.46938775510204084</t>
  </si>
  <si>
    <t>Cc1ccnc(CN(Cc2ccnc(-c3cc(N(C)Cc4ccccn4)cc4ncccc34)c2)Cc2ccccn2)c1 7.718906 0.37037037037037035</t>
  </si>
  <si>
    <t>Cc1cccnc1CN(C)Cc1ccc(N(C)c2cccc3ncccc23)cn1 7.718884 0.34615384615384615</t>
  </si>
  <si>
    <t>Cc1cnc(C)c(CN(C)c2ccc(Cl)c(N(C)Cc3cc(C)c(C)c(C)n3)c2C)c1 7.71888 0.3275862068965517</t>
  </si>
  <si>
    <t>CN(CC1=CCC(N(C)C2C=CC=CN2)=CN1)c1cccc2ncccc12 7.718868 0.31343283582089554</t>
  </si>
  <si>
    <t>Cc1ccc(CN(C)Cc2cc(N(C)c3ccc4ncccc4c3)ccn2)nc1C 7.718855 0.35714285714285715</t>
  </si>
  <si>
    <t>CN(CC1=CCC=CN1)Cc1cccc(-c2ccc3ncccc3c2)n1 7.7188506 0.45</t>
  </si>
  <si>
    <t>CN(Cc1ccccn1)C1=CCC=C(CN(C)c2cccc3cc(CF)cnc23)N1 7.7188497 0.39344262295081966</t>
  </si>
  <si>
    <t>Cc1cccnc1CN(C)C1=CC(CN(C)c2cccc3ncccc23)C=CN1 7.7188478 0.3064516129032258</t>
  </si>
  <si>
    <t>CN(Cc1cccnc1)c1cccc2ncc(CF)cc12 7.7188463 0.3269230769230769</t>
  </si>
  <si>
    <t>Cc1ccc(C)c(CN(C)Cc2cc(N(C)c3ccc4ncccc4c3)ccn2)n1 7.7188354 0.3220338983050847</t>
  </si>
  <si>
    <t>CN(C)Cc1cc(-c2cccc(N(C)C)c2)ccn1 7.718821 0.3409090909090909</t>
  </si>
  <si>
    <t>CN(Cc1ccccn1)C1=CNC(CN(C)c2ccc3nccc(CF)c3c2)=CC1 7.7188053 0.34375</t>
  </si>
  <si>
    <t>Cc1cc(CN(Cc2ccccn2)c2cc(N(C)Cc3ccccn3)c3nc(CN(C)C)ccc3c2)cnc1C 7.7188025 0.4</t>
  </si>
  <si>
    <t>CN(Cc1ncccc1-c1ccc2ncccc2c1)Cc1ncccc1C(C)(C)c1ccccn1 7.7188025 0.3333333333333333</t>
  </si>
  <si>
    <t>CN(Cc1cccnn1)C1=C(CN(C)c2ccc3cccnc3c2)NC=CC1 7.718778 0.3448275862068966</t>
  </si>
  <si>
    <t>CN(c1cccc2ncccc12)C1C2CCC1(N(C)c1cccc3ncccc13)CC2 7.7187777 0.36363636363636365</t>
  </si>
  <si>
    <t>Cc1ccnc2ccc(N(C)CCN(C)C)cc12 7.7187614 0.30434782608695654</t>
  </si>
  <si>
    <t>Cc1cccc(N(C)c2ccc3c(CN(C)Cc4nc(C)c(C)cc4C)ccnc3c2)c1 7.718759 0.2786885245901639</t>
  </si>
  <si>
    <t>CN(C)Cc1nccc2cc(N(C)CCN(C)Cc3ccc4ncccc4c3)ccc12 7.7187467 0.3448275862068966</t>
  </si>
  <si>
    <t>Cc1cccnc1CN(Cc1ccnc(-c2c(N(C)Cc3ncccc3C)ccc3cccnc23)c1)Cc1ccccn1 7.718746 0.3709677419354839</t>
  </si>
  <si>
    <t>Cc1cc(C)c(CN(C)C2=C(CN(C)c3ccc4ncccc4c3)NC=CC2)cn1 7.718736 0.2537313432835821</t>
  </si>
  <si>
    <t>Cc1cc(C)c(CN(C)C2=C(CN(C)c3ccc4cccnc4c3)NC=CC2)cn1 7.718735 0.25</t>
  </si>
  <si>
    <t>CC(C)N(Cc1ccccn1)c1cc(N(C)Cc2ccccn2)c2ccc(C(C)(C)C)nc2c1 7.718721 0.4444444444444444</t>
  </si>
  <si>
    <t>C1=CNC(c2cccc(-c3ccccc3NCc3ccccn3)n2)=CC1 7.718719 0.41379310344827586</t>
  </si>
  <si>
    <t>Cc1cc(CN(C)C2=C(CN(C)c3ccc4cccnc4c3)NC=CC2)cnc1C 7.7187114 0.25</t>
  </si>
  <si>
    <t>Cc1ccc(CN(Cc2ccccn2)c2ccc3nc(CN(C)Cc4cccc(-c5cccc(N=Cc6ccccn6)c5)n4)ccc3c2)nc1C 7.7187104 0.4057971014492754</t>
  </si>
  <si>
    <t>Cc1ccc(-c2cccc(NCc3ccccn3)c2)nc1CN(Cc1ccccn1)c1ccc2ncccc2c1 7.7187104 0.3611111111111111</t>
  </si>
  <si>
    <t>Cc1cnc(CN(C)c2ccc(-c3ccccn3)cc2-c2cccc(CN(Cc3ccccn3)Cc3ccc(-c4cccc(NCc5ccccn5)c4C)cn3)n2)c(C)c1 7.7187023 0.36585365853658536</t>
  </si>
  <si>
    <t>CN(Cc1ccccn1)C1=C(CN(C)c2ccc3ncccc3c2)NC=CC1 7.718698 0.38596491228070173</t>
  </si>
  <si>
    <t>CN(Cc1ccccn1)C1=CNC(CN(C)c2cccc3c(CF)ccnc23)=CC1 7.7186947 0.3709677419354839</t>
  </si>
  <si>
    <t>C=Nc1cccc(-c2ccc(CN(C)Cc3ccc4cc(C)ccc4n3)nc2)c1 7.7186885 0.39622641509433965</t>
  </si>
  <si>
    <t>Cc1cccc(N(C)Cc2ncccc2-c2cccc(N=Cc3ccccn3)c2)c1 7.7186823 0.36065573770491804</t>
  </si>
  <si>
    <t>CC(C)N(C)Cc1cc(-c2cccc(N(C)c3ccc4nc(CF)ccc4c3)c2)ccn1 7.71868 0.2903225806451613</t>
  </si>
  <si>
    <t>CN(CCN(C)c1ccc2c(CF)ccnc2c1)Cc1ccc2cccnc2c1 7.7186737 0.3684210526315789</t>
  </si>
  <si>
    <t>CN(c1cccc2cccnc12)C1CC2CCC1(N(C)c1ccc3ncccc3c1)C2 7.718665 0.4576271186440678</t>
  </si>
  <si>
    <t>CN(CCN(C)c1ccc2nccc(CF)c2c1)Cc1ccc2ncccc2c1 7.718662 0.375</t>
  </si>
  <si>
    <t>CN(Cc1ccccn1)C1=C(CN(C)c2cccc3cccnc23)NC=CC1 7.7186604 0.4716981132075472</t>
  </si>
  <si>
    <t>CC1=CNC(N(C)Cc2cccc(-c3cc(Cl)ccc3N)n2)=CC1 7.7186522 0.28125</t>
  </si>
  <si>
    <t>Cc1ccc(N=Cc2ccccn2)c(C)c1C1=NC(c2ccccc2)C(c2ccccc2)O1 7.7186456 0.49056603773584906</t>
  </si>
  <si>
    <t>CN(CC1=CCC=C(N(C)C(c2ccccc2)c2ccccn2)N1)c1ccc2ncccc2c1 7.7186356 0.36363636363636365</t>
  </si>
  <si>
    <t>Cc1cnc(CN(C)Cc2ccc(N(C)c3ccc4ncccc4c3)cn2)c(C)c1 7.7186356 0.37735849056603776</t>
  </si>
  <si>
    <t>CN(Cc1ccccn1)C1=C(CN(C)c2ccc3cccnc3c2)NC=CC1 7.718623 0.39655172413793105</t>
  </si>
  <si>
    <t>Cc1cc(N=Cc2ccccn2)cc(-c2ccccc2C)c1 7.7186117 0.5</t>
  </si>
  <si>
    <t>C1=CCNC(Nc2cccc(-c3cccc(C(c4ccccc4)c4ccccn4)n3)n2)=C1 7.7186093 0.2878787878787879</t>
  </si>
  <si>
    <t>C1=CNC(c2cccc(-c3cccc(NCc4ccccn4)c3)n2)=CC1 7.718607 0.4</t>
  </si>
  <si>
    <t>CN(CCN(C)c1ccc2c(CF)ccnc2c1)Cc1ccc2ncccc2c1 7.7186 0.375</t>
  </si>
  <si>
    <t>CNCc1ccc2cccc(N(C)Cc3ncc(C)c(C)c3C)c2n1 7.7185745 0.3584905660377358</t>
  </si>
  <si>
    <t>Cc1ccc(CN(C)C2=C(CN(C)c3ccc4cccnc4c3)NC=CC2)nc1 7.7185473 0.3333333333333333</t>
  </si>
  <si>
    <t>Cc1ccc(-c2cccc(NCc3ccccn3)c2)nc1N=Cc1ccccn1 7.718544 0.3898305084745763</t>
  </si>
  <si>
    <t>CN(CN)c1ccc2c(CF)ccnc2c1 7.7185388 0.23529411764705882</t>
  </si>
  <si>
    <t>Cc1ccc(CN(C)C2=C(CN(C)c3ccc4ncccc4c3)NC=CC2)nc1 7.718538 0.3389830508474576</t>
  </si>
  <si>
    <t>CN(Cc1ccc(C(C)(C)C)cn1)c1ccc2ncccc2c1 7.7185225 0.34615384615384615</t>
  </si>
  <si>
    <t>CC(C)N(Cc1ccccn1)Cc1ncccc1-c1ccccc1N(C)c1ccc2ncccc2c1 7.7185106 0.4528301886792453</t>
  </si>
  <si>
    <t>Cc1cnc2c(N(C)c3cccnc3CN(C)Cc3cccc(C)n3)cccc2c1 7.7185082 0.43137254901960786</t>
  </si>
  <si>
    <t>C1=CCNC(Nc2ncccc2-c2ccc(C(c3ccccc3)c3ccccn3)cn2)=C1 7.7184973 0.2647058823529412</t>
  </si>
  <si>
    <t>CC(C)N(C)Cc1ncccc1-c1c(N)ccc2cccnc12 7.718494 0.37254901960784315</t>
  </si>
  <si>
    <t>C1=CNC(N(Cc2ccccn2)c2ccc3cccnc3c2)C=C1 7.718478 0.4727272727272727</t>
  </si>
  <si>
    <t>Cc1cncc(C)c1CN(C)Cc1cccc(N(C)c2ccc3ncccc3c2)n1 7.7184777 0.3620689655172414</t>
  </si>
  <si>
    <t>Cc1ccc(N(C)CCN(C)c2ccc3nccc(C)c3c2)cc1 7.718473 0.2826086956521739</t>
  </si>
  <si>
    <t>CNCc1nc(-c2ccc(N(C)C)cc2)c(C)c(C)c1C 7.718467 0.20833333333333334</t>
  </si>
  <si>
    <t>Cc1cnc(-c2cccc(NCc3ccccn3)c2)c(C2=NC(C)(C)CO2)c1 7.718443 0.32857142857142857</t>
  </si>
  <si>
    <t>CN(CC1C=CNC=C1N(C)C1=CCC=CN1)C1=C(N(C)c2cccc3ncccc23)NC=CC1 7.718438 0.25</t>
  </si>
  <si>
    <t>Cc1ccc(C)c(CN(C)C2=C(CN(C)c3ccc4ncccc4c3)NC=CC2)n1 7.718431 0.25757575757575757</t>
  </si>
  <si>
    <t>C1=CNC(c2cccc(-c3ccc(NCc4ccccn4)cc3)n2)=CC1 7.718431 0.41379310344827586</t>
  </si>
  <si>
    <t>Cc1ccc(-c2cc(C(C)C)ccn2)cc1N=Cc1ccccn1 7.7184267 0.47058823529411764</t>
  </si>
  <si>
    <t>CNCc1cc(CN(C)c2ccc3nccc(C)c3c2)ccn1 7.718407 0.26785714285714285</t>
  </si>
  <si>
    <t>CN(Cc1cccc(-c2cccc(N(C)C)c2)n1)Cc1ccc2ccccc2n1 7.718398 0.45454545454545453</t>
  </si>
  <si>
    <t>CN(C)C1=CC(CN(C)c2ccc3cccnc3c2)C=CN1 7.7183704 0.2982456140350877</t>
  </si>
  <si>
    <t>Cc1cncc(CN(C)C2=CNC(CN(C)c3ccc4cccnc4c3)=CC2)c1C 7.7183642 0.26865671641791045</t>
  </si>
  <si>
    <t>CN(C)Cc1ccc2cccc(N(C)Cc3cccnn3)c2n1 7.718359 0.45454545454545453</t>
  </si>
  <si>
    <t>C1=CC(Nc2cccc(-c3cccc(C(c4ccccc4)c4ccccn4)n3)n2)=CCN1 7.7183356 0.2835820895522388</t>
  </si>
  <si>
    <t>Cc1ccc(C)c(CN(C)C2=C(CN(C)c3ccc4nc(C)ccc4c3)NC=CC2)n1 7.7182927 0.23333333333333334</t>
  </si>
  <si>
    <t>CN(Cc1ccccn1)Cc1cc(-c2ccc3ncccc3c2)ccn1 7.7182817 0.48936170212765956</t>
  </si>
  <si>
    <t>Cc1ccnc(CN(C)C2=CNC(CN(C)c3ccc4cccnc4c3)=CC2)c1 7.718278 0.296875</t>
  </si>
  <si>
    <t>Cc1ccnc(CN(C)C2=CNC(CN(C)c3ccc4ncccc4c3)=CC2)c1 7.7182727 0.2857142857142857</t>
  </si>
  <si>
    <t>CN(Cc1ccccn1)c1cc(-c2cc(CN(Cc3ccccn3)Cc3ncccc3F)ccn2)c2cccnc2c1 7.718272 0.35384615384615387</t>
  </si>
  <si>
    <t>Cc1cc2cccnc2c(C(C)(C)C)c1N(C)Cc1ccccn1 7.7182684 0.4583333333333333</t>
  </si>
  <si>
    <t>CN(c1ccc2ncccc2c1)C12CCC(N(C)c3ccc4cccnc4c3)(CC1)C2 7.718265 0.28846153846153844</t>
  </si>
  <si>
    <t>Cc1cccnc1CN(Cc1ncccc1N(C)Cc1cncc(C)c1-c1cccc(C2CCC2(C)C)n1)c1ccc2ncccc2c1 7.718244 0.25</t>
  </si>
  <si>
    <t>Cc1c(C)c(C)c(N(C)CCN(C)c2ccc3ncccc3c2)c(C)c1C 7.718242 0.4090909090909091</t>
  </si>
  <si>
    <t>CN(Cc1cccc(C(C)(C)c2ccccn2)n1)c1ccc2cccnc2c1 7.7182307 0.41509433962264153</t>
  </si>
  <si>
    <t>CN(C)Cc1ccc2cc(N(C)Cc3ncccc3N)ccc2n1 7.718212 0.3584905660377358</t>
  </si>
  <si>
    <t>CN(c1cccc2nc(CF)ccc12)C1CCC(N(C)c2cccc3c(Cl)cc(Cl)nc23)CC1 7.7181716 0.4262295081967213</t>
  </si>
  <si>
    <t>CNCc1cc2cc(N(C)Cc3ncc(C)cc3C)ccc2cn1 7.7181587 0.3018867924528302</t>
  </si>
  <si>
    <t>Cc1cc(-c2ccccc2NCc2ccccn2)cnc1-c1cccc(NCc2ccccn2)c1C 7.71815 0.36666666666666664</t>
  </si>
  <si>
    <t>CN(C)Cc1ccnc2ccc(N(C)CCN(C)Cc3ccc4ncccc4c3)cc12 7.7181377 0.38181818181818183</t>
  </si>
  <si>
    <t>Cc1cc(-c2ccccn2)cnc1CN(c1ccc2ncccc2c1)C1CCC(N(C)c2ccc3nccc(CF)c3c2)CC1 7.7181363 0.2564102564102564</t>
  </si>
  <si>
    <t>CN(Cc1ccccn1)C1=C(CN(C)c2cccc3cccnc23)CC=CN1 7.7181287 0.4716981132075472</t>
  </si>
  <si>
    <t>CN(Cc1ccc(F)cn1)C1=C(CN(C)c2ccc3cccnc3c2)CC=CN1 7.7181015 0.30303030303030304</t>
  </si>
  <si>
    <t>CN(c1ccc2ncccc2c1)C12CCC(N(C)c3ccc4ncccc4c3)(CC1)C2 7.7181005 0.30434782608695654</t>
  </si>
  <si>
    <t>c1ccc2ncccc2c1 7.7180996 0.42424242424242425</t>
  </si>
  <si>
    <t>Cc1cccc(-c2cccnc2CN(C)Cc2cc3ncccc3cc2N(C)Cc2ccccn2)c1 7.7180896 0.4</t>
  </si>
  <si>
    <t>Cc1cc(C)c(N(C)C)c(Cl)c1 7.718087 0.225</t>
  </si>
  <si>
    <t>CN(Cc1cccc(N)n1)C1=C(CN(C)c2ccc3ncccc3c2)NC=CC1 7.718086 0.27692307692307694</t>
  </si>
  <si>
    <t>CN(C)Cc1ccnc2cc(N(C)CCN(C)Cc3ccc4cccnc4c3)ccc12 7.7180767 0.375</t>
  </si>
  <si>
    <t>Cc1cccnc1CN(Cc1ccccn1)Cc1cccc(-c2cc(N(C)Cc3ncccc3C)cc3cccnc23)n1 7.718074 0.4307692307692308</t>
  </si>
  <si>
    <t>CNc1cc2cccnc2c(Cl)c1-c1cc(CN(Cc2ccccn2)C2CCC(N(C)c3ccc4nccc(C)c4c3)CC2)ccn1 7.7180724 0.2682926829268293</t>
  </si>
  <si>
    <t>Cc1cccc(CN(C)C2=C(CN(C)c3ccc4ncccc4c3)NC=CC2)n1 7.7180667 0.3448275862068966</t>
  </si>
  <si>
    <t>Cc1ccnc2cccc(N(C)CCN(Cc3cccc4ncccc34)C(C)C)c12 7.718063 0.37037037037037035</t>
  </si>
  <si>
    <t>Cc1cccnc1CN(C)c1cc(C)c2ccc(CN(C)Cc3cc(C)c(C)c(C)n3)nc2c1 7.7180514 0.3064516129032258</t>
  </si>
  <si>
    <t>C1=CNC(Nc2cc(-c3cc(C(c4ccccc4)c4ccccn4)ccn3)ccn2)C=C1 7.718049 0.27941176470588236</t>
  </si>
  <si>
    <t>CNCC1=CCC(N(C)c2ccc3cccnc3c2)=CN1 7.7180414 0.26666666666666666</t>
  </si>
  <si>
    <t>Cc1cccc(CN(C)C2=C(CN(C)c3ccc4cccnc4c3)NC=CC2)n1 7.7180376 0.3389830508474576</t>
  </si>
  <si>
    <t>CN(C)Cc1nccc2cc(N(C)CC3=CCC=CN3)ccc12 7.7180295 0.39655172413793105</t>
  </si>
  <si>
    <t>Cc1cnc(N=Cc2ccccn2)c(-c2ccccc2NCc2ccccn2)c1 7.717985 0.3620689655172414</t>
  </si>
  <si>
    <t>Cc1ccccc1N(C)CCN(C)c1ccc2nccc(C)c2c1 7.717973 0.3541666666666667</t>
  </si>
  <si>
    <t>Cc1cc(-c2cccc(NCc3ccccn3)c2)cnc1-c1cccc(NCc2ccccn2)c1C 7.7179627 0.359375</t>
  </si>
  <si>
    <t>Cc1cnc(CN(C)c2ccc3cccnc3c2-c2cnccc2CN(Cc2ccccn2)Cc2ncccc2C)c(C)c1 7.7179236 0.32857142857142857</t>
  </si>
  <si>
    <t>CNc1ccccc1-c1ncccc1C(C)(c1ccccn1)c1ccccn1 7.717915 0.425531914893617</t>
  </si>
  <si>
    <t>Cc1ccc2cccc(N(C)CC3=C(N(C)Cc4ncccc4C)CC=CN3)c2n1 7.717912 0.38333333333333336</t>
  </si>
  <si>
    <t>Cc1ccccc1N(C)CCN(C)c1cccc2nccc(C)c12 7.717907 0.4186046511627907</t>
  </si>
  <si>
    <t>Cc1ccnc(Nc2ccccc2)c1-c1ccc(C(c2ccccc2)c2ccccn2)cn1 7.717894 0.29508196721311475</t>
  </si>
  <si>
    <t>COC(=O)c1cccc(-c2cc(C(=O)C(=O)C(C)NCc3ccccn3)ccn2)n1 7.7178926 0.328125</t>
  </si>
  <si>
    <t>Cc1cccc(CN(C)c2ccc3cccnc3c2-c2cccc(CN(Cc3ccccn3)Cc3nc(C)cc(C)c3C)n2)n1 7.7178893 0.3888888888888889</t>
  </si>
  <si>
    <t>Cc1nccc(CN(C)C2=C(CN(C)c3ccc4cccnc4c3)NC=CC2)c1C 7.717887 0.25757575757575757</t>
  </si>
  <si>
    <t>C1=CC(Nc2cc(-c3ccc(C(c4ccccc4)c4ccccn4)cn3)ccn2)=CCN1 7.717867 0.2535211267605634</t>
  </si>
  <si>
    <t>CN(CC1=CCC=C(N(C)C(c2ccccc2)c2ccccn2)N1)c1cccc2ncccc12 7.7178655 0.36363636363636365</t>
  </si>
  <si>
    <t>CN(C)C1=CC=CNC1Nc1cccc(-c2cccc(C(c3ccccc3)c3ccccn3)n2)n1 7.7178617 0.31343283582089554</t>
  </si>
  <si>
    <t>Cc1cncc(C)c1CN(C)Cc1cc(N(C)c2ccc3ncccc3c2)ccn1 7.7178464 0.3275862068965517</t>
  </si>
  <si>
    <t>Cc1nccc(CN(C)C2=CNC=C(CN(C)c3ccc4cccnc4c3)C2)c1C 7.7178245 0.26153846153846155</t>
  </si>
  <si>
    <t>Cc1cccc(N(C)Cc2cc(-c3ccccc3N=Cc3ccccn3)ccn2)c1 7.717823 0.43103448275862066</t>
  </si>
  <si>
    <t>Cc1cccc(-c2cccc(CN(C)Cc3cccc(-c4cccc(N(C)C)c4)n3)n2)n1 7.7178183 0.5</t>
  </si>
  <si>
    <t>Cc1ccccc1N(C)CC1=CC(N(C)c2ccc3cccnc3c2)C=CN1 7.717793 0.30158730158730157</t>
  </si>
  <si>
    <t>C1=CC2=C(c3ccccc3)C=C(c3cc(-c4ccccc4)c(NCc4ccccn4)c4ccccc34)C(NCc3ccccn3)C2C=C1 7.7177916 0.46153846153846156</t>
  </si>
  <si>
    <t>CC(C)N(Cc1ccccn1)c1cc(N(C)Cc2ccccn2)c2ncccc2c1 7.717778 0.5</t>
  </si>
  <si>
    <t>CN(c1ccc2ncccc2c1)C1C=C(NCc2ccccn2)C=CN1 7.7177725 0.3333333333333333</t>
  </si>
  <si>
    <t>Cc1cc(CN(C)c2cc3cccnc3cc2-c2cc(CN(Cc3ccccn3)Cc3ncccc3C)ccn2)cnc1C 7.717769 0.32857142857142857</t>
  </si>
  <si>
    <t>CN(c1ccc2cccnc2c1)C12CCC(N(C)c3cccc4cccnc34)(CC1)C2 7.7177687 0.42857142857142855</t>
  </si>
  <si>
    <t>Cc1cc(N=Cc2ccccn2)cnc1-c1ccc(NCc2ccccn2)cc1 7.717768 0.3793103448275862</t>
  </si>
  <si>
    <t>Cc1cc(C)nc(CN(C)C2=C(CN(C)c3ccc4cccnc4c3)NC=CC2)c1 7.717759 0.26865671641791045</t>
  </si>
  <si>
    <t>Cc1ccc(CN(Cc2ccc(N)cn2)c2ccc3nc(CN(C)Cc4cccc(-c5cccc(N=Cc6ccccn6)c5)n4)ccc3c2)nc1 7.7177434 0.36</t>
  </si>
  <si>
    <t>Cc1cc(C)nc(CN(C)C2=C(CN(C)c3ccc4ncccc4c3)NC=CC2)c1 7.7177367 0.25757575757575757</t>
  </si>
  <si>
    <t>Cc1cccnc1CN(C)c1cccnc1CN(Cc1cccc(N)n1)c1ccc2ncccc2c1 7.717733 0.3225806451612903</t>
  </si>
  <si>
    <t>Cc1ccc(CN(C)C2=CNC(CN(C)c3ccc4cccnc4c3)=CC2)nc1 7.717706 0.3389830508474576</t>
  </si>
  <si>
    <t>Cc1ccc(N(C)Cc2ccc(-c3ccc(Cl)c(N)c3)cn2)cc1C 7.7176948 0.3333333333333333</t>
  </si>
  <si>
    <t>CC(C)N(Cc1ccccn1)c1cc2cccnc2cc1N(C)Cc1cccnn1 7.7176747 0.4807692307692308</t>
  </si>
  <si>
    <t>CC(C1=C2C=Cc3cccnc3C2C=CN1)(c1ccccn1)c1ccccn1 7.7176743 0.35185185185185186</t>
  </si>
  <si>
    <t>CCN(Cc1ccccn1)Cc1ncccc1-c1cc(N(C)Cc2ncccc2C)cc2ncccc12 7.7176714 0.3559322033898305</t>
  </si>
  <si>
    <t>CN(Cc1ccccn1)C1=C(CN(C)c2cccc3ncccc23)NC=CC1 7.717623 0.4107142857142857</t>
  </si>
  <si>
    <t>CN(C)Cc1cncc2cc(N(C)Cc3ccccn3)ccc12 7.7176104 0.4489795918367347</t>
  </si>
  <si>
    <t>CN(Cc1ccc(-c2ccccc2N=Cc2ccccn2)cn1)c1ccccc1F 7.7176094 0.49056603773584906</t>
  </si>
  <si>
    <t>CCNc1cccc2nccc(C(C)(c3ccccn3)c3ccccn3)c12 7.7176056 0.49019607843137253</t>
  </si>
  <si>
    <t>CN(c1cccc(CN(Cc2ccccn2)C2=CNC=CC2)n1)c1cccc2cccnc12 7.7175865 0.38333333333333336</t>
  </si>
  <si>
    <t>CNCc1ncccc1-c1c(Cl)ccc(Cl)c1N 7.717578 0.2549019607843137</t>
  </si>
  <si>
    <t>CN(Cc1ccccn1)C1=CCC=C(CN(C)c2cccc3nc(CF)ccc23)N1 7.7175703 0.38333333333333336</t>
  </si>
  <si>
    <t>CN(Cc1ccccn1)C1=CCC=C(CN(C)c2cccc3ncc(CF)cc23)N1 7.7175655 0.39344262295081966</t>
  </si>
  <si>
    <t>Cc1cc(N=Cc2ccccn2)cnc1-c1cccc(NCc2ccccn2)c1 7.717555 0.3898305084745763</t>
  </si>
  <si>
    <t>Cc1cccnc1CN(C)C1=C(CN(C)c2ccc3ncccc3c2)NC=CC1 7.717554 0.2698412698412698</t>
  </si>
  <si>
    <t>Cc1cccnc1CN(C)C1=C(CN(C)c2ccc3cccnc3c2)NC=CC1 7.7175403 0.265625</t>
  </si>
  <si>
    <t>Cc1ccc(-c2cc(SCc3ccccn3)ccc2C)c(N=Cc2ccccn2)c1 7.7175355 0.42105263157894735</t>
  </si>
  <si>
    <t>Cc1ccccc1N(C)Cc1ncccc1-c1ccccc1N(C)C 7.717505 0.3617021276595745</t>
  </si>
  <si>
    <t>CN(CCN(C)c1ccc2ncc3c(c2c1)CCC3)Cc1ccc2ncccc2c1 7.7174997 0.32786885245901637</t>
  </si>
  <si>
    <t>CN(CCN(C)c1cccc2ncccc12)Cc1ccc2ncccc2c1 7.7174783 0.48936170212765956</t>
  </si>
  <si>
    <t>CN(Cc1ccccn1)C1=CNC(CN(C)c2cccc3cccnc23)=CC1 7.717467 0.47058823529411764</t>
  </si>
  <si>
    <t>CN(C)Cc1nccc2ccc(N(C)CC3=CCC=C(N(C)Cc4ccccn4)N3)cc12 7.717466 0.3548387096774194</t>
  </si>
  <si>
    <t>Cc1cc(CN(C)c2ccc3nc(CN(C)Cc4cc(C)c(C)c(C)n4)ccc3c2C)cnc1C 7.7174535 0.2711864406779661</t>
  </si>
  <si>
    <t>Cc1cccnc1CN(C)CCN(C)c1ccc2nccc(-c3ccccn3)c2c1 7.717452 0.3064516129032258</t>
  </si>
  <si>
    <t>CN(Cc1cccnn1)C1=CNC(CN(C)c2ccc3cccnc3c2)=CC1 7.7174435 0.3508771929824561</t>
  </si>
  <si>
    <t>CN(C)c1cccc(-c2cncc(CN(CC(C)(C)C)c3ccc4ncccc4c3)c2)c1 7.717439 0.265625</t>
  </si>
  <si>
    <t>CN(C)Cc1ccnc2cccc(N(C)CCN(C)Cc3cccc4ncccc34)c12 7.717437 0.43137254901960786</t>
  </si>
  <si>
    <t>CN(c1cccc2cccnc12)C1CC2CCC1(N(C)c1cccc3ncccc13)C2 7.717435 0.46551724137931033</t>
  </si>
  <si>
    <t>CN(Cc1ccccn1)C1=C(CN(C)c2ccc3cccnc3c2)CC=CN1 7.7174234 0.39655172413793105</t>
  </si>
  <si>
    <t>CNc1cc(Cl)ccc1-c1cc(C(C)(C)C)ccn1 7.717416 0.18518518518518517</t>
  </si>
  <si>
    <t>Cc1cc(-c2cccc(N=Cc3ccccn3)c2C)c(NCc2ccccn2)c(C)c1C 7.7174077 0.4727272727272727</t>
  </si>
  <si>
    <t>CC(C)N(C)Cc1cc(-c2cc(N)c3cccnc3c2)ccn1 7.7174063 0.32075471698113206</t>
  </si>
  <si>
    <t>CN(Cc1cccnn1)C1=CNC(CN(C)c2ccc3ncccc3c2)=CC1 7.717381 0.35714285714285715</t>
  </si>
  <si>
    <t>Cc1cccnc1CN(C)C1=C(CN(C)c2cccc3cccnc23)NC=CC1 7.717325 0.46296296296296297</t>
  </si>
  <si>
    <t>Cc1cnc2cccc(N(C)CC3=CNC=C(N(C)Cc4ncccc4C)C3)c2c1 7.71732 0.2857142857142857</t>
  </si>
  <si>
    <t>CN(C)c1ccccc1-c1cccnc1CN(CCNc1ccc2nccc(-c3ccccn3)c2c1)Cc1ccccn1 7.717311 0.35384615384615387</t>
  </si>
  <si>
    <t>CN(Cc1cccc(F)n1)c1cc(-c2cccnc2CN(Cc2ccccn2)Cc2ncccc2F)c2cccnc2c1 7.71731 0.38095238095238093</t>
  </si>
  <si>
    <t>CN(c1ccc2cccnc2c1)C12CCC(N(C)c3cccc4ncccc34)(CC1)C2 7.717307 0.3148148148148148</t>
  </si>
  <si>
    <t>Cc1ccc2ccc(CN(C)Cc3cccc(-c4cccc(N=Cc5ccccn5)c4)n3)nc2c1 7.7172723 0.4262295081967213</t>
  </si>
  <si>
    <t>CN(Cc1ccc(-c2cccc(N(C)C)c2)cn1)Cc1ccc2ccccc2n1 7.7172675 0.43478260869565216</t>
  </si>
  <si>
    <t>Cc1cccc(-c2cccc(CN(C)Cc3cccc(N(C)c4ccc5nc(CF)ccc5c4)n3)n2)c1 7.717266 0.3442622950819672</t>
  </si>
  <si>
    <t>CN(C)Cc1nccc2cc(N(C)Cc3ccccn3)ccc12 7.7172637 0.46808510638297873</t>
  </si>
  <si>
    <t>Cc1cnc(CN(C)c2ccc3cccnc3c2-c2cc(CN(Cc3ccccn3)Cc3ncccc3C)ccn2)c(C)c1 7.7172613 0.3333333333333333</t>
  </si>
  <si>
    <t>CN(Cc1cc(-c2ccccc2N(C)C)ccn1)Cc1ccc2ccccc2n1 7.717251 0.46</t>
  </si>
  <si>
    <t>Cc1ccc(NCc2ccccn2)cc1-c1ncc(-c2cccc(NCc3ccccn3)c2)cc1C 7.717244 0.3770491803278688</t>
  </si>
  <si>
    <t>Cc1cccc(N(C)Cc2cc(-c3cccc(N(C)C)c3)ccn2)c1 7.7172422 0.34</t>
  </si>
  <si>
    <t>Cc1ccc2cc(N(C)CC3=C(N(C)Cc4ccccn4)NC=CC3)ccc2n1 7.7172422 0.36666666666666664</t>
  </si>
  <si>
    <t>Cc1cc(C)c2ccc(N(C)C3CCCC(N(C)c4ccc5c(C)ccnc5c4)C3)cc2n1 7.7172413 0.2542372881355932</t>
  </si>
  <si>
    <t>CN(Cc1ccccn1)C1=CNC(CN(C)c2ccc3ncccc3c2)=CC1 7.7172213 0.39285714285714285</t>
  </si>
  <si>
    <t>CN(C)c1cc2cccnc2cc1-c1ncccc1CN(C)C1CCCC(N(C)c2cccc3ncccc23)C1 7.7171984 0.3235294117647059</t>
  </si>
  <si>
    <t>Cc1ccc(C)c(CN(C)C2=CNC(CN(C)c3cccc4cccnc34)=CC2)n1 7.7171946 0.43636363636363634</t>
  </si>
  <si>
    <t>CC(C)N(Cc1ccccn1)c1cc(N(C)Cc2ccccn2)c2cccnc2c1 7.7171774 0.5</t>
  </si>
  <si>
    <t>CN(c1ccc2ncccc2c1)C12CCC(N(C)c3cccc4ncccc34)(CC1)C2 7.717164 0.32075471698113206</t>
  </si>
  <si>
    <t>Cc1ccccc1N(C)CCN(C)c1ccc2c(C)ccnc2c1 7.717144 0.3541666666666667</t>
  </si>
  <si>
    <t>Cc1cccc(CN(C)c2cccnc2CN(Cc2ccc(N)cn2)c2ccc3ncccc3c2)n1 7.71712 0.3442622950819672</t>
  </si>
  <si>
    <t>Cc1cc2cccnc2cc1CN(C)CCN(C)c1ccc2cccnc2c1 7.717114 0.4583333333333333</t>
  </si>
  <si>
    <t>CN(Cc1ccc(N)cn1)C1=C(CN(C)c2ccc3cccnc3c2)NC=CC1 7.7171125 0.30303030303030304</t>
  </si>
  <si>
    <t>C1=CNC(Nc2cccc(-c3ccccn3)n2)C=C1 7.717105 0.36</t>
  </si>
  <si>
    <t>CN(Cc1ccccn1)C1=CNC(CN(C)c2ccc3cccnc3c2)=CC1 7.7171035 0.40350877192982454</t>
  </si>
  <si>
    <t>CC(C)N(Cc1ccccn1)c1cc(Cl)cc(N(C)c2cccc3ncccc23)c1N(Cc1ccccn1)Cc1ccccn1 7.7171025 0.3898305084745763</t>
  </si>
  <si>
    <t>CCN(C)c1cccc2ncccc12 7.7170978 0.47368421052631576</t>
  </si>
  <si>
    <t>Cc1cncc(CN(C)c2cc(Cl)c(N(C)Cc3cc(C)c(C)c(C)n3)cc2Cl)c1 7.7170854 0.32075471698113206</t>
  </si>
  <si>
    <t>CN(CCN(C)c1cccc2nccc(CF)c12)Cc1cccc2ncccc12 7.7170644 0.4230769230769231</t>
  </si>
  <si>
    <t>Cc1cc(N=Cc2ccccn2)cc(-c2c(NCc3ccccn3)cc(C)c(C)c2C)c1 7.717061 0.38333333333333336</t>
  </si>
  <si>
    <t>Cc1c(N=Cc2ccccn2)ccnc1-c1ccccc1NCc1ccccn1 7.7170568 0.41818181818181815</t>
  </si>
  <si>
    <t>CN(CCN(Cc1ccccn1)c1ccc2nc3c(cc2c1)CCC3)c1ccc2ncccc2c1 7.71705 0.3548387096774194</t>
  </si>
  <si>
    <t>CN(CCN(C)c1cccc2c(CF)ccnc12)Cc1cccc2ncccc12 7.717032 0.47058823529411764</t>
  </si>
  <si>
    <t>Cc1nc(CN(C)C2=C(CN(C)c3ccc4cccnc4c3)NC=CC2)c(C)c(C)c1C 7.717022 0.2537313432835821</t>
  </si>
  <si>
    <t>Cc1ccnc(CN(C)c2ccc3nc(CN(C)C)ccc3c2)c1 7.7170134 0.35294117647058826</t>
  </si>
  <si>
    <t>CN(C)CC1=CCC(N(C)c2ccc3cccnc3c2)=CN1 7.7170024 0.2982456140350877</t>
  </si>
  <si>
    <t>Cc1cccnc1CN(Cc1ccccn1)c1cc(N(C)Cc2ccccn2)cc2ncc(C(C)(C)C)cc12 7.7169843 0.3770491803278688</t>
  </si>
  <si>
    <t>CNCC1=CCC(N(C)c2cccc3cccnc23)=CN1 7.7169843 0.4489795918367347</t>
  </si>
  <si>
    <t>CNCc1cc2c(N(C)CCN(Cc3ccccn3)c3ccc4ncccc4c3)cccc2cn1 7.716949 0.3770491803278688</t>
  </si>
  <si>
    <t>Cc1cnc(CN(C)C2=C(CN(C)c3ccc4cccnc4c3)NC=CC2)c(C)c1 7.716939 0.25</t>
  </si>
  <si>
    <t>CNc1ncccc1CN(Cc1ncccc1C)c1cccc2cccnc12 7.7169313 0.43137254901960786</t>
  </si>
  <si>
    <t>Cc1cnc(CN(C)C2=C(CN(C)c3ccc4ncccc4c3)NC=CC2)c(C)c1 7.7169213 0.2537313432835821</t>
  </si>
  <si>
    <t>CN(Cc1ccccn1)c1ccc2cccnc2c1N(C)C(C)(C)c1cccnc1 7.716875 0.41818181818181815</t>
  </si>
  <si>
    <t>CNCC1=C(N(C)c2ccc3cccnc3c2)CC=CN1 7.7168603 0.26666666666666666</t>
  </si>
  <si>
    <t>Cc1cc(CN(Cc2cc(-c3ccccc3N(C)C)ccn2)Cc2ccnc3ccccc23)nc(C)c1C 7.716859 0.2923076923076923</t>
  </si>
  <si>
    <t>Cc1cc(Cl)cc(N(C)CC2=CCC(N(C)Cc3ccccn3)=CN2)c1-c1ccccn1 7.716856 0.45614035087719296</t>
  </si>
  <si>
    <t>Cc1cccnc1CN(C)c1cccc(-c2cccc(CN(Cc3ccccn3)Cc3cccc(-c4cccc(N=Cc5ccccn5)c4)n3)n2)c1-c1ccccn1 7.716854 0.43243243243243246</t>
  </si>
  <si>
    <t>Cc1cc(CN(Cc2ccccn2)c2ccc3ncccc3c2)cnc1-c1cccc(NCc2ccccn2)c1 7.716852 0.3287671232876712</t>
  </si>
  <si>
    <t>CN(C)CC1=C(N(C)c2ccc3cccnc3c2)CC=CN1 7.7168384 0.29310344827586204</t>
  </si>
  <si>
    <t>Cc1ccc(CN(C)c2ccc3ncccc3c2)c(C)c1 7.716835 0.34</t>
  </si>
  <si>
    <t>Cc1ccc2ccc(CN(C)Cc3cccc(-c4ccc(N=Cc5ccccn5)cc4)n3)nc2c1 7.71683 0.43333333333333335</t>
  </si>
  <si>
    <t>Cc1cc(NCc2ccccn2)ccc1-c1ncc(-c2cccc(NCc3ccccn3)c2)cc1C 7.716829 0.3770491803278688</t>
  </si>
  <si>
    <t>CC(C)C(C)(c1cccnc1)N(Cc1ccccn1)c1ccc2nc(-c3cccc(N(C)C)c3)ccc2c1 7.7168174 0.3466666666666667</t>
  </si>
  <si>
    <t>CC(C)N(Cc1ccccn1)c1cc(N(C)Cc2ccccn2)cc2ncccc12 7.716814 0.46938775510204084</t>
  </si>
  <si>
    <t>Cc1ccccc1N(C)Cc1ncccc1-c1cccc(N(C)C)c1 7.7168064 0.33962264150943394</t>
  </si>
  <si>
    <t>CNCc1ccc(CN(C)c2ccc3c(C)ccnc3c2)cn1 7.7167935 0.2727272727272727</t>
  </si>
  <si>
    <t>CC(C1=CC2C=Cc3cccnc3C2=CN1)(c1ccccn1)c1ccccn1 7.7167864 0.3392857142857143</t>
  </si>
  <si>
    <t>Cc1cccnc1CN(C)Cc1ncccc1-c1ccc2ncccc2c1 7.716779 0.3269230769230769</t>
  </si>
  <si>
    <t>CN(c1cccc2ncccc12)C12CCC(N(C)c3cccc4cccnc34)(CC1)C2 7.7167726 0.45652173913043476</t>
  </si>
  <si>
    <t>CC(C)N(C)c1ccccc1-c1cc(CN(Cc2ccccn2)c2ccc3ncccc3c2)ccn1 7.716765 0.3898305084745763</t>
  </si>
  <si>
    <t>CN(c1cccc2ncccc12)C1CC2CCC1(N(C)c1cccc3ncccc13)C2 7.7167134 0.3389830508474576</t>
  </si>
  <si>
    <t>Cc1cnc(CN(C)C2=C(CN(C)c3cccc4cccnc34)NC=CC2)c(C)c1 7.716708 0.423728813559322</t>
  </si>
  <si>
    <t>Cc1ncccc1CN(C)c1ccc2nccc(C(C)(C)C)c2c1 7.7166934 0.2857142857142857</t>
  </si>
  <si>
    <t>CN(C)CC1=CCC(N(C)c2cccc3cccnc23)=CN1 7.7166853 0.46808510638297873</t>
  </si>
  <si>
    <t>CCN(Cc1ccccn1)c1ccc2cccnc2c1-c1ccc(CN(Cc2ccccn2)Cc2ccc(-c3cccc(N=Cc4ccccn4)c3)cn2)cn1 7.7166815 0.3176470588235294</t>
  </si>
  <si>
    <t>CC(C)N(C)Cc1ncccc1-c1c(N(C)Cc2ccccn2)ccc2ncccc12 7.7166758 0.42592592592592593</t>
  </si>
  <si>
    <t>CCn1c(CN(C)CCN(C)c2cccc3cc4c(nc23)CCC4)nc2ccccc21 7.716664 0.453125</t>
  </si>
  <si>
    <t>CC(C1=CC2C(=CN1)C=Cc1ncccc12)(c1ccccn1)c1ccccn1 7.7166524 0.34545454545454546</t>
  </si>
  <si>
    <t>CC(C1=CC2C=Cc3ncccc3C2=CN1)(c1ccccn1)c1ccccn1 7.7166433 0.36363636363636365</t>
  </si>
  <si>
    <t>Cc1cccnc1CN(C)CC1=CC(N(C)c2ccc3nc(-c4ccccn4)ccc3c2)C=CN1 7.7166414 0.3382352941176471</t>
  </si>
  <si>
    <t>Cc1ccc(CN(C)Cc2cccc(N(C)c3ccc4nccc(C)c4c3)n2)nc1 7.7166357 0.41509433962264153</t>
  </si>
  <si>
    <t>Cc1ccc(CN(C)C2=CNC(CN(C)c3cccc4ncccc34)=CC2)nc1 7.716632 0.3389830508474576</t>
  </si>
  <si>
    <t>Cc1ccc(N(C)CCN(C)c2ccc3nccc(C)c3c2)cc1C 7.7166305 0.2708333333333333</t>
  </si>
  <si>
    <t>CN(Cc1cccnc1)c1ccc2ncccc2c1 7.716626 0.3404255319148936</t>
  </si>
  <si>
    <t>CC(C)(CN(Cc1ccccn1)c1ccc2ncccc2c1)c1ccc2ncccc2c1 7.716616 0.4117647058823529</t>
  </si>
  <si>
    <t>Cc1cccnc1CN(C)c1ccc2nc(CN(C)C)ccc2c1 7.716603 0.36538461538461536</t>
  </si>
  <si>
    <t>C=Nc1cccc(-c2cccc(CN(Cc3ccnc(-c4cccc(C)c4)c3)Cc3cc(-c4ccccc4N=C)ccn3)n2)c1 7.7165804 0.3972602739726027</t>
  </si>
  <si>
    <t>CC(C)N(C)Cc1ccc2c(N(Cc3ccccn3)CN(C)c3cccc4ncccc34)cccc2n1 7.716567 0.3898305084745763</t>
  </si>
  <si>
    <t>CN(Cc1cc(-c2cccc3ncccc23)ccn1)Cc1cc(C(C)(C)c2ccccn2)ccn1 7.7165594 0.3442622950819672</t>
  </si>
  <si>
    <t>Cc1nc(CN(C)C2=C(CN(C)c3cccc4ncccc34)NC=CC2)c(C)c(C)c1C 7.716557 0.3125</t>
  </si>
  <si>
    <t>CC(C)N(Cc1ccccn1)c1cccc(N(C)c2cccc3cccnc23)c1 7.716555 0.44</t>
  </si>
  <si>
    <t>Cc1cncc(-c2cccc(N=Cc3ccccn3)c2)c1 7.7165456 0.4489795918367347</t>
  </si>
  <si>
    <t>Cc1cccnc1CN(C)C1=C(CN(C)c2cccc3ncccc23)NC=CC1 7.7165275 0.3114754098360656</t>
  </si>
  <si>
    <t>CN(CC1CC1N(Cc1ccccn1)c1ccc2ncccc2c1)c1ccc2ncccc2c1 7.7165194 0.4</t>
  </si>
  <si>
    <t>CN(C)c1ccc2c(CF)ccnc2c1-c1cc(CN(Cc2ccccn2)Cc2cccc(F)n2)ccn1 7.716517 0.4</t>
  </si>
  <si>
    <t>CN(CC1=CCC=C(N(C)C2C=CC=CN2)N1)c1ccc2cccnc2c1 7.716515 0.28169014084507044</t>
  </si>
  <si>
    <t>CN(CC1=C(N(C)C(c2ccccn2)c2ccccn2)CC=CN1)c1ccc2ncccc2c1 7.7165003 0.29850746268656714</t>
  </si>
  <si>
    <t>Cc1cccnc1CN(C)C1=CNC(CN(C)c2ccc3ncccc3c2)=CC1 7.716487 0.26229508196721313</t>
  </si>
  <si>
    <t>Cc1ccc2nc(CN(C)Cc3ccc(-c4cccc(N=Cc5ccccn5)c4)cn3)ccc2c1 7.716479 0.3484848484848485</t>
  </si>
  <si>
    <t>Cc1ccc(N(C)Cc2cccc(-c3ccccc3N(C)C)n2)cc1C 7.716478 0.3584905660377358</t>
  </si>
  <si>
    <t>CNc1ccc(-c2cc(C(C)(c3ccccn3)c3ccccn3)ccn2)c(NCc2ccccn2)c1F 7.7164774 0.3382352941176471</t>
  </si>
  <si>
    <t>Cc1cccnc1CN(C)C1=CNC(CN(C)c2ccc3cccnc3c2)=CC1 7.7164745 0.265625</t>
  </si>
  <si>
    <t>CN(CC1=CCC=C(N(C)C2C=CC=CN2)N1)c1ccc2ncccc2c1 7.7164655 0.2857142857142857</t>
  </si>
  <si>
    <t>c1ccc(CNc2ccccc2-c2cccc(-c3ccccn3)n2)nc1 7.7164626 0.4666666666666667</t>
  </si>
  <si>
    <t>CN(Cc1ccccn1)C1=CNC(CN(C)c2cccc3ncccc23)=CC1 7.716453 0.4107142857142857</t>
  </si>
  <si>
    <t>Cc1cc(-c2cccc(NCc3ccccn3)c2)cnc1N=Cc1ccccn1 7.71645 0.39655172413793105</t>
  </si>
  <si>
    <t>c1ccc(CNc2cccc(-c3cccc(-c4ccccn4)n3)c2)nc1 7.716442 0.44680851063829785</t>
  </si>
  <si>
    <t>Cc1c(N=Cc2ccccn2)ccnc1-c1cccc(NCc2ccccn2)c1 7.716439 0.42105263157894735</t>
  </si>
  <si>
    <t>CN(C)CC1=C(N(C)c2ccc3ncccc3c2)CC=CN1 7.71643 0.2807017543859649</t>
  </si>
  <si>
    <t>Cc1cc(CN(c2c(C)c(C)c(C)c(C)c2C)C2CCC(N(C)c3ccc4nc(-c5ccc6ncccc6c5)ccc4c3)CC2)nc(C)c1C 7.7163954 0.24324324324324326</t>
  </si>
  <si>
    <t>C(=Nc1cccc(-c2ccc(-c3ccccc3)cc2NCc2ccccn2)c1)c1ccccn1 7.716385 0.38095238095238093</t>
  </si>
  <si>
    <t>Cc1cccnc1CN(C)C1=CNC(CN(C)c2cccc3cccnc23)=CC1 7.716385 0.46153846153846156</t>
  </si>
  <si>
    <t>CCNCc1cc(-c2cc(-c3cccc(N=Cc4ccccn4)c3)ccn2)ccn1 7.716375 0.35</t>
  </si>
  <si>
    <t>CN(CC1=C(N(C)C(c2ccccn2)c2ccccn2)CC=CN1)c1cccc2cccnc12 7.7163696 0.44642857142857145</t>
  </si>
  <si>
    <t>Cc1ccc2nc(CN(C)Cc3cccc(-c4ccccc4N=Cc4ccccn4)n3)ccc2c1 7.7163625 0.4262295081967213</t>
  </si>
  <si>
    <t>Cc1cc(-c2ccccc2NCc2ccccn2)cnc1N=Cc1ccccn1 7.7163615 0.3793103448275862</t>
  </si>
  <si>
    <t>CCN(Cc1ccccn1)c1ccc2ncccc2c1N(C)Cc1nc(C)cc(C)c1C 7.7163606 0.36065573770491804</t>
  </si>
  <si>
    <t>Cc1cnc(CN(C)c2cc(Cl)c(Cl)cc2N(C)Cc2ncc(C)c(C)c2C)c(C)c1C 7.7163587 0.475</t>
  </si>
  <si>
    <t>Cc1cccc(N(C)Cc2cccc(-c3cccc(N(C)C)c3)n2)c1C 7.7163105 0.3728813559322034</t>
  </si>
  <si>
    <t>CC(C1=C2c3ncccc3C=CC2C=CN1)(c1ccccn1)c1ccccn1 7.7163067 0.34545454545454546</t>
  </si>
  <si>
    <t>CNCc1ccc2cc(N(C)Cc3nc(C)c(C)c(C)c3C)ccc2n1 7.7162867 0.27450980392156865</t>
  </si>
  <si>
    <t>Cc1nc(CN(C)C2=CNC(CN(C)c3cccc4cccnc34)=CC2)c(C)c(C)c1C 7.716284 0.43636363636363634</t>
  </si>
  <si>
    <t>CCN(Cc1ccccn1)c1cc2ncccc2cc1-c1ccc(N(C)C(C)C)cc1 7.7162805 0.4074074074074074</t>
  </si>
  <si>
    <t>CC(C)(CN(Cc1ccccn1)c1ccc2nccc(CF)c2c1)c1ccc2ncccc2c1 7.716279 0.3442622950819672</t>
  </si>
  <si>
    <t>CN(CC1=C(N(C)C(c2ccccn2)c2ccccn2)CC=CN1)c1ccc2cccnc2c1 7.7162704 0.29411764705882354</t>
  </si>
  <si>
    <t>Cc1c(C)c(C)c(N(C)c2c(C)c(C)c(C)c(C)c2C)c(C)c1C 7.716268 0.15625</t>
  </si>
  <si>
    <t>CN(Cc1cc(N)ccn1)C1=CNC(CN(C)c2ccc3cccnc3c2)=CC1 7.716265 0.2923076923076923</t>
  </si>
  <si>
    <t>Cc1cccnc1CN(C)Cc1cccc(N(C)c2ccc3nccc(C)c3c2)n1 7.7162223 0.35</t>
  </si>
  <si>
    <t>Cc1cncc(CN(C)Cc2ccc(N(C)c3cccc4c(C)ccnc34)cn2)c1 7.716183 0.3333333333333333</t>
  </si>
  <si>
    <t>Cc1ccccc1N(Cc1ccccn1)C1=CNC(CN(C)c2cccc3cccnc23)=CC1 7.716178 0.42105263157894735</t>
  </si>
  <si>
    <t>CN(Cc1cccnn1)C1=CNC(CN(C)c2cccc3ncccc23)=CC1 7.7161713 0.3508771929824561</t>
  </si>
  <si>
    <t>CNC1NC=CC=C1N(Cc1ccccn1)c1ccc2ncccc2c1 7.7161546 0.36507936507936506</t>
  </si>
  <si>
    <t>Cc1nc(CN(C)C2=CNC(CN(C)c3ccc4cccnc4c3)=CC2)c(C)c(C)c1C 7.7161536 0.2537313432835821</t>
  </si>
  <si>
    <t>Cc1cccnc1CN(C)C1=C(CN(C)c2ccc3cccnc3c2)CC=CN1 7.7161427 0.265625</t>
  </si>
  <si>
    <t>CN(C)Cc1ccnc2ccc(N(C)Cc3ccccn3)cc12 7.7161365 0.46808510638297873</t>
  </si>
  <si>
    <t>CNCC1=CCC(N(C)c2cccc3ncccc23)=CN1 7.716129 0.30357142857142855</t>
  </si>
  <si>
    <t>Cc1ccnc2c(N(C)c3ccnc(CN(C)Cc4ccccn4)c3)cccc12 7.716125 0.4339622641509434</t>
  </si>
  <si>
    <t>CC(C)N(Cc1ccccn1)c1ccc2nc(CN(Cc3ccccn3)c3ccc4nc(CF)ccc4c3)ccc2c1 7.716111 0.46153846153846156</t>
  </si>
  <si>
    <t>CN(CCCN(C)c1ccc2nc(CF)ccc2c1)c1ccc2ncccc2c1 7.7160835 0.4166666666666667</t>
  </si>
  <si>
    <t>CN(CC1=CCC=C(N(C)C2C=CC=CN2)N1)c1cccc2ncccc12 7.7160687 0.2923076923076923</t>
  </si>
  <si>
    <t>C1=CNC(c2cc(-c3ccccc3NCc3ccccn3)ccn2)=CC1 7.7160664 0.4</t>
  </si>
  <si>
    <t>CN(C)CC1=CCC=C(N(C)c2ccc3nccc(CF)c3c2)N1 7.7160525 0.22388059701492538</t>
  </si>
  <si>
    <t>CN(C)c1ccc2cccnc2c1-c1cnccc1CN(Cc1ccccn1)Cc1ncccc1F 7.7160497 0.359375</t>
  </si>
  <si>
    <t>Cc1cnc(CN(C)C2=C(CN(C)c3cccc4ncccc34)NC=CC2)c(C)c1 7.716047 0.2878787878787879</t>
  </si>
  <si>
    <t>CNc1ccccc1-c1cc(CN(C)Cc2cc(-c3cccc(N=Cc4ccccn4)c3)ccn2)ccn1 7.716039 0.3333333333333333</t>
  </si>
  <si>
    <t>Cc1cncc(-c2ccc(N=Cc3ccccn3)cc2)c1 7.7160363 0.4375</t>
  </si>
  <si>
    <t>CN(Cc1ccccn1)c1ccc2nccc(CF)c2c1 7.7160344 0.4583333333333333</t>
  </si>
  <si>
    <t>CN(C)c1cc2ncccc2cc1-c1ncccc1CN(Cc1ccccn1)Cc1cccc(F)n1 7.7160163 0.4067796610169492</t>
  </si>
  <si>
    <t>Cc1cnc2cc(N(C)C3=CNC(CN(C)C)=CC3)ccc2c1 7.7159934 0.2545454545454545</t>
  </si>
  <si>
    <t>CN(C)CC1=C(N(C)c2cccc3ncccc23)CC=CN1 7.71599 0.30357142857142855</t>
  </si>
  <si>
    <t>Cc1ccc(C)c(CN(Cc2ncccc2N(C)Cc2nc(C)cc(C)c2C)c2ccc3ncccc3c2)n1 7.715957 0.3064516129032258</t>
  </si>
  <si>
    <t>C1=CNCC(N(Cc2ccccn2)c2ccc3cccnc3c2)=C1 7.715942 0.42592592592592593</t>
  </si>
  <si>
    <t>C1=CNCC(Nc2cccc(-c3ccccn3)n2)=C1 7.715938 0.36</t>
  </si>
  <si>
    <t>COC1(C)N=COC1c1cc(CN(Cc2ccccn2)Cc2ncccc2-c2c(N(C)C)ccc3cccnc23)ccn1 7.7159266 0.3176470588235294</t>
  </si>
  <si>
    <t>CN(C)C1=CCC=C(CN(C)c2ccc3ccc(CF)nc3c2)N1 7.7159195 0.2903225806451613</t>
  </si>
  <si>
    <t>Cc1ccc2nc(CN(C)Cc3cccc(-c4ccccc4N(C)C)n3)ccc2c1 7.7159176 0.41509433962264153</t>
  </si>
  <si>
    <t>Cc1ccnc(CN(C)c2ccc3cc4c(nc3c2)CCC4)c1 7.7159147 0.34545454545454546</t>
  </si>
  <si>
    <t>Cc1cccc(N(C)Cc2cc(-c3ccccc3N=Cc3ccccn3)ccn2)c1C 7.715901 0.47368421052631576</t>
  </si>
  <si>
    <t>CC(C)NCc1ncccc1-c1cc(NCc2ccccn2)c2cccnc2c1 7.7158966 0.3870967741935484</t>
  </si>
  <si>
    <t>Cc1cnc(CN(C)C2=CNC(CN(C)c3ccc4cccnc4c3)=CC2)c(C)c1 7.7158937 0.25</t>
  </si>
  <si>
    <t>Cc1cc(C)nc(CN(C)c2cc(Cl)c(Cl)c(N(C)Cc3cc(C)cc(C)n3)c2)c1 7.715877 0.3541666666666667</t>
  </si>
  <si>
    <t>CN(C)c1ccccc1-c1ccc(CN(C)c2ccccn2)nc1 7.7158713 0.4166666666666667</t>
  </si>
  <si>
    <t>CNCC1=C(N(C)c2cccc3ncccc23)CC=CN1 7.7158537 0.29310344827586204</t>
  </si>
  <si>
    <t>CN(C)CC1=CCC(N(C)c2cccc3ncccc23)=CN1 7.7158437 0.3148148148148148</t>
  </si>
  <si>
    <t>C=Nc1ccccc1-c1cccc(CN(C)Cc2ccnc3ccc(C)cc23)n1 7.715836 0.4</t>
  </si>
  <si>
    <t>CN(Cc1ccccn1)C1=C2N=CC=CC2CC=C1CN(C)c1ccc2ncccc2c1 7.7158203 0.3384615384615385</t>
  </si>
  <si>
    <t>CN(Cc1ccc2ncccc2c1)Cc1ccc2ncccc2c1 7.7158093 0.4146341463414634</t>
  </si>
  <si>
    <t>Cc1ccnc(CN(C)CCN(C)c2cccc3c(-c4cccc(C)n4)ccnc23)c1 7.7157946 0.4074074074074074</t>
  </si>
  <si>
    <t>CN(Cc1ccnc(-c2c(N(C)Cc3ccccn3)ccc3cccnc23)c1)Cc1ccccn1 7.715783 0.46296296296296297</t>
  </si>
  <si>
    <t>Cc1nc(CN(C)C2=CNC(CN(C)c3cccc4ncccc34)=CC2)c(C)c(C)c1C 7.715778 0.3064516129032258</t>
  </si>
  <si>
    <t>Cc1cccnc1CN(C)Cc1ncccc1-c1cccc2cccnc12 7.7157774 0.4772727272727273</t>
  </si>
  <si>
    <t>CNCc1ncccc1-c1c(-c2ccccn2)ccc(NCc2ccccn2)c1Cl 7.7157555 0.3770491803278688</t>
  </si>
  <si>
    <t>COC(=O)c1cc(-c2cc(C(=O)C(=O)C(C)NCc3ccccn3)ccn2)ccn1 7.7157536 0.2982456140350877</t>
  </si>
  <si>
    <t>Cc1cncc(CN(C)Cc2cc(N(C)c3ccc4c(C)ccnc4c3)ccn2)c1 7.715752 0.28125</t>
  </si>
  <si>
    <t>Cc1cc(CN(C)c2ccc3nccc(CN(C)Cc4ccc(-c5cccc(N)c5)cn4)c3c2)ccn1 7.7157416 0.26865671641791045</t>
  </si>
  <si>
    <t>CN(C)c1ccc2cccnc2c1-c1cccnc1CN(Cc1ccccn1)Cc1ncccc1F 7.71574 0.4107142857142857</t>
  </si>
  <si>
    <t>Cc1cccnc1CN(C)c1ccc2ccc(CN(C)C)nc2c1 7.715739 0.37254901960784315</t>
  </si>
  <si>
    <t>CN(C)Cc1cncc2c(N(C)Cc3ccccn3)cccc12 7.7157345 0.5</t>
  </si>
  <si>
    <t>CN(C)c1cc(-c2ccc(CN(Cc3ccccn3)Cc3cccc(F)n3)nc2)c2ncccc2c1 7.7157135 0.4067796610169492</t>
  </si>
  <si>
    <t>Cc1cc(N(C)Cc2ccccn2)cc(C(C)(C)c2cc(-c3cccc(N=Cc4ccccn4)c3)ccn2)c1C 7.7157 0.34328358208955223</t>
  </si>
  <si>
    <t>Cc1cnc(CN(C)C2=CNC(CN(C)c3cccc4cccnc34)=CC2)c(C)c1C 7.715697 0.42857142857142855</t>
  </si>
  <si>
    <t>CN(Cc1ccccn1)C1=CCC=C(CN(C)c2ccc3c(CF)ccnc3c2)N1 7.7156916 0.3548387096774194</t>
  </si>
  <si>
    <t>CN(Cc1ccccn1)C1=CCC=C(CN(C)c2ccc3nccc(CF)c3c2)N1 7.715689 0.3492063492063492</t>
  </si>
  <si>
    <t>Cc1cccc(-c2cccc(N=Cc3ccccn3)c2)n1 7.7156606 0.4583333333333333</t>
  </si>
  <si>
    <t>CCOC(=O)c1cccc(C(=O)C(=O)C(=O)C(=O)C(=O)C(=O)C(=O)C(=O)C(=O)C(=O)C(=O)C(=O)C(=O)C(=O)C(=O)C(=O)C(=O)C(=O)C(=O)C(=O)C(=O)C(=O)C(=O)C(=O)C(=O)C(=O)C(=O)C(=O)C(=O)C(=O)C(=O)C(=O)C(=O)C(=O)C(=O)C=O)n1 7.7156606 0.26229508196721313</t>
  </si>
  <si>
    <t>Cc1cnc(CN(C)Cc2cc(N(C)Cc3ccon3)cc3cccnc23)c(C)c1C 7.7156453 0.3548387096774194</t>
  </si>
  <si>
    <t>CCN(C)Cc1nccc2cccc(N(C)CCN(C)c3ccc4ncccc4c3)c12 7.715621 0.41509433962264153</t>
  </si>
  <si>
    <t>CN(Cc1ccccn1)C1=CC=CNC1N(C)c1ccc2ncccc2c1 7.7156177 0.38596491228070173</t>
  </si>
  <si>
    <t>Cc1ccnc(CN(Cc2ccccn2)Cc2cccc(-c3cc(N(C)C)c4cccnc4c3)n2)c1 7.715597 0.4838709677419355</t>
  </si>
  <si>
    <t>Cc1ccc(-c2cccc(NCc3ccccn3)c2)nc1-c1ccc(NCc2ccccn2)cc1-c1ccccc1 7.715577 0.4262295081967213</t>
  </si>
  <si>
    <t>CN(C)c1cc(-c2cccc(CN(Cc3ccccn3)Cc3ncccc3F)n2)c2ncccc2c1 7.715554 0.4482758620689655</t>
  </si>
  <si>
    <t>Cc1cnc2cccc(N(C)CCN(C)Cc3cccc4ncccc34)c2c1 7.715552 0.46938775510204084</t>
  </si>
  <si>
    <t>CC(C)C(C)(c1cccnc1)N(C)Cc1ccc2cccc(N(C)c3ccc4ncccc4c3)c2n1 7.715547 0.3076923076923077</t>
  </si>
  <si>
    <t>CN(C)Cc1nccc2cc(N(C)Cc3cccnn3)ccc12 7.715536 0.425531914893617</t>
  </si>
  <si>
    <t>Cc1cc(-c2cccc(N=Cc3ccccn3)c2)ccn1 7.715531 0.4782608695652174</t>
  </si>
  <si>
    <t>CN(C)c1cc2ncccc2cc1-c1ncccc1CN(Cc1ccccn1)Cc1ncccc1F 7.7155237 0.3770491803278688</t>
  </si>
  <si>
    <t>CN(Cc1ccc(N)cn1)C1=CNC(CN(C)c2ccc3cccnc3c2)=CC1 7.71551 0.3076923076923077</t>
  </si>
  <si>
    <t>Cc1ccc2ccc(N(C)Cc3ccc(C(C)(C)C)nc3)cc2n1 7.7154846 0.24528301886792453</t>
  </si>
  <si>
    <t>CC(C1=CC2C(=CN1)C=Cc1cccnc12)(c1ccccn1)c1ccccn1 7.7154837 0.34545454545454546</t>
  </si>
  <si>
    <t>Cc1cccnc1CN(C)c1cc(Cl)c2ncccc2c1N(C)C1CCC(N(C)c2ccc3cccnc3c2)CC1 7.715471 0.3</t>
  </si>
  <si>
    <t>CNCc1nccc2cccc(N(C)Cc3cc(C)c(C)c(C)n3)c12 7.715469 0.3103448275862069</t>
  </si>
  <si>
    <t>CN(Cc1cccc(-c2ccc(Cl)cc2N)n1)Cc1cccc(-c2cccc(Cl)c2N)n1 7.7154255 0.39622641509433965</t>
  </si>
  <si>
    <t>Cc1cccnc1CN(C)C1=CNC(CN(C)c2cccc3ncccc23)=CC1 7.7154207 0.3220338983050847</t>
  </si>
  <si>
    <t>CN(CCCN(C)c1ccc2ncccc2c1)Cc1cccc(-c2ccc3ncccc3c2)n1 7.7154107 0.41818181818181815</t>
  </si>
  <si>
    <t>Cc1ccc(CN(C)c2cc3cccnc3cc2-c2ccnc(CN(C)C(C)C)c2)nc1 7.7154064 0.3389830508474576</t>
  </si>
  <si>
    <t>Cc1ccc(-c2cccc(NCc3ccccn3)c2)nc1-c1cccc(NCc2ccccn2)c1-c1ccccc1 7.7154045 0.40625</t>
  </si>
  <si>
    <t>CCN(Cc1ccccn1)c1ccc2cccnc2c1N(C)Cc1nc(C)c(C)c(C)c1C 7.715385 0.3559322033898305</t>
  </si>
  <si>
    <t>CC(C)NCc1cc(-c2cccnc2-c2cccc(N=Cc3ccccn3)c2)ccn1 7.715383 0.328125</t>
  </si>
  <si>
    <t>C1=CNC(c2ccc3cc(N(Cc4ccccn4)Cc4ccccn4)ccc3n2)=CC1 7.715365 0.48214285714285715</t>
  </si>
  <si>
    <t>CN(Cc1ccccn1)c1ccc2ncccc2c1N(C)C(C)(C)c1ccccn1 7.7153645 0.46</t>
  </si>
  <si>
    <t>Cc1cnc(-c2cccc(NCc3ccccn3)c2)c(-c2ccc(-c3ccccc3)cc2NCc2ccccn2)c1 7.715337 0.36923076923076925</t>
  </si>
  <si>
    <t>Cc1cc(CN(C)c2cc(Cl)c(Cl)cc2N(C)Cc2cc(C)c(C)c(C)n2)cnc1C 7.715326 0.40816326530612246</t>
  </si>
  <si>
    <t>CN(C)c1cc(-c2cccc(CN(Cc3ccccn3)Cc3ncccc3F)n2)cc2ncccc12 7.715307 0.46875</t>
  </si>
  <si>
    <t>Cc1cc(-c2ccc(N=Cc3ccccn3)cc2)ccn1 7.715304 0.45652173913043476</t>
  </si>
  <si>
    <t>C1=CNC(Nc2cccc(-c3ccc(C(c4ccccn4)c4ccccn4)cn3)n2)C=C1 7.715282 0.2878787878787879</t>
  </si>
  <si>
    <t>Cc1ccnc(CN(Cc2nc3ccccc3n2C2CC=C(c3nc4ccccc4o3)C=N2)CC2CCCN2Cc2nc3ccccc3n2Cc2cc(C)ccn2)c1 7.715275 0.3978494623655914</t>
  </si>
  <si>
    <t>Cc1cccc(-c2ccc(N=Cc3ccccn3)cc2)n1 7.715269 0.4782608695652174</t>
  </si>
  <si>
    <t>Cc1cc2cccnc2cc1CN(C)Cc1cccc(-c2cccc(N=Cc3ccccn3)c2)n1 7.7152085 0.40625</t>
  </si>
  <si>
    <t>CN(CN(c1ccc2ncccc2c1)C1CCCC(N(C)c2cccc3cccnc23)C1)c1ccc2cccnc2c1 7.715207 0.45</t>
  </si>
  <si>
    <t>Cc1ccc(CN(C)c2cc(Cl)c3cccnc3c2-c2cccnc2CN(Cc2ccccn2)Cc2ncccc2N)nc1 7.7151985 0.421875</t>
  </si>
  <si>
    <t>CN(Cc1ccc2ncccc2c1)Cc1cc(-c2ccccc2N(C)C)ccn1 7.7151904 0.3448275862068966</t>
  </si>
  <si>
    <t>Cc1ccc(N(C)CC2=CC(N(C)c3cccc4ncccc34)C=CN2)cc1C 7.715172 0.29411764705882354</t>
  </si>
  <si>
    <t>Cc1cccc(-c2cccnc2CN(C)CC2=CCC(N(C)c3ccc4cccnc4c3)=CN2)c1 7.715167 0.2535211267605634</t>
  </si>
  <si>
    <t>Cc1cccc2ccc(CN(C)Cc3ccc(-c4cccc(N=Cc5ccccn5)c4)cn3)nc12 7.715158 0.375</t>
  </si>
  <si>
    <t>CN(CC1=CCC(N(C)C(c2ccccn2)c2ccccn2)=CN1)c1ccc2ncccc2c1 7.715157 0.30303030303030304</t>
  </si>
  <si>
    <t>CCN(Cc1ccccn1)c1cc2ncccc2c(N(C)Cc2ncccc2C)c1C 7.715157 0.39285714285714285</t>
  </si>
  <si>
    <t>CN(C)c1cc(-c2cccc(CN(Cc3ccccn3)Cc3ncccc3F)n2)c2cccnc2c1 7.715144 0.4406779661016949</t>
  </si>
  <si>
    <t>Cc1cnc(-c2cccc(NCc3ccccn3)c2)c(-c2cccc(NCc3ccccn3)c2-c2ccccc2)c1 7.715127 0.390625</t>
  </si>
  <si>
    <t>CCN(Cc1ccccn1)Cc1ccc2cccc(N(C)Cc3cccc(N(C)c4ccc5nc(CF)ccc5c4)n3)c2n1 7.715077 0.421875</t>
  </si>
  <si>
    <t>CN(CC1=CCC=C(N(C)c2cccc3ncccc23)N1)Cc1ccon1 7.7150683 0.3684210526315789</t>
  </si>
  <si>
    <t>c1ccc(Nc2cccc(-c3cccc(C(c4ccccn4)c4ccccn4)n3)n2)cc1 7.7150636 0.3584905660377358</t>
  </si>
  <si>
    <t>Cc1ccnc(CN(C)c2ccc3nc(CN(C)Cc4cccc(-c5cccc(N=Cc6ccccn6)c5)n4)ccc3c2)c1 7.715062 0.38571428571428573</t>
  </si>
  <si>
    <t>CNc1cccc(-c2ccccn2)n1 7.71506 0.5</t>
  </si>
  <si>
    <t>Cc1cccc(CN(C)Cc2ccc3cccc(N(C)Cc4cccc(-c5cccc(N)c5F)n4)c3n2)n1 7.7150536 0.4074074074074074</t>
  </si>
  <si>
    <t>CNc1cnc(CN(Cc2ccccn2)c2cccc3ncccc23)c(C)c1 7.7150435 0.3389830508474576</t>
  </si>
  <si>
    <t>Cc1ncccc1CN(C)c1ccc2ncccc2c1 7.715036 0.391304347826087</t>
  </si>
  <si>
    <t>CN(C)c1cc(-c2cccnc2CN(Cc2ccccn2)Cc2cccnc2F)cc2cccnc12 7.7150292 0.3793103448275862</t>
  </si>
  <si>
    <t>Cc1cc(N(C)CC2=CC(N(C)c3ccc4cccnc4c3)C=CN2)cc(C)c1C 7.7150264 0.2835820895522388</t>
  </si>
  <si>
    <t>Cc1ccc(N(C)Cc2ncccc2-c2ccccc2N(C)C)cc1C 7.7150135 0.3269230769230769</t>
  </si>
  <si>
    <t>Cc1cc(C)cc(N(C)Cc2cc(-c3cccc(N=Cc4ccccn4)c3)ccn2)c1 7.7150097 0.3728813559322034</t>
  </si>
  <si>
    <t>CNCN(CCN(C)c1ccc2c(CN(C)C)ccnc2c1)c1ccc2c(CN(C)C)ccnc2c1 7.714995 0.23214285714285715</t>
  </si>
  <si>
    <t>CN(CC1=CCC(N(C)C(c2ccccn2)c2ccccn2)=CN1)c1ccc2cccnc2c1 7.714988 0.29850746268656714</t>
  </si>
  <si>
    <t>Cc1ccc(CN(C)C2=CCC=C(CN(C)c3ccc4cccnc4c3)N2)nc1 7.714983 0.3389830508474576</t>
  </si>
  <si>
    <t>Cc1cccc2ccc(CN(C)Cc3cccc(-c4ccccc4N(C)C)n3)nc12 7.7149715 0.43137254901960786</t>
  </si>
  <si>
    <t>CN(Cc1ccccn1)Cc1ccc2cccc(N(C)Cc3ccc4cccnc4c3)c2n1 7.714952 0.46296296296296297</t>
  </si>
  <si>
    <t>Cc1ccc(CN(C)C2=CCC=C(CN(C)c3ccc4ncccc4c3)N2)nc1 7.714951 0.3448275862068966</t>
  </si>
  <si>
    <t>Cc1cc(C)c(-c2ccc(NCc3ccccn3)c(C)c2C)nc1-c1ccccc1NCc1ccccn1 7.7149405 0.3728813559322034</t>
  </si>
  <si>
    <t>Cc1cnc(CN(C)c2cc(N(C)Cc3nc(C)cc(C)c3C)cc(Cl)c2Cl)c(C)c1 7.7149396 0.2711864406779661</t>
  </si>
  <si>
    <t>CN(Cc1ccccn1)Cc1ccc2cccc(N(C)Cc3ccc4ncccc4c3)c2n1 7.71493 0.45454545454545453</t>
  </si>
  <si>
    <t>CC(C)N(C)Cc1ncccc1-c1cccc(N(C)c2ccc3cccnc3c2)c1 7.714924 0.288135593220339</t>
  </si>
  <si>
    <t>CN(C)CC1=C(N(C)c2cccc3ncccc23)NC=CC1 7.714897 0.30357142857142855</t>
  </si>
  <si>
    <t>Cc1cc(C)c(CN(C)c2ccccc2-c2ccccc2N(C)C)nc1C 7.714868 0.30612244897959184</t>
  </si>
  <si>
    <t>CCNCc1cc(-c2cc(-c3ccc(N(C)C)cc3)ccn2)ccn1 7.714862 0.2708333333333333</t>
  </si>
  <si>
    <t>Cc1cccnc1CN(C)C1=C(CN(C)c2ccc3nccc(C)c3c2)NC=CC1 7.714769 0.2535211267605634</t>
  </si>
  <si>
    <t>CNCC1=CCC=C(N(C)c2ccc3cccnc3c2)N1 7.7147174 0.26666666666666666</t>
  </si>
  <si>
    <t>Cc1cccnc1CN(C)c1ccc2cccnc2c1N(C)C(C)C 7.7147055 0.4375</t>
  </si>
  <si>
    <t>Cc1cnc2cccc(N(C)C3=CNC(CN(C)C)=CC3)c2c1 7.714691 0.24561403508771928</t>
  </si>
  <si>
    <t>CN(Cc1ccccn1)C1=CCC=C(CN(C)c2cccc3cccnc23)N1 7.7146764 0.47058823529411764</t>
  </si>
  <si>
    <t>Cc1ccnc(CN(C)c2cccc(CN(C)c3ccc4nc(CN(C)C)ccc4c3)n2)c1C 7.714666 0.3114754098360656</t>
  </si>
  <si>
    <t>Cc1cncc(CN(C)c2cc(N(C)Cc3cc(C)c(C)c(C)n3)c(Cl)cc2Cl)c1C 7.7146583 0.3148148148148148</t>
  </si>
  <si>
    <t>Cc1cccc2ccc(CN(C)Cc3cccc(-c4cccc(N(C)C)c4)n3)nc12 7.714643 0.39622641509433965</t>
  </si>
  <si>
    <t>Cc1ccc2cccnc2c1-c1ccc(CN(C)Cc2cccc(N)n2)cn1 7.7146378 0.38596491228070173</t>
  </si>
  <si>
    <t>Cc1ccc2nccc(CN(C)CCN(C)c3ccc4ncccc4c3)c2c1 7.7146277 0.4230769230769231</t>
  </si>
  <si>
    <t>CN(Cc1cccnc1)c1cccc2ncccc12 7.71462 0.4</t>
  </si>
  <si>
    <t>Cc1ccc2cccc(C)c2n1 7.71461 0.3142857142857143</t>
  </si>
  <si>
    <t>Cc1ccc2nc(CN(C)Cc3ccc(-c4cccc(N(C)C)c4)cn3)ccc2c1 7.714606 0.42857142857142855</t>
  </si>
  <si>
    <t>CN(C)c1cc(-c2cccnc2CN(Cc2ccccn2)Cc2cccc(F)n2)cc2cccnc12 7.714591 0.4</t>
  </si>
  <si>
    <t>CNCC1=CCC=C(N(C)c2ccc3ncccc3c2)N1 7.714569 0.2631578947368421</t>
  </si>
  <si>
    <t>CN(Cc1cc(-c2ccc3ncccc3c2)ccn1)Cc1cc(C(C)(c2ccccn2)c2ccccn2)ccn1 7.714549 0.3620689655172414</t>
  </si>
  <si>
    <t>CN(C)c1cc(-c2ncccc2CN(Cc2ccccn2)Cc2ncccc2F)cc2cccnc12 7.714521 0.37037037037037035</t>
  </si>
  <si>
    <t>C1=CNC(Nc2ncccc2-c2ccc(C(c3ccccn3)c3ccccn3)cn2)C=C1 7.7145085 0.2923076923076923</t>
  </si>
  <si>
    <t>Cc1ccc2ccc(CN(C)Cc3ccc(-c4cccc(N(C)C)c4)cn3)nc2c1 7.714496 0.4</t>
  </si>
  <si>
    <t>Cc1ccnc(CN(C)c2cccc3ccc(CN(C)C)nc23)c1C 7.7144794 0.40816326530612246</t>
  </si>
  <si>
    <t>CN(CC1=CCC(N(C)C(c2ccccn2)c2ccccn2)=CN1)c1cccc2ncccc12 7.7144613 0.3114754098360656</t>
  </si>
  <si>
    <t>CN(Cc1ccncc1)c1ccc2ncccc2c1 7.7144604 0.35555555555555557</t>
  </si>
  <si>
    <t>CN(Cc1ccc2ccccc2n1)c1ccc2nccc(CN(C)C(C)(C)c3ccccn3)c2c1 7.7144527 0.4</t>
  </si>
  <si>
    <t>CN(Cc1ccccn1)C1=CCC=C(CN(C)c2ccc3ncccc3c2)N1 7.714445 0.39285714285714285</t>
  </si>
  <si>
    <t>Cc1cncc(CN(C)c2cc(N(C)Cc3ccccn3)cc3cc(CN(C)C)cnc23)c1 7.7144294 0.42105263157894735</t>
  </si>
  <si>
    <t>CC(C)N(Cc1ccccn1)c1ccc2nc(-c3ccc4c(n3)CCC4)ccc2c1 7.714412 0.39285714285714285</t>
  </si>
  <si>
    <t>Cc1ccc2cccnc2c1-c1ncccc1CN(C)Cc1cccc(N)n1 7.714396 0.47058823529411764</t>
  </si>
  <si>
    <t>Cc1cccnc1CN(C)c1ccc2cccnc2c1-c1ccc(CN(C)Cc2ccccn2)cn1 7.7143893 0.39344262295081966</t>
  </si>
  <si>
    <t>CCN(Cc1ccccn1)c1cc2ncccc2c(N(C)Cc2cc(C)c(C)c(C)n2)c1C 7.7143855 0.3898305084745763</t>
  </si>
  <si>
    <t>C1=CNC(Nc2cc(-c3ccc(C(c4ccccn4)c4ccccn4)cn3)ccn2)C=C1 7.7143703 0.2835820895522388</t>
  </si>
  <si>
    <t>C1=CNC(c2ccc(C3=CCC=CN3)c(C3=CCC=CN3)n2)=CC1 7.7143517 0.27450980392156865</t>
  </si>
  <si>
    <t>CN(Cc1ccccn1)C1=CCC=C(CN(C)c2ccc3cccnc3c2)N1 7.714328 0.40350877192982454</t>
  </si>
  <si>
    <t>Cc1cccc(CN(C)C2=CCC=C(CN(C)c3ccc4cccnc4c3)N2)n1 7.7143183 0.3448275862068966</t>
  </si>
  <si>
    <t>Cc1cncc(CN(C)c2ccc3cccnc3c2)c1 7.7143025 0.32075471698113206</t>
  </si>
  <si>
    <t>CN(CC1=CC(N(C)c2ccc3ncccc3c2)C=CN1)Cc1ccc2ncccc2c1 7.7142806 0.3387096774193548</t>
  </si>
  <si>
    <t>Cc1ccc2nc(CN(C)Cc3ccc(-c4ccc(N(C)C)cc4)cn3)ccc2c1 7.7142596 0.4666666666666667</t>
  </si>
  <si>
    <t>FCc1cccc(NCc2cccc(-c3cccc(-c4cccc(C(c5ccccn5)c5ccccn5)n4)n3)n2)n1 7.7142506 0.3888888888888889</t>
  </si>
  <si>
    <t>Cc1ccc(N(C)Cc2ccc(-c3cccc(N(C)C)c3)cn2)cc1C 7.7142434 0.32</t>
  </si>
  <si>
    <t>CNCc1ccnc2c(NC)cccc12 7.714227 0.2765957446808511</t>
  </si>
  <si>
    <t>Cc1cccc(N(C)Cc2cc(-c3cccc(N(C)C)c3)ccn2)c1C 7.7142134 0.37254901960784315</t>
  </si>
  <si>
    <t>Cc1ccc(-c2cc(N=Cc3ccccn3)ccc2C)nc1 7.7141795 0.44</t>
  </si>
  <si>
    <t>C1=CNC(Nc2cccc(-c3cccc(C(c4ccccn4)c4ccccn4)n3)n2)C=C1 7.7141685 0.31666666666666665</t>
  </si>
  <si>
    <t>Cc1cccc(N(C)Cc2ncccc2-c2cccc(N(C)C)c2)c1C 7.714149 0.32075471698113206</t>
  </si>
  <si>
    <t>Cc1cccnc1CN(Cc1ncc(-c2cccc(NCc3ccccn3)c2)cc1C)c1ccc2ncccc2c1 7.7141185 0.3287671232876712</t>
  </si>
  <si>
    <t>Cc1ccc2ccc(CN(C)Cc3ccc(-c4ccc(N(C)C)cc4)cn3)nc2c1 7.714118 0.43478260869565216</t>
  </si>
  <si>
    <t>Cc1cc(CN(C)c2cc(Cl)c(Cl)cc2N(C)Cc2cc(C)c(C)c(C)n2)nc(C)c1C 7.7141175 0.475</t>
  </si>
  <si>
    <t>Cc1ccnc(CN(C)C2=CNC(CN(C)c3ccc4c(C)ccnc4c3)=CC2)c1 7.7141047 0.27692307692307694</t>
  </si>
  <si>
    <t>Cc1cc(NCc2ccccn2)cc(-c2ncc(-c3c(C)cccc3NCc3ccccn3)cc2C)c1 7.714079 0.3333333333333333</t>
  </si>
  <si>
    <t>C1=CNCC(Nc2cc(-c3ccc(C(c4ccccn4)c4ccccn4)cn3)ccn2)=C1 7.7140727 0.2318840579710145</t>
  </si>
  <si>
    <t>CN(Cc1ccc2ncccc2c1)Cc1cc(-c2cccc(N=Cc3ccccn3)c2)ccn1 7.7140636 0.3384615384615385</t>
  </si>
  <si>
    <t>Cc1ccnc(CN(C)c2ccc3ncccc3c2)c1 7.7140613 0.375</t>
  </si>
  <si>
    <t>Cc1cc(C)c(CN(C)c2cc(Cl)c(Cl)cc2N(C)Cc2cc(C)c(C)c(C)n2)nc1C 7.7140603 0.3958333333333333</t>
  </si>
  <si>
    <t>CN(Cc1ccc2ncccc2c1)Cc1cc(N(C)Cc2ccc3ncccc3c2)ccn1 7.714029 0.36538461538461536</t>
  </si>
  <si>
    <t>CNC1=C(c2ccccc2)C(c2ccccc2)CC=C1c1cc(-c2ccccc2N(C)C)ccn1 7.7140145 0.2112676056338028</t>
  </si>
  <si>
    <t>CNc1cc(N(Cc2ccccn2)Cc2ccccn2)c(C)c2ncccc12 7.7140074 0.4</t>
  </si>
  <si>
    <t>Cc1cnc(CN(C)c2cc(N(C)Cc3cc(C)c(C)c(C)n3)cc(Cl)c2Cl)c(C)c1 7.714004 0.3050847457627119</t>
  </si>
  <si>
    <t>Cc1cccc2cccnc12 7.713989 0.5</t>
  </si>
  <si>
    <t>Cc1ccc(N(C)Cc2cc(-c3ccccc3N=Cc3ccccn3)ccn2)c(C)c1 7.7139826 0.423728813559322</t>
  </si>
  <si>
    <t>CN(CCCN(C)c1ccc2ncccc2c1)Cc1ncccc1-c1ccc2ncccc2c1 7.7139564 0.37037037037037035</t>
  </si>
  <si>
    <t>Cc1cccc(N(Cc2ccccn2)c2ccc3cccnc3c2)c1 7.7139564 0.4791666666666667</t>
  </si>
  <si>
    <t>CN(Cc1ccc2ncccc2c1)Cc1cc(-c2ccccc2N=Cc2ccccn2)ccn1 7.713952 0.3770491803278688</t>
  </si>
  <si>
    <t>CN(Cc1cccnn1)C1=CCC=C(CN(C)c2ccc3ncccc3c2)N1 7.713925 0.35714285714285715</t>
  </si>
  <si>
    <t>CN(c1ccc2cccnc2c1)C1CC(N(C)c2ccc3ncccc3c2)C2N=CC=CC21 7.713919 0.3114754098360656</t>
  </si>
  <si>
    <t>CC(C)N(C)Cc1ncccc1-c1ccc(N(C)Cc2ccccn2)c2ncccc12 7.7139134 0.4339622641509434</t>
  </si>
  <si>
    <t>Cc1ccnc(CN(Cc2cccc(-c3cc(N(C)C)c4ncccc4c3)n2)Cc2ncccc2C)c1 7.713907 0.39705882352941174</t>
  </si>
  <si>
    <t>CCN(CCN(C)c1ccc2ncccc2c1)c1ccc2ncccc2c1 7.7139063 0.4090909090909091</t>
  </si>
  <si>
    <t>Cc1c(-c2cccc(NCc3ccccn3)c2)ccnc1N=Cc1ccccn1 7.7138844 0.3793103448275862</t>
  </si>
  <si>
    <t>CC(C)c1cc(CN(Cc2ccccn2)c2ccc3nc(-c4ccccn4)ccc3c2)ccn1 7.7138815 0.43859649122807015</t>
  </si>
  <si>
    <t>C1=CNC(Nc2ncccc2-c2ncccc2C(c2ccccn2)c2ccccn2)C=C1 7.713878 0.3064516129032258</t>
  </si>
  <si>
    <t>Cc1cccnc1CN(C)c1c(-c2ccccn2)cc(Cl)cc1N(C)Cc1ccccn1 7.713855 0.5</t>
  </si>
  <si>
    <t>CC(C)N(Cc1ccccn1)c1ccc2nc(C3=CCC=CN3)ccc2c1 7.713855 0.4426229508196721</t>
  </si>
  <si>
    <t>Cc1ncccc1-c1cccc(N=Cc2ccccn2)c1 7.713832 0.46808510638297873</t>
  </si>
  <si>
    <t>C1=CC(Nc2cccc(-c3ccccn3)n2)=CCN1 7.7137837 0.35294117647058826</t>
  </si>
  <si>
    <t>CN(CCN(Cc1cccnc1)c1ccc2ncccc2c1)c1ccc2ncccc2c1 7.713779 0.35294117647058826</t>
  </si>
  <si>
    <t>Cc1ncccc1-c1ccc(N=Cc2ccccn2)cc1 7.7137713 0.4666666666666667</t>
  </si>
  <si>
    <t>C=CCN(Cc1ccccn1)c1cc2ncccc2cc1-c1c(N=Cc2ccccn2)cccc1C(C)(C)C 7.7137375 0.37681159420289856</t>
  </si>
  <si>
    <t>CN(Cc1ccccn1)Cc1ccncc1-c1cc(N(C)Cc2ccccn2)cc2ncccc12 7.713737 0.39285714285714285</t>
  </si>
  <si>
    <t>C1=CNC(Nc2ncccc2-c2cccc(C(c3ccccn3)c3ccccn3)n2)C=C1 7.7137322 0.30158730158730157</t>
  </si>
  <si>
    <t>CCNCc1cccc(-c2ccc(N(C)Cc3ccccn3)c3ncccc23)n1 7.7137213 0.42105263157894735</t>
  </si>
  <si>
    <t>Cc1cccnc1CN(C)c1cc(-c2ccnc(CN(C)C(C)C)c2)cc2ncccc12 7.71371 0.3114754098360656</t>
  </si>
  <si>
    <t>CN(C)C1=CCC(CN(C)c2ccc3cccnc3c2)=CN1 7.713659 0.29310344827586204</t>
  </si>
  <si>
    <t>Cc1cccnc1CN(C)C1=CCC=C(CN(C)c2ccc3cccnc3c2)N1 7.7136393 0.265625</t>
  </si>
  <si>
    <t>Cc1cccnc1CN(C)C1=CCC=C(CN(C)c2ccc3ncccc3c2)N1 7.7136164 0.26229508196721313</t>
  </si>
  <si>
    <t>CCN(CCN(C)c1ccc2cccnc2c1)c1ccc2ncccc2c1 7.7135916 0.375</t>
  </si>
  <si>
    <t>Cc1cccnc1CN(C)Cc1cccnc1-c1cc2cccnc2cc1N(C)Cc1ccccn1 7.713588 0.41379310344827586</t>
  </si>
  <si>
    <t>CN(Cc1ccccn1)C1=CCC=C(CN(C)c2cccc3ncccc23)N1 7.7135844 0.41818181818181815</t>
  </si>
  <si>
    <t>Cc1ccccc1N(Cc1ccccn1)c1ccc2ncccc2c1 7.713581 0.40816326530612246</t>
  </si>
  <si>
    <t>CNc1ccc(-c2cc(C(C)(c3ccccn3)c3ccccn3)ccn2)nc1 7.7135644 0.3508771929824561</t>
  </si>
  <si>
    <t>Cc1cnccc1-c1ccc(N=Cc2ccccn2)cc1 7.713536 0.46808510638297873</t>
  </si>
  <si>
    <t>CN(c1ccc2cccnc2c1)C1CC2C=CC=NC2C1N(C)c1ccc2cccnc2c1 7.7135344 0.32786885245901637</t>
  </si>
  <si>
    <t>Cc1cc2cccnc2cc1CN(C)Cc1cc(-c2cccc(N=Cc3ccccn3)c2)ccn1 7.713501 0.3484848484848485</t>
  </si>
  <si>
    <t>Cc1cnccc1CN(C)c1ccc2ncccc2c1 7.7135 0.3333333333333333</t>
  </si>
  <si>
    <t>Cc1ccc(-c2cccc(NCc3cccc(-c4cccc(N=Cc5ccccn5)c4)n3)c2)nc1 7.7134957 0.3333333333333333</t>
  </si>
  <si>
    <t>CN(CCN(Cc1cccnc1)c1ccc2cccnc2c1)c1ccc2cccnc2c1 7.713489 0.34615384615384615</t>
  </si>
  <si>
    <t>Cc1c(N(C)CC2=CCC=C(N(C)Cc3ccccn3)N2)ccc(Cl)c1-c1ccccn1 7.7134705 0.4642857142857143</t>
  </si>
  <si>
    <t>CCN(Cc1ccccn1)c1cc2cccnc2cc1-c1cccc(N(C)Cc2ccccn2)c1 7.713462 0.42592592592592593</t>
  </si>
  <si>
    <t>C1=CNCC(Nc2ncccc2-c2ncccc2C(c2ccccn2)c2ccccn2)=C1 7.7134476 0.23076923076923078</t>
  </si>
  <si>
    <t>Cc1cccnc1CN(C)c1c(Cl)ccc(C)c1-c1cnc(CN(C)C(C)C)c(-c2c(C)c(C)c(C)c(C)c2N(C)Cc2ncccc2C)c1 7.713446 0.2608695652173913</t>
  </si>
  <si>
    <t>C1=CCNC(Nc2cccc(-c3cccc(C(c4ccccn4)c4ccccn4)n3)n2)=C1 7.7134395 0.3064516129032258</t>
  </si>
  <si>
    <t>CC(C)N(Cc1ccccn1)c1cccc2ccc(C3=CCC=CN3)nc12 7.713433 0.4426229508196721</t>
  </si>
  <si>
    <t>Cc1c(C)c(C)c(-c2cc(-c3ccccc3)c(-c3c(C)c(C)c(C)c(C)c3C)nc2CN(Cc2ccccn2)Cc2ccccn2)c(C)c1C 7.7134323 0.46511627906976744</t>
  </si>
  <si>
    <t>CNCc1ccc2cccc(N(C)CCN(C)c3ccc4nc(CF)ccc4c3)c2n1 7.713429 0.4482758620689655</t>
  </si>
  <si>
    <t>Cc1cncc(CN(C)c2cc(N(C)C(C)C)cc3ncccc23)c1 7.7134213 0.288135593220339</t>
  </si>
  <si>
    <t>CN(CCN(Cc1ccccn1)c1ccc2nccc(CF)c2c1)c1ccc2ncccc2c1 7.7134185 0.3559322033898305</t>
  </si>
  <si>
    <t>Cc1ccc2c(CN(C)Cc3ccc(-c4cccc(N=Cc5ccccn5)c4)cn3)ccnc2c1 7.7133784 0.3188405797101449</t>
  </si>
  <si>
    <t>CN(Cc1cccnn1)C1=CC(CN(Cc2ccc3ncccc3c2)c2ccc3cccnc3c2)C=CN1 7.713366 0.3181818181818182</t>
  </si>
  <si>
    <t>CN(CCN(Cc1ccccn1)c1ccc2ncccc2c1)c1ccc2nccc(CF)c2c1 7.7133603 0.3559322033898305</t>
  </si>
  <si>
    <t>CCNCc1cccc(-c2cc(N(C)Cc3ccccn3)cc3ncccc23)n1 7.7133317 0.41379310344827586</t>
  </si>
  <si>
    <t>CCN(CCN(C)c1ccc2cccnc2c1)c1ccc2cccnc2c1 7.7133203 0.4</t>
  </si>
  <si>
    <t>Cc1nc(CN(C)C2=CCC=C(CN(C)c3ccc4cccnc4c3)N2)c(C)c(C)c1C 7.7133174 0.2537313432835821</t>
  </si>
  <si>
    <t>Cc1nc(CN(C)C2=CCC=C(CN(C)c3ccc4ncccc4c3)N2)c(C)c(C)c1C 7.7133164 0.25</t>
  </si>
  <si>
    <t>Cc1cnc(CN(C)c2ccc3nc(CN(C)C)ccc3c2)c(C)c1 7.713311 0.3469387755102041</t>
  </si>
  <si>
    <t>CN(Cc1ccccn1)c1cc(C(C)(C)CN(Cc2ccccn2)c2ccc3ncccc3c2)c2ncccc2c1 7.7133107 0.38596491228070173</t>
  </si>
  <si>
    <t>Cc1cnc(CN(C)c2cc(N(Cc3ccccn3)C(C)C)cc3ncccc23)c(C)c1C 7.7132883 0.3898305084745763</t>
  </si>
  <si>
    <t>Cc1c(C)c(C)c(N(CN(C)CN(CN(c2ccc3cc(C(C)(C)C)cnc3c2)C(C)C)c2cc(C)c3cccnc3c2)CN(c2ccc3ncc(C(C)(C)C)cc3c2)C(C)C)c(C)c1C 7.7132874 0.2</t>
  </si>
  <si>
    <t>CN(Cc1cccc(F)n1)c1ccc2ncccc2c1 7.7132664 0.38</t>
  </si>
  <si>
    <t>Cc1cc(N=Cc2ccccn2)cc(-c2cccc(C)n2)c1 7.713259 0.44</t>
  </si>
  <si>
    <t>CCN(CCN(C)c1ccc2nccc(CF)c2c1)c1ccc2ncccc2c1 7.713237 0.32727272727272727</t>
  </si>
  <si>
    <t>Cc1ccc(-c2cccc(N=Cc3ccccn3)c2)nc1-c1ccccc1NCc1ccccn1 7.7132344 0.35384615384615387</t>
  </si>
  <si>
    <t>Cc1cccnc1-c1ccc(CN(C)Cc2cccc(N(C)c3cccc4nc(CN(C)C)ccc34)n2)cc1 7.7132297 0.3181818181818182</t>
  </si>
  <si>
    <t>CC(C)N(Cc1ccccn1)c1ccc2ccc(C3=CCC=CN3)nc2c1 7.7132053 0.4426229508196721</t>
  </si>
  <si>
    <t>Cc1ccc(C)c(N(C)Cc2cc(-c3cccc(N(C)C)c3)ccn2)c1 7.713182 0.36538461538461536</t>
  </si>
  <si>
    <t>Cc1cnccc1-c1cccc(N=Cc2ccccn2)c1 7.713178 0.46938775510204084</t>
  </si>
  <si>
    <t>CN(C)c1cncc(CN(Cc2ccccn2)c2cccc3ncccc23)c1 7.713167 0.375</t>
  </si>
  <si>
    <t>Cc1cccnc1CN(C)c1ccc(CN(Cc2ccc(N)cn2)c2cccc3c(C)ccnc23)nc1 7.713135 0.3064516129032258</t>
  </si>
  <si>
    <t>CN(CCN(Cc1ccccn1)c1ccc2ncccc2c1)c1ccc2ncccc2c1 7.7131214 0.4375</t>
  </si>
  <si>
    <t>Cc1cc(CN(C)C2=CCC=C(CN(C)c3cccc4cccnc34)N2)nc(C)c1C 7.7131 0.42105263157894735</t>
  </si>
  <si>
    <t>Cc1cc(C)c(CN(C)c2cc(N(Cc3ccccn3)C(C)C)cc3ncccc23)nc1C 7.713096 0.38333333333333336</t>
  </si>
  <si>
    <t>CCN(Cc1ccccn1)Cc1ccc2cccc(N(C)c3ccc4ncccc4c3)c2n1 7.7130957 0.45454545454545453</t>
  </si>
  <si>
    <t>Cc1cc2cccnc2cc1CN(C)Cc1cc(-c2ccccc2N=Cc2ccccn2)ccn1 7.7130923 0.390625</t>
  </si>
  <si>
    <t>CCN(Cc1ccccn1)c1ccc(-c2cc(-c3ccccn3)ccn2)cc1-c1cc(CN(Cc2ccccn2)Cc2ccc(-c3cccc(N=Cc4ccccn4)c3)cn2)ccn1 7.713087 0.3333333333333333</t>
  </si>
  <si>
    <t>CC(C)N(Cc1ccccn1)c1ccccc1-c1cncc(CN(C)c2cccc3cccnc23)c1 7.71305 0.41379310344827586</t>
  </si>
  <si>
    <t>Cc1cnc(CN(C)c2ccc(N(Cc3ccccn3)C(C)C)c3ncccc23)c(C)c1 7.713031 0.40350877192982454</t>
  </si>
  <si>
    <t>Cc1nc(CN(C)C2=CCC=C(CN(C)c3cccc4ncccc34)N2)c(C)c(C)c1C 7.7130256 0.3064516129032258</t>
  </si>
  <si>
    <t>CCNc1cccc2c(-c3cc(C)cc(NCc4ccccn4)c3)ccnc12 7.7130136 0.375</t>
  </si>
  <si>
    <t>Cc1cnc(CN(C)C2=CCC=C(CN(C)c3ccc4cccnc4c3)N2)c(C)c1 7.7130075 0.25</t>
  </si>
  <si>
    <t>CN(Cc1ccc2cccnc2c1)C1CCC(N(C)c2ccc3nccc(-c4ccc5ncccc5c4)c3c2)CC1 7.7130075 0.2608695652173913</t>
  </si>
  <si>
    <t>Cc1cnc(CN(C)C2=CCC=C(CN(C)c3ccc4ncccc4c3)N2)c(C)c1 7.713002 0.24615384615384617</t>
  </si>
  <si>
    <t>CNCC1=CCC=C(N(C)c2cccc3ncccc23)N1 7.7130013 0.2857142857142857</t>
  </si>
  <si>
    <t>C1=CC(Nc2cccc(-c3cccc(C(c4ccccn4)c4ccccn4)n3)n2)=CCN1 7.712999 0.30158730158730157</t>
  </si>
  <si>
    <t>Cc1cc(C)cc(N(C)Cc2cc(-c3cccc(N(C)C)c3)ccn2)c1 7.712985 0.34</t>
  </si>
  <si>
    <t>Cc1cccc2ncccc12 7.712981 0.325</t>
  </si>
  <si>
    <t>CC(C)N(C)c1ccccc1-c1cc(-c2ccc(N)cn2)ccn1 7.712976 0.2777777777777778</t>
  </si>
  <si>
    <t>Fc1ccccc1N(Cc1ccccn1)c1ccc2cccnc2c1 7.7129736 0.4791666666666667</t>
  </si>
  <si>
    <t>Cc1nc(CN(C)Cc2cc(N(C)c3ccc4nccc(C)c4c3)ccn2)c(C)c(C)c1C 7.712973 0.28125</t>
  </si>
  <si>
    <t>CN(CCN(Cc1cccnc1)c1cccc2cccnc12)c1ccc2ncccc2c1 7.7129655 0.49019607843137253</t>
  </si>
  <si>
    <t>CN(CCN(Cc1ccccn1)c1ccc2cccnc2c1)c1ccc2ncccc2c1 7.712949 0.48</t>
  </si>
  <si>
    <t>FCc1ccc2cccc(N(Cc3ccccn3)Cc3cccc(-c4cccc(N=Cc5ccccn5)c4)n3)c2n1 7.7129445 0.4084507042253521</t>
  </si>
  <si>
    <t>Cc1cc(C)c(CN(C)C2=CCC=C(CN(C)c3ccc4cccnc4c3)N2)nc1C 7.7129292 0.2537313432835821</t>
  </si>
  <si>
    <t>C1=CNC(c2cc(C3=CCC=CN3)c(C3=CCC=CN3)c(C3=CCC=CN3)n2)=CC1 7.712891 0.24528301886792453</t>
  </si>
  <si>
    <t>Cc1cnc2ccc(N(C)CCN(C)Cc3ccnc4ccc(C)cc34)cc2c1 7.7128773 0.3584905660377358</t>
  </si>
  <si>
    <t>Cc1cc(C)c(-c2c(C)cc(NCc3ccccn3)cc2C)nc1-c1ccccc1NCc1ccccn1 7.712875 0.3898305084745763</t>
  </si>
  <si>
    <t>CCCN(Cc1ccccn1)c1cc2cccnc2cc1-c1cccc(N(C)C)c1 7.712869 0.3620689655172414</t>
  </si>
  <si>
    <t>Cc1ccnc2cccc(N(C)C3CCC(N(C)c4cccc5nccc(-c6ccccc6)c45)CC3)c12 7.71286 0.32142857142857145</t>
  </si>
  <si>
    <t>CCN(Cc1ccccn1)Cc1ccc2cccc(N(C)Cc3cccc(N(C)c4ccc5ncccc5c4)n3)c2n1 7.7128553 0.4032258064516129</t>
  </si>
  <si>
    <t>Cc1ccc2c(N(C)CC3=CCC=C(N(C)Cc4ccccn4)N3)cccc2n1 7.712843 0.3898305084745763</t>
  </si>
  <si>
    <t>CN(Cc1cccnn1)C1=CCC=C(CN(C)c2cccc3ncccc23)N1 7.7128425 0.35714285714285715</t>
  </si>
  <si>
    <t>CN(CCN(Cc1ccccn1)c1cccc2ncc(CF)cc12)c1cccc2ncccc12 7.7128415 0.3728813559322034</t>
  </si>
  <si>
    <t>Cc1cc(CN(C)C2=CCC=C(CN(C)c3ccc4ncccc4c3)N2)nc(C)c1C 7.7128096 0.25757575757575757</t>
  </si>
  <si>
    <t>Cc1ccc(-c2cccc(C)n2)c(N=Cc2ccccn2)c1 7.7127876 0.5</t>
  </si>
  <si>
    <t>Cc1cc(CN(C)c2cc(N(Cc3ccccn3)C(C)C)cc3ncccc23)nc(C)c1C 7.712764 0.4067796610169492</t>
  </si>
  <si>
    <t>Cc1cnc(CN(C)C2=CCC=C(CN(C)c3ccc4cccnc4c3)N2)c(C)c1C 7.7127495 0.26865671641791045</t>
  </si>
  <si>
    <t>CN(Cc1ccc2ncccc2c1)Cc1cc2ncccc2cc1N(C)Cc1ccccn1 7.7127423 0.47058823529411764</t>
  </si>
  <si>
    <t>CNCC1=C(N(C)c2ccc3c(C)ccnc3c2)CC=CN1 7.712734 0.22058823529411764</t>
  </si>
  <si>
    <t>CN(CCN(Cc1ccccn1)c1cccc2ncccc12)c1cccc2ncc(CF)cc12 7.712718 0.3728813559322034</t>
  </si>
  <si>
    <t>CNCc1ccc(N(C)c2ccc3cccnc3c2)cn1 7.7126985 0.34615384615384615</t>
  </si>
  <si>
    <t>Cc1cccnc1CN(C)c1ccc2ncccc2c1 7.712677 0.34782608695652173</t>
  </si>
  <si>
    <t>CN(C)CC1=CCC=C(N(C)c2ccc3cccnc3c2)N1 7.712669 0.2982456140350877</t>
  </si>
  <si>
    <t>Cc1cccc2ccc(CN(C)Cc3ncccc3-c3cccc(N(C)C)c3)nc12 7.712668 0.3448275862068966</t>
  </si>
  <si>
    <t>CN(C)CCN(C)c1cccc2nc(C3=CCC=CN3)ccc12 7.7126517 0.3333333333333333</t>
  </si>
  <si>
    <t>C1=CCNC(Nc2ncccc2-c2ncccc2C(c2ccccn2)c2ccccn2)=C1 7.712634 0.23076923076923078</t>
  </si>
  <si>
    <t>CCN(CCN(C)c1ccc2nccc(CF)c2c1)c1ccc2nccc(CF)c2c1 7.712631 0.24528301886792453</t>
  </si>
  <si>
    <t>CCNCc1ncccc1-c1cc(N(C)Cc2ccccn2)c2ncccc2c1 7.712622 0.43636363636363634</t>
  </si>
  <si>
    <t>CCN(CCN(C)c1cccc2nc(CN(C)C)ccc12)c1cccc2ncccc12 7.7126207 0.43137254901960786</t>
  </si>
  <si>
    <t>CCSCc1ccc2c(n1)c(N(C)Cc1cccc3cccnc13)cc1c(CSCc3ccccn3)c(CSCc3ccccn3)c(CSCc3ccccn3)nc12 7.712591 0.3582089552238806</t>
  </si>
  <si>
    <t>Cc1ccc(N=Cc2ccccn2)c(-c2cccc(C)n2)c1 7.712586 0.5</t>
  </si>
  <si>
    <t>COC(=O)c1ncccc1C(=O)C(=O)C(=O)C(=O)C(=O)C(=O)C(=O)C(=O)C(=O)C(=O)C(=O)C(=O)C(=O)C(=O)C(=O)C(=O)C(=O)C(=O)C(=O)C(=O)C(=O)C(=O)C(=O)C(=O)C(=O)C(=O)C(=O)C(=O)C(=O)C(=O)C(=O)C(=O)C(=O)C(=O)C(=O)C=O 7.7125745 0.23809523809523808</t>
  </si>
  <si>
    <t>CN(CCCN(C)c1ccc2cccnc2c1)c1ccc2ncccc2c1 7.7125645 0.46511627906976744</t>
  </si>
  <si>
    <t>Cc1cc(CN(C)C2=CCC=C(CN(C)c3cccc4ncccc34)N2)nc(C)c1C 7.712544 0.296875</t>
  </si>
  <si>
    <t>Cc1cccnc1CN(C)c1ccc2nc(CN(C)Cc3cccc(-c4cccc(N(C)C)c4)n3)ccc2c1 7.712533 0.3870967741935484</t>
  </si>
  <si>
    <t>Cc1cc(C)nc(CN(C)Cc2ccc3cc(-c4ncccc4C)ccc3n2)c1 7.712497 0.3584905660377358</t>
  </si>
  <si>
    <t>Cc1ccc(-c2cccc(NCc3ccccn3)c2)nc1-c1cccc(N=Cc2ccccn2)c1 7.712489 0.359375</t>
  </si>
  <si>
    <t>CNCc1ncccc1N(C)c1ccc2ncccc2c1 7.712439 0.3541666666666667</t>
  </si>
  <si>
    <t>Cc1cccnc1CN(C)c1ccc2cccnc2c1 7.712423 0.3469387755102041</t>
  </si>
  <si>
    <t>Cc1ccnc(CN(C)c2cccc3c4c(cnc23)CCC4)c1 7.7124224 0.3333333333333333</t>
  </si>
  <si>
    <t>CN(C)CC1=CCC=C(N(C)c2ccc3ncccc3c2)N1 7.712415 0.2857142857142857</t>
  </si>
  <si>
    <t>Cc1cccnc1CN(C)C1=CCC=C(CN(C)c2cccc3ncccc23)N1 7.7124124 0.3050847457627119</t>
  </si>
  <si>
    <t>C1=CNC(Nc2ncccc2-c2cc(C(c3ccccn3)c3ccccn3)ccn2)C=C1 7.7124124 0.2923076923076923</t>
  </si>
  <si>
    <t>CN(C)CCN(C)c1cccc2ncc(C3=CCC=CN3)cc12 7.7124033 0.32727272727272727</t>
  </si>
  <si>
    <t>CN(Cc1ccc(N)cn1)C1=CCC=C(CN(C)c2ccc3cccnc3c2)N1 7.7123876 0.3076923076923077</t>
  </si>
  <si>
    <t>CN(C)Cc1ncccc1N(C)c1cccc2ncc(CF)cc12 7.712379 0.2962962962962963</t>
  </si>
  <si>
    <t>Cc1cnc(CN(C)C2=CCC=C(CN(C)c3cccc4ncccc34)N2)c(C)c1C 7.7123694 0.2857142857142857</t>
  </si>
  <si>
    <t>CC(C)Nc1cc(Cl)c2nc(CF)ccc2c1N(C)Cc1ccccn1 7.7123685 0.44642857142857145</t>
  </si>
  <si>
    <t>CN(CCCN(C)c1ccc2cccnc2c1)c1ccc2cccnc2c1 7.712344 0.5</t>
  </si>
  <si>
    <t>Cc1cc(C)c(CN(C)c2cc(Cl)c(N(C)Cc3cc(C)c(C)c(C)n3)cc2Cl)nc1C 7.7123365 0.34</t>
  </si>
  <si>
    <t>CN(CC1=CCC=C(N(C)C(c2ccccn2)c2ccccn2)N1)c1ccc2ncccc2c1 7.7123265 0.30303030303030304</t>
  </si>
  <si>
    <t>CN(C)c1cccc(-c2cccc(CN(Cc3ccccn3)c3cccc4ccc(CF)nc34)n2)c1 7.7123227 0.46875</t>
  </si>
  <si>
    <t>CC(C)C(C)(c1cccnc1)N(C)Cc1cc(-c2cccc(N(C)c3ccc4nc(-c5ccccn5)ccc4c3)c2)ccn1 7.7123175 0.3333333333333333</t>
  </si>
  <si>
    <t>Cc1cnc(-c2cccc(NCc3ccccn3)c2)c(-c2cccc(N=Cc3ccccn3)c2)c1 7.712304 0.3384615384615385</t>
  </si>
  <si>
    <t>Cc1cc(-c2ccc(N=Cc3ccccn3)cc2C)ccn1 7.712302 0.4489795918367347</t>
  </si>
  <si>
    <t>Cc1cnc(CN(C)C2=CNC(CN(C)c3ccc4nccc(C)c4c3)=CC2)c(C)c1 7.7122607 0.21621621621621623</t>
  </si>
  <si>
    <t>Cc1c(N(C)CCN(C)Cc2ccc3ncccc3c2)cc2cccnc2c1C 7.712247 0.44</t>
  </si>
  <si>
    <t>C1=CNC(Nc2cc(-c3cc(C(c4ccccn4)c4ccccn4)ccn3)ccn2)C=C1 7.7122188 0.2923076923076923</t>
  </si>
  <si>
    <t>CN(Cc1cc(-c2cccc(N(C)C)c2)ccn1)Cc1ccnc2ccccc12 7.7122154 0.34545454545454546</t>
  </si>
  <si>
    <t>CN(C1=CCC=C(CN(c2cccc3cccnc23)C2CCCC(N(C)c3cccc4cccnc34)C2)N1)c1ccc2cccnc2c1 7.7122097 0.391304347826087</t>
  </si>
  <si>
    <t>CCN(Cc1ccccn1)c1ccc2nccc(CN(Cc3ccccn3)Cc3ncccc3-c3ccc4ncccc4c3N)c2c1 7.7122083 0.3389830508474576</t>
  </si>
  <si>
    <t>CCN(CCN(C)c1ccc2nccc(CN(C)C)c2c1)c1ccc2ncccc2c1 7.7122035 0.32142857142857145</t>
  </si>
  <si>
    <t>Cc1cnc(CN(C)c2cc(-c3cc(CN(C)Cc4ccccn4)ccn3)cc(-c3ccccn3)c2Cl)c(C)c1 7.7121987 0.390625</t>
  </si>
  <si>
    <t>CN(C)c1ccccc1-c1cccc(CN(Cc2ccccn2)c2cccc3ccc(CF)nc23)n1 7.712175 0.4727272727272727</t>
  </si>
  <si>
    <t>Cc1cc2cccnc2cc1-c1cccc(CN(Cc2ccccn2)Cc2cccc(-c3cccc(N=Cc4ccccn4)c3)n2)n1 7.712171 0.47058823529411764</t>
  </si>
  <si>
    <t>Cc1cncc(-c2cc(-c3cccc(NCc4ccccn4)c3)ccn2)c1 7.712165 0.3548387096774194</t>
  </si>
  <si>
    <t>CN(C)CC1=CCC=C(N(C)c2cccc3cccnc23)N1 7.7121553 0.46808510638297873</t>
  </si>
  <si>
    <t>CNc1ccc2nccc(CF)c2c1 7.712135 0.19607843137254902</t>
  </si>
  <si>
    <t>FCc1ccc2cccc(N(Cc3ccccn3)Cc3cccc(-c4ccccc4N=Cc4ccccn4)n3)c2n1 7.71213 0.375</t>
  </si>
  <si>
    <t>CN(CC1=CCC=C(N(C)C(c2ccccn2)c2ccccn2)N1)c1ccc2cccnc2c1 7.7121296 0.29850746268656714</t>
  </si>
  <si>
    <t>CC(C)N(Cc1ccccn1)c1ccc2nc(-c3cc(C(C)(C)C)ccn3)ccc2c1 7.7121267 0.4</t>
  </si>
  <si>
    <t>Cc1cc2cccnc2cc1CN(C)Cc1ncccc1-c1ccccc1N(C)C 7.7121243 0.34545454545454546</t>
  </si>
  <si>
    <t>Cc1cc2cccnc2cc1CN(C)Cc1cc(-c2cccc(N(C)C)c2)ccn1 7.7121105 0.35714285714285715</t>
  </si>
  <si>
    <t>CN(Cc1ccccn1)c1cc(-c2cccc(CN(Cc3ccccn3)Cc3cccc(-c4cccc(N=Cc5ccccn5)c4)n3)n2)c2ncccc2c1 7.712096 0.4507042253521127</t>
  </si>
  <si>
    <t>CN(C)c1cccc(-c2ccc(CN(Cc3ccccn3)c3ccc4nc(CF)ccc4c3)cn2)c1 7.712078 0.359375</t>
  </si>
  <si>
    <t>Cc1ccc(N(C)Cc2cc(-c3cccc(N(C)C)c3)ccn2)c(C)c1 7.712072 0.36538461538461536</t>
  </si>
  <si>
    <t>CNC1NC=CC=C1N(C)c1ccc2cccnc2c1 7.7120657 0.25862068965517243</t>
  </si>
  <si>
    <t>CC(C)c1cc(CN(Cc2ccccn2)c2ccc3nc(-c4cccc(N=Cc5ccccn5)c4)ccc3c2)ccn1 7.7120595 0.3291139240506329</t>
  </si>
  <si>
    <t>Cc1nc(CN(C)c2cccc(CN(C)c3ccc4nc(CN(C)C)ccc4c3)n2)c(C)c(C)c1C 7.712058 0.30357142857142855</t>
  </si>
  <si>
    <t>Cc1cc(CN(C)c2ccc3nc(CN(C)Cc4cc(-c5cccc(N(C)C)c5)ccn4)ccc3c2)ccn1 7.7120547 0.31666666666666665</t>
  </si>
  <si>
    <t>CN(C)C1=CNC=C(CN(C)c2cccc3ncccc23)C1 7.7120495 0.34615384615384615</t>
  </si>
  <si>
    <t>Cc1ccc(N(C)Cc2ccccn2)cc1-c1ccc(CN(Cc2ccccn2)c2ccc3ncccc3c2)cn1 7.712023 0.3548387096774194</t>
  </si>
  <si>
    <t>Cc1ccc2nccc(CN(C)Cc3cc(-c4cccc(N=Cc5ccccn5)c4)ccn3)c2c1 7.7120175 0.3283582089552239</t>
  </si>
  <si>
    <t>CN(c1ccc2cccnc2c1)C1C=CC=CN1 7.712015 0.32142857142857145</t>
  </si>
  <si>
    <t>Cc1cnc(CN(C)c2ccc3nc(CN(C)C4C=CC=CN4)ccc3c2)c(-c2ccccn2)c1 7.71201 0.30666666666666664</t>
  </si>
  <si>
    <t>Cc1cncc(N(C)c2ccc3ccc(CN(Cc4ccccn4)C(C)(N)N(Cc4ncccc4N)c4ccc5cccnc5c4)nc3c2)c1 7.7119966 0.3472222222222222</t>
  </si>
  <si>
    <t>Cc1ccccc1N(C)CC1=C(N(C)c2cccc3cccnc23)CC=CN1 7.711982 0.4444444444444444</t>
  </si>
  <si>
    <t>Cc1cnc(CN(C)C2=CCC=C(CN(C)c3cccc4ncccc34)N2)c(C)c1 7.711963 0.28125</t>
  </si>
  <si>
    <t>CNCc1nc2ccccc2o1 7.7119565 0.39473684210526316</t>
  </si>
  <si>
    <t>Cc1cnc(-c2cccc(N=Cc3ccccn3)c2)c(C)c1 7.711941 0.46938775510204084</t>
  </si>
  <si>
    <t>CN(C1=CCC=CN1)c1ccc2ccc(CF)nc2c1 7.711935 0.3050847457627119</t>
  </si>
  <si>
    <t>C1=CC(Nc2cc(-c3cccc(C(c4ccccn4)c4ccccn4)n3)ccn2)=CCN1 7.711918 0.25</t>
  </si>
  <si>
    <t>Cc1ccnc(CN(C)C2=CCC=C(CN(C)c3cccc4ncccc34)N2)c1C 7.711901 0.2903225806451613</t>
  </si>
  <si>
    <t>CN(CC1=C(N(C)c2ccccc2F)NC=CC1)c1cccc2ncccc12 7.7118964 0.3114754098360656</t>
  </si>
  <si>
    <t>CN(Cc1ccc(-c2ccc3ncccc3c2)cn1)C1=CCC(C(C)(C)C)=CN1 7.711896 0.27692307692307694</t>
  </si>
  <si>
    <t>CNCc1cc(N(C)c2ccc3cccnc3c2)ccn1 7.711884 0.35294117647058826</t>
  </si>
  <si>
    <t>Cc1cccc(-c2cccc(NCc3cccc(-c4cccc(N=Cc5ccccn5)c4)n3)c2)n1 7.7118764 0.3548387096774194</t>
  </si>
  <si>
    <t>CC(C)(c1ncccc1CN(Cc1ccccn1)c1ccc2ncccc2c1)c1ncccc1-c1cccc(N=Cc2ccccn2)c1 7.7118692 0.27710843373493976</t>
  </si>
  <si>
    <t>CN(Cc1ccccn1)Cc1ccnc2ccc(N(C)Cc3ccc4ncccc4c3)cc12 7.711864 0.40350877192982454</t>
  </si>
  <si>
    <t>Cc1cc(-c2cc(-c3cccc(NCc4ccccn4)c3)ccn2)ccn1 7.7118607 0.3793103448275862</t>
  </si>
  <si>
    <t>Cc1ccc(CN(C)Cc2ccnc(-c3cc(N(C)Cc4ccccn4)cc4cccnc34)c2)nc1 7.7118526 0.4032258064516129</t>
  </si>
  <si>
    <t>CNc1ccc2c(CF)ccnc2c1 7.7118473 0.2</t>
  </si>
  <si>
    <t>CCNc1cc(C)c(N(C)c2cccc3ncccc23)c(N(Cc2ccccn2)Cc2ncc(C)cc2C)c1Cl 7.7118464 0.323943661971831</t>
  </si>
  <si>
    <t>Cc1cnc(CN(C)c2cc(N(C)C(C)(C)c3ccccn3)c3ncccc3c2)c(C)c1 7.7118387 0.3333333333333333</t>
  </si>
  <si>
    <t>C1=CC(Nc2ncccc2-c2ncccc2C(c2ccccn2)c2ccccn2)=CCN1 7.711835 0.23809523809523808</t>
  </si>
  <si>
    <t>Cc1cccc(-c2ccc(N=Cc3ccccn3)cc2C)n1 7.7118306 0.46938775510204084</t>
  </si>
  <si>
    <t>Cc1cncc(-c2cc(N=Cc3ccccn3)ccc2C)c1 7.711816 0.43137254901960786</t>
  </si>
  <si>
    <t>CCN(Cc1ccccc1N(C)Cc1ccc2ncccc2c1)c1ccc2ncccc2c1 7.711809 0.34545454545454546</t>
  </si>
  <si>
    <t>CN(CCCN(C)c1ccc2nccc(CF)c2c1)c1ccc2ncccc2c1 7.7117805 0.39215686274509803</t>
  </si>
  <si>
    <t>Cc1cc(C)c(-c2c(C(C)(C)C)ccc(NCc3ccccn3)c2C)c(-c2cccc(N=Cc3ccccn3)c2)n1 7.7117796 0.3333333333333333</t>
  </si>
  <si>
    <t>C1=CC(Nc2cc(-c3ncccc3C(c3ccccn3)c3ccccn3)ccn2)=CCN1 7.7117467 0.22727272727272727</t>
  </si>
  <si>
    <t>CCCN(Cc1ccccn1)c1cc(N(C)Cc2ccccn2)c2cccnc2c1-c1ccc(C)c(C)c1C 7.7117443 0.4067796610169492</t>
  </si>
  <si>
    <t>CN(c1ccc2nc3c(cc2c1)CCCC3)C1CCC(N(C)c2ccc3c(-c4ccc5cccnc5c4)ccnc3c2)CC1 7.711729 0.3472222222222222</t>
  </si>
  <si>
    <t>Cc1cc(N(C)Cc2ncccc2-c2ccccc2N=Cc2ccccn2)c(C)c(C)c1C 7.7117257 0.45454545454545453</t>
  </si>
  <si>
    <t>Cc1ccc2c(N(C)CC3=CNC(N(C)C)=CC3)cccc2n1 7.711708 0.2727272727272727</t>
  </si>
  <si>
    <t>CN(CCCN(C)c1ccc2nccc(CF)c2c1)c1ccc2cccnc2c1 7.711639 0.37735849056603776</t>
  </si>
  <si>
    <t>Cc1cccnc1CN(C)Cc1ccnc(-c2c(N(C)Cc3ncccc3C)ccc3cccnc23)c1 7.711638 0.35714285714285715</t>
  </si>
  <si>
    <t>CN(CCNc1ccc2nccc(CF)c2c1)Cc1cc(-c2ccc3ncccc3c2)ccn1 7.7116356 0.31746031746031744</t>
  </si>
  <si>
    <t>Cc1ccc(N(C)Cc2ccccn2)c(-c2ccc(CN(Cc3ccccn3)c3ccc4ncccc4c3)cn2)c1C 7.7116327 0.3870967741935484</t>
  </si>
  <si>
    <t>CN(C)c1ccccc1-c1cccc(CN(Cc2ccccn2)c2ccc3ccc(CF)nc3c2)n1 7.7116184 0.4642857142857143</t>
  </si>
  <si>
    <t>CN(C)C1=C(CN(C)c2ccc3cccnc3c2)NC=CC1 7.711595 0.2982456140350877</t>
  </si>
  <si>
    <t>CN(c1ccc2c(CF)ccnc2c1)C1CCCC(N(C)c2cccc3c(-c4ccccn4)ccnc23)C1 7.711556 0.3142857142857143</t>
  </si>
  <si>
    <t>Cc1cc(CN(C)c2ccc3cccnc3c2)cnc1C 7.711556 0.32075471698113206</t>
  </si>
  <si>
    <t>CN(CC1=CCC=C(N(C)C(c2ccccn2)c2ccccn2)N1)c1cccc2ncccc12 7.7115426 0.30303030303030304</t>
  </si>
  <si>
    <t>Cc1cc2ncccc2cc1N(Cc1ccccn1)Cc1ncccc1N(C)C 7.7115335 0.39622641509433965</t>
  </si>
  <si>
    <t>Cc1cccc(-c2ccc(NCc3cccc(-c4cccc(N=Cc5ccccn5)c4)n3)cc2)n1 7.7115307 0.3492063492063492</t>
  </si>
  <si>
    <t>Cc1ccc2cccnc2c1N(C)Cc1ccccn1 7.7115135 0.4772727272727273</t>
  </si>
  <si>
    <t>CC(C)C1=CCC(N(C)Cc2ncccc2-c2ccc3ncccc3c2)=CN1 7.7114997 0.25396825396825395</t>
  </si>
  <si>
    <t>CN(CCN(C)c1ccc2nc(CF)ccc2c1)c1ccc2nc(CF)ccc2c1 7.7114973 0.3469387755102041</t>
  </si>
  <si>
    <t>Cc1ccnc2cccc(N(C)CCN(C)Cc3cccc4ncccc34)c12 7.711488 0.44</t>
  </si>
  <si>
    <t>Cc1c(N(C)Cc2cccnc2)ccc2cccnc12 7.7114806 0.4444444444444444</t>
  </si>
  <si>
    <t>CCNc1cccc2c(-c3c(C)cccc3NCc3ccccn3)ccnc12 7.711439 0.3770491803278688</t>
  </si>
  <si>
    <t>CN(C)CC1=CCC=C(N(C)c2cccc3ncccc23)N1 7.7114305 0.2962962962962963</t>
  </si>
  <si>
    <t>Cc1cc(-c2ccccc2NCc2ccccn2)cnc1C(C)(C)c1ncccc1-c1ccccc1N=Cc1ccccn1 7.711411 0.3787878787878788</t>
  </si>
  <si>
    <t>CNc1ncccc1-c1ncccc1C(C)(c1ccccn1)c1ccccn1 7.711411 0.45652173913043476</t>
  </si>
  <si>
    <t>CN(CCN(Cc1ccccn1)c1cccc2nccc(CF)c12)c1cccc2ncccc12 7.7114086 0.3684210526315789</t>
  </si>
  <si>
    <t>Cc1ccnc2ccccc12 7.7113886 0.28</t>
  </si>
  <si>
    <t>CNC1C=CC=C(N(C)c2ccc3cccnc3c2)N1 7.711383 0.26666666666666666</t>
  </si>
  <si>
    <t>CNC1C=C(N(C)c2ccc3ncccc3c2)C=CN1 7.7113557 0.2631578947368421</t>
  </si>
  <si>
    <t>Cc1ccnc2cc(N(C)C3=CNC(CN(C)C)=CC3)ccc12 7.7113533 0.24615384615384617</t>
  </si>
  <si>
    <t>CCN(Cc1ccccn1)c1ccc2nc(CN(C)c3ccc4nc(CF)ccc4c3)ccc2c1 7.711337 0.46153846153846156</t>
  </si>
  <si>
    <t>CC(C)C(C)(c1cccnc1)N(C)c1ccc2nc(CN(C)c3ccc4ncccc4c3)ccc2c1 7.711326 0.31746031746031744</t>
  </si>
  <si>
    <t>Cc1cc2cccnc2cc1-c1cccc(CN(Cc2ccccn2)Cc2ccc(-c3cccc(N=Cc4ccccn4)c3)cn2)n1 7.711308 0.4</t>
  </si>
  <si>
    <t>CN(CC1=CCC=CN1)c1ccc2ncccc2c1 7.7113013 0.4807692307692308</t>
  </si>
  <si>
    <t>Cc1cccnc1CN(C)c1ccc2ncccc2c1-c1cccc(CN(Cc2ccccn2)Cc2ccc(-c3cccc(N=Cc4ccccn4)c3)cn2)n1 7.7112575 0.3488372093023256</t>
  </si>
  <si>
    <t>CN(Cc1ccccn1)c1ccc2ncccc2c1N(C)Cc1cccnc1F 7.7112284 0.46</t>
  </si>
  <si>
    <t>CN(CCN(C)c1ccc2ncccc2c1)Cc1nc2ccccc2n1C 7.711225 0.39285714285714285</t>
  </si>
  <si>
    <t>Cc1ccc(-c2cccc(NCc3cc(-c4ccc(N=Cc5ccccn5)cc4)ccn3)c2)nc1 7.7111797 0.3283582089552239</t>
  </si>
  <si>
    <t>CN(CC1=C(N(C)c2ccc3cccnc3c2)CC=CN1)Cc1ccc2ncccc2c1 7.7111487 0.265625</t>
  </si>
  <si>
    <t>FCc1ccc2cccc(N(Cc3ccccn3)Cc3ncccc3-c3ccccc3N=Cc3ccccn3)c2n1 7.71114 0.36507936507936506</t>
  </si>
  <si>
    <t>Cc1ccccc1N(C)c1ccc2cc(CF)cnc2c1 7.7111397 0.26666666666666666</t>
  </si>
  <si>
    <t>Cc1ccc(CN(C)Cc2ccc3cccc(-c4cccc(N(C)C)c4)c3n2)nc1C 7.7111316 0.3269230769230769</t>
  </si>
  <si>
    <t>CC(C)N(Cc1ccccn1)c1cc(N=Cc2ccccn2)c2cccnc2c1 7.7110834 0.3888888888888889</t>
  </si>
  <si>
    <t>FCc1ccc2cccc(N(Cc3ccccn3)Cc3cc(-c4ccccc4N=Cc4ccccn4)ccn3)c2n1 7.711066 0.359375</t>
  </si>
  <si>
    <t>CN(C)c1cccc(-c2cccnc2CN(CCN(C)c2ccc3nccc(CF)c3c2)Cc2ccc3ncccc3c2)c1 7.7110457 0.2638888888888889</t>
  </si>
  <si>
    <t>CN(CCN(C)c1ccc2nc3c(cc2c1)CCC3)c1ccc2nc3c(cc2c1)CCC3 7.7110333 0.39215686274509803</t>
  </si>
  <si>
    <t>CN(Cc1ncccc1-c1ccccc1)C1=CCC(CN(C)c2ccc3ncccc3c2)=CN1 7.7110143 0.25675675675675674</t>
  </si>
  <si>
    <t>Cc1cccc(-c2ccccc2NCc2cccc(-c3ccccc3N=Cc3ccccn3)n2)n1 7.7109995 0.43859649122807015</t>
  </si>
  <si>
    <t>CN(CC1=CCC=CN1)c1ccc2cccnc2c1 7.7109933 0.4716981132075472</t>
  </si>
  <si>
    <t>CCN(Cc1cc(-c2ccccc2N=Cc2ccccn2)ccn1)c1ccc2nc(CF)ccc2c1 7.710982 0.35384615384615387</t>
  </si>
  <si>
    <t>CN(C)c1ccccc1-c1cccnc1CN(Cc1ccccn1)c1cccc2ccc(CF)nc12 7.7109623 0.41935483870967744</t>
  </si>
  <si>
    <t>CN(Cc1ccccn1)c1cc(C(C)(C)CN(Cc2ccccn2)c2cccc3ncccc23)cc2ncccc12 7.71095 0.43636363636363634</t>
  </si>
  <si>
    <t>Cc1ccc(-c2ncc(C)cc2-c2ccccc2N=Cc2ccccn2)c(NCc2ccccn2)c1 7.7109475 0.39344262295081966</t>
  </si>
  <si>
    <t>CNC1=C(N(C)c2c(C)c(C)c(C)c(C)c2C)C(N(C)c2c(C)c(C)c(C)c(C)c2C)NC(N(C)c2c(C)c(C)c(C)c(C)c2C)=C1 7.7109404 0.11864406779661017</t>
  </si>
  <si>
    <t>Cc1cccnc1CN(CCN(C)c1ccc2nccc(CF)c2c1)c1ccc2ncccc2c1 7.710906 0.29508196721311475</t>
  </si>
  <si>
    <t>CN(Cc1ccccn1)c1ccc2ncccc2c1N(C)Cc1cnccc1F 7.7109027 0.41818181818181815</t>
  </si>
  <si>
    <t>CCN(Cc1ccccn1)c1ccc2nc(CN(C)Cc3ncccc3-c3ccc4ncccc4c3)ccc2c1 7.7108994 0.4166666666666667</t>
  </si>
  <si>
    <t>FCc1cccc(NCc2cc(-c3cc(-c4cc(C(c5ccccn5)c5ccccn5)ccn4)ccn3)ccn2)n1 7.710879 0.31746031746031744</t>
  </si>
  <si>
    <t>CN(CCNc1ccc2ncccc2c1)c1ccc2nccc(CF)c2c1 7.710856 0.2982456140350877</t>
  </si>
  <si>
    <t>CNc1cccc2c(CN(C)C)ccnc12 7.710852 0.34782608695652173</t>
  </si>
  <si>
    <t>CCN(Cc1ccccn1)Cc1nccc2cccc(N(C)Cc3nccc4cccc(N(C)Cc5ncc(C)c(C)c5C)c34)c12 7.710847 0.3728813559322034</t>
  </si>
  <si>
    <t>CC(C)N(CCN(C)c1ccc2ncccc2c1)c1ccc2ncccc2c1 7.7108417 0.4</t>
  </si>
  <si>
    <t>CN(Cc1cccc(F)n1)c1ccc2cccnc2c1N(C)Cc1cccc(F)n1 7.7108207 0.45652173913043476</t>
  </si>
  <si>
    <t>CNCC1=CCC=C(N(C)c2ccc3nccc(C)c3c2)N1 7.7108135 0.22388059701492538</t>
  </si>
  <si>
    <t>CNc1c(-c2ccccn2)ccc(-c2cccc(CN(Cc3ccccn3)Cc3cccc(-c4cccc(N=Cc5ccccn5)c4)n3)n2)c1Cl 7.710805 0.4507042253521127</t>
  </si>
  <si>
    <t>CN(CCNc1ccc2nccc(CF)c2c1)c1ccc2ncccc2c1 7.7108026 0.2982456140350877</t>
  </si>
  <si>
    <t>Cc1cccc(-c2cccc(NCc3cccc(-c4cccc(N(C)C)c4)n3)c2)n1 7.7107954 0.34</t>
  </si>
  <si>
    <t>Cc1cccc(-c2ccc(NCc3cccc(-c4ccccc4N=Cc4ccccn4)n3)cc2)n1 7.7107954 0.4166666666666667</t>
  </si>
  <si>
    <t>CN(c1cccc(-c2cccnc2C(C)(C)c2cccc(NCc3ccccn3)c2)c1)c1ccc2ncccc2c1 7.710793 0.3424657534246575</t>
  </si>
  <si>
    <t>CNc1cnccc1-c1cc(C(C)(c2ccccn2)c2ccccn2)ccn1 7.710746 0.35185185185185186</t>
  </si>
  <si>
    <t>C1=CC(Nc2cc(-c3cc(C(c4ccccn4)c4ccccn4)ccn3)ccn2)=CCN1 7.710742 0.23529411764705882</t>
  </si>
  <si>
    <t>Cc1c(N(C)CC2=CCC=C(N(C)Cc3ccccn3)N2)ccc2ncccc12 7.7107368 0.40350877192982454</t>
  </si>
  <si>
    <t>Cc1ccc2ncccc2c1N(C)Cc1ccccn1 7.7107363 0.4772727272727273</t>
  </si>
  <si>
    <t>CN(CCNc1ccc2c(CF)ccnc2c1)c1ccc2ncccc2c1 7.7107325 0.2982456140350877</t>
  </si>
  <si>
    <t>Cc1nc(CN(C)c2cccc3ccc(CN(C)Cc4ccc5ccccc5n4)nc23)c(C)c(C)c1C 7.710725 0.40816326530612246</t>
  </si>
  <si>
    <t>Cc1cccnc1CN(C)c1ccc(-c2cccc(CN(C)Cc3cccc(N)n3)n2)c2cccnc12 7.7107244 0.39344262295081966</t>
  </si>
  <si>
    <t>CN(CCN(C)c1ccc2nc(CF)ccc2c1)c1ccc2ncc(CF)cc2c1 7.710712 0.288135593220339</t>
  </si>
  <si>
    <t>Cc1cc(-c2cccc(NCc3ccc(-c4cccc(N=Cc5ccccn5)c4)cn3)c2)ccn1 7.7107077 0.34375</t>
  </si>
  <si>
    <t>CC(C)N(CCN(C)c1ccc2cccnc2c1)c1ccc2ncccc2c1 7.7107053 0.3673469387755102</t>
  </si>
  <si>
    <t>Cc1cccnc1CN(C)c1cc(N(C)Cc2ccccn2)c2ncc(C(C)(C)C)cc2c1 7.7106824 0.41379310344827586</t>
  </si>
  <si>
    <t>Cc1cc(N=Cc2ccccn2)ccc1-c1ncccc1C 7.710669 0.5</t>
  </si>
  <si>
    <t>Cc1cc(N(C)c2ccc3cccnc3c2)ccc1-c1cc(CN(C)Cc2ccccn2)ccn1 7.710666 0.423728813559322</t>
  </si>
  <si>
    <t>Cc1cccc(-c2cccc(NCc3ccc(-c4cccc(N=Cc5ccccn5)c4)cn3)c2)n1 7.710662 0.3283582089552239</t>
  </si>
  <si>
    <t>CC(C)NCc1cc(-c2cccnc2-c2cccc(NCc3cc(-c4cccc(N=Cc5ccccn5)c4)ccn3)c2)ccn1 7.7106586 0.2916666666666667</t>
  </si>
  <si>
    <t>Cc1cnc2ccc(N(C)CCCN(C)c3ccc4cccnc4c3)cc2c1 7.710638 0.39215686274509803</t>
  </si>
  <si>
    <t>Cc1ccc(-c2ccc3ncccc3c2)cc1NCc1ccccn1 7.710621 0.4107142857142857</t>
  </si>
  <si>
    <t>CN(Cc1cccnn1)c1ccc2ncccc2c1 7.7106137 0.4878048780487805</t>
  </si>
  <si>
    <t>CC(C)N(Cc1ccccn1)c1ccc2nc(-c3ccccn3)ccc2c1 7.7106047 0.4897959183673469</t>
  </si>
  <si>
    <t>Cc1cccc2ncc(CN(C)Cc3ncccc3-c3cccc(N(C)C)c3)cc12 7.7105727 0.25396825396825395</t>
  </si>
  <si>
    <t>Cc1cccc(N(C)c2ccc3c(CN(C)C)ccnc3c2)c1 7.7105627 0.2641509433962264</t>
  </si>
  <si>
    <t>CN(C)C1=C(CN(C)c2cccc3ncccc23)NC=CC1 7.7105603 0.35185185185185186</t>
  </si>
  <si>
    <t>C=CCN(Cc1ccccn1)c1cc2ncccc2c(-c2c(C)ccc(-c3c(C)ccc(C)c3C)c2N(C)Cc2ccccn2)c1N(Cc1ccccn1)Cc1ccccn1 7.7105293 0.34328358208955223</t>
  </si>
  <si>
    <t>Cc1cnc(CN(C)c2ccc3c(CN(C)C)nccc3c2)c(C)c1C 7.710504 0.24561403508771928</t>
  </si>
  <si>
    <t>Cc1cncc(CN(C)c2c(N(C)Cc3ccccn3)ccc3ncccc23)c1 7.710487 0.4444444444444444</t>
  </si>
  <si>
    <t>CC(C)N(C)c1ccc2nc(C3=CCC=CN3)ccc2c1 7.7104754 0.25</t>
  </si>
  <si>
    <t>CC(C)(c1ccccn1)c1ncccc1CN(Cc1cccc2cccnc12)c1cccc2cccnc12 7.7104726 0.46</t>
  </si>
  <si>
    <t>CCOC(=O)c1cccc(-c2cccc(C(=O)C(=O)C(=O)C(=O)C(=O)C(=O)C(=O)C(=O)C(=O)C(=O)C(=O)C(=O)C(=O)C(=O)C(=O)C(=O)C(=O)C(=O)C(=O)C(=O)C(=O)C(=O)C(=O)C(=O)C(=O)C(=O)C(=O)C(=O)C(=O)C(=O)C(=O)C(=O)C(=O)C(=O)C(C)=O)n2)n1 7.7104383 0.26229508196721313</t>
  </si>
  <si>
    <t>CCN(c1cccc2c(-c3ccc(N(C)C(C)C)cc3)ccnc12)C(C)C 7.7104383 0.32075471698113206</t>
  </si>
  <si>
    <t>Cc1cnc(CN(C)c2cc(Cl)c(Cl)cc2N(C)C)c(C)c1 7.710435 0.4090909090909091</t>
  </si>
  <si>
    <t>CN(C1=CCC=C(N(C)C2C=CC=CN2)N1)c1ccc2cccnc2c1 7.7104144 0.2647058823529412</t>
  </si>
  <si>
    <t>CN(Cc1cccnn1)c1ccc2cccnc2c1 7.710403 0.47619047619047616</t>
  </si>
  <si>
    <t>CN(c1ccc2nccc(-c3ccc4ncccc4c3)c2c1)C1CCC(N(Cc2ccccn2)Cc2cccc(-c3ccc4ncccc4c3)n2)CC1 7.7103868 0.3835616438356164</t>
  </si>
  <si>
    <t>CN(C)c1ccccc1-c1cccnc1-c1ccc(CF)nc1NCc1ccccn1 7.7103844 0.3230769230769231</t>
  </si>
  <si>
    <t>Cc1cnc(CN(C)c2cc(-c3ccc(CN(C)Cc4ccccn4)cn3)c3ncccc3c2)c(C)c1 7.710358 0.36363636363636365</t>
  </si>
  <si>
    <t>Cc1ccc(CN(C)CC2=CC(N(C)c3ccc4cccnc4c3)C=CN2)c2ncccc12 7.7103443 0.3384615384615385</t>
  </si>
  <si>
    <t>CCN(Cc1ccccn1)c1ccc2nccc(-c3ccccc3N(C)Cc3ncccc3C)c2c1 7.7103252 0.3709677419354839</t>
  </si>
  <si>
    <t>Cc1cnc(CN(C)c2ccc3nccc(CN(C)C)c3c2)c(C)c1 7.7103167 0.25925925925925924</t>
  </si>
  <si>
    <t>Cc1cccc(-c2ccc(NCc3ccc(-c4cccc(N=Cc5ccccn5)c4)cn3)cc2)n1 7.7103157 0.3333333333333333</t>
  </si>
  <si>
    <t>CNCc1cccc(CNCc2ccc(-c3ccc4ncccc4c3)c(-c3c(C)c(C)c(C)c(C)c3C)n2)n1 7.7102714 0.2753623188405797</t>
  </si>
  <si>
    <t>Cc1ccnc(CN(C)c2ccc3ncccc3c2)c1C 7.7102623 0.32653061224489793</t>
  </si>
  <si>
    <t>CNCc1cc(-c2cccc(-c3cccc(N=Cc4ccccn4)c3)n2)ccn1 7.71026 0.3620689655172414</t>
  </si>
  <si>
    <t>c1ccc2cc(CN(Cc3cc4ccccc4cn3)Cc3ccnc4ccccc34)ncc2c1 7.710158 0.40476190476190477</t>
  </si>
  <si>
    <t>Cc1ccnc(CN(C)Cc2ccc3cccc(N(C)Cc4ccc5cccc(N(C)Cc6ncccc6C)c5n4)c3n2)c1 7.7101364 0.4</t>
  </si>
  <si>
    <t>CN(Cc1ccccn1)C1=CCNC(N(C)c2cccc3ncccc23)=C1 7.710135 0.4</t>
  </si>
  <si>
    <t>CN(CCN(Cc1cccnc1)c1cccc2ncccc12)c1cccc2ncccc12 7.710132 0.4375</t>
  </si>
  <si>
    <t>CN(C)Cc1cccc(N(C)c2ccc3ncccc3c2)n1 7.7101297 0.35294117647058826</t>
  </si>
  <si>
    <t>CC(C)N(CCN(C)c1ccc2nccc(CN(C)C)c2c1)c1ccc2ncccc2c1 7.710125 0.3157894736842105</t>
  </si>
  <si>
    <t>Cc1cc(-c2ccccc2N=Cc2ccccn2)cnc1-c1cccc(NCc2ccccn2)c1 7.710106 0.4262295081967213</t>
  </si>
  <si>
    <t>Cc1cc(CN(C)c2ccc3c(CN(C)C)cncc3c2)nc(C)c1C 7.7100987 0.22033898305084745</t>
  </si>
  <si>
    <t>CNCC1=CCC=C(N(C)c2ccc3c(C)ccnc3c2)N1 7.710079 0.22388059701492538</t>
  </si>
  <si>
    <t>Cc1cc(N=Cc2ccccn2)cc(-c2ccc(C)cc2N=Cc2ccccn2)c1 7.710066 0.46938775510204084</t>
  </si>
  <si>
    <t>CN(CCNc1cccc2nc(CF)ccc12)c1cccc2ncccc12 7.710046 0.39622641509433965</t>
  </si>
  <si>
    <t>Cc1cccnc1CN(C)Cc1cccc(N(C)c2ccc3nc(-c4ccccn4)ccc3c2)n1 7.7100077 0.49122807017543857</t>
  </si>
  <si>
    <t>CC(C)N(Cc1ccccn1)c1ccc2nccc(-c3ccc(C(C)(C)C)cn3)c2c1 7.7099714 0.3559322033898305</t>
  </si>
  <si>
    <t>CN(CC1=CCC(N(C)c2ccc3cccnc3c2)=CN1)Cc1ccc2cccnc2c1 7.7099686 0.2786885245901639</t>
  </si>
  <si>
    <t>CNCc1ccc2cccc(N(C)CCN(C)c3ccc4nccc(CF)c4c3)c2n1 7.7099466 0.3898305084745763</t>
  </si>
  <si>
    <t>CN(C)Cc1cncc(-c2cc(NCc3ccccn3)c3cccnc3c2)c1 7.709935 0.35384615384615387</t>
  </si>
  <si>
    <t>CNCc1ncccc1N(C)c1cccc2ncccc12 7.7099338 0.3404255319148936</t>
  </si>
  <si>
    <t>Cc1ccnc2ccc(N(CCN(C)c3ccc4ncccc4c3)Cc3ccccn3)cc12 7.709932 0.3684210526315789</t>
  </si>
  <si>
    <t>Cc1cc(C)c2cc(N(C)Cc3ccc(N(C)C(C)C)cn3)ccc2n1 7.7098966 0.3269230769230769</t>
  </si>
  <si>
    <t>Cc1cccnc1-c1cccc(NCc2ccc(-c3cccc(N=Cc4ccccn4)c3)cn2)c1 7.7098885 0.375</t>
  </si>
  <si>
    <t>Cc1cc(N=Cc2ccccn2)cc(-c2cc(C)cc(N=Cc3ccccn3)c2)c1 7.7098594 0.5</t>
  </si>
  <si>
    <t>CN(Cc1cccnn1)C1=CNCC=C1N(C)c1ccc2cccnc2c1 7.7098503 0.3508771929824561</t>
  </si>
  <si>
    <t>CN(CCNc1ccc2ncccc2c1)c1ccc2ncccc2c1 7.709835 0.3617021276595745</t>
  </si>
  <si>
    <t>CNC1C=C(N(C)c2cccc3cccnc23)C=CN1 7.709817 0.4489795918367347</t>
  </si>
  <si>
    <t>CN(Cc1cccnn1)C1=CNCC=C1N(C)c1ccc2ncccc2c1 7.7097936 0.35714285714285715</t>
  </si>
  <si>
    <t>CC(C)C(C)N(C)c1ccc2nccc(CN(C)c3ccc4ncccc4c3)c2c1 7.7097874 0.2982456140350877</t>
  </si>
  <si>
    <t>Cc1cccnc1CN(C)c1cc(N(C)Cc2ccccn2)c2ccc(CF)nc2c1 7.7097473 0.42857142857142855</t>
  </si>
  <si>
    <t>Cc1cccc(-c2cccc(NCc3ccc(-c4cccc(N(C)C)c4)cn3)c2)n1 7.709742 0.2807017543859649</t>
  </si>
  <si>
    <t>CN(c1ccc2cccnc2c1)c1ccc(Cl)c(Cl)c1N(Cc1ccccn1)Cc1ccccn1 7.709734 0.4444444444444444</t>
  </si>
  <si>
    <t>CCCN(Cc1ccccn1)c1c(N(C)Cc2ccc3cccnc3c2)cc2ncccc2c1C 7.7097178 0.3770491803278688</t>
  </si>
  <si>
    <t>CN(CCN(C)C(C)(C)C)c1ccc2nc(-c3ccc4ncccc4c3)ccc2c1 7.709701 0.33962264150943394</t>
  </si>
  <si>
    <t>CN(CCN(Cc1ccccn1)c1cccc2ncccc12)c1cccc2ncccc12 7.7096977 0.45652173913043476</t>
  </si>
  <si>
    <t>CN(Cc1ccc2c(n1)CCC2)Cc1ccc2cc(N(C)c3ccc4ncccc4c3)ccc2n1 7.7096696 0.3508771929824561</t>
  </si>
  <si>
    <t>CN(Cc1ccccn1)C1=CNC(CN(C)c2cc(N)ccc2N(C)c2cccc3ncccc23)=CC1 7.709651 0.3787878787878788</t>
  </si>
  <si>
    <t>CN(C)Cc1ccc2cc(N(C)CCN(C)c3ccc4nc(CF)ccc4c3)ccc2n1 7.7096467 0.35714285714285715</t>
  </si>
  <si>
    <t>CN(CCNc1ccc2cccnc2c1)c1ccc2ncccc2c1 7.7095885 0.34</t>
  </si>
  <si>
    <t>CC(C)N(Cc1ccccn1)c1ccc2nccc(C3=CCC=CN3)c2c1 7.709547 0.43548387096774194</t>
  </si>
  <si>
    <t>CNC1C=CC=C(N(C)c2cccc3ncccc23)N1 7.709544 0.29310344827586204</t>
  </si>
  <si>
    <t>CN(CCN(c1ccc2ncccc2c1)C(C)(C)c1ccccn1)c1cccc2ncccc12 7.709543 0.42592592592592593</t>
  </si>
  <si>
    <t>CN(CCNc1ccc2ncccc2c1)c1ccc2cccnc2c1 7.709536 0.34</t>
  </si>
  <si>
    <t>CNCc1cc(-c2cccc(-c3ccc(N(C)C)cc3)n2)ccn1 7.7095256 0.3389830508474576</t>
  </si>
  <si>
    <t>CNCc1cc(-c2cccc(-c3ccc(N=Cc4ccccn4)cc3)n2)ccn1 7.7095184 0.3620689655172414</t>
  </si>
  <si>
    <t>CN(C1=CCC=C(CN(Cc2cccc(-c3ccc4cccnc4c3)n2)Cc2cccc(C(C)(C)c3ccccn3)n2)N1)c1ccc2ncccc2c1 7.7094965 0.35802469135802467</t>
  </si>
  <si>
    <t>CN(Cc1cc(F)ccn1)c1ccc2cccnc2c1N(C)C1C=CC=CN1 7.709474 0.3333333333333333</t>
  </si>
  <si>
    <t>Cc1ccc(-c2cc(N=Cc3ccccn3)ccc2C)c(N=Cc2ccccn2)c1 7.709459 0.5</t>
  </si>
  <si>
    <t>Cc1ccc(CN(C)Cc2cccc(N(C)c3ccc4ncccc4c3)n2)nc1-c1ccccn1 7.709404 0.45614035087719296</t>
  </si>
  <si>
    <t>Cc1cnc(CN(C)c2ccc3ncccc3c2)c(C)c1 7.709397 0.32</t>
  </si>
  <si>
    <t>Cc1cc(N=Cc2ccccn2)cc(-c2ccc(C)c(N=Cc3ccccn3)c2)c1 7.709388 0.5</t>
  </si>
  <si>
    <t>Cc1ccc(N=Cc2ccccn2)c(-c2cc(N=Cc3ccccn3)ccc2C)c1 7.70938 0.5</t>
  </si>
  <si>
    <t>CNCc1cc(-c2cccc(-c3ccccc3N=Cc3ccccn3)n2)ccn1 7.709294 0.42105263157894735</t>
  </si>
  <si>
    <t>FCc1cc2c(N(Cc3ccccn3)Cc3ncccc3-c3ccccc3N=Cc3ccccn3)cccc2cn1 7.709277 0.3484848484848485</t>
  </si>
  <si>
    <t>Cc1cc(C)c(CN(C)c2ccc3nccc(CN(C)C)c3c2)nc1C 7.709252 0.22033898305084745</t>
  </si>
  <si>
    <t>CN(C)Cc1cccnc1N(C)c1ccc2cccnc2c1 7.709237 0.375</t>
  </si>
  <si>
    <t>CN(CCNc1ccc2cccnc2c1)c1ccc2cccnc2c1 7.709215 0.3541666666666667</t>
  </si>
  <si>
    <t>CCN(Cc1ccccn1)Cc1ccc2cccc(N(C)Cc3cc(-c4ccc5ncccc5c4)ccn3)c2n1 7.7091947 0.4098360655737705</t>
  </si>
  <si>
    <t>CCN(Cc1cccc(-c2ccc(N=Cc3ccccn3)cc2)n1)c1cccnc1CN(C)c1ccc2ncccc2c1 7.7091913 0.3150684931506849</t>
  </si>
  <si>
    <t>CN(Cc1ccc2ccccc2n1)Cc1nc2ccccc2n1C 7.7091823 0.5</t>
  </si>
  <si>
    <t>CN(C)c1ccc2nc(CF)ccc2c1 7.709157 0.3541666666666667</t>
  </si>
  <si>
    <t>Cc1cnc2ccc(N(C)CCCN(C)c3cccc4ncccc34)cc2c1 7.709138 0.46153846153846156</t>
  </si>
  <si>
    <t>CC(C)N(Cc1ccccn1)c1ccc2c(-c3ccc(C(C)(C)C)cn3)ccnc2c1 7.70913 0.3559322033898305</t>
  </si>
  <si>
    <t>Cc1ccc2nccc(C)c2c1 7.709056 0.2926829268292683</t>
  </si>
  <si>
    <t>CN(C1=CCC=CN1)C1=CCC=C(CN(C)c2ccc3cccnc3c2)N1 7.7089667 0.359375</t>
  </si>
  <si>
    <t>Cn1cnc(-c2ccccn2)c1 7.7089596 0.36585365853658536</t>
  </si>
  <si>
    <t>Cc1ccc2c(N(C)Cc3cncc(C)c3C)cccc2n1 7.7089477 0.3137254901960784</t>
  </si>
  <si>
    <t>Cc1ccc(N(C)Cc2cccc(N(C)c3ccc4nc(CF)ccc4c3)n2)c(C)c1 7.708924 0.3157894736842105</t>
  </si>
  <si>
    <t>Cc1cc(N=Cc2ccccn2)cc(-c2cc(N=Cc3ccccn3)ccc2C)c1 7.7088842 0.4489795918367347</t>
  </si>
  <si>
    <t>Cc1ccc2nccc(CN(C)CCN(C)c3ccc4nccc(C)c4c3)c2c1 7.708858 0.3333333333333333</t>
  </si>
  <si>
    <t>Cc1ccc(N=Cc2ccccn2)c(-c2ccc(N=Cc3ccccn3)cc2C)c1 7.7088566 0.5</t>
  </si>
  <si>
    <t>Cc1cncc(CN(C)c2cc(N(C)C(C)(c3cccnc3)c3ccccn3)c3cccnc3c2)c1 7.708854 0.2835820895522388</t>
  </si>
  <si>
    <t>Cc1ccc2c(C)ccnc2c1 7.708802 0.2926829268292683</t>
  </si>
  <si>
    <t>CN(Cc1cccnn1)c1cccc2ncccc12 7.708746 0.4878048780487805</t>
  </si>
  <si>
    <t>Cc1cc(N=Cc2ccccn2)cc(-c2ccc(N=Cc3ccccn3)cc2C)c1 7.708727 0.4489795918367347</t>
  </si>
  <si>
    <t>Cc1cnc(-c2cccc(NCc3ccc(-c4cccc(N=Cc5ccccn5)c4)cn3)c2)c(C)c1 7.7087235 0.34328358208955223</t>
  </si>
  <si>
    <t>Cc1c(-c2ccccc2N=Cc2ccccn2)ccnc1-c1cccc(NCc2ccccn2)c1 7.7086983 0.4098360655737705</t>
  </si>
  <si>
    <t>Cc1ccc(-c2ccc(N=Cc3ccccn3)cc2C)cc1N=Cc1ccccn1 7.7086954 0.5</t>
  </si>
  <si>
    <t>CC(C)CN(Cc1ccccn1)c1ccc2nccc(-c3cccc(N(C)C)c3)c2c1 7.7086906 0.3389830508474576</t>
  </si>
  <si>
    <t>CC(C)C(C)(c1cccnc1)c1cccc(CN(Cc2ccc(-c3ccc4ncccc4c3)cn2)Cc2cc(-c3cccc(N(C)c4ccc5ncccc5c4)c3)ccn2)n1 7.70864 0.2948717948717949</t>
  </si>
  <si>
    <t>CNc1ccc(CN(C)c2ccc3cccnc3c2)cn1 7.7086244 0.3090909090909091</t>
  </si>
  <si>
    <t>CN(C)C1=CCC=C(CN(C)c2ccc3cccnc3c2)N1 7.7085686 0.2982456140350877</t>
  </si>
  <si>
    <t>Cc1nc2c(cc(N(C)C3CCC(N(C)c4ccc5nc6c(cc5c4)CCC6)CC3)c3c4c(cnc32)CCC4)c(C)c1C 7.7085414 0.35135135135135137</t>
  </si>
  <si>
    <t>CC(C)N(CCN(C)c1cccc2ncccc12)c1ccc2ncccc2c1 7.7085214 0.4791666666666667</t>
  </si>
  <si>
    <t>Cc1cc(N(Cc2ccccn2)Cc2ncccc2N(C)C)cc2ncccc12 7.708505 0.39622641509433965</t>
  </si>
  <si>
    <t>CN(c1ccc2nc(CF)ccc2c1)C1CCC(N(C)c2ccc3nc(-c4ccc5cccnc5c4)ccc3c2)CC1 7.7084837 0.359375</t>
  </si>
  <si>
    <t>Cc1cnccc1-c1cccc(NCc2ncccc2-c2cccc(N=Cc3ccccn3)c2)c1 7.708474 0.35384615384615387</t>
  </si>
  <si>
    <t>CN(C)C1=CCC=C(CN(C)c2ccc3ncccc3c2)N1 7.708472 0.2962962962962963</t>
  </si>
  <si>
    <t>CC(c1ccccn1)(c1ccccn1)c1cccnc1-c1cccnc1N1C=CCC=C1 7.7084694 0.37735849056603776</t>
  </si>
  <si>
    <t>Cc1cc(C)c(CN(C)c2ccc(C)c(N(C)Cc3ccc4cccnc4c3)c2C)nc1C 7.7084665 0.2833333333333333</t>
  </si>
  <si>
    <t>CN(C)Cc1cc2ccc(N(C)CCN(C)c3ccc4ccc(CF)nc4c3)cc2cn1 7.7084575 0.3137254901960784</t>
  </si>
  <si>
    <t>CCN(Cc1ccccn1)c1cc2ncccc2c(N(C)Cc2ccon2)c1C 7.7084346 0.3898305084745763</t>
  </si>
  <si>
    <t>CNC1=CNCC(N(C)c2ccc3ncccc3c2)=C1N(C)Cc1cc(C)ccn1 7.7084193 0.2647058823529412</t>
  </si>
  <si>
    <t>CN(C)C1=C(Nc2cccc(-c3ccccn3)n2)C=CNC1 7.7084165 0.39622641509433965</t>
  </si>
  <si>
    <t>Cc1ccc2ncccc2c1N(C)CC1=CCC=CN1 7.7084117 0.46296296296296297</t>
  </si>
  <si>
    <t>Cc1cc(-c2cc(N=Cc3ccccn3)ccc2C)ccc1N=Cc1ccccn1 7.7083726 0.5</t>
  </si>
  <si>
    <t>Cc1cc2ncccc2cc1N(C)Cc1ncccc1N 7.7083516 0.3469387755102041</t>
  </si>
  <si>
    <t>CN(CC1=CCC=C(N(C)c2ccc3cccnc3c2)N1)Cc1ccc2cccnc2c1 7.7083044 0.2786885245901639</t>
  </si>
  <si>
    <t>CCN(Cc1ccccn1)c1ccc2nc(CN(C)c3ccc4ncccc4c3)ccc2c1 7.7082915 0.49019607843137253</t>
  </si>
  <si>
    <t>CN(c1ccc2nc(CF)ccc2c1)C1CCC(N(C)c2ccc3nc(-c4ccc5ncccc5c4)ccc3c2)CC1 7.7082844 0.36507936507936506</t>
  </si>
  <si>
    <t>CN(CN(C)c1ccc2cccnc2c1)CN(C)c1ccc2cccnc2c1 7.7082553 0.38095238095238093</t>
  </si>
  <si>
    <t>CN(C)c1ccccc1-c1cccnc1CN(Cc1ccccn1)c1cccc2ccnc(CF)c12 7.708247 0.3728813559322034</t>
  </si>
  <si>
    <t>C1=CNC(c2cccc(-c3ccccn3)n2)=CC1 7.708243 0.4166666666666667</t>
  </si>
  <si>
    <t>Cc1c(-c2ncccc2C(c2ccccn2)c2ccccn2)ccnc1NC1=CC=CCN1 7.7082124 0.2318840579710145</t>
  </si>
  <si>
    <t>CN(CCN(C)c1ccc2nc(CF)ccc2c1)c1ccc2ncccc2c1 7.7081246 0.391304347826087</t>
  </si>
  <si>
    <t>CN(CCNc1cccc2cccnc12)c1ccc2ncccc2c1 7.7081213 0.44680851063829785</t>
  </si>
  <si>
    <t>Cc1cc(N(C)Cc2ncccc2C)c2cccnc2c1 7.7080936 0.3469387755102041</t>
  </si>
  <si>
    <t>CC(C)N(Cc1cc(-c2cccc(N(C)C)c2)ccn1)Cc1ncccc1-c1ccc2ncccc2c1 7.7080407 0.3333333333333333</t>
  </si>
  <si>
    <t>CN(Cc1cc(-c2ccc3ncccc3c2)ccn1)Cc1cc(N(C)C)ccn1 7.7080207 0.36538461538461536</t>
  </si>
  <si>
    <t>c1cncc(CN(Cc2ccc3ncccc3c2)c2ccc3ncccc3c2)c1 7.708 0.2692307692307692</t>
  </si>
  <si>
    <t>CN(C)c1ccc2ncc(CF)cc2c1 7.70798 0.24444444444444444</t>
  </si>
  <si>
    <t>CN(CCN(C)c1ccc2cccnc2c1)c1ccc2nc(CF)ccc2c1 7.7079062 0.3877551020408163</t>
  </si>
  <si>
    <t>c1ccc2cc(CN(Cc3nccc4ccccc34)Cc3ccnc4ccccc34)ncc2c1 7.707895 0.35185185185185186</t>
  </si>
  <si>
    <t>Cc1cc(N=Cc2ccccn2)ccc1-c1cc(N=Cc2ccccn2)ccc1C 7.70789 0.4888888888888889</t>
  </si>
  <si>
    <t>CN(C)c1ccc2ccc(CF)nc2c1 7.707871 0.3617021276595745</t>
  </si>
  <si>
    <t>Cc1c(CN(C)c2ccc3ncccc3c2)ccnc1-c1cccc(NCc2ccccn2)c1 7.7078657 0.3380281690140845</t>
  </si>
  <si>
    <t>Cc1ccccc1N(C)CC1=CCC(N(C)c2ccc3nccc(C)c3c2)=CN1 7.707845 0.26153846153846155</t>
  </si>
  <si>
    <t>CCN(Cc1ccccn1)c1ccc2nccc(CN(C)Cc3ncccc3-c3ccc4ncccc4c3)c2c1 7.707809 0.3484848484848485</t>
  </si>
  <si>
    <t>CN(C)Cc1cncc2cc(N(C)CCN(C)c3ccc4cc(CF)cnc4c3)ccc12 7.7078047 0.22033898305084745</t>
  </si>
  <si>
    <t>CCN(Cc1ccccn1)c1ccc2nccc(-c3ccccn3)c2c1 7.7077694 0.4230769230769231</t>
  </si>
  <si>
    <t>CN(C)Cc1ccc2ccc(N(C)Cc3cccc(N(C)C)n3)cc2n1 7.7077465 0.36363636363636365</t>
  </si>
  <si>
    <t>CN(Cc1ccccn1)C1=C(N(C)c2cccc3ncccc23)CC=CN1 7.707742 0.38596491228070173</t>
  </si>
  <si>
    <t>CN(C)c1ccc2cc(CF)cnc2c1 7.707733 0.25</t>
  </si>
  <si>
    <t>CCN(CCN(C)c1ccc2nccc(C)c2c1)c1ccc2ncccc2c1 7.707663 0.33962264150943394</t>
  </si>
  <si>
    <t>CNc1ccc2ncccc2c1 7.707615 0.2926829268292683</t>
  </si>
  <si>
    <t>Cc1nc(CN(C)c2ccc3ncccc3c2)c(C)c(C)c1C 7.7076035 0.32653061224489793</t>
  </si>
  <si>
    <t>FCN(Cc1ccccn1)c1cc2cccnc2cc1-c1ccccc1N=Cc1ccccn1 7.7076 0.39655172413793105</t>
  </si>
  <si>
    <t>Cc1nc2cc(N(C)C3CCC(N(C)c4cccc5ncc6c(c45)CCC6)CC3)c3ncc4c(c3c2c(C)c1C)CCC4 7.7075896 0.32857142857142857</t>
  </si>
  <si>
    <t>CNc1cccc2c(CF)ccnc12 7.7075872 0.2765957446808511</t>
  </si>
  <si>
    <t>Cc1ccc(-c2cc(N=Cc3ccccn3)cc(C)c2C)cc1N=Cc1ccccn1 7.7075753 0.4897959183673469</t>
  </si>
  <si>
    <t>Cc1ccnc(CN(C)c2ccc3ncc(C)c(C)c3c2)c1 7.707498 0.3269230769230769</t>
  </si>
  <si>
    <t>Cc1cc(N(C)Cc2cccnn2)c2ncccc2c1 7.707493 0.45454545454545453</t>
  </si>
  <si>
    <t>CN(Cc1cc(-c2ccc3ncccc3c2)ccn1)C1CCC(N(C)c2ccc3nc(-c4ccc5ncccc5c4)ccc3c2)CC1 7.7074924 0.31746031746031744</t>
  </si>
  <si>
    <t>CN(Cc1ccccn1)Cc1cccnc1-c1ccc2ncccc2c1N(C)C 7.7074666 0.41509433962264153</t>
  </si>
  <si>
    <t>CC(C)N(C)Cc1ccc2ccc(N(C)c3ccc4ncccc4c3)cc2n1 7.7074647 0.39215686274509803</t>
  </si>
  <si>
    <t>Cc1cccc(CN(C)c2ccc3cccnc3c2C)n1 7.7073903 0.4772727272727273</t>
  </si>
  <si>
    <t>Cc1ccnc(CN(C)c2cc(N(C)Cc3ccccn3)cc3ncccc23)c1 7.7073526 0.4897959183673469</t>
  </si>
  <si>
    <t>CNCc1cc(-c2cc(-c3ccccc3N=Cc3ccccn3)ccn2)ccn1 7.7073154 0.4107142857142857</t>
  </si>
  <si>
    <t>CN(c1ccc2cccnc2c1)C1C=CNC(CN(Cc2ccccn2)c2ccc3cccnc3c2)=C1 7.7072954 0.38333333333333336</t>
  </si>
  <si>
    <t>CN(C)C1=CCC=C(CN(C)c2cccc3ncccc23)N1 7.7072716 0.34615384615384615</t>
  </si>
  <si>
    <t>CN(CCN(C)c1ccc2ccc(CF)nc2c1)c1ccc2ncccc2c1 7.707252 0.38</t>
  </si>
  <si>
    <t>CC(C)(c1ccccn1)c1nc2ccccc2o1 7.707223 0.48717948717948717</t>
  </si>
  <si>
    <t>CN(Cc1cccnn1)C1=C(N(C)c2cccc3cccnc23)NCC=C1 7.70722 0.42592592592592593</t>
  </si>
  <si>
    <t>CN(CCN(C)c1ccc2ncc(CF)cc2c1)c1ccc2ncccc2c1 7.7072034 0.375</t>
  </si>
  <si>
    <t>CC(C)N(CC1=CC(N(C)c2ccc3cccnc3c2)C=CN1)c1ccc2ncccc2c1 7.7071958 0.27941176470588236</t>
  </si>
  <si>
    <t>CC(C)N(CC1=CC(N(C)c2ccc3cccnc3c2)C=CN1)c1ccc2cccnc2c1 7.707189 0.2923076923076923</t>
  </si>
  <si>
    <t>CC(C)N(CC1=CC(N(C)c2ccc3ncccc3c2)C=CN1)c1ccc2cccnc2c1 7.7071857 0.27941176470588236</t>
  </si>
  <si>
    <t>CN(C)Cc1ncccc1N(C)c1cccc2ncccc12 7.7071686 0.35555555555555557</t>
  </si>
  <si>
    <t>Cc1cc(N(C)Cc2ccccn2)cc2ncccc12 7.707149 0.5</t>
  </si>
  <si>
    <t>CN(c1ccc2cccnc2c1)C1NC=CC=C1N 7.707122 0.2807017543859649</t>
  </si>
  <si>
    <t>Cc1cc(-c2cc(CN(C)Cc3ccccn3)ccn2)cc(C)c1N(C)c1ccc2ncccc2c1 7.7071147 0.43103448275862066</t>
  </si>
  <si>
    <t>CN(C1=CC=CCN1)c1cccc2cccnc12 7.707105 0.4883720930232558</t>
  </si>
  <si>
    <t>CC=Nc1ccc(-c2ccc(C)cc2N=Cc2ccccn2)c(C)c1 7.707101 0.48</t>
  </si>
  <si>
    <t>CC(C)N(Cc1ccccn1)c1cccc(-c2ncccc2-c2ncccc2C2=CCC=CN2)c1 7.707082 0.4153846153846154</t>
  </si>
  <si>
    <t>c1ccc(CN(Cc2ccc3ncccc3c2)c2ccc3ncccc3c2)nc1 7.707049 0.425531914893617</t>
  </si>
  <si>
    <t>CN(CCN(C)c1ccc2ccc(CF)nc2c1)c1ccc2cccnc2c1 7.707035 0.3958333333333333</t>
  </si>
  <si>
    <t>Cc1cncc(CN(C)c2cc(N(C)Cc3ncc(C)cc3C)cc3ncccc23)c1 7.7069964 0.27419354838709675</t>
  </si>
  <si>
    <t>Cc1cncc(CN(C)c2cc(N(C)Cc3cccnn3)cc3ncccc23)c1 7.706994 0.35714285714285715</t>
  </si>
  <si>
    <t>CN(CCN(C)c1ccc2cccnc2c1)c1ccc2ncc(CF)cc2c1 7.706988 0.34615384615384615</t>
  </si>
  <si>
    <t>Cc1cc(N=Cc2ccccn2)ccc1-c1cc(-c2cccc(NCc3ccccn3)c2)cnc1C 7.7069836 0.3484848484848485</t>
  </si>
  <si>
    <t>CN(CCN(C)c1ccc2cc(CF)cnc2c1)c1ccc2cccnc2c1 7.706944 0.375</t>
  </si>
  <si>
    <t>CN(CCNc1cccc2ncccc12)c1ccc2ncccc2c1 7.706929 0.35294117647058826</t>
  </si>
  <si>
    <t>CNc1cccc2nccc(CF)c12 7.7069 0.22448979591836735</t>
  </si>
  <si>
    <t>Cc1ccnc(CN(C)c2cccc3c(C)c(C)cnc23)c1 7.706875 0.4</t>
  </si>
  <si>
    <t>CC(C)N(C)c1ccccc1-c1c(N(C)Cc2cccnn2)ccc2ncccc12 7.706867 0.39622641509433965</t>
  </si>
  <si>
    <t>CCN(Cc1ccc2ncccc2c1)c1ccc2ncccc2c1 7.706763 0.3125</t>
  </si>
  <si>
    <t>CCN(CC1=CC(N(C)c2ccc3ncccc3c2)C=CN1)c1ccc2ncccc2c1 7.706749 0.30158730158730157</t>
  </si>
  <si>
    <t>CN(C)Cc1ccc2cc(N(C)CCN(C)c3ccc4nccc(CF)c4c3)ccc2n1 7.7067394 0.2982456140350877</t>
  </si>
  <si>
    <t>Cc1c(C)c(-c2cc(CN(C)C(C)C(C)C)nc(-c3ccc(N=Cc4ccccn4)cc3)c2-c2c(C)c(C)c(N=Cc3ccccn3)c(C)c2C)c(C)c(C)c1N=Cc1ccccn1 7.706715 0.3142857142857143</t>
  </si>
  <si>
    <t>CN(C)Cc1ccc2cc(N(C)CCN(C)c3ccc4ncccc4c3)ccc2n1 7.7067122 0.425531914893617</t>
  </si>
  <si>
    <t>CCN(Cc1ccccn1)c1cc2cccnc2cc1CN(C)c1ccc2ncccc2c1 7.7066917 0.41509433962264153</t>
  </si>
  <si>
    <t>CNc1ccc2cccnc2c1 7.7066865 0.32558139534883723</t>
  </si>
  <si>
    <t>Cc1c(N(C)Cc2ncccc2N)ccc2ncccc12 7.7066708 0.3137254901960784</t>
  </si>
  <si>
    <t>Cc1ccnc2ccc(N(C)CCCN(C)c3ccc4ncccc4c3)cc12 7.706655 0.4166666666666667</t>
  </si>
  <si>
    <t>CCN(CC1=CC(N(C)c2ccc3ncccc3c2)C=CN1)c1ccc2cccnc2c1 7.706631 0.2835820895522388</t>
  </si>
  <si>
    <t>CN(Cc1ccccn1)Cc1ccc2cccc(N(C)c3ccc4ncccc4c3)c2n1 7.7066 0.4716981132075472</t>
  </si>
  <si>
    <t>CN(CCNc1cccc2ncccc12)c1ccc2cccnc2c1 7.706591 0.35185185185185186</t>
  </si>
  <si>
    <t>CCCN(Cc1ccccn1)c1cc2cccnc2cc1-c1ccccc1-c1cccc(N(C)C)c1 7.7065887 0.3442622950819672</t>
  </si>
  <si>
    <t>CCN(CC1=CC(N(C)c2ccc3cccnc3c2)C=CN1)c1ccc2cccnc2c1 7.7065854 0.296875</t>
  </si>
  <si>
    <t>CN(Cc1cccc(-c2cccc(N=Cc3ccccn3)c2)n1)Cc1cccc(-c2ccc3ncccc3c2)n1 7.7065635 0.4406779661016949</t>
  </si>
  <si>
    <t>CN(C)Cc1ccc2cc(N(C)CCN(C)c3ccc4cccnc4c3)ccc2n1 7.7065625 0.44680851063829785</t>
  </si>
  <si>
    <t>Cc1ccc(N)cc1-c1ccc(CN(C)C2=CNC(CN(C)c3ccc4ncccc4c3)=CC2)nc1 7.706556 0.24</t>
  </si>
  <si>
    <t>CN(C)Cc1ccc2cc(N(C)Cc3ccc(N(C)C)cn3)ccc2n1 7.7065434 0.34782608695652173</t>
  </si>
  <si>
    <t>CCN(Cc1ccc2ncccc2c1)c1ccc2cccnc2c1 7.70653 0.34</t>
  </si>
  <si>
    <t>Cc1cccnc1CN(C)c1ccc2cccnc2c1C 7.706522 0.46511627906976744</t>
  </si>
  <si>
    <t>Cc1nc(-c2cccc(N=Cc3ccccn3)c2)cn1C 7.7064486 0.4230769230769231</t>
  </si>
  <si>
    <t>CC(C)N(Cc1ccccn1)c1ccc2nc(CN(C)c3ccc4nccc(CF)c4c3)ccc2c1 7.7064414 0.3870967741935484</t>
  </si>
  <si>
    <t>CN(CCN(C)c1ccc2nc3c(cc2c1)CCC3)c1ccc2ncccc2c1 7.706425 0.38596491228070173</t>
  </si>
  <si>
    <t>CN(C)Cc1cnc2cc(N(C)CCN(C)c3ccc4nccc(CF)c4c3)ccc2c1 7.7064233 0.23333333333333334</t>
  </si>
  <si>
    <t>CN(CCN(C)c1ccc2cccnc2c1)c1ccc2nc3c(cc2c1)CCC3 7.706369 0.36666666666666664</t>
  </si>
  <si>
    <t>CN(C)Cc1ccc2cc(N(C)Cc3ccc4cccc(N(C)Cc5ncccc5CF)c4n3)ccc2n1 7.7063646 0.3898305084745763</t>
  </si>
  <si>
    <t>CN(c1cccc2ncccc12)C1C=CC=C(N)N1 7.706363 0.30357142857142855</t>
  </si>
  <si>
    <t>CN(Cc1cccc(-c2cccc(N=Cc3ccccn3)c2)n1)Cc1nc2ccccc2o1 7.706361 0.4126984126984127</t>
  </si>
  <si>
    <t>COC(=O)c1cc(-c2cc(C(=O)C(=O)C(=O)C(=O)C(=O)C(=O)C(=O)C(=O)C(=O)C(=O)C(=O)C(=O)C(=O)C(=O)C(=O)C(=O)C(=O)C(=O)C(=O)C(=O)C(=O)C(=O)C(=O)C(=O)C(=O)C(=O)C(=O)C(=O)C(=O)C(=O)C(=O)C(=O)C(=O)C(=O)C(C)=O)ccn2)ccn1 7.7063446 0.25</t>
  </si>
  <si>
    <t>CC(C)N(Cc1ccccn1)c1ccc2nc(CN(C)c3ccc4ncccc4c3)ccc2c1 7.706324 0.4807692307692308</t>
  </si>
  <si>
    <t>Cc1cncc(CN(C)c2c(Cl)cc3ncccc3c2N(C)Cc2cccc(C)n2)c1 7.706282 0.3448275862068966</t>
  </si>
  <si>
    <t>Cc1cc(CN(C)c2c(C)c(N(C)Cc3ccccn3)cc3cccnc23)cnc1C 7.706165 0.43636363636363634</t>
  </si>
  <si>
    <t>CN(C)Cc1cnc2cc(N(C)C)ccc2c1 7.706141 0.2619047619047619</t>
  </si>
  <si>
    <t>Cc1cncc(C)c1CN(C)Cc1cc(N(C)Cc2cc(-c3cccc(N(C)Cc4cc(-c5ccc6ncccc6c5)ccn4)c3)ccn2)ccn1 7.7061257 0.30303030303030304</t>
  </si>
  <si>
    <t>CN(C)Cc1nccc2cc(N(C)CCN(C)c3cccc4ncc(CF)cc34)ccc12 7.7060895 0.3333333333333333</t>
  </si>
  <si>
    <t>Cc1ccnc(CN(C)c2cccc3c(C)cc(C)nc23)c1 7.706082 0.37254901960784315</t>
  </si>
  <si>
    <t>FCc1cccc(NCc2cccc(-c3cccc(-c4cccc(-c5cccc(C(c6ccccn6)c6ccccn6)n5)n4)n3)n2)n1 7.7060695 0.3888888888888889</t>
  </si>
  <si>
    <t>CCNc1cccc2c(-c3cc(NCc4ccccn4)cc(C)c3-c3ccccc3)ccnc12 7.70606 0.4153846153846154</t>
  </si>
  <si>
    <t>CC(C)N(Cc1ccccn1)c1cccc2nccc(-c3ccccn3)c12 7.7060523 0.4583333333333333</t>
  </si>
  <si>
    <t>CNCc1cc(-c2ccc3ncccc3c2)ccn1 7.7060175 0.30357142857142855</t>
  </si>
  <si>
    <t>CN(C)Cc1cnc2ccc(N(C)CCN(C)c3ccc4ncccc4c3)cc2c1 7.706006 0.375</t>
  </si>
  <si>
    <t>Cc1cccnc1CN(C)c1ccc2nc(CN(C)Cc3cccc(N(C)c4ccc5ncccc5c4)n3)ccc2c1 7.705977 0.3387096774193548</t>
  </si>
  <si>
    <t>Cc1cccnc1CN(C)c1ccc2ncccc2c1C 7.705967 0.32653061224489793</t>
  </si>
  <si>
    <t>Cc1ccnc(CN(C)c2ccc3nc(C)cc(C)c3c2)c1 7.7059283 0.32075471698113206</t>
  </si>
  <si>
    <t>Cc1cnc(CN(C)c2c(C)ccc3ncccc23)c(C)c1C 7.7058253 0.2830188679245283</t>
  </si>
  <si>
    <t>Cc1ccnc2cc(N(C)CCCN(C)c3ccc4ncccc4c3)ccc12 7.705817 0.40816326530612246</t>
  </si>
  <si>
    <t>Cc1ccnc2ccc(N(C)CCN(C)Cc3nc4ccccc4n3C)cc12 7.7057967 0.36666666666666664</t>
  </si>
  <si>
    <t>CN(C)Cc1ccc2ccc(N(C)CCN(C)c3ccc4cccnc4c3)cc2n1 7.705796 0.45652173913043476</t>
  </si>
  <si>
    <t>Cc1cccnc1CN(C)c1cc(N(Cc2ccccn2)C(C)C)c(Cl)cc1N(C)c1cccc2ncccc12 7.7057953 0.45</t>
  </si>
  <si>
    <t>CN(C)Cc1cnc2cccc(N(C)C)c2c1 7.7057934 0.2826086956521739</t>
  </si>
  <si>
    <t>CN(CCN(C)c1ccc2ncccc2c1)Cc1ncccc1-c1ccc2ncccc2c1 7.7057924 0.38461538461538464</t>
  </si>
  <si>
    <t>CN(CCN(C)c1ccc2nccc(CF)c2c1)c1ccc2nc3c(cc2c1)CCC3 7.705776 0.30303030303030304</t>
  </si>
  <si>
    <t>CCN(Cc1ccccn1)c1ccc2nccc(-c3ccccc3N=Cc3ccccn3)c2c1 7.705774 0.3898305084745763</t>
  </si>
  <si>
    <t>CN(C)Cc1ccc2ccc(N(C)C)cc2n1 7.7057586 0.42857142857142855</t>
  </si>
  <si>
    <t>CN(C)Cc1ccc2cc(N(C)CCN(C)c3cccc4ncccc34)ccc2n1 7.7057467 0.44</t>
  </si>
  <si>
    <t>Cc1ccnc(CN(C)Cc2ccc3cc(N(C)c4ccc5ncccc5c4)ccc3n2)c1 7.7057385 0.39622641509433965</t>
  </si>
  <si>
    <t>CN(C)Cc1ccc2c(N(C)C)cccc2n1 7.7057385 0.39473684210526316</t>
  </si>
  <si>
    <t>CN(CCN(C)c1cccc2ncc(CF)cc12)c1cccc2ncc(CF)cc12 7.705735 0.4186046511627907</t>
  </si>
  <si>
    <t>CN(c1ccc2nc(-c3ccc4cccnc4c3)ccc2c1)C1CCC(N(C)c2ccc3c(CF)ccnc3c2)CC1 7.7057204 0.26865671641791045</t>
  </si>
  <si>
    <t>CC(C)N(Cc1ccc(-c2cccc(N(C)C)c2)cn1)c1ccc2ncccc2c1 7.7057123 0.288135593220339</t>
  </si>
  <si>
    <t>CN(c1ccc2nc(-c3ccc4ncccc4c3)ccc2c1)C1CCCCC1N(C)c1ccc2nccc(CF)c2c1 7.705705 0.38095238095238093</t>
  </si>
  <si>
    <t>CN(O)C1=CCC=C(CN(C)c2ccc3cccnc3c2)N1 7.7056565 0.288135593220339</t>
  </si>
  <si>
    <t>CN(C)Cc1nccc2cc(N(C)Cc3ccon3)ccc12 7.7056537 0.41304347826086957</t>
  </si>
  <si>
    <t>CC(C)N(Cc1ccccn1)c1cccc(-c2cc(-c3cc(C4=CCC=CN4)ccn3)ccn2)c1 7.7056465 0.42857142857142855</t>
  </si>
  <si>
    <t>Cc1cc(N(C)Cc2cccc(N)n2)cc2ncccc12 7.705612 0.33962264150943394</t>
  </si>
  <si>
    <t>CN(C)c1cccc2nc(CF)ccc12 7.705602 0.425531914893617</t>
  </si>
  <si>
    <t>Cc1ccnc2ccc(N(C)CCCN(C)c3ccc4nccc(CF)c4c3)cc12 7.7055984 0.2777777777777778</t>
  </si>
  <si>
    <t>CN(c1ccc2nc(-c3ccc4ncccc4c3)ccc2c1)C1CCC(N(C)c2ccc3c(CF)ccnc3c2)CC1 7.7055345 0.2727272727272727</t>
  </si>
  <si>
    <t>CN(C)c1cccc2ncc(CF)cc12 7.705496 0.2826086956521739</t>
  </si>
  <si>
    <t>Cc1nc(CN(C)c2cc(N(C)Cc3ccccn3)c3cccnc3c2)c(C)c(C)c1C 7.7054944 0.4444444444444444</t>
  </si>
  <si>
    <t>Cc1cnc(CN(C)c2cc(Cl)c(N(C)c3cccc4ncccc34)cc2N(Cc2ccccn2)C(C)C)c(C)c1C 7.705428 0.42857142857142855</t>
  </si>
  <si>
    <t>c1ccc2c(CN(Cc3nccc4ccccc34)Cc3ccnc4ccccc34)nccc2c1 7.705398 0.3695652173913043</t>
  </si>
  <si>
    <t>CN(Cc1ccc2ncccc2c1)Cc1cc(N(C)c2ccc3ncccc3c2)ccn1 7.7053876 0.36363636363636365</t>
  </si>
  <si>
    <t>CN(C)c1ccc2nc3c(cc2c1)CCC3 7.7053347 0.40816326530612246</t>
  </si>
  <si>
    <t>CN(c1ccc2cccnc2c1)C1CCC(N(C)c2ccc3cc(-c4ccc5ncccc5c4)cnc3c2)CC1 7.7053304 0.32142857142857145</t>
  </si>
  <si>
    <t>CNCc1nccc2cc(N(C)CCN(C)c3cccc4ccc(C)nc34)ccc12 7.70532 0.41818181818181815</t>
  </si>
  <si>
    <t>Cc1cccnc1CN(C)c1cccc2c(C)c(C)cnc12 7.7051425 0.40425531914893614</t>
  </si>
  <si>
    <t>Cc1c(-c2ccc(C(C)C)cn2)cccc1N(C)Cc1cc(-c2cccc(N(C)C)c2)ccn1 7.7050834 0.296875</t>
  </si>
  <si>
    <t>CN(CCN(C)c1ccc2ncc3c(c2c1)CCC3)c1ccc2ncc3c(c2c1)CCC3 7.7050533 0.24489795918367346</t>
  </si>
  <si>
    <t>CN(CCN(C)c1cccc2ncccc12)c1ccc2ccc(CF)nc2c1 7.7050257 0.44</t>
  </si>
  <si>
    <t>CN(C)Cc1cnc2ccc(N(C)CCN(C)c3cccc4ncccc34)cc2c1 7.705006 0.41509433962264153</t>
  </si>
  <si>
    <t>CN(CN(C)c1cccc2ncccc12)CN(C)c1cccc2ncccc12 7.704997 0.46153846153846156</t>
  </si>
  <si>
    <t>Cc1ccnc2c(C)cccc12 7.704994 0.2926829268292683</t>
  </si>
  <si>
    <t>CN(C)Cc1ccc(-c2cccc3cccnc23)cn1 7.7049937 0.4444444444444444</t>
  </si>
  <si>
    <t>Cc1ccnc2ccc(N(C)CCN(c3ccc4ncccc4c3)C(C)C)cc12 7.704978 0.3333333333333333</t>
  </si>
  <si>
    <t>CN(Cc1cc(-c2ccc3ncccc3c2)ccn1)Cc1cccc(-c2cccc(N=Cc3ccccn3)c2)n1 7.704975 0.421875</t>
  </si>
  <si>
    <t>CN(C)c1ccc2nc(CN(Cc3ccccn3)c3ccc4nc(CF)ccc4c3)ccc2c1 7.704944 0.5</t>
  </si>
  <si>
    <t>CN(C)Cc1cncc2ccc(N(C)CCN(C)c3ccc4ncccc4c3)cc12 7.7049117 0.33962264150943394</t>
  </si>
  <si>
    <t>Cc1ccc2ncccc2c1N(C)Cc1nc(N)c(C)c(C)c1C 7.704897 0.2777777777777778</t>
  </si>
  <si>
    <t>Cc1cccc2nccc(C)c12 7.704886 0.3</t>
  </si>
  <si>
    <t>CN(Cc1cc(-c2cccc(N=Cc3ccccn3)c2)ccn1)c1cccc2cc3c(nc12)CCC3 7.704859 0.4027777777777778</t>
  </si>
  <si>
    <t>CN(Cc1cccnn1)c1cc2cccnc2cc1N(C)c1cccc(F)c1 7.70485 0.40384615384615385</t>
  </si>
  <si>
    <t>Cc1cc(N(C)Cc2ncccc2N)cc2ncccc12 7.704842 0.2830188679245283</t>
  </si>
  <si>
    <t>CN(C1=C(CN(Cc2ccccn2)c2ccc3ncccc3c2)NC=CC1)c1ccc2ncccc2c1 7.704776 0.359375</t>
  </si>
  <si>
    <t>Cc1ccc(CN(C)c2cc(Cl)c3ncccc3c2N(C)Cc2cc(C)ccn2)nc1 7.7047496 0.4444444444444444</t>
  </si>
  <si>
    <t>CCN(Cc1ccccn1)c1ccc2nccc(CN(C)c3ccc4ncccc4c3)c2c1 7.704713 0.3684210526315789</t>
  </si>
  <si>
    <t>CNCc1ccc2cccc(N(C)CCN(C)c3ccc4nccc(C)c4c3)c2n1 7.7046957 0.4107142857142857</t>
  </si>
  <si>
    <t>CN(C)Cc1ccc2c(N(C)CCN(C)c3ccc4ncccc4c3)cccc2n1 7.7046733 0.46</t>
  </si>
  <si>
    <t>CN(C)Cc1ncccc1-c1ccc2cccnc2c1 7.7046704 0.3333333333333333</t>
  </si>
  <si>
    <t>Cc1ccnc(CN(C)Cc2ccc3cccc(N(C)c4ccc5ncccc5c4)c3n2)c1 7.704628 0.3508771929824561</t>
  </si>
  <si>
    <t>CN(C)Cc1nccc2cc(N(C)CCN(C)c3ccc4c(CF)ccnc4c3)ccc12 7.7046194 0.24561403508771928</t>
  </si>
  <si>
    <t>CN(Cc1ccccn1)c1cc(-c2cncc(CN(Cc3ccccn3)Cc3ccccn3)c2)c2ncccc2c1N(C)c1ccc2ncccc2c1 7.70457 0.35294117647058826</t>
  </si>
  <si>
    <t>CC(C)N(C)c1ccc2nc(CN(C)c3ccc4nc(CF)ccc4c3)ccc2c1 7.7045555 0.3333333333333333</t>
  </si>
  <si>
    <t>CN(CCN(C)c1cccc2nc(CF)ccc12)c1ccc2cccnc2c1 7.704532 0.46</t>
  </si>
  <si>
    <t>CN(C1=C(CN(Cc2ccccn2)c2ccc3cccnc3c2)NC=CC1)c1ccc2cccnc2c1 7.704477 0.38333333333333336</t>
  </si>
  <si>
    <t>Cc1cnc2ccc(N(C)CCN(C)c3ccc4ncc(CN(C)C)cc4c3)cc2c1 7.704476 0.3125</t>
  </si>
  <si>
    <t>CN(CCNc1cccc2ncccc12)c1cccc2ncccc12 7.7044497 0.45454545454545453</t>
  </si>
  <si>
    <t>Cc1cnc(CN(C)c2ccc3ncccc3c2C)c(C)c1C 7.704413 0.3333333333333333</t>
  </si>
  <si>
    <t>Cc1cccc2ccc(CN(C)Cc3nc4ccccc4n3C)nc12 7.7044106 0.41509433962264153</t>
  </si>
  <si>
    <t>COC(=O)c1ncccc1-c1ncccc1C(=O)C(=O)C(=O)C(=O)C(=O)C(=O)C(=O)C(=O)C(=O)C(=O)C(=O)C(=O)C(=O)C(=O)C(=O)C(=O)C(=O)C(=O)C=O 7.7044106 0.23529411764705882</t>
  </si>
  <si>
    <t>CN(Cc1ccccn1)c1ccc2nc(C3=CCC=CN3)ccc2c1 7.7043643 0.46551724137931033</t>
  </si>
  <si>
    <t>CN(C)Cc1cnc2cccc(N(C)CCN(C)c3cccc4ncccc34)c2c1 7.7043343 0.45652173913043476</t>
  </si>
  <si>
    <t>CCN(Cc1ccccn1)c1ccc2nccc(-c3ccccc3N(C)C)c2c1 7.7043214 0.38181818181818183</t>
  </si>
  <si>
    <t>CCN(C)Cc1ccc2ccc(N(C)c3ccc4ncccc4c3)cc2n1 7.7043195 0.4</t>
  </si>
  <si>
    <t>CN(C)c1cccc(-c2cccc(C3=CCC=CN3)n2)c1 7.7042947 0.27586206896551724</t>
  </si>
  <si>
    <t>CN(C)Cc1cc(-c2ccc3ncccc3c2)ccn1 7.704266 0.34782608695652173</t>
  </si>
  <si>
    <t>Cc1ccc2cccnc2c1CN(C)Cc1ccc(N(C)c2ccc3ncccc3c2)cn1 7.7042627 0.3684210526315789</t>
  </si>
  <si>
    <t>CNCc1ccc2ccc(N(C)CCN(C)c3ccc4nccc(C)c4c3)cc2n1 7.704259 0.27586206896551724</t>
  </si>
  <si>
    <t>Cc1ccnc(CN(C)Cc2ccnc(-c3cc(N(C)C)cc4ncccc34)c2)c1 7.7042327 0.3333333333333333</t>
  </si>
  <si>
    <t>Cc1cccnc1CN(C)c1cc(N(C)Cc2ccccn2)c(C)c2ncccc12 7.7042136 0.4897959183673469</t>
  </si>
  <si>
    <t>CCNc1cccc2cc(-c3ncccc3-c3cccc(NCc4ccccn4)c3)cnc12 7.704211 0.373134328358209</t>
  </si>
  <si>
    <t>CN(C)Cc1cccc(-c2cccc3ncccc23)n1 7.704109 0.45652173913043476</t>
  </si>
  <si>
    <t>CN(C)c1cccc2nc3c(cc12)CCC3 7.7040973 0.4791666666666667</t>
  </si>
  <si>
    <t>Cc1ccnc2ccc(N(C)C3C=CNC(CN(c4ccc5ncccc5c4)C(C)C)=C3)cc12 7.704082 0.2638888888888889</t>
  </si>
  <si>
    <t>CCN(c1ccc2ncccc2c1)c1cccc2c(CNCc3ccccn3)ccnc12 7.7040644 0.3333333333333333</t>
  </si>
  <si>
    <t>CN(C)c1ccc(CN(C)c2ccc3nccc(CF)c3c2)nc1 7.7040367 0.3137254901960784</t>
  </si>
  <si>
    <t>CN(CCN(C)c1cccc2ncccc12)Cc1ncccc1-c1ccc2ncccc2c1 7.7040124 0.4339622641509434</t>
  </si>
  <si>
    <t>CN(Cc1ccc(-c2cccc(N=Cc3ccccn3)c2)cn1)Cc1cc(-c2ccc3ncccc3c2)ccn1 7.7039986 0.34328358208955223</t>
  </si>
  <si>
    <t>CN(C)Cc1ccnc2cccc(N(C)C)c12 7.7039757 0.3181818181818182</t>
  </si>
  <si>
    <t>CN(Cc1ccc2cc(N(C)Cc3ccccn3)ccc2n1)Cc1ncccc1-c1ccc2ncccc2c1 7.7039227 0.43103448275862066</t>
  </si>
  <si>
    <t>CN(C)Cc1ccc2c(N(C)CCN(C)c3cccc4ncccc34)cccc2n1 7.7039003 0.5</t>
  </si>
  <si>
    <t>CN(C)C1=CCC(N(C)c2ccc3cccnc3c2)=CN1 7.703891 0.2807017543859649</t>
  </si>
  <si>
    <t>CC(C)N(Cc1ccccn1)c1cc(N(Cc2ccccn2)Cc2ncccc2N(C)c2cccc3ncccc23)cc2ncccc12 7.703867 0.3442622950819672</t>
  </si>
  <si>
    <t>Cc1cnc2cccc(N(C)CCN(C)c3ccc4cc(CN(C)C)cnc4c3)c2c1 7.7038574 0.35185185185185186</t>
  </si>
  <si>
    <t>CN(CCN(C)c1ccc2nccc(CF)c2c1)c1ccc2nccc(CF)c2c1 7.7038326 0.2765957446808511</t>
  </si>
  <si>
    <t>CCN(CC1=CC(N(C)c2ccc3nccc(C)c3c2)C=CN1)c1ccc2ncccc2c1 7.7038317 0.2714285714285714</t>
  </si>
  <si>
    <t>CN(C)Cc1cncc2cc(N(C)CCN(C)c3cccc4ncccc34)ccc12 7.703826 0.4074074074074074</t>
  </si>
  <si>
    <t>CC(C)N(C)c1ccc2nc(CN(C)c3ccc4ccc(CF)nc4c3)ccc2c1 7.7037845 0.34782608695652173</t>
  </si>
  <si>
    <t>CNCc1ccc2cc(N(C)Cc3ccc4cccc(C)c4n3)ccc2n1 7.703771 0.34</t>
  </si>
  <si>
    <t>CN(CCN(C)c1ccc2c(CF)ccnc2c1)c1ccc2c(CF)ccnc2c1 7.7037597 0.2826086956521739</t>
  </si>
  <si>
    <t>CN(Cc1ccccn1)Cc1ccc2cccc(N(C)Cc3cc(-c4ccc5ncccc5c4)ccn3)c2n1 7.7037597 0.423728813559322</t>
  </si>
  <si>
    <t>CCN(CC1=CC(N(C)c2ccc3nccc(C)c3c2)C=CN1)c1ccc2cccnc2c1 7.703719 0.2638888888888889</t>
  </si>
  <si>
    <t>CN(CCN(C)c1ccc2nccc(CF)c2c1)c1ccc2ncccc2c1 7.7036953 0.3673469387755102</t>
  </si>
  <si>
    <t>CN(Cc1ccccn1)c1cc(-c2cccc(NCc3ccccn3)c2-c2ccccc2)c2ncccc2c1 7.7036557 0.4153846153846154</t>
  </si>
  <si>
    <t>CN(C)c1ccc2c(CN(C)c3ccccc3F)ccnc2c1 7.703652 0.3269230769230769</t>
  </si>
  <si>
    <t>CN(Cc1ncccc1-c1cccc(N=Cc2ccccn2)c1)Cc1ncccc1-c1ccc2ncccc2c1 7.703649 0.3333333333333333</t>
  </si>
  <si>
    <t>CN(CCN(C)c1ccc2c(CF)ccnc2c1)c1ccc2ncccc2c1 7.7036076 0.3673469387755102</t>
  </si>
  <si>
    <t>CN(c1ccc2cc(CF)cnc2c1)C1CCC(N(C)c2cccc3nccc(-c4cccc5cccnc45)c23)CC1 7.7035794 0.35294117647058826</t>
  </si>
  <si>
    <t>CCN(Cc1ccccn1)c1ccc2c(-c3ccccc3N(C)C)ccnc2c1 7.703551 0.38181818181818183</t>
  </si>
  <si>
    <t>CN(C)Cc1ccnc2ccc(N(C)CCN(C)c3ccc4ncccc4c3)cc12 7.7035456 0.3673469387755102</t>
  </si>
  <si>
    <t>CC(C)N(CC1=C(N(C)c2ccc3cccnc3c2)CC=CN1)c1ccc2ncccc2c1 7.70353 0.26153846153846155</t>
  </si>
  <si>
    <t>CNCN(CCN(C)c1ccc2c(C)ccnc2c1)c1ccc2nccc(C)c2c1 7.70349 0.22413793103448276</t>
  </si>
  <si>
    <t>CN(CCN(C)c1ccc2nccc(CF)c2c1)c1ccc2cccnc2c1 7.703475 0.35294117647058826</t>
  </si>
  <si>
    <t>CC(C)N(CC1=C(N(C)c2ccc3ncccc3c2)CC=CN1)c1ccc2cccnc2c1 7.7034736 0.26153846153846155</t>
  </si>
  <si>
    <t>CN(CCN(C)c1ccc2c(CF)ccnc2c1)c1ccc2cccnc2c1 7.70341 0.3673469387755102</t>
  </si>
  <si>
    <t>CN(Cc1cc(-c2ccc3ncccc3c2)ccn1)Cc1ccc2ccccc2n1 7.7033954 0.4897959183673469</t>
  </si>
  <si>
    <t>CN(C)Cc1ccnc2ccc(N(C)CCN(C)c3ccc4cccnc4c3)cc12 7.7033834 0.35294117647058826</t>
  </si>
  <si>
    <t>CN(Cc1cc(-c2ccc3ncccc3c2)ccn1)Cc1ncccc1-c1cccc(N=Cc2ccccn2)c1 7.7033653 0.3142857142857143</t>
  </si>
  <si>
    <t>CN(Cc1cc(-c2cccc(N=Cc3ccccn3)c2)ccn1)Cc1ncccc1-c1ccc2ncccc2c1 7.7033596 0.3142857142857143</t>
  </si>
  <si>
    <t>CN(Cc1ncccc1-c1ccc2ncccc2c1)Cc1ncccc1-c1ccccc1N=Cc1ccccn1 7.7033596 0.38333333333333336</t>
  </si>
  <si>
    <t>CN(C)c1ccc2nccc(CF)c2c1 7.703359 0.25</t>
  </si>
  <si>
    <t>Cc1cnc(-c2ccccc2N)c(CN(C)c2ccc3cccnc3c2N(C)Cc2ccccn2)c1 7.703322 0.3870967741935484</t>
  </si>
  <si>
    <t>CCNc1cccc2c(-c3ccc(-c4cccc(NCc5ccccn5)c4)cn3)ccnc12 7.703309 0.36764705882352944</t>
  </si>
  <si>
    <t>CN(Cc1cccc(-c2ccccc2N=Cc2ccccn2)n1)c1cccc2ccc(CF)nc12 7.7032986 0.37681159420289856</t>
  </si>
  <si>
    <t>CCNc1cccc2nccc(-c3ccc(NCc4ccccn4)c(-c4ccccc4)c3C)c12 7.70328 0.36363636363636365</t>
  </si>
  <si>
    <t>CCN(Cc1ccccn1)c1ccc2nccc(-c3ccc(N(C)C)cc3)c2c1 7.7032685 0.36363636363636365</t>
  </si>
  <si>
    <t>Cc1cc2ncccc2cc1-c1ncccc1CN(C)Cc1ccc(-c2cccc(N=Cc3ccccn3)c2)cn1 7.703263 0.3108108108108108</t>
  </si>
  <si>
    <t>CN(Cc1cc(-c2cccc(N=Cc3ccccn3)c2)ccn1)Cc1cc(-c2ccc3ncccc3c2)ccn1 7.7032576 0.3548387096774194</t>
  </si>
  <si>
    <t>CN(C)Cc1ccnc2cc(N(C)CCN(C)c3ccc4cccnc4c3)ccc12 7.7032285 0.3673469387755102</t>
  </si>
  <si>
    <t>CNCc1cc(-c2ccc3cccnc3c2N(C)Cc2nccc(C)c2C)ccn1 7.703217 0.3114754098360656</t>
  </si>
  <si>
    <t>CN(C)c1ccc2c(CF)ccnc2c1 7.703205 0.23076923076923078</t>
  </si>
  <si>
    <t>CCn1c(C)nc(C)c1CN(CCN(C)c1ccc2nccc(CF)c2c1)c1ccc2nccc(C)c2c1 7.703196 0.20588235294117646</t>
  </si>
  <si>
    <t>CN(Cc1ccc2ncccc2c1)Cc1nc2ccccc2o1 7.703169 0.36</t>
  </si>
  <si>
    <t>Cc1cc2cccnc2cc1-c1ncccc1CN(C)Cc1ccc(-c2cccc(N=Cc3ccccn3)c2)cn1 7.7031336 0.3108108108108108</t>
  </si>
  <si>
    <t>CN(CC1=CC(N(C)c2ccc3nc(CF)ccc3c2)C=CN1)c1ccc2ncccc2c1 7.703124 0.29577464788732394</t>
  </si>
  <si>
    <t>CN(CCN(C)c1cccc2nccc(C(C)(C)C)c12)c1cccc2ncccc12 7.703111 0.45652173913043476</t>
  </si>
  <si>
    <t>CN(Cc1ccccn1)c1ccc2ncc(C3=CCC=CN3)cc2c1 7.703109 0.45</t>
  </si>
  <si>
    <t>CN(CCN(C)c1cccc2nc3c(cc12)CCC3)c1cccc2ncccc12 7.7030935 0.4489795918367347</t>
  </si>
  <si>
    <t>Cc1ccc(-c2cccc(-c3cccc(NCc4ccccn4)c3)n2)c(-c2cccc(-c3ccccc3)n2)c1 7.703038 0.4166666666666667</t>
  </si>
  <si>
    <t>CC(C)N(Cc1ccccn1)c1ccc2nccc(CN(C)c3ccc4ncccc4c3)c2c1 7.702999 0.375</t>
  </si>
  <si>
    <t>CCN(CC1=C(N(C)c2ccc3ncccc3c2)CC=CN1)c1ccc2ncccc2c1 7.7029786 0.26229508196721313</t>
  </si>
  <si>
    <t>CN(Cc1cc(-c2ccc3ncccc3c2)ccn1)Cc1cc(-c2ccccc2N(C)C)ccn1 7.70297 0.35714285714285715</t>
  </si>
  <si>
    <t>CN(Cc1cnccc1-c1ccccc1N)c1ccc2cccnc2c1 7.7029605 0.3050847457627119</t>
  </si>
  <si>
    <t>CC1=C(C)C(c2ccc3ncccc3c2)CC=C1CN(C)c1ccc2nccc(CF)c2c1 7.7029567 0.24285714285714285</t>
  </si>
  <si>
    <t>CN(CCN(c1ccccc1)c1cccc2ncccc12)c1ccc2cccnc2c1 7.702938 0.4117647058823529</t>
  </si>
  <si>
    <t>Clc1cccc(-c2cccc(NC3=CCC=CN3)n2)n1 7.7029376 0.2631578947368421</t>
  </si>
  <si>
    <t>CN(C)Cc1nc2ccccc2o1 7.7029195 0.39473684210526316</t>
  </si>
  <si>
    <t>CN(C)Cc1cncc2c(N(C)CCN(C)c3cccc4ncccc34)cccc12 7.7029185 0.44680851063829785</t>
  </si>
  <si>
    <t>CNC1=CCNC(N(C)c2ccc3ncccc3c2)=C1 7.7028975 0.26666666666666666</t>
  </si>
  <si>
    <t>CN(Cc1cc(-c2ccc3ncccc3c2)ccn1)Cc1cc(-c2ccccc2N=Cc2ccccn2)ccn1 7.702869 0.3898305084745763</t>
  </si>
  <si>
    <t>CCN(CC1=C(N(C)c2ccc3cccnc3c2)CC=CN1)c1ccc2cccnc2c1 7.702845 0.27419354838709675</t>
  </si>
  <si>
    <t>CN(CCN(C)c1ccc2ncccc2c1)c1ccc2ncccc2c1 7.70284 0.4864864864864865</t>
  </si>
  <si>
    <t>CNCc1ccc2cccc(N(C)CC3=C(N(C)c4ccc5ncccc5c4)CC=CN3)c2n1 7.7027965 0.3382352941176471</t>
  </si>
  <si>
    <t>Cn1c(-c2ccccc2NCc2ccccn2)nc2ccccc21 7.7027636 0.3695652173913043</t>
  </si>
  <si>
    <t>CN(Cc1ccccn1)Cc1ccc2cccc(N(C)Cc3ccc4cccc(N(C)Cc5ccc6ncccc6c5)c4n3)c2n1 7.7027106 0.44642857142857145</t>
  </si>
  <si>
    <t>CN(CCN(C)c1cccc2nc(CF)ccc12)c1cccc2ncccc12 7.702691 0.5</t>
  </si>
  <si>
    <t>CN(C)Cc1ccc2cccc(N(C)Cc3cccc(-c4cccc(N(C)C)c4)n3)c2n1 7.702691 0.3709677419354839</t>
  </si>
  <si>
    <t>CNc1c(C)cc2ncccc2c1N(C)Cc1cc(C)ccn1 7.702675 0.32727272727272727</t>
  </si>
  <si>
    <t>CN(Cc1cc(-c2cccc(N=Cc3ccccn3)c2)ccn1)Cc1cc(-c2cccc3cccnc23)ccn1 7.7026596 0.3492063492063492</t>
  </si>
  <si>
    <t>CN(CCN(Cc1cccnc1)c1cccc2ncccc12)c1cccc2ccc(-c3ccccn3)nc12 7.702659 0.423728813559322</t>
  </si>
  <si>
    <t>CN(C)C1=CCC(N(C)c2cccc3ncccc23)=CN1 7.702659 0.32727272727272727</t>
  </si>
  <si>
    <t>CNCc1ccc2cccc(N(C)Cc3ccc4cccc(C)c4n3)c2n1 7.702624 0.38181818181818183</t>
  </si>
  <si>
    <t>CN(CCN(C)c1ccc2cccnc2c1)c1ccc2ncccc2c1 7.702592 0.43902439024390244</t>
  </si>
  <si>
    <t>CN(Cc1ccccn1)c1ccc(-c2cccc3ncccc23)c(N(C)Cc2cccnn2)c1 7.7025776 0.4528301886792453</t>
  </si>
  <si>
    <t>C=CCN(Cc1ccccn1)c1cc2cccnc2cc1-c1cccc(N(C)C)c1-c1ccccc1 7.7025433 0.35294117647058826</t>
  </si>
  <si>
    <t>CN(C)c1ccnc(CN(C)c2ccc3ncccc3c2)c1 7.7025366 0.375</t>
  </si>
  <si>
    <t>CN(Cc1ncccc1-c1ccc2cccnc2c1)Cc1ncccc1-c1ccccc1N(C)C 7.702533 0.32075471698113206</t>
  </si>
  <si>
    <t>CN(Cc1cc(-c2cccc(N(C)C)c2)ccn1)Cc1cc(-c2ccc3ncccc3c2)ccn1 7.702528 0.37735849056603776</t>
  </si>
  <si>
    <t>CC(C)N(Cc1ccccn1)c1ccc2nccc(-c3ccccc3N(C)C)c2c1 7.7025275 0.3888888888888889</t>
  </si>
  <si>
    <t>CN(CCN(C)c1cccc2ncc(CF)cc12)c1cccc2ncccc12 7.7025056 0.45652173913043476</t>
  </si>
  <si>
    <t>Cc1cccc(-c2cccc(-c3ccccc3)n2)c1-c1cccc(-c2cccc(NCc3ccccn3)c2)n1 7.7024884 0.4406779661016949</t>
  </si>
  <si>
    <t>CN(C)Cc1ccnc2ccc(N(C)C)cc12 7.7024326 0.2608695652173913</t>
  </si>
  <si>
    <t>CN(CC1=CC(N(C)c2ccc3ncccc3c2)C=CN1)c1ccc2ccc(CF)nc2c1 7.70243 0.2916666666666667</t>
  </si>
  <si>
    <t>CN(Cc1cc(-c2ccc3ncccc3c2)ccn1)Cc1ncccc1-c1cccc(N(C)C)c1 7.702381 0.32786885245901637</t>
  </si>
  <si>
    <t>CN(Cc1ccc2ncccc2c1)c1ccc2nc3c(cc2c1)CCC3 7.7023745 0.3548387096774194</t>
  </si>
  <si>
    <t>CN(C1=C(CN(Cc2ccccn2)c2cccc3ncccc23)CC=CN1)c1ccc2cccnc2c1 7.702368 0.3582089552238806</t>
  </si>
  <si>
    <t>CN(C)Cc1ccnc2cccc(N(C)CCN(C)c3cccc4ncccc34)c12 7.7023625 0.45652173913043476</t>
  </si>
  <si>
    <t>CN(CCN(C)c1ccc2cccnc2c1)c1ccc2cccnc2c1 7.702352 0.47368421052631576</t>
  </si>
  <si>
    <t>CN(C)c1cccc2c(CF)ccnc12 7.7023287 0.38095238095238093</t>
  </si>
  <si>
    <t>CCNCc1cc(-c2cc(N(C)C)c3ncccc3c2)ccn1 7.7023253 0.37254901960784315</t>
  </si>
  <si>
    <t>CN(C)Cc1ccnc2cc(N(C)C)ccc12 7.7023244 0.26666666666666666</t>
  </si>
  <si>
    <t>Cc1c(C)c(C)c(-c2nc(CNCc3ccccn3)c(-c3c(C)c(C)c(C)c(C)c3C)c(-c3c(C)c(C)c(C)c(C)c3C)c2-c2c(C)c(C)c(C)c(C)c2C)c(C)c1C 7.702307 0.4634146341463415</t>
  </si>
  <si>
    <t>CC(C)N(C)CCN(C)c1ccc2nccc(-c3ccc4ncccc4c3)c2c1 7.702306 0.32727272727272727</t>
  </si>
  <si>
    <t>CN(C)c1cccc2nccc(CF)c12 7.7023044 0.3181818181818182</t>
  </si>
  <si>
    <t>CCN(Cc1ccccn1)c1cc(N(C)Cc2ccccn2)c2nccc(-c3cccc(N(C)C)c3)c2c1 7.7022567 0.41379310344827586</t>
  </si>
  <si>
    <t>CN(c1ccc2ncccc2c1)C1CCC(N(C)c2ccc3nccc(-c4ccc5ncccc5c4)c3c2)CC1 7.7022533 0.3157894736842105</t>
  </si>
  <si>
    <t>Cc1ccc2ccc(N(C)CCN(C)c3cccc4ncc(CN(C)C)cc34)cc2n1 7.702247 0.3392857142857143</t>
  </si>
  <si>
    <t>CCn1c(C)nc(CN(CCN(C)c2ccc3nccc(C)c3c2)c2ccc3ncccc3c2)c1C 7.7022424 0.27692307692307694</t>
  </si>
  <si>
    <t>CN(Cc1ncccc1-c1cccc(N(C)C)c1)Cc1ncccc1-c1ccc2ncccc2c1 7.7021904 0.33962264150943394</t>
  </si>
  <si>
    <t>CNCN(CC1=CCC=C(N(C)c2cccc3cccnc23)N1)c1cccc2ncccc12 7.702185 0.36065573770491804</t>
  </si>
  <si>
    <t>CN(C)c1cccc(-c2ncccc2CN(C)c2ccc3nc(CF)ccc3c2)c1 7.7021656 0.31666666666666665</t>
  </si>
  <si>
    <t>CN(CC1=CC(N(C)c2ccc3cccnc3c2)C=CN1)c1ccc2cc(CF)cnc2c1 7.7021604 0.2676056338028169</t>
  </si>
  <si>
    <t>CN(C)c1cncc(CN(C)c2cccc3ncccc23)c1 7.7021575 0.36</t>
  </si>
  <si>
    <t>Cc1cccnc1CN(C)c1ccc2nc(CN(C)c3ccc4nc(CN(C)C)ccc4c3)ccc2c1 7.7020245 0.3584905660377358</t>
  </si>
  <si>
    <t>CN(CC1=CC(N(C)c2ccc3ncccc3c2)C=CN1)Cc1ncccc1-c1ccc2ncccc2c1 7.701981 0.2898550724637681</t>
  </si>
  <si>
    <t>CN(Cc1ccc2ncccc2c1)Cc1ccc2cc(N(C)Cc3ccc4ncccc4c3)ccc2n1 7.7019606 0.38461538461538464</t>
  </si>
  <si>
    <t>CC(C)N(Cc1ccccn1)c1cc(N(C)c2ccc3nc(CN(C)C)ccc3c2)cc2c(CF)ccnc12 7.70195 0.35294117647058826</t>
  </si>
  <si>
    <t>CN(CCN(C)c1cccc2nccc(CF)c12)c1ccc2cccnc2c1 7.7019005 0.43137254901960786</t>
  </si>
  <si>
    <t>CN(c1ccc2nccc(CF)c2c1)C1CCC(N(C)c2ccc3nccc(-c4ccc5ncccc5c4)c3c2)CC1 7.7018356 0.27692307692307694</t>
  </si>
  <si>
    <t>Cc1ccnc2cccc(N(C)CCN(c3cccc4ncccc34)C(C)C)c12 7.701827 0.39215686274509803</t>
  </si>
  <si>
    <t>Cc1ccnc2c(N(C)CCNc3cccc4ncccc34)cccc12 7.7018228 0.44</t>
  </si>
  <si>
    <t>CN(Cc1ccccn1)c1cccc2cc(C3=CCC=CN3)cnc12 7.7018123 0.45</t>
  </si>
  <si>
    <t>CN(C)c1ccccc1-c1ccc(CN(C)c2ccc3cc(CF)ncc3c2)nc1 7.701789 0.3076923076923077</t>
  </si>
  <si>
    <t>CN(C1=CCC=CN1)c1ccc2cccnc2c1 7.7017837 0.3392857142857143</t>
  </si>
  <si>
    <t>CN(Cc1ccccn1)c1cc2cccnc2cc1-c1cccc(-c2ccccc2)c1N(C)Cc1ccccn1 7.7017813 0.46153846153846156</t>
  </si>
  <si>
    <t>CN(CN(Cc1ccccn1)c1cccc2ncccc12)c1cccc2ncccc12 7.7017665 0.44680851063829785</t>
  </si>
  <si>
    <t>CC(C)N(Cc1ccccn1)c1ccc2nccc(-c3ccc(N(C)C)cc3)c2c1 7.701754 0.39622641509433965</t>
  </si>
  <si>
    <t>CC(C)c1cccc(CN(Cc2ccccn2)c2ccc3nc(-c4ccc5ncccc5c4)ccc3c2)n1 7.7017293 0.3880597014925373</t>
  </si>
  <si>
    <t>CNc1cccc2cccnc12 7.7017217 0.45714285714285713</t>
  </si>
  <si>
    <t>CN(Cc1ccc2ncccc2c1)Cc1ccc2cccc(N(C)Cc3ccc4ncccc4c3)c2n1 7.7016973 0.44</t>
  </si>
  <si>
    <t>CC(C)N(Cc1ccccn1)c1ccc2nccc(-c3cccc(N(C)C)c3)c2c1 7.7016892 0.375</t>
  </si>
  <si>
    <t>CNCc1ccc2cccc(N(C)Cc3cccc(N(C)c4ccc5nc(CF)ccc5c4)n3)c2n1 7.701688 0.3939393939393939</t>
  </si>
  <si>
    <t>CNCc1ncccc1-c1cc(N(C)Cc2ncccc2C)cc2cccnc12 7.70167 0.32727272727272727</t>
  </si>
  <si>
    <t>CN(CN(c1cccc2ncccc12)C(C)(C)C)c1cccc2ncccc12 7.701651 0.4090909090909091</t>
  </si>
  <si>
    <t>CNc1cc(N(C)Cc2cc(C)ccn2)c2nccc(C)c2c1 7.7015333 0.33962264150943394</t>
  </si>
  <si>
    <t>CC(C)N(CC1=CCC(N(C)c2cccc3ncccc23)=CN1)c1ccc2cccnc2c1 7.7015276 0.27692307692307694</t>
  </si>
  <si>
    <t>CN(C)c1cccc2ncc3c(c12)CCC3 7.7014856 0.3148148148148148</t>
  </si>
  <si>
    <t>CC(C)N(C)CCN(C)c1cccc2nccc(-c3cccc4ncccc34)c12 7.701466 0.42</t>
  </si>
  <si>
    <t>CN(C)Cc1ncccc1-c1cccc2ncccc12 7.7014623 0.32608695652173914</t>
  </si>
  <si>
    <t>CCN(C)c1ccc2nc(CN(C)c3ccc4nc(CN(C)C)ccc4c3)ccc2c1 7.7014346 0.36585365853658536</t>
  </si>
  <si>
    <t>CC(C)N(C)CC1=C(N(C)c2ccc3cc(-c4cccc5cccnc45)cnc3c2)CC=CN1 7.701358 0.2898550724637681</t>
  </si>
  <si>
    <t>Cc1ccc2ccc(N(C)CCN(C)c3ccc4ncccc4c3)cc2n1 7.701328 0.391304347826087</t>
  </si>
  <si>
    <t>CN(C)c1cccc(-c2ccnc(CN(C)c3ccc4nc(CF)ccc4c3)c2)c1 7.7013235 0.3050847457627119</t>
  </si>
  <si>
    <t>CN(Cc1cncc(-c2cccc(N=Cc3ccccn3)c2)c1)c1ccc2nccc(CF)c2c1 7.7012267 0.28378378378378377</t>
  </si>
  <si>
    <t>CN(C)c1ccc2ncccc2c1 7.7011795 0.3684210526315789</t>
  </si>
  <si>
    <t>CN(C)Cc1cnccc1-c1c(N)ccc2cccnc12 7.7011714 0.4</t>
  </si>
  <si>
    <t>CNc1c(C)cc2ncccc2c1N(C)Cc1ncccc1C 7.701155 0.2727272727272727</t>
  </si>
  <si>
    <t>CC(C)N(CC1=CCC=C(N(C)c2ccc3cccnc3c2)N1)c1ccc2ncccc2c1 7.7011385 0.26153846153846155</t>
  </si>
  <si>
    <t>CN(CCN(C)c1cccc2ncccc12)c1ccc2c(CF)ccnc2c1 7.7011375 0.42</t>
  </si>
  <si>
    <t>CN(C)c1cccc(-c2ccc(CN(C)c3ccc4ncc(CF)cc4c3)nc2)c1 7.701113 0.2711864406779661</t>
  </si>
  <si>
    <t>Cc1cccnc1CN(C)Cc1nccc2ccc(N(C)c3ccc4ncccc4c3)cc12 7.701095 0.2982456140350877</t>
  </si>
  <si>
    <t>CNc1ccccc1-c1ncccc1-c1ccccc1N=Cc1ccccn1 7.7010884 0.4791666666666667</t>
  </si>
  <si>
    <t>CN(CN(Cc1cccnn1)c1ccc2cccnc2c1)c1ccc2cccnc2c1 7.7010612 0.45652173913043476</t>
  </si>
  <si>
    <t>Cc1cccnc1CN(C)Cc1ccc2c(N(C)Cc3ccc(-c4ccc5ncccc5c4)cn3)cccc2n1 7.7009654 0.3088235294117647</t>
  </si>
  <si>
    <t>CNc1cc(N(C)Cc2cc(C)ccn2)c2cccnc2c1C 7.7008944 0.37735849056603776</t>
  </si>
  <si>
    <t>Cc1ccc2ccc(CN(C)c3cccc4ccc(CN(C)C)nc34)nc2c1 7.700891 0.375</t>
  </si>
  <si>
    <t>CN(CCN(c1ccccc1)c1cccc2ncccc12)c1cccc2ncccc12 7.7008877 0.4883720930232558</t>
  </si>
  <si>
    <t>CN(Cc1ccc2ccc(N(Cc3ccccn3)c3ccccc3)cc2n1)c1ccc2nccc(CF)c2c1 7.7008376 0.39344262295081966</t>
  </si>
  <si>
    <t>Cc1ccc(N(C)Cc2ccccn2)cc1-c1ccc(N(C)Cc2ccccn2)c2ncccc12 7.700835 0.47058823529411764</t>
  </si>
  <si>
    <t>CCN(CCN(C)c1ccc2nccc(C)c2c1)c1ccc2nccc(C)c2c1 7.700781 0.2549019607843137</t>
  </si>
  <si>
    <t>CN(Cc1ncccc1-c1ccccc1N=Cc1ccccn1)c1ccc2c(CF)nccc2c1 7.7007785 0.3770491803278688</t>
  </si>
  <si>
    <t>CCN(Cc1ccccn1)c1cc2cccnc2cc1-c1ccccc1-c1c(C)cccc1N=Cc1ccccn1 7.7007775 0.4918032786885246</t>
  </si>
  <si>
    <t>CC(C)c1nc2ccccc2o1 7.700738 0.42857142857142855</t>
  </si>
  <si>
    <t>CN(Cc1ncccc1-c1ccc2ncccc2c1)Cc1ccnc2ccc(N(C)Cc3ccccn3)cc12 7.7007356 0.3548387096774194</t>
  </si>
  <si>
    <t>CN(CC1=CC(N(C)Cc2ncccc2-c2ccc3ncccc3c2)C=CN1)c1ccc2ncccc2c1 7.7006793 0.2537313432835821</t>
  </si>
  <si>
    <t>CN(C)c1ccc2cccnc2c1 7.700659 0.36585365853658536</t>
  </si>
  <si>
    <t>CN(Cc1cncc(-c2ccccc2N=Cc2ccccn2)c1)c1ccc2nccc(CF)c2c1 7.7006254 0.3382352941176471</t>
  </si>
  <si>
    <t>Cc1ccc2ccc(N(C)CCN(C)c3ccc4nccc(CN(C)C)c4c3)cc2n1 7.7005835 0.25925925925925924</t>
  </si>
  <si>
    <t>Cc1ccnc2ccc(N(C)CCN(C)c3ccc4ccc(CN(C)C)nc4c3)cc12 7.700581 0.3333333333333333</t>
  </si>
  <si>
    <t>Cc1ccc2nc(CN(C)c3ccc4nc(CN(C)C)ccc4c3)ccc2c1 7.700553 0.35714285714285715</t>
  </si>
  <si>
    <t>Cc1ccc2ccc(N(C)Cc3ccc(-c4cccc(N=Cc5ccccn5)c4)nc3)cc2n1 7.7005286 0.3188405797101449</t>
  </si>
  <si>
    <t>Cc1cncc(CN(CN(C)c2cccc3ncccc23)c2cccc3ncccc23)c1C 7.7005258 0.3584905660377358</t>
  </si>
  <si>
    <t>CCN(CC1=CCC=C(N(C)c2ccc3cccnc3c2)N1)c1ccc2cccnc2c1 7.7005134 0.2786885245901639</t>
  </si>
  <si>
    <t>CCN(CC1=CCC(N(C)c2cccc3ncccc23)=CN1)c1cccc2cccnc12 7.700453 0.3793103448275862</t>
  </si>
  <si>
    <t>Cc1ccnc2ccc(N(C)CCN(C)c3ccc4nc5c(cc4c3)CCC5)cc12 7.700451 0.31746031746031744</t>
  </si>
  <si>
    <t>CN(CCN(C)c1cccc2nccc(CF)c12)c1cccc2ncccc12 7.7003984 0.45652173913043476</t>
  </si>
  <si>
    <t>CN(C)Cc1ccc2cc(N(C)Cc3ccc(N(C)c4ccc5nc(CF)ccc5c4)cn3)ccc2n1 7.7003837 0.3333333333333333</t>
  </si>
  <si>
    <t>CN(C)Cc1cc2ncccc2cc1N(C)Cc1ccc2ncccc2c1 7.7003765 0.3469387755102041</t>
  </si>
  <si>
    <t>CN(Cc1ccccn1)Cc1nccc2cccc(N(C)Cc3ncccc3-c3cccc4cccnc34)c12 7.70032 0.42105263157894735</t>
  </si>
  <si>
    <t>Cc1ccc2ccc(CN(C)c3ccc4nc(CN(C)C)ccc4c3)nc2c1 7.700309 0.37209302325581395</t>
  </si>
  <si>
    <t>Cc1ccnc2cc(N(C)CCN(C)c3cccc4cc(CN(C)C)cnc34)ccc12 7.7003026 0.41818181818181815</t>
  </si>
  <si>
    <t>Cc1cc(C)c(N(C)c2ccc3ncccc3c2)cc1N(C)Cc1ncccc1C 7.7002783 0.34615384615384615</t>
  </si>
  <si>
    <t>CNc1cccc2ncccc12 7.700241 0.2682926829268293</t>
  </si>
  <si>
    <t>Cc1cccc2ccc(CN(C)c3cccc4ccc(CN(C)C)nc34)nc12 7.7001524 0.4117647058823529</t>
  </si>
  <si>
    <t>Cc1cccc2ccc(CN(C)c3ccc4nc(CN(C)C)ccc4c3)nc12 7.700133 0.3695652173913043</t>
  </si>
  <si>
    <t>CN(C)C1=CCC=C(N(C)c2cccc3cccnc23)N1 7.70009 0.4883720930232558</t>
  </si>
  <si>
    <t>Cc1cccnc1CN(C)Cc1nccc2cc(N(C)c3cccc4ncccc34)ccc12 7.7000775 0.288135593220339</t>
  </si>
  <si>
    <t>CN(Cc1ccc2ncccc2c1)Cc1cc2cccnc2cc1N(C)Cc1ccc2ncccc2c1 7.7000036 0.38</t>
  </si>
  <si>
    <t>CNc1cccc2c(-c3cc(C)ccc3NCc3ccccn3)ccnc12 7.699999 0.3709677419354839</t>
  </si>
  <si>
    <t>CCNc1ccc2nccc(-c3ccccc3N(C)C)c2c1 7.699995 0.2545454545454545</t>
  </si>
  <si>
    <t>CN(CC1C=CNC=C1N(C)c1ccc2cccnc2c1)c1ccc2cccnc2c1 7.6999393 0.29310344827586204</t>
  </si>
  <si>
    <t>CCN(CC1=CCC(N(C)c2cccc3ncccc23)=CN1)c1cccc2ncccc12 7.699913 0.29310344827586204</t>
  </si>
  <si>
    <t>CNCc1ccc2nccc(-c3ccccc3N(C)C)c2c1 7.6999087 0.2545454545454545</t>
  </si>
  <si>
    <t>CN(C)Cc1ccc2ccc(N(C)Cc3cccc(N(C)c4ccc5nc(CF)ccc5c4)n3)cc2n1 7.699901 0.3269230769230769</t>
  </si>
  <si>
    <t>FCc1cccc(NCc2cccc(-c3cccc(-c4cccc(-c5cccc(-c6cccc(C(c7ccccn7)c7ccccn7)n6)n5)n4)n3)n2)n1 7.6998844 0.3888888888888889</t>
  </si>
  <si>
    <t>CN(Cc1cccc(-c2ccc(N=Cc3ccccn3)cc2)n1)c1ccc2cccnc2c1 7.699859 0.36507936507936506</t>
  </si>
  <si>
    <t>CN(C)c1cccc(-c2ccc(CN(C)c3cccc4nc(CF)ccc34)cn2)c1 7.6998563 0.2898550724637681</t>
  </si>
  <si>
    <t>CN(C)c1ccc(-c2ccc(CN(C)c3cccc4cc(CF)cnc34)nc2)cc1 7.6998224 0.3392857142857143</t>
  </si>
  <si>
    <t>CN(CCN(Cc1ccc2ncccc2c1)c1ccc2ncccc2c1)c1ccc2ncccc2c1 7.699789 0.3829787234042553</t>
  </si>
  <si>
    <t>CN(Cc1ccon1)c1ccc2ncccc2c1 7.699782 0.4418604651162791</t>
  </si>
  <si>
    <t>CN(C)Cc1ccc2cc(N(C)CCN(C)c3ccc4nc(-c5ccccn5)ccc4c3)ccc2n1 7.6997623 0.46</t>
  </si>
  <si>
    <t>CN(C)Cc1ncccc1-c1c(N)ccc2cccnc12 7.69976 0.40425531914893614</t>
  </si>
  <si>
    <t>Cc1ccc2ccc(N(C)Cc3ccc(-c4ccccc4N=Cc4ccccn4)nc3)cc2n1 7.699759 0.36923076923076925</t>
  </si>
  <si>
    <t>Cc1ccnc2c(N(C)CCN(C)c3cccc4c(CN(C)C)nccc34)cccc12 7.699754 0.45652173913043476</t>
  </si>
  <si>
    <t>CN(C)Cc1ccc2cccc(N(C)Cc3cccc(N(C)c4ccc5nc(CF)ccc5c4)n3)c2n1 7.6996827 0.41935483870967744</t>
  </si>
  <si>
    <t>CNc1cccc2c(-c3cccc(C)c3NCc3ccccn3)ccnc12 7.6996794 0.4</t>
  </si>
  <si>
    <t>CC(C)N(Cc1ccccn1)c1ccc2nc(-c3ncccc3-c3ccc(N=Cc4ccccn4)cc3)ccc2c1 7.699665 0.3333333333333333</t>
  </si>
  <si>
    <t>CN(C)Cc1ncccc1-c1cc2cccnc2cc1N 7.699594 0.32653061224489793</t>
  </si>
  <si>
    <t>CN(Cc1cc(-c2cccc(N(C)C)c2)ccn1)Cc1ccnc2ccc(N(C)Cc3ccc4ncccc4c3)cc12 7.699569 0.30303030303030304</t>
  </si>
  <si>
    <t>CN(Cc1ccon1)c1ccc2cccnc2c1 7.699564 0.4318181818181818</t>
  </si>
  <si>
    <t>CN(CC1=CC(N(C)c2ccc3nccc(CF)c3c2)C=CN1)c1ccc2ncccc2c1 7.699526 0.2676056338028169</t>
  </si>
  <si>
    <t>CN(C)Cc1ccc2cc(N(C)CN(C)c3ccc4ncccc4c3)ccc2n1 7.6995187 0.4166666666666667</t>
  </si>
  <si>
    <t>CN(CC1=CC(N(C)c2ccc3ncccc3c2)C=CN1)c1ccc2nccc(CF)c2c1 7.6995177 0.2676056338028169</t>
  </si>
  <si>
    <t>CN(Cc1ccc(-c2cccc(N=Cc3ccccn3)c2)cn1)c1ccc2ncccc2c1 7.699517 0.3181818181818182</t>
  </si>
  <si>
    <t>CN(C1=CCC=CN1)c1cccc2ncccc12 7.699475 0.34545454545454546</t>
  </si>
  <si>
    <t>CN(CC1=C(N(C)c2ccc3nc(CF)ccc3c2)CC=CN1)c1ccc2cccnc2c1 7.6994624 0.30303030303030304</t>
  </si>
  <si>
    <t>CN(C)C1=C(N(C)c2ccc3cccnc3c2)CC=CN1 7.6994042 0.26785714285714285</t>
  </si>
  <si>
    <t>Cc1nc(-c2cccnc2)oc1C 7.6993895 0.22727272727272727</t>
  </si>
  <si>
    <t>Cc1cccc2ccc(CN(C)c3ccc4ccc(CN(C)C)nc4c3)nc12 7.6993537 0.37777777777777777</t>
  </si>
  <si>
    <t>CN(Cc1ccccn1)c1cc(-c2cccnc2CN(Cc2ccccn2)Cc2cc(-c3ccc(N)c4cccnc34)ccn2)c2ncccc2c1 7.699345 0.3225806451612903</t>
  </si>
  <si>
    <t>CN(C1=CNC(c2ccccn2)=CC1)c1ccc2ncccc2c1 7.699329 0.29310344827586204</t>
  </si>
  <si>
    <t>CNc1ccccc1-c1cc(-c2ccccc2N=Cc2ccccn2)ccn1 7.699302 0.4423076923076923</t>
  </si>
  <si>
    <t>CN(CN(Cc1cccnn1)c1cccc2ncccc12)c1cccc2ncccc12 7.6992188 0.43478260869565216</t>
  </si>
  <si>
    <t>Cc1ccc(N(C)c2cccc3ncccc23)c(N(C)Cc2ccccn2)c1Cl 7.699217 0.4528301886792453</t>
  </si>
  <si>
    <t>Cc1nc(-c2ccncc2)oc1C 7.699216 0.21951219512195122</t>
  </si>
  <si>
    <t>CNc1cc(Cl)c2ncccc2c1N(C)Cc1cc(F)ccn1 7.699115 0.38181818181818183</t>
  </si>
  <si>
    <t>CN(CC1=CC(N(C)Cc2ccccn2)C=CN1)c1ccc2nccc(-c3ccc4ncccc4c3)c2c1 7.699112 0.3142857142857143</t>
  </si>
  <si>
    <t>CN(Cc1ncccc1-c1cccc(N=Cc2ccccn2)c1)c1ccc2cccnc2c1 7.699037 0.3230769230769231</t>
  </si>
  <si>
    <t>CNCc1cc2cccc(N(C)Cc3cc4cccc(C)c4cn3)c2cn1 7.6990094 0.3269230769230769</t>
  </si>
  <si>
    <t>CCN(CC1=C(N(C)c2ccc3nccc(C)c3c2)CC=CN1)c1ccc2ncccc2c1 7.698967 0.24324324324324326</t>
  </si>
  <si>
    <t>CN(C)C1=C(N(C)c2cccc3cccnc23)CC=CN1 7.6989264 0.46808510638297873</t>
  </si>
  <si>
    <t>CC(C)Nc1ccc2nccc(CN(C)c3ccc4nccc(CN(C)C)c4c3)c2c1 7.6989093 0.22033898305084745</t>
  </si>
  <si>
    <t>Cc1cnc(-c2ccccn2)o1 7.6988688 0.4857142857142857</t>
  </si>
  <si>
    <t>CN(CCN(C)c1ccc2nc3c(cc2c1)CCC3)c1ccc2nc(-c3ccccn3)ccc2c1 7.6988235 0.3684210526315789</t>
  </si>
  <si>
    <t>CN(Cc1cc(-c2cccc(N=Cc3ccccn3)c2)ccn1)c1ccc2ncccc2c1 7.698779 0.328125</t>
  </si>
  <si>
    <t>CN(CCCN(C)c1ccc2nccc(-c3ccccn3)c2c1)c1ccc2nccc(CF)c2c1 7.698696 0.3</t>
  </si>
  <si>
    <t>Cc1c(N(C)c2ccc3cccnc3c2)ccc(Cl)c1N(C)Cc1ccccn1 7.698668 0.49056603773584906</t>
  </si>
  <si>
    <t>CN(Cc1ccccn1)c1cccc2nccc(C3=CCC=CN3)c12 7.6986647 0.46551724137931033</t>
  </si>
  <si>
    <t>CN(Cc1ccc2ncccc2c1)Cc1nccc2cccc(N(C)Cc3ccc4ncccc4c3)c12 7.698663 0.3584905660377358</t>
  </si>
  <si>
    <t>CN(Cc1ccc2ncccc2c1)Cc1ccnc2ccc(N(C)Cc3ccc4ncccc4c3)cc12 7.6986127 0.3584905660377358</t>
  </si>
  <si>
    <t>CN(Cc1ncccc1-c1cccc(N=Cc2ccccn2)c1)c1cccc2cccnc12 7.698589 0.42857142857142855</t>
  </si>
  <si>
    <t>Cc1cccnc1CN(C)c1ccc2cccnc2c1-c1cc(N(C)Cc2ccccn2)ccn1 7.698583 0.41379310344827586</t>
  </si>
  <si>
    <t>CC(C)N(Cc1ccccn1)c1ccc2nc(-c3cccc(-c4cccc(N(C)C)c4)n3)ccc2c1 7.69854 0.4153846153846154</t>
  </si>
  <si>
    <t>CN(Cc1cnc2c(N(C)Cc3ccccn3)cccc2c1)c1ccc2nccc(CF)c2c1 7.698487 0.38095238095238093</t>
  </si>
  <si>
    <t>CC(C)N(Cc1ccccn1)c1ccc2nc(-c3ccc(-c4cccc(N(C)C)c4)cn3)ccc2c1 7.698479 0.3870967741935484</t>
  </si>
  <si>
    <t>CN(Cc1cc(-c2ccccc2N=Cc2ccccn2)ccn1)c1ccc2ncccc2c1 7.698468 0.3709677419354839</t>
  </si>
  <si>
    <t>CCN(Cc1ccccn1)c1cc2cccnc2cc1-c1c(-c2c(C)cccc2N=Cc2ccccn2)ccc(C)c1C 7.6984344 0.46153846153846156</t>
  </si>
  <si>
    <t>CN(C)Cc1ncccc1-c1c(N)ccc2ncccc12 7.698368 0.28</t>
  </si>
  <si>
    <t>Cc1coc(-c2ccccn2)n1 7.698232 0.4722222222222222</t>
  </si>
  <si>
    <t>CN(C)c1ccccc1-c1ccncc1CN(C)c1ccc2nccc(CF)c2c1 7.6982265 0.25</t>
  </si>
  <si>
    <t>CN(C)c1cccc(-c2cccc(CN(C)c3ccc4ncccc4c3)n2)c1 7.6982193 0.423728813559322</t>
  </si>
  <si>
    <t>CC(C)N(Cc1ccccn1)c1ccc2nc(-c3cccc(-c4ccc(N(C)C)cc4)n3)ccc2c1 7.698172 0.42105263157894735</t>
  </si>
  <si>
    <t>CCN(C)c1ccc2nc(CN(C)c3ccc4ncccc4c3)ccc2c1 7.698083 0.4166666666666667</t>
  </si>
  <si>
    <t>CN(Cc1cc(-c2ccc(N=Cc3ccccn3)cc2)ccn1)c1ccc2ncccc2c1 7.698081 0.3225806451612903</t>
  </si>
  <si>
    <t>CC(C)N(Cc1ccccn1)c1ccc2nccc(-c3ccc(-c4cccc(N=Cc5ccccn5)c4)cn3)c2c1 7.698064 0.3142857142857143</t>
  </si>
  <si>
    <t>CN(C)Cc1nccc2cc(N(C)Cc3ncccc3N(C)c3ccc4nc(CF)ccc4c3)ccc12 7.697982 0.2857142857142857</t>
  </si>
  <si>
    <t>Cc1ccnc2ccc(N(C)CCN(C)c3ccc4ncccc4c3)cc12 7.6979766 0.391304347826087</t>
  </si>
  <si>
    <t>CN(C)c1cccc(-c2ccc(CN(C)c3ccc4nccc(CF)c4c3)nc2)c1 7.697962 0.2698412698412698</t>
  </si>
  <si>
    <t>CN(C)c1cccc(-c2cncc(CN(C)c3ccc4ncccc4c3)c2)c1 7.6979585 0.30357142857142855</t>
  </si>
  <si>
    <t>CN(Cc1cc(-c2ccc(N=Cc3ccccn3)cc2)ccn1)c1ccc2cccnc2c1 7.6978607 0.3333333333333333</t>
  </si>
  <si>
    <t>CN(c1ccc2ncccc2c1)c1cc(-c2cccc(CN(C)C(C)(C)C)n2)cc2cccnc12 7.6978087 0.3389830508474576</t>
  </si>
  <si>
    <t>Cc1ccnc2ccc(N(C)CCN(C)c3ccc4cccnc4c3)cc12 7.69779 0.375</t>
  </si>
  <si>
    <t>Cc1nc2ccccc2n1Cc1cc(C2=NC(C)(C)CO2)ccn1 7.697739 0.36363636363636365</t>
  </si>
  <si>
    <t>CNc1cccc(-c2cccc(-c3ccc(N=Cc4ccccn4)cc3)n2)n1 7.697673 0.40384615384615385</t>
  </si>
  <si>
    <t>Cc1ccnc2ccc(N(C)CCN(C)c3ccc4nccc(CF)c4c3)cc12 7.6976643 0.25</t>
  </si>
  <si>
    <t>CN(CC1=CC(N(C)c2ccc3ncccc3c2)C=CN1)c1ccc2ncccc2c1 7.6976476 0.31666666666666665</t>
  </si>
  <si>
    <t>CNCc1ccc2cccc(N(C)Cc3cccc(N(C)c4ccc5ncccc5c4)n3)c2n1 7.6976447 0.3728813559322034</t>
  </si>
  <si>
    <t>Cc1cccnc1CN(C)c1ccc2cccnc2c1N(C)C 7.697642 0.4444444444444444</t>
  </si>
  <si>
    <t>CN(CC1=CC(N(C)c2ccc3cccnc3c2)C=CN1)c1ccc2ncccc2c1 7.6976247 0.296875</t>
  </si>
  <si>
    <t>Cc1cnc2cccc(N(C)CCN(C)c3cccc4ncccc34)c2c1 7.697622 0.5</t>
  </si>
  <si>
    <t>CNc1ccc2nc(CN(C)c3ccc4nc(CF)ccc4c3)ccc2c1 7.6975813 0.3191489361702128</t>
  </si>
  <si>
    <t>Cc1ccc2cccnc2c1N(C)Cc1cc(-c2cccc(N=Cc3ccccn3)c2)ccn1 7.6975417 0.35384615384615387</t>
  </si>
  <si>
    <t>CN(CC1=CC(N(C)c2ccc3ncccc3c2)C=CN1)c1ccc2cccnc2c1 7.697497 0.296875</t>
  </si>
  <si>
    <t>Cc1cccnc1CN(C)c1ccc2nc(CN(C)c3ccc4ncccc4c3)ccc2c1 7.697481 0.38461538461538464</t>
  </si>
  <si>
    <t>CN(CC1=CC(N(C)c2ccc3cccnc3c2)C=CN1)c1ccc2cccnc2c1 7.6974587 0.3114754098360656</t>
  </si>
  <si>
    <t>CN(C)c1cccc2ncccc12 7.6974177 0.40540540540540543</t>
  </si>
  <si>
    <t>CNc1cccnc1-c1cccc(-c2cccc(N=Cc3ccccn3)c2)n1 7.6973777 0.3684210526315789</t>
  </si>
  <si>
    <t>CNc1cccc(-c2cccc(-c3ccccc3N=Cc3ccccn3)n2)n1 7.6973715 0.4897959183673469</t>
  </si>
  <si>
    <t>CN(C)Cc1cnc2ccc(N(C)CCN(C)c3ccc4cc(-c5ccccn5)cnc4c3)cc2c1 7.6972885 0.3114754098360656</t>
  </si>
  <si>
    <t>CN(C)c1cccc(-c2ccnc(CN(C)c3ccc4nccc(CF)c4c3)c2)c1 7.697234 0.2833333333333333</t>
  </si>
  <si>
    <t>Cc1ccc2c(CN(C)c3cccc4cc(CN(C)C)cnc34)nccc2c1 7.6972294 0.36363636363636365</t>
  </si>
  <si>
    <t>CN(C)Cc1cnc2cc(N(C)CCN(C)c3ccc4cc(-c5ccccn5)cnc4c3)ccc2c1 7.6972175 0.3333333333333333</t>
  </si>
  <si>
    <t>CN(Cc1ccccn1)c1ccc2nccc(-c3ccccc3N=Cc3ccccn3)c2c1 7.697211 0.38333333333333336</t>
  </si>
  <si>
    <t>Cc1ccnc2ccc(N(C)CCN(C)c3ccc4ncc5c(c4c3)CCC5)cc12 7.6972046 0.23636363636363636</t>
  </si>
  <si>
    <t>Cc1cnccc1CN(C)c1c(Cl)cc(N(C)Cc2cccc(-c3cccc(N)c3)n2)c2ncccc12 7.697106 0.3382352941176471</t>
  </si>
  <si>
    <t>Cc1ccnc2cc(N(C)CCN(C)c3ccc4ncccc4c3)ccc12 7.6970916 0.3829787234042553</t>
  </si>
  <si>
    <t>CC(C)N(C)c1ccc2nccc(CN(C)c3ccc4ncccc4c3)c2c1 7.6970196 0.3333333333333333</t>
  </si>
  <si>
    <t>CNCc1cc(-c2cc(N=Cc3ccccn3)cc3cccnc23)ccn1 7.6970162 0.32786885245901637</t>
  </si>
  <si>
    <t>CC(C)N(C)c1ccc2c(CN(C)c3ccc4ncccc4c3)ccnc2c1 7.696959 0.3333333333333333</t>
  </si>
  <si>
    <t>CC(C)N(Cc1ccccn1)c1cc(N(C)c2cccc3nc(CF)ccc23)c2cccnc2c1 7.696928 0.3492063492063492</t>
  </si>
  <si>
    <t>Cc1ccnc2cc(N(C)CCN(C)c3ccc4cccnc4c3)ccc12 7.696911 0.3829787234042553</t>
  </si>
  <si>
    <t>Cc1ccnc2ccc(N(C)Cc3ccc(-c4cccc(N=Cc5ccccn5)c4)cn3)cc12 7.6968846 0.3382352941176471</t>
  </si>
  <si>
    <t>CC(C)N(C)c1ccc2c(CN(C)c3ccc4cccnc4c3)ccnc2c1 7.6968336 0.3333333333333333</t>
  </si>
  <si>
    <t>CNc1cccnc1-c1cccc(-c2ccc(N=Cc3ccccn3)cc2)n1 7.696748 0.38181818181818183</t>
  </si>
  <si>
    <t>CNc1nc2ccccc2n1Cc1nc(C)cc(C)c1C 7.6967072 0.2962962962962963</t>
  </si>
  <si>
    <t>CN(C)Cc1cnc2cccc(N(C)CN(C)c3cccc4ncccc34)c2c1 7.6966667 0.3673469387755102</t>
  </si>
  <si>
    <t>CN(Cc1ccccn1)C1=C(CN(C)c2ccc3nc(-c4ccc5ncccc5c4)ccc3c2)NC=CC1 7.696643 0.3283582089552239</t>
  </si>
  <si>
    <t>CC(C)N(Cc1ccccn1)c1ccc2nc(-c3cc(-c4cccc(N(C)C)c4)ccn3)ccc2c1 7.6965957 0.39344262295081966</t>
  </si>
  <si>
    <t>CC(C)N(Cc1ccccn1)c1cc2ncccc2cc1N(C)c1ccc2ncccc2c1 7.6965322 0.40384615384615385</t>
  </si>
  <si>
    <t>CCCN(C)Cc1ccc2cccc(N(C)Cc3ccc4cccc(N(C)c5ccc6ncccc6c5)c4n3)c2n1 7.6965117 0.41818181818181815</t>
  </si>
  <si>
    <t>CN(Cc1cccnc1)c1ccc2nccc(CN(C)c3ccc4ncccc4c3)c2c1 7.696506 0.2982456140350877</t>
  </si>
  <si>
    <t>CN(Cc1ccc2ncccc2c1)c1ccc2nccc(CF)c2c1 7.6964917 0.3090909090909091</t>
  </si>
  <si>
    <t>CN(C)c1ccccc1-c1cnccc1CN(C)c1ccc2cccnc2c1 7.696327 0.32142857142857145</t>
  </si>
  <si>
    <t>CNc1cc(-c2cccc(-c3ccc(N=Cc4ccccn4)cc3)n2)ccn1 7.696314 0.38181818181818183</t>
  </si>
  <si>
    <t>CNc1cc(-c2ccc(-c3ccccc3N=Cc3ccccn3)cn2)ccn1 7.69624 0.4107142857142857</t>
  </si>
  <si>
    <t>CN(Cc1ccc2ncccc2c1N(C)Cc1ccccn1)c1cccc2ncccc12 7.696223 0.46938775510204084</t>
  </si>
  <si>
    <t>CN(C)c1ccccc1-c1cccnc1CN(Cc1ccc2ncccc2c1)c1ccc2nccc(CF)c2c1 7.6961846 0.25757575757575757</t>
  </si>
  <si>
    <t>CN(C)c1cccc(-c2cccnc2CN(C)c2ccc3ncccc3c2)c1 7.6961823 0.32075471698113206</t>
  </si>
  <si>
    <t>CN(Cc1cccc(-c2ccc(Cl)cc2N)n1)c1ccc2ncccc2c1 7.6961136 0.3559322033898305</t>
  </si>
  <si>
    <t>CN(C)Cc1ccc2cccc(N(C)Cc3cccc(N(C)c4ccc5ncccc5c4)n3)c2n1 7.695995 0.4</t>
  </si>
  <si>
    <t>CN(C)Cc1ccnc2cc(N(C)CN(C)c3ccc4cccnc4c3)ccc12 7.6959724 0.3269230769230769</t>
  </si>
  <si>
    <t>Cc1ccc(N(C)Cc2cc(-c3cccc(N=Cc4ccccn4)c3)ccn2)c2ncccc12 7.6959524 0.35384615384615387</t>
  </si>
  <si>
    <t>CNCc1cc(-c2cc(N=Cc3ccccn3)cc3ncccc23)ccn1 7.695833 0.32786885245901637</t>
  </si>
  <si>
    <t>CN(CNc1ccc2cccnc2c1)c1ccc2ncccc2c1 7.695795 0.32653061224489793</t>
  </si>
  <si>
    <t>CN(Cc1ccccn1)c1ccc2nccc(CN(C)c3ccc4ncccc4c3)c2c1 7.695781 0.44</t>
  </si>
  <si>
    <t>Cc1ccnc2cccc(N(C)CCN(C)c3ccc4ncccc4c3)c12 7.6956797 0.46808510638297873</t>
  </si>
  <si>
    <t>CNc1ccc(-c2ccnc3c(N(C)Cc4cc(C)ccn4)cccc23)cc1 7.6956496 0.3275862068965517</t>
  </si>
  <si>
    <t>CC(C)N(Cc1ccccn1)c1cc(N(C)c2ccc3nccc(CF)c3c2)c2cccnc2c1 7.6956425 0.3387096774193548</t>
  </si>
  <si>
    <t>CC(C)N(Cc1ccccn1)c1c(N(C)c2cccc3ncccc23)ccc2ncccc12 7.695612 0.40384615384615385</t>
  </si>
  <si>
    <t>Cc1ccc2cc(N(C)CCN(C)c3ccc4nccc(C)c4c3)ccc2n1 7.6956105 0.28</t>
  </si>
  <si>
    <t>Cc1cncc(CN(C)c2ccc3nccc(CN(C)c4ccc5ncccc5c4)c3c2)c1 7.6955338 0.2833333333333333</t>
  </si>
  <si>
    <t>CNCc1cc(-c2ccc(N=Cc3ccccn3)c3ncccc23)ccn1 7.6954417 0.3728813559322034</t>
  </si>
  <si>
    <t>CN(CC1=C(N(C)c2ccc3ncccc3c2)CC=CN1)c1ccc2nccc(CF)c2c1 7.6954064 0.2463768115942029</t>
  </si>
  <si>
    <t>CN(CC1=CC(N(C)c2cccc3cccnc23)C=CN1)c1cccc2ncccc12 7.6953835 0.43636363636363634</t>
  </si>
  <si>
    <t>Cc1cc(C)c2cccc(N(C)CCN(C)c3ccc4ncccc4c3)c2n1 7.6953506 0.5</t>
  </si>
  <si>
    <t>CN(C)Cc1ccc2cc(N(C)Cc3ccc4cccc(N(C)Cc5ccon5)c4n3)ccc2n1 7.695338 0.37735849056603776</t>
  </si>
  <si>
    <t>CN(Cc1ccc2ccccc2n1)Cc1ccc2cccc(N(C)c3ccc4ncccc4c3)c2n1 7.695188 0.42592592592592593</t>
  </si>
  <si>
    <t>CC(C)N(Cc1ccccn1)c1cc(N(C)c2cccc3nccc(CF)c23)cc2ncccc12 7.6951604 0.3333333333333333</t>
  </si>
  <si>
    <t>Cc1ccnc2ccc(N(C)CC3=CC(N(C)c4ccc5ncccc5c4)C=CN3)cc12 7.69516 0.27941176470588236</t>
  </si>
  <si>
    <t>CN(CCc1nc2ccccc2o1)c1ccc2ncccc2c1 7.6949596 0.36</t>
  </si>
  <si>
    <t>CN(Cc1cccnn1)c1ccc2cccnc2c1N(C)Cc1ccc2ncccc2c1 7.6948943 0.37037037037037035</t>
  </si>
  <si>
    <t>CC(C)N(Cc1ccccn1)c1cc(N(C)c2ccc3cccnc3c2)c2ncccc2c1 7.694893 0.40350877192982454</t>
  </si>
  <si>
    <t>CC(C)N(C)Cc1ncccc1-c1ccc2cccnc2c1N(C)c1ccc2ncccc2c1 7.6948524 0.3220338983050847</t>
  </si>
  <si>
    <t>Cc1ccc2cc(N(C)C3=C(CN(C)c4ccc5ncccc5c4)NC=CC3)ccc2n1 7.6948423 0.2857142857142857</t>
  </si>
  <si>
    <t>CCNCc1ccc2nccc(-c3ccccc3N(C)Cc3cccc(-c4ccc5ncccc5c4)n3)c2c1 7.6948094 0.3246753246753247</t>
  </si>
  <si>
    <t>CNCc1nc2ncccc2o1 7.6948094 0.3023255813953488</t>
  </si>
  <si>
    <t>CNCc1cc(-c2c(N(C)C)ccc3cccnc23)ccn1 7.694788 0.38</t>
  </si>
  <si>
    <t>CNCc1cc(-c2cc3ncccc3cc2N(C)C)ccn1 7.694745 0.3018867924528302</t>
  </si>
  <si>
    <t>CN(CN(C)c1ccc2nccc(CF)c2c1)c1ccc2ncccc2c1 7.6946597 0.3137254901960784</t>
  </si>
  <si>
    <t>CN(Cc1cc(-c2ccc3ncccc3c2)ccn1)Cc1nc2ccccc2n1C 7.694494 0.3728813559322034</t>
  </si>
  <si>
    <t>CC(C)N(Cc1ccccn1)c1cc(N(C)c2ccc3ncccc3c2)c2cccnc2c1 7.694477 0.38181818181818183</t>
  </si>
  <si>
    <t>CC(C)N(Cc1ccccn1)c1ccc2nccc(-c3ccc(-c4cccc(N(C)C)c4)cn3)c2c1 7.694471 0.328125</t>
  </si>
  <si>
    <t>CC(C)N(Cc1ccccn1)c1cc(N(C)c2ccc3cccnc3c2)c2cccnc2c1 7.6944227 0.4107142857142857</t>
  </si>
  <si>
    <t>CC(C)N(C)Cc1ccc(-c2cc(N(C)c3ccc4ncccc4c3)c3ncccc3c2)cn1 7.6943984 0.31666666666666665</t>
  </si>
  <si>
    <t>CNCc1cc(-c2ccc3cccnc3c2N(C)C)ccn1 7.6943245 0.35294117647058826</t>
  </si>
  <si>
    <t>CN(Cc1ccc2cccnc2c1)c1cc2ncccc2cc1N(C)Cc1cccnn1 7.694269 0.4166666666666667</t>
  </si>
  <si>
    <t>CC(C)N(C)Cc1cc(-c2cc(N(C)c3ccc4ncccc4c3)cc3cccnc23)ccn1 7.6942673 0.29508196721311475</t>
  </si>
  <si>
    <t>CC(C)N(C)Cc1ccc(-c2cc(N(C)c3ccc4ncccc4c3)c3cccnc3c2)cn1 7.694258 0.27419354838709675</t>
  </si>
  <si>
    <t>CN(CCN(C)c1cccc2ccc(-c3ccc4ncccc4c3)nc12)Cc1ccc2ncccc2c1 7.6942377 0.4807692307692308</t>
  </si>
  <si>
    <t>CN(C)Cc1ccc2cc(N(C)Cc3ccc4cc(N(C)Cc5ccc6ncccc6c5)ccc4n3)ccc2n1 7.6941752 0.38461538461538464</t>
  </si>
  <si>
    <t>Cc1cc(C)nc(-c2ccc3cc(N(C)Cc4nc([SiH3])c(C)cc4C)ccc3n2)c1 7.6941676 0.22950819672131148</t>
  </si>
  <si>
    <t>CC(C)N(Cc1cccnc1)c1cc(N(C)c2cccc3ncccc23)cc2ncccc12 7.6941648 0.26666666666666666</t>
  </si>
  <si>
    <t>CN(CC1=C(N(C)c2ccc3cccnc3c2)CC=CN1)c1ccc2ncccc2c1 7.6941295 0.2786885245901639</t>
  </si>
  <si>
    <t>CN(Cc1ccc2ncccc2c1)c1ccc2ncccc2c1 7.6941056 0.37209302325581395</t>
  </si>
  <si>
    <t>Cc1cc(N(C)Cc2ccc(-c3cccc(N(C)C)c3)cn2)c2ncccc2c1 7.694096 0.3888888888888889</t>
  </si>
  <si>
    <t>CN(Cc1ccc2cccc(N(Cc3ccc4ncccc4c3)Cc3ccc4ccccc4n3)c2n1)Cc1nc2ccccc2o1 7.69409 0.3382352941176471</t>
  </si>
  <si>
    <t>CN(CC1=C(N(C)c2ccc3ncccc3c2)CC=CN1)c1ccc2ncccc2c1 7.694089 0.2982456140350877</t>
  </si>
  <si>
    <t>CN(Cc1ccc2cccnc2c1)c1ccc2ncccc2c1 7.6940637 0.34782608695652173</t>
  </si>
  <si>
    <t>CN(CC1=C(N(C)c2ccc3cccnc3c2)CC=CN1)c1ccc2cccnc2c1 7.6939955 0.29310344827586204</t>
  </si>
  <si>
    <t>CN(CC1=C(N(C)c2ccc3ncccc3c2)CC=CN1)c1ccc2cccnc2c1 7.693959 0.2786885245901639</t>
  </si>
  <si>
    <t>Cc1ccnc2cccc(N(C)CCN(C)c3cccc4ncccc34)c12 7.6939216 0.4883720930232558</t>
  </si>
  <si>
    <t>CNc1ccc2nccc(CN(C)c3ccc4nc(CF)ccc4c3)c2c1 7.693918 0.26865671641791045</t>
  </si>
  <si>
    <t>Cc1cc(N(C)Cc2ccccn2)c2ncc(-c3ccccc3N(C)C)cc2c1 7.6938014 0.46153846153846156</t>
  </si>
  <si>
    <t>CC(C)N(Cc1cccnn1)c1cc2cccnc2cc1N(C)c1ccc2cccnc2c1 7.6936736 0.37735849056603776</t>
  </si>
  <si>
    <t>CNCc1ncccc1-c1cc2cccnc2cc1N(C)C 7.693671 0.32</t>
  </si>
  <si>
    <t>Cc1cccc(-c2ccc(-c3cccc(-c4cc(Cl)cc(Cl)c4)n3)c(Cl)c2NCc2ccccn2)n1 7.693655 0.41935483870967744</t>
  </si>
  <si>
    <t>CN(CCN(C)c1cccc2ncc(C3=CCC=CN3)cc12)c1ccc2cccnc2c1 7.693577 0.3709677419354839</t>
  </si>
  <si>
    <t>CCN(Cc1ccccn1)c1cc2cccnc2c(C)c1N(C)c1ccc2ncccc2c1 7.6935725 0.3620689655172414</t>
  </si>
  <si>
    <t>CC(C)N(Cc1ccccn1)c1cc(N(C)c2cccc3ncccc23)cc2ncccc12 7.6935654 0.39622641509433965</t>
  </si>
  <si>
    <t>Cc1c(N(Cc2ccccn2)c2ccc3cccnc3c2)cc2cccnc2c1N(C)Cc1ccccn1 7.693516 0.4107142857142857</t>
  </si>
  <si>
    <t>CNCc1ncccc1-c1ccc2cccnc2c1N(C)C 7.693473 0.3829787234042553</t>
  </si>
  <si>
    <t>CN(CC1=CCC(N(C)c2ccc3ncccc3c2)=CN1)c1ccc2ncccc2c1 7.6934657 0.2909090909090909</t>
  </si>
  <si>
    <t>CCN(C)c1ccc2nccc(CN(C)c3ccc4ncccc4c3)c2c1 7.6934566 0.3269230769230769</t>
  </si>
  <si>
    <t>CCN(Cc1ccccn1)c1cc2cccnc2cc1-c1cc(N(C)Cc2ncccc2C)c2ncccc2c1 7.6933637 0.36507936507936506</t>
  </si>
  <si>
    <t>CN(CC1=CCC(N(C)c2ccc3cccnc3c2)=CN1)c1ccc2cccnc2c1 7.6932516 0.29310344827586204</t>
  </si>
  <si>
    <t>CN(C)Cc1cncc2c(N(C)Cc3cccc(N(C)c4ccc5cccnc5c4)n3)cccc12 7.692965 0.31746031746031744</t>
  </si>
  <si>
    <t>CN(CC1=C(N(C)c2cccc3ncccc23)CC=CN1)c1ccc2cccnc2c1 7.6929417 0.31746031746031744</t>
  </si>
  <si>
    <t>CN(Cc1nc2ccccc2o1)Cc1nc2ccccc2n1C 7.692905 0.4489795918367347</t>
  </si>
  <si>
    <t>CN(C)Cc1ccc2ccc(N(C)Cc3cccc(-c4ccc5ncccc5c4)n3)cc2n1 7.692901 0.38095238095238093</t>
  </si>
  <si>
    <t>Cc1ccc2ncccc2c1N(C)C 7.692855 0.2857142857142857</t>
  </si>
  <si>
    <t>Cc1cc2ccc(N(C)CCN(C)c3ccc4ncc(-c5ccccc5)cc4c3)cc2nc1-c1ccccc1 7.6928306 0.24561403508771928</t>
  </si>
  <si>
    <t>CN(C)Cc1ccnc2ccc(N(C)CCN(C)c3ccc4nccc(-c5ccccn5)c4c3)cc12 7.6928167 0.3103448275862069</t>
  </si>
  <si>
    <t>CN(CN(C)c1ccc2ncccc2c1)c1ccc2ncccc2c1 7.6928067 0.41025641025641024</t>
  </si>
  <si>
    <t>Cc1cc2ncccc2cc1N(C)C 7.692739 0.375</t>
  </si>
  <si>
    <t>CN(C)Cc1ccc2cc(N(C)c3ccc4cccnc4c3)ccc2n1 7.692726 0.45652173913043476</t>
  </si>
  <si>
    <t>CN(C)Cc1ccc2cc(N(C)c3ccc4ncccc4c3)ccc2n1 7.6927204 0.43478260869565216</t>
  </si>
  <si>
    <t>CNCc1cc(-c2cc(N(C)C)c3ncccc3c2)ccn1 7.6927133 0.3877551020408163</t>
  </si>
  <si>
    <t>CCn1c(CN(C)CCN(c2ccc3ncccc3c2)c2cccc3c(C)ccnc23)nc2ccccc21 7.6926837 0.375</t>
  </si>
  <si>
    <t>CNc1cc2cccnc2cc1-c1ncccc1-c1ccc(NCc2ccccn2)cc1 7.6926675 0.4032258064516129</t>
  </si>
  <si>
    <t>CN(CN(C)c1ccc2cccnc2c1)c1ccc2ncccc2c1 7.692569 0.37209302325581395</t>
  </si>
  <si>
    <t>CNCc1ccc2cccc(N(C)c3ccc4ncccc4c3)c2n1 7.6925383 0.39215686274509803</t>
  </si>
  <si>
    <t>Cc1cc2cccnc2cc1N(C)C 7.692488 0.375</t>
  </si>
  <si>
    <t>CN(CCN(C)c1ccc2nccc(C3=CCC=CN3)c2c1)c1ccc2ncccc2c1 7.692442 0.3076923076923077</t>
  </si>
  <si>
    <t>CN(CN(C)c1ccc2cccnc2c1)c1ccc2cccnc2c1 7.692336 0.4</t>
  </si>
  <si>
    <t>CNCc1cc(-c2cc(N(C)C)c3cccnc3c2)ccn1 7.6922655 0.2962962962962963</t>
  </si>
  <si>
    <t>Cc1ccnc2cccc(N(CCN(C)c3cccc4nccc(CF)c34)CN(C)c3cccc4ncccc34)c12 7.6922355 0.3620689655172414</t>
  </si>
  <si>
    <t>Cc1ccc2c(N(C)CCN(C)c3cccc4nccc(C)c34)cccc2n1 7.692224 0.425531914893617</t>
  </si>
  <si>
    <t>Cc1ccc(CN(C)c2cc(Cl)c3cc(-c4ccccn4)cnc3c2N(C)Cc2ccccn2)nc1 7.6922207 0.4909090909090909</t>
  </si>
  <si>
    <t>CNc1ccc2nccc(CN(C)c3ccc4nccc(CN(C)C)c4c3)c2c1 7.692164 0.23214285714285715</t>
  </si>
  <si>
    <t>CN(CC1=C(N(C)c2cccc3cccnc23)CC=CN1)c1cccc2ncccc12 7.6920705 0.43636363636363634</t>
  </si>
  <si>
    <t>CCNc1cccc2c(-c3ccc(-c4cccc(N=Cc5ccccn5)c4)cn3)ccnc12 7.692034 0.3088235294117647</t>
  </si>
  <si>
    <t>CN(C)Cc1ccc2ccc(N(C)c3ccc4ncccc4c3)cc2n1 7.691964 0.425531914893617</t>
  </si>
  <si>
    <t>CN(Cc1cc(-c2ccc3ncccc3c2)ccn1)Cc1cc(-c2ccc3ncccc3c2)ccn1 7.69179 0.40425531914893614</t>
  </si>
  <si>
    <t>Cc1ccc(N(C)C)c2cccnc12 7.691764 0.38461538461538464</t>
  </si>
  <si>
    <t>CN(CC1=C(N(C)c2cccc3ncccc23)CC=CN1)c1cccc2ncccc12 7.6916704 0.34545454545454546</t>
  </si>
  <si>
    <t>Cc1ccnc2ccc(N(C)CCN(C)c3ccc4nccc(C)c4c3)cc12 7.691621 0.29545454545454547</t>
  </si>
  <si>
    <t>CN(C)c1ccc(-c2ccc3ncccc3c2)cc1 7.6915913 0.3333333333333333</t>
  </si>
  <si>
    <t>CNCc1cc2cccc(N(C)Cc3cccc(-c4cccc5cccnc45)n3)c2cn1 7.6915865 0.39285714285714285</t>
  </si>
  <si>
    <t>CNCc1ccc(-c2ccc(N(C)C)c3ncccc23)cn1 7.691448 0.3018867924528302</t>
  </si>
  <si>
    <t>CN(CC1=CCC=C(N(C)c2ccc3ncccc3c2)N1)c1ccc2ncccc2c1 7.6914268 0.2909090909090909</t>
  </si>
  <si>
    <t>CN(CCN(Cc1ncccc1-c1ccc2ncccc2c1)c1ccc2ncccc2c1)c1ccc2ncccc2c1 7.691393 0.33962264150943394</t>
  </si>
  <si>
    <t>CN(CCN(Cc1cc(-c2ccc3cccnc3c2)ccn1)c1ccc2ncccc2c1)c1ccc2ncccc2c1 7.691376 0.3275862068965517</t>
  </si>
  <si>
    <t>c1cncc(-c2ccc3ncccc3c2)c1 7.6913595 0.25</t>
  </si>
  <si>
    <t>CN(CC1=CCC=C(N(C)c2ccc3cccnc3c2)N1)c1ccc2ncccc2c1 7.691351 0.2786885245901639</t>
  </si>
  <si>
    <t>Cc1cccc2ccc(CN(C)c3ccc4ccc(CN(C)c5ccc6ccc(CN(C)C)nc6c5)nc4c3)nc12 7.691349 0.37777777777777777</t>
  </si>
  <si>
    <t>CNCc1cc2cccc(N(C)Cc3cc(-c4ccc5ncccc5c4)ccn3)c2cn1 7.691312 0.3333333333333333</t>
  </si>
  <si>
    <t>CN(CC1=CCC=C(N(C)c2ccc3cccnc3c2)N1)c1ccc2cccnc2c1 7.6911907 0.29310344827586204</t>
  </si>
  <si>
    <t>Cc1c(N(C)C)ccc2ncccc12 7.691178 0.3170731707317073</t>
  </si>
  <si>
    <t>CCN(Cc1ccccn1)c1ccc2nccc(-c3ccc4ncccc4c3)c2c1 7.6911364 0.3508771929824561</t>
  </si>
  <si>
    <t>CNc1ccc2nc(CN(C)Cc3ccc4cccc(N(C)c5ccc6ncccc6c5)c4n3)ccc2c1 7.690975 0.3620689655172414</t>
  </si>
  <si>
    <t>CN(C)c1ccc2ccc(C3=CCC=CN3)nc2c1 7.690926 0.2631578947368421</t>
  </si>
  <si>
    <t>Cc1ccnc2cc(N(C)CCN(C)c3ccc4nccc(C)c4c3)ccc12 7.690793 0.2708333333333333</t>
  </si>
  <si>
    <t>CN(C)Cc1cnc2c(N(C)Cc3cc(-c4ccc5ncccc5c4)ccn3)cccc2c1 7.6907835 0.39285714285714285</t>
  </si>
  <si>
    <t>CC(C)N(Cc1ccccn1)c1ccc2nccc(-c3ccc4ncccc4c3)c2c1 7.690705 0.3888888888888889</t>
  </si>
  <si>
    <t>CN(C)c1ccc2cc(C3=CCC=CN3)cnc2c1 7.690687 0.27586206896551724</t>
  </si>
  <si>
    <t>CC(C)N(Cc1ccc2ncccc2c1)c1ccc2nccc(-c3ccccc3N(C)C)c2c1 7.690588 0.2786885245901639</t>
  </si>
  <si>
    <t>CN(Cc1ccc2ncccc2n1)c1ccc2nccc(CF)c2c1 7.6905293 0.32142857142857145</t>
  </si>
  <si>
    <t>CN(c1ccc2cccnc2c1)c1ccccc1-c1ccccn1 7.690505 0.3333333333333333</t>
  </si>
  <si>
    <t>CN(C)Cc1cncc2c(N(C)Cc3nccc4cc(N(C)Cc5ccon5)ccc34)cccc12 7.6904774 0.3064516129032258</t>
  </si>
  <si>
    <t>Cc1ccnc2ccc(N(C)CCN(C)c3cccc4nccc(C)c34)cc12 7.690388 0.36</t>
  </si>
  <si>
    <t>CN(c1ccc2ncccc2c1)c1ccc2nc3c(cc2c1)CCC3 7.690347 0.4</t>
  </si>
  <si>
    <t>CC1(C)CCC1c1ncc(C2=NC(=O)C(=O)O2)c(C2=NC(=O)C(=O)O2)c1C1=NC(C(=O)C(=O)C(=O)C(=O)C(=O)C(=O)C(=O)C(=O)C(=O)C(=O)C=O)C(=O)O1 7.690292 0.14130434782608695</t>
  </si>
  <si>
    <t>CNCc1ncccc1-c1ccc(N(C)C)c2cccnc12 7.6902823 0.32653061224489793</t>
  </si>
  <si>
    <t>CN(C)Cc1cc2cccc(N(C)Cc3cc(-c4ccc5cccnc5c4)ccn3)c2cn1 7.690128 0.35714285714285715</t>
  </si>
  <si>
    <t>CN(Cc1ccc2cccnc2n1)Cc1ccc2cccc(N(C)Cc3cc(-c4ccc5ncccc5c4)ccn3)c2n1 7.6901207 0.3728813559322034</t>
  </si>
  <si>
    <t>CN(C)c1cccc(-c2ccccc2)c1-c1c(N(C)Cc2ccccn2)c(-c2ccccc2)cc2ncccc12 7.690041 0.4107142857142857</t>
  </si>
  <si>
    <t>CNCc1nccc2cc(N(C)c3ccc4ncccc4c3)ccc12 7.6900234 0.2830188679245283</t>
  </si>
  <si>
    <t>CNCc1ncccc1-c1ccc(N(C)C)c2ncccc12 7.6899576 0.32653061224489793</t>
  </si>
  <si>
    <t>Cc1cc(N(C)C)cc2ncccc12 7.6899447 0.27906976744186046</t>
  </si>
  <si>
    <t>c1ccc(-c2ccc3ncccc3c2)nc1 7.6899405 0.39473684210526316</t>
  </si>
  <si>
    <t>Cc1ccc2c(N(C)C3=CNC(CN(C)c4cccc5ncccc45)=CC3)cccc2n1 7.6898913 0.31666666666666665</t>
  </si>
  <si>
    <t>Cc1cc(N(Cc2ccccn2)c2ccc3ncccc3c2)c2cccnc2c1 7.6898165 0.37735849056603776</t>
  </si>
  <si>
    <t>Cc1ccnc2cccc(N(C)CCN(C)c3cccc4nccc(C)c34)c12 7.6897726 0.46153846153846156</t>
  </si>
  <si>
    <t>CN(CN(C)c1cccc2ncccc12)c1cccc2ncccc12 7.689753 0.4864864864864865</t>
  </si>
  <si>
    <t>c1cnc2ccc(-c3ccncc3)cc2c1 7.6897473 0.2619047619047619</t>
  </si>
  <si>
    <t>CNc1cccnc1-c1cccc(-c2cccc(-c3cccc(N=Cc4ccccn4)c3)n2)n1 7.6897244 0.3620689655172414</t>
  </si>
  <si>
    <t>Cc1cc(C)c2ccc(N(C)CC3=C(N(C)c4ccc5ncccc5c4)CC=CN3)cc2n1 7.689678 0.2463768115942029</t>
  </si>
  <si>
    <t>CNc1ccc2nccc(CN(C)c3ccc4nccc(CF)c4c3)c2c1 7.6896753 0.22413793103448276</t>
  </si>
  <si>
    <t>CN(Cc1cc(-c2cccc3cccnc23)ccn1)c1cccc2cc3c(nc12)CCC3 7.6896477 0.46774193548387094</t>
  </si>
  <si>
    <t>CN(Cc1ccc2cccnc2n1)c1ccc2nccc(CF)c2c1 7.689618 0.3050847457627119</t>
  </si>
  <si>
    <t>CNc1cccc(-c2cccc(-c3cccc(-c4ccccc4N=Cc4ccccn4)n3)n2)n1 7.689586 0.4897959183673469</t>
  </si>
  <si>
    <t>Cc1ccnc2cccc(N(C)C)c12 7.6895804 0.3170731707317073</t>
  </si>
  <si>
    <t>CN(C)Cc1ccc2c(N(C)c3ccc4ncccc4c3)cccc2n1 7.689454 0.35185185185185186</t>
  </si>
  <si>
    <t>CNc1cccc2c(-c3cc(-c4ccccc4NCc4ccccn4)ccn3)ccnc12 7.6894417 0.38095238095238093</t>
  </si>
  <si>
    <t>CN(C1=CC(N(C)c2ccc3cccnc3c2)C=CN1)c1ccc2cccnc2c1 7.6890965 0.2711864406779661</t>
  </si>
  <si>
    <t>CN(C)Cc1nccc2cc(N(C)c3ccc4ncccc4c3)ccc12 7.6890874 0.3076923076923077</t>
  </si>
  <si>
    <t>CN(C)c1cccc2nc(C3=CCC=CN3)ccc12 7.689086 0.27586206896551724</t>
  </si>
  <si>
    <t>Cc1ccc(C)c(N(Cc2ccccn2)c2cc3cccnc3cc2N(C)c2ccc3ncccc3c2)c1 7.6890697 0.3559322033898305</t>
  </si>
  <si>
    <t>CNCc1ccc2cccc(N(C)Cc3ccc4cccc(N(C)c5ccc6nc(CF)ccc6c5)c4n3)c2n1 7.6890683 0.41935483870967744</t>
  </si>
  <si>
    <t>CN(C)Cc1nccc2ccc(N(C)Cc3ncccc3-c3ccc4ncccc4c3)cc12 7.6889067 0.2711864406779661</t>
  </si>
  <si>
    <t>CCN(c1ccc2ncccc2c1)c1cccc2c(-c3ccc(NCc4ccccn4)c(C)c3)ccnc12 7.688775 0.36486486486486486</t>
  </si>
  <si>
    <t>Cc1cc2ncccc2cc1N(C)CC1=CCC=C(N(C)c2ccc3cccnc3c2)N1 7.6887345 0.2786885245901639</t>
  </si>
  <si>
    <t>CN(C)Cc1nc2ncccc2o1 7.6886992 0.3409090909090909</t>
  </si>
  <si>
    <t>CN(C)c1ccc2nc(CN(C)c3ccc4ncccc4c3)ccc2c1 7.6885114 0.425531914893617</t>
  </si>
  <si>
    <t>Cc1cnc2ccc(N(C)Cc3ccc(N(C)c4ccc5ncccc5c4)cn3)cc2c1 7.688418 0.34615384615384615</t>
  </si>
  <si>
    <t>CN(CC1=CCC=C(N(C)c2cccc3ncccc23)N1)c1cccc2ncccc12 7.6883764 0.33962264150943394</t>
  </si>
  <si>
    <t>CCN(c1ccc2ncccc2c1)c1cccc2c(-c3cccc(C)c3NCc3ccccn3)ccnc12 7.6882925 0.39436619718309857</t>
  </si>
  <si>
    <t>CN(C1=CC(N(C)c2ccc3cccnc3c2)NC=C1)c1ccc2cccnc2c1 7.688292 0.2711864406779661</t>
  </si>
  <si>
    <t>CN(CNCN(c1ccc2cccnc2c1)c1ccc2cccnc2c1)c1ccc2cccnc2c1 7.6881976 0.34782608695652173</t>
  </si>
  <si>
    <t>Cc1ccnc(-c2ccnc3cc(N(C)Cc4ncc(C)c(C)c4C)ccc23)c1C 7.688132 0.22950819672131148</t>
  </si>
  <si>
    <t>CN(C)Cc1ccnc2ccc(N(C)c3ccc4ncccc4c3)cc12 7.688123 0.34</t>
  </si>
  <si>
    <t>CN(C)c1ccc2cc(CN(C)c3ccc4ncccc4c3)cnc2c1 7.687873 0.3137254901960784</t>
  </si>
  <si>
    <t>CN(Cc1nc2ccccc2o1)Cc1nc2ccccc2o1 7.6876636 0.39473684210526316</t>
  </si>
  <si>
    <t>CN(c1ccc2nccc(-c3ccc4cccnc4c3)c2c1)C(C)(C)C 7.6876354 0.3333333333333333</t>
  </si>
  <si>
    <t>CCN(C)c1ccc2nccc(-c3ccc(N(C)C)cc3)c2c1 7.6874824 0.22641509433962265</t>
  </si>
  <si>
    <t>CNc1ccc2nccc(CN(C)c3ccc4ncccc4c3)c2c1 7.687396 0.3090909090909091</t>
  </si>
  <si>
    <t>CC(c1ccccn1)(c1ccccn1)c1cc2ccc3ncccc3c2cn1 7.6871133 0.4782608695652174</t>
  </si>
  <si>
    <t>CN(C)Cc1cncc2cc(N(C)c3cccc4ncccc34)ccc12 7.687109 0.3157894736842105</t>
  </si>
  <si>
    <t>Cc1ncccc1N(C)c1ccc2ccc(CN(C)c3ccc4ncccc4c3)nc2c1 7.6869946 0.36363636363636365</t>
  </si>
  <si>
    <t>CN(c1ccc2ncccc2c1)c1ccc2nccc(CN(Cc3ccccn3)c3ccc4ncccc4c3)c2c1 7.686939 0.375</t>
  </si>
  <si>
    <t>CC(c1ccccn1)(c1ccccn1)c1cc2c(ccc3ncccc32)cn1 7.6868734 0.4782608695652174</t>
  </si>
  <si>
    <t>CN(Cc1ccccn1)c1cc(N(C)c2ccc3cccnc3c2)cc2cccnc12 7.6868057 0.47058823529411764</t>
  </si>
  <si>
    <t>CN(Cc1ccc2ncccc2c1)c1ccc2nc(-c3ccccn3)ccc2c1 7.6866875 0.39622641509433965</t>
  </si>
  <si>
    <t>CN(C)Cc1ccc2cc(N(C)Cc3ccc4cc(N(C)c5ccc6ncccc6c5)ccc4n3)ccc2n1 7.686632 0.4</t>
  </si>
  <si>
    <t>CN(C)Cc1ccc2cc(N(C)Cc3ccc4cc(N(C)c5ccc6cccnc6c5)ccc4n3)ccc2n1 7.686603 0.42</t>
  </si>
  <si>
    <t>c1cncc(-c2cccc3ncccc23)c1 7.686597 0.24528301886792453</t>
  </si>
  <si>
    <t>Cc1ccnc(CN(C)c2cccc3cc4ncccc4nc23)c1 7.6864705 0.42857142857142855</t>
  </si>
  <si>
    <t>CC(c1ccccn1)(c1ccccn1)c1nccc2ccc3ncccc3c12 7.686449 0.44680851063829785</t>
  </si>
  <si>
    <t>CN(Cc1cccnn1)c1cccc(N(C)c2ccc3cccnc3c2)c1N(C)c1ccc2cccnc2c1 7.6863375 0.39215686274509803</t>
  </si>
  <si>
    <t>CN(Cc1ccccn1)c1ccc2nc(-c3ccc4ncccc4c3)ccc2c1 7.6861687 0.43137254901960786</t>
  </si>
  <si>
    <t>Cc1ccc2c(CN(C)c3ccc4nccc(C)c4c3)ccnc2c1 7.686049 0.2549019607843137</t>
  </si>
  <si>
    <t>CC(C)(c1ccccn1)c1nccc2c1ccc1ncccc12 7.686046 0.3469387755102041</t>
  </si>
  <si>
    <t>CN(CCN(c1ccc2ncccc2c1)c1ccc2ncccc2c1)c1ccc2ncccc2c1 7.6858616 0.43902439024390244</t>
  </si>
  <si>
    <t>CN(CCN(c1ccc2ncccc2c1)c1ccc2cccnc2c1)c1ccc2ncccc2c1 7.685851 0.4</t>
  </si>
  <si>
    <t>CN(CCCN(C)c1ccc2nccc(-c3ccc4ncccc4c3)c2c1)c1ccc2ncccc2c1 7.6857586 0.39215686274509803</t>
  </si>
  <si>
    <t>CC(C)N(CCN(C)c1ccc2nccc(-c3ccc4ncccc4c3)c2c1)c1ccc2ncccc2c1 7.685659 0.3157894736842105</t>
  </si>
  <si>
    <t>c1ccc(-c2cccc3cccnc23)nc1 7.6856422 0.4358974358974359</t>
  </si>
  <si>
    <t>CN(C)c1ccccc1-c1nc2cc(C(C)(C)C)ccc2o1 7.6855845 0.30612244897959184</t>
  </si>
  <si>
    <t>CN(Cc1cccc(-c2ccc3ncccc3c2)n1)c1ccc2ncccc2c1 7.6853766 0.42857142857142855</t>
  </si>
  <si>
    <t>CN(C)Cc1ccc2cccc(N(C)Cc3ccc4cccc(N(C)c5ccc6nccc(CF)c6c5)c4n3)c2n1 7.685134 0.3582089552238806</t>
  </si>
  <si>
    <t>CN(C)c1ccc2c(CN(C)c3ccc4nccc(CF)c4c3)ccnc2c1 7.6851015 0.23214285714285715</t>
  </si>
  <si>
    <t>CNc1cc(-c2ccc3ncccc3c2)ccn1 7.685069 0.2553191489361702</t>
  </si>
  <si>
    <t>CNCc1ccc2cccc(N(C)Cc3ccc4cccc(N(C)c5ccc6ncccc6c5)c4n3)c2n1 7.6850395 0.4</t>
  </si>
  <si>
    <t>CN(Cc1nc2ccccc2n1C)c1ccc2ncccc2c1 7.684968 0.43137254901960786</t>
  </si>
  <si>
    <t>CC(C)N(c1ccc2ncccc2c1)c1cccc2c(-c3ccc(C(C)(C)C)cn3)ccnc12 7.684953 0.28125</t>
  </si>
  <si>
    <t>CC(c1ccccn1)(c1ccccn1)c1nccc2c1ccc1ncccc12 7.684694 0.40425531914893614</t>
  </si>
  <si>
    <t>CN(C)Cc1ccc2cccc(N(C)Cc3ccc4cccc(N(C)c5ccc6ncccc6c5)c4n3)c2n1 7.6844635 0.43137254901960786</t>
  </si>
  <si>
    <t>CCN(c1ccc2ncccc2c1)c1ccc2ncccc2c1 7.6844554 0.34146341463414637</t>
  </si>
  <si>
    <t>CCN(c1ccc2ncccc2c1)c1ccc2cccnc2c1 7.684419 0.34782608695652173</t>
  </si>
  <si>
    <t>CN(Cc1cccnn1)c1cc2cccnc2cc1N(C)c1ccc2cccnc2c1 7.6840477 0.40816326530612246</t>
  </si>
  <si>
    <t>CNc1nc2ccccc2n1C 7.683792 0.4358974358974359</t>
  </si>
  <si>
    <t>CN(Cc1cccnn1)c1ccc2cccnc2c1N(C)c1ccc2cccnc2c1 7.6837363 0.37735849056603776</t>
  </si>
  <si>
    <t>CN(Cc1ncccc1-c1ccc2ncccc2c1)c1ccc2ncccc2c1 7.683638 0.32653061224489793</t>
  </si>
  <si>
    <t>CN(Cc1cc(-c2ccc3ncccc3c2)ccn1)c1ccc2ncccc2c1 7.6832485 0.3673469387755102</t>
  </si>
  <si>
    <t>CN(Cc1cccnn1)c1cc(N(C)c2ccc3ncccc3c2)c2ncccc2c1 7.6829066 0.39215686274509803</t>
  </si>
  <si>
    <t>CCN(Cc1ccccn1)c1cc2ncccc2cc1-c1ccc(-c2cccc(-c3ccc4ncccc4c3)c2)c(N(C)Cc2ccc3ncccc3c2)c1 7.6827803 0.35384615384615387</t>
  </si>
  <si>
    <t>CN(c1ccc2ncccc2c1)c1ccc2nccc(CF)c2c1 7.682727 0.3137254901960784</t>
  </si>
  <si>
    <t>CN(CCNc1ccc2nccc(-c3ccc4ncccc4c3)c2c1)c1ccc2ncccc2c1 7.6827044 0.29310344827586204</t>
  </si>
  <si>
    <t>C1=CNC(c2nc3ccccc3o2)=CC1 7.6824355 0.45</t>
  </si>
  <si>
    <t>CN(C)Cc1ccnc2cc(N(C)CCN(C)c3ccc4c(-c5ccc6cccnc6c5)ccnc4c3)ccc12 7.6824236 0.3157894736842105</t>
  </si>
  <si>
    <t>CN(Cc1cccnc1)c1ccc2nccc(-c3ccc4ncccc4c3)c2c1 7.6822577 0.27586206896551724</t>
  </si>
  <si>
    <t>CN(Cc1cccnn1)c1ccc2cccnc2c1N(C)c1cccc2ncccc12 7.682232 0.4074074074074074</t>
  </si>
  <si>
    <t>Cc1cnc(-c2cccc(N(C)C)c2)c(-c2ccc3ncccc3c2)c1 7.6820993 0.2727272727272727</t>
  </si>
  <si>
    <t>CN(C)Cc1ccc2cc(N(C)Cc3ccc4cc(N(C)c5ccc6ccc(-c7ccccn7)nc6c5)ccc4n3)ccc2n1 7.6817303 0.41818181818181815</t>
  </si>
  <si>
    <t>CN(Cc1ccc2ncccc2c1)c1ccc2nccc(-c3ccccn3)c2c1 7.6816106 0.3333333333333333</t>
  </si>
  <si>
    <t>CNc1ccc2nccc(-c3cc(C4=NC(C)(C)CO4)ccn3)c2c1 7.6814876 0.35185185185185186</t>
  </si>
  <si>
    <t>CN(C)Cc1ccc2ccc(N(C)Cc3ccc4ccc(N(C)c5ccc6nc(-c7ccccn7)ccc6c5)cc4n3)cc2n1 7.681164 0.41818181818181815</t>
  </si>
  <si>
    <t>CN(Cc1ccccn1)c1ccc2nccc(-c3ccc4ncccc4c3)c2c1 7.6811247 0.4230769230769231</t>
  </si>
  <si>
    <t>CNc1ccc2cccnc2c1-c1cc(-c2ccccc2N=Cc2ccccn2)ccn1 7.68097 0.4</t>
  </si>
  <si>
    <t>CN(C)Cc1ccnc2ccc(N(C)Cc3ccnc4ccc(N(C)c5ccc6ncccc6c5)cc34)cc12 7.680655 0.3148148148148148</t>
  </si>
  <si>
    <t>CNc1cccc2c(-c3cc(C)ccn3)ccnc12 7.6804967 0.27450980392156865</t>
  </si>
  <si>
    <t>CN(Cc1nc2ccccc2o1)c1ccc2ncccc2c1 7.6802735 0.375</t>
  </si>
  <si>
    <t>CN(CC1=CC2N=CC=CC2C=C1N(C)c1ccc2ncccc2c1)c1ccc2nccc(-c3ccc4ncccc4c3)c2c1 7.679241 0.21621621621621623</t>
  </si>
  <si>
    <t>CC1(C)CCC1c1nc(C2=NC(=O)C(=O)O2)c(C2=NC(=O)C(=O)O2)c(C2=NC(=O)C(=O)O2)c1CN=Cc1ccccn1 7.679093 0.2753623188405797</t>
  </si>
  <si>
    <t>CN(c1ccc2ncccc2c1)c1ccc2ncccc2c1 7.6790237 0.3684210526315789</t>
  </si>
  <si>
    <t>CN(c1ccc2ncccc2c1)c1ccc2cccnc2c1 7.6788974 0.3409090909090909</t>
  </si>
  <si>
    <t>CN(CN(CN(c1ccc2ncccc2c1)c1ccc2ncccc2c1)c1ccc2ncccc2c1)c1ccc2ncccc2c1 7.678792 0.34782608695652173</t>
  </si>
  <si>
    <t>CN(c1ccc2cccnc2c1)c1ccc2cccnc2c1 7.678754 0.36585365853658536</t>
  </si>
  <si>
    <t>Cc1c(C)c(C)c2c(nc(CN(C)c3cccc4ccc(CN(C)C)nc34)c3c(C)c(C)c(C)c(C)c32)c1C 7.678723 0.3559322033898305</t>
  </si>
  <si>
    <t>CNc1ccc2cccnc2c1-c1ccc2cccc(N(C)Cc3ncccc3-c3ccccc3N=Cc3ccccn3)c2n1 7.6785784 0.35714285714285715</t>
  </si>
  <si>
    <t>CN(C)Cc1ccc2ccc(N(C)Cc3ccc4cc(N(C)c5ccc6nccc(-c7ccccn7)c6c5)ccc4n3)cc2n1 7.678478 0.36065573770491804</t>
  </si>
  <si>
    <t>Cc1ccc(-c2ccnc3ccc(N(C)c4ccc5nccc(CN(C)C)c5c4)cc23)nc1 7.6783524 0.2962962962962963</t>
  </si>
  <si>
    <t>CN(Cc1ccc2cc(N(C)c3ccc4ncccc4c3)ccc2n1)c1ccc2ncccc2c1 7.678313 0.425531914893617</t>
  </si>
  <si>
    <t>CN(CCN(C)c1ccc2nccc(-c3ccc4cccnc4c3)c2c1)c1ccc2ncccc2c1 7.678192 0.34615384615384615</t>
  </si>
  <si>
    <t>CNc1cc(Cl)c2ncccc2c1N(C)C 7.678112 0.3125</t>
  </si>
  <si>
    <t>CN(Cc1ccc2ccc(N(C)c3ccc4ncccc4c3)cc2n1)c1ccc2ncccc2c1 7.677766 0.4166666666666667</t>
  </si>
  <si>
    <t>CN(Cc1ccc2ccc(N(C)c3ccc4ncccc4c3)cc2n1)c1ccc2cccnc2c1 7.677622 0.40816326530612246</t>
  </si>
  <si>
    <t>CN(Cc1nc2ccccc2o1)Cc1nc2ncccc2o1 7.677541 0.4090909090909091</t>
  </si>
  <si>
    <t>CNc1cc(N(C)C)c2nc(C)ccc2c1Cl 7.6773915 0.22916666666666666</t>
  </si>
  <si>
    <t>CN(CN(c1ccc2ncccc2c1)c1ccc2ncccc2c1)c1ccc2ncccc2c1 7.677071 0.38095238095238093</t>
  </si>
  <si>
    <t>CN(Cc1cc2cccnc2cc1N(C)c1ccc2ncccc2c1)c1ccc2ncccc2c1 7.6769633 0.3541666666666667</t>
  </si>
  <si>
    <t>CN(C)c1ccc(-c2ccnc3cccc(N(C)C)c23)cc1 7.676194 0.30434782608695654</t>
  </si>
  <si>
    <t>Cc1cc(N(C)c2ccc3cccnc3c2)cc2ncccc12 7.6758833 0.3</t>
  </si>
  <si>
    <t>CN(C)c1cccnc1CN(C)c1cccc2c(-c3ccc4cccnc4c3)ccnc12 7.6757836 0.4074074074074074</t>
  </si>
  <si>
    <t>CN(Cc1ccc2cccc(N(C)c3ccc4ncccc4c3)c2n1)c1cccc2ccc(C3=CCC=CN3)nc12 7.6757736 0.34328358208955223</t>
  </si>
  <si>
    <t>CNc1ccc2cccnc2c1-c1cc(-c2ccccc2N(C)C)ccn1 7.675723 0.35185185185185186</t>
  </si>
  <si>
    <t>Cc1ccnc2cc(N(C)c3ccc4cccnc4c3)ccc12 7.6754317 0.3</t>
  </si>
  <si>
    <t>Cc1cc(C)nc(-c2ccc3cc(N(C)c4ccc5ncccc5c4)ccc3n2)c1 7.6750593 0.28846153846153844</t>
  </si>
  <si>
    <t>CN(Cc1ccnc2ccc(N(C)c3ccc4ncccc4c3)cc12)c1ccc2ncccc2c1 7.674913 0.3333333333333333</t>
  </si>
  <si>
    <t>Cc1cc2cccnc2c(-c2ccc3cccnc3c2N(C)C)c1N(C)Cc1cccnn1 7.6748924 0.37735849056603776</t>
  </si>
  <si>
    <t>CN(Cc1ccnc2ccc(N(C)c3ccc4cccnc4c3)cc12)c1ccc2ncccc2c1 7.6748843 0.3090909090909091</t>
  </si>
  <si>
    <t>CN(CN(CN(c1cccc2ncccc12)c1cccc2ncccc12)c1cccc2ncccc12)c1cccc2ncccc12 7.6748695 0.4090909090909091</t>
  </si>
  <si>
    <t>Cc1ccc2cccnc2c1N(C)c1cccc2ncccc12 7.6748366 0.4444444444444444</t>
  </si>
  <si>
    <t>CN(Cc1ccnc2ccc(N(C)c3ccc4ncccc4c3)cc12)c1ccc2cccnc2c1 7.674774 0.3090909090909091</t>
  </si>
  <si>
    <t>C=Nc1ccccc1-c1ncccc1CN(C)c1cccc2ccc(-c3c(NC)ccc4ncccc34)nc12 7.6743293 0.3142857142857143</t>
  </si>
  <si>
    <t>CCN(c1ccc2ncccc2c1)c1cccc2c(-c3ccccc3N(C)C)ccnc12 7.673931 0.35714285714285715</t>
  </si>
  <si>
    <t>CN(c1cccc2ncccc12)c1cccc2ncccc12 7.6738997 0.40540540540540543</t>
  </si>
  <si>
    <t>CCN(c1ccc2ncccc2c1)c1cccc2c(-c3cccc(N(C)C)c3)ccnc12 7.6738863 0.3508771929824561</t>
  </si>
  <si>
    <t>Cc1ccnc2ccc(N(C)c3cccc4ncccc34)cc12 7.6738496 0.30612244897959184</t>
  </si>
  <si>
    <t>CNc1cnc2nccc(-c3cc(C)ccn3)c2c1 7.673288 0.27450980392156865</t>
  </si>
  <si>
    <t>CNc1ccc2nccc(-c3ccc4ccccc4c3)c2c1 7.673128 0.25</t>
  </si>
  <si>
    <t>Cc1cccnc1-c1ccc2cc(N(C)c3ccc4ncccc4c3)ccc2n1 7.673121 0.3</t>
  </si>
  <si>
    <t>CN(C)c1ccc2nc(-c3ccc4cccnc4c3)ccc2c1 7.6712084 0.3125</t>
  </si>
  <si>
    <t>CNc1cccc(-c2ccnc3c(N(C)c4ccc5ncccc5c4)cccc23)c1 7.669296 0.3275862068965517</t>
  </si>
  <si>
    <t>CN(C)c1cccc(-c2ccnc3c(N(C)c4ccc5ncccc5c4)cccc23)c1 7.6690483 0.34545454545454546</t>
  </si>
  <si>
    <t>CN(C)c1ccccc1-c1ccnc2ccc(N(C)c3cccc4cccnc34)cc12 7.668955 0.4117647058823529</t>
  </si>
  <si>
    <t>CN(Cc1ccccn1)c1cc2cccnc2c(-c2ccc3cccnc3c2N(C)Cc2ccccn2)c1C1=NC(=O)C(=O)O1 7.6688795 0.3870967741935484</t>
  </si>
  <si>
    <t>CNc1ccc(-c2ccnc3c(N(C)c4ccc5ncccc5c4)cccc23)cc1 7.668851 0.3333333333333333</t>
  </si>
  <si>
    <t>CNc1ccccc1-c1ccnc2c(N(C)c3ccc4ncccc4c3)cccc12 7.668695 0.3333333333333333</t>
  </si>
  <si>
    <t>Cc1cnc(-c2ccnc3ccc(N(C)c4ccc5ncccc5c4)cc23)c(C)c1 7.6686106 0.24561403508771928</t>
  </si>
  <si>
    <t>CCN(c1ccc2ncccc2c1)c1cccc2cc3nc(CN(C)c4ccc5ncccc5c4)ccc3nc12 7.6677814 0.35714285714285715</t>
  </si>
  <si>
    <t>COC(=O)C(=O)C(=O)C1(C)COC(c2cnc(C3=NC(=O)C(=O)O3)c(C3=NC(=O)C(=O)O3)c2)=N1 7.6673317 0.2153846153846154</t>
  </si>
  <si>
    <t>Cc1cc(N(C)c2cccc3ncccc23)c2cccnc2c1N(C)C 7.666335 0.3541666666666667</t>
  </si>
  <si>
    <t>CNc1ccc2nccc(-c3ccc4ncccc4c3)c2c1 7.665462 0.25</t>
  </si>
  <si>
    <t>CN(C)c1ccc2nccc(-c3ccc4cccnc4c3)c2c1 7.664498 0.2777777777777778</t>
  </si>
  <si>
    <t>CN(C)c1ccc2nccc(-c3ccc4ncccc4c3)c2c1 7.6641016 0.2857142857142857</t>
  </si>
  <si>
    <t>CN(C)c1ccc2c(-c3ccc4cccnc4c3)ccnc2c1 7.663945 0.2830188679245283</t>
  </si>
  <si>
    <t>CNc1ccc2cccnc2c1-c1ccc2cccc(N(C)c3ccc4ncccc4c3)c2n1 7.6578956 0.36363636363636365</t>
  </si>
  <si>
    <t>CN(c1ccc2ncccc2c1)c1ccc2nccc(-c3ccc4ncccc4c3)c2c1 7.657566 0.28</t>
  </si>
  <si>
    <t>CNc1cc(-c2ccc3cccc(N(C)c4ccc5ncccc5c4)c3n2)c2ncccc2c1 7.65745 0.35714285714285715</t>
  </si>
  <si>
    <t>CNc1cc2cccnc2cc1-c1ccc2cccc(N(C)c3ccc4ncccc4c3)c2n1 7.6572647 0.3392857142857143</t>
  </si>
  <si>
    <t>Cc1nc2c(N(C)c3ccc4cccnc4c3)c(N(C)c3ccc4cccnc4c3)c3nc(C)c(C)c(C)c3c2c(C)c1C 7.654863 0.29411764705882354</t>
  </si>
  <si>
    <t>CNc1cc(-c2ccnc3c(N(C)c4ccc5ncccc5c4)cccc23)c2ncccc2c1 7.654473 0.3275862068965517</t>
  </si>
  <si>
    <t>CC1(C)CCC1c1nc(C2=NC(=O)C(=O)O2)c(C2=NC(=O)C(=O)O2)c(C2=NC(=O)C(=O)O2)c1C1=NC(=O)C(=O)O1 7.654394 0.18181818181818182</t>
  </si>
  <si>
    <t>CNc1cc(-c2ccnc3c(N(C)c4ccc5ncccc5c4)cccc23)cc2cccnc12 7.6527753 0.3220338983050847</t>
  </si>
  <si>
    <t>CC1(C)CCC1c1nc(C2=NC(=O)C(=O)O2)c(C2=NC(=O)C(=O)O2)c(C2=NC(=O)C(c3ccc(C4=NC(=O)C(=O)O4)cn3)O2)c1C1=NC(=O)C(=O)O1 7.6519294 0.19444444444444445</t>
  </si>
  <si>
    <t>CC(C)S</t>
  </si>
  <si>
    <t>CCF</t>
  </si>
  <si>
    <t>COC</t>
  </si>
  <si>
    <t>CF</t>
  </si>
  <si>
    <t>CNC1=CC=C1</t>
  </si>
  <si>
    <t>CC1(C)CCC1</t>
  </si>
  <si>
    <t>CC1C=CNC=C1</t>
  </si>
  <si>
    <t>CC(C)(C)N1C2=CC=CC1C=NCC1=CC=CC(CN=C2)N1C(C)(C)C</t>
  </si>
  <si>
    <t>Cc1ncc([SiH3])c(C)c1[SiH3]</t>
  </si>
  <si>
    <t>CC1CNCCNCC(C)N(C)C1</t>
  </si>
  <si>
    <t>CNC1CCC(N(Cc2nc(C)c(C)c(C)c2C)Cc2nc(C)c(C)c(C)c2C)C(NCc2nc(C)c(C)cc2C)C1N(Cc1nc(C)c(C)c(C)c1C)Cc1nc(C)c(C)c(C)c1C</t>
  </si>
  <si>
    <t>CC1(C)CN=C(c2ccnc(C3OC=NC3(C)C)c2)O1</t>
  </si>
  <si>
    <t>CNC1CCCC(N(Cc2nc(C)c([SiH3])c(C)c2C)Cc2nc(C)c([SiH3])c([SiH3])c2C)C1</t>
  </si>
  <si>
    <t>NCc1ccncc1</t>
  </si>
  <si>
    <t>CC1=NC2NCCNCCN(C)CC2C=C1</t>
  </si>
  <si>
    <t>CNC1CCCCC1NCc1nc(C)c(C)c(C)c1C</t>
  </si>
  <si>
    <t>CNC1CCCC(N(Cc2nc(C)c(C)c(C)c2C)Cc2nc(C)c(C)c(C)c2C)C1</t>
  </si>
  <si>
    <t>Cc1c([SiH3])nc(CN(CC(C)(C)C)C2CCCC(N(C)Cc3nc([SiH3])c(C)c(C)c3[SiH3])C2)c(C)c1C</t>
  </si>
  <si>
    <t>CN1CCCC1C1CCNC1</t>
  </si>
  <si>
    <t>Cc1cccc2c1OCCOCCOCCOCCOCCO2</t>
  </si>
  <si>
    <t>CN1C=CCC=C1</t>
  </si>
  <si>
    <t>Cc1ccc(CN)cn1</t>
  </si>
  <si>
    <t>CC1C=CC=CN1</t>
  </si>
  <si>
    <t>CN(Cc1nc([SiH3])c([SiH3])c([SiH3])c1[SiH3])C1CCCC(N(Cc2nc([SiH3])c([SiH3])c([SiH3])c2[SiH3])Cc2nc([SiH3])c([SiH3])c([SiH3])c2[SiH3])C1</t>
  </si>
  <si>
    <t>CN1CCN(C)CCN(Cc2cncc(C3=CC=CC4OCCOCCOCCOCCOC=COC34)c2)CC1</t>
  </si>
  <si>
    <t>CNC1CCCC(N(Cc2nc(C)c(C)c(C)c2C)Cc2nc(C)c(C)c(C)c2C)C1N(Cc1nc(C)c(C)c(C)c1C)Cc1nc(C)c(C)c(C)c1C</t>
  </si>
  <si>
    <t>COC(=O)C1CCC(C(C)C)N(C)C1=O</t>
  </si>
  <si>
    <t>CNC1CCCCC1N(Cc1nc([SiH3])c([SiH3])c([SiH3])c1[SiH3])Cc1nc([SiH3])c([SiH3])c([SiH3])c1[SiH3]</t>
  </si>
  <si>
    <t>CN(Cc1nccc2ccccc12)C1CCC(N(C)c2ccc3ncc4c(c3c2)CCC4)CC1</t>
  </si>
  <si>
    <t>CNc1cccc2ncccc12</t>
  </si>
  <si>
    <t>Cc1ccnc2cc(N(C)CCN(C)c3ccc4nccc(C)c4c3)ccc12</t>
  </si>
  <si>
    <t>CN1CC=NCC2C=CC=C(CCN(C)CCC1)N2C</t>
  </si>
  <si>
    <t>Cc1ccc(C)c(C)n1</t>
  </si>
  <si>
    <t>CN1CC=NCC2=CC=CC(CCN(C)CCC1)N2C</t>
  </si>
  <si>
    <t>Cc1nc(CN2CCN(C)CCN(C)C3(CNCCNCCCNCCNC3)C2)c(C)c(C)c1C</t>
  </si>
  <si>
    <t>Cc1cc(C)nc(CN(C2CCCC(N(C)Cc3nc(C)c(C)c(C)c3C)C2N(Cc2nc(C)c(C)c(C)c2C)C2(c3nc(C)c(C)c(C)c3C)C(C)N(C)C2C)C2(c3nc(C)c(C)c(C)c3C)C(C)N(C)C2C)c1</t>
  </si>
  <si>
    <t>Cc1cccnc1CN(C)C1CCC(N(Cc2nc([SiH3])c([SiH3])cc2[SiH3])Cc2nc([SiH3])c([SiH3])cc2[SiH3])CC1</t>
  </si>
  <si>
    <t>CNC1CCCCC1N(Cc1nc(C)c(C)c(C)c1C)Cc1nc(C)c(C)c(C)c1C</t>
  </si>
  <si>
    <t>Cc1ccnc2ccc(CN(C)C)cc12</t>
  </si>
  <si>
    <t>Cc1ccnc2ccc(N(C)C3CCC(N(C)c4cccc5ncc6c(c45)CCC6)CC3)cc12</t>
  </si>
  <si>
    <t>CNCc1ncccc1C</t>
  </si>
  <si>
    <t>CNC1CC(N(Cc2cc3ncccc3cn2)Cc2nc(C)c(C)c(C)c2C)C(N(Cc2ccccn2)Cc2nc(C)c(C)c(C)c2C)C(N(Cc2ccccn2)Cc2nc(C)c(C)c(C)c2C)C1N(C)Cc1nc(C)c(C)c(C)c1C</t>
  </si>
  <si>
    <t>CN1CCC(=O)C1</t>
  </si>
  <si>
    <t>Cc1nc(CN(Cc2nc(C)c(C)c(C)c2C)C2CC(N(Cc3nc(C)c(C)c(C)c3C)Cc3nc(C)c(C)c(C)c3C)C(NCc3ccccn3)C(N(Cc3nc(C)c(C)c(C)c3C)Cc3nc(C)c(C)c(C)c3C)C2N)c(C)c(C)c1C</t>
  </si>
  <si>
    <t>CN(c1ccc2ncc3c(c2c1)CCC3)C1CCC(N(C)c2cccc3ncc4c(c23)CCC4)CC1</t>
  </si>
  <si>
    <t>CN(c1ccc2c3c(cnc2c1)CCC3)C1CCC(N(C)c2cccc3ncc4c(c23)CCC4)CC1</t>
  </si>
  <si>
    <t>CN(c1ccc2c3c(cnc2c1)CCCC3)C1CCC(N(C)c2cccc3ncc4c(c23)CCCC4)CC1</t>
  </si>
  <si>
    <t>CNCc1ccc(F)cn1</t>
  </si>
  <si>
    <t>Cc1ccnc2ccc(N(C)C3CCCC(N(C)c4ccc5cccnc5c4)C3)cc12</t>
  </si>
  <si>
    <t>Cc1nc(CN(C)C2CCCCC2N(C2(c3nc(C)c(C)c(C)c3C)C(C)N(C)C2C)C2(c3nc(C)c(C)c(C)c3C)C(C)N(C)C2C)c(C)c(C)c1C</t>
  </si>
  <si>
    <t>CN(CCN(C)c1cccc2c(-c3ccccc3)ccnc12)c1ccc2ncc3c(c2c1)CCC3</t>
  </si>
  <si>
    <t>Cc1cccnc1C</t>
  </si>
  <si>
    <t>CN(C)C1=CCC=CN1</t>
  </si>
  <si>
    <t>Cc1ccccc1N(C)C</t>
  </si>
  <si>
    <t>CN(c1ccc2ncc(CF)cc2c1)C1CCC(N(C)c2ccc3ccc(CF)nc3c2)CC1</t>
  </si>
  <si>
    <t>CN(c1ccc2ncc3c(c2c1)CCC3)C1CCCC(N(C)c2cccc3c4c(cnc23)CCC4)C1</t>
  </si>
  <si>
    <t>Cc1cnc2ccc(N(C)CCN(C)c3cccc4nccc(C)c34)cc2c1</t>
  </si>
  <si>
    <t>CN(c1ccc(F)cc1)C1CCC(N(C)c2ccc3ncccc3c2)CC1</t>
  </si>
  <si>
    <t>CC1(C)CN=C(c2cccc(C3OC=NC3(C)C)n2)O1</t>
  </si>
  <si>
    <t>Cc1ccnc2ccc(N(C)C3CCC(N(C)c4cccc5c(C)ccnc45)CC3)cc12</t>
  </si>
  <si>
    <t>CN1CCCC12CNCCNCCCNCCNC2</t>
  </si>
  <si>
    <t>CN(C)c1ccc2ncccc2c1</t>
  </si>
  <si>
    <t>Cc1nc(CN(C)C2CCCCC2N(Cc2nc(C)c(C)c(C)c2C)CC(C)(C)C)c(C)c(C)c1C</t>
  </si>
  <si>
    <t>Cc1cccnc1CN(C)C</t>
  </si>
  <si>
    <t>Cc1ccnc(C)c1</t>
  </si>
  <si>
    <t>Cc1ccnc(CN(C)CCN(C)Cc2nccc3ccccc23)c1C</t>
  </si>
  <si>
    <t>C#Cc1ccc(CN2CCC(C3CCCN3Cc3ncccc3C)C2)nc1</t>
  </si>
  <si>
    <t>Fc1ccccn1</t>
  </si>
  <si>
    <t>Cc1ccccn1</t>
  </si>
  <si>
    <t>CC(C)[Si](c1cncc(CN(Cc2ncccc2[Si](C(C)C)(C(C)C)C(C)C)Cc2ncccc2[Si](C(C)C)(C(C)C)C(C)C)c1)(C(C)C)C(C)C</t>
  </si>
  <si>
    <t>c1ccc(-c2ccncc2)nc1</t>
  </si>
  <si>
    <t>CC1(C)COC(c2cccnc2C2OC=NC2(C)C)=N1</t>
  </si>
  <si>
    <t>CC1(C)COC(c2ccnc(C3OC=NC3(C)C)c2)=N1</t>
  </si>
  <si>
    <t>CNCc1cccc(-c2ccc(C(C)c3ccccn3)cn2)n1</t>
  </si>
  <si>
    <t>Cc1ccnc2cccc(N(C)C3CCCCC3N(C)c3ccc4c(CF)ccnc4c3)c12</t>
  </si>
  <si>
    <t>Cc1cccnc1</t>
  </si>
  <si>
    <t>Cc1ccnc(CN(C)Cc2cccnc2C)c1</t>
  </si>
  <si>
    <t>COC(=O)C1C2C(=O)C(C(=O)OC)N(C)C1C(c1ccccn1)N(C)C2c1ccccn1</t>
  </si>
  <si>
    <t>Cc1ccc2ccc(N(C)CCN(C)c3cccc4ccc(-c5ccccc5)nc34)cc2n1</t>
  </si>
  <si>
    <t>Cc1nc(CN(C)C2CCCCC2N(C)Cc2nc(C)c([SiH3])c([SiH3])c2C)c(C)c(C)c1[SiH3]</t>
  </si>
  <si>
    <t>C=Cc1ccc(NCc2ccccn2)c(C)c1</t>
  </si>
  <si>
    <t>CN(C)c1cccc2ncccc12</t>
  </si>
  <si>
    <t>CN(C)Cc1ncccc1N(C)C</t>
  </si>
  <si>
    <t>Cc1nc(CN(Cc2ccc(F)cn2)C2CC(N(C)Cc3ccc(F)cn3)CCC2N(C)Cc2ccc(F)cn2)c(C)c(C)c1C</t>
  </si>
  <si>
    <t>Cc1ccc2cccc(N(C)CCN(C)c3ccc4ncc(-c5ccccc5)cc4c3)c2n1</t>
  </si>
  <si>
    <t>CN(c1cccc2c3c(cnc12)CCC3)C1CCC(N(C)c2cccc3c4c(cnc23)CCC4)CC1</t>
  </si>
  <si>
    <t>CN(c1ccc2nc3c(cc2c1)CCCC3)C1CCCC(N(C)c2ccc3cc4c(nc3c2)CCCC4)C1</t>
  </si>
  <si>
    <t>Cc1ccncc1</t>
  </si>
  <si>
    <t>COC(=O)c1c(C)cncc1CN1CCN(C)CCN(C)CC1</t>
  </si>
  <si>
    <t>CN(C)Cc1ccc(N(C)O)cn1</t>
  </si>
  <si>
    <t>CN(C)Cc1cccc(N(C)O)n1</t>
  </si>
  <si>
    <t>Cc1ccnc(CN(C)CCN(C)Cc2ncccc2C)c1</t>
  </si>
  <si>
    <t>c1ccc2ncccc2c1</t>
  </si>
  <si>
    <t>COc1cncc(CN2CCN(C)CCN(C)CC2)c1</t>
  </si>
  <si>
    <t>COc1c(C)cccc1-c1c(C)cncc1CN(Cc1ccccn1)Cc1ccccn1</t>
  </si>
  <si>
    <t>CN(Cc1ccc(N(C)O)cn1)Cc1cccc(F)n1</t>
  </si>
  <si>
    <t>CN(Cc1ccc(F)cn1)Cc1ccc(N(C)O)cn1</t>
  </si>
  <si>
    <t>Cc1ccc2ccc(N(C)CCN(C)c3cccc4c(C)ccnc34)cc2n1</t>
  </si>
  <si>
    <t>CN(C)Cc1ccc(N(C)C)cn1</t>
  </si>
  <si>
    <t>CN(CCN(Cc1ccccn1)Cc1ccc(-c2ccc3c(c2)OCCOCCOCCOCCOCCO3)cn1)Cc1ccc(CF)cn1</t>
  </si>
  <si>
    <t>Cc1cccnc1CN(C)CCN(C)Cc1nccc2ccccc12</t>
  </si>
  <si>
    <t>Cc1ccc(C)c(CN(C)CCN(C)Cc2ncccc2C)n1</t>
  </si>
  <si>
    <t>CC1=CC2CCC(N(C)Cc3cccc(C)n3)C(N(Cc3nc(C)c(C)c(C)c3C)Cc3nc(C)c(C)c(C)c3C)C2N=C1</t>
  </si>
  <si>
    <t>CC(C)[Si](c1cncc(CN(Cc2ccccn2)Cc2cc([Si](C(C)C)(C(C)C)C(C)C)ccn2)c1)(C(C)C)C(C)C</t>
  </si>
  <si>
    <t>CN1CCN(C)CCN(CC2=CCC(N(C)C)=CN2)CC1</t>
  </si>
  <si>
    <t>Cc1cccc(CN(C)C2CC(N(C)Cc3nc(C)ccc3C)CCC2N(Cc2nc(C)c(C)c(C)c2C)Cc2nc(C)c(C)c(C)c2C)n1</t>
  </si>
  <si>
    <t>CCN(Cc1ccccn1)c1cc(C)ccn1</t>
  </si>
  <si>
    <t>CNCc1cc(C)ccn1</t>
  </si>
  <si>
    <t>CCN(Cc1ccccn1)c1cccc(C)n1</t>
  </si>
  <si>
    <t>Cc1cccc(C)n1</t>
  </si>
  <si>
    <t>CCNc1ncccc1-c1ncccc1C(C)(c1ccccn1)c1ccccn1</t>
  </si>
  <si>
    <t>Cc1nc(CN(C)C2CCCCC2N(C)Cc2nc(C)c(C)c(C)c2C)c(C)c(C)c1C</t>
  </si>
  <si>
    <t>ON(O)c1ccnc(CN2CCCC2C2CCCN2Cc2cc([SiH3])c([SiH3])c([SiH3])n2)c1</t>
  </si>
  <si>
    <t>CC(C)[Si](c1ccnc(CN(Cc2ccccn2)Cc2ncccc2[Si](C(C)C)(C(C)C)C(C)C)c1)(C(C)C)C(C)C</t>
  </si>
  <si>
    <t>Cc1ccc(CN2CCCC2C2CCCN2Cc2ccc(C3=CC4OC=COCCOCCOCCOCCOC4C=C3)cn2)nc1</t>
  </si>
  <si>
    <t>CN(CCN(C)c1ccc2cccnc2c1)c1ccc2cccnc2c1</t>
  </si>
  <si>
    <t>CN1CCCC1CN(Cc1ccccn1)Cc1nccs1</t>
  </si>
  <si>
    <t>Cc1cnc(CN(CCN(C)Cc2ccc3ccccc3n2)Cc2ncc(C)c(C)c2C)c(C)c1C</t>
  </si>
  <si>
    <t>CC(c1ccccn1)(c1ccccn1)c1cc2ccc3ncccc3c2cn1</t>
  </si>
  <si>
    <t>CC(c1ccccn1)(c1ccccn1)c1cc2c(ccc3ncccc32)cn1</t>
  </si>
  <si>
    <t>c1ccc(-c2ccccn2)nc1</t>
  </si>
  <si>
    <t>Cc1cccnc1CN(C)CCN(C)Cc1ncccc1C</t>
  </si>
  <si>
    <t>c1ccc(CN2CCC(C3CCCN3)C2)nc1</t>
  </si>
  <si>
    <t>Cc1ccnc(CN(C)C2CCCCC2N(C)Cc2nc(C)c(C)cc2C)c1</t>
  </si>
  <si>
    <t>COC(=O)C1C2C(c3ccccn3)N(C)C(c3ccccn3)C1(C(=O)OC)CC(=O)N2C</t>
  </si>
  <si>
    <t>COC(=O)C1N(C)CC2C(=O)C1(C(=O)OC)C(c1ccccn1)N(C)C2c1ccccn1</t>
  </si>
  <si>
    <t>c1ccc(CN(Cc2cncs2)Cc2nccs2)nc1</t>
  </si>
  <si>
    <t>CN(Cc1nc2ccccc2n1C)c1cccc2cc3c(nc12)CCC3</t>
  </si>
  <si>
    <t>CNCc1cccc(C)n1</t>
  </si>
  <si>
    <t>CNCc1ccc(C)cn1</t>
  </si>
  <si>
    <t>Cc1ccnc(CN(C)C)c1</t>
  </si>
  <si>
    <t>COc1cccc(CN2CCCC2C2CCCN2Cc2cnccc2OC)n1</t>
  </si>
  <si>
    <t>CN(CCN(C)c1cccc2cc3c(nc12)CCC3)Cc1ccon1</t>
  </si>
  <si>
    <t>Cc1ccnc(CN(C)Cc2cc(C)ccn2)c1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</si>
</sst>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color rgb="FF000000"/>
      <name val="Roboto"/>
    </font>
    <font>
      <b/>
      <color theme="1"/>
      <name val="Arial"/>
      <scheme val="minor"/>
    </font>
    <font>
      <sz val="11.0"/>
      <color rgb="FF444746"/>
      <name val="&quot;Google Sans Mono&quot;"/>
    </font>
    <font>
      <sz val="9.0"/>
      <color rgb="FF1F1F1F"/>
      <name val="&quot;Google Sans&quot;"/>
    </font>
    <font>
      <sz val="11.0"/>
      <color theme="8"/>
      <name val="Calibri"/>
    </font>
    <font>
      <sz val="11.0"/>
      <color rgb="FF1F1F1F"/>
      <name val="&quot;Google Sans&quot;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theme="1"/>
      <name val="Calibri"/>
    </font>
    <font>
      <sz val="11.0"/>
      <color rgb="FF000000"/>
      <name val="Monospace"/>
    </font>
    <font>
      <sz val="11.0"/>
      <color rgb="FF24292F"/>
      <name val="-apple-system"/>
    </font>
    <font>
      <sz val="11.0"/>
      <color rgb="FF000000"/>
      <name val="Arial"/>
    </font>
    <font>
      <sz val="11.0"/>
      <color rgb="FF1F1F1F"/>
      <name val="Arial"/>
    </font>
    <font>
      <sz val="11.0"/>
      <color theme="1"/>
      <name val="Arial"/>
    </font>
    <font>
      <sz val="11.0"/>
      <color rgb="FF2F5496"/>
      <name val="Calibri"/>
    </font>
    <font>
      <sz val="9.0"/>
      <color rgb="FF1F1F1F"/>
      <name val="Roboto"/>
    </font>
    <font>
      <color rgb="FF000000"/>
      <name val="Arial"/>
    </font>
    <font>
      <sz val="8.0"/>
      <color rgb="FF000000"/>
      <name val="Arial"/>
    </font>
    <font>
      <sz val="9.0"/>
      <color rgb="FF000000"/>
      <name val="Arial"/>
    </font>
    <font>
      <sz val="9.0"/>
      <color rgb="FF000000"/>
      <name val="&quot;Google Sans Mono&quot;"/>
    </font>
  </fonts>
  <fills count="15">
    <fill>
      <patternFill patternType="none"/>
    </fill>
    <fill>
      <patternFill patternType="lightGray"/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F8FAFD"/>
        <bgColor rgb="FFF8FAFD"/>
      </patternFill>
    </fill>
    <fill>
      <patternFill patternType="solid">
        <fgColor rgb="FF0000FF"/>
        <bgColor rgb="FF0000FF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rgb="FFFFFFCC"/>
      </patternFill>
    </fill>
    <fill>
      <patternFill patternType="solid">
        <fgColor rgb="FFB7E1CD"/>
        <bgColor rgb="FFB7E1CD"/>
      </patternFill>
    </fill>
    <fill>
      <patternFill patternType="solid">
        <fgColor rgb="FF57BB8A"/>
        <bgColor rgb="FF57BB8A"/>
      </patternFill>
    </fill>
    <fill>
      <patternFill patternType="solid">
        <fgColor rgb="FFFF0000"/>
        <bgColor rgb="FFFF0000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8EAADB"/>
      </left>
      <right style="thin">
        <color rgb="FF8EAADB"/>
      </right>
      <top style="thin">
        <color rgb="FF8EAADB"/>
      </top>
      <bottom style="thin">
        <color rgb="FF8EAADB"/>
      </bottom>
    </border>
    <border>
      <left style="thin">
        <color rgb="FF8EAADB"/>
      </left>
      <top style="thin">
        <color rgb="FF8EAADB"/>
      </top>
      <bottom style="thin">
        <color rgb="FF8EAADB"/>
      </bottom>
    </border>
    <border>
      <left style="thin">
        <color rgb="FF8EAADB"/>
      </left>
      <right style="thin">
        <color rgb="FF8EAADB"/>
      </right>
      <bottom style="thin">
        <color rgb="FF8EAADB"/>
      </bottom>
    </border>
    <border>
      <left style="thin">
        <color rgb="FF8EAADB"/>
      </left>
      <bottom style="thin">
        <color rgb="FF8EAADB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B2B2B2"/>
      </left>
      <right style="thin">
        <color rgb="FFB2B2B2"/>
      </right>
      <bottom style="thin">
        <color rgb="FFB2B2B2"/>
      </bottom>
    </border>
    <border>
      <right style="thin">
        <color rgb="FFB2B2B2"/>
      </right>
      <bottom style="thin">
        <color rgb="FFB2B2B2"/>
      </bottom>
    </border>
    <border>
      <right style="thin">
        <color rgb="FFB2B2B2"/>
      </right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3" fontId="3" numFmtId="0" xfId="0" applyAlignment="1" applyFill="1" applyFont="1">
      <alignment readingOrder="0"/>
    </xf>
    <xf borderId="0" fillId="0" fontId="4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4" fontId="5" numFmtId="0" xfId="0" applyAlignment="1" applyFill="1" applyFont="1">
      <alignment readingOrder="0"/>
    </xf>
    <xf borderId="0" fillId="3" fontId="6" numFmtId="0" xfId="0" applyAlignment="1" applyFont="1">
      <alignment readingOrder="0"/>
    </xf>
    <xf borderId="0" fillId="5" fontId="1" numFmtId="0" xfId="0" applyAlignment="1" applyFill="1" applyFont="1">
      <alignment readingOrder="0" shrinkToFit="0" vertical="bottom" wrapText="0"/>
    </xf>
    <xf borderId="0" fillId="5" fontId="1" numFmtId="0" xfId="0" applyAlignment="1" applyFont="1">
      <alignment shrinkToFit="0" vertical="bottom" wrapText="0"/>
    </xf>
    <xf borderId="0" fillId="5" fontId="2" numFmtId="0" xfId="0" applyFont="1"/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shrinkToFit="0" vertical="bottom" wrapText="0"/>
    </xf>
    <xf borderId="0" fillId="4" fontId="2" numFmtId="0" xfId="0" applyFont="1"/>
    <xf borderId="0" fillId="5" fontId="2" numFmtId="0" xfId="0" applyAlignment="1" applyFont="1">
      <alignment readingOrder="0"/>
    </xf>
    <xf borderId="0" fillId="0" fontId="7" numFmtId="0" xfId="0" applyAlignment="1" applyFont="1">
      <alignment readingOrder="0" shrinkToFit="0" vertical="bottom" wrapText="0"/>
    </xf>
    <xf borderId="0" fillId="3" fontId="8" numFmtId="0" xfId="0" applyAlignment="1" applyFont="1">
      <alignment readingOrder="0"/>
    </xf>
    <xf borderId="0" fillId="6" fontId="9" numFmtId="0" xfId="0" applyFill="1" applyFont="1"/>
    <xf borderId="0" fillId="3" fontId="9" numFmtId="0" xfId="0" applyFont="1"/>
    <xf borderId="0" fillId="6" fontId="1" numFmtId="0" xfId="0" applyAlignment="1" applyFont="1">
      <alignment shrinkToFit="0" vertical="bottom" wrapText="0"/>
    </xf>
    <xf borderId="0" fillId="0" fontId="10" numFmtId="0" xfId="0" applyFont="1"/>
    <xf borderId="0" fillId="0" fontId="11" numFmtId="0" xfId="0" applyAlignment="1" applyFont="1">
      <alignment shrinkToFit="0" vertical="bottom" wrapText="0"/>
    </xf>
    <xf borderId="0" fillId="3" fontId="12" numFmtId="0" xfId="0" applyAlignment="1" applyFont="1">
      <alignment horizontal="left" readingOrder="0" shrinkToFit="0" wrapText="1"/>
    </xf>
    <xf borderId="0" fillId="3" fontId="13" numFmtId="0" xfId="0" applyAlignment="1" applyFont="1">
      <alignment horizontal="left"/>
    </xf>
    <xf borderId="1" fillId="0" fontId="14" numFmtId="0" xfId="0" applyAlignment="1" applyBorder="1" applyFont="1">
      <alignment horizontal="center" readingOrder="0" vertical="center"/>
    </xf>
    <xf borderId="1" fillId="3" fontId="15" numFmtId="0" xfId="0" applyAlignment="1" applyBorder="1" applyFont="1">
      <alignment horizontal="center" readingOrder="0" vertical="center"/>
    </xf>
    <xf borderId="1" fillId="0" fontId="16" numFmtId="0" xfId="0" applyAlignment="1" applyBorder="1" applyFont="1">
      <alignment horizontal="center" readingOrder="0" vertical="center"/>
    </xf>
    <xf borderId="2" fillId="7" fontId="17" numFmtId="0" xfId="0" applyAlignment="1" applyBorder="1" applyFill="1" applyFont="1">
      <alignment horizontal="center" readingOrder="0" vertical="top"/>
    </xf>
    <xf borderId="3" fillId="7" fontId="17" numFmtId="0" xfId="0" applyAlignment="1" applyBorder="1" applyFont="1">
      <alignment horizontal="center" readingOrder="0" vertical="top"/>
    </xf>
    <xf borderId="1" fillId="0" fontId="16" numFmtId="4" xfId="0" applyAlignment="1" applyBorder="1" applyFont="1" applyNumberFormat="1">
      <alignment horizontal="center" vertical="center"/>
    </xf>
    <xf borderId="1" fillId="0" fontId="14" numFmtId="4" xfId="0" applyAlignment="1" applyBorder="1" applyFont="1" applyNumberFormat="1">
      <alignment horizontal="center" readingOrder="0" vertical="center"/>
    </xf>
    <xf borderId="4" fillId="0" fontId="17" numFmtId="0" xfId="0" applyAlignment="1" applyBorder="1" applyFont="1">
      <alignment horizontal="center" readingOrder="0" vertical="top"/>
    </xf>
    <xf borderId="5" fillId="0" fontId="17" numFmtId="0" xfId="0" applyAlignment="1" applyBorder="1" applyFont="1">
      <alignment horizontal="center" readingOrder="0" vertical="top"/>
    </xf>
    <xf borderId="4" fillId="7" fontId="17" numFmtId="0" xfId="0" applyAlignment="1" applyBorder="1" applyFont="1">
      <alignment horizontal="center" readingOrder="0" vertical="top"/>
    </xf>
    <xf borderId="5" fillId="7" fontId="17" numFmtId="0" xfId="0" applyAlignment="1" applyBorder="1" applyFont="1">
      <alignment horizontal="center" readingOrder="0" vertical="top"/>
    </xf>
    <xf borderId="1" fillId="4" fontId="16" numFmtId="4" xfId="0" applyAlignment="1" applyBorder="1" applyFont="1" applyNumberFormat="1">
      <alignment horizontal="center" vertical="center"/>
    </xf>
    <xf borderId="0" fillId="6" fontId="1" numFmtId="0" xfId="0" applyAlignment="1" applyFont="1">
      <alignment readingOrder="0" shrinkToFit="0" vertical="bottom" wrapText="0"/>
    </xf>
    <xf borderId="0" fillId="6" fontId="2" numFmtId="0" xfId="0" applyAlignment="1" applyFont="1">
      <alignment readingOrder="0"/>
    </xf>
    <xf borderId="0" fillId="6" fontId="2" numFmtId="0" xfId="0" applyFont="1"/>
    <xf borderId="1" fillId="6" fontId="16" numFmtId="4" xfId="0" applyAlignment="1" applyBorder="1" applyFont="1" applyNumberFormat="1">
      <alignment horizontal="center" vertical="center"/>
    </xf>
    <xf borderId="1" fillId="0" fontId="16" numFmtId="4" xfId="0" applyAlignment="1" applyBorder="1" applyFont="1" applyNumberFormat="1">
      <alignment horizontal="center" readingOrder="0" vertical="center"/>
    </xf>
    <xf borderId="1" fillId="0" fontId="14" numFmtId="0" xfId="0" applyAlignment="1" applyBorder="1" applyFont="1">
      <alignment horizontal="center" readingOrder="0" shrinkToFit="0" vertical="center" wrapText="0"/>
    </xf>
    <xf borderId="0" fillId="0" fontId="2" numFmtId="4" xfId="0" applyFont="1" applyNumberFormat="1"/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18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0" fillId="0" fontId="18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8" fontId="1" numFmtId="0" xfId="0" applyAlignment="1" applyFill="1" applyFont="1">
      <alignment readingOrder="0" shrinkToFit="0" vertical="bottom" wrapText="0"/>
    </xf>
    <xf borderId="0" fillId="9" fontId="1" numFmtId="0" xfId="0" applyAlignment="1" applyFill="1" applyFont="1">
      <alignment readingOrder="0" shrinkToFit="0" vertical="bottom" wrapText="0"/>
    </xf>
    <xf borderId="0" fillId="10" fontId="1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0" fontId="1" numFmtId="21" xfId="0" applyAlignment="1" applyFont="1" applyNumberFormat="1">
      <alignment readingOrder="0" shrinkToFit="0" vertical="bottom" wrapText="0"/>
    </xf>
    <xf borderId="0" fillId="0" fontId="18" numFmtId="21" xfId="0" applyAlignment="1" applyFont="1" applyNumberFormat="1">
      <alignment readingOrder="0" shrinkToFit="0" vertical="bottom" wrapText="0"/>
    </xf>
    <xf borderId="6" fillId="11" fontId="1" numFmtId="0" xfId="0" applyAlignment="1" applyBorder="1" applyFill="1" applyFont="1">
      <alignment shrinkToFit="0" vertical="bottom" wrapText="0"/>
    </xf>
    <xf borderId="7" fillId="11" fontId="1" numFmtId="0" xfId="0" applyAlignment="1" applyBorder="1" applyFont="1">
      <alignment shrinkToFit="0" vertical="bottom" wrapText="0"/>
    </xf>
    <xf borderId="0" fillId="0" fontId="19" numFmtId="0" xfId="0" applyAlignment="1" applyFont="1">
      <alignment vertical="bottom"/>
    </xf>
    <xf borderId="0" fillId="0" fontId="19" numFmtId="0" xfId="0" applyAlignment="1" applyFont="1">
      <alignment readingOrder="0" vertical="bottom"/>
    </xf>
    <xf borderId="8" fillId="11" fontId="1" numFmtId="0" xfId="0" applyAlignment="1" applyBorder="1" applyFont="1">
      <alignment readingOrder="0" vertical="bottom"/>
    </xf>
    <xf borderId="9" fillId="11" fontId="1" numFmtId="0" xfId="0" applyAlignment="1" applyBorder="1" applyFont="1">
      <alignment readingOrder="0" vertical="bottom"/>
    </xf>
    <xf borderId="10" fillId="11" fontId="1" numFmtId="0" xfId="0" applyAlignment="1" applyBorder="1" applyFont="1">
      <alignment readingOrder="0" vertical="bottom"/>
    </xf>
    <xf borderId="8" fillId="11" fontId="1" numFmtId="0" xfId="0" applyAlignment="1" applyBorder="1" applyFont="1">
      <alignment shrinkToFit="0" vertical="bottom" wrapText="0"/>
    </xf>
    <xf borderId="9" fillId="11" fontId="1" numFmtId="0" xfId="0" applyAlignment="1" applyBorder="1" applyFont="1">
      <alignment shrinkToFit="0" vertical="bottom" wrapText="0"/>
    </xf>
    <xf borderId="0" fillId="12" fontId="1" numFmtId="0" xfId="0" applyAlignment="1" applyFill="1" applyFont="1">
      <alignment horizontal="right" readingOrder="0" vertical="bottom"/>
    </xf>
    <xf borderId="8" fillId="11" fontId="1" numFmtId="0" xfId="0" applyAlignment="1" applyBorder="1" applyFont="1">
      <alignment horizontal="right" readingOrder="0" shrinkToFit="0" vertical="bottom" wrapText="0"/>
    </xf>
    <xf borderId="9" fillId="11" fontId="1" numFmtId="0" xfId="0" applyAlignment="1" applyBorder="1" applyFont="1">
      <alignment horizontal="right" readingOrder="0" shrinkToFit="0" vertical="bottom" wrapText="0"/>
    </xf>
    <xf borderId="0" fillId="13" fontId="20" numFmtId="0" xfId="0" applyAlignment="1" applyFill="1" applyFont="1">
      <alignment horizontal="right" readingOrder="0" vertical="bottom"/>
    </xf>
    <xf borderId="7" fillId="11" fontId="1" numFmtId="0" xfId="0" applyAlignment="1" applyBorder="1" applyFont="1">
      <alignment horizontal="right" readingOrder="0" shrinkToFit="0" vertical="bottom" wrapText="0"/>
    </xf>
    <xf borderId="0" fillId="12" fontId="21" numFmtId="0" xfId="0" applyAlignment="1" applyFont="1">
      <alignment horizontal="right" readingOrder="0" vertical="bottom"/>
    </xf>
    <xf borderId="8" fillId="11" fontId="1" numFmtId="0" xfId="0" applyAlignment="1" applyBorder="1" applyFont="1">
      <alignment readingOrder="0" shrinkToFit="0" vertical="bottom" wrapText="0"/>
    </xf>
    <xf borderId="9" fillId="11" fontId="1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21" xfId="0" applyAlignment="1" applyFont="1" applyNumberFormat="1">
      <alignment horizontal="right" readingOrder="0" shrinkToFit="0" vertical="bottom" wrapText="0"/>
    </xf>
    <xf borderId="0" fillId="0" fontId="2" numFmtId="0" xfId="0" applyFont="1"/>
    <xf borderId="0" fillId="14" fontId="1" numFmtId="0" xfId="0" applyAlignment="1" applyFill="1" applyFont="1">
      <alignment readingOrder="0" shrinkToFit="0" vertical="bottom" wrapText="0"/>
    </xf>
    <xf borderId="0" fillId="14" fontId="1" numFmtId="0" xfId="0" applyAlignment="1" applyFont="1">
      <alignment horizontal="right" readingOrder="0" shrinkToFit="0" vertical="bottom" wrapText="0"/>
    </xf>
    <xf borderId="0" fillId="3" fontId="22" numFmtId="0" xfId="0" applyFont="1"/>
    <xf borderId="0" fillId="0" fontId="14" numFmtId="4" xfId="0" applyAlignment="1" applyFont="1" applyNumberFormat="1">
      <alignment horizontal="center" readingOrder="0" vertical="center"/>
    </xf>
    <xf borderId="1" fillId="0" fontId="2" numFmtId="0" xfId="0" applyBorder="1" applyFont="1"/>
  </cellXfs>
  <cellStyles count="1">
    <cellStyle xfId="0" name="Normal" builtinId="0"/>
  </cellStyles>
  <dxfs count="14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>
        <color rgb="FF0B8043"/>
      </font>
      <fill>
        <patternFill patternType="none"/>
      </fill>
      <border/>
    </dxf>
    <dxf>
      <font>
        <color rgb="FF0B8043"/>
      </font>
      <fill>
        <patternFill patternType="solid">
          <fgColor rgb="FFFF0000"/>
          <bgColor rgb="FFFF0000"/>
        </patternFill>
      </fill>
      <border/>
    </dxf>
    <dxf>
      <font>
        <color rgb="FF0B8043"/>
      </font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chemprop_model_evals-style">
      <tableStyleElement dxfId="11" type="headerRow"/>
      <tableStyleElement dxfId="12" type="firstRowStripe"/>
      <tableStyleElement dxfId="1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Compute time vs No of CV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chemprop_model_evals!$B$100:$U$100</c:f>
            </c:strRef>
          </c:cat>
          <c:val>
            <c:numRef>
              <c:f>chemprop_model_evals!$B$101:$U$101</c:f>
              <c:numCache/>
            </c:numRef>
          </c:val>
        </c:ser>
        <c:ser>
          <c:idx val="1"/>
          <c:order val="1"/>
          <c:cat>
            <c:strRef>
              <c:f>chemprop_model_evals!$B$100:$U$100</c:f>
            </c:strRef>
          </c:cat>
          <c:val>
            <c:numRef>
              <c:f>chemprop_model_evals!$B$102:$U$102</c:f>
              <c:numCache/>
            </c:numRef>
          </c:val>
        </c:ser>
        <c:ser>
          <c:idx val="2"/>
          <c:order val="2"/>
          <c:cat>
            <c:strRef>
              <c:f>chemprop_model_evals!$B$100:$U$100</c:f>
            </c:strRef>
          </c:cat>
          <c:val>
            <c:numRef>
              <c:f>chemprop_model_evals!$B$103:$U$103</c:f>
              <c:numCache/>
            </c:numRef>
          </c:val>
        </c:ser>
        <c:ser>
          <c:idx val="3"/>
          <c:order val="3"/>
          <c:cat>
            <c:strRef>
              <c:f>chemprop_model_evals!$B$100:$U$100</c:f>
            </c:strRef>
          </c:cat>
          <c:val>
            <c:numRef>
              <c:f>chemprop_model_evals!$B$104:$U$104</c:f>
              <c:numCache/>
            </c:numRef>
          </c:val>
        </c:ser>
        <c:overlap val="100"/>
        <c:axId val="633834244"/>
        <c:axId val="562328300"/>
      </c:barChart>
      <c:catAx>
        <c:axId val="633834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2328300"/>
      </c:catAx>
      <c:valAx>
        <c:axId val="5623283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434343"/>
                </a:solidFill>
                <a:latin typeface="+mn-lt"/>
              </a:defRPr>
            </a:pPr>
          </a:p>
        </c:txPr>
        <c:crossAx val="633834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'20k_ligands'!$D$1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'20k_ligands'!$C$2:$C$22032</c:f>
            </c:numRef>
          </c:xVal>
          <c:yVal>
            <c:numRef>
              <c:f>'20k_ligands'!$D$2:$D$22032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14799"/>
        <c:axId val="779531269"/>
      </c:scatterChart>
      <c:valAx>
        <c:axId val="1120147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9531269"/>
      </c:valAx>
      <c:valAx>
        <c:axId val="7795312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0147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24</xdr:row>
      <xdr:rowOff>95250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1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U100" displayName="Table_1" name="Table_1" id="1">
  <tableColumns count="2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</tableColumns>
  <tableStyleInfo name="chemprop_model_eval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4" max="14" width="13.0"/>
    <col customWidth="1" min="19" max="19" width="15.0"/>
  </cols>
  <sheetData>
    <row r="1">
      <c r="A1" s="1"/>
      <c r="B1" s="2"/>
      <c r="C1" s="2"/>
      <c r="D1" s="2" t="s">
        <v>0</v>
      </c>
      <c r="H1" s="3"/>
      <c r="I1" s="3"/>
      <c r="J1" s="2" t="s">
        <v>1</v>
      </c>
      <c r="N1" s="4"/>
      <c r="O1" s="1" t="s">
        <v>2</v>
      </c>
      <c r="R1" s="4"/>
    </row>
    <row r="2">
      <c r="A2" s="4"/>
      <c r="B2" s="1" t="s">
        <v>3</v>
      </c>
      <c r="C2" s="1"/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4"/>
      <c r="O2" s="4"/>
      <c r="P2" s="4"/>
      <c r="Q2" s="4"/>
      <c r="R2" s="4"/>
    </row>
    <row r="3">
      <c r="A3" s="1" t="s">
        <v>14</v>
      </c>
      <c r="B3" s="1" t="s">
        <v>15</v>
      </c>
      <c r="C3" s="1"/>
      <c r="D3" s="1" t="s">
        <v>16</v>
      </c>
      <c r="E3" s="5" t="s">
        <v>17</v>
      </c>
      <c r="F3" s="5" t="s">
        <v>17</v>
      </c>
      <c r="G3" s="1" t="s">
        <v>18</v>
      </c>
      <c r="H3" s="5" t="s">
        <v>19</v>
      </c>
      <c r="I3" s="5"/>
      <c r="J3" s="5" t="s">
        <v>20</v>
      </c>
      <c r="K3" s="5" t="s">
        <v>20</v>
      </c>
      <c r="L3" s="5" t="s">
        <v>20</v>
      </c>
      <c r="M3" s="5" t="s">
        <v>20</v>
      </c>
      <c r="N3" s="4"/>
      <c r="O3" s="4"/>
      <c r="P3" s="4"/>
      <c r="Q3" s="4"/>
      <c r="R3" s="4"/>
    </row>
    <row r="4">
      <c r="A4" s="1" t="s">
        <v>21</v>
      </c>
      <c r="B4" s="1" t="s">
        <v>22</v>
      </c>
      <c r="C4" s="1"/>
      <c r="D4" s="1" t="s">
        <v>16</v>
      </c>
      <c r="E4" s="1" t="s">
        <v>16</v>
      </c>
      <c r="F4" s="1" t="s">
        <v>16</v>
      </c>
      <c r="G4" s="1" t="s">
        <v>16</v>
      </c>
      <c r="H4" s="1" t="s">
        <v>16</v>
      </c>
      <c r="I4" s="1" t="s">
        <v>17</v>
      </c>
      <c r="J4" s="1">
        <v>-1252.644627</v>
      </c>
      <c r="K4" s="4">
        <f>J4*627.5095</f>
        <v>-786046.4036</v>
      </c>
      <c r="L4" s="6">
        <v>-1252.63165</v>
      </c>
      <c r="M4" s="4">
        <f>L4*627.5095</f>
        <v>-786038.2604</v>
      </c>
      <c r="N4" s="4"/>
      <c r="O4" s="4">
        <f>M4-K4</f>
        <v>8.143190781</v>
      </c>
      <c r="P4" s="4"/>
      <c r="Q4" s="4"/>
      <c r="R4" s="4"/>
    </row>
    <row r="5" ht="15.75" customHeight="1">
      <c r="A5" s="1" t="s">
        <v>23</v>
      </c>
      <c r="B5" s="1" t="s">
        <v>24</v>
      </c>
      <c r="C5" s="1"/>
      <c r="D5" s="1" t="s">
        <v>16</v>
      </c>
      <c r="E5" s="1" t="s">
        <v>16</v>
      </c>
      <c r="F5" s="1" t="s">
        <v>16</v>
      </c>
      <c r="G5" s="1" t="s">
        <v>18</v>
      </c>
      <c r="H5" s="4"/>
      <c r="I5" s="4"/>
      <c r="J5" s="7"/>
      <c r="K5" s="1">
        <v>-2228.135867</v>
      </c>
      <c r="L5" s="4"/>
      <c r="M5" s="4"/>
      <c r="N5" s="4"/>
      <c r="O5" s="4"/>
      <c r="P5" s="4"/>
      <c r="Q5" s="4"/>
      <c r="R5" s="4"/>
    </row>
    <row r="6">
      <c r="A6" s="1" t="s">
        <v>25</v>
      </c>
      <c r="B6" s="1" t="s">
        <v>26</v>
      </c>
      <c r="C6" s="1"/>
      <c r="D6" s="1" t="s">
        <v>16</v>
      </c>
      <c r="E6" s="5" t="s">
        <v>17</v>
      </c>
      <c r="F6" s="5" t="s">
        <v>17</v>
      </c>
      <c r="G6" s="5" t="s">
        <v>17</v>
      </c>
      <c r="H6" s="5" t="s">
        <v>17</v>
      </c>
      <c r="I6" s="5" t="s">
        <v>17</v>
      </c>
      <c r="J6" s="1">
        <v>-2228.35056</v>
      </c>
      <c r="K6" s="4">
        <f t="shared" ref="K6:K13" si="1">J6*627.5095</f>
        <v>-1398311.146</v>
      </c>
      <c r="L6" s="8">
        <v>-2228.336346</v>
      </c>
      <c r="M6" s="4">
        <f t="shared" ref="M6:M13" si="2">L6*627.5095</f>
        <v>-1398302.226</v>
      </c>
      <c r="N6" s="4"/>
      <c r="O6" s="4">
        <f t="shared" ref="O6:O13" si="3">M6-K6</f>
        <v>8.919420033</v>
      </c>
      <c r="P6" s="4"/>
      <c r="Q6" s="4"/>
      <c r="R6" s="4"/>
    </row>
    <row r="7">
      <c r="A7" s="1" t="s">
        <v>27</v>
      </c>
      <c r="B7" s="1" t="s">
        <v>28</v>
      </c>
      <c r="C7" s="1"/>
      <c r="D7" s="1" t="s">
        <v>16</v>
      </c>
      <c r="E7" s="1" t="s">
        <v>16</v>
      </c>
      <c r="F7" s="1" t="s">
        <v>16</v>
      </c>
      <c r="G7" s="1" t="s">
        <v>16</v>
      </c>
      <c r="H7" s="1" t="s">
        <v>16</v>
      </c>
      <c r="I7" s="1" t="s">
        <v>17</v>
      </c>
      <c r="J7" s="4">
        <f>-1653.439936</f>
        <v>-1653.439936</v>
      </c>
      <c r="K7" s="4">
        <f t="shared" si="1"/>
        <v>-1037549.268</v>
      </c>
      <c r="L7" s="1">
        <v>-1653.42066</v>
      </c>
      <c r="M7" s="4">
        <f t="shared" si="2"/>
        <v>-1037537.172</v>
      </c>
      <c r="N7" s="4"/>
      <c r="O7" s="4">
        <f t="shared" si="3"/>
        <v>12.09587312</v>
      </c>
      <c r="P7" s="4"/>
      <c r="Q7" s="4"/>
      <c r="R7" s="6">
        <v>627.51</v>
      </c>
    </row>
    <row r="8">
      <c r="A8" s="1" t="s">
        <v>29</v>
      </c>
      <c r="B8" s="1" t="s">
        <v>30</v>
      </c>
      <c r="C8" s="1"/>
      <c r="D8" s="1" t="s">
        <v>16</v>
      </c>
      <c r="E8" s="1" t="s">
        <v>16</v>
      </c>
      <c r="F8" s="1" t="s">
        <v>16</v>
      </c>
      <c r="G8" s="1" t="s">
        <v>16</v>
      </c>
      <c r="H8" s="1" t="s">
        <v>16</v>
      </c>
      <c r="I8" s="1" t="s">
        <v>17</v>
      </c>
      <c r="J8" s="1">
        <v>-1540.699215</v>
      </c>
      <c r="K8" s="4">
        <f t="shared" si="1"/>
        <v>-966803.3941</v>
      </c>
      <c r="L8" s="6">
        <v>-1540.694155</v>
      </c>
      <c r="M8" s="4">
        <f t="shared" si="2"/>
        <v>-966800.2189</v>
      </c>
      <c r="N8" s="4"/>
      <c r="O8" s="4">
        <f t="shared" si="3"/>
        <v>3.17519807</v>
      </c>
      <c r="P8" s="4"/>
      <c r="Q8" s="4"/>
      <c r="R8" s="4"/>
    </row>
    <row r="9">
      <c r="A9" s="1" t="s">
        <v>31</v>
      </c>
      <c r="B9" s="1" t="s">
        <v>32</v>
      </c>
      <c r="C9" s="1"/>
      <c r="D9" s="1" t="s">
        <v>16</v>
      </c>
      <c r="E9" s="1" t="s">
        <v>16</v>
      </c>
      <c r="F9" s="1" t="s">
        <v>16</v>
      </c>
      <c r="G9" s="1" t="s">
        <v>16</v>
      </c>
      <c r="H9" s="1" t="s">
        <v>16</v>
      </c>
      <c r="I9" s="1" t="s">
        <v>17</v>
      </c>
      <c r="J9" s="6">
        <v>-967.376</v>
      </c>
      <c r="K9" s="4">
        <f t="shared" si="1"/>
        <v>-607037.6301</v>
      </c>
      <c r="L9" s="6">
        <v>-967.372752</v>
      </c>
      <c r="M9" s="4">
        <f t="shared" si="2"/>
        <v>-607035.5919</v>
      </c>
      <c r="N9" s="4"/>
      <c r="O9" s="4">
        <f t="shared" si="3"/>
        <v>2.038150856</v>
      </c>
      <c r="P9" s="4"/>
      <c r="Q9" s="4"/>
      <c r="R9" s="4"/>
    </row>
    <row r="10">
      <c r="A10" s="1" t="s">
        <v>33</v>
      </c>
      <c r="B10" s="1" t="s">
        <v>32</v>
      </c>
      <c r="C10" s="1"/>
      <c r="D10" s="1" t="s">
        <v>16</v>
      </c>
      <c r="E10" s="5" t="s">
        <v>17</v>
      </c>
      <c r="F10" s="5" t="s">
        <v>17</v>
      </c>
      <c r="G10" s="5" t="s">
        <v>17</v>
      </c>
      <c r="H10" s="5" t="s">
        <v>17</v>
      </c>
      <c r="I10" s="1" t="s">
        <v>17</v>
      </c>
      <c r="J10" s="1">
        <v>-967.375517</v>
      </c>
      <c r="K10" s="4">
        <f t="shared" si="1"/>
        <v>-607037.327</v>
      </c>
      <c r="L10" s="1">
        <v>-967.373146</v>
      </c>
      <c r="M10" s="4">
        <f t="shared" si="2"/>
        <v>-607035.8392</v>
      </c>
      <c r="N10" s="4"/>
      <c r="O10" s="4">
        <f t="shared" si="3"/>
        <v>1.487825024</v>
      </c>
      <c r="P10" s="4"/>
      <c r="Q10" s="4"/>
      <c r="R10" s="9" t="s">
        <v>34</v>
      </c>
      <c r="S10" s="9" t="s">
        <v>35</v>
      </c>
    </row>
    <row r="11">
      <c r="A11" s="1" t="s">
        <v>36</v>
      </c>
      <c r="B11" s="1" t="s">
        <v>37</v>
      </c>
      <c r="C11" s="1"/>
      <c r="D11" s="1" t="s">
        <v>16</v>
      </c>
      <c r="E11" s="1" t="s">
        <v>16</v>
      </c>
      <c r="F11" s="1" t="s">
        <v>16</v>
      </c>
      <c r="G11" s="1" t="s">
        <v>16</v>
      </c>
      <c r="H11" s="1" t="s">
        <v>16</v>
      </c>
      <c r="I11" s="1" t="s">
        <v>17</v>
      </c>
      <c r="J11" s="6">
        <v>-1774.98</v>
      </c>
      <c r="K11" s="4">
        <f t="shared" si="1"/>
        <v>-1113816.812</v>
      </c>
      <c r="L11" s="6">
        <v>-1774.965946</v>
      </c>
      <c r="M11" s="4">
        <f t="shared" si="2"/>
        <v>-1113807.993</v>
      </c>
      <c r="N11" s="4"/>
      <c r="O11" s="4">
        <f t="shared" si="3"/>
        <v>8.819018513</v>
      </c>
      <c r="P11" s="4"/>
      <c r="Q11" s="4"/>
      <c r="R11" s="10" t="s">
        <v>38</v>
      </c>
      <c r="S11" s="10" t="s">
        <v>39</v>
      </c>
    </row>
    <row r="12">
      <c r="A12" s="1" t="s">
        <v>40</v>
      </c>
      <c r="B12" s="1" t="s">
        <v>41</v>
      </c>
      <c r="C12" s="1"/>
      <c r="D12" s="1" t="s">
        <v>16</v>
      </c>
      <c r="E12" s="1" t="s">
        <v>16</v>
      </c>
      <c r="F12" s="1" t="s">
        <v>16</v>
      </c>
      <c r="G12" s="1" t="s">
        <v>16</v>
      </c>
      <c r="H12" s="1" t="s">
        <v>16</v>
      </c>
      <c r="I12" s="1" t="s">
        <v>17</v>
      </c>
      <c r="J12" s="1">
        <v>-1853.626279</v>
      </c>
      <c r="K12" s="4">
        <f t="shared" si="1"/>
        <v>-1163168.1</v>
      </c>
      <c r="L12" s="1">
        <v>-1853.621176</v>
      </c>
      <c r="M12" s="4">
        <f t="shared" si="2"/>
        <v>-1163164.897</v>
      </c>
      <c r="N12" s="4"/>
      <c r="O12" s="4">
        <f t="shared" si="3"/>
        <v>3.202180979</v>
      </c>
      <c r="P12" s="4"/>
      <c r="Q12" s="4"/>
      <c r="R12" s="11" t="s">
        <v>42</v>
      </c>
      <c r="S12" s="10" t="s">
        <v>43</v>
      </c>
    </row>
    <row r="13">
      <c r="A13" s="1" t="s">
        <v>44</v>
      </c>
      <c r="B13" s="1" t="s">
        <v>45</v>
      </c>
      <c r="C13" s="1"/>
      <c r="D13" s="1" t="s">
        <v>16</v>
      </c>
      <c r="E13" s="1" t="s">
        <v>16</v>
      </c>
      <c r="F13" s="1" t="s">
        <v>16</v>
      </c>
      <c r="G13" s="1" t="s">
        <v>16</v>
      </c>
      <c r="H13" s="1" t="s">
        <v>17</v>
      </c>
      <c r="I13" s="1" t="s">
        <v>17</v>
      </c>
      <c r="J13" s="1">
        <v>-1384.201972</v>
      </c>
      <c r="K13" s="4">
        <f t="shared" si="1"/>
        <v>-868599.8873</v>
      </c>
      <c r="L13" s="1">
        <v>-1384.18347</v>
      </c>
      <c r="M13" s="4">
        <f t="shared" si="2"/>
        <v>-868588.2772</v>
      </c>
      <c r="N13" s="4"/>
      <c r="O13" s="4">
        <f t="shared" si="3"/>
        <v>11.61018077</v>
      </c>
      <c r="P13" s="4"/>
      <c r="Q13" s="4"/>
      <c r="R13" s="10" t="s">
        <v>46</v>
      </c>
      <c r="S13" s="10" t="s">
        <v>47</v>
      </c>
    </row>
    <row r="14">
      <c r="A14" s="1" t="s">
        <v>48</v>
      </c>
      <c r="B14" s="1" t="s">
        <v>49</v>
      </c>
      <c r="C14" s="1"/>
      <c r="D14" s="1" t="s">
        <v>16</v>
      </c>
      <c r="E14" s="5" t="s">
        <v>17</v>
      </c>
      <c r="F14" s="1" t="s">
        <v>17</v>
      </c>
      <c r="G14" s="5" t="s">
        <v>50</v>
      </c>
      <c r="H14" s="5"/>
      <c r="I14" s="5"/>
      <c r="J14" s="1" t="s">
        <v>20</v>
      </c>
      <c r="K14" s="1" t="s">
        <v>20</v>
      </c>
      <c r="L14" s="5" t="s">
        <v>20</v>
      </c>
      <c r="M14" s="4"/>
      <c r="N14" s="4"/>
      <c r="O14" s="4"/>
      <c r="P14" s="4"/>
      <c r="Q14" s="4"/>
      <c r="R14" s="10" t="s">
        <v>51</v>
      </c>
      <c r="S14" s="10" t="s">
        <v>52</v>
      </c>
    </row>
    <row r="15">
      <c r="A15" s="1" t="s">
        <v>53</v>
      </c>
      <c r="B15" s="1" t="s">
        <v>54</v>
      </c>
      <c r="C15" s="1"/>
      <c r="D15" s="1" t="s">
        <v>16</v>
      </c>
      <c r="E15" s="1" t="s">
        <v>16</v>
      </c>
      <c r="F15" s="1" t="s">
        <v>16</v>
      </c>
      <c r="G15" s="1" t="s">
        <v>16</v>
      </c>
      <c r="H15" s="1" t="s">
        <v>16</v>
      </c>
      <c r="I15" s="1" t="s">
        <v>16</v>
      </c>
      <c r="J15" s="1">
        <v>-1464.03837</v>
      </c>
      <c r="K15" s="4">
        <f t="shared" ref="K15:K22" si="4">J15*627.5095</f>
        <v>-918697.9855</v>
      </c>
      <c r="L15" s="6">
        <v>-1464.023032</v>
      </c>
      <c r="M15" s="4">
        <f t="shared" ref="M15:M22" si="5">L15*627.5095</f>
        <v>-918688.3608</v>
      </c>
      <c r="N15" s="4"/>
      <c r="O15" s="4">
        <f t="shared" ref="O15:O22" si="6">M15-K15</f>
        <v>9.624740711</v>
      </c>
      <c r="P15" s="4"/>
      <c r="Q15" s="4"/>
      <c r="R15" s="12" t="s">
        <v>38</v>
      </c>
      <c r="S15" s="13" t="s">
        <v>55</v>
      </c>
    </row>
    <row r="16">
      <c r="A16" s="1" t="s">
        <v>56</v>
      </c>
      <c r="B16" s="1" t="s">
        <v>57</v>
      </c>
      <c r="C16" s="1"/>
      <c r="D16" s="1" t="s">
        <v>16</v>
      </c>
      <c r="E16" s="1" t="s">
        <v>16</v>
      </c>
      <c r="F16" s="1" t="s">
        <v>16</v>
      </c>
      <c r="G16" s="1" t="s">
        <v>16</v>
      </c>
      <c r="H16" s="1" t="s">
        <v>16</v>
      </c>
      <c r="I16" s="1" t="s">
        <v>16</v>
      </c>
      <c r="J16" s="1">
        <v>-1385.414716</v>
      </c>
      <c r="K16" s="4">
        <f t="shared" si="4"/>
        <v>-869360.8957</v>
      </c>
      <c r="L16" s="6">
        <v>-1385.398676</v>
      </c>
      <c r="M16" s="4">
        <f t="shared" si="5"/>
        <v>-869350.8305</v>
      </c>
      <c r="N16" s="4"/>
      <c r="O16" s="4">
        <f t="shared" si="6"/>
        <v>10.06525238</v>
      </c>
      <c r="P16" s="4"/>
      <c r="Q16" s="4"/>
      <c r="R16" s="4"/>
    </row>
    <row r="17">
      <c r="A17" s="1" t="s">
        <v>58</v>
      </c>
      <c r="B17" s="1" t="s">
        <v>59</v>
      </c>
      <c r="C17" s="1"/>
      <c r="D17" s="1" t="s">
        <v>16</v>
      </c>
      <c r="E17" s="1" t="s">
        <v>16</v>
      </c>
      <c r="F17" s="1" t="s">
        <v>16</v>
      </c>
      <c r="G17" s="1" t="s">
        <v>16</v>
      </c>
      <c r="H17" s="1" t="s">
        <v>16</v>
      </c>
      <c r="I17" s="1" t="s">
        <v>17</v>
      </c>
      <c r="J17" s="1">
        <v>-1424.725242</v>
      </c>
      <c r="K17" s="4">
        <f t="shared" si="4"/>
        <v>-894028.6242</v>
      </c>
      <c r="L17" s="1">
        <v>-1424.715475</v>
      </c>
      <c r="M17" s="4">
        <f t="shared" si="5"/>
        <v>-894022.4954</v>
      </c>
      <c r="N17" s="4"/>
      <c r="O17" s="4">
        <f t="shared" si="6"/>
        <v>6.128885287</v>
      </c>
      <c r="P17" s="4"/>
      <c r="Q17" s="4"/>
      <c r="R17" s="4"/>
    </row>
    <row r="18">
      <c r="A18" s="1" t="s">
        <v>60</v>
      </c>
      <c r="B18" s="1" t="s">
        <v>61</v>
      </c>
      <c r="C18" s="1"/>
      <c r="D18" s="1" t="s">
        <v>16</v>
      </c>
      <c r="E18" s="1" t="s">
        <v>16</v>
      </c>
      <c r="F18" s="1" t="s">
        <v>16</v>
      </c>
      <c r="G18" s="1"/>
      <c r="H18" s="1" t="s">
        <v>17</v>
      </c>
      <c r="I18" s="1" t="s">
        <v>17</v>
      </c>
      <c r="J18" s="1">
        <v>-1239.003695</v>
      </c>
      <c r="K18" s="4">
        <f t="shared" si="4"/>
        <v>-777486.5891</v>
      </c>
      <c r="L18" s="1">
        <v>-1238.999943</v>
      </c>
      <c r="M18" s="4">
        <f t="shared" si="5"/>
        <v>-777484.2347</v>
      </c>
      <c r="N18" s="4"/>
      <c r="O18" s="4">
        <f t="shared" si="6"/>
        <v>2.354415644</v>
      </c>
      <c r="P18" s="4"/>
      <c r="Q18" s="4"/>
      <c r="R18" s="4"/>
    </row>
    <row r="19">
      <c r="A19" s="14" t="s">
        <v>62</v>
      </c>
      <c r="B19" s="14" t="s">
        <v>63</v>
      </c>
      <c r="C19" s="14"/>
      <c r="D19" s="14" t="s">
        <v>16</v>
      </c>
      <c r="E19" s="14" t="s">
        <v>17</v>
      </c>
      <c r="F19" s="14" t="s">
        <v>17</v>
      </c>
      <c r="G19" s="14" t="s">
        <v>64</v>
      </c>
      <c r="H19" s="14" t="s">
        <v>17</v>
      </c>
      <c r="I19" s="14"/>
      <c r="J19" s="14">
        <v>-2126.941149</v>
      </c>
      <c r="K19" s="14">
        <f t="shared" si="4"/>
        <v>-1334675.777</v>
      </c>
      <c r="L19" s="14">
        <v>-2127.1249</v>
      </c>
      <c r="M19" s="15">
        <f t="shared" si="5"/>
        <v>-1334791.082</v>
      </c>
      <c r="N19" s="15"/>
      <c r="O19" s="15">
        <f t="shared" si="6"/>
        <v>-115.3054981</v>
      </c>
      <c r="P19" s="14">
        <v>-2126.941149</v>
      </c>
      <c r="Q19" s="15">
        <f>P19*627.5095</f>
        <v>-1334675.777</v>
      </c>
      <c r="R19" s="14">
        <v>-2126.932786</v>
      </c>
      <c r="S19" s="16">
        <f>R19*627.5095</f>
        <v>-1334670.529</v>
      </c>
      <c r="T19" s="16">
        <f>S19-Q19</f>
        <v>5.247861949</v>
      </c>
      <c r="U19" s="16"/>
      <c r="V19" s="16"/>
      <c r="W19" s="16"/>
      <c r="X19" s="16"/>
      <c r="Y19" s="16"/>
      <c r="Z19" s="16"/>
      <c r="AA19" s="16"/>
      <c r="AB19" s="16"/>
      <c r="AC19" s="16"/>
    </row>
    <row r="20">
      <c r="A20" s="1" t="s">
        <v>65</v>
      </c>
      <c r="B20" s="1" t="s">
        <v>66</v>
      </c>
      <c r="C20" s="1"/>
      <c r="D20" s="1" t="s">
        <v>16</v>
      </c>
      <c r="E20" s="1" t="s">
        <v>16</v>
      </c>
      <c r="F20" s="1" t="s">
        <v>16</v>
      </c>
      <c r="G20" s="1" t="s">
        <v>17</v>
      </c>
      <c r="H20" s="1" t="s">
        <v>17</v>
      </c>
      <c r="I20" s="1" t="s">
        <v>16</v>
      </c>
      <c r="J20" s="1">
        <v>-1121.051793</v>
      </c>
      <c r="K20" s="4">
        <f t="shared" si="4"/>
        <v>-703470.6501</v>
      </c>
      <c r="L20" s="1">
        <v>-1121.034861</v>
      </c>
      <c r="M20" s="4">
        <f t="shared" si="5"/>
        <v>-703460.0251</v>
      </c>
      <c r="N20" s="4"/>
      <c r="O20" s="4">
        <f t="shared" si="6"/>
        <v>10.62499085</v>
      </c>
      <c r="P20" s="4"/>
      <c r="Q20" s="4"/>
      <c r="R20" s="4"/>
    </row>
    <row r="21">
      <c r="A21" s="1" t="s">
        <v>67</v>
      </c>
      <c r="B21" s="1" t="s">
        <v>68</v>
      </c>
      <c r="C21" s="1"/>
      <c r="D21" s="1" t="s">
        <v>16</v>
      </c>
      <c r="E21" s="1" t="s">
        <v>16</v>
      </c>
      <c r="F21" s="1" t="s">
        <v>16</v>
      </c>
      <c r="G21" s="1" t="s">
        <v>16</v>
      </c>
      <c r="H21" s="1" t="s">
        <v>17</v>
      </c>
      <c r="I21" s="1" t="s">
        <v>16</v>
      </c>
      <c r="J21" s="1">
        <v>-1691.514335</v>
      </c>
      <c r="K21" s="4">
        <f t="shared" si="4"/>
        <v>-1061441.315</v>
      </c>
      <c r="L21" s="1">
        <v>-1691.504239</v>
      </c>
      <c r="M21" s="4">
        <f t="shared" si="5"/>
        <v>-1061434.979</v>
      </c>
      <c r="N21" s="4"/>
      <c r="O21" s="4">
        <f t="shared" si="6"/>
        <v>6.335335912</v>
      </c>
      <c r="P21" s="4"/>
      <c r="Q21" s="4"/>
      <c r="R21" s="4"/>
    </row>
    <row r="22">
      <c r="A22" s="1" t="s">
        <v>69</v>
      </c>
      <c r="B22" s="1" t="s">
        <v>70</v>
      </c>
      <c r="C22" s="1"/>
      <c r="D22" s="1" t="s">
        <v>16</v>
      </c>
      <c r="E22" s="1" t="s">
        <v>16</v>
      </c>
      <c r="F22" s="1" t="s">
        <v>16</v>
      </c>
      <c r="G22" s="1" t="s">
        <v>16</v>
      </c>
      <c r="H22" s="1" t="s">
        <v>16</v>
      </c>
      <c r="I22" s="1" t="s">
        <v>16</v>
      </c>
      <c r="J22" s="1">
        <v>-1081.730449</v>
      </c>
      <c r="K22" s="4">
        <f t="shared" si="4"/>
        <v>-678796.1332</v>
      </c>
      <c r="L22" s="1">
        <v>-1081.71701</v>
      </c>
      <c r="M22" s="4">
        <f t="shared" si="5"/>
        <v>-678787.7001</v>
      </c>
      <c r="N22" s="4"/>
      <c r="O22" s="4">
        <f t="shared" si="6"/>
        <v>8.43310017</v>
      </c>
      <c r="P22" s="4"/>
      <c r="Q22" s="4"/>
      <c r="R22" s="4"/>
    </row>
    <row r="23">
      <c r="A23" s="1" t="s">
        <v>71</v>
      </c>
      <c r="B23" s="1" t="s">
        <v>72</v>
      </c>
      <c r="C23" s="1"/>
      <c r="D23" s="1" t="s">
        <v>16</v>
      </c>
      <c r="E23" s="5" t="s">
        <v>73</v>
      </c>
      <c r="F23" s="5" t="s">
        <v>20</v>
      </c>
      <c r="G23" s="5" t="s">
        <v>20</v>
      </c>
      <c r="H23" s="5" t="s">
        <v>20</v>
      </c>
      <c r="I23" s="5"/>
      <c r="J23" s="5" t="s">
        <v>20</v>
      </c>
      <c r="K23" s="5" t="s">
        <v>20</v>
      </c>
      <c r="L23" s="5" t="s">
        <v>20</v>
      </c>
      <c r="M23" s="4"/>
      <c r="N23" s="4"/>
      <c r="O23" s="4"/>
      <c r="P23" s="4"/>
      <c r="Q23" s="4"/>
      <c r="R23" s="4"/>
    </row>
    <row r="24">
      <c r="A24" s="1" t="s">
        <v>74</v>
      </c>
      <c r="B24" s="1" t="s">
        <v>75</v>
      </c>
      <c r="C24" s="1"/>
      <c r="D24" s="1" t="s">
        <v>16</v>
      </c>
      <c r="E24" s="1" t="s">
        <v>16</v>
      </c>
      <c r="F24" s="1" t="s">
        <v>16</v>
      </c>
      <c r="G24" s="1" t="s">
        <v>16</v>
      </c>
      <c r="H24" s="1" t="s">
        <v>17</v>
      </c>
      <c r="I24" s="1" t="s">
        <v>16</v>
      </c>
      <c r="J24" s="1">
        <v>-1390.256273</v>
      </c>
      <c r="K24" s="4">
        <f t="shared" ref="K24:K32" si="7">J24*627.5095</f>
        <v>-872399.0187</v>
      </c>
      <c r="L24" s="1">
        <v>-1390.248482</v>
      </c>
      <c r="M24" s="4">
        <f t="shared" ref="M24:M29" si="8">L24*627.5095</f>
        <v>-872394.1298</v>
      </c>
      <c r="N24" s="4"/>
      <c r="O24" s="4">
        <f t="shared" ref="O24:O32" si="9">M24-K24</f>
        <v>4.888926515</v>
      </c>
      <c r="P24" s="4"/>
      <c r="Q24" s="4"/>
      <c r="R24" s="4"/>
    </row>
    <row r="25">
      <c r="A25" s="1" t="s">
        <v>76</v>
      </c>
      <c r="B25" s="1" t="s">
        <v>77</v>
      </c>
      <c r="C25" s="1"/>
      <c r="D25" s="1" t="s">
        <v>16</v>
      </c>
      <c r="E25" s="5" t="s">
        <v>17</v>
      </c>
      <c r="F25" s="5" t="s">
        <v>17</v>
      </c>
      <c r="G25" s="5" t="s">
        <v>17</v>
      </c>
      <c r="H25" s="5" t="s">
        <v>17</v>
      </c>
      <c r="I25" s="5" t="s">
        <v>17</v>
      </c>
      <c r="J25" s="8">
        <v>-1763.761062</v>
      </c>
      <c r="K25" s="4">
        <f t="shared" si="7"/>
        <v>-1106776.822</v>
      </c>
      <c r="L25" s="1">
        <v>-1763.756274</v>
      </c>
      <c r="M25" s="4">
        <f t="shared" si="8"/>
        <v>-1106773.818</v>
      </c>
      <c r="N25" s="4"/>
      <c r="O25" s="4">
        <f t="shared" si="9"/>
        <v>3.004515486</v>
      </c>
      <c r="P25" s="4"/>
      <c r="Q25" s="4"/>
      <c r="R25" s="4"/>
    </row>
    <row r="26">
      <c r="A26" s="1" t="s">
        <v>78</v>
      </c>
      <c r="B26" s="1" t="s">
        <v>79</v>
      </c>
      <c r="C26" s="1"/>
      <c r="D26" s="1" t="s">
        <v>16</v>
      </c>
      <c r="E26" s="1" t="s">
        <v>16</v>
      </c>
      <c r="F26" s="1" t="s">
        <v>16</v>
      </c>
      <c r="G26" s="1" t="s">
        <v>16</v>
      </c>
      <c r="H26" s="1" t="s">
        <v>16</v>
      </c>
      <c r="I26" s="1" t="s">
        <v>16</v>
      </c>
      <c r="J26" s="1">
        <v>-1391.455654</v>
      </c>
      <c r="K26" s="4">
        <f t="shared" si="7"/>
        <v>-873151.6417</v>
      </c>
      <c r="L26" s="1">
        <v>-1391.440082</v>
      </c>
      <c r="M26" s="4">
        <f t="shared" si="8"/>
        <v>-873141.8701</v>
      </c>
      <c r="N26" s="4"/>
      <c r="O26" s="4">
        <f t="shared" si="9"/>
        <v>9.771577934</v>
      </c>
      <c r="P26" s="4"/>
      <c r="Q26" s="4"/>
      <c r="R26" s="4"/>
    </row>
    <row r="27">
      <c r="A27" s="17" t="s">
        <v>80</v>
      </c>
      <c r="B27" s="17" t="s">
        <v>81</v>
      </c>
      <c r="C27" s="17"/>
      <c r="D27" s="17" t="s">
        <v>16</v>
      </c>
      <c r="E27" s="17" t="s">
        <v>16</v>
      </c>
      <c r="F27" s="17" t="s">
        <v>16</v>
      </c>
      <c r="G27" s="17" t="s">
        <v>16</v>
      </c>
      <c r="H27" s="17" t="s">
        <v>17</v>
      </c>
      <c r="I27" s="17" t="s">
        <v>17</v>
      </c>
      <c r="J27" s="17">
        <v>-929.31974</v>
      </c>
      <c r="K27" s="18">
        <f t="shared" si="7"/>
        <v>-583156.9654</v>
      </c>
      <c r="L27" s="17">
        <v>-929.313127</v>
      </c>
      <c r="M27" s="18">
        <f t="shared" si="8"/>
        <v>-583152.8157</v>
      </c>
      <c r="N27" s="19"/>
      <c r="O27" s="18">
        <f t="shared" si="9"/>
        <v>4.149720324</v>
      </c>
      <c r="P27" s="17"/>
      <c r="Q27" s="18"/>
      <c r="R27" s="18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</row>
    <row r="28">
      <c r="A28" s="1" t="s">
        <v>82</v>
      </c>
      <c r="B28" s="1" t="s">
        <v>83</v>
      </c>
      <c r="C28" s="1"/>
      <c r="D28" s="1" t="s">
        <v>16</v>
      </c>
      <c r="E28" s="1" t="s">
        <v>16</v>
      </c>
      <c r="F28" s="1" t="s">
        <v>16</v>
      </c>
      <c r="G28" s="1" t="s">
        <v>16</v>
      </c>
      <c r="H28" s="1" t="s">
        <v>16</v>
      </c>
      <c r="I28" s="1" t="s">
        <v>17</v>
      </c>
      <c r="J28" s="10">
        <v>-1461.807931</v>
      </c>
      <c r="K28" s="4">
        <f t="shared" si="7"/>
        <v>-917298.3639</v>
      </c>
      <c r="L28" s="1">
        <v>-1461.800473</v>
      </c>
      <c r="M28" s="4">
        <f t="shared" si="8"/>
        <v>-917293.6839</v>
      </c>
      <c r="N28" s="4"/>
      <c r="O28" s="4">
        <f t="shared" si="9"/>
        <v>4.679965851</v>
      </c>
      <c r="P28" s="4"/>
      <c r="Q28" s="4"/>
      <c r="R28" s="4"/>
    </row>
    <row r="29">
      <c r="A29" s="14" t="s">
        <v>84</v>
      </c>
      <c r="B29" s="14" t="s">
        <v>85</v>
      </c>
      <c r="C29" s="14"/>
      <c r="D29" s="14" t="s">
        <v>16</v>
      </c>
      <c r="E29" s="14" t="s">
        <v>16</v>
      </c>
      <c r="F29" s="14" t="s">
        <v>16</v>
      </c>
      <c r="G29" s="14" t="s">
        <v>18</v>
      </c>
      <c r="H29" s="14" t="s">
        <v>17</v>
      </c>
      <c r="I29" s="14" t="s">
        <v>17</v>
      </c>
      <c r="J29" s="14">
        <v>-1463.969941</v>
      </c>
      <c r="K29" s="15">
        <f t="shared" si="7"/>
        <v>-918655.0457</v>
      </c>
      <c r="L29" s="20">
        <v>-1463.953641</v>
      </c>
      <c r="M29" s="15">
        <f t="shared" si="8"/>
        <v>-918644.8173</v>
      </c>
      <c r="O29" s="15">
        <f t="shared" si="9"/>
        <v>10.22840485</v>
      </c>
      <c r="P29" s="15"/>
      <c r="Q29" s="14">
        <v>-1463.759498</v>
      </c>
      <c r="R29" s="15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</row>
    <row r="30">
      <c r="A30" s="14" t="s">
        <v>86</v>
      </c>
      <c r="B30" s="14" t="s">
        <v>87</v>
      </c>
      <c r="C30" s="14"/>
      <c r="D30" s="14" t="s">
        <v>16</v>
      </c>
      <c r="E30" s="14" t="s">
        <v>16</v>
      </c>
      <c r="F30" s="14" t="s">
        <v>16</v>
      </c>
      <c r="G30" s="14" t="s">
        <v>17</v>
      </c>
      <c r="H30" s="14" t="s">
        <v>17</v>
      </c>
      <c r="I30" s="14" t="s">
        <v>17</v>
      </c>
      <c r="J30" s="14">
        <v>-1465.245292</v>
      </c>
      <c r="K30" s="15">
        <f t="shared" si="7"/>
        <v>-919455.3406</v>
      </c>
      <c r="L30" s="14">
        <v>-1121.055658</v>
      </c>
      <c r="M30" s="15">
        <f>P30*627.5095</f>
        <v>-703328.3309</v>
      </c>
      <c r="N30" s="16"/>
      <c r="O30" s="15">
        <f t="shared" si="9"/>
        <v>216127.0096</v>
      </c>
      <c r="P30" s="14">
        <v>-1120.824993</v>
      </c>
      <c r="Q30" s="15"/>
      <c r="R30" s="15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</row>
    <row r="31">
      <c r="A31" s="1" t="s">
        <v>88</v>
      </c>
      <c r="B31" s="1" t="s">
        <v>89</v>
      </c>
      <c r="C31" s="1"/>
      <c r="D31" s="1" t="s">
        <v>16</v>
      </c>
      <c r="E31" s="1" t="s">
        <v>16</v>
      </c>
      <c r="F31" s="1" t="s">
        <v>16</v>
      </c>
      <c r="G31" s="1" t="s">
        <v>16</v>
      </c>
      <c r="H31" s="1" t="s">
        <v>16</v>
      </c>
      <c r="I31" s="1" t="s">
        <v>16</v>
      </c>
      <c r="J31" s="1">
        <v>-1230.55506</v>
      </c>
      <c r="K31" s="4">
        <f t="shared" si="7"/>
        <v>-772184.9904</v>
      </c>
      <c r="L31" s="1">
        <v>-1230.534049</v>
      </c>
      <c r="M31" s="4">
        <f t="shared" ref="M31:M32" si="10">L31*627.5095</f>
        <v>-772171.8058</v>
      </c>
      <c r="N31" s="4"/>
      <c r="O31" s="4">
        <f t="shared" si="9"/>
        <v>13.1846021</v>
      </c>
      <c r="P31" s="4"/>
      <c r="Q31" s="4"/>
      <c r="R31" s="4"/>
    </row>
    <row r="32">
      <c r="A32" s="1" t="s">
        <v>90</v>
      </c>
      <c r="B32" s="1" t="s">
        <v>91</v>
      </c>
      <c r="C32" s="1"/>
      <c r="D32" s="1" t="s">
        <v>16</v>
      </c>
      <c r="E32" s="1" t="s">
        <v>16</v>
      </c>
      <c r="F32" s="1" t="s">
        <v>16</v>
      </c>
      <c r="G32" s="1" t="s">
        <v>16</v>
      </c>
      <c r="H32" s="1" t="s">
        <v>16</v>
      </c>
      <c r="I32" s="1" t="s">
        <v>16</v>
      </c>
      <c r="J32" s="6">
        <v>-1579.57</v>
      </c>
      <c r="K32" s="4">
        <f t="shared" si="7"/>
        <v>-991195.1809</v>
      </c>
      <c r="L32" s="6">
        <v>-1579.537682</v>
      </c>
      <c r="M32" s="4">
        <f t="shared" si="10"/>
        <v>-991174.9011</v>
      </c>
      <c r="N32" s="4"/>
      <c r="O32" s="4">
        <f t="shared" si="9"/>
        <v>20.27985202</v>
      </c>
      <c r="P32" s="4"/>
      <c r="Q32" s="4"/>
      <c r="R32" s="4"/>
    </row>
    <row r="33">
      <c r="A33" s="1" t="s">
        <v>92</v>
      </c>
      <c r="B33" s="1" t="s">
        <v>93</v>
      </c>
      <c r="C33" s="1"/>
      <c r="D33" s="1" t="s">
        <v>16</v>
      </c>
      <c r="E33" s="5" t="s">
        <v>17</v>
      </c>
      <c r="F33" s="1" t="s">
        <v>17</v>
      </c>
      <c r="G33" s="1" t="s">
        <v>18</v>
      </c>
      <c r="H33" s="1" t="s">
        <v>94</v>
      </c>
      <c r="I33" s="1" t="s">
        <v>95</v>
      </c>
      <c r="J33" s="1">
        <v>-1818.383141</v>
      </c>
      <c r="K33" s="4"/>
      <c r="L33" s="5" t="s">
        <v>20</v>
      </c>
      <c r="M33" s="4"/>
      <c r="N33" s="4"/>
      <c r="O33" s="4"/>
      <c r="P33" s="4"/>
      <c r="Q33" s="4"/>
      <c r="R33" s="4"/>
    </row>
    <row r="34">
      <c r="A34" s="1" t="s">
        <v>96</v>
      </c>
      <c r="B34" s="1" t="s">
        <v>97</v>
      </c>
      <c r="C34" s="1"/>
      <c r="D34" s="1" t="s">
        <v>16</v>
      </c>
      <c r="E34" s="1" t="s">
        <v>16</v>
      </c>
      <c r="F34" s="1" t="s">
        <v>16</v>
      </c>
      <c r="G34" s="1"/>
      <c r="H34" s="1" t="s">
        <v>16</v>
      </c>
      <c r="I34" s="1"/>
      <c r="J34" s="1">
        <v>-1471.298288</v>
      </c>
      <c r="K34" s="4">
        <f>J34*627.5095</f>
        <v>-923253.6531</v>
      </c>
      <c r="L34" s="1">
        <v>-1471.298741</v>
      </c>
      <c r="M34" s="4">
        <f>L34*627.5095</f>
        <v>-923253.9373</v>
      </c>
      <c r="O34" s="4">
        <f>M34-K34</f>
        <v>-0.2842618036</v>
      </c>
      <c r="P34" s="1">
        <v>-1471.284785</v>
      </c>
      <c r="Q34" s="4"/>
      <c r="R34" s="4"/>
    </row>
    <row r="35">
      <c r="A35" s="1" t="s">
        <v>98</v>
      </c>
      <c r="B35" s="1"/>
      <c r="C35" s="1"/>
      <c r="D35" s="1" t="s">
        <v>16</v>
      </c>
      <c r="E35" s="5" t="s">
        <v>99</v>
      </c>
      <c r="F35" s="1" t="s">
        <v>20</v>
      </c>
      <c r="G35" s="1" t="s">
        <v>20</v>
      </c>
      <c r="H35" s="1" t="s">
        <v>100</v>
      </c>
      <c r="I35" s="1"/>
      <c r="J35" s="1" t="s">
        <v>20</v>
      </c>
      <c r="K35" s="4"/>
      <c r="L35" s="5" t="s">
        <v>20</v>
      </c>
      <c r="M35" s="4"/>
      <c r="N35" s="4"/>
      <c r="O35" s="4"/>
      <c r="P35" s="4"/>
      <c r="Q35" s="4"/>
      <c r="R35" s="4"/>
    </row>
    <row r="36">
      <c r="A36" s="1" t="s">
        <v>101</v>
      </c>
      <c r="B36" s="1" t="s">
        <v>102</v>
      </c>
      <c r="C36" s="1"/>
      <c r="D36" s="1" t="s">
        <v>16</v>
      </c>
      <c r="E36" s="1" t="s">
        <v>16</v>
      </c>
      <c r="F36" s="1" t="s">
        <v>16</v>
      </c>
      <c r="G36" s="1" t="s">
        <v>17</v>
      </c>
      <c r="H36" s="1" t="s">
        <v>17</v>
      </c>
      <c r="I36" s="1" t="s">
        <v>17</v>
      </c>
      <c r="J36" s="1">
        <v>-1085.3522774</v>
      </c>
      <c r="K36" s="4">
        <f t="shared" ref="K36:K45" si="11">J36*627.5095</f>
        <v>-681068.8649</v>
      </c>
      <c r="L36" s="1">
        <v>-1085.345025</v>
      </c>
      <c r="M36" s="4">
        <f t="shared" ref="M36:M45" si="12">L36*627.5095</f>
        <v>-681064.314</v>
      </c>
      <c r="N36" s="4"/>
      <c r="O36" s="4">
        <f t="shared" ref="O36:O45" si="13">M36-K36</f>
        <v>4.550949898</v>
      </c>
      <c r="P36" s="4"/>
      <c r="Q36" s="4"/>
      <c r="R36" s="4"/>
    </row>
    <row r="37">
      <c r="A37" s="1" t="s">
        <v>103</v>
      </c>
      <c r="B37" s="1" t="s">
        <v>104</v>
      </c>
      <c r="C37" s="1"/>
      <c r="D37" s="1" t="s">
        <v>16</v>
      </c>
      <c r="E37" s="1" t="s">
        <v>16</v>
      </c>
      <c r="F37" s="1" t="s">
        <v>16</v>
      </c>
      <c r="G37" s="1" t="s">
        <v>17</v>
      </c>
      <c r="H37" s="1" t="s">
        <v>17</v>
      </c>
      <c r="I37" s="1" t="s">
        <v>17</v>
      </c>
      <c r="J37" s="1">
        <v>-1215.740526</v>
      </c>
      <c r="K37" s="4">
        <f t="shared" si="11"/>
        <v>-762888.7296</v>
      </c>
      <c r="L37" s="1">
        <v>-1215.730262</v>
      </c>
      <c r="M37" s="4">
        <f t="shared" si="12"/>
        <v>-762882.2888</v>
      </c>
      <c r="N37" s="4"/>
      <c r="O37" s="4">
        <f t="shared" si="13"/>
        <v>6.440757508</v>
      </c>
      <c r="P37" s="4"/>
      <c r="Q37" s="4"/>
      <c r="R37" s="4"/>
    </row>
    <row r="38">
      <c r="A38" s="1" t="s">
        <v>105</v>
      </c>
      <c r="B38" s="1" t="s">
        <v>106</v>
      </c>
      <c r="C38" s="1"/>
      <c r="D38" s="1" t="s">
        <v>16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>
        <v>-1274.910707</v>
      </c>
      <c r="K38" s="4">
        <f t="shared" si="11"/>
        <v>-800018.5803</v>
      </c>
      <c r="L38" s="1">
        <v>-1274.888371</v>
      </c>
      <c r="M38" s="4">
        <f t="shared" si="12"/>
        <v>-800004.5642</v>
      </c>
      <c r="O38" s="4">
        <f t="shared" si="13"/>
        <v>14.01605219</v>
      </c>
      <c r="P38" s="1">
        <v>-1274.697432</v>
      </c>
      <c r="Q38" s="4"/>
      <c r="R38" s="4"/>
    </row>
    <row r="39">
      <c r="A39" s="1" t="s">
        <v>107</v>
      </c>
      <c r="B39" s="1" t="s">
        <v>108</v>
      </c>
      <c r="C39" s="1"/>
      <c r="D39" s="1" t="s">
        <v>16</v>
      </c>
      <c r="E39" s="1" t="s">
        <v>16</v>
      </c>
      <c r="F39" s="1" t="s">
        <v>16</v>
      </c>
      <c r="G39" s="1" t="s">
        <v>16</v>
      </c>
      <c r="H39" s="1" t="s">
        <v>17</v>
      </c>
      <c r="I39" s="1" t="s">
        <v>17</v>
      </c>
      <c r="J39" s="1">
        <v>-1121.057851</v>
      </c>
      <c r="K39" s="4">
        <f t="shared" si="11"/>
        <v>-703474.4516</v>
      </c>
      <c r="L39" s="1">
        <v>-1121.055665</v>
      </c>
      <c r="M39" s="4">
        <f t="shared" si="12"/>
        <v>-703473.0798</v>
      </c>
      <c r="N39" s="4"/>
      <c r="O39" s="4">
        <f t="shared" si="13"/>
        <v>1.371735767</v>
      </c>
      <c r="P39" s="13">
        <v>-1120.824993</v>
      </c>
      <c r="Q39" s="4"/>
      <c r="R39" s="4"/>
    </row>
    <row r="40">
      <c r="A40" s="1" t="s">
        <v>109</v>
      </c>
      <c r="B40" s="1" t="s">
        <v>110</v>
      </c>
      <c r="C40" s="1"/>
      <c r="D40" s="1" t="s">
        <v>17</v>
      </c>
      <c r="E40" s="1" t="s">
        <v>16</v>
      </c>
      <c r="F40" s="1" t="s">
        <v>17</v>
      </c>
      <c r="G40" s="1" t="s">
        <v>17</v>
      </c>
      <c r="H40" s="1" t="s">
        <v>17</v>
      </c>
      <c r="I40" s="1" t="s">
        <v>17</v>
      </c>
      <c r="J40" s="6">
        <v>-1119.019774</v>
      </c>
      <c r="K40" s="4">
        <f t="shared" si="11"/>
        <v>-702195.5389</v>
      </c>
      <c r="L40" s="6">
        <v>-1118.984465</v>
      </c>
      <c r="M40" s="4">
        <f t="shared" si="12"/>
        <v>-702173.3821</v>
      </c>
      <c r="N40" s="4"/>
      <c r="O40" s="4">
        <f t="shared" si="13"/>
        <v>22.15673294</v>
      </c>
      <c r="P40" s="4"/>
      <c r="Q40" s="4"/>
      <c r="R40" s="4"/>
    </row>
    <row r="41">
      <c r="A41" s="1" t="s">
        <v>111</v>
      </c>
      <c r="B41" s="1" t="s">
        <v>112</v>
      </c>
      <c r="C41" s="1"/>
      <c r="D41" s="1" t="s">
        <v>16</v>
      </c>
      <c r="E41" s="1" t="s">
        <v>16</v>
      </c>
      <c r="F41" s="1" t="s">
        <v>16</v>
      </c>
      <c r="G41" s="1" t="s">
        <v>16</v>
      </c>
      <c r="H41" s="1" t="s">
        <v>16</v>
      </c>
      <c r="I41" s="1" t="s">
        <v>17</v>
      </c>
      <c r="J41" s="6">
        <v>-1348.941611</v>
      </c>
      <c r="K41" s="4">
        <f t="shared" si="11"/>
        <v>-846473.6758</v>
      </c>
      <c r="L41" s="6">
        <v>-1348.940904</v>
      </c>
      <c r="M41" s="4">
        <f t="shared" si="12"/>
        <v>-846473.2322</v>
      </c>
      <c r="N41" s="1">
        <v>-1348.927234</v>
      </c>
      <c r="O41" s="4">
        <f t="shared" si="13"/>
        <v>0.4436492164</v>
      </c>
      <c r="P41" s="4"/>
      <c r="Q41" s="4"/>
      <c r="R41" s="4"/>
    </row>
    <row r="42">
      <c r="A42" s="1" t="s">
        <v>113</v>
      </c>
      <c r="B42" s="1" t="s">
        <v>114</v>
      </c>
      <c r="C42" s="1"/>
      <c r="D42" s="1" t="s">
        <v>16</v>
      </c>
      <c r="E42" s="1" t="s">
        <v>16</v>
      </c>
      <c r="F42" s="1" t="s">
        <v>16</v>
      </c>
      <c r="G42" s="1" t="s">
        <v>16</v>
      </c>
      <c r="H42" s="1" t="s">
        <v>16</v>
      </c>
      <c r="I42" s="1" t="s">
        <v>17</v>
      </c>
      <c r="J42" s="1">
        <v>-1286.219734</v>
      </c>
      <c r="K42" s="4">
        <f t="shared" si="11"/>
        <v>-807115.1022</v>
      </c>
      <c r="L42" s="6">
        <v>-1286.213227</v>
      </c>
      <c r="M42" s="4">
        <f t="shared" si="12"/>
        <v>-807111.019</v>
      </c>
      <c r="N42" s="21"/>
      <c r="O42" s="4">
        <f t="shared" si="13"/>
        <v>4.083204317</v>
      </c>
      <c r="P42" s="4"/>
      <c r="Q42" s="4"/>
      <c r="R42" s="4"/>
    </row>
    <row r="43">
      <c r="A43" s="1" t="s">
        <v>115</v>
      </c>
      <c r="B43" s="1" t="s">
        <v>116</v>
      </c>
      <c r="C43" s="1"/>
      <c r="D43" s="1" t="s">
        <v>16</v>
      </c>
      <c r="E43" s="5" t="s">
        <v>17</v>
      </c>
      <c r="F43" s="1" t="s">
        <v>17</v>
      </c>
      <c r="G43" s="1" t="s">
        <v>95</v>
      </c>
      <c r="H43" s="1" t="s">
        <v>117</v>
      </c>
      <c r="I43" s="1"/>
      <c r="J43" s="1">
        <v>-1180.965979</v>
      </c>
      <c r="K43" s="4">
        <f t="shared" si="11"/>
        <v>-741067.371</v>
      </c>
      <c r="L43" s="1">
        <v>-1180.962088</v>
      </c>
      <c r="M43" s="7">
        <f t="shared" si="12"/>
        <v>-741064.9294</v>
      </c>
      <c r="N43" s="4"/>
      <c r="O43" s="4">
        <f t="shared" si="13"/>
        <v>2.441639464</v>
      </c>
      <c r="P43" s="4"/>
      <c r="Q43" s="4"/>
      <c r="R43" s="4"/>
    </row>
    <row r="44">
      <c r="A44" s="1" t="s">
        <v>118</v>
      </c>
      <c r="B44" s="1" t="s">
        <v>119</v>
      </c>
      <c r="C44" s="1"/>
      <c r="D44" s="1" t="s">
        <v>16</v>
      </c>
      <c r="E44" s="5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>
        <v>-1541.086128</v>
      </c>
      <c r="K44" s="4">
        <f t="shared" si="11"/>
        <v>-967046.1856</v>
      </c>
      <c r="L44" s="8">
        <v>-1541.073445</v>
      </c>
      <c r="M44" s="4">
        <f t="shared" si="12"/>
        <v>-967038.2269</v>
      </c>
      <c r="N44" s="4"/>
      <c r="O44" s="4">
        <f t="shared" si="13"/>
        <v>7.958702988</v>
      </c>
      <c r="P44" s="4"/>
      <c r="Q44" s="4"/>
      <c r="R44" s="4"/>
    </row>
    <row r="45">
      <c r="A45" s="1" t="s">
        <v>120</v>
      </c>
      <c r="B45" s="1" t="s">
        <v>121</v>
      </c>
      <c r="C45" s="1"/>
      <c r="D45" s="1" t="s">
        <v>16</v>
      </c>
      <c r="E45" s="1" t="s">
        <v>16</v>
      </c>
      <c r="F45" s="1" t="s">
        <v>16</v>
      </c>
      <c r="G45" s="1" t="s">
        <v>16</v>
      </c>
      <c r="H45" s="1" t="s">
        <v>16</v>
      </c>
      <c r="I45" s="1" t="s">
        <v>17</v>
      </c>
      <c r="J45" s="1">
        <v>-1160.376956</v>
      </c>
      <c r="K45" s="4">
        <f t="shared" si="11"/>
        <v>-728147.5635</v>
      </c>
      <c r="L45" s="1">
        <v>-1160.373721</v>
      </c>
      <c r="M45" s="4">
        <f t="shared" si="12"/>
        <v>-728145.5335</v>
      </c>
      <c r="N45" s="4"/>
      <c r="O45" s="4">
        <f t="shared" si="13"/>
        <v>2.029993233</v>
      </c>
      <c r="P45" s="4"/>
      <c r="Q45" s="4"/>
      <c r="R45" s="4"/>
    </row>
    <row r="46">
      <c r="A46" s="1" t="s">
        <v>122</v>
      </c>
      <c r="B46" s="1" t="s">
        <v>123</v>
      </c>
      <c r="C46" s="1"/>
      <c r="D46" s="1" t="s">
        <v>16</v>
      </c>
      <c r="E46" s="1" t="s">
        <v>17</v>
      </c>
      <c r="F46" s="1" t="s">
        <v>124</v>
      </c>
      <c r="G46" s="4"/>
      <c r="H46" s="1"/>
      <c r="I46" s="1"/>
      <c r="J46" s="4"/>
      <c r="K46" s="4"/>
      <c r="L46" s="4"/>
      <c r="M46" s="4"/>
      <c r="N46" s="4"/>
      <c r="O46" s="4"/>
      <c r="P46" s="4"/>
      <c r="Q46" s="4"/>
      <c r="R46" s="4"/>
    </row>
    <row r="47">
      <c r="A47" s="1" t="s">
        <v>125</v>
      </c>
      <c r="B47" s="1" t="s">
        <v>126</v>
      </c>
      <c r="C47" s="1"/>
      <c r="D47" s="1" t="s">
        <v>16</v>
      </c>
      <c r="E47" s="1" t="s">
        <v>16</v>
      </c>
      <c r="F47" s="1" t="s">
        <v>16</v>
      </c>
      <c r="G47" s="1" t="s">
        <v>16</v>
      </c>
      <c r="H47" s="1" t="s">
        <v>17</v>
      </c>
      <c r="I47" s="1" t="s">
        <v>17</v>
      </c>
      <c r="J47" s="1">
        <v>-1616.480441</v>
      </c>
      <c r="K47" s="4">
        <f t="shared" ref="K47:K50" si="14">J47*627.5095</f>
        <v>-1014356.833</v>
      </c>
      <c r="L47" s="1">
        <v>-1616.474442</v>
      </c>
      <c r="M47" s="4">
        <f t="shared" ref="M47:M50" si="15">L47*627.5095</f>
        <v>-1014353.069</v>
      </c>
      <c r="N47" s="4"/>
      <c r="O47" s="4">
        <f t="shared" ref="O47:O50" si="16">M47-K47</f>
        <v>3.764429491</v>
      </c>
      <c r="P47" s="4"/>
      <c r="Q47" s="4"/>
      <c r="R47" s="4"/>
    </row>
    <row r="48">
      <c r="A48" s="1" t="s">
        <v>127</v>
      </c>
      <c r="B48" s="1" t="s">
        <v>128</v>
      </c>
      <c r="C48" s="1"/>
      <c r="D48" s="1" t="s">
        <v>16</v>
      </c>
      <c r="E48" s="1" t="s">
        <v>16</v>
      </c>
      <c r="F48" s="1" t="s">
        <v>16</v>
      </c>
      <c r="G48" s="1" t="s">
        <v>16</v>
      </c>
      <c r="H48" s="1" t="s">
        <v>16</v>
      </c>
      <c r="I48" s="1" t="s">
        <v>16</v>
      </c>
      <c r="J48" s="6">
        <v>-1230.56</v>
      </c>
      <c r="K48" s="4">
        <f t="shared" si="14"/>
        <v>-772188.0903</v>
      </c>
      <c r="L48" s="6">
        <v>-1230.534063</v>
      </c>
      <c r="M48" s="4">
        <f t="shared" si="15"/>
        <v>-772171.8146</v>
      </c>
      <c r="N48" s="4"/>
      <c r="O48" s="4">
        <f t="shared" si="16"/>
        <v>16.2757139</v>
      </c>
      <c r="P48" s="4"/>
      <c r="Q48" s="4"/>
      <c r="R48" s="4"/>
    </row>
    <row r="49">
      <c r="A49" s="1" t="s">
        <v>129</v>
      </c>
      <c r="B49" s="1" t="s">
        <v>130</v>
      </c>
      <c r="C49" s="1"/>
      <c r="D49" s="1" t="s">
        <v>16</v>
      </c>
      <c r="E49" s="1" t="s">
        <v>16</v>
      </c>
      <c r="F49" s="1" t="s">
        <v>16</v>
      </c>
      <c r="G49" s="1" t="s">
        <v>17</v>
      </c>
      <c r="H49" s="1" t="s">
        <v>17</v>
      </c>
      <c r="I49" s="1" t="s">
        <v>16</v>
      </c>
      <c r="J49" s="1">
        <v>-1230.552411</v>
      </c>
      <c r="K49" s="4">
        <f t="shared" si="14"/>
        <v>-772183.3282</v>
      </c>
      <c r="L49" s="1">
        <v>-1230.538552</v>
      </c>
      <c r="M49" s="4">
        <f t="shared" si="15"/>
        <v>-772174.6315</v>
      </c>
      <c r="O49" s="4">
        <f t="shared" si="16"/>
        <v>8.69665416</v>
      </c>
      <c r="P49" s="1">
        <v>-1230.328887</v>
      </c>
      <c r="Q49" s="4"/>
      <c r="R49" s="4"/>
    </row>
    <row r="50">
      <c r="A50" s="1" t="s">
        <v>131</v>
      </c>
      <c r="B50" s="1" t="s">
        <v>132</v>
      </c>
      <c r="C50" s="1"/>
      <c r="D50" s="1" t="s">
        <v>16</v>
      </c>
      <c r="E50" s="1" t="s">
        <v>16</v>
      </c>
      <c r="F50" s="1" t="s">
        <v>16</v>
      </c>
      <c r="G50" s="1" t="s">
        <v>17</v>
      </c>
      <c r="H50" s="1" t="s">
        <v>17</v>
      </c>
      <c r="I50" s="1" t="s">
        <v>17</v>
      </c>
      <c r="J50" s="1">
        <v>-1196.268923</v>
      </c>
      <c r="K50" s="4">
        <f t="shared" si="14"/>
        <v>-750670.1137</v>
      </c>
      <c r="L50" s="1">
        <v>-1196.250814</v>
      </c>
      <c r="M50" s="4">
        <f t="shared" si="15"/>
        <v>-750658.7502</v>
      </c>
      <c r="N50" s="4"/>
      <c r="O50" s="4">
        <f t="shared" si="16"/>
        <v>11.36356954</v>
      </c>
      <c r="P50" s="4"/>
      <c r="Q50" s="4"/>
      <c r="R50" s="4"/>
    </row>
    <row r="51">
      <c r="A51" s="1" t="s">
        <v>133</v>
      </c>
      <c r="B51" s="1" t="s">
        <v>134</v>
      </c>
      <c r="C51" s="1"/>
      <c r="D51" s="1" t="s">
        <v>16</v>
      </c>
      <c r="E51" s="1" t="s">
        <v>16</v>
      </c>
      <c r="F51" s="1" t="s">
        <v>17</v>
      </c>
      <c r="G51" s="1" t="s">
        <v>135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1" t="s">
        <v>136</v>
      </c>
      <c r="B52" s="1" t="s">
        <v>137</v>
      </c>
      <c r="C52" s="1"/>
      <c r="D52" s="1" t="s">
        <v>16</v>
      </c>
      <c r="E52" s="1" t="s">
        <v>16</v>
      </c>
      <c r="F52" s="1" t="s">
        <v>16</v>
      </c>
      <c r="G52" s="1" t="s">
        <v>17</v>
      </c>
      <c r="H52" s="1" t="s">
        <v>17</v>
      </c>
      <c r="I52" s="1" t="s">
        <v>17</v>
      </c>
      <c r="J52" s="1">
        <v>-1314.02222</v>
      </c>
      <c r="K52" s="4">
        <f>J52*627.5095</f>
        <v>-824561.4263</v>
      </c>
      <c r="L52" s="1">
        <v>-1314.01831</v>
      </c>
      <c r="M52" s="4">
        <f t="shared" ref="M52:M53" si="17">L52*627.5095</f>
        <v>-824558.9727</v>
      </c>
      <c r="N52" s="4"/>
      <c r="O52" s="4">
        <f t="shared" ref="O52:O53" si="18">M52-K52</f>
        <v>2.453562145</v>
      </c>
      <c r="P52" s="4"/>
      <c r="Q52" s="4"/>
      <c r="R52" s="4"/>
    </row>
    <row r="53">
      <c r="A53" s="1" t="s">
        <v>138</v>
      </c>
      <c r="B53" s="1" t="s">
        <v>139</v>
      </c>
      <c r="C53" s="1"/>
      <c r="D53" s="1" t="s">
        <v>16</v>
      </c>
      <c r="E53" s="1" t="s">
        <v>16</v>
      </c>
      <c r="F53" s="1" t="s">
        <v>16</v>
      </c>
      <c r="G53" s="1" t="s">
        <v>16</v>
      </c>
      <c r="H53" s="1" t="s">
        <v>16</v>
      </c>
      <c r="I53" s="1" t="s">
        <v>17</v>
      </c>
      <c r="J53" s="6">
        <v>-1230.56</v>
      </c>
      <c r="K53" s="6">
        <v>-772186.8482</v>
      </c>
      <c r="L53" s="6">
        <v>-1230.545281</v>
      </c>
      <c r="M53" s="4">
        <f t="shared" si="17"/>
        <v>-772178.854</v>
      </c>
      <c r="N53" s="4"/>
      <c r="O53" s="4">
        <f t="shared" si="18"/>
        <v>7.994192331</v>
      </c>
      <c r="P53" s="4"/>
      <c r="Q53" s="4"/>
      <c r="R53" s="4"/>
    </row>
    <row r="54">
      <c r="A54" s="1" t="s">
        <v>140</v>
      </c>
      <c r="B54" s="1" t="s">
        <v>141</v>
      </c>
      <c r="C54" s="1" t="s">
        <v>141</v>
      </c>
      <c r="D54" s="1" t="s">
        <v>16</v>
      </c>
      <c r="E54" s="1" t="s">
        <v>16</v>
      </c>
      <c r="F54" s="1" t="s">
        <v>17</v>
      </c>
      <c r="G54" s="1" t="s">
        <v>142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1" t="s">
        <v>143</v>
      </c>
      <c r="B55" s="1" t="s">
        <v>144</v>
      </c>
      <c r="C55" s="1"/>
      <c r="D55" s="1" t="s">
        <v>16</v>
      </c>
      <c r="E55" s="1" t="s">
        <v>16</v>
      </c>
      <c r="F55" s="1" t="s">
        <v>16</v>
      </c>
      <c r="G55" s="1" t="s">
        <v>16</v>
      </c>
      <c r="H55" s="1" t="s">
        <v>16</v>
      </c>
      <c r="I55" s="1" t="s">
        <v>17</v>
      </c>
      <c r="J55" s="10">
        <v>-1541.473625</v>
      </c>
      <c r="K55" s="4">
        <f t="shared" ref="K55:K60" si="19">J55*627.5095</f>
        <v>-967289.3437</v>
      </c>
      <c r="L55" s="1">
        <v>-1541.449967</v>
      </c>
      <c r="M55" s="4">
        <f t="shared" ref="M55:M61" si="20">L55*627.5095</f>
        <v>-967274.4981</v>
      </c>
      <c r="N55" s="4"/>
      <c r="O55" s="4">
        <f t="shared" ref="O55:O61" si="21">M55-K55</f>
        <v>14.84561975</v>
      </c>
      <c r="P55" s="4"/>
      <c r="Q55" s="4"/>
      <c r="R55" s="4"/>
    </row>
    <row r="56">
      <c r="A56" s="1" t="s">
        <v>145</v>
      </c>
      <c r="B56" s="1" t="s">
        <v>146</v>
      </c>
      <c r="C56" s="1"/>
      <c r="D56" s="1" t="s">
        <v>16</v>
      </c>
      <c r="E56" s="1" t="s">
        <v>16</v>
      </c>
      <c r="F56" s="1" t="s">
        <v>16</v>
      </c>
      <c r="G56" s="1" t="s">
        <v>16</v>
      </c>
      <c r="H56" s="1" t="s">
        <v>17</v>
      </c>
      <c r="I56" s="1" t="s">
        <v>17</v>
      </c>
      <c r="J56" s="1">
        <v>-1541.470157</v>
      </c>
      <c r="K56" s="4">
        <f t="shared" si="19"/>
        <v>-967287.1675</v>
      </c>
      <c r="L56" s="1">
        <v>-1541.46378</v>
      </c>
      <c r="M56" s="4">
        <f t="shared" si="20"/>
        <v>-967283.1659</v>
      </c>
      <c r="N56" s="4"/>
      <c r="O56" s="4">
        <f t="shared" si="21"/>
        <v>4.001628081</v>
      </c>
      <c r="P56" s="4"/>
      <c r="Q56" s="4"/>
      <c r="R56" s="4"/>
    </row>
    <row r="57">
      <c r="A57" s="1" t="s">
        <v>147</v>
      </c>
      <c r="B57" s="1" t="s">
        <v>148</v>
      </c>
      <c r="C57" s="1" t="s">
        <v>149</v>
      </c>
      <c r="D57" s="1" t="s">
        <v>16</v>
      </c>
      <c r="E57" s="1" t="s">
        <v>16</v>
      </c>
      <c r="F57" s="1" t="s">
        <v>16</v>
      </c>
      <c r="G57" s="1" t="s">
        <v>16</v>
      </c>
      <c r="H57" s="1" t="s">
        <v>17</v>
      </c>
      <c r="I57" s="1" t="s">
        <v>17</v>
      </c>
      <c r="J57" s="1">
        <v>-1537.822879</v>
      </c>
      <c r="K57" s="4">
        <f t="shared" si="19"/>
        <v>-964998.4659</v>
      </c>
      <c r="L57" s="1">
        <v>-1537.808503</v>
      </c>
      <c r="M57" s="4">
        <f t="shared" si="20"/>
        <v>-964989.4448</v>
      </c>
      <c r="N57" s="4"/>
      <c r="O57" s="4">
        <f t="shared" si="21"/>
        <v>9.021076572</v>
      </c>
      <c r="P57" s="4"/>
      <c r="Q57" s="4"/>
      <c r="R57" s="4"/>
    </row>
    <row r="58">
      <c r="A58" s="1" t="s">
        <v>150</v>
      </c>
      <c r="B58" s="1" t="s">
        <v>148</v>
      </c>
      <c r="C58" s="1"/>
      <c r="D58" s="1" t="s">
        <v>16</v>
      </c>
      <c r="E58" s="1" t="s">
        <v>16</v>
      </c>
      <c r="F58" s="1" t="s">
        <v>16</v>
      </c>
      <c r="G58" s="1" t="s">
        <v>16</v>
      </c>
      <c r="H58" s="1" t="s">
        <v>16</v>
      </c>
      <c r="I58" s="1" t="s">
        <v>17</v>
      </c>
      <c r="J58" s="1">
        <v>-1537.828423</v>
      </c>
      <c r="K58" s="4">
        <f t="shared" si="19"/>
        <v>-965001.9448</v>
      </c>
      <c r="L58" s="1">
        <v>-1537.817537</v>
      </c>
      <c r="M58" s="4">
        <f t="shared" si="20"/>
        <v>-964995.1137</v>
      </c>
      <c r="N58" s="4"/>
      <c r="O58" s="4">
        <f t="shared" si="21"/>
        <v>6.831068417</v>
      </c>
      <c r="P58" s="4"/>
      <c r="Q58" s="4"/>
      <c r="R58" s="4"/>
    </row>
    <row r="59">
      <c r="A59" s="1" t="s">
        <v>151</v>
      </c>
      <c r="B59" s="1" t="s">
        <v>152</v>
      </c>
      <c r="C59" s="1"/>
      <c r="D59" s="1" t="s">
        <v>16</v>
      </c>
      <c r="E59" s="5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>
        <v>-1152.202454</v>
      </c>
      <c r="K59" s="4">
        <f t="shared" si="19"/>
        <v>-723017.9858</v>
      </c>
      <c r="L59" s="1">
        <v>-1152.186089</v>
      </c>
      <c r="M59" s="4">
        <f t="shared" si="20"/>
        <v>-723007.7166</v>
      </c>
      <c r="O59" s="4">
        <f t="shared" si="21"/>
        <v>10.26919297</v>
      </c>
      <c r="P59" s="1">
        <v>-1151.975745</v>
      </c>
      <c r="Q59" s="4"/>
      <c r="R59" s="4"/>
    </row>
    <row r="60">
      <c r="A60" s="1" t="s">
        <v>153</v>
      </c>
      <c r="B60" s="1" t="s">
        <v>154</v>
      </c>
      <c r="C60" s="1"/>
      <c r="D60" s="1" t="s">
        <v>16</v>
      </c>
      <c r="E60" s="1" t="s">
        <v>16</v>
      </c>
      <c r="F60" s="1" t="s">
        <v>16</v>
      </c>
      <c r="G60" s="1" t="s">
        <v>16</v>
      </c>
      <c r="H60" s="1" t="s">
        <v>17</v>
      </c>
      <c r="I60" s="1" t="s">
        <v>17</v>
      </c>
      <c r="J60" s="1">
        <v>-1246.553389</v>
      </c>
      <c r="K60" s="4">
        <f t="shared" si="19"/>
        <v>-782224.0939</v>
      </c>
      <c r="L60" s="1">
        <v>-1246.537826</v>
      </c>
      <c r="M60" s="4">
        <f t="shared" si="20"/>
        <v>-782214.3279</v>
      </c>
      <c r="N60" s="4"/>
      <c r="O60" s="4">
        <f t="shared" si="21"/>
        <v>9.765930348</v>
      </c>
      <c r="P60" s="4"/>
      <c r="Q60" s="4"/>
      <c r="R60" s="4"/>
    </row>
    <row r="61">
      <c r="A61" s="1" t="s">
        <v>155</v>
      </c>
      <c r="B61" s="1" t="s">
        <v>156</v>
      </c>
      <c r="C61" s="1"/>
      <c r="D61" s="1" t="s">
        <v>16</v>
      </c>
      <c r="E61" s="1" t="s">
        <v>16</v>
      </c>
      <c r="F61" s="1" t="s">
        <v>16</v>
      </c>
      <c r="G61" s="1" t="s">
        <v>16</v>
      </c>
      <c r="H61" s="1" t="s">
        <v>16</v>
      </c>
      <c r="I61" s="1" t="s">
        <v>17</v>
      </c>
      <c r="J61" s="1">
        <v>-1188.761297</v>
      </c>
      <c r="K61" s="4">
        <f>J61*R7</f>
        <v>-745959.6015</v>
      </c>
      <c r="L61" s="1">
        <v>-1188.741966</v>
      </c>
      <c r="M61" s="4">
        <f t="shared" si="20"/>
        <v>-745946.8767</v>
      </c>
      <c r="N61" s="4"/>
      <c r="O61" s="4">
        <f t="shared" si="21"/>
        <v>12.72476679</v>
      </c>
      <c r="P61" s="4"/>
      <c r="Q61" s="4"/>
      <c r="R61" s="4"/>
    </row>
    <row r="62">
      <c r="A62" s="1" t="s">
        <v>157</v>
      </c>
      <c r="B62" s="1" t="s">
        <v>158</v>
      </c>
      <c r="C62" s="1"/>
      <c r="D62" s="1" t="s">
        <v>16</v>
      </c>
      <c r="E62" s="5" t="s">
        <v>17</v>
      </c>
      <c r="F62" s="1" t="s">
        <v>17</v>
      </c>
      <c r="G62" s="1" t="s">
        <v>18</v>
      </c>
      <c r="H62" s="1" t="s">
        <v>17</v>
      </c>
      <c r="I62" s="1" t="s">
        <v>159</v>
      </c>
      <c r="J62" s="1">
        <v>-2192.7554383</v>
      </c>
      <c r="K62" s="4">
        <f>J62*627.5095</f>
        <v>-1375974.869</v>
      </c>
      <c r="L62" s="1"/>
      <c r="M62" s="4"/>
      <c r="N62" s="4"/>
      <c r="O62" s="4"/>
      <c r="P62" s="4"/>
      <c r="Q62" s="4"/>
      <c r="R62" s="4"/>
    </row>
    <row r="63">
      <c r="A63" s="1" t="s">
        <v>160</v>
      </c>
      <c r="B63" s="1" t="s">
        <v>161</v>
      </c>
      <c r="C63" s="1"/>
      <c r="D63" s="1" t="s">
        <v>16</v>
      </c>
      <c r="E63" s="1" t="s">
        <v>16</v>
      </c>
      <c r="F63" s="1" t="s">
        <v>16</v>
      </c>
      <c r="G63" s="1" t="s">
        <v>16</v>
      </c>
      <c r="H63" s="1" t="s">
        <v>16</v>
      </c>
      <c r="I63" s="1" t="s">
        <v>17</v>
      </c>
      <c r="J63" s="6">
        <v>-1081.73</v>
      </c>
      <c r="K63" s="6">
        <v>-678796.2819</v>
      </c>
      <c r="L63" s="6">
        <v>-1081.720682</v>
      </c>
      <c r="M63" s="6">
        <v>-678790.5452</v>
      </c>
      <c r="N63" s="4"/>
      <c r="O63" s="4">
        <f t="shared" ref="O63:O64" si="22">M63-K63</f>
        <v>5.7367</v>
      </c>
      <c r="P63" s="4"/>
      <c r="Q63" s="4"/>
      <c r="R63" s="4"/>
    </row>
    <row r="64">
      <c r="A64" s="1" t="s">
        <v>162</v>
      </c>
      <c r="B64" s="1" t="s">
        <v>163</v>
      </c>
      <c r="C64" s="1"/>
      <c r="D64" s="1" t="s">
        <v>16</v>
      </c>
      <c r="E64" s="1" t="s">
        <v>16</v>
      </c>
      <c r="F64" s="1" t="s">
        <v>16</v>
      </c>
      <c r="G64" s="1" t="s">
        <v>16</v>
      </c>
      <c r="H64" s="1" t="s">
        <v>16</v>
      </c>
      <c r="I64" s="1" t="s">
        <v>17</v>
      </c>
      <c r="J64" s="6">
        <v>-1078.13</v>
      </c>
      <c r="K64" s="6">
        <v>-676536.3128</v>
      </c>
      <c r="L64" s="6">
        <v>-1078.11279</v>
      </c>
      <c r="M64" s="6">
        <v>-676526.5569</v>
      </c>
      <c r="N64" s="4"/>
      <c r="O64" s="4">
        <f t="shared" si="22"/>
        <v>9.7559</v>
      </c>
      <c r="P64" s="4"/>
      <c r="Q64" s="4"/>
      <c r="R64" s="4"/>
    </row>
    <row r="65">
      <c r="A65" s="1" t="s">
        <v>164</v>
      </c>
      <c r="B65" s="1" t="s">
        <v>165</v>
      </c>
      <c r="C65" s="1"/>
      <c r="D65" s="1" t="s">
        <v>16</v>
      </c>
      <c r="E65" s="1" t="s">
        <v>16</v>
      </c>
      <c r="F65" s="1" t="s">
        <v>16</v>
      </c>
      <c r="G65" s="1" t="s">
        <v>18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1" t="s">
        <v>166</v>
      </c>
      <c r="B66" s="1" t="s">
        <v>167</v>
      </c>
      <c r="C66" s="1"/>
      <c r="D66" s="1" t="s">
        <v>16</v>
      </c>
      <c r="E66" s="1" t="s">
        <v>16</v>
      </c>
      <c r="F66" s="1" t="s">
        <v>16</v>
      </c>
      <c r="G66" s="1" t="s">
        <v>16</v>
      </c>
      <c r="H66" s="1" t="s">
        <v>16</v>
      </c>
      <c r="I66" s="1" t="s">
        <v>17</v>
      </c>
      <c r="J66" s="1">
        <v>-1857.210672</v>
      </c>
      <c r="K66" s="4">
        <f>J66*627.5095</f>
        <v>-1165417.34</v>
      </c>
      <c r="L66" s="1">
        <v>-1857.192806</v>
      </c>
      <c r="M66" s="4">
        <f t="shared" ref="M66:M70" si="23">L66*627.5095</f>
        <v>-1165406.129</v>
      </c>
      <c r="N66" s="4"/>
      <c r="O66" s="4">
        <f t="shared" ref="O66:O70" si="24">M66-K66</f>
        <v>11.21108473</v>
      </c>
      <c r="P66" s="4"/>
      <c r="Q66" s="4"/>
      <c r="R66" s="4"/>
    </row>
    <row r="67">
      <c r="A67" s="1" t="s">
        <v>168</v>
      </c>
      <c r="B67" s="1" t="s">
        <v>169</v>
      </c>
      <c r="C67" s="1"/>
      <c r="D67" s="1" t="s">
        <v>16</v>
      </c>
      <c r="E67" s="1" t="s">
        <v>16</v>
      </c>
      <c r="F67" s="1" t="s">
        <v>16</v>
      </c>
      <c r="G67" s="1" t="s">
        <v>16</v>
      </c>
      <c r="H67" s="1" t="s">
        <v>16</v>
      </c>
      <c r="I67" s="1" t="s">
        <v>17</v>
      </c>
      <c r="J67" s="1">
        <v>-1858.42409</v>
      </c>
      <c r="K67" s="4">
        <f>J67*R7</f>
        <v>-1166179.701</v>
      </c>
      <c r="L67" s="1">
        <v>-1858.413104</v>
      </c>
      <c r="M67" s="4">
        <f t="shared" si="23"/>
        <v>-1166171.878</v>
      </c>
      <c r="N67" s="4"/>
      <c r="O67" s="4">
        <f t="shared" si="24"/>
        <v>7.823031412</v>
      </c>
      <c r="P67" s="4"/>
      <c r="Q67" s="4"/>
      <c r="R67" s="4"/>
    </row>
    <row r="68">
      <c r="A68" s="1" t="s">
        <v>170</v>
      </c>
      <c r="B68" s="1" t="s">
        <v>171</v>
      </c>
      <c r="C68" s="22" t="s">
        <v>171</v>
      </c>
      <c r="D68" s="1" t="s">
        <v>16</v>
      </c>
      <c r="E68" s="1" t="s">
        <v>16</v>
      </c>
      <c r="F68" s="1" t="s">
        <v>16</v>
      </c>
      <c r="G68" s="1" t="s">
        <v>16</v>
      </c>
      <c r="H68" s="1" t="s">
        <v>16</v>
      </c>
      <c r="I68" s="1" t="s">
        <v>17</v>
      </c>
      <c r="J68" s="1">
        <v>-1608.433113</v>
      </c>
      <c r="K68" s="4">
        <f>J68*627.5095</f>
        <v>-1009307.059</v>
      </c>
      <c r="L68" s="1">
        <v>-1608.422197</v>
      </c>
      <c r="M68" s="4">
        <f t="shared" si="23"/>
        <v>-1009300.209</v>
      </c>
      <c r="N68" s="4"/>
      <c r="O68" s="4">
        <f t="shared" si="24"/>
        <v>6.849893702</v>
      </c>
      <c r="P68" s="4"/>
      <c r="Q68" s="4"/>
      <c r="R68" s="4"/>
    </row>
    <row r="69">
      <c r="A69" s="1" t="s">
        <v>172</v>
      </c>
      <c r="B69" s="1" t="s">
        <v>173</v>
      </c>
      <c r="C69" s="22" t="s">
        <v>174</v>
      </c>
      <c r="D69" s="1" t="s">
        <v>16</v>
      </c>
      <c r="E69" s="1" t="s">
        <v>16</v>
      </c>
      <c r="F69" s="1" t="s">
        <v>16</v>
      </c>
      <c r="G69" s="1" t="s">
        <v>16</v>
      </c>
      <c r="H69" s="1" t="s">
        <v>16</v>
      </c>
      <c r="I69" s="1" t="s">
        <v>17</v>
      </c>
      <c r="J69" s="6">
        <v>-1345.28</v>
      </c>
      <c r="K69" s="6">
        <v>-844177.6675</v>
      </c>
      <c r="L69" s="6">
        <v>-1345.269817</v>
      </c>
      <c r="M69" s="4">
        <f t="shared" si="23"/>
        <v>-844169.5902</v>
      </c>
      <c r="N69" s="4"/>
      <c r="O69" s="4">
        <f t="shared" si="24"/>
        <v>8.077269238</v>
      </c>
      <c r="P69" s="4"/>
      <c r="Q69" s="4"/>
      <c r="R69" s="4"/>
    </row>
    <row r="70">
      <c r="A70" s="1" t="s">
        <v>175</v>
      </c>
      <c r="B70" s="1" t="s">
        <v>176</v>
      </c>
      <c r="C70" s="1"/>
      <c r="D70" s="1" t="s">
        <v>16</v>
      </c>
      <c r="E70" s="1" t="s">
        <v>16</v>
      </c>
      <c r="F70" s="1" t="s">
        <v>16</v>
      </c>
      <c r="G70" s="1" t="s">
        <v>16</v>
      </c>
      <c r="H70" s="1" t="s">
        <v>16</v>
      </c>
      <c r="I70" s="1" t="s">
        <v>17</v>
      </c>
      <c r="J70" s="6">
        <v>-1459.23</v>
      </c>
      <c r="K70" s="6">
        <v>-915681.4562</v>
      </c>
      <c r="L70" s="6">
        <v>-1459.217759</v>
      </c>
      <c r="M70" s="4">
        <f t="shared" si="23"/>
        <v>-915673.0063</v>
      </c>
      <c r="N70" s="4"/>
      <c r="O70" s="4">
        <f t="shared" si="24"/>
        <v>8.44985879</v>
      </c>
      <c r="P70" s="4"/>
      <c r="Q70" s="4"/>
      <c r="R70" s="4"/>
    </row>
    <row r="71">
      <c r="A71" s="1" t="s">
        <v>177</v>
      </c>
      <c r="B71" s="1" t="s">
        <v>178</v>
      </c>
      <c r="C71" s="1"/>
      <c r="D71" s="1" t="s">
        <v>16</v>
      </c>
      <c r="E71" s="1" t="s">
        <v>124</v>
      </c>
      <c r="F71" s="1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1" t="s">
        <v>179</v>
      </c>
      <c r="B72" s="1" t="s">
        <v>180</v>
      </c>
      <c r="C72" s="1"/>
      <c r="D72" s="1" t="s">
        <v>16</v>
      </c>
      <c r="E72" s="1" t="s">
        <v>124</v>
      </c>
      <c r="F72" s="1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1" t="s">
        <v>181</v>
      </c>
      <c r="B73" s="1" t="s">
        <v>182</v>
      </c>
      <c r="C73" s="1"/>
      <c r="D73" s="1" t="s">
        <v>16</v>
      </c>
      <c r="E73" s="1" t="s">
        <v>16</v>
      </c>
      <c r="F73" s="1" t="s">
        <v>17</v>
      </c>
      <c r="G73" s="1" t="s">
        <v>95</v>
      </c>
      <c r="H73" s="1" t="s">
        <v>183</v>
      </c>
      <c r="I73" s="4"/>
      <c r="J73" s="4"/>
      <c r="K73" s="4"/>
      <c r="L73" s="1">
        <v>-1576.19252989</v>
      </c>
      <c r="M73" s="4"/>
      <c r="N73" s="4"/>
      <c r="O73" s="4"/>
      <c r="P73" s="4"/>
      <c r="Q73" s="4"/>
      <c r="R73" s="4"/>
    </row>
    <row r="74">
      <c r="A74" s="1" t="s">
        <v>184</v>
      </c>
      <c r="B74" s="1" t="s">
        <v>185</v>
      </c>
      <c r="C74" s="1"/>
      <c r="D74" s="1" t="s">
        <v>16</v>
      </c>
      <c r="E74" s="1" t="s">
        <v>16</v>
      </c>
      <c r="F74" s="1" t="s">
        <v>16</v>
      </c>
      <c r="G74" s="1" t="s">
        <v>16</v>
      </c>
      <c r="H74" s="1" t="s">
        <v>16</v>
      </c>
      <c r="I74" s="1" t="s">
        <v>17</v>
      </c>
      <c r="J74" s="1">
        <v>-1774.966748</v>
      </c>
      <c r="K74" s="4">
        <f>J74*R7</f>
        <v>-1113809.384</v>
      </c>
      <c r="L74" s="6">
        <v>-1774.956525</v>
      </c>
      <c r="M74" s="4">
        <f t="shared" ref="M74:M75" si="25">L74*627.5095</f>
        <v>-1113802.082</v>
      </c>
      <c r="N74" s="4"/>
      <c r="O74" s="4">
        <f t="shared" ref="O74:O75" si="26">M74-K74</f>
        <v>7.302512992</v>
      </c>
      <c r="P74" s="4"/>
      <c r="Q74" s="4"/>
      <c r="R74" s="4"/>
    </row>
    <row r="75">
      <c r="A75" s="1" t="s">
        <v>186</v>
      </c>
      <c r="B75" s="1" t="s">
        <v>187</v>
      </c>
      <c r="C75" s="1"/>
      <c r="D75" s="1" t="s">
        <v>16</v>
      </c>
      <c r="E75" s="1" t="s">
        <v>16</v>
      </c>
      <c r="F75" s="1" t="s">
        <v>16</v>
      </c>
      <c r="G75" s="1" t="s">
        <v>16</v>
      </c>
      <c r="H75" s="1" t="s">
        <v>16</v>
      </c>
      <c r="I75" s="1" t="s">
        <v>17</v>
      </c>
      <c r="J75" s="1">
        <v>-1391.463435</v>
      </c>
      <c r="K75" s="4">
        <f>J75*R7</f>
        <v>-873157.2201</v>
      </c>
      <c r="L75" s="1">
        <v>-1391.445114</v>
      </c>
      <c r="M75" s="4">
        <f t="shared" si="25"/>
        <v>-873145.0278</v>
      </c>
      <c r="N75" s="4"/>
      <c r="O75" s="4">
        <f t="shared" si="26"/>
        <v>12.19233327</v>
      </c>
      <c r="P75" s="4"/>
      <c r="Q75" s="4"/>
      <c r="R75" s="4"/>
    </row>
    <row r="76">
      <c r="A76" s="1" t="s">
        <v>188</v>
      </c>
      <c r="B76" s="1" t="s">
        <v>189</v>
      </c>
      <c r="C76" s="1"/>
      <c r="D76" s="1" t="s">
        <v>16</v>
      </c>
      <c r="E76" s="1" t="s">
        <v>16</v>
      </c>
      <c r="F76" s="1" t="s">
        <v>16</v>
      </c>
      <c r="G76" s="1" t="s">
        <v>190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1" t="s">
        <v>191</v>
      </c>
      <c r="B77" s="1" t="s">
        <v>192</v>
      </c>
      <c r="C77" s="1"/>
      <c r="D77" s="1" t="s">
        <v>16</v>
      </c>
      <c r="E77" s="1" t="s">
        <v>16</v>
      </c>
      <c r="F77" s="1" t="s">
        <v>16</v>
      </c>
      <c r="G77" s="1" t="s">
        <v>16</v>
      </c>
      <c r="H77" s="1" t="s">
        <v>16</v>
      </c>
      <c r="I77" s="1" t="s">
        <v>17</v>
      </c>
      <c r="J77" s="1">
        <v>-1802.055025</v>
      </c>
      <c r="K77" s="4">
        <f>J77*R7</f>
        <v>-1130807.549</v>
      </c>
      <c r="L77" s="1">
        <v>-1802.045002</v>
      </c>
      <c r="M77" s="4">
        <f t="shared" ref="M77:M78" si="27">L77*627.5095</f>
        <v>-1130800.358</v>
      </c>
      <c r="N77" s="4"/>
      <c r="O77" s="4">
        <f t="shared" ref="O77:O78" si="28">M77-K77</f>
        <v>7.190555231</v>
      </c>
      <c r="P77" s="4"/>
      <c r="Q77" s="4"/>
      <c r="R77" s="4"/>
    </row>
    <row r="78">
      <c r="A78" s="1" t="s">
        <v>193</v>
      </c>
      <c r="B78" s="1" t="s">
        <v>194</v>
      </c>
      <c r="C78" s="1"/>
      <c r="D78" s="1" t="s">
        <v>16</v>
      </c>
      <c r="E78" s="1" t="s">
        <v>16</v>
      </c>
      <c r="F78" s="1" t="s">
        <v>16</v>
      </c>
      <c r="G78" s="1" t="s">
        <v>16</v>
      </c>
      <c r="H78" s="1" t="s">
        <v>16</v>
      </c>
      <c r="I78" s="1" t="s">
        <v>17</v>
      </c>
      <c r="J78" s="6">
        <v>-1156.75</v>
      </c>
      <c r="K78" s="6">
        <v>-725870.1575</v>
      </c>
      <c r="L78" s="6">
        <v>-1156.729594</v>
      </c>
      <c r="M78" s="4">
        <f t="shared" si="27"/>
        <v>-725858.8092</v>
      </c>
      <c r="N78" s="4"/>
      <c r="O78" s="4">
        <f t="shared" si="28"/>
        <v>11.34833386</v>
      </c>
      <c r="P78" s="4"/>
      <c r="Q78" s="4"/>
      <c r="R78" s="4"/>
    </row>
    <row r="79">
      <c r="A79" s="1" t="s">
        <v>195</v>
      </c>
      <c r="B79" s="1" t="s">
        <v>196</v>
      </c>
      <c r="C79" s="1"/>
      <c r="D79" s="1" t="s">
        <v>16</v>
      </c>
      <c r="E79" s="1" t="s">
        <v>16</v>
      </c>
      <c r="F79" s="1" t="s">
        <v>95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1" t="s">
        <v>197</v>
      </c>
      <c r="B80" s="1" t="s">
        <v>198</v>
      </c>
      <c r="C80" s="1"/>
      <c r="D80" s="1" t="s">
        <v>16</v>
      </c>
      <c r="E80" s="1" t="s">
        <v>16</v>
      </c>
      <c r="F80" s="1" t="s">
        <v>16</v>
      </c>
      <c r="G80" s="1" t="s">
        <v>16</v>
      </c>
      <c r="H80" s="1" t="s">
        <v>17</v>
      </c>
      <c r="I80" s="1" t="s">
        <v>17</v>
      </c>
      <c r="J80" s="1">
        <v>-1654.652248</v>
      </c>
      <c r="K80" s="4">
        <f t="shared" ref="K80:K82" si="29">J80*627.5095</f>
        <v>-1038310.005</v>
      </c>
      <c r="L80" s="1">
        <v>-1654.650043</v>
      </c>
      <c r="M80" s="4">
        <f t="shared" ref="M80:M83" si="30">L80*627.5095</f>
        <v>-1038308.621</v>
      </c>
      <c r="N80" s="4"/>
      <c r="O80" s="4">
        <f t="shared" ref="O80:O83" si="31">M80-K80</f>
        <v>1.383658448</v>
      </c>
      <c r="P80" s="4"/>
      <c r="Q80" s="4"/>
      <c r="R80" s="4"/>
    </row>
    <row r="81">
      <c r="A81" s="1" t="s">
        <v>199</v>
      </c>
      <c r="B81" s="1" t="s">
        <v>200</v>
      </c>
      <c r="C81" s="1"/>
      <c r="D81" s="1" t="s">
        <v>16</v>
      </c>
      <c r="E81" s="1" t="s">
        <v>16</v>
      </c>
      <c r="F81" s="1" t="s">
        <v>16</v>
      </c>
      <c r="G81" s="1" t="s">
        <v>16</v>
      </c>
      <c r="H81" s="1" t="s">
        <v>17</v>
      </c>
      <c r="I81" s="1" t="s">
        <v>17</v>
      </c>
      <c r="J81" s="1">
        <v>-1234.181913</v>
      </c>
      <c r="K81" s="4">
        <f t="shared" si="29"/>
        <v>-774460.8751</v>
      </c>
      <c r="L81" s="1">
        <v>-1234.174575</v>
      </c>
      <c r="M81" s="4">
        <f t="shared" si="30"/>
        <v>-774456.2705</v>
      </c>
      <c r="N81" s="4"/>
      <c r="O81" s="4">
        <f t="shared" si="31"/>
        <v>4.604664711</v>
      </c>
      <c r="P81" s="4"/>
      <c r="Q81" s="4"/>
      <c r="R81" s="4"/>
    </row>
    <row r="82">
      <c r="A82" s="1" t="s">
        <v>201</v>
      </c>
      <c r="B82" s="1" t="s">
        <v>202</v>
      </c>
      <c r="C82" s="1"/>
      <c r="D82" s="1" t="s">
        <v>16</v>
      </c>
      <c r="E82" s="1" t="s">
        <v>16</v>
      </c>
      <c r="F82" s="1" t="s">
        <v>16</v>
      </c>
      <c r="G82" s="1" t="s">
        <v>16</v>
      </c>
      <c r="H82" s="1" t="s">
        <v>16</v>
      </c>
      <c r="I82" s="1" t="s">
        <v>17</v>
      </c>
      <c r="J82" s="1">
        <v>-1235.403573</v>
      </c>
      <c r="K82" s="4">
        <f t="shared" si="29"/>
        <v>-775227.4784</v>
      </c>
      <c r="L82" s="1">
        <v>-1235.374653</v>
      </c>
      <c r="M82" s="4">
        <f t="shared" si="30"/>
        <v>-775209.3308</v>
      </c>
      <c r="N82" s="4"/>
      <c r="O82" s="4">
        <f t="shared" si="31"/>
        <v>18.14757474</v>
      </c>
      <c r="P82" s="4"/>
      <c r="Q82" s="4"/>
      <c r="R82" s="4"/>
    </row>
    <row r="83">
      <c r="A83" s="1" t="s">
        <v>203</v>
      </c>
      <c r="B83" s="1" t="s">
        <v>204</v>
      </c>
      <c r="C83" s="1"/>
      <c r="D83" s="1" t="s">
        <v>16</v>
      </c>
      <c r="E83" s="1" t="s">
        <v>16</v>
      </c>
      <c r="F83" s="1" t="s">
        <v>16</v>
      </c>
      <c r="G83" s="1" t="s">
        <v>16</v>
      </c>
      <c r="H83" s="1" t="s">
        <v>16</v>
      </c>
      <c r="I83" s="1" t="s">
        <v>17</v>
      </c>
      <c r="J83" s="6">
        <v>-1235.39</v>
      </c>
      <c r="K83" s="6">
        <v>-775220.2541</v>
      </c>
      <c r="L83" s="6">
        <v>-1235.374653</v>
      </c>
      <c r="M83" s="4">
        <f t="shared" si="30"/>
        <v>-775209.3308</v>
      </c>
      <c r="N83" s="4"/>
      <c r="O83" s="4">
        <f t="shared" si="31"/>
        <v>10.9232833</v>
      </c>
      <c r="P83" s="4"/>
      <c r="Q83" s="4"/>
      <c r="R83" s="4"/>
    </row>
    <row r="84">
      <c r="A84" s="1" t="s">
        <v>205</v>
      </c>
      <c r="B84" s="1" t="s">
        <v>206</v>
      </c>
      <c r="C84" s="1"/>
      <c r="D84" s="1" t="s">
        <v>16</v>
      </c>
      <c r="E84" s="5" t="s">
        <v>73</v>
      </c>
      <c r="F84" s="1" t="s">
        <v>20</v>
      </c>
      <c r="G84" s="1" t="s">
        <v>20</v>
      </c>
      <c r="H84" s="1" t="s">
        <v>20</v>
      </c>
      <c r="I84" s="1" t="s">
        <v>20</v>
      </c>
      <c r="J84" s="1" t="s">
        <v>20</v>
      </c>
      <c r="K84" s="1" t="s">
        <v>20</v>
      </c>
      <c r="L84" s="1" t="s">
        <v>20</v>
      </c>
      <c r="M84" s="1" t="s">
        <v>20</v>
      </c>
      <c r="N84" s="4"/>
      <c r="O84" s="4"/>
      <c r="P84" s="4"/>
      <c r="Q84" s="4"/>
      <c r="R84" s="4"/>
    </row>
    <row r="85">
      <c r="A85" s="1" t="s">
        <v>207</v>
      </c>
      <c r="B85" s="1" t="s">
        <v>208</v>
      </c>
      <c r="C85" s="1"/>
      <c r="D85" s="1" t="s">
        <v>16</v>
      </c>
      <c r="E85" s="5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>
        <v>-1160.33933365</v>
      </c>
      <c r="K85" s="4">
        <f>J85*627.5095</f>
        <v>-728123.9551</v>
      </c>
      <c r="L85" s="1">
        <v>-1160.344441</v>
      </c>
      <c r="M85" s="4">
        <f>L85*627.5095</f>
        <v>-728127.16</v>
      </c>
      <c r="O85" s="4">
        <f>M85-K85</f>
        <v>-3.204910645</v>
      </c>
      <c r="P85" s="1">
        <v>-1160.134503</v>
      </c>
      <c r="Q85" s="4"/>
      <c r="R85" s="4"/>
    </row>
    <row r="86">
      <c r="A86" s="1" t="s">
        <v>209</v>
      </c>
      <c r="B86" s="1"/>
      <c r="C86" s="1"/>
      <c r="D86" s="1">
        <f t="shared" ref="D86:I86" si="32">COUNTIF(D3:D85, "Y")</f>
        <v>83</v>
      </c>
      <c r="E86" s="1">
        <f t="shared" si="32"/>
        <v>78</v>
      </c>
      <c r="F86" s="1">
        <f t="shared" si="32"/>
        <v>76</v>
      </c>
      <c r="G86" s="1">
        <f t="shared" si="32"/>
        <v>61</v>
      </c>
      <c r="H86" s="1">
        <f t="shared" si="32"/>
        <v>66</v>
      </c>
      <c r="I86" s="1">
        <f t="shared" si="32"/>
        <v>63</v>
      </c>
      <c r="J86" s="23">
        <f t="shared" ref="J86:M86" si="33">COUNT(J3:J85)</f>
        <v>68</v>
      </c>
      <c r="K86" s="24">
        <f t="shared" si="33"/>
        <v>68</v>
      </c>
      <c r="L86" s="23">
        <f t="shared" si="33"/>
        <v>67</v>
      </c>
      <c r="M86" s="23">
        <f t="shared" si="33"/>
        <v>66</v>
      </c>
      <c r="N86" s="25"/>
      <c r="O86" s="23">
        <f>COUNT(O3:O85)</f>
        <v>66</v>
      </c>
      <c r="P86" s="4"/>
      <c r="Q86" s="4"/>
      <c r="R86" s="4"/>
    </row>
    <row r="87">
      <c r="A87" s="4"/>
      <c r="B87" s="4"/>
      <c r="C87" s="4"/>
      <c r="D87" s="4"/>
      <c r="E87" s="1">
        <f>D86-E86</f>
        <v>5</v>
      </c>
      <c r="F87" s="1">
        <f>D86-F86</f>
        <v>7</v>
      </c>
      <c r="G87" s="1">
        <f>D86-G86</f>
        <v>22</v>
      </c>
      <c r="H87" s="1">
        <f t="shared" ref="H87:I87" si="34">D86-H86</f>
        <v>17</v>
      </c>
      <c r="I87" s="1">
        <f t="shared" si="34"/>
        <v>15</v>
      </c>
      <c r="J87" s="26">
        <f>D86-J86</f>
        <v>15</v>
      </c>
      <c r="K87" s="26">
        <f>D86-K86</f>
        <v>15</v>
      </c>
      <c r="L87" s="26">
        <f>D86-L86</f>
        <v>16</v>
      </c>
      <c r="M87" s="26">
        <f>D86-M86</f>
        <v>17</v>
      </c>
      <c r="N87" s="27"/>
      <c r="O87" s="26">
        <f>D86-O86</f>
        <v>17</v>
      </c>
      <c r="P87" s="4"/>
      <c r="Q87" s="4"/>
      <c r="R87" s="4"/>
    </row>
    <row r="88">
      <c r="J88" s="10">
        <v>-1160.339334</v>
      </c>
      <c r="L88" s="10">
        <v>-1160.344441</v>
      </c>
    </row>
    <row r="94">
      <c r="B94" s="10" t="s">
        <v>210</v>
      </c>
      <c r="D94" s="10" t="s">
        <v>211</v>
      </c>
      <c r="E94" s="10" t="s">
        <v>212</v>
      </c>
      <c r="F94" s="10" t="s">
        <v>213</v>
      </c>
      <c r="G94" s="10" t="s">
        <v>214</v>
      </c>
      <c r="H94" s="10" t="s">
        <v>215</v>
      </c>
      <c r="I94" s="10" t="s">
        <v>216</v>
      </c>
    </row>
    <row r="95">
      <c r="A95" s="10" t="s">
        <v>217</v>
      </c>
      <c r="B95" s="10" t="s">
        <v>218</v>
      </c>
      <c r="C95" s="10" t="s">
        <v>217</v>
      </c>
      <c r="D95" s="10">
        <v>-1466.477219</v>
      </c>
      <c r="E95" s="10">
        <v>-1466.489702</v>
      </c>
      <c r="F95" s="7">
        <f>D95-E95</f>
        <v>0.012483</v>
      </c>
      <c r="G95" s="7">
        <f t="shared" ref="G95:G97" si="35">F95*627.51</f>
        <v>7.83320733</v>
      </c>
      <c r="H95" s="28">
        <v>7.75338</v>
      </c>
      <c r="I95" s="7">
        <f t="shared" ref="I95:I96" si="36">(G95-H95)*100/G95</f>
        <v>1.01908869</v>
      </c>
      <c r="K95" s="29"/>
    </row>
    <row r="96">
      <c r="A96" s="10" t="s">
        <v>219</v>
      </c>
      <c r="B96" s="10" t="s">
        <v>220</v>
      </c>
      <c r="C96" s="10" t="s">
        <v>221</v>
      </c>
      <c r="D96" s="10">
        <v>-1373.428919</v>
      </c>
      <c r="E96" s="10">
        <v>-1373.423397</v>
      </c>
      <c r="F96" s="7">
        <f t="shared" ref="F96:F97" si="37">E96-D96</f>
        <v>0.005522</v>
      </c>
      <c r="G96" s="7">
        <f t="shared" si="35"/>
        <v>3.46511022</v>
      </c>
      <c r="H96" s="6">
        <v>7.712371</v>
      </c>
      <c r="I96" s="7">
        <f t="shared" si="36"/>
        <v>-122.5721697</v>
      </c>
    </row>
    <row r="97">
      <c r="B97" s="10" t="s">
        <v>220</v>
      </c>
      <c r="C97" s="10" t="s">
        <v>221</v>
      </c>
      <c r="D97" s="10">
        <v>-1373.428919</v>
      </c>
      <c r="E97" s="10">
        <v>-1373.427271</v>
      </c>
      <c r="F97" s="7">
        <f t="shared" si="37"/>
        <v>0.001648</v>
      </c>
      <c r="G97" s="7">
        <f t="shared" si="35"/>
        <v>1.03413648</v>
      </c>
    </row>
    <row r="98">
      <c r="E98" s="7">
        <f>E96-E97</f>
        <v>0.003874</v>
      </c>
    </row>
  </sheetData>
  <mergeCells count="3">
    <mergeCell ref="D1:G1"/>
    <mergeCell ref="J1:M1"/>
    <mergeCell ref="O1:Q1"/>
  </mergeCells>
  <conditionalFormatting sqref="B3:D85">
    <cfRule type="cellIs" dxfId="0" priority="1" operator="equal">
      <formula>"Y"</formula>
    </cfRule>
  </conditionalFormatting>
  <conditionalFormatting sqref="E3:E85 F26:I26">
    <cfRule type="cellIs" dxfId="0" priority="2" operator="equal">
      <formula>"Y"</formula>
    </cfRule>
  </conditionalFormatting>
  <conditionalFormatting sqref="E3:E85 F26:I26">
    <cfRule type="cellIs" dxfId="1" priority="3" operator="equal">
      <formula>"N"</formula>
    </cfRule>
  </conditionalFormatting>
  <conditionalFormatting sqref="F3:F85 G3:G86 H3:I85 J3:J37 K3:K85 L3:M3 L6 L14 L19 L23 L33 L35 E38 P38 J39:J54 E43:E44 L44 L55 J56:J58 E59 L59 P59 J60:J84 E62 L62 L84:L85 M84 P85">
    <cfRule type="containsBlanks" dxfId="2" priority="4">
      <formula>LEN(TRIM(F3))=0</formula>
    </cfRule>
  </conditionalFormatting>
  <conditionalFormatting sqref="F3:F85 G3:G86 H3:I85 J3:J37 K3:K85 L3:M3 L6 L14 L19 L23 L33 L35 E38 P38 J39:J54 E43:E44 L44 L55 J56:J58 E59 L59 P59 J60:J84 E62 L62 L84:L85 M84 P85">
    <cfRule type="cellIs" dxfId="3" priority="5" operator="equal">
      <formula>"N"</formula>
    </cfRule>
  </conditionalFormatting>
  <conditionalFormatting sqref="F1:F85 G1:I86 J1:J37 K1:K997 L3:M3 L6 L14 L19 L23 L33 L35 E38 P38 J39:J54 E43:E44 L44 L55 J56:J58 E59 L59 P59 J60:J84 E62 L62 L84:L85 M84 P85 J86:J997 L87:M87 O87 F88:I997">
    <cfRule type="containsText" dxfId="4" priority="6" operator="containsText" text="RUNNING">
      <formula>NOT(ISERROR(SEARCH(("RUNNING"),(F1))))</formula>
    </cfRule>
  </conditionalFormatting>
  <conditionalFormatting sqref="F3:F85 G3:G86 H3:I85 J3:J24 L3:M3 K5 K14:L14 K19:L19 K23:L23 K25 J26:J37 L33 L35 E38 P38 J39:J54 K42 E43:E44 L44 L55 J56:J58 E59 L59 P59 J60:J61 E62 L62 J63:J84 L84:L85 M84 P85">
    <cfRule type="cellIs" dxfId="0" priority="7" operator="equal">
      <formula>"Y"</formula>
    </cfRule>
  </conditionalFormatting>
  <conditionalFormatting sqref="G3:G43 H4:I4 H6:I7 H10:I10 F14 H14:I14 H19:K19 H21:I23 J23:K23 H25:I26 K25 H31:I31 F37 H37:I37 E38 H43:I45 G46:G54 H55:I55 G56:G67 H58:I58 H61:I61 H67:I68 G69:G86 F73 H75:I75 H77:I77 H84:I85">
    <cfRule type="cellIs" dxfId="5" priority="8" operator="equal">
      <formula>"FAILED"</formula>
    </cfRule>
  </conditionalFormatting>
  <conditionalFormatting sqref="O3:O85">
    <cfRule type="notContainsBlanks" dxfId="6" priority="9">
      <formula>LEN(TRIM(O3))&gt;0</formula>
    </cfRule>
  </conditionalFormatting>
  <conditionalFormatting sqref="O87">
    <cfRule type="notContainsBlanks" dxfId="6" priority="10">
      <formula>LEN(TRIM(O87))&gt;0</formula>
    </cfRule>
  </conditionalFormatting>
  <conditionalFormatting sqref="O87">
    <cfRule type="notContainsBlanks" dxfId="6" priority="11">
      <formula>LEN(TRIM(O87))&gt;0</formula>
    </cfRule>
  </conditionalFormatting>
  <conditionalFormatting sqref="J86:L86 O86">
    <cfRule type="colorScale" priority="12">
      <colorScale>
        <cfvo type="min"/>
        <cfvo type="max"/>
        <color rgb="FF57BB8A"/>
        <color rgb="FFFFFFFF"/>
      </colorScale>
    </cfRule>
  </conditionalFormatting>
  <conditionalFormatting sqref="O3:O85">
    <cfRule type="cellIs" dxfId="5" priority="13" operator="greaterThan">
      <formula>200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14.0"/>
    <col customWidth="1" hidden="1" min="14" max="14" width="13.0"/>
    <col customWidth="1" min="19" max="19" width="15.0"/>
  </cols>
  <sheetData>
    <row r="1">
      <c r="A1" s="1"/>
      <c r="B1" s="10" t="s">
        <v>222</v>
      </c>
      <c r="C1" s="10">
        <v>64.0</v>
      </c>
      <c r="D1" s="2"/>
      <c r="E1" s="2"/>
      <c r="F1" s="2"/>
      <c r="G1" s="2"/>
      <c r="H1" s="3"/>
      <c r="I1" s="3"/>
      <c r="J1" s="2"/>
      <c r="K1" s="2"/>
      <c r="L1" s="2"/>
      <c r="M1" s="2"/>
      <c r="N1" s="4"/>
      <c r="O1" s="1"/>
      <c r="P1" s="1"/>
      <c r="Q1" s="1"/>
      <c r="R1" s="4"/>
    </row>
    <row r="2">
      <c r="A2" s="1"/>
      <c r="B2" s="2"/>
      <c r="C2" s="2"/>
      <c r="D2" s="2" t="s">
        <v>0</v>
      </c>
      <c r="H2" s="3"/>
      <c r="I2" s="3"/>
      <c r="J2" s="2" t="s">
        <v>1</v>
      </c>
      <c r="N2" s="4"/>
      <c r="O2" s="1" t="s">
        <v>2</v>
      </c>
      <c r="R2" s="4"/>
    </row>
    <row r="3">
      <c r="A3" s="4"/>
      <c r="B3" s="1" t="s">
        <v>3</v>
      </c>
      <c r="C3" s="1"/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223</v>
      </c>
      <c r="K3" s="1" t="s">
        <v>11</v>
      </c>
      <c r="L3" s="1" t="s">
        <v>12</v>
      </c>
      <c r="M3" s="1" t="s">
        <v>13</v>
      </c>
      <c r="N3" s="4"/>
      <c r="O3" s="4"/>
      <c r="P3" s="4"/>
      <c r="Q3" s="4"/>
      <c r="R3" s="30" t="s">
        <v>224</v>
      </c>
      <c r="S3" s="30" t="s">
        <v>225</v>
      </c>
      <c r="T3" s="31" t="s">
        <v>226</v>
      </c>
      <c r="U3" s="32" t="s">
        <v>227</v>
      </c>
      <c r="V3" s="30" t="s">
        <v>228</v>
      </c>
    </row>
    <row r="4">
      <c r="A4" s="1" t="s">
        <v>21</v>
      </c>
      <c r="B4" s="1" t="s">
        <v>22</v>
      </c>
      <c r="C4" s="1"/>
      <c r="D4" s="1" t="s">
        <v>16</v>
      </c>
      <c r="E4" s="1" t="s">
        <v>16</v>
      </c>
      <c r="F4" s="1" t="s">
        <v>16</v>
      </c>
      <c r="G4" s="1" t="s">
        <v>16</v>
      </c>
      <c r="H4" s="1" t="s">
        <v>16</v>
      </c>
      <c r="I4" s="1" t="s">
        <v>17</v>
      </c>
      <c r="J4" s="1">
        <v>-1252.644627</v>
      </c>
      <c r="K4" s="4">
        <f t="shared" ref="K4:K43" si="1">J4*627.5095</f>
        <v>-786046.4036</v>
      </c>
      <c r="L4" s="6">
        <v>-1252.63165</v>
      </c>
      <c r="M4" s="4">
        <f t="shared" ref="M4:M51" si="2">L4*627.5095</f>
        <v>-786038.2604</v>
      </c>
      <c r="N4" s="4"/>
      <c r="O4" s="4">
        <f t="shared" ref="O4:O67" si="3">M4-K4</f>
        <v>8.143190781</v>
      </c>
      <c r="P4" s="33" t="s">
        <v>21</v>
      </c>
      <c r="Q4" s="34">
        <v>8.143</v>
      </c>
      <c r="R4" s="30">
        <v>1.0</v>
      </c>
      <c r="S4" s="30" t="s">
        <v>21</v>
      </c>
      <c r="T4" s="35">
        <v>-786046.4035664564</v>
      </c>
      <c r="U4" s="35">
        <v>-786038.260375675</v>
      </c>
      <c r="V4" s="36">
        <v>8.143191</v>
      </c>
      <c r="Y4" s="7" t="str">
        <f>_xlfn.NORM.DIST(X, mean, sd, FALSE)</f>
        <v>#NAME?</v>
      </c>
    </row>
    <row r="5">
      <c r="A5" s="1" t="s">
        <v>25</v>
      </c>
      <c r="B5" s="1" t="s">
        <v>26</v>
      </c>
      <c r="C5" s="1"/>
      <c r="D5" s="1" t="s">
        <v>16</v>
      </c>
      <c r="E5" s="5" t="s">
        <v>17</v>
      </c>
      <c r="F5" s="5" t="s">
        <v>17</v>
      </c>
      <c r="G5" s="5" t="s">
        <v>17</v>
      </c>
      <c r="H5" s="5" t="s">
        <v>17</v>
      </c>
      <c r="I5" s="5" t="s">
        <v>17</v>
      </c>
      <c r="J5" s="1">
        <v>-2228.35056</v>
      </c>
      <c r="K5" s="4">
        <f t="shared" si="1"/>
        <v>-1398311.146</v>
      </c>
      <c r="L5" s="8">
        <v>-2228.336346</v>
      </c>
      <c r="M5" s="4">
        <f t="shared" si="2"/>
        <v>-1398302.226</v>
      </c>
      <c r="N5" s="4"/>
      <c r="O5" s="4">
        <f t="shared" si="3"/>
        <v>8.919420033</v>
      </c>
      <c r="P5" s="37" t="s">
        <v>27</v>
      </c>
      <c r="Q5" s="38">
        <v>12.095</v>
      </c>
      <c r="R5" s="30">
        <v>2.0</v>
      </c>
      <c r="S5" s="30" t="s">
        <v>25</v>
      </c>
      <c r="T5" s="35">
        <v>-1398311.14573032</v>
      </c>
      <c r="U5" s="35">
        <v>-1398302.2263102871</v>
      </c>
      <c r="V5" s="36">
        <v>8.91942</v>
      </c>
    </row>
    <row r="6">
      <c r="A6" s="1" t="s">
        <v>27</v>
      </c>
      <c r="B6" s="1" t="s">
        <v>28</v>
      </c>
      <c r="C6" s="1"/>
      <c r="D6" s="1" t="s">
        <v>16</v>
      </c>
      <c r="E6" s="1" t="s">
        <v>16</v>
      </c>
      <c r="F6" s="1" t="s">
        <v>16</v>
      </c>
      <c r="G6" s="1" t="s">
        <v>16</v>
      </c>
      <c r="H6" s="1" t="s">
        <v>16</v>
      </c>
      <c r="I6" s="1" t="s">
        <v>17</v>
      </c>
      <c r="J6" s="4">
        <f>-1653.439936</f>
        <v>-1653.439936</v>
      </c>
      <c r="K6" s="4">
        <f t="shared" si="1"/>
        <v>-1037549.268</v>
      </c>
      <c r="L6" s="1">
        <v>-1653.42066</v>
      </c>
      <c r="M6" s="4">
        <f t="shared" si="2"/>
        <v>-1037537.172</v>
      </c>
      <c r="N6" s="4"/>
      <c r="O6" s="4">
        <f t="shared" si="3"/>
        <v>12.09587312</v>
      </c>
      <c r="P6" s="39" t="s">
        <v>29</v>
      </c>
      <c r="Q6" s="40">
        <v>3.175</v>
      </c>
      <c r="R6" s="30">
        <v>3.0</v>
      </c>
      <c r="S6" s="30" t="s">
        <v>27</v>
      </c>
      <c r="T6" s="35">
        <v>-1037549.267519392</v>
      </c>
      <c r="U6" s="35">
        <v>-1037537.17164627</v>
      </c>
      <c r="V6" s="36">
        <v>12.09587</v>
      </c>
    </row>
    <row r="7">
      <c r="A7" s="1" t="s">
        <v>29</v>
      </c>
      <c r="B7" s="1" t="s">
        <v>30</v>
      </c>
      <c r="C7" s="1"/>
      <c r="D7" s="1" t="s">
        <v>16</v>
      </c>
      <c r="E7" s="1" t="s">
        <v>16</v>
      </c>
      <c r="F7" s="1" t="s">
        <v>16</v>
      </c>
      <c r="G7" s="1" t="s">
        <v>16</v>
      </c>
      <c r="H7" s="1" t="s">
        <v>16</v>
      </c>
      <c r="I7" s="1" t="s">
        <v>17</v>
      </c>
      <c r="J7" s="1">
        <v>-1540.699215</v>
      </c>
      <c r="K7" s="4">
        <f t="shared" si="1"/>
        <v>-966803.3941</v>
      </c>
      <c r="L7" s="6">
        <v>-1540.694155</v>
      </c>
      <c r="M7" s="4">
        <f t="shared" si="2"/>
        <v>-966800.2189</v>
      </c>
      <c r="N7" s="4"/>
      <c r="O7" s="4">
        <f t="shared" si="3"/>
        <v>3.17519807</v>
      </c>
      <c r="P7" s="37" t="s">
        <v>31</v>
      </c>
      <c r="Q7" s="38">
        <v>2.331</v>
      </c>
      <c r="R7" s="30">
        <v>4.0</v>
      </c>
      <c r="S7" s="30" t="s">
        <v>29</v>
      </c>
      <c r="T7" s="35">
        <v>-966803.3940550425</v>
      </c>
      <c r="U7" s="35">
        <v>-966800.2188569724</v>
      </c>
      <c r="V7" s="36">
        <v>3.175198</v>
      </c>
    </row>
    <row r="8">
      <c r="A8" s="1" t="s">
        <v>31</v>
      </c>
      <c r="B8" s="1" t="s">
        <v>32</v>
      </c>
      <c r="C8" s="1"/>
      <c r="D8" s="1" t="s">
        <v>16</v>
      </c>
      <c r="E8" s="1" t="s">
        <v>16</v>
      </c>
      <c r="F8" s="1" t="s">
        <v>16</v>
      </c>
      <c r="G8" s="1" t="s">
        <v>16</v>
      </c>
      <c r="H8" s="1" t="s">
        <v>16</v>
      </c>
      <c r="I8" s="1" t="s">
        <v>17</v>
      </c>
      <c r="J8" s="6">
        <v>-967.376</v>
      </c>
      <c r="K8" s="4">
        <f t="shared" si="1"/>
        <v>-607037.6301</v>
      </c>
      <c r="L8" s="6">
        <v>-967.372752</v>
      </c>
      <c r="M8" s="4">
        <f t="shared" si="2"/>
        <v>-607035.5919</v>
      </c>
      <c r="N8" s="4"/>
      <c r="O8" s="4">
        <f t="shared" si="3"/>
        <v>2.038150856</v>
      </c>
      <c r="P8" s="39" t="s">
        <v>36</v>
      </c>
      <c r="Q8" s="40">
        <v>10.879</v>
      </c>
      <c r="R8" s="30">
        <v>5.0</v>
      </c>
      <c r="S8" s="30" t="s">
        <v>31</v>
      </c>
      <c r="T8" s="35">
        <v>-607037.630072</v>
      </c>
      <c r="U8" s="35">
        <v>-607035.591921144</v>
      </c>
      <c r="V8" s="36">
        <v>2.038151</v>
      </c>
    </row>
    <row r="9">
      <c r="A9" s="1" t="s">
        <v>33</v>
      </c>
      <c r="B9" s="1" t="s">
        <v>32</v>
      </c>
      <c r="C9" s="1"/>
      <c r="D9" s="1" t="s">
        <v>16</v>
      </c>
      <c r="E9" s="5" t="s">
        <v>17</v>
      </c>
      <c r="F9" s="5" t="s">
        <v>17</v>
      </c>
      <c r="G9" s="5" t="s">
        <v>17</v>
      </c>
      <c r="H9" s="5" t="s">
        <v>17</v>
      </c>
      <c r="I9" s="1" t="s">
        <v>17</v>
      </c>
      <c r="J9" s="1">
        <v>-967.375517</v>
      </c>
      <c r="K9" s="4">
        <f t="shared" si="1"/>
        <v>-607037.327</v>
      </c>
      <c r="L9" s="1">
        <v>-967.373146</v>
      </c>
      <c r="M9" s="4">
        <f t="shared" si="2"/>
        <v>-607035.8392</v>
      </c>
      <c r="N9" s="4"/>
      <c r="O9" s="4">
        <f t="shared" si="3"/>
        <v>1.487825024</v>
      </c>
      <c r="P9" s="37" t="s">
        <v>229</v>
      </c>
      <c r="Q9" s="38">
        <v>9.624</v>
      </c>
      <c r="R9" s="30">
        <v>6.0</v>
      </c>
      <c r="S9" s="30" t="s">
        <v>33</v>
      </c>
      <c r="T9" s="35">
        <v>-607037.3269849115</v>
      </c>
      <c r="U9" s="35">
        <v>-607035.839159887</v>
      </c>
      <c r="V9" s="36">
        <v>1.487825</v>
      </c>
    </row>
    <row r="10">
      <c r="A10" s="1" t="s">
        <v>36</v>
      </c>
      <c r="B10" s="1" t="s">
        <v>37</v>
      </c>
      <c r="C10" s="1"/>
      <c r="D10" s="1" t="s">
        <v>16</v>
      </c>
      <c r="E10" s="1" t="s">
        <v>16</v>
      </c>
      <c r="F10" s="1" t="s">
        <v>16</v>
      </c>
      <c r="G10" s="1" t="s">
        <v>16</v>
      </c>
      <c r="H10" s="1" t="s">
        <v>16</v>
      </c>
      <c r="I10" s="1" t="s">
        <v>17</v>
      </c>
      <c r="J10" s="6">
        <v>-1774.98</v>
      </c>
      <c r="K10" s="4">
        <f t="shared" si="1"/>
        <v>-1113816.812</v>
      </c>
      <c r="L10" s="6">
        <v>-1774.965946</v>
      </c>
      <c r="M10" s="4">
        <f t="shared" si="2"/>
        <v>-1113807.993</v>
      </c>
      <c r="N10" s="4"/>
      <c r="O10" s="4">
        <f t="shared" si="3"/>
        <v>8.819018513</v>
      </c>
      <c r="P10" s="39" t="s">
        <v>56</v>
      </c>
      <c r="Q10" s="40">
        <v>10.065</v>
      </c>
      <c r="R10" s="30">
        <v>7.0</v>
      </c>
      <c r="S10" s="30" t="s">
        <v>36</v>
      </c>
      <c r="T10" s="35">
        <v>-1113816.81231</v>
      </c>
      <c r="U10" s="35">
        <v>-1113807.993291487</v>
      </c>
      <c r="V10" s="36">
        <v>8.819019</v>
      </c>
    </row>
    <row r="11">
      <c r="A11" s="1" t="s">
        <v>40</v>
      </c>
      <c r="B11" s="1" t="s">
        <v>41</v>
      </c>
      <c r="C11" s="1"/>
      <c r="D11" s="1" t="s">
        <v>16</v>
      </c>
      <c r="E11" s="1" t="s">
        <v>16</v>
      </c>
      <c r="F11" s="1" t="s">
        <v>16</v>
      </c>
      <c r="G11" s="1" t="s">
        <v>16</v>
      </c>
      <c r="H11" s="1" t="s">
        <v>16</v>
      </c>
      <c r="I11" s="1" t="s">
        <v>17</v>
      </c>
      <c r="J11" s="1">
        <v>-1853.626279</v>
      </c>
      <c r="K11" s="4">
        <f t="shared" si="1"/>
        <v>-1163168.1</v>
      </c>
      <c r="L11" s="1">
        <v>-1853.621176</v>
      </c>
      <c r="M11" s="4">
        <f t="shared" si="2"/>
        <v>-1163164.897</v>
      </c>
      <c r="N11" s="4"/>
      <c r="O11" s="4">
        <f t="shared" si="3"/>
        <v>3.202180979</v>
      </c>
      <c r="P11" s="37" t="s">
        <v>65</v>
      </c>
      <c r="Q11" s="38">
        <v>6.335</v>
      </c>
      <c r="R11" s="30">
        <v>8.0</v>
      </c>
      <c r="S11" s="30" t="s">
        <v>40</v>
      </c>
      <c r="T11" s="35">
        <v>-1163168.0995221506</v>
      </c>
      <c r="U11" s="35">
        <v>-1163164.897341172</v>
      </c>
      <c r="V11" s="36">
        <v>3.202181</v>
      </c>
    </row>
    <row r="12">
      <c r="A12" s="1" t="s">
        <v>44</v>
      </c>
      <c r="B12" s="1" t="s">
        <v>45</v>
      </c>
      <c r="C12" s="1"/>
      <c r="D12" s="1" t="s">
        <v>16</v>
      </c>
      <c r="E12" s="1" t="s">
        <v>16</v>
      </c>
      <c r="F12" s="1" t="s">
        <v>16</v>
      </c>
      <c r="G12" s="1" t="s">
        <v>16</v>
      </c>
      <c r="H12" s="1" t="s">
        <v>17</v>
      </c>
      <c r="I12" s="1" t="s">
        <v>17</v>
      </c>
      <c r="J12" s="1">
        <v>-1384.201972</v>
      </c>
      <c r="K12" s="4">
        <f t="shared" si="1"/>
        <v>-868599.8873</v>
      </c>
      <c r="L12" s="1">
        <v>-1384.18347</v>
      </c>
      <c r="M12" s="4">
        <f t="shared" si="2"/>
        <v>-868588.2772</v>
      </c>
      <c r="N12" s="4"/>
      <c r="O12" s="4">
        <f t="shared" si="3"/>
        <v>11.61018077</v>
      </c>
      <c r="P12" s="39" t="s">
        <v>67</v>
      </c>
      <c r="Q12" s="40">
        <v>10.625</v>
      </c>
      <c r="R12" s="30">
        <v>9.0</v>
      </c>
      <c r="S12" s="30" t="s">
        <v>44</v>
      </c>
      <c r="T12" s="35">
        <v>-868599.8873487341</v>
      </c>
      <c r="U12" s="35">
        <v>-868588.277167965</v>
      </c>
      <c r="V12" s="36">
        <v>11.61018</v>
      </c>
    </row>
    <row r="13">
      <c r="A13" s="1" t="s">
        <v>53</v>
      </c>
      <c r="B13" s="1" t="s">
        <v>54</v>
      </c>
      <c r="C13" s="1"/>
      <c r="D13" s="1" t="s">
        <v>16</v>
      </c>
      <c r="E13" s="1" t="s">
        <v>16</v>
      </c>
      <c r="F13" s="1" t="s">
        <v>16</v>
      </c>
      <c r="G13" s="1" t="s">
        <v>16</v>
      </c>
      <c r="H13" s="1" t="s">
        <v>16</v>
      </c>
      <c r="I13" s="1" t="s">
        <v>16</v>
      </c>
      <c r="J13" s="1">
        <v>-1464.03837</v>
      </c>
      <c r="K13" s="4">
        <f t="shared" si="1"/>
        <v>-918697.9855</v>
      </c>
      <c r="L13" s="6">
        <v>-1464.023032</v>
      </c>
      <c r="M13" s="4">
        <f t="shared" si="2"/>
        <v>-918688.3608</v>
      </c>
      <c r="N13" s="4"/>
      <c r="O13" s="4">
        <f t="shared" si="3"/>
        <v>9.624740711</v>
      </c>
      <c r="P13" s="37" t="s">
        <v>69</v>
      </c>
      <c r="Q13" s="38">
        <v>8.433</v>
      </c>
      <c r="R13" s="30">
        <v>10.0</v>
      </c>
      <c r="S13" s="30" t="s">
        <v>53</v>
      </c>
      <c r="T13" s="35">
        <v>-918697.985539515</v>
      </c>
      <c r="U13" s="35">
        <v>-918688.3607988041</v>
      </c>
      <c r="V13" s="36">
        <v>9.624741</v>
      </c>
    </row>
    <row r="14">
      <c r="A14" s="1" t="s">
        <v>56</v>
      </c>
      <c r="B14" s="1" t="s">
        <v>57</v>
      </c>
      <c r="C14" s="1"/>
      <c r="D14" s="1" t="s">
        <v>16</v>
      </c>
      <c r="E14" s="1" t="s">
        <v>16</v>
      </c>
      <c r="F14" s="1" t="s">
        <v>16</v>
      </c>
      <c r="G14" s="1" t="s">
        <v>16</v>
      </c>
      <c r="H14" s="1" t="s">
        <v>16</v>
      </c>
      <c r="I14" s="1" t="s">
        <v>16</v>
      </c>
      <c r="J14" s="1">
        <v>-1385.414716</v>
      </c>
      <c r="K14" s="4">
        <f t="shared" si="1"/>
        <v>-869360.8957</v>
      </c>
      <c r="L14" s="6">
        <v>-1385.398676</v>
      </c>
      <c r="M14" s="4">
        <f t="shared" si="2"/>
        <v>-869350.8305</v>
      </c>
      <c r="N14" s="4"/>
      <c r="O14" s="4">
        <f t="shared" si="3"/>
        <v>10.06525238</v>
      </c>
      <c r="P14" s="39" t="s">
        <v>78</v>
      </c>
      <c r="Q14" s="40">
        <v>9.771</v>
      </c>
      <c r="R14" s="30">
        <v>11.0</v>
      </c>
      <c r="S14" s="30" t="s">
        <v>56</v>
      </c>
      <c r="T14" s="35">
        <v>-869360.895729802</v>
      </c>
      <c r="U14" s="35">
        <v>-869350.830477422</v>
      </c>
      <c r="V14" s="36">
        <v>10.06525</v>
      </c>
    </row>
    <row r="15">
      <c r="A15" s="1" t="s">
        <v>58</v>
      </c>
      <c r="B15" s="1" t="s">
        <v>59</v>
      </c>
      <c r="C15" s="1"/>
      <c r="D15" s="1" t="s">
        <v>16</v>
      </c>
      <c r="E15" s="1" t="s">
        <v>16</v>
      </c>
      <c r="F15" s="1" t="s">
        <v>16</v>
      </c>
      <c r="G15" s="1" t="s">
        <v>16</v>
      </c>
      <c r="H15" s="1" t="s">
        <v>16</v>
      </c>
      <c r="I15" s="1" t="s">
        <v>17</v>
      </c>
      <c r="J15" s="1">
        <v>-1424.725242</v>
      </c>
      <c r="K15" s="4">
        <f t="shared" si="1"/>
        <v>-894028.6242</v>
      </c>
      <c r="L15" s="1">
        <v>-1424.715475</v>
      </c>
      <c r="M15" s="4">
        <f t="shared" si="2"/>
        <v>-894022.4954</v>
      </c>
      <c r="N15" s="4"/>
      <c r="O15" s="4">
        <f t="shared" si="3"/>
        <v>6.128885287</v>
      </c>
      <c r="P15" s="37" t="s">
        <v>88</v>
      </c>
      <c r="Q15" s="38">
        <v>9.772</v>
      </c>
      <c r="R15" s="30">
        <v>12.0</v>
      </c>
      <c r="S15" s="30" t="s">
        <v>58</v>
      </c>
      <c r="T15" s="35">
        <v>-894028.624244799</v>
      </c>
      <c r="U15" s="35">
        <v>-894022.4953595125</v>
      </c>
      <c r="V15" s="36">
        <v>6.128885</v>
      </c>
    </row>
    <row r="16">
      <c r="A16" s="1" t="s">
        <v>60</v>
      </c>
      <c r="B16" s="1" t="s">
        <v>61</v>
      </c>
      <c r="C16" s="1"/>
      <c r="D16" s="1" t="s">
        <v>16</v>
      </c>
      <c r="E16" s="1" t="s">
        <v>16</v>
      </c>
      <c r="F16" s="1" t="s">
        <v>16</v>
      </c>
      <c r="G16" s="1" t="s">
        <v>16</v>
      </c>
      <c r="H16" s="1" t="s">
        <v>17</v>
      </c>
      <c r="I16" s="1" t="s">
        <v>17</v>
      </c>
      <c r="J16" s="1">
        <v>-1239.003695</v>
      </c>
      <c r="K16" s="4">
        <f t="shared" si="1"/>
        <v>-777486.5891</v>
      </c>
      <c r="L16" s="1">
        <v>-1238.999943</v>
      </c>
      <c r="M16" s="4">
        <f t="shared" si="2"/>
        <v>-777484.2347</v>
      </c>
      <c r="N16" s="4"/>
      <c r="O16" s="4">
        <f t="shared" si="3"/>
        <v>2.354415644</v>
      </c>
      <c r="P16" s="39" t="s">
        <v>90</v>
      </c>
      <c r="Q16" s="40">
        <v>22.555</v>
      </c>
      <c r="R16" s="30">
        <v>13.0</v>
      </c>
      <c r="S16" s="30" t="s">
        <v>60</v>
      </c>
      <c r="T16" s="35">
        <v>-777486.5891476026</v>
      </c>
      <c r="U16" s="35">
        <v>-777484.2347319585</v>
      </c>
      <c r="V16" s="36">
        <v>2.354416</v>
      </c>
    </row>
    <row r="17">
      <c r="A17" s="1" t="s">
        <v>65</v>
      </c>
      <c r="B17" s="1" t="s">
        <v>66</v>
      </c>
      <c r="C17" s="1"/>
      <c r="D17" s="1" t="s">
        <v>16</v>
      </c>
      <c r="E17" s="1" t="s">
        <v>16</v>
      </c>
      <c r="F17" s="1" t="s">
        <v>16</v>
      </c>
      <c r="G17" s="1" t="s">
        <v>17</v>
      </c>
      <c r="H17" s="1" t="s">
        <v>17</v>
      </c>
      <c r="I17" s="1" t="s">
        <v>16</v>
      </c>
      <c r="J17" s="1">
        <v>-1121.051793</v>
      </c>
      <c r="K17" s="4">
        <f t="shared" si="1"/>
        <v>-703470.6501</v>
      </c>
      <c r="L17" s="1">
        <v>-1121.034861</v>
      </c>
      <c r="M17" s="4">
        <f t="shared" si="2"/>
        <v>-703460.0251</v>
      </c>
      <c r="N17" s="4"/>
      <c r="O17" s="4">
        <f t="shared" si="3"/>
        <v>10.62499085</v>
      </c>
      <c r="P17" s="37" t="s">
        <v>109</v>
      </c>
      <c r="Q17" s="38">
        <v>23.143</v>
      </c>
      <c r="R17" s="30">
        <v>14.0</v>
      </c>
      <c r="S17" s="30" t="s">
        <v>65</v>
      </c>
      <c r="T17" s="35">
        <v>-703470.6500995336</v>
      </c>
      <c r="U17" s="35">
        <v>-703460.0251086795</v>
      </c>
      <c r="V17" s="36">
        <v>10.62499</v>
      </c>
    </row>
    <row r="18">
      <c r="A18" s="1" t="s">
        <v>67</v>
      </c>
      <c r="B18" s="1" t="s">
        <v>68</v>
      </c>
      <c r="C18" s="1"/>
      <c r="D18" s="1" t="s">
        <v>16</v>
      </c>
      <c r="E18" s="1" t="s">
        <v>16</v>
      </c>
      <c r="F18" s="1" t="s">
        <v>16</v>
      </c>
      <c r="G18" s="1" t="s">
        <v>16</v>
      </c>
      <c r="H18" s="1" t="s">
        <v>17</v>
      </c>
      <c r="I18" s="1" t="s">
        <v>16</v>
      </c>
      <c r="J18" s="1">
        <v>-1691.514335</v>
      </c>
      <c r="K18" s="4">
        <f t="shared" si="1"/>
        <v>-1061441.315</v>
      </c>
      <c r="L18" s="1">
        <v>-1691.504239</v>
      </c>
      <c r="M18" s="4">
        <f t="shared" si="2"/>
        <v>-1061434.979</v>
      </c>
      <c r="N18" s="4"/>
      <c r="O18" s="4">
        <f t="shared" si="3"/>
        <v>6.335335912</v>
      </c>
      <c r="P18" s="39" t="s">
        <v>111</v>
      </c>
      <c r="Q18" s="40">
        <v>1.619</v>
      </c>
      <c r="R18" s="30">
        <v>15.0</v>
      </c>
      <c r="S18" s="30" t="s">
        <v>67</v>
      </c>
      <c r="T18" s="35">
        <v>-1061441.3145986826</v>
      </c>
      <c r="U18" s="35">
        <v>-1061434.9792627706</v>
      </c>
      <c r="V18" s="36">
        <v>6.335336</v>
      </c>
    </row>
    <row r="19">
      <c r="A19" s="1" t="s">
        <v>69</v>
      </c>
      <c r="B19" s="1" t="s">
        <v>70</v>
      </c>
      <c r="C19" s="1"/>
      <c r="D19" s="1" t="s">
        <v>16</v>
      </c>
      <c r="E19" s="1" t="s">
        <v>16</v>
      </c>
      <c r="F19" s="1" t="s">
        <v>16</v>
      </c>
      <c r="G19" s="1" t="s">
        <v>16</v>
      </c>
      <c r="H19" s="1" t="s">
        <v>16</v>
      </c>
      <c r="I19" s="1" t="s">
        <v>16</v>
      </c>
      <c r="J19" s="1">
        <v>-1081.730449</v>
      </c>
      <c r="K19" s="4">
        <f t="shared" si="1"/>
        <v>-678796.1332</v>
      </c>
      <c r="L19" s="1">
        <v>-1081.71701</v>
      </c>
      <c r="M19" s="4">
        <f t="shared" si="2"/>
        <v>-678787.7001</v>
      </c>
      <c r="N19" s="4"/>
      <c r="O19" s="4">
        <f t="shared" si="3"/>
        <v>8.43310017</v>
      </c>
      <c r="P19" s="37" t="s">
        <v>113</v>
      </c>
      <c r="Q19" s="38">
        <v>4.083</v>
      </c>
      <c r="R19" s="30">
        <v>16.0</v>
      </c>
      <c r="S19" s="30" t="s">
        <v>69</v>
      </c>
      <c r="T19" s="35">
        <v>-678796.1331867655</v>
      </c>
      <c r="U19" s="35">
        <v>-678787.700086595</v>
      </c>
      <c r="V19" s="36">
        <v>8.4331</v>
      </c>
    </row>
    <row r="20">
      <c r="A20" s="1" t="s">
        <v>74</v>
      </c>
      <c r="B20" s="1" t="s">
        <v>75</v>
      </c>
      <c r="C20" s="1"/>
      <c r="D20" s="1" t="s">
        <v>16</v>
      </c>
      <c r="E20" s="1" t="s">
        <v>16</v>
      </c>
      <c r="F20" s="1" t="s">
        <v>16</v>
      </c>
      <c r="G20" s="1" t="s">
        <v>16</v>
      </c>
      <c r="H20" s="1" t="s">
        <v>17</v>
      </c>
      <c r="I20" s="1" t="s">
        <v>16</v>
      </c>
      <c r="J20" s="1">
        <v>-1390.256273</v>
      </c>
      <c r="K20" s="4">
        <f t="shared" si="1"/>
        <v>-872399.0187</v>
      </c>
      <c r="L20" s="1">
        <v>-1390.248482</v>
      </c>
      <c r="M20" s="4">
        <f t="shared" si="2"/>
        <v>-872394.1298</v>
      </c>
      <c r="N20" s="4"/>
      <c r="O20" s="4">
        <f t="shared" si="3"/>
        <v>4.888926515</v>
      </c>
      <c r="P20" s="39" t="s">
        <v>127</v>
      </c>
      <c r="Q20" s="40">
        <v>13.207</v>
      </c>
      <c r="R20" s="30">
        <v>17.0</v>
      </c>
      <c r="S20" s="30" t="s">
        <v>74</v>
      </c>
      <c r="T20" s="35">
        <v>-872399.0187420935</v>
      </c>
      <c r="U20" s="35">
        <v>-872394.1298155789</v>
      </c>
      <c r="V20" s="36">
        <v>4.888927</v>
      </c>
    </row>
    <row r="21">
      <c r="A21" s="1" t="s">
        <v>76</v>
      </c>
      <c r="B21" s="1" t="s">
        <v>77</v>
      </c>
      <c r="C21" s="1"/>
      <c r="D21" s="1" t="s">
        <v>16</v>
      </c>
      <c r="E21" s="5" t="s">
        <v>17</v>
      </c>
      <c r="F21" s="5" t="s">
        <v>17</v>
      </c>
      <c r="G21" s="5" t="s">
        <v>17</v>
      </c>
      <c r="H21" s="5" t="s">
        <v>17</v>
      </c>
      <c r="I21" s="5" t="s">
        <v>17</v>
      </c>
      <c r="J21" s="8">
        <v>-1763.761062</v>
      </c>
      <c r="K21" s="4">
        <f t="shared" si="1"/>
        <v>-1106776.822</v>
      </c>
      <c r="L21" s="1">
        <v>-1763.756274</v>
      </c>
      <c r="M21" s="4">
        <f t="shared" si="2"/>
        <v>-1106773.818</v>
      </c>
      <c r="N21" s="4"/>
      <c r="O21" s="4">
        <f t="shared" si="3"/>
        <v>3.004515486</v>
      </c>
      <c r="P21" s="37" t="s">
        <v>138</v>
      </c>
      <c r="Q21" s="38">
        <v>7.378</v>
      </c>
      <c r="R21" s="30">
        <v>18.0</v>
      </c>
      <c r="S21" s="30" t="s">
        <v>76</v>
      </c>
      <c r="T21" s="35">
        <v>-1106776.822135089</v>
      </c>
      <c r="U21" s="35">
        <v>-1106773.8176196031</v>
      </c>
      <c r="V21" s="36">
        <v>3.004515</v>
      </c>
    </row>
    <row r="22">
      <c r="A22" s="1" t="s">
        <v>78</v>
      </c>
      <c r="B22" s="1" t="s">
        <v>79</v>
      </c>
      <c r="C22" s="1"/>
      <c r="D22" s="1" t="s">
        <v>16</v>
      </c>
      <c r="E22" s="1" t="s">
        <v>16</v>
      </c>
      <c r="F22" s="1" t="s">
        <v>16</v>
      </c>
      <c r="G22" s="1" t="s">
        <v>16</v>
      </c>
      <c r="H22" s="1" t="s">
        <v>16</v>
      </c>
      <c r="I22" s="1" t="s">
        <v>16</v>
      </c>
      <c r="J22" s="1">
        <v>-1391.455654</v>
      </c>
      <c r="K22" s="4">
        <f t="shared" si="1"/>
        <v>-873151.6417</v>
      </c>
      <c r="L22" s="1">
        <v>-1391.440082</v>
      </c>
      <c r="M22" s="4">
        <f t="shared" si="2"/>
        <v>-873141.8701</v>
      </c>
      <c r="N22" s="4"/>
      <c r="O22" s="4">
        <f t="shared" si="3"/>
        <v>9.771577934</v>
      </c>
      <c r="P22" s="39" t="s">
        <v>143</v>
      </c>
      <c r="Q22" s="40">
        <v>7.378</v>
      </c>
      <c r="R22" s="30">
        <v>19.0</v>
      </c>
      <c r="S22" s="30" t="s">
        <v>78</v>
      </c>
      <c r="T22" s="35">
        <v>-873151.6417137131</v>
      </c>
      <c r="U22" s="35">
        <v>-873141.870135779</v>
      </c>
      <c r="V22" s="36">
        <v>9.771578</v>
      </c>
    </row>
    <row r="23">
      <c r="A23" s="17" t="s">
        <v>80</v>
      </c>
      <c r="B23" s="17" t="s">
        <v>81</v>
      </c>
      <c r="C23" s="17"/>
      <c r="D23" s="17" t="s">
        <v>16</v>
      </c>
      <c r="E23" s="17" t="s">
        <v>16</v>
      </c>
      <c r="F23" s="17" t="s">
        <v>16</v>
      </c>
      <c r="G23" s="17" t="s">
        <v>16</v>
      </c>
      <c r="H23" s="17" t="s">
        <v>17</v>
      </c>
      <c r="I23" s="17" t="s">
        <v>17</v>
      </c>
      <c r="J23" s="17">
        <v>-929.31974</v>
      </c>
      <c r="K23" s="18">
        <f t="shared" si="1"/>
        <v>-583156.9654</v>
      </c>
      <c r="L23" s="17">
        <v>-929.313127</v>
      </c>
      <c r="M23" s="18">
        <f t="shared" si="2"/>
        <v>-583152.8157</v>
      </c>
      <c r="N23" s="19"/>
      <c r="O23" s="18">
        <f t="shared" si="3"/>
        <v>4.149720324</v>
      </c>
      <c r="P23" s="37" t="s">
        <v>150</v>
      </c>
      <c r="Q23" s="38">
        <v>6.831</v>
      </c>
      <c r="R23" s="30">
        <v>20.0</v>
      </c>
      <c r="S23" s="30" t="s">
        <v>80</v>
      </c>
      <c r="T23" s="35">
        <v>-583156.96538753</v>
      </c>
      <c r="U23" s="41">
        <v>-583152.8156672065</v>
      </c>
      <c r="V23" s="36">
        <v>4.14972</v>
      </c>
      <c r="W23" s="19"/>
      <c r="X23" s="19"/>
      <c r="Y23" s="19"/>
      <c r="Z23" s="19"/>
      <c r="AA23" s="19"/>
      <c r="AB23" s="19"/>
      <c r="AC23" s="19"/>
    </row>
    <row r="24">
      <c r="A24" s="1" t="s">
        <v>82</v>
      </c>
      <c r="B24" s="1" t="s">
        <v>83</v>
      </c>
      <c r="C24" s="1"/>
      <c r="D24" s="1" t="s">
        <v>16</v>
      </c>
      <c r="E24" s="1" t="s">
        <v>16</v>
      </c>
      <c r="F24" s="1" t="s">
        <v>16</v>
      </c>
      <c r="G24" s="1" t="s">
        <v>16</v>
      </c>
      <c r="H24" s="1" t="s">
        <v>16</v>
      </c>
      <c r="I24" s="1" t="s">
        <v>17</v>
      </c>
      <c r="J24" s="10">
        <v>-1461.807931</v>
      </c>
      <c r="K24" s="4">
        <f t="shared" si="1"/>
        <v>-917298.3639</v>
      </c>
      <c r="L24" s="1">
        <v>-1461.800473</v>
      </c>
      <c r="M24" s="4">
        <f t="shared" si="2"/>
        <v>-917293.6839</v>
      </c>
      <c r="N24" s="4"/>
      <c r="O24" s="4">
        <f t="shared" si="3"/>
        <v>4.679965851</v>
      </c>
      <c r="P24" s="39" t="s">
        <v>155</v>
      </c>
      <c r="Q24" s="40">
        <v>12.13</v>
      </c>
      <c r="R24" s="30">
        <v>21.0</v>
      </c>
      <c r="S24" s="30" t="s">
        <v>82</v>
      </c>
      <c r="T24" s="35">
        <v>-917298.3638778445</v>
      </c>
      <c r="U24" s="35">
        <v>-917293.6839119935</v>
      </c>
      <c r="V24" s="36">
        <v>4.679966</v>
      </c>
    </row>
    <row r="25">
      <c r="A25" s="42" t="s">
        <v>84</v>
      </c>
      <c r="B25" s="42" t="s">
        <v>85</v>
      </c>
      <c r="C25" s="42"/>
      <c r="D25" s="42" t="s">
        <v>16</v>
      </c>
      <c r="E25" s="42" t="s">
        <v>16</v>
      </c>
      <c r="F25" s="42" t="s">
        <v>16</v>
      </c>
      <c r="G25" s="42" t="s">
        <v>18</v>
      </c>
      <c r="H25" s="42" t="s">
        <v>17</v>
      </c>
      <c r="I25" s="42" t="s">
        <v>17</v>
      </c>
      <c r="J25" s="42">
        <v>-1463.969941</v>
      </c>
      <c r="K25" s="25">
        <f t="shared" si="1"/>
        <v>-918655.0457</v>
      </c>
      <c r="L25" s="43">
        <v>-1463.953641</v>
      </c>
      <c r="M25" s="25">
        <f t="shared" si="2"/>
        <v>-918644.8173</v>
      </c>
      <c r="N25" s="44"/>
      <c r="O25" s="25">
        <f t="shared" si="3"/>
        <v>10.22840485</v>
      </c>
      <c r="P25" s="37" t="s">
        <v>160</v>
      </c>
      <c r="Q25" s="38">
        <v>5.736</v>
      </c>
      <c r="R25" s="30">
        <v>22.0</v>
      </c>
      <c r="S25" s="32" t="s">
        <v>84</v>
      </c>
      <c r="T25" s="35">
        <v>-918655.0456919395</v>
      </c>
      <c r="U25" s="45">
        <v>-918644.8172870895</v>
      </c>
      <c r="V25" s="35">
        <v>10.228404850000516</v>
      </c>
      <c r="W25" s="44"/>
      <c r="X25" s="44"/>
      <c r="Y25" s="44"/>
      <c r="Z25" s="44"/>
      <c r="AA25" s="44"/>
      <c r="AB25" s="44"/>
      <c r="AC25" s="44"/>
    </row>
    <row r="26">
      <c r="A26" s="1" t="s">
        <v>88</v>
      </c>
      <c r="B26" s="1" t="s">
        <v>89</v>
      </c>
      <c r="C26" s="1"/>
      <c r="D26" s="1" t="s">
        <v>16</v>
      </c>
      <c r="E26" s="1" t="s">
        <v>16</v>
      </c>
      <c r="F26" s="1" t="s">
        <v>16</v>
      </c>
      <c r="G26" s="1" t="s">
        <v>16</v>
      </c>
      <c r="H26" s="1" t="s">
        <v>16</v>
      </c>
      <c r="I26" s="1" t="s">
        <v>16</v>
      </c>
      <c r="J26" s="1">
        <v>-1230.55506</v>
      </c>
      <c r="K26" s="4">
        <f t="shared" si="1"/>
        <v>-772184.9904</v>
      </c>
      <c r="L26" s="1">
        <v>-1230.534049</v>
      </c>
      <c r="M26" s="4">
        <f t="shared" si="2"/>
        <v>-772171.8058</v>
      </c>
      <c r="N26" s="4"/>
      <c r="O26" s="4">
        <f t="shared" si="3"/>
        <v>13.1846021</v>
      </c>
      <c r="P26" s="39" t="s">
        <v>162</v>
      </c>
      <c r="Q26" s="40">
        <v>6.893</v>
      </c>
      <c r="R26" s="30">
        <v>23.0</v>
      </c>
      <c r="S26" s="30" t="s">
        <v>88</v>
      </c>
      <c r="T26" s="35">
        <v>-772184.9904230699</v>
      </c>
      <c r="U26" s="35">
        <v>-772171.8058209656</v>
      </c>
      <c r="V26" s="36">
        <v>13.1846</v>
      </c>
    </row>
    <row r="27">
      <c r="A27" s="1" t="s">
        <v>90</v>
      </c>
      <c r="B27" s="1" t="s">
        <v>91</v>
      </c>
      <c r="C27" s="1"/>
      <c r="D27" s="1" t="s">
        <v>16</v>
      </c>
      <c r="E27" s="1" t="s">
        <v>16</v>
      </c>
      <c r="F27" s="1" t="s">
        <v>16</v>
      </c>
      <c r="G27" s="1" t="s">
        <v>16</v>
      </c>
      <c r="H27" s="1" t="s">
        <v>16</v>
      </c>
      <c r="I27" s="1" t="s">
        <v>16</v>
      </c>
      <c r="J27" s="6">
        <v>-1579.57</v>
      </c>
      <c r="K27" s="4">
        <f t="shared" si="1"/>
        <v>-991195.1809</v>
      </c>
      <c r="L27" s="6">
        <v>-1579.537682</v>
      </c>
      <c r="M27" s="4">
        <f t="shared" si="2"/>
        <v>-991174.9011</v>
      </c>
      <c r="N27" s="4"/>
      <c r="O27" s="4">
        <f t="shared" si="3"/>
        <v>20.27985202</v>
      </c>
      <c r="P27" s="37" t="s">
        <v>168</v>
      </c>
      <c r="Q27" s="38">
        <v>9.755</v>
      </c>
      <c r="R27" s="30">
        <v>24.0</v>
      </c>
      <c r="S27" s="30" t="s">
        <v>90</v>
      </c>
      <c r="T27" s="35">
        <v>-991195.1809149999</v>
      </c>
      <c r="U27" s="35">
        <v>-991174.9010629789</v>
      </c>
      <c r="V27" s="36">
        <v>20.27985</v>
      </c>
    </row>
    <row r="28">
      <c r="A28" s="1" t="s">
        <v>96</v>
      </c>
      <c r="B28" s="1" t="s">
        <v>97</v>
      </c>
      <c r="C28" s="1"/>
      <c r="D28" s="1" t="s">
        <v>16</v>
      </c>
      <c r="E28" s="1" t="s">
        <v>16</v>
      </c>
      <c r="F28" s="1" t="s">
        <v>16</v>
      </c>
      <c r="G28" s="1" t="s">
        <v>16</v>
      </c>
      <c r="H28" s="1" t="s">
        <v>16</v>
      </c>
      <c r="I28" s="1" t="s">
        <v>16</v>
      </c>
      <c r="J28" s="1">
        <v>-1471.298288</v>
      </c>
      <c r="K28" s="4">
        <f t="shared" si="1"/>
        <v>-923253.6531</v>
      </c>
      <c r="L28" s="1">
        <v>-1471.298741</v>
      </c>
      <c r="M28" s="4">
        <f t="shared" si="2"/>
        <v>-923253.9373</v>
      </c>
      <c r="O28" s="4">
        <f t="shared" si="3"/>
        <v>-0.2842618036</v>
      </c>
      <c r="P28" s="39" t="s">
        <v>172</v>
      </c>
      <c r="Q28" s="40">
        <v>7.404</v>
      </c>
      <c r="R28" s="30">
        <v>25.0</v>
      </c>
      <c r="S28" s="30" t="s">
        <v>96</v>
      </c>
      <c r="T28" s="35">
        <v>-923253.653053736</v>
      </c>
      <c r="U28" s="35">
        <v>-923253.9373155396</v>
      </c>
      <c r="V28" s="36">
        <v>8.473261</v>
      </c>
    </row>
    <row r="29">
      <c r="A29" s="1" t="s">
        <v>101</v>
      </c>
      <c r="B29" s="1" t="s">
        <v>102</v>
      </c>
      <c r="C29" s="1"/>
      <c r="D29" s="1" t="s">
        <v>16</v>
      </c>
      <c r="E29" s="1" t="s">
        <v>16</v>
      </c>
      <c r="F29" s="1" t="s">
        <v>16</v>
      </c>
      <c r="G29" s="1" t="s">
        <v>17</v>
      </c>
      <c r="H29" s="1" t="s">
        <v>17</v>
      </c>
      <c r="I29" s="1" t="s">
        <v>17</v>
      </c>
      <c r="J29" s="1">
        <v>-1085.3522774</v>
      </c>
      <c r="K29" s="4">
        <f t="shared" si="1"/>
        <v>-681068.8649</v>
      </c>
      <c r="L29" s="1">
        <v>-1085.345025</v>
      </c>
      <c r="M29" s="4">
        <f t="shared" si="2"/>
        <v>-681064.314</v>
      </c>
      <c r="N29" s="4"/>
      <c r="O29" s="4">
        <f t="shared" si="3"/>
        <v>4.550949898</v>
      </c>
      <c r="P29" s="37" t="s">
        <v>175</v>
      </c>
      <c r="Q29" s="38">
        <v>7.72</v>
      </c>
      <c r="R29" s="30">
        <v>26.0</v>
      </c>
      <c r="S29" s="30" t="s">
        <v>101</v>
      </c>
      <c r="T29" s="35">
        <v>-681068.8649151353</v>
      </c>
      <c r="U29" s="35">
        <v>-681064.3139652376</v>
      </c>
      <c r="V29" s="36">
        <v>4.55095</v>
      </c>
    </row>
    <row r="30">
      <c r="A30" s="1" t="s">
        <v>103</v>
      </c>
      <c r="B30" s="1" t="s">
        <v>104</v>
      </c>
      <c r="C30" s="1"/>
      <c r="D30" s="1" t="s">
        <v>16</v>
      </c>
      <c r="E30" s="1" t="s">
        <v>16</v>
      </c>
      <c r="F30" s="1" t="s">
        <v>16</v>
      </c>
      <c r="G30" s="1" t="s">
        <v>17</v>
      </c>
      <c r="H30" s="1" t="s">
        <v>17</v>
      </c>
      <c r="I30" s="1" t="s">
        <v>17</v>
      </c>
      <c r="J30" s="1">
        <v>-1215.740526</v>
      </c>
      <c r="K30" s="4">
        <f t="shared" si="1"/>
        <v>-762888.7296</v>
      </c>
      <c r="L30" s="1">
        <v>-1215.730262</v>
      </c>
      <c r="M30" s="4">
        <f t="shared" si="2"/>
        <v>-762882.2888</v>
      </c>
      <c r="N30" s="4"/>
      <c r="O30" s="4">
        <f t="shared" si="3"/>
        <v>6.440757508</v>
      </c>
      <c r="P30" s="39" t="s">
        <v>184</v>
      </c>
      <c r="Q30" s="40">
        <v>6.415</v>
      </c>
      <c r="R30" s="30">
        <v>27.0</v>
      </c>
      <c r="S30" s="30" t="s">
        <v>103</v>
      </c>
      <c r="T30" s="35">
        <v>-762888.729599997</v>
      </c>
      <c r="U30" s="35">
        <v>-762882.288842489</v>
      </c>
      <c r="V30" s="36">
        <v>6.440758</v>
      </c>
    </row>
    <row r="31">
      <c r="A31" s="1" t="s">
        <v>105</v>
      </c>
      <c r="B31" s="1" t="s">
        <v>106</v>
      </c>
      <c r="C31" s="1"/>
      <c r="D31" s="1" t="s">
        <v>16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>
        <v>-1274.910707</v>
      </c>
      <c r="K31" s="4">
        <f t="shared" si="1"/>
        <v>-800018.5803</v>
      </c>
      <c r="L31" s="1">
        <v>-1274.888371</v>
      </c>
      <c r="M31" s="4">
        <f t="shared" si="2"/>
        <v>-800004.5642</v>
      </c>
      <c r="O31" s="4">
        <f t="shared" si="3"/>
        <v>14.01605219</v>
      </c>
      <c r="P31" s="37" t="s">
        <v>186</v>
      </c>
      <c r="Q31" s="38">
        <v>11.496</v>
      </c>
      <c r="R31" s="30">
        <v>28.0</v>
      </c>
      <c r="S31" s="30" t="s">
        <v>105</v>
      </c>
      <c r="T31" s="35">
        <v>-800018.5802942165</v>
      </c>
      <c r="U31" s="35">
        <v>-800004.5642420246</v>
      </c>
      <c r="V31" s="36">
        <v>14.01605</v>
      </c>
    </row>
    <row r="32">
      <c r="A32" s="1" t="s">
        <v>107</v>
      </c>
      <c r="B32" s="1" t="s">
        <v>108</v>
      </c>
      <c r="C32" s="1"/>
      <c r="D32" s="1" t="s">
        <v>16</v>
      </c>
      <c r="E32" s="1" t="s">
        <v>16</v>
      </c>
      <c r="F32" s="1" t="s">
        <v>16</v>
      </c>
      <c r="G32" s="1" t="s">
        <v>16</v>
      </c>
      <c r="H32" s="1" t="s">
        <v>17</v>
      </c>
      <c r="I32" s="1" t="s">
        <v>17</v>
      </c>
      <c r="J32" s="1">
        <v>-1121.057851</v>
      </c>
      <c r="K32" s="4">
        <f t="shared" si="1"/>
        <v>-703474.4516</v>
      </c>
      <c r="L32" s="1">
        <v>-1121.055665</v>
      </c>
      <c r="M32" s="4">
        <f t="shared" si="2"/>
        <v>-703473.0798</v>
      </c>
      <c r="N32" s="4"/>
      <c r="O32" s="4">
        <f t="shared" si="3"/>
        <v>1.371735767</v>
      </c>
      <c r="P32" s="39" t="s">
        <v>191</v>
      </c>
      <c r="Q32" s="40">
        <v>6.289</v>
      </c>
      <c r="R32" s="30">
        <v>29.0</v>
      </c>
      <c r="S32" s="30" t="s">
        <v>107</v>
      </c>
      <c r="T32" s="35">
        <v>-703474.4515520845</v>
      </c>
      <c r="U32" s="35">
        <v>-703473.0798163175</v>
      </c>
      <c r="V32" s="36">
        <v>1.371736</v>
      </c>
    </row>
    <row r="33">
      <c r="A33" s="1" t="s">
        <v>109</v>
      </c>
      <c r="B33" s="1" t="s">
        <v>110</v>
      </c>
      <c r="C33" s="1"/>
      <c r="D33" s="1" t="s">
        <v>17</v>
      </c>
      <c r="E33" s="1" t="s">
        <v>16</v>
      </c>
      <c r="F33" s="1" t="s">
        <v>17</v>
      </c>
      <c r="G33" s="1" t="s">
        <v>17</v>
      </c>
      <c r="H33" s="1" t="s">
        <v>17</v>
      </c>
      <c r="I33" s="1" t="s">
        <v>17</v>
      </c>
      <c r="J33" s="6">
        <v>-1119.019774</v>
      </c>
      <c r="K33" s="4">
        <f t="shared" si="1"/>
        <v>-702195.5389</v>
      </c>
      <c r="L33" s="6">
        <v>-1118.984465</v>
      </c>
      <c r="M33" s="4">
        <f t="shared" si="2"/>
        <v>-702173.3821</v>
      </c>
      <c r="N33" s="4"/>
      <c r="O33" s="4">
        <f t="shared" si="3"/>
        <v>22.15673294</v>
      </c>
      <c r="P33" s="37" t="s">
        <v>193</v>
      </c>
      <c r="Q33" s="38">
        <v>10.77</v>
      </c>
      <c r="R33" s="30">
        <v>30.0</v>
      </c>
      <c r="S33" s="30" t="s">
        <v>109</v>
      </c>
      <c r="T33" s="35">
        <v>-702195.538872853</v>
      </c>
      <c r="U33" s="35">
        <v>-702173.3821399175</v>
      </c>
      <c r="V33" s="36">
        <v>22.15673</v>
      </c>
    </row>
    <row r="34">
      <c r="A34" s="1" t="s">
        <v>111</v>
      </c>
      <c r="B34" s="1" t="s">
        <v>112</v>
      </c>
      <c r="C34" s="1"/>
      <c r="D34" s="1" t="s">
        <v>16</v>
      </c>
      <c r="E34" s="1" t="s">
        <v>16</v>
      </c>
      <c r="F34" s="1" t="s">
        <v>16</v>
      </c>
      <c r="G34" s="1" t="s">
        <v>16</v>
      </c>
      <c r="H34" s="1" t="s">
        <v>16</v>
      </c>
      <c r="I34" s="1" t="s">
        <v>17</v>
      </c>
      <c r="J34" s="6">
        <v>-1348.941611</v>
      </c>
      <c r="K34" s="4">
        <f t="shared" si="1"/>
        <v>-846473.6758</v>
      </c>
      <c r="L34" s="6">
        <v>-1348.940904</v>
      </c>
      <c r="M34" s="4">
        <f t="shared" si="2"/>
        <v>-846473.2322</v>
      </c>
      <c r="N34" s="1"/>
      <c r="O34" s="4">
        <f t="shared" si="3"/>
        <v>0.4436492164</v>
      </c>
      <c r="P34" s="39" t="s">
        <v>203</v>
      </c>
      <c r="Q34" s="40">
        <v>10.305</v>
      </c>
      <c r="R34" s="30">
        <v>31.0</v>
      </c>
      <c r="S34" s="30" t="s">
        <v>111</v>
      </c>
      <c r="T34" s="35">
        <v>-846473.6758478045</v>
      </c>
      <c r="U34" s="35">
        <v>-846473.2321985881</v>
      </c>
      <c r="V34" s="36">
        <v>0.443649</v>
      </c>
    </row>
    <row r="35">
      <c r="A35" s="1" t="s">
        <v>113</v>
      </c>
      <c r="B35" s="1" t="s">
        <v>114</v>
      </c>
      <c r="C35" s="1"/>
      <c r="D35" s="1" t="s">
        <v>16</v>
      </c>
      <c r="E35" s="1" t="s">
        <v>16</v>
      </c>
      <c r="F35" s="1" t="s">
        <v>16</v>
      </c>
      <c r="G35" s="1" t="s">
        <v>16</v>
      </c>
      <c r="H35" s="1" t="s">
        <v>16</v>
      </c>
      <c r="I35" s="1" t="s">
        <v>17</v>
      </c>
      <c r="J35" s="1">
        <v>-1286.219734</v>
      </c>
      <c r="K35" s="4">
        <f t="shared" si="1"/>
        <v>-807115.1022</v>
      </c>
      <c r="L35" s="6">
        <v>-1286.213227</v>
      </c>
      <c r="M35" s="4">
        <f t="shared" si="2"/>
        <v>-807111.019</v>
      </c>
      <c r="N35" s="21"/>
      <c r="O35" s="4">
        <f t="shared" si="3"/>
        <v>4.083204317</v>
      </c>
      <c r="P35" s="4"/>
      <c r="Q35" s="4"/>
      <c r="R35" s="30">
        <v>32.0</v>
      </c>
      <c r="S35" s="30" t="s">
        <v>113</v>
      </c>
      <c r="T35" s="35">
        <v>-807115.102172473</v>
      </c>
      <c r="U35" s="35">
        <v>-807111.0189681564</v>
      </c>
      <c r="V35" s="36">
        <v>4.083204</v>
      </c>
    </row>
    <row r="36">
      <c r="A36" s="1" t="s">
        <v>115</v>
      </c>
      <c r="B36" s="1" t="s">
        <v>116</v>
      </c>
      <c r="C36" s="1"/>
      <c r="D36" s="1" t="s">
        <v>16</v>
      </c>
      <c r="E36" s="5" t="s">
        <v>17</v>
      </c>
      <c r="F36" s="1" t="s">
        <v>17</v>
      </c>
      <c r="G36" s="1" t="s">
        <v>16</v>
      </c>
      <c r="H36" s="1" t="s">
        <v>16</v>
      </c>
      <c r="I36" s="1" t="s">
        <v>16</v>
      </c>
      <c r="J36" s="1">
        <v>-1180.965979</v>
      </c>
      <c r="K36" s="4">
        <f t="shared" si="1"/>
        <v>-741067.371</v>
      </c>
      <c r="L36" s="1">
        <v>-1180.962088</v>
      </c>
      <c r="M36" s="7">
        <f t="shared" si="2"/>
        <v>-741064.9294</v>
      </c>
      <c r="N36" s="4"/>
      <c r="O36" s="4">
        <f t="shared" si="3"/>
        <v>2.441639464</v>
      </c>
      <c r="P36" s="4"/>
      <c r="Q36" s="4"/>
      <c r="R36" s="30">
        <v>33.0</v>
      </c>
      <c r="S36" s="30" t="s">
        <v>115</v>
      </c>
      <c r="T36" s="35">
        <v>-741067.3709993005</v>
      </c>
      <c r="U36" s="35">
        <v>-741064.929359836</v>
      </c>
      <c r="V36" s="36">
        <v>2.441639</v>
      </c>
    </row>
    <row r="37">
      <c r="A37" s="1" t="s">
        <v>118</v>
      </c>
      <c r="B37" s="1" t="s">
        <v>119</v>
      </c>
      <c r="C37" s="1"/>
      <c r="D37" s="1" t="s">
        <v>16</v>
      </c>
      <c r="E37" s="5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>
        <v>-1541.086128</v>
      </c>
      <c r="K37" s="4">
        <f t="shared" si="1"/>
        <v>-967046.1856</v>
      </c>
      <c r="L37" s="8">
        <v>-1541.073445</v>
      </c>
      <c r="M37" s="4">
        <f t="shared" si="2"/>
        <v>-967038.2269</v>
      </c>
      <c r="N37" s="4"/>
      <c r="O37" s="4">
        <f t="shared" si="3"/>
        <v>7.958702988</v>
      </c>
      <c r="P37" s="4"/>
      <c r="Q37" s="4"/>
      <c r="R37" s="30">
        <v>34.0</v>
      </c>
      <c r="S37" s="30" t="s">
        <v>118</v>
      </c>
      <c r="T37" s="35">
        <v>-967046.185638216</v>
      </c>
      <c r="U37" s="35">
        <v>-967038.2269352275</v>
      </c>
      <c r="V37" s="36">
        <v>7.958703</v>
      </c>
    </row>
    <row r="38">
      <c r="A38" s="1" t="s">
        <v>120</v>
      </c>
      <c r="B38" s="1" t="s">
        <v>121</v>
      </c>
      <c r="C38" s="1"/>
      <c r="D38" s="1" t="s">
        <v>16</v>
      </c>
      <c r="E38" s="1" t="s">
        <v>16</v>
      </c>
      <c r="F38" s="1" t="s">
        <v>16</v>
      </c>
      <c r="G38" s="1" t="s">
        <v>16</v>
      </c>
      <c r="H38" s="1" t="s">
        <v>16</v>
      </c>
      <c r="I38" s="1" t="s">
        <v>17</v>
      </c>
      <c r="J38" s="1">
        <v>-1160.376956</v>
      </c>
      <c r="K38" s="4">
        <f t="shared" si="1"/>
        <v>-728147.5635</v>
      </c>
      <c r="L38" s="1">
        <v>-1160.373721</v>
      </c>
      <c r="M38" s="4">
        <f t="shared" si="2"/>
        <v>-728145.5335</v>
      </c>
      <c r="N38" s="4"/>
      <c r="O38" s="4">
        <f t="shared" si="3"/>
        <v>2.029993233</v>
      </c>
      <c r="P38" s="4"/>
      <c r="Q38" s="4"/>
      <c r="R38" s="30">
        <v>35.0</v>
      </c>
      <c r="S38" s="30" t="s">
        <v>120</v>
      </c>
      <c r="T38" s="35">
        <v>-728147.563471082</v>
      </c>
      <c r="U38" s="35">
        <v>-728145.5334778494</v>
      </c>
      <c r="V38" s="36">
        <v>2.029993</v>
      </c>
    </row>
    <row r="39">
      <c r="A39" s="1" t="s">
        <v>125</v>
      </c>
      <c r="B39" s="1" t="s">
        <v>126</v>
      </c>
      <c r="C39" s="1"/>
      <c r="D39" s="1" t="s">
        <v>16</v>
      </c>
      <c r="E39" s="1" t="s">
        <v>16</v>
      </c>
      <c r="F39" s="1" t="s">
        <v>16</v>
      </c>
      <c r="G39" s="1" t="s">
        <v>16</v>
      </c>
      <c r="H39" s="1" t="s">
        <v>17</v>
      </c>
      <c r="I39" s="1" t="s">
        <v>17</v>
      </c>
      <c r="J39" s="1">
        <v>-1616.480441</v>
      </c>
      <c r="K39" s="4">
        <f t="shared" si="1"/>
        <v>-1014356.833</v>
      </c>
      <c r="L39" s="1">
        <v>-1616.474442</v>
      </c>
      <c r="M39" s="4">
        <f t="shared" si="2"/>
        <v>-1014353.069</v>
      </c>
      <c r="N39" s="4"/>
      <c r="O39" s="4">
        <f t="shared" si="3"/>
        <v>3.764429491</v>
      </c>
      <c r="P39" s="4"/>
      <c r="Q39" s="4"/>
      <c r="R39" s="30">
        <v>36.0</v>
      </c>
      <c r="S39" s="30" t="s">
        <v>125</v>
      </c>
      <c r="T39" s="35">
        <v>-1014356.8332916895</v>
      </c>
      <c r="U39" s="35">
        <v>-1014353.068862199</v>
      </c>
      <c r="V39" s="36">
        <v>3.764429</v>
      </c>
    </row>
    <row r="40">
      <c r="A40" s="1" t="s">
        <v>127</v>
      </c>
      <c r="B40" s="1" t="s">
        <v>128</v>
      </c>
      <c r="C40" s="1"/>
      <c r="D40" s="1" t="s">
        <v>16</v>
      </c>
      <c r="E40" s="1" t="s">
        <v>16</v>
      </c>
      <c r="F40" s="1" t="s">
        <v>16</v>
      </c>
      <c r="G40" s="1" t="s">
        <v>16</v>
      </c>
      <c r="H40" s="1" t="s">
        <v>16</v>
      </c>
      <c r="I40" s="1" t="s">
        <v>16</v>
      </c>
      <c r="J40" s="6">
        <v>-1230.56</v>
      </c>
      <c r="K40" s="4">
        <f t="shared" si="1"/>
        <v>-772188.0903</v>
      </c>
      <c r="L40" s="6">
        <v>-1230.534063</v>
      </c>
      <c r="M40" s="4">
        <f t="shared" si="2"/>
        <v>-772171.8146</v>
      </c>
      <c r="N40" s="4"/>
      <c r="O40" s="4">
        <f t="shared" si="3"/>
        <v>16.2757139</v>
      </c>
      <c r="P40" s="4"/>
      <c r="Q40" s="4"/>
      <c r="R40" s="30">
        <v>37.0</v>
      </c>
      <c r="S40" s="30" t="s">
        <v>127</v>
      </c>
      <c r="T40" s="35">
        <v>-772188.09032</v>
      </c>
      <c r="U40" s="35">
        <v>-772171.8146060986</v>
      </c>
      <c r="V40" s="36">
        <v>16.27571</v>
      </c>
    </row>
    <row r="41">
      <c r="A41" s="1" t="s">
        <v>129</v>
      </c>
      <c r="B41" s="1" t="s">
        <v>130</v>
      </c>
      <c r="C41" s="1"/>
      <c r="D41" s="1" t="s">
        <v>16</v>
      </c>
      <c r="E41" s="1" t="s">
        <v>16</v>
      </c>
      <c r="F41" s="1" t="s">
        <v>16</v>
      </c>
      <c r="G41" s="1" t="s">
        <v>17</v>
      </c>
      <c r="H41" s="1" t="s">
        <v>17</v>
      </c>
      <c r="I41" s="1" t="s">
        <v>16</v>
      </c>
      <c r="J41" s="1">
        <v>-1230.552411</v>
      </c>
      <c r="K41" s="4">
        <f t="shared" si="1"/>
        <v>-772183.3282</v>
      </c>
      <c r="L41" s="1">
        <v>-1230.538552</v>
      </c>
      <c r="M41" s="4">
        <f t="shared" si="2"/>
        <v>-772174.6315</v>
      </c>
      <c r="O41" s="4">
        <f t="shared" si="3"/>
        <v>8.69665416</v>
      </c>
      <c r="P41" s="1"/>
      <c r="Q41" s="4"/>
      <c r="R41" s="30">
        <v>38.0</v>
      </c>
      <c r="S41" s="30" t="s">
        <v>129</v>
      </c>
      <c r="T41" s="35">
        <v>-772183.3281504044</v>
      </c>
      <c r="U41" s="35">
        <v>-772174.631496244</v>
      </c>
      <c r="V41" s="36">
        <v>8.696654</v>
      </c>
    </row>
    <row r="42">
      <c r="A42" s="1" t="s">
        <v>131</v>
      </c>
      <c r="B42" s="1" t="s">
        <v>132</v>
      </c>
      <c r="C42" s="1"/>
      <c r="D42" s="1" t="s">
        <v>16</v>
      </c>
      <c r="E42" s="1" t="s">
        <v>16</v>
      </c>
      <c r="F42" s="1" t="s">
        <v>16</v>
      </c>
      <c r="G42" s="1" t="s">
        <v>17</v>
      </c>
      <c r="H42" s="1" t="s">
        <v>17</v>
      </c>
      <c r="I42" s="1" t="s">
        <v>17</v>
      </c>
      <c r="J42" s="1">
        <v>-1196.268923</v>
      </c>
      <c r="K42" s="4">
        <f t="shared" si="1"/>
        <v>-750670.1137</v>
      </c>
      <c r="L42" s="1">
        <v>-1196.250814</v>
      </c>
      <c r="M42" s="4">
        <f t="shared" si="2"/>
        <v>-750658.7502</v>
      </c>
      <c r="N42" s="4"/>
      <c r="O42" s="4">
        <f t="shared" si="3"/>
        <v>11.36356954</v>
      </c>
      <c r="P42" s="4"/>
      <c r="Q42" s="4"/>
      <c r="R42" s="30">
        <v>39.0</v>
      </c>
      <c r="S42" s="30" t="s">
        <v>131</v>
      </c>
      <c r="T42" s="35">
        <v>-750670.1137372686</v>
      </c>
      <c r="U42" s="35">
        <v>-750658.750167733</v>
      </c>
      <c r="V42" s="36">
        <v>11.36357</v>
      </c>
    </row>
    <row r="43">
      <c r="A43" s="1" t="s">
        <v>136</v>
      </c>
      <c r="B43" s="1" t="s">
        <v>137</v>
      </c>
      <c r="C43" s="1"/>
      <c r="D43" s="1" t="s">
        <v>16</v>
      </c>
      <c r="E43" s="1" t="s">
        <v>16</v>
      </c>
      <c r="F43" s="1" t="s">
        <v>16</v>
      </c>
      <c r="G43" s="1" t="s">
        <v>17</v>
      </c>
      <c r="H43" s="1" t="s">
        <v>17</v>
      </c>
      <c r="I43" s="1" t="s">
        <v>17</v>
      </c>
      <c r="J43" s="1">
        <v>-1314.02222</v>
      </c>
      <c r="K43" s="4">
        <f t="shared" si="1"/>
        <v>-824561.4263</v>
      </c>
      <c r="L43" s="1">
        <v>-1314.01831</v>
      </c>
      <c r="M43" s="4">
        <f t="shared" si="2"/>
        <v>-824558.9727</v>
      </c>
      <c r="N43" s="4"/>
      <c r="O43" s="4">
        <f t="shared" si="3"/>
        <v>2.453562145</v>
      </c>
      <c r="P43" s="4"/>
      <c r="Q43" s="4"/>
      <c r="R43" s="30">
        <v>40.0</v>
      </c>
      <c r="S43" s="30" t="s">
        <v>136</v>
      </c>
      <c r="T43" s="35">
        <v>-824561.4262610901</v>
      </c>
      <c r="U43" s="35">
        <v>-824558.972698945</v>
      </c>
      <c r="V43" s="36">
        <v>2.453562</v>
      </c>
    </row>
    <row r="44">
      <c r="A44" s="1" t="s">
        <v>138</v>
      </c>
      <c r="B44" s="1" t="s">
        <v>139</v>
      </c>
      <c r="C44" s="1"/>
      <c r="D44" s="1" t="s">
        <v>16</v>
      </c>
      <c r="E44" s="1" t="s">
        <v>16</v>
      </c>
      <c r="F44" s="1" t="s">
        <v>16</v>
      </c>
      <c r="G44" s="1" t="s">
        <v>16</v>
      </c>
      <c r="H44" s="1" t="s">
        <v>16</v>
      </c>
      <c r="I44" s="1" t="s">
        <v>17</v>
      </c>
      <c r="J44" s="6">
        <v>-1230.56</v>
      </c>
      <c r="K44" s="6">
        <v>-772186.8482</v>
      </c>
      <c r="L44" s="6">
        <v>-1230.545281</v>
      </c>
      <c r="M44" s="4">
        <f t="shared" si="2"/>
        <v>-772178.854</v>
      </c>
      <c r="N44" s="4"/>
      <c r="O44" s="4">
        <f t="shared" si="3"/>
        <v>7.994192331</v>
      </c>
      <c r="P44" s="4"/>
      <c r="Q44" s="4"/>
      <c r="R44" s="30">
        <v>41.0</v>
      </c>
      <c r="S44" s="30" t="s">
        <v>138</v>
      </c>
      <c r="T44" s="46">
        <v>-772186.8482</v>
      </c>
      <c r="U44" s="35">
        <v>-772178.8540076695</v>
      </c>
      <c r="V44" s="36">
        <v>7.994192</v>
      </c>
    </row>
    <row r="45">
      <c r="A45" s="1" t="s">
        <v>143</v>
      </c>
      <c r="B45" s="1" t="s">
        <v>144</v>
      </c>
      <c r="C45" s="1"/>
      <c r="D45" s="1" t="s">
        <v>16</v>
      </c>
      <c r="E45" s="1" t="s">
        <v>16</v>
      </c>
      <c r="F45" s="1" t="s">
        <v>16</v>
      </c>
      <c r="G45" s="1" t="s">
        <v>16</v>
      </c>
      <c r="H45" s="1" t="s">
        <v>16</v>
      </c>
      <c r="I45" s="1" t="s">
        <v>17</v>
      </c>
      <c r="J45" s="10">
        <v>-1541.473625</v>
      </c>
      <c r="K45" s="4">
        <f t="shared" ref="K45:K51" si="4">J45*627.5095</f>
        <v>-967289.3437</v>
      </c>
      <c r="L45" s="1">
        <v>-1541.449967</v>
      </c>
      <c r="M45" s="4">
        <f t="shared" si="2"/>
        <v>-967274.4981</v>
      </c>
      <c r="N45" s="4"/>
      <c r="O45" s="4">
        <f t="shared" si="3"/>
        <v>14.84561975</v>
      </c>
      <c r="P45" s="4"/>
      <c r="Q45" s="4"/>
      <c r="R45" s="30">
        <v>42.0</v>
      </c>
      <c r="S45" s="30" t="s">
        <v>143</v>
      </c>
      <c r="T45" s="35">
        <v>-967289.3436869376</v>
      </c>
      <c r="U45" s="35">
        <v>-967274.4980671866</v>
      </c>
      <c r="V45" s="36">
        <v>14.84562</v>
      </c>
    </row>
    <row r="46">
      <c r="A46" s="1" t="s">
        <v>145</v>
      </c>
      <c r="B46" s="1" t="s">
        <v>146</v>
      </c>
      <c r="C46" s="1"/>
      <c r="D46" s="1" t="s">
        <v>16</v>
      </c>
      <c r="E46" s="1" t="s">
        <v>16</v>
      </c>
      <c r="F46" s="1" t="s">
        <v>16</v>
      </c>
      <c r="G46" s="1" t="s">
        <v>16</v>
      </c>
      <c r="H46" s="1" t="s">
        <v>17</v>
      </c>
      <c r="I46" s="1" t="s">
        <v>17</v>
      </c>
      <c r="J46" s="1">
        <v>-1541.470157</v>
      </c>
      <c r="K46" s="4">
        <f t="shared" si="4"/>
        <v>-967287.1675</v>
      </c>
      <c r="L46" s="1">
        <v>-1541.46378</v>
      </c>
      <c r="M46" s="4">
        <f t="shared" si="2"/>
        <v>-967283.1659</v>
      </c>
      <c r="N46" s="4"/>
      <c r="O46" s="4">
        <f t="shared" si="3"/>
        <v>4.001628081</v>
      </c>
      <c r="P46" s="4"/>
      <c r="Q46" s="4"/>
      <c r="R46" s="30">
        <v>43.0</v>
      </c>
      <c r="S46" s="30" t="s">
        <v>145</v>
      </c>
      <c r="T46" s="35">
        <v>-967287.1674839915</v>
      </c>
      <c r="U46" s="35">
        <v>-967283.16585591</v>
      </c>
      <c r="V46" s="36">
        <v>4.001628</v>
      </c>
    </row>
    <row r="47">
      <c r="A47" s="1" t="s">
        <v>147</v>
      </c>
      <c r="B47" s="1" t="s">
        <v>148</v>
      </c>
      <c r="C47" s="1" t="s">
        <v>149</v>
      </c>
      <c r="D47" s="1" t="s">
        <v>16</v>
      </c>
      <c r="E47" s="1" t="s">
        <v>16</v>
      </c>
      <c r="F47" s="1" t="s">
        <v>16</v>
      </c>
      <c r="G47" s="1" t="s">
        <v>16</v>
      </c>
      <c r="H47" s="1" t="s">
        <v>17</v>
      </c>
      <c r="I47" s="1" t="s">
        <v>17</v>
      </c>
      <c r="J47" s="1">
        <v>-1537.822879</v>
      </c>
      <c r="K47" s="4">
        <f t="shared" si="4"/>
        <v>-964998.4659</v>
      </c>
      <c r="L47" s="1">
        <v>-1537.808503</v>
      </c>
      <c r="M47" s="4">
        <f t="shared" si="2"/>
        <v>-964989.4448</v>
      </c>
      <c r="N47" s="4"/>
      <c r="O47" s="4">
        <f t="shared" si="3"/>
        <v>9.021076572</v>
      </c>
      <c r="P47" s="4"/>
      <c r="Q47" s="4"/>
      <c r="R47" s="30">
        <v>44.0</v>
      </c>
      <c r="S47" s="30" t="s">
        <v>147</v>
      </c>
      <c r="T47" s="35">
        <v>-964998.4658898505</v>
      </c>
      <c r="U47" s="35">
        <v>-964989.4448132785</v>
      </c>
      <c r="V47" s="36">
        <v>9.021077</v>
      </c>
    </row>
    <row r="48">
      <c r="A48" s="1" t="s">
        <v>150</v>
      </c>
      <c r="B48" s="1" t="s">
        <v>148</v>
      </c>
      <c r="C48" s="1"/>
      <c r="D48" s="1" t="s">
        <v>16</v>
      </c>
      <c r="E48" s="1" t="s">
        <v>16</v>
      </c>
      <c r="F48" s="1" t="s">
        <v>16</v>
      </c>
      <c r="G48" s="1" t="s">
        <v>16</v>
      </c>
      <c r="H48" s="1" t="s">
        <v>16</v>
      </c>
      <c r="I48" s="1" t="s">
        <v>17</v>
      </c>
      <c r="J48" s="1">
        <v>-1537.828423</v>
      </c>
      <c r="K48" s="4">
        <f t="shared" si="4"/>
        <v>-965001.9448</v>
      </c>
      <c r="L48" s="1">
        <v>-1537.817537</v>
      </c>
      <c r="M48" s="4">
        <f t="shared" si="2"/>
        <v>-964995.1137</v>
      </c>
      <c r="N48" s="4"/>
      <c r="O48" s="4">
        <f t="shared" si="3"/>
        <v>6.831068417</v>
      </c>
      <c r="P48" s="4"/>
      <c r="Q48" s="4"/>
      <c r="R48" s="30">
        <v>45.0</v>
      </c>
      <c r="S48" s="30" t="s">
        <v>150</v>
      </c>
      <c r="T48" s="35">
        <v>-965001.9448025185</v>
      </c>
      <c r="U48" s="35">
        <v>-964995.1137341014</v>
      </c>
      <c r="V48" s="36">
        <v>6.831068</v>
      </c>
    </row>
    <row r="49">
      <c r="A49" s="1" t="s">
        <v>151</v>
      </c>
      <c r="B49" s="1" t="s">
        <v>152</v>
      </c>
      <c r="C49" s="1"/>
      <c r="D49" s="1" t="s">
        <v>16</v>
      </c>
      <c r="E49" s="5" t="s">
        <v>17</v>
      </c>
      <c r="F49" s="1" t="s">
        <v>17</v>
      </c>
      <c r="G49" s="1" t="s">
        <v>17</v>
      </c>
      <c r="H49" s="1" t="s">
        <v>17</v>
      </c>
      <c r="I49" s="1" t="s">
        <v>17</v>
      </c>
      <c r="J49" s="1">
        <v>-1152.202454</v>
      </c>
      <c r="K49" s="4">
        <f t="shared" si="4"/>
        <v>-723017.9858</v>
      </c>
      <c r="L49" s="1">
        <v>-1152.186089</v>
      </c>
      <c r="M49" s="4">
        <f t="shared" si="2"/>
        <v>-723007.7166</v>
      </c>
      <c r="O49" s="4">
        <f t="shared" si="3"/>
        <v>10.26919297</v>
      </c>
      <c r="P49" s="1"/>
      <c r="Q49" s="4"/>
      <c r="R49" s="30">
        <v>46.0</v>
      </c>
      <c r="S49" s="30" t="s">
        <v>151</v>
      </c>
      <c r="T49" s="35">
        <v>-723017.985808313</v>
      </c>
      <c r="U49" s="35">
        <v>-723007.7166153456</v>
      </c>
      <c r="V49" s="36">
        <v>10.26919</v>
      </c>
    </row>
    <row r="50">
      <c r="A50" s="1" t="s">
        <v>153</v>
      </c>
      <c r="B50" s="1" t="s">
        <v>154</v>
      </c>
      <c r="C50" s="1"/>
      <c r="D50" s="1" t="s">
        <v>16</v>
      </c>
      <c r="E50" s="1" t="s">
        <v>16</v>
      </c>
      <c r="F50" s="1" t="s">
        <v>16</v>
      </c>
      <c r="G50" s="1" t="s">
        <v>16</v>
      </c>
      <c r="H50" s="1" t="s">
        <v>17</v>
      </c>
      <c r="I50" s="1" t="s">
        <v>17</v>
      </c>
      <c r="J50" s="1">
        <v>-1246.553389</v>
      </c>
      <c r="K50" s="4">
        <f t="shared" si="4"/>
        <v>-782224.0939</v>
      </c>
      <c r="L50" s="1">
        <v>-1246.537826</v>
      </c>
      <c r="M50" s="4">
        <f t="shared" si="2"/>
        <v>-782214.3279</v>
      </c>
      <c r="N50" s="4"/>
      <c r="O50" s="4">
        <f t="shared" si="3"/>
        <v>9.765930348</v>
      </c>
      <c r="P50" s="4"/>
      <c r="Q50" s="4"/>
      <c r="R50" s="30">
        <v>47.0</v>
      </c>
      <c r="S50" s="30" t="s">
        <v>153</v>
      </c>
      <c r="T50" s="35">
        <v>-782224.0938546954</v>
      </c>
      <c r="U50" s="35">
        <v>-782214.327924347</v>
      </c>
      <c r="V50" s="36">
        <v>9.76593</v>
      </c>
    </row>
    <row r="51">
      <c r="A51" s="1" t="s">
        <v>155</v>
      </c>
      <c r="B51" s="1" t="s">
        <v>156</v>
      </c>
      <c r="C51" s="1"/>
      <c r="D51" s="1" t="s">
        <v>16</v>
      </c>
      <c r="E51" s="1" t="s">
        <v>16</v>
      </c>
      <c r="F51" s="1" t="s">
        <v>16</v>
      </c>
      <c r="G51" s="1" t="s">
        <v>16</v>
      </c>
      <c r="H51" s="1" t="s">
        <v>16</v>
      </c>
      <c r="I51" s="1" t="s">
        <v>17</v>
      </c>
      <c r="J51" s="1">
        <v>-1188.761297</v>
      </c>
      <c r="K51" s="4">
        <f t="shared" si="4"/>
        <v>-745959.0071</v>
      </c>
      <c r="L51" s="1">
        <v>-1188.741966</v>
      </c>
      <c r="M51" s="4">
        <f t="shared" si="2"/>
        <v>-745946.8767</v>
      </c>
      <c r="N51" s="4"/>
      <c r="O51" s="4">
        <f t="shared" si="3"/>
        <v>12.13038614</v>
      </c>
      <c r="P51" s="4"/>
      <c r="Q51" s="4"/>
      <c r="R51" s="30">
        <v>48.0</v>
      </c>
      <c r="S51" s="30" t="s">
        <v>155</v>
      </c>
      <c r="T51" s="35">
        <v>-745959.0070998215</v>
      </c>
      <c r="U51" s="35">
        <v>-745946.8767136771</v>
      </c>
      <c r="V51" s="36">
        <v>12.72477</v>
      </c>
    </row>
    <row r="52">
      <c r="A52" s="1" t="s">
        <v>160</v>
      </c>
      <c r="B52" s="1" t="s">
        <v>161</v>
      </c>
      <c r="C52" s="1"/>
      <c r="D52" s="1" t="s">
        <v>16</v>
      </c>
      <c r="E52" s="1" t="s">
        <v>16</v>
      </c>
      <c r="F52" s="1" t="s">
        <v>16</v>
      </c>
      <c r="G52" s="1" t="s">
        <v>16</v>
      </c>
      <c r="H52" s="1" t="s">
        <v>16</v>
      </c>
      <c r="I52" s="1" t="s">
        <v>17</v>
      </c>
      <c r="J52" s="6">
        <v>-1081.73</v>
      </c>
      <c r="K52" s="6">
        <v>-678796.2819</v>
      </c>
      <c r="L52" s="6">
        <v>-1081.720682</v>
      </c>
      <c r="M52" s="6">
        <v>-678790.5452</v>
      </c>
      <c r="N52" s="4"/>
      <c r="O52" s="4">
        <f t="shared" si="3"/>
        <v>5.7367</v>
      </c>
      <c r="P52" s="4"/>
      <c r="Q52" s="4"/>
      <c r="R52" s="30">
        <v>49.0</v>
      </c>
      <c r="S52" s="30" t="s">
        <v>160</v>
      </c>
      <c r="T52" s="46">
        <v>-678796.2819</v>
      </c>
      <c r="U52" s="46">
        <v>-678790.5452</v>
      </c>
      <c r="V52" s="36">
        <v>5.7367</v>
      </c>
    </row>
    <row r="53">
      <c r="A53" s="1" t="s">
        <v>162</v>
      </c>
      <c r="B53" s="1" t="s">
        <v>163</v>
      </c>
      <c r="C53" s="1"/>
      <c r="D53" s="1" t="s">
        <v>16</v>
      </c>
      <c r="E53" s="1" t="s">
        <v>16</v>
      </c>
      <c r="F53" s="1" t="s">
        <v>16</v>
      </c>
      <c r="G53" s="1" t="s">
        <v>16</v>
      </c>
      <c r="H53" s="1" t="s">
        <v>16</v>
      </c>
      <c r="I53" s="1" t="s">
        <v>17</v>
      </c>
      <c r="J53" s="6">
        <v>-1078.13</v>
      </c>
      <c r="K53" s="6">
        <v>-676536.3128</v>
      </c>
      <c r="L53" s="6">
        <v>-1078.11279</v>
      </c>
      <c r="M53" s="6">
        <v>-676526.5569</v>
      </c>
      <c r="N53" s="4"/>
      <c r="O53" s="4">
        <f t="shared" si="3"/>
        <v>9.7559</v>
      </c>
      <c r="P53" s="4"/>
      <c r="Q53" s="4"/>
      <c r="R53" s="30">
        <v>50.0</v>
      </c>
      <c r="S53" s="30" t="s">
        <v>162</v>
      </c>
      <c r="T53" s="46">
        <v>-676536.3128</v>
      </c>
      <c r="U53" s="46">
        <v>-676526.5569</v>
      </c>
      <c r="V53" s="36">
        <v>9.7559</v>
      </c>
    </row>
    <row r="54">
      <c r="A54" s="1" t="s">
        <v>166</v>
      </c>
      <c r="B54" s="1" t="s">
        <v>167</v>
      </c>
      <c r="C54" s="1"/>
      <c r="D54" s="1" t="s">
        <v>16</v>
      </c>
      <c r="E54" s="1" t="s">
        <v>16</v>
      </c>
      <c r="F54" s="1" t="s">
        <v>16</v>
      </c>
      <c r="G54" s="1" t="s">
        <v>16</v>
      </c>
      <c r="H54" s="1" t="s">
        <v>16</v>
      </c>
      <c r="I54" s="1" t="s">
        <v>17</v>
      </c>
      <c r="J54" s="1">
        <v>-1857.210672</v>
      </c>
      <c r="K54" s="4">
        <f t="shared" ref="K54:K56" si="5">J54*627.5095</f>
        <v>-1165417.34</v>
      </c>
      <c r="L54" s="1">
        <v>-1857.192806</v>
      </c>
      <c r="M54" s="4">
        <f t="shared" ref="M54:M67" si="6">L54*627.5095</f>
        <v>-1165406.129</v>
      </c>
      <c r="N54" s="4"/>
      <c r="O54" s="4">
        <f t="shared" si="3"/>
        <v>11.21108473</v>
      </c>
      <c r="P54" s="4"/>
      <c r="Q54" s="4"/>
      <c r="R54" s="30">
        <v>51.0</v>
      </c>
      <c r="S54" s="30" t="s">
        <v>166</v>
      </c>
      <c r="T54" s="35">
        <v>-1165417.340181384</v>
      </c>
      <c r="U54" s="35">
        <v>-1165406.129096657</v>
      </c>
      <c r="V54" s="36">
        <v>11.21108</v>
      </c>
    </row>
    <row r="55">
      <c r="A55" s="1" t="s">
        <v>168</v>
      </c>
      <c r="B55" s="1" t="s">
        <v>169</v>
      </c>
      <c r="C55" s="1"/>
      <c r="D55" s="1" t="s">
        <v>16</v>
      </c>
      <c r="E55" s="1" t="s">
        <v>16</v>
      </c>
      <c r="F55" s="1" t="s">
        <v>16</v>
      </c>
      <c r="G55" s="1" t="s">
        <v>16</v>
      </c>
      <c r="H55" s="1" t="s">
        <v>16</v>
      </c>
      <c r="I55" s="1" t="s">
        <v>17</v>
      </c>
      <c r="J55" s="1">
        <v>-1858.42409</v>
      </c>
      <c r="K55" s="4">
        <f t="shared" si="5"/>
        <v>-1166178.772</v>
      </c>
      <c r="L55" s="1">
        <v>-1858.413104</v>
      </c>
      <c r="M55" s="4">
        <f t="shared" si="6"/>
        <v>-1166171.878</v>
      </c>
      <c r="N55" s="4"/>
      <c r="O55" s="4">
        <f t="shared" si="3"/>
        <v>6.893819367</v>
      </c>
      <c r="P55" s="4"/>
      <c r="Q55" s="4"/>
      <c r="R55" s="30">
        <v>52.0</v>
      </c>
      <c r="S55" s="30" t="s">
        <v>168</v>
      </c>
      <c r="T55" s="35">
        <v>-1166178.771503855</v>
      </c>
      <c r="U55" s="35">
        <v>-1166171.877684488</v>
      </c>
      <c r="V55" s="36">
        <v>7.823031</v>
      </c>
    </row>
    <row r="56">
      <c r="A56" s="1" t="s">
        <v>170</v>
      </c>
      <c r="B56" s="1" t="s">
        <v>171</v>
      </c>
      <c r="C56" s="22" t="s">
        <v>171</v>
      </c>
      <c r="D56" s="1" t="s">
        <v>16</v>
      </c>
      <c r="E56" s="1" t="s">
        <v>16</v>
      </c>
      <c r="F56" s="1" t="s">
        <v>16</v>
      </c>
      <c r="G56" s="1" t="s">
        <v>16</v>
      </c>
      <c r="H56" s="1" t="s">
        <v>16</v>
      </c>
      <c r="I56" s="1" t="s">
        <v>17</v>
      </c>
      <c r="J56" s="1">
        <v>-1608.433113</v>
      </c>
      <c r="K56" s="4">
        <f t="shared" si="5"/>
        <v>-1009307.059</v>
      </c>
      <c r="L56" s="1">
        <v>-1608.422197</v>
      </c>
      <c r="M56" s="4">
        <f t="shared" si="6"/>
        <v>-1009300.209</v>
      </c>
      <c r="N56" s="4"/>
      <c r="O56" s="4">
        <f t="shared" si="3"/>
        <v>6.849893702</v>
      </c>
      <c r="P56" s="4"/>
      <c r="Q56" s="4"/>
      <c r="R56" s="30">
        <v>53.0</v>
      </c>
      <c r="S56" s="30" t="s">
        <v>170</v>
      </c>
      <c r="T56" s="35">
        <v>-1009307.0585220736</v>
      </c>
      <c r="U56" s="35">
        <v>-1009300.2086283716</v>
      </c>
      <c r="V56" s="36">
        <v>6.849894</v>
      </c>
    </row>
    <row r="57">
      <c r="A57" s="1" t="s">
        <v>172</v>
      </c>
      <c r="B57" s="1" t="s">
        <v>173</v>
      </c>
      <c r="C57" s="22" t="s">
        <v>174</v>
      </c>
      <c r="D57" s="1" t="s">
        <v>16</v>
      </c>
      <c r="E57" s="1" t="s">
        <v>16</v>
      </c>
      <c r="F57" s="1" t="s">
        <v>16</v>
      </c>
      <c r="G57" s="1" t="s">
        <v>16</v>
      </c>
      <c r="H57" s="1" t="s">
        <v>16</v>
      </c>
      <c r="I57" s="1" t="s">
        <v>17</v>
      </c>
      <c r="J57" s="6">
        <v>-1345.28</v>
      </c>
      <c r="K57" s="6">
        <v>-844177.6675</v>
      </c>
      <c r="L57" s="6">
        <v>-1345.269817</v>
      </c>
      <c r="M57" s="4">
        <f t="shared" si="6"/>
        <v>-844169.5902</v>
      </c>
      <c r="N57" s="4"/>
      <c r="O57" s="4">
        <f t="shared" si="3"/>
        <v>8.077269238</v>
      </c>
      <c r="P57" s="4"/>
      <c r="Q57" s="4"/>
      <c r="R57" s="30">
        <v>54.0</v>
      </c>
      <c r="S57" s="30" t="s">
        <v>172</v>
      </c>
      <c r="T57" s="46">
        <v>-844177.6675</v>
      </c>
      <c r="U57" s="35">
        <v>-844169.5902307616</v>
      </c>
      <c r="V57" s="36">
        <v>8.077269</v>
      </c>
    </row>
    <row r="58">
      <c r="A58" s="1" t="s">
        <v>175</v>
      </c>
      <c r="B58" s="1" t="s">
        <v>176</v>
      </c>
      <c r="C58" s="1"/>
      <c r="D58" s="1" t="s">
        <v>16</v>
      </c>
      <c r="E58" s="1" t="s">
        <v>16</v>
      </c>
      <c r="F58" s="1" t="s">
        <v>16</v>
      </c>
      <c r="G58" s="1" t="s">
        <v>16</v>
      </c>
      <c r="H58" s="1" t="s">
        <v>16</v>
      </c>
      <c r="I58" s="1" t="s">
        <v>17</v>
      </c>
      <c r="J58" s="6">
        <v>-1459.23</v>
      </c>
      <c r="K58" s="6">
        <v>-915681.4562</v>
      </c>
      <c r="L58" s="6">
        <v>-1459.217759</v>
      </c>
      <c r="M58" s="4">
        <f t="shared" si="6"/>
        <v>-915673.0063</v>
      </c>
      <c r="N58" s="4"/>
      <c r="O58" s="4">
        <f t="shared" si="3"/>
        <v>8.44985879</v>
      </c>
      <c r="P58" s="4"/>
      <c r="Q58" s="4"/>
      <c r="R58" s="30">
        <v>55.0</v>
      </c>
      <c r="S58" s="30" t="s">
        <v>175</v>
      </c>
      <c r="T58" s="46">
        <v>-915681.4562</v>
      </c>
      <c r="U58" s="35">
        <v>-915673.0063412105</v>
      </c>
      <c r="V58" s="36">
        <v>8.449859</v>
      </c>
    </row>
    <row r="59">
      <c r="A59" s="1" t="s">
        <v>184</v>
      </c>
      <c r="B59" s="1" t="s">
        <v>185</v>
      </c>
      <c r="C59" s="1"/>
      <c r="D59" s="1" t="s">
        <v>16</v>
      </c>
      <c r="E59" s="1" t="s">
        <v>16</v>
      </c>
      <c r="F59" s="1" t="s">
        <v>16</v>
      </c>
      <c r="G59" s="1" t="s">
        <v>16</v>
      </c>
      <c r="H59" s="1" t="s">
        <v>16</v>
      </c>
      <c r="I59" s="1" t="s">
        <v>17</v>
      </c>
      <c r="J59" s="1">
        <v>-1774.966748</v>
      </c>
      <c r="K59" s="4">
        <f t="shared" ref="K59:K61" si="7">J59*627.5095</f>
        <v>-1113808.497</v>
      </c>
      <c r="L59" s="6">
        <v>-1774.956525</v>
      </c>
      <c r="M59" s="4">
        <f t="shared" si="6"/>
        <v>-1113802.082</v>
      </c>
      <c r="N59" s="4"/>
      <c r="O59" s="4">
        <f t="shared" si="3"/>
        <v>6.415029618</v>
      </c>
      <c r="P59" s="4"/>
      <c r="Q59" s="4"/>
      <c r="R59" s="30">
        <v>56.0</v>
      </c>
      <c r="S59" s="30" t="s">
        <v>184</v>
      </c>
      <c r="T59" s="35">
        <v>-1113808.496554106</v>
      </c>
      <c r="U59" s="35">
        <v>-1113802.0815244876</v>
      </c>
      <c r="V59" s="36">
        <v>7.302513</v>
      </c>
    </row>
    <row r="60">
      <c r="A60" s="1" t="s">
        <v>186</v>
      </c>
      <c r="B60" s="1" t="s">
        <v>187</v>
      </c>
      <c r="C60" s="1"/>
      <c r="D60" s="1" t="s">
        <v>16</v>
      </c>
      <c r="E60" s="1" t="s">
        <v>16</v>
      </c>
      <c r="F60" s="1" t="s">
        <v>16</v>
      </c>
      <c r="G60" s="1" t="s">
        <v>16</v>
      </c>
      <c r="H60" s="1" t="s">
        <v>16</v>
      </c>
      <c r="I60" s="1" t="s">
        <v>17</v>
      </c>
      <c r="J60" s="1">
        <v>-1391.463435</v>
      </c>
      <c r="K60" s="4">
        <f t="shared" si="7"/>
        <v>-873156.5244</v>
      </c>
      <c r="L60" s="1">
        <v>-1391.445114</v>
      </c>
      <c r="M60" s="4">
        <f t="shared" si="6"/>
        <v>-873145.0278</v>
      </c>
      <c r="N60" s="4"/>
      <c r="O60" s="4">
        <f t="shared" si="3"/>
        <v>11.49660155</v>
      </c>
      <c r="P60" s="4"/>
      <c r="Q60" s="4"/>
      <c r="R60" s="30">
        <v>57.0</v>
      </c>
      <c r="S60" s="30" t="s">
        <v>186</v>
      </c>
      <c r="T60" s="35">
        <v>-873156.5243651324</v>
      </c>
      <c r="U60" s="35">
        <v>-873145.0277635831</v>
      </c>
      <c r="V60" s="36">
        <v>12.19233</v>
      </c>
    </row>
    <row r="61">
      <c r="A61" s="1" t="s">
        <v>191</v>
      </c>
      <c r="B61" s="1" t="s">
        <v>192</v>
      </c>
      <c r="C61" s="1"/>
      <c r="D61" s="1" t="s">
        <v>16</v>
      </c>
      <c r="E61" s="1" t="s">
        <v>16</v>
      </c>
      <c r="F61" s="1" t="s">
        <v>16</v>
      </c>
      <c r="G61" s="1" t="s">
        <v>16</v>
      </c>
      <c r="H61" s="1" t="s">
        <v>16</v>
      </c>
      <c r="I61" s="1" t="s">
        <v>17</v>
      </c>
      <c r="J61" s="1">
        <v>-1802.055025</v>
      </c>
      <c r="K61" s="4">
        <f t="shared" si="7"/>
        <v>-1130806.648</v>
      </c>
      <c r="L61" s="1">
        <v>-1802.045002</v>
      </c>
      <c r="M61" s="4">
        <f t="shared" si="6"/>
        <v>-1130800.358</v>
      </c>
      <c r="N61" s="4"/>
      <c r="O61" s="4">
        <f t="shared" si="3"/>
        <v>6.289527718</v>
      </c>
      <c r="P61" s="4"/>
      <c r="Q61" s="4"/>
      <c r="R61" s="30">
        <v>58.0</v>
      </c>
      <c r="S61" s="30" t="s">
        <v>191</v>
      </c>
      <c r="T61" s="35">
        <v>-1130806.6477102374</v>
      </c>
      <c r="U61" s="35">
        <v>-1130800.358182519</v>
      </c>
      <c r="V61" s="36">
        <v>7.190555</v>
      </c>
    </row>
    <row r="62">
      <c r="A62" s="1" t="s">
        <v>193</v>
      </c>
      <c r="B62" s="1" t="s">
        <v>194</v>
      </c>
      <c r="C62" s="1"/>
      <c r="D62" s="1" t="s">
        <v>16</v>
      </c>
      <c r="E62" s="1" t="s">
        <v>16</v>
      </c>
      <c r="F62" s="1" t="s">
        <v>16</v>
      </c>
      <c r="G62" s="1" t="s">
        <v>16</v>
      </c>
      <c r="H62" s="1" t="s">
        <v>16</v>
      </c>
      <c r="I62" s="1" t="s">
        <v>17</v>
      </c>
      <c r="J62" s="6">
        <v>-1156.75</v>
      </c>
      <c r="K62" s="6">
        <v>-725870.1575</v>
      </c>
      <c r="L62" s="6">
        <v>-1156.729594</v>
      </c>
      <c r="M62" s="4">
        <f t="shared" si="6"/>
        <v>-725858.8092</v>
      </c>
      <c r="N62" s="4"/>
      <c r="O62" s="4">
        <f t="shared" si="3"/>
        <v>11.34833386</v>
      </c>
      <c r="P62" s="4"/>
      <c r="Q62" s="4"/>
      <c r="R62" s="30">
        <v>59.0</v>
      </c>
      <c r="S62" s="30" t="s">
        <v>193</v>
      </c>
      <c r="T62" s="46">
        <v>-725870.1575</v>
      </c>
      <c r="U62" s="35">
        <v>-725858.809166143</v>
      </c>
      <c r="V62" s="36">
        <v>11.34833</v>
      </c>
    </row>
    <row r="63">
      <c r="A63" s="1" t="s">
        <v>197</v>
      </c>
      <c r="B63" s="1" t="s">
        <v>198</v>
      </c>
      <c r="C63" s="1"/>
      <c r="D63" s="1" t="s">
        <v>16</v>
      </c>
      <c r="E63" s="1" t="s">
        <v>16</v>
      </c>
      <c r="F63" s="1" t="s">
        <v>16</v>
      </c>
      <c r="G63" s="1" t="s">
        <v>16</v>
      </c>
      <c r="H63" s="1" t="s">
        <v>17</v>
      </c>
      <c r="I63" s="1" t="s">
        <v>17</v>
      </c>
      <c r="J63" s="1">
        <v>-1654.652248</v>
      </c>
      <c r="K63" s="4">
        <f t="shared" ref="K63:K65" si="8">J63*627.5095</f>
        <v>-1038310.005</v>
      </c>
      <c r="L63" s="1">
        <v>-1654.650043</v>
      </c>
      <c r="M63" s="4">
        <f t="shared" si="6"/>
        <v>-1038308.621</v>
      </c>
      <c r="N63" s="4"/>
      <c r="O63" s="4">
        <f t="shared" si="3"/>
        <v>1.383658448</v>
      </c>
      <c r="P63" s="4"/>
      <c r="Q63" s="4"/>
      <c r="R63" s="30">
        <v>60.0</v>
      </c>
      <c r="S63" s="30" t="s">
        <v>197</v>
      </c>
      <c r="T63" s="35">
        <v>-1038310.0048163561</v>
      </c>
      <c r="U63" s="35">
        <v>-1038308.6211579086</v>
      </c>
      <c r="V63" s="36">
        <v>1.383658</v>
      </c>
    </row>
    <row r="64">
      <c r="A64" s="1" t="s">
        <v>199</v>
      </c>
      <c r="B64" s="1" t="s">
        <v>200</v>
      </c>
      <c r="C64" s="1"/>
      <c r="D64" s="1" t="s">
        <v>16</v>
      </c>
      <c r="E64" s="1" t="s">
        <v>16</v>
      </c>
      <c r="F64" s="1" t="s">
        <v>16</v>
      </c>
      <c r="G64" s="1" t="s">
        <v>16</v>
      </c>
      <c r="H64" s="1" t="s">
        <v>17</v>
      </c>
      <c r="I64" s="1" t="s">
        <v>17</v>
      </c>
      <c r="J64" s="1">
        <v>-1234.181913</v>
      </c>
      <c r="K64" s="4">
        <f t="shared" si="8"/>
        <v>-774460.8751</v>
      </c>
      <c r="L64" s="1">
        <v>-1234.174575</v>
      </c>
      <c r="M64" s="4">
        <f t="shared" si="6"/>
        <v>-774456.2705</v>
      </c>
      <c r="N64" s="4"/>
      <c r="O64" s="4">
        <f t="shared" si="3"/>
        <v>4.604664711</v>
      </c>
      <c r="P64" s="4"/>
      <c r="Q64" s="4"/>
      <c r="R64" s="30">
        <v>61.0</v>
      </c>
      <c r="S64" s="30" t="s">
        <v>199</v>
      </c>
      <c r="T64" s="35">
        <v>-774460.8751356734</v>
      </c>
      <c r="U64" s="35">
        <v>-774456.2704709625</v>
      </c>
      <c r="V64" s="36">
        <v>4.604665</v>
      </c>
    </row>
    <row r="65">
      <c r="A65" s="1" t="s">
        <v>201</v>
      </c>
      <c r="B65" s="1" t="s">
        <v>202</v>
      </c>
      <c r="C65" s="1"/>
      <c r="D65" s="1" t="s">
        <v>16</v>
      </c>
      <c r="E65" s="1" t="s">
        <v>16</v>
      </c>
      <c r="F65" s="1" t="s">
        <v>16</v>
      </c>
      <c r="G65" s="1" t="s">
        <v>16</v>
      </c>
      <c r="H65" s="1" t="s">
        <v>16</v>
      </c>
      <c r="I65" s="1" t="s">
        <v>17</v>
      </c>
      <c r="J65" s="1">
        <v>-1235.403573</v>
      </c>
      <c r="K65" s="4">
        <f t="shared" si="8"/>
        <v>-775227.4784</v>
      </c>
      <c r="L65" s="1">
        <v>-1235.374653</v>
      </c>
      <c r="M65" s="4">
        <f t="shared" si="6"/>
        <v>-775209.3308</v>
      </c>
      <c r="N65" s="4"/>
      <c r="O65" s="4">
        <f t="shared" si="3"/>
        <v>18.14757474</v>
      </c>
      <c r="P65" s="4"/>
      <c r="Q65" s="4"/>
      <c r="R65" s="30">
        <v>62.0</v>
      </c>
      <c r="S65" s="30" t="s">
        <v>201</v>
      </c>
      <c r="T65" s="35">
        <v>-775227.4783914435</v>
      </c>
      <c r="U65" s="35">
        <v>-775209.3308167035</v>
      </c>
      <c r="V65" s="36">
        <v>18.14757</v>
      </c>
    </row>
    <row r="66">
      <c r="A66" s="1" t="s">
        <v>203</v>
      </c>
      <c r="B66" s="1" t="s">
        <v>204</v>
      </c>
      <c r="C66" s="1"/>
      <c r="D66" s="1" t="s">
        <v>16</v>
      </c>
      <c r="E66" s="1" t="s">
        <v>16</v>
      </c>
      <c r="F66" s="1" t="s">
        <v>16</v>
      </c>
      <c r="G66" s="1" t="s">
        <v>16</v>
      </c>
      <c r="H66" s="1" t="s">
        <v>16</v>
      </c>
      <c r="I66" s="1" t="s">
        <v>17</v>
      </c>
      <c r="J66" s="6">
        <v>-1235.39</v>
      </c>
      <c r="K66" s="6">
        <v>-775220.2541</v>
      </c>
      <c r="L66" s="6">
        <v>-1235.374653</v>
      </c>
      <c r="M66" s="4">
        <f t="shared" si="6"/>
        <v>-775209.3308</v>
      </c>
      <c r="N66" s="4"/>
      <c r="O66" s="4">
        <f t="shared" si="3"/>
        <v>10.9232833</v>
      </c>
      <c r="P66" s="4"/>
      <c r="Q66" s="4"/>
      <c r="R66" s="30">
        <v>63.0</v>
      </c>
      <c r="S66" s="30" t="s">
        <v>203</v>
      </c>
      <c r="T66" s="46">
        <v>-775220.2541</v>
      </c>
      <c r="U66" s="35">
        <v>-775209.3308167035</v>
      </c>
      <c r="V66" s="36">
        <v>10.92328</v>
      </c>
    </row>
    <row r="67">
      <c r="A67" s="1" t="s">
        <v>207</v>
      </c>
      <c r="B67" s="1" t="s">
        <v>208</v>
      </c>
      <c r="C67" s="1"/>
      <c r="D67" s="1" t="s">
        <v>16</v>
      </c>
      <c r="E67" s="5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>
        <v>-1160.33933365</v>
      </c>
      <c r="K67" s="4">
        <f>J67*627.5095</f>
        <v>-728123.9551</v>
      </c>
      <c r="L67" s="1">
        <v>-1160.344441</v>
      </c>
      <c r="M67" s="4">
        <f t="shared" si="6"/>
        <v>-728127.16</v>
      </c>
      <c r="O67" s="4">
        <f t="shared" si="3"/>
        <v>-3.204910645</v>
      </c>
      <c r="P67" s="1"/>
      <c r="Q67" s="4"/>
      <c r="R67" s="47">
        <v>64.0</v>
      </c>
      <c r="S67" s="30" t="s">
        <v>207</v>
      </c>
      <c r="T67" s="35">
        <v>-728123.9550890448</v>
      </c>
      <c r="U67" s="35">
        <v>-728127.1599996894</v>
      </c>
      <c r="V67" s="36">
        <v>-3.20491</v>
      </c>
    </row>
    <row r="68">
      <c r="U68" s="10" t="s">
        <v>230</v>
      </c>
      <c r="V68" s="48">
        <f>AVERAGE(V4:V67)</f>
        <v>7.859548607</v>
      </c>
    </row>
    <row r="69">
      <c r="U69" s="10" t="s">
        <v>231</v>
      </c>
      <c r="V69" s="10">
        <f>_xlfn.STDEV.P(V4:V67)</f>
        <v>4.766435511</v>
      </c>
    </row>
  </sheetData>
  <mergeCells count="3">
    <mergeCell ref="D2:G2"/>
    <mergeCell ref="J2:M2"/>
    <mergeCell ref="O2:Q2"/>
  </mergeCells>
  <conditionalFormatting sqref="B4:D67">
    <cfRule type="cellIs" dxfId="0" priority="1" operator="equal">
      <formula>"Y"</formula>
    </cfRule>
  </conditionalFormatting>
  <conditionalFormatting sqref="E4:E67 F22:I22">
    <cfRule type="cellIs" dxfId="0" priority="2" operator="equal">
      <formula>"Y"</formula>
    </cfRule>
  </conditionalFormatting>
  <conditionalFormatting sqref="E4:E67 F22:I22">
    <cfRule type="cellIs" dxfId="1" priority="3" operator="equal">
      <formula>"N"</formula>
    </cfRule>
  </conditionalFormatting>
  <conditionalFormatting sqref="F4:I67 J4:J30 K4:K67 L5 E31 P31 J32:J44 E36:E37 L37 L45 J46:J48 E49 L49 P49 J50:J66 L67 P67">
    <cfRule type="containsBlanks" dxfId="2" priority="4">
      <formula>LEN(TRIM(F4))=0</formula>
    </cfRule>
  </conditionalFormatting>
  <conditionalFormatting sqref="F4:I67 J4:J30 K4:K67 L5 E31 P31 J32:J44 E36:E37 L37 L45 J46:J48 E49 L49 P49 J50:J66 L67 P67">
    <cfRule type="cellIs" dxfId="3" priority="5" operator="equal">
      <formula>"N"</formula>
    </cfRule>
  </conditionalFormatting>
  <conditionalFormatting sqref="H1:I976 J1:J30 K1:K976 F3:G976 L5 E31 P31 J32:J44 E36:E37 L37 L45 J46:J48 E49 L49 P49 J50:J66 L67 P67 J68:J976">
    <cfRule type="containsText" dxfId="4" priority="6" operator="containsText" text="RUNNING">
      <formula>NOT(ISERROR(SEARCH(("RUNNING"),(H1))))</formula>
    </cfRule>
  </conditionalFormatting>
  <conditionalFormatting sqref="F4:I67 J4:J20 K21 J22:J30 E31 P31 J32:J44 K35 E36:E37 L37 L45 J46:J48 E49 L49 P49 J50:J66 L67 P67">
    <cfRule type="cellIs" dxfId="0" priority="7" operator="equal">
      <formula>"Y"</formula>
    </cfRule>
  </conditionalFormatting>
  <conditionalFormatting sqref="G4:G36 H4:I6 H9:I9 H18:I19 H21:I22 K21 H26:I26 F30 H30:I30 E31 H36:I38 G39:G44 H45:I45 G46:G55 H48:I48 H51:I51 H55:I56 G57:G67 H60:I61 H67:I67">
    <cfRule type="cellIs" dxfId="5" priority="8" operator="equal">
      <formula>"FAILED"</formula>
    </cfRule>
  </conditionalFormatting>
  <conditionalFormatting sqref="O4:O67 R7 R34">
    <cfRule type="notContainsBlanks" dxfId="6" priority="9">
      <formula>LEN(TRIM(O4))&gt;0</formula>
    </cfRule>
  </conditionalFormatting>
  <conditionalFormatting sqref="O4:O67 R7 R34">
    <cfRule type="cellIs" dxfId="5" priority="10" operator="greaterThan">
      <formula>200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</cols>
  <sheetData>
    <row r="1">
      <c r="A1" s="49" t="s">
        <v>232</v>
      </c>
      <c r="B1" s="49" t="s">
        <v>233</v>
      </c>
      <c r="C1" s="49" t="s">
        <v>234</v>
      </c>
      <c r="D1" s="49" t="s">
        <v>235</v>
      </c>
      <c r="E1" s="49" t="s">
        <v>236</v>
      </c>
      <c r="F1" s="49" t="s">
        <v>237</v>
      </c>
      <c r="G1" s="49" t="s">
        <v>238</v>
      </c>
      <c r="H1" s="49" t="s">
        <v>239</v>
      </c>
      <c r="I1" s="49" t="s">
        <v>240</v>
      </c>
      <c r="J1" s="49" t="s">
        <v>241</v>
      </c>
      <c r="K1" s="49" t="s">
        <v>242</v>
      </c>
      <c r="L1" s="49" t="s">
        <v>243</v>
      </c>
      <c r="M1" s="49" t="s">
        <v>244</v>
      </c>
      <c r="N1" s="49" t="s">
        <v>245</v>
      </c>
      <c r="O1" s="49" t="s">
        <v>246</v>
      </c>
      <c r="P1" s="49" t="s">
        <v>247</v>
      </c>
      <c r="Q1" s="49" t="s">
        <v>248</v>
      </c>
      <c r="R1" s="49" t="s">
        <v>249</v>
      </c>
      <c r="S1" s="49" t="s">
        <v>250</v>
      </c>
      <c r="T1" s="49" t="s">
        <v>251</v>
      </c>
      <c r="U1" s="50"/>
      <c r="V1" s="50"/>
      <c r="W1" s="50"/>
      <c r="X1" s="50"/>
      <c r="Y1" s="49"/>
      <c r="AB1" s="50"/>
      <c r="AC1" s="50"/>
      <c r="AD1" s="50"/>
      <c r="AE1" s="50"/>
      <c r="AF1" s="50"/>
      <c r="AG1" s="50"/>
      <c r="AH1" s="50"/>
      <c r="AI1" s="50"/>
      <c r="AJ1" s="50"/>
      <c r="AK1" s="49"/>
      <c r="AN1" s="50"/>
      <c r="AO1" s="50"/>
      <c r="AP1" s="50"/>
      <c r="AQ1" s="50"/>
      <c r="AR1" s="50"/>
      <c r="AS1" s="50"/>
      <c r="AT1" s="50"/>
      <c r="AU1" s="50"/>
      <c r="AV1" s="50"/>
      <c r="AW1" s="49"/>
      <c r="AZ1" s="50"/>
      <c r="BA1" s="50"/>
      <c r="BB1" s="50"/>
      <c r="BC1" s="50"/>
      <c r="BD1" s="50"/>
      <c r="BE1" s="50"/>
      <c r="BF1" s="50"/>
      <c r="BG1" s="50"/>
      <c r="BH1" s="50"/>
      <c r="BI1" s="49"/>
      <c r="BL1" s="50"/>
      <c r="BM1" s="50"/>
      <c r="BN1" s="50"/>
      <c r="BO1" s="49"/>
      <c r="BS1" s="50"/>
      <c r="BT1" s="50"/>
      <c r="BU1" s="50"/>
      <c r="BV1" s="50"/>
      <c r="BW1" s="50"/>
      <c r="BX1" s="50"/>
      <c r="BY1" s="50"/>
      <c r="BZ1" s="50"/>
      <c r="CA1" s="49"/>
      <c r="CD1" s="50"/>
      <c r="CE1" s="50"/>
      <c r="CF1" s="50"/>
      <c r="CG1" s="50"/>
      <c r="CH1" s="50"/>
      <c r="CI1" s="50"/>
      <c r="CJ1" s="50"/>
      <c r="CK1" s="50"/>
      <c r="CL1" s="50"/>
      <c r="CM1" s="49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</row>
    <row r="2">
      <c r="A2" s="49" t="s">
        <v>252</v>
      </c>
      <c r="B2" s="49" t="s">
        <v>253</v>
      </c>
      <c r="C2" s="49" t="s">
        <v>254</v>
      </c>
      <c r="D2" s="49" t="s">
        <v>255</v>
      </c>
      <c r="E2" s="49" t="s">
        <v>256</v>
      </c>
      <c r="F2" s="49" t="s">
        <v>257</v>
      </c>
      <c r="G2" s="49" t="s">
        <v>258</v>
      </c>
      <c r="H2" s="49" t="s">
        <v>259</v>
      </c>
      <c r="I2" s="49" t="s">
        <v>260</v>
      </c>
      <c r="J2" s="49" t="s">
        <v>261</v>
      </c>
      <c r="K2" s="49" t="s">
        <v>262</v>
      </c>
      <c r="L2" s="49" t="s">
        <v>263</v>
      </c>
      <c r="M2" s="49" t="s">
        <v>264</v>
      </c>
      <c r="N2" s="49" t="s">
        <v>265</v>
      </c>
      <c r="O2" s="49" t="s">
        <v>266</v>
      </c>
      <c r="P2" s="49" t="s">
        <v>267</v>
      </c>
      <c r="Q2" s="49" t="s">
        <v>268</v>
      </c>
      <c r="R2" s="49" t="s">
        <v>269</v>
      </c>
      <c r="S2" s="49" t="s">
        <v>270</v>
      </c>
      <c r="T2" s="49" t="s">
        <v>271</v>
      </c>
      <c r="U2" s="50"/>
      <c r="V2" s="50"/>
      <c r="W2" s="50"/>
      <c r="X2" s="50"/>
      <c r="Y2" s="49"/>
      <c r="AE2" s="50"/>
      <c r="AF2" s="50"/>
      <c r="AG2" s="50"/>
      <c r="AH2" s="50"/>
      <c r="AI2" s="50"/>
      <c r="AJ2" s="50"/>
      <c r="AK2" s="49"/>
      <c r="AQ2" s="50"/>
      <c r="AR2" s="50"/>
      <c r="AS2" s="50"/>
      <c r="AT2" s="50"/>
      <c r="AU2" s="50"/>
      <c r="AV2" s="50"/>
      <c r="AW2" s="49"/>
      <c r="BC2" s="50"/>
      <c r="BD2" s="50"/>
      <c r="BE2" s="50"/>
      <c r="BF2" s="50"/>
      <c r="BG2" s="50"/>
      <c r="BH2" s="50"/>
      <c r="BI2" s="49"/>
      <c r="BO2" s="49"/>
      <c r="CA2" s="49"/>
      <c r="CG2" s="50"/>
      <c r="CH2" s="50"/>
      <c r="CI2" s="50"/>
      <c r="CJ2" s="50"/>
      <c r="CK2" s="50"/>
      <c r="CL2" s="50"/>
      <c r="CM2" s="49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</row>
    <row r="3">
      <c r="A3" s="49" t="s">
        <v>272</v>
      </c>
      <c r="B3" s="49" t="s">
        <v>273</v>
      </c>
      <c r="C3" s="49" t="s">
        <v>274</v>
      </c>
      <c r="D3" s="49" t="s">
        <v>275</v>
      </c>
      <c r="E3" s="49" t="s">
        <v>276</v>
      </c>
      <c r="F3" s="49" t="s">
        <v>277</v>
      </c>
      <c r="G3" s="49" t="s">
        <v>278</v>
      </c>
      <c r="H3" s="49" t="s">
        <v>279</v>
      </c>
      <c r="I3" s="49" t="s">
        <v>280</v>
      </c>
      <c r="J3" s="49" t="s">
        <v>281</v>
      </c>
      <c r="K3" s="49" t="s">
        <v>282</v>
      </c>
      <c r="L3" s="49" t="s">
        <v>283</v>
      </c>
      <c r="M3" s="49" t="s">
        <v>284</v>
      </c>
      <c r="N3" s="49" t="s">
        <v>285</v>
      </c>
      <c r="O3" s="49" t="s">
        <v>286</v>
      </c>
      <c r="P3" s="49" t="s">
        <v>287</v>
      </c>
      <c r="Q3" s="49" t="s">
        <v>288</v>
      </c>
      <c r="R3" s="49" t="s">
        <v>289</v>
      </c>
      <c r="S3" s="49" t="s">
        <v>290</v>
      </c>
      <c r="T3" s="49" t="s">
        <v>291</v>
      </c>
      <c r="U3" s="50"/>
      <c r="V3" s="50"/>
      <c r="W3" s="50"/>
      <c r="X3" s="50"/>
      <c r="Y3" s="49"/>
      <c r="AB3" s="50"/>
      <c r="AC3" s="50"/>
      <c r="AD3" s="50"/>
      <c r="AE3" s="50"/>
      <c r="AF3" s="50"/>
      <c r="AG3" s="50"/>
      <c r="AH3" s="50"/>
      <c r="AI3" s="50"/>
      <c r="AJ3" s="50"/>
      <c r="AK3" s="49"/>
      <c r="AN3" s="50"/>
      <c r="AO3" s="50"/>
      <c r="AP3" s="50"/>
      <c r="AQ3" s="50"/>
      <c r="AR3" s="50"/>
      <c r="AS3" s="50"/>
      <c r="AT3" s="50"/>
      <c r="AU3" s="50"/>
      <c r="AV3" s="50"/>
      <c r="AW3" s="49"/>
      <c r="AZ3" s="50"/>
      <c r="BA3" s="50"/>
      <c r="BB3" s="50"/>
      <c r="BC3" s="50"/>
      <c r="BD3" s="50"/>
      <c r="BE3" s="50"/>
      <c r="BF3" s="50"/>
      <c r="BG3" s="50"/>
      <c r="BH3" s="50"/>
      <c r="BI3" s="49"/>
      <c r="BL3" s="50"/>
      <c r="BM3" s="50"/>
      <c r="BN3" s="50"/>
      <c r="BO3" s="49"/>
      <c r="BU3" s="50"/>
      <c r="BV3" s="50"/>
      <c r="BW3" s="50"/>
      <c r="BX3" s="50"/>
      <c r="BY3" s="50"/>
      <c r="BZ3" s="50"/>
      <c r="CA3" s="49"/>
      <c r="CD3" s="50"/>
      <c r="CE3" s="50"/>
      <c r="CF3" s="50"/>
      <c r="CG3" s="50"/>
      <c r="CH3" s="50"/>
      <c r="CI3" s="50"/>
      <c r="CJ3" s="50"/>
      <c r="CK3" s="50"/>
      <c r="CL3" s="50"/>
      <c r="CM3" s="49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</row>
    <row r="4">
      <c r="A4" s="49" t="s">
        <v>292</v>
      </c>
      <c r="B4" s="49" t="s">
        <v>293</v>
      </c>
      <c r="C4" s="49" t="s">
        <v>294</v>
      </c>
      <c r="D4" s="49" t="s">
        <v>295</v>
      </c>
      <c r="E4" s="49" t="s">
        <v>296</v>
      </c>
      <c r="F4" s="49" t="s">
        <v>297</v>
      </c>
      <c r="G4" s="49" t="s">
        <v>298</v>
      </c>
      <c r="H4" s="49" t="s">
        <v>299</v>
      </c>
      <c r="I4" s="49" t="s">
        <v>300</v>
      </c>
      <c r="J4" s="49" t="s">
        <v>301</v>
      </c>
      <c r="K4" s="49" t="s">
        <v>302</v>
      </c>
      <c r="L4" s="49" t="s">
        <v>303</v>
      </c>
      <c r="M4" s="49" t="s">
        <v>304</v>
      </c>
      <c r="N4" s="49" t="s">
        <v>305</v>
      </c>
      <c r="O4" s="49" t="s">
        <v>306</v>
      </c>
      <c r="P4" s="49" t="s">
        <v>307</v>
      </c>
      <c r="Q4" s="49" t="s">
        <v>308</v>
      </c>
      <c r="R4" s="49" t="s">
        <v>309</v>
      </c>
      <c r="S4" s="49" t="s">
        <v>310</v>
      </c>
      <c r="T4" s="49" t="s">
        <v>311</v>
      </c>
      <c r="U4" s="50"/>
      <c r="V4" s="50"/>
      <c r="W4" s="50"/>
      <c r="X4" s="50"/>
      <c r="Y4" s="49"/>
      <c r="AB4" s="50"/>
      <c r="AC4" s="50"/>
      <c r="AD4" s="50"/>
      <c r="AE4" s="50"/>
      <c r="AF4" s="50"/>
      <c r="AG4" s="50"/>
      <c r="AH4" s="50"/>
      <c r="AI4" s="50"/>
      <c r="AJ4" s="50"/>
      <c r="AK4" s="49"/>
      <c r="AN4" s="50"/>
      <c r="AO4" s="50"/>
      <c r="AP4" s="50"/>
      <c r="AQ4" s="50"/>
      <c r="AR4" s="50"/>
      <c r="AS4" s="50"/>
      <c r="AT4" s="50"/>
      <c r="AU4" s="50"/>
      <c r="AV4" s="50"/>
      <c r="AW4" s="49"/>
      <c r="AZ4" s="50"/>
      <c r="BA4" s="50"/>
      <c r="BB4" s="50"/>
      <c r="BC4" s="50"/>
      <c r="BD4" s="50"/>
      <c r="BE4" s="50"/>
      <c r="BF4" s="50"/>
      <c r="BG4" s="50"/>
      <c r="BH4" s="50"/>
      <c r="BI4" s="49"/>
      <c r="BL4" s="50"/>
      <c r="BM4" s="50"/>
      <c r="BN4" s="50"/>
      <c r="BO4" s="49"/>
      <c r="BR4" s="50"/>
      <c r="BS4" s="50"/>
      <c r="BT4" s="50"/>
      <c r="BU4" s="50"/>
      <c r="BV4" s="50"/>
      <c r="BW4" s="50"/>
      <c r="BX4" s="50"/>
      <c r="BY4" s="50"/>
      <c r="BZ4" s="50"/>
      <c r="CA4" s="49"/>
      <c r="CD4" s="50"/>
      <c r="CE4" s="50"/>
      <c r="CF4" s="50"/>
      <c r="CG4" s="50"/>
      <c r="CH4" s="50"/>
      <c r="CI4" s="50"/>
      <c r="CJ4" s="50"/>
      <c r="CK4" s="50"/>
      <c r="CL4" s="50"/>
      <c r="CM4" s="49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</row>
    <row r="5">
      <c r="A5" s="49" t="s">
        <v>312</v>
      </c>
      <c r="B5" s="49" t="s">
        <v>313</v>
      </c>
      <c r="C5" s="49" t="s">
        <v>314</v>
      </c>
      <c r="D5" s="49" t="s">
        <v>315</v>
      </c>
      <c r="E5" s="49" t="s">
        <v>316</v>
      </c>
      <c r="F5" s="49" t="s">
        <v>317</v>
      </c>
      <c r="G5" s="49" t="s">
        <v>318</v>
      </c>
      <c r="H5" s="49" t="s">
        <v>319</v>
      </c>
      <c r="I5" s="49" t="s">
        <v>320</v>
      </c>
      <c r="J5" s="49" t="s">
        <v>321</v>
      </c>
      <c r="K5" s="49" t="s">
        <v>322</v>
      </c>
      <c r="L5" s="49" t="s">
        <v>323</v>
      </c>
      <c r="M5" s="49" t="s">
        <v>324</v>
      </c>
      <c r="N5" s="49" t="s">
        <v>325</v>
      </c>
      <c r="O5" s="49" t="s">
        <v>326</v>
      </c>
      <c r="P5" s="49" t="s">
        <v>327</v>
      </c>
      <c r="Q5" s="49" t="s">
        <v>328</v>
      </c>
      <c r="R5" s="49" t="s">
        <v>329</v>
      </c>
      <c r="S5" s="49" t="s">
        <v>330</v>
      </c>
      <c r="T5" s="49" t="s">
        <v>331</v>
      </c>
      <c r="U5" s="50"/>
      <c r="V5" s="50"/>
      <c r="W5" s="50"/>
      <c r="X5" s="50"/>
      <c r="Y5" s="49"/>
      <c r="AB5" s="50"/>
      <c r="AC5" s="50"/>
      <c r="AD5" s="50"/>
      <c r="AE5" s="50"/>
      <c r="AF5" s="50"/>
      <c r="AG5" s="50"/>
      <c r="AH5" s="50"/>
      <c r="AI5" s="50"/>
      <c r="AJ5" s="50"/>
      <c r="AK5" s="49"/>
      <c r="AN5" s="50"/>
      <c r="AO5" s="50"/>
      <c r="AP5" s="50"/>
      <c r="AQ5" s="50"/>
      <c r="AR5" s="50"/>
      <c r="AS5" s="50"/>
      <c r="AT5" s="50"/>
      <c r="AU5" s="50"/>
      <c r="AV5" s="50"/>
      <c r="AW5" s="49"/>
      <c r="AZ5" s="50"/>
      <c r="BA5" s="50"/>
      <c r="BB5" s="50"/>
      <c r="BC5" s="50"/>
      <c r="BD5" s="50"/>
      <c r="BE5" s="50"/>
      <c r="BF5" s="50"/>
      <c r="BG5" s="50"/>
      <c r="BH5" s="50"/>
      <c r="BI5" s="49"/>
      <c r="BL5" s="50"/>
      <c r="BM5" s="50"/>
      <c r="BN5" s="50"/>
      <c r="BO5" s="49"/>
      <c r="BR5" s="50"/>
      <c r="BS5" s="50"/>
      <c r="BT5" s="50"/>
      <c r="BU5" s="50"/>
      <c r="BV5" s="50"/>
      <c r="BW5" s="50"/>
      <c r="BX5" s="50"/>
      <c r="BY5" s="50"/>
      <c r="BZ5" s="50"/>
      <c r="CA5" s="49"/>
      <c r="CD5" s="50"/>
      <c r="CE5" s="50"/>
      <c r="CF5" s="50"/>
      <c r="CG5" s="50"/>
      <c r="CH5" s="50"/>
      <c r="CI5" s="50"/>
      <c r="CJ5" s="50"/>
      <c r="CK5" s="50"/>
      <c r="CL5" s="50"/>
      <c r="CM5" s="49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</row>
    <row r="6">
      <c r="A6" s="49" t="s">
        <v>332</v>
      </c>
      <c r="B6" s="49" t="s">
        <v>333</v>
      </c>
      <c r="C6" s="49" t="s">
        <v>334</v>
      </c>
      <c r="D6" s="49" t="s">
        <v>335</v>
      </c>
      <c r="E6" s="49" t="s">
        <v>336</v>
      </c>
      <c r="F6" s="49" t="s">
        <v>337</v>
      </c>
      <c r="G6" s="49" t="s">
        <v>338</v>
      </c>
      <c r="H6" s="49" t="s">
        <v>339</v>
      </c>
      <c r="I6" s="49" t="s">
        <v>340</v>
      </c>
      <c r="J6" s="49" t="s">
        <v>341</v>
      </c>
      <c r="K6" s="49" t="s">
        <v>342</v>
      </c>
      <c r="L6" s="49" t="s">
        <v>343</v>
      </c>
      <c r="M6" s="49" t="s">
        <v>344</v>
      </c>
      <c r="N6" s="49" t="s">
        <v>345</v>
      </c>
      <c r="O6" s="49" t="s">
        <v>346</v>
      </c>
      <c r="P6" s="49" t="s">
        <v>347</v>
      </c>
      <c r="Q6" s="49" t="s">
        <v>348</v>
      </c>
      <c r="R6" s="49" t="s">
        <v>349</v>
      </c>
      <c r="S6" s="49" t="s">
        <v>350</v>
      </c>
      <c r="T6" s="49" t="s">
        <v>351</v>
      </c>
      <c r="U6" s="50"/>
      <c r="V6" s="50"/>
      <c r="W6" s="50"/>
      <c r="X6" s="50"/>
      <c r="Y6" s="49"/>
      <c r="AC6" s="50"/>
      <c r="AD6" s="50"/>
      <c r="AE6" s="50"/>
      <c r="AF6" s="50"/>
      <c r="AG6" s="50"/>
      <c r="AH6" s="50"/>
      <c r="AI6" s="50"/>
      <c r="AJ6" s="50"/>
      <c r="AK6" s="49"/>
      <c r="AO6" s="50"/>
      <c r="AP6" s="50"/>
      <c r="AQ6" s="50"/>
      <c r="AR6" s="50"/>
      <c r="AS6" s="50"/>
      <c r="AT6" s="50"/>
      <c r="AU6" s="50"/>
      <c r="AV6" s="50"/>
      <c r="AW6" s="49"/>
      <c r="BA6" s="50"/>
      <c r="BB6" s="50"/>
      <c r="BC6" s="50"/>
      <c r="BD6" s="50"/>
      <c r="BE6" s="50"/>
      <c r="BF6" s="50"/>
      <c r="BG6" s="50"/>
      <c r="BH6" s="50"/>
      <c r="BI6" s="49"/>
      <c r="BM6" s="50"/>
      <c r="BN6" s="50"/>
      <c r="BO6" s="49"/>
      <c r="BR6" s="50"/>
      <c r="BS6" s="50"/>
      <c r="BT6" s="50"/>
      <c r="BU6" s="50"/>
      <c r="BV6" s="50"/>
      <c r="BW6" s="50"/>
      <c r="BX6" s="50"/>
      <c r="BY6" s="50"/>
      <c r="BZ6" s="50"/>
      <c r="CA6" s="49"/>
      <c r="CE6" s="50"/>
      <c r="CF6" s="50"/>
      <c r="CG6" s="50"/>
      <c r="CH6" s="50"/>
      <c r="CI6" s="50"/>
      <c r="CJ6" s="50"/>
      <c r="CK6" s="50"/>
      <c r="CL6" s="50"/>
      <c r="CM6" s="49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</row>
    <row r="7">
      <c r="A7" s="49" t="s">
        <v>352</v>
      </c>
      <c r="B7" s="49" t="s">
        <v>353</v>
      </c>
      <c r="C7" s="49" t="s">
        <v>354</v>
      </c>
      <c r="D7" s="49" t="s">
        <v>355</v>
      </c>
      <c r="E7" s="49" t="s">
        <v>356</v>
      </c>
      <c r="F7" s="49" t="s">
        <v>357</v>
      </c>
      <c r="G7" s="49" t="s">
        <v>358</v>
      </c>
      <c r="H7" s="49" t="s">
        <v>359</v>
      </c>
      <c r="I7" s="49" t="s">
        <v>360</v>
      </c>
      <c r="J7" s="49" t="s">
        <v>361</v>
      </c>
      <c r="K7" s="49" t="s">
        <v>362</v>
      </c>
      <c r="L7" s="49" t="s">
        <v>363</v>
      </c>
      <c r="M7" s="49" t="s">
        <v>364</v>
      </c>
      <c r="N7" s="49" t="s">
        <v>365</v>
      </c>
      <c r="O7" s="49" t="s">
        <v>366</v>
      </c>
      <c r="P7" s="49" t="s">
        <v>367</v>
      </c>
      <c r="Q7" s="49" t="s">
        <v>368</v>
      </c>
      <c r="R7" s="49" t="s">
        <v>369</v>
      </c>
      <c r="S7" s="49" t="s">
        <v>370</v>
      </c>
      <c r="T7" s="49" t="s">
        <v>371</v>
      </c>
      <c r="U7" s="50"/>
      <c r="V7" s="50"/>
      <c r="W7" s="50"/>
      <c r="X7" s="50"/>
      <c r="Y7" s="49"/>
      <c r="AB7" s="50"/>
      <c r="AC7" s="50"/>
      <c r="AD7" s="50"/>
      <c r="AE7" s="50"/>
      <c r="AF7" s="50"/>
      <c r="AG7" s="50"/>
      <c r="AH7" s="50"/>
      <c r="AI7" s="50"/>
      <c r="AJ7" s="50"/>
      <c r="AK7" s="49"/>
      <c r="AN7" s="50"/>
      <c r="AO7" s="50"/>
      <c r="AP7" s="50"/>
      <c r="AQ7" s="50"/>
      <c r="AR7" s="50"/>
      <c r="AS7" s="50"/>
      <c r="AT7" s="50"/>
      <c r="AU7" s="50"/>
      <c r="AV7" s="50"/>
      <c r="AW7" s="49"/>
      <c r="AZ7" s="50"/>
      <c r="BA7" s="50"/>
      <c r="BB7" s="50"/>
      <c r="BC7" s="50"/>
      <c r="BD7" s="50"/>
      <c r="BE7" s="50"/>
      <c r="BF7" s="50"/>
      <c r="BG7" s="50"/>
      <c r="BH7" s="50"/>
      <c r="BI7" s="49"/>
      <c r="BL7" s="50"/>
      <c r="BM7" s="50"/>
      <c r="BN7" s="50"/>
      <c r="BO7" s="49"/>
      <c r="BS7" s="50"/>
      <c r="BT7" s="50"/>
      <c r="BU7" s="50"/>
      <c r="BV7" s="50"/>
      <c r="BW7" s="50"/>
      <c r="BX7" s="50"/>
      <c r="BY7" s="50"/>
      <c r="BZ7" s="50"/>
      <c r="CA7" s="49"/>
      <c r="CD7" s="50"/>
      <c r="CE7" s="50"/>
      <c r="CF7" s="50"/>
      <c r="CG7" s="50"/>
      <c r="CH7" s="50"/>
      <c r="CI7" s="50"/>
      <c r="CJ7" s="50"/>
      <c r="CK7" s="50"/>
      <c r="CL7" s="50"/>
      <c r="CM7" s="49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</row>
    <row r="8">
      <c r="A8" s="49" t="s">
        <v>372</v>
      </c>
      <c r="B8" s="49" t="s">
        <v>373</v>
      </c>
      <c r="C8" s="49" t="s">
        <v>374</v>
      </c>
      <c r="D8" s="49" t="s">
        <v>375</v>
      </c>
      <c r="E8" s="49" t="s">
        <v>376</v>
      </c>
      <c r="F8" s="49" t="s">
        <v>377</v>
      </c>
      <c r="G8" s="49" t="s">
        <v>378</v>
      </c>
      <c r="H8" s="49" t="s">
        <v>379</v>
      </c>
      <c r="I8" s="49" t="s">
        <v>380</v>
      </c>
      <c r="J8" s="49" t="s">
        <v>381</v>
      </c>
      <c r="K8" s="49" t="s">
        <v>382</v>
      </c>
      <c r="L8" s="49" t="s">
        <v>383</v>
      </c>
      <c r="M8" s="49" t="s">
        <v>384</v>
      </c>
      <c r="N8" s="49" t="s">
        <v>385</v>
      </c>
      <c r="O8" s="49" t="s">
        <v>386</v>
      </c>
      <c r="P8" s="49" t="s">
        <v>387</v>
      </c>
      <c r="Q8" s="49" t="s">
        <v>388</v>
      </c>
      <c r="R8" s="49" t="s">
        <v>389</v>
      </c>
      <c r="S8" s="49" t="s">
        <v>390</v>
      </c>
      <c r="T8" s="49" t="s">
        <v>391</v>
      </c>
      <c r="U8" s="50"/>
      <c r="V8" s="50"/>
      <c r="W8" s="50"/>
      <c r="X8" s="50"/>
      <c r="Y8" s="49"/>
      <c r="AC8" s="50"/>
      <c r="AD8" s="50"/>
      <c r="AE8" s="50"/>
      <c r="AF8" s="50"/>
      <c r="AG8" s="50"/>
      <c r="AH8" s="50"/>
      <c r="AI8" s="50"/>
      <c r="AJ8" s="50"/>
      <c r="AK8" s="49"/>
      <c r="AO8" s="50"/>
      <c r="AP8" s="50"/>
      <c r="AQ8" s="50"/>
      <c r="AR8" s="50"/>
      <c r="AS8" s="50"/>
      <c r="AT8" s="50"/>
      <c r="AU8" s="50"/>
      <c r="AV8" s="50"/>
      <c r="AW8" s="49"/>
      <c r="BA8" s="50"/>
      <c r="BB8" s="50"/>
      <c r="BC8" s="50"/>
      <c r="BD8" s="50"/>
      <c r="BE8" s="50"/>
      <c r="BF8" s="50"/>
      <c r="BG8" s="50"/>
      <c r="BH8" s="50"/>
      <c r="BI8" s="49"/>
      <c r="BM8" s="50"/>
      <c r="BN8" s="50"/>
      <c r="BO8" s="49"/>
      <c r="BR8" s="50"/>
      <c r="BS8" s="50"/>
      <c r="BT8" s="50"/>
      <c r="BU8" s="50"/>
      <c r="BV8" s="50"/>
      <c r="BW8" s="50"/>
      <c r="BX8" s="50"/>
      <c r="BY8" s="50"/>
      <c r="BZ8" s="50"/>
      <c r="CA8" s="49"/>
      <c r="CE8" s="50"/>
      <c r="CF8" s="50"/>
      <c r="CG8" s="50"/>
      <c r="CH8" s="50"/>
      <c r="CI8" s="50"/>
      <c r="CJ8" s="50"/>
      <c r="CK8" s="50"/>
      <c r="CL8" s="50"/>
      <c r="CM8" s="49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</row>
    <row r="9">
      <c r="A9" s="49" t="s">
        <v>232</v>
      </c>
      <c r="B9" s="49" t="s">
        <v>233</v>
      </c>
      <c r="C9" s="49" t="s">
        <v>234</v>
      </c>
      <c r="D9" s="49" t="s">
        <v>235</v>
      </c>
      <c r="E9" s="49" t="s">
        <v>236</v>
      </c>
      <c r="F9" s="49" t="s">
        <v>237</v>
      </c>
      <c r="G9" s="49" t="s">
        <v>238</v>
      </c>
      <c r="H9" s="49" t="s">
        <v>239</v>
      </c>
      <c r="I9" s="49" t="s">
        <v>240</v>
      </c>
      <c r="J9" s="49" t="s">
        <v>241</v>
      </c>
      <c r="K9" s="49" t="s">
        <v>242</v>
      </c>
      <c r="L9" s="49" t="s">
        <v>243</v>
      </c>
      <c r="M9" s="49" t="s">
        <v>244</v>
      </c>
      <c r="N9" s="49" t="s">
        <v>245</v>
      </c>
      <c r="O9" s="49" t="s">
        <v>246</v>
      </c>
      <c r="P9" s="49" t="s">
        <v>247</v>
      </c>
      <c r="Q9" s="49" t="s">
        <v>248</v>
      </c>
      <c r="R9" s="49" t="s">
        <v>249</v>
      </c>
      <c r="S9" s="49" t="s">
        <v>250</v>
      </c>
      <c r="T9" s="49" t="s">
        <v>251</v>
      </c>
      <c r="U9" s="50"/>
      <c r="V9" s="50"/>
      <c r="W9" s="50"/>
      <c r="X9" s="50"/>
      <c r="Y9" s="49"/>
      <c r="AB9" s="50"/>
      <c r="AC9" s="50"/>
      <c r="AD9" s="50"/>
      <c r="AE9" s="50"/>
      <c r="AF9" s="50"/>
      <c r="AG9" s="50"/>
      <c r="AH9" s="50"/>
      <c r="AI9" s="50"/>
      <c r="AJ9" s="50"/>
      <c r="AK9" s="49"/>
      <c r="AN9" s="50"/>
      <c r="AO9" s="50"/>
      <c r="AP9" s="50"/>
      <c r="AQ9" s="50"/>
      <c r="AR9" s="50"/>
      <c r="AS9" s="50"/>
      <c r="AT9" s="50"/>
      <c r="AU9" s="50"/>
      <c r="AV9" s="50"/>
      <c r="AW9" s="49"/>
      <c r="AZ9" s="50"/>
      <c r="BA9" s="50"/>
      <c r="BB9" s="50"/>
      <c r="BC9" s="50"/>
      <c r="BD9" s="50"/>
      <c r="BE9" s="50"/>
      <c r="BF9" s="50"/>
      <c r="BG9" s="50"/>
      <c r="BH9" s="50"/>
      <c r="BI9" s="49"/>
      <c r="BL9" s="50"/>
      <c r="BM9" s="50"/>
      <c r="BN9" s="50"/>
      <c r="BO9" s="49"/>
      <c r="BS9" s="50"/>
      <c r="BT9" s="50"/>
      <c r="BU9" s="50"/>
      <c r="BV9" s="50"/>
      <c r="BW9" s="50"/>
      <c r="BX9" s="50"/>
      <c r="BY9" s="50"/>
      <c r="BZ9" s="50"/>
      <c r="CA9" s="49"/>
      <c r="CD9" s="50"/>
      <c r="CE9" s="50"/>
      <c r="CF9" s="50"/>
      <c r="CG9" s="50"/>
      <c r="CH9" s="50"/>
      <c r="CI9" s="50"/>
      <c r="CJ9" s="50"/>
      <c r="CK9" s="50"/>
      <c r="CL9" s="50"/>
      <c r="CM9" s="49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</row>
    <row r="10">
      <c r="A10" s="49" t="s">
        <v>392</v>
      </c>
      <c r="B10" s="49" t="s">
        <v>393</v>
      </c>
      <c r="C10" s="49" t="s">
        <v>394</v>
      </c>
      <c r="D10" s="49" t="s">
        <v>395</v>
      </c>
      <c r="E10" s="49" t="s">
        <v>396</v>
      </c>
      <c r="F10" s="49" t="s">
        <v>397</v>
      </c>
      <c r="G10" s="49" t="s">
        <v>398</v>
      </c>
      <c r="H10" s="49" t="s">
        <v>399</v>
      </c>
      <c r="I10" s="49" t="s">
        <v>400</v>
      </c>
      <c r="J10" s="49" t="s">
        <v>401</v>
      </c>
      <c r="K10" s="49" t="s">
        <v>402</v>
      </c>
      <c r="L10" s="49" t="s">
        <v>403</v>
      </c>
      <c r="M10" s="49" t="s">
        <v>404</v>
      </c>
      <c r="N10" s="49" t="s">
        <v>405</v>
      </c>
      <c r="O10" s="49" t="s">
        <v>406</v>
      </c>
      <c r="P10" s="49" t="s">
        <v>407</v>
      </c>
      <c r="Q10" s="49" t="s">
        <v>408</v>
      </c>
      <c r="R10" s="49" t="s">
        <v>409</v>
      </c>
      <c r="S10" s="49" t="s">
        <v>410</v>
      </c>
      <c r="T10" s="49" t="s">
        <v>411</v>
      </c>
      <c r="U10" s="50"/>
      <c r="V10" s="50"/>
      <c r="W10" s="50"/>
      <c r="X10" s="50"/>
      <c r="Y10" s="49"/>
      <c r="AC10" s="50"/>
      <c r="AD10" s="50"/>
      <c r="AE10" s="50"/>
      <c r="AF10" s="50"/>
      <c r="AG10" s="50"/>
      <c r="AH10" s="50"/>
      <c r="AI10" s="50"/>
      <c r="AJ10" s="50"/>
      <c r="AK10" s="49"/>
      <c r="AO10" s="50"/>
      <c r="AP10" s="50"/>
      <c r="AQ10" s="50"/>
      <c r="AR10" s="50"/>
      <c r="AS10" s="50"/>
      <c r="AT10" s="50"/>
      <c r="AU10" s="50"/>
      <c r="AV10" s="50"/>
      <c r="AW10" s="49"/>
      <c r="BA10" s="50"/>
      <c r="BB10" s="50"/>
      <c r="BC10" s="50"/>
      <c r="BD10" s="50"/>
      <c r="BE10" s="50"/>
      <c r="BF10" s="50"/>
      <c r="BG10" s="50"/>
      <c r="BH10" s="50"/>
      <c r="BI10" s="49"/>
      <c r="BM10" s="50"/>
      <c r="BN10" s="50"/>
      <c r="BO10" s="49"/>
      <c r="BR10" s="50"/>
      <c r="BS10" s="50"/>
      <c r="BT10" s="50"/>
      <c r="BU10" s="50"/>
      <c r="BV10" s="50"/>
      <c r="BW10" s="50"/>
      <c r="BX10" s="50"/>
      <c r="BY10" s="50"/>
      <c r="BZ10" s="50"/>
      <c r="CA10" s="49"/>
      <c r="CE10" s="50"/>
      <c r="CF10" s="50"/>
      <c r="CG10" s="50"/>
      <c r="CH10" s="50"/>
      <c r="CI10" s="50"/>
      <c r="CJ10" s="50"/>
      <c r="CK10" s="50"/>
      <c r="CL10" s="50"/>
      <c r="CM10" s="49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</row>
    <row r="11">
      <c r="A11" s="49" t="s">
        <v>412</v>
      </c>
      <c r="B11" s="49" t="s">
        <v>413</v>
      </c>
      <c r="C11" s="49" t="s">
        <v>414</v>
      </c>
      <c r="D11" s="49" t="s">
        <v>415</v>
      </c>
      <c r="E11" s="49" t="s">
        <v>416</v>
      </c>
      <c r="F11" s="49" t="s">
        <v>417</v>
      </c>
      <c r="G11" s="49" t="s">
        <v>418</v>
      </c>
      <c r="H11" s="49" t="s">
        <v>419</v>
      </c>
      <c r="I11" s="49" t="s">
        <v>420</v>
      </c>
      <c r="J11" s="49" t="s">
        <v>421</v>
      </c>
      <c r="K11" s="49" t="s">
        <v>422</v>
      </c>
      <c r="L11" s="49" t="s">
        <v>423</v>
      </c>
      <c r="M11" s="49" t="s">
        <v>424</v>
      </c>
      <c r="N11" s="49" t="s">
        <v>425</v>
      </c>
      <c r="O11" s="49" t="s">
        <v>426</v>
      </c>
      <c r="P11" s="49" t="s">
        <v>427</v>
      </c>
      <c r="Q11" s="49" t="s">
        <v>428</v>
      </c>
      <c r="R11" s="49" t="s">
        <v>429</v>
      </c>
      <c r="S11" s="49" t="s">
        <v>430</v>
      </c>
      <c r="T11" s="49" t="s">
        <v>431</v>
      </c>
      <c r="U11" s="50"/>
      <c r="V11" s="50"/>
      <c r="W11" s="50"/>
      <c r="X11" s="50"/>
      <c r="Y11" s="49"/>
      <c r="AC11" s="50"/>
      <c r="AD11" s="50"/>
      <c r="AE11" s="50"/>
      <c r="AF11" s="50"/>
      <c r="AG11" s="50"/>
      <c r="AH11" s="50"/>
      <c r="AI11" s="50"/>
      <c r="AJ11" s="50"/>
      <c r="AK11" s="49"/>
      <c r="AO11" s="50"/>
      <c r="AP11" s="50"/>
      <c r="AQ11" s="50"/>
      <c r="AR11" s="50"/>
      <c r="AS11" s="50"/>
      <c r="AT11" s="50"/>
      <c r="AU11" s="50"/>
      <c r="AV11" s="50"/>
      <c r="AW11" s="49"/>
      <c r="BA11" s="50"/>
      <c r="BB11" s="50"/>
      <c r="BC11" s="50"/>
      <c r="BD11" s="50"/>
      <c r="BE11" s="50"/>
      <c r="BF11" s="50"/>
      <c r="BG11" s="50"/>
      <c r="BH11" s="50"/>
      <c r="BI11" s="49"/>
      <c r="BM11" s="50"/>
      <c r="BN11" s="50"/>
      <c r="BO11" s="49"/>
      <c r="BS11" s="50"/>
      <c r="BT11" s="50"/>
      <c r="BU11" s="50"/>
      <c r="BV11" s="50"/>
      <c r="BW11" s="50"/>
      <c r="BX11" s="50"/>
      <c r="BY11" s="50"/>
      <c r="BZ11" s="50"/>
      <c r="CA11" s="49"/>
      <c r="CE11" s="50"/>
      <c r="CF11" s="50"/>
      <c r="CG11" s="50"/>
      <c r="CH11" s="50"/>
      <c r="CI11" s="50"/>
      <c r="CJ11" s="50"/>
      <c r="CK11" s="50"/>
      <c r="CL11" s="50"/>
      <c r="CM11" s="49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</row>
    <row r="12">
      <c r="A12" s="49" t="s">
        <v>432</v>
      </c>
      <c r="B12" s="49" t="s">
        <v>433</v>
      </c>
      <c r="C12" s="49" t="s">
        <v>434</v>
      </c>
      <c r="D12" s="49" t="s">
        <v>435</v>
      </c>
      <c r="E12" s="49" t="s">
        <v>436</v>
      </c>
      <c r="F12" s="49" t="s">
        <v>437</v>
      </c>
      <c r="G12" s="49" t="s">
        <v>438</v>
      </c>
      <c r="H12" s="49" t="s">
        <v>439</v>
      </c>
      <c r="I12" s="49" t="s">
        <v>440</v>
      </c>
      <c r="J12" s="49" t="s">
        <v>441</v>
      </c>
      <c r="K12" s="49" t="s">
        <v>442</v>
      </c>
      <c r="L12" s="49" t="s">
        <v>443</v>
      </c>
      <c r="M12" s="49" t="s">
        <v>444</v>
      </c>
      <c r="N12" s="49" t="s">
        <v>445</v>
      </c>
      <c r="O12" s="49" t="s">
        <v>446</v>
      </c>
      <c r="P12" s="49" t="s">
        <v>447</v>
      </c>
      <c r="Q12" s="49" t="s">
        <v>448</v>
      </c>
      <c r="R12" s="49" t="s">
        <v>449</v>
      </c>
      <c r="S12" s="49" t="s">
        <v>450</v>
      </c>
      <c r="T12" s="49" t="s">
        <v>451</v>
      </c>
      <c r="U12" s="50"/>
      <c r="V12" s="50"/>
      <c r="W12" s="50"/>
      <c r="X12" s="50"/>
      <c r="Y12" s="49"/>
      <c r="AC12" s="50"/>
      <c r="AD12" s="50"/>
      <c r="AE12" s="50"/>
      <c r="AF12" s="50"/>
      <c r="AG12" s="50"/>
      <c r="AH12" s="50"/>
      <c r="AI12" s="50"/>
      <c r="AJ12" s="50"/>
      <c r="AK12" s="49"/>
      <c r="AO12" s="50"/>
      <c r="AP12" s="50"/>
      <c r="AQ12" s="50"/>
      <c r="AR12" s="50"/>
      <c r="AS12" s="50"/>
      <c r="AT12" s="50"/>
      <c r="AU12" s="50"/>
      <c r="AV12" s="50"/>
      <c r="AW12" s="49"/>
      <c r="BA12" s="50"/>
      <c r="BB12" s="50"/>
      <c r="BC12" s="50"/>
      <c r="BD12" s="50"/>
      <c r="BE12" s="50"/>
      <c r="BF12" s="50"/>
      <c r="BG12" s="50"/>
      <c r="BH12" s="50"/>
      <c r="BI12" s="49"/>
      <c r="BM12" s="50"/>
      <c r="BN12" s="50"/>
      <c r="BO12" s="49"/>
      <c r="BS12" s="50"/>
      <c r="BT12" s="50"/>
      <c r="BU12" s="50"/>
      <c r="BV12" s="50"/>
      <c r="BW12" s="50"/>
      <c r="BX12" s="50"/>
      <c r="BY12" s="50"/>
      <c r="BZ12" s="50"/>
      <c r="CA12" s="49"/>
      <c r="CE12" s="50"/>
      <c r="CF12" s="50"/>
      <c r="CG12" s="50"/>
      <c r="CH12" s="50"/>
      <c r="CI12" s="50"/>
      <c r="CJ12" s="50"/>
      <c r="CK12" s="50"/>
      <c r="CL12" s="50"/>
      <c r="CM12" s="49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</row>
    <row r="13">
      <c r="A13" s="49" t="s">
        <v>452</v>
      </c>
      <c r="B13" s="49" t="s">
        <v>453</v>
      </c>
      <c r="C13" s="49" t="s">
        <v>454</v>
      </c>
      <c r="D13" s="49" t="s">
        <v>455</v>
      </c>
      <c r="E13" s="49" t="s">
        <v>456</v>
      </c>
      <c r="F13" s="49" t="s">
        <v>457</v>
      </c>
      <c r="G13" s="49" t="s">
        <v>458</v>
      </c>
      <c r="H13" s="49" t="s">
        <v>459</v>
      </c>
      <c r="I13" s="49" t="s">
        <v>460</v>
      </c>
      <c r="J13" s="49" t="s">
        <v>461</v>
      </c>
      <c r="K13" s="49" t="s">
        <v>462</v>
      </c>
      <c r="L13" s="49" t="s">
        <v>463</v>
      </c>
      <c r="M13" s="49" t="s">
        <v>464</v>
      </c>
      <c r="N13" s="49" t="s">
        <v>465</v>
      </c>
      <c r="O13" s="49" t="s">
        <v>466</v>
      </c>
      <c r="P13" s="49" t="s">
        <v>467</v>
      </c>
      <c r="Q13" s="49" t="s">
        <v>468</v>
      </c>
      <c r="R13" s="49" t="s">
        <v>469</v>
      </c>
      <c r="S13" s="49" t="s">
        <v>470</v>
      </c>
      <c r="T13" s="49" t="s">
        <v>471</v>
      </c>
      <c r="U13" s="50"/>
      <c r="V13" s="50"/>
      <c r="W13" s="50"/>
      <c r="X13" s="50"/>
      <c r="Y13" s="49"/>
      <c r="AC13" s="50"/>
      <c r="AD13" s="50"/>
      <c r="AE13" s="50"/>
      <c r="AF13" s="50"/>
      <c r="AG13" s="50"/>
      <c r="AH13" s="50"/>
      <c r="AI13" s="50"/>
      <c r="AJ13" s="50"/>
      <c r="AK13" s="49"/>
      <c r="AO13" s="50"/>
      <c r="AP13" s="50"/>
      <c r="AQ13" s="50"/>
      <c r="AR13" s="50"/>
      <c r="AS13" s="50"/>
      <c r="AT13" s="50"/>
      <c r="AU13" s="50"/>
      <c r="AV13" s="50"/>
      <c r="AW13" s="49"/>
      <c r="BA13" s="50"/>
      <c r="BB13" s="50"/>
      <c r="BC13" s="50"/>
      <c r="BD13" s="50"/>
      <c r="BE13" s="50"/>
      <c r="BF13" s="50"/>
      <c r="BG13" s="50"/>
      <c r="BH13" s="50"/>
      <c r="BI13" s="49"/>
      <c r="BM13" s="50"/>
      <c r="BN13" s="50"/>
      <c r="BO13" s="49"/>
      <c r="BS13" s="50"/>
      <c r="BT13" s="50"/>
      <c r="BU13" s="50"/>
      <c r="BV13" s="50"/>
      <c r="BW13" s="50"/>
      <c r="BX13" s="50"/>
      <c r="BY13" s="50"/>
      <c r="BZ13" s="50"/>
      <c r="CA13" s="49"/>
      <c r="CE13" s="50"/>
      <c r="CF13" s="50"/>
      <c r="CG13" s="50"/>
      <c r="CH13" s="50"/>
      <c r="CI13" s="50"/>
      <c r="CJ13" s="50"/>
      <c r="CK13" s="50"/>
      <c r="CL13" s="50"/>
      <c r="CM13" s="49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</row>
    <row r="14">
      <c r="A14" s="49" t="s">
        <v>472</v>
      </c>
      <c r="B14" s="49" t="s">
        <v>473</v>
      </c>
      <c r="C14" s="49" t="s">
        <v>474</v>
      </c>
      <c r="D14" s="49" t="s">
        <v>475</v>
      </c>
      <c r="E14" s="49" t="s">
        <v>476</v>
      </c>
      <c r="F14" s="49" t="s">
        <v>477</v>
      </c>
      <c r="G14" s="49" t="s">
        <v>478</v>
      </c>
      <c r="H14" s="49" t="s">
        <v>479</v>
      </c>
      <c r="I14" s="49" t="s">
        <v>480</v>
      </c>
      <c r="J14" s="49" t="s">
        <v>481</v>
      </c>
      <c r="K14" s="49" t="s">
        <v>482</v>
      </c>
      <c r="L14" s="49" t="s">
        <v>483</v>
      </c>
      <c r="M14" s="49" t="s">
        <v>484</v>
      </c>
      <c r="N14" s="49" t="s">
        <v>485</v>
      </c>
      <c r="O14" s="49" t="s">
        <v>486</v>
      </c>
      <c r="P14" s="49" t="s">
        <v>487</v>
      </c>
      <c r="Q14" s="49" t="s">
        <v>488</v>
      </c>
      <c r="R14" s="49" t="s">
        <v>489</v>
      </c>
      <c r="S14" s="49" t="s">
        <v>490</v>
      </c>
      <c r="T14" s="49" t="s">
        <v>491</v>
      </c>
      <c r="U14" s="50"/>
      <c r="V14" s="50"/>
      <c r="W14" s="50"/>
      <c r="X14" s="50"/>
      <c r="Y14" s="49"/>
      <c r="AC14" s="50"/>
      <c r="AD14" s="50"/>
      <c r="AE14" s="50"/>
      <c r="AF14" s="50"/>
      <c r="AG14" s="50"/>
      <c r="AH14" s="50"/>
      <c r="AI14" s="50"/>
      <c r="AJ14" s="50"/>
      <c r="AK14" s="49"/>
      <c r="AO14" s="50"/>
      <c r="AP14" s="50"/>
      <c r="AQ14" s="50"/>
      <c r="AR14" s="50"/>
      <c r="AS14" s="50"/>
      <c r="AT14" s="50"/>
      <c r="AU14" s="50"/>
      <c r="AV14" s="50"/>
      <c r="AW14" s="49"/>
      <c r="BA14" s="50"/>
      <c r="BB14" s="50"/>
      <c r="BC14" s="50"/>
      <c r="BD14" s="50"/>
      <c r="BE14" s="50"/>
      <c r="BF14" s="50"/>
      <c r="BG14" s="50"/>
      <c r="BH14" s="50"/>
      <c r="BI14" s="49"/>
      <c r="BM14" s="50"/>
      <c r="BN14" s="50"/>
      <c r="BO14" s="49"/>
      <c r="BS14" s="50"/>
      <c r="BT14" s="50"/>
      <c r="BU14" s="50"/>
      <c r="BV14" s="50"/>
      <c r="BW14" s="50"/>
      <c r="BX14" s="50"/>
      <c r="BY14" s="50"/>
      <c r="BZ14" s="50"/>
      <c r="CA14" s="49"/>
      <c r="CE14" s="50"/>
      <c r="CF14" s="50"/>
      <c r="CG14" s="50"/>
      <c r="CH14" s="50"/>
      <c r="CI14" s="50"/>
      <c r="CJ14" s="50"/>
      <c r="CK14" s="50"/>
      <c r="CL14" s="50"/>
      <c r="CM14" s="49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</row>
    <row r="15">
      <c r="A15" s="49" t="s">
        <v>492</v>
      </c>
      <c r="B15" s="49" t="s">
        <v>493</v>
      </c>
      <c r="C15" s="49" t="s">
        <v>494</v>
      </c>
      <c r="D15" s="49" t="s">
        <v>495</v>
      </c>
      <c r="E15" s="49" t="s">
        <v>496</v>
      </c>
      <c r="F15" s="49" t="s">
        <v>497</v>
      </c>
      <c r="G15" s="49" t="s">
        <v>498</v>
      </c>
      <c r="H15" s="49" t="s">
        <v>499</v>
      </c>
      <c r="I15" s="49" t="s">
        <v>500</v>
      </c>
      <c r="J15" s="49" t="s">
        <v>501</v>
      </c>
      <c r="K15" s="49" t="s">
        <v>502</v>
      </c>
      <c r="L15" s="49" t="s">
        <v>503</v>
      </c>
      <c r="M15" s="49" t="s">
        <v>504</v>
      </c>
      <c r="N15" s="49" t="s">
        <v>505</v>
      </c>
      <c r="O15" s="49" t="s">
        <v>506</v>
      </c>
      <c r="P15" s="49" t="s">
        <v>507</v>
      </c>
      <c r="Q15" s="49" t="s">
        <v>508</v>
      </c>
      <c r="R15" s="49" t="s">
        <v>509</v>
      </c>
      <c r="S15" s="49" t="s">
        <v>510</v>
      </c>
      <c r="T15" s="49" t="s">
        <v>511</v>
      </c>
      <c r="U15" s="50"/>
      <c r="V15" s="50"/>
      <c r="W15" s="50"/>
      <c r="X15" s="50"/>
      <c r="Y15" s="49"/>
      <c r="AC15" s="50"/>
      <c r="AD15" s="50"/>
      <c r="AE15" s="50"/>
      <c r="AF15" s="50"/>
      <c r="AG15" s="50"/>
      <c r="AH15" s="50"/>
      <c r="AI15" s="50"/>
      <c r="AJ15" s="50"/>
      <c r="AK15" s="49"/>
      <c r="AO15" s="50"/>
      <c r="AP15" s="50"/>
      <c r="AQ15" s="50"/>
      <c r="AR15" s="50"/>
      <c r="AS15" s="50"/>
      <c r="AT15" s="50"/>
      <c r="AU15" s="50"/>
      <c r="AV15" s="50"/>
      <c r="AW15" s="49"/>
      <c r="BA15" s="50"/>
      <c r="BB15" s="50"/>
      <c r="BC15" s="50"/>
      <c r="BD15" s="50"/>
      <c r="BE15" s="50"/>
      <c r="BF15" s="50"/>
      <c r="BG15" s="50"/>
      <c r="BH15" s="50"/>
      <c r="BI15" s="49"/>
      <c r="BM15" s="50"/>
      <c r="BN15" s="50"/>
      <c r="BO15" s="49"/>
      <c r="BS15" s="50"/>
      <c r="BT15" s="50"/>
      <c r="BU15" s="50"/>
      <c r="BV15" s="50"/>
      <c r="BW15" s="50"/>
      <c r="BX15" s="50"/>
      <c r="BY15" s="50"/>
      <c r="BZ15" s="50"/>
      <c r="CA15" s="49"/>
      <c r="CE15" s="50"/>
      <c r="CF15" s="50"/>
      <c r="CG15" s="50"/>
      <c r="CH15" s="50"/>
      <c r="CI15" s="50"/>
      <c r="CJ15" s="50"/>
      <c r="CK15" s="50"/>
      <c r="CL15" s="50"/>
      <c r="CM15" s="49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</row>
    <row r="16">
      <c r="A16" s="49" t="s">
        <v>512</v>
      </c>
      <c r="B16" s="49" t="s">
        <v>513</v>
      </c>
      <c r="C16" s="49" t="s">
        <v>514</v>
      </c>
      <c r="D16" s="49" t="s">
        <v>515</v>
      </c>
      <c r="E16" s="49" t="s">
        <v>516</v>
      </c>
      <c r="F16" s="49" t="s">
        <v>517</v>
      </c>
      <c r="G16" s="49" t="s">
        <v>518</v>
      </c>
      <c r="H16" s="49" t="s">
        <v>519</v>
      </c>
      <c r="I16" s="49" t="s">
        <v>520</v>
      </c>
      <c r="J16" s="49" t="s">
        <v>521</v>
      </c>
      <c r="K16" s="49" t="s">
        <v>522</v>
      </c>
      <c r="L16" s="49" t="s">
        <v>523</v>
      </c>
      <c r="M16" s="49" t="s">
        <v>524</v>
      </c>
      <c r="N16" s="49" t="s">
        <v>525</v>
      </c>
      <c r="O16" s="49" t="s">
        <v>526</v>
      </c>
      <c r="P16" s="49" t="s">
        <v>527</v>
      </c>
      <c r="Q16" s="49" t="s">
        <v>528</v>
      </c>
      <c r="R16" s="49" t="s">
        <v>529</v>
      </c>
      <c r="S16" s="49" t="s">
        <v>530</v>
      </c>
      <c r="T16" s="49" t="s">
        <v>531</v>
      </c>
      <c r="U16" s="50"/>
      <c r="V16" s="50"/>
      <c r="W16" s="50"/>
      <c r="X16" s="50"/>
      <c r="Y16" s="49"/>
      <c r="AC16" s="50"/>
      <c r="AD16" s="50"/>
      <c r="AE16" s="50"/>
      <c r="AF16" s="50"/>
      <c r="AG16" s="50"/>
      <c r="AH16" s="50"/>
      <c r="AI16" s="50"/>
      <c r="AJ16" s="50"/>
      <c r="AK16" s="49"/>
      <c r="AO16" s="50"/>
      <c r="AP16" s="50"/>
      <c r="AQ16" s="50"/>
      <c r="AR16" s="50"/>
      <c r="AS16" s="50"/>
      <c r="AT16" s="50"/>
      <c r="AU16" s="50"/>
      <c r="AV16" s="50"/>
      <c r="AW16" s="49"/>
      <c r="BA16" s="50"/>
      <c r="BB16" s="50"/>
      <c r="BC16" s="50"/>
      <c r="BD16" s="50"/>
      <c r="BE16" s="50"/>
      <c r="BF16" s="50"/>
      <c r="BG16" s="50"/>
      <c r="BH16" s="50"/>
      <c r="BI16" s="49"/>
      <c r="BM16" s="50"/>
      <c r="BN16" s="50"/>
      <c r="BO16" s="49"/>
      <c r="BS16" s="50"/>
      <c r="BT16" s="50"/>
      <c r="BU16" s="50"/>
      <c r="BV16" s="50"/>
      <c r="BW16" s="50"/>
      <c r="BX16" s="50"/>
      <c r="BY16" s="50"/>
      <c r="BZ16" s="50"/>
      <c r="CA16" s="49"/>
      <c r="CE16" s="50"/>
      <c r="CF16" s="50"/>
      <c r="CG16" s="50"/>
      <c r="CH16" s="50"/>
      <c r="CI16" s="50"/>
      <c r="CJ16" s="50"/>
      <c r="CK16" s="50"/>
      <c r="CL16" s="50"/>
      <c r="CM16" s="49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</row>
    <row r="17">
      <c r="A17" s="49" t="s">
        <v>532</v>
      </c>
      <c r="B17" s="49" t="s">
        <v>533</v>
      </c>
      <c r="C17" s="49" t="s">
        <v>534</v>
      </c>
      <c r="D17" s="49" t="s">
        <v>535</v>
      </c>
      <c r="E17" s="49" t="s">
        <v>536</v>
      </c>
      <c r="F17" s="49" t="s">
        <v>537</v>
      </c>
      <c r="G17" s="49" t="s">
        <v>538</v>
      </c>
      <c r="H17" s="49" t="s">
        <v>539</v>
      </c>
      <c r="I17" s="49" t="s">
        <v>540</v>
      </c>
      <c r="J17" s="49" t="s">
        <v>541</v>
      </c>
      <c r="K17" s="49" t="s">
        <v>542</v>
      </c>
      <c r="L17" s="49" t="s">
        <v>543</v>
      </c>
      <c r="M17" s="49" t="s">
        <v>544</v>
      </c>
      <c r="N17" s="49" t="s">
        <v>545</v>
      </c>
      <c r="O17" s="49" t="s">
        <v>546</v>
      </c>
      <c r="P17" s="49" t="s">
        <v>547</v>
      </c>
      <c r="Q17" s="49" t="s">
        <v>548</v>
      </c>
      <c r="R17" s="49" t="s">
        <v>549</v>
      </c>
      <c r="S17" s="49" t="s">
        <v>550</v>
      </c>
      <c r="T17" s="49" t="s">
        <v>551</v>
      </c>
      <c r="U17" s="50"/>
      <c r="V17" s="50"/>
      <c r="W17" s="50"/>
      <c r="X17" s="50"/>
      <c r="Y17" s="49"/>
      <c r="AC17" s="50"/>
      <c r="AD17" s="50"/>
      <c r="AE17" s="50"/>
      <c r="AF17" s="50"/>
      <c r="AG17" s="50"/>
      <c r="AH17" s="50"/>
      <c r="AI17" s="50"/>
      <c r="AJ17" s="50"/>
      <c r="AK17" s="49"/>
      <c r="AO17" s="50"/>
      <c r="AP17" s="50"/>
      <c r="AQ17" s="50"/>
      <c r="AR17" s="50"/>
      <c r="AS17" s="50"/>
      <c r="AT17" s="50"/>
      <c r="AU17" s="50"/>
      <c r="AV17" s="50"/>
      <c r="AW17" s="49"/>
      <c r="BA17" s="50"/>
      <c r="BB17" s="50"/>
      <c r="BC17" s="50"/>
      <c r="BD17" s="50"/>
      <c r="BE17" s="50"/>
      <c r="BF17" s="50"/>
      <c r="BG17" s="50"/>
      <c r="BH17" s="50"/>
      <c r="BI17" s="49"/>
      <c r="BM17" s="50"/>
      <c r="BN17" s="50"/>
      <c r="BO17" s="49"/>
      <c r="BS17" s="50"/>
      <c r="BT17" s="50"/>
      <c r="BU17" s="50"/>
      <c r="BV17" s="50"/>
      <c r="BW17" s="50"/>
      <c r="BX17" s="50"/>
      <c r="BY17" s="50"/>
      <c r="BZ17" s="50"/>
      <c r="CA17" s="49"/>
      <c r="CE17" s="50"/>
      <c r="CF17" s="50"/>
      <c r="CG17" s="50"/>
      <c r="CH17" s="50"/>
      <c r="CI17" s="50"/>
      <c r="CJ17" s="50"/>
      <c r="CK17" s="50"/>
      <c r="CL17" s="50"/>
      <c r="CM17" s="49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</row>
    <row r="18">
      <c r="A18" s="49" t="s">
        <v>552</v>
      </c>
      <c r="B18" s="49" t="s">
        <v>553</v>
      </c>
      <c r="C18" s="49" t="s">
        <v>554</v>
      </c>
      <c r="D18" s="49" t="s">
        <v>555</v>
      </c>
      <c r="E18" s="49" t="s">
        <v>556</v>
      </c>
      <c r="F18" s="49" t="s">
        <v>557</v>
      </c>
      <c r="G18" s="49" t="s">
        <v>558</v>
      </c>
      <c r="H18" s="49" t="s">
        <v>559</v>
      </c>
      <c r="I18" s="49" t="s">
        <v>560</v>
      </c>
      <c r="J18" s="49" t="s">
        <v>561</v>
      </c>
      <c r="K18" s="49" t="s">
        <v>562</v>
      </c>
      <c r="L18" s="49" t="s">
        <v>563</v>
      </c>
      <c r="M18" s="49" t="s">
        <v>564</v>
      </c>
      <c r="N18" s="49" t="s">
        <v>565</v>
      </c>
      <c r="O18" s="49" t="s">
        <v>566</v>
      </c>
      <c r="P18" s="49" t="s">
        <v>567</v>
      </c>
      <c r="Q18" s="49" t="s">
        <v>568</v>
      </c>
      <c r="R18" s="49" t="s">
        <v>569</v>
      </c>
      <c r="S18" s="49" t="s">
        <v>570</v>
      </c>
      <c r="T18" s="49" t="s">
        <v>571</v>
      </c>
      <c r="U18" s="50"/>
      <c r="V18" s="50"/>
      <c r="W18" s="50"/>
      <c r="X18" s="50"/>
      <c r="Y18" s="49"/>
      <c r="AC18" s="50"/>
      <c r="AD18" s="50"/>
      <c r="AE18" s="50"/>
      <c r="AF18" s="50"/>
      <c r="AG18" s="50"/>
      <c r="AH18" s="50"/>
      <c r="AI18" s="50"/>
      <c r="AJ18" s="50"/>
      <c r="AK18" s="49"/>
      <c r="AO18" s="50"/>
      <c r="AP18" s="50"/>
      <c r="AQ18" s="50"/>
      <c r="AR18" s="50"/>
      <c r="AS18" s="50"/>
      <c r="AT18" s="50"/>
      <c r="AU18" s="50"/>
      <c r="AV18" s="50"/>
      <c r="AW18" s="49"/>
      <c r="BA18" s="50"/>
      <c r="BB18" s="50"/>
      <c r="BC18" s="50"/>
      <c r="BD18" s="50"/>
      <c r="BE18" s="50"/>
      <c r="BF18" s="50"/>
      <c r="BG18" s="50"/>
      <c r="BH18" s="50"/>
      <c r="BI18" s="49"/>
      <c r="BM18" s="50"/>
      <c r="BN18" s="50"/>
      <c r="BO18" s="49"/>
      <c r="BS18" s="50"/>
      <c r="BT18" s="50"/>
      <c r="BU18" s="50"/>
      <c r="BV18" s="50"/>
      <c r="BW18" s="50"/>
      <c r="BX18" s="50"/>
      <c r="BY18" s="50"/>
      <c r="BZ18" s="50"/>
      <c r="CA18" s="49"/>
      <c r="CE18" s="50"/>
      <c r="CF18" s="50"/>
      <c r="CG18" s="50"/>
      <c r="CH18" s="50"/>
      <c r="CI18" s="50"/>
      <c r="CJ18" s="50"/>
      <c r="CK18" s="50"/>
      <c r="CL18" s="50"/>
      <c r="CM18" s="49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</row>
    <row r="19">
      <c r="A19" s="49" t="s">
        <v>572</v>
      </c>
      <c r="B19" s="49" t="s">
        <v>573</v>
      </c>
      <c r="C19" s="49" t="s">
        <v>574</v>
      </c>
      <c r="D19" s="49" t="s">
        <v>575</v>
      </c>
      <c r="E19" s="49" t="s">
        <v>576</v>
      </c>
      <c r="F19" s="49" t="s">
        <v>577</v>
      </c>
      <c r="G19" s="49" t="s">
        <v>578</v>
      </c>
      <c r="H19" s="49" t="s">
        <v>579</v>
      </c>
      <c r="I19" s="49" t="s">
        <v>580</v>
      </c>
      <c r="J19" s="49" t="s">
        <v>581</v>
      </c>
      <c r="K19" s="49" t="s">
        <v>582</v>
      </c>
      <c r="L19" s="49" t="s">
        <v>583</v>
      </c>
      <c r="M19" s="49" t="s">
        <v>584</v>
      </c>
      <c r="N19" s="49" t="s">
        <v>585</v>
      </c>
      <c r="O19" s="49" t="s">
        <v>586</v>
      </c>
      <c r="P19" s="49" t="s">
        <v>587</v>
      </c>
      <c r="Q19" s="49" t="s">
        <v>588</v>
      </c>
      <c r="R19" s="49" t="s">
        <v>589</v>
      </c>
      <c r="S19" s="49" t="s">
        <v>590</v>
      </c>
      <c r="T19" s="49" t="s">
        <v>591</v>
      </c>
      <c r="U19" s="50"/>
      <c r="V19" s="50"/>
      <c r="W19" s="50"/>
      <c r="X19" s="50"/>
      <c r="Y19" s="49"/>
      <c r="AC19" s="50"/>
      <c r="AD19" s="50"/>
      <c r="AE19" s="50"/>
      <c r="AF19" s="50"/>
      <c r="AG19" s="50"/>
      <c r="AH19" s="50"/>
      <c r="AI19" s="50"/>
      <c r="AJ19" s="50"/>
      <c r="AK19" s="49"/>
      <c r="AO19" s="50"/>
      <c r="AP19" s="50"/>
      <c r="AQ19" s="50"/>
      <c r="AR19" s="50"/>
      <c r="AS19" s="50"/>
      <c r="AT19" s="50"/>
      <c r="AU19" s="50"/>
      <c r="AV19" s="50"/>
      <c r="AW19" s="49"/>
      <c r="BA19" s="50"/>
      <c r="BB19" s="50"/>
      <c r="BC19" s="50"/>
      <c r="BD19" s="50"/>
      <c r="BE19" s="50"/>
      <c r="BF19" s="50"/>
      <c r="BG19" s="50"/>
      <c r="BH19" s="50"/>
      <c r="BI19" s="49"/>
      <c r="BM19" s="50"/>
      <c r="BN19" s="50"/>
      <c r="BO19" s="49"/>
      <c r="BS19" s="50"/>
      <c r="BT19" s="50"/>
      <c r="BU19" s="50"/>
      <c r="BV19" s="50"/>
      <c r="BW19" s="50"/>
      <c r="BX19" s="50"/>
      <c r="BY19" s="50"/>
      <c r="BZ19" s="50"/>
      <c r="CA19" s="49"/>
      <c r="CE19" s="50"/>
      <c r="CF19" s="50"/>
      <c r="CG19" s="50"/>
      <c r="CH19" s="50"/>
      <c r="CI19" s="50"/>
      <c r="CJ19" s="50"/>
      <c r="CK19" s="50"/>
      <c r="CL19" s="50"/>
      <c r="CM19" s="49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</row>
    <row r="20">
      <c r="A20" s="50"/>
      <c r="B20" s="49" t="s">
        <v>592</v>
      </c>
      <c r="C20" s="49" t="s">
        <v>593</v>
      </c>
      <c r="D20" s="49" t="s">
        <v>594</v>
      </c>
      <c r="E20" s="49" t="s">
        <v>595</v>
      </c>
      <c r="F20" s="49" t="s">
        <v>596</v>
      </c>
      <c r="G20" s="49" t="s">
        <v>597</v>
      </c>
      <c r="H20" s="49" t="s">
        <v>598</v>
      </c>
      <c r="I20" s="49" t="s">
        <v>599</v>
      </c>
      <c r="J20" s="49" t="s">
        <v>600</v>
      </c>
      <c r="K20" s="49" t="s">
        <v>601</v>
      </c>
      <c r="L20" s="49" t="s">
        <v>602</v>
      </c>
      <c r="M20" s="49" t="s">
        <v>603</v>
      </c>
      <c r="N20" s="49" t="s">
        <v>604</v>
      </c>
      <c r="O20" s="49" t="s">
        <v>605</v>
      </c>
      <c r="P20" s="49" t="s">
        <v>606</v>
      </c>
      <c r="Q20" s="49" t="s">
        <v>607</v>
      </c>
      <c r="R20" s="49" t="s">
        <v>608</v>
      </c>
      <c r="S20" s="49" t="s">
        <v>609</v>
      </c>
      <c r="T20" s="49" t="s">
        <v>610</v>
      </c>
      <c r="U20" s="50"/>
      <c r="V20" s="50"/>
      <c r="W20" s="50"/>
      <c r="X20" s="50"/>
      <c r="Y20" s="49"/>
      <c r="AC20" s="50"/>
      <c r="AD20" s="50"/>
      <c r="AE20" s="50"/>
      <c r="AF20" s="50"/>
      <c r="AG20" s="50"/>
      <c r="AH20" s="50"/>
      <c r="AI20" s="50"/>
      <c r="AJ20" s="50"/>
      <c r="AK20" s="49"/>
      <c r="AO20" s="50"/>
      <c r="AP20" s="50"/>
      <c r="AQ20" s="50"/>
      <c r="AR20" s="50"/>
      <c r="AS20" s="50"/>
      <c r="AT20" s="50"/>
      <c r="AU20" s="50"/>
      <c r="AV20" s="50"/>
      <c r="AW20" s="49"/>
      <c r="BA20" s="50"/>
      <c r="BB20" s="50"/>
      <c r="BC20" s="50"/>
      <c r="BD20" s="50"/>
      <c r="BE20" s="50"/>
      <c r="BF20" s="50"/>
      <c r="BG20" s="50"/>
      <c r="BH20" s="50"/>
      <c r="BI20" s="49"/>
      <c r="BM20" s="50"/>
      <c r="BN20" s="50"/>
      <c r="BO20" s="49"/>
      <c r="BS20" s="50"/>
      <c r="BT20" s="50"/>
      <c r="BU20" s="50"/>
      <c r="BV20" s="50"/>
      <c r="BW20" s="50"/>
      <c r="BX20" s="50"/>
      <c r="BY20" s="50"/>
      <c r="BZ20" s="50"/>
      <c r="CA20" s="49"/>
      <c r="CE20" s="50"/>
      <c r="CF20" s="50"/>
      <c r="CG20" s="50"/>
      <c r="CH20" s="50"/>
      <c r="CI20" s="50"/>
      <c r="CJ20" s="50"/>
      <c r="CK20" s="50"/>
      <c r="CL20" s="50"/>
      <c r="CM20" s="49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</row>
    <row r="21">
      <c r="A21" s="50"/>
      <c r="B21" s="49" t="s">
        <v>611</v>
      </c>
      <c r="C21" s="49" t="s">
        <v>612</v>
      </c>
      <c r="D21" s="49" t="s">
        <v>613</v>
      </c>
      <c r="E21" s="49" t="s">
        <v>614</v>
      </c>
      <c r="F21" s="49" t="s">
        <v>615</v>
      </c>
      <c r="G21" s="49" t="s">
        <v>616</v>
      </c>
      <c r="H21" s="49" t="s">
        <v>617</v>
      </c>
      <c r="I21" s="49" t="s">
        <v>618</v>
      </c>
      <c r="J21" s="49" t="s">
        <v>619</v>
      </c>
      <c r="K21" s="49" t="s">
        <v>620</v>
      </c>
      <c r="L21" s="49" t="s">
        <v>621</v>
      </c>
      <c r="M21" s="49" t="s">
        <v>622</v>
      </c>
      <c r="N21" s="49" t="s">
        <v>623</v>
      </c>
      <c r="O21" s="49" t="s">
        <v>624</v>
      </c>
      <c r="P21" s="49" t="s">
        <v>625</v>
      </c>
      <c r="Q21" s="49" t="s">
        <v>626</v>
      </c>
      <c r="R21" s="49" t="s">
        <v>627</v>
      </c>
      <c r="S21" s="49" t="s">
        <v>628</v>
      </c>
      <c r="T21" s="49" t="s">
        <v>629</v>
      </c>
      <c r="U21" s="50"/>
      <c r="V21" s="50"/>
      <c r="W21" s="50"/>
      <c r="X21" s="50"/>
      <c r="Y21" s="49"/>
      <c r="AC21" s="50"/>
      <c r="AD21" s="50"/>
      <c r="AE21" s="50"/>
      <c r="AF21" s="50"/>
      <c r="AG21" s="50"/>
      <c r="AH21" s="50"/>
      <c r="AI21" s="50"/>
      <c r="AJ21" s="50"/>
      <c r="AK21" s="49"/>
      <c r="AO21" s="50"/>
      <c r="AP21" s="50"/>
      <c r="AQ21" s="50"/>
      <c r="AR21" s="50"/>
      <c r="AS21" s="50"/>
      <c r="AT21" s="50"/>
      <c r="AU21" s="50"/>
      <c r="AV21" s="50"/>
      <c r="AW21" s="49"/>
      <c r="BA21" s="50"/>
      <c r="BB21" s="50"/>
      <c r="BC21" s="50"/>
      <c r="BD21" s="50"/>
      <c r="BE21" s="50"/>
      <c r="BF21" s="50"/>
      <c r="BG21" s="50"/>
      <c r="BH21" s="50"/>
      <c r="BI21" s="49"/>
      <c r="BM21" s="50"/>
      <c r="BN21" s="50"/>
      <c r="BO21" s="49"/>
      <c r="BS21" s="50"/>
      <c r="BT21" s="50"/>
      <c r="BU21" s="50"/>
      <c r="BV21" s="50"/>
      <c r="BW21" s="50"/>
      <c r="BX21" s="50"/>
      <c r="BY21" s="50"/>
      <c r="BZ21" s="50"/>
      <c r="CA21" s="49"/>
      <c r="CE21" s="50"/>
      <c r="CF21" s="50"/>
      <c r="CG21" s="50"/>
      <c r="CH21" s="50"/>
      <c r="CI21" s="50"/>
      <c r="CJ21" s="50"/>
      <c r="CK21" s="50"/>
      <c r="CL21" s="50"/>
      <c r="CM21" s="49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</row>
    <row r="22">
      <c r="A22" s="50"/>
      <c r="B22" s="49" t="s">
        <v>630</v>
      </c>
      <c r="C22" s="49" t="s">
        <v>631</v>
      </c>
      <c r="D22" s="49" t="s">
        <v>632</v>
      </c>
      <c r="E22" s="49" t="s">
        <v>633</v>
      </c>
      <c r="F22" s="49" t="s">
        <v>634</v>
      </c>
      <c r="G22" s="49" t="s">
        <v>635</v>
      </c>
      <c r="H22" s="49" t="s">
        <v>636</v>
      </c>
      <c r="I22" s="49" t="s">
        <v>637</v>
      </c>
      <c r="J22" s="49" t="s">
        <v>638</v>
      </c>
      <c r="K22" s="49" t="s">
        <v>639</v>
      </c>
      <c r="L22" s="49" t="s">
        <v>640</v>
      </c>
      <c r="M22" s="49" t="s">
        <v>641</v>
      </c>
      <c r="N22" s="49" t="s">
        <v>642</v>
      </c>
      <c r="O22" s="49" t="s">
        <v>643</v>
      </c>
      <c r="P22" s="49" t="s">
        <v>644</v>
      </c>
      <c r="Q22" s="49" t="s">
        <v>645</v>
      </c>
      <c r="R22" s="49" t="s">
        <v>646</v>
      </c>
      <c r="S22" s="49" t="s">
        <v>647</v>
      </c>
      <c r="T22" s="49" t="s">
        <v>648</v>
      </c>
      <c r="U22" s="50"/>
      <c r="V22" s="50"/>
      <c r="W22" s="50"/>
      <c r="X22" s="50"/>
      <c r="Y22" s="49"/>
      <c r="AD22" s="50"/>
      <c r="AE22" s="50"/>
      <c r="AF22" s="50"/>
      <c r="AG22" s="50"/>
      <c r="AH22" s="50"/>
      <c r="AI22" s="50"/>
      <c r="AJ22" s="50"/>
      <c r="AK22" s="49"/>
      <c r="AO22" s="50"/>
      <c r="AP22" s="50"/>
      <c r="AQ22" s="50"/>
      <c r="AR22" s="50"/>
      <c r="AS22" s="50"/>
      <c r="AT22" s="50"/>
      <c r="AU22" s="50"/>
      <c r="AV22" s="50"/>
      <c r="AW22" s="49"/>
      <c r="BA22" s="50"/>
      <c r="BB22" s="50"/>
      <c r="BC22" s="50"/>
      <c r="BD22" s="50"/>
      <c r="BE22" s="50"/>
      <c r="BF22" s="50"/>
      <c r="BG22" s="50"/>
      <c r="BH22" s="50"/>
      <c r="BI22" s="49"/>
      <c r="BM22" s="50"/>
      <c r="BN22" s="50"/>
      <c r="BO22" s="49"/>
      <c r="BS22" s="50"/>
      <c r="BT22" s="50"/>
      <c r="BU22" s="50"/>
      <c r="BV22" s="50"/>
      <c r="BW22" s="50"/>
      <c r="BX22" s="50"/>
      <c r="BY22" s="50"/>
      <c r="BZ22" s="50"/>
      <c r="CA22" s="49"/>
      <c r="CE22" s="50"/>
      <c r="CF22" s="50"/>
      <c r="CG22" s="50"/>
      <c r="CH22" s="50"/>
      <c r="CI22" s="50"/>
      <c r="CJ22" s="50"/>
      <c r="CK22" s="50"/>
      <c r="CL22" s="50"/>
      <c r="CM22" s="49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</row>
    <row r="23">
      <c r="A23" s="50"/>
      <c r="B23" s="50"/>
      <c r="C23" s="49" t="s">
        <v>649</v>
      </c>
      <c r="D23" s="49" t="s">
        <v>650</v>
      </c>
      <c r="E23" s="49" t="s">
        <v>651</v>
      </c>
      <c r="F23" s="49" t="s">
        <v>652</v>
      </c>
      <c r="G23" s="49" t="s">
        <v>653</v>
      </c>
      <c r="H23" s="49" t="s">
        <v>654</v>
      </c>
      <c r="I23" s="49" t="s">
        <v>655</v>
      </c>
      <c r="J23" s="49" t="s">
        <v>656</v>
      </c>
      <c r="K23" s="49" t="s">
        <v>657</v>
      </c>
      <c r="L23" s="49" t="s">
        <v>658</v>
      </c>
      <c r="M23" s="49" t="s">
        <v>659</v>
      </c>
      <c r="N23" s="49" t="s">
        <v>660</v>
      </c>
      <c r="O23" s="49" t="s">
        <v>661</v>
      </c>
      <c r="P23" s="49" t="s">
        <v>662</v>
      </c>
      <c r="Q23" s="49" t="s">
        <v>663</v>
      </c>
      <c r="R23" s="49" t="s">
        <v>664</v>
      </c>
      <c r="S23" s="49" t="s">
        <v>665</v>
      </c>
      <c r="T23" s="49" t="s">
        <v>666</v>
      </c>
      <c r="U23" s="50"/>
      <c r="V23" s="50"/>
      <c r="W23" s="50"/>
      <c r="X23" s="50"/>
      <c r="Y23" s="49"/>
      <c r="AC23" s="50"/>
      <c r="AD23" s="50"/>
      <c r="AE23" s="50"/>
      <c r="AF23" s="50"/>
      <c r="AG23" s="50"/>
      <c r="AH23" s="50"/>
      <c r="AI23" s="50"/>
      <c r="AJ23" s="50"/>
      <c r="AK23" s="49"/>
      <c r="AO23" s="50"/>
      <c r="AP23" s="50"/>
      <c r="AQ23" s="50"/>
      <c r="AR23" s="50"/>
      <c r="AS23" s="50"/>
      <c r="AT23" s="50"/>
      <c r="AU23" s="50"/>
      <c r="AV23" s="50"/>
      <c r="AW23" s="49"/>
      <c r="BA23" s="50"/>
      <c r="BB23" s="50"/>
      <c r="BC23" s="50"/>
      <c r="BD23" s="50"/>
      <c r="BE23" s="50"/>
      <c r="BF23" s="50"/>
      <c r="BG23" s="50"/>
      <c r="BH23" s="50"/>
      <c r="BI23" s="49"/>
      <c r="BM23" s="50"/>
      <c r="BN23" s="50"/>
      <c r="BO23" s="49"/>
      <c r="BS23" s="50"/>
      <c r="BT23" s="50"/>
      <c r="BU23" s="50"/>
      <c r="BV23" s="50"/>
      <c r="BW23" s="50"/>
      <c r="BX23" s="50"/>
      <c r="BY23" s="50"/>
      <c r="BZ23" s="50"/>
      <c r="CA23" s="49"/>
      <c r="CE23" s="50"/>
      <c r="CF23" s="50"/>
      <c r="CG23" s="50"/>
      <c r="CH23" s="50"/>
      <c r="CI23" s="50"/>
      <c r="CJ23" s="50"/>
      <c r="CK23" s="50"/>
      <c r="CL23" s="50"/>
      <c r="CM23" s="49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</row>
    <row r="24">
      <c r="A24" s="50"/>
      <c r="B24" s="50"/>
      <c r="C24" s="49" t="s">
        <v>667</v>
      </c>
      <c r="D24" s="49" t="s">
        <v>668</v>
      </c>
      <c r="E24" s="49" t="s">
        <v>669</v>
      </c>
      <c r="F24" s="49" t="s">
        <v>670</v>
      </c>
      <c r="G24" s="49" t="s">
        <v>671</v>
      </c>
      <c r="H24" s="49" t="s">
        <v>672</v>
      </c>
      <c r="I24" s="49" t="s">
        <v>673</v>
      </c>
      <c r="J24" s="49" t="s">
        <v>674</v>
      </c>
      <c r="K24" s="49" t="s">
        <v>675</v>
      </c>
      <c r="L24" s="49" t="s">
        <v>676</v>
      </c>
      <c r="M24" s="49" t="s">
        <v>677</v>
      </c>
      <c r="N24" s="49" t="s">
        <v>678</v>
      </c>
      <c r="O24" s="49" t="s">
        <v>679</v>
      </c>
      <c r="P24" s="49" t="s">
        <v>680</v>
      </c>
      <c r="Q24" s="49" t="s">
        <v>681</v>
      </c>
      <c r="R24" s="49" t="s">
        <v>682</v>
      </c>
      <c r="S24" s="49" t="s">
        <v>683</v>
      </c>
      <c r="T24" s="49" t="s">
        <v>684</v>
      </c>
      <c r="U24" s="50"/>
      <c r="V24" s="50"/>
      <c r="W24" s="50"/>
      <c r="X24" s="50"/>
      <c r="Y24" s="49"/>
      <c r="AC24" s="50"/>
      <c r="AD24" s="50"/>
      <c r="AE24" s="50"/>
      <c r="AF24" s="50"/>
      <c r="AG24" s="50"/>
      <c r="AH24" s="50"/>
      <c r="AI24" s="50"/>
      <c r="AJ24" s="50"/>
      <c r="AK24" s="49"/>
      <c r="AO24" s="50"/>
      <c r="AP24" s="50"/>
      <c r="AQ24" s="50"/>
      <c r="AR24" s="50"/>
      <c r="AS24" s="50"/>
      <c r="AT24" s="50"/>
      <c r="AU24" s="50"/>
      <c r="AV24" s="50"/>
      <c r="AW24" s="49"/>
      <c r="BA24" s="50"/>
      <c r="BB24" s="50"/>
      <c r="BC24" s="50"/>
      <c r="BD24" s="50"/>
      <c r="BE24" s="50"/>
      <c r="BF24" s="50"/>
      <c r="BG24" s="50"/>
      <c r="BH24" s="50"/>
      <c r="BI24" s="49"/>
      <c r="BM24" s="50"/>
      <c r="BN24" s="50"/>
      <c r="BO24" s="49"/>
      <c r="BS24" s="50"/>
      <c r="BT24" s="50"/>
      <c r="BU24" s="50"/>
      <c r="BV24" s="50"/>
      <c r="BW24" s="50"/>
      <c r="BX24" s="50"/>
      <c r="BY24" s="50"/>
      <c r="BZ24" s="50"/>
      <c r="CA24" s="49"/>
      <c r="CE24" s="50"/>
      <c r="CF24" s="50"/>
      <c r="CG24" s="50"/>
      <c r="CH24" s="50"/>
      <c r="CI24" s="50"/>
      <c r="CJ24" s="50"/>
      <c r="CK24" s="50"/>
      <c r="CL24" s="50"/>
      <c r="CM24" s="49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</row>
    <row r="25">
      <c r="A25" s="50"/>
      <c r="B25" s="50"/>
      <c r="C25" s="49" t="s">
        <v>685</v>
      </c>
      <c r="D25" s="49" t="s">
        <v>686</v>
      </c>
      <c r="E25" s="49" t="s">
        <v>687</v>
      </c>
      <c r="F25" s="49" t="s">
        <v>688</v>
      </c>
      <c r="G25" s="49" t="s">
        <v>689</v>
      </c>
      <c r="H25" s="49" t="s">
        <v>690</v>
      </c>
      <c r="I25" s="49" t="s">
        <v>691</v>
      </c>
      <c r="J25" s="49" t="s">
        <v>692</v>
      </c>
      <c r="K25" s="49" t="s">
        <v>693</v>
      </c>
      <c r="L25" s="49" t="s">
        <v>694</v>
      </c>
      <c r="M25" s="49" t="s">
        <v>695</v>
      </c>
      <c r="N25" s="49" t="s">
        <v>696</v>
      </c>
      <c r="O25" s="49" t="s">
        <v>697</v>
      </c>
      <c r="P25" s="49" t="s">
        <v>698</v>
      </c>
      <c r="Q25" s="49" t="s">
        <v>699</v>
      </c>
      <c r="R25" s="49" t="s">
        <v>700</v>
      </c>
      <c r="S25" s="49" t="s">
        <v>701</v>
      </c>
      <c r="T25" s="49" t="s">
        <v>702</v>
      </c>
      <c r="U25" s="50"/>
      <c r="V25" s="50"/>
      <c r="W25" s="50"/>
      <c r="X25" s="50"/>
      <c r="Y25" s="49"/>
      <c r="AB25" s="50"/>
      <c r="AC25" s="50"/>
      <c r="AD25" s="50"/>
      <c r="AE25" s="50"/>
      <c r="AF25" s="50"/>
      <c r="AG25" s="50"/>
      <c r="AH25" s="50"/>
      <c r="AI25" s="50"/>
      <c r="AJ25" s="50"/>
      <c r="AK25" s="49"/>
      <c r="AO25" s="50"/>
      <c r="AP25" s="50"/>
      <c r="AQ25" s="50"/>
      <c r="AR25" s="50"/>
      <c r="AS25" s="50"/>
      <c r="AT25" s="50"/>
      <c r="AU25" s="50"/>
      <c r="AV25" s="50"/>
      <c r="AW25" s="49"/>
      <c r="BA25" s="50"/>
      <c r="BB25" s="50"/>
      <c r="BC25" s="50"/>
      <c r="BD25" s="50"/>
      <c r="BE25" s="50"/>
      <c r="BF25" s="50"/>
      <c r="BG25" s="50"/>
      <c r="BH25" s="50"/>
      <c r="BI25" s="49"/>
      <c r="BM25" s="50"/>
      <c r="BN25" s="50"/>
      <c r="BO25" s="49"/>
      <c r="BS25" s="50"/>
      <c r="BT25" s="50"/>
      <c r="BU25" s="50"/>
      <c r="BV25" s="50"/>
      <c r="BW25" s="50"/>
      <c r="BX25" s="50"/>
      <c r="BY25" s="50"/>
      <c r="BZ25" s="50"/>
      <c r="CA25" s="49"/>
      <c r="CE25" s="50"/>
      <c r="CF25" s="50"/>
      <c r="CG25" s="50"/>
      <c r="CH25" s="50"/>
      <c r="CI25" s="50"/>
      <c r="CJ25" s="50"/>
      <c r="CK25" s="50"/>
      <c r="CL25" s="50"/>
      <c r="CM25" s="49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</row>
    <row r="26">
      <c r="A26" s="50"/>
      <c r="B26" s="50"/>
      <c r="C26" s="50"/>
      <c r="D26" s="49" t="s">
        <v>703</v>
      </c>
      <c r="E26" s="49" t="s">
        <v>704</v>
      </c>
      <c r="F26" s="49" t="s">
        <v>705</v>
      </c>
      <c r="G26" s="49" t="s">
        <v>706</v>
      </c>
      <c r="H26" s="49" t="s">
        <v>707</v>
      </c>
      <c r="I26" s="49" t="s">
        <v>708</v>
      </c>
      <c r="J26" s="49" t="s">
        <v>709</v>
      </c>
      <c r="K26" s="49" t="s">
        <v>710</v>
      </c>
      <c r="L26" s="49" t="s">
        <v>711</v>
      </c>
      <c r="M26" s="49" t="s">
        <v>712</v>
      </c>
      <c r="N26" s="49" t="s">
        <v>713</v>
      </c>
      <c r="O26" s="49" t="s">
        <v>714</v>
      </c>
      <c r="P26" s="49" t="s">
        <v>715</v>
      </c>
      <c r="Q26" s="49" t="s">
        <v>716</v>
      </c>
      <c r="R26" s="49" t="s">
        <v>717</v>
      </c>
      <c r="S26" s="49" t="s">
        <v>718</v>
      </c>
      <c r="T26" s="49" t="s">
        <v>719</v>
      </c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49"/>
      <c r="AO26" s="50"/>
      <c r="AP26" s="50"/>
      <c r="AQ26" s="50"/>
      <c r="AR26" s="50"/>
      <c r="AS26" s="50"/>
      <c r="AT26" s="50"/>
      <c r="AU26" s="50"/>
      <c r="AV26" s="50"/>
      <c r="AW26" s="49"/>
      <c r="BA26" s="50"/>
      <c r="BB26" s="50"/>
      <c r="BC26" s="50"/>
      <c r="BD26" s="50"/>
      <c r="BE26" s="50"/>
      <c r="BF26" s="50"/>
      <c r="BG26" s="50"/>
      <c r="BH26" s="50"/>
      <c r="BI26" s="49"/>
      <c r="BM26" s="50"/>
      <c r="BN26" s="50"/>
      <c r="BO26" s="49"/>
      <c r="BS26" s="50"/>
      <c r="BT26" s="50"/>
      <c r="BU26" s="50"/>
      <c r="BV26" s="50"/>
      <c r="BW26" s="50"/>
      <c r="BX26" s="50"/>
      <c r="BY26" s="50"/>
      <c r="BZ26" s="50"/>
      <c r="CA26" s="49"/>
      <c r="CE26" s="50"/>
      <c r="CF26" s="50"/>
      <c r="CG26" s="50"/>
      <c r="CH26" s="50"/>
      <c r="CI26" s="50"/>
      <c r="CJ26" s="50"/>
      <c r="CK26" s="50"/>
      <c r="CL26" s="50"/>
      <c r="CM26" s="49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</row>
    <row r="27">
      <c r="A27" s="50"/>
      <c r="B27" s="50"/>
      <c r="C27" s="50"/>
      <c r="D27" s="49" t="s">
        <v>720</v>
      </c>
      <c r="E27" s="49" t="s">
        <v>721</v>
      </c>
      <c r="F27" s="49" t="s">
        <v>722</v>
      </c>
      <c r="G27" s="49" t="s">
        <v>723</v>
      </c>
      <c r="H27" s="49" t="s">
        <v>724</v>
      </c>
      <c r="I27" s="49" t="s">
        <v>725</v>
      </c>
      <c r="J27" s="49" t="s">
        <v>726</v>
      </c>
      <c r="K27" s="49" t="s">
        <v>727</v>
      </c>
      <c r="L27" s="49" t="s">
        <v>728</v>
      </c>
      <c r="M27" s="49" t="s">
        <v>729</v>
      </c>
      <c r="N27" s="49" t="s">
        <v>730</v>
      </c>
      <c r="O27" s="49" t="s">
        <v>731</v>
      </c>
      <c r="P27" s="49" t="s">
        <v>732</v>
      </c>
      <c r="Q27" s="49" t="s">
        <v>733</v>
      </c>
      <c r="R27" s="49" t="s">
        <v>734</v>
      </c>
      <c r="S27" s="49" t="s">
        <v>735</v>
      </c>
      <c r="T27" s="49" t="s">
        <v>736</v>
      </c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49"/>
      <c r="AO27" s="50"/>
      <c r="AP27" s="50"/>
      <c r="AQ27" s="50"/>
      <c r="AR27" s="50"/>
      <c r="AS27" s="50"/>
      <c r="AT27" s="50"/>
      <c r="AU27" s="50"/>
      <c r="AV27" s="50"/>
      <c r="AW27" s="49"/>
      <c r="BA27" s="50"/>
      <c r="BB27" s="50"/>
      <c r="BC27" s="50"/>
      <c r="BD27" s="50"/>
      <c r="BE27" s="50"/>
      <c r="BF27" s="50"/>
      <c r="BG27" s="50"/>
      <c r="BH27" s="50"/>
      <c r="BI27" s="49"/>
      <c r="BM27" s="50"/>
      <c r="BN27" s="50"/>
      <c r="BO27" s="49"/>
      <c r="BS27" s="50"/>
      <c r="BT27" s="50"/>
      <c r="BU27" s="50"/>
      <c r="BV27" s="50"/>
      <c r="BW27" s="50"/>
      <c r="BX27" s="50"/>
      <c r="BY27" s="50"/>
      <c r="BZ27" s="50"/>
      <c r="CA27" s="49"/>
      <c r="CE27" s="50"/>
      <c r="CF27" s="50"/>
      <c r="CG27" s="50"/>
      <c r="CH27" s="50"/>
      <c r="CI27" s="50"/>
      <c r="CJ27" s="50"/>
      <c r="CK27" s="50"/>
      <c r="CL27" s="50"/>
      <c r="CM27" s="49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</row>
    <row r="28">
      <c r="A28" s="50"/>
      <c r="B28" s="50"/>
      <c r="C28" s="50"/>
      <c r="D28" s="49" t="s">
        <v>737</v>
      </c>
      <c r="E28" s="49" t="s">
        <v>738</v>
      </c>
      <c r="F28" s="49" t="s">
        <v>739</v>
      </c>
      <c r="G28" s="49" t="s">
        <v>740</v>
      </c>
      <c r="H28" s="49" t="s">
        <v>741</v>
      </c>
      <c r="I28" s="49" t="s">
        <v>742</v>
      </c>
      <c r="J28" s="49" t="s">
        <v>743</v>
      </c>
      <c r="K28" s="49" t="s">
        <v>744</v>
      </c>
      <c r="L28" s="49" t="s">
        <v>745</v>
      </c>
      <c r="M28" s="49" t="s">
        <v>746</v>
      </c>
      <c r="N28" s="49" t="s">
        <v>747</v>
      </c>
      <c r="O28" s="49" t="s">
        <v>748</v>
      </c>
      <c r="P28" s="49" t="s">
        <v>749</v>
      </c>
      <c r="Q28" s="49" t="s">
        <v>750</v>
      </c>
      <c r="R28" s="49" t="s">
        <v>751</v>
      </c>
      <c r="S28" s="49" t="s">
        <v>752</v>
      </c>
      <c r="T28" s="49" t="s">
        <v>753</v>
      </c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49"/>
      <c r="AN28" s="50"/>
      <c r="AO28" s="50"/>
      <c r="AP28" s="50"/>
      <c r="AQ28" s="50"/>
      <c r="AR28" s="50"/>
      <c r="AS28" s="50"/>
      <c r="AT28" s="50"/>
      <c r="AU28" s="50"/>
      <c r="AV28" s="50"/>
      <c r="AW28" s="49"/>
      <c r="BB28" s="50"/>
      <c r="BC28" s="50"/>
      <c r="BD28" s="50"/>
      <c r="BE28" s="50"/>
      <c r="BF28" s="50"/>
      <c r="BG28" s="50"/>
      <c r="BH28" s="50"/>
      <c r="BI28" s="49"/>
      <c r="BM28" s="50"/>
      <c r="BN28" s="50"/>
      <c r="BO28" s="49"/>
      <c r="BS28" s="50"/>
      <c r="BT28" s="50"/>
      <c r="BU28" s="50"/>
      <c r="BV28" s="50"/>
      <c r="BW28" s="50"/>
      <c r="BX28" s="50"/>
      <c r="BY28" s="50"/>
      <c r="BZ28" s="50"/>
      <c r="CA28" s="49"/>
      <c r="CE28" s="50"/>
      <c r="CF28" s="50"/>
      <c r="CG28" s="50"/>
      <c r="CH28" s="50"/>
      <c r="CI28" s="50"/>
      <c r="CJ28" s="50"/>
      <c r="CK28" s="50"/>
      <c r="CL28" s="50"/>
      <c r="CM28" s="49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</row>
    <row r="29">
      <c r="A29" s="50"/>
      <c r="B29" s="50"/>
      <c r="C29" s="50"/>
      <c r="D29" s="50"/>
      <c r="E29" s="49" t="s">
        <v>754</v>
      </c>
      <c r="F29" s="49" t="s">
        <v>755</v>
      </c>
      <c r="G29" s="49" t="s">
        <v>756</v>
      </c>
      <c r="H29" s="49" t="s">
        <v>757</v>
      </c>
      <c r="I29" s="49" t="s">
        <v>758</v>
      </c>
      <c r="J29" s="49" t="s">
        <v>759</v>
      </c>
      <c r="K29" s="49" t="s">
        <v>760</v>
      </c>
      <c r="L29" s="49" t="s">
        <v>761</v>
      </c>
      <c r="M29" s="49" t="s">
        <v>762</v>
      </c>
      <c r="N29" s="49" t="s">
        <v>763</v>
      </c>
      <c r="O29" s="49" t="s">
        <v>764</v>
      </c>
      <c r="P29" s="49" t="s">
        <v>765</v>
      </c>
      <c r="Q29" s="49" t="s">
        <v>766</v>
      </c>
      <c r="R29" s="49" t="s">
        <v>767</v>
      </c>
      <c r="S29" s="49" t="s">
        <v>768</v>
      </c>
      <c r="T29" s="49" t="s">
        <v>769</v>
      </c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49"/>
      <c r="BA29" s="50"/>
      <c r="BB29" s="50"/>
      <c r="BC29" s="50"/>
      <c r="BD29" s="50"/>
      <c r="BE29" s="50"/>
      <c r="BF29" s="50"/>
      <c r="BG29" s="50"/>
      <c r="BH29" s="50"/>
      <c r="BI29" s="49"/>
      <c r="BM29" s="50"/>
      <c r="BN29" s="50"/>
      <c r="BO29" s="49"/>
      <c r="BS29" s="50"/>
      <c r="BT29" s="50"/>
      <c r="BU29" s="50"/>
      <c r="BV29" s="50"/>
      <c r="BW29" s="50"/>
      <c r="BX29" s="50"/>
      <c r="BY29" s="50"/>
      <c r="BZ29" s="50"/>
      <c r="CA29" s="49"/>
      <c r="CE29" s="50"/>
      <c r="CF29" s="50"/>
      <c r="CG29" s="50"/>
      <c r="CH29" s="50"/>
      <c r="CI29" s="50"/>
      <c r="CJ29" s="50"/>
      <c r="CK29" s="50"/>
      <c r="CL29" s="50"/>
      <c r="CM29" s="49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</row>
    <row r="30">
      <c r="A30" s="50"/>
      <c r="B30" s="50"/>
      <c r="C30" s="50"/>
      <c r="D30" s="50"/>
      <c r="E30" s="49" t="s">
        <v>770</v>
      </c>
      <c r="F30" s="49" t="s">
        <v>771</v>
      </c>
      <c r="G30" s="49" t="s">
        <v>772</v>
      </c>
      <c r="H30" s="49" t="s">
        <v>773</v>
      </c>
      <c r="I30" s="49" t="s">
        <v>774</v>
      </c>
      <c r="J30" s="49" t="s">
        <v>775</v>
      </c>
      <c r="K30" s="49" t="s">
        <v>776</v>
      </c>
      <c r="L30" s="49" t="s">
        <v>777</v>
      </c>
      <c r="M30" s="49" t="s">
        <v>778</v>
      </c>
      <c r="N30" s="49" t="s">
        <v>779</v>
      </c>
      <c r="O30" s="49" t="s">
        <v>780</v>
      </c>
      <c r="P30" s="49" t="s">
        <v>781</v>
      </c>
      <c r="Q30" s="49" t="s">
        <v>782</v>
      </c>
      <c r="R30" s="49" t="s">
        <v>783</v>
      </c>
      <c r="S30" s="49" t="s">
        <v>784</v>
      </c>
      <c r="T30" s="49" t="s">
        <v>785</v>
      </c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49"/>
      <c r="BA30" s="50"/>
      <c r="BB30" s="50"/>
      <c r="BC30" s="50"/>
      <c r="BD30" s="50"/>
      <c r="BE30" s="50"/>
      <c r="BF30" s="50"/>
      <c r="BG30" s="50"/>
      <c r="BH30" s="50"/>
      <c r="BI30" s="49"/>
      <c r="BM30" s="50"/>
      <c r="BN30" s="50"/>
      <c r="BO30" s="49"/>
      <c r="BS30" s="50"/>
      <c r="BT30" s="50"/>
      <c r="BU30" s="50"/>
      <c r="BV30" s="50"/>
      <c r="BW30" s="50"/>
      <c r="BX30" s="50"/>
      <c r="BY30" s="50"/>
      <c r="BZ30" s="50"/>
      <c r="CA30" s="49"/>
      <c r="CE30" s="50"/>
      <c r="CF30" s="50"/>
      <c r="CG30" s="50"/>
      <c r="CH30" s="50"/>
      <c r="CI30" s="50"/>
      <c r="CJ30" s="50"/>
      <c r="CK30" s="50"/>
      <c r="CL30" s="50"/>
      <c r="CM30" s="49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</row>
    <row r="31">
      <c r="A31" s="51"/>
      <c r="B31" s="51"/>
      <c r="C31" s="51"/>
      <c r="D31" s="51"/>
      <c r="E31" s="52" t="s">
        <v>786</v>
      </c>
      <c r="F31" s="49" t="s">
        <v>787</v>
      </c>
      <c r="G31" s="49" t="s">
        <v>788</v>
      </c>
      <c r="H31" s="53" t="s">
        <v>789</v>
      </c>
      <c r="I31" s="53" t="s">
        <v>790</v>
      </c>
      <c r="J31" s="53" t="s">
        <v>791</v>
      </c>
      <c r="K31" s="49" t="s">
        <v>792</v>
      </c>
      <c r="L31" s="49" t="s">
        <v>793</v>
      </c>
      <c r="M31" s="49" t="s">
        <v>794</v>
      </c>
      <c r="N31" s="49" t="s">
        <v>795</v>
      </c>
      <c r="O31" s="49" t="s">
        <v>796</v>
      </c>
      <c r="P31" s="49" t="s">
        <v>797</v>
      </c>
      <c r="Q31" s="49" t="s">
        <v>798</v>
      </c>
      <c r="R31" s="49" t="s">
        <v>799</v>
      </c>
      <c r="S31" s="49" t="s">
        <v>800</v>
      </c>
      <c r="T31" s="49" t="s">
        <v>801</v>
      </c>
      <c r="U31" s="49"/>
      <c r="V31" s="49"/>
      <c r="W31" s="49"/>
      <c r="X31" s="49"/>
      <c r="Y31" s="49"/>
      <c r="AK31" s="49"/>
      <c r="AW31" s="49"/>
      <c r="AZ31" s="50"/>
      <c r="BA31" s="50"/>
      <c r="BB31" s="50"/>
      <c r="BC31" s="50"/>
      <c r="BD31" s="50"/>
      <c r="BE31" s="50"/>
      <c r="BF31" s="50"/>
      <c r="BG31" s="50"/>
      <c r="BH31" s="50"/>
      <c r="BI31" s="49"/>
      <c r="BN31" s="50"/>
      <c r="BO31" s="49"/>
      <c r="BS31" s="50"/>
      <c r="BT31" s="50"/>
      <c r="BU31" s="50"/>
      <c r="BV31" s="50"/>
      <c r="BW31" s="50"/>
      <c r="BX31" s="50"/>
      <c r="BY31" s="50"/>
      <c r="BZ31" s="50"/>
      <c r="CA31" s="49"/>
      <c r="CB31" s="49"/>
      <c r="CC31" s="49"/>
      <c r="CD31" s="49"/>
      <c r="CE31" s="50"/>
      <c r="CF31" s="50"/>
      <c r="CG31" s="50"/>
      <c r="CH31" s="50"/>
      <c r="CI31" s="50"/>
      <c r="CJ31" s="50"/>
      <c r="CK31" s="50"/>
      <c r="CL31" s="50"/>
      <c r="CM31" s="49"/>
      <c r="CN31" s="49"/>
      <c r="CO31" s="49"/>
      <c r="CP31" s="49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</row>
    <row r="32">
      <c r="A32" s="51"/>
      <c r="B32" s="51"/>
      <c r="C32" s="51"/>
      <c r="D32" s="51"/>
      <c r="E32" s="51"/>
      <c r="F32" s="52" t="s">
        <v>802</v>
      </c>
      <c r="G32" s="49" t="s">
        <v>803</v>
      </c>
      <c r="H32" s="53" t="s">
        <v>804</v>
      </c>
      <c r="I32" s="53" t="s">
        <v>805</v>
      </c>
      <c r="J32" s="53" t="s">
        <v>806</v>
      </c>
      <c r="K32" s="49" t="s">
        <v>807</v>
      </c>
      <c r="L32" s="49" t="s">
        <v>808</v>
      </c>
      <c r="M32" s="49" t="s">
        <v>809</v>
      </c>
      <c r="N32" s="49" t="s">
        <v>810</v>
      </c>
      <c r="O32" s="49" t="s">
        <v>811</v>
      </c>
      <c r="P32" s="49" t="s">
        <v>812</v>
      </c>
      <c r="Q32" s="49" t="s">
        <v>813</v>
      </c>
      <c r="R32" s="49" t="s">
        <v>814</v>
      </c>
      <c r="S32" s="49" t="s">
        <v>815</v>
      </c>
      <c r="T32" s="49" t="s">
        <v>816</v>
      </c>
      <c r="U32" s="50"/>
      <c r="V32" s="50"/>
      <c r="W32" s="50"/>
      <c r="X32" s="50"/>
      <c r="Y32" s="49"/>
      <c r="AE32" s="50"/>
      <c r="AF32" s="50"/>
      <c r="AG32" s="50"/>
      <c r="AH32" s="50"/>
      <c r="AI32" s="50"/>
      <c r="AJ32" s="50"/>
      <c r="AK32" s="49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49"/>
      <c r="BM32" s="50"/>
      <c r="BN32" s="50"/>
      <c r="BO32" s="49"/>
      <c r="BS32" s="50"/>
      <c r="BT32" s="50"/>
      <c r="BU32" s="50"/>
      <c r="BV32" s="50"/>
      <c r="BW32" s="50"/>
      <c r="BX32" s="50"/>
      <c r="BY32" s="50"/>
      <c r="BZ32" s="50"/>
      <c r="CA32" s="49"/>
      <c r="CB32" s="49"/>
      <c r="CC32" s="49"/>
      <c r="CD32" s="49"/>
      <c r="CE32" s="50"/>
      <c r="CF32" s="50"/>
      <c r="CG32" s="50"/>
      <c r="CH32" s="50"/>
      <c r="CI32" s="50"/>
      <c r="CJ32" s="50"/>
      <c r="CK32" s="50"/>
      <c r="CL32" s="50"/>
      <c r="CM32" s="49"/>
      <c r="CN32" s="49"/>
      <c r="CO32" s="49"/>
      <c r="CP32" s="49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</row>
    <row r="33">
      <c r="A33" s="51"/>
      <c r="B33" s="51"/>
      <c r="C33" s="51"/>
      <c r="D33" s="50"/>
      <c r="E33" s="50"/>
      <c r="F33" s="52" t="s">
        <v>817</v>
      </c>
      <c r="G33" s="49" t="s">
        <v>818</v>
      </c>
      <c r="H33" s="53" t="s">
        <v>819</v>
      </c>
      <c r="I33" s="53" t="s">
        <v>820</v>
      </c>
      <c r="J33" s="53" t="s">
        <v>821</v>
      </c>
      <c r="K33" s="49" t="s">
        <v>822</v>
      </c>
      <c r="L33" s="49" t="s">
        <v>823</v>
      </c>
      <c r="M33" s="49" t="s">
        <v>824</v>
      </c>
      <c r="N33" s="49" t="s">
        <v>825</v>
      </c>
      <c r="O33" s="49" t="s">
        <v>826</v>
      </c>
      <c r="P33" s="49" t="s">
        <v>827</v>
      </c>
      <c r="Q33" s="49" t="s">
        <v>828</v>
      </c>
      <c r="R33" s="49" t="s">
        <v>829</v>
      </c>
      <c r="S33" s="49" t="s">
        <v>830</v>
      </c>
      <c r="T33" s="49" t="s">
        <v>831</v>
      </c>
      <c r="U33" s="50"/>
      <c r="V33" s="50"/>
      <c r="W33" s="50"/>
      <c r="X33" s="50"/>
      <c r="Y33" s="49"/>
      <c r="AB33" s="50"/>
      <c r="AC33" s="50"/>
      <c r="AD33" s="50"/>
      <c r="AE33" s="50"/>
      <c r="AF33" s="50"/>
      <c r="AG33" s="50"/>
      <c r="AH33" s="50"/>
      <c r="AI33" s="50"/>
      <c r="AJ33" s="50"/>
      <c r="AK33" s="49"/>
      <c r="AN33" s="50"/>
      <c r="AO33" s="50"/>
      <c r="AP33" s="50"/>
      <c r="AQ33" s="50"/>
      <c r="AR33" s="50"/>
      <c r="AS33" s="50"/>
      <c r="AT33" s="50"/>
      <c r="AU33" s="50"/>
      <c r="AV33" s="50"/>
      <c r="AW33" s="49"/>
      <c r="BI33" s="49"/>
      <c r="BM33" s="50"/>
      <c r="BN33" s="50"/>
      <c r="BO33" s="49"/>
      <c r="BS33" s="50"/>
      <c r="BT33" s="50"/>
      <c r="BU33" s="50"/>
      <c r="BV33" s="50"/>
      <c r="BW33" s="50"/>
      <c r="BX33" s="50"/>
      <c r="BY33" s="50"/>
      <c r="BZ33" s="50"/>
      <c r="CA33" s="49"/>
      <c r="CB33" s="49"/>
      <c r="CC33" s="49"/>
      <c r="CD33" s="49"/>
      <c r="CE33" s="50"/>
      <c r="CF33" s="50"/>
      <c r="CG33" s="50"/>
      <c r="CH33" s="50"/>
      <c r="CI33" s="50"/>
      <c r="CJ33" s="50"/>
      <c r="CK33" s="50"/>
      <c r="CL33" s="50"/>
      <c r="CM33" s="49"/>
      <c r="CN33" s="49"/>
      <c r="CO33" s="49"/>
      <c r="CP33" s="49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</row>
    <row r="34">
      <c r="A34" s="51"/>
      <c r="B34" s="51"/>
      <c r="C34" s="51"/>
      <c r="D34" s="50"/>
      <c r="E34" s="50"/>
      <c r="F34" s="52" t="s">
        <v>832</v>
      </c>
      <c r="G34" s="53" t="s">
        <v>833</v>
      </c>
      <c r="H34" s="53" t="s">
        <v>834</v>
      </c>
      <c r="I34" s="53" t="s">
        <v>835</v>
      </c>
      <c r="J34" s="49" t="s">
        <v>836</v>
      </c>
      <c r="K34" s="49" t="s">
        <v>837</v>
      </c>
      <c r="L34" s="49" t="s">
        <v>838</v>
      </c>
      <c r="M34" s="49" t="s">
        <v>839</v>
      </c>
      <c r="N34" s="49" t="s">
        <v>840</v>
      </c>
      <c r="O34" s="49" t="s">
        <v>841</v>
      </c>
      <c r="P34" s="49" t="s">
        <v>842</v>
      </c>
      <c r="Q34" s="49" t="s">
        <v>843</v>
      </c>
      <c r="R34" s="49" t="s">
        <v>844</v>
      </c>
      <c r="S34" s="49" t="s">
        <v>845</v>
      </c>
      <c r="T34" s="49" t="s">
        <v>846</v>
      </c>
      <c r="U34" s="50"/>
      <c r="V34" s="50"/>
      <c r="W34" s="50"/>
      <c r="X34" s="50"/>
      <c r="Y34" s="49"/>
      <c r="AB34" s="50"/>
      <c r="AC34" s="50"/>
      <c r="AD34" s="50"/>
      <c r="AE34" s="50"/>
      <c r="AF34" s="50"/>
      <c r="AG34" s="50"/>
      <c r="AH34" s="50"/>
      <c r="AI34" s="50"/>
      <c r="AJ34" s="50"/>
      <c r="AK34" s="49"/>
      <c r="AN34" s="50"/>
      <c r="AO34" s="50"/>
      <c r="AP34" s="50"/>
      <c r="AQ34" s="50"/>
      <c r="AR34" s="50"/>
      <c r="AS34" s="50"/>
      <c r="AT34" s="50"/>
      <c r="AU34" s="50"/>
      <c r="AV34" s="50"/>
      <c r="AW34" s="49"/>
      <c r="BC34" s="50"/>
      <c r="BD34" s="50"/>
      <c r="BE34" s="50"/>
      <c r="BF34" s="50"/>
      <c r="BG34" s="50"/>
      <c r="BH34" s="50"/>
      <c r="BI34" s="49"/>
      <c r="BL34" s="50"/>
      <c r="BM34" s="50"/>
      <c r="BN34" s="50"/>
      <c r="BO34" s="49"/>
      <c r="BS34" s="50"/>
      <c r="BT34" s="50"/>
      <c r="BU34" s="50"/>
      <c r="BV34" s="50"/>
      <c r="BW34" s="50"/>
      <c r="BX34" s="50"/>
      <c r="BY34" s="50"/>
      <c r="BZ34" s="50"/>
      <c r="CA34" s="49"/>
      <c r="CB34" s="49"/>
      <c r="CC34" s="49"/>
      <c r="CD34" s="49"/>
      <c r="CE34" s="50"/>
      <c r="CF34" s="50"/>
      <c r="CG34" s="50"/>
      <c r="CH34" s="50"/>
      <c r="CI34" s="50"/>
      <c r="CJ34" s="50"/>
      <c r="CK34" s="50"/>
      <c r="CL34" s="50"/>
      <c r="CM34" s="49"/>
      <c r="CN34" s="49"/>
      <c r="CO34" s="49"/>
      <c r="CP34" s="49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</row>
    <row r="35">
      <c r="A35" s="51"/>
      <c r="B35" s="51"/>
      <c r="C35" s="51"/>
      <c r="D35" s="50"/>
      <c r="E35" s="50"/>
      <c r="F35" s="50"/>
      <c r="G35" s="53" t="s">
        <v>847</v>
      </c>
      <c r="H35" s="53" t="s">
        <v>848</v>
      </c>
      <c r="I35" s="53" t="s">
        <v>849</v>
      </c>
      <c r="J35" s="49" t="s">
        <v>850</v>
      </c>
      <c r="K35" s="49" t="s">
        <v>851</v>
      </c>
      <c r="L35" s="49" t="s">
        <v>852</v>
      </c>
      <c r="M35" s="49" t="s">
        <v>853</v>
      </c>
      <c r="N35" s="49" t="s">
        <v>854</v>
      </c>
      <c r="O35" s="49" t="s">
        <v>855</v>
      </c>
      <c r="P35" s="49" t="s">
        <v>856</v>
      </c>
      <c r="Q35" s="49" t="s">
        <v>857</v>
      </c>
      <c r="R35" s="49" t="s">
        <v>858</v>
      </c>
      <c r="S35" s="49" t="s">
        <v>859</v>
      </c>
      <c r="T35" s="49" t="s">
        <v>860</v>
      </c>
      <c r="U35" s="50"/>
      <c r="V35" s="50"/>
      <c r="W35" s="50"/>
      <c r="X35" s="50"/>
      <c r="Y35" s="49"/>
      <c r="AB35" s="50"/>
      <c r="AC35" s="50"/>
      <c r="AD35" s="50"/>
      <c r="AE35" s="50"/>
      <c r="AF35" s="50"/>
      <c r="AG35" s="50"/>
      <c r="AH35" s="50"/>
      <c r="AI35" s="50"/>
      <c r="AJ35" s="50"/>
      <c r="AK35" s="49"/>
      <c r="AN35" s="50"/>
      <c r="AO35" s="50"/>
      <c r="AP35" s="50"/>
      <c r="AQ35" s="50"/>
      <c r="AR35" s="50"/>
      <c r="AS35" s="50"/>
      <c r="AT35" s="50"/>
      <c r="AU35" s="50"/>
      <c r="AV35" s="50"/>
      <c r="AW35" s="49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49"/>
      <c r="BP35" s="49"/>
      <c r="BQ35" s="49"/>
      <c r="BR35" s="49"/>
      <c r="BS35" s="49"/>
      <c r="BT35" s="50"/>
      <c r="BU35" s="50"/>
      <c r="BV35" s="50"/>
      <c r="BW35" s="50"/>
      <c r="BX35" s="50"/>
      <c r="BY35" s="50"/>
      <c r="BZ35" s="50"/>
      <c r="CA35" s="49"/>
      <c r="CB35" s="49"/>
      <c r="CC35" s="49"/>
      <c r="CD35" s="49"/>
      <c r="CE35" s="50"/>
      <c r="CF35" s="50"/>
      <c r="CG35" s="50"/>
      <c r="CH35" s="50"/>
      <c r="CI35" s="50"/>
      <c r="CJ35" s="50"/>
      <c r="CK35" s="50"/>
      <c r="CL35" s="50"/>
      <c r="CM35" s="49"/>
      <c r="CN35" s="49"/>
      <c r="CO35" s="49"/>
      <c r="CP35" s="49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</row>
    <row r="36">
      <c r="A36" s="51"/>
      <c r="B36" s="51"/>
      <c r="C36" s="51"/>
      <c r="D36" s="51"/>
      <c r="E36" s="50"/>
      <c r="F36" s="50"/>
      <c r="G36" s="53" t="s">
        <v>861</v>
      </c>
      <c r="H36" s="53" t="s">
        <v>862</v>
      </c>
      <c r="I36" s="53" t="s">
        <v>863</v>
      </c>
      <c r="J36" s="49" t="s">
        <v>864</v>
      </c>
      <c r="K36" s="49" t="s">
        <v>865</v>
      </c>
      <c r="L36" s="49" t="s">
        <v>866</v>
      </c>
      <c r="M36" s="49" t="s">
        <v>867</v>
      </c>
      <c r="N36" s="49" t="s">
        <v>868</v>
      </c>
      <c r="O36" s="49" t="s">
        <v>869</v>
      </c>
      <c r="P36" s="49" t="s">
        <v>870</v>
      </c>
      <c r="Q36" s="49" t="s">
        <v>871</v>
      </c>
      <c r="R36" s="49" t="s">
        <v>872</v>
      </c>
      <c r="S36" s="49" t="s">
        <v>873</v>
      </c>
      <c r="T36" s="49" t="s">
        <v>874</v>
      </c>
      <c r="U36" s="50"/>
      <c r="V36" s="50"/>
      <c r="W36" s="50"/>
      <c r="X36" s="50"/>
      <c r="Y36" s="49"/>
      <c r="AB36" s="50"/>
      <c r="AC36" s="50"/>
      <c r="AD36" s="50"/>
      <c r="AE36" s="50"/>
      <c r="AF36" s="50"/>
      <c r="AG36" s="50"/>
      <c r="AH36" s="50"/>
      <c r="AI36" s="50"/>
      <c r="AJ36" s="50"/>
      <c r="AK36" s="49"/>
      <c r="AN36" s="50"/>
      <c r="AO36" s="50"/>
      <c r="AP36" s="50"/>
      <c r="AQ36" s="50"/>
      <c r="AR36" s="50"/>
      <c r="AS36" s="50"/>
      <c r="AT36" s="50"/>
      <c r="AU36" s="50"/>
      <c r="AV36" s="50"/>
      <c r="AW36" s="49"/>
      <c r="AZ36" s="50"/>
      <c r="BA36" s="50"/>
      <c r="BB36" s="50"/>
      <c r="BC36" s="50"/>
      <c r="BD36" s="50"/>
      <c r="BE36" s="50"/>
      <c r="BF36" s="50"/>
      <c r="BG36" s="50"/>
      <c r="BH36" s="50"/>
      <c r="BI36" s="49"/>
      <c r="BO36" s="49"/>
      <c r="BP36" s="49"/>
      <c r="BQ36" s="49"/>
      <c r="BR36" s="49"/>
      <c r="BS36" s="50"/>
      <c r="BT36" s="50"/>
      <c r="BU36" s="50"/>
      <c r="BV36" s="50"/>
      <c r="BW36" s="50"/>
      <c r="BX36" s="50"/>
      <c r="BY36" s="50"/>
      <c r="BZ36" s="50"/>
      <c r="CA36" s="49"/>
      <c r="CB36" s="49"/>
      <c r="CC36" s="49"/>
      <c r="CD36" s="49"/>
      <c r="CE36" s="50"/>
      <c r="CF36" s="50"/>
      <c r="CG36" s="50"/>
      <c r="CH36" s="50"/>
      <c r="CI36" s="50"/>
      <c r="CJ36" s="50"/>
      <c r="CK36" s="50"/>
      <c r="CL36" s="50"/>
      <c r="CM36" s="49"/>
      <c r="CN36" s="49"/>
      <c r="CO36" s="49"/>
      <c r="CP36" s="49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</row>
    <row r="37">
      <c r="A37" s="51"/>
      <c r="B37" s="51"/>
      <c r="C37" s="51"/>
      <c r="D37" s="50"/>
      <c r="E37" s="50"/>
      <c r="F37" s="50"/>
      <c r="G37" s="53" t="s">
        <v>875</v>
      </c>
      <c r="H37" s="53" t="s">
        <v>876</v>
      </c>
      <c r="I37" s="53" t="s">
        <v>877</v>
      </c>
      <c r="J37" s="49" t="s">
        <v>878</v>
      </c>
      <c r="K37" s="49" t="s">
        <v>879</v>
      </c>
      <c r="L37" s="49" t="s">
        <v>880</v>
      </c>
      <c r="M37" s="49" t="s">
        <v>881</v>
      </c>
      <c r="N37" s="49" t="s">
        <v>882</v>
      </c>
      <c r="O37" s="49" t="s">
        <v>883</v>
      </c>
      <c r="P37" s="49" t="s">
        <v>884</v>
      </c>
      <c r="Q37" s="49" t="s">
        <v>885</v>
      </c>
      <c r="R37" s="49" t="s">
        <v>886</v>
      </c>
      <c r="S37" s="49" t="s">
        <v>887</v>
      </c>
      <c r="T37" s="49" t="s">
        <v>888</v>
      </c>
      <c r="U37" s="50"/>
      <c r="V37" s="50"/>
      <c r="W37" s="50"/>
      <c r="X37" s="50"/>
      <c r="Y37" s="49"/>
      <c r="AB37" s="50"/>
      <c r="AC37" s="50"/>
      <c r="AD37" s="50"/>
      <c r="AE37" s="50"/>
      <c r="AF37" s="50"/>
      <c r="AG37" s="50"/>
      <c r="AH37" s="50"/>
      <c r="AI37" s="50"/>
      <c r="AJ37" s="50"/>
      <c r="AK37" s="49"/>
      <c r="AN37" s="50"/>
      <c r="AO37" s="50"/>
      <c r="AP37" s="50"/>
      <c r="AQ37" s="50"/>
      <c r="AR37" s="50"/>
      <c r="AS37" s="50"/>
      <c r="AT37" s="50"/>
      <c r="AU37" s="50"/>
      <c r="AV37" s="50"/>
      <c r="AW37" s="49"/>
      <c r="AZ37" s="50"/>
      <c r="BA37" s="50"/>
      <c r="BB37" s="50"/>
      <c r="BC37" s="50"/>
      <c r="BD37" s="50"/>
      <c r="BE37" s="50"/>
      <c r="BF37" s="50"/>
      <c r="BG37" s="50"/>
      <c r="BH37" s="50"/>
      <c r="BI37" s="49"/>
      <c r="BO37" s="49"/>
      <c r="BP37" s="49"/>
      <c r="BQ37" s="49"/>
      <c r="BR37" s="49"/>
      <c r="BS37" s="50"/>
      <c r="BT37" s="50"/>
      <c r="BU37" s="50"/>
      <c r="BV37" s="50"/>
      <c r="BW37" s="50"/>
      <c r="BX37" s="50"/>
      <c r="BY37" s="50"/>
      <c r="BZ37" s="50"/>
      <c r="CA37" s="49"/>
      <c r="CB37" s="49"/>
      <c r="CC37" s="49"/>
      <c r="CD37" s="49"/>
      <c r="CE37" s="49"/>
      <c r="CF37" s="50"/>
      <c r="CG37" s="50"/>
      <c r="CH37" s="50"/>
      <c r="CI37" s="50"/>
      <c r="CJ37" s="50"/>
      <c r="CK37" s="50"/>
      <c r="CL37" s="50"/>
      <c r="CM37" s="49"/>
      <c r="CN37" s="49"/>
      <c r="CO37" s="49"/>
      <c r="CP37" s="49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</row>
    <row r="38">
      <c r="A38" s="51"/>
      <c r="B38" s="51"/>
      <c r="C38" s="51"/>
      <c r="D38" s="51"/>
      <c r="E38" s="50"/>
      <c r="F38" s="50"/>
      <c r="G38" s="50"/>
      <c r="H38" s="53" t="s">
        <v>889</v>
      </c>
      <c r="I38" s="53" t="s">
        <v>890</v>
      </c>
      <c r="J38" s="49" t="s">
        <v>891</v>
      </c>
      <c r="K38" s="49" t="s">
        <v>892</v>
      </c>
      <c r="L38" s="49" t="s">
        <v>893</v>
      </c>
      <c r="M38" s="49" t="s">
        <v>894</v>
      </c>
      <c r="N38" s="49" t="s">
        <v>895</v>
      </c>
      <c r="O38" s="49" t="s">
        <v>896</v>
      </c>
      <c r="P38" s="49" t="s">
        <v>897</v>
      </c>
      <c r="Q38" s="49" t="s">
        <v>898</v>
      </c>
      <c r="R38" s="49" t="s">
        <v>899</v>
      </c>
      <c r="S38" s="49" t="s">
        <v>900</v>
      </c>
      <c r="T38" s="49" t="s">
        <v>901</v>
      </c>
      <c r="U38" s="50"/>
      <c r="V38" s="50"/>
      <c r="W38" s="50"/>
      <c r="X38" s="50"/>
      <c r="Y38" s="49"/>
      <c r="AC38" s="50"/>
      <c r="AD38" s="50"/>
      <c r="AE38" s="50"/>
      <c r="AF38" s="50"/>
      <c r="AG38" s="50"/>
      <c r="AH38" s="50"/>
      <c r="AI38" s="50"/>
      <c r="AJ38" s="50"/>
      <c r="AK38" s="49"/>
      <c r="AO38" s="50"/>
      <c r="AP38" s="50"/>
      <c r="AQ38" s="50"/>
      <c r="AR38" s="50"/>
      <c r="AS38" s="50"/>
      <c r="AT38" s="50"/>
      <c r="AU38" s="50"/>
      <c r="AV38" s="50"/>
      <c r="AW38" s="49"/>
      <c r="BA38" s="50"/>
      <c r="BB38" s="50"/>
      <c r="BC38" s="50"/>
      <c r="BD38" s="50"/>
      <c r="BE38" s="50"/>
      <c r="BF38" s="50"/>
      <c r="BG38" s="50"/>
      <c r="BH38" s="50"/>
      <c r="BI38" s="49"/>
      <c r="BL38" s="50"/>
      <c r="BM38" s="50"/>
      <c r="BN38" s="50"/>
      <c r="BO38" s="49"/>
      <c r="BP38" s="49"/>
      <c r="BQ38" s="49"/>
      <c r="BR38" s="50"/>
      <c r="BS38" s="50"/>
      <c r="BT38" s="50"/>
      <c r="BU38" s="50"/>
      <c r="BV38" s="50"/>
      <c r="BW38" s="50"/>
      <c r="BX38" s="50"/>
      <c r="BY38" s="50"/>
      <c r="BZ38" s="50"/>
      <c r="CA38" s="49"/>
      <c r="CB38" s="49"/>
      <c r="CC38" s="49"/>
      <c r="CD38" s="49"/>
      <c r="CE38" s="50"/>
      <c r="CF38" s="50"/>
      <c r="CG38" s="50"/>
      <c r="CH38" s="50"/>
      <c r="CI38" s="50"/>
      <c r="CJ38" s="50"/>
      <c r="CK38" s="50"/>
      <c r="CL38" s="50"/>
      <c r="CM38" s="49"/>
      <c r="CN38" s="49"/>
      <c r="CO38" s="49"/>
      <c r="CP38" s="49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</row>
    <row r="39">
      <c r="A39" s="51"/>
      <c r="B39" s="51"/>
      <c r="C39" s="51"/>
      <c r="D39" s="50"/>
      <c r="E39" s="50"/>
      <c r="F39" s="50"/>
      <c r="G39" s="50"/>
      <c r="H39" s="53" t="s">
        <v>902</v>
      </c>
      <c r="I39" s="53" t="s">
        <v>903</v>
      </c>
      <c r="J39" s="49" t="s">
        <v>904</v>
      </c>
      <c r="K39" s="49" t="s">
        <v>905</v>
      </c>
      <c r="L39" s="49" t="s">
        <v>906</v>
      </c>
      <c r="M39" s="49" t="s">
        <v>907</v>
      </c>
      <c r="N39" s="49" t="s">
        <v>908</v>
      </c>
      <c r="O39" s="49" t="s">
        <v>909</v>
      </c>
      <c r="P39" s="49" t="s">
        <v>910</v>
      </c>
      <c r="Q39" s="49" t="s">
        <v>911</v>
      </c>
      <c r="R39" s="49" t="s">
        <v>912</v>
      </c>
      <c r="S39" s="49" t="s">
        <v>913</v>
      </c>
      <c r="T39" s="49" t="s">
        <v>914</v>
      </c>
      <c r="U39" s="50"/>
      <c r="V39" s="50"/>
      <c r="W39" s="50"/>
      <c r="X39" s="50"/>
      <c r="Y39" s="49"/>
      <c r="AB39" s="50"/>
      <c r="AC39" s="50"/>
      <c r="AD39" s="50"/>
      <c r="AE39" s="50"/>
      <c r="AF39" s="50"/>
      <c r="AG39" s="50"/>
      <c r="AH39" s="50"/>
      <c r="AI39" s="50"/>
      <c r="AJ39" s="50"/>
      <c r="AK39" s="49"/>
      <c r="AN39" s="50"/>
      <c r="AO39" s="50"/>
      <c r="AP39" s="50"/>
      <c r="AQ39" s="50"/>
      <c r="AR39" s="50"/>
      <c r="AS39" s="50"/>
      <c r="AT39" s="50"/>
      <c r="AU39" s="50"/>
      <c r="AV39" s="50"/>
      <c r="AW39" s="49"/>
      <c r="AZ39" s="50"/>
      <c r="BA39" s="50"/>
      <c r="BB39" s="50"/>
      <c r="BC39" s="50"/>
      <c r="BD39" s="50"/>
      <c r="BE39" s="50"/>
      <c r="BF39" s="50"/>
      <c r="BG39" s="50"/>
      <c r="BH39" s="50"/>
      <c r="BI39" s="49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49"/>
      <c r="CB39" s="49"/>
      <c r="CC39" s="49"/>
      <c r="CD39" s="49"/>
      <c r="CE39" s="50"/>
      <c r="CF39" s="50"/>
      <c r="CG39" s="50"/>
      <c r="CH39" s="50"/>
      <c r="CI39" s="50"/>
      <c r="CJ39" s="50"/>
      <c r="CK39" s="50"/>
      <c r="CL39" s="50"/>
      <c r="CM39" s="49"/>
      <c r="CN39" s="49"/>
      <c r="CO39" s="49"/>
      <c r="CP39" s="49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</row>
    <row r="40">
      <c r="A40" s="51"/>
      <c r="B40" s="51"/>
      <c r="C40" s="51"/>
      <c r="D40" s="51"/>
      <c r="E40" s="50"/>
      <c r="F40" s="50"/>
      <c r="G40" s="50"/>
      <c r="H40" s="53" t="s">
        <v>915</v>
      </c>
      <c r="I40" s="53" t="s">
        <v>916</v>
      </c>
      <c r="J40" s="49" t="s">
        <v>917</v>
      </c>
      <c r="K40" s="49" t="s">
        <v>918</v>
      </c>
      <c r="L40" s="49" t="s">
        <v>919</v>
      </c>
      <c r="M40" s="49" t="s">
        <v>920</v>
      </c>
      <c r="N40" s="49" t="s">
        <v>921</v>
      </c>
      <c r="O40" s="49" t="s">
        <v>922</v>
      </c>
      <c r="P40" s="49" t="s">
        <v>923</v>
      </c>
      <c r="Q40" s="49" t="s">
        <v>924</v>
      </c>
      <c r="R40" s="49" t="s">
        <v>925</v>
      </c>
      <c r="S40" s="49" t="s">
        <v>926</v>
      </c>
      <c r="T40" s="49" t="s">
        <v>927</v>
      </c>
      <c r="U40" s="50"/>
      <c r="V40" s="50"/>
      <c r="W40" s="50"/>
      <c r="X40" s="50"/>
      <c r="Y40" s="49"/>
      <c r="AC40" s="50"/>
      <c r="AD40" s="50"/>
      <c r="AE40" s="50"/>
      <c r="AF40" s="50"/>
      <c r="AG40" s="50"/>
      <c r="AH40" s="50"/>
      <c r="AI40" s="50"/>
      <c r="AJ40" s="50"/>
      <c r="AK40" s="49"/>
      <c r="AO40" s="50"/>
      <c r="AP40" s="50"/>
      <c r="AQ40" s="50"/>
      <c r="AR40" s="50"/>
      <c r="AS40" s="50"/>
      <c r="AT40" s="50"/>
      <c r="AU40" s="50"/>
      <c r="AV40" s="50"/>
      <c r="AW40" s="49"/>
      <c r="BA40" s="50"/>
      <c r="BB40" s="50"/>
      <c r="BC40" s="50"/>
      <c r="BD40" s="50"/>
      <c r="BE40" s="50"/>
      <c r="BF40" s="50"/>
      <c r="BG40" s="50"/>
      <c r="BH40" s="50"/>
      <c r="BI40" s="49"/>
      <c r="BL40" s="50"/>
      <c r="BM40" s="50"/>
      <c r="BN40" s="50"/>
      <c r="BO40" s="49"/>
      <c r="CA40" s="49"/>
      <c r="CB40" s="49"/>
      <c r="CC40" s="49"/>
      <c r="CD40" s="50"/>
      <c r="CE40" s="50"/>
      <c r="CF40" s="50"/>
      <c r="CG40" s="50"/>
      <c r="CH40" s="50"/>
      <c r="CI40" s="50"/>
      <c r="CJ40" s="50"/>
      <c r="CK40" s="50"/>
      <c r="CL40" s="50"/>
      <c r="CM40" s="49"/>
      <c r="CN40" s="49"/>
      <c r="CO40" s="49"/>
      <c r="CP40" s="49"/>
      <c r="CQ40" s="49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</row>
    <row r="41">
      <c r="A41" s="51"/>
      <c r="B41" s="51"/>
      <c r="C41" s="51"/>
      <c r="D41" s="51"/>
      <c r="E41" s="50"/>
      <c r="F41" s="50"/>
      <c r="G41" s="50"/>
      <c r="H41" s="50"/>
      <c r="I41" s="53" t="s">
        <v>928</v>
      </c>
      <c r="J41" s="49" t="s">
        <v>929</v>
      </c>
      <c r="K41" s="49" t="s">
        <v>930</v>
      </c>
      <c r="L41" s="49" t="s">
        <v>931</v>
      </c>
      <c r="M41" s="49" t="s">
        <v>932</v>
      </c>
      <c r="N41" s="49" t="s">
        <v>933</v>
      </c>
      <c r="O41" s="49" t="s">
        <v>934</v>
      </c>
      <c r="P41" s="49" t="s">
        <v>935</v>
      </c>
      <c r="Q41" s="49" t="s">
        <v>936</v>
      </c>
      <c r="R41" s="49" t="s">
        <v>937</v>
      </c>
      <c r="S41" s="49" t="s">
        <v>938</v>
      </c>
      <c r="T41" s="49" t="s">
        <v>939</v>
      </c>
      <c r="U41" s="50"/>
      <c r="V41" s="50"/>
      <c r="W41" s="50"/>
      <c r="X41" s="50"/>
      <c r="Y41" s="49"/>
      <c r="AC41" s="50"/>
      <c r="AD41" s="50"/>
      <c r="AE41" s="50"/>
      <c r="AF41" s="50"/>
      <c r="AG41" s="50"/>
      <c r="AH41" s="50"/>
      <c r="AI41" s="50"/>
      <c r="AJ41" s="50"/>
      <c r="AK41" s="49"/>
      <c r="AO41" s="50"/>
      <c r="AP41" s="50"/>
      <c r="AQ41" s="50"/>
      <c r="AR41" s="50"/>
      <c r="AS41" s="50"/>
      <c r="AT41" s="50"/>
      <c r="AU41" s="50"/>
      <c r="AV41" s="50"/>
      <c r="AW41" s="49"/>
      <c r="AZ41" s="50"/>
      <c r="BA41" s="50"/>
      <c r="BB41" s="50"/>
      <c r="BC41" s="50"/>
      <c r="BD41" s="50"/>
      <c r="BE41" s="50"/>
      <c r="BF41" s="50"/>
      <c r="BG41" s="50"/>
      <c r="BH41" s="50"/>
      <c r="BI41" s="49"/>
      <c r="BM41" s="50"/>
      <c r="BN41" s="50"/>
      <c r="BO41" s="49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49"/>
      <c r="CN41" s="49"/>
      <c r="CO41" s="49"/>
      <c r="CP41" s="49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</row>
    <row r="42">
      <c r="A42" s="51"/>
      <c r="B42" s="51"/>
      <c r="C42" s="51"/>
      <c r="D42" s="51"/>
      <c r="E42" s="50"/>
      <c r="F42" s="50"/>
      <c r="G42" s="50"/>
      <c r="H42" s="50"/>
      <c r="I42" s="53" t="s">
        <v>940</v>
      </c>
      <c r="J42" s="49" t="s">
        <v>941</v>
      </c>
      <c r="K42" s="49" t="s">
        <v>942</v>
      </c>
      <c r="L42" s="49" t="s">
        <v>943</v>
      </c>
      <c r="M42" s="49" t="s">
        <v>944</v>
      </c>
      <c r="N42" s="49" t="s">
        <v>945</v>
      </c>
      <c r="O42" s="49" t="s">
        <v>946</v>
      </c>
      <c r="P42" s="49" t="s">
        <v>947</v>
      </c>
      <c r="Q42" s="49" t="s">
        <v>948</v>
      </c>
      <c r="R42" s="49" t="s">
        <v>949</v>
      </c>
      <c r="S42" s="49" t="s">
        <v>950</v>
      </c>
      <c r="T42" s="49" t="s">
        <v>951</v>
      </c>
      <c r="U42" s="50"/>
      <c r="V42" s="50"/>
      <c r="W42" s="50"/>
      <c r="X42" s="50"/>
      <c r="Y42" s="49"/>
      <c r="AC42" s="50"/>
      <c r="AD42" s="50"/>
      <c r="AE42" s="50"/>
      <c r="AF42" s="50"/>
      <c r="AG42" s="50"/>
      <c r="AH42" s="50"/>
      <c r="AI42" s="50"/>
      <c r="AJ42" s="50"/>
      <c r="AK42" s="49"/>
      <c r="AO42" s="50"/>
      <c r="AP42" s="50"/>
      <c r="AQ42" s="50"/>
      <c r="AR42" s="50"/>
      <c r="AS42" s="50"/>
      <c r="AT42" s="50"/>
      <c r="AU42" s="50"/>
      <c r="AV42" s="50"/>
      <c r="AW42" s="49"/>
      <c r="BA42" s="50"/>
      <c r="BB42" s="50"/>
      <c r="BC42" s="50"/>
      <c r="BD42" s="50"/>
      <c r="BE42" s="50"/>
      <c r="BF42" s="50"/>
      <c r="BG42" s="50"/>
      <c r="BH42" s="50"/>
      <c r="BI42" s="49"/>
      <c r="BL42" s="50"/>
      <c r="BM42" s="50"/>
      <c r="BN42" s="50"/>
      <c r="BO42" s="49"/>
      <c r="BR42" s="50"/>
      <c r="BS42" s="50"/>
      <c r="BT42" s="50"/>
      <c r="BU42" s="50"/>
      <c r="BV42" s="50"/>
      <c r="BW42" s="50"/>
      <c r="BX42" s="50"/>
      <c r="BY42" s="50"/>
      <c r="BZ42" s="50"/>
      <c r="CA42" s="49"/>
      <c r="CM42" s="49"/>
      <c r="CN42" s="49"/>
      <c r="CO42" s="49"/>
      <c r="CP42" s="49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</row>
    <row r="43">
      <c r="A43" s="51"/>
      <c r="B43" s="51"/>
      <c r="C43" s="51"/>
      <c r="D43" s="51"/>
      <c r="E43" s="50"/>
      <c r="F43" s="50"/>
      <c r="G43" s="50"/>
      <c r="H43" s="50"/>
      <c r="I43" s="53" t="s">
        <v>915</v>
      </c>
      <c r="J43" s="49" t="s">
        <v>952</v>
      </c>
      <c r="K43" s="49" t="s">
        <v>953</v>
      </c>
      <c r="L43" s="49" t="s">
        <v>954</v>
      </c>
      <c r="M43" s="49" t="s">
        <v>955</v>
      </c>
      <c r="N43" s="49" t="s">
        <v>956</v>
      </c>
      <c r="O43" s="49" t="s">
        <v>957</v>
      </c>
      <c r="P43" s="49" t="s">
        <v>958</v>
      </c>
      <c r="Q43" s="49" t="s">
        <v>959</v>
      </c>
      <c r="R43" s="49" t="s">
        <v>960</v>
      </c>
      <c r="S43" s="49" t="s">
        <v>961</v>
      </c>
      <c r="T43" s="49" t="s">
        <v>962</v>
      </c>
      <c r="U43" s="50"/>
      <c r="V43" s="50"/>
      <c r="W43" s="50"/>
      <c r="X43" s="50"/>
      <c r="Y43" s="49"/>
      <c r="AC43" s="50"/>
      <c r="AD43" s="50"/>
      <c r="AE43" s="50"/>
      <c r="AF43" s="50"/>
      <c r="AG43" s="50"/>
      <c r="AH43" s="50"/>
      <c r="AI43" s="50"/>
      <c r="AJ43" s="50"/>
      <c r="AK43" s="49"/>
      <c r="AO43" s="50"/>
      <c r="AP43" s="50"/>
      <c r="AQ43" s="50"/>
      <c r="AR43" s="50"/>
      <c r="AS43" s="50"/>
      <c r="AT43" s="50"/>
      <c r="AU43" s="50"/>
      <c r="AV43" s="50"/>
      <c r="AW43" s="49"/>
      <c r="BA43" s="50"/>
      <c r="BB43" s="50"/>
      <c r="BC43" s="50"/>
      <c r="BD43" s="50"/>
      <c r="BE43" s="50"/>
      <c r="BF43" s="50"/>
      <c r="BG43" s="50"/>
      <c r="BH43" s="50"/>
      <c r="BI43" s="49"/>
      <c r="BM43" s="50"/>
      <c r="BN43" s="50"/>
      <c r="BO43" s="49"/>
      <c r="BR43" s="50"/>
      <c r="BS43" s="50"/>
      <c r="BT43" s="50"/>
      <c r="BU43" s="50"/>
      <c r="BV43" s="50"/>
      <c r="BW43" s="50"/>
      <c r="BX43" s="50"/>
      <c r="BY43" s="50"/>
      <c r="BZ43" s="50"/>
      <c r="CA43" s="49"/>
      <c r="CG43" s="50"/>
      <c r="CH43" s="50"/>
      <c r="CI43" s="50"/>
      <c r="CJ43" s="50"/>
      <c r="CK43" s="50"/>
      <c r="CL43" s="50"/>
      <c r="CM43" s="49"/>
      <c r="CN43" s="49"/>
      <c r="CO43" s="49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</row>
    <row r="44">
      <c r="A44" s="51"/>
      <c r="B44" s="51"/>
      <c r="C44" s="51"/>
      <c r="D44" s="51"/>
      <c r="E44" s="50"/>
      <c r="F44" s="50"/>
      <c r="G44" s="50"/>
      <c r="H44" s="50"/>
      <c r="I44" s="50"/>
      <c r="J44" s="49" t="s">
        <v>963</v>
      </c>
      <c r="K44" s="49" t="s">
        <v>964</v>
      </c>
      <c r="L44" s="49" t="s">
        <v>965</v>
      </c>
      <c r="M44" s="49" t="s">
        <v>966</v>
      </c>
      <c r="N44" s="49" t="s">
        <v>967</v>
      </c>
      <c r="O44" s="49" t="s">
        <v>968</v>
      </c>
      <c r="P44" s="49" t="s">
        <v>969</v>
      </c>
      <c r="Q44" s="49" t="s">
        <v>970</v>
      </c>
      <c r="R44" s="49" t="s">
        <v>971</v>
      </c>
      <c r="S44" s="49" t="s">
        <v>972</v>
      </c>
      <c r="T44" s="49" t="s">
        <v>973</v>
      </c>
      <c r="U44" s="50"/>
      <c r="V44" s="50"/>
      <c r="W44" s="50"/>
      <c r="X44" s="50"/>
      <c r="Y44" s="49"/>
      <c r="AC44" s="50"/>
      <c r="AD44" s="50"/>
      <c r="AE44" s="50"/>
      <c r="AF44" s="50"/>
      <c r="AG44" s="50"/>
      <c r="AH44" s="50"/>
      <c r="AI44" s="50"/>
      <c r="AJ44" s="50"/>
      <c r="AK44" s="49"/>
      <c r="AO44" s="50"/>
      <c r="AP44" s="50"/>
      <c r="AQ44" s="50"/>
      <c r="AR44" s="50"/>
      <c r="AS44" s="50"/>
      <c r="AT44" s="50"/>
      <c r="AU44" s="50"/>
      <c r="AV44" s="50"/>
      <c r="AW44" s="49"/>
      <c r="BA44" s="50"/>
      <c r="BB44" s="50"/>
      <c r="BC44" s="50"/>
      <c r="BD44" s="50"/>
      <c r="BE44" s="50"/>
      <c r="BF44" s="50"/>
      <c r="BG44" s="50"/>
      <c r="BH44" s="50"/>
      <c r="BI44" s="49"/>
      <c r="BL44" s="50"/>
      <c r="BM44" s="50"/>
      <c r="BN44" s="50"/>
      <c r="BO44" s="49"/>
      <c r="BR44" s="50"/>
      <c r="BS44" s="50"/>
      <c r="BT44" s="50"/>
      <c r="BU44" s="50"/>
      <c r="BV44" s="50"/>
      <c r="BW44" s="50"/>
      <c r="BX44" s="50"/>
      <c r="BY44" s="50"/>
      <c r="BZ44" s="50"/>
      <c r="CA44" s="49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</row>
    <row r="45">
      <c r="A45" s="51"/>
      <c r="B45" s="51"/>
      <c r="C45" s="51"/>
      <c r="D45" s="51"/>
      <c r="E45" s="50"/>
      <c r="F45" s="50"/>
      <c r="G45" s="50"/>
      <c r="H45" s="50"/>
      <c r="I45" s="50"/>
      <c r="J45" s="49" t="s">
        <v>974</v>
      </c>
      <c r="K45" s="49" t="s">
        <v>975</v>
      </c>
      <c r="L45" s="49" t="s">
        <v>976</v>
      </c>
      <c r="M45" s="49" t="s">
        <v>977</v>
      </c>
      <c r="N45" s="49" t="s">
        <v>978</v>
      </c>
      <c r="O45" s="49" t="s">
        <v>979</v>
      </c>
      <c r="P45" s="49" t="s">
        <v>980</v>
      </c>
      <c r="Q45" s="49" t="s">
        <v>981</v>
      </c>
      <c r="R45" s="49" t="s">
        <v>982</v>
      </c>
      <c r="S45" s="49" t="s">
        <v>983</v>
      </c>
      <c r="T45" s="49" t="s">
        <v>984</v>
      </c>
      <c r="U45" s="50"/>
      <c r="V45" s="50"/>
      <c r="W45" s="50"/>
      <c r="X45" s="50"/>
      <c r="Y45" s="49"/>
      <c r="AC45" s="50"/>
      <c r="AD45" s="50"/>
      <c r="AE45" s="50"/>
      <c r="AF45" s="50"/>
      <c r="AG45" s="50"/>
      <c r="AH45" s="50"/>
      <c r="AI45" s="50"/>
      <c r="AJ45" s="50"/>
      <c r="AK45" s="49"/>
      <c r="AO45" s="50"/>
      <c r="AP45" s="50"/>
      <c r="AQ45" s="50"/>
      <c r="AR45" s="50"/>
      <c r="AS45" s="50"/>
      <c r="AT45" s="50"/>
      <c r="AU45" s="50"/>
      <c r="AV45" s="50"/>
      <c r="AW45" s="49"/>
      <c r="BA45" s="50"/>
      <c r="BB45" s="50"/>
      <c r="BC45" s="50"/>
      <c r="BD45" s="50"/>
      <c r="BE45" s="50"/>
      <c r="BF45" s="50"/>
      <c r="BG45" s="50"/>
      <c r="BH45" s="50"/>
      <c r="BI45" s="49"/>
      <c r="BM45" s="50"/>
      <c r="BN45" s="50"/>
      <c r="BO45" s="49"/>
      <c r="BR45" s="50"/>
      <c r="BS45" s="50"/>
      <c r="BT45" s="50"/>
      <c r="BU45" s="50"/>
      <c r="BV45" s="50"/>
      <c r="BW45" s="50"/>
      <c r="BX45" s="50"/>
      <c r="BY45" s="50"/>
      <c r="BZ45" s="50"/>
      <c r="CA45" s="49"/>
      <c r="CD45" s="50"/>
      <c r="CE45" s="50"/>
      <c r="CF45" s="50"/>
      <c r="CG45" s="50"/>
      <c r="CH45" s="50"/>
      <c r="CI45" s="50"/>
      <c r="CJ45" s="50"/>
      <c r="CK45" s="50"/>
      <c r="CL45" s="50"/>
      <c r="CM45" s="49"/>
      <c r="CY45" s="50"/>
      <c r="CZ45" s="49"/>
      <c r="DL45" s="49"/>
    </row>
    <row r="46">
      <c r="A46" s="51"/>
      <c r="B46" s="51"/>
      <c r="C46" s="51"/>
      <c r="D46" s="51"/>
      <c r="E46" s="50"/>
      <c r="F46" s="50"/>
      <c r="G46" s="50"/>
      <c r="H46" s="50"/>
      <c r="I46" s="50"/>
      <c r="J46" s="49" t="s">
        <v>985</v>
      </c>
      <c r="K46" s="49" t="s">
        <v>986</v>
      </c>
      <c r="L46" s="49" t="s">
        <v>987</v>
      </c>
      <c r="M46" s="49" t="s">
        <v>988</v>
      </c>
      <c r="N46" s="49" t="s">
        <v>989</v>
      </c>
      <c r="O46" s="49" t="s">
        <v>990</v>
      </c>
      <c r="P46" s="49" t="s">
        <v>991</v>
      </c>
      <c r="Q46" s="49" t="s">
        <v>992</v>
      </c>
      <c r="R46" s="49" t="s">
        <v>993</v>
      </c>
      <c r="S46" s="49" t="s">
        <v>994</v>
      </c>
      <c r="T46" s="49" t="s">
        <v>995</v>
      </c>
      <c r="U46" s="50"/>
      <c r="V46" s="50"/>
      <c r="W46" s="50"/>
      <c r="X46" s="50"/>
      <c r="Y46" s="49"/>
      <c r="AC46" s="50"/>
      <c r="AD46" s="50"/>
      <c r="AE46" s="50"/>
      <c r="AF46" s="50"/>
      <c r="AG46" s="50"/>
      <c r="AH46" s="50"/>
      <c r="AI46" s="50"/>
      <c r="AJ46" s="50"/>
      <c r="AK46" s="49"/>
      <c r="AO46" s="50"/>
      <c r="AP46" s="50"/>
      <c r="AQ46" s="50"/>
      <c r="AR46" s="50"/>
      <c r="AS46" s="50"/>
      <c r="AT46" s="50"/>
      <c r="AU46" s="50"/>
      <c r="AV46" s="50"/>
      <c r="AW46" s="49"/>
      <c r="BA46" s="50"/>
      <c r="BB46" s="50"/>
      <c r="BC46" s="50"/>
      <c r="BD46" s="50"/>
      <c r="BE46" s="50"/>
      <c r="BF46" s="50"/>
      <c r="BG46" s="50"/>
      <c r="BH46" s="50"/>
      <c r="BI46" s="49"/>
      <c r="BM46" s="50"/>
      <c r="BN46" s="50"/>
      <c r="BO46" s="49"/>
      <c r="BR46" s="50"/>
      <c r="BS46" s="50"/>
      <c r="BT46" s="50"/>
      <c r="BU46" s="50"/>
      <c r="BV46" s="50"/>
      <c r="BW46" s="50"/>
      <c r="BX46" s="50"/>
      <c r="BY46" s="50"/>
      <c r="BZ46" s="50"/>
      <c r="CA46" s="49"/>
      <c r="CD46" s="50"/>
      <c r="CE46" s="50"/>
      <c r="CF46" s="50"/>
      <c r="CG46" s="50"/>
      <c r="CH46" s="50"/>
      <c r="CI46" s="50"/>
      <c r="CJ46" s="50"/>
      <c r="CK46" s="50"/>
      <c r="CL46" s="50"/>
      <c r="CM46" s="49"/>
      <c r="CR46" s="50"/>
      <c r="CS46" s="50"/>
      <c r="CT46" s="50"/>
      <c r="CU46" s="50"/>
      <c r="CV46" s="50"/>
      <c r="CW46" s="50"/>
      <c r="CX46" s="50"/>
      <c r="CY46" s="50"/>
      <c r="CZ46" s="49"/>
      <c r="DF46" s="50"/>
      <c r="DG46" s="50"/>
      <c r="DH46" s="50"/>
      <c r="DI46" s="50"/>
      <c r="DJ46" s="50"/>
      <c r="DK46" s="50"/>
      <c r="DL46" s="49"/>
    </row>
    <row r="47">
      <c r="A47" s="51"/>
      <c r="B47" s="51"/>
      <c r="C47" s="51"/>
      <c r="D47" s="51"/>
      <c r="E47" s="50"/>
      <c r="F47" s="50"/>
      <c r="G47" s="50"/>
      <c r="H47" s="50"/>
      <c r="I47" s="50"/>
      <c r="J47" s="50"/>
      <c r="K47" s="49" t="s">
        <v>996</v>
      </c>
      <c r="L47" s="49" t="s">
        <v>997</v>
      </c>
      <c r="M47" s="49" t="s">
        <v>998</v>
      </c>
      <c r="N47" s="49" t="s">
        <v>999</v>
      </c>
      <c r="O47" s="49" t="s">
        <v>1000</v>
      </c>
      <c r="P47" s="49" t="s">
        <v>1001</v>
      </c>
      <c r="Q47" s="49" t="s">
        <v>1002</v>
      </c>
      <c r="R47" s="49" t="s">
        <v>1003</v>
      </c>
      <c r="S47" s="49" t="s">
        <v>1004</v>
      </c>
      <c r="T47" s="49" t="s">
        <v>1005</v>
      </c>
      <c r="U47" s="50"/>
      <c r="V47" s="50"/>
      <c r="W47" s="50"/>
      <c r="X47" s="50"/>
      <c r="Y47" s="49"/>
      <c r="AC47" s="50"/>
      <c r="AD47" s="50"/>
      <c r="AE47" s="50"/>
      <c r="AF47" s="50"/>
      <c r="AG47" s="50"/>
      <c r="AH47" s="50"/>
      <c r="AI47" s="50"/>
      <c r="AJ47" s="50"/>
      <c r="AK47" s="49"/>
      <c r="AO47" s="50"/>
      <c r="AP47" s="50"/>
      <c r="AQ47" s="50"/>
      <c r="AR47" s="50"/>
      <c r="AS47" s="50"/>
      <c r="AT47" s="50"/>
      <c r="AU47" s="50"/>
      <c r="AV47" s="50"/>
      <c r="AW47" s="49"/>
      <c r="BA47" s="50"/>
      <c r="BB47" s="50"/>
      <c r="BC47" s="50"/>
      <c r="BD47" s="50"/>
      <c r="BE47" s="50"/>
      <c r="BF47" s="50"/>
      <c r="BG47" s="50"/>
      <c r="BH47" s="50"/>
      <c r="BI47" s="49"/>
      <c r="BM47" s="50"/>
      <c r="BN47" s="50"/>
      <c r="BO47" s="49"/>
      <c r="BS47" s="50"/>
      <c r="BT47" s="50"/>
      <c r="BU47" s="50"/>
      <c r="BV47" s="50"/>
      <c r="BW47" s="50"/>
      <c r="BX47" s="50"/>
      <c r="BY47" s="50"/>
      <c r="BZ47" s="50"/>
      <c r="CA47" s="49"/>
      <c r="CD47" s="50"/>
      <c r="CE47" s="50"/>
      <c r="CF47" s="50"/>
      <c r="CG47" s="50"/>
      <c r="CH47" s="50"/>
      <c r="CI47" s="50"/>
      <c r="CJ47" s="50"/>
      <c r="CK47" s="50"/>
      <c r="CL47" s="50"/>
      <c r="CM47" s="49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49"/>
      <c r="DC47" s="50"/>
      <c r="DD47" s="50"/>
      <c r="DE47" s="50"/>
      <c r="DF47" s="50"/>
      <c r="DG47" s="50"/>
      <c r="DH47" s="50"/>
      <c r="DI47" s="50"/>
      <c r="DJ47" s="50"/>
      <c r="DK47" s="50"/>
      <c r="DL47" s="49"/>
    </row>
    <row r="48">
      <c r="A48" s="51"/>
      <c r="B48" s="51"/>
      <c r="C48" s="51"/>
      <c r="D48" s="51"/>
      <c r="E48" s="50"/>
      <c r="F48" s="50"/>
      <c r="G48" s="50"/>
      <c r="H48" s="50"/>
      <c r="I48" s="50"/>
      <c r="J48" s="50"/>
      <c r="K48" s="49" t="s">
        <v>1006</v>
      </c>
      <c r="L48" s="49" t="s">
        <v>1007</v>
      </c>
      <c r="M48" s="49" t="s">
        <v>1008</v>
      </c>
      <c r="N48" s="49" t="s">
        <v>1009</v>
      </c>
      <c r="O48" s="49" t="s">
        <v>1010</v>
      </c>
      <c r="P48" s="49" t="s">
        <v>1011</v>
      </c>
      <c r="Q48" s="49" t="s">
        <v>1012</v>
      </c>
      <c r="R48" s="49" t="s">
        <v>1013</v>
      </c>
      <c r="S48" s="49" t="s">
        <v>1014</v>
      </c>
      <c r="T48" s="49" t="s">
        <v>1015</v>
      </c>
      <c r="U48" s="50"/>
      <c r="V48" s="50"/>
      <c r="W48" s="50"/>
      <c r="X48" s="50"/>
      <c r="Y48" s="49"/>
      <c r="AC48" s="50"/>
      <c r="AD48" s="50"/>
      <c r="AE48" s="50"/>
      <c r="AF48" s="50"/>
      <c r="AG48" s="50"/>
      <c r="AH48" s="50"/>
      <c r="AI48" s="50"/>
      <c r="AJ48" s="50"/>
      <c r="AK48" s="49"/>
      <c r="AO48" s="50"/>
      <c r="AP48" s="50"/>
      <c r="AQ48" s="50"/>
      <c r="AR48" s="50"/>
      <c r="AS48" s="50"/>
      <c r="AT48" s="50"/>
      <c r="AU48" s="50"/>
      <c r="AV48" s="50"/>
      <c r="AW48" s="49"/>
      <c r="BA48" s="50"/>
      <c r="BB48" s="50"/>
      <c r="BC48" s="50"/>
      <c r="BD48" s="50"/>
      <c r="BE48" s="50"/>
      <c r="BF48" s="50"/>
      <c r="BG48" s="50"/>
      <c r="BH48" s="50"/>
      <c r="BI48" s="49"/>
      <c r="BM48" s="50"/>
      <c r="BN48" s="50"/>
      <c r="BO48" s="49"/>
      <c r="BR48" s="50"/>
      <c r="BS48" s="50"/>
      <c r="BT48" s="50"/>
      <c r="BU48" s="50"/>
      <c r="BV48" s="50"/>
      <c r="BW48" s="50"/>
      <c r="BX48" s="50"/>
      <c r="BY48" s="50"/>
      <c r="BZ48" s="50"/>
      <c r="CA48" s="49"/>
      <c r="CD48" s="50"/>
      <c r="CE48" s="50"/>
      <c r="CF48" s="50"/>
      <c r="CG48" s="50"/>
      <c r="CH48" s="50"/>
      <c r="CI48" s="50"/>
      <c r="CJ48" s="50"/>
      <c r="CK48" s="50"/>
      <c r="CL48" s="50"/>
      <c r="CM48" s="49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49"/>
      <c r="DC48" s="50"/>
      <c r="DD48" s="50"/>
      <c r="DE48" s="50"/>
      <c r="DF48" s="50"/>
      <c r="DG48" s="50"/>
      <c r="DH48" s="50"/>
      <c r="DI48" s="50"/>
      <c r="DJ48" s="50"/>
      <c r="DK48" s="50"/>
      <c r="DL48" s="49"/>
    </row>
    <row r="49">
      <c r="A49" s="51"/>
      <c r="B49" s="51"/>
      <c r="C49" s="51"/>
      <c r="D49" s="51"/>
      <c r="E49" s="50"/>
      <c r="F49" s="50"/>
      <c r="G49" s="50"/>
      <c r="H49" s="50"/>
      <c r="I49" s="50"/>
      <c r="J49" s="50"/>
      <c r="K49" s="49" t="s">
        <v>1016</v>
      </c>
      <c r="L49" s="49" t="s">
        <v>1017</v>
      </c>
      <c r="M49" s="49" t="s">
        <v>1018</v>
      </c>
      <c r="N49" s="49" t="s">
        <v>1019</v>
      </c>
      <c r="O49" s="49" t="s">
        <v>1020</v>
      </c>
      <c r="P49" s="49" t="s">
        <v>1021</v>
      </c>
      <c r="Q49" s="49" t="s">
        <v>1022</v>
      </c>
      <c r="R49" s="49" t="s">
        <v>1023</v>
      </c>
      <c r="S49" s="49" t="s">
        <v>1024</v>
      </c>
      <c r="T49" s="49" t="s">
        <v>1025</v>
      </c>
      <c r="U49" s="50"/>
      <c r="V49" s="50"/>
      <c r="W49" s="50"/>
      <c r="X49" s="50"/>
      <c r="Y49" s="49"/>
      <c r="AC49" s="50"/>
      <c r="AD49" s="50"/>
      <c r="AE49" s="50"/>
      <c r="AF49" s="50"/>
      <c r="AG49" s="50"/>
      <c r="AH49" s="50"/>
      <c r="AI49" s="50"/>
      <c r="AJ49" s="50"/>
      <c r="AK49" s="49"/>
      <c r="AO49" s="50"/>
      <c r="AP49" s="50"/>
      <c r="AQ49" s="50"/>
      <c r="AR49" s="50"/>
      <c r="AS49" s="50"/>
      <c r="AT49" s="50"/>
      <c r="AU49" s="50"/>
      <c r="AV49" s="50"/>
      <c r="AW49" s="49"/>
      <c r="BA49" s="50"/>
      <c r="BB49" s="50"/>
      <c r="BC49" s="50"/>
      <c r="BD49" s="50"/>
      <c r="BE49" s="50"/>
      <c r="BF49" s="50"/>
      <c r="BG49" s="50"/>
      <c r="BH49" s="50"/>
      <c r="BI49" s="49"/>
      <c r="BM49" s="50"/>
      <c r="BN49" s="50"/>
      <c r="BO49" s="49"/>
      <c r="BS49" s="50"/>
      <c r="BT49" s="50"/>
      <c r="BU49" s="50"/>
      <c r="BV49" s="50"/>
      <c r="BW49" s="50"/>
      <c r="BX49" s="50"/>
      <c r="BY49" s="50"/>
      <c r="BZ49" s="50"/>
      <c r="CA49" s="49"/>
      <c r="CE49" s="50"/>
      <c r="CF49" s="50"/>
      <c r="CG49" s="50"/>
      <c r="CH49" s="50"/>
      <c r="CI49" s="50"/>
      <c r="CJ49" s="50"/>
      <c r="CK49" s="50"/>
      <c r="CL49" s="50"/>
      <c r="CM49" s="49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49"/>
      <c r="DC49" s="50"/>
      <c r="DD49" s="50"/>
      <c r="DE49" s="50"/>
      <c r="DF49" s="50"/>
      <c r="DG49" s="50"/>
      <c r="DH49" s="50"/>
      <c r="DI49" s="50"/>
      <c r="DJ49" s="50"/>
      <c r="DK49" s="50"/>
      <c r="DL49" s="49"/>
    </row>
    <row r="50">
      <c r="A50" s="51"/>
      <c r="B50" s="51"/>
      <c r="C50" s="51"/>
      <c r="D50" s="51"/>
      <c r="E50" s="50"/>
      <c r="F50" s="50"/>
      <c r="G50" s="50"/>
      <c r="H50" s="50"/>
      <c r="I50" s="50"/>
      <c r="J50" s="50"/>
      <c r="K50" s="50"/>
      <c r="L50" s="49" t="s">
        <v>1026</v>
      </c>
      <c r="M50" s="49" t="s">
        <v>1027</v>
      </c>
      <c r="N50" s="49" t="s">
        <v>1028</v>
      </c>
      <c r="O50" s="49" t="s">
        <v>1029</v>
      </c>
      <c r="P50" s="49" t="s">
        <v>1030</v>
      </c>
      <c r="Q50" s="49" t="s">
        <v>1031</v>
      </c>
      <c r="R50" s="49" t="s">
        <v>1032</v>
      </c>
      <c r="S50" s="49" t="s">
        <v>1033</v>
      </c>
      <c r="T50" s="49" t="s">
        <v>1034</v>
      </c>
      <c r="U50" s="50"/>
      <c r="V50" s="50"/>
      <c r="W50" s="50"/>
      <c r="X50" s="50"/>
      <c r="Y50" s="49"/>
      <c r="AC50" s="50"/>
      <c r="AD50" s="50"/>
      <c r="AE50" s="50"/>
      <c r="AF50" s="50"/>
      <c r="AG50" s="50"/>
      <c r="AH50" s="50"/>
      <c r="AI50" s="50"/>
      <c r="AJ50" s="50"/>
      <c r="AK50" s="49"/>
      <c r="AO50" s="50"/>
      <c r="AP50" s="50"/>
      <c r="AQ50" s="50"/>
      <c r="AR50" s="50"/>
      <c r="AS50" s="50"/>
      <c r="AT50" s="50"/>
      <c r="AU50" s="50"/>
      <c r="AV50" s="50"/>
      <c r="AW50" s="49"/>
      <c r="BA50" s="50"/>
      <c r="BB50" s="50"/>
      <c r="BC50" s="50"/>
      <c r="BD50" s="50"/>
      <c r="BE50" s="50"/>
      <c r="BF50" s="50"/>
      <c r="BG50" s="50"/>
      <c r="BH50" s="50"/>
      <c r="BI50" s="49"/>
      <c r="BM50" s="50"/>
      <c r="BN50" s="50"/>
      <c r="BO50" s="49"/>
      <c r="BS50" s="50"/>
      <c r="BT50" s="50"/>
      <c r="BU50" s="50"/>
      <c r="BV50" s="50"/>
      <c r="BW50" s="50"/>
      <c r="BX50" s="50"/>
      <c r="BY50" s="50"/>
      <c r="BZ50" s="50"/>
      <c r="CA50" s="49"/>
      <c r="CD50" s="50"/>
      <c r="CE50" s="50"/>
      <c r="CF50" s="50"/>
      <c r="CG50" s="50"/>
      <c r="CH50" s="50"/>
      <c r="CI50" s="50"/>
      <c r="CJ50" s="50"/>
      <c r="CK50" s="50"/>
      <c r="CL50" s="50"/>
      <c r="CM50" s="49"/>
      <c r="CQ50" s="50"/>
      <c r="CR50" s="50"/>
      <c r="CS50" s="50"/>
      <c r="CT50" s="50"/>
      <c r="CU50" s="50"/>
      <c r="CV50" s="50"/>
      <c r="CW50" s="50"/>
      <c r="CX50" s="50"/>
      <c r="CY50" s="50"/>
      <c r="CZ50" s="49"/>
      <c r="DD50" s="50"/>
      <c r="DE50" s="50"/>
      <c r="DF50" s="50"/>
      <c r="DG50" s="50"/>
      <c r="DH50" s="50"/>
      <c r="DI50" s="50"/>
      <c r="DJ50" s="50"/>
      <c r="DK50" s="50"/>
      <c r="DL50" s="49"/>
    </row>
    <row r="51">
      <c r="A51" s="51"/>
      <c r="B51" s="51"/>
      <c r="C51" s="51"/>
      <c r="D51" s="51"/>
      <c r="E51" s="50"/>
      <c r="F51" s="50"/>
      <c r="G51" s="50"/>
      <c r="H51" s="50"/>
      <c r="I51" s="50"/>
      <c r="J51" s="50"/>
      <c r="K51" s="50"/>
      <c r="L51" s="49" t="s">
        <v>1035</v>
      </c>
      <c r="M51" s="49" t="s">
        <v>1036</v>
      </c>
      <c r="N51" s="49" t="s">
        <v>1037</v>
      </c>
      <c r="O51" s="49" t="s">
        <v>1038</v>
      </c>
      <c r="P51" s="49" t="s">
        <v>1039</v>
      </c>
      <c r="Q51" s="49" t="s">
        <v>1040</v>
      </c>
      <c r="R51" s="49" t="s">
        <v>1041</v>
      </c>
      <c r="S51" s="49" t="s">
        <v>1042</v>
      </c>
      <c r="T51" s="49" t="s">
        <v>1043</v>
      </c>
      <c r="U51" s="50"/>
      <c r="V51" s="50"/>
      <c r="W51" s="50"/>
      <c r="X51" s="50"/>
      <c r="Y51" s="49"/>
      <c r="AC51" s="50"/>
      <c r="AD51" s="50"/>
      <c r="AE51" s="50"/>
      <c r="AF51" s="50"/>
      <c r="AG51" s="50"/>
      <c r="AH51" s="50"/>
      <c r="AI51" s="50"/>
      <c r="AJ51" s="50"/>
      <c r="AK51" s="49"/>
      <c r="AO51" s="50"/>
      <c r="AP51" s="50"/>
      <c r="AQ51" s="50"/>
      <c r="AR51" s="50"/>
      <c r="AS51" s="50"/>
      <c r="AT51" s="50"/>
      <c r="AU51" s="50"/>
      <c r="AV51" s="50"/>
      <c r="AW51" s="49"/>
      <c r="BA51" s="50"/>
      <c r="BB51" s="50"/>
      <c r="BC51" s="50"/>
      <c r="BD51" s="50"/>
      <c r="BE51" s="50"/>
      <c r="BF51" s="50"/>
      <c r="BG51" s="50"/>
      <c r="BH51" s="50"/>
      <c r="BI51" s="49"/>
      <c r="BM51" s="50"/>
      <c r="BN51" s="50"/>
      <c r="BO51" s="49"/>
      <c r="BS51" s="50"/>
      <c r="BT51" s="50"/>
      <c r="BU51" s="50"/>
      <c r="BV51" s="50"/>
      <c r="BW51" s="50"/>
      <c r="BX51" s="50"/>
      <c r="BY51" s="50"/>
      <c r="BZ51" s="50"/>
      <c r="CA51" s="49"/>
      <c r="CE51" s="50"/>
      <c r="CF51" s="50"/>
      <c r="CG51" s="50"/>
      <c r="CH51" s="50"/>
      <c r="CI51" s="50"/>
      <c r="CJ51" s="50"/>
      <c r="CK51" s="50"/>
      <c r="CL51" s="50"/>
      <c r="CM51" s="49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49"/>
      <c r="DC51" s="50"/>
      <c r="DD51" s="50"/>
      <c r="DE51" s="50"/>
      <c r="DF51" s="50"/>
      <c r="DG51" s="50"/>
      <c r="DH51" s="50"/>
      <c r="DI51" s="50"/>
      <c r="DJ51" s="50"/>
      <c r="DK51" s="50"/>
      <c r="DL51" s="49"/>
    </row>
    <row r="52">
      <c r="A52" s="51"/>
      <c r="B52" s="51"/>
      <c r="C52" s="51"/>
      <c r="D52" s="51"/>
      <c r="E52" s="50"/>
      <c r="F52" s="50"/>
      <c r="G52" s="50"/>
      <c r="H52" s="50"/>
      <c r="I52" s="50"/>
      <c r="J52" s="50"/>
      <c r="K52" s="50"/>
      <c r="L52" s="49" t="s">
        <v>1044</v>
      </c>
      <c r="M52" s="49" t="s">
        <v>1045</v>
      </c>
      <c r="N52" s="49" t="s">
        <v>1046</v>
      </c>
      <c r="O52" s="49" t="s">
        <v>1047</v>
      </c>
      <c r="P52" s="49" t="s">
        <v>1048</v>
      </c>
      <c r="Q52" s="49" t="s">
        <v>1049</v>
      </c>
      <c r="R52" s="49" t="s">
        <v>1050</v>
      </c>
      <c r="S52" s="49" t="s">
        <v>1051</v>
      </c>
      <c r="T52" s="49" t="s">
        <v>1052</v>
      </c>
      <c r="U52" s="50"/>
      <c r="V52" s="50"/>
      <c r="W52" s="50"/>
      <c r="X52" s="50"/>
      <c r="Y52" s="49"/>
      <c r="AC52" s="50"/>
      <c r="AD52" s="50"/>
      <c r="AE52" s="50"/>
      <c r="AF52" s="50"/>
      <c r="AG52" s="50"/>
      <c r="AH52" s="50"/>
      <c r="AI52" s="50"/>
      <c r="AJ52" s="50"/>
      <c r="AK52" s="49"/>
      <c r="AO52" s="50"/>
      <c r="AP52" s="50"/>
      <c r="AQ52" s="50"/>
      <c r="AR52" s="50"/>
      <c r="AS52" s="50"/>
      <c r="AT52" s="50"/>
      <c r="AU52" s="50"/>
      <c r="AV52" s="50"/>
      <c r="AW52" s="49"/>
      <c r="BA52" s="50"/>
      <c r="BB52" s="50"/>
      <c r="BC52" s="50"/>
      <c r="BD52" s="50"/>
      <c r="BE52" s="50"/>
      <c r="BF52" s="50"/>
      <c r="BG52" s="50"/>
      <c r="BH52" s="50"/>
      <c r="BI52" s="49"/>
      <c r="BM52" s="50"/>
      <c r="BN52" s="50"/>
      <c r="BO52" s="49"/>
      <c r="BS52" s="50"/>
      <c r="BT52" s="50"/>
      <c r="BU52" s="50"/>
      <c r="BV52" s="50"/>
      <c r="BW52" s="50"/>
      <c r="BX52" s="50"/>
      <c r="BY52" s="50"/>
      <c r="BZ52" s="50"/>
      <c r="CA52" s="49"/>
      <c r="CE52" s="50"/>
      <c r="CF52" s="50"/>
      <c r="CG52" s="50"/>
      <c r="CH52" s="50"/>
      <c r="CI52" s="50"/>
      <c r="CJ52" s="50"/>
      <c r="CK52" s="50"/>
      <c r="CL52" s="50"/>
      <c r="CM52" s="49"/>
      <c r="CQ52" s="50"/>
      <c r="CR52" s="50"/>
      <c r="CS52" s="50"/>
      <c r="CT52" s="50"/>
      <c r="CU52" s="50"/>
      <c r="CV52" s="50"/>
      <c r="CW52" s="50"/>
      <c r="CX52" s="50"/>
      <c r="CY52" s="50"/>
      <c r="CZ52" s="49"/>
      <c r="DD52" s="50"/>
      <c r="DE52" s="50"/>
      <c r="DF52" s="50"/>
      <c r="DG52" s="50"/>
      <c r="DH52" s="50"/>
      <c r="DI52" s="50"/>
      <c r="DJ52" s="50"/>
      <c r="DK52" s="50"/>
      <c r="DL52" s="49"/>
    </row>
    <row r="53">
      <c r="A53" s="51"/>
      <c r="B53" s="51"/>
      <c r="C53" s="51"/>
      <c r="D53" s="51"/>
      <c r="E53" s="50"/>
      <c r="F53" s="50"/>
      <c r="G53" s="50"/>
      <c r="H53" s="50"/>
      <c r="I53" s="50"/>
      <c r="J53" s="50"/>
      <c r="K53" s="50"/>
      <c r="L53" s="50"/>
      <c r="M53" s="49" t="s">
        <v>1053</v>
      </c>
      <c r="N53" s="49" t="s">
        <v>1054</v>
      </c>
      <c r="O53" s="49" t="s">
        <v>1055</v>
      </c>
      <c r="P53" s="49" t="s">
        <v>1056</v>
      </c>
      <c r="Q53" s="49" t="s">
        <v>1057</v>
      </c>
      <c r="R53" s="49" t="s">
        <v>1058</v>
      </c>
      <c r="S53" s="49" t="s">
        <v>1059</v>
      </c>
      <c r="T53" s="49" t="s">
        <v>1060</v>
      </c>
      <c r="U53" s="50"/>
      <c r="V53" s="50"/>
      <c r="W53" s="50"/>
      <c r="X53" s="50"/>
      <c r="Y53" s="49"/>
      <c r="AC53" s="50"/>
      <c r="AD53" s="50"/>
      <c r="AE53" s="50"/>
      <c r="AF53" s="50"/>
      <c r="AG53" s="50"/>
      <c r="AH53" s="50"/>
      <c r="AI53" s="50"/>
      <c r="AJ53" s="50"/>
      <c r="AK53" s="49"/>
      <c r="AO53" s="50"/>
      <c r="AP53" s="50"/>
      <c r="AQ53" s="50"/>
      <c r="AR53" s="50"/>
      <c r="AS53" s="50"/>
      <c r="AT53" s="50"/>
      <c r="AU53" s="50"/>
      <c r="AV53" s="50"/>
      <c r="AW53" s="49"/>
      <c r="BA53" s="50"/>
      <c r="BB53" s="50"/>
      <c r="BC53" s="50"/>
      <c r="BD53" s="50"/>
      <c r="BE53" s="50"/>
      <c r="BF53" s="50"/>
      <c r="BG53" s="50"/>
      <c r="BH53" s="50"/>
      <c r="BI53" s="49"/>
      <c r="BM53" s="50"/>
      <c r="BN53" s="50"/>
      <c r="BO53" s="49"/>
      <c r="BS53" s="50"/>
      <c r="BT53" s="50"/>
      <c r="BU53" s="50"/>
      <c r="BV53" s="50"/>
      <c r="BW53" s="50"/>
      <c r="BX53" s="50"/>
      <c r="BY53" s="50"/>
      <c r="BZ53" s="50"/>
      <c r="CA53" s="49"/>
      <c r="CE53" s="50"/>
      <c r="CF53" s="50"/>
      <c r="CG53" s="50"/>
      <c r="CH53" s="50"/>
      <c r="CI53" s="50"/>
      <c r="CJ53" s="50"/>
      <c r="CK53" s="50"/>
      <c r="CL53" s="50"/>
      <c r="CM53" s="49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49"/>
      <c r="DC53" s="50"/>
      <c r="DD53" s="50"/>
      <c r="DE53" s="50"/>
      <c r="DF53" s="50"/>
      <c r="DG53" s="50"/>
      <c r="DH53" s="50"/>
      <c r="DI53" s="50"/>
      <c r="DJ53" s="50"/>
      <c r="DK53" s="50"/>
      <c r="DL53" s="49"/>
    </row>
    <row r="54">
      <c r="A54" s="51"/>
      <c r="B54" s="51"/>
      <c r="C54" s="51"/>
      <c r="D54" s="51"/>
      <c r="E54" s="50"/>
      <c r="F54" s="50"/>
      <c r="G54" s="50"/>
      <c r="H54" s="50"/>
      <c r="I54" s="50"/>
      <c r="J54" s="50"/>
      <c r="K54" s="50"/>
      <c r="L54" s="50"/>
      <c r="M54" s="49" t="s">
        <v>1061</v>
      </c>
      <c r="N54" s="49" t="s">
        <v>1062</v>
      </c>
      <c r="O54" s="49" t="s">
        <v>1063</v>
      </c>
      <c r="P54" s="49" t="s">
        <v>1064</v>
      </c>
      <c r="Q54" s="49" t="s">
        <v>1065</v>
      </c>
      <c r="R54" s="49" t="s">
        <v>1066</v>
      </c>
      <c r="S54" s="49" t="s">
        <v>1067</v>
      </c>
      <c r="T54" s="49" t="s">
        <v>1068</v>
      </c>
      <c r="U54" s="50"/>
      <c r="V54" s="50"/>
      <c r="W54" s="50"/>
      <c r="X54" s="50"/>
      <c r="Y54" s="49"/>
      <c r="AC54" s="50"/>
      <c r="AD54" s="50"/>
      <c r="AE54" s="50"/>
      <c r="AF54" s="50"/>
      <c r="AG54" s="50"/>
      <c r="AH54" s="50"/>
      <c r="AI54" s="50"/>
      <c r="AJ54" s="50"/>
      <c r="AK54" s="49"/>
      <c r="AO54" s="50"/>
      <c r="AP54" s="50"/>
      <c r="AQ54" s="50"/>
      <c r="AR54" s="50"/>
      <c r="AS54" s="50"/>
      <c r="AT54" s="50"/>
      <c r="AU54" s="50"/>
      <c r="AV54" s="50"/>
      <c r="AW54" s="49"/>
      <c r="BA54" s="50"/>
      <c r="BB54" s="50"/>
      <c r="BC54" s="50"/>
      <c r="BD54" s="50"/>
      <c r="BE54" s="50"/>
      <c r="BF54" s="50"/>
      <c r="BG54" s="50"/>
      <c r="BH54" s="50"/>
      <c r="BI54" s="49"/>
      <c r="BM54" s="50"/>
      <c r="BN54" s="50"/>
      <c r="BO54" s="49"/>
      <c r="BS54" s="50"/>
      <c r="BT54" s="50"/>
      <c r="BU54" s="50"/>
      <c r="BV54" s="50"/>
      <c r="BW54" s="50"/>
      <c r="BX54" s="50"/>
      <c r="BY54" s="50"/>
      <c r="BZ54" s="50"/>
      <c r="CA54" s="49"/>
      <c r="CE54" s="50"/>
      <c r="CF54" s="50"/>
      <c r="CG54" s="50"/>
      <c r="CH54" s="50"/>
      <c r="CI54" s="50"/>
      <c r="CJ54" s="50"/>
      <c r="CK54" s="50"/>
      <c r="CL54" s="50"/>
      <c r="CM54" s="49"/>
      <c r="CQ54" s="50"/>
      <c r="CR54" s="50"/>
      <c r="CS54" s="50"/>
      <c r="CT54" s="50"/>
      <c r="CU54" s="50"/>
      <c r="CV54" s="50"/>
      <c r="CW54" s="50"/>
      <c r="CX54" s="50"/>
      <c r="CY54" s="50"/>
      <c r="CZ54" s="49"/>
      <c r="DD54" s="50"/>
      <c r="DE54" s="50"/>
      <c r="DF54" s="50"/>
      <c r="DG54" s="50"/>
      <c r="DH54" s="50"/>
      <c r="DI54" s="50"/>
      <c r="DJ54" s="50"/>
      <c r="DK54" s="50"/>
      <c r="DL54" s="49"/>
    </row>
    <row r="55">
      <c r="A55" s="51"/>
      <c r="B55" s="51"/>
      <c r="C55" s="51"/>
      <c r="D55" s="51"/>
      <c r="E55" s="50"/>
      <c r="F55" s="50"/>
      <c r="G55" s="50"/>
      <c r="H55" s="50"/>
      <c r="I55" s="50"/>
      <c r="J55" s="50"/>
      <c r="K55" s="50"/>
      <c r="L55" s="50"/>
      <c r="M55" s="49" t="s">
        <v>1069</v>
      </c>
      <c r="N55" s="49" t="s">
        <v>1070</v>
      </c>
      <c r="O55" s="49" t="s">
        <v>1071</v>
      </c>
      <c r="P55" s="49" t="s">
        <v>1072</v>
      </c>
      <c r="Q55" s="49" t="s">
        <v>1073</v>
      </c>
      <c r="R55" s="49" t="s">
        <v>1074</v>
      </c>
      <c r="S55" s="49" t="s">
        <v>1075</v>
      </c>
      <c r="T55" s="49" t="s">
        <v>1076</v>
      </c>
      <c r="U55" s="50"/>
      <c r="V55" s="50"/>
      <c r="W55" s="50"/>
      <c r="X55" s="50"/>
      <c r="Y55" s="49"/>
      <c r="AC55" s="50"/>
      <c r="AD55" s="50"/>
      <c r="AE55" s="50"/>
      <c r="AF55" s="50"/>
      <c r="AG55" s="50"/>
      <c r="AH55" s="50"/>
      <c r="AI55" s="50"/>
      <c r="AJ55" s="50"/>
      <c r="AK55" s="49"/>
      <c r="AO55" s="50"/>
      <c r="AP55" s="50"/>
      <c r="AQ55" s="50"/>
      <c r="AR55" s="50"/>
      <c r="AS55" s="50"/>
      <c r="AT55" s="50"/>
      <c r="AU55" s="50"/>
      <c r="AV55" s="50"/>
      <c r="AW55" s="49"/>
      <c r="BA55" s="50"/>
      <c r="BB55" s="50"/>
      <c r="BC55" s="50"/>
      <c r="BD55" s="50"/>
      <c r="BE55" s="50"/>
      <c r="BF55" s="50"/>
      <c r="BG55" s="50"/>
      <c r="BH55" s="50"/>
      <c r="BI55" s="49"/>
      <c r="BM55" s="50"/>
      <c r="BN55" s="50"/>
      <c r="BO55" s="49"/>
      <c r="BS55" s="50"/>
      <c r="BT55" s="50"/>
      <c r="BU55" s="50"/>
      <c r="BV55" s="50"/>
      <c r="BW55" s="50"/>
      <c r="BX55" s="50"/>
      <c r="BY55" s="50"/>
      <c r="BZ55" s="50"/>
      <c r="CA55" s="49"/>
      <c r="CE55" s="50"/>
      <c r="CF55" s="50"/>
      <c r="CG55" s="50"/>
      <c r="CH55" s="50"/>
      <c r="CI55" s="50"/>
      <c r="CJ55" s="50"/>
      <c r="CK55" s="50"/>
      <c r="CL55" s="50"/>
      <c r="CM55" s="49"/>
      <c r="CQ55" s="50"/>
      <c r="CR55" s="50"/>
      <c r="CS55" s="50"/>
      <c r="CT55" s="50"/>
      <c r="CU55" s="50"/>
      <c r="CV55" s="50"/>
      <c r="CW55" s="50"/>
      <c r="CX55" s="50"/>
      <c r="CY55" s="50"/>
      <c r="CZ55" s="49"/>
      <c r="DD55" s="50"/>
      <c r="DE55" s="50"/>
      <c r="DF55" s="50"/>
      <c r="DG55" s="50"/>
      <c r="DH55" s="50"/>
      <c r="DI55" s="50"/>
      <c r="DJ55" s="50"/>
      <c r="DK55" s="50"/>
      <c r="DL55" s="49"/>
    </row>
    <row r="56">
      <c r="A56" s="51"/>
      <c r="B56" s="51"/>
      <c r="C56" s="51"/>
      <c r="D56" s="51"/>
      <c r="E56" s="50"/>
      <c r="F56" s="50"/>
      <c r="G56" s="50"/>
      <c r="H56" s="50"/>
      <c r="I56" s="50"/>
      <c r="J56" s="50"/>
      <c r="K56" s="50"/>
      <c r="L56" s="50"/>
      <c r="M56" s="51"/>
      <c r="N56" s="49" t="s">
        <v>1077</v>
      </c>
      <c r="O56" s="49" t="s">
        <v>1078</v>
      </c>
      <c r="P56" s="49" t="s">
        <v>1079</v>
      </c>
      <c r="Q56" s="49" t="s">
        <v>1080</v>
      </c>
      <c r="R56" s="49" t="s">
        <v>1081</v>
      </c>
      <c r="S56" s="49" t="s">
        <v>1082</v>
      </c>
      <c r="T56" s="49" t="s">
        <v>1083</v>
      </c>
      <c r="U56" s="50"/>
      <c r="V56" s="50"/>
      <c r="W56" s="50"/>
      <c r="X56" s="50"/>
      <c r="Y56" s="49"/>
      <c r="AC56" s="50"/>
      <c r="AD56" s="50"/>
      <c r="AE56" s="50"/>
      <c r="AF56" s="50"/>
      <c r="AG56" s="50"/>
      <c r="AH56" s="50"/>
      <c r="AI56" s="50"/>
      <c r="AJ56" s="50"/>
      <c r="AK56" s="49"/>
      <c r="AO56" s="50"/>
      <c r="AP56" s="50"/>
      <c r="AQ56" s="50"/>
      <c r="AR56" s="50"/>
      <c r="AS56" s="50"/>
      <c r="AT56" s="50"/>
      <c r="AU56" s="50"/>
      <c r="AV56" s="50"/>
      <c r="AW56" s="49"/>
      <c r="BA56" s="50"/>
      <c r="BB56" s="50"/>
      <c r="BC56" s="50"/>
      <c r="BD56" s="50"/>
      <c r="BE56" s="50"/>
      <c r="BF56" s="50"/>
      <c r="BG56" s="50"/>
      <c r="BH56" s="50"/>
      <c r="BI56" s="49"/>
      <c r="BM56" s="50"/>
      <c r="BN56" s="50"/>
      <c r="BO56" s="49"/>
      <c r="BS56" s="50"/>
      <c r="BT56" s="50"/>
      <c r="BU56" s="50"/>
      <c r="BV56" s="50"/>
      <c r="BW56" s="50"/>
      <c r="BX56" s="50"/>
      <c r="BY56" s="50"/>
      <c r="BZ56" s="50"/>
      <c r="CA56" s="49"/>
      <c r="CE56" s="50"/>
      <c r="CF56" s="50"/>
      <c r="CG56" s="50"/>
      <c r="CH56" s="50"/>
      <c r="CI56" s="50"/>
      <c r="CJ56" s="50"/>
      <c r="CK56" s="50"/>
      <c r="CL56" s="50"/>
      <c r="CM56" s="49"/>
      <c r="CQ56" s="50"/>
      <c r="CR56" s="50"/>
      <c r="CS56" s="50"/>
      <c r="CT56" s="50"/>
      <c r="CU56" s="50"/>
      <c r="CV56" s="50"/>
      <c r="CW56" s="50"/>
      <c r="CX56" s="50"/>
      <c r="CY56" s="50"/>
      <c r="CZ56" s="49"/>
      <c r="DD56" s="50"/>
      <c r="DE56" s="50"/>
      <c r="DF56" s="50"/>
      <c r="DG56" s="50"/>
      <c r="DH56" s="50"/>
      <c r="DI56" s="50"/>
      <c r="DJ56" s="50"/>
      <c r="DK56" s="50"/>
      <c r="DL56" s="49"/>
    </row>
    <row r="57">
      <c r="A57" s="51"/>
      <c r="B57" s="51"/>
      <c r="C57" s="51"/>
      <c r="D57" s="51"/>
      <c r="E57" s="50"/>
      <c r="F57" s="50"/>
      <c r="G57" s="50"/>
      <c r="H57" s="50"/>
      <c r="I57" s="50"/>
      <c r="J57" s="50"/>
      <c r="K57" s="50"/>
      <c r="L57" s="50"/>
      <c r="M57" s="51"/>
      <c r="N57" s="49" t="s">
        <v>1084</v>
      </c>
      <c r="O57" s="49" t="s">
        <v>1085</v>
      </c>
      <c r="P57" s="49" t="s">
        <v>1086</v>
      </c>
      <c r="Q57" s="49" t="s">
        <v>1087</v>
      </c>
      <c r="R57" s="49" t="s">
        <v>1088</v>
      </c>
      <c r="S57" s="49" t="s">
        <v>1089</v>
      </c>
      <c r="T57" s="49" t="s">
        <v>1090</v>
      </c>
      <c r="U57" s="50"/>
      <c r="V57" s="50"/>
      <c r="W57" s="50"/>
      <c r="X57" s="50"/>
      <c r="Y57" s="49"/>
      <c r="AC57" s="50"/>
      <c r="AD57" s="50"/>
      <c r="AE57" s="50"/>
      <c r="AF57" s="50"/>
      <c r="AG57" s="50"/>
      <c r="AH57" s="50"/>
      <c r="AI57" s="50"/>
      <c r="AJ57" s="50"/>
      <c r="AK57" s="49"/>
      <c r="AO57" s="50"/>
      <c r="AP57" s="50"/>
      <c r="AQ57" s="50"/>
      <c r="AR57" s="50"/>
      <c r="AS57" s="50"/>
      <c r="AT57" s="50"/>
      <c r="AU57" s="50"/>
      <c r="AV57" s="50"/>
      <c r="AW57" s="49"/>
      <c r="BA57" s="50"/>
      <c r="BB57" s="50"/>
      <c r="BC57" s="50"/>
      <c r="BD57" s="50"/>
      <c r="BE57" s="50"/>
      <c r="BF57" s="50"/>
      <c r="BG57" s="50"/>
      <c r="BH57" s="50"/>
      <c r="BI57" s="49"/>
      <c r="BM57" s="50"/>
      <c r="BN57" s="50"/>
      <c r="BO57" s="49"/>
      <c r="BS57" s="50"/>
      <c r="BT57" s="50"/>
      <c r="BU57" s="50"/>
      <c r="BV57" s="50"/>
      <c r="BW57" s="50"/>
      <c r="BX57" s="50"/>
      <c r="BY57" s="50"/>
      <c r="BZ57" s="50"/>
      <c r="CA57" s="49"/>
      <c r="CE57" s="50"/>
      <c r="CF57" s="50"/>
      <c r="CG57" s="50"/>
      <c r="CH57" s="50"/>
      <c r="CI57" s="50"/>
      <c r="CJ57" s="50"/>
      <c r="CK57" s="50"/>
      <c r="CL57" s="50"/>
      <c r="CM57" s="49"/>
      <c r="CQ57" s="50"/>
      <c r="CR57" s="50"/>
      <c r="CS57" s="50"/>
      <c r="CT57" s="50"/>
      <c r="CU57" s="50"/>
      <c r="CV57" s="50"/>
      <c r="CW57" s="50"/>
      <c r="CX57" s="50"/>
      <c r="CY57" s="50"/>
      <c r="CZ57" s="49"/>
      <c r="DD57" s="50"/>
      <c r="DE57" s="50"/>
      <c r="DF57" s="50"/>
      <c r="DG57" s="50"/>
      <c r="DH57" s="50"/>
      <c r="DI57" s="50"/>
      <c r="DJ57" s="50"/>
      <c r="DK57" s="50"/>
      <c r="DL57" s="49"/>
    </row>
    <row r="58">
      <c r="A58" s="51"/>
      <c r="B58" s="51"/>
      <c r="C58" s="51"/>
      <c r="D58" s="51"/>
      <c r="E58" s="50"/>
      <c r="F58" s="50"/>
      <c r="G58" s="50"/>
      <c r="H58" s="50"/>
      <c r="I58" s="50"/>
      <c r="J58" s="50"/>
      <c r="K58" s="50"/>
      <c r="L58" s="50"/>
      <c r="M58" s="51"/>
      <c r="N58" s="49" t="s">
        <v>1091</v>
      </c>
      <c r="O58" s="49" t="s">
        <v>1092</v>
      </c>
      <c r="P58" s="49" t="s">
        <v>1093</v>
      </c>
      <c r="Q58" s="49" t="s">
        <v>1094</v>
      </c>
      <c r="R58" s="49" t="s">
        <v>1095</v>
      </c>
      <c r="S58" s="49" t="s">
        <v>1096</v>
      </c>
      <c r="T58" s="49" t="s">
        <v>1097</v>
      </c>
      <c r="U58" s="50"/>
      <c r="V58" s="50"/>
      <c r="W58" s="50"/>
      <c r="X58" s="50"/>
      <c r="Y58" s="49"/>
      <c r="AC58" s="50"/>
      <c r="AD58" s="50"/>
      <c r="AE58" s="50"/>
      <c r="AF58" s="50"/>
      <c r="AG58" s="50"/>
      <c r="AH58" s="50"/>
      <c r="AI58" s="50"/>
      <c r="AJ58" s="50"/>
      <c r="AK58" s="49"/>
      <c r="AO58" s="50"/>
      <c r="AP58" s="50"/>
      <c r="AQ58" s="50"/>
      <c r="AR58" s="50"/>
      <c r="AS58" s="50"/>
      <c r="AT58" s="50"/>
      <c r="AU58" s="50"/>
      <c r="AV58" s="50"/>
      <c r="AW58" s="49"/>
      <c r="BA58" s="50"/>
      <c r="BB58" s="50"/>
      <c r="BC58" s="50"/>
      <c r="BD58" s="50"/>
      <c r="BE58" s="50"/>
      <c r="BF58" s="50"/>
      <c r="BG58" s="50"/>
      <c r="BH58" s="50"/>
      <c r="BI58" s="49"/>
      <c r="BM58" s="50"/>
      <c r="BN58" s="50"/>
      <c r="BO58" s="49"/>
      <c r="BS58" s="50"/>
      <c r="BT58" s="50"/>
      <c r="BU58" s="50"/>
      <c r="BV58" s="50"/>
      <c r="BW58" s="50"/>
      <c r="BX58" s="50"/>
      <c r="BY58" s="50"/>
      <c r="BZ58" s="50"/>
      <c r="CA58" s="49"/>
      <c r="CE58" s="50"/>
      <c r="CF58" s="50"/>
      <c r="CG58" s="50"/>
      <c r="CH58" s="50"/>
      <c r="CI58" s="50"/>
      <c r="CJ58" s="50"/>
      <c r="CK58" s="50"/>
      <c r="CL58" s="50"/>
      <c r="CM58" s="49"/>
      <c r="CQ58" s="50"/>
      <c r="CR58" s="50"/>
      <c r="CS58" s="50"/>
      <c r="CT58" s="50"/>
      <c r="CU58" s="50"/>
      <c r="CV58" s="50"/>
      <c r="CW58" s="50"/>
      <c r="CX58" s="50"/>
      <c r="CY58" s="50"/>
      <c r="CZ58" s="49"/>
      <c r="DD58" s="50"/>
      <c r="DE58" s="50"/>
      <c r="DF58" s="50"/>
      <c r="DG58" s="50"/>
      <c r="DH58" s="50"/>
      <c r="DI58" s="50"/>
      <c r="DJ58" s="50"/>
      <c r="DK58" s="50"/>
      <c r="DL58" s="49"/>
    </row>
    <row r="59">
      <c r="A59" s="51"/>
      <c r="B59" s="51"/>
      <c r="C59" s="51"/>
      <c r="D59" s="51"/>
      <c r="E59" s="50"/>
      <c r="F59" s="50"/>
      <c r="G59" s="50"/>
      <c r="H59" s="50"/>
      <c r="I59" s="50"/>
      <c r="J59" s="50"/>
      <c r="K59" s="50"/>
      <c r="L59" s="50"/>
      <c r="M59" s="51"/>
      <c r="N59" s="51"/>
      <c r="O59" s="49" t="s">
        <v>1098</v>
      </c>
      <c r="P59" s="49" t="s">
        <v>1099</v>
      </c>
      <c r="Q59" s="49" t="s">
        <v>1100</v>
      </c>
      <c r="R59" s="49" t="s">
        <v>1101</v>
      </c>
      <c r="S59" s="49" t="s">
        <v>1102</v>
      </c>
      <c r="T59" s="49" t="s">
        <v>1103</v>
      </c>
      <c r="U59" s="50"/>
      <c r="V59" s="50"/>
      <c r="W59" s="50"/>
      <c r="X59" s="50"/>
      <c r="Y59" s="49"/>
      <c r="AC59" s="50"/>
      <c r="AD59" s="50"/>
      <c r="AE59" s="50"/>
      <c r="AF59" s="50"/>
      <c r="AG59" s="50"/>
      <c r="AH59" s="50"/>
      <c r="AI59" s="50"/>
      <c r="AJ59" s="50"/>
      <c r="AK59" s="49"/>
      <c r="AO59" s="50"/>
      <c r="AP59" s="50"/>
      <c r="AQ59" s="50"/>
      <c r="AR59" s="50"/>
      <c r="AS59" s="50"/>
      <c r="AT59" s="50"/>
      <c r="AU59" s="50"/>
      <c r="AV59" s="50"/>
      <c r="AW59" s="49"/>
      <c r="BA59" s="50"/>
      <c r="BB59" s="50"/>
      <c r="BC59" s="50"/>
      <c r="BD59" s="50"/>
      <c r="BE59" s="50"/>
      <c r="BF59" s="50"/>
      <c r="BG59" s="50"/>
      <c r="BH59" s="50"/>
      <c r="BI59" s="49"/>
      <c r="BM59" s="50"/>
      <c r="BN59" s="50"/>
      <c r="BO59" s="49"/>
      <c r="BS59" s="50"/>
      <c r="BT59" s="50"/>
      <c r="BU59" s="50"/>
      <c r="BV59" s="50"/>
      <c r="BW59" s="50"/>
      <c r="BX59" s="50"/>
      <c r="BY59" s="50"/>
      <c r="BZ59" s="50"/>
      <c r="CA59" s="49"/>
      <c r="CE59" s="50"/>
      <c r="CF59" s="50"/>
      <c r="CG59" s="50"/>
      <c r="CH59" s="50"/>
      <c r="CI59" s="50"/>
      <c r="CJ59" s="50"/>
      <c r="CK59" s="50"/>
      <c r="CL59" s="50"/>
      <c r="CM59" s="49"/>
      <c r="CQ59" s="50"/>
      <c r="CR59" s="50"/>
      <c r="CS59" s="50"/>
      <c r="CT59" s="50"/>
      <c r="CU59" s="50"/>
      <c r="CV59" s="50"/>
      <c r="CW59" s="50"/>
      <c r="CX59" s="50"/>
      <c r="CY59" s="50"/>
      <c r="CZ59" s="49"/>
      <c r="DD59" s="50"/>
      <c r="DE59" s="50"/>
      <c r="DF59" s="50"/>
      <c r="DG59" s="50"/>
      <c r="DH59" s="50"/>
      <c r="DI59" s="50"/>
      <c r="DJ59" s="50"/>
      <c r="DK59" s="50"/>
      <c r="DL59" s="49"/>
    </row>
    <row r="60">
      <c r="A60" s="51"/>
      <c r="B60" s="51"/>
      <c r="C60" s="51"/>
      <c r="D60" s="51"/>
      <c r="E60" s="50"/>
      <c r="F60" s="50"/>
      <c r="G60" s="50"/>
      <c r="H60" s="50"/>
      <c r="I60" s="50"/>
      <c r="J60" s="50"/>
      <c r="K60" s="50"/>
      <c r="L60" s="50"/>
      <c r="M60" s="51"/>
      <c r="N60" s="51"/>
      <c r="O60" s="49" t="s">
        <v>1104</v>
      </c>
      <c r="P60" s="49" t="s">
        <v>1105</v>
      </c>
      <c r="Q60" s="49" t="s">
        <v>1106</v>
      </c>
      <c r="R60" s="49" t="s">
        <v>1107</v>
      </c>
      <c r="S60" s="49" t="s">
        <v>1108</v>
      </c>
      <c r="T60" s="49" t="s">
        <v>1109</v>
      </c>
      <c r="U60" s="50"/>
      <c r="V60" s="50"/>
      <c r="W60" s="50"/>
      <c r="X60" s="50"/>
      <c r="Y60" s="49"/>
      <c r="AC60" s="50"/>
      <c r="AD60" s="50"/>
      <c r="AE60" s="50"/>
      <c r="AF60" s="50"/>
      <c r="AG60" s="50"/>
      <c r="AH60" s="50"/>
      <c r="AI60" s="50"/>
      <c r="AJ60" s="50"/>
      <c r="AK60" s="49"/>
      <c r="AO60" s="50"/>
      <c r="AP60" s="50"/>
      <c r="AQ60" s="50"/>
      <c r="AR60" s="50"/>
      <c r="AS60" s="50"/>
      <c r="AT60" s="50"/>
      <c r="AU60" s="50"/>
      <c r="AV60" s="50"/>
      <c r="AW60" s="49"/>
      <c r="BA60" s="50"/>
      <c r="BB60" s="50"/>
      <c r="BC60" s="50"/>
      <c r="BD60" s="50"/>
      <c r="BE60" s="50"/>
      <c r="BF60" s="50"/>
      <c r="BG60" s="50"/>
      <c r="BH60" s="50"/>
      <c r="BI60" s="49"/>
      <c r="BM60" s="50"/>
      <c r="BN60" s="50"/>
      <c r="BO60" s="49"/>
      <c r="BS60" s="50"/>
      <c r="BT60" s="50"/>
      <c r="BU60" s="50"/>
      <c r="BV60" s="50"/>
      <c r="BW60" s="50"/>
      <c r="BX60" s="50"/>
      <c r="BY60" s="50"/>
      <c r="BZ60" s="50"/>
      <c r="CA60" s="49"/>
      <c r="CE60" s="50"/>
      <c r="CF60" s="50"/>
      <c r="CG60" s="50"/>
      <c r="CH60" s="50"/>
      <c r="CI60" s="50"/>
      <c r="CJ60" s="50"/>
      <c r="CK60" s="50"/>
      <c r="CL60" s="50"/>
      <c r="CM60" s="49"/>
      <c r="CQ60" s="50"/>
      <c r="CR60" s="50"/>
      <c r="CS60" s="50"/>
      <c r="CT60" s="50"/>
      <c r="CU60" s="50"/>
      <c r="CV60" s="50"/>
      <c r="CW60" s="50"/>
      <c r="CX60" s="50"/>
      <c r="CY60" s="50"/>
      <c r="CZ60" s="49"/>
      <c r="DD60" s="50"/>
      <c r="DE60" s="50"/>
      <c r="DF60" s="50"/>
      <c r="DG60" s="50"/>
      <c r="DH60" s="50"/>
      <c r="DI60" s="50"/>
      <c r="DJ60" s="50"/>
      <c r="DK60" s="50"/>
      <c r="DL60" s="49"/>
    </row>
    <row r="61">
      <c r="A61" s="51"/>
      <c r="B61" s="51"/>
      <c r="C61" s="51"/>
      <c r="D61" s="51"/>
      <c r="E61" s="51"/>
      <c r="F61" s="51"/>
      <c r="G61" s="51"/>
      <c r="H61" s="51"/>
      <c r="I61" s="50"/>
      <c r="J61" s="50"/>
      <c r="K61" s="50"/>
      <c r="L61" s="50"/>
      <c r="M61" s="51"/>
      <c r="N61" s="51"/>
      <c r="O61" s="49" t="s">
        <v>1110</v>
      </c>
      <c r="P61" s="49" t="s">
        <v>1111</v>
      </c>
      <c r="Q61" s="49" t="s">
        <v>1112</v>
      </c>
      <c r="R61" s="49" t="s">
        <v>1113</v>
      </c>
      <c r="S61" s="49" t="s">
        <v>1114</v>
      </c>
      <c r="T61" s="49" t="s">
        <v>1115</v>
      </c>
      <c r="U61" s="50"/>
      <c r="V61" s="50"/>
      <c r="W61" s="50"/>
      <c r="X61" s="50"/>
      <c r="Y61" s="49"/>
      <c r="AC61" s="50"/>
      <c r="AD61" s="50"/>
      <c r="AE61" s="50"/>
      <c r="AF61" s="50"/>
      <c r="AG61" s="50"/>
      <c r="AH61" s="50"/>
      <c r="AI61" s="50"/>
      <c r="AJ61" s="50"/>
      <c r="AK61" s="49"/>
      <c r="AO61" s="50"/>
      <c r="AP61" s="50"/>
      <c r="AQ61" s="50"/>
      <c r="AR61" s="50"/>
      <c r="AS61" s="50"/>
      <c r="AT61" s="50"/>
      <c r="AU61" s="50"/>
      <c r="AV61" s="50"/>
      <c r="AW61" s="49"/>
      <c r="BA61" s="50"/>
      <c r="BB61" s="50"/>
      <c r="BC61" s="50"/>
      <c r="BD61" s="50"/>
      <c r="BE61" s="50"/>
      <c r="BF61" s="50"/>
      <c r="BG61" s="50"/>
      <c r="BH61" s="50"/>
      <c r="BI61" s="49"/>
      <c r="BM61" s="50"/>
      <c r="BN61" s="50"/>
      <c r="BO61" s="49"/>
      <c r="BS61" s="50"/>
      <c r="BT61" s="50"/>
      <c r="BU61" s="50"/>
      <c r="BV61" s="50"/>
      <c r="BW61" s="50"/>
      <c r="BX61" s="50"/>
      <c r="BY61" s="50"/>
      <c r="BZ61" s="50"/>
      <c r="CA61" s="49"/>
      <c r="CE61" s="50"/>
      <c r="CF61" s="50"/>
      <c r="CG61" s="50"/>
      <c r="CH61" s="50"/>
      <c r="CI61" s="50"/>
      <c r="CJ61" s="50"/>
      <c r="CK61" s="50"/>
      <c r="CL61" s="50"/>
      <c r="CM61" s="49"/>
      <c r="CQ61" s="50"/>
      <c r="CR61" s="50"/>
      <c r="CS61" s="50"/>
      <c r="CT61" s="50"/>
      <c r="CU61" s="50"/>
      <c r="CV61" s="50"/>
      <c r="CW61" s="50"/>
      <c r="CX61" s="50"/>
      <c r="CY61" s="50"/>
      <c r="CZ61" s="49"/>
      <c r="DD61" s="50"/>
      <c r="DE61" s="50"/>
      <c r="DF61" s="50"/>
      <c r="DG61" s="50"/>
      <c r="DH61" s="50"/>
      <c r="DI61" s="50"/>
      <c r="DJ61" s="50"/>
      <c r="DK61" s="50"/>
      <c r="DL61" s="49"/>
    </row>
    <row r="62">
      <c r="A62" s="51"/>
      <c r="B62" s="51"/>
      <c r="C62" s="51"/>
      <c r="D62" s="51"/>
      <c r="E62" s="51"/>
      <c r="F62" s="51"/>
      <c r="G62" s="51"/>
      <c r="H62" s="51"/>
      <c r="I62" s="50"/>
      <c r="J62" s="50"/>
      <c r="K62" s="50"/>
      <c r="L62" s="50"/>
      <c r="M62" s="51"/>
      <c r="N62" s="51"/>
      <c r="O62" s="51"/>
      <c r="P62" s="49" t="s">
        <v>1116</v>
      </c>
      <c r="Q62" s="49" t="s">
        <v>1117</v>
      </c>
      <c r="R62" s="49" t="s">
        <v>1118</v>
      </c>
      <c r="S62" s="49" t="s">
        <v>1119</v>
      </c>
      <c r="T62" s="49" t="s">
        <v>1120</v>
      </c>
      <c r="U62" s="50"/>
      <c r="V62" s="50"/>
      <c r="W62" s="50"/>
      <c r="X62" s="50"/>
      <c r="Y62" s="49"/>
      <c r="AC62" s="50"/>
      <c r="AD62" s="50"/>
      <c r="AE62" s="50"/>
      <c r="AF62" s="50"/>
      <c r="AG62" s="50"/>
      <c r="AH62" s="50"/>
      <c r="AI62" s="50"/>
      <c r="AJ62" s="50"/>
      <c r="AK62" s="49"/>
      <c r="AO62" s="50"/>
      <c r="AP62" s="50"/>
      <c r="AQ62" s="50"/>
      <c r="AR62" s="50"/>
      <c r="AS62" s="50"/>
      <c r="AT62" s="50"/>
      <c r="AU62" s="50"/>
      <c r="AV62" s="50"/>
      <c r="AW62" s="49"/>
      <c r="BA62" s="50"/>
      <c r="BB62" s="50"/>
      <c r="BC62" s="50"/>
      <c r="BD62" s="50"/>
      <c r="BE62" s="50"/>
      <c r="BF62" s="50"/>
      <c r="BG62" s="50"/>
      <c r="BH62" s="50"/>
      <c r="BI62" s="49"/>
      <c r="BM62" s="50"/>
      <c r="BN62" s="50"/>
      <c r="BO62" s="49"/>
      <c r="BS62" s="50"/>
      <c r="BT62" s="50"/>
      <c r="BU62" s="50"/>
      <c r="BV62" s="50"/>
      <c r="BW62" s="50"/>
      <c r="BX62" s="50"/>
      <c r="BY62" s="50"/>
      <c r="BZ62" s="50"/>
      <c r="CA62" s="49"/>
      <c r="CE62" s="50"/>
      <c r="CF62" s="50"/>
      <c r="CG62" s="50"/>
      <c r="CH62" s="50"/>
      <c r="CI62" s="50"/>
      <c r="CJ62" s="50"/>
      <c r="CK62" s="50"/>
      <c r="CL62" s="50"/>
      <c r="CM62" s="49"/>
      <c r="CQ62" s="50"/>
      <c r="CR62" s="50"/>
      <c r="CS62" s="50"/>
      <c r="CT62" s="50"/>
      <c r="CU62" s="50"/>
      <c r="CV62" s="50"/>
      <c r="CW62" s="50"/>
      <c r="CX62" s="50"/>
      <c r="CY62" s="50"/>
      <c r="CZ62" s="49"/>
      <c r="DD62" s="50"/>
      <c r="DE62" s="50"/>
      <c r="DF62" s="50"/>
      <c r="DG62" s="50"/>
      <c r="DH62" s="50"/>
      <c r="DI62" s="50"/>
      <c r="DJ62" s="50"/>
      <c r="DK62" s="50"/>
      <c r="DL62" s="49"/>
    </row>
    <row r="63">
      <c r="A63" s="51"/>
      <c r="B63" s="51"/>
      <c r="C63" s="51"/>
      <c r="D63" s="51"/>
      <c r="E63" s="51"/>
      <c r="F63" s="51"/>
      <c r="G63" s="51"/>
      <c r="H63" s="51"/>
      <c r="I63" s="50"/>
      <c r="J63" s="50"/>
      <c r="K63" s="50"/>
      <c r="L63" s="50"/>
      <c r="M63" s="51"/>
      <c r="N63" s="51"/>
      <c r="O63" s="51"/>
      <c r="P63" s="49" t="s">
        <v>1121</v>
      </c>
      <c r="Q63" s="49" t="s">
        <v>1122</v>
      </c>
      <c r="R63" s="49" t="s">
        <v>1123</v>
      </c>
      <c r="S63" s="49" t="s">
        <v>1124</v>
      </c>
      <c r="T63" s="49" t="s">
        <v>1125</v>
      </c>
      <c r="U63" s="50"/>
      <c r="V63" s="50"/>
      <c r="W63" s="50"/>
      <c r="X63" s="50"/>
      <c r="Y63" s="49"/>
      <c r="AC63" s="50"/>
      <c r="AD63" s="50"/>
      <c r="AE63" s="50"/>
      <c r="AF63" s="50"/>
      <c r="AG63" s="50"/>
      <c r="AH63" s="50"/>
      <c r="AI63" s="50"/>
      <c r="AJ63" s="50"/>
      <c r="AK63" s="49"/>
      <c r="AO63" s="50"/>
      <c r="AP63" s="50"/>
      <c r="AQ63" s="50"/>
      <c r="AR63" s="50"/>
      <c r="AS63" s="50"/>
      <c r="AT63" s="50"/>
      <c r="AU63" s="50"/>
      <c r="AV63" s="50"/>
      <c r="AW63" s="49"/>
      <c r="BA63" s="50"/>
      <c r="BB63" s="50"/>
      <c r="BC63" s="50"/>
      <c r="BD63" s="50"/>
      <c r="BE63" s="50"/>
      <c r="BF63" s="50"/>
      <c r="BG63" s="50"/>
      <c r="BH63" s="50"/>
      <c r="BI63" s="49"/>
      <c r="BM63" s="50"/>
      <c r="BN63" s="50"/>
      <c r="BO63" s="49"/>
      <c r="BS63" s="50"/>
      <c r="BT63" s="50"/>
      <c r="BU63" s="50"/>
      <c r="BV63" s="50"/>
      <c r="BW63" s="50"/>
      <c r="BX63" s="50"/>
      <c r="BY63" s="50"/>
      <c r="BZ63" s="50"/>
      <c r="CA63" s="49"/>
      <c r="CE63" s="50"/>
      <c r="CF63" s="50"/>
      <c r="CG63" s="50"/>
      <c r="CH63" s="50"/>
      <c r="CI63" s="50"/>
      <c r="CJ63" s="50"/>
      <c r="CK63" s="50"/>
      <c r="CL63" s="50"/>
      <c r="CM63" s="49"/>
      <c r="CQ63" s="50"/>
      <c r="CR63" s="50"/>
      <c r="CS63" s="50"/>
      <c r="CT63" s="50"/>
      <c r="CU63" s="50"/>
      <c r="CV63" s="50"/>
      <c r="CW63" s="50"/>
      <c r="CX63" s="50"/>
      <c r="CY63" s="50"/>
      <c r="CZ63" s="49"/>
      <c r="DD63" s="50"/>
      <c r="DE63" s="50"/>
      <c r="DF63" s="50"/>
      <c r="DG63" s="50"/>
      <c r="DH63" s="50"/>
      <c r="DI63" s="50"/>
      <c r="DJ63" s="50"/>
      <c r="DK63" s="50"/>
      <c r="DL63" s="49"/>
    </row>
    <row r="64">
      <c r="A64" s="51"/>
      <c r="B64" s="51"/>
      <c r="C64" s="51"/>
      <c r="D64" s="51"/>
      <c r="E64" s="50"/>
      <c r="F64" s="50"/>
      <c r="G64" s="50"/>
      <c r="H64" s="50"/>
      <c r="I64" s="50"/>
      <c r="J64" s="50"/>
      <c r="K64" s="50"/>
      <c r="L64" s="50"/>
      <c r="M64" s="51"/>
      <c r="N64" s="51"/>
      <c r="O64" s="51"/>
      <c r="P64" s="49" t="s">
        <v>1126</v>
      </c>
      <c r="Q64" s="49" t="s">
        <v>1127</v>
      </c>
      <c r="R64" s="49" t="s">
        <v>1128</v>
      </c>
      <c r="S64" s="49" t="s">
        <v>1129</v>
      </c>
      <c r="T64" s="49" t="s">
        <v>1130</v>
      </c>
      <c r="U64" s="50"/>
      <c r="V64" s="50"/>
      <c r="W64" s="50"/>
      <c r="X64" s="50"/>
      <c r="Y64" s="49"/>
      <c r="AC64" s="50"/>
      <c r="AD64" s="50"/>
      <c r="AE64" s="50"/>
      <c r="AF64" s="50"/>
      <c r="AG64" s="50"/>
      <c r="AH64" s="50"/>
      <c r="AI64" s="50"/>
      <c r="AJ64" s="50"/>
      <c r="AK64" s="49"/>
      <c r="AO64" s="50"/>
      <c r="AP64" s="50"/>
      <c r="AQ64" s="50"/>
      <c r="AR64" s="50"/>
      <c r="AS64" s="50"/>
      <c r="AT64" s="50"/>
      <c r="AU64" s="50"/>
      <c r="AV64" s="50"/>
      <c r="AW64" s="49"/>
      <c r="BA64" s="50"/>
      <c r="BB64" s="50"/>
      <c r="BC64" s="50"/>
      <c r="BD64" s="50"/>
      <c r="BE64" s="50"/>
      <c r="BF64" s="50"/>
      <c r="BG64" s="50"/>
      <c r="BH64" s="50"/>
      <c r="BI64" s="49"/>
      <c r="BM64" s="50"/>
      <c r="BN64" s="50"/>
      <c r="BO64" s="49"/>
      <c r="BS64" s="50"/>
      <c r="BT64" s="50"/>
      <c r="BU64" s="50"/>
      <c r="BV64" s="50"/>
      <c r="BW64" s="50"/>
      <c r="BX64" s="50"/>
      <c r="BY64" s="50"/>
      <c r="BZ64" s="50"/>
      <c r="CA64" s="49"/>
      <c r="CE64" s="50"/>
      <c r="CF64" s="50"/>
      <c r="CG64" s="50"/>
      <c r="CH64" s="50"/>
      <c r="CI64" s="50"/>
      <c r="CJ64" s="50"/>
      <c r="CK64" s="50"/>
      <c r="CL64" s="50"/>
      <c r="CM64" s="49"/>
      <c r="CQ64" s="50"/>
      <c r="CR64" s="50"/>
      <c r="CS64" s="50"/>
      <c r="CT64" s="50"/>
      <c r="CU64" s="50"/>
      <c r="CV64" s="50"/>
      <c r="CW64" s="50"/>
      <c r="CX64" s="50"/>
      <c r="CY64" s="50"/>
      <c r="CZ64" s="49"/>
      <c r="DD64" s="50"/>
      <c r="DE64" s="50"/>
      <c r="DF64" s="50"/>
      <c r="DG64" s="50"/>
      <c r="DH64" s="50"/>
      <c r="DI64" s="50"/>
      <c r="DJ64" s="50"/>
      <c r="DK64" s="50"/>
      <c r="DL64" s="49"/>
    </row>
    <row r="65">
      <c r="A65" s="51"/>
      <c r="B65" s="51"/>
      <c r="C65" s="51"/>
      <c r="D65" s="51"/>
      <c r="E65" s="50"/>
      <c r="F65" s="50"/>
      <c r="G65" s="50"/>
      <c r="H65" s="50"/>
      <c r="I65" s="50"/>
      <c r="J65" s="50"/>
      <c r="K65" s="50"/>
      <c r="L65" s="50"/>
      <c r="M65" s="51"/>
      <c r="N65" s="51"/>
      <c r="O65" s="51"/>
      <c r="P65" s="51"/>
      <c r="Q65" s="49" t="s">
        <v>1131</v>
      </c>
      <c r="R65" s="49" t="s">
        <v>1132</v>
      </c>
      <c r="S65" s="49" t="s">
        <v>1133</v>
      </c>
      <c r="T65" s="49" t="s">
        <v>1134</v>
      </c>
      <c r="U65" s="50"/>
      <c r="V65" s="50"/>
      <c r="W65" s="50"/>
      <c r="X65" s="50"/>
      <c r="Y65" s="49"/>
      <c r="AC65" s="50"/>
      <c r="AD65" s="50"/>
      <c r="AE65" s="50"/>
      <c r="AF65" s="50"/>
      <c r="AG65" s="50"/>
      <c r="AH65" s="50"/>
      <c r="AI65" s="50"/>
      <c r="AJ65" s="50"/>
      <c r="AK65" s="49"/>
      <c r="AO65" s="50"/>
      <c r="AP65" s="50"/>
      <c r="AQ65" s="50"/>
      <c r="AR65" s="50"/>
      <c r="AS65" s="50"/>
      <c r="AT65" s="50"/>
      <c r="AU65" s="50"/>
      <c r="AV65" s="50"/>
      <c r="AW65" s="49"/>
      <c r="BA65" s="50"/>
      <c r="BB65" s="50"/>
      <c r="BC65" s="50"/>
      <c r="BD65" s="50"/>
      <c r="BE65" s="50"/>
      <c r="BF65" s="50"/>
      <c r="BG65" s="50"/>
      <c r="BH65" s="50"/>
      <c r="BI65" s="49"/>
      <c r="BM65" s="50"/>
      <c r="BN65" s="50"/>
      <c r="BO65" s="49"/>
      <c r="BS65" s="50"/>
      <c r="BT65" s="50"/>
      <c r="BU65" s="50"/>
      <c r="BV65" s="50"/>
      <c r="BW65" s="50"/>
      <c r="BX65" s="50"/>
      <c r="BY65" s="50"/>
      <c r="BZ65" s="50"/>
      <c r="CA65" s="49"/>
      <c r="CE65" s="50"/>
      <c r="CF65" s="50"/>
      <c r="CG65" s="50"/>
      <c r="CH65" s="50"/>
      <c r="CI65" s="50"/>
      <c r="CJ65" s="50"/>
      <c r="CK65" s="50"/>
      <c r="CL65" s="50"/>
      <c r="CM65" s="49"/>
      <c r="CQ65" s="50"/>
      <c r="CR65" s="50"/>
      <c r="CS65" s="50"/>
      <c r="CT65" s="50"/>
      <c r="CU65" s="50"/>
      <c r="CV65" s="50"/>
      <c r="CW65" s="50"/>
      <c r="CX65" s="50"/>
      <c r="CY65" s="50"/>
      <c r="CZ65" s="49"/>
      <c r="DD65" s="50"/>
      <c r="DE65" s="50"/>
      <c r="DF65" s="50"/>
      <c r="DG65" s="50"/>
      <c r="DH65" s="50"/>
      <c r="DI65" s="50"/>
      <c r="DJ65" s="50"/>
      <c r="DK65" s="50"/>
      <c r="DL65" s="49"/>
    </row>
    <row r="66">
      <c r="A66" s="51"/>
      <c r="B66" s="51"/>
      <c r="C66" s="51"/>
      <c r="D66" s="51"/>
      <c r="E66" s="50"/>
      <c r="F66" s="50"/>
      <c r="G66" s="50"/>
      <c r="H66" s="50"/>
      <c r="I66" s="50"/>
      <c r="J66" s="50"/>
      <c r="K66" s="50"/>
      <c r="L66" s="50"/>
      <c r="M66" s="51"/>
      <c r="N66" s="51"/>
      <c r="O66" s="51"/>
      <c r="P66" s="51"/>
      <c r="Q66" s="49" t="s">
        <v>1135</v>
      </c>
      <c r="R66" s="49" t="s">
        <v>1136</v>
      </c>
      <c r="S66" s="49" t="s">
        <v>1137</v>
      </c>
      <c r="T66" s="49" t="s">
        <v>1138</v>
      </c>
      <c r="U66" s="50"/>
      <c r="V66" s="50"/>
      <c r="W66" s="50"/>
      <c r="X66" s="50"/>
      <c r="Y66" s="49"/>
      <c r="AC66" s="50"/>
      <c r="AD66" s="50"/>
      <c r="AE66" s="50"/>
      <c r="AF66" s="50"/>
      <c r="AG66" s="50"/>
      <c r="AH66" s="50"/>
      <c r="AI66" s="50"/>
      <c r="AJ66" s="50"/>
      <c r="AK66" s="49"/>
      <c r="AO66" s="50"/>
      <c r="AP66" s="50"/>
      <c r="AQ66" s="50"/>
      <c r="AR66" s="50"/>
      <c r="AS66" s="50"/>
      <c r="AT66" s="50"/>
      <c r="AU66" s="50"/>
      <c r="AV66" s="50"/>
      <c r="AW66" s="49"/>
      <c r="BA66" s="50"/>
      <c r="BB66" s="50"/>
      <c r="BC66" s="50"/>
      <c r="BD66" s="50"/>
      <c r="BE66" s="50"/>
      <c r="BF66" s="50"/>
      <c r="BG66" s="50"/>
      <c r="BH66" s="50"/>
      <c r="BI66" s="49"/>
      <c r="BM66" s="50"/>
      <c r="BN66" s="50"/>
      <c r="BO66" s="49"/>
      <c r="BS66" s="50"/>
      <c r="BT66" s="50"/>
      <c r="BU66" s="50"/>
      <c r="BV66" s="50"/>
      <c r="BW66" s="50"/>
      <c r="BX66" s="50"/>
      <c r="BY66" s="50"/>
      <c r="BZ66" s="50"/>
      <c r="CA66" s="49"/>
      <c r="CE66" s="50"/>
      <c r="CF66" s="50"/>
      <c r="CG66" s="50"/>
      <c r="CH66" s="50"/>
      <c r="CI66" s="50"/>
      <c r="CJ66" s="50"/>
      <c r="CK66" s="50"/>
      <c r="CL66" s="50"/>
      <c r="CM66" s="49"/>
      <c r="CQ66" s="50"/>
      <c r="CR66" s="50"/>
      <c r="CS66" s="50"/>
      <c r="CT66" s="50"/>
      <c r="CU66" s="50"/>
      <c r="CV66" s="50"/>
      <c r="CW66" s="50"/>
      <c r="CX66" s="50"/>
      <c r="CY66" s="50"/>
      <c r="CZ66" s="49"/>
      <c r="DD66" s="50"/>
      <c r="DE66" s="50"/>
      <c r="DF66" s="50"/>
      <c r="DG66" s="50"/>
      <c r="DH66" s="50"/>
      <c r="DI66" s="50"/>
      <c r="DJ66" s="50"/>
      <c r="DK66" s="50"/>
      <c r="DL66" s="49"/>
    </row>
    <row r="67">
      <c r="A67" s="51"/>
      <c r="B67" s="51"/>
      <c r="C67" s="51"/>
      <c r="D67" s="51"/>
      <c r="E67" s="50"/>
      <c r="F67" s="50"/>
      <c r="G67" s="50"/>
      <c r="H67" s="50"/>
      <c r="I67" s="50"/>
      <c r="J67" s="50"/>
      <c r="K67" s="50"/>
      <c r="L67" s="50"/>
      <c r="M67" s="51"/>
      <c r="N67" s="51"/>
      <c r="O67" s="51"/>
      <c r="P67" s="51"/>
      <c r="Q67" s="49" t="s">
        <v>1139</v>
      </c>
      <c r="R67" s="49" t="s">
        <v>1140</v>
      </c>
      <c r="S67" s="49" t="s">
        <v>1141</v>
      </c>
      <c r="T67" s="49" t="s">
        <v>1142</v>
      </c>
      <c r="U67" s="50"/>
      <c r="V67" s="50"/>
      <c r="W67" s="50"/>
      <c r="X67" s="50"/>
      <c r="Y67" s="49"/>
      <c r="AC67" s="50"/>
      <c r="AD67" s="50"/>
      <c r="AE67" s="50"/>
      <c r="AF67" s="50"/>
      <c r="AG67" s="50"/>
      <c r="AH67" s="50"/>
      <c r="AI67" s="50"/>
      <c r="AJ67" s="50"/>
      <c r="AK67" s="49"/>
      <c r="AO67" s="50"/>
      <c r="AP67" s="50"/>
      <c r="AQ67" s="50"/>
      <c r="AR67" s="50"/>
      <c r="AS67" s="50"/>
      <c r="AT67" s="50"/>
      <c r="AU67" s="50"/>
      <c r="AV67" s="50"/>
      <c r="AW67" s="49"/>
      <c r="BA67" s="50"/>
      <c r="BB67" s="50"/>
      <c r="BC67" s="50"/>
      <c r="BD67" s="50"/>
      <c r="BE67" s="50"/>
      <c r="BF67" s="50"/>
      <c r="BG67" s="50"/>
      <c r="BH67" s="50"/>
      <c r="BI67" s="49"/>
      <c r="BM67" s="50"/>
      <c r="BN67" s="50"/>
      <c r="BO67" s="49"/>
      <c r="BS67" s="50"/>
      <c r="BT67" s="50"/>
      <c r="BU67" s="50"/>
      <c r="BV67" s="50"/>
      <c r="BW67" s="50"/>
      <c r="BX67" s="50"/>
      <c r="BY67" s="50"/>
      <c r="BZ67" s="50"/>
      <c r="CA67" s="49"/>
      <c r="CE67" s="50"/>
      <c r="CF67" s="50"/>
      <c r="CG67" s="50"/>
      <c r="CH67" s="50"/>
      <c r="CI67" s="50"/>
      <c r="CJ67" s="50"/>
      <c r="CK67" s="50"/>
      <c r="CL67" s="50"/>
      <c r="CM67" s="49"/>
      <c r="CQ67" s="50"/>
      <c r="CR67" s="50"/>
      <c r="CS67" s="50"/>
      <c r="CT67" s="50"/>
      <c r="CU67" s="50"/>
      <c r="CV67" s="50"/>
      <c r="CW67" s="50"/>
      <c r="CX67" s="50"/>
      <c r="CY67" s="50"/>
      <c r="CZ67" s="49"/>
      <c r="DD67" s="50"/>
      <c r="DE67" s="50"/>
      <c r="DF67" s="50"/>
      <c r="DG67" s="50"/>
      <c r="DH67" s="50"/>
      <c r="DI67" s="50"/>
      <c r="DJ67" s="50"/>
      <c r="DK67" s="50"/>
      <c r="DL67" s="49"/>
    </row>
    <row r="68">
      <c r="A68" s="51"/>
      <c r="B68" s="51"/>
      <c r="C68" s="51"/>
      <c r="D68" s="51"/>
      <c r="E68" s="50"/>
      <c r="F68" s="50"/>
      <c r="G68" s="50"/>
      <c r="H68" s="50"/>
      <c r="I68" s="50"/>
      <c r="J68" s="50"/>
      <c r="K68" s="50"/>
      <c r="L68" s="50"/>
      <c r="M68" s="51"/>
      <c r="N68" s="51"/>
      <c r="O68" s="51"/>
      <c r="P68" s="51"/>
      <c r="Q68" s="50"/>
      <c r="R68" s="49" t="s">
        <v>1143</v>
      </c>
      <c r="S68" s="49" t="s">
        <v>1144</v>
      </c>
      <c r="T68" s="49" t="s">
        <v>1145</v>
      </c>
      <c r="U68" s="50"/>
      <c r="V68" s="50"/>
      <c r="W68" s="50"/>
      <c r="X68" s="50"/>
      <c r="Y68" s="49"/>
      <c r="AC68" s="50"/>
      <c r="AD68" s="50"/>
      <c r="AE68" s="50"/>
      <c r="AF68" s="50"/>
      <c r="AG68" s="50"/>
      <c r="AH68" s="50"/>
      <c r="AI68" s="50"/>
      <c r="AJ68" s="50"/>
      <c r="AK68" s="49"/>
      <c r="AO68" s="50"/>
      <c r="AP68" s="50"/>
      <c r="AQ68" s="50"/>
      <c r="AR68" s="50"/>
      <c r="AS68" s="50"/>
      <c r="AT68" s="50"/>
      <c r="AU68" s="50"/>
      <c r="AV68" s="50"/>
      <c r="AW68" s="49"/>
      <c r="BA68" s="50"/>
      <c r="BB68" s="50"/>
      <c r="BC68" s="50"/>
      <c r="BD68" s="50"/>
      <c r="BE68" s="50"/>
      <c r="BF68" s="50"/>
      <c r="BG68" s="50"/>
      <c r="BH68" s="50"/>
      <c r="BI68" s="49"/>
      <c r="BM68" s="50"/>
      <c r="BN68" s="50"/>
      <c r="BO68" s="49"/>
      <c r="BS68" s="50"/>
      <c r="BT68" s="50"/>
      <c r="BU68" s="50"/>
      <c r="BV68" s="50"/>
      <c r="BW68" s="50"/>
      <c r="BX68" s="50"/>
      <c r="BY68" s="50"/>
      <c r="BZ68" s="50"/>
      <c r="CA68" s="49"/>
      <c r="CE68" s="50"/>
      <c r="CF68" s="50"/>
      <c r="CG68" s="50"/>
      <c r="CH68" s="50"/>
      <c r="CI68" s="50"/>
      <c r="CJ68" s="50"/>
      <c r="CK68" s="50"/>
      <c r="CL68" s="50"/>
      <c r="CM68" s="49"/>
      <c r="CQ68" s="50"/>
      <c r="CR68" s="50"/>
      <c r="CS68" s="50"/>
      <c r="CT68" s="50"/>
      <c r="CU68" s="50"/>
      <c r="CV68" s="50"/>
      <c r="CW68" s="50"/>
      <c r="CX68" s="50"/>
      <c r="CY68" s="50"/>
      <c r="CZ68" s="49"/>
      <c r="DD68" s="50"/>
      <c r="DE68" s="50"/>
      <c r="DF68" s="50"/>
      <c r="DG68" s="50"/>
      <c r="DH68" s="50"/>
      <c r="DI68" s="50"/>
      <c r="DJ68" s="50"/>
      <c r="DK68" s="50"/>
      <c r="DL68" s="49"/>
    </row>
    <row r="69">
      <c r="A69" s="51"/>
      <c r="B69" s="51"/>
      <c r="C69" s="51"/>
      <c r="D69" s="51"/>
      <c r="E69" s="50"/>
      <c r="F69" s="50"/>
      <c r="G69" s="50"/>
      <c r="H69" s="50"/>
      <c r="I69" s="50"/>
      <c r="J69" s="50"/>
      <c r="K69" s="50"/>
      <c r="L69" s="50"/>
      <c r="M69" s="51"/>
      <c r="N69" s="51"/>
      <c r="O69" s="51"/>
      <c r="P69" s="51"/>
      <c r="Q69" s="50"/>
      <c r="R69" s="49" t="s">
        <v>1146</v>
      </c>
      <c r="S69" s="49" t="s">
        <v>1147</v>
      </c>
      <c r="T69" s="49" t="s">
        <v>1148</v>
      </c>
      <c r="U69" s="50"/>
      <c r="V69" s="50"/>
      <c r="W69" s="50"/>
      <c r="X69" s="50"/>
      <c r="Y69" s="49"/>
      <c r="AC69" s="50"/>
      <c r="AD69" s="50"/>
      <c r="AE69" s="50"/>
      <c r="AF69" s="50"/>
      <c r="AG69" s="50"/>
      <c r="AH69" s="50"/>
      <c r="AI69" s="50"/>
      <c r="AJ69" s="50"/>
      <c r="AK69" s="49"/>
      <c r="AO69" s="50"/>
      <c r="AP69" s="50"/>
      <c r="AQ69" s="50"/>
      <c r="AR69" s="50"/>
      <c r="AS69" s="50"/>
      <c r="AT69" s="50"/>
      <c r="AU69" s="50"/>
      <c r="AV69" s="50"/>
      <c r="AW69" s="49"/>
      <c r="BA69" s="50"/>
      <c r="BB69" s="50"/>
      <c r="BC69" s="50"/>
      <c r="BD69" s="50"/>
      <c r="BE69" s="50"/>
      <c r="BF69" s="50"/>
      <c r="BG69" s="50"/>
      <c r="BH69" s="50"/>
      <c r="BI69" s="49"/>
      <c r="BM69" s="50"/>
      <c r="BN69" s="50"/>
      <c r="BO69" s="49"/>
      <c r="BS69" s="50"/>
      <c r="BT69" s="50"/>
      <c r="BU69" s="50"/>
      <c r="BV69" s="50"/>
      <c r="BW69" s="50"/>
      <c r="BX69" s="50"/>
      <c r="BY69" s="50"/>
      <c r="BZ69" s="50"/>
      <c r="CA69" s="49"/>
      <c r="CE69" s="50"/>
      <c r="CF69" s="50"/>
      <c r="CG69" s="50"/>
      <c r="CH69" s="50"/>
      <c r="CI69" s="50"/>
      <c r="CJ69" s="50"/>
      <c r="CK69" s="50"/>
      <c r="CL69" s="50"/>
      <c r="CM69" s="49"/>
      <c r="CQ69" s="50"/>
      <c r="CR69" s="50"/>
      <c r="CS69" s="50"/>
      <c r="CT69" s="50"/>
      <c r="CU69" s="50"/>
      <c r="CV69" s="50"/>
      <c r="CW69" s="50"/>
      <c r="CX69" s="50"/>
      <c r="CY69" s="50"/>
      <c r="CZ69" s="49"/>
      <c r="DD69" s="50"/>
      <c r="DE69" s="50"/>
      <c r="DF69" s="50"/>
      <c r="DG69" s="50"/>
      <c r="DH69" s="50"/>
      <c r="DI69" s="50"/>
      <c r="DJ69" s="50"/>
      <c r="DK69" s="50"/>
      <c r="DL69" s="49"/>
    </row>
    <row r="70">
      <c r="A70" s="51"/>
      <c r="B70" s="51"/>
      <c r="C70" s="51"/>
      <c r="D70" s="51"/>
      <c r="E70" s="50"/>
      <c r="F70" s="50"/>
      <c r="G70" s="50"/>
      <c r="H70" s="50"/>
      <c r="I70" s="50"/>
      <c r="J70" s="50"/>
      <c r="K70" s="50"/>
      <c r="L70" s="50"/>
      <c r="M70" s="51"/>
      <c r="N70" s="51"/>
      <c r="O70" s="51"/>
      <c r="P70" s="51"/>
      <c r="Q70" s="50"/>
      <c r="R70" s="49" t="s">
        <v>1149</v>
      </c>
      <c r="S70" s="49" t="s">
        <v>1150</v>
      </c>
      <c r="T70" s="49" t="s">
        <v>1151</v>
      </c>
      <c r="U70" s="50"/>
      <c r="V70" s="50"/>
      <c r="W70" s="50"/>
      <c r="X70" s="50"/>
      <c r="Y70" s="49"/>
      <c r="AC70" s="50"/>
      <c r="AD70" s="50"/>
      <c r="AE70" s="50"/>
      <c r="AF70" s="50"/>
      <c r="AG70" s="50"/>
      <c r="AH70" s="50"/>
      <c r="AI70" s="50"/>
      <c r="AJ70" s="50"/>
      <c r="AK70" s="49"/>
      <c r="AO70" s="50"/>
      <c r="AP70" s="50"/>
      <c r="AQ70" s="50"/>
      <c r="AR70" s="50"/>
      <c r="AS70" s="50"/>
      <c r="AT70" s="50"/>
      <c r="AU70" s="50"/>
      <c r="AV70" s="50"/>
      <c r="AW70" s="49"/>
      <c r="BA70" s="50"/>
      <c r="BB70" s="50"/>
      <c r="BC70" s="50"/>
      <c r="BD70" s="50"/>
      <c r="BE70" s="50"/>
      <c r="BF70" s="50"/>
      <c r="BG70" s="50"/>
      <c r="BH70" s="50"/>
      <c r="BI70" s="49"/>
      <c r="BM70" s="50"/>
      <c r="BN70" s="50"/>
      <c r="BO70" s="49"/>
      <c r="BS70" s="50"/>
      <c r="BT70" s="50"/>
      <c r="BU70" s="50"/>
      <c r="BV70" s="50"/>
      <c r="BW70" s="50"/>
      <c r="BX70" s="50"/>
      <c r="BY70" s="50"/>
      <c r="BZ70" s="50"/>
      <c r="CA70" s="49"/>
      <c r="CE70" s="50"/>
      <c r="CF70" s="50"/>
      <c r="CG70" s="50"/>
      <c r="CH70" s="50"/>
      <c r="CI70" s="50"/>
      <c r="CJ70" s="50"/>
      <c r="CK70" s="50"/>
      <c r="CL70" s="50"/>
      <c r="CM70" s="49"/>
      <c r="CQ70" s="50"/>
      <c r="CR70" s="50"/>
      <c r="CS70" s="50"/>
      <c r="CT70" s="50"/>
      <c r="CU70" s="50"/>
      <c r="CV70" s="50"/>
      <c r="CW70" s="50"/>
      <c r="CX70" s="50"/>
      <c r="CY70" s="50"/>
      <c r="CZ70" s="49"/>
      <c r="DD70" s="50"/>
      <c r="DE70" s="50"/>
      <c r="DF70" s="50"/>
      <c r="DG70" s="50"/>
      <c r="DH70" s="50"/>
      <c r="DI70" s="50"/>
      <c r="DJ70" s="50"/>
      <c r="DK70" s="50"/>
      <c r="DL70" s="49"/>
    </row>
    <row r="71">
      <c r="A71" s="51"/>
      <c r="B71" s="51"/>
      <c r="C71" s="51"/>
      <c r="D71" s="51"/>
      <c r="E71" s="50"/>
      <c r="F71" s="50"/>
      <c r="G71" s="50"/>
      <c r="H71" s="50"/>
      <c r="I71" s="50"/>
      <c r="J71" s="50"/>
      <c r="K71" s="50"/>
      <c r="L71" s="50"/>
      <c r="M71" s="51"/>
      <c r="N71" s="51"/>
      <c r="O71" s="51"/>
      <c r="P71" s="51"/>
      <c r="Q71" s="50"/>
      <c r="R71" s="50"/>
      <c r="S71" s="49" t="s">
        <v>1152</v>
      </c>
      <c r="T71" s="49" t="s">
        <v>1153</v>
      </c>
      <c r="U71" s="50"/>
      <c r="V71" s="50"/>
      <c r="W71" s="50"/>
      <c r="X71" s="50"/>
      <c r="Y71" s="49"/>
      <c r="AC71" s="50"/>
      <c r="AD71" s="50"/>
      <c r="AE71" s="50"/>
      <c r="AF71" s="50"/>
      <c r="AG71" s="50"/>
      <c r="AH71" s="50"/>
      <c r="AI71" s="50"/>
      <c r="AJ71" s="50"/>
      <c r="AK71" s="49"/>
      <c r="AO71" s="50"/>
      <c r="AP71" s="50"/>
      <c r="AQ71" s="50"/>
      <c r="AR71" s="50"/>
      <c r="AS71" s="50"/>
      <c r="AT71" s="50"/>
      <c r="AU71" s="50"/>
      <c r="AV71" s="50"/>
      <c r="AW71" s="49"/>
      <c r="BA71" s="50"/>
      <c r="BB71" s="50"/>
      <c r="BC71" s="50"/>
      <c r="BD71" s="50"/>
      <c r="BE71" s="50"/>
      <c r="BF71" s="50"/>
      <c r="BG71" s="50"/>
      <c r="BH71" s="50"/>
      <c r="BI71" s="49"/>
      <c r="BM71" s="50"/>
      <c r="BN71" s="50"/>
      <c r="BO71" s="49"/>
      <c r="BS71" s="50"/>
      <c r="BT71" s="50"/>
      <c r="BU71" s="50"/>
      <c r="BV71" s="50"/>
      <c r="BW71" s="50"/>
      <c r="BX71" s="50"/>
      <c r="BY71" s="50"/>
      <c r="BZ71" s="50"/>
      <c r="CA71" s="49"/>
      <c r="CE71" s="50"/>
      <c r="CF71" s="50"/>
      <c r="CG71" s="50"/>
      <c r="CH71" s="50"/>
      <c r="CI71" s="50"/>
      <c r="CJ71" s="50"/>
      <c r="CK71" s="50"/>
      <c r="CL71" s="50"/>
      <c r="CM71" s="49"/>
      <c r="CQ71" s="50"/>
      <c r="CR71" s="50"/>
      <c r="CS71" s="50"/>
      <c r="CT71" s="50"/>
      <c r="CU71" s="50"/>
      <c r="CV71" s="50"/>
      <c r="CW71" s="50"/>
      <c r="CX71" s="50"/>
      <c r="CY71" s="50"/>
      <c r="CZ71" s="49"/>
      <c r="DD71" s="50"/>
      <c r="DE71" s="50"/>
      <c r="DF71" s="50"/>
      <c r="DG71" s="50"/>
      <c r="DH71" s="50"/>
      <c r="DI71" s="50"/>
      <c r="DJ71" s="50"/>
      <c r="DK71" s="50"/>
      <c r="DL71" s="49"/>
    </row>
    <row r="72">
      <c r="A72" s="51"/>
      <c r="B72" s="51"/>
      <c r="C72" s="51"/>
      <c r="D72" s="51"/>
      <c r="E72" s="50"/>
      <c r="F72" s="50"/>
      <c r="G72" s="50"/>
      <c r="H72" s="50"/>
      <c r="I72" s="50"/>
      <c r="J72" s="50"/>
      <c r="K72" s="50"/>
      <c r="L72" s="50"/>
      <c r="M72" s="51"/>
      <c r="N72" s="51"/>
      <c r="O72" s="51"/>
      <c r="P72" s="51"/>
      <c r="Q72" s="50"/>
      <c r="R72" s="50"/>
      <c r="S72" s="49" t="s">
        <v>1154</v>
      </c>
      <c r="T72" s="49" t="s">
        <v>1155</v>
      </c>
      <c r="U72" s="50"/>
      <c r="V72" s="50"/>
      <c r="W72" s="50"/>
      <c r="X72" s="50"/>
      <c r="Y72" s="49"/>
      <c r="AC72" s="50"/>
      <c r="AD72" s="50"/>
      <c r="AE72" s="50"/>
      <c r="AF72" s="50"/>
      <c r="AG72" s="50"/>
      <c r="AH72" s="50"/>
      <c r="AI72" s="50"/>
      <c r="AJ72" s="50"/>
      <c r="AK72" s="49"/>
      <c r="AO72" s="50"/>
      <c r="AP72" s="50"/>
      <c r="AQ72" s="50"/>
      <c r="AR72" s="50"/>
      <c r="AS72" s="50"/>
      <c r="AT72" s="50"/>
      <c r="AU72" s="50"/>
      <c r="AV72" s="50"/>
      <c r="AW72" s="49"/>
      <c r="BA72" s="50"/>
      <c r="BB72" s="50"/>
      <c r="BC72" s="50"/>
      <c r="BD72" s="50"/>
      <c r="BE72" s="50"/>
      <c r="BF72" s="50"/>
      <c r="BG72" s="50"/>
      <c r="BH72" s="50"/>
      <c r="BI72" s="49"/>
      <c r="BM72" s="50"/>
      <c r="BN72" s="50"/>
      <c r="BO72" s="49"/>
      <c r="BS72" s="50"/>
      <c r="BT72" s="50"/>
      <c r="BU72" s="50"/>
      <c r="BV72" s="50"/>
      <c r="BW72" s="50"/>
      <c r="BX72" s="50"/>
      <c r="BY72" s="50"/>
      <c r="BZ72" s="50"/>
      <c r="CA72" s="49"/>
      <c r="CE72" s="50"/>
      <c r="CF72" s="50"/>
      <c r="CG72" s="50"/>
      <c r="CH72" s="50"/>
      <c r="CI72" s="50"/>
      <c r="CJ72" s="50"/>
      <c r="CK72" s="50"/>
      <c r="CL72" s="50"/>
      <c r="CM72" s="49"/>
      <c r="CQ72" s="50"/>
      <c r="CR72" s="50"/>
      <c r="CS72" s="50"/>
      <c r="CT72" s="50"/>
      <c r="CU72" s="50"/>
      <c r="CV72" s="50"/>
      <c r="CW72" s="50"/>
      <c r="CX72" s="50"/>
      <c r="CY72" s="50"/>
      <c r="CZ72" s="49"/>
      <c r="DD72" s="50"/>
      <c r="DE72" s="50"/>
      <c r="DF72" s="50"/>
      <c r="DG72" s="50"/>
      <c r="DH72" s="50"/>
      <c r="DI72" s="50"/>
      <c r="DJ72" s="50"/>
      <c r="DK72" s="50"/>
      <c r="DL72" s="49"/>
    </row>
    <row r="73">
      <c r="A73" s="51"/>
      <c r="B73" s="51"/>
      <c r="C73" s="51"/>
      <c r="D73" s="51"/>
      <c r="E73" s="51"/>
      <c r="F73" s="50"/>
      <c r="G73" s="50"/>
      <c r="H73" s="50"/>
      <c r="I73" s="50"/>
      <c r="J73" s="50"/>
      <c r="K73" s="50"/>
      <c r="L73" s="50"/>
      <c r="M73" s="51"/>
      <c r="N73" s="51"/>
      <c r="O73" s="51"/>
      <c r="P73" s="51"/>
      <c r="Q73" s="50"/>
      <c r="R73" s="50"/>
      <c r="S73" s="49" t="s">
        <v>1156</v>
      </c>
      <c r="T73" s="49" t="s">
        <v>1157</v>
      </c>
      <c r="U73" s="50"/>
      <c r="V73" s="50"/>
      <c r="W73" s="50"/>
      <c r="X73" s="50"/>
      <c r="Y73" s="49"/>
      <c r="AC73" s="50"/>
      <c r="AD73" s="50"/>
      <c r="AE73" s="50"/>
      <c r="AF73" s="50"/>
      <c r="AG73" s="50"/>
      <c r="AH73" s="50"/>
      <c r="AI73" s="50"/>
      <c r="AJ73" s="50"/>
      <c r="AK73" s="49"/>
      <c r="AO73" s="50"/>
      <c r="AP73" s="50"/>
      <c r="AQ73" s="50"/>
      <c r="AR73" s="50"/>
      <c r="AS73" s="50"/>
      <c r="AT73" s="50"/>
      <c r="AU73" s="50"/>
      <c r="AV73" s="50"/>
      <c r="AW73" s="49"/>
      <c r="BA73" s="50"/>
      <c r="BB73" s="50"/>
      <c r="BC73" s="50"/>
      <c r="BD73" s="50"/>
      <c r="BE73" s="50"/>
      <c r="BF73" s="50"/>
      <c r="BG73" s="50"/>
      <c r="BH73" s="50"/>
      <c r="BI73" s="49"/>
      <c r="BM73" s="50"/>
      <c r="BN73" s="50"/>
      <c r="BO73" s="49"/>
      <c r="BS73" s="50"/>
      <c r="BT73" s="50"/>
      <c r="BU73" s="50"/>
      <c r="BV73" s="50"/>
      <c r="BW73" s="50"/>
      <c r="BX73" s="50"/>
      <c r="BY73" s="50"/>
      <c r="BZ73" s="50"/>
      <c r="CA73" s="49"/>
      <c r="CE73" s="50"/>
      <c r="CF73" s="50"/>
      <c r="CG73" s="50"/>
      <c r="CH73" s="50"/>
      <c r="CI73" s="50"/>
      <c r="CJ73" s="50"/>
      <c r="CK73" s="50"/>
      <c r="CL73" s="50"/>
      <c r="CM73" s="49"/>
      <c r="CQ73" s="50"/>
      <c r="CR73" s="50"/>
      <c r="CS73" s="50"/>
      <c r="CT73" s="50"/>
      <c r="CU73" s="50"/>
      <c r="CV73" s="50"/>
      <c r="CW73" s="50"/>
      <c r="CX73" s="50"/>
      <c r="CY73" s="50"/>
      <c r="CZ73" s="49"/>
      <c r="DD73" s="50"/>
      <c r="DE73" s="50"/>
      <c r="DF73" s="50"/>
      <c r="DG73" s="50"/>
      <c r="DH73" s="50"/>
      <c r="DI73" s="50"/>
      <c r="DJ73" s="50"/>
      <c r="DK73" s="50"/>
      <c r="DL73" s="49"/>
    </row>
    <row r="74">
      <c r="A74" s="51"/>
      <c r="B74" s="51"/>
      <c r="C74" s="51"/>
      <c r="D74" s="51"/>
      <c r="E74" s="50"/>
      <c r="F74" s="50"/>
      <c r="G74" s="50"/>
      <c r="H74" s="50"/>
      <c r="I74" s="50"/>
      <c r="J74" s="50"/>
      <c r="K74" s="50"/>
      <c r="L74" s="50"/>
      <c r="M74" s="51"/>
      <c r="N74" s="51"/>
      <c r="O74" s="51"/>
      <c r="P74" s="51"/>
      <c r="Q74" s="50"/>
      <c r="R74" s="50"/>
      <c r="S74" s="50"/>
      <c r="T74" s="49" t="s">
        <v>1158</v>
      </c>
      <c r="U74" s="50"/>
      <c r="V74" s="50"/>
      <c r="W74" s="50"/>
      <c r="X74" s="50"/>
      <c r="Y74" s="49"/>
      <c r="AC74" s="50"/>
      <c r="AD74" s="50"/>
      <c r="AE74" s="50"/>
      <c r="AF74" s="50"/>
      <c r="AG74" s="50"/>
      <c r="AH74" s="50"/>
      <c r="AI74" s="50"/>
      <c r="AJ74" s="50"/>
      <c r="AK74" s="49"/>
      <c r="AO74" s="50"/>
      <c r="AP74" s="50"/>
      <c r="AQ74" s="50"/>
      <c r="AR74" s="50"/>
      <c r="AS74" s="50"/>
      <c r="AT74" s="50"/>
      <c r="AU74" s="50"/>
      <c r="AV74" s="50"/>
      <c r="AW74" s="49"/>
      <c r="BA74" s="50"/>
      <c r="BB74" s="50"/>
      <c r="BC74" s="50"/>
      <c r="BD74" s="50"/>
      <c r="BE74" s="50"/>
      <c r="BF74" s="50"/>
      <c r="BG74" s="50"/>
      <c r="BH74" s="50"/>
      <c r="BI74" s="49"/>
      <c r="BM74" s="50"/>
      <c r="BN74" s="50"/>
      <c r="BO74" s="49"/>
      <c r="BS74" s="50"/>
      <c r="BT74" s="50"/>
      <c r="BU74" s="50"/>
      <c r="BV74" s="50"/>
      <c r="BW74" s="50"/>
      <c r="BX74" s="50"/>
      <c r="BY74" s="50"/>
      <c r="BZ74" s="50"/>
      <c r="CA74" s="49"/>
      <c r="CE74" s="50"/>
      <c r="CF74" s="50"/>
      <c r="CG74" s="50"/>
      <c r="CH74" s="50"/>
      <c r="CI74" s="50"/>
      <c r="CJ74" s="50"/>
      <c r="CK74" s="50"/>
      <c r="CL74" s="50"/>
      <c r="CM74" s="49"/>
      <c r="CQ74" s="50"/>
      <c r="CR74" s="50"/>
      <c r="CS74" s="50"/>
      <c r="CT74" s="50"/>
      <c r="CU74" s="50"/>
      <c r="CV74" s="50"/>
      <c r="CW74" s="50"/>
      <c r="CX74" s="50"/>
      <c r="CY74" s="50"/>
      <c r="CZ74" s="49"/>
      <c r="DD74" s="50"/>
      <c r="DE74" s="50"/>
      <c r="DF74" s="50"/>
      <c r="DG74" s="50"/>
      <c r="DH74" s="50"/>
      <c r="DI74" s="50"/>
      <c r="DJ74" s="50"/>
      <c r="DK74" s="50"/>
      <c r="DL74" s="49"/>
    </row>
    <row r="75">
      <c r="A75" s="51"/>
      <c r="B75" s="51"/>
      <c r="C75" s="51"/>
      <c r="D75" s="51"/>
      <c r="E75" s="50"/>
      <c r="F75" s="50"/>
      <c r="G75" s="50"/>
      <c r="H75" s="50"/>
      <c r="I75" s="50"/>
      <c r="J75" s="50"/>
      <c r="K75" s="50"/>
      <c r="L75" s="50"/>
      <c r="M75" s="51"/>
      <c r="N75" s="51"/>
      <c r="O75" s="51"/>
      <c r="P75" s="51"/>
      <c r="Q75" s="50"/>
      <c r="R75" s="50"/>
      <c r="S75" s="50"/>
      <c r="T75" s="49" t="s">
        <v>1159</v>
      </c>
      <c r="U75" s="50"/>
      <c r="V75" s="50"/>
      <c r="W75" s="50"/>
      <c r="X75" s="50"/>
      <c r="Y75" s="49"/>
      <c r="AC75" s="50"/>
      <c r="AD75" s="50"/>
      <c r="AE75" s="50"/>
      <c r="AF75" s="50"/>
      <c r="AG75" s="50"/>
      <c r="AH75" s="50"/>
      <c r="AI75" s="50"/>
      <c r="AJ75" s="50"/>
      <c r="AK75" s="49"/>
      <c r="AO75" s="50"/>
      <c r="AP75" s="50"/>
      <c r="AQ75" s="50"/>
      <c r="AR75" s="50"/>
      <c r="AS75" s="50"/>
      <c r="AT75" s="50"/>
      <c r="AU75" s="50"/>
      <c r="AV75" s="50"/>
      <c r="AW75" s="49"/>
      <c r="BA75" s="50"/>
      <c r="BB75" s="50"/>
      <c r="BC75" s="50"/>
      <c r="BD75" s="50"/>
      <c r="BE75" s="50"/>
      <c r="BF75" s="50"/>
      <c r="BG75" s="50"/>
      <c r="BH75" s="50"/>
      <c r="BI75" s="49"/>
      <c r="BM75" s="50"/>
      <c r="BN75" s="50"/>
      <c r="BO75" s="49"/>
      <c r="BS75" s="50"/>
      <c r="BT75" s="50"/>
      <c r="BU75" s="50"/>
      <c r="BV75" s="50"/>
      <c r="BW75" s="50"/>
      <c r="BX75" s="50"/>
      <c r="BY75" s="50"/>
      <c r="BZ75" s="50"/>
      <c r="CA75" s="49"/>
      <c r="CE75" s="50"/>
      <c r="CF75" s="50"/>
      <c r="CG75" s="50"/>
      <c r="CH75" s="50"/>
      <c r="CI75" s="50"/>
      <c r="CJ75" s="50"/>
      <c r="CK75" s="50"/>
      <c r="CL75" s="50"/>
      <c r="CM75" s="49"/>
      <c r="CQ75" s="50"/>
      <c r="CR75" s="50"/>
      <c r="CS75" s="50"/>
      <c r="CT75" s="50"/>
      <c r="CU75" s="50"/>
      <c r="CV75" s="50"/>
      <c r="CW75" s="50"/>
      <c r="CX75" s="50"/>
      <c r="CY75" s="50"/>
      <c r="CZ75" s="49"/>
      <c r="DD75" s="50"/>
      <c r="DE75" s="50"/>
      <c r="DF75" s="50"/>
      <c r="DG75" s="50"/>
      <c r="DH75" s="50"/>
      <c r="DI75" s="50"/>
      <c r="DJ75" s="50"/>
      <c r="DK75" s="50"/>
      <c r="DL75" s="49"/>
    </row>
    <row r="76">
      <c r="A76" s="51"/>
      <c r="B76" s="51"/>
      <c r="C76" s="51"/>
      <c r="D76" s="50"/>
      <c r="E76" s="50"/>
      <c r="F76" s="50"/>
      <c r="G76" s="50"/>
      <c r="H76" s="50"/>
      <c r="I76" s="50"/>
      <c r="J76" s="50"/>
      <c r="K76" s="50"/>
      <c r="L76" s="50"/>
      <c r="M76" s="51"/>
      <c r="N76" s="51"/>
      <c r="O76" s="51"/>
      <c r="P76" s="51"/>
      <c r="Q76" s="51"/>
      <c r="R76" s="50"/>
      <c r="S76" s="50"/>
      <c r="T76" s="49" t="s">
        <v>1160</v>
      </c>
      <c r="U76" s="50"/>
      <c r="V76" s="50"/>
      <c r="W76" s="50"/>
      <c r="X76" s="50"/>
      <c r="Y76" s="49"/>
      <c r="AC76" s="50"/>
      <c r="AD76" s="50"/>
      <c r="AE76" s="50"/>
      <c r="AF76" s="50"/>
      <c r="AG76" s="50"/>
      <c r="AH76" s="50"/>
      <c r="AI76" s="50"/>
      <c r="AJ76" s="50"/>
      <c r="AK76" s="49"/>
      <c r="AO76" s="50"/>
      <c r="AP76" s="50"/>
      <c r="AQ76" s="50"/>
      <c r="AR76" s="50"/>
      <c r="AS76" s="50"/>
      <c r="AT76" s="50"/>
      <c r="AU76" s="50"/>
      <c r="AV76" s="50"/>
      <c r="AW76" s="49"/>
      <c r="BA76" s="50"/>
      <c r="BB76" s="50"/>
      <c r="BC76" s="50"/>
      <c r="BD76" s="50"/>
      <c r="BE76" s="50"/>
      <c r="BF76" s="50"/>
      <c r="BG76" s="50"/>
      <c r="BH76" s="50"/>
      <c r="BI76" s="49"/>
      <c r="BM76" s="50"/>
      <c r="BN76" s="50"/>
      <c r="BO76" s="49"/>
      <c r="BS76" s="50"/>
      <c r="BT76" s="50"/>
      <c r="BU76" s="50"/>
      <c r="BV76" s="50"/>
      <c r="BW76" s="50"/>
      <c r="BX76" s="50"/>
      <c r="BY76" s="50"/>
      <c r="BZ76" s="50"/>
      <c r="CA76" s="49"/>
      <c r="CE76" s="50"/>
      <c r="CF76" s="50"/>
      <c r="CG76" s="50"/>
      <c r="CH76" s="50"/>
      <c r="CI76" s="50"/>
      <c r="CJ76" s="50"/>
      <c r="CK76" s="50"/>
      <c r="CL76" s="50"/>
      <c r="CM76" s="49"/>
      <c r="CQ76" s="50"/>
      <c r="CR76" s="50"/>
      <c r="CS76" s="50"/>
      <c r="CT76" s="50"/>
      <c r="CU76" s="50"/>
      <c r="CV76" s="50"/>
      <c r="CW76" s="50"/>
      <c r="CX76" s="50"/>
      <c r="CY76" s="50"/>
      <c r="CZ76" s="49"/>
      <c r="DD76" s="50"/>
      <c r="DE76" s="50"/>
      <c r="DF76" s="50"/>
      <c r="DG76" s="50"/>
      <c r="DH76" s="50"/>
      <c r="DI76" s="50"/>
      <c r="DJ76" s="50"/>
      <c r="DK76" s="50"/>
      <c r="DL76" s="49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1"/>
      <c r="N77" s="51"/>
      <c r="O77" s="51"/>
      <c r="P77" s="51"/>
      <c r="Q77" s="50"/>
      <c r="R77" s="50"/>
      <c r="S77" s="50"/>
      <c r="T77" s="49" t="s">
        <v>1161</v>
      </c>
      <c r="U77" s="50"/>
      <c r="V77" s="50"/>
      <c r="W77" s="50"/>
      <c r="X77" s="50"/>
      <c r="Y77" s="49"/>
      <c r="AC77" s="50"/>
      <c r="AD77" s="50"/>
      <c r="AE77" s="50"/>
      <c r="AF77" s="50"/>
      <c r="AG77" s="50"/>
      <c r="AH77" s="50"/>
      <c r="AI77" s="50"/>
      <c r="AJ77" s="50"/>
      <c r="AK77" s="49"/>
      <c r="AO77" s="50"/>
      <c r="AP77" s="50"/>
      <c r="AQ77" s="50"/>
      <c r="AR77" s="50"/>
      <c r="AS77" s="50"/>
      <c r="AT77" s="50"/>
      <c r="AU77" s="50"/>
      <c r="AV77" s="50"/>
      <c r="AW77" s="49"/>
      <c r="BA77" s="50"/>
      <c r="BB77" s="50"/>
      <c r="BC77" s="50"/>
      <c r="BD77" s="50"/>
      <c r="BE77" s="50"/>
      <c r="BF77" s="50"/>
      <c r="BG77" s="50"/>
      <c r="BH77" s="50"/>
      <c r="BI77" s="49"/>
      <c r="BM77" s="50"/>
      <c r="BN77" s="50"/>
      <c r="BO77" s="49"/>
      <c r="BS77" s="50"/>
      <c r="BT77" s="50"/>
      <c r="BU77" s="50"/>
      <c r="BV77" s="50"/>
      <c r="BW77" s="50"/>
      <c r="BX77" s="50"/>
      <c r="BY77" s="50"/>
      <c r="BZ77" s="50"/>
      <c r="CA77" s="49"/>
      <c r="CE77" s="50"/>
      <c r="CF77" s="50"/>
      <c r="CG77" s="50"/>
      <c r="CH77" s="50"/>
      <c r="CI77" s="50"/>
      <c r="CJ77" s="50"/>
      <c r="CK77" s="50"/>
      <c r="CL77" s="50"/>
      <c r="CM77" s="49"/>
      <c r="CQ77" s="50"/>
      <c r="CR77" s="50"/>
      <c r="CS77" s="50"/>
      <c r="CT77" s="50"/>
      <c r="CU77" s="50"/>
      <c r="CV77" s="50"/>
      <c r="CW77" s="50"/>
      <c r="CX77" s="50"/>
      <c r="CY77" s="50"/>
      <c r="CZ77" s="49"/>
      <c r="DD77" s="50"/>
      <c r="DE77" s="50"/>
      <c r="DF77" s="50"/>
      <c r="DG77" s="50"/>
      <c r="DH77" s="50"/>
      <c r="DI77" s="50"/>
      <c r="DJ77" s="50"/>
      <c r="DK77" s="50"/>
      <c r="DL77" s="49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1"/>
      <c r="N78" s="51"/>
      <c r="O78" s="51"/>
      <c r="P78" s="51"/>
      <c r="Q78" s="50"/>
      <c r="R78" s="50"/>
      <c r="S78" s="50"/>
      <c r="T78" s="49" t="s">
        <v>1162</v>
      </c>
      <c r="U78" s="50"/>
      <c r="V78" s="50"/>
      <c r="W78" s="50"/>
      <c r="X78" s="50"/>
      <c r="Y78" s="49"/>
      <c r="AC78" s="50"/>
      <c r="AD78" s="50"/>
      <c r="AE78" s="50"/>
      <c r="AF78" s="50"/>
      <c r="AG78" s="50"/>
      <c r="AH78" s="50"/>
      <c r="AI78" s="50"/>
      <c r="AJ78" s="50"/>
      <c r="AK78" s="49"/>
      <c r="AO78" s="50"/>
      <c r="AP78" s="50"/>
      <c r="AQ78" s="50"/>
      <c r="AR78" s="50"/>
      <c r="AS78" s="50"/>
      <c r="AT78" s="50"/>
      <c r="AU78" s="50"/>
      <c r="AV78" s="50"/>
      <c r="AW78" s="49"/>
      <c r="BA78" s="50"/>
      <c r="BB78" s="50"/>
      <c r="BC78" s="50"/>
      <c r="BD78" s="50"/>
      <c r="BE78" s="50"/>
      <c r="BF78" s="50"/>
      <c r="BG78" s="50"/>
      <c r="BH78" s="50"/>
      <c r="BI78" s="49"/>
      <c r="BM78" s="50"/>
      <c r="BN78" s="50"/>
      <c r="BO78" s="49"/>
      <c r="BS78" s="50"/>
      <c r="BT78" s="50"/>
      <c r="BU78" s="50"/>
      <c r="BV78" s="50"/>
      <c r="BW78" s="50"/>
      <c r="BX78" s="50"/>
      <c r="BY78" s="50"/>
      <c r="BZ78" s="50"/>
      <c r="CA78" s="49"/>
      <c r="CE78" s="50"/>
      <c r="CF78" s="50"/>
      <c r="CG78" s="50"/>
      <c r="CH78" s="50"/>
      <c r="CI78" s="50"/>
      <c r="CJ78" s="50"/>
      <c r="CK78" s="50"/>
      <c r="CL78" s="50"/>
      <c r="CM78" s="49"/>
      <c r="CQ78" s="50"/>
      <c r="CR78" s="50"/>
      <c r="CS78" s="50"/>
      <c r="CT78" s="50"/>
      <c r="CU78" s="50"/>
      <c r="CV78" s="50"/>
      <c r="CW78" s="50"/>
      <c r="CX78" s="50"/>
      <c r="CY78" s="50"/>
      <c r="CZ78" s="49"/>
      <c r="DD78" s="50"/>
      <c r="DE78" s="50"/>
      <c r="DF78" s="50"/>
      <c r="DG78" s="50"/>
      <c r="DH78" s="50"/>
      <c r="DI78" s="50"/>
      <c r="DJ78" s="50"/>
      <c r="DK78" s="50"/>
      <c r="DL78" s="49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1"/>
      <c r="N79" s="51"/>
      <c r="O79" s="51"/>
      <c r="P79" s="50"/>
      <c r="Q79" s="50"/>
      <c r="R79" s="50"/>
      <c r="S79" s="50"/>
      <c r="T79" s="49" t="s">
        <v>1163</v>
      </c>
      <c r="U79" s="50"/>
      <c r="V79" s="50"/>
      <c r="W79" s="50"/>
      <c r="X79" s="50"/>
      <c r="Y79" s="49"/>
      <c r="AD79" s="50"/>
      <c r="AE79" s="50"/>
      <c r="AF79" s="50"/>
      <c r="AG79" s="50"/>
      <c r="AH79" s="50"/>
      <c r="AI79" s="50"/>
      <c r="AJ79" s="50"/>
      <c r="AK79" s="49"/>
      <c r="AO79" s="50"/>
      <c r="AP79" s="50"/>
      <c r="AQ79" s="50"/>
      <c r="AR79" s="50"/>
      <c r="AS79" s="50"/>
      <c r="AT79" s="50"/>
      <c r="AU79" s="50"/>
      <c r="AV79" s="50"/>
      <c r="AW79" s="49"/>
      <c r="BA79" s="50"/>
      <c r="BB79" s="50"/>
      <c r="BC79" s="50"/>
      <c r="BD79" s="50"/>
      <c r="BE79" s="50"/>
      <c r="BF79" s="50"/>
      <c r="BG79" s="50"/>
      <c r="BH79" s="50"/>
      <c r="BI79" s="49"/>
      <c r="BM79" s="50"/>
      <c r="BN79" s="50"/>
      <c r="BO79" s="49"/>
      <c r="BS79" s="50"/>
      <c r="BT79" s="50"/>
      <c r="BU79" s="50"/>
      <c r="BV79" s="50"/>
      <c r="BW79" s="50"/>
      <c r="BX79" s="50"/>
      <c r="BY79" s="50"/>
      <c r="BZ79" s="50"/>
      <c r="CA79" s="49"/>
      <c r="CE79" s="50"/>
      <c r="CF79" s="50"/>
      <c r="CG79" s="50"/>
      <c r="CH79" s="50"/>
      <c r="CI79" s="50"/>
      <c r="CJ79" s="50"/>
      <c r="CK79" s="50"/>
      <c r="CL79" s="50"/>
      <c r="CM79" s="49"/>
      <c r="CQ79" s="50"/>
      <c r="CR79" s="50"/>
      <c r="CS79" s="50"/>
      <c r="CT79" s="50"/>
      <c r="CU79" s="50"/>
      <c r="CV79" s="50"/>
      <c r="CW79" s="50"/>
      <c r="CX79" s="50"/>
      <c r="CY79" s="50"/>
      <c r="CZ79" s="49"/>
      <c r="DD79" s="50"/>
      <c r="DE79" s="50"/>
      <c r="DF79" s="50"/>
      <c r="DG79" s="50"/>
      <c r="DH79" s="50"/>
      <c r="DI79" s="50"/>
      <c r="DJ79" s="50"/>
      <c r="DK79" s="50"/>
      <c r="DL79" s="49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49" t="s">
        <v>1164</v>
      </c>
      <c r="U80" s="50"/>
      <c r="V80" s="50"/>
      <c r="W80" s="50"/>
      <c r="X80" s="50"/>
      <c r="Y80" s="49"/>
      <c r="AC80" s="50"/>
      <c r="AD80" s="50"/>
      <c r="AE80" s="50"/>
      <c r="AF80" s="50"/>
      <c r="AG80" s="50"/>
      <c r="AH80" s="50"/>
      <c r="AI80" s="50"/>
      <c r="AJ80" s="50"/>
      <c r="AK80" s="49"/>
      <c r="AO80" s="50"/>
      <c r="AP80" s="50"/>
      <c r="AQ80" s="50"/>
      <c r="AR80" s="50"/>
      <c r="AS80" s="50"/>
      <c r="AT80" s="50"/>
      <c r="AU80" s="50"/>
      <c r="AV80" s="50"/>
      <c r="AW80" s="49"/>
      <c r="BA80" s="50"/>
      <c r="BB80" s="50"/>
      <c r="BC80" s="50"/>
      <c r="BD80" s="50"/>
      <c r="BE80" s="50"/>
      <c r="BF80" s="50"/>
      <c r="BG80" s="50"/>
      <c r="BH80" s="50"/>
      <c r="BI80" s="49"/>
      <c r="BM80" s="50"/>
      <c r="BN80" s="50"/>
      <c r="BO80" s="49"/>
      <c r="BS80" s="50"/>
      <c r="BT80" s="50"/>
      <c r="BU80" s="50"/>
      <c r="BV80" s="50"/>
      <c r="BW80" s="50"/>
      <c r="BX80" s="50"/>
      <c r="BY80" s="50"/>
      <c r="BZ80" s="50"/>
      <c r="CA80" s="49"/>
      <c r="CE80" s="50"/>
      <c r="CF80" s="50"/>
      <c r="CG80" s="50"/>
      <c r="CH80" s="50"/>
      <c r="CI80" s="50"/>
      <c r="CJ80" s="50"/>
      <c r="CK80" s="50"/>
      <c r="CL80" s="50"/>
      <c r="CM80" s="49"/>
      <c r="CQ80" s="50"/>
      <c r="CR80" s="50"/>
      <c r="CS80" s="50"/>
      <c r="CT80" s="50"/>
      <c r="CU80" s="50"/>
      <c r="CV80" s="50"/>
      <c r="CW80" s="50"/>
      <c r="CX80" s="50"/>
      <c r="CY80" s="50"/>
      <c r="CZ80" s="49"/>
      <c r="DD80" s="50"/>
      <c r="DE80" s="50"/>
      <c r="DF80" s="50"/>
      <c r="DG80" s="50"/>
      <c r="DH80" s="50"/>
      <c r="DI80" s="50"/>
      <c r="DJ80" s="50"/>
      <c r="DK80" s="50"/>
      <c r="DL80" s="49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49" t="s">
        <v>1165</v>
      </c>
      <c r="U81" s="50"/>
      <c r="V81" s="50"/>
      <c r="W81" s="50"/>
      <c r="X81" s="50"/>
      <c r="Y81" s="49"/>
      <c r="AC81" s="50"/>
      <c r="AD81" s="50"/>
      <c r="AE81" s="50"/>
      <c r="AF81" s="50"/>
      <c r="AG81" s="50"/>
      <c r="AH81" s="50"/>
      <c r="AI81" s="50"/>
      <c r="AJ81" s="50"/>
      <c r="AK81" s="49"/>
      <c r="AO81" s="50"/>
      <c r="AP81" s="50"/>
      <c r="AQ81" s="50"/>
      <c r="AR81" s="50"/>
      <c r="AS81" s="50"/>
      <c r="AT81" s="50"/>
      <c r="AU81" s="50"/>
      <c r="AV81" s="50"/>
      <c r="AW81" s="49"/>
      <c r="BA81" s="50"/>
      <c r="BB81" s="50"/>
      <c r="BC81" s="50"/>
      <c r="BD81" s="50"/>
      <c r="BE81" s="50"/>
      <c r="BF81" s="50"/>
      <c r="BG81" s="50"/>
      <c r="BH81" s="50"/>
      <c r="BI81" s="49"/>
      <c r="BM81" s="50"/>
      <c r="BN81" s="50"/>
      <c r="BO81" s="49"/>
      <c r="BS81" s="50"/>
      <c r="BT81" s="50"/>
      <c r="BU81" s="50"/>
      <c r="BV81" s="50"/>
      <c r="BW81" s="50"/>
      <c r="BX81" s="50"/>
      <c r="BY81" s="50"/>
      <c r="BZ81" s="50"/>
      <c r="CA81" s="49"/>
      <c r="CE81" s="50"/>
      <c r="CF81" s="50"/>
      <c r="CG81" s="50"/>
      <c r="CH81" s="50"/>
      <c r="CI81" s="50"/>
      <c r="CJ81" s="50"/>
      <c r="CK81" s="50"/>
      <c r="CL81" s="50"/>
      <c r="CM81" s="49"/>
      <c r="CQ81" s="50"/>
      <c r="CR81" s="50"/>
      <c r="CS81" s="50"/>
      <c r="CT81" s="50"/>
      <c r="CU81" s="50"/>
      <c r="CV81" s="50"/>
      <c r="CW81" s="50"/>
      <c r="CX81" s="50"/>
      <c r="CY81" s="50"/>
      <c r="CZ81" s="49"/>
      <c r="DD81" s="50"/>
      <c r="DE81" s="50"/>
      <c r="DF81" s="50"/>
      <c r="DG81" s="50"/>
      <c r="DH81" s="50"/>
      <c r="DI81" s="50"/>
      <c r="DJ81" s="50"/>
      <c r="DK81" s="50"/>
      <c r="DL81" s="49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49" t="s">
        <v>1166</v>
      </c>
      <c r="U82" s="50"/>
      <c r="V82" s="50"/>
      <c r="W82" s="50"/>
      <c r="X82" s="50"/>
      <c r="Y82" s="49"/>
      <c r="AB82" s="50"/>
      <c r="AC82" s="50"/>
      <c r="AD82" s="50"/>
      <c r="AE82" s="50"/>
      <c r="AF82" s="50"/>
      <c r="AG82" s="50"/>
      <c r="AH82" s="50"/>
      <c r="AI82" s="50"/>
      <c r="AJ82" s="50"/>
      <c r="AK82" s="49"/>
      <c r="AP82" s="50"/>
      <c r="AQ82" s="50"/>
      <c r="AR82" s="50"/>
      <c r="AS82" s="50"/>
      <c r="AT82" s="50"/>
      <c r="AU82" s="50"/>
      <c r="AV82" s="50"/>
      <c r="AW82" s="49"/>
      <c r="BA82" s="50"/>
      <c r="BB82" s="50"/>
      <c r="BC82" s="50"/>
      <c r="BD82" s="50"/>
      <c r="BE82" s="50"/>
      <c r="BF82" s="50"/>
      <c r="BG82" s="50"/>
      <c r="BH82" s="50"/>
      <c r="BI82" s="49"/>
      <c r="BM82" s="50"/>
      <c r="BN82" s="50"/>
      <c r="BO82" s="49"/>
      <c r="BS82" s="50"/>
      <c r="BT82" s="50"/>
      <c r="BU82" s="50"/>
      <c r="BV82" s="50"/>
      <c r="BW82" s="50"/>
      <c r="BX82" s="50"/>
      <c r="BY82" s="50"/>
      <c r="BZ82" s="50"/>
      <c r="CA82" s="49"/>
      <c r="CE82" s="50"/>
      <c r="CF82" s="50"/>
      <c r="CG82" s="50"/>
      <c r="CH82" s="50"/>
      <c r="CI82" s="50"/>
      <c r="CJ82" s="50"/>
      <c r="CK82" s="50"/>
      <c r="CL82" s="50"/>
      <c r="CM82" s="49"/>
      <c r="CQ82" s="50"/>
      <c r="CR82" s="50"/>
      <c r="CS82" s="50"/>
      <c r="CT82" s="50"/>
      <c r="CU82" s="50"/>
      <c r="CV82" s="50"/>
      <c r="CW82" s="50"/>
      <c r="CX82" s="50"/>
      <c r="CY82" s="50"/>
      <c r="CZ82" s="49"/>
      <c r="DD82" s="50"/>
      <c r="DE82" s="50"/>
      <c r="DF82" s="50"/>
      <c r="DG82" s="50"/>
      <c r="DH82" s="50"/>
      <c r="DI82" s="50"/>
      <c r="DJ82" s="50"/>
      <c r="DK82" s="50"/>
      <c r="DL82" s="49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49" t="s">
        <v>1167</v>
      </c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49"/>
      <c r="AO83" s="50"/>
      <c r="AP83" s="50"/>
      <c r="AQ83" s="50"/>
      <c r="AR83" s="50"/>
      <c r="AS83" s="50"/>
      <c r="AT83" s="50"/>
      <c r="AU83" s="50"/>
      <c r="AV83" s="50"/>
      <c r="AW83" s="49"/>
      <c r="BA83" s="50"/>
      <c r="BB83" s="50"/>
      <c r="BC83" s="50"/>
      <c r="BD83" s="50"/>
      <c r="BE83" s="50"/>
      <c r="BF83" s="50"/>
      <c r="BG83" s="50"/>
      <c r="BH83" s="50"/>
      <c r="BI83" s="49"/>
      <c r="BM83" s="50"/>
      <c r="BN83" s="50"/>
      <c r="BO83" s="49"/>
      <c r="BS83" s="50"/>
      <c r="BT83" s="50"/>
      <c r="BU83" s="50"/>
      <c r="BV83" s="50"/>
      <c r="BW83" s="50"/>
      <c r="BX83" s="50"/>
      <c r="BY83" s="50"/>
      <c r="BZ83" s="50"/>
      <c r="CA83" s="49"/>
      <c r="CE83" s="50"/>
      <c r="CF83" s="50"/>
      <c r="CG83" s="50"/>
      <c r="CH83" s="50"/>
      <c r="CI83" s="50"/>
      <c r="CJ83" s="50"/>
      <c r="CK83" s="50"/>
      <c r="CL83" s="50"/>
      <c r="CM83" s="49"/>
      <c r="CQ83" s="50"/>
      <c r="CR83" s="50"/>
      <c r="CS83" s="50"/>
      <c r="CT83" s="50"/>
      <c r="CU83" s="50"/>
      <c r="CV83" s="50"/>
      <c r="CW83" s="50"/>
      <c r="CX83" s="50"/>
      <c r="CY83" s="50"/>
      <c r="CZ83" s="49"/>
      <c r="DD83" s="50"/>
      <c r="DE83" s="50"/>
      <c r="DF83" s="50"/>
      <c r="DG83" s="50"/>
      <c r="DH83" s="50"/>
      <c r="DI83" s="50"/>
      <c r="DJ83" s="50"/>
      <c r="DK83" s="50"/>
      <c r="DL83" s="49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49" t="s">
        <v>1168</v>
      </c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49"/>
      <c r="AO84" s="50"/>
      <c r="AP84" s="50"/>
      <c r="AQ84" s="50"/>
      <c r="AR84" s="50"/>
      <c r="AS84" s="50"/>
      <c r="AT84" s="50"/>
      <c r="AU84" s="50"/>
      <c r="AV84" s="50"/>
      <c r="AW84" s="49"/>
      <c r="BA84" s="50"/>
      <c r="BB84" s="50"/>
      <c r="BC84" s="50"/>
      <c r="BD84" s="50"/>
      <c r="BE84" s="50"/>
      <c r="BF84" s="50"/>
      <c r="BG84" s="50"/>
      <c r="BH84" s="50"/>
      <c r="BI84" s="49"/>
      <c r="BM84" s="50"/>
      <c r="BN84" s="50"/>
      <c r="BO84" s="49"/>
      <c r="BS84" s="50"/>
      <c r="BT84" s="50"/>
      <c r="BU84" s="50"/>
      <c r="BV84" s="50"/>
      <c r="BW84" s="50"/>
      <c r="BX84" s="50"/>
      <c r="BY84" s="50"/>
      <c r="BZ84" s="50"/>
      <c r="CA84" s="49"/>
      <c r="CE84" s="50"/>
      <c r="CF84" s="50"/>
      <c r="CG84" s="50"/>
      <c r="CH84" s="50"/>
      <c r="CI84" s="50"/>
      <c r="CJ84" s="50"/>
      <c r="CK84" s="50"/>
      <c r="CL84" s="50"/>
      <c r="CM84" s="49"/>
      <c r="CQ84" s="50"/>
      <c r="CR84" s="50"/>
      <c r="CS84" s="50"/>
      <c r="CT84" s="50"/>
      <c r="CU84" s="50"/>
      <c r="CV84" s="50"/>
      <c r="CW84" s="50"/>
      <c r="CX84" s="50"/>
      <c r="CY84" s="50"/>
      <c r="CZ84" s="49"/>
      <c r="DD84" s="50"/>
      <c r="DE84" s="50"/>
      <c r="DF84" s="50"/>
      <c r="DG84" s="50"/>
      <c r="DH84" s="50"/>
      <c r="DI84" s="50"/>
      <c r="DJ84" s="50"/>
      <c r="DK84" s="50"/>
      <c r="DL84" s="49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49" t="s">
        <v>1169</v>
      </c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49"/>
      <c r="AN85" s="50"/>
      <c r="AO85" s="50"/>
      <c r="AP85" s="50"/>
      <c r="AQ85" s="50"/>
      <c r="AR85" s="50"/>
      <c r="AS85" s="50"/>
      <c r="AT85" s="50"/>
      <c r="AU85" s="50"/>
      <c r="AV85" s="50"/>
      <c r="AW85" s="49"/>
      <c r="BA85" s="50"/>
      <c r="BB85" s="50"/>
      <c r="BC85" s="50"/>
      <c r="BD85" s="50"/>
      <c r="BE85" s="50"/>
      <c r="BF85" s="50"/>
      <c r="BG85" s="50"/>
      <c r="BH85" s="50"/>
      <c r="BI85" s="49"/>
      <c r="BM85" s="50"/>
      <c r="BN85" s="50"/>
      <c r="BO85" s="49"/>
      <c r="BS85" s="50"/>
      <c r="BT85" s="50"/>
      <c r="BU85" s="50"/>
      <c r="BV85" s="50"/>
      <c r="BW85" s="50"/>
      <c r="BX85" s="50"/>
      <c r="BY85" s="50"/>
      <c r="BZ85" s="50"/>
      <c r="CA85" s="49"/>
      <c r="CE85" s="50"/>
      <c r="CF85" s="50"/>
      <c r="CG85" s="50"/>
      <c r="CH85" s="50"/>
      <c r="CI85" s="50"/>
      <c r="CJ85" s="50"/>
      <c r="CK85" s="50"/>
      <c r="CL85" s="50"/>
      <c r="CM85" s="49"/>
      <c r="CQ85" s="50"/>
      <c r="CR85" s="50"/>
      <c r="CS85" s="50"/>
      <c r="CT85" s="50"/>
      <c r="CU85" s="50"/>
      <c r="CV85" s="50"/>
      <c r="CW85" s="50"/>
      <c r="CX85" s="50"/>
      <c r="CY85" s="50"/>
      <c r="CZ85" s="49"/>
      <c r="DD85" s="50"/>
      <c r="DE85" s="50"/>
      <c r="DF85" s="50"/>
      <c r="DG85" s="50"/>
      <c r="DH85" s="50"/>
      <c r="DI85" s="50"/>
      <c r="DJ85" s="50"/>
      <c r="DK85" s="50"/>
      <c r="DL85" s="49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49" t="s">
        <v>1170</v>
      </c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49"/>
      <c r="BA86" s="50"/>
      <c r="BB86" s="50"/>
      <c r="BC86" s="50"/>
      <c r="BD86" s="50"/>
      <c r="BE86" s="50"/>
      <c r="BF86" s="50"/>
      <c r="BG86" s="50"/>
      <c r="BH86" s="50"/>
      <c r="BI86" s="49"/>
      <c r="BM86" s="50"/>
      <c r="BN86" s="50"/>
      <c r="BO86" s="49"/>
      <c r="BS86" s="50"/>
      <c r="BT86" s="50"/>
      <c r="BU86" s="50"/>
      <c r="BV86" s="50"/>
      <c r="BW86" s="50"/>
      <c r="BX86" s="50"/>
      <c r="BY86" s="50"/>
      <c r="BZ86" s="50"/>
      <c r="CA86" s="49"/>
      <c r="CE86" s="50"/>
      <c r="CF86" s="50"/>
      <c r="CG86" s="50"/>
      <c r="CH86" s="50"/>
      <c r="CI86" s="50"/>
      <c r="CJ86" s="50"/>
      <c r="CK86" s="50"/>
      <c r="CL86" s="50"/>
      <c r="CM86" s="49"/>
      <c r="CQ86" s="50"/>
      <c r="CR86" s="50"/>
      <c r="CS86" s="50"/>
      <c r="CT86" s="50"/>
      <c r="CU86" s="50"/>
      <c r="CV86" s="50"/>
      <c r="CW86" s="50"/>
      <c r="CX86" s="50"/>
      <c r="CY86" s="50"/>
      <c r="CZ86" s="49"/>
      <c r="DD86" s="50"/>
      <c r="DE86" s="50"/>
      <c r="DF86" s="50"/>
      <c r="DG86" s="50"/>
      <c r="DH86" s="50"/>
      <c r="DI86" s="50"/>
      <c r="DJ86" s="50"/>
      <c r="DK86" s="50"/>
      <c r="DL86" s="49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49" t="s">
        <v>1171</v>
      </c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49"/>
      <c r="BB87" s="50"/>
      <c r="BC87" s="50"/>
      <c r="BD87" s="50"/>
      <c r="BE87" s="50"/>
      <c r="BF87" s="50"/>
      <c r="BG87" s="50"/>
      <c r="BH87" s="50"/>
      <c r="BI87" s="49"/>
      <c r="BM87" s="50"/>
      <c r="BN87" s="50"/>
      <c r="BO87" s="49"/>
      <c r="BS87" s="50"/>
      <c r="BT87" s="50"/>
      <c r="BU87" s="50"/>
      <c r="BV87" s="50"/>
      <c r="BW87" s="50"/>
      <c r="BX87" s="50"/>
      <c r="BY87" s="50"/>
      <c r="BZ87" s="50"/>
      <c r="CA87" s="49"/>
      <c r="CE87" s="50"/>
      <c r="CF87" s="50"/>
      <c r="CG87" s="50"/>
      <c r="CH87" s="50"/>
      <c r="CI87" s="50"/>
      <c r="CJ87" s="50"/>
      <c r="CK87" s="50"/>
      <c r="CL87" s="50"/>
      <c r="CM87" s="49"/>
      <c r="CQ87" s="50"/>
      <c r="CR87" s="50"/>
      <c r="CS87" s="50"/>
      <c r="CT87" s="50"/>
      <c r="CU87" s="50"/>
      <c r="CV87" s="50"/>
      <c r="CW87" s="50"/>
      <c r="CX87" s="50"/>
      <c r="CY87" s="50"/>
      <c r="CZ87" s="49"/>
      <c r="DD87" s="50"/>
      <c r="DE87" s="50"/>
      <c r="DF87" s="50"/>
      <c r="DG87" s="50"/>
      <c r="DH87" s="50"/>
      <c r="DI87" s="50"/>
      <c r="DJ87" s="50"/>
      <c r="DK87" s="50"/>
      <c r="DL87" s="49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49" t="s">
        <v>1172</v>
      </c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49"/>
      <c r="BA88" s="50"/>
      <c r="BB88" s="50"/>
      <c r="BC88" s="50"/>
      <c r="BD88" s="50"/>
      <c r="BE88" s="50"/>
      <c r="BF88" s="50"/>
      <c r="BG88" s="50"/>
      <c r="BH88" s="50"/>
      <c r="BI88" s="49"/>
      <c r="BM88" s="50"/>
      <c r="BN88" s="50"/>
      <c r="BO88" s="49"/>
      <c r="BS88" s="50"/>
      <c r="BT88" s="50"/>
      <c r="BU88" s="50"/>
      <c r="BV88" s="50"/>
      <c r="BW88" s="50"/>
      <c r="BX88" s="50"/>
      <c r="BY88" s="50"/>
      <c r="BZ88" s="50"/>
      <c r="CA88" s="49"/>
      <c r="CE88" s="50"/>
      <c r="CF88" s="50"/>
      <c r="CG88" s="50"/>
      <c r="CH88" s="50"/>
      <c r="CI88" s="50"/>
      <c r="CJ88" s="50"/>
      <c r="CK88" s="50"/>
      <c r="CL88" s="50"/>
      <c r="CM88" s="49"/>
      <c r="CQ88" s="50"/>
      <c r="CR88" s="50"/>
      <c r="CS88" s="50"/>
      <c r="CT88" s="50"/>
      <c r="CU88" s="50"/>
      <c r="CV88" s="50"/>
      <c r="CW88" s="50"/>
      <c r="CX88" s="50"/>
      <c r="CY88" s="50"/>
      <c r="CZ88" s="49"/>
      <c r="DD88" s="50"/>
      <c r="DE88" s="50"/>
      <c r="DF88" s="50"/>
      <c r="DG88" s="50"/>
      <c r="DH88" s="50"/>
      <c r="DI88" s="50"/>
      <c r="DJ88" s="50"/>
      <c r="DK88" s="50"/>
      <c r="DL88" s="49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49" t="s">
        <v>1173</v>
      </c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49"/>
      <c r="BA89" s="50"/>
      <c r="BB89" s="50"/>
      <c r="BC89" s="50"/>
      <c r="BD89" s="50"/>
      <c r="BE89" s="50"/>
      <c r="BF89" s="50"/>
      <c r="BG89" s="50"/>
      <c r="BH89" s="50"/>
      <c r="BI89" s="49"/>
      <c r="BM89" s="50"/>
      <c r="BN89" s="50"/>
      <c r="BO89" s="49"/>
      <c r="BS89" s="50"/>
      <c r="BT89" s="50"/>
      <c r="BU89" s="50"/>
      <c r="BV89" s="50"/>
      <c r="BW89" s="50"/>
      <c r="BX89" s="50"/>
      <c r="BY89" s="50"/>
      <c r="BZ89" s="50"/>
      <c r="CA89" s="49"/>
      <c r="CE89" s="50"/>
      <c r="CF89" s="50"/>
      <c r="CG89" s="50"/>
      <c r="CH89" s="50"/>
      <c r="CI89" s="50"/>
      <c r="CJ89" s="50"/>
      <c r="CK89" s="50"/>
      <c r="CL89" s="50"/>
      <c r="CM89" s="49"/>
      <c r="CQ89" s="50"/>
      <c r="CR89" s="50"/>
      <c r="CS89" s="50"/>
      <c r="CT89" s="50"/>
      <c r="CU89" s="50"/>
      <c r="CV89" s="50"/>
      <c r="CW89" s="50"/>
      <c r="CX89" s="50"/>
      <c r="CY89" s="50"/>
      <c r="CZ89" s="49"/>
      <c r="DD89" s="50"/>
      <c r="DE89" s="50"/>
      <c r="DF89" s="50"/>
      <c r="DG89" s="50"/>
      <c r="DH89" s="50"/>
      <c r="DI89" s="50"/>
      <c r="DJ89" s="50"/>
      <c r="DK89" s="50"/>
      <c r="DL89" s="49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49" t="s">
        <v>1174</v>
      </c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49"/>
      <c r="AZ90" s="50"/>
      <c r="BA90" s="50"/>
      <c r="BB90" s="50"/>
      <c r="BC90" s="50"/>
      <c r="BD90" s="50"/>
      <c r="BE90" s="50"/>
      <c r="BF90" s="50"/>
      <c r="BG90" s="50"/>
      <c r="BH90" s="50"/>
      <c r="BI90" s="49"/>
      <c r="BM90" s="50"/>
      <c r="BN90" s="50"/>
      <c r="BO90" s="49"/>
      <c r="BS90" s="50"/>
      <c r="BT90" s="50"/>
      <c r="BU90" s="50"/>
      <c r="BV90" s="50"/>
      <c r="BW90" s="50"/>
      <c r="BX90" s="50"/>
      <c r="BY90" s="50"/>
      <c r="BZ90" s="50"/>
      <c r="CA90" s="49"/>
      <c r="CE90" s="50"/>
      <c r="CF90" s="50"/>
      <c r="CG90" s="50"/>
      <c r="CH90" s="50"/>
      <c r="CI90" s="50"/>
      <c r="CJ90" s="50"/>
      <c r="CK90" s="50"/>
      <c r="CL90" s="50"/>
      <c r="CM90" s="49"/>
      <c r="CQ90" s="50"/>
      <c r="CR90" s="50"/>
      <c r="CS90" s="50"/>
      <c r="CT90" s="50"/>
      <c r="CU90" s="50"/>
      <c r="CV90" s="50"/>
      <c r="CW90" s="50"/>
      <c r="CX90" s="50"/>
      <c r="CY90" s="50"/>
      <c r="CZ90" s="49"/>
      <c r="DD90" s="50"/>
      <c r="DE90" s="50"/>
      <c r="DF90" s="50"/>
      <c r="DG90" s="50"/>
      <c r="DH90" s="50"/>
      <c r="DI90" s="50"/>
      <c r="DJ90" s="50"/>
      <c r="DK90" s="50"/>
      <c r="DL90" s="49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49" t="s">
        <v>1175</v>
      </c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49"/>
      <c r="BM91" s="50"/>
      <c r="BN91" s="50"/>
      <c r="BO91" s="49"/>
      <c r="BS91" s="50"/>
      <c r="BT91" s="50"/>
      <c r="BU91" s="50"/>
      <c r="BV91" s="50"/>
      <c r="BW91" s="50"/>
      <c r="BX91" s="50"/>
      <c r="BY91" s="50"/>
      <c r="BZ91" s="50"/>
      <c r="CA91" s="49"/>
      <c r="CE91" s="50"/>
      <c r="CF91" s="50"/>
      <c r="CG91" s="50"/>
      <c r="CH91" s="50"/>
      <c r="CI91" s="50"/>
      <c r="CJ91" s="50"/>
      <c r="CK91" s="50"/>
      <c r="CL91" s="50"/>
      <c r="CM91" s="49"/>
      <c r="CQ91" s="50"/>
      <c r="CR91" s="50"/>
      <c r="CS91" s="50"/>
      <c r="CT91" s="50"/>
      <c r="CU91" s="50"/>
      <c r="CV91" s="50"/>
      <c r="CW91" s="50"/>
      <c r="CX91" s="50"/>
      <c r="CY91" s="50"/>
      <c r="CZ91" s="49"/>
      <c r="DD91" s="50"/>
      <c r="DE91" s="50"/>
      <c r="DF91" s="50"/>
      <c r="DG91" s="50"/>
      <c r="DH91" s="50"/>
      <c r="DI91" s="50"/>
      <c r="DJ91" s="50"/>
      <c r="DK91" s="50"/>
      <c r="DL91" s="49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49" t="s">
        <v>1176</v>
      </c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49"/>
      <c r="BM92" s="50"/>
      <c r="BN92" s="50"/>
      <c r="BO92" s="49"/>
      <c r="BS92" s="50"/>
      <c r="BT92" s="50"/>
      <c r="BU92" s="50"/>
      <c r="BV92" s="50"/>
      <c r="BW92" s="50"/>
      <c r="BX92" s="50"/>
      <c r="BY92" s="50"/>
      <c r="BZ92" s="50"/>
      <c r="CA92" s="49"/>
      <c r="CE92" s="50"/>
      <c r="CF92" s="50"/>
      <c r="CG92" s="50"/>
      <c r="CH92" s="50"/>
      <c r="CI92" s="50"/>
      <c r="CJ92" s="50"/>
      <c r="CK92" s="50"/>
      <c r="CL92" s="50"/>
      <c r="CM92" s="49"/>
      <c r="CQ92" s="50"/>
      <c r="CR92" s="50"/>
      <c r="CS92" s="50"/>
      <c r="CT92" s="50"/>
      <c r="CU92" s="50"/>
      <c r="CV92" s="50"/>
      <c r="CW92" s="50"/>
      <c r="CX92" s="50"/>
      <c r="CY92" s="50"/>
      <c r="CZ92" s="49"/>
      <c r="DD92" s="50"/>
      <c r="DE92" s="50"/>
      <c r="DF92" s="50"/>
      <c r="DG92" s="50"/>
      <c r="DH92" s="50"/>
      <c r="DI92" s="50"/>
      <c r="DJ92" s="50"/>
      <c r="DK92" s="50"/>
      <c r="DL92" s="49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49" t="s">
        <v>1177</v>
      </c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49"/>
      <c r="BN93" s="50"/>
      <c r="BO93" s="49"/>
      <c r="BS93" s="50"/>
      <c r="BT93" s="50"/>
      <c r="BU93" s="50"/>
      <c r="BV93" s="50"/>
      <c r="BW93" s="50"/>
      <c r="BX93" s="50"/>
      <c r="BY93" s="50"/>
      <c r="BZ93" s="50"/>
      <c r="CA93" s="49"/>
      <c r="CE93" s="50"/>
      <c r="CF93" s="50"/>
      <c r="CG93" s="50"/>
      <c r="CH93" s="50"/>
      <c r="CI93" s="50"/>
      <c r="CJ93" s="50"/>
      <c r="CK93" s="50"/>
      <c r="CL93" s="50"/>
      <c r="CM93" s="49"/>
      <c r="CQ93" s="50"/>
      <c r="CR93" s="50"/>
      <c r="CS93" s="50"/>
      <c r="CT93" s="50"/>
      <c r="CU93" s="50"/>
      <c r="CV93" s="50"/>
      <c r="CW93" s="50"/>
      <c r="CX93" s="50"/>
      <c r="CY93" s="50"/>
      <c r="CZ93" s="49"/>
      <c r="DD93" s="50"/>
      <c r="DE93" s="50"/>
      <c r="DF93" s="50"/>
      <c r="DG93" s="50"/>
      <c r="DH93" s="50"/>
      <c r="DI93" s="50"/>
      <c r="DJ93" s="50"/>
      <c r="DK93" s="50"/>
      <c r="DL93" s="49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49" t="s">
        <v>1178</v>
      </c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49"/>
      <c r="BM94" s="50"/>
      <c r="BN94" s="50"/>
      <c r="BO94" s="49"/>
      <c r="BS94" s="50"/>
      <c r="BT94" s="50"/>
      <c r="BU94" s="50"/>
      <c r="BV94" s="50"/>
      <c r="BW94" s="50"/>
      <c r="BX94" s="50"/>
      <c r="BY94" s="50"/>
      <c r="BZ94" s="50"/>
      <c r="CA94" s="49"/>
      <c r="CE94" s="50"/>
      <c r="CF94" s="50"/>
      <c r="CG94" s="50"/>
      <c r="CH94" s="50"/>
      <c r="CI94" s="50"/>
      <c r="CJ94" s="50"/>
      <c r="CK94" s="50"/>
      <c r="CL94" s="50"/>
      <c r="CM94" s="49"/>
      <c r="CQ94" s="50"/>
      <c r="CR94" s="50"/>
      <c r="CS94" s="50"/>
      <c r="CT94" s="50"/>
      <c r="CU94" s="50"/>
      <c r="CV94" s="50"/>
      <c r="CW94" s="50"/>
      <c r="CX94" s="50"/>
      <c r="CY94" s="50"/>
      <c r="CZ94" s="49"/>
      <c r="DD94" s="50"/>
      <c r="DE94" s="50"/>
      <c r="DF94" s="50"/>
      <c r="DG94" s="50"/>
      <c r="DH94" s="50"/>
      <c r="DI94" s="50"/>
      <c r="DJ94" s="50"/>
      <c r="DK94" s="50"/>
      <c r="DL94" s="49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49" t="s">
        <v>1179</v>
      </c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49"/>
      <c r="BM95" s="50"/>
      <c r="BN95" s="50"/>
      <c r="BO95" s="49"/>
      <c r="BS95" s="50"/>
      <c r="BT95" s="50"/>
      <c r="BU95" s="50"/>
      <c r="BV95" s="50"/>
      <c r="BW95" s="50"/>
      <c r="BX95" s="50"/>
      <c r="BY95" s="50"/>
      <c r="BZ95" s="50"/>
      <c r="CA95" s="49"/>
      <c r="CE95" s="50"/>
      <c r="CF95" s="50"/>
      <c r="CG95" s="50"/>
      <c r="CH95" s="50"/>
      <c r="CI95" s="50"/>
      <c r="CJ95" s="50"/>
      <c r="CK95" s="50"/>
      <c r="CL95" s="50"/>
      <c r="CM95" s="49"/>
      <c r="CQ95" s="50"/>
      <c r="CR95" s="50"/>
      <c r="CS95" s="50"/>
      <c r="CT95" s="50"/>
      <c r="CU95" s="50"/>
      <c r="CV95" s="50"/>
      <c r="CW95" s="50"/>
      <c r="CX95" s="50"/>
      <c r="CY95" s="50"/>
      <c r="CZ95" s="49"/>
      <c r="DD95" s="50"/>
      <c r="DE95" s="50"/>
      <c r="DF95" s="50"/>
      <c r="DG95" s="50"/>
      <c r="DH95" s="50"/>
      <c r="DI95" s="50"/>
      <c r="DJ95" s="50"/>
      <c r="DK95" s="50"/>
      <c r="DL95" s="49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49" t="s">
        <v>1180</v>
      </c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49"/>
      <c r="BL96" s="50"/>
      <c r="BM96" s="50"/>
      <c r="BN96" s="50"/>
      <c r="BO96" s="49"/>
      <c r="BS96" s="50"/>
      <c r="BT96" s="50"/>
      <c r="BU96" s="50"/>
      <c r="BV96" s="50"/>
      <c r="BW96" s="50"/>
      <c r="BX96" s="50"/>
      <c r="BY96" s="50"/>
      <c r="BZ96" s="50"/>
      <c r="CA96" s="49"/>
      <c r="CE96" s="50"/>
      <c r="CF96" s="50"/>
      <c r="CG96" s="50"/>
      <c r="CH96" s="50"/>
      <c r="CI96" s="50"/>
      <c r="CJ96" s="50"/>
      <c r="CK96" s="50"/>
      <c r="CL96" s="50"/>
      <c r="CM96" s="49"/>
      <c r="CQ96" s="50"/>
      <c r="CR96" s="50"/>
      <c r="CS96" s="50"/>
      <c r="CT96" s="50"/>
      <c r="CU96" s="50"/>
      <c r="CV96" s="50"/>
      <c r="CW96" s="50"/>
      <c r="CX96" s="50"/>
      <c r="CY96" s="50"/>
      <c r="CZ96" s="49"/>
      <c r="DD96" s="50"/>
      <c r="DE96" s="50"/>
      <c r="DF96" s="50"/>
      <c r="DG96" s="50"/>
      <c r="DH96" s="50"/>
      <c r="DI96" s="50"/>
      <c r="DJ96" s="50"/>
      <c r="DK96" s="50"/>
      <c r="DL96" s="49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49" t="s">
        <v>1181</v>
      </c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49"/>
      <c r="BS97" s="50"/>
      <c r="BT97" s="50"/>
      <c r="BU97" s="50"/>
      <c r="BV97" s="50"/>
      <c r="BW97" s="50"/>
      <c r="BX97" s="50"/>
      <c r="BY97" s="50"/>
      <c r="BZ97" s="50"/>
      <c r="CA97" s="49"/>
      <c r="CE97" s="50"/>
      <c r="CF97" s="50"/>
      <c r="CG97" s="50"/>
      <c r="CH97" s="50"/>
      <c r="CI97" s="50"/>
      <c r="CJ97" s="50"/>
      <c r="CK97" s="50"/>
      <c r="CL97" s="50"/>
      <c r="CM97" s="49"/>
      <c r="CQ97" s="50"/>
      <c r="CR97" s="50"/>
      <c r="CS97" s="50"/>
      <c r="CT97" s="50"/>
      <c r="CU97" s="50"/>
      <c r="CV97" s="50"/>
      <c r="CW97" s="50"/>
      <c r="CX97" s="50"/>
      <c r="CY97" s="50"/>
      <c r="CZ97" s="49"/>
      <c r="DD97" s="50"/>
      <c r="DE97" s="50"/>
      <c r="DF97" s="50"/>
      <c r="DG97" s="50"/>
      <c r="DH97" s="50"/>
      <c r="DI97" s="50"/>
      <c r="DJ97" s="50"/>
      <c r="DK97" s="50"/>
      <c r="DL97" s="49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49" t="s">
        <v>1182</v>
      </c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49"/>
      <c r="BS98" s="50"/>
      <c r="BT98" s="50"/>
      <c r="BU98" s="50"/>
      <c r="BV98" s="50"/>
      <c r="BW98" s="50"/>
      <c r="BX98" s="50"/>
      <c r="BY98" s="50"/>
      <c r="BZ98" s="50"/>
      <c r="CA98" s="49"/>
      <c r="CE98" s="50"/>
      <c r="CF98" s="50"/>
      <c r="CG98" s="50"/>
      <c r="CH98" s="50"/>
      <c r="CI98" s="50"/>
      <c r="CJ98" s="50"/>
      <c r="CK98" s="50"/>
      <c r="CL98" s="50"/>
      <c r="CM98" s="49"/>
      <c r="CQ98" s="50"/>
      <c r="CR98" s="50"/>
      <c r="CS98" s="50"/>
      <c r="CT98" s="50"/>
      <c r="CU98" s="50"/>
      <c r="CV98" s="50"/>
      <c r="CW98" s="50"/>
      <c r="CX98" s="50"/>
      <c r="CY98" s="50"/>
      <c r="CZ98" s="49"/>
      <c r="DD98" s="50"/>
      <c r="DE98" s="50"/>
      <c r="DF98" s="50"/>
      <c r="DG98" s="50"/>
      <c r="DH98" s="50"/>
      <c r="DI98" s="50"/>
      <c r="DJ98" s="50"/>
      <c r="DK98" s="50"/>
      <c r="DL98" s="49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49" t="s">
        <v>1183</v>
      </c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49"/>
      <c r="BS99" s="50"/>
      <c r="BT99" s="50"/>
      <c r="BU99" s="50"/>
      <c r="BV99" s="50"/>
      <c r="BW99" s="50"/>
      <c r="BX99" s="50"/>
      <c r="BY99" s="50"/>
      <c r="BZ99" s="50"/>
      <c r="CA99" s="49"/>
      <c r="CE99" s="50"/>
      <c r="CF99" s="50"/>
      <c r="CG99" s="50"/>
      <c r="CH99" s="50"/>
      <c r="CI99" s="50"/>
      <c r="CJ99" s="50"/>
      <c r="CK99" s="50"/>
      <c r="CL99" s="50"/>
      <c r="CM99" s="49"/>
      <c r="CQ99" s="50"/>
      <c r="CR99" s="50"/>
      <c r="CS99" s="50"/>
      <c r="CT99" s="50"/>
      <c r="CU99" s="50"/>
      <c r="CV99" s="50"/>
      <c r="CW99" s="50"/>
      <c r="CX99" s="50"/>
      <c r="CY99" s="50"/>
      <c r="CZ99" s="49"/>
      <c r="DD99" s="50"/>
      <c r="DE99" s="50"/>
      <c r="DF99" s="50"/>
      <c r="DG99" s="50"/>
      <c r="DH99" s="50"/>
      <c r="DI99" s="50"/>
      <c r="DJ99" s="50"/>
      <c r="DK99" s="50"/>
      <c r="DL99" s="49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49" t="s">
        <v>1184</v>
      </c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49"/>
      <c r="BT100" s="50"/>
      <c r="BU100" s="50"/>
      <c r="BV100" s="50"/>
      <c r="BW100" s="50"/>
      <c r="BX100" s="50"/>
      <c r="BY100" s="50"/>
      <c r="BZ100" s="50"/>
      <c r="CA100" s="49"/>
      <c r="CE100" s="50"/>
      <c r="CF100" s="50"/>
      <c r="CG100" s="50"/>
      <c r="CH100" s="50"/>
      <c r="CI100" s="50"/>
      <c r="CJ100" s="50"/>
      <c r="CK100" s="50"/>
      <c r="CL100" s="50"/>
      <c r="CM100" s="49"/>
      <c r="CQ100" s="50"/>
      <c r="CR100" s="50"/>
      <c r="CS100" s="50"/>
      <c r="CT100" s="50"/>
      <c r="CU100" s="50"/>
      <c r="CV100" s="50"/>
      <c r="CW100" s="50"/>
      <c r="CX100" s="50"/>
      <c r="CY100" s="50"/>
      <c r="CZ100" s="49"/>
      <c r="DD100" s="50"/>
      <c r="DE100" s="50"/>
      <c r="DF100" s="50"/>
      <c r="DG100" s="50"/>
      <c r="DH100" s="50"/>
      <c r="DI100" s="50"/>
      <c r="DJ100" s="50"/>
      <c r="DK100" s="50"/>
      <c r="DL100" s="49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49" t="s">
        <v>1185</v>
      </c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49"/>
      <c r="BS101" s="50"/>
      <c r="BT101" s="50"/>
      <c r="BU101" s="50"/>
      <c r="BV101" s="50"/>
      <c r="BW101" s="50"/>
      <c r="BX101" s="50"/>
      <c r="BY101" s="50"/>
      <c r="BZ101" s="50"/>
      <c r="CA101" s="49"/>
      <c r="CE101" s="50"/>
      <c r="CF101" s="50"/>
      <c r="CG101" s="50"/>
      <c r="CH101" s="50"/>
      <c r="CI101" s="50"/>
      <c r="CJ101" s="50"/>
      <c r="CK101" s="50"/>
      <c r="CL101" s="50"/>
      <c r="CM101" s="49"/>
      <c r="CQ101" s="50"/>
      <c r="CR101" s="50"/>
      <c r="CS101" s="50"/>
      <c r="CT101" s="50"/>
      <c r="CU101" s="50"/>
      <c r="CV101" s="50"/>
      <c r="CW101" s="50"/>
      <c r="CX101" s="50"/>
      <c r="CY101" s="50"/>
      <c r="CZ101" s="49"/>
      <c r="DD101" s="50"/>
      <c r="DE101" s="50"/>
      <c r="DF101" s="50"/>
      <c r="DG101" s="50"/>
      <c r="DH101" s="50"/>
      <c r="DI101" s="50"/>
      <c r="DJ101" s="50"/>
      <c r="DK101" s="50"/>
      <c r="DL101" s="49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49" t="s">
        <v>1186</v>
      </c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49"/>
      <c r="BS102" s="50"/>
      <c r="BT102" s="50"/>
      <c r="BU102" s="50"/>
      <c r="BV102" s="50"/>
      <c r="BW102" s="50"/>
      <c r="BX102" s="50"/>
      <c r="BY102" s="50"/>
      <c r="BZ102" s="50"/>
      <c r="CA102" s="49"/>
      <c r="CE102" s="50"/>
      <c r="CF102" s="50"/>
      <c r="CG102" s="50"/>
      <c r="CH102" s="50"/>
      <c r="CI102" s="50"/>
      <c r="CJ102" s="50"/>
      <c r="CK102" s="50"/>
      <c r="CL102" s="50"/>
      <c r="CM102" s="49"/>
      <c r="CQ102" s="50"/>
      <c r="CR102" s="50"/>
      <c r="CS102" s="50"/>
      <c r="CT102" s="50"/>
      <c r="CU102" s="50"/>
      <c r="CV102" s="50"/>
      <c r="CW102" s="50"/>
      <c r="CX102" s="50"/>
      <c r="CY102" s="50"/>
      <c r="CZ102" s="49"/>
      <c r="DD102" s="50"/>
      <c r="DE102" s="50"/>
      <c r="DF102" s="50"/>
      <c r="DG102" s="50"/>
      <c r="DH102" s="50"/>
      <c r="DI102" s="50"/>
      <c r="DJ102" s="50"/>
      <c r="DK102" s="50"/>
      <c r="DL102" s="49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49" t="s">
        <v>1187</v>
      </c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49"/>
      <c r="BR103" s="50"/>
      <c r="BS103" s="50"/>
      <c r="BT103" s="50"/>
      <c r="BU103" s="50"/>
      <c r="BV103" s="50"/>
      <c r="BW103" s="50"/>
      <c r="BX103" s="50"/>
      <c r="BY103" s="50"/>
      <c r="BZ103" s="50"/>
      <c r="CA103" s="49"/>
      <c r="CE103" s="50"/>
      <c r="CF103" s="50"/>
      <c r="CG103" s="50"/>
      <c r="CH103" s="50"/>
      <c r="CI103" s="50"/>
      <c r="CJ103" s="50"/>
      <c r="CK103" s="50"/>
      <c r="CL103" s="50"/>
      <c r="CM103" s="49"/>
      <c r="CQ103" s="50"/>
      <c r="CR103" s="50"/>
      <c r="CS103" s="50"/>
      <c r="CT103" s="50"/>
      <c r="CU103" s="50"/>
      <c r="CV103" s="50"/>
      <c r="CW103" s="50"/>
      <c r="CX103" s="50"/>
      <c r="CY103" s="50"/>
      <c r="CZ103" s="49"/>
      <c r="DD103" s="50"/>
      <c r="DE103" s="50"/>
      <c r="DF103" s="50"/>
      <c r="DG103" s="50"/>
      <c r="DH103" s="50"/>
      <c r="DI103" s="50"/>
      <c r="DJ103" s="50"/>
      <c r="DK103" s="50"/>
      <c r="DL103" s="49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49"/>
      <c r="CE104" s="50"/>
      <c r="CF104" s="50"/>
      <c r="CG104" s="50"/>
      <c r="CH104" s="50"/>
      <c r="CI104" s="50"/>
      <c r="CJ104" s="50"/>
      <c r="CK104" s="50"/>
      <c r="CL104" s="50"/>
      <c r="CM104" s="49"/>
      <c r="CQ104" s="50"/>
      <c r="CR104" s="50"/>
      <c r="CS104" s="50"/>
      <c r="CT104" s="50"/>
      <c r="CU104" s="50"/>
      <c r="CV104" s="50"/>
      <c r="CW104" s="50"/>
      <c r="CX104" s="50"/>
      <c r="CY104" s="50"/>
      <c r="CZ104" s="49"/>
      <c r="DD104" s="50"/>
      <c r="DE104" s="50"/>
      <c r="DF104" s="50"/>
      <c r="DG104" s="50"/>
      <c r="DH104" s="50"/>
      <c r="DI104" s="50"/>
      <c r="DJ104" s="50"/>
      <c r="DK104" s="50"/>
      <c r="DL104" s="49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49"/>
      <c r="CF105" s="50"/>
      <c r="CG105" s="50"/>
      <c r="CH105" s="50"/>
      <c r="CI105" s="50"/>
      <c r="CJ105" s="50"/>
      <c r="CK105" s="50"/>
      <c r="CL105" s="50"/>
      <c r="CM105" s="49"/>
      <c r="CQ105" s="50"/>
      <c r="CR105" s="50"/>
      <c r="CS105" s="50"/>
      <c r="CT105" s="50"/>
      <c r="CU105" s="50"/>
      <c r="CV105" s="50"/>
      <c r="CW105" s="50"/>
      <c r="CX105" s="50"/>
      <c r="CY105" s="50"/>
      <c r="CZ105" s="49"/>
      <c r="DD105" s="50"/>
      <c r="DE105" s="50"/>
      <c r="DF105" s="50"/>
      <c r="DG105" s="50"/>
      <c r="DH105" s="50"/>
      <c r="DI105" s="50"/>
      <c r="DJ105" s="50"/>
      <c r="DK105" s="50"/>
      <c r="DL105" s="49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49"/>
      <c r="CE106" s="50"/>
      <c r="CF106" s="50"/>
      <c r="CG106" s="50"/>
      <c r="CH106" s="50"/>
      <c r="CI106" s="50"/>
      <c r="CJ106" s="50"/>
      <c r="CK106" s="50"/>
      <c r="CL106" s="50"/>
      <c r="CM106" s="49"/>
      <c r="CQ106" s="50"/>
      <c r="CR106" s="50"/>
      <c r="CS106" s="50"/>
      <c r="CT106" s="50"/>
      <c r="CU106" s="50"/>
      <c r="CV106" s="50"/>
      <c r="CW106" s="50"/>
      <c r="CX106" s="50"/>
      <c r="CY106" s="50"/>
      <c r="CZ106" s="49"/>
      <c r="DD106" s="50"/>
      <c r="DE106" s="50"/>
      <c r="DF106" s="50"/>
      <c r="DG106" s="50"/>
      <c r="DH106" s="50"/>
      <c r="DI106" s="50"/>
      <c r="DJ106" s="50"/>
      <c r="DK106" s="50"/>
      <c r="DL106" s="49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49"/>
      <c r="CE107" s="50"/>
      <c r="CF107" s="50"/>
      <c r="CG107" s="50"/>
      <c r="CH107" s="50"/>
      <c r="CI107" s="50"/>
      <c r="CJ107" s="50"/>
      <c r="CK107" s="50"/>
      <c r="CL107" s="50"/>
      <c r="CM107" s="49"/>
      <c r="CQ107" s="50"/>
      <c r="CR107" s="50"/>
      <c r="CS107" s="50"/>
      <c r="CT107" s="50"/>
      <c r="CU107" s="50"/>
      <c r="CV107" s="50"/>
      <c r="CW107" s="50"/>
      <c r="CX107" s="50"/>
      <c r="CY107" s="50"/>
      <c r="CZ107" s="49"/>
      <c r="DD107" s="50"/>
      <c r="DE107" s="50"/>
      <c r="DF107" s="50"/>
      <c r="DG107" s="50"/>
      <c r="DH107" s="50"/>
      <c r="DI107" s="50"/>
      <c r="DJ107" s="50"/>
      <c r="DK107" s="50"/>
      <c r="DL107" s="49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49"/>
      <c r="CD108" s="50"/>
      <c r="CE108" s="50"/>
      <c r="CF108" s="50"/>
      <c r="CG108" s="50"/>
      <c r="CH108" s="50"/>
      <c r="CI108" s="50"/>
      <c r="CJ108" s="50"/>
      <c r="CK108" s="50"/>
      <c r="CL108" s="50"/>
      <c r="CM108" s="49"/>
      <c r="CQ108" s="50"/>
      <c r="CR108" s="50"/>
      <c r="CS108" s="50"/>
      <c r="CT108" s="50"/>
      <c r="CU108" s="50"/>
      <c r="CV108" s="50"/>
      <c r="CW108" s="50"/>
      <c r="CX108" s="50"/>
      <c r="CY108" s="50"/>
      <c r="CZ108" s="49"/>
      <c r="DD108" s="50"/>
      <c r="DE108" s="50"/>
      <c r="DF108" s="50"/>
      <c r="DG108" s="50"/>
      <c r="DH108" s="50"/>
      <c r="DI108" s="50"/>
      <c r="DJ108" s="50"/>
      <c r="DK108" s="50"/>
      <c r="DL108" s="49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49"/>
      <c r="CQ109" s="50"/>
      <c r="CR109" s="50"/>
      <c r="CS109" s="50"/>
      <c r="CT109" s="50"/>
      <c r="CU109" s="50"/>
      <c r="CV109" s="50"/>
      <c r="CW109" s="50"/>
      <c r="CX109" s="50"/>
      <c r="CY109" s="50"/>
      <c r="CZ109" s="49"/>
      <c r="DD109" s="50"/>
      <c r="DE109" s="50"/>
      <c r="DF109" s="50"/>
      <c r="DG109" s="50"/>
      <c r="DH109" s="50"/>
      <c r="DI109" s="50"/>
      <c r="DJ109" s="50"/>
      <c r="DK109" s="50"/>
      <c r="DL109" s="49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49"/>
      <c r="CQ110" s="50"/>
      <c r="CR110" s="50"/>
      <c r="CS110" s="50"/>
      <c r="CT110" s="50"/>
      <c r="CU110" s="50"/>
      <c r="CV110" s="50"/>
      <c r="CW110" s="50"/>
      <c r="CX110" s="50"/>
      <c r="CY110" s="50"/>
      <c r="CZ110" s="49"/>
      <c r="DD110" s="50"/>
      <c r="DE110" s="50"/>
      <c r="DF110" s="50"/>
      <c r="DG110" s="50"/>
      <c r="DH110" s="50"/>
      <c r="DI110" s="50"/>
      <c r="DJ110" s="50"/>
      <c r="DK110" s="50"/>
      <c r="DL110" s="49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49"/>
      <c r="CR111" s="50"/>
      <c r="CS111" s="50"/>
      <c r="CT111" s="50"/>
      <c r="CU111" s="50"/>
      <c r="CV111" s="50"/>
      <c r="CW111" s="50"/>
      <c r="CX111" s="50"/>
      <c r="CY111" s="50"/>
      <c r="CZ111" s="49"/>
      <c r="DD111" s="50"/>
      <c r="DE111" s="50"/>
      <c r="DF111" s="50"/>
      <c r="DG111" s="50"/>
      <c r="DH111" s="50"/>
      <c r="DI111" s="50"/>
      <c r="DJ111" s="50"/>
      <c r="DK111" s="50"/>
      <c r="DL111" s="49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49"/>
      <c r="CQ112" s="50"/>
      <c r="CR112" s="50"/>
      <c r="CS112" s="50"/>
      <c r="CT112" s="50"/>
      <c r="CU112" s="50"/>
      <c r="CV112" s="50"/>
      <c r="CW112" s="50"/>
      <c r="CX112" s="50"/>
      <c r="CY112" s="50"/>
      <c r="CZ112" s="49"/>
      <c r="DD112" s="50"/>
      <c r="DE112" s="50"/>
      <c r="DF112" s="50"/>
      <c r="DG112" s="50"/>
      <c r="DH112" s="50"/>
      <c r="DI112" s="50"/>
      <c r="DJ112" s="50"/>
      <c r="DK112" s="50"/>
      <c r="DL112" s="49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49"/>
      <c r="CQ113" s="50"/>
      <c r="CR113" s="50"/>
      <c r="CS113" s="50"/>
      <c r="CT113" s="50"/>
      <c r="CU113" s="50"/>
      <c r="CV113" s="50"/>
      <c r="CW113" s="50"/>
      <c r="CX113" s="50"/>
      <c r="CY113" s="50"/>
      <c r="CZ113" s="49"/>
      <c r="DD113" s="50"/>
      <c r="DE113" s="50"/>
      <c r="DF113" s="50"/>
      <c r="DG113" s="50"/>
      <c r="DH113" s="50"/>
      <c r="DI113" s="50"/>
      <c r="DJ113" s="50"/>
      <c r="DK113" s="50"/>
      <c r="DL113" s="49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49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49"/>
      <c r="DE114" s="50"/>
      <c r="DF114" s="50"/>
      <c r="DG114" s="50"/>
      <c r="DH114" s="50"/>
      <c r="DI114" s="50"/>
      <c r="DJ114" s="50"/>
      <c r="DK114" s="50"/>
      <c r="DL114" s="49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49"/>
      <c r="DD115" s="50"/>
      <c r="DE115" s="50"/>
      <c r="DF115" s="50"/>
      <c r="DG115" s="50"/>
      <c r="DH115" s="50"/>
      <c r="DI115" s="50"/>
      <c r="DJ115" s="50"/>
      <c r="DK115" s="50"/>
      <c r="DL115" s="49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49"/>
      <c r="DD116" s="50"/>
      <c r="DE116" s="50"/>
      <c r="DF116" s="50"/>
      <c r="DG116" s="50"/>
      <c r="DH116" s="50"/>
      <c r="DI116" s="50"/>
      <c r="DJ116" s="50"/>
      <c r="DK116" s="50"/>
      <c r="DL116" s="49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49"/>
      <c r="DC117" s="50"/>
      <c r="DD117" s="50"/>
      <c r="DE117" s="50"/>
      <c r="DF117" s="50"/>
      <c r="DG117" s="50"/>
      <c r="DH117" s="50"/>
      <c r="DI117" s="50"/>
      <c r="DJ117" s="50"/>
      <c r="DK117" s="50"/>
      <c r="DL117" s="49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49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49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49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49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49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49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49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49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49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49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49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49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49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49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49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49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  <c r="CH134" s="50"/>
      <c r="CI134" s="50"/>
      <c r="CJ134" s="50"/>
      <c r="CK134" s="50"/>
      <c r="CL134" s="50"/>
      <c r="CM134" s="50"/>
      <c r="CN134" s="50"/>
      <c r="CO134" s="50"/>
      <c r="CP134" s="50"/>
      <c r="CQ134" s="50"/>
      <c r="CR134" s="50"/>
      <c r="CS134" s="50"/>
      <c r="CT134" s="50"/>
      <c r="CU134" s="50"/>
      <c r="CV134" s="50"/>
      <c r="CW134" s="50"/>
      <c r="CX134" s="50"/>
      <c r="CY134" s="50"/>
      <c r="CZ134" s="50"/>
      <c r="DA134" s="50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49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49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49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49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49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49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49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49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  <c r="CH142" s="50"/>
      <c r="CI142" s="50"/>
      <c r="CJ142" s="50"/>
      <c r="CK142" s="50"/>
      <c r="CL142" s="50"/>
      <c r="CM142" s="50"/>
      <c r="CN142" s="50"/>
      <c r="CO142" s="50"/>
      <c r="CP142" s="50"/>
      <c r="CQ142" s="50"/>
      <c r="CR142" s="50"/>
      <c r="CS142" s="50"/>
      <c r="CT142" s="50"/>
      <c r="CU142" s="50"/>
      <c r="CV142" s="50"/>
      <c r="CW142" s="50"/>
      <c r="CX142" s="50"/>
      <c r="CY142" s="50"/>
      <c r="CZ142" s="50"/>
      <c r="DA142" s="50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49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49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0"/>
      <c r="CK144" s="50"/>
      <c r="CL144" s="50"/>
      <c r="CM144" s="50"/>
      <c r="CN144" s="50"/>
      <c r="CO144" s="50"/>
      <c r="CP144" s="50"/>
      <c r="CQ144" s="50"/>
      <c r="CR144" s="50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49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49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0"/>
      <c r="CK146" s="50"/>
      <c r="CL146" s="50"/>
      <c r="CM146" s="50"/>
      <c r="CN146" s="50"/>
      <c r="CO146" s="50"/>
      <c r="CP146" s="50"/>
      <c r="CQ146" s="50"/>
      <c r="CR146" s="50"/>
      <c r="CS146" s="50"/>
      <c r="CT146" s="50"/>
      <c r="CU146" s="50"/>
      <c r="CV146" s="50"/>
      <c r="CW146" s="50"/>
      <c r="CX146" s="50"/>
      <c r="CY146" s="50"/>
      <c r="CZ146" s="50"/>
      <c r="DA146" s="50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49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49"/>
    </row>
    <row r="148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</row>
    <row r="149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</row>
    <row r="150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</row>
    <row r="15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</row>
    <row r="15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</row>
    <row r="15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</row>
    <row r="154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</row>
    <row r="15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</row>
    <row r="156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</row>
    <row r="157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</row>
    <row r="158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</row>
    <row r="159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</row>
    <row r="160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</row>
    <row r="16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</row>
    <row r="16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</row>
    <row r="16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</row>
    <row r="164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</row>
    <row r="16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</row>
    <row r="166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</row>
    <row r="167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</row>
    <row r="168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</row>
    <row r="169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</row>
    <row r="170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</row>
    <row r="17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</row>
    <row r="17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</row>
    <row r="17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</row>
    <row r="174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</row>
    <row r="17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</row>
    <row r="176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</row>
    <row r="177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</row>
    <row r="178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</row>
    <row r="179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</row>
    <row r="180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</row>
    <row r="18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</row>
    <row r="18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</row>
    <row r="18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</row>
    <row r="184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</row>
    <row r="18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</row>
    <row r="186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</row>
    <row r="187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</row>
    <row r="188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</row>
    <row r="189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</row>
    <row r="190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</row>
    <row r="19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</row>
    <row r="19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</row>
    <row r="19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</row>
    <row r="194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</row>
    <row r="19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</row>
    <row r="196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</row>
    <row r="197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</row>
    <row r="198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</row>
    <row r="199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</row>
    <row r="20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</row>
    <row r="20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</row>
    <row r="20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</row>
    <row r="20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</row>
    <row r="204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</row>
    <row r="20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</row>
    <row r="206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</row>
    <row r="207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</row>
    <row r="208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</row>
    <row r="209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</row>
    <row r="21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</row>
    <row r="21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</row>
    <row r="21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</row>
    <row r="21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</row>
    <row r="214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</row>
    <row r="2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</row>
    <row r="216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</row>
    <row r="217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</row>
    <row r="218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</row>
    <row r="219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</row>
    <row r="22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</row>
    <row r="22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</row>
    <row r="22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</row>
    <row r="22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</row>
    <row r="224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</row>
    <row r="2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</row>
    <row r="226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</row>
    <row r="227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</row>
    <row r="228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</row>
    <row r="229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</row>
    <row r="23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</row>
    <row r="23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</row>
    <row r="23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</row>
    <row r="23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</row>
    <row r="234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</row>
    <row r="2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</row>
    <row r="236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</row>
    <row r="237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</row>
    <row r="238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</row>
    <row r="239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</row>
    <row r="24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</row>
    <row r="24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</row>
    <row r="24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</row>
    <row r="24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</row>
    <row r="244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</row>
    <row r="24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</row>
    <row r="246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</row>
    <row r="247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</row>
    <row r="248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</row>
    <row r="249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</row>
    <row r="25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</row>
    <row r="25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</row>
    <row r="25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</row>
    <row r="25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</row>
    <row r="254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</row>
    <row r="25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</row>
    <row r="256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</row>
    <row r="257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</row>
    <row r="258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</row>
    <row r="259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</row>
    <row r="2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</row>
    <row r="26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</row>
    <row r="26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  <c r="CW262" s="54"/>
      <c r="CX262" s="54"/>
      <c r="CY262" s="54"/>
      <c r="CZ262" s="54"/>
      <c r="DA262" s="54"/>
      <c r="DB262" s="54"/>
      <c r="DC262" s="54"/>
      <c r="DD262" s="54"/>
      <c r="DE262" s="54"/>
      <c r="DF262" s="54"/>
      <c r="DG262" s="54"/>
      <c r="DH262" s="54"/>
      <c r="DI262" s="54"/>
      <c r="DJ262" s="54"/>
      <c r="DK262" s="54"/>
      <c r="DL262" s="54"/>
    </row>
    <row r="26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/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</row>
    <row r="264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/>
      <c r="DK264" s="54"/>
      <c r="DL264" s="54"/>
    </row>
    <row r="26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</row>
    <row r="266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</row>
    <row r="267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  <c r="CW267" s="54"/>
      <c r="CX267" s="54"/>
      <c r="CY267" s="54"/>
      <c r="CZ267" s="54"/>
      <c r="DA267" s="54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</row>
    <row r="268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  <c r="CW268" s="54"/>
      <c r="CX268" s="54"/>
      <c r="CY268" s="54"/>
      <c r="CZ268" s="54"/>
      <c r="DA268" s="54"/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54"/>
    </row>
    <row r="269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  <c r="CW269" s="54"/>
      <c r="CX269" s="54"/>
      <c r="CY269" s="54"/>
      <c r="CZ269" s="54"/>
      <c r="DA269" s="54"/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54"/>
    </row>
    <row r="27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  <c r="CW270" s="54"/>
      <c r="CX270" s="54"/>
      <c r="CY270" s="54"/>
      <c r="CZ270" s="54"/>
      <c r="DA270" s="54"/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54"/>
    </row>
    <row r="27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  <c r="CW271" s="54"/>
      <c r="CX271" s="54"/>
      <c r="CY271" s="54"/>
      <c r="CZ271" s="54"/>
      <c r="DA271" s="54"/>
      <c r="DB271" s="54"/>
      <c r="DC271" s="54"/>
      <c r="DD271" s="54"/>
      <c r="DE271" s="54"/>
      <c r="DF271" s="54"/>
      <c r="DG271" s="54"/>
      <c r="DH271" s="54"/>
      <c r="DI271" s="54"/>
      <c r="DJ271" s="54"/>
      <c r="DK271" s="54"/>
      <c r="DL271" s="54"/>
    </row>
    <row r="27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  <c r="CW272" s="54"/>
      <c r="CX272" s="54"/>
      <c r="CY272" s="54"/>
      <c r="CZ272" s="54"/>
      <c r="DA272" s="54"/>
      <c r="DB272" s="54"/>
      <c r="DC272" s="54"/>
      <c r="DD272" s="54"/>
      <c r="DE272" s="54"/>
      <c r="DF272" s="54"/>
      <c r="DG272" s="54"/>
      <c r="DH272" s="54"/>
      <c r="DI272" s="54"/>
      <c r="DJ272" s="54"/>
      <c r="DK272" s="54"/>
      <c r="DL272" s="54"/>
    </row>
    <row r="27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</row>
    <row r="274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  <c r="CW274" s="54"/>
      <c r="CX274" s="54"/>
      <c r="CY274" s="54"/>
      <c r="CZ274" s="54"/>
      <c r="DA274" s="54"/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54"/>
    </row>
    <row r="27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</row>
    <row r="276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  <c r="CW276" s="54"/>
      <c r="CX276" s="54"/>
      <c r="CY276" s="54"/>
      <c r="CZ276" s="54"/>
      <c r="DA276" s="54"/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54"/>
    </row>
    <row r="277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  <c r="CW277" s="54"/>
      <c r="CX277" s="54"/>
      <c r="CY277" s="54"/>
      <c r="CZ277" s="54"/>
      <c r="DA277" s="54"/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54"/>
    </row>
    <row r="278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  <c r="CW278" s="54"/>
      <c r="CX278" s="54"/>
      <c r="CY278" s="54"/>
      <c r="CZ278" s="54"/>
      <c r="DA278" s="54"/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54"/>
    </row>
    <row r="279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  <c r="CW279" s="54"/>
      <c r="CX279" s="54"/>
      <c r="CY279" s="54"/>
      <c r="CZ279" s="54"/>
      <c r="DA279" s="54"/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54"/>
    </row>
    <row r="28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  <c r="CW280" s="54"/>
      <c r="CX280" s="54"/>
      <c r="CY280" s="54"/>
      <c r="CZ280" s="54"/>
      <c r="DA280" s="54"/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54"/>
    </row>
    <row r="28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  <c r="CW281" s="54"/>
      <c r="CX281" s="54"/>
      <c r="CY281" s="54"/>
      <c r="CZ281" s="54"/>
      <c r="DA281" s="54"/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54"/>
    </row>
    <row r="28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  <c r="CW282" s="54"/>
      <c r="CX282" s="54"/>
      <c r="CY282" s="54"/>
      <c r="CZ282" s="54"/>
      <c r="DA282" s="54"/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54"/>
    </row>
    <row r="28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</row>
    <row r="284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54"/>
    </row>
    <row r="28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</row>
    <row r="286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  <c r="CW286" s="54"/>
      <c r="CX286" s="54"/>
      <c r="CY286" s="54"/>
      <c r="CZ286" s="54"/>
      <c r="DA286" s="54"/>
      <c r="DB286" s="54"/>
      <c r="DC286" s="54"/>
      <c r="DD286" s="54"/>
      <c r="DE286" s="54"/>
      <c r="DF286" s="54"/>
      <c r="DG286" s="54"/>
      <c r="DH286" s="54"/>
      <c r="DI286" s="54"/>
      <c r="DJ286" s="54"/>
      <c r="DK286" s="54"/>
      <c r="DL286" s="54"/>
    </row>
    <row r="287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  <c r="CW287" s="54"/>
      <c r="CX287" s="54"/>
      <c r="CY287" s="54"/>
      <c r="CZ287" s="54"/>
      <c r="DA287" s="54"/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54"/>
    </row>
    <row r="288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</row>
    <row r="289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</row>
    <row r="290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</row>
    <row r="29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</row>
    <row r="29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</row>
    <row r="29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</row>
    <row r="294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</row>
    <row r="29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</row>
    <row r="296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</row>
    <row r="297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</row>
    <row r="298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</row>
    <row r="299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</row>
    <row r="300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</row>
    <row r="30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</row>
    <row r="3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</row>
    <row r="30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</row>
    <row r="304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</row>
    <row r="30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</row>
    <row r="306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</row>
    <row r="307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</row>
    <row r="308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</row>
    <row r="309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</row>
    <row r="310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</row>
    <row r="31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</row>
    <row r="31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</row>
    <row r="31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</row>
    <row r="314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</row>
    <row r="3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</row>
    <row r="316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</row>
    <row r="317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</row>
    <row r="318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</row>
    <row r="319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</row>
    <row r="320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</row>
    <row r="32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  <c r="CW701" s="54"/>
      <c r="CX701" s="54"/>
      <c r="CY701" s="54"/>
      <c r="CZ701" s="54"/>
      <c r="DA701" s="54"/>
      <c r="DB701" s="54"/>
      <c r="DC701" s="54"/>
      <c r="DD701" s="54"/>
      <c r="DE701" s="54"/>
      <c r="DF701" s="54"/>
      <c r="DG701" s="54"/>
      <c r="DH701" s="54"/>
      <c r="DI701" s="54"/>
      <c r="DJ701" s="54"/>
      <c r="DK701" s="54"/>
      <c r="DL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  <c r="CW702" s="54"/>
      <c r="CX702" s="54"/>
      <c r="CY702" s="54"/>
      <c r="CZ702" s="54"/>
      <c r="DA702" s="54"/>
      <c r="DB702" s="54"/>
      <c r="DC702" s="54"/>
      <c r="DD702" s="54"/>
      <c r="DE702" s="54"/>
      <c r="DF702" s="54"/>
      <c r="DG702" s="54"/>
      <c r="DH702" s="54"/>
      <c r="DI702" s="54"/>
      <c r="DJ702" s="54"/>
      <c r="DK702" s="54"/>
      <c r="DL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  <c r="CW703" s="54"/>
      <c r="CX703" s="54"/>
      <c r="CY703" s="54"/>
      <c r="CZ703" s="54"/>
      <c r="DA703" s="54"/>
      <c r="DB703" s="54"/>
      <c r="DC703" s="54"/>
      <c r="DD703" s="54"/>
      <c r="DE703" s="54"/>
      <c r="DF703" s="54"/>
      <c r="DG703" s="54"/>
      <c r="DH703" s="54"/>
      <c r="DI703" s="54"/>
      <c r="DJ703" s="54"/>
      <c r="DK703" s="54"/>
      <c r="DL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  <c r="CW704" s="54"/>
      <c r="CX704" s="54"/>
      <c r="CY704" s="54"/>
      <c r="CZ704" s="54"/>
      <c r="DA704" s="54"/>
      <c r="DB704" s="54"/>
      <c r="DC704" s="54"/>
      <c r="DD704" s="54"/>
      <c r="DE704" s="54"/>
      <c r="DF704" s="54"/>
      <c r="DG704" s="54"/>
      <c r="DH704" s="54"/>
      <c r="DI704" s="54"/>
      <c r="DJ704" s="54"/>
      <c r="DK704" s="54"/>
      <c r="DL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  <c r="CW705" s="54"/>
      <c r="CX705" s="54"/>
      <c r="CY705" s="54"/>
      <c r="CZ705" s="54"/>
      <c r="DA705" s="54"/>
      <c r="DB705" s="54"/>
      <c r="DC705" s="54"/>
      <c r="DD705" s="54"/>
      <c r="DE705" s="54"/>
      <c r="DF705" s="54"/>
      <c r="DG705" s="54"/>
      <c r="DH705" s="54"/>
      <c r="DI705" s="54"/>
      <c r="DJ705" s="54"/>
      <c r="DK705" s="54"/>
      <c r="DL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  <c r="CW706" s="54"/>
      <c r="CX706" s="54"/>
      <c r="CY706" s="54"/>
      <c r="CZ706" s="54"/>
      <c r="DA706" s="54"/>
      <c r="DB706" s="54"/>
      <c r="DC706" s="54"/>
      <c r="DD706" s="54"/>
      <c r="DE706" s="54"/>
      <c r="DF706" s="54"/>
      <c r="DG706" s="54"/>
      <c r="DH706" s="54"/>
      <c r="DI706" s="54"/>
      <c r="DJ706" s="54"/>
      <c r="DK706" s="54"/>
      <c r="DL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  <c r="CW707" s="54"/>
      <c r="CX707" s="54"/>
      <c r="CY707" s="54"/>
      <c r="CZ707" s="54"/>
      <c r="DA707" s="54"/>
      <c r="DB707" s="54"/>
      <c r="DC707" s="54"/>
      <c r="DD707" s="54"/>
      <c r="DE707" s="54"/>
      <c r="DF707" s="54"/>
      <c r="DG707" s="54"/>
      <c r="DH707" s="54"/>
      <c r="DI707" s="54"/>
      <c r="DJ707" s="54"/>
      <c r="DK707" s="54"/>
      <c r="DL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  <c r="CW708" s="54"/>
      <c r="CX708" s="54"/>
      <c r="CY708" s="54"/>
      <c r="CZ708" s="54"/>
      <c r="DA708" s="54"/>
      <c r="DB708" s="54"/>
      <c r="DC708" s="54"/>
      <c r="DD708" s="54"/>
      <c r="DE708" s="54"/>
      <c r="DF708" s="54"/>
      <c r="DG708" s="54"/>
      <c r="DH708" s="54"/>
      <c r="DI708" s="54"/>
      <c r="DJ708" s="54"/>
      <c r="DK708" s="54"/>
      <c r="DL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  <c r="CW709" s="54"/>
      <c r="CX709" s="54"/>
      <c r="CY709" s="54"/>
      <c r="CZ709" s="54"/>
      <c r="DA709" s="54"/>
      <c r="DB709" s="54"/>
      <c r="DC709" s="54"/>
      <c r="DD709" s="54"/>
      <c r="DE709" s="54"/>
      <c r="DF709" s="54"/>
      <c r="DG709" s="54"/>
      <c r="DH709" s="54"/>
      <c r="DI709" s="54"/>
      <c r="DJ709" s="54"/>
      <c r="DK709" s="54"/>
      <c r="DL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  <c r="CW710" s="54"/>
      <c r="CX710" s="54"/>
      <c r="CY710" s="54"/>
      <c r="CZ710" s="54"/>
      <c r="DA710" s="54"/>
      <c r="DB710" s="54"/>
      <c r="DC710" s="54"/>
      <c r="DD710" s="54"/>
      <c r="DE710" s="54"/>
      <c r="DF710" s="54"/>
      <c r="DG710" s="54"/>
      <c r="DH710" s="54"/>
      <c r="DI710" s="54"/>
      <c r="DJ710" s="54"/>
      <c r="DK710" s="54"/>
      <c r="DL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  <c r="CW711" s="54"/>
      <c r="CX711" s="54"/>
      <c r="CY711" s="54"/>
      <c r="CZ711" s="54"/>
      <c r="DA711" s="54"/>
      <c r="DB711" s="54"/>
      <c r="DC711" s="54"/>
      <c r="DD711" s="54"/>
      <c r="DE711" s="54"/>
      <c r="DF711" s="54"/>
      <c r="DG711" s="54"/>
      <c r="DH711" s="54"/>
      <c r="DI711" s="54"/>
      <c r="DJ711" s="54"/>
      <c r="DK711" s="54"/>
      <c r="DL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  <c r="CW712" s="54"/>
      <c r="CX712" s="54"/>
      <c r="CY712" s="54"/>
      <c r="CZ712" s="54"/>
      <c r="DA712" s="54"/>
      <c r="DB712" s="54"/>
      <c r="DC712" s="54"/>
      <c r="DD712" s="54"/>
      <c r="DE712" s="54"/>
      <c r="DF712" s="54"/>
      <c r="DG712" s="54"/>
      <c r="DH712" s="54"/>
      <c r="DI712" s="54"/>
      <c r="DJ712" s="54"/>
      <c r="DK712" s="54"/>
      <c r="DL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  <c r="CW713" s="54"/>
      <c r="CX713" s="54"/>
      <c r="CY713" s="54"/>
      <c r="CZ713" s="54"/>
      <c r="DA713" s="54"/>
      <c r="DB713" s="54"/>
      <c r="DC713" s="54"/>
      <c r="DD713" s="54"/>
      <c r="DE713" s="54"/>
      <c r="DF713" s="54"/>
      <c r="DG713" s="54"/>
      <c r="DH713" s="54"/>
      <c r="DI713" s="54"/>
      <c r="DJ713" s="54"/>
      <c r="DK713" s="54"/>
      <c r="DL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  <c r="CW714" s="54"/>
      <c r="CX714" s="54"/>
      <c r="CY714" s="54"/>
      <c r="CZ714" s="54"/>
      <c r="DA714" s="54"/>
      <c r="DB714" s="54"/>
      <c r="DC714" s="54"/>
      <c r="DD714" s="54"/>
      <c r="DE714" s="54"/>
      <c r="DF714" s="54"/>
      <c r="DG714" s="54"/>
      <c r="DH714" s="54"/>
      <c r="DI714" s="54"/>
      <c r="DJ714" s="54"/>
      <c r="DK714" s="54"/>
      <c r="DL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  <c r="CW715" s="54"/>
      <c r="CX715" s="54"/>
      <c r="CY715" s="54"/>
      <c r="CZ715" s="54"/>
      <c r="DA715" s="54"/>
      <c r="DB715" s="54"/>
      <c r="DC715" s="54"/>
      <c r="DD715" s="54"/>
      <c r="DE715" s="54"/>
      <c r="DF715" s="54"/>
      <c r="DG715" s="54"/>
      <c r="DH715" s="54"/>
      <c r="DI715" s="54"/>
      <c r="DJ715" s="54"/>
      <c r="DK715" s="54"/>
      <c r="DL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  <c r="CW716" s="54"/>
      <c r="CX716" s="54"/>
      <c r="CY716" s="54"/>
      <c r="CZ716" s="54"/>
      <c r="DA716" s="54"/>
      <c r="DB716" s="54"/>
      <c r="DC716" s="54"/>
      <c r="DD716" s="54"/>
      <c r="DE716" s="54"/>
      <c r="DF716" s="54"/>
      <c r="DG716" s="54"/>
      <c r="DH716" s="54"/>
      <c r="DI716" s="54"/>
      <c r="DJ716" s="54"/>
      <c r="DK716" s="54"/>
      <c r="DL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  <c r="CW717" s="54"/>
      <c r="CX717" s="54"/>
      <c r="CY717" s="54"/>
      <c r="CZ717" s="54"/>
      <c r="DA717" s="54"/>
      <c r="DB717" s="54"/>
      <c r="DC717" s="54"/>
      <c r="DD717" s="54"/>
      <c r="DE717" s="54"/>
      <c r="DF717" s="54"/>
      <c r="DG717" s="54"/>
      <c r="DH717" s="54"/>
      <c r="DI717" s="54"/>
      <c r="DJ717" s="54"/>
      <c r="DK717" s="54"/>
      <c r="DL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  <c r="CW718" s="54"/>
      <c r="CX718" s="54"/>
      <c r="CY718" s="54"/>
      <c r="CZ718" s="54"/>
      <c r="DA718" s="54"/>
      <c r="DB718" s="54"/>
      <c r="DC718" s="54"/>
      <c r="DD718" s="54"/>
      <c r="DE718" s="54"/>
      <c r="DF718" s="54"/>
      <c r="DG718" s="54"/>
      <c r="DH718" s="54"/>
      <c r="DI718" s="54"/>
      <c r="DJ718" s="54"/>
      <c r="DK718" s="54"/>
      <c r="DL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  <c r="CW719" s="54"/>
      <c r="CX719" s="54"/>
      <c r="CY719" s="54"/>
      <c r="CZ719" s="54"/>
      <c r="DA719" s="54"/>
      <c r="DB719" s="54"/>
      <c r="DC719" s="54"/>
      <c r="DD719" s="54"/>
      <c r="DE719" s="54"/>
      <c r="DF719" s="54"/>
      <c r="DG719" s="54"/>
      <c r="DH719" s="54"/>
      <c r="DI719" s="54"/>
      <c r="DJ719" s="54"/>
      <c r="DK719" s="54"/>
      <c r="DL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  <c r="CW720" s="54"/>
      <c r="CX720" s="54"/>
      <c r="CY720" s="54"/>
      <c r="CZ720" s="54"/>
      <c r="DA720" s="54"/>
      <c r="DB720" s="54"/>
      <c r="DC720" s="54"/>
      <c r="DD720" s="54"/>
      <c r="DE720" s="54"/>
      <c r="DF720" s="54"/>
      <c r="DG720" s="54"/>
      <c r="DH720" s="54"/>
      <c r="DI720" s="54"/>
      <c r="DJ720" s="54"/>
      <c r="DK720" s="54"/>
      <c r="DL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  <c r="CW721" s="54"/>
      <c r="CX721" s="54"/>
      <c r="CY721" s="54"/>
      <c r="CZ721" s="54"/>
      <c r="DA721" s="54"/>
      <c r="DB721" s="54"/>
      <c r="DC721" s="54"/>
      <c r="DD721" s="54"/>
      <c r="DE721" s="54"/>
      <c r="DF721" s="54"/>
      <c r="DG721" s="54"/>
      <c r="DH721" s="54"/>
      <c r="DI721" s="54"/>
      <c r="DJ721" s="54"/>
      <c r="DK721" s="54"/>
      <c r="DL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  <c r="CW722" s="54"/>
      <c r="CX722" s="54"/>
      <c r="CY722" s="54"/>
      <c r="CZ722" s="54"/>
      <c r="DA722" s="54"/>
      <c r="DB722" s="54"/>
      <c r="DC722" s="54"/>
      <c r="DD722" s="54"/>
      <c r="DE722" s="54"/>
      <c r="DF722" s="54"/>
      <c r="DG722" s="54"/>
      <c r="DH722" s="54"/>
      <c r="DI722" s="54"/>
      <c r="DJ722" s="54"/>
      <c r="DK722" s="54"/>
      <c r="DL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  <c r="CW723" s="54"/>
      <c r="CX723" s="54"/>
      <c r="CY723" s="54"/>
      <c r="CZ723" s="54"/>
      <c r="DA723" s="54"/>
      <c r="DB723" s="54"/>
      <c r="DC723" s="54"/>
      <c r="DD723" s="54"/>
      <c r="DE723" s="54"/>
      <c r="DF723" s="54"/>
      <c r="DG723" s="54"/>
      <c r="DH723" s="54"/>
      <c r="DI723" s="54"/>
      <c r="DJ723" s="54"/>
      <c r="DK723" s="54"/>
      <c r="DL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  <c r="CW724" s="54"/>
      <c r="CX724" s="54"/>
      <c r="CY724" s="54"/>
      <c r="CZ724" s="54"/>
      <c r="DA724" s="54"/>
      <c r="DB724" s="54"/>
      <c r="DC724" s="54"/>
      <c r="DD724" s="54"/>
      <c r="DE724" s="54"/>
      <c r="DF724" s="54"/>
      <c r="DG724" s="54"/>
      <c r="DH724" s="54"/>
      <c r="DI724" s="54"/>
      <c r="DJ724" s="54"/>
      <c r="DK724" s="54"/>
      <c r="DL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  <c r="CW725" s="54"/>
      <c r="CX725" s="54"/>
      <c r="CY725" s="54"/>
      <c r="CZ725" s="54"/>
      <c r="DA725" s="54"/>
      <c r="DB725" s="54"/>
      <c r="DC725" s="54"/>
      <c r="DD725" s="54"/>
      <c r="DE725" s="54"/>
      <c r="DF725" s="54"/>
      <c r="DG725" s="54"/>
      <c r="DH725" s="54"/>
      <c r="DI725" s="54"/>
      <c r="DJ725" s="54"/>
      <c r="DK725" s="54"/>
      <c r="DL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  <c r="CW726" s="54"/>
      <c r="CX726" s="54"/>
      <c r="CY726" s="54"/>
      <c r="CZ726" s="54"/>
      <c r="DA726" s="54"/>
      <c r="DB726" s="54"/>
      <c r="DC726" s="54"/>
      <c r="DD726" s="54"/>
      <c r="DE726" s="54"/>
      <c r="DF726" s="54"/>
      <c r="DG726" s="54"/>
      <c r="DH726" s="54"/>
      <c r="DI726" s="54"/>
      <c r="DJ726" s="54"/>
      <c r="DK726" s="54"/>
      <c r="DL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  <c r="CW727" s="54"/>
      <c r="CX727" s="54"/>
      <c r="CY727" s="54"/>
      <c r="CZ727" s="54"/>
      <c r="DA727" s="54"/>
      <c r="DB727" s="54"/>
      <c r="DC727" s="54"/>
      <c r="DD727" s="54"/>
      <c r="DE727" s="54"/>
      <c r="DF727" s="54"/>
      <c r="DG727" s="54"/>
      <c r="DH727" s="54"/>
      <c r="DI727" s="54"/>
      <c r="DJ727" s="54"/>
      <c r="DK727" s="54"/>
      <c r="DL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  <c r="CW728" s="54"/>
      <c r="CX728" s="54"/>
      <c r="CY728" s="54"/>
      <c r="CZ728" s="54"/>
      <c r="DA728" s="54"/>
      <c r="DB728" s="54"/>
      <c r="DC728" s="54"/>
      <c r="DD728" s="54"/>
      <c r="DE728" s="54"/>
      <c r="DF728" s="54"/>
      <c r="DG728" s="54"/>
      <c r="DH728" s="54"/>
      <c r="DI728" s="54"/>
      <c r="DJ728" s="54"/>
      <c r="DK728" s="54"/>
      <c r="DL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  <c r="CW729" s="54"/>
      <c r="CX729" s="54"/>
      <c r="CY729" s="54"/>
      <c r="CZ729" s="54"/>
      <c r="DA729" s="54"/>
      <c r="DB729" s="54"/>
      <c r="DC729" s="54"/>
      <c r="DD729" s="54"/>
      <c r="DE729" s="54"/>
      <c r="DF729" s="54"/>
      <c r="DG729" s="54"/>
      <c r="DH729" s="54"/>
      <c r="DI729" s="54"/>
      <c r="DJ729" s="54"/>
      <c r="DK729" s="54"/>
      <c r="DL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  <c r="CW730" s="54"/>
      <c r="CX730" s="54"/>
      <c r="CY730" s="54"/>
      <c r="CZ730" s="54"/>
      <c r="DA730" s="54"/>
      <c r="DB730" s="54"/>
      <c r="DC730" s="54"/>
      <c r="DD730" s="54"/>
      <c r="DE730" s="54"/>
      <c r="DF730" s="54"/>
      <c r="DG730" s="54"/>
      <c r="DH730" s="54"/>
      <c r="DI730" s="54"/>
      <c r="DJ730" s="54"/>
      <c r="DK730" s="54"/>
      <c r="DL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  <c r="CW731" s="54"/>
      <c r="CX731" s="54"/>
      <c r="CY731" s="54"/>
      <c r="CZ731" s="54"/>
      <c r="DA731" s="54"/>
      <c r="DB731" s="54"/>
      <c r="DC731" s="54"/>
      <c r="DD731" s="54"/>
      <c r="DE731" s="54"/>
      <c r="DF731" s="54"/>
      <c r="DG731" s="54"/>
      <c r="DH731" s="54"/>
      <c r="DI731" s="54"/>
      <c r="DJ731" s="54"/>
      <c r="DK731" s="54"/>
      <c r="DL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  <c r="CW732" s="54"/>
      <c r="CX732" s="54"/>
      <c r="CY732" s="54"/>
      <c r="CZ732" s="54"/>
      <c r="DA732" s="54"/>
      <c r="DB732" s="54"/>
      <c r="DC732" s="54"/>
      <c r="DD732" s="54"/>
      <c r="DE732" s="54"/>
      <c r="DF732" s="54"/>
      <c r="DG732" s="54"/>
      <c r="DH732" s="54"/>
      <c r="DI732" s="54"/>
      <c r="DJ732" s="54"/>
      <c r="DK732" s="54"/>
      <c r="DL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  <c r="CW733" s="54"/>
      <c r="CX733" s="54"/>
      <c r="CY733" s="54"/>
      <c r="CZ733" s="54"/>
      <c r="DA733" s="54"/>
      <c r="DB733" s="54"/>
      <c r="DC733" s="54"/>
      <c r="DD733" s="54"/>
      <c r="DE733" s="54"/>
      <c r="DF733" s="54"/>
      <c r="DG733" s="54"/>
      <c r="DH733" s="54"/>
      <c r="DI733" s="54"/>
      <c r="DJ733" s="54"/>
      <c r="DK733" s="54"/>
      <c r="DL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  <c r="CW734" s="54"/>
      <c r="CX734" s="54"/>
      <c r="CY734" s="54"/>
      <c r="CZ734" s="54"/>
      <c r="DA734" s="54"/>
      <c r="DB734" s="54"/>
      <c r="DC734" s="54"/>
      <c r="DD734" s="54"/>
      <c r="DE734" s="54"/>
      <c r="DF734" s="54"/>
      <c r="DG734" s="54"/>
      <c r="DH734" s="54"/>
      <c r="DI734" s="54"/>
      <c r="DJ734" s="54"/>
      <c r="DK734" s="54"/>
      <c r="DL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  <c r="CW735" s="54"/>
      <c r="CX735" s="54"/>
      <c r="CY735" s="54"/>
      <c r="CZ735" s="54"/>
      <c r="DA735" s="54"/>
      <c r="DB735" s="54"/>
      <c r="DC735" s="54"/>
      <c r="DD735" s="54"/>
      <c r="DE735" s="54"/>
      <c r="DF735" s="54"/>
      <c r="DG735" s="54"/>
      <c r="DH735" s="54"/>
      <c r="DI735" s="54"/>
      <c r="DJ735" s="54"/>
      <c r="DK735" s="54"/>
      <c r="DL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  <c r="CW736" s="54"/>
      <c r="CX736" s="54"/>
      <c r="CY736" s="54"/>
      <c r="CZ736" s="54"/>
      <c r="DA736" s="54"/>
      <c r="DB736" s="54"/>
      <c r="DC736" s="54"/>
      <c r="DD736" s="54"/>
      <c r="DE736" s="54"/>
      <c r="DF736" s="54"/>
      <c r="DG736" s="54"/>
      <c r="DH736" s="54"/>
      <c r="DI736" s="54"/>
      <c r="DJ736" s="54"/>
      <c r="DK736" s="54"/>
      <c r="DL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  <c r="CW737" s="54"/>
      <c r="CX737" s="54"/>
      <c r="CY737" s="54"/>
      <c r="CZ737" s="54"/>
      <c r="DA737" s="54"/>
      <c r="DB737" s="54"/>
      <c r="DC737" s="54"/>
      <c r="DD737" s="54"/>
      <c r="DE737" s="54"/>
      <c r="DF737" s="54"/>
      <c r="DG737" s="54"/>
      <c r="DH737" s="54"/>
      <c r="DI737" s="54"/>
      <c r="DJ737" s="54"/>
      <c r="DK737" s="54"/>
      <c r="DL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  <c r="CW738" s="54"/>
      <c r="CX738" s="54"/>
      <c r="CY738" s="54"/>
      <c r="CZ738" s="54"/>
      <c r="DA738" s="54"/>
      <c r="DB738" s="54"/>
      <c r="DC738" s="54"/>
      <c r="DD738" s="54"/>
      <c r="DE738" s="54"/>
      <c r="DF738" s="54"/>
      <c r="DG738" s="54"/>
      <c r="DH738" s="54"/>
      <c r="DI738" s="54"/>
      <c r="DJ738" s="54"/>
      <c r="DK738" s="54"/>
      <c r="DL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  <c r="CW739" s="54"/>
      <c r="CX739" s="54"/>
      <c r="CY739" s="54"/>
      <c r="CZ739" s="54"/>
      <c r="DA739" s="54"/>
      <c r="DB739" s="54"/>
      <c r="DC739" s="54"/>
      <c r="DD739" s="54"/>
      <c r="DE739" s="54"/>
      <c r="DF739" s="54"/>
      <c r="DG739" s="54"/>
      <c r="DH739" s="54"/>
      <c r="DI739" s="54"/>
      <c r="DJ739" s="54"/>
      <c r="DK739" s="54"/>
      <c r="DL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  <c r="CW740" s="54"/>
      <c r="CX740" s="54"/>
      <c r="CY740" s="54"/>
      <c r="CZ740" s="54"/>
      <c r="DA740" s="54"/>
      <c r="DB740" s="54"/>
      <c r="DC740" s="54"/>
      <c r="DD740" s="54"/>
      <c r="DE740" s="54"/>
      <c r="DF740" s="54"/>
      <c r="DG740" s="54"/>
      <c r="DH740" s="54"/>
      <c r="DI740" s="54"/>
      <c r="DJ740" s="54"/>
      <c r="DK740" s="54"/>
      <c r="DL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  <c r="CW741" s="54"/>
      <c r="CX741" s="54"/>
      <c r="CY741" s="54"/>
      <c r="CZ741" s="54"/>
      <c r="DA741" s="54"/>
      <c r="DB741" s="54"/>
      <c r="DC741" s="54"/>
      <c r="DD741" s="54"/>
      <c r="DE741" s="54"/>
      <c r="DF741" s="54"/>
      <c r="DG741" s="54"/>
      <c r="DH741" s="54"/>
      <c r="DI741" s="54"/>
      <c r="DJ741" s="54"/>
      <c r="DK741" s="54"/>
      <c r="DL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  <c r="CW742" s="54"/>
      <c r="CX742" s="54"/>
      <c r="CY742" s="54"/>
      <c r="CZ742" s="54"/>
      <c r="DA742" s="54"/>
      <c r="DB742" s="54"/>
      <c r="DC742" s="54"/>
      <c r="DD742" s="54"/>
      <c r="DE742" s="54"/>
      <c r="DF742" s="54"/>
      <c r="DG742" s="54"/>
      <c r="DH742" s="54"/>
      <c r="DI742" s="54"/>
      <c r="DJ742" s="54"/>
      <c r="DK742" s="54"/>
      <c r="DL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  <c r="CW743" s="54"/>
      <c r="CX743" s="54"/>
      <c r="CY743" s="54"/>
      <c r="CZ743" s="54"/>
      <c r="DA743" s="54"/>
      <c r="DB743" s="54"/>
      <c r="DC743" s="54"/>
      <c r="DD743" s="54"/>
      <c r="DE743" s="54"/>
      <c r="DF743" s="54"/>
      <c r="DG743" s="54"/>
      <c r="DH743" s="54"/>
      <c r="DI743" s="54"/>
      <c r="DJ743" s="54"/>
      <c r="DK743" s="54"/>
      <c r="DL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  <c r="CW744" s="54"/>
      <c r="CX744" s="54"/>
      <c r="CY744" s="54"/>
      <c r="CZ744" s="54"/>
      <c r="DA744" s="54"/>
      <c r="DB744" s="54"/>
      <c r="DC744" s="54"/>
      <c r="DD744" s="54"/>
      <c r="DE744" s="54"/>
      <c r="DF744" s="54"/>
      <c r="DG744" s="54"/>
      <c r="DH744" s="54"/>
      <c r="DI744" s="54"/>
      <c r="DJ744" s="54"/>
      <c r="DK744" s="54"/>
      <c r="DL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  <c r="CW745" s="54"/>
      <c r="CX745" s="54"/>
      <c r="CY745" s="54"/>
      <c r="CZ745" s="54"/>
      <c r="DA745" s="54"/>
      <c r="DB745" s="54"/>
      <c r="DC745" s="54"/>
      <c r="DD745" s="54"/>
      <c r="DE745" s="54"/>
      <c r="DF745" s="54"/>
      <c r="DG745" s="54"/>
      <c r="DH745" s="54"/>
      <c r="DI745" s="54"/>
      <c r="DJ745" s="54"/>
      <c r="DK745" s="54"/>
      <c r="DL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  <c r="CW746" s="54"/>
      <c r="CX746" s="54"/>
      <c r="CY746" s="54"/>
      <c r="CZ746" s="54"/>
      <c r="DA746" s="54"/>
      <c r="DB746" s="54"/>
      <c r="DC746" s="54"/>
      <c r="DD746" s="54"/>
      <c r="DE746" s="54"/>
      <c r="DF746" s="54"/>
      <c r="DG746" s="54"/>
      <c r="DH746" s="54"/>
      <c r="DI746" s="54"/>
      <c r="DJ746" s="54"/>
      <c r="DK746" s="54"/>
      <c r="DL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  <c r="CW747" s="54"/>
      <c r="CX747" s="54"/>
      <c r="CY747" s="54"/>
      <c r="CZ747" s="54"/>
      <c r="DA747" s="54"/>
      <c r="DB747" s="54"/>
      <c r="DC747" s="54"/>
      <c r="DD747" s="54"/>
      <c r="DE747" s="54"/>
      <c r="DF747" s="54"/>
      <c r="DG747" s="54"/>
      <c r="DH747" s="54"/>
      <c r="DI747" s="54"/>
      <c r="DJ747" s="54"/>
      <c r="DK747" s="54"/>
      <c r="DL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  <c r="CW748" s="54"/>
      <c r="CX748" s="54"/>
      <c r="CY748" s="54"/>
      <c r="CZ748" s="54"/>
      <c r="DA748" s="54"/>
      <c r="DB748" s="54"/>
      <c r="DC748" s="54"/>
      <c r="DD748" s="54"/>
      <c r="DE748" s="54"/>
      <c r="DF748" s="54"/>
      <c r="DG748" s="54"/>
      <c r="DH748" s="54"/>
      <c r="DI748" s="54"/>
      <c r="DJ748" s="54"/>
      <c r="DK748" s="54"/>
      <c r="DL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  <c r="CW749" s="54"/>
      <c r="CX749" s="54"/>
      <c r="CY749" s="54"/>
      <c r="CZ749" s="54"/>
      <c r="DA749" s="54"/>
      <c r="DB749" s="54"/>
      <c r="DC749" s="54"/>
      <c r="DD749" s="54"/>
      <c r="DE749" s="54"/>
      <c r="DF749" s="54"/>
      <c r="DG749" s="54"/>
      <c r="DH749" s="54"/>
      <c r="DI749" s="54"/>
      <c r="DJ749" s="54"/>
      <c r="DK749" s="54"/>
      <c r="DL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  <c r="CW750" s="54"/>
      <c r="CX750" s="54"/>
      <c r="CY750" s="54"/>
      <c r="CZ750" s="54"/>
      <c r="DA750" s="54"/>
      <c r="DB750" s="54"/>
      <c r="DC750" s="54"/>
      <c r="DD750" s="54"/>
      <c r="DE750" s="54"/>
      <c r="DF750" s="54"/>
      <c r="DG750" s="54"/>
      <c r="DH750" s="54"/>
      <c r="DI750" s="54"/>
      <c r="DJ750" s="54"/>
      <c r="DK750" s="54"/>
      <c r="DL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  <c r="CW751" s="54"/>
      <c r="CX751" s="54"/>
      <c r="CY751" s="54"/>
      <c r="CZ751" s="54"/>
      <c r="DA751" s="54"/>
      <c r="DB751" s="54"/>
      <c r="DC751" s="54"/>
      <c r="DD751" s="54"/>
      <c r="DE751" s="54"/>
      <c r="DF751" s="54"/>
      <c r="DG751" s="54"/>
      <c r="DH751" s="54"/>
      <c r="DI751" s="54"/>
      <c r="DJ751" s="54"/>
      <c r="DK751" s="54"/>
      <c r="DL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  <c r="CW752" s="54"/>
      <c r="CX752" s="54"/>
      <c r="CY752" s="54"/>
      <c r="CZ752" s="54"/>
      <c r="DA752" s="54"/>
      <c r="DB752" s="54"/>
      <c r="DC752" s="54"/>
      <c r="DD752" s="54"/>
      <c r="DE752" s="54"/>
      <c r="DF752" s="54"/>
      <c r="DG752" s="54"/>
      <c r="DH752" s="54"/>
      <c r="DI752" s="54"/>
      <c r="DJ752" s="54"/>
      <c r="DK752" s="54"/>
      <c r="DL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  <c r="CW753" s="54"/>
      <c r="CX753" s="54"/>
      <c r="CY753" s="54"/>
      <c r="CZ753" s="54"/>
      <c r="DA753" s="54"/>
      <c r="DB753" s="54"/>
      <c r="DC753" s="54"/>
      <c r="DD753" s="54"/>
      <c r="DE753" s="54"/>
      <c r="DF753" s="54"/>
      <c r="DG753" s="54"/>
      <c r="DH753" s="54"/>
      <c r="DI753" s="54"/>
      <c r="DJ753" s="54"/>
      <c r="DK753" s="54"/>
      <c r="DL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  <c r="CW754" s="54"/>
      <c r="CX754" s="54"/>
      <c r="CY754" s="54"/>
      <c r="CZ754" s="54"/>
      <c r="DA754" s="54"/>
      <c r="DB754" s="54"/>
      <c r="DC754" s="54"/>
      <c r="DD754" s="54"/>
      <c r="DE754" s="54"/>
      <c r="DF754" s="54"/>
      <c r="DG754" s="54"/>
      <c r="DH754" s="54"/>
      <c r="DI754" s="54"/>
      <c r="DJ754" s="54"/>
      <c r="DK754" s="54"/>
      <c r="DL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  <c r="CW755" s="54"/>
      <c r="CX755" s="54"/>
      <c r="CY755" s="54"/>
      <c r="CZ755" s="54"/>
      <c r="DA755" s="54"/>
      <c r="DB755" s="54"/>
      <c r="DC755" s="54"/>
      <c r="DD755" s="54"/>
      <c r="DE755" s="54"/>
      <c r="DF755" s="54"/>
      <c r="DG755" s="54"/>
      <c r="DH755" s="54"/>
      <c r="DI755" s="54"/>
      <c r="DJ755" s="54"/>
      <c r="DK755" s="54"/>
      <c r="DL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  <c r="CW756" s="54"/>
      <c r="CX756" s="54"/>
      <c r="CY756" s="54"/>
      <c r="CZ756" s="54"/>
      <c r="DA756" s="54"/>
      <c r="DB756" s="54"/>
      <c r="DC756" s="54"/>
      <c r="DD756" s="54"/>
      <c r="DE756" s="54"/>
      <c r="DF756" s="54"/>
      <c r="DG756" s="54"/>
      <c r="DH756" s="54"/>
      <c r="DI756" s="54"/>
      <c r="DJ756" s="54"/>
      <c r="DK756" s="54"/>
      <c r="DL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  <c r="CW757" s="54"/>
      <c r="CX757" s="54"/>
      <c r="CY757" s="54"/>
      <c r="CZ757" s="54"/>
      <c r="DA757" s="54"/>
      <c r="DB757" s="54"/>
      <c r="DC757" s="54"/>
      <c r="DD757" s="54"/>
      <c r="DE757" s="54"/>
      <c r="DF757" s="54"/>
      <c r="DG757" s="54"/>
      <c r="DH757" s="54"/>
      <c r="DI757" s="54"/>
      <c r="DJ757" s="54"/>
      <c r="DK757" s="54"/>
      <c r="DL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  <c r="CW758" s="54"/>
      <c r="CX758" s="54"/>
      <c r="CY758" s="54"/>
      <c r="CZ758" s="54"/>
      <c r="DA758" s="54"/>
      <c r="DB758" s="54"/>
      <c r="DC758" s="54"/>
      <c r="DD758" s="54"/>
      <c r="DE758" s="54"/>
      <c r="DF758" s="54"/>
      <c r="DG758" s="54"/>
      <c r="DH758" s="54"/>
      <c r="DI758" s="54"/>
      <c r="DJ758" s="54"/>
      <c r="DK758" s="54"/>
      <c r="DL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  <c r="CW759" s="54"/>
      <c r="CX759" s="54"/>
      <c r="CY759" s="54"/>
      <c r="CZ759" s="54"/>
      <c r="DA759" s="54"/>
      <c r="DB759" s="54"/>
      <c r="DC759" s="54"/>
      <c r="DD759" s="54"/>
      <c r="DE759" s="54"/>
      <c r="DF759" s="54"/>
      <c r="DG759" s="54"/>
      <c r="DH759" s="54"/>
      <c r="DI759" s="54"/>
      <c r="DJ759" s="54"/>
      <c r="DK759" s="54"/>
      <c r="DL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  <c r="CW760" s="54"/>
      <c r="CX760" s="54"/>
      <c r="CY760" s="54"/>
      <c r="CZ760" s="54"/>
      <c r="DA760" s="54"/>
      <c r="DB760" s="54"/>
      <c r="DC760" s="54"/>
      <c r="DD760" s="54"/>
      <c r="DE760" s="54"/>
      <c r="DF760" s="54"/>
      <c r="DG760" s="54"/>
      <c r="DH760" s="54"/>
      <c r="DI760" s="54"/>
      <c r="DJ760" s="54"/>
      <c r="DK760" s="54"/>
      <c r="DL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  <c r="CW761" s="54"/>
      <c r="CX761" s="54"/>
      <c r="CY761" s="54"/>
      <c r="CZ761" s="54"/>
      <c r="DA761" s="54"/>
      <c r="DB761" s="54"/>
      <c r="DC761" s="54"/>
      <c r="DD761" s="54"/>
      <c r="DE761" s="54"/>
      <c r="DF761" s="54"/>
      <c r="DG761" s="54"/>
      <c r="DH761" s="54"/>
      <c r="DI761" s="54"/>
      <c r="DJ761" s="54"/>
      <c r="DK761" s="54"/>
      <c r="DL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  <c r="CW762" s="54"/>
      <c r="CX762" s="54"/>
      <c r="CY762" s="54"/>
      <c r="CZ762" s="54"/>
      <c r="DA762" s="54"/>
      <c r="DB762" s="54"/>
      <c r="DC762" s="54"/>
      <c r="DD762" s="54"/>
      <c r="DE762" s="54"/>
      <c r="DF762" s="54"/>
      <c r="DG762" s="54"/>
      <c r="DH762" s="54"/>
      <c r="DI762" s="54"/>
      <c r="DJ762" s="54"/>
      <c r="DK762" s="54"/>
      <c r="DL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  <c r="CW763" s="54"/>
      <c r="CX763" s="54"/>
      <c r="CY763" s="54"/>
      <c r="CZ763" s="54"/>
      <c r="DA763" s="54"/>
      <c r="DB763" s="54"/>
      <c r="DC763" s="54"/>
      <c r="DD763" s="54"/>
      <c r="DE763" s="54"/>
      <c r="DF763" s="54"/>
      <c r="DG763" s="54"/>
      <c r="DH763" s="54"/>
      <c r="DI763" s="54"/>
      <c r="DJ763" s="54"/>
      <c r="DK763" s="54"/>
      <c r="DL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  <c r="CW764" s="54"/>
      <c r="CX764" s="54"/>
      <c r="CY764" s="54"/>
      <c r="CZ764" s="54"/>
      <c r="DA764" s="54"/>
      <c r="DB764" s="54"/>
      <c r="DC764" s="54"/>
      <c r="DD764" s="54"/>
      <c r="DE764" s="54"/>
      <c r="DF764" s="54"/>
      <c r="DG764" s="54"/>
      <c r="DH764" s="54"/>
      <c r="DI764" s="54"/>
      <c r="DJ764" s="54"/>
      <c r="DK764" s="54"/>
      <c r="DL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  <c r="CW765" s="54"/>
      <c r="CX765" s="54"/>
      <c r="CY765" s="54"/>
      <c r="CZ765" s="54"/>
      <c r="DA765" s="54"/>
      <c r="DB765" s="54"/>
      <c r="DC765" s="54"/>
      <c r="DD765" s="54"/>
      <c r="DE765" s="54"/>
      <c r="DF765" s="54"/>
      <c r="DG765" s="54"/>
      <c r="DH765" s="54"/>
      <c r="DI765" s="54"/>
      <c r="DJ765" s="54"/>
      <c r="DK765" s="54"/>
      <c r="DL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  <c r="CW766" s="54"/>
      <c r="CX766" s="54"/>
      <c r="CY766" s="54"/>
      <c r="CZ766" s="54"/>
      <c r="DA766" s="54"/>
      <c r="DB766" s="54"/>
      <c r="DC766" s="54"/>
      <c r="DD766" s="54"/>
      <c r="DE766" s="54"/>
      <c r="DF766" s="54"/>
      <c r="DG766" s="54"/>
      <c r="DH766" s="54"/>
      <c r="DI766" s="54"/>
      <c r="DJ766" s="54"/>
      <c r="DK766" s="54"/>
      <c r="DL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  <c r="CW767" s="54"/>
      <c r="CX767" s="54"/>
      <c r="CY767" s="54"/>
      <c r="CZ767" s="54"/>
      <c r="DA767" s="54"/>
      <c r="DB767" s="54"/>
      <c r="DC767" s="54"/>
      <c r="DD767" s="54"/>
      <c r="DE767" s="54"/>
      <c r="DF767" s="54"/>
      <c r="DG767" s="54"/>
      <c r="DH767" s="54"/>
      <c r="DI767" s="54"/>
      <c r="DJ767" s="54"/>
      <c r="DK767" s="54"/>
      <c r="DL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  <c r="CW768" s="54"/>
      <c r="CX768" s="54"/>
      <c r="CY768" s="54"/>
      <c r="CZ768" s="54"/>
      <c r="DA768" s="54"/>
      <c r="DB768" s="54"/>
      <c r="DC768" s="54"/>
      <c r="DD768" s="54"/>
      <c r="DE768" s="54"/>
      <c r="DF768" s="54"/>
      <c r="DG768" s="54"/>
      <c r="DH768" s="54"/>
      <c r="DI768" s="54"/>
      <c r="DJ768" s="54"/>
      <c r="DK768" s="54"/>
      <c r="DL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  <c r="CW769" s="54"/>
      <c r="CX769" s="54"/>
      <c r="CY769" s="54"/>
      <c r="CZ769" s="54"/>
      <c r="DA769" s="54"/>
      <c r="DB769" s="54"/>
      <c r="DC769" s="54"/>
      <c r="DD769" s="54"/>
      <c r="DE769" s="54"/>
      <c r="DF769" s="54"/>
      <c r="DG769" s="54"/>
      <c r="DH769" s="54"/>
      <c r="DI769" s="54"/>
      <c r="DJ769" s="54"/>
      <c r="DK769" s="54"/>
      <c r="DL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  <c r="CW770" s="54"/>
      <c r="CX770" s="54"/>
      <c r="CY770" s="54"/>
      <c r="CZ770" s="54"/>
      <c r="DA770" s="54"/>
      <c r="DB770" s="54"/>
      <c r="DC770" s="54"/>
      <c r="DD770" s="54"/>
      <c r="DE770" s="54"/>
      <c r="DF770" s="54"/>
      <c r="DG770" s="54"/>
      <c r="DH770" s="54"/>
      <c r="DI770" s="54"/>
      <c r="DJ770" s="54"/>
      <c r="DK770" s="54"/>
      <c r="DL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  <c r="CW771" s="54"/>
      <c r="CX771" s="54"/>
      <c r="CY771" s="54"/>
      <c r="CZ771" s="54"/>
      <c r="DA771" s="54"/>
      <c r="DB771" s="54"/>
      <c r="DC771" s="54"/>
      <c r="DD771" s="54"/>
      <c r="DE771" s="54"/>
      <c r="DF771" s="54"/>
      <c r="DG771" s="54"/>
      <c r="DH771" s="54"/>
      <c r="DI771" s="54"/>
      <c r="DJ771" s="54"/>
      <c r="DK771" s="54"/>
      <c r="DL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  <c r="CW772" s="54"/>
      <c r="CX772" s="54"/>
      <c r="CY772" s="54"/>
      <c r="CZ772" s="54"/>
      <c r="DA772" s="54"/>
      <c r="DB772" s="54"/>
      <c r="DC772" s="54"/>
      <c r="DD772" s="54"/>
      <c r="DE772" s="54"/>
      <c r="DF772" s="54"/>
      <c r="DG772" s="54"/>
      <c r="DH772" s="54"/>
      <c r="DI772" s="54"/>
      <c r="DJ772" s="54"/>
      <c r="DK772" s="54"/>
      <c r="DL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  <c r="CW773" s="54"/>
      <c r="CX773" s="54"/>
      <c r="CY773" s="54"/>
      <c r="CZ773" s="54"/>
      <c r="DA773" s="54"/>
      <c r="DB773" s="54"/>
      <c r="DC773" s="54"/>
      <c r="DD773" s="54"/>
      <c r="DE773" s="54"/>
      <c r="DF773" s="54"/>
      <c r="DG773" s="54"/>
      <c r="DH773" s="54"/>
      <c r="DI773" s="54"/>
      <c r="DJ773" s="54"/>
      <c r="DK773" s="54"/>
      <c r="DL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  <c r="CW774" s="54"/>
      <c r="CX774" s="54"/>
      <c r="CY774" s="54"/>
      <c r="CZ774" s="54"/>
      <c r="DA774" s="54"/>
      <c r="DB774" s="54"/>
      <c r="DC774" s="54"/>
      <c r="DD774" s="54"/>
      <c r="DE774" s="54"/>
      <c r="DF774" s="54"/>
      <c r="DG774" s="54"/>
      <c r="DH774" s="54"/>
      <c r="DI774" s="54"/>
      <c r="DJ774" s="54"/>
      <c r="DK774" s="54"/>
      <c r="DL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  <c r="CW775" s="54"/>
      <c r="CX775" s="54"/>
      <c r="CY775" s="54"/>
      <c r="CZ775" s="54"/>
      <c r="DA775" s="54"/>
      <c r="DB775" s="54"/>
      <c r="DC775" s="54"/>
      <c r="DD775" s="54"/>
      <c r="DE775" s="54"/>
      <c r="DF775" s="54"/>
      <c r="DG775" s="54"/>
      <c r="DH775" s="54"/>
      <c r="DI775" s="54"/>
      <c r="DJ775" s="54"/>
      <c r="DK775" s="54"/>
      <c r="DL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  <c r="CW776" s="54"/>
      <c r="CX776" s="54"/>
      <c r="CY776" s="54"/>
      <c r="CZ776" s="54"/>
      <c r="DA776" s="54"/>
      <c r="DB776" s="54"/>
      <c r="DC776" s="54"/>
      <c r="DD776" s="54"/>
      <c r="DE776" s="54"/>
      <c r="DF776" s="54"/>
      <c r="DG776" s="54"/>
      <c r="DH776" s="54"/>
      <c r="DI776" s="54"/>
      <c r="DJ776" s="54"/>
      <c r="DK776" s="54"/>
      <c r="DL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  <c r="CW777" s="54"/>
      <c r="CX777" s="54"/>
      <c r="CY777" s="54"/>
      <c r="CZ777" s="54"/>
      <c r="DA777" s="54"/>
      <c r="DB777" s="54"/>
      <c r="DC777" s="54"/>
      <c r="DD777" s="54"/>
      <c r="DE777" s="54"/>
      <c r="DF777" s="54"/>
      <c r="DG777" s="54"/>
      <c r="DH777" s="54"/>
      <c r="DI777" s="54"/>
      <c r="DJ777" s="54"/>
      <c r="DK777" s="54"/>
      <c r="DL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  <c r="CW778" s="54"/>
      <c r="CX778" s="54"/>
      <c r="CY778" s="54"/>
      <c r="CZ778" s="54"/>
      <c r="DA778" s="54"/>
      <c r="DB778" s="54"/>
      <c r="DC778" s="54"/>
      <c r="DD778" s="54"/>
      <c r="DE778" s="54"/>
      <c r="DF778" s="54"/>
      <c r="DG778" s="54"/>
      <c r="DH778" s="54"/>
      <c r="DI778" s="54"/>
      <c r="DJ778" s="54"/>
      <c r="DK778" s="54"/>
      <c r="DL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  <c r="CW779" s="54"/>
      <c r="CX779" s="54"/>
      <c r="CY779" s="54"/>
      <c r="CZ779" s="54"/>
      <c r="DA779" s="54"/>
      <c r="DB779" s="54"/>
      <c r="DC779" s="54"/>
      <c r="DD779" s="54"/>
      <c r="DE779" s="54"/>
      <c r="DF779" s="54"/>
      <c r="DG779" s="54"/>
      <c r="DH779" s="54"/>
      <c r="DI779" s="54"/>
      <c r="DJ779" s="54"/>
      <c r="DK779" s="54"/>
      <c r="DL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  <c r="CW780" s="54"/>
      <c r="CX780" s="54"/>
      <c r="CY780" s="54"/>
      <c r="CZ780" s="54"/>
      <c r="DA780" s="54"/>
      <c r="DB780" s="54"/>
      <c r="DC780" s="54"/>
      <c r="DD780" s="54"/>
      <c r="DE780" s="54"/>
      <c r="DF780" s="54"/>
      <c r="DG780" s="54"/>
      <c r="DH780" s="54"/>
      <c r="DI780" s="54"/>
      <c r="DJ780" s="54"/>
      <c r="DK780" s="54"/>
      <c r="DL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  <c r="CW781" s="54"/>
      <c r="CX781" s="54"/>
      <c r="CY781" s="54"/>
      <c r="CZ781" s="54"/>
      <c r="DA781" s="54"/>
      <c r="DB781" s="54"/>
      <c r="DC781" s="54"/>
      <c r="DD781" s="54"/>
      <c r="DE781" s="54"/>
      <c r="DF781" s="54"/>
      <c r="DG781" s="54"/>
      <c r="DH781" s="54"/>
      <c r="DI781" s="54"/>
      <c r="DJ781" s="54"/>
      <c r="DK781" s="54"/>
      <c r="DL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  <c r="CW782" s="54"/>
      <c r="CX782" s="54"/>
      <c r="CY782" s="54"/>
      <c r="CZ782" s="54"/>
      <c r="DA782" s="54"/>
      <c r="DB782" s="54"/>
      <c r="DC782" s="54"/>
      <c r="DD782" s="54"/>
      <c r="DE782" s="54"/>
      <c r="DF782" s="54"/>
      <c r="DG782" s="54"/>
      <c r="DH782" s="54"/>
      <c r="DI782" s="54"/>
      <c r="DJ782" s="54"/>
      <c r="DK782" s="54"/>
      <c r="DL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  <c r="CW783" s="54"/>
      <c r="CX783" s="54"/>
      <c r="CY783" s="54"/>
      <c r="CZ783" s="54"/>
      <c r="DA783" s="54"/>
      <c r="DB783" s="54"/>
      <c r="DC783" s="54"/>
      <c r="DD783" s="54"/>
      <c r="DE783" s="54"/>
      <c r="DF783" s="54"/>
      <c r="DG783" s="54"/>
      <c r="DH783" s="54"/>
      <c r="DI783" s="54"/>
      <c r="DJ783" s="54"/>
      <c r="DK783" s="54"/>
      <c r="DL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  <c r="CW784" s="54"/>
      <c r="CX784" s="54"/>
      <c r="CY784" s="54"/>
      <c r="CZ784" s="54"/>
      <c r="DA784" s="54"/>
      <c r="DB784" s="54"/>
      <c r="DC784" s="54"/>
      <c r="DD784" s="54"/>
      <c r="DE784" s="54"/>
      <c r="DF784" s="54"/>
      <c r="DG784" s="54"/>
      <c r="DH784" s="54"/>
      <c r="DI784" s="54"/>
      <c r="DJ784" s="54"/>
      <c r="DK784" s="54"/>
      <c r="DL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  <c r="CW785" s="54"/>
      <c r="CX785" s="54"/>
      <c r="CY785" s="54"/>
      <c r="CZ785" s="54"/>
      <c r="DA785" s="54"/>
      <c r="DB785" s="54"/>
      <c r="DC785" s="54"/>
      <c r="DD785" s="54"/>
      <c r="DE785" s="54"/>
      <c r="DF785" s="54"/>
      <c r="DG785" s="54"/>
      <c r="DH785" s="54"/>
      <c r="DI785" s="54"/>
      <c r="DJ785" s="54"/>
      <c r="DK785" s="54"/>
      <c r="DL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  <c r="CW786" s="54"/>
      <c r="CX786" s="54"/>
      <c r="CY786" s="54"/>
      <c r="CZ786" s="54"/>
      <c r="DA786" s="54"/>
      <c r="DB786" s="54"/>
      <c r="DC786" s="54"/>
      <c r="DD786" s="54"/>
      <c r="DE786" s="54"/>
      <c r="DF786" s="54"/>
      <c r="DG786" s="54"/>
      <c r="DH786" s="54"/>
      <c r="DI786" s="54"/>
      <c r="DJ786" s="54"/>
      <c r="DK786" s="54"/>
      <c r="DL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  <c r="CW787" s="54"/>
      <c r="CX787" s="54"/>
      <c r="CY787" s="54"/>
      <c r="CZ787" s="54"/>
      <c r="DA787" s="54"/>
      <c r="DB787" s="54"/>
      <c r="DC787" s="54"/>
      <c r="DD787" s="54"/>
      <c r="DE787" s="54"/>
      <c r="DF787" s="54"/>
      <c r="DG787" s="54"/>
      <c r="DH787" s="54"/>
      <c r="DI787" s="54"/>
      <c r="DJ787" s="54"/>
      <c r="DK787" s="54"/>
      <c r="DL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  <c r="CW788" s="54"/>
      <c r="CX788" s="54"/>
      <c r="CY788" s="54"/>
      <c r="CZ788" s="54"/>
      <c r="DA788" s="54"/>
      <c r="DB788" s="54"/>
      <c r="DC788" s="54"/>
      <c r="DD788" s="54"/>
      <c r="DE788" s="54"/>
      <c r="DF788" s="54"/>
      <c r="DG788" s="54"/>
      <c r="DH788" s="54"/>
      <c r="DI788" s="54"/>
      <c r="DJ788" s="54"/>
      <c r="DK788" s="54"/>
      <c r="DL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  <c r="CW789" s="54"/>
      <c r="CX789" s="54"/>
      <c r="CY789" s="54"/>
      <c r="CZ789" s="54"/>
      <c r="DA789" s="54"/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  <c r="CW790" s="54"/>
      <c r="CX790" s="54"/>
      <c r="CY790" s="54"/>
      <c r="CZ790" s="54"/>
      <c r="DA790" s="54"/>
      <c r="DB790" s="54"/>
      <c r="DC790" s="54"/>
      <c r="DD790" s="54"/>
      <c r="DE790" s="54"/>
      <c r="DF790" s="54"/>
      <c r="DG790" s="54"/>
      <c r="DH790" s="54"/>
      <c r="DI790" s="54"/>
      <c r="DJ790" s="54"/>
      <c r="DK790" s="54"/>
      <c r="DL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  <c r="CW791" s="54"/>
      <c r="CX791" s="54"/>
      <c r="CY791" s="54"/>
      <c r="CZ791" s="54"/>
      <c r="DA791" s="54"/>
      <c r="DB791" s="54"/>
      <c r="DC791" s="54"/>
      <c r="DD791" s="54"/>
      <c r="DE791" s="54"/>
      <c r="DF791" s="54"/>
      <c r="DG791" s="54"/>
      <c r="DH791" s="54"/>
      <c r="DI791" s="54"/>
      <c r="DJ791" s="54"/>
      <c r="DK791" s="54"/>
      <c r="DL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  <c r="CW792" s="54"/>
      <c r="CX792" s="54"/>
      <c r="CY792" s="54"/>
      <c r="CZ792" s="54"/>
      <c r="DA792" s="54"/>
      <c r="DB792" s="54"/>
      <c r="DC792" s="54"/>
      <c r="DD792" s="54"/>
      <c r="DE792" s="54"/>
      <c r="DF792" s="54"/>
      <c r="DG792" s="54"/>
      <c r="DH792" s="54"/>
      <c r="DI792" s="54"/>
      <c r="DJ792" s="54"/>
      <c r="DK792" s="54"/>
      <c r="DL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  <c r="CW793" s="54"/>
      <c r="CX793" s="54"/>
      <c r="CY793" s="54"/>
      <c r="CZ793" s="54"/>
      <c r="DA793" s="54"/>
      <c r="DB793" s="54"/>
      <c r="DC793" s="54"/>
      <c r="DD793" s="54"/>
      <c r="DE793" s="54"/>
      <c r="DF793" s="54"/>
      <c r="DG793" s="54"/>
      <c r="DH793" s="54"/>
      <c r="DI793" s="54"/>
      <c r="DJ793" s="54"/>
      <c r="DK793" s="54"/>
      <c r="DL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  <c r="CW794" s="54"/>
      <c r="CX794" s="54"/>
      <c r="CY794" s="54"/>
      <c r="CZ794" s="54"/>
      <c r="DA794" s="54"/>
      <c r="DB794" s="54"/>
      <c r="DC794" s="54"/>
      <c r="DD794" s="54"/>
      <c r="DE794" s="54"/>
      <c r="DF794" s="54"/>
      <c r="DG794" s="54"/>
      <c r="DH794" s="54"/>
      <c r="DI794" s="54"/>
      <c r="DJ794" s="54"/>
      <c r="DK794" s="54"/>
      <c r="DL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  <c r="CW795" s="54"/>
      <c r="CX795" s="54"/>
      <c r="CY795" s="54"/>
      <c r="CZ795" s="54"/>
      <c r="DA795" s="54"/>
      <c r="DB795" s="54"/>
      <c r="DC795" s="54"/>
      <c r="DD795" s="54"/>
      <c r="DE795" s="54"/>
      <c r="DF795" s="54"/>
      <c r="DG795" s="54"/>
      <c r="DH795" s="54"/>
      <c r="DI795" s="54"/>
      <c r="DJ795" s="54"/>
      <c r="DK795" s="54"/>
      <c r="DL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  <c r="CW796" s="54"/>
      <c r="CX796" s="54"/>
      <c r="CY796" s="54"/>
      <c r="CZ796" s="54"/>
      <c r="DA796" s="54"/>
      <c r="DB796" s="54"/>
      <c r="DC796" s="54"/>
      <c r="DD796" s="54"/>
      <c r="DE796" s="54"/>
      <c r="DF796" s="54"/>
      <c r="DG796" s="54"/>
      <c r="DH796" s="54"/>
      <c r="DI796" s="54"/>
      <c r="DJ796" s="54"/>
      <c r="DK796" s="54"/>
      <c r="DL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  <c r="CW797" s="54"/>
      <c r="CX797" s="54"/>
      <c r="CY797" s="54"/>
      <c r="CZ797" s="54"/>
      <c r="DA797" s="54"/>
      <c r="DB797" s="54"/>
      <c r="DC797" s="54"/>
      <c r="DD797" s="54"/>
      <c r="DE797" s="54"/>
      <c r="DF797" s="54"/>
      <c r="DG797" s="54"/>
      <c r="DH797" s="54"/>
      <c r="DI797" s="54"/>
      <c r="DJ797" s="54"/>
      <c r="DK797" s="54"/>
      <c r="DL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  <c r="CW798" s="54"/>
      <c r="CX798" s="54"/>
      <c r="CY798" s="54"/>
      <c r="CZ798" s="54"/>
      <c r="DA798" s="54"/>
      <c r="DB798" s="54"/>
      <c r="DC798" s="54"/>
      <c r="DD798" s="54"/>
      <c r="DE798" s="54"/>
      <c r="DF798" s="54"/>
      <c r="DG798" s="54"/>
      <c r="DH798" s="54"/>
      <c r="DI798" s="54"/>
      <c r="DJ798" s="54"/>
      <c r="DK798" s="54"/>
      <c r="DL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  <c r="CW799" s="54"/>
      <c r="CX799" s="54"/>
      <c r="CY799" s="54"/>
      <c r="CZ799" s="54"/>
      <c r="DA799" s="54"/>
      <c r="DB799" s="54"/>
      <c r="DC799" s="54"/>
      <c r="DD799" s="54"/>
      <c r="DE799" s="54"/>
      <c r="DF799" s="54"/>
      <c r="DG799" s="54"/>
      <c r="DH799" s="54"/>
      <c r="DI799" s="54"/>
      <c r="DJ799" s="54"/>
      <c r="DK799" s="54"/>
      <c r="DL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  <c r="CW800" s="54"/>
      <c r="CX800" s="54"/>
      <c r="CY800" s="54"/>
      <c r="CZ800" s="54"/>
      <c r="DA800" s="54"/>
      <c r="DB800" s="54"/>
      <c r="DC800" s="54"/>
      <c r="DD800" s="54"/>
      <c r="DE800" s="54"/>
      <c r="DF800" s="54"/>
      <c r="DG800" s="54"/>
      <c r="DH800" s="54"/>
      <c r="DI800" s="54"/>
      <c r="DJ800" s="54"/>
      <c r="DK800" s="54"/>
      <c r="DL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  <c r="CW801" s="54"/>
      <c r="CX801" s="54"/>
      <c r="CY801" s="54"/>
      <c r="CZ801" s="54"/>
      <c r="DA801" s="54"/>
      <c r="DB801" s="54"/>
      <c r="DC801" s="54"/>
      <c r="DD801" s="54"/>
      <c r="DE801" s="54"/>
      <c r="DF801" s="54"/>
      <c r="DG801" s="54"/>
      <c r="DH801" s="54"/>
      <c r="DI801" s="54"/>
      <c r="DJ801" s="54"/>
      <c r="DK801" s="54"/>
      <c r="DL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  <c r="CW802" s="54"/>
      <c r="CX802" s="54"/>
      <c r="CY802" s="54"/>
      <c r="CZ802" s="54"/>
      <c r="DA802" s="54"/>
      <c r="DB802" s="54"/>
      <c r="DC802" s="54"/>
      <c r="DD802" s="54"/>
      <c r="DE802" s="54"/>
      <c r="DF802" s="54"/>
      <c r="DG802" s="54"/>
      <c r="DH802" s="54"/>
      <c r="DI802" s="54"/>
      <c r="DJ802" s="54"/>
      <c r="DK802" s="54"/>
      <c r="DL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  <c r="CW803" s="54"/>
      <c r="CX803" s="54"/>
      <c r="CY803" s="54"/>
      <c r="CZ803" s="54"/>
      <c r="DA803" s="54"/>
      <c r="DB803" s="54"/>
      <c r="DC803" s="54"/>
      <c r="DD803" s="54"/>
      <c r="DE803" s="54"/>
      <c r="DF803" s="54"/>
      <c r="DG803" s="54"/>
      <c r="DH803" s="54"/>
      <c r="DI803" s="54"/>
      <c r="DJ803" s="54"/>
      <c r="DK803" s="54"/>
      <c r="DL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  <c r="CW804" s="54"/>
      <c r="CX804" s="54"/>
      <c r="CY804" s="54"/>
      <c r="CZ804" s="54"/>
      <c r="DA804" s="54"/>
      <c r="DB804" s="54"/>
      <c r="DC804" s="54"/>
      <c r="DD804" s="54"/>
      <c r="DE804" s="54"/>
      <c r="DF804" s="54"/>
      <c r="DG804" s="54"/>
      <c r="DH804" s="54"/>
      <c r="DI804" s="54"/>
      <c r="DJ804" s="54"/>
      <c r="DK804" s="54"/>
      <c r="DL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  <c r="CW805" s="54"/>
      <c r="CX805" s="54"/>
      <c r="CY805" s="54"/>
      <c r="CZ805" s="54"/>
      <c r="DA805" s="54"/>
      <c r="DB805" s="54"/>
      <c r="DC805" s="54"/>
      <c r="DD805" s="54"/>
      <c r="DE805" s="54"/>
      <c r="DF805" s="54"/>
      <c r="DG805" s="54"/>
      <c r="DH805" s="54"/>
      <c r="DI805" s="54"/>
      <c r="DJ805" s="54"/>
      <c r="DK805" s="54"/>
      <c r="DL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  <c r="CW806" s="54"/>
      <c r="CX806" s="54"/>
      <c r="CY806" s="54"/>
      <c r="CZ806" s="54"/>
      <c r="DA806" s="54"/>
      <c r="DB806" s="54"/>
      <c r="DC806" s="54"/>
      <c r="DD806" s="54"/>
      <c r="DE806" s="54"/>
      <c r="DF806" s="54"/>
      <c r="DG806" s="54"/>
      <c r="DH806" s="54"/>
      <c r="DI806" s="54"/>
      <c r="DJ806" s="54"/>
      <c r="DK806" s="54"/>
      <c r="DL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  <c r="CW807" s="54"/>
      <c r="CX807" s="54"/>
      <c r="CY807" s="54"/>
      <c r="CZ807" s="54"/>
      <c r="DA807" s="54"/>
      <c r="DB807" s="54"/>
      <c r="DC807" s="54"/>
      <c r="DD807" s="54"/>
      <c r="DE807" s="54"/>
      <c r="DF807" s="54"/>
      <c r="DG807" s="54"/>
      <c r="DH807" s="54"/>
      <c r="DI807" s="54"/>
      <c r="DJ807" s="54"/>
      <c r="DK807" s="54"/>
      <c r="DL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  <c r="CW808" s="54"/>
      <c r="CX808" s="54"/>
      <c r="CY808" s="54"/>
      <c r="CZ808" s="54"/>
      <c r="DA808" s="54"/>
      <c r="DB808" s="54"/>
      <c r="DC808" s="54"/>
      <c r="DD808" s="54"/>
      <c r="DE808" s="54"/>
      <c r="DF808" s="54"/>
      <c r="DG808" s="54"/>
      <c r="DH808" s="54"/>
      <c r="DI808" s="54"/>
      <c r="DJ808" s="54"/>
      <c r="DK808" s="54"/>
      <c r="DL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  <c r="CW809" s="54"/>
      <c r="CX809" s="54"/>
      <c r="CY809" s="54"/>
      <c r="CZ809" s="54"/>
      <c r="DA809" s="54"/>
      <c r="DB809" s="54"/>
      <c r="DC809" s="54"/>
      <c r="DD809" s="54"/>
      <c r="DE809" s="54"/>
      <c r="DF809" s="54"/>
      <c r="DG809" s="54"/>
      <c r="DH809" s="54"/>
      <c r="DI809" s="54"/>
      <c r="DJ809" s="54"/>
      <c r="DK809" s="54"/>
      <c r="DL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  <c r="CW810" s="54"/>
      <c r="CX810" s="54"/>
      <c r="CY810" s="54"/>
      <c r="CZ810" s="54"/>
      <c r="DA810" s="54"/>
      <c r="DB810" s="54"/>
      <c r="DC810" s="54"/>
      <c r="DD810" s="54"/>
      <c r="DE810" s="54"/>
      <c r="DF810" s="54"/>
      <c r="DG810" s="54"/>
      <c r="DH810" s="54"/>
      <c r="DI810" s="54"/>
      <c r="DJ810" s="54"/>
      <c r="DK810" s="54"/>
      <c r="DL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  <c r="CW884" s="54"/>
      <c r="CX884" s="54"/>
      <c r="CY884" s="54"/>
      <c r="CZ884" s="54"/>
      <c r="DA884" s="54"/>
      <c r="DB884" s="54"/>
      <c r="DC884" s="54"/>
      <c r="DD884" s="54"/>
      <c r="DE884" s="54"/>
      <c r="DF884" s="54"/>
      <c r="DG884" s="54"/>
      <c r="DH884" s="54"/>
      <c r="DI884" s="54"/>
      <c r="DJ884" s="54"/>
      <c r="DK884" s="54"/>
      <c r="DL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  <c r="CW885" s="54"/>
      <c r="CX885" s="54"/>
      <c r="CY885" s="54"/>
      <c r="CZ885" s="54"/>
      <c r="DA885" s="54"/>
      <c r="DB885" s="54"/>
      <c r="DC885" s="54"/>
      <c r="DD885" s="54"/>
      <c r="DE885" s="54"/>
      <c r="DF885" s="54"/>
      <c r="DG885" s="54"/>
      <c r="DH885" s="54"/>
      <c r="DI885" s="54"/>
      <c r="DJ885" s="54"/>
      <c r="DK885" s="54"/>
      <c r="DL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  <c r="CW886" s="54"/>
      <c r="CX886" s="54"/>
      <c r="CY886" s="54"/>
      <c r="CZ886" s="54"/>
      <c r="DA886" s="54"/>
      <c r="DB886" s="54"/>
      <c r="DC886" s="54"/>
      <c r="DD886" s="54"/>
      <c r="DE886" s="54"/>
      <c r="DF886" s="54"/>
      <c r="DG886" s="54"/>
      <c r="DH886" s="54"/>
      <c r="DI886" s="54"/>
      <c r="DJ886" s="54"/>
      <c r="DK886" s="54"/>
      <c r="DL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  <c r="CW887" s="54"/>
      <c r="CX887" s="54"/>
      <c r="CY887" s="54"/>
      <c r="CZ887" s="54"/>
      <c r="DA887" s="54"/>
      <c r="DB887" s="54"/>
      <c r="DC887" s="54"/>
      <c r="DD887" s="54"/>
      <c r="DE887" s="54"/>
      <c r="DF887" s="54"/>
      <c r="DG887" s="54"/>
      <c r="DH887" s="54"/>
      <c r="DI887" s="54"/>
      <c r="DJ887" s="54"/>
      <c r="DK887" s="54"/>
      <c r="DL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  <c r="CW888" s="54"/>
      <c r="CX888" s="54"/>
      <c r="CY888" s="54"/>
      <c r="CZ888" s="54"/>
      <c r="DA888" s="54"/>
      <c r="DB888" s="54"/>
      <c r="DC888" s="54"/>
      <c r="DD888" s="54"/>
      <c r="DE888" s="54"/>
      <c r="DF888" s="54"/>
      <c r="DG888" s="54"/>
      <c r="DH888" s="54"/>
      <c r="DI888" s="54"/>
      <c r="DJ888" s="54"/>
      <c r="DK888" s="54"/>
      <c r="DL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  <c r="CW889" s="54"/>
      <c r="CX889" s="54"/>
      <c r="CY889" s="54"/>
      <c r="CZ889" s="54"/>
      <c r="DA889" s="54"/>
      <c r="DB889" s="54"/>
      <c r="DC889" s="54"/>
      <c r="DD889" s="54"/>
      <c r="DE889" s="54"/>
      <c r="DF889" s="54"/>
      <c r="DG889" s="54"/>
      <c r="DH889" s="54"/>
      <c r="DI889" s="54"/>
      <c r="DJ889" s="54"/>
      <c r="DK889" s="54"/>
      <c r="DL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  <c r="CW890" s="54"/>
      <c r="CX890" s="54"/>
      <c r="CY890" s="54"/>
      <c r="CZ890" s="54"/>
      <c r="DA890" s="54"/>
      <c r="DB890" s="54"/>
      <c r="DC890" s="54"/>
      <c r="DD890" s="54"/>
      <c r="DE890" s="54"/>
      <c r="DF890" s="54"/>
      <c r="DG890" s="54"/>
      <c r="DH890" s="54"/>
      <c r="DI890" s="54"/>
      <c r="DJ890" s="54"/>
      <c r="DK890" s="54"/>
      <c r="DL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  <c r="CW891" s="54"/>
      <c r="CX891" s="54"/>
      <c r="CY891" s="54"/>
      <c r="CZ891" s="54"/>
      <c r="DA891" s="54"/>
      <c r="DB891" s="54"/>
      <c r="DC891" s="54"/>
      <c r="DD891" s="54"/>
      <c r="DE891" s="54"/>
      <c r="DF891" s="54"/>
      <c r="DG891" s="54"/>
      <c r="DH891" s="54"/>
      <c r="DI891" s="54"/>
      <c r="DJ891" s="54"/>
      <c r="DK891" s="54"/>
      <c r="DL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  <c r="CW892" s="54"/>
      <c r="CX892" s="54"/>
      <c r="CY892" s="54"/>
      <c r="CZ892" s="54"/>
      <c r="DA892" s="54"/>
      <c r="DB892" s="54"/>
      <c r="DC892" s="54"/>
      <c r="DD892" s="54"/>
      <c r="DE892" s="54"/>
      <c r="DF892" s="54"/>
      <c r="DG892" s="54"/>
      <c r="DH892" s="54"/>
      <c r="DI892" s="54"/>
      <c r="DJ892" s="54"/>
      <c r="DK892" s="54"/>
      <c r="DL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  <c r="CW893" s="54"/>
      <c r="CX893" s="54"/>
      <c r="CY893" s="54"/>
      <c r="CZ893" s="54"/>
      <c r="DA893" s="54"/>
      <c r="DB893" s="54"/>
      <c r="DC893" s="54"/>
      <c r="DD893" s="54"/>
      <c r="DE893" s="54"/>
      <c r="DF893" s="54"/>
      <c r="DG893" s="54"/>
      <c r="DH893" s="54"/>
      <c r="DI893" s="54"/>
      <c r="DJ893" s="54"/>
      <c r="DK893" s="54"/>
      <c r="DL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  <c r="CW894" s="54"/>
      <c r="CX894" s="54"/>
      <c r="CY894" s="54"/>
      <c r="CZ894" s="54"/>
      <c r="DA894" s="54"/>
      <c r="DB894" s="54"/>
      <c r="DC894" s="54"/>
      <c r="DD894" s="54"/>
      <c r="DE894" s="54"/>
      <c r="DF894" s="54"/>
      <c r="DG894" s="54"/>
      <c r="DH894" s="54"/>
      <c r="DI894" s="54"/>
      <c r="DJ894" s="54"/>
      <c r="DK894" s="54"/>
      <c r="DL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  <c r="CW895" s="54"/>
      <c r="CX895" s="54"/>
      <c r="CY895" s="54"/>
      <c r="CZ895" s="54"/>
      <c r="DA895" s="54"/>
      <c r="DB895" s="54"/>
      <c r="DC895" s="54"/>
      <c r="DD895" s="54"/>
      <c r="DE895" s="54"/>
      <c r="DF895" s="54"/>
      <c r="DG895" s="54"/>
      <c r="DH895" s="54"/>
      <c r="DI895" s="54"/>
      <c r="DJ895" s="54"/>
      <c r="DK895" s="54"/>
      <c r="DL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  <c r="CW896" s="54"/>
      <c r="CX896" s="54"/>
      <c r="CY896" s="54"/>
      <c r="CZ896" s="54"/>
      <c r="DA896" s="54"/>
      <c r="DB896" s="54"/>
      <c r="DC896" s="54"/>
      <c r="DD896" s="54"/>
      <c r="DE896" s="54"/>
      <c r="DF896" s="54"/>
      <c r="DG896" s="54"/>
      <c r="DH896" s="54"/>
      <c r="DI896" s="54"/>
      <c r="DJ896" s="54"/>
      <c r="DK896" s="54"/>
      <c r="DL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  <c r="CW897" s="54"/>
      <c r="CX897" s="54"/>
      <c r="CY897" s="54"/>
      <c r="CZ897" s="54"/>
      <c r="DA897" s="54"/>
      <c r="DB897" s="54"/>
      <c r="DC897" s="54"/>
      <c r="DD897" s="54"/>
      <c r="DE897" s="54"/>
      <c r="DF897" s="54"/>
      <c r="DG897" s="54"/>
      <c r="DH897" s="54"/>
      <c r="DI897" s="54"/>
      <c r="DJ897" s="54"/>
      <c r="DK897" s="54"/>
      <c r="DL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  <c r="CW898" s="54"/>
      <c r="CX898" s="54"/>
      <c r="CY898" s="54"/>
      <c r="CZ898" s="54"/>
      <c r="DA898" s="54"/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  <c r="CW899" s="54"/>
      <c r="CX899" s="54"/>
      <c r="CY899" s="54"/>
      <c r="CZ899" s="54"/>
      <c r="DA899" s="54"/>
      <c r="DB899" s="54"/>
      <c r="DC899" s="54"/>
      <c r="DD899" s="54"/>
      <c r="DE899" s="54"/>
      <c r="DF899" s="54"/>
      <c r="DG899" s="54"/>
      <c r="DH899" s="54"/>
      <c r="DI899" s="54"/>
      <c r="DJ899" s="54"/>
      <c r="DK899" s="54"/>
      <c r="DL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  <c r="CW900" s="54"/>
      <c r="CX900" s="54"/>
      <c r="CY900" s="54"/>
      <c r="CZ900" s="54"/>
      <c r="DA900" s="54"/>
      <c r="DB900" s="54"/>
      <c r="DC900" s="54"/>
      <c r="DD900" s="54"/>
      <c r="DE900" s="54"/>
      <c r="DF900" s="54"/>
      <c r="DG900" s="54"/>
      <c r="DH900" s="54"/>
      <c r="DI900" s="54"/>
      <c r="DJ900" s="54"/>
      <c r="DK900" s="54"/>
      <c r="DL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  <c r="CW901" s="54"/>
      <c r="CX901" s="54"/>
      <c r="CY901" s="54"/>
      <c r="CZ901" s="54"/>
      <c r="DA901" s="54"/>
      <c r="DB901" s="54"/>
      <c r="DC901" s="54"/>
      <c r="DD901" s="54"/>
      <c r="DE901" s="54"/>
      <c r="DF901" s="54"/>
      <c r="DG901" s="54"/>
      <c r="DH901" s="54"/>
      <c r="DI901" s="54"/>
      <c r="DJ901" s="54"/>
      <c r="DK901" s="54"/>
      <c r="DL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  <c r="CW902" s="54"/>
      <c r="CX902" s="54"/>
      <c r="CY902" s="54"/>
      <c r="CZ902" s="54"/>
      <c r="DA902" s="54"/>
      <c r="DB902" s="54"/>
      <c r="DC902" s="54"/>
      <c r="DD902" s="54"/>
      <c r="DE902" s="54"/>
      <c r="DF902" s="54"/>
      <c r="DG902" s="54"/>
      <c r="DH902" s="54"/>
      <c r="DI902" s="54"/>
      <c r="DJ902" s="54"/>
      <c r="DK902" s="54"/>
      <c r="DL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  <c r="CW903" s="54"/>
      <c r="CX903" s="54"/>
      <c r="CY903" s="54"/>
      <c r="CZ903" s="54"/>
      <c r="DA903" s="54"/>
      <c r="DB903" s="54"/>
      <c r="DC903" s="54"/>
      <c r="DD903" s="54"/>
      <c r="DE903" s="54"/>
      <c r="DF903" s="54"/>
      <c r="DG903" s="54"/>
      <c r="DH903" s="54"/>
      <c r="DI903" s="54"/>
      <c r="DJ903" s="54"/>
      <c r="DK903" s="54"/>
      <c r="DL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  <c r="CW904" s="54"/>
      <c r="CX904" s="54"/>
      <c r="CY904" s="54"/>
      <c r="CZ904" s="54"/>
      <c r="DA904" s="54"/>
      <c r="DB904" s="54"/>
      <c r="DC904" s="54"/>
      <c r="DD904" s="54"/>
      <c r="DE904" s="54"/>
      <c r="DF904" s="54"/>
      <c r="DG904" s="54"/>
      <c r="DH904" s="54"/>
      <c r="DI904" s="54"/>
      <c r="DJ904" s="54"/>
      <c r="DK904" s="54"/>
      <c r="DL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  <c r="CW905" s="54"/>
      <c r="CX905" s="54"/>
      <c r="CY905" s="54"/>
      <c r="CZ905" s="54"/>
      <c r="DA905" s="54"/>
      <c r="DB905" s="54"/>
      <c r="DC905" s="54"/>
      <c r="DD905" s="54"/>
      <c r="DE905" s="54"/>
      <c r="DF905" s="54"/>
      <c r="DG905" s="54"/>
      <c r="DH905" s="54"/>
      <c r="DI905" s="54"/>
      <c r="DJ905" s="54"/>
      <c r="DK905" s="54"/>
      <c r="DL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  <c r="CW906" s="54"/>
      <c r="CX906" s="54"/>
      <c r="CY906" s="54"/>
      <c r="CZ906" s="54"/>
      <c r="DA906" s="54"/>
      <c r="DB906" s="54"/>
      <c r="DC906" s="54"/>
      <c r="DD906" s="54"/>
      <c r="DE906" s="54"/>
      <c r="DF906" s="54"/>
      <c r="DG906" s="54"/>
      <c r="DH906" s="54"/>
      <c r="DI906" s="54"/>
      <c r="DJ906" s="54"/>
      <c r="DK906" s="54"/>
      <c r="DL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  <c r="CW907" s="54"/>
      <c r="CX907" s="54"/>
      <c r="CY907" s="54"/>
      <c r="CZ907" s="54"/>
      <c r="DA907" s="54"/>
      <c r="DB907" s="54"/>
      <c r="DC907" s="54"/>
      <c r="DD907" s="54"/>
      <c r="DE907" s="54"/>
      <c r="DF907" s="54"/>
      <c r="DG907" s="54"/>
      <c r="DH907" s="54"/>
      <c r="DI907" s="54"/>
      <c r="DJ907" s="54"/>
      <c r="DK907" s="54"/>
      <c r="DL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  <c r="CW908" s="54"/>
      <c r="CX908" s="54"/>
      <c r="CY908" s="54"/>
      <c r="CZ908" s="54"/>
      <c r="DA908" s="54"/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  <c r="CW909" s="54"/>
      <c r="CX909" s="54"/>
      <c r="CY909" s="54"/>
      <c r="CZ909" s="54"/>
      <c r="DA909" s="54"/>
      <c r="DB909" s="54"/>
      <c r="DC909" s="54"/>
      <c r="DD909" s="54"/>
      <c r="DE909" s="54"/>
      <c r="DF909" s="54"/>
      <c r="DG909" s="54"/>
      <c r="DH909" s="54"/>
      <c r="DI909" s="54"/>
      <c r="DJ909" s="54"/>
      <c r="DK909" s="54"/>
      <c r="DL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  <c r="CW910" s="54"/>
      <c r="CX910" s="54"/>
      <c r="CY910" s="54"/>
      <c r="CZ910" s="54"/>
      <c r="DA910" s="54"/>
      <c r="DB910" s="54"/>
      <c r="DC910" s="54"/>
      <c r="DD910" s="54"/>
      <c r="DE910" s="54"/>
      <c r="DF910" s="54"/>
      <c r="DG910" s="54"/>
      <c r="DH910" s="54"/>
      <c r="DI910" s="54"/>
      <c r="DJ910" s="54"/>
      <c r="DK910" s="54"/>
      <c r="DL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  <c r="CW911" s="54"/>
      <c r="CX911" s="54"/>
      <c r="CY911" s="54"/>
      <c r="CZ911" s="54"/>
      <c r="DA911" s="54"/>
      <c r="DB911" s="54"/>
      <c r="DC911" s="54"/>
      <c r="DD911" s="54"/>
      <c r="DE911" s="54"/>
      <c r="DF911" s="54"/>
      <c r="DG911" s="54"/>
      <c r="DH911" s="54"/>
      <c r="DI911" s="54"/>
      <c r="DJ911" s="54"/>
      <c r="DK911" s="54"/>
      <c r="DL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  <c r="CW912" s="54"/>
      <c r="CX912" s="54"/>
      <c r="CY912" s="54"/>
      <c r="CZ912" s="54"/>
      <c r="DA912" s="54"/>
      <c r="DB912" s="54"/>
      <c r="DC912" s="54"/>
      <c r="DD912" s="54"/>
      <c r="DE912" s="54"/>
      <c r="DF912" s="54"/>
      <c r="DG912" s="54"/>
      <c r="DH912" s="54"/>
      <c r="DI912" s="54"/>
      <c r="DJ912" s="54"/>
      <c r="DK912" s="54"/>
      <c r="DL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  <c r="CW913" s="54"/>
      <c r="CX913" s="54"/>
      <c r="CY913" s="54"/>
      <c r="CZ913" s="54"/>
      <c r="DA913" s="54"/>
      <c r="DB913" s="54"/>
      <c r="DC913" s="54"/>
      <c r="DD913" s="54"/>
      <c r="DE913" s="54"/>
      <c r="DF913" s="54"/>
      <c r="DG913" s="54"/>
      <c r="DH913" s="54"/>
      <c r="DI913" s="54"/>
      <c r="DJ913" s="54"/>
      <c r="DK913" s="54"/>
      <c r="DL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  <c r="CW914" s="54"/>
      <c r="CX914" s="54"/>
      <c r="CY914" s="54"/>
      <c r="CZ914" s="54"/>
      <c r="DA914" s="54"/>
      <c r="DB914" s="54"/>
      <c r="DC914" s="54"/>
      <c r="DD914" s="54"/>
      <c r="DE914" s="54"/>
      <c r="DF914" s="54"/>
      <c r="DG914" s="54"/>
      <c r="DH914" s="54"/>
      <c r="DI914" s="54"/>
      <c r="DJ914" s="54"/>
      <c r="DK914" s="54"/>
      <c r="DL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  <c r="CW915" s="54"/>
      <c r="CX915" s="54"/>
      <c r="CY915" s="54"/>
      <c r="CZ915" s="54"/>
      <c r="DA915" s="54"/>
      <c r="DB915" s="54"/>
      <c r="DC915" s="54"/>
      <c r="DD915" s="54"/>
      <c r="DE915" s="54"/>
      <c r="DF915" s="54"/>
      <c r="DG915" s="54"/>
      <c r="DH915" s="54"/>
      <c r="DI915" s="54"/>
      <c r="DJ915" s="54"/>
      <c r="DK915" s="54"/>
      <c r="DL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  <c r="CW916" s="54"/>
      <c r="CX916" s="54"/>
      <c r="CY916" s="54"/>
      <c r="CZ916" s="54"/>
      <c r="DA916" s="54"/>
      <c r="DB916" s="54"/>
      <c r="DC916" s="54"/>
      <c r="DD916" s="54"/>
      <c r="DE916" s="54"/>
      <c r="DF916" s="54"/>
      <c r="DG916" s="54"/>
      <c r="DH916" s="54"/>
      <c r="DI916" s="54"/>
      <c r="DJ916" s="54"/>
      <c r="DK916" s="54"/>
      <c r="DL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  <c r="CW917" s="54"/>
      <c r="CX917" s="54"/>
      <c r="CY917" s="54"/>
      <c r="CZ917" s="54"/>
      <c r="DA917" s="54"/>
      <c r="DB917" s="54"/>
      <c r="DC917" s="54"/>
      <c r="DD917" s="54"/>
      <c r="DE917" s="54"/>
      <c r="DF917" s="54"/>
      <c r="DG917" s="54"/>
      <c r="DH917" s="54"/>
      <c r="DI917" s="54"/>
      <c r="DJ917" s="54"/>
      <c r="DK917" s="54"/>
      <c r="DL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  <c r="CW918" s="54"/>
      <c r="CX918" s="54"/>
      <c r="CY918" s="54"/>
      <c r="CZ918" s="54"/>
      <c r="DA918" s="54"/>
      <c r="DB918" s="54"/>
      <c r="DC918" s="54"/>
      <c r="DD918" s="54"/>
      <c r="DE918" s="54"/>
      <c r="DF918" s="54"/>
      <c r="DG918" s="54"/>
      <c r="DH918" s="54"/>
      <c r="DI918" s="54"/>
      <c r="DJ918" s="54"/>
      <c r="DK918" s="54"/>
      <c r="DL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  <c r="CW919" s="54"/>
      <c r="CX919" s="54"/>
      <c r="CY919" s="54"/>
      <c r="CZ919" s="54"/>
      <c r="DA919" s="54"/>
      <c r="DB919" s="54"/>
      <c r="DC919" s="54"/>
      <c r="DD919" s="54"/>
      <c r="DE919" s="54"/>
      <c r="DF919" s="54"/>
      <c r="DG919" s="54"/>
      <c r="DH919" s="54"/>
      <c r="DI919" s="54"/>
      <c r="DJ919" s="54"/>
      <c r="DK919" s="54"/>
      <c r="DL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  <c r="CW920" s="54"/>
      <c r="CX920" s="54"/>
      <c r="CY920" s="54"/>
      <c r="CZ920" s="54"/>
      <c r="DA920" s="54"/>
      <c r="DB920" s="54"/>
      <c r="DC920" s="54"/>
      <c r="DD920" s="54"/>
      <c r="DE920" s="54"/>
      <c r="DF920" s="54"/>
      <c r="DG920" s="54"/>
      <c r="DH920" s="54"/>
      <c r="DI920" s="54"/>
      <c r="DJ920" s="54"/>
      <c r="DK920" s="54"/>
      <c r="DL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  <c r="CW921" s="54"/>
      <c r="CX921" s="54"/>
      <c r="CY921" s="54"/>
      <c r="CZ921" s="54"/>
      <c r="DA921" s="54"/>
      <c r="DB921" s="54"/>
      <c r="DC921" s="54"/>
      <c r="DD921" s="54"/>
      <c r="DE921" s="54"/>
      <c r="DF921" s="54"/>
      <c r="DG921" s="54"/>
      <c r="DH921" s="54"/>
      <c r="DI921" s="54"/>
      <c r="DJ921" s="54"/>
      <c r="DK921" s="54"/>
      <c r="DL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  <c r="CW922" s="54"/>
      <c r="CX922" s="54"/>
      <c r="CY922" s="54"/>
      <c r="CZ922" s="54"/>
      <c r="DA922" s="54"/>
      <c r="DB922" s="54"/>
      <c r="DC922" s="54"/>
      <c r="DD922" s="54"/>
      <c r="DE922" s="54"/>
      <c r="DF922" s="54"/>
      <c r="DG922" s="54"/>
      <c r="DH922" s="54"/>
      <c r="DI922" s="54"/>
      <c r="DJ922" s="54"/>
      <c r="DK922" s="54"/>
      <c r="DL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  <c r="CW923" s="54"/>
      <c r="CX923" s="54"/>
      <c r="CY923" s="54"/>
      <c r="CZ923" s="54"/>
      <c r="DA923" s="54"/>
      <c r="DB923" s="54"/>
      <c r="DC923" s="54"/>
      <c r="DD923" s="54"/>
      <c r="DE923" s="54"/>
      <c r="DF923" s="54"/>
      <c r="DG923" s="54"/>
      <c r="DH923" s="54"/>
      <c r="DI923" s="54"/>
      <c r="DJ923" s="54"/>
      <c r="DK923" s="54"/>
      <c r="DL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  <c r="CW924" s="54"/>
      <c r="CX924" s="54"/>
      <c r="CY924" s="54"/>
      <c r="CZ924" s="54"/>
      <c r="DA924" s="54"/>
      <c r="DB924" s="54"/>
      <c r="DC924" s="54"/>
      <c r="DD924" s="54"/>
      <c r="DE924" s="54"/>
      <c r="DF924" s="54"/>
      <c r="DG924" s="54"/>
      <c r="DH924" s="54"/>
      <c r="DI924" s="54"/>
      <c r="DJ924" s="54"/>
      <c r="DK924" s="54"/>
      <c r="DL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  <c r="CW925" s="54"/>
      <c r="CX925" s="54"/>
      <c r="CY925" s="54"/>
      <c r="CZ925" s="54"/>
      <c r="DA925" s="54"/>
      <c r="DB925" s="54"/>
      <c r="DC925" s="54"/>
      <c r="DD925" s="54"/>
      <c r="DE925" s="54"/>
      <c r="DF925" s="54"/>
      <c r="DG925" s="54"/>
      <c r="DH925" s="54"/>
      <c r="DI925" s="54"/>
      <c r="DJ925" s="54"/>
      <c r="DK925" s="54"/>
      <c r="DL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  <c r="CW926" s="54"/>
      <c r="CX926" s="54"/>
      <c r="CY926" s="54"/>
      <c r="CZ926" s="54"/>
      <c r="DA926" s="54"/>
      <c r="DB926" s="54"/>
      <c r="DC926" s="54"/>
      <c r="DD926" s="54"/>
      <c r="DE926" s="54"/>
      <c r="DF926" s="54"/>
      <c r="DG926" s="54"/>
      <c r="DH926" s="54"/>
      <c r="DI926" s="54"/>
      <c r="DJ926" s="54"/>
      <c r="DK926" s="54"/>
      <c r="DL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  <c r="CW927" s="54"/>
      <c r="CX927" s="54"/>
      <c r="CY927" s="54"/>
      <c r="CZ927" s="54"/>
      <c r="DA927" s="54"/>
      <c r="DB927" s="54"/>
      <c r="DC927" s="54"/>
      <c r="DD927" s="54"/>
      <c r="DE927" s="54"/>
      <c r="DF927" s="54"/>
      <c r="DG927" s="54"/>
      <c r="DH927" s="54"/>
      <c r="DI927" s="54"/>
      <c r="DJ927" s="54"/>
      <c r="DK927" s="54"/>
      <c r="DL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  <c r="CW928" s="54"/>
      <c r="CX928" s="54"/>
      <c r="CY928" s="54"/>
      <c r="CZ928" s="54"/>
      <c r="DA928" s="54"/>
      <c r="DB928" s="54"/>
      <c r="DC928" s="54"/>
      <c r="DD928" s="54"/>
      <c r="DE928" s="54"/>
      <c r="DF928" s="54"/>
      <c r="DG928" s="54"/>
      <c r="DH928" s="54"/>
      <c r="DI928" s="54"/>
      <c r="DJ928" s="54"/>
      <c r="DK928" s="54"/>
      <c r="DL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  <c r="CW929" s="54"/>
      <c r="CX929" s="54"/>
      <c r="CY929" s="54"/>
      <c r="CZ929" s="54"/>
      <c r="DA929" s="54"/>
      <c r="DB929" s="54"/>
      <c r="DC929" s="54"/>
      <c r="DD929" s="54"/>
      <c r="DE929" s="54"/>
      <c r="DF929" s="54"/>
      <c r="DG929" s="54"/>
      <c r="DH929" s="54"/>
      <c r="DI929" s="54"/>
      <c r="DJ929" s="54"/>
      <c r="DK929" s="54"/>
      <c r="DL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  <c r="CW930" s="54"/>
      <c r="CX930" s="54"/>
      <c r="CY930" s="54"/>
      <c r="CZ930" s="54"/>
      <c r="DA930" s="54"/>
      <c r="DB930" s="54"/>
      <c r="DC930" s="54"/>
      <c r="DD930" s="54"/>
      <c r="DE930" s="54"/>
      <c r="DF930" s="54"/>
      <c r="DG930" s="54"/>
      <c r="DH930" s="54"/>
      <c r="DI930" s="54"/>
      <c r="DJ930" s="54"/>
      <c r="DK930" s="54"/>
      <c r="DL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  <c r="CW931" s="54"/>
      <c r="CX931" s="54"/>
      <c r="CY931" s="54"/>
      <c r="CZ931" s="54"/>
      <c r="DA931" s="54"/>
      <c r="DB931" s="54"/>
      <c r="DC931" s="54"/>
      <c r="DD931" s="54"/>
      <c r="DE931" s="54"/>
      <c r="DF931" s="54"/>
      <c r="DG931" s="54"/>
      <c r="DH931" s="54"/>
      <c r="DI931" s="54"/>
      <c r="DJ931" s="54"/>
      <c r="DK931" s="54"/>
      <c r="DL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  <c r="CW932" s="54"/>
      <c r="CX932" s="54"/>
      <c r="CY932" s="54"/>
      <c r="CZ932" s="54"/>
      <c r="DA932" s="54"/>
      <c r="DB932" s="54"/>
      <c r="DC932" s="54"/>
      <c r="DD932" s="54"/>
      <c r="DE932" s="54"/>
      <c r="DF932" s="54"/>
      <c r="DG932" s="54"/>
      <c r="DH932" s="54"/>
      <c r="DI932" s="54"/>
      <c r="DJ932" s="54"/>
      <c r="DK932" s="54"/>
      <c r="DL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  <c r="CW933" s="54"/>
      <c r="CX933" s="54"/>
      <c r="CY933" s="54"/>
      <c r="CZ933" s="54"/>
      <c r="DA933" s="54"/>
      <c r="DB933" s="54"/>
      <c r="DC933" s="54"/>
      <c r="DD933" s="54"/>
      <c r="DE933" s="54"/>
      <c r="DF933" s="54"/>
      <c r="DG933" s="54"/>
      <c r="DH933" s="54"/>
      <c r="DI933" s="54"/>
      <c r="DJ933" s="54"/>
      <c r="DK933" s="54"/>
      <c r="DL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  <c r="CW934" s="54"/>
      <c r="CX934" s="54"/>
      <c r="CY934" s="54"/>
      <c r="CZ934" s="54"/>
      <c r="DA934" s="54"/>
      <c r="DB934" s="54"/>
      <c r="DC934" s="54"/>
      <c r="DD934" s="54"/>
      <c r="DE934" s="54"/>
      <c r="DF934" s="54"/>
      <c r="DG934" s="54"/>
      <c r="DH934" s="54"/>
      <c r="DI934" s="54"/>
      <c r="DJ934" s="54"/>
      <c r="DK934" s="54"/>
      <c r="DL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  <c r="CW935" s="54"/>
      <c r="CX935" s="54"/>
      <c r="CY935" s="54"/>
      <c r="CZ935" s="54"/>
      <c r="DA935" s="54"/>
      <c r="DB935" s="54"/>
      <c r="DC935" s="54"/>
      <c r="DD935" s="54"/>
      <c r="DE935" s="54"/>
      <c r="DF935" s="54"/>
      <c r="DG935" s="54"/>
      <c r="DH935" s="54"/>
      <c r="DI935" s="54"/>
      <c r="DJ935" s="54"/>
      <c r="DK935" s="54"/>
      <c r="DL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  <c r="CW936" s="54"/>
      <c r="CX936" s="54"/>
      <c r="CY936" s="54"/>
      <c r="CZ936" s="54"/>
      <c r="DA936" s="54"/>
      <c r="DB936" s="54"/>
      <c r="DC936" s="54"/>
      <c r="DD936" s="54"/>
      <c r="DE936" s="54"/>
      <c r="DF936" s="54"/>
      <c r="DG936" s="54"/>
      <c r="DH936" s="54"/>
      <c r="DI936" s="54"/>
      <c r="DJ936" s="54"/>
      <c r="DK936" s="54"/>
      <c r="DL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  <c r="CW937" s="54"/>
      <c r="CX937" s="54"/>
      <c r="CY937" s="54"/>
      <c r="CZ937" s="54"/>
      <c r="DA937" s="54"/>
      <c r="DB937" s="54"/>
      <c r="DC937" s="54"/>
      <c r="DD937" s="54"/>
      <c r="DE937" s="54"/>
      <c r="DF937" s="54"/>
      <c r="DG937" s="54"/>
      <c r="DH937" s="54"/>
      <c r="DI937" s="54"/>
      <c r="DJ937" s="54"/>
      <c r="DK937" s="54"/>
      <c r="DL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  <c r="CW938" s="54"/>
      <c r="CX938" s="54"/>
      <c r="CY938" s="54"/>
      <c r="CZ938" s="54"/>
      <c r="DA938" s="54"/>
      <c r="DB938" s="54"/>
      <c r="DC938" s="54"/>
      <c r="DD938" s="54"/>
      <c r="DE938" s="54"/>
      <c r="DF938" s="54"/>
      <c r="DG938" s="54"/>
      <c r="DH938" s="54"/>
      <c r="DI938" s="54"/>
      <c r="DJ938" s="54"/>
      <c r="DK938" s="54"/>
      <c r="DL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  <c r="CW939" s="54"/>
      <c r="CX939" s="54"/>
      <c r="CY939" s="54"/>
      <c r="CZ939" s="54"/>
      <c r="DA939" s="54"/>
      <c r="DB939" s="54"/>
      <c r="DC939" s="54"/>
      <c r="DD939" s="54"/>
      <c r="DE939" s="54"/>
      <c r="DF939" s="54"/>
      <c r="DG939" s="54"/>
      <c r="DH939" s="54"/>
      <c r="DI939" s="54"/>
      <c r="DJ939" s="54"/>
      <c r="DK939" s="54"/>
      <c r="DL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  <c r="CW940" s="54"/>
      <c r="CX940" s="54"/>
      <c r="CY940" s="54"/>
      <c r="CZ940" s="54"/>
      <c r="DA940" s="54"/>
      <c r="DB940" s="54"/>
      <c r="DC940" s="54"/>
      <c r="DD940" s="54"/>
      <c r="DE940" s="54"/>
      <c r="DF940" s="54"/>
      <c r="DG940" s="54"/>
      <c r="DH940" s="54"/>
      <c r="DI940" s="54"/>
      <c r="DJ940" s="54"/>
      <c r="DK940" s="54"/>
      <c r="DL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  <c r="CW941" s="54"/>
      <c r="CX941" s="54"/>
      <c r="CY941" s="54"/>
      <c r="CZ941" s="54"/>
      <c r="DA941" s="54"/>
      <c r="DB941" s="54"/>
      <c r="DC941" s="54"/>
      <c r="DD941" s="54"/>
      <c r="DE941" s="54"/>
      <c r="DF941" s="54"/>
      <c r="DG941" s="54"/>
      <c r="DH941" s="54"/>
      <c r="DI941" s="54"/>
      <c r="DJ941" s="54"/>
      <c r="DK941" s="54"/>
      <c r="DL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  <c r="CW942" s="54"/>
      <c r="CX942" s="54"/>
      <c r="CY942" s="54"/>
      <c r="CZ942" s="54"/>
      <c r="DA942" s="54"/>
      <c r="DB942" s="54"/>
      <c r="DC942" s="54"/>
      <c r="DD942" s="54"/>
      <c r="DE942" s="54"/>
      <c r="DF942" s="54"/>
      <c r="DG942" s="54"/>
      <c r="DH942" s="54"/>
      <c r="DI942" s="54"/>
      <c r="DJ942" s="54"/>
      <c r="DK942" s="54"/>
      <c r="DL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  <c r="CW943" s="54"/>
      <c r="CX943" s="54"/>
      <c r="CY943" s="54"/>
      <c r="CZ943" s="54"/>
      <c r="DA943" s="54"/>
      <c r="DB943" s="54"/>
      <c r="DC943" s="54"/>
      <c r="DD943" s="54"/>
      <c r="DE943" s="54"/>
      <c r="DF943" s="54"/>
      <c r="DG943" s="54"/>
      <c r="DH943" s="54"/>
      <c r="DI943" s="54"/>
      <c r="DJ943" s="54"/>
      <c r="DK943" s="54"/>
      <c r="DL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  <c r="CW944" s="54"/>
      <c r="CX944" s="54"/>
      <c r="CY944" s="54"/>
      <c r="CZ944" s="54"/>
      <c r="DA944" s="54"/>
      <c r="DB944" s="54"/>
      <c r="DC944" s="54"/>
      <c r="DD944" s="54"/>
      <c r="DE944" s="54"/>
      <c r="DF944" s="54"/>
      <c r="DG944" s="54"/>
      <c r="DH944" s="54"/>
      <c r="DI944" s="54"/>
      <c r="DJ944" s="54"/>
      <c r="DK944" s="54"/>
      <c r="DL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  <c r="CW945" s="54"/>
      <c r="CX945" s="54"/>
      <c r="CY945" s="54"/>
      <c r="CZ945" s="54"/>
      <c r="DA945" s="54"/>
      <c r="DB945" s="54"/>
      <c r="DC945" s="54"/>
      <c r="DD945" s="54"/>
      <c r="DE945" s="54"/>
      <c r="DF945" s="54"/>
      <c r="DG945" s="54"/>
      <c r="DH945" s="54"/>
      <c r="DI945" s="54"/>
      <c r="DJ945" s="54"/>
      <c r="DK945" s="54"/>
      <c r="DL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  <c r="CW946" s="54"/>
      <c r="CX946" s="54"/>
      <c r="CY946" s="54"/>
      <c r="CZ946" s="54"/>
      <c r="DA946" s="54"/>
      <c r="DB946" s="54"/>
      <c r="DC946" s="54"/>
      <c r="DD946" s="54"/>
      <c r="DE946" s="54"/>
      <c r="DF946" s="54"/>
      <c r="DG946" s="54"/>
      <c r="DH946" s="54"/>
      <c r="DI946" s="54"/>
      <c r="DJ946" s="54"/>
      <c r="DK946" s="54"/>
      <c r="DL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  <c r="CW947" s="54"/>
      <c r="CX947" s="54"/>
      <c r="CY947" s="54"/>
      <c r="CZ947" s="54"/>
      <c r="DA947" s="54"/>
      <c r="DB947" s="54"/>
      <c r="DC947" s="54"/>
      <c r="DD947" s="54"/>
      <c r="DE947" s="54"/>
      <c r="DF947" s="54"/>
      <c r="DG947" s="54"/>
      <c r="DH947" s="54"/>
      <c r="DI947" s="54"/>
      <c r="DJ947" s="54"/>
      <c r="DK947" s="54"/>
      <c r="DL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  <c r="CW948" s="54"/>
      <c r="CX948" s="54"/>
      <c r="CY948" s="54"/>
      <c r="CZ948" s="54"/>
      <c r="DA948" s="54"/>
      <c r="DB948" s="54"/>
      <c r="DC948" s="54"/>
      <c r="DD948" s="54"/>
      <c r="DE948" s="54"/>
      <c r="DF948" s="54"/>
      <c r="DG948" s="54"/>
      <c r="DH948" s="54"/>
      <c r="DI948" s="54"/>
      <c r="DJ948" s="54"/>
      <c r="DK948" s="54"/>
      <c r="DL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  <c r="CW949" s="54"/>
      <c r="CX949" s="54"/>
      <c r="CY949" s="54"/>
      <c r="CZ949" s="54"/>
      <c r="DA949" s="54"/>
      <c r="DB949" s="54"/>
      <c r="DC949" s="54"/>
      <c r="DD949" s="54"/>
      <c r="DE949" s="54"/>
      <c r="DF949" s="54"/>
      <c r="DG949" s="54"/>
      <c r="DH949" s="54"/>
      <c r="DI949" s="54"/>
      <c r="DJ949" s="54"/>
      <c r="DK949" s="54"/>
      <c r="DL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  <c r="CW950" s="54"/>
      <c r="CX950" s="54"/>
      <c r="CY950" s="54"/>
      <c r="CZ950" s="54"/>
      <c r="DA950" s="54"/>
      <c r="DB950" s="54"/>
      <c r="DC950" s="54"/>
      <c r="DD950" s="54"/>
      <c r="DE950" s="54"/>
      <c r="DF950" s="54"/>
      <c r="DG950" s="54"/>
      <c r="DH950" s="54"/>
      <c r="DI950" s="54"/>
      <c r="DJ950" s="54"/>
      <c r="DK950" s="54"/>
      <c r="DL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  <c r="CW951" s="54"/>
      <c r="CX951" s="54"/>
      <c r="CY951" s="54"/>
      <c r="CZ951" s="54"/>
      <c r="DA951" s="54"/>
      <c r="DB951" s="54"/>
      <c r="DC951" s="54"/>
      <c r="DD951" s="54"/>
      <c r="DE951" s="54"/>
      <c r="DF951" s="54"/>
      <c r="DG951" s="54"/>
      <c r="DH951" s="54"/>
      <c r="DI951" s="54"/>
      <c r="DJ951" s="54"/>
      <c r="DK951" s="54"/>
      <c r="DL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  <c r="CW952" s="54"/>
      <c r="CX952" s="54"/>
      <c r="CY952" s="54"/>
      <c r="CZ952" s="54"/>
      <c r="DA952" s="54"/>
      <c r="DB952" s="54"/>
      <c r="DC952" s="54"/>
      <c r="DD952" s="54"/>
      <c r="DE952" s="54"/>
      <c r="DF952" s="54"/>
      <c r="DG952" s="54"/>
      <c r="DH952" s="54"/>
      <c r="DI952" s="54"/>
      <c r="DJ952" s="54"/>
      <c r="DK952" s="54"/>
      <c r="DL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  <c r="CW953" s="54"/>
      <c r="CX953" s="54"/>
      <c r="CY953" s="54"/>
      <c r="CZ953" s="54"/>
      <c r="DA953" s="54"/>
      <c r="DB953" s="54"/>
      <c r="DC953" s="54"/>
      <c r="DD953" s="54"/>
      <c r="DE953" s="54"/>
      <c r="DF953" s="54"/>
      <c r="DG953" s="54"/>
      <c r="DH953" s="54"/>
      <c r="DI953" s="54"/>
      <c r="DJ953" s="54"/>
      <c r="DK953" s="54"/>
      <c r="DL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  <c r="CW954" s="54"/>
      <c r="CX954" s="54"/>
      <c r="CY954" s="54"/>
      <c r="CZ954" s="54"/>
      <c r="DA954" s="54"/>
      <c r="DB954" s="54"/>
      <c r="DC954" s="54"/>
      <c r="DD954" s="54"/>
      <c r="DE954" s="54"/>
      <c r="DF954" s="54"/>
      <c r="DG954" s="54"/>
      <c r="DH954" s="54"/>
      <c r="DI954" s="54"/>
      <c r="DJ954" s="54"/>
      <c r="DK954" s="54"/>
      <c r="DL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  <c r="CW955" s="54"/>
      <c r="CX955" s="54"/>
      <c r="CY955" s="54"/>
      <c r="CZ955" s="54"/>
      <c r="DA955" s="54"/>
      <c r="DB955" s="54"/>
      <c r="DC955" s="54"/>
      <c r="DD955" s="54"/>
      <c r="DE955" s="54"/>
      <c r="DF955" s="54"/>
      <c r="DG955" s="54"/>
      <c r="DH955" s="54"/>
      <c r="DI955" s="54"/>
      <c r="DJ955" s="54"/>
      <c r="DK955" s="54"/>
      <c r="DL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  <c r="CW956" s="54"/>
      <c r="CX956" s="54"/>
      <c r="CY956" s="54"/>
      <c r="CZ956" s="54"/>
      <c r="DA956" s="54"/>
      <c r="DB956" s="54"/>
      <c r="DC956" s="54"/>
      <c r="DD956" s="54"/>
      <c r="DE956" s="54"/>
      <c r="DF956" s="54"/>
      <c r="DG956" s="54"/>
      <c r="DH956" s="54"/>
      <c r="DI956" s="54"/>
      <c r="DJ956" s="54"/>
      <c r="DK956" s="54"/>
      <c r="DL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  <c r="CW957" s="54"/>
      <c r="CX957" s="54"/>
      <c r="CY957" s="54"/>
      <c r="CZ957" s="54"/>
      <c r="DA957" s="54"/>
      <c r="DB957" s="54"/>
      <c r="DC957" s="54"/>
      <c r="DD957" s="54"/>
      <c r="DE957" s="54"/>
      <c r="DF957" s="54"/>
      <c r="DG957" s="54"/>
      <c r="DH957" s="54"/>
      <c r="DI957" s="54"/>
      <c r="DJ957" s="54"/>
      <c r="DK957" s="54"/>
      <c r="DL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  <c r="CW958" s="54"/>
      <c r="CX958" s="54"/>
      <c r="CY958" s="54"/>
      <c r="CZ958" s="54"/>
      <c r="DA958" s="54"/>
      <c r="DB958" s="54"/>
      <c r="DC958" s="54"/>
      <c r="DD958" s="54"/>
      <c r="DE958" s="54"/>
      <c r="DF958" s="54"/>
      <c r="DG958" s="54"/>
      <c r="DH958" s="54"/>
      <c r="DI958" s="54"/>
      <c r="DJ958" s="54"/>
      <c r="DK958" s="54"/>
      <c r="DL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  <c r="CW959" s="54"/>
      <c r="CX959" s="54"/>
      <c r="CY959" s="54"/>
      <c r="CZ959" s="54"/>
      <c r="DA959" s="54"/>
      <c r="DB959" s="54"/>
      <c r="DC959" s="54"/>
      <c r="DD959" s="54"/>
      <c r="DE959" s="54"/>
      <c r="DF959" s="54"/>
      <c r="DG959" s="54"/>
      <c r="DH959" s="54"/>
      <c r="DI959" s="54"/>
      <c r="DJ959" s="54"/>
      <c r="DK959" s="54"/>
      <c r="DL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  <c r="CW960" s="54"/>
      <c r="CX960" s="54"/>
      <c r="CY960" s="54"/>
      <c r="CZ960" s="54"/>
      <c r="DA960" s="54"/>
      <c r="DB960" s="54"/>
      <c r="DC960" s="54"/>
      <c r="DD960" s="54"/>
      <c r="DE960" s="54"/>
      <c r="DF960" s="54"/>
      <c r="DG960" s="54"/>
      <c r="DH960" s="54"/>
      <c r="DI960" s="54"/>
      <c r="DJ960" s="54"/>
      <c r="DK960" s="54"/>
      <c r="DL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  <c r="CW961" s="54"/>
      <c r="CX961" s="54"/>
      <c r="CY961" s="54"/>
      <c r="CZ961" s="54"/>
      <c r="DA961" s="54"/>
      <c r="DB961" s="54"/>
      <c r="DC961" s="54"/>
      <c r="DD961" s="54"/>
      <c r="DE961" s="54"/>
      <c r="DF961" s="54"/>
      <c r="DG961" s="54"/>
      <c r="DH961" s="54"/>
      <c r="DI961" s="54"/>
      <c r="DJ961" s="54"/>
      <c r="DK961" s="54"/>
      <c r="DL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  <c r="CW962" s="54"/>
      <c r="CX962" s="54"/>
      <c r="CY962" s="54"/>
      <c r="CZ962" s="54"/>
      <c r="DA962" s="54"/>
      <c r="DB962" s="54"/>
      <c r="DC962" s="54"/>
      <c r="DD962" s="54"/>
      <c r="DE962" s="54"/>
      <c r="DF962" s="54"/>
      <c r="DG962" s="54"/>
      <c r="DH962" s="54"/>
      <c r="DI962" s="54"/>
      <c r="DJ962" s="54"/>
      <c r="DK962" s="54"/>
      <c r="DL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  <c r="CW963" s="54"/>
      <c r="CX963" s="54"/>
      <c r="CY963" s="54"/>
      <c r="CZ963" s="54"/>
      <c r="DA963" s="54"/>
      <c r="DB963" s="54"/>
      <c r="DC963" s="54"/>
      <c r="DD963" s="54"/>
      <c r="DE963" s="54"/>
      <c r="DF963" s="54"/>
      <c r="DG963" s="54"/>
      <c r="DH963" s="54"/>
      <c r="DI963" s="54"/>
      <c r="DJ963" s="54"/>
      <c r="DK963" s="54"/>
      <c r="DL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  <c r="CW964" s="54"/>
      <c r="CX964" s="54"/>
      <c r="CY964" s="54"/>
      <c r="CZ964" s="54"/>
      <c r="DA964" s="54"/>
      <c r="DB964" s="54"/>
      <c r="DC964" s="54"/>
      <c r="DD964" s="54"/>
      <c r="DE964" s="54"/>
      <c r="DF964" s="54"/>
      <c r="DG964" s="54"/>
      <c r="DH964" s="54"/>
      <c r="DI964" s="54"/>
      <c r="DJ964" s="54"/>
      <c r="DK964" s="54"/>
      <c r="DL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  <c r="CW965" s="54"/>
      <c r="CX965" s="54"/>
      <c r="CY965" s="54"/>
      <c r="CZ965" s="54"/>
      <c r="DA965" s="54"/>
      <c r="DB965" s="54"/>
      <c r="DC965" s="54"/>
      <c r="DD965" s="54"/>
      <c r="DE965" s="54"/>
      <c r="DF965" s="54"/>
      <c r="DG965" s="54"/>
      <c r="DH965" s="54"/>
      <c r="DI965" s="54"/>
      <c r="DJ965" s="54"/>
      <c r="DK965" s="54"/>
      <c r="DL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  <c r="CW966" s="54"/>
      <c r="CX966" s="54"/>
      <c r="CY966" s="54"/>
      <c r="CZ966" s="54"/>
      <c r="DA966" s="54"/>
      <c r="DB966" s="54"/>
      <c r="DC966" s="54"/>
      <c r="DD966" s="54"/>
      <c r="DE966" s="54"/>
      <c r="DF966" s="54"/>
      <c r="DG966" s="54"/>
      <c r="DH966" s="54"/>
      <c r="DI966" s="54"/>
      <c r="DJ966" s="54"/>
      <c r="DK966" s="54"/>
      <c r="DL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  <c r="CW967" s="54"/>
      <c r="CX967" s="54"/>
      <c r="CY967" s="54"/>
      <c r="CZ967" s="54"/>
      <c r="DA967" s="54"/>
      <c r="DB967" s="54"/>
      <c r="DC967" s="54"/>
      <c r="DD967" s="54"/>
      <c r="DE967" s="54"/>
      <c r="DF967" s="54"/>
      <c r="DG967" s="54"/>
      <c r="DH967" s="54"/>
      <c r="DI967" s="54"/>
      <c r="DJ967" s="54"/>
      <c r="DK967" s="54"/>
      <c r="DL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  <c r="CW968" s="54"/>
      <c r="CX968" s="54"/>
      <c r="CY968" s="54"/>
      <c r="CZ968" s="54"/>
      <c r="DA968" s="54"/>
      <c r="DB968" s="54"/>
      <c r="DC968" s="54"/>
      <c r="DD968" s="54"/>
      <c r="DE968" s="54"/>
      <c r="DF968" s="54"/>
      <c r="DG968" s="54"/>
      <c r="DH968" s="54"/>
      <c r="DI968" s="54"/>
      <c r="DJ968" s="54"/>
      <c r="DK968" s="54"/>
      <c r="DL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  <c r="CW969" s="54"/>
      <c r="CX969" s="54"/>
      <c r="CY969" s="54"/>
      <c r="CZ969" s="54"/>
      <c r="DA969" s="54"/>
      <c r="DB969" s="54"/>
      <c r="DC969" s="54"/>
      <c r="DD969" s="54"/>
      <c r="DE969" s="54"/>
      <c r="DF969" s="54"/>
      <c r="DG969" s="54"/>
      <c r="DH969" s="54"/>
      <c r="DI969" s="54"/>
      <c r="DJ969" s="54"/>
      <c r="DK969" s="54"/>
      <c r="DL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  <c r="CW970" s="54"/>
      <c r="CX970" s="54"/>
      <c r="CY970" s="54"/>
      <c r="CZ970" s="54"/>
      <c r="DA970" s="54"/>
      <c r="DB970" s="54"/>
      <c r="DC970" s="54"/>
      <c r="DD970" s="54"/>
      <c r="DE970" s="54"/>
      <c r="DF970" s="54"/>
      <c r="DG970" s="54"/>
      <c r="DH970" s="54"/>
      <c r="DI970" s="54"/>
      <c r="DJ970" s="54"/>
      <c r="DK970" s="54"/>
      <c r="DL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  <c r="CW971" s="54"/>
      <c r="CX971" s="54"/>
      <c r="CY971" s="54"/>
      <c r="CZ971" s="54"/>
      <c r="DA971" s="54"/>
      <c r="DB971" s="54"/>
      <c r="DC971" s="54"/>
      <c r="DD971" s="54"/>
      <c r="DE971" s="54"/>
      <c r="DF971" s="54"/>
      <c r="DG971" s="54"/>
      <c r="DH971" s="54"/>
      <c r="DI971" s="54"/>
      <c r="DJ971" s="54"/>
      <c r="DK971" s="54"/>
      <c r="DL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  <c r="CW972" s="54"/>
      <c r="CX972" s="54"/>
      <c r="CY972" s="54"/>
      <c r="CZ972" s="54"/>
      <c r="DA972" s="54"/>
      <c r="DB972" s="54"/>
      <c r="DC972" s="54"/>
      <c r="DD972" s="54"/>
      <c r="DE972" s="54"/>
      <c r="DF972" s="54"/>
      <c r="DG972" s="54"/>
      <c r="DH972" s="54"/>
      <c r="DI972" s="54"/>
      <c r="DJ972" s="54"/>
      <c r="DK972" s="54"/>
      <c r="DL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  <c r="CW973" s="54"/>
      <c r="CX973" s="54"/>
      <c r="CY973" s="54"/>
      <c r="CZ973" s="54"/>
      <c r="DA973" s="54"/>
      <c r="DB973" s="54"/>
      <c r="DC973" s="54"/>
      <c r="DD973" s="54"/>
      <c r="DE973" s="54"/>
      <c r="DF973" s="54"/>
      <c r="DG973" s="54"/>
      <c r="DH973" s="54"/>
      <c r="DI973" s="54"/>
      <c r="DJ973" s="54"/>
      <c r="DK973" s="54"/>
      <c r="DL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  <c r="CW974" s="54"/>
      <c r="CX974" s="54"/>
      <c r="CY974" s="54"/>
      <c r="CZ974" s="54"/>
      <c r="DA974" s="54"/>
      <c r="DB974" s="54"/>
      <c r="DC974" s="54"/>
      <c r="DD974" s="54"/>
      <c r="DE974" s="54"/>
      <c r="DF974" s="54"/>
      <c r="DG974" s="54"/>
      <c r="DH974" s="54"/>
      <c r="DI974" s="54"/>
      <c r="DJ974" s="54"/>
      <c r="DK974" s="54"/>
      <c r="DL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  <c r="CW975" s="54"/>
      <c r="CX975" s="54"/>
      <c r="CY975" s="54"/>
      <c r="CZ975" s="54"/>
      <c r="DA975" s="54"/>
      <c r="DB975" s="54"/>
      <c r="DC975" s="54"/>
      <c r="DD975" s="54"/>
      <c r="DE975" s="54"/>
      <c r="DF975" s="54"/>
      <c r="DG975" s="54"/>
      <c r="DH975" s="54"/>
      <c r="DI975" s="54"/>
      <c r="DJ975" s="54"/>
      <c r="DK975" s="54"/>
      <c r="DL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  <c r="CW976" s="54"/>
      <c r="CX976" s="54"/>
      <c r="CY976" s="54"/>
      <c r="CZ976" s="54"/>
      <c r="DA976" s="54"/>
      <c r="DB976" s="54"/>
      <c r="DC976" s="54"/>
      <c r="DD976" s="54"/>
      <c r="DE976" s="54"/>
      <c r="DF976" s="54"/>
      <c r="DG976" s="54"/>
      <c r="DH976" s="54"/>
      <c r="DI976" s="54"/>
      <c r="DJ976" s="54"/>
      <c r="DK976" s="54"/>
      <c r="DL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  <c r="CW977" s="54"/>
      <c r="CX977" s="54"/>
      <c r="CY977" s="54"/>
      <c r="CZ977" s="54"/>
      <c r="DA977" s="54"/>
      <c r="DB977" s="54"/>
      <c r="DC977" s="54"/>
      <c r="DD977" s="54"/>
      <c r="DE977" s="54"/>
      <c r="DF977" s="54"/>
      <c r="DG977" s="54"/>
      <c r="DH977" s="54"/>
      <c r="DI977" s="54"/>
      <c r="DJ977" s="54"/>
      <c r="DK977" s="54"/>
      <c r="DL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  <c r="CW978" s="54"/>
      <c r="CX978" s="54"/>
      <c r="CY978" s="54"/>
      <c r="CZ978" s="54"/>
      <c r="DA978" s="54"/>
      <c r="DB978" s="54"/>
      <c r="DC978" s="54"/>
      <c r="DD978" s="54"/>
      <c r="DE978" s="54"/>
      <c r="DF978" s="54"/>
      <c r="DG978" s="54"/>
      <c r="DH978" s="54"/>
      <c r="DI978" s="54"/>
      <c r="DJ978" s="54"/>
      <c r="DK978" s="54"/>
      <c r="DL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  <c r="CW979" s="54"/>
      <c r="CX979" s="54"/>
      <c r="CY979" s="54"/>
      <c r="CZ979" s="54"/>
      <c r="DA979" s="54"/>
      <c r="DB979" s="54"/>
      <c r="DC979" s="54"/>
      <c r="DD979" s="54"/>
      <c r="DE979" s="54"/>
      <c r="DF979" s="54"/>
      <c r="DG979" s="54"/>
      <c r="DH979" s="54"/>
      <c r="DI979" s="54"/>
      <c r="DJ979" s="54"/>
      <c r="DK979" s="54"/>
      <c r="DL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  <c r="CW980" s="54"/>
      <c r="CX980" s="54"/>
      <c r="CY980" s="54"/>
      <c r="CZ980" s="54"/>
      <c r="DA980" s="54"/>
      <c r="DB980" s="54"/>
      <c r="DC980" s="54"/>
      <c r="DD980" s="54"/>
      <c r="DE980" s="54"/>
      <c r="DF980" s="54"/>
      <c r="DG980" s="54"/>
      <c r="DH980" s="54"/>
      <c r="DI980" s="54"/>
      <c r="DJ980" s="54"/>
      <c r="DK980" s="54"/>
      <c r="DL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  <c r="CW981" s="54"/>
      <c r="CX981" s="54"/>
      <c r="CY981" s="54"/>
      <c r="CZ981" s="54"/>
      <c r="DA981" s="54"/>
      <c r="DB981" s="54"/>
      <c r="DC981" s="54"/>
      <c r="DD981" s="54"/>
      <c r="DE981" s="54"/>
      <c r="DF981" s="54"/>
      <c r="DG981" s="54"/>
      <c r="DH981" s="54"/>
      <c r="DI981" s="54"/>
      <c r="DJ981" s="54"/>
      <c r="DK981" s="54"/>
      <c r="DL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  <c r="CW982" s="54"/>
      <c r="CX982" s="54"/>
      <c r="CY982" s="54"/>
      <c r="CZ982" s="54"/>
      <c r="DA982" s="54"/>
      <c r="DB982" s="54"/>
      <c r="DC982" s="54"/>
      <c r="DD982" s="54"/>
      <c r="DE982" s="54"/>
      <c r="DF982" s="54"/>
      <c r="DG982" s="54"/>
      <c r="DH982" s="54"/>
      <c r="DI982" s="54"/>
      <c r="DJ982" s="54"/>
      <c r="DK982" s="54"/>
      <c r="DL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  <c r="CW983" s="54"/>
      <c r="CX983" s="54"/>
      <c r="CY983" s="54"/>
      <c r="CZ983" s="54"/>
      <c r="DA983" s="54"/>
      <c r="DB983" s="54"/>
      <c r="DC983" s="54"/>
      <c r="DD983" s="54"/>
      <c r="DE983" s="54"/>
      <c r="DF983" s="54"/>
      <c r="DG983" s="54"/>
      <c r="DH983" s="54"/>
      <c r="DI983" s="54"/>
      <c r="DJ983" s="54"/>
      <c r="DK983" s="54"/>
      <c r="DL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  <c r="CW984" s="54"/>
      <c r="CX984" s="54"/>
      <c r="CY984" s="54"/>
      <c r="CZ984" s="54"/>
      <c r="DA984" s="54"/>
      <c r="DB984" s="54"/>
      <c r="DC984" s="54"/>
      <c r="DD984" s="54"/>
      <c r="DE984" s="54"/>
      <c r="DF984" s="54"/>
      <c r="DG984" s="54"/>
      <c r="DH984" s="54"/>
      <c r="DI984" s="54"/>
      <c r="DJ984" s="54"/>
      <c r="DK984" s="54"/>
      <c r="DL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  <c r="CW985" s="54"/>
      <c r="CX985" s="54"/>
      <c r="CY985" s="54"/>
      <c r="CZ985" s="54"/>
      <c r="DA985" s="54"/>
      <c r="DB985" s="54"/>
      <c r="DC985" s="54"/>
      <c r="DD985" s="54"/>
      <c r="DE985" s="54"/>
      <c r="DF985" s="54"/>
      <c r="DG985" s="54"/>
      <c r="DH985" s="54"/>
      <c r="DI985" s="54"/>
      <c r="DJ985" s="54"/>
      <c r="DK985" s="54"/>
      <c r="DL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  <c r="CW986" s="54"/>
      <c r="CX986" s="54"/>
      <c r="CY986" s="54"/>
      <c r="CZ986" s="54"/>
      <c r="DA986" s="54"/>
      <c r="DB986" s="54"/>
      <c r="DC986" s="54"/>
      <c r="DD986" s="54"/>
      <c r="DE986" s="54"/>
      <c r="DF986" s="54"/>
      <c r="DG986" s="54"/>
      <c r="DH986" s="54"/>
      <c r="DI986" s="54"/>
      <c r="DJ986" s="54"/>
      <c r="DK986" s="54"/>
      <c r="DL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  <c r="CW987" s="54"/>
      <c r="CX987" s="54"/>
      <c r="CY987" s="54"/>
      <c r="CZ987" s="54"/>
      <c r="DA987" s="54"/>
      <c r="DB987" s="54"/>
      <c r="DC987" s="54"/>
      <c r="DD987" s="54"/>
      <c r="DE987" s="54"/>
      <c r="DF987" s="54"/>
      <c r="DG987" s="54"/>
      <c r="DH987" s="54"/>
      <c r="DI987" s="54"/>
      <c r="DJ987" s="54"/>
      <c r="DK987" s="54"/>
      <c r="DL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  <c r="CW988" s="54"/>
      <c r="CX988" s="54"/>
      <c r="CY988" s="54"/>
      <c r="CZ988" s="54"/>
      <c r="DA988" s="54"/>
      <c r="DB988" s="54"/>
      <c r="DC988" s="54"/>
      <c r="DD988" s="54"/>
      <c r="DE988" s="54"/>
      <c r="DF988" s="54"/>
      <c r="DG988" s="54"/>
      <c r="DH988" s="54"/>
      <c r="DI988" s="54"/>
      <c r="DJ988" s="54"/>
      <c r="DK988" s="54"/>
      <c r="DL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  <c r="CW989" s="54"/>
      <c r="CX989" s="54"/>
      <c r="CY989" s="54"/>
      <c r="CZ989" s="54"/>
      <c r="DA989" s="54"/>
      <c r="DB989" s="54"/>
      <c r="DC989" s="54"/>
      <c r="DD989" s="54"/>
      <c r="DE989" s="54"/>
      <c r="DF989" s="54"/>
      <c r="DG989" s="54"/>
      <c r="DH989" s="54"/>
      <c r="DI989" s="54"/>
      <c r="DJ989" s="54"/>
      <c r="DK989" s="54"/>
      <c r="DL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  <c r="CW990" s="54"/>
      <c r="CX990" s="54"/>
      <c r="CY990" s="54"/>
      <c r="CZ990" s="54"/>
      <c r="DA990" s="54"/>
      <c r="DB990" s="54"/>
      <c r="DC990" s="54"/>
      <c r="DD990" s="54"/>
      <c r="DE990" s="54"/>
      <c r="DF990" s="54"/>
      <c r="DG990" s="54"/>
      <c r="DH990" s="54"/>
      <c r="DI990" s="54"/>
      <c r="DJ990" s="54"/>
      <c r="DK990" s="54"/>
      <c r="DL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  <c r="CW991" s="54"/>
      <c r="CX991" s="54"/>
      <c r="CY991" s="54"/>
      <c r="CZ991" s="54"/>
      <c r="DA991" s="54"/>
      <c r="DB991" s="54"/>
      <c r="DC991" s="54"/>
      <c r="DD991" s="54"/>
      <c r="DE991" s="54"/>
      <c r="DF991" s="54"/>
      <c r="DG991" s="54"/>
      <c r="DH991" s="54"/>
      <c r="DI991" s="54"/>
      <c r="DJ991" s="54"/>
      <c r="DK991" s="54"/>
      <c r="DL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  <c r="CW992" s="54"/>
      <c r="CX992" s="54"/>
      <c r="CY992" s="54"/>
      <c r="CZ992" s="54"/>
      <c r="DA992" s="54"/>
      <c r="DB992" s="54"/>
      <c r="DC992" s="54"/>
      <c r="DD992" s="54"/>
      <c r="DE992" s="54"/>
      <c r="DF992" s="54"/>
      <c r="DG992" s="54"/>
      <c r="DH992" s="54"/>
      <c r="DI992" s="54"/>
      <c r="DJ992" s="54"/>
      <c r="DK992" s="54"/>
      <c r="DL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  <c r="CW993" s="54"/>
      <c r="CX993" s="54"/>
      <c r="CY993" s="54"/>
      <c r="CZ993" s="54"/>
      <c r="DA993" s="54"/>
      <c r="DB993" s="54"/>
      <c r="DC993" s="54"/>
      <c r="DD993" s="54"/>
      <c r="DE993" s="54"/>
      <c r="DF993" s="54"/>
      <c r="DG993" s="54"/>
      <c r="DH993" s="54"/>
      <c r="DI993" s="54"/>
      <c r="DJ993" s="54"/>
      <c r="DK993" s="54"/>
      <c r="DL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  <c r="CW994" s="54"/>
      <c r="CX994" s="54"/>
      <c r="CY994" s="54"/>
      <c r="CZ994" s="54"/>
      <c r="DA994" s="54"/>
      <c r="DB994" s="54"/>
      <c r="DC994" s="54"/>
      <c r="DD994" s="54"/>
      <c r="DE994" s="54"/>
      <c r="DF994" s="54"/>
      <c r="DG994" s="54"/>
      <c r="DH994" s="54"/>
      <c r="DI994" s="54"/>
      <c r="DJ994" s="54"/>
      <c r="DK994" s="54"/>
      <c r="DL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  <c r="CW995" s="54"/>
      <c r="CX995" s="54"/>
      <c r="CY995" s="54"/>
      <c r="CZ995" s="54"/>
      <c r="DA995" s="54"/>
      <c r="DB995" s="54"/>
      <c r="DC995" s="54"/>
      <c r="DD995" s="54"/>
      <c r="DE995" s="54"/>
      <c r="DF995" s="54"/>
      <c r="DG995" s="54"/>
      <c r="DH995" s="54"/>
      <c r="DI995" s="54"/>
      <c r="DJ995" s="54"/>
      <c r="DK995" s="54"/>
      <c r="DL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  <c r="CW996" s="54"/>
      <c r="CX996" s="54"/>
      <c r="CY996" s="54"/>
      <c r="CZ996" s="54"/>
      <c r="DA996" s="54"/>
      <c r="DB996" s="54"/>
      <c r="DC996" s="54"/>
      <c r="DD996" s="54"/>
      <c r="DE996" s="54"/>
      <c r="DF996" s="54"/>
      <c r="DG996" s="54"/>
      <c r="DH996" s="54"/>
      <c r="DI996" s="54"/>
      <c r="DJ996" s="54"/>
      <c r="DK996" s="54"/>
      <c r="DL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  <c r="CW997" s="54"/>
      <c r="CX997" s="54"/>
      <c r="CY997" s="54"/>
      <c r="CZ997" s="54"/>
      <c r="DA997" s="54"/>
      <c r="DB997" s="54"/>
      <c r="DC997" s="54"/>
      <c r="DD997" s="54"/>
      <c r="DE997" s="54"/>
      <c r="DF997" s="54"/>
      <c r="DG997" s="54"/>
      <c r="DH997" s="54"/>
      <c r="DI997" s="54"/>
      <c r="DJ997" s="54"/>
      <c r="DK997" s="54"/>
      <c r="DL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  <c r="CW998" s="54"/>
      <c r="CX998" s="54"/>
      <c r="CY998" s="54"/>
      <c r="CZ998" s="54"/>
      <c r="DA998" s="54"/>
      <c r="DB998" s="54"/>
      <c r="DC998" s="54"/>
      <c r="DD998" s="54"/>
      <c r="DE998" s="54"/>
      <c r="DF998" s="54"/>
      <c r="DG998" s="54"/>
      <c r="DH998" s="54"/>
      <c r="DI998" s="54"/>
      <c r="DJ998" s="54"/>
      <c r="DK998" s="54"/>
      <c r="DL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  <c r="CW999" s="54"/>
      <c r="CX999" s="54"/>
      <c r="CY999" s="54"/>
      <c r="CZ999" s="54"/>
      <c r="DA999" s="54"/>
      <c r="DB999" s="54"/>
      <c r="DC999" s="54"/>
      <c r="DD999" s="54"/>
      <c r="DE999" s="54"/>
      <c r="DF999" s="54"/>
      <c r="DG999" s="54"/>
      <c r="DH999" s="54"/>
      <c r="DI999" s="54"/>
      <c r="DJ999" s="54"/>
      <c r="DK999" s="54"/>
      <c r="DL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  <c r="CW1000" s="54"/>
      <c r="CX1000" s="54"/>
      <c r="CY1000" s="54"/>
      <c r="CZ1000" s="54"/>
      <c r="DA1000" s="54"/>
      <c r="DB1000" s="54"/>
      <c r="DC1000" s="54"/>
      <c r="DD1000" s="54"/>
      <c r="DE1000" s="54"/>
      <c r="DF1000" s="54"/>
      <c r="DG1000" s="54"/>
      <c r="DH1000" s="54"/>
      <c r="DI1000" s="54"/>
      <c r="DJ1000" s="54"/>
      <c r="DK1000" s="54"/>
      <c r="DL1000" s="54"/>
    </row>
  </sheetData>
  <mergeCells count="712">
    <mergeCell ref="BI39:BK39"/>
    <mergeCell ref="BI40:BK40"/>
    <mergeCell ref="BI28:BL28"/>
    <mergeCell ref="BI29:BL29"/>
    <mergeCell ref="BI31:BM31"/>
    <mergeCell ref="BI32:BL32"/>
    <mergeCell ref="BI36:BN36"/>
    <mergeCell ref="BI37:BN37"/>
    <mergeCell ref="BI38:BK38"/>
    <mergeCell ref="AW8:AZ8"/>
    <mergeCell ref="AW9:AY9"/>
    <mergeCell ref="BI9:BK9"/>
    <mergeCell ref="BO9:BR9"/>
    <mergeCell ref="AW10:AZ10"/>
    <mergeCell ref="BO10:BQ10"/>
    <mergeCell ref="AW11:AZ11"/>
    <mergeCell ref="BO11:BR11"/>
    <mergeCell ref="BI10:BL10"/>
    <mergeCell ref="BI11:BL11"/>
    <mergeCell ref="BI14:BL14"/>
    <mergeCell ref="BO14:BR14"/>
    <mergeCell ref="BI15:BL15"/>
    <mergeCell ref="BO15:BR15"/>
    <mergeCell ref="BO16:BR16"/>
    <mergeCell ref="BI16:BL16"/>
    <mergeCell ref="BI17:BL17"/>
    <mergeCell ref="BI18:BL18"/>
    <mergeCell ref="BI19:BL19"/>
    <mergeCell ref="BI20:BL20"/>
    <mergeCell ref="BI21:BL21"/>
    <mergeCell ref="BI22:BL22"/>
    <mergeCell ref="BO17:BR17"/>
    <mergeCell ref="BO18:BR18"/>
    <mergeCell ref="BO19:BR19"/>
    <mergeCell ref="BO20:BR20"/>
    <mergeCell ref="BO21:BR21"/>
    <mergeCell ref="BO22:BR22"/>
    <mergeCell ref="BO23:BR23"/>
    <mergeCell ref="BI23:BL23"/>
    <mergeCell ref="BI24:BL24"/>
    <mergeCell ref="BI25:BL25"/>
    <mergeCell ref="BI26:BL26"/>
    <mergeCell ref="BI27:BL27"/>
    <mergeCell ref="AW28:BA28"/>
    <mergeCell ref="AW29:AZ29"/>
    <mergeCell ref="AW34:BB34"/>
    <mergeCell ref="AW35:AY35"/>
    <mergeCell ref="AW36:AY36"/>
    <mergeCell ref="AW37:AY37"/>
    <mergeCell ref="AW38:AZ38"/>
    <mergeCell ref="AW39:AY39"/>
    <mergeCell ref="AW40:AZ40"/>
    <mergeCell ref="AW30:AZ30"/>
    <mergeCell ref="BI30:BL30"/>
    <mergeCell ref="AW33:BH33"/>
    <mergeCell ref="BI33:BL33"/>
    <mergeCell ref="BO33:BR33"/>
    <mergeCell ref="BI34:BK34"/>
    <mergeCell ref="BO34:BR34"/>
    <mergeCell ref="AK20:AN20"/>
    <mergeCell ref="AK21:AN21"/>
    <mergeCell ref="AK22:AN22"/>
    <mergeCell ref="AK23:AN23"/>
    <mergeCell ref="AK24:AN24"/>
    <mergeCell ref="AK25:AN25"/>
    <mergeCell ref="AK26:AN26"/>
    <mergeCell ref="AK35:AM35"/>
    <mergeCell ref="AK36:AM36"/>
    <mergeCell ref="AK37:AM37"/>
    <mergeCell ref="AK38:AN38"/>
    <mergeCell ref="AK39:AM39"/>
    <mergeCell ref="AK40:AN40"/>
    <mergeCell ref="AK41:AN41"/>
    <mergeCell ref="AK58:AN58"/>
    <mergeCell ref="AK59:AN59"/>
    <mergeCell ref="AK51:AN51"/>
    <mergeCell ref="AK52:AN52"/>
    <mergeCell ref="AK53:AN53"/>
    <mergeCell ref="AK54:AN54"/>
    <mergeCell ref="AK55:AN55"/>
    <mergeCell ref="AK56:AN56"/>
    <mergeCell ref="AK57:AN57"/>
    <mergeCell ref="AW56:AZ56"/>
    <mergeCell ref="AW57:AZ57"/>
    <mergeCell ref="AW58:AZ58"/>
    <mergeCell ref="AW59:AZ59"/>
    <mergeCell ref="AW60:AZ60"/>
    <mergeCell ref="AW61:AZ61"/>
    <mergeCell ref="AW62:AZ62"/>
    <mergeCell ref="AW63:AZ63"/>
    <mergeCell ref="AW64:AZ64"/>
    <mergeCell ref="AW65:AZ65"/>
    <mergeCell ref="AW66:AZ66"/>
    <mergeCell ref="AW67:AZ67"/>
    <mergeCell ref="AW68:AZ68"/>
    <mergeCell ref="AW69:AZ69"/>
    <mergeCell ref="AW70:AZ70"/>
    <mergeCell ref="AW71:AZ71"/>
    <mergeCell ref="AW72:AZ72"/>
    <mergeCell ref="AW73:AZ73"/>
    <mergeCell ref="AW74:AZ74"/>
    <mergeCell ref="AW75:AZ75"/>
    <mergeCell ref="AW76:AZ76"/>
    <mergeCell ref="AW84:AZ84"/>
    <mergeCell ref="AW85:AZ85"/>
    <mergeCell ref="AW86:AZ86"/>
    <mergeCell ref="AW87:BA87"/>
    <mergeCell ref="AW88:AZ88"/>
    <mergeCell ref="AW89:AZ89"/>
    <mergeCell ref="AW90:AY90"/>
    <mergeCell ref="AW77:AZ77"/>
    <mergeCell ref="AW78:AZ78"/>
    <mergeCell ref="AW79:AZ79"/>
    <mergeCell ref="AW80:AZ80"/>
    <mergeCell ref="AW81:AZ81"/>
    <mergeCell ref="AW82:AZ82"/>
    <mergeCell ref="AW83:AZ83"/>
    <mergeCell ref="AK12:AN12"/>
    <mergeCell ref="AK13:AN13"/>
    <mergeCell ref="AK6:AN6"/>
    <mergeCell ref="AK7:AM7"/>
    <mergeCell ref="AK8:AN8"/>
    <mergeCell ref="AK9:AM9"/>
    <mergeCell ref="AK10:AN10"/>
    <mergeCell ref="AK11:AN11"/>
    <mergeCell ref="AW12:AZ12"/>
    <mergeCell ref="AW13:AZ13"/>
    <mergeCell ref="AW14:AZ14"/>
    <mergeCell ref="AW15:AZ15"/>
    <mergeCell ref="AW16:AZ16"/>
    <mergeCell ref="AW17:AZ17"/>
    <mergeCell ref="AW18:AZ18"/>
    <mergeCell ref="AW19:AZ19"/>
    <mergeCell ref="AW27:AZ27"/>
    <mergeCell ref="AK31:AV31"/>
    <mergeCell ref="AW31:AY31"/>
    <mergeCell ref="AK32:AP32"/>
    <mergeCell ref="AW20:AZ20"/>
    <mergeCell ref="AW21:AZ21"/>
    <mergeCell ref="AW22:AZ22"/>
    <mergeCell ref="AW23:AZ23"/>
    <mergeCell ref="AW24:AZ24"/>
    <mergeCell ref="AW25:AZ25"/>
    <mergeCell ref="AW26:AZ26"/>
    <mergeCell ref="AW41:AY41"/>
    <mergeCell ref="AW42:AZ42"/>
    <mergeCell ref="AW43:AZ43"/>
    <mergeCell ref="AW44:AZ44"/>
    <mergeCell ref="AW45:AZ45"/>
    <mergeCell ref="AW46:AZ46"/>
    <mergeCell ref="AW47:AZ47"/>
    <mergeCell ref="AW48:AZ48"/>
    <mergeCell ref="AW49:AZ49"/>
    <mergeCell ref="AW51:AZ51"/>
    <mergeCell ref="AW52:AZ52"/>
    <mergeCell ref="AW53:AZ53"/>
    <mergeCell ref="AW54:AZ54"/>
    <mergeCell ref="AW55:AZ55"/>
    <mergeCell ref="Y61:AB61"/>
    <mergeCell ref="Y62:AB62"/>
    <mergeCell ref="Y63:AB63"/>
    <mergeCell ref="Y64:AB64"/>
    <mergeCell ref="Y65:AB65"/>
    <mergeCell ref="Y58:AB58"/>
    <mergeCell ref="Y59:AB59"/>
    <mergeCell ref="Y60:AB60"/>
    <mergeCell ref="AK60:AN60"/>
    <mergeCell ref="AK61:AN61"/>
    <mergeCell ref="AK62:AN62"/>
    <mergeCell ref="AK63:AN63"/>
    <mergeCell ref="AK64:AN64"/>
    <mergeCell ref="AK65:AN65"/>
    <mergeCell ref="AK66:AN66"/>
    <mergeCell ref="AK67:AN67"/>
    <mergeCell ref="AK68:AN68"/>
    <mergeCell ref="AK69:AN69"/>
    <mergeCell ref="AK70:AN70"/>
    <mergeCell ref="AK80:AN80"/>
    <mergeCell ref="AK81:AN81"/>
    <mergeCell ref="AK82:AO82"/>
    <mergeCell ref="AK83:AN83"/>
    <mergeCell ref="AK84:AN84"/>
    <mergeCell ref="AK85:AM85"/>
    <mergeCell ref="AK71:AN71"/>
    <mergeCell ref="AK72:AN72"/>
    <mergeCell ref="AK75:AN75"/>
    <mergeCell ref="AK76:AN76"/>
    <mergeCell ref="AK77:AN77"/>
    <mergeCell ref="AK78:AN78"/>
    <mergeCell ref="AK79:AN79"/>
    <mergeCell ref="Y66:AB66"/>
    <mergeCell ref="Y67:AB67"/>
    <mergeCell ref="Y68:AB68"/>
    <mergeCell ref="Y69:AB69"/>
    <mergeCell ref="Y70:AB70"/>
    <mergeCell ref="Y71:AB71"/>
    <mergeCell ref="Y72:AB72"/>
    <mergeCell ref="Y81:AB81"/>
    <mergeCell ref="Y82:AA82"/>
    <mergeCell ref="Y74:AB74"/>
    <mergeCell ref="Y75:AB75"/>
    <mergeCell ref="Y76:AB76"/>
    <mergeCell ref="Y77:AB77"/>
    <mergeCell ref="Y78:AB78"/>
    <mergeCell ref="Y79:AC79"/>
    <mergeCell ref="Y80:AB80"/>
    <mergeCell ref="Y7:AA7"/>
    <mergeCell ref="Y8:AB8"/>
    <mergeCell ref="Y9:AA9"/>
    <mergeCell ref="Y10:AB10"/>
    <mergeCell ref="Y11:AB11"/>
    <mergeCell ref="Y12:AB12"/>
    <mergeCell ref="Y13:AB13"/>
    <mergeCell ref="Y14:AB14"/>
    <mergeCell ref="AK14:AN14"/>
    <mergeCell ref="AK15:AN15"/>
    <mergeCell ref="AK16:AN16"/>
    <mergeCell ref="AK17:AN17"/>
    <mergeCell ref="AK18:AN18"/>
    <mergeCell ref="AK19:AN19"/>
    <mergeCell ref="Y22:AC22"/>
    <mergeCell ref="Y23:AB23"/>
    <mergeCell ref="Y24:AB24"/>
    <mergeCell ref="Y25:AA25"/>
    <mergeCell ref="AK27:AN27"/>
    <mergeCell ref="AK28:AM28"/>
    <mergeCell ref="Y31:AJ31"/>
    <mergeCell ref="Y32:AD32"/>
    <mergeCell ref="Y33:AA33"/>
    <mergeCell ref="AK33:AM33"/>
    <mergeCell ref="AK34:AM34"/>
    <mergeCell ref="Y15:AB15"/>
    <mergeCell ref="Y16:AB16"/>
    <mergeCell ref="Y17:AB17"/>
    <mergeCell ref="Y18:AB18"/>
    <mergeCell ref="Y19:AB19"/>
    <mergeCell ref="Y20:AB20"/>
    <mergeCell ref="Y21:AB21"/>
    <mergeCell ref="Y51:AB51"/>
    <mergeCell ref="Y52:AB52"/>
    <mergeCell ref="Y53:AB53"/>
    <mergeCell ref="Y54:AB54"/>
    <mergeCell ref="Y55:AB55"/>
    <mergeCell ref="Y56:AB56"/>
    <mergeCell ref="Y57:AB57"/>
    <mergeCell ref="Y73:AB73"/>
    <mergeCell ref="AK73:AN73"/>
    <mergeCell ref="AK74:AN74"/>
    <mergeCell ref="BO24:BR24"/>
    <mergeCell ref="BO25:BR25"/>
    <mergeCell ref="BO26:BR26"/>
    <mergeCell ref="BO27:BR27"/>
    <mergeCell ref="BO28:BR28"/>
    <mergeCell ref="BO29:BR29"/>
    <mergeCell ref="BO30:BR30"/>
    <mergeCell ref="CA43:CF43"/>
    <mergeCell ref="CA44:CC44"/>
    <mergeCell ref="CA45:CC45"/>
    <mergeCell ref="CM45:CX45"/>
    <mergeCell ref="CZ45:DK45"/>
    <mergeCell ref="BO31:BR31"/>
    <mergeCell ref="BO32:BR32"/>
    <mergeCell ref="BO40:BZ40"/>
    <mergeCell ref="BI41:BL41"/>
    <mergeCell ref="BO41:BT41"/>
    <mergeCell ref="BO42:BQ42"/>
    <mergeCell ref="CA42:CL42"/>
    <mergeCell ref="BO45:BQ45"/>
    <mergeCell ref="BO46:BQ46"/>
    <mergeCell ref="CA46:CC46"/>
    <mergeCell ref="CM46:CQ46"/>
    <mergeCell ref="CZ46:DE46"/>
    <mergeCell ref="BI47:BL47"/>
    <mergeCell ref="BO47:BR47"/>
    <mergeCell ref="CA47:CC47"/>
    <mergeCell ref="CM47:CO47"/>
    <mergeCell ref="CZ47:DB47"/>
    <mergeCell ref="BI48:BL48"/>
    <mergeCell ref="BO48:BQ48"/>
    <mergeCell ref="CA48:CC48"/>
    <mergeCell ref="CM48:CO48"/>
    <mergeCell ref="CZ48:DB48"/>
    <mergeCell ref="CZ53:DB53"/>
    <mergeCell ref="CZ54:DC54"/>
    <mergeCell ref="CA60:CD60"/>
    <mergeCell ref="CA61:CD61"/>
    <mergeCell ref="CA62:CD62"/>
    <mergeCell ref="CA63:CD63"/>
    <mergeCell ref="CA64:CD64"/>
    <mergeCell ref="CA65:CD65"/>
    <mergeCell ref="CA66:CD66"/>
    <mergeCell ref="CA67:CD67"/>
    <mergeCell ref="CA68:CD68"/>
    <mergeCell ref="CA69:CD69"/>
    <mergeCell ref="CA70:CD70"/>
    <mergeCell ref="CA71:CD71"/>
    <mergeCell ref="CA72:CD72"/>
    <mergeCell ref="CA73:CD73"/>
    <mergeCell ref="CA74:CD74"/>
    <mergeCell ref="CA75:CD75"/>
    <mergeCell ref="CA76:CD76"/>
    <mergeCell ref="CA77:CD77"/>
    <mergeCell ref="CA78:CD78"/>
    <mergeCell ref="CA79:CD79"/>
    <mergeCell ref="CA80:CD80"/>
    <mergeCell ref="CA81:CD81"/>
    <mergeCell ref="CA82:CD82"/>
    <mergeCell ref="CA83:CD83"/>
    <mergeCell ref="CA84:CD84"/>
    <mergeCell ref="CA85:CD85"/>
    <mergeCell ref="CA86:CD86"/>
    <mergeCell ref="CA87:CD87"/>
    <mergeCell ref="CA88:CD88"/>
    <mergeCell ref="CA89:CD89"/>
    <mergeCell ref="CA90:CD90"/>
    <mergeCell ref="CA91:CD91"/>
    <mergeCell ref="CA92:CD92"/>
    <mergeCell ref="CA93:CD93"/>
    <mergeCell ref="CA94:CD94"/>
    <mergeCell ref="CA102:CD102"/>
    <mergeCell ref="CA103:CD103"/>
    <mergeCell ref="CA104:CD104"/>
    <mergeCell ref="CA105:CE105"/>
    <mergeCell ref="CA106:CD106"/>
    <mergeCell ref="CA107:CD107"/>
    <mergeCell ref="CA108:CC108"/>
    <mergeCell ref="CA95:CD95"/>
    <mergeCell ref="CA96:CD96"/>
    <mergeCell ref="CA97:CD97"/>
    <mergeCell ref="CA98:CD98"/>
    <mergeCell ref="CA99:CD99"/>
    <mergeCell ref="CA100:CD100"/>
    <mergeCell ref="CA101:CD101"/>
    <mergeCell ref="CZ66:DC66"/>
    <mergeCell ref="CZ67:DC67"/>
    <mergeCell ref="CZ68:DC68"/>
    <mergeCell ref="CZ69:DC69"/>
    <mergeCell ref="CZ70:DC70"/>
    <mergeCell ref="CZ71:DC71"/>
    <mergeCell ref="CZ72:DC72"/>
    <mergeCell ref="CZ73:DC73"/>
    <mergeCell ref="CZ74:DC74"/>
    <mergeCell ref="CZ80:DC80"/>
    <mergeCell ref="CZ81:DC81"/>
    <mergeCell ref="CZ82:DC82"/>
    <mergeCell ref="CZ83:DC83"/>
    <mergeCell ref="CZ84:DC84"/>
    <mergeCell ref="CZ85:DC85"/>
    <mergeCell ref="CZ86:DC86"/>
    <mergeCell ref="CZ87:DC87"/>
    <mergeCell ref="CZ88:DC88"/>
    <mergeCell ref="CZ89:DC89"/>
    <mergeCell ref="CZ90:DC90"/>
    <mergeCell ref="CZ91:DC91"/>
    <mergeCell ref="CZ92:DC92"/>
    <mergeCell ref="CZ93:DC93"/>
    <mergeCell ref="CZ94:DC94"/>
    <mergeCell ref="CZ95:DC95"/>
    <mergeCell ref="CZ96:DC96"/>
    <mergeCell ref="CZ97:DC97"/>
    <mergeCell ref="CZ98:DC98"/>
    <mergeCell ref="CZ99:DC99"/>
    <mergeCell ref="CZ100:DC100"/>
    <mergeCell ref="CZ101:DC101"/>
    <mergeCell ref="CZ102:DC102"/>
    <mergeCell ref="CZ103:DC103"/>
    <mergeCell ref="CZ104:DC104"/>
    <mergeCell ref="CZ105:DC105"/>
    <mergeCell ref="CZ113:DC113"/>
    <mergeCell ref="CZ114:DD114"/>
    <mergeCell ref="CZ115:DC115"/>
    <mergeCell ref="CZ116:DC116"/>
    <mergeCell ref="CZ117:DB117"/>
    <mergeCell ref="CZ106:DC106"/>
    <mergeCell ref="CZ107:DC107"/>
    <mergeCell ref="CZ108:DC108"/>
    <mergeCell ref="CZ109:DC109"/>
    <mergeCell ref="CZ110:DC110"/>
    <mergeCell ref="CZ111:DC111"/>
    <mergeCell ref="CZ112:DC112"/>
    <mergeCell ref="BI67:BL67"/>
    <mergeCell ref="BI68:BL68"/>
    <mergeCell ref="BI69:BL69"/>
    <mergeCell ref="BI70:BL70"/>
    <mergeCell ref="BI71:BL71"/>
    <mergeCell ref="BI72:BL72"/>
    <mergeCell ref="BI73:BL73"/>
    <mergeCell ref="BI74:BL74"/>
    <mergeCell ref="BI75:BL75"/>
    <mergeCell ref="BI76:BL76"/>
    <mergeCell ref="BI77:BL77"/>
    <mergeCell ref="BI78:BL78"/>
    <mergeCell ref="BI79:BL79"/>
    <mergeCell ref="BI80:BL80"/>
    <mergeCell ref="BI81:BL81"/>
    <mergeCell ref="BI82:BL82"/>
    <mergeCell ref="BI83:BL83"/>
    <mergeCell ref="BI84:BL84"/>
    <mergeCell ref="BI85:BL85"/>
    <mergeCell ref="BI86:BL86"/>
    <mergeCell ref="BI87:BL87"/>
    <mergeCell ref="BI95:BL95"/>
    <mergeCell ref="BI96:BK96"/>
    <mergeCell ref="BI88:BL88"/>
    <mergeCell ref="BI89:BL89"/>
    <mergeCell ref="BI90:BL90"/>
    <mergeCell ref="BI91:BL91"/>
    <mergeCell ref="BI92:BL92"/>
    <mergeCell ref="BI93:BM93"/>
    <mergeCell ref="BI94:BL94"/>
    <mergeCell ref="CM72:CP72"/>
    <mergeCell ref="CM73:CP73"/>
    <mergeCell ref="CM74:CP74"/>
    <mergeCell ref="CM75:CP75"/>
    <mergeCell ref="CM76:CP76"/>
    <mergeCell ref="CM77:CP77"/>
    <mergeCell ref="CM78:CP78"/>
    <mergeCell ref="CM79:CP79"/>
    <mergeCell ref="CM80:CP80"/>
    <mergeCell ref="CM81:CP81"/>
    <mergeCell ref="CM82:CP82"/>
    <mergeCell ref="CM83:CP83"/>
    <mergeCell ref="CM84:CP84"/>
    <mergeCell ref="CM85:CP85"/>
    <mergeCell ref="CM86:CP86"/>
    <mergeCell ref="CM87:CP87"/>
    <mergeCell ref="CM88:CP88"/>
    <mergeCell ref="CM89:CP89"/>
    <mergeCell ref="CM90:CP90"/>
    <mergeCell ref="CM91:CP91"/>
    <mergeCell ref="CM92:CP92"/>
    <mergeCell ref="CM93:CP93"/>
    <mergeCell ref="CM94:CP94"/>
    <mergeCell ref="CM95:CP95"/>
    <mergeCell ref="CM96:CP96"/>
    <mergeCell ref="CM97:CP97"/>
    <mergeCell ref="CM98:CP98"/>
    <mergeCell ref="CM99:CP99"/>
    <mergeCell ref="CM107:CP107"/>
    <mergeCell ref="CM108:CP108"/>
    <mergeCell ref="CM109:CP109"/>
    <mergeCell ref="CM110:CP110"/>
    <mergeCell ref="CM111:CQ111"/>
    <mergeCell ref="CM112:CP112"/>
    <mergeCell ref="CM113:CP113"/>
    <mergeCell ref="CM114:CO114"/>
    <mergeCell ref="CM100:CP100"/>
    <mergeCell ref="CM101:CP101"/>
    <mergeCell ref="CM102:CP102"/>
    <mergeCell ref="CM103:CP103"/>
    <mergeCell ref="CM104:CP104"/>
    <mergeCell ref="CM105:CP105"/>
    <mergeCell ref="CM106:CP106"/>
    <mergeCell ref="BI49:BL49"/>
    <mergeCell ref="BO49:BR49"/>
    <mergeCell ref="CM49:CO49"/>
    <mergeCell ref="CZ49:DB49"/>
    <mergeCell ref="CM50:CP50"/>
    <mergeCell ref="CZ50:DC50"/>
    <mergeCell ref="CM54:CP54"/>
    <mergeCell ref="CM55:CP55"/>
    <mergeCell ref="CZ55:DC55"/>
    <mergeCell ref="CM56:CP56"/>
    <mergeCell ref="CZ56:DC56"/>
    <mergeCell ref="CM57:CP57"/>
    <mergeCell ref="CZ57:DC57"/>
    <mergeCell ref="CZ58:DC58"/>
    <mergeCell ref="CA49:CD49"/>
    <mergeCell ref="CA54:CD54"/>
    <mergeCell ref="CA55:CD55"/>
    <mergeCell ref="CA56:CD56"/>
    <mergeCell ref="CA57:CD57"/>
    <mergeCell ref="CA58:CD58"/>
    <mergeCell ref="CA59:CD59"/>
    <mergeCell ref="CM58:CP58"/>
    <mergeCell ref="CM59:CP59"/>
    <mergeCell ref="CM60:CP60"/>
    <mergeCell ref="CM61:CP61"/>
    <mergeCell ref="CM62:CP62"/>
    <mergeCell ref="CM63:CP63"/>
    <mergeCell ref="CM64:CP64"/>
    <mergeCell ref="CM65:CP65"/>
    <mergeCell ref="CM66:CP66"/>
    <mergeCell ref="CM67:CP67"/>
    <mergeCell ref="CM68:CP68"/>
    <mergeCell ref="CM69:CP69"/>
    <mergeCell ref="CM70:CP70"/>
    <mergeCell ref="CM71:CP71"/>
    <mergeCell ref="CZ75:DC75"/>
    <mergeCell ref="CZ76:DC76"/>
    <mergeCell ref="CZ77:DC77"/>
    <mergeCell ref="CZ78:DC78"/>
    <mergeCell ref="CZ79:DC79"/>
    <mergeCell ref="CZ59:DC59"/>
    <mergeCell ref="CZ60:DC60"/>
    <mergeCell ref="CZ61:DC61"/>
    <mergeCell ref="CZ62:DC62"/>
    <mergeCell ref="CZ63:DC63"/>
    <mergeCell ref="CZ64:DC64"/>
    <mergeCell ref="CZ65:DC65"/>
    <mergeCell ref="BO75:BR75"/>
    <mergeCell ref="BO76:BR76"/>
    <mergeCell ref="BO77:BR77"/>
    <mergeCell ref="BO78:BR78"/>
    <mergeCell ref="BO79:BR79"/>
    <mergeCell ref="BO80:BR80"/>
    <mergeCell ref="BO81:BR81"/>
    <mergeCell ref="BO82:BR82"/>
    <mergeCell ref="BO83:BR83"/>
    <mergeCell ref="BO84:BR84"/>
    <mergeCell ref="BO85:BR85"/>
    <mergeCell ref="BO86:BR86"/>
    <mergeCell ref="BO87:BR87"/>
    <mergeCell ref="BO88:BR88"/>
    <mergeCell ref="BO96:BR96"/>
    <mergeCell ref="BO97:BR97"/>
    <mergeCell ref="BO98:BR98"/>
    <mergeCell ref="BO99:BR99"/>
    <mergeCell ref="BO100:BS100"/>
    <mergeCell ref="BO101:BR101"/>
    <mergeCell ref="BO102:BR102"/>
    <mergeCell ref="BO103:BQ103"/>
    <mergeCell ref="BO89:BR89"/>
    <mergeCell ref="BO90:BR90"/>
    <mergeCell ref="BO91:BR91"/>
    <mergeCell ref="BO92:BR92"/>
    <mergeCell ref="BO93:BR93"/>
    <mergeCell ref="BO94:BR94"/>
    <mergeCell ref="BO95:BR95"/>
    <mergeCell ref="BI42:BK42"/>
    <mergeCell ref="BI43:BL43"/>
    <mergeCell ref="BO43:BQ43"/>
    <mergeCell ref="BI44:BK44"/>
    <mergeCell ref="BO44:BQ44"/>
    <mergeCell ref="BI45:BL45"/>
    <mergeCell ref="BI46:BL46"/>
    <mergeCell ref="BI50:BL50"/>
    <mergeCell ref="BO50:BR50"/>
    <mergeCell ref="BI51:BL51"/>
    <mergeCell ref="BO51:BR51"/>
    <mergeCell ref="BI52:BL52"/>
    <mergeCell ref="BO52:BR52"/>
    <mergeCell ref="BO53:BR53"/>
    <mergeCell ref="BI53:BL53"/>
    <mergeCell ref="BI54:BL54"/>
    <mergeCell ref="BI55:BL55"/>
    <mergeCell ref="BI56:BL56"/>
    <mergeCell ref="BI57:BL57"/>
    <mergeCell ref="BI58:BL58"/>
    <mergeCell ref="BI59:BL59"/>
    <mergeCell ref="BO54:BR54"/>
    <mergeCell ref="BO55:BR55"/>
    <mergeCell ref="BO56:BR56"/>
    <mergeCell ref="BO57:BR57"/>
    <mergeCell ref="BO58:BR58"/>
    <mergeCell ref="BO59:BR59"/>
    <mergeCell ref="BO60:BR60"/>
    <mergeCell ref="BI60:BL60"/>
    <mergeCell ref="BI61:BL61"/>
    <mergeCell ref="BI62:BL62"/>
    <mergeCell ref="BI63:BL63"/>
    <mergeCell ref="BI64:BL64"/>
    <mergeCell ref="BI65:BL65"/>
    <mergeCell ref="BI66:BL66"/>
    <mergeCell ref="BO61:BR61"/>
    <mergeCell ref="BO62:BR62"/>
    <mergeCell ref="BO63:BR63"/>
    <mergeCell ref="BO64:BR64"/>
    <mergeCell ref="BO65:BR65"/>
    <mergeCell ref="BO66:BR66"/>
    <mergeCell ref="BO67:BR67"/>
    <mergeCell ref="BO68:BR68"/>
    <mergeCell ref="BO69:BR69"/>
    <mergeCell ref="BO70:BR70"/>
    <mergeCell ref="BO71:BR71"/>
    <mergeCell ref="BO72:BR72"/>
    <mergeCell ref="BO73:BR73"/>
    <mergeCell ref="BO74:BR74"/>
    <mergeCell ref="BI7:BK7"/>
    <mergeCell ref="BO7:BR7"/>
    <mergeCell ref="BI1:BK1"/>
    <mergeCell ref="BI2:BN2"/>
    <mergeCell ref="BI3:BK3"/>
    <mergeCell ref="BI4:BK4"/>
    <mergeCell ref="BO4:BQ4"/>
    <mergeCell ref="BI5:BK5"/>
    <mergeCell ref="BI6:BL6"/>
    <mergeCell ref="AK1:AM1"/>
    <mergeCell ref="AK2:AP2"/>
    <mergeCell ref="Y3:AA3"/>
    <mergeCell ref="AK3:AM3"/>
    <mergeCell ref="AW3:AY3"/>
    <mergeCell ref="AK4:AM4"/>
    <mergeCell ref="AW4:AY4"/>
    <mergeCell ref="Y4:AA4"/>
    <mergeCell ref="Y5:AA5"/>
    <mergeCell ref="AK5:AM5"/>
    <mergeCell ref="AW5:AY5"/>
    <mergeCell ref="Y6:AB6"/>
    <mergeCell ref="AW6:AZ6"/>
    <mergeCell ref="AW7:AY7"/>
    <mergeCell ref="CA12:CD12"/>
    <mergeCell ref="CA13:CD13"/>
    <mergeCell ref="CA14:CD14"/>
    <mergeCell ref="CA15:CD15"/>
    <mergeCell ref="CA16:CD16"/>
    <mergeCell ref="CA17:CD17"/>
    <mergeCell ref="CA18:CD18"/>
    <mergeCell ref="CA26:CD26"/>
    <mergeCell ref="CA27:CD27"/>
    <mergeCell ref="CA28:CD28"/>
    <mergeCell ref="CA29:CD29"/>
    <mergeCell ref="CA30:CD30"/>
    <mergeCell ref="CA19:CD19"/>
    <mergeCell ref="CA20:CD20"/>
    <mergeCell ref="CA21:CD21"/>
    <mergeCell ref="CA22:CD22"/>
    <mergeCell ref="CA23:CD23"/>
    <mergeCell ref="CA24:CD24"/>
    <mergeCell ref="CA25:CD25"/>
    <mergeCell ref="Y1:AA1"/>
    <mergeCell ref="AW1:AY1"/>
    <mergeCell ref="BO1:BR1"/>
    <mergeCell ref="CA1:CC1"/>
    <mergeCell ref="CM1:CO1"/>
    <mergeCell ref="Y2:AD2"/>
    <mergeCell ref="AW2:BB2"/>
    <mergeCell ref="CM2:CR2"/>
    <mergeCell ref="BO2:BZ2"/>
    <mergeCell ref="CA2:CF2"/>
    <mergeCell ref="BO3:BT3"/>
    <mergeCell ref="CA3:CC3"/>
    <mergeCell ref="CM3:CO3"/>
    <mergeCell ref="CA4:CC4"/>
    <mergeCell ref="CA5:CC5"/>
    <mergeCell ref="BO5:BQ5"/>
    <mergeCell ref="BO6:BQ6"/>
    <mergeCell ref="CA6:CD6"/>
    <mergeCell ref="CA7:CC7"/>
    <mergeCell ref="BI8:BL8"/>
    <mergeCell ref="BO8:BQ8"/>
    <mergeCell ref="CA8:CD8"/>
    <mergeCell ref="CM4:CO4"/>
    <mergeCell ref="CM5:CO5"/>
    <mergeCell ref="CM6:CP6"/>
    <mergeCell ref="CM7:CO7"/>
    <mergeCell ref="CM8:CP8"/>
    <mergeCell ref="CM9:CO9"/>
    <mergeCell ref="CM10:CP10"/>
    <mergeCell ref="CA9:CC9"/>
    <mergeCell ref="CA10:CD10"/>
    <mergeCell ref="CA11:CD11"/>
    <mergeCell ref="BI12:BL12"/>
    <mergeCell ref="BO12:BR12"/>
    <mergeCell ref="BI13:BL13"/>
    <mergeCell ref="BO13:BR13"/>
    <mergeCell ref="CM11:CP11"/>
    <mergeCell ref="CM12:CP12"/>
    <mergeCell ref="CM13:CP13"/>
    <mergeCell ref="CM14:CP14"/>
    <mergeCell ref="CM15:CP15"/>
    <mergeCell ref="CM16:CP16"/>
    <mergeCell ref="CM17:CP17"/>
    <mergeCell ref="CM25:CP25"/>
    <mergeCell ref="CM26:CP26"/>
    <mergeCell ref="CM27:CP27"/>
    <mergeCell ref="CM28:CP28"/>
    <mergeCell ref="CM29:CP29"/>
    <mergeCell ref="CM30:CP30"/>
    <mergeCell ref="CM18:CP18"/>
    <mergeCell ref="CM19:CP19"/>
    <mergeCell ref="CM20:CP20"/>
    <mergeCell ref="CM21:CP21"/>
    <mergeCell ref="CM22:CP22"/>
    <mergeCell ref="CM23:CP23"/>
    <mergeCell ref="CM24:CP24"/>
    <mergeCell ref="Y34:AA34"/>
    <mergeCell ref="Y35:AA35"/>
    <mergeCell ref="Y36:AA36"/>
    <mergeCell ref="Y37:AA37"/>
    <mergeCell ref="Y38:AB38"/>
    <mergeCell ref="Y39:AA39"/>
    <mergeCell ref="Y40:AB40"/>
    <mergeCell ref="Y48:AB48"/>
    <mergeCell ref="Y49:AB49"/>
    <mergeCell ref="Y50:AB50"/>
    <mergeCell ref="Y41:AB41"/>
    <mergeCell ref="Y42:AB42"/>
    <mergeCell ref="Y43:AB43"/>
    <mergeCell ref="Y44:AB44"/>
    <mergeCell ref="Y45:AB45"/>
    <mergeCell ref="Y46:AB46"/>
    <mergeCell ref="Y47:AB47"/>
    <mergeCell ref="AK49:AN49"/>
    <mergeCell ref="AK50:AN50"/>
    <mergeCell ref="AW50:AZ50"/>
    <mergeCell ref="AK42:AN42"/>
    <mergeCell ref="AK43:AN43"/>
    <mergeCell ref="AK44:AN44"/>
    <mergeCell ref="AK45:AN45"/>
    <mergeCell ref="AK46:AN46"/>
    <mergeCell ref="AK47:AN47"/>
    <mergeCell ref="AK48:AN48"/>
    <mergeCell ref="CM52:CP52"/>
    <mergeCell ref="CM53:CO53"/>
    <mergeCell ref="CA50:CC50"/>
    <mergeCell ref="CA51:CD51"/>
    <mergeCell ref="CM51:CO51"/>
    <mergeCell ref="CZ51:DB51"/>
    <mergeCell ref="CA52:CD52"/>
    <mergeCell ref="CZ52:DC52"/>
    <mergeCell ref="CA53:CD5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" width="21.88"/>
  </cols>
  <sheetData>
    <row r="1">
      <c r="A1" s="55"/>
      <c r="B1" s="56" t="s">
        <v>232</v>
      </c>
      <c r="C1" s="56" t="s">
        <v>233</v>
      </c>
      <c r="D1" s="56" t="s">
        <v>234</v>
      </c>
      <c r="E1" s="56" t="s">
        <v>235</v>
      </c>
      <c r="F1" s="56" t="s">
        <v>236</v>
      </c>
      <c r="G1" s="56" t="s">
        <v>237</v>
      </c>
      <c r="H1" s="56" t="s">
        <v>238</v>
      </c>
      <c r="I1" s="56" t="s">
        <v>239</v>
      </c>
      <c r="J1" s="56" t="s">
        <v>240</v>
      </c>
      <c r="K1" s="56" t="s">
        <v>241</v>
      </c>
      <c r="L1" s="56" t="s">
        <v>242</v>
      </c>
      <c r="M1" s="56" t="s">
        <v>243</v>
      </c>
      <c r="N1" s="56" t="s">
        <v>244</v>
      </c>
      <c r="O1" s="56" t="s">
        <v>245</v>
      </c>
      <c r="P1" s="56" t="s">
        <v>246</v>
      </c>
      <c r="Q1" s="56" t="s">
        <v>247</v>
      </c>
      <c r="R1" s="56" t="s">
        <v>248</v>
      </c>
      <c r="S1" s="56" t="s">
        <v>249</v>
      </c>
      <c r="T1" s="56" t="s">
        <v>250</v>
      </c>
      <c r="U1" s="56" t="s">
        <v>251</v>
      </c>
      <c r="V1" s="4"/>
      <c r="W1" s="4"/>
      <c r="X1" s="50"/>
      <c r="Y1" s="50"/>
      <c r="Z1" s="49"/>
      <c r="AC1" s="50"/>
      <c r="AD1" s="50"/>
      <c r="AE1" s="50"/>
      <c r="AF1" s="50"/>
      <c r="AG1" s="50"/>
      <c r="AH1" s="50"/>
      <c r="AI1" s="50"/>
      <c r="AJ1" s="50"/>
      <c r="AK1" s="50"/>
      <c r="AL1" s="49"/>
      <c r="AO1" s="50"/>
      <c r="AP1" s="50"/>
      <c r="AQ1" s="50"/>
      <c r="AR1" s="50"/>
      <c r="AS1" s="50"/>
      <c r="AT1" s="50"/>
      <c r="AU1" s="50"/>
      <c r="AV1" s="50"/>
      <c r="AW1" s="50"/>
      <c r="AX1" s="49"/>
      <c r="BA1" s="50"/>
      <c r="BB1" s="50"/>
      <c r="BC1" s="50"/>
      <c r="BD1" s="50"/>
      <c r="BE1" s="50"/>
      <c r="BF1" s="50"/>
      <c r="BG1" s="50"/>
      <c r="BH1" s="50"/>
      <c r="BI1" s="50"/>
      <c r="BJ1" s="49"/>
      <c r="BM1" s="50"/>
      <c r="BN1" s="50"/>
      <c r="BO1" s="50"/>
      <c r="BP1" s="49"/>
      <c r="BT1" s="50"/>
      <c r="BU1" s="50"/>
      <c r="BV1" s="50"/>
      <c r="BW1" s="50"/>
      <c r="BX1" s="50"/>
      <c r="BY1" s="50"/>
      <c r="BZ1" s="50"/>
      <c r="CA1" s="50"/>
      <c r="CB1" s="49"/>
      <c r="CE1" s="50"/>
      <c r="CF1" s="50"/>
      <c r="CG1" s="50"/>
      <c r="CH1" s="50"/>
      <c r="CI1" s="50"/>
      <c r="CJ1" s="50"/>
      <c r="CK1" s="50"/>
      <c r="CL1" s="50"/>
      <c r="CM1" s="50"/>
      <c r="CN1" s="49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</row>
    <row r="2">
      <c r="A2" s="56" t="s">
        <v>1188</v>
      </c>
      <c r="B2" s="57">
        <v>103.720621</v>
      </c>
      <c r="C2" s="57">
        <v>24.094746</v>
      </c>
      <c r="D2" s="57">
        <v>22.306865</v>
      </c>
      <c r="E2" s="57">
        <v>37.151563</v>
      </c>
      <c r="F2" s="57">
        <v>34.080988</v>
      </c>
      <c r="G2" s="57">
        <v>34.228938</v>
      </c>
      <c r="H2" s="57">
        <v>25.77255</v>
      </c>
      <c r="I2" s="57">
        <v>29.838353</v>
      </c>
      <c r="J2" s="57">
        <v>64.149671</v>
      </c>
      <c r="K2" s="57">
        <v>16.556056</v>
      </c>
      <c r="L2" s="57">
        <v>32.234963</v>
      </c>
      <c r="M2" s="57">
        <v>45.582351</v>
      </c>
      <c r="N2" s="57">
        <v>55.816606</v>
      </c>
      <c r="O2" s="57">
        <v>9.328828</v>
      </c>
      <c r="P2" s="57">
        <v>41.227368</v>
      </c>
      <c r="Q2" s="57">
        <v>9.646426</v>
      </c>
      <c r="R2" s="57">
        <v>47.631802</v>
      </c>
      <c r="S2" s="57">
        <v>13.659176</v>
      </c>
      <c r="T2" s="57">
        <v>32.398425</v>
      </c>
      <c r="U2" s="57">
        <v>19.244695</v>
      </c>
      <c r="V2" s="4"/>
      <c r="W2" s="4"/>
      <c r="X2" s="50"/>
      <c r="Y2" s="50"/>
      <c r="Z2" s="49"/>
      <c r="AF2" s="50"/>
      <c r="AG2" s="50"/>
      <c r="AH2" s="50"/>
      <c r="AI2" s="50"/>
      <c r="AJ2" s="50"/>
      <c r="AK2" s="50"/>
      <c r="AL2" s="49"/>
      <c r="AR2" s="50"/>
      <c r="AS2" s="50"/>
      <c r="AT2" s="50"/>
      <c r="AU2" s="50"/>
      <c r="AV2" s="50"/>
      <c r="AW2" s="50"/>
      <c r="AX2" s="49"/>
      <c r="BD2" s="50"/>
      <c r="BE2" s="50"/>
      <c r="BF2" s="50"/>
      <c r="BG2" s="50"/>
      <c r="BH2" s="50"/>
      <c r="BI2" s="50"/>
      <c r="BJ2" s="49"/>
      <c r="BP2" s="49"/>
      <c r="CB2" s="49"/>
      <c r="CH2" s="50"/>
      <c r="CI2" s="50"/>
      <c r="CJ2" s="50"/>
      <c r="CK2" s="50"/>
      <c r="CL2" s="50"/>
      <c r="CM2" s="50"/>
      <c r="CN2" s="49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</row>
    <row r="3">
      <c r="A3" s="56" t="s">
        <v>1188</v>
      </c>
      <c r="B3" s="57">
        <v>8.697091</v>
      </c>
      <c r="C3" s="57">
        <v>3.862218</v>
      </c>
      <c r="D3" s="57">
        <v>3.938977</v>
      </c>
      <c r="E3" s="57">
        <v>4.700954</v>
      </c>
      <c r="F3" s="57">
        <v>4.70055</v>
      </c>
      <c r="G3" s="57">
        <v>4.989553</v>
      </c>
      <c r="H3" s="57">
        <v>4.219239</v>
      </c>
      <c r="I3" s="57">
        <v>4.350176</v>
      </c>
      <c r="J3" s="57">
        <v>5.948962</v>
      </c>
      <c r="K3" s="57">
        <v>3.864676</v>
      </c>
      <c r="L3" s="57">
        <v>5.033261</v>
      </c>
      <c r="M3" s="57">
        <v>6.092872</v>
      </c>
      <c r="N3" s="57">
        <v>6.011053</v>
      </c>
      <c r="O3" s="57">
        <v>2.367954</v>
      </c>
      <c r="P3" s="57">
        <v>5.277863</v>
      </c>
      <c r="Q3" s="57">
        <v>2.1157</v>
      </c>
      <c r="R3" s="57">
        <v>6.124239</v>
      </c>
      <c r="S3" s="57">
        <v>3.422079</v>
      </c>
      <c r="T3" s="57">
        <v>5.538095</v>
      </c>
      <c r="U3" s="57">
        <v>3.727653</v>
      </c>
      <c r="V3" s="4"/>
      <c r="W3" s="4"/>
      <c r="X3" s="50"/>
      <c r="Y3" s="50"/>
      <c r="Z3" s="49"/>
      <c r="AC3" s="50"/>
      <c r="AD3" s="50"/>
      <c r="AE3" s="50"/>
      <c r="AF3" s="50"/>
      <c r="AG3" s="50"/>
      <c r="AH3" s="50"/>
      <c r="AI3" s="50"/>
      <c r="AJ3" s="50"/>
      <c r="AK3" s="50"/>
      <c r="AL3" s="49"/>
      <c r="AO3" s="50"/>
      <c r="AP3" s="50"/>
      <c r="AQ3" s="50"/>
      <c r="AR3" s="50"/>
      <c r="AS3" s="50"/>
      <c r="AT3" s="50"/>
      <c r="AU3" s="50"/>
      <c r="AV3" s="50"/>
      <c r="AW3" s="50"/>
      <c r="AX3" s="49"/>
      <c r="BA3" s="50"/>
      <c r="BB3" s="50"/>
      <c r="BC3" s="50"/>
      <c r="BD3" s="50"/>
      <c r="BE3" s="50"/>
      <c r="BF3" s="50"/>
      <c r="BG3" s="50"/>
      <c r="BH3" s="50"/>
      <c r="BI3" s="50"/>
      <c r="BJ3" s="49"/>
      <c r="BM3" s="50"/>
      <c r="BN3" s="50"/>
      <c r="BO3" s="50"/>
      <c r="BP3" s="49"/>
      <c r="BV3" s="50"/>
      <c r="BW3" s="50"/>
      <c r="BX3" s="50"/>
      <c r="BY3" s="50"/>
      <c r="BZ3" s="50"/>
      <c r="CA3" s="50"/>
      <c r="CB3" s="49"/>
      <c r="CE3" s="50"/>
      <c r="CF3" s="50"/>
      <c r="CG3" s="50"/>
      <c r="CH3" s="50"/>
      <c r="CI3" s="50"/>
      <c r="CJ3" s="50"/>
      <c r="CK3" s="50"/>
      <c r="CL3" s="50"/>
      <c r="CM3" s="50"/>
      <c r="CN3" s="49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</row>
    <row r="4">
      <c r="A4" s="56" t="s">
        <v>1188</v>
      </c>
      <c r="B4" s="57">
        <v>10.184332</v>
      </c>
      <c r="C4" s="57">
        <v>4.90864</v>
      </c>
      <c r="D4" s="57">
        <v>4.723014</v>
      </c>
      <c r="E4" s="57">
        <v>6.095208</v>
      </c>
      <c r="F4" s="57">
        <v>5.837892</v>
      </c>
      <c r="G4" s="57">
        <v>5.85055</v>
      </c>
      <c r="H4" s="57">
        <v>5.076667</v>
      </c>
      <c r="I4" s="57">
        <v>5.462449</v>
      </c>
      <c r="J4" s="57">
        <v>8.009349</v>
      </c>
      <c r="K4" s="57">
        <v>4.068913</v>
      </c>
      <c r="L4" s="57">
        <v>5.677584</v>
      </c>
      <c r="M4" s="57">
        <v>6.75147</v>
      </c>
      <c r="N4" s="57">
        <v>7.471051</v>
      </c>
      <c r="O4" s="57">
        <v>3.054313</v>
      </c>
      <c r="P4" s="57">
        <v>6.420854</v>
      </c>
      <c r="Q4" s="57">
        <v>3.10587</v>
      </c>
      <c r="R4" s="57">
        <v>6.90158</v>
      </c>
      <c r="S4" s="57">
        <v>3.695832</v>
      </c>
      <c r="T4" s="57">
        <v>5.691961</v>
      </c>
      <c r="U4" s="57">
        <v>4.386878</v>
      </c>
      <c r="V4" s="4"/>
      <c r="W4" s="4"/>
      <c r="X4" s="50"/>
      <c r="Y4" s="50"/>
      <c r="Z4" s="49"/>
      <c r="AC4" s="50"/>
      <c r="AD4" s="50"/>
      <c r="AE4" s="50"/>
      <c r="AF4" s="50"/>
      <c r="AG4" s="50"/>
      <c r="AH4" s="50"/>
      <c r="AI4" s="50"/>
      <c r="AJ4" s="50"/>
      <c r="AK4" s="50"/>
      <c r="AL4" s="49"/>
      <c r="AO4" s="50"/>
      <c r="AP4" s="50"/>
      <c r="AQ4" s="50"/>
      <c r="AR4" s="50"/>
      <c r="AS4" s="50"/>
      <c r="AT4" s="50"/>
      <c r="AU4" s="50"/>
      <c r="AV4" s="50"/>
      <c r="AW4" s="50"/>
      <c r="AX4" s="49"/>
      <c r="BA4" s="50"/>
      <c r="BB4" s="50"/>
      <c r="BC4" s="50"/>
      <c r="BD4" s="50"/>
      <c r="BE4" s="50"/>
      <c r="BF4" s="50"/>
      <c r="BG4" s="50"/>
      <c r="BH4" s="50"/>
      <c r="BI4" s="50"/>
      <c r="BJ4" s="49"/>
      <c r="BM4" s="50"/>
      <c r="BN4" s="50"/>
      <c r="BO4" s="50"/>
      <c r="BP4" s="49"/>
      <c r="BS4" s="50"/>
      <c r="BT4" s="50"/>
      <c r="BU4" s="50"/>
      <c r="BV4" s="50"/>
      <c r="BW4" s="50"/>
      <c r="BX4" s="50"/>
      <c r="BY4" s="50"/>
      <c r="BZ4" s="50"/>
      <c r="CA4" s="50"/>
      <c r="CB4" s="49"/>
      <c r="CE4" s="50"/>
      <c r="CF4" s="50"/>
      <c r="CG4" s="50"/>
      <c r="CH4" s="50"/>
      <c r="CI4" s="50"/>
      <c r="CJ4" s="50"/>
      <c r="CK4" s="50"/>
      <c r="CL4" s="50"/>
      <c r="CM4" s="50"/>
      <c r="CN4" s="49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</row>
    <row r="5">
      <c r="A5" s="56" t="s">
        <v>1189</v>
      </c>
      <c r="B5" s="57">
        <v>62.904804</v>
      </c>
      <c r="C5" s="57">
        <v>22.414783</v>
      </c>
      <c r="D5" s="57">
        <v>8.213176</v>
      </c>
      <c r="E5" s="57">
        <v>12.101942</v>
      </c>
      <c r="F5" s="57">
        <v>5.753738</v>
      </c>
      <c r="G5" s="57">
        <v>9.366288</v>
      </c>
      <c r="H5" s="57">
        <v>8.249763</v>
      </c>
      <c r="I5" s="57">
        <v>39.482123</v>
      </c>
      <c r="J5" s="57">
        <v>6.017887</v>
      </c>
      <c r="K5" s="57">
        <v>5.453332</v>
      </c>
      <c r="L5" s="57">
        <v>2.36123</v>
      </c>
      <c r="M5" s="57">
        <v>34.581088</v>
      </c>
      <c r="N5" s="57">
        <v>8.940003</v>
      </c>
      <c r="O5" s="57">
        <v>3.819592</v>
      </c>
      <c r="P5" s="57">
        <v>12.67252</v>
      </c>
      <c r="Q5" s="57">
        <v>6.395243</v>
      </c>
      <c r="R5" s="57">
        <v>8.939909</v>
      </c>
      <c r="S5" s="57">
        <v>26.884281</v>
      </c>
      <c r="T5" s="57">
        <v>14.357789</v>
      </c>
      <c r="U5" s="57">
        <v>8.696848</v>
      </c>
      <c r="V5" s="4"/>
      <c r="W5" s="4"/>
      <c r="X5" s="50"/>
      <c r="Y5" s="50"/>
      <c r="Z5" s="49"/>
      <c r="AC5" s="50"/>
      <c r="AD5" s="50"/>
      <c r="AE5" s="50"/>
      <c r="AF5" s="50"/>
      <c r="AG5" s="50"/>
      <c r="AH5" s="50"/>
      <c r="AI5" s="50"/>
      <c r="AJ5" s="50"/>
      <c r="AK5" s="50"/>
      <c r="AL5" s="49"/>
      <c r="AO5" s="50"/>
      <c r="AP5" s="50"/>
      <c r="AQ5" s="50"/>
      <c r="AR5" s="50"/>
      <c r="AS5" s="50"/>
      <c r="AT5" s="50"/>
      <c r="AU5" s="50"/>
      <c r="AV5" s="50"/>
      <c r="AW5" s="50"/>
      <c r="AX5" s="49"/>
      <c r="BA5" s="50"/>
      <c r="BB5" s="50"/>
      <c r="BC5" s="50"/>
      <c r="BD5" s="50"/>
      <c r="BE5" s="50"/>
      <c r="BF5" s="50"/>
      <c r="BG5" s="50"/>
      <c r="BH5" s="50"/>
      <c r="BI5" s="50"/>
      <c r="BJ5" s="49"/>
      <c r="BM5" s="50"/>
      <c r="BN5" s="50"/>
      <c r="BO5" s="50"/>
      <c r="BP5" s="49"/>
      <c r="BS5" s="50"/>
      <c r="BT5" s="50"/>
      <c r="BU5" s="50"/>
      <c r="BV5" s="50"/>
      <c r="BW5" s="50"/>
      <c r="BX5" s="50"/>
      <c r="BY5" s="50"/>
      <c r="BZ5" s="50"/>
      <c r="CA5" s="50"/>
      <c r="CB5" s="49"/>
      <c r="CE5" s="50"/>
      <c r="CF5" s="50"/>
      <c r="CG5" s="50"/>
      <c r="CH5" s="50"/>
      <c r="CI5" s="50"/>
      <c r="CJ5" s="50"/>
      <c r="CK5" s="50"/>
      <c r="CL5" s="50"/>
      <c r="CM5" s="50"/>
      <c r="CN5" s="49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</row>
    <row r="6">
      <c r="A6" s="56" t="s">
        <v>1189</v>
      </c>
      <c r="B6" s="57">
        <v>7.06904</v>
      </c>
      <c r="C6" s="57">
        <v>3.175156</v>
      </c>
      <c r="D6" s="57">
        <v>2.428425</v>
      </c>
      <c r="E6" s="57">
        <v>2.666454</v>
      </c>
      <c r="F6" s="57">
        <v>1.944266</v>
      </c>
      <c r="G6" s="57">
        <v>2.529312</v>
      </c>
      <c r="H6" s="57">
        <v>2.487574</v>
      </c>
      <c r="I6" s="57">
        <v>4.503927</v>
      </c>
      <c r="J6" s="57">
        <v>1.944601</v>
      </c>
      <c r="K6" s="57">
        <v>2.16282</v>
      </c>
      <c r="L6" s="57">
        <v>1.095214</v>
      </c>
      <c r="M6" s="57">
        <v>3.927106</v>
      </c>
      <c r="N6" s="57">
        <v>2.64477</v>
      </c>
      <c r="O6" s="57">
        <v>1.847537</v>
      </c>
      <c r="P6" s="57">
        <v>2.999338</v>
      </c>
      <c r="Q6" s="57">
        <v>2.252386</v>
      </c>
      <c r="R6" s="57">
        <v>2.626324</v>
      </c>
      <c r="S6" s="57">
        <v>4.838541</v>
      </c>
      <c r="T6" s="57">
        <v>3.091094</v>
      </c>
      <c r="U6" s="57">
        <v>2.794899</v>
      </c>
      <c r="V6" s="4"/>
      <c r="W6" s="4"/>
      <c r="X6" s="50"/>
      <c r="Y6" s="50"/>
      <c r="Z6" s="49"/>
      <c r="AD6" s="50"/>
      <c r="AE6" s="50"/>
      <c r="AF6" s="50"/>
      <c r="AG6" s="50"/>
      <c r="AH6" s="50"/>
      <c r="AI6" s="50"/>
      <c r="AJ6" s="50"/>
      <c r="AK6" s="50"/>
      <c r="AL6" s="49"/>
      <c r="AP6" s="50"/>
      <c r="AQ6" s="50"/>
      <c r="AR6" s="50"/>
      <c r="AS6" s="50"/>
      <c r="AT6" s="50"/>
      <c r="AU6" s="50"/>
      <c r="AV6" s="50"/>
      <c r="AW6" s="50"/>
      <c r="AX6" s="49"/>
      <c r="BB6" s="50"/>
      <c r="BC6" s="50"/>
      <c r="BD6" s="50"/>
      <c r="BE6" s="50"/>
      <c r="BF6" s="50"/>
      <c r="BG6" s="50"/>
      <c r="BH6" s="50"/>
      <c r="BI6" s="50"/>
      <c r="BJ6" s="49"/>
      <c r="BN6" s="50"/>
      <c r="BO6" s="50"/>
      <c r="BP6" s="49"/>
      <c r="BS6" s="50"/>
      <c r="BT6" s="50"/>
      <c r="BU6" s="50"/>
      <c r="BV6" s="50"/>
      <c r="BW6" s="50"/>
      <c r="BX6" s="50"/>
      <c r="BY6" s="50"/>
      <c r="BZ6" s="50"/>
      <c r="CA6" s="50"/>
      <c r="CB6" s="49"/>
      <c r="CF6" s="50"/>
      <c r="CG6" s="50"/>
      <c r="CH6" s="50"/>
      <c r="CI6" s="50"/>
      <c r="CJ6" s="50"/>
      <c r="CK6" s="50"/>
      <c r="CL6" s="50"/>
      <c r="CM6" s="50"/>
      <c r="CN6" s="49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</row>
    <row r="7">
      <c r="A7" s="56" t="s">
        <v>1189</v>
      </c>
      <c r="B7" s="57">
        <v>7.931255</v>
      </c>
      <c r="C7" s="57">
        <v>4.734425</v>
      </c>
      <c r="D7" s="57">
        <v>2.865864</v>
      </c>
      <c r="E7" s="57">
        <v>3.478785</v>
      </c>
      <c r="F7" s="57">
        <v>2.398695</v>
      </c>
      <c r="G7" s="57">
        <v>3.060439</v>
      </c>
      <c r="H7" s="57">
        <v>2.87224</v>
      </c>
      <c r="I7" s="57">
        <v>6.28348</v>
      </c>
      <c r="J7" s="57">
        <v>2.453138</v>
      </c>
      <c r="K7" s="57">
        <v>2.335237</v>
      </c>
      <c r="L7" s="57">
        <v>1.536629</v>
      </c>
      <c r="M7" s="57">
        <v>5.880569</v>
      </c>
      <c r="N7" s="57">
        <v>2.989984</v>
      </c>
      <c r="O7" s="57">
        <v>1.954378</v>
      </c>
      <c r="P7" s="57">
        <v>3.559848</v>
      </c>
      <c r="Q7" s="57">
        <v>2.528882</v>
      </c>
      <c r="R7" s="57">
        <v>2.989968</v>
      </c>
      <c r="S7" s="57">
        <v>5.185005</v>
      </c>
      <c r="T7" s="57">
        <v>3.789167</v>
      </c>
      <c r="U7" s="57">
        <v>2.949042</v>
      </c>
      <c r="V7" s="4"/>
      <c r="W7" s="4"/>
      <c r="X7" s="50"/>
      <c r="Y7" s="50"/>
      <c r="Z7" s="49"/>
      <c r="AC7" s="50"/>
      <c r="AD7" s="50"/>
      <c r="AE7" s="50"/>
      <c r="AF7" s="50"/>
      <c r="AG7" s="50"/>
      <c r="AH7" s="50"/>
      <c r="AI7" s="50"/>
      <c r="AJ7" s="50"/>
      <c r="AK7" s="50"/>
      <c r="AL7" s="49"/>
      <c r="AO7" s="50"/>
      <c r="AP7" s="50"/>
      <c r="AQ7" s="50"/>
      <c r="AR7" s="50"/>
      <c r="AS7" s="50"/>
      <c r="AT7" s="50"/>
      <c r="AU7" s="50"/>
      <c r="AV7" s="50"/>
      <c r="AW7" s="50"/>
      <c r="AX7" s="49"/>
      <c r="BA7" s="50"/>
      <c r="BB7" s="50"/>
      <c r="BC7" s="50"/>
      <c r="BD7" s="50"/>
      <c r="BE7" s="50"/>
      <c r="BF7" s="50"/>
      <c r="BG7" s="50"/>
      <c r="BH7" s="50"/>
      <c r="BI7" s="50"/>
      <c r="BJ7" s="49"/>
      <c r="BM7" s="50"/>
      <c r="BN7" s="50"/>
      <c r="BO7" s="50"/>
      <c r="BP7" s="49"/>
      <c r="BT7" s="50"/>
      <c r="BU7" s="50"/>
      <c r="BV7" s="50"/>
      <c r="BW7" s="50"/>
      <c r="BX7" s="50"/>
      <c r="BY7" s="50"/>
      <c r="BZ7" s="50"/>
      <c r="CA7" s="50"/>
      <c r="CB7" s="49"/>
      <c r="CE7" s="50"/>
      <c r="CF7" s="50"/>
      <c r="CG7" s="50"/>
      <c r="CH7" s="50"/>
      <c r="CI7" s="50"/>
      <c r="CJ7" s="50"/>
      <c r="CK7" s="50"/>
      <c r="CL7" s="50"/>
      <c r="CM7" s="50"/>
      <c r="CN7" s="49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</row>
    <row r="8">
      <c r="A8" s="56" t="s">
        <v>1190</v>
      </c>
      <c r="B8" s="56" t="s">
        <v>512</v>
      </c>
      <c r="C8" s="57">
        <v>26.574486</v>
      </c>
      <c r="D8" s="57">
        <v>43.247307</v>
      </c>
      <c r="E8" s="57">
        <v>15.414819</v>
      </c>
      <c r="F8" s="57">
        <v>27.938595</v>
      </c>
      <c r="G8" s="57">
        <v>9.898626</v>
      </c>
      <c r="H8" s="57">
        <v>49.955523</v>
      </c>
      <c r="I8" s="57">
        <v>24.234533</v>
      </c>
      <c r="J8" s="57">
        <v>25.99154</v>
      </c>
      <c r="K8" s="57">
        <v>7.570969</v>
      </c>
      <c r="L8" s="57">
        <v>38.984569</v>
      </c>
      <c r="M8" s="57">
        <v>37.934252</v>
      </c>
      <c r="N8" s="57">
        <v>6.178824</v>
      </c>
      <c r="O8" s="57">
        <v>15.894742</v>
      </c>
      <c r="P8" s="57">
        <v>5.197335</v>
      </c>
      <c r="Q8" s="57">
        <v>12.088552</v>
      </c>
      <c r="R8" s="57">
        <v>39.45111</v>
      </c>
      <c r="S8" s="57">
        <v>20.292063</v>
      </c>
      <c r="T8" s="57">
        <v>31.08647</v>
      </c>
      <c r="U8" s="57">
        <v>8.865228</v>
      </c>
      <c r="V8" s="4"/>
      <c r="W8" s="4"/>
      <c r="X8" s="50"/>
      <c r="Y8" s="50"/>
      <c r="Z8" s="49"/>
      <c r="AD8" s="50"/>
      <c r="AE8" s="50"/>
      <c r="AF8" s="50"/>
      <c r="AG8" s="50"/>
      <c r="AH8" s="50"/>
      <c r="AI8" s="50"/>
      <c r="AJ8" s="50"/>
      <c r="AK8" s="50"/>
      <c r="AL8" s="49"/>
      <c r="AP8" s="50"/>
      <c r="AQ8" s="50"/>
      <c r="AR8" s="50"/>
      <c r="AS8" s="50"/>
      <c r="AT8" s="50"/>
      <c r="AU8" s="50"/>
      <c r="AV8" s="50"/>
      <c r="AW8" s="50"/>
      <c r="AX8" s="49"/>
      <c r="BB8" s="50"/>
      <c r="BC8" s="50"/>
      <c r="BD8" s="50"/>
      <c r="BE8" s="50"/>
      <c r="BF8" s="50"/>
      <c r="BG8" s="50"/>
      <c r="BH8" s="50"/>
      <c r="BI8" s="50"/>
      <c r="BJ8" s="49"/>
      <c r="BN8" s="50"/>
      <c r="BO8" s="50"/>
      <c r="BP8" s="49"/>
      <c r="BS8" s="50"/>
      <c r="BT8" s="50"/>
      <c r="BU8" s="50"/>
      <c r="BV8" s="50"/>
      <c r="BW8" s="50"/>
      <c r="BX8" s="50"/>
      <c r="BY8" s="50"/>
      <c r="BZ8" s="50"/>
      <c r="CA8" s="50"/>
      <c r="CB8" s="49"/>
      <c r="CF8" s="50"/>
      <c r="CG8" s="50"/>
      <c r="CH8" s="50"/>
      <c r="CI8" s="50"/>
      <c r="CJ8" s="50"/>
      <c r="CK8" s="50"/>
      <c r="CL8" s="50"/>
      <c r="CM8" s="50"/>
      <c r="CN8" s="49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</row>
    <row r="9">
      <c r="A9" s="56" t="s">
        <v>1190</v>
      </c>
      <c r="B9" s="56" t="s">
        <v>532</v>
      </c>
      <c r="C9" s="57">
        <v>4.312533</v>
      </c>
      <c r="D9" s="57">
        <v>4.791664</v>
      </c>
      <c r="E9" s="57">
        <v>3.224413</v>
      </c>
      <c r="F9" s="57">
        <v>3.986543</v>
      </c>
      <c r="G9" s="57">
        <v>2.620231</v>
      </c>
      <c r="H9" s="57">
        <v>4.943956</v>
      </c>
      <c r="I9" s="57">
        <v>4.60768</v>
      </c>
      <c r="J9" s="57">
        <v>4.487377</v>
      </c>
      <c r="K9" s="57">
        <v>2.479326</v>
      </c>
      <c r="L9" s="57">
        <v>4.863105</v>
      </c>
      <c r="M9" s="57">
        <v>4.475922</v>
      </c>
      <c r="N9" s="57">
        <v>1.911662</v>
      </c>
      <c r="O9" s="57">
        <v>3.264581</v>
      </c>
      <c r="P9" s="57">
        <v>1.853037</v>
      </c>
      <c r="Q9" s="57">
        <v>2.914492</v>
      </c>
      <c r="R9" s="57">
        <v>4.846523</v>
      </c>
      <c r="S9" s="57">
        <v>4.309844</v>
      </c>
      <c r="T9" s="57">
        <v>4.924569</v>
      </c>
      <c r="U9" s="57">
        <v>2.680634</v>
      </c>
      <c r="V9" s="4"/>
      <c r="W9" s="4"/>
      <c r="X9" s="50"/>
      <c r="Y9" s="50"/>
      <c r="Z9" s="49"/>
      <c r="AC9" s="50"/>
      <c r="AD9" s="50"/>
      <c r="AE9" s="50"/>
      <c r="AF9" s="50"/>
      <c r="AG9" s="50"/>
      <c r="AH9" s="50"/>
      <c r="AI9" s="50"/>
      <c r="AJ9" s="50"/>
      <c r="AK9" s="50"/>
      <c r="AL9" s="49"/>
      <c r="AO9" s="50"/>
      <c r="AP9" s="50"/>
      <c r="AQ9" s="50"/>
      <c r="AR9" s="50"/>
      <c r="AS9" s="50"/>
      <c r="AT9" s="50"/>
      <c r="AU9" s="50"/>
      <c r="AV9" s="50"/>
      <c r="AW9" s="50"/>
      <c r="AX9" s="49"/>
      <c r="BA9" s="50"/>
      <c r="BB9" s="50"/>
      <c r="BC9" s="50"/>
      <c r="BD9" s="50"/>
      <c r="BE9" s="50"/>
      <c r="BF9" s="50"/>
      <c r="BG9" s="50"/>
      <c r="BH9" s="50"/>
      <c r="BI9" s="50"/>
      <c r="BJ9" s="49"/>
      <c r="BM9" s="50"/>
      <c r="BN9" s="50"/>
      <c r="BO9" s="50"/>
      <c r="BP9" s="49"/>
      <c r="BT9" s="50"/>
      <c r="BU9" s="50"/>
      <c r="BV9" s="50"/>
      <c r="BW9" s="50"/>
      <c r="BX9" s="50"/>
      <c r="BY9" s="50"/>
      <c r="BZ9" s="50"/>
      <c r="CA9" s="50"/>
      <c r="CB9" s="49"/>
      <c r="CE9" s="50"/>
      <c r="CF9" s="50"/>
      <c r="CG9" s="50"/>
      <c r="CH9" s="50"/>
      <c r="CI9" s="50"/>
      <c r="CJ9" s="50"/>
      <c r="CK9" s="50"/>
      <c r="CL9" s="50"/>
      <c r="CM9" s="50"/>
      <c r="CN9" s="49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</row>
    <row r="10">
      <c r="A10" s="56" t="s">
        <v>1190</v>
      </c>
      <c r="B10" s="56" t="s">
        <v>552</v>
      </c>
      <c r="C10" s="57">
        <v>5.155045</v>
      </c>
      <c r="D10" s="57">
        <v>6.576268</v>
      </c>
      <c r="E10" s="57">
        <v>3.926171</v>
      </c>
      <c r="F10" s="57">
        <v>5.285697</v>
      </c>
      <c r="G10" s="57">
        <v>3.146208</v>
      </c>
      <c r="H10" s="57">
        <v>7.067922</v>
      </c>
      <c r="I10" s="57">
        <v>4.922858</v>
      </c>
      <c r="J10" s="57">
        <v>5.09819</v>
      </c>
      <c r="K10" s="57">
        <v>2.751539</v>
      </c>
      <c r="L10" s="57">
        <v>6.243762</v>
      </c>
      <c r="M10" s="57">
        <v>6.159079</v>
      </c>
      <c r="N10" s="57">
        <v>2.485724</v>
      </c>
      <c r="O10" s="57">
        <v>3.986821</v>
      </c>
      <c r="P10" s="57">
        <v>2.279766</v>
      </c>
      <c r="Q10" s="57">
        <v>3.47686</v>
      </c>
      <c r="R10" s="57">
        <v>6.281012</v>
      </c>
      <c r="S10" s="57">
        <v>4.504671</v>
      </c>
      <c r="T10" s="57">
        <v>5.575524</v>
      </c>
      <c r="U10" s="57">
        <v>2.977453</v>
      </c>
      <c r="V10" s="4"/>
      <c r="W10" s="4"/>
      <c r="X10" s="50"/>
      <c r="Y10" s="50"/>
      <c r="Z10" s="49"/>
      <c r="AD10" s="50"/>
      <c r="AE10" s="50"/>
      <c r="AF10" s="50"/>
      <c r="AG10" s="50"/>
      <c r="AH10" s="50"/>
      <c r="AI10" s="50"/>
      <c r="AJ10" s="50"/>
      <c r="AK10" s="50"/>
      <c r="AL10" s="49"/>
      <c r="AP10" s="50"/>
      <c r="AQ10" s="50"/>
      <c r="AR10" s="50"/>
      <c r="AS10" s="50"/>
      <c r="AT10" s="50"/>
      <c r="AU10" s="50"/>
      <c r="AV10" s="50"/>
      <c r="AW10" s="50"/>
      <c r="AX10" s="49"/>
      <c r="BB10" s="50"/>
      <c r="BC10" s="50"/>
      <c r="BD10" s="50"/>
      <c r="BE10" s="50"/>
      <c r="BF10" s="50"/>
      <c r="BG10" s="50"/>
      <c r="BH10" s="50"/>
      <c r="BI10" s="50"/>
      <c r="BJ10" s="49"/>
      <c r="BN10" s="50"/>
      <c r="BO10" s="50"/>
      <c r="BP10" s="49"/>
      <c r="BS10" s="50"/>
      <c r="BT10" s="50"/>
      <c r="BU10" s="50"/>
      <c r="BV10" s="50"/>
      <c r="BW10" s="50"/>
      <c r="BX10" s="50"/>
      <c r="BY10" s="50"/>
      <c r="BZ10" s="50"/>
      <c r="CA10" s="50"/>
      <c r="CB10" s="49"/>
      <c r="CF10" s="50"/>
      <c r="CG10" s="50"/>
      <c r="CH10" s="50"/>
      <c r="CI10" s="50"/>
      <c r="CJ10" s="50"/>
      <c r="CK10" s="50"/>
      <c r="CL10" s="50"/>
      <c r="CM10" s="50"/>
      <c r="CN10" s="49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</row>
    <row r="11">
      <c r="A11" s="56" t="s">
        <v>1191</v>
      </c>
      <c r="B11" s="56" t="s">
        <v>572</v>
      </c>
      <c r="C11" s="56" t="s">
        <v>573</v>
      </c>
      <c r="D11" s="57">
        <v>16.207022</v>
      </c>
      <c r="E11" s="57">
        <v>21.287483</v>
      </c>
      <c r="F11" s="57">
        <v>11.587025</v>
      </c>
      <c r="G11" s="57">
        <v>35.855755</v>
      </c>
      <c r="H11" s="57">
        <v>14.197325</v>
      </c>
      <c r="I11" s="57">
        <v>24.95925</v>
      </c>
      <c r="J11" s="57">
        <v>8.594749</v>
      </c>
      <c r="K11" s="57">
        <v>48.68218</v>
      </c>
      <c r="L11" s="57">
        <v>7.605023</v>
      </c>
      <c r="M11" s="57">
        <v>47.605681</v>
      </c>
      <c r="N11" s="57">
        <v>15.781393</v>
      </c>
      <c r="O11" s="57">
        <v>45.71704</v>
      </c>
      <c r="P11" s="57">
        <v>10.933961</v>
      </c>
      <c r="Q11" s="57">
        <v>71.939539</v>
      </c>
      <c r="R11" s="57">
        <v>18.982337</v>
      </c>
      <c r="S11" s="57">
        <v>15.695316</v>
      </c>
      <c r="T11" s="57">
        <v>15.910372</v>
      </c>
      <c r="U11" s="57">
        <v>19.630015</v>
      </c>
      <c r="V11" s="4"/>
      <c r="W11" s="4"/>
      <c r="X11" s="50"/>
      <c r="Y11" s="50"/>
      <c r="Z11" s="49"/>
      <c r="AD11" s="50"/>
      <c r="AE11" s="50"/>
      <c r="AF11" s="50"/>
      <c r="AG11" s="50"/>
      <c r="AH11" s="50"/>
      <c r="AI11" s="50"/>
      <c r="AJ11" s="50"/>
      <c r="AK11" s="50"/>
      <c r="AL11" s="49"/>
      <c r="AP11" s="50"/>
      <c r="AQ11" s="50"/>
      <c r="AR11" s="50"/>
      <c r="AS11" s="50"/>
      <c r="AT11" s="50"/>
      <c r="AU11" s="50"/>
      <c r="AV11" s="50"/>
      <c r="AW11" s="50"/>
      <c r="AX11" s="49"/>
      <c r="BB11" s="50"/>
      <c r="BC11" s="50"/>
      <c r="BD11" s="50"/>
      <c r="BE11" s="50"/>
      <c r="BF11" s="50"/>
      <c r="BG11" s="50"/>
      <c r="BH11" s="50"/>
      <c r="BI11" s="50"/>
      <c r="BJ11" s="49"/>
      <c r="BN11" s="50"/>
      <c r="BO11" s="50"/>
      <c r="BP11" s="49"/>
      <c r="BT11" s="50"/>
      <c r="BU11" s="50"/>
      <c r="BV11" s="50"/>
      <c r="BW11" s="50"/>
      <c r="BX11" s="50"/>
      <c r="BY11" s="50"/>
      <c r="BZ11" s="50"/>
      <c r="CA11" s="50"/>
      <c r="CB11" s="49"/>
      <c r="CF11" s="50"/>
      <c r="CG11" s="50"/>
      <c r="CH11" s="50"/>
      <c r="CI11" s="50"/>
      <c r="CJ11" s="50"/>
      <c r="CK11" s="50"/>
      <c r="CL11" s="50"/>
      <c r="CM11" s="50"/>
      <c r="CN11" s="49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</row>
    <row r="12">
      <c r="A12" s="56" t="s">
        <v>1191</v>
      </c>
      <c r="B12" s="58"/>
      <c r="C12" s="56" t="s">
        <v>592</v>
      </c>
      <c r="D12" s="57">
        <v>3.423463</v>
      </c>
      <c r="E12" s="57">
        <v>3.882775</v>
      </c>
      <c r="F12" s="57">
        <v>2.872716</v>
      </c>
      <c r="G12" s="57">
        <v>4.275611</v>
      </c>
      <c r="H12" s="57">
        <v>3.184772</v>
      </c>
      <c r="I12" s="57">
        <v>4.101484</v>
      </c>
      <c r="J12" s="57">
        <v>2.449661</v>
      </c>
      <c r="K12" s="57">
        <v>6.145904</v>
      </c>
      <c r="L12" s="57">
        <v>2.202585</v>
      </c>
      <c r="M12" s="57">
        <v>6.10313</v>
      </c>
      <c r="N12" s="57">
        <v>2.73872</v>
      </c>
      <c r="O12" s="57">
        <v>5.844156</v>
      </c>
      <c r="P12" s="57">
        <v>2.718143</v>
      </c>
      <c r="Q12" s="57">
        <v>7.988549</v>
      </c>
      <c r="R12" s="57">
        <v>4.20712</v>
      </c>
      <c r="S12" s="57">
        <v>3.523641</v>
      </c>
      <c r="T12" s="57">
        <v>3.935321</v>
      </c>
      <c r="U12" s="57">
        <v>4.329497</v>
      </c>
      <c r="V12" s="4"/>
      <c r="W12" s="4"/>
      <c r="X12" s="50"/>
      <c r="Y12" s="50"/>
      <c r="Z12" s="49"/>
      <c r="AD12" s="50"/>
      <c r="AE12" s="50"/>
      <c r="AF12" s="50"/>
      <c r="AG12" s="50"/>
      <c r="AH12" s="50"/>
      <c r="AI12" s="50"/>
      <c r="AJ12" s="50"/>
      <c r="AK12" s="50"/>
      <c r="AL12" s="49"/>
      <c r="AP12" s="50"/>
      <c r="AQ12" s="50"/>
      <c r="AR12" s="50"/>
      <c r="AS12" s="50"/>
      <c r="AT12" s="50"/>
      <c r="AU12" s="50"/>
      <c r="AV12" s="50"/>
      <c r="AW12" s="50"/>
      <c r="AX12" s="49"/>
      <c r="BB12" s="50"/>
      <c r="BC12" s="50"/>
      <c r="BD12" s="50"/>
      <c r="BE12" s="50"/>
      <c r="BF12" s="50"/>
      <c r="BG12" s="50"/>
      <c r="BH12" s="50"/>
      <c r="BI12" s="50"/>
      <c r="BJ12" s="49"/>
      <c r="BN12" s="50"/>
      <c r="BO12" s="50"/>
      <c r="BP12" s="49"/>
      <c r="BT12" s="50"/>
      <c r="BU12" s="50"/>
      <c r="BV12" s="50"/>
      <c r="BW12" s="50"/>
      <c r="BX12" s="50"/>
      <c r="BY12" s="50"/>
      <c r="BZ12" s="50"/>
      <c r="CA12" s="50"/>
      <c r="CB12" s="49"/>
      <c r="CF12" s="50"/>
      <c r="CG12" s="50"/>
      <c r="CH12" s="50"/>
      <c r="CI12" s="50"/>
      <c r="CJ12" s="50"/>
      <c r="CK12" s="50"/>
      <c r="CL12" s="50"/>
      <c r="CM12" s="50"/>
      <c r="CN12" s="49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</row>
    <row r="13">
      <c r="A13" s="56" t="s">
        <v>1191</v>
      </c>
      <c r="B13" s="58"/>
      <c r="C13" s="56" t="s">
        <v>611</v>
      </c>
      <c r="D13" s="57">
        <v>4.025795</v>
      </c>
      <c r="E13" s="57">
        <v>4.613836</v>
      </c>
      <c r="F13" s="57">
        <v>3.403972</v>
      </c>
      <c r="G13" s="57">
        <v>5.987967</v>
      </c>
      <c r="H13" s="57">
        <v>3.767934</v>
      </c>
      <c r="I13" s="57">
        <v>4.995923</v>
      </c>
      <c r="J13" s="57">
        <v>2.93168</v>
      </c>
      <c r="K13" s="57">
        <v>6.977262</v>
      </c>
      <c r="L13" s="57">
        <v>2.757721</v>
      </c>
      <c r="M13" s="57">
        <v>6.899687</v>
      </c>
      <c r="N13" s="57">
        <v>3.97258</v>
      </c>
      <c r="O13" s="57">
        <v>6.761438</v>
      </c>
      <c r="P13" s="57">
        <v>3.306654</v>
      </c>
      <c r="Q13" s="57">
        <v>8.481718</v>
      </c>
      <c r="R13" s="57">
        <v>4.356872</v>
      </c>
      <c r="S13" s="57">
        <v>3.961731</v>
      </c>
      <c r="T13" s="57">
        <v>3.988781</v>
      </c>
      <c r="U13" s="57">
        <v>4.430577</v>
      </c>
      <c r="V13" s="4"/>
      <c r="W13" s="4"/>
      <c r="X13" s="50"/>
      <c r="Y13" s="50"/>
      <c r="Z13" s="49"/>
      <c r="AD13" s="50"/>
      <c r="AE13" s="50"/>
      <c r="AF13" s="50"/>
      <c r="AG13" s="50"/>
      <c r="AH13" s="50"/>
      <c r="AI13" s="50"/>
      <c r="AJ13" s="50"/>
      <c r="AK13" s="50"/>
      <c r="AL13" s="49"/>
      <c r="AP13" s="50"/>
      <c r="AQ13" s="50"/>
      <c r="AR13" s="50"/>
      <c r="AS13" s="50"/>
      <c r="AT13" s="50"/>
      <c r="AU13" s="50"/>
      <c r="AV13" s="50"/>
      <c r="AW13" s="50"/>
      <c r="AX13" s="49"/>
      <c r="BB13" s="50"/>
      <c r="BC13" s="50"/>
      <c r="BD13" s="50"/>
      <c r="BE13" s="50"/>
      <c r="BF13" s="50"/>
      <c r="BG13" s="50"/>
      <c r="BH13" s="50"/>
      <c r="BI13" s="50"/>
      <c r="BJ13" s="49"/>
      <c r="BN13" s="50"/>
      <c r="BO13" s="50"/>
      <c r="BP13" s="49"/>
      <c r="BT13" s="50"/>
      <c r="BU13" s="50"/>
      <c r="BV13" s="50"/>
      <c r="BW13" s="50"/>
      <c r="BX13" s="50"/>
      <c r="BY13" s="50"/>
      <c r="BZ13" s="50"/>
      <c r="CA13" s="50"/>
      <c r="CB13" s="49"/>
      <c r="CF13" s="50"/>
      <c r="CG13" s="50"/>
      <c r="CH13" s="50"/>
      <c r="CI13" s="50"/>
      <c r="CJ13" s="50"/>
      <c r="CK13" s="50"/>
      <c r="CL13" s="50"/>
      <c r="CM13" s="50"/>
      <c r="CN13" s="49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</row>
    <row r="14">
      <c r="A14" s="56" t="s">
        <v>1192</v>
      </c>
      <c r="B14" s="58"/>
      <c r="C14" s="56" t="s">
        <v>630</v>
      </c>
      <c r="D14" s="56" t="s">
        <v>631</v>
      </c>
      <c r="E14" s="57">
        <v>33.095953</v>
      </c>
      <c r="F14" s="57">
        <v>41.057557</v>
      </c>
      <c r="G14" s="57">
        <v>20.57143</v>
      </c>
      <c r="H14" s="57">
        <v>17.935957</v>
      </c>
      <c r="I14" s="57">
        <v>12.317332</v>
      </c>
      <c r="J14" s="57">
        <v>48.903713</v>
      </c>
      <c r="K14" s="57">
        <v>43.890444</v>
      </c>
      <c r="L14" s="57">
        <v>13.186256</v>
      </c>
      <c r="M14" s="57">
        <v>7.332097</v>
      </c>
      <c r="N14" s="57">
        <v>22.746688</v>
      </c>
      <c r="O14" s="57">
        <v>5.14012</v>
      </c>
      <c r="P14" s="57">
        <v>28.545023</v>
      </c>
      <c r="Q14" s="57">
        <v>24.451609</v>
      </c>
      <c r="R14" s="57">
        <v>22.591566</v>
      </c>
      <c r="S14" s="57">
        <v>26.993272</v>
      </c>
      <c r="T14" s="57">
        <v>20.832842</v>
      </c>
      <c r="U14" s="57">
        <v>3.025351</v>
      </c>
      <c r="V14" s="4"/>
      <c r="W14" s="4"/>
      <c r="X14" s="50"/>
      <c r="Y14" s="50"/>
      <c r="Z14" s="49"/>
      <c r="AD14" s="50"/>
      <c r="AE14" s="50"/>
      <c r="AF14" s="50"/>
      <c r="AG14" s="50"/>
      <c r="AH14" s="50"/>
      <c r="AI14" s="50"/>
      <c r="AJ14" s="50"/>
      <c r="AK14" s="50"/>
      <c r="AL14" s="49"/>
      <c r="AP14" s="50"/>
      <c r="AQ14" s="50"/>
      <c r="AR14" s="50"/>
      <c r="AS14" s="50"/>
      <c r="AT14" s="50"/>
      <c r="AU14" s="50"/>
      <c r="AV14" s="50"/>
      <c r="AW14" s="50"/>
      <c r="AX14" s="49"/>
      <c r="BB14" s="50"/>
      <c r="BC14" s="50"/>
      <c r="BD14" s="50"/>
      <c r="BE14" s="50"/>
      <c r="BF14" s="50"/>
      <c r="BG14" s="50"/>
      <c r="BH14" s="50"/>
      <c r="BI14" s="50"/>
      <c r="BJ14" s="49"/>
      <c r="BN14" s="50"/>
      <c r="BO14" s="50"/>
      <c r="BP14" s="49"/>
      <c r="BT14" s="50"/>
      <c r="BU14" s="50"/>
      <c r="BV14" s="50"/>
      <c r="BW14" s="50"/>
      <c r="BX14" s="50"/>
      <c r="BY14" s="50"/>
      <c r="BZ14" s="50"/>
      <c r="CA14" s="50"/>
      <c r="CB14" s="49"/>
      <c r="CF14" s="50"/>
      <c r="CG14" s="50"/>
      <c r="CH14" s="50"/>
      <c r="CI14" s="50"/>
      <c r="CJ14" s="50"/>
      <c r="CK14" s="50"/>
      <c r="CL14" s="50"/>
      <c r="CM14" s="50"/>
      <c r="CN14" s="49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</row>
    <row r="15">
      <c r="A15" s="56" t="s">
        <v>1192</v>
      </c>
      <c r="B15" s="58"/>
      <c r="C15" s="58"/>
      <c r="D15" s="56" t="s">
        <v>649</v>
      </c>
      <c r="E15" s="57">
        <v>4.556895</v>
      </c>
      <c r="F15" s="57">
        <v>4.674864</v>
      </c>
      <c r="G15" s="57">
        <v>4.027577</v>
      </c>
      <c r="H15" s="57">
        <v>3.487995</v>
      </c>
      <c r="I15" s="57">
        <v>2.954911</v>
      </c>
      <c r="J15" s="57">
        <v>5.422515</v>
      </c>
      <c r="K15" s="57">
        <v>5.855726</v>
      </c>
      <c r="L15" s="57">
        <v>3.092877</v>
      </c>
      <c r="M15" s="57">
        <v>2.489023</v>
      </c>
      <c r="N15" s="57">
        <v>3.250904</v>
      </c>
      <c r="O15" s="57">
        <v>1.885052</v>
      </c>
      <c r="P15" s="57">
        <v>4.829883</v>
      </c>
      <c r="Q15" s="57">
        <v>4.928508</v>
      </c>
      <c r="R15" s="57">
        <v>4.404974</v>
      </c>
      <c r="S15" s="57">
        <v>4.692656</v>
      </c>
      <c r="T15" s="57">
        <v>3.962348</v>
      </c>
      <c r="U15" s="57">
        <v>1.722638</v>
      </c>
      <c r="V15" s="4"/>
      <c r="W15" s="4"/>
      <c r="X15" s="50"/>
      <c r="Y15" s="50"/>
      <c r="Z15" s="49"/>
      <c r="AD15" s="50"/>
      <c r="AE15" s="50"/>
      <c r="AF15" s="50"/>
      <c r="AG15" s="50"/>
      <c r="AH15" s="50"/>
      <c r="AI15" s="50"/>
      <c r="AJ15" s="50"/>
      <c r="AK15" s="50"/>
      <c r="AL15" s="49"/>
      <c r="AP15" s="50"/>
      <c r="AQ15" s="50"/>
      <c r="AR15" s="50"/>
      <c r="AS15" s="50"/>
      <c r="AT15" s="50"/>
      <c r="AU15" s="50"/>
      <c r="AV15" s="50"/>
      <c r="AW15" s="50"/>
      <c r="AX15" s="49"/>
      <c r="BB15" s="50"/>
      <c r="BC15" s="50"/>
      <c r="BD15" s="50"/>
      <c r="BE15" s="50"/>
      <c r="BF15" s="50"/>
      <c r="BG15" s="50"/>
      <c r="BH15" s="50"/>
      <c r="BI15" s="50"/>
      <c r="BJ15" s="49"/>
      <c r="BN15" s="50"/>
      <c r="BO15" s="50"/>
      <c r="BP15" s="49"/>
      <c r="BT15" s="50"/>
      <c r="BU15" s="50"/>
      <c r="BV15" s="50"/>
      <c r="BW15" s="50"/>
      <c r="BX15" s="50"/>
      <c r="BY15" s="50"/>
      <c r="BZ15" s="50"/>
      <c r="CA15" s="50"/>
      <c r="CB15" s="49"/>
      <c r="CF15" s="50"/>
      <c r="CG15" s="50"/>
      <c r="CH15" s="50"/>
      <c r="CI15" s="50"/>
      <c r="CJ15" s="50"/>
      <c r="CK15" s="50"/>
      <c r="CL15" s="50"/>
      <c r="CM15" s="50"/>
      <c r="CN15" s="49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</row>
    <row r="16">
      <c r="A16" s="56" t="s">
        <v>1192</v>
      </c>
      <c r="B16" s="58"/>
      <c r="C16" s="58"/>
      <c r="D16" s="56" t="s">
        <v>667</v>
      </c>
      <c r="E16" s="57">
        <v>5.752908</v>
      </c>
      <c r="F16" s="57">
        <v>6.407617</v>
      </c>
      <c r="G16" s="57">
        <v>4.535574</v>
      </c>
      <c r="H16" s="57">
        <v>4.235086</v>
      </c>
      <c r="I16" s="57">
        <v>3.509606</v>
      </c>
      <c r="J16" s="57">
        <v>6.993119</v>
      </c>
      <c r="K16" s="57">
        <v>6.624986</v>
      </c>
      <c r="L16" s="57">
        <v>3.631288</v>
      </c>
      <c r="M16" s="57">
        <v>2.707784</v>
      </c>
      <c r="N16" s="57">
        <v>4.769349</v>
      </c>
      <c r="O16" s="57">
        <v>2.267183</v>
      </c>
      <c r="P16" s="57">
        <v>5.342754</v>
      </c>
      <c r="Q16" s="57">
        <v>4.944857</v>
      </c>
      <c r="R16" s="57">
        <v>4.753059</v>
      </c>
      <c r="S16" s="57">
        <v>5.195505</v>
      </c>
      <c r="T16" s="57">
        <v>4.564301</v>
      </c>
      <c r="U16" s="57">
        <v>1.739354</v>
      </c>
      <c r="V16" s="4"/>
      <c r="W16" s="4"/>
      <c r="X16" s="50"/>
      <c r="Y16" s="50"/>
      <c r="Z16" s="49"/>
      <c r="AD16" s="50"/>
      <c r="AE16" s="50"/>
      <c r="AF16" s="50"/>
      <c r="AG16" s="50"/>
      <c r="AH16" s="50"/>
      <c r="AI16" s="50"/>
      <c r="AJ16" s="50"/>
      <c r="AK16" s="50"/>
      <c r="AL16" s="49"/>
      <c r="AP16" s="50"/>
      <c r="AQ16" s="50"/>
      <c r="AR16" s="50"/>
      <c r="AS16" s="50"/>
      <c r="AT16" s="50"/>
      <c r="AU16" s="50"/>
      <c r="AV16" s="50"/>
      <c r="AW16" s="50"/>
      <c r="AX16" s="49"/>
      <c r="BB16" s="50"/>
      <c r="BC16" s="50"/>
      <c r="BD16" s="50"/>
      <c r="BE16" s="50"/>
      <c r="BF16" s="50"/>
      <c r="BG16" s="50"/>
      <c r="BH16" s="50"/>
      <c r="BI16" s="50"/>
      <c r="BJ16" s="49"/>
      <c r="BN16" s="50"/>
      <c r="BO16" s="50"/>
      <c r="BP16" s="49"/>
      <c r="BT16" s="50"/>
      <c r="BU16" s="50"/>
      <c r="BV16" s="50"/>
      <c r="BW16" s="50"/>
      <c r="BX16" s="50"/>
      <c r="BY16" s="50"/>
      <c r="BZ16" s="50"/>
      <c r="CA16" s="50"/>
      <c r="CB16" s="49"/>
      <c r="CF16" s="50"/>
      <c r="CG16" s="50"/>
      <c r="CH16" s="50"/>
      <c r="CI16" s="50"/>
      <c r="CJ16" s="50"/>
      <c r="CK16" s="50"/>
      <c r="CL16" s="50"/>
      <c r="CM16" s="50"/>
      <c r="CN16" s="49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</row>
    <row r="17">
      <c r="A17" s="56" t="s">
        <v>1193</v>
      </c>
      <c r="B17" s="58"/>
      <c r="C17" s="58"/>
      <c r="D17" s="56" t="s">
        <v>685</v>
      </c>
      <c r="E17" s="56" t="s">
        <v>686</v>
      </c>
      <c r="F17" s="57">
        <v>19.918044</v>
      </c>
      <c r="G17" s="57">
        <v>34.543515</v>
      </c>
      <c r="H17" s="57">
        <v>9.662942</v>
      </c>
      <c r="I17" s="57">
        <v>39.174716</v>
      </c>
      <c r="J17" s="57">
        <v>17.829701</v>
      </c>
      <c r="K17" s="57">
        <v>10.956207</v>
      </c>
      <c r="L17" s="57">
        <v>8.926361</v>
      </c>
      <c r="M17" s="57">
        <v>7.232382</v>
      </c>
      <c r="N17" s="57">
        <v>46.063321</v>
      </c>
      <c r="O17" s="57">
        <v>37.441237</v>
      </c>
      <c r="P17" s="57">
        <v>12.809067</v>
      </c>
      <c r="Q17" s="57">
        <v>20.456088</v>
      </c>
      <c r="R17" s="57">
        <v>22.942371</v>
      </c>
      <c r="S17" s="57">
        <v>13.170966</v>
      </c>
      <c r="T17" s="57">
        <v>6.98498</v>
      </c>
      <c r="U17" s="57">
        <v>19.99113</v>
      </c>
      <c r="V17" s="4"/>
      <c r="W17" s="4"/>
      <c r="X17" s="50"/>
      <c r="Y17" s="50"/>
      <c r="Z17" s="49"/>
      <c r="AD17" s="50"/>
      <c r="AE17" s="50"/>
      <c r="AF17" s="50"/>
      <c r="AG17" s="50"/>
      <c r="AH17" s="50"/>
      <c r="AI17" s="50"/>
      <c r="AJ17" s="50"/>
      <c r="AK17" s="50"/>
      <c r="AL17" s="49"/>
      <c r="AP17" s="50"/>
      <c r="AQ17" s="50"/>
      <c r="AR17" s="50"/>
      <c r="AS17" s="50"/>
      <c r="AT17" s="50"/>
      <c r="AU17" s="50"/>
      <c r="AV17" s="50"/>
      <c r="AW17" s="50"/>
      <c r="AX17" s="49"/>
      <c r="BB17" s="50"/>
      <c r="BC17" s="50"/>
      <c r="BD17" s="50"/>
      <c r="BE17" s="50"/>
      <c r="BF17" s="50"/>
      <c r="BG17" s="50"/>
      <c r="BH17" s="50"/>
      <c r="BI17" s="50"/>
      <c r="BJ17" s="49"/>
      <c r="BN17" s="50"/>
      <c r="BO17" s="50"/>
      <c r="BP17" s="49"/>
      <c r="BT17" s="50"/>
      <c r="BU17" s="50"/>
      <c r="BV17" s="50"/>
      <c r="BW17" s="50"/>
      <c r="BX17" s="50"/>
      <c r="BY17" s="50"/>
      <c r="BZ17" s="50"/>
      <c r="CA17" s="50"/>
      <c r="CB17" s="49"/>
      <c r="CF17" s="50"/>
      <c r="CG17" s="50"/>
      <c r="CH17" s="50"/>
      <c r="CI17" s="50"/>
      <c r="CJ17" s="50"/>
      <c r="CK17" s="50"/>
      <c r="CL17" s="50"/>
      <c r="CM17" s="50"/>
      <c r="CN17" s="49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</row>
    <row r="18">
      <c r="A18" s="56" t="s">
        <v>1193</v>
      </c>
      <c r="B18" s="58"/>
      <c r="C18" s="58"/>
      <c r="D18" s="58"/>
      <c r="E18" s="56" t="s">
        <v>703</v>
      </c>
      <c r="F18" s="57">
        <v>3.812376</v>
      </c>
      <c r="G18" s="57">
        <v>4.988123</v>
      </c>
      <c r="H18" s="57">
        <v>2.635741</v>
      </c>
      <c r="I18" s="57">
        <v>4.971505</v>
      </c>
      <c r="J18" s="57">
        <v>2.865712</v>
      </c>
      <c r="K18" s="57">
        <v>2.862669</v>
      </c>
      <c r="L18" s="57">
        <v>2.149842</v>
      </c>
      <c r="M18" s="57">
        <v>2.087963</v>
      </c>
      <c r="N18" s="57">
        <v>6.1073</v>
      </c>
      <c r="O18" s="57">
        <v>4.13616</v>
      </c>
      <c r="P18" s="57">
        <v>3.047416</v>
      </c>
      <c r="Q18" s="57">
        <v>4.456096</v>
      </c>
      <c r="R18" s="57">
        <v>4.202599</v>
      </c>
      <c r="S18" s="57">
        <v>3.155789</v>
      </c>
      <c r="T18" s="57">
        <v>2.028116</v>
      </c>
      <c r="U18" s="57">
        <v>4.403507</v>
      </c>
      <c r="V18" s="4"/>
      <c r="W18" s="4"/>
      <c r="X18" s="50"/>
      <c r="Y18" s="50"/>
      <c r="Z18" s="49"/>
      <c r="AD18" s="50"/>
      <c r="AE18" s="50"/>
      <c r="AF18" s="50"/>
      <c r="AG18" s="50"/>
      <c r="AH18" s="50"/>
      <c r="AI18" s="50"/>
      <c r="AJ18" s="50"/>
      <c r="AK18" s="50"/>
      <c r="AL18" s="49"/>
      <c r="AP18" s="50"/>
      <c r="AQ18" s="50"/>
      <c r="AR18" s="50"/>
      <c r="AS18" s="50"/>
      <c r="AT18" s="50"/>
      <c r="AU18" s="50"/>
      <c r="AV18" s="50"/>
      <c r="AW18" s="50"/>
      <c r="AX18" s="49"/>
      <c r="BB18" s="50"/>
      <c r="BC18" s="50"/>
      <c r="BD18" s="50"/>
      <c r="BE18" s="50"/>
      <c r="BF18" s="50"/>
      <c r="BG18" s="50"/>
      <c r="BH18" s="50"/>
      <c r="BI18" s="50"/>
      <c r="BJ18" s="49"/>
      <c r="BN18" s="50"/>
      <c r="BO18" s="50"/>
      <c r="BP18" s="49"/>
      <c r="BT18" s="50"/>
      <c r="BU18" s="50"/>
      <c r="BV18" s="50"/>
      <c r="BW18" s="50"/>
      <c r="BX18" s="50"/>
      <c r="BY18" s="50"/>
      <c r="BZ18" s="50"/>
      <c r="CA18" s="50"/>
      <c r="CB18" s="49"/>
      <c r="CF18" s="50"/>
      <c r="CG18" s="50"/>
      <c r="CH18" s="50"/>
      <c r="CI18" s="50"/>
      <c r="CJ18" s="50"/>
      <c r="CK18" s="50"/>
      <c r="CL18" s="50"/>
      <c r="CM18" s="50"/>
      <c r="CN18" s="49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</row>
    <row r="19">
      <c r="A19" s="56" t="s">
        <v>1193</v>
      </c>
      <c r="B19" s="58"/>
      <c r="C19" s="58"/>
      <c r="D19" s="58"/>
      <c r="E19" s="56" t="s">
        <v>720</v>
      </c>
      <c r="F19" s="57">
        <v>4.462964</v>
      </c>
      <c r="G19" s="57">
        <v>5.877373</v>
      </c>
      <c r="H19" s="57">
        <v>3.108527</v>
      </c>
      <c r="I19" s="57">
        <v>6.258971</v>
      </c>
      <c r="J19" s="57">
        <v>4.222523</v>
      </c>
      <c r="K19" s="57">
        <v>3.310016</v>
      </c>
      <c r="L19" s="57">
        <v>2.987702</v>
      </c>
      <c r="M19" s="57">
        <v>2.689309</v>
      </c>
      <c r="N19" s="57">
        <v>6.786996</v>
      </c>
      <c r="O19" s="57">
        <v>6.118924</v>
      </c>
      <c r="P19" s="57">
        <v>3.578976</v>
      </c>
      <c r="Q19" s="57">
        <v>4.522841</v>
      </c>
      <c r="R19" s="57">
        <v>4.78982</v>
      </c>
      <c r="S19" s="57">
        <v>3.629183</v>
      </c>
      <c r="T19" s="57">
        <v>2.642911</v>
      </c>
      <c r="U19" s="57">
        <v>4.471144</v>
      </c>
      <c r="V19" s="4"/>
      <c r="W19" s="4"/>
      <c r="X19" s="50"/>
      <c r="Y19" s="50"/>
      <c r="Z19" s="49"/>
      <c r="AD19" s="50"/>
      <c r="AE19" s="50"/>
      <c r="AF19" s="50"/>
      <c r="AG19" s="50"/>
      <c r="AH19" s="50"/>
      <c r="AI19" s="50"/>
      <c r="AJ19" s="50"/>
      <c r="AK19" s="50"/>
      <c r="AL19" s="49"/>
      <c r="AP19" s="50"/>
      <c r="AQ19" s="50"/>
      <c r="AR19" s="50"/>
      <c r="AS19" s="50"/>
      <c r="AT19" s="50"/>
      <c r="AU19" s="50"/>
      <c r="AV19" s="50"/>
      <c r="AW19" s="50"/>
      <c r="AX19" s="49"/>
      <c r="BB19" s="50"/>
      <c r="BC19" s="50"/>
      <c r="BD19" s="50"/>
      <c r="BE19" s="50"/>
      <c r="BF19" s="50"/>
      <c r="BG19" s="50"/>
      <c r="BH19" s="50"/>
      <c r="BI19" s="50"/>
      <c r="BJ19" s="49"/>
      <c r="BN19" s="50"/>
      <c r="BO19" s="50"/>
      <c r="BP19" s="49"/>
      <c r="BT19" s="50"/>
      <c r="BU19" s="50"/>
      <c r="BV19" s="50"/>
      <c r="BW19" s="50"/>
      <c r="BX19" s="50"/>
      <c r="BY19" s="50"/>
      <c r="BZ19" s="50"/>
      <c r="CA19" s="50"/>
      <c r="CB19" s="49"/>
      <c r="CF19" s="50"/>
      <c r="CG19" s="50"/>
      <c r="CH19" s="50"/>
      <c r="CI19" s="50"/>
      <c r="CJ19" s="50"/>
      <c r="CK19" s="50"/>
      <c r="CL19" s="50"/>
      <c r="CM19" s="50"/>
      <c r="CN19" s="49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</row>
    <row r="20">
      <c r="A20" s="56" t="s">
        <v>1194</v>
      </c>
      <c r="B20" s="59"/>
      <c r="C20" s="58"/>
      <c r="D20" s="58"/>
      <c r="E20" s="56" t="s">
        <v>737</v>
      </c>
      <c r="F20" s="56" t="s">
        <v>738</v>
      </c>
      <c r="G20" s="57">
        <v>22.282436</v>
      </c>
      <c r="H20" s="57">
        <v>44.177715</v>
      </c>
      <c r="I20" s="57">
        <v>17.388167</v>
      </c>
      <c r="J20" s="57">
        <v>13.247204</v>
      </c>
      <c r="K20" s="57">
        <v>21.525902</v>
      </c>
      <c r="L20" s="57">
        <v>33.058467</v>
      </c>
      <c r="M20" s="57">
        <v>25.188716</v>
      </c>
      <c r="N20" s="57">
        <v>45.329373</v>
      </c>
      <c r="O20" s="57">
        <v>32.198463</v>
      </c>
      <c r="P20" s="57">
        <v>32.500751</v>
      </c>
      <c r="Q20" s="57">
        <v>12.500813</v>
      </c>
      <c r="R20" s="57">
        <v>22.956744</v>
      </c>
      <c r="S20" s="57">
        <v>9.582943</v>
      </c>
      <c r="T20" s="57">
        <v>14.905815</v>
      </c>
      <c r="U20" s="57">
        <v>20.909844</v>
      </c>
      <c r="V20" s="4"/>
      <c r="W20" s="4"/>
      <c r="X20" s="50"/>
      <c r="Y20" s="50"/>
      <c r="Z20" s="49"/>
      <c r="AD20" s="50"/>
      <c r="AE20" s="50"/>
      <c r="AF20" s="50"/>
      <c r="AG20" s="50"/>
      <c r="AH20" s="50"/>
      <c r="AI20" s="50"/>
      <c r="AJ20" s="50"/>
      <c r="AK20" s="50"/>
      <c r="AL20" s="49"/>
      <c r="AP20" s="50"/>
      <c r="AQ20" s="50"/>
      <c r="AR20" s="50"/>
      <c r="AS20" s="50"/>
      <c r="AT20" s="50"/>
      <c r="AU20" s="50"/>
      <c r="AV20" s="50"/>
      <c r="AW20" s="50"/>
      <c r="AX20" s="49"/>
      <c r="BB20" s="50"/>
      <c r="BC20" s="50"/>
      <c r="BD20" s="50"/>
      <c r="BE20" s="50"/>
      <c r="BF20" s="50"/>
      <c r="BG20" s="50"/>
      <c r="BH20" s="50"/>
      <c r="BI20" s="50"/>
      <c r="BJ20" s="49"/>
      <c r="BN20" s="50"/>
      <c r="BO20" s="50"/>
      <c r="BP20" s="49"/>
      <c r="BT20" s="50"/>
      <c r="BU20" s="50"/>
      <c r="BV20" s="50"/>
      <c r="BW20" s="50"/>
      <c r="BX20" s="50"/>
      <c r="BY20" s="50"/>
      <c r="BZ20" s="50"/>
      <c r="CA20" s="50"/>
      <c r="CB20" s="49"/>
      <c r="CF20" s="50"/>
      <c r="CG20" s="50"/>
      <c r="CH20" s="50"/>
      <c r="CI20" s="50"/>
      <c r="CJ20" s="50"/>
      <c r="CK20" s="50"/>
      <c r="CL20" s="50"/>
      <c r="CM20" s="50"/>
      <c r="CN20" s="49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</row>
    <row r="21">
      <c r="A21" s="56" t="s">
        <v>1194</v>
      </c>
      <c r="B21" s="59"/>
      <c r="C21" s="58"/>
      <c r="D21" s="58"/>
      <c r="E21" s="58"/>
      <c r="F21" s="56" t="s">
        <v>754</v>
      </c>
      <c r="G21" s="57">
        <v>2.9798</v>
      </c>
      <c r="H21" s="57">
        <v>5.102856</v>
      </c>
      <c r="I21" s="57">
        <v>3.303282</v>
      </c>
      <c r="J21" s="57">
        <v>2.938163</v>
      </c>
      <c r="K21" s="57">
        <v>3.859519</v>
      </c>
      <c r="L21" s="57">
        <v>4.143726</v>
      </c>
      <c r="M21" s="57">
        <v>4.659209</v>
      </c>
      <c r="N21" s="57">
        <v>4.858037</v>
      </c>
      <c r="O21" s="57">
        <v>4.7093</v>
      </c>
      <c r="P21" s="57">
        <v>4.921029</v>
      </c>
      <c r="Q21" s="57">
        <v>3.028516</v>
      </c>
      <c r="R21" s="57">
        <v>3.867152</v>
      </c>
      <c r="S21" s="57">
        <v>2.976925</v>
      </c>
      <c r="T21" s="57">
        <v>3.019809</v>
      </c>
      <c r="U21" s="57">
        <v>3.543652</v>
      </c>
      <c r="V21" s="4"/>
      <c r="W21" s="4"/>
      <c r="X21" s="50"/>
      <c r="Y21" s="50"/>
      <c r="Z21" s="49"/>
      <c r="AD21" s="50"/>
      <c r="AE21" s="50"/>
      <c r="AF21" s="50"/>
      <c r="AG21" s="50"/>
      <c r="AH21" s="50"/>
      <c r="AI21" s="50"/>
      <c r="AJ21" s="50"/>
      <c r="AK21" s="50"/>
      <c r="AL21" s="49"/>
      <c r="AP21" s="50"/>
      <c r="AQ21" s="50"/>
      <c r="AR21" s="50"/>
      <c r="AS21" s="50"/>
      <c r="AT21" s="50"/>
      <c r="AU21" s="50"/>
      <c r="AV21" s="50"/>
      <c r="AW21" s="50"/>
      <c r="AX21" s="49"/>
      <c r="BB21" s="50"/>
      <c r="BC21" s="50"/>
      <c r="BD21" s="50"/>
      <c r="BE21" s="50"/>
      <c r="BF21" s="50"/>
      <c r="BG21" s="50"/>
      <c r="BH21" s="50"/>
      <c r="BI21" s="50"/>
      <c r="BJ21" s="49"/>
      <c r="BN21" s="50"/>
      <c r="BO21" s="50"/>
      <c r="BP21" s="49"/>
      <c r="BT21" s="50"/>
      <c r="BU21" s="50"/>
      <c r="BV21" s="50"/>
      <c r="BW21" s="50"/>
      <c r="BX21" s="50"/>
      <c r="BY21" s="50"/>
      <c r="BZ21" s="50"/>
      <c r="CA21" s="50"/>
      <c r="CB21" s="49"/>
      <c r="CF21" s="50"/>
      <c r="CG21" s="50"/>
      <c r="CH21" s="50"/>
      <c r="CI21" s="50"/>
      <c r="CJ21" s="50"/>
      <c r="CK21" s="50"/>
      <c r="CL21" s="50"/>
      <c r="CM21" s="50"/>
      <c r="CN21" s="49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</row>
    <row r="22">
      <c r="A22" s="56" t="s">
        <v>1194</v>
      </c>
      <c r="B22" s="59"/>
      <c r="C22" s="58"/>
      <c r="D22" s="58"/>
      <c r="E22" s="58"/>
      <c r="F22" s="56" t="s">
        <v>770</v>
      </c>
      <c r="G22" s="57">
        <v>4.720428</v>
      </c>
      <c r="H22" s="57">
        <v>6.646632</v>
      </c>
      <c r="I22" s="57">
        <v>4.169912</v>
      </c>
      <c r="J22" s="57">
        <v>3.639671</v>
      </c>
      <c r="K22" s="57">
        <v>4.639601</v>
      </c>
      <c r="L22" s="57">
        <v>5.749649</v>
      </c>
      <c r="M22" s="57">
        <v>5.018836</v>
      </c>
      <c r="N22" s="57">
        <v>6.732709</v>
      </c>
      <c r="O22" s="57">
        <v>5.674369</v>
      </c>
      <c r="P22" s="57">
        <v>5.700943</v>
      </c>
      <c r="Q22" s="57">
        <v>3.535649</v>
      </c>
      <c r="R22" s="57">
        <v>4.79132</v>
      </c>
      <c r="S22" s="57">
        <v>3.095633</v>
      </c>
      <c r="T22" s="57">
        <v>3.860805</v>
      </c>
      <c r="U22" s="57">
        <v>4.572728</v>
      </c>
      <c r="V22" s="4"/>
      <c r="W22" s="4"/>
      <c r="X22" s="50"/>
      <c r="Y22" s="50"/>
      <c r="Z22" s="49"/>
      <c r="AE22" s="50"/>
      <c r="AF22" s="50"/>
      <c r="AG22" s="50"/>
      <c r="AH22" s="50"/>
      <c r="AI22" s="50"/>
      <c r="AJ22" s="50"/>
      <c r="AK22" s="50"/>
      <c r="AL22" s="49"/>
      <c r="AP22" s="50"/>
      <c r="AQ22" s="50"/>
      <c r="AR22" s="50"/>
      <c r="AS22" s="50"/>
      <c r="AT22" s="50"/>
      <c r="AU22" s="50"/>
      <c r="AV22" s="50"/>
      <c r="AW22" s="50"/>
      <c r="AX22" s="49"/>
      <c r="BB22" s="50"/>
      <c r="BC22" s="50"/>
      <c r="BD22" s="50"/>
      <c r="BE22" s="50"/>
      <c r="BF22" s="50"/>
      <c r="BG22" s="50"/>
      <c r="BH22" s="50"/>
      <c r="BI22" s="50"/>
      <c r="BJ22" s="49"/>
      <c r="BN22" s="50"/>
      <c r="BO22" s="50"/>
      <c r="BP22" s="49"/>
      <c r="BT22" s="50"/>
      <c r="BU22" s="50"/>
      <c r="BV22" s="50"/>
      <c r="BW22" s="50"/>
      <c r="BX22" s="50"/>
      <c r="BY22" s="50"/>
      <c r="BZ22" s="50"/>
      <c r="CA22" s="50"/>
      <c r="CB22" s="49"/>
      <c r="CF22" s="50"/>
      <c r="CG22" s="50"/>
      <c r="CH22" s="50"/>
      <c r="CI22" s="50"/>
      <c r="CJ22" s="50"/>
      <c r="CK22" s="50"/>
      <c r="CL22" s="50"/>
      <c r="CM22" s="50"/>
      <c r="CN22" s="49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</row>
    <row r="23">
      <c r="A23" s="56" t="s">
        <v>1195</v>
      </c>
      <c r="B23" s="59"/>
      <c r="C23" s="59"/>
      <c r="D23" s="58"/>
      <c r="E23" s="58"/>
      <c r="F23" s="60" t="s">
        <v>786</v>
      </c>
      <c r="G23" s="56" t="s">
        <v>787</v>
      </c>
      <c r="H23" s="57">
        <v>17.506057</v>
      </c>
      <c r="I23" s="57">
        <v>5.759133</v>
      </c>
      <c r="J23" s="57">
        <v>12.983323</v>
      </c>
      <c r="K23" s="57">
        <v>6.262498</v>
      </c>
      <c r="L23" s="57">
        <v>10.054848</v>
      </c>
      <c r="M23" s="57">
        <v>36.798774</v>
      </c>
      <c r="N23" s="57">
        <v>15.959139</v>
      </c>
      <c r="O23" s="57">
        <v>11.00057</v>
      </c>
      <c r="P23" s="57">
        <v>19.737065</v>
      </c>
      <c r="Q23" s="57">
        <v>12.67172</v>
      </c>
      <c r="R23" s="57">
        <v>8.694798</v>
      </c>
      <c r="S23" s="57">
        <v>18.046857</v>
      </c>
      <c r="T23" s="57">
        <v>19.426815</v>
      </c>
      <c r="U23" s="57">
        <v>14.930958</v>
      </c>
      <c r="V23" s="4"/>
      <c r="W23" s="4"/>
      <c r="X23" s="50"/>
      <c r="Y23" s="50"/>
      <c r="Z23" s="49"/>
      <c r="AD23" s="50"/>
      <c r="AE23" s="50"/>
      <c r="AF23" s="50"/>
      <c r="AG23" s="50"/>
      <c r="AH23" s="50"/>
      <c r="AI23" s="50"/>
      <c r="AJ23" s="50"/>
      <c r="AK23" s="50"/>
      <c r="AL23" s="49"/>
      <c r="AP23" s="50"/>
      <c r="AQ23" s="50"/>
      <c r="AR23" s="50"/>
      <c r="AS23" s="50"/>
      <c r="AT23" s="50"/>
      <c r="AU23" s="50"/>
      <c r="AV23" s="50"/>
      <c r="AW23" s="50"/>
      <c r="AX23" s="49"/>
      <c r="BB23" s="50"/>
      <c r="BC23" s="50"/>
      <c r="BD23" s="50"/>
      <c r="BE23" s="50"/>
      <c r="BF23" s="50"/>
      <c r="BG23" s="50"/>
      <c r="BH23" s="50"/>
      <c r="BI23" s="50"/>
      <c r="BJ23" s="49"/>
      <c r="BN23" s="50"/>
      <c r="BO23" s="50"/>
      <c r="BP23" s="49"/>
      <c r="BT23" s="50"/>
      <c r="BU23" s="50"/>
      <c r="BV23" s="50"/>
      <c r="BW23" s="50"/>
      <c r="BX23" s="50"/>
      <c r="BY23" s="50"/>
      <c r="BZ23" s="50"/>
      <c r="CA23" s="50"/>
      <c r="CB23" s="49"/>
      <c r="CF23" s="50"/>
      <c r="CG23" s="50"/>
      <c r="CH23" s="50"/>
      <c r="CI23" s="50"/>
      <c r="CJ23" s="50"/>
      <c r="CK23" s="50"/>
      <c r="CL23" s="50"/>
      <c r="CM23" s="50"/>
      <c r="CN23" s="49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</row>
    <row r="24">
      <c r="A24" s="56" t="s">
        <v>1195</v>
      </c>
      <c r="B24" s="59"/>
      <c r="C24" s="59"/>
      <c r="D24" s="58"/>
      <c r="E24" s="58"/>
      <c r="F24" s="58"/>
      <c r="G24" s="60" t="s">
        <v>802</v>
      </c>
      <c r="H24" s="57">
        <v>3.678546</v>
      </c>
      <c r="I24" s="57">
        <v>2.11782</v>
      </c>
      <c r="J24" s="57">
        <v>2.929449</v>
      </c>
      <c r="K24" s="57">
        <v>2.146436</v>
      </c>
      <c r="L24" s="57">
        <v>2.940041</v>
      </c>
      <c r="M24" s="57">
        <v>4.921772</v>
      </c>
      <c r="N24" s="57">
        <v>3.349177</v>
      </c>
      <c r="O24" s="57">
        <v>2.971229</v>
      </c>
      <c r="P24" s="57">
        <v>4.211026</v>
      </c>
      <c r="Q24" s="57">
        <v>2.514451</v>
      </c>
      <c r="R24" s="57">
        <v>2.658707</v>
      </c>
      <c r="S24" s="57">
        <v>3.778294</v>
      </c>
      <c r="T24" s="57">
        <v>3.33498</v>
      </c>
      <c r="U24" s="57">
        <v>3.790135</v>
      </c>
      <c r="V24" s="4"/>
      <c r="W24" s="4"/>
      <c r="X24" s="50"/>
      <c r="Y24" s="50"/>
      <c r="Z24" s="49"/>
      <c r="AD24" s="50"/>
      <c r="AE24" s="50"/>
      <c r="AF24" s="50"/>
      <c r="AG24" s="50"/>
      <c r="AH24" s="50"/>
      <c r="AI24" s="50"/>
      <c r="AJ24" s="50"/>
      <c r="AK24" s="50"/>
      <c r="AL24" s="49"/>
      <c r="AP24" s="50"/>
      <c r="AQ24" s="50"/>
      <c r="AR24" s="50"/>
      <c r="AS24" s="50"/>
      <c r="AT24" s="50"/>
      <c r="AU24" s="50"/>
      <c r="AV24" s="50"/>
      <c r="AW24" s="50"/>
      <c r="AX24" s="49"/>
      <c r="BB24" s="50"/>
      <c r="BC24" s="50"/>
      <c r="BD24" s="50"/>
      <c r="BE24" s="50"/>
      <c r="BF24" s="50"/>
      <c r="BG24" s="50"/>
      <c r="BH24" s="50"/>
      <c r="BI24" s="50"/>
      <c r="BJ24" s="49"/>
      <c r="BN24" s="50"/>
      <c r="BO24" s="50"/>
      <c r="BP24" s="49"/>
      <c r="BT24" s="50"/>
      <c r="BU24" s="50"/>
      <c r="BV24" s="50"/>
      <c r="BW24" s="50"/>
      <c r="BX24" s="50"/>
      <c r="BY24" s="50"/>
      <c r="BZ24" s="50"/>
      <c r="CA24" s="50"/>
      <c r="CB24" s="49"/>
      <c r="CF24" s="50"/>
      <c r="CG24" s="50"/>
      <c r="CH24" s="50"/>
      <c r="CI24" s="50"/>
      <c r="CJ24" s="50"/>
      <c r="CK24" s="50"/>
      <c r="CL24" s="50"/>
      <c r="CM24" s="50"/>
      <c r="CN24" s="49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</row>
    <row r="25">
      <c r="A25" s="56" t="s">
        <v>1195</v>
      </c>
      <c r="B25" s="59"/>
      <c r="C25" s="59"/>
      <c r="D25" s="58"/>
      <c r="E25" s="58"/>
      <c r="F25" s="58"/>
      <c r="G25" s="60" t="s">
        <v>817</v>
      </c>
      <c r="H25" s="57">
        <v>4.184024</v>
      </c>
      <c r="I25" s="57">
        <v>2.399819</v>
      </c>
      <c r="J25" s="57">
        <v>3.603238</v>
      </c>
      <c r="K25" s="57">
        <v>2.502498</v>
      </c>
      <c r="L25" s="57">
        <v>3.170938</v>
      </c>
      <c r="M25" s="57">
        <v>6.066199</v>
      </c>
      <c r="N25" s="57">
        <v>3.994889</v>
      </c>
      <c r="O25" s="57">
        <v>3.316711</v>
      </c>
      <c r="P25" s="57">
        <v>4.442642</v>
      </c>
      <c r="Q25" s="57">
        <v>3.559736</v>
      </c>
      <c r="R25" s="57">
        <v>2.948694</v>
      </c>
      <c r="S25" s="57">
        <v>4.248159</v>
      </c>
      <c r="T25" s="57">
        <v>4.407586</v>
      </c>
      <c r="U25" s="57">
        <v>3.86406</v>
      </c>
      <c r="V25" s="4"/>
      <c r="W25" s="4"/>
      <c r="X25" s="50"/>
      <c r="Y25" s="50"/>
      <c r="Z25" s="49"/>
      <c r="AC25" s="50"/>
      <c r="AD25" s="50"/>
      <c r="AE25" s="50"/>
      <c r="AF25" s="50"/>
      <c r="AG25" s="50"/>
      <c r="AH25" s="50"/>
      <c r="AI25" s="50"/>
      <c r="AJ25" s="50"/>
      <c r="AK25" s="50"/>
      <c r="AL25" s="49"/>
      <c r="AP25" s="50"/>
      <c r="AQ25" s="50"/>
      <c r="AR25" s="50"/>
      <c r="AS25" s="50"/>
      <c r="AT25" s="50"/>
      <c r="AU25" s="50"/>
      <c r="AV25" s="50"/>
      <c r="AW25" s="50"/>
      <c r="AX25" s="49"/>
      <c r="BB25" s="50"/>
      <c r="BC25" s="50"/>
      <c r="BD25" s="50"/>
      <c r="BE25" s="50"/>
      <c r="BF25" s="50"/>
      <c r="BG25" s="50"/>
      <c r="BH25" s="50"/>
      <c r="BI25" s="50"/>
      <c r="BJ25" s="49"/>
      <c r="BN25" s="50"/>
      <c r="BO25" s="50"/>
      <c r="BP25" s="49"/>
      <c r="BT25" s="50"/>
      <c r="BU25" s="50"/>
      <c r="BV25" s="50"/>
      <c r="BW25" s="50"/>
      <c r="BX25" s="50"/>
      <c r="BY25" s="50"/>
      <c r="BZ25" s="50"/>
      <c r="CA25" s="50"/>
      <c r="CB25" s="49"/>
      <c r="CF25" s="50"/>
      <c r="CG25" s="50"/>
      <c r="CH25" s="50"/>
      <c r="CI25" s="50"/>
      <c r="CJ25" s="50"/>
      <c r="CK25" s="50"/>
      <c r="CL25" s="50"/>
      <c r="CM25" s="50"/>
      <c r="CN25" s="49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</row>
    <row r="26">
      <c r="A26" s="56" t="s">
        <v>1196</v>
      </c>
      <c r="B26" s="59"/>
      <c r="C26" s="59"/>
      <c r="D26" s="59"/>
      <c r="E26" s="58"/>
      <c r="F26" s="58"/>
      <c r="G26" s="60" t="s">
        <v>832</v>
      </c>
      <c r="H26" s="56" t="s">
        <v>833</v>
      </c>
      <c r="I26" s="57">
        <v>10.582192</v>
      </c>
      <c r="J26" s="57">
        <v>26.78131</v>
      </c>
      <c r="K26" s="57">
        <v>4.597475</v>
      </c>
      <c r="L26" s="57">
        <v>23.510986</v>
      </c>
      <c r="M26" s="57">
        <v>57.169051</v>
      </c>
      <c r="N26" s="57">
        <v>12.20031</v>
      </c>
      <c r="O26" s="57">
        <v>10.933823</v>
      </c>
      <c r="P26" s="57">
        <v>11.603734</v>
      </c>
      <c r="Q26" s="57">
        <v>34.412114</v>
      </c>
      <c r="R26" s="57">
        <v>16.852126</v>
      </c>
      <c r="S26" s="57">
        <v>3.35726</v>
      </c>
      <c r="T26" s="57">
        <v>36.460609</v>
      </c>
      <c r="U26" s="57">
        <v>15.576929</v>
      </c>
      <c r="V26" s="4"/>
      <c r="W26" s="4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49"/>
      <c r="AP26" s="50"/>
      <c r="AQ26" s="50"/>
      <c r="AR26" s="50"/>
      <c r="AS26" s="50"/>
      <c r="AT26" s="50"/>
      <c r="AU26" s="50"/>
      <c r="AV26" s="50"/>
      <c r="AW26" s="50"/>
      <c r="AX26" s="49"/>
      <c r="BB26" s="50"/>
      <c r="BC26" s="50"/>
      <c r="BD26" s="50"/>
      <c r="BE26" s="50"/>
      <c r="BF26" s="50"/>
      <c r="BG26" s="50"/>
      <c r="BH26" s="50"/>
      <c r="BI26" s="50"/>
      <c r="BJ26" s="49"/>
      <c r="BN26" s="50"/>
      <c r="BO26" s="50"/>
      <c r="BP26" s="49"/>
      <c r="BT26" s="50"/>
      <c r="BU26" s="50"/>
      <c r="BV26" s="50"/>
      <c r="BW26" s="50"/>
      <c r="BX26" s="50"/>
      <c r="BY26" s="50"/>
      <c r="BZ26" s="50"/>
      <c r="CA26" s="50"/>
      <c r="CB26" s="49"/>
      <c r="CF26" s="50"/>
      <c r="CG26" s="50"/>
      <c r="CH26" s="50"/>
      <c r="CI26" s="50"/>
      <c r="CJ26" s="50"/>
      <c r="CK26" s="50"/>
      <c r="CL26" s="50"/>
      <c r="CM26" s="50"/>
      <c r="CN26" s="49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</row>
    <row r="27">
      <c r="A27" s="56" t="s">
        <v>1196</v>
      </c>
      <c r="B27" s="59"/>
      <c r="C27" s="59"/>
      <c r="D27" s="59"/>
      <c r="E27" s="58"/>
      <c r="F27" s="58"/>
      <c r="G27" s="58"/>
      <c r="H27" s="56" t="s">
        <v>847</v>
      </c>
      <c r="I27" s="57">
        <v>2.124652</v>
      </c>
      <c r="J27" s="57">
        <v>4.242161</v>
      </c>
      <c r="K27" s="57">
        <v>1.586148</v>
      </c>
      <c r="L27" s="57">
        <v>4.066608</v>
      </c>
      <c r="M27" s="57">
        <v>7.022318</v>
      </c>
      <c r="N27" s="57">
        <v>2.642696</v>
      </c>
      <c r="O27" s="57">
        <v>3.13514</v>
      </c>
      <c r="P27" s="57">
        <v>3.127239</v>
      </c>
      <c r="Q27" s="57">
        <v>4.844141</v>
      </c>
      <c r="R27" s="57">
        <v>2.843669</v>
      </c>
      <c r="S27" s="57">
        <v>1.823467</v>
      </c>
      <c r="T27" s="57">
        <v>5.696002</v>
      </c>
      <c r="U27" s="57">
        <v>3.505304</v>
      </c>
      <c r="V27" s="4"/>
      <c r="W27" s="4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49"/>
      <c r="AP27" s="50"/>
      <c r="AQ27" s="50"/>
      <c r="AR27" s="50"/>
      <c r="AS27" s="50"/>
      <c r="AT27" s="50"/>
      <c r="AU27" s="50"/>
      <c r="AV27" s="50"/>
      <c r="AW27" s="50"/>
      <c r="AX27" s="49"/>
      <c r="BB27" s="50"/>
      <c r="BC27" s="50"/>
      <c r="BD27" s="50"/>
      <c r="BE27" s="50"/>
      <c r="BF27" s="50"/>
      <c r="BG27" s="50"/>
      <c r="BH27" s="50"/>
      <c r="BI27" s="50"/>
      <c r="BJ27" s="49"/>
      <c r="BN27" s="50"/>
      <c r="BO27" s="50"/>
      <c r="BP27" s="49"/>
      <c r="BT27" s="50"/>
      <c r="BU27" s="50"/>
      <c r="BV27" s="50"/>
      <c r="BW27" s="50"/>
      <c r="BX27" s="50"/>
      <c r="BY27" s="50"/>
      <c r="BZ27" s="50"/>
      <c r="CA27" s="50"/>
      <c r="CB27" s="49"/>
      <c r="CF27" s="50"/>
      <c r="CG27" s="50"/>
      <c r="CH27" s="50"/>
      <c r="CI27" s="50"/>
      <c r="CJ27" s="50"/>
      <c r="CK27" s="50"/>
      <c r="CL27" s="50"/>
      <c r="CM27" s="50"/>
      <c r="CN27" s="49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</row>
    <row r="28">
      <c r="A28" s="56" t="s">
        <v>1196</v>
      </c>
      <c r="B28" s="59"/>
      <c r="C28" s="59"/>
      <c r="D28" s="59"/>
      <c r="E28" s="58"/>
      <c r="F28" s="58"/>
      <c r="G28" s="58"/>
      <c r="H28" s="56" t="s">
        <v>861</v>
      </c>
      <c r="I28" s="57">
        <v>3.253028</v>
      </c>
      <c r="J28" s="57">
        <v>5.175066</v>
      </c>
      <c r="K28" s="57">
        <v>2.144172</v>
      </c>
      <c r="L28" s="57">
        <v>4.848813</v>
      </c>
      <c r="M28" s="57">
        <v>7.561022</v>
      </c>
      <c r="N28" s="57">
        <v>3.492894</v>
      </c>
      <c r="O28" s="57">
        <v>3.306633</v>
      </c>
      <c r="P28" s="57">
        <v>3.406425</v>
      </c>
      <c r="Q28" s="57">
        <v>5.866184</v>
      </c>
      <c r="R28" s="57">
        <v>4.105134</v>
      </c>
      <c r="S28" s="57">
        <v>1.832283</v>
      </c>
      <c r="T28" s="57">
        <v>6.038262</v>
      </c>
      <c r="U28" s="57">
        <v>3.946762</v>
      </c>
      <c r="V28" s="4"/>
      <c r="W28" s="4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49"/>
      <c r="AO28" s="50"/>
      <c r="AP28" s="50"/>
      <c r="AQ28" s="50"/>
      <c r="AR28" s="50"/>
      <c r="AS28" s="50"/>
      <c r="AT28" s="50"/>
      <c r="AU28" s="50"/>
      <c r="AV28" s="50"/>
      <c r="AW28" s="50"/>
      <c r="AX28" s="49"/>
      <c r="BC28" s="50"/>
      <c r="BD28" s="50"/>
      <c r="BE28" s="50"/>
      <c r="BF28" s="50"/>
      <c r="BG28" s="50"/>
      <c r="BH28" s="50"/>
      <c r="BI28" s="50"/>
      <c r="BJ28" s="49"/>
      <c r="BN28" s="50"/>
      <c r="BO28" s="50"/>
      <c r="BP28" s="49"/>
      <c r="BT28" s="50"/>
      <c r="BU28" s="50"/>
      <c r="BV28" s="50"/>
      <c r="BW28" s="50"/>
      <c r="BX28" s="50"/>
      <c r="BY28" s="50"/>
      <c r="BZ28" s="50"/>
      <c r="CA28" s="50"/>
      <c r="CB28" s="49"/>
      <c r="CF28" s="50"/>
      <c r="CG28" s="50"/>
      <c r="CH28" s="50"/>
      <c r="CI28" s="50"/>
      <c r="CJ28" s="50"/>
      <c r="CK28" s="50"/>
      <c r="CL28" s="50"/>
      <c r="CM28" s="50"/>
      <c r="CN28" s="49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</row>
    <row r="29">
      <c r="A29" s="56" t="s">
        <v>1197</v>
      </c>
      <c r="B29" s="59"/>
      <c r="C29" s="59"/>
      <c r="D29" s="59"/>
      <c r="E29" s="59"/>
      <c r="F29" s="58"/>
      <c r="G29" s="58"/>
      <c r="H29" s="56" t="s">
        <v>875</v>
      </c>
      <c r="I29" s="56" t="s">
        <v>876</v>
      </c>
      <c r="J29" s="57">
        <v>20.383765</v>
      </c>
      <c r="K29" s="57">
        <v>27.258426</v>
      </c>
      <c r="L29" s="57">
        <v>19.66667</v>
      </c>
      <c r="M29" s="57">
        <v>24.161486</v>
      </c>
      <c r="N29" s="57">
        <v>10.103502</v>
      </c>
      <c r="O29" s="57">
        <v>46.121156</v>
      </c>
      <c r="P29" s="57">
        <v>19.63101</v>
      </c>
      <c r="Q29" s="57">
        <v>44.946454</v>
      </c>
      <c r="R29" s="57">
        <v>7.314416</v>
      </c>
      <c r="S29" s="57">
        <v>22.297149</v>
      </c>
      <c r="T29" s="57">
        <v>5.797527</v>
      </c>
      <c r="U29" s="57">
        <v>39.968306</v>
      </c>
      <c r="V29" s="4"/>
      <c r="W29" s="4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49"/>
      <c r="BB29" s="50"/>
      <c r="BC29" s="50"/>
      <c r="BD29" s="50"/>
      <c r="BE29" s="50"/>
      <c r="BF29" s="50"/>
      <c r="BG29" s="50"/>
      <c r="BH29" s="50"/>
      <c r="BI29" s="50"/>
      <c r="BJ29" s="49"/>
      <c r="BN29" s="50"/>
      <c r="BO29" s="50"/>
      <c r="BP29" s="49"/>
      <c r="BT29" s="50"/>
      <c r="BU29" s="50"/>
      <c r="BV29" s="50"/>
      <c r="BW29" s="50"/>
      <c r="BX29" s="50"/>
      <c r="BY29" s="50"/>
      <c r="BZ29" s="50"/>
      <c r="CA29" s="50"/>
      <c r="CB29" s="49"/>
      <c r="CF29" s="50"/>
      <c r="CG29" s="50"/>
      <c r="CH29" s="50"/>
      <c r="CI29" s="50"/>
      <c r="CJ29" s="50"/>
      <c r="CK29" s="50"/>
      <c r="CL29" s="50"/>
      <c r="CM29" s="50"/>
      <c r="CN29" s="49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</row>
    <row r="30">
      <c r="A30" s="56" t="s">
        <v>1197</v>
      </c>
      <c r="B30" s="59"/>
      <c r="C30" s="59"/>
      <c r="D30" s="59"/>
      <c r="E30" s="59"/>
      <c r="F30" s="58"/>
      <c r="G30" s="58"/>
      <c r="H30" s="58"/>
      <c r="I30" s="56" t="s">
        <v>889</v>
      </c>
      <c r="J30" s="57">
        <v>4.079494</v>
      </c>
      <c r="K30" s="57">
        <v>4.171288</v>
      </c>
      <c r="L30" s="57">
        <v>4.30084</v>
      </c>
      <c r="M30" s="57">
        <v>3.976622</v>
      </c>
      <c r="N30" s="57">
        <v>2.351893</v>
      </c>
      <c r="O30" s="57">
        <v>5.515367</v>
      </c>
      <c r="P30" s="57">
        <v>4.074334</v>
      </c>
      <c r="Q30" s="57">
        <v>6.172403</v>
      </c>
      <c r="R30" s="57">
        <v>2.445581</v>
      </c>
      <c r="S30" s="57">
        <v>4.492429</v>
      </c>
      <c r="T30" s="57">
        <v>2.024222</v>
      </c>
      <c r="U30" s="57">
        <v>5.615128</v>
      </c>
      <c r="V30" s="4"/>
      <c r="W30" s="4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49"/>
      <c r="BB30" s="50"/>
      <c r="BC30" s="50"/>
      <c r="BD30" s="50"/>
      <c r="BE30" s="50"/>
      <c r="BF30" s="50"/>
      <c r="BG30" s="50"/>
      <c r="BH30" s="50"/>
      <c r="BI30" s="50"/>
      <c r="BJ30" s="49"/>
      <c r="BN30" s="50"/>
      <c r="BO30" s="50"/>
      <c r="BP30" s="49"/>
      <c r="BT30" s="50"/>
      <c r="BU30" s="50"/>
      <c r="BV30" s="50"/>
      <c r="BW30" s="50"/>
      <c r="BX30" s="50"/>
      <c r="BY30" s="50"/>
      <c r="BZ30" s="50"/>
      <c r="CA30" s="50"/>
      <c r="CB30" s="49"/>
      <c r="CF30" s="50"/>
      <c r="CG30" s="50"/>
      <c r="CH30" s="50"/>
      <c r="CI30" s="50"/>
      <c r="CJ30" s="50"/>
      <c r="CK30" s="50"/>
      <c r="CL30" s="50"/>
      <c r="CM30" s="50"/>
      <c r="CN30" s="49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</row>
    <row r="31">
      <c r="A31" s="56" t="s">
        <v>1197</v>
      </c>
      <c r="B31" s="58"/>
      <c r="C31" s="58"/>
      <c r="D31" s="58"/>
      <c r="E31" s="58"/>
      <c r="F31" s="58"/>
      <c r="G31" s="58"/>
      <c r="H31" s="58"/>
      <c r="I31" s="56" t="s">
        <v>902</v>
      </c>
      <c r="J31" s="57">
        <v>4.514838</v>
      </c>
      <c r="K31" s="57">
        <v>5.22096</v>
      </c>
      <c r="L31" s="57">
        <v>4.434712</v>
      </c>
      <c r="M31" s="57">
        <v>4.915433</v>
      </c>
      <c r="N31" s="57">
        <v>3.178601</v>
      </c>
      <c r="O31" s="57">
        <v>6.791256</v>
      </c>
      <c r="P31" s="57">
        <v>4.43069</v>
      </c>
      <c r="Q31" s="57">
        <v>6.704212</v>
      </c>
      <c r="R31" s="57">
        <v>2.704518</v>
      </c>
      <c r="S31" s="57">
        <v>4.721986</v>
      </c>
      <c r="T31" s="57">
        <v>2.407805</v>
      </c>
      <c r="U31" s="57">
        <v>6.322049</v>
      </c>
      <c r="V31" s="61"/>
      <c r="W31" s="61"/>
      <c r="X31" s="49"/>
      <c r="Y31" s="49"/>
      <c r="Z31" s="49"/>
      <c r="AL31" s="49"/>
      <c r="AX31" s="49"/>
      <c r="BA31" s="50"/>
      <c r="BB31" s="50"/>
      <c r="BC31" s="50"/>
      <c r="BD31" s="50"/>
      <c r="BE31" s="50"/>
      <c r="BF31" s="50"/>
      <c r="BG31" s="50"/>
      <c r="BH31" s="50"/>
      <c r="BI31" s="50"/>
      <c r="BJ31" s="49"/>
      <c r="BO31" s="50"/>
      <c r="BP31" s="49"/>
      <c r="BT31" s="50"/>
      <c r="BU31" s="50"/>
      <c r="BV31" s="50"/>
      <c r="BW31" s="50"/>
      <c r="BX31" s="50"/>
      <c r="BY31" s="50"/>
      <c r="BZ31" s="50"/>
      <c r="CA31" s="50"/>
      <c r="CB31" s="49"/>
      <c r="CC31" s="49"/>
      <c r="CD31" s="49"/>
      <c r="CE31" s="49"/>
      <c r="CF31" s="50"/>
      <c r="CG31" s="50"/>
      <c r="CH31" s="50"/>
      <c r="CI31" s="50"/>
      <c r="CJ31" s="50"/>
      <c r="CK31" s="50"/>
      <c r="CL31" s="50"/>
      <c r="CM31" s="50"/>
      <c r="CN31" s="49"/>
      <c r="CO31" s="49"/>
      <c r="CP31" s="49"/>
      <c r="CQ31" s="49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</row>
    <row r="32">
      <c r="A32" s="56" t="s">
        <v>1198</v>
      </c>
      <c r="B32" s="58"/>
      <c r="C32" s="58"/>
      <c r="D32" s="58"/>
      <c r="E32" s="58"/>
      <c r="F32" s="58"/>
      <c r="G32" s="58"/>
      <c r="H32" s="58"/>
      <c r="I32" s="56" t="s">
        <v>915</v>
      </c>
      <c r="J32" s="56" t="s">
        <v>916</v>
      </c>
      <c r="K32" s="57">
        <v>81.023997</v>
      </c>
      <c r="L32" s="57">
        <v>92.648704</v>
      </c>
      <c r="M32" s="57">
        <v>66.530128</v>
      </c>
      <c r="N32" s="57">
        <v>90.080093</v>
      </c>
      <c r="O32" s="57">
        <v>109.035258</v>
      </c>
      <c r="P32" s="57">
        <v>92.478735</v>
      </c>
      <c r="Q32" s="57">
        <v>64.024621</v>
      </c>
      <c r="R32" s="57">
        <v>100.489212</v>
      </c>
      <c r="S32" s="57">
        <v>149.220491</v>
      </c>
      <c r="T32" s="57">
        <v>96.657962</v>
      </c>
      <c r="U32" s="57">
        <v>171.125447</v>
      </c>
      <c r="V32" s="4"/>
      <c r="W32" s="4"/>
      <c r="X32" s="50"/>
      <c r="Y32" s="50"/>
      <c r="Z32" s="49"/>
      <c r="AF32" s="50"/>
      <c r="AG32" s="50"/>
      <c r="AH32" s="50"/>
      <c r="AI32" s="50"/>
      <c r="AJ32" s="50"/>
      <c r="AK32" s="50"/>
      <c r="AL32" s="49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49"/>
      <c r="BN32" s="50"/>
      <c r="BO32" s="50"/>
      <c r="BP32" s="49"/>
      <c r="BT32" s="50"/>
      <c r="BU32" s="50"/>
      <c r="BV32" s="50"/>
      <c r="BW32" s="50"/>
      <c r="BX32" s="50"/>
      <c r="BY32" s="50"/>
      <c r="BZ32" s="50"/>
      <c r="CA32" s="50"/>
      <c r="CB32" s="49"/>
      <c r="CC32" s="49"/>
      <c r="CD32" s="49"/>
      <c r="CE32" s="49"/>
      <c r="CF32" s="50"/>
      <c r="CG32" s="50"/>
      <c r="CH32" s="50"/>
      <c r="CI32" s="50"/>
      <c r="CJ32" s="50"/>
      <c r="CK32" s="50"/>
      <c r="CL32" s="50"/>
      <c r="CM32" s="50"/>
      <c r="CN32" s="49"/>
      <c r="CO32" s="49"/>
      <c r="CP32" s="49"/>
      <c r="CQ32" s="49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</row>
    <row r="33">
      <c r="A33" s="56" t="s">
        <v>1198</v>
      </c>
      <c r="B33" s="58"/>
      <c r="C33" s="58"/>
      <c r="D33" s="58"/>
      <c r="E33" s="59"/>
      <c r="F33" s="59"/>
      <c r="G33" s="58"/>
      <c r="H33" s="58"/>
      <c r="I33" s="58"/>
      <c r="J33" s="56" t="s">
        <v>928</v>
      </c>
      <c r="K33" s="57">
        <v>7.757013</v>
      </c>
      <c r="L33" s="57">
        <v>6.218943</v>
      </c>
      <c r="M33" s="57">
        <v>5.290956</v>
      </c>
      <c r="N33" s="57">
        <v>7.291336</v>
      </c>
      <c r="O33" s="57">
        <v>8.446348</v>
      </c>
      <c r="P33" s="57">
        <v>8.473251</v>
      </c>
      <c r="Q33" s="57">
        <v>5.312961</v>
      </c>
      <c r="R33" s="57">
        <v>7.015108</v>
      </c>
      <c r="S33" s="57">
        <v>11.246795</v>
      </c>
      <c r="T33" s="57">
        <v>5.952183</v>
      </c>
      <c r="U33" s="57">
        <v>11.816667</v>
      </c>
      <c r="V33" s="4"/>
      <c r="W33" s="4"/>
      <c r="X33" s="50"/>
      <c r="Y33" s="50"/>
      <c r="Z33" s="49"/>
      <c r="AC33" s="50"/>
      <c r="AD33" s="50"/>
      <c r="AE33" s="50"/>
      <c r="AF33" s="50"/>
      <c r="AG33" s="50"/>
      <c r="AH33" s="50"/>
      <c r="AI33" s="50"/>
      <c r="AJ33" s="50"/>
      <c r="AK33" s="50"/>
      <c r="AL33" s="49"/>
      <c r="AO33" s="50"/>
      <c r="AP33" s="50"/>
      <c r="AQ33" s="50"/>
      <c r="AR33" s="50"/>
      <c r="AS33" s="50"/>
      <c r="AT33" s="50"/>
      <c r="AU33" s="50"/>
      <c r="AV33" s="50"/>
      <c r="AW33" s="50"/>
      <c r="AX33" s="49"/>
      <c r="BJ33" s="49"/>
      <c r="BN33" s="50"/>
      <c r="BO33" s="50"/>
      <c r="BP33" s="49"/>
      <c r="BT33" s="50"/>
      <c r="BU33" s="50"/>
      <c r="BV33" s="50"/>
      <c r="BW33" s="50"/>
      <c r="BX33" s="50"/>
      <c r="BY33" s="50"/>
      <c r="BZ33" s="50"/>
      <c r="CA33" s="50"/>
      <c r="CB33" s="49"/>
      <c r="CC33" s="49"/>
      <c r="CD33" s="49"/>
      <c r="CE33" s="49"/>
      <c r="CF33" s="50"/>
      <c r="CG33" s="50"/>
      <c r="CH33" s="50"/>
      <c r="CI33" s="50"/>
      <c r="CJ33" s="50"/>
      <c r="CK33" s="50"/>
      <c r="CL33" s="50"/>
      <c r="CM33" s="50"/>
      <c r="CN33" s="49"/>
      <c r="CO33" s="49"/>
      <c r="CP33" s="49"/>
      <c r="CQ33" s="49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</row>
    <row r="34">
      <c r="A34" s="56" t="s">
        <v>1198</v>
      </c>
      <c r="B34" s="58"/>
      <c r="C34" s="58"/>
      <c r="D34" s="58"/>
      <c r="E34" s="59"/>
      <c r="F34" s="59"/>
      <c r="G34" s="58"/>
      <c r="H34" s="58"/>
      <c r="I34" s="58"/>
      <c r="J34" s="56" t="s">
        <v>940</v>
      </c>
      <c r="K34" s="57">
        <v>9.001333</v>
      </c>
      <c r="L34" s="57">
        <v>9.62542</v>
      </c>
      <c r="M34" s="57">
        <v>8.1566</v>
      </c>
      <c r="N34" s="57">
        <v>9.491053</v>
      </c>
      <c r="O34" s="57">
        <v>10.441995</v>
      </c>
      <c r="P34" s="57">
        <v>9.616586</v>
      </c>
      <c r="Q34" s="57">
        <v>8.001539</v>
      </c>
      <c r="R34" s="57">
        <v>10.024431</v>
      </c>
      <c r="S34" s="57">
        <v>12.215584</v>
      </c>
      <c r="T34" s="57">
        <v>9.831478</v>
      </c>
      <c r="U34" s="57">
        <v>13.081493</v>
      </c>
      <c r="V34" s="4"/>
      <c r="W34" s="4"/>
      <c r="X34" s="50"/>
      <c r="Y34" s="50"/>
      <c r="Z34" s="49"/>
      <c r="AC34" s="50"/>
      <c r="AD34" s="50"/>
      <c r="AE34" s="50"/>
      <c r="AF34" s="50"/>
      <c r="AG34" s="50"/>
      <c r="AH34" s="50"/>
      <c r="AI34" s="50"/>
      <c r="AJ34" s="50"/>
      <c r="AK34" s="50"/>
      <c r="AL34" s="49"/>
      <c r="AO34" s="50"/>
      <c r="AP34" s="50"/>
      <c r="AQ34" s="50"/>
      <c r="AR34" s="50"/>
      <c r="AS34" s="50"/>
      <c r="AT34" s="50"/>
      <c r="AU34" s="50"/>
      <c r="AV34" s="50"/>
      <c r="AW34" s="50"/>
      <c r="AX34" s="49"/>
      <c r="BD34" s="50"/>
      <c r="BE34" s="50"/>
      <c r="BF34" s="50"/>
      <c r="BG34" s="50"/>
      <c r="BH34" s="50"/>
      <c r="BI34" s="50"/>
      <c r="BJ34" s="49"/>
      <c r="BM34" s="50"/>
      <c r="BN34" s="50"/>
      <c r="BO34" s="50"/>
      <c r="BP34" s="49"/>
      <c r="BT34" s="50"/>
      <c r="BU34" s="50"/>
      <c r="BV34" s="50"/>
      <c r="BW34" s="50"/>
      <c r="BX34" s="50"/>
      <c r="BY34" s="50"/>
      <c r="BZ34" s="50"/>
      <c r="CA34" s="50"/>
      <c r="CB34" s="49"/>
      <c r="CC34" s="49"/>
      <c r="CD34" s="49"/>
      <c r="CE34" s="49"/>
      <c r="CF34" s="50"/>
      <c r="CG34" s="50"/>
      <c r="CH34" s="50"/>
      <c r="CI34" s="50"/>
      <c r="CJ34" s="50"/>
      <c r="CK34" s="50"/>
      <c r="CL34" s="50"/>
      <c r="CM34" s="50"/>
      <c r="CN34" s="49"/>
      <c r="CO34" s="49"/>
      <c r="CP34" s="49"/>
      <c r="CQ34" s="49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</row>
    <row r="35">
      <c r="A35" s="56" t="s">
        <v>1199</v>
      </c>
      <c r="B35" s="58"/>
      <c r="C35" s="58"/>
      <c r="D35" s="58"/>
      <c r="E35" s="59"/>
      <c r="F35" s="59"/>
      <c r="G35" s="59"/>
      <c r="H35" s="58"/>
      <c r="I35" s="58"/>
      <c r="J35" s="56" t="s">
        <v>915</v>
      </c>
      <c r="K35" s="56" t="s">
        <v>952</v>
      </c>
      <c r="L35" s="57">
        <v>25.198986</v>
      </c>
      <c r="M35" s="57">
        <v>7.428083</v>
      </c>
      <c r="N35" s="57">
        <v>4.555128</v>
      </c>
      <c r="O35" s="57">
        <v>24.093381</v>
      </c>
      <c r="P35" s="57">
        <v>19.389959</v>
      </c>
      <c r="Q35" s="57">
        <v>6.802281</v>
      </c>
      <c r="R35" s="57">
        <v>24.562909</v>
      </c>
      <c r="S35" s="57">
        <v>3.618661</v>
      </c>
      <c r="T35" s="57">
        <v>8.143041</v>
      </c>
      <c r="U35" s="57">
        <v>8.223609</v>
      </c>
      <c r="V35" s="4"/>
      <c r="W35" s="4"/>
      <c r="X35" s="50"/>
      <c r="Y35" s="50"/>
      <c r="Z35" s="49"/>
      <c r="AC35" s="50"/>
      <c r="AD35" s="50"/>
      <c r="AE35" s="50"/>
      <c r="AF35" s="50"/>
      <c r="AG35" s="50"/>
      <c r="AH35" s="50"/>
      <c r="AI35" s="50"/>
      <c r="AJ35" s="50"/>
      <c r="AK35" s="50"/>
      <c r="AL35" s="49"/>
      <c r="AO35" s="50"/>
      <c r="AP35" s="50"/>
      <c r="AQ35" s="50"/>
      <c r="AR35" s="50"/>
      <c r="AS35" s="50"/>
      <c r="AT35" s="50"/>
      <c r="AU35" s="50"/>
      <c r="AV35" s="50"/>
      <c r="AW35" s="50"/>
      <c r="AX35" s="49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49"/>
      <c r="BQ35" s="49"/>
      <c r="BR35" s="49"/>
      <c r="BS35" s="49"/>
      <c r="BT35" s="49"/>
      <c r="BU35" s="50"/>
      <c r="BV35" s="50"/>
      <c r="BW35" s="50"/>
      <c r="BX35" s="50"/>
      <c r="BY35" s="50"/>
      <c r="BZ35" s="50"/>
      <c r="CA35" s="50"/>
      <c r="CB35" s="49"/>
      <c r="CC35" s="49"/>
      <c r="CD35" s="49"/>
      <c r="CE35" s="49"/>
      <c r="CF35" s="50"/>
      <c r="CG35" s="50"/>
      <c r="CH35" s="50"/>
      <c r="CI35" s="50"/>
      <c r="CJ35" s="50"/>
      <c r="CK35" s="50"/>
      <c r="CL35" s="50"/>
      <c r="CM35" s="50"/>
      <c r="CN35" s="49"/>
      <c r="CO35" s="49"/>
      <c r="CP35" s="49"/>
      <c r="CQ35" s="49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</row>
    <row r="36">
      <c r="A36" s="56" t="s">
        <v>1199</v>
      </c>
      <c r="B36" s="58"/>
      <c r="C36" s="58"/>
      <c r="D36" s="58"/>
      <c r="E36" s="58"/>
      <c r="F36" s="59"/>
      <c r="G36" s="59"/>
      <c r="H36" s="58"/>
      <c r="I36" s="58"/>
      <c r="J36" s="58"/>
      <c r="K36" s="56" t="s">
        <v>963</v>
      </c>
      <c r="L36" s="57">
        <v>4.7592</v>
      </c>
      <c r="M36" s="57">
        <v>2.533683</v>
      </c>
      <c r="N36" s="57">
        <v>1.915719</v>
      </c>
      <c r="O36" s="57">
        <v>4.171528</v>
      </c>
      <c r="P36" s="57">
        <v>3.721416</v>
      </c>
      <c r="Q36" s="57">
        <v>2.32585</v>
      </c>
      <c r="R36" s="57">
        <v>4.642765</v>
      </c>
      <c r="S36" s="57">
        <v>1.355225</v>
      </c>
      <c r="T36" s="57">
        <v>2.557656</v>
      </c>
      <c r="U36" s="57">
        <v>2.065107</v>
      </c>
      <c r="V36" s="4"/>
      <c r="W36" s="4"/>
      <c r="X36" s="50"/>
      <c r="Y36" s="50"/>
      <c r="Z36" s="49"/>
      <c r="AC36" s="50"/>
      <c r="AD36" s="50"/>
      <c r="AE36" s="50"/>
      <c r="AF36" s="50"/>
      <c r="AG36" s="50"/>
      <c r="AH36" s="50"/>
      <c r="AI36" s="50"/>
      <c r="AJ36" s="50"/>
      <c r="AK36" s="50"/>
      <c r="AL36" s="49"/>
      <c r="AO36" s="50"/>
      <c r="AP36" s="50"/>
      <c r="AQ36" s="50"/>
      <c r="AR36" s="50"/>
      <c r="AS36" s="50"/>
      <c r="AT36" s="50"/>
      <c r="AU36" s="50"/>
      <c r="AV36" s="50"/>
      <c r="AW36" s="50"/>
      <c r="AX36" s="49"/>
      <c r="BA36" s="50"/>
      <c r="BB36" s="50"/>
      <c r="BC36" s="50"/>
      <c r="BD36" s="50"/>
      <c r="BE36" s="50"/>
      <c r="BF36" s="50"/>
      <c r="BG36" s="50"/>
      <c r="BH36" s="50"/>
      <c r="BI36" s="50"/>
      <c r="BJ36" s="49"/>
      <c r="BP36" s="49"/>
      <c r="BQ36" s="49"/>
      <c r="BR36" s="49"/>
      <c r="BS36" s="49"/>
      <c r="BT36" s="50"/>
      <c r="BU36" s="50"/>
      <c r="BV36" s="50"/>
      <c r="BW36" s="50"/>
      <c r="BX36" s="50"/>
      <c r="BY36" s="50"/>
      <c r="BZ36" s="50"/>
      <c r="CA36" s="50"/>
      <c r="CB36" s="49"/>
      <c r="CC36" s="49"/>
      <c r="CD36" s="49"/>
      <c r="CE36" s="49"/>
      <c r="CF36" s="50"/>
      <c r="CG36" s="50"/>
      <c r="CH36" s="50"/>
      <c r="CI36" s="50"/>
      <c r="CJ36" s="50"/>
      <c r="CK36" s="50"/>
      <c r="CL36" s="50"/>
      <c r="CM36" s="50"/>
      <c r="CN36" s="49"/>
      <c r="CO36" s="49"/>
      <c r="CP36" s="49"/>
      <c r="CQ36" s="49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</row>
    <row r="37">
      <c r="A37" s="56" t="s">
        <v>1199</v>
      </c>
      <c r="B37" s="58"/>
      <c r="C37" s="58"/>
      <c r="D37" s="58"/>
      <c r="E37" s="59"/>
      <c r="F37" s="59"/>
      <c r="G37" s="59"/>
      <c r="H37" s="58"/>
      <c r="I37" s="58"/>
      <c r="J37" s="58"/>
      <c r="K37" s="56" t="s">
        <v>974</v>
      </c>
      <c r="L37" s="57">
        <v>5.019859</v>
      </c>
      <c r="M37" s="57">
        <v>2.725451</v>
      </c>
      <c r="N37" s="57">
        <v>2.134275</v>
      </c>
      <c r="O37" s="57">
        <v>4.908501</v>
      </c>
      <c r="P37" s="57">
        <v>4.403403</v>
      </c>
      <c r="Q37" s="57">
        <v>2.608118</v>
      </c>
      <c r="R37" s="57">
        <v>4.956098</v>
      </c>
      <c r="S37" s="57">
        <v>1.902278</v>
      </c>
      <c r="T37" s="57">
        <v>2.853601</v>
      </c>
      <c r="U37" s="57">
        <v>2.867684</v>
      </c>
      <c r="V37" s="4"/>
      <c r="W37" s="4"/>
      <c r="X37" s="50"/>
      <c r="Y37" s="50"/>
      <c r="Z37" s="49"/>
      <c r="AC37" s="50"/>
      <c r="AD37" s="50"/>
      <c r="AE37" s="50"/>
      <c r="AF37" s="50"/>
      <c r="AG37" s="50"/>
      <c r="AH37" s="50"/>
      <c r="AI37" s="50"/>
      <c r="AJ37" s="50"/>
      <c r="AK37" s="50"/>
      <c r="AL37" s="49"/>
      <c r="AO37" s="50"/>
      <c r="AP37" s="50"/>
      <c r="AQ37" s="50"/>
      <c r="AR37" s="50"/>
      <c r="AS37" s="50"/>
      <c r="AT37" s="50"/>
      <c r="AU37" s="50"/>
      <c r="AV37" s="50"/>
      <c r="AW37" s="50"/>
      <c r="AX37" s="49"/>
      <c r="BA37" s="50"/>
      <c r="BB37" s="50"/>
      <c r="BC37" s="50"/>
      <c r="BD37" s="50"/>
      <c r="BE37" s="50"/>
      <c r="BF37" s="50"/>
      <c r="BG37" s="50"/>
      <c r="BH37" s="50"/>
      <c r="BI37" s="50"/>
      <c r="BJ37" s="49"/>
      <c r="BP37" s="49"/>
      <c r="BQ37" s="49"/>
      <c r="BR37" s="49"/>
      <c r="BS37" s="49"/>
      <c r="BT37" s="50"/>
      <c r="BU37" s="50"/>
      <c r="BV37" s="50"/>
      <c r="BW37" s="50"/>
      <c r="BX37" s="50"/>
      <c r="BY37" s="50"/>
      <c r="BZ37" s="50"/>
      <c r="CA37" s="50"/>
      <c r="CB37" s="49"/>
      <c r="CC37" s="49"/>
      <c r="CD37" s="49"/>
      <c r="CE37" s="49"/>
      <c r="CF37" s="49"/>
      <c r="CG37" s="50"/>
      <c r="CH37" s="50"/>
      <c r="CI37" s="50"/>
      <c r="CJ37" s="50"/>
      <c r="CK37" s="50"/>
      <c r="CL37" s="50"/>
      <c r="CM37" s="50"/>
      <c r="CN37" s="49"/>
      <c r="CO37" s="49"/>
      <c r="CP37" s="49"/>
      <c r="CQ37" s="49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</row>
    <row r="38">
      <c r="A38" s="56" t="s">
        <v>1200</v>
      </c>
      <c r="B38" s="58"/>
      <c r="C38" s="58"/>
      <c r="D38" s="58"/>
      <c r="E38" s="58"/>
      <c r="F38" s="59"/>
      <c r="G38" s="59"/>
      <c r="H38" s="59"/>
      <c r="I38" s="58"/>
      <c r="J38" s="58"/>
      <c r="K38" s="56" t="s">
        <v>985</v>
      </c>
      <c r="L38" s="56" t="s">
        <v>986</v>
      </c>
      <c r="M38" s="57">
        <v>7.80659</v>
      </c>
      <c r="N38" s="57">
        <v>49.835344</v>
      </c>
      <c r="O38" s="57">
        <v>29.577245</v>
      </c>
      <c r="P38" s="57">
        <v>7.283312</v>
      </c>
      <c r="Q38" s="57">
        <v>11.49533</v>
      </c>
      <c r="R38" s="57">
        <v>36.662145</v>
      </c>
      <c r="S38" s="57">
        <v>1.400248</v>
      </c>
      <c r="T38" s="57">
        <v>10.148812</v>
      </c>
      <c r="U38" s="57">
        <v>39.738012</v>
      </c>
      <c r="V38" s="4"/>
      <c r="W38" s="4"/>
      <c r="X38" s="50"/>
      <c r="Y38" s="50"/>
      <c r="Z38" s="49"/>
      <c r="AD38" s="50"/>
      <c r="AE38" s="50"/>
      <c r="AF38" s="50"/>
      <c r="AG38" s="50"/>
      <c r="AH38" s="50"/>
      <c r="AI38" s="50"/>
      <c r="AJ38" s="50"/>
      <c r="AK38" s="50"/>
      <c r="AL38" s="49"/>
      <c r="AP38" s="50"/>
      <c r="AQ38" s="50"/>
      <c r="AR38" s="50"/>
      <c r="AS38" s="50"/>
      <c r="AT38" s="50"/>
      <c r="AU38" s="50"/>
      <c r="AV38" s="50"/>
      <c r="AW38" s="50"/>
      <c r="AX38" s="49"/>
      <c r="BB38" s="50"/>
      <c r="BC38" s="50"/>
      <c r="BD38" s="50"/>
      <c r="BE38" s="50"/>
      <c r="BF38" s="50"/>
      <c r="BG38" s="50"/>
      <c r="BH38" s="50"/>
      <c r="BI38" s="50"/>
      <c r="BJ38" s="49"/>
      <c r="BM38" s="50"/>
      <c r="BN38" s="50"/>
      <c r="BO38" s="50"/>
      <c r="BP38" s="49"/>
      <c r="BQ38" s="49"/>
      <c r="BR38" s="49"/>
      <c r="BS38" s="50"/>
      <c r="BT38" s="50"/>
      <c r="BU38" s="50"/>
      <c r="BV38" s="50"/>
      <c r="BW38" s="50"/>
      <c r="BX38" s="50"/>
      <c r="BY38" s="50"/>
      <c r="BZ38" s="50"/>
      <c r="CA38" s="50"/>
      <c r="CB38" s="49"/>
      <c r="CC38" s="49"/>
      <c r="CD38" s="49"/>
      <c r="CE38" s="49"/>
      <c r="CF38" s="50"/>
      <c r="CG38" s="50"/>
      <c r="CH38" s="50"/>
      <c r="CI38" s="50"/>
      <c r="CJ38" s="50"/>
      <c r="CK38" s="50"/>
      <c r="CL38" s="50"/>
      <c r="CM38" s="50"/>
      <c r="CN38" s="49"/>
      <c r="CO38" s="49"/>
      <c r="CP38" s="49"/>
      <c r="CQ38" s="49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</row>
    <row r="39">
      <c r="A39" s="56" t="s">
        <v>1200</v>
      </c>
      <c r="B39" s="58"/>
      <c r="C39" s="58"/>
      <c r="D39" s="58"/>
      <c r="E39" s="59"/>
      <c r="F39" s="59"/>
      <c r="G39" s="59"/>
      <c r="H39" s="59"/>
      <c r="I39" s="58"/>
      <c r="J39" s="58"/>
      <c r="K39" s="58"/>
      <c r="L39" s="56" t="s">
        <v>996</v>
      </c>
      <c r="M39" s="57">
        <v>1.746421</v>
      </c>
      <c r="N39" s="57">
        <v>5.84691</v>
      </c>
      <c r="O39" s="57">
        <v>4.180023</v>
      </c>
      <c r="P39" s="57">
        <v>2.322314</v>
      </c>
      <c r="Q39" s="57">
        <v>3.212818</v>
      </c>
      <c r="R39" s="57">
        <v>4.402412</v>
      </c>
      <c r="S39" s="57">
        <v>1.149425</v>
      </c>
      <c r="T39" s="57">
        <v>2.92658</v>
      </c>
      <c r="U39" s="57">
        <v>5.19281</v>
      </c>
      <c r="V39" s="4"/>
      <c r="W39" s="4"/>
      <c r="X39" s="50"/>
      <c r="Y39" s="50"/>
      <c r="Z39" s="49"/>
      <c r="AC39" s="50"/>
      <c r="AD39" s="50"/>
      <c r="AE39" s="50"/>
      <c r="AF39" s="50"/>
      <c r="AG39" s="50"/>
      <c r="AH39" s="50"/>
      <c r="AI39" s="50"/>
      <c r="AJ39" s="50"/>
      <c r="AK39" s="50"/>
      <c r="AL39" s="49"/>
      <c r="AO39" s="50"/>
      <c r="AP39" s="50"/>
      <c r="AQ39" s="50"/>
      <c r="AR39" s="50"/>
      <c r="AS39" s="50"/>
      <c r="AT39" s="50"/>
      <c r="AU39" s="50"/>
      <c r="AV39" s="50"/>
      <c r="AW39" s="50"/>
      <c r="AX39" s="49"/>
      <c r="BA39" s="50"/>
      <c r="BB39" s="50"/>
      <c r="BC39" s="50"/>
      <c r="BD39" s="50"/>
      <c r="BE39" s="50"/>
      <c r="BF39" s="50"/>
      <c r="BG39" s="50"/>
      <c r="BH39" s="50"/>
      <c r="BI39" s="50"/>
      <c r="BJ39" s="49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49"/>
      <c r="CC39" s="49"/>
      <c r="CD39" s="49"/>
      <c r="CE39" s="49"/>
      <c r="CF39" s="50"/>
      <c r="CG39" s="50"/>
      <c r="CH39" s="50"/>
      <c r="CI39" s="50"/>
      <c r="CJ39" s="50"/>
      <c r="CK39" s="50"/>
      <c r="CL39" s="50"/>
      <c r="CM39" s="50"/>
      <c r="CN39" s="49"/>
      <c r="CO39" s="49"/>
      <c r="CP39" s="49"/>
      <c r="CQ39" s="49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</row>
    <row r="40">
      <c r="A40" s="56" t="s">
        <v>1200</v>
      </c>
      <c r="B40" s="58"/>
      <c r="C40" s="58"/>
      <c r="D40" s="58"/>
      <c r="E40" s="58"/>
      <c r="F40" s="59"/>
      <c r="G40" s="59"/>
      <c r="H40" s="59"/>
      <c r="I40" s="58"/>
      <c r="J40" s="58"/>
      <c r="K40" s="58"/>
      <c r="L40" s="56" t="s">
        <v>1006</v>
      </c>
      <c r="M40" s="57">
        <v>2.794027</v>
      </c>
      <c r="N40" s="57">
        <v>7.059415</v>
      </c>
      <c r="O40" s="57">
        <v>5.438497</v>
      </c>
      <c r="P40" s="57">
        <v>2.698761</v>
      </c>
      <c r="Q40" s="57">
        <v>3.390476</v>
      </c>
      <c r="R40" s="57">
        <v>6.054927</v>
      </c>
      <c r="S40" s="57">
        <v>1.183321</v>
      </c>
      <c r="T40" s="57">
        <v>3.18572</v>
      </c>
      <c r="U40" s="57">
        <v>6.303809</v>
      </c>
      <c r="V40" s="4"/>
      <c r="W40" s="4"/>
      <c r="X40" s="50"/>
      <c r="Y40" s="50"/>
      <c r="Z40" s="49"/>
      <c r="AD40" s="50"/>
      <c r="AE40" s="50"/>
      <c r="AF40" s="50"/>
      <c r="AG40" s="50"/>
      <c r="AH40" s="50"/>
      <c r="AI40" s="50"/>
      <c r="AJ40" s="50"/>
      <c r="AK40" s="50"/>
      <c r="AL40" s="49"/>
      <c r="AP40" s="50"/>
      <c r="AQ40" s="50"/>
      <c r="AR40" s="50"/>
      <c r="AS40" s="50"/>
      <c r="AT40" s="50"/>
      <c r="AU40" s="50"/>
      <c r="AV40" s="50"/>
      <c r="AW40" s="50"/>
      <c r="AX40" s="49"/>
      <c r="BB40" s="50"/>
      <c r="BC40" s="50"/>
      <c r="BD40" s="50"/>
      <c r="BE40" s="50"/>
      <c r="BF40" s="50"/>
      <c r="BG40" s="50"/>
      <c r="BH40" s="50"/>
      <c r="BI40" s="50"/>
      <c r="BJ40" s="49"/>
      <c r="BM40" s="50"/>
      <c r="BN40" s="50"/>
      <c r="BO40" s="50"/>
      <c r="BP40" s="49"/>
      <c r="CB40" s="49"/>
      <c r="CC40" s="49"/>
      <c r="CD40" s="49"/>
      <c r="CE40" s="50"/>
      <c r="CF40" s="50"/>
      <c r="CG40" s="50"/>
      <c r="CH40" s="50"/>
      <c r="CI40" s="50"/>
      <c r="CJ40" s="50"/>
      <c r="CK40" s="50"/>
      <c r="CL40" s="50"/>
      <c r="CM40" s="50"/>
      <c r="CN40" s="49"/>
      <c r="CO40" s="49"/>
      <c r="CP40" s="49"/>
      <c r="CQ40" s="49"/>
      <c r="CR40" s="49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</row>
    <row r="41">
      <c r="A41" s="56" t="s">
        <v>1201</v>
      </c>
      <c r="B41" s="58"/>
      <c r="C41" s="58"/>
      <c r="D41" s="58"/>
      <c r="E41" s="58"/>
      <c r="F41" s="59"/>
      <c r="G41" s="59"/>
      <c r="H41" s="59"/>
      <c r="I41" s="59"/>
      <c r="J41" s="58"/>
      <c r="K41" s="58"/>
      <c r="L41" s="56" t="s">
        <v>1016</v>
      </c>
      <c r="M41" s="56" t="s">
        <v>1017</v>
      </c>
      <c r="N41" s="57">
        <v>9.067989</v>
      </c>
      <c r="O41" s="57">
        <v>22.510911</v>
      </c>
      <c r="P41" s="57">
        <v>10.918086</v>
      </c>
      <c r="Q41" s="57">
        <v>27.22163</v>
      </c>
      <c r="R41" s="57">
        <v>7.092707</v>
      </c>
      <c r="S41" s="57">
        <v>6.306321</v>
      </c>
      <c r="T41" s="57">
        <v>4.752051</v>
      </c>
      <c r="U41" s="57">
        <v>18.516588</v>
      </c>
      <c r="V41" s="4"/>
      <c r="W41" s="1" t="s">
        <v>1202</v>
      </c>
      <c r="X41" s="50"/>
      <c r="Y41" s="50"/>
      <c r="Z41" s="49"/>
      <c r="AD41" s="50"/>
      <c r="AE41" s="50"/>
      <c r="AF41" s="50"/>
      <c r="AG41" s="50"/>
      <c r="AH41" s="50"/>
      <c r="AI41" s="50"/>
      <c r="AJ41" s="50"/>
      <c r="AK41" s="50"/>
      <c r="AL41" s="49"/>
      <c r="AP41" s="50"/>
      <c r="AQ41" s="50"/>
      <c r="AR41" s="50"/>
      <c r="AS41" s="50"/>
      <c r="AT41" s="50"/>
      <c r="AU41" s="50"/>
      <c r="AV41" s="50"/>
      <c r="AW41" s="50"/>
      <c r="AX41" s="49"/>
      <c r="BA41" s="50"/>
      <c r="BB41" s="50"/>
      <c r="BC41" s="50"/>
      <c r="BD41" s="50"/>
      <c r="BE41" s="50"/>
      <c r="BF41" s="50"/>
      <c r="BG41" s="50"/>
      <c r="BH41" s="50"/>
      <c r="BI41" s="50"/>
      <c r="BJ41" s="49"/>
      <c r="BN41" s="50"/>
      <c r="BO41" s="50"/>
      <c r="BP41" s="49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49"/>
      <c r="CO41" s="49"/>
      <c r="CP41" s="49"/>
      <c r="CQ41" s="49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</row>
    <row r="42">
      <c r="A42" s="56" t="s">
        <v>1201</v>
      </c>
      <c r="B42" s="58"/>
      <c r="C42" s="58"/>
      <c r="D42" s="58"/>
      <c r="E42" s="58"/>
      <c r="F42" s="59"/>
      <c r="G42" s="59"/>
      <c r="H42" s="59"/>
      <c r="I42" s="59"/>
      <c r="J42" s="58"/>
      <c r="K42" s="58"/>
      <c r="L42" s="58"/>
      <c r="M42" s="56" t="s">
        <v>1026</v>
      </c>
      <c r="N42" s="57">
        <v>2.944815</v>
      </c>
      <c r="O42" s="57">
        <v>4.609852</v>
      </c>
      <c r="P42" s="57">
        <v>2.747585</v>
      </c>
      <c r="Q42" s="57">
        <v>4.269832</v>
      </c>
      <c r="R42" s="57">
        <v>2.635347</v>
      </c>
      <c r="S42" s="57">
        <v>2.423678</v>
      </c>
      <c r="T42" s="57">
        <v>1.831277</v>
      </c>
      <c r="U42" s="57">
        <v>4.1322</v>
      </c>
      <c r="V42" s="4"/>
      <c r="W42" s="62" t="s">
        <v>1203</v>
      </c>
      <c r="X42" s="50"/>
      <c r="Y42" s="50"/>
      <c r="Z42" s="49"/>
      <c r="AD42" s="50"/>
      <c r="AE42" s="50"/>
      <c r="AF42" s="50"/>
      <c r="AG42" s="50"/>
      <c r="AH42" s="50"/>
      <c r="AI42" s="50"/>
      <c r="AJ42" s="50"/>
      <c r="AK42" s="50"/>
      <c r="AL42" s="49"/>
      <c r="AP42" s="50"/>
      <c r="AQ42" s="50"/>
      <c r="AR42" s="50"/>
      <c r="AS42" s="50"/>
      <c r="AT42" s="50"/>
      <c r="AU42" s="50"/>
      <c r="AV42" s="50"/>
      <c r="AW42" s="50"/>
      <c r="AX42" s="49"/>
      <c r="BB42" s="50"/>
      <c r="BC42" s="50"/>
      <c r="BD42" s="50"/>
      <c r="BE42" s="50"/>
      <c r="BF42" s="50"/>
      <c r="BG42" s="50"/>
      <c r="BH42" s="50"/>
      <c r="BI42" s="50"/>
      <c r="BJ42" s="49"/>
      <c r="BM42" s="50"/>
      <c r="BN42" s="50"/>
      <c r="BO42" s="50"/>
      <c r="BP42" s="49"/>
      <c r="BS42" s="50"/>
      <c r="BT42" s="50"/>
      <c r="BU42" s="50"/>
      <c r="BV42" s="50"/>
      <c r="BW42" s="50"/>
      <c r="BX42" s="50"/>
      <c r="BY42" s="50"/>
      <c r="BZ42" s="50"/>
      <c r="CA42" s="50"/>
      <c r="CB42" s="49"/>
      <c r="CN42" s="49"/>
      <c r="CO42" s="49"/>
      <c r="CP42" s="49"/>
      <c r="CQ42" s="49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</row>
    <row r="43">
      <c r="A43" s="56" t="s">
        <v>1201</v>
      </c>
      <c r="B43" s="58"/>
      <c r="C43" s="58"/>
      <c r="D43" s="58"/>
      <c r="E43" s="58"/>
      <c r="F43" s="59"/>
      <c r="G43" s="59"/>
      <c r="H43" s="59"/>
      <c r="I43" s="59"/>
      <c r="J43" s="58"/>
      <c r="K43" s="58"/>
      <c r="L43" s="58"/>
      <c r="M43" s="56" t="s">
        <v>1035</v>
      </c>
      <c r="N43" s="57">
        <v>3.01131</v>
      </c>
      <c r="O43" s="57">
        <v>4.744566</v>
      </c>
      <c r="P43" s="57">
        <v>3.304253</v>
      </c>
      <c r="Q43" s="57">
        <v>5.217435</v>
      </c>
      <c r="R43" s="57">
        <v>2.663214</v>
      </c>
      <c r="S43" s="57">
        <v>2.511239</v>
      </c>
      <c r="T43" s="57">
        <v>2.17992</v>
      </c>
      <c r="U43" s="57">
        <v>4.303091</v>
      </c>
      <c r="V43" s="4"/>
      <c r="W43" s="63" t="s">
        <v>1204</v>
      </c>
      <c r="X43" s="50"/>
      <c r="Y43" s="50"/>
      <c r="Z43" s="49"/>
      <c r="AD43" s="50"/>
      <c r="AE43" s="50"/>
      <c r="AF43" s="50"/>
      <c r="AG43" s="50"/>
      <c r="AH43" s="50"/>
      <c r="AI43" s="50"/>
      <c r="AJ43" s="50"/>
      <c r="AK43" s="50"/>
      <c r="AL43" s="49"/>
      <c r="AP43" s="50"/>
      <c r="AQ43" s="50"/>
      <c r="AR43" s="50"/>
      <c r="AS43" s="50"/>
      <c r="AT43" s="50"/>
      <c r="AU43" s="50"/>
      <c r="AV43" s="50"/>
      <c r="AW43" s="50"/>
      <c r="AX43" s="49"/>
      <c r="BB43" s="50"/>
      <c r="BC43" s="50"/>
      <c r="BD43" s="50"/>
      <c r="BE43" s="50"/>
      <c r="BF43" s="50"/>
      <c r="BG43" s="50"/>
      <c r="BH43" s="50"/>
      <c r="BI43" s="50"/>
      <c r="BJ43" s="49"/>
      <c r="BN43" s="50"/>
      <c r="BO43" s="50"/>
      <c r="BP43" s="49"/>
      <c r="BS43" s="50"/>
      <c r="BT43" s="50"/>
      <c r="BU43" s="50"/>
      <c r="BV43" s="50"/>
      <c r="BW43" s="50"/>
      <c r="BX43" s="50"/>
      <c r="BY43" s="50"/>
      <c r="BZ43" s="50"/>
      <c r="CA43" s="50"/>
      <c r="CB43" s="49"/>
      <c r="CH43" s="50"/>
      <c r="CI43" s="50"/>
      <c r="CJ43" s="50"/>
      <c r="CK43" s="50"/>
      <c r="CL43" s="50"/>
      <c r="CM43" s="50"/>
      <c r="CN43" s="49"/>
      <c r="CO43" s="49"/>
      <c r="CP43" s="49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</row>
    <row r="44">
      <c r="A44" s="56" t="s">
        <v>1205</v>
      </c>
      <c r="B44" s="58"/>
      <c r="C44" s="58"/>
      <c r="D44" s="58"/>
      <c r="E44" s="58"/>
      <c r="F44" s="59"/>
      <c r="G44" s="59"/>
      <c r="H44" s="59"/>
      <c r="I44" s="59"/>
      <c r="J44" s="59"/>
      <c r="K44" s="58"/>
      <c r="L44" s="58"/>
      <c r="M44" s="56" t="s">
        <v>1044</v>
      </c>
      <c r="N44" s="56" t="s">
        <v>1045</v>
      </c>
      <c r="O44" s="57">
        <v>69.656029</v>
      </c>
      <c r="P44" s="57">
        <v>45.829409</v>
      </c>
      <c r="Q44" s="57">
        <v>41.774317</v>
      </c>
      <c r="R44" s="57">
        <v>62.675528</v>
      </c>
      <c r="S44" s="57">
        <v>57.41066</v>
      </c>
      <c r="T44" s="57">
        <v>79.348902</v>
      </c>
      <c r="U44" s="57">
        <v>86.351599</v>
      </c>
      <c r="V44" s="4"/>
      <c r="W44" s="64" t="s">
        <v>1206</v>
      </c>
      <c r="X44" s="50"/>
      <c r="Y44" s="50"/>
      <c r="Z44" s="49"/>
      <c r="AD44" s="50"/>
      <c r="AE44" s="50"/>
      <c r="AF44" s="50"/>
      <c r="AG44" s="50"/>
      <c r="AH44" s="50"/>
      <c r="AI44" s="50"/>
      <c r="AJ44" s="50"/>
      <c r="AK44" s="50"/>
      <c r="AL44" s="49"/>
      <c r="AP44" s="50"/>
      <c r="AQ44" s="50"/>
      <c r="AR44" s="50"/>
      <c r="AS44" s="50"/>
      <c r="AT44" s="50"/>
      <c r="AU44" s="50"/>
      <c r="AV44" s="50"/>
      <c r="AW44" s="50"/>
      <c r="AX44" s="49"/>
      <c r="BB44" s="50"/>
      <c r="BC44" s="50"/>
      <c r="BD44" s="50"/>
      <c r="BE44" s="50"/>
      <c r="BF44" s="50"/>
      <c r="BG44" s="50"/>
      <c r="BH44" s="50"/>
      <c r="BI44" s="50"/>
      <c r="BJ44" s="49"/>
      <c r="BM44" s="50"/>
      <c r="BN44" s="50"/>
      <c r="BO44" s="50"/>
      <c r="BP44" s="49"/>
      <c r="BS44" s="50"/>
      <c r="BT44" s="50"/>
      <c r="BU44" s="50"/>
      <c r="BV44" s="50"/>
      <c r="BW44" s="50"/>
      <c r="BX44" s="50"/>
      <c r="BY44" s="50"/>
      <c r="BZ44" s="50"/>
      <c r="CA44" s="50"/>
      <c r="CB44" s="49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</row>
    <row r="45">
      <c r="A45" s="56" t="s">
        <v>1205</v>
      </c>
      <c r="B45" s="58"/>
      <c r="C45" s="58"/>
      <c r="D45" s="58"/>
      <c r="E45" s="58"/>
      <c r="F45" s="59"/>
      <c r="G45" s="59"/>
      <c r="H45" s="59"/>
      <c r="I45" s="59"/>
      <c r="J45" s="59"/>
      <c r="K45" s="58"/>
      <c r="L45" s="58"/>
      <c r="M45" s="58"/>
      <c r="N45" s="56" t="s">
        <v>1053</v>
      </c>
      <c r="O45" s="57">
        <v>7.173392</v>
      </c>
      <c r="P45" s="57">
        <v>3.877884</v>
      </c>
      <c r="Q45" s="57">
        <v>6.124586</v>
      </c>
      <c r="R45" s="57">
        <v>6.2222</v>
      </c>
      <c r="S45" s="57">
        <v>5.79042</v>
      </c>
      <c r="T45" s="57">
        <v>7.558641</v>
      </c>
      <c r="U45" s="57">
        <v>7.509394</v>
      </c>
      <c r="V45" s="4"/>
      <c r="W45" s="4"/>
      <c r="X45" s="50"/>
      <c r="Y45" s="50"/>
      <c r="Z45" s="49"/>
      <c r="AD45" s="50"/>
      <c r="AE45" s="50"/>
      <c r="AF45" s="50"/>
      <c r="AG45" s="50"/>
      <c r="AH45" s="50"/>
      <c r="AI45" s="50"/>
      <c r="AJ45" s="50"/>
      <c r="AK45" s="50"/>
      <c r="AL45" s="49"/>
      <c r="AP45" s="50"/>
      <c r="AQ45" s="50"/>
      <c r="AR45" s="50"/>
      <c r="AS45" s="50"/>
      <c r="AT45" s="50"/>
      <c r="AU45" s="50"/>
      <c r="AV45" s="50"/>
      <c r="AW45" s="50"/>
      <c r="AX45" s="49"/>
      <c r="BB45" s="50"/>
      <c r="BC45" s="50"/>
      <c r="BD45" s="50"/>
      <c r="BE45" s="50"/>
      <c r="BF45" s="50"/>
      <c r="BG45" s="50"/>
      <c r="BH45" s="50"/>
      <c r="BI45" s="50"/>
      <c r="BJ45" s="49"/>
      <c r="BN45" s="50"/>
      <c r="BO45" s="50"/>
      <c r="BP45" s="49"/>
      <c r="BS45" s="50"/>
      <c r="BT45" s="50"/>
      <c r="BU45" s="50"/>
      <c r="BV45" s="50"/>
      <c r="BW45" s="50"/>
      <c r="BX45" s="50"/>
      <c r="BY45" s="50"/>
      <c r="BZ45" s="50"/>
      <c r="CA45" s="50"/>
      <c r="CB45" s="49"/>
      <c r="CE45" s="50"/>
      <c r="CF45" s="50"/>
      <c r="CG45" s="50"/>
      <c r="CH45" s="50"/>
      <c r="CI45" s="50"/>
      <c r="CJ45" s="50"/>
      <c r="CK45" s="50"/>
      <c r="CL45" s="50"/>
      <c r="CM45" s="50"/>
      <c r="CN45" s="49"/>
      <c r="CZ45" s="50"/>
      <c r="DA45" s="49"/>
      <c r="DM45" s="49"/>
    </row>
    <row r="46">
      <c r="A46" s="56" t="s">
        <v>1205</v>
      </c>
      <c r="B46" s="58"/>
      <c r="C46" s="58"/>
      <c r="D46" s="58"/>
      <c r="E46" s="58"/>
      <c r="F46" s="59"/>
      <c r="G46" s="59"/>
      <c r="H46" s="59"/>
      <c r="I46" s="59"/>
      <c r="J46" s="59"/>
      <c r="K46" s="58"/>
      <c r="L46" s="58"/>
      <c r="M46" s="58"/>
      <c r="N46" s="56" t="s">
        <v>1061</v>
      </c>
      <c r="O46" s="57">
        <v>8.346019</v>
      </c>
      <c r="P46" s="57">
        <v>6.769742</v>
      </c>
      <c r="Q46" s="57">
        <v>6.463305</v>
      </c>
      <c r="R46" s="57">
        <v>7.916788</v>
      </c>
      <c r="S46" s="57">
        <v>7.576982</v>
      </c>
      <c r="T46" s="57">
        <v>8.9078</v>
      </c>
      <c r="U46" s="57">
        <v>9.292556</v>
      </c>
      <c r="V46" s="4"/>
      <c r="W46" s="4"/>
      <c r="X46" s="50"/>
      <c r="Y46" s="50"/>
      <c r="Z46" s="49"/>
      <c r="AD46" s="50"/>
      <c r="AE46" s="50"/>
      <c r="AF46" s="50"/>
      <c r="AG46" s="50"/>
      <c r="AH46" s="50"/>
      <c r="AI46" s="50"/>
      <c r="AJ46" s="50"/>
      <c r="AK46" s="50"/>
      <c r="AL46" s="49"/>
      <c r="AP46" s="50"/>
      <c r="AQ46" s="50"/>
      <c r="AR46" s="50"/>
      <c r="AS46" s="50"/>
      <c r="AT46" s="50"/>
      <c r="AU46" s="50"/>
      <c r="AV46" s="50"/>
      <c r="AW46" s="50"/>
      <c r="AX46" s="49"/>
      <c r="BB46" s="50"/>
      <c r="BC46" s="50"/>
      <c r="BD46" s="50"/>
      <c r="BE46" s="50"/>
      <c r="BF46" s="50"/>
      <c r="BG46" s="50"/>
      <c r="BH46" s="50"/>
      <c r="BI46" s="50"/>
      <c r="BJ46" s="49"/>
      <c r="BN46" s="50"/>
      <c r="BO46" s="50"/>
      <c r="BP46" s="49"/>
      <c r="BS46" s="50"/>
      <c r="BT46" s="50"/>
      <c r="BU46" s="50"/>
      <c r="BV46" s="50"/>
      <c r="BW46" s="50"/>
      <c r="BX46" s="50"/>
      <c r="BY46" s="50"/>
      <c r="BZ46" s="50"/>
      <c r="CA46" s="50"/>
      <c r="CB46" s="49"/>
      <c r="CE46" s="50"/>
      <c r="CF46" s="50"/>
      <c r="CG46" s="50"/>
      <c r="CH46" s="50"/>
      <c r="CI46" s="50"/>
      <c r="CJ46" s="50"/>
      <c r="CK46" s="50"/>
      <c r="CL46" s="50"/>
      <c r="CM46" s="50"/>
      <c r="CN46" s="49"/>
      <c r="CS46" s="50"/>
      <c r="CT46" s="50"/>
      <c r="CU46" s="50"/>
      <c r="CV46" s="50"/>
      <c r="CW46" s="50"/>
      <c r="CX46" s="50"/>
      <c r="CY46" s="50"/>
      <c r="CZ46" s="50"/>
      <c r="DA46" s="49"/>
      <c r="DG46" s="50"/>
      <c r="DH46" s="50"/>
      <c r="DI46" s="50"/>
      <c r="DJ46" s="50"/>
      <c r="DK46" s="50"/>
      <c r="DL46" s="50"/>
      <c r="DM46" s="49"/>
    </row>
    <row r="47">
      <c r="A47" s="56" t="s">
        <v>1207</v>
      </c>
      <c r="B47" s="58"/>
      <c r="C47" s="58"/>
      <c r="D47" s="58"/>
      <c r="E47" s="58"/>
      <c r="F47" s="59"/>
      <c r="G47" s="59"/>
      <c r="H47" s="59"/>
      <c r="I47" s="59"/>
      <c r="J47" s="59"/>
      <c r="K47" s="59"/>
      <c r="L47" s="58"/>
      <c r="M47" s="58"/>
      <c r="N47" s="56" t="s">
        <v>1069</v>
      </c>
      <c r="O47" s="56" t="s">
        <v>1070</v>
      </c>
      <c r="P47" s="57">
        <v>23.016805</v>
      </c>
      <c r="Q47" s="57">
        <v>7.949941</v>
      </c>
      <c r="R47" s="57">
        <v>3.978095</v>
      </c>
      <c r="S47" s="57">
        <v>9.857009</v>
      </c>
      <c r="T47" s="57">
        <v>19.173201</v>
      </c>
      <c r="U47" s="57">
        <v>2.27753</v>
      </c>
      <c r="V47" s="4"/>
      <c r="W47" s="4"/>
      <c r="X47" s="50"/>
      <c r="Y47" s="50"/>
      <c r="Z47" s="49"/>
      <c r="AD47" s="50"/>
      <c r="AE47" s="50"/>
      <c r="AF47" s="50"/>
      <c r="AG47" s="50"/>
      <c r="AH47" s="50"/>
      <c r="AI47" s="50"/>
      <c r="AJ47" s="50"/>
      <c r="AK47" s="50"/>
      <c r="AL47" s="49"/>
      <c r="AP47" s="50"/>
      <c r="AQ47" s="50"/>
      <c r="AR47" s="50"/>
      <c r="AS47" s="50"/>
      <c r="AT47" s="50"/>
      <c r="AU47" s="50"/>
      <c r="AV47" s="50"/>
      <c r="AW47" s="50"/>
      <c r="AX47" s="49"/>
      <c r="BB47" s="50"/>
      <c r="BC47" s="50"/>
      <c r="BD47" s="50"/>
      <c r="BE47" s="50"/>
      <c r="BF47" s="50"/>
      <c r="BG47" s="50"/>
      <c r="BH47" s="50"/>
      <c r="BI47" s="50"/>
      <c r="BJ47" s="49"/>
      <c r="BN47" s="50"/>
      <c r="BO47" s="50"/>
      <c r="BP47" s="49"/>
      <c r="BT47" s="50"/>
      <c r="BU47" s="50"/>
      <c r="BV47" s="50"/>
      <c r="BW47" s="50"/>
      <c r="BX47" s="50"/>
      <c r="BY47" s="50"/>
      <c r="BZ47" s="50"/>
      <c r="CA47" s="50"/>
      <c r="CB47" s="49"/>
      <c r="CE47" s="50"/>
      <c r="CF47" s="50"/>
      <c r="CG47" s="50"/>
      <c r="CH47" s="50"/>
      <c r="CI47" s="50"/>
      <c r="CJ47" s="50"/>
      <c r="CK47" s="50"/>
      <c r="CL47" s="50"/>
      <c r="CM47" s="50"/>
      <c r="CN47" s="49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49"/>
      <c r="DD47" s="50"/>
      <c r="DE47" s="50"/>
      <c r="DF47" s="50"/>
      <c r="DG47" s="50"/>
      <c r="DH47" s="50"/>
      <c r="DI47" s="50"/>
      <c r="DJ47" s="50"/>
      <c r="DK47" s="50"/>
      <c r="DL47" s="50"/>
      <c r="DM47" s="49"/>
    </row>
    <row r="48">
      <c r="A48" s="56" t="s">
        <v>1207</v>
      </c>
      <c r="B48" s="58"/>
      <c r="C48" s="58"/>
      <c r="D48" s="58"/>
      <c r="E48" s="58"/>
      <c r="F48" s="59"/>
      <c r="G48" s="59"/>
      <c r="H48" s="59"/>
      <c r="I48" s="59"/>
      <c r="J48" s="59"/>
      <c r="K48" s="59"/>
      <c r="L48" s="58"/>
      <c r="M48" s="58"/>
      <c r="N48" s="58"/>
      <c r="O48" s="56" t="s">
        <v>1077</v>
      </c>
      <c r="P48" s="57">
        <v>3.445397</v>
      </c>
      <c r="Q48" s="57">
        <v>2.138548</v>
      </c>
      <c r="R48" s="57">
        <v>1.359285</v>
      </c>
      <c r="S48" s="57">
        <v>2.965238</v>
      </c>
      <c r="T48" s="57">
        <v>4.034732</v>
      </c>
      <c r="U48" s="57">
        <v>1.49008</v>
      </c>
      <c r="V48" s="4"/>
      <c r="W48" s="4"/>
      <c r="X48" s="50"/>
      <c r="Y48" s="50"/>
      <c r="Z48" s="49"/>
      <c r="AD48" s="50"/>
      <c r="AE48" s="50"/>
      <c r="AF48" s="50"/>
      <c r="AG48" s="50"/>
      <c r="AH48" s="50"/>
      <c r="AI48" s="50"/>
      <c r="AJ48" s="50"/>
      <c r="AK48" s="50"/>
      <c r="AL48" s="49"/>
      <c r="AP48" s="50"/>
      <c r="AQ48" s="50"/>
      <c r="AR48" s="50"/>
      <c r="AS48" s="50"/>
      <c r="AT48" s="50"/>
      <c r="AU48" s="50"/>
      <c r="AV48" s="50"/>
      <c r="AW48" s="50"/>
      <c r="AX48" s="49"/>
      <c r="BB48" s="50"/>
      <c r="BC48" s="50"/>
      <c r="BD48" s="50"/>
      <c r="BE48" s="50"/>
      <c r="BF48" s="50"/>
      <c r="BG48" s="50"/>
      <c r="BH48" s="50"/>
      <c r="BI48" s="50"/>
      <c r="BJ48" s="49"/>
      <c r="BN48" s="50"/>
      <c r="BO48" s="50"/>
      <c r="BP48" s="49"/>
      <c r="BS48" s="50"/>
      <c r="BT48" s="50"/>
      <c r="BU48" s="50"/>
      <c r="BV48" s="50"/>
      <c r="BW48" s="50"/>
      <c r="BX48" s="50"/>
      <c r="BY48" s="50"/>
      <c r="BZ48" s="50"/>
      <c r="CA48" s="50"/>
      <c r="CB48" s="49"/>
      <c r="CE48" s="50"/>
      <c r="CF48" s="50"/>
      <c r="CG48" s="50"/>
      <c r="CH48" s="50"/>
      <c r="CI48" s="50"/>
      <c r="CJ48" s="50"/>
      <c r="CK48" s="50"/>
      <c r="CL48" s="50"/>
      <c r="CM48" s="50"/>
      <c r="CN48" s="49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49"/>
      <c r="DD48" s="50"/>
      <c r="DE48" s="50"/>
      <c r="DF48" s="50"/>
      <c r="DG48" s="50"/>
      <c r="DH48" s="50"/>
      <c r="DI48" s="50"/>
      <c r="DJ48" s="50"/>
      <c r="DK48" s="50"/>
      <c r="DL48" s="50"/>
      <c r="DM48" s="49"/>
    </row>
    <row r="49">
      <c r="A49" s="56" t="s">
        <v>1207</v>
      </c>
      <c r="B49" s="58"/>
      <c r="C49" s="58"/>
      <c r="D49" s="58"/>
      <c r="E49" s="58"/>
      <c r="F49" s="59"/>
      <c r="G49" s="59"/>
      <c r="H49" s="59"/>
      <c r="I49" s="59"/>
      <c r="J49" s="59"/>
      <c r="K49" s="59"/>
      <c r="L49" s="58"/>
      <c r="M49" s="58"/>
      <c r="N49" s="58"/>
      <c r="O49" s="56" t="s">
        <v>1084</v>
      </c>
      <c r="P49" s="57">
        <v>4.797583</v>
      </c>
      <c r="Q49" s="57">
        <v>2.819564</v>
      </c>
      <c r="R49" s="57">
        <v>1.994516</v>
      </c>
      <c r="S49" s="57">
        <v>3.139587</v>
      </c>
      <c r="T49" s="57">
        <v>4.378721</v>
      </c>
      <c r="U49" s="57">
        <v>1.509149</v>
      </c>
      <c r="V49" s="4"/>
      <c r="W49" s="4"/>
      <c r="X49" s="50"/>
      <c r="Y49" s="50"/>
      <c r="Z49" s="49"/>
      <c r="AD49" s="50"/>
      <c r="AE49" s="50"/>
      <c r="AF49" s="50"/>
      <c r="AG49" s="50"/>
      <c r="AH49" s="50"/>
      <c r="AI49" s="50"/>
      <c r="AJ49" s="50"/>
      <c r="AK49" s="50"/>
      <c r="AL49" s="49"/>
      <c r="AP49" s="50"/>
      <c r="AQ49" s="50"/>
      <c r="AR49" s="50"/>
      <c r="AS49" s="50"/>
      <c r="AT49" s="50"/>
      <c r="AU49" s="50"/>
      <c r="AV49" s="50"/>
      <c r="AW49" s="50"/>
      <c r="AX49" s="49"/>
      <c r="BB49" s="50"/>
      <c r="BC49" s="50"/>
      <c r="BD49" s="50"/>
      <c r="BE49" s="50"/>
      <c r="BF49" s="50"/>
      <c r="BG49" s="50"/>
      <c r="BH49" s="50"/>
      <c r="BI49" s="50"/>
      <c r="BJ49" s="49"/>
      <c r="BN49" s="50"/>
      <c r="BO49" s="50"/>
      <c r="BP49" s="49"/>
      <c r="BT49" s="50"/>
      <c r="BU49" s="50"/>
      <c r="BV49" s="50"/>
      <c r="BW49" s="50"/>
      <c r="BX49" s="50"/>
      <c r="BY49" s="50"/>
      <c r="BZ49" s="50"/>
      <c r="CA49" s="50"/>
      <c r="CB49" s="49"/>
      <c r="CF49" s="50"/>
      <c r="CG49" s="50"/>
      <c r="CH49" s="50"/>
      <c r="CI49" s="50"/>
      <c r="CJ49" s="50"/>
      <c r="CK49" s="50"/>
      <c r="CL49" s="50"/>
      <c r="CM49" s="50"/>
      <c r="CN49" s="49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49"/>
      <c r="DD49" s="50"/>
      <c r="DE49" s="50"/>
      <c r="DF49" s="50"/>
      <c r="DG49" s="50"/>
      <c r="DH49" s="50"/>
      <c r="DI49" s="50"/>
      <c r="DJ49" s="50"/>
      <c r="DK49" s="50"/>
      <c r="DL49" s="50"/>
      <c r="DM49" s="49"/>
    </row>
    <row r="50">
      <c r="A50" s="56" t="s">
        <v>1208</v>
      </c>
      <c r="B50" s="58"/>
      <c r="C50" s="58"/>
      <c r="D50" s="58"/>
      <c r="E50" s="58"/>
      <c r="F50" s="59"/>
      <c r="G50" s="59"/>
      <c r="H50" s="59"/>
      <c r="I50" s="59"/>
      <c r="J50" s="59"/>
      <c r="K50" s="59"/>
      <c r="L50" s="59"/>
      <c r="M50" s="58"/>
      <c r="N50" s="58"/>
      <c r="O50" s="56" t="s">
        <v>1091</v>
      </c>
      <c r="P50" s="56" t="s">
        <v>1092</v>
      </c>
      <c r="Q50" s="57">
        <v>6.138072</v>
      </c>
      <c r="R50" s="57">
        <v>1.971604</v>
      </c>
      <c r="S50" s="57">
        <v>36.528231</v>
      </c>
      <c r="T50" s="57">
        <v>7.350085</v>
      </c>
      <c r="U50" s="57">
        <v>3.426745</v>
      </c>
      <c r="V50" s="4"/>
      <c r="W50" s="4"/>
      <c r="X50" s="50"/>
      <c r="Y50" s="50"/>
      <c r="Z50" s="49"/>
      <c r="AD50" s="50"/>
      <c r="AE50" s="50"/>
      <c r="AF50" s="50"/>
      <c r="AG50" s="50"/>
      <c r="AH50" s="50"/>
      <c r="AI50" s="50"/>
      <c r="AJ50" s="50"/>
      <c r="AK50" s="50"/>
      <c r="AL50" s="49"/>
      <c r="AP50" s="50"/>
      <c r="AQ50" s="50"/>
      <c r="AR50" s="50"/>
      <c r="AS50" s="50"/>
      <c r="AT50" s="50"/>
      <c r="AU50" s="50"/>
      <c r="AV50" s="50"/>
      <c r="AW50" s="50"/>
      <c r="AX50" s="49"/>
      <c r="BB50" s="50"/>
      <c r="BC50" s="50"/>
      <c r="BD50" s="50"/>
      <c r="BE50" s="50"/>
      <c r="BF50" s="50"/>
      <c r="BG50" s="50"/>
      <c r="BH50" s="50"/>
      <c r="BI50" s="50"/>
      <c r="BJ50" s="49"/>
      <c r="BN50" s="50"/>
      <c r="BO50" s="50"/>
      <c r="BP50" s="49"/>
      <c r="BT50" s="50"/>
      <c r="BU50" s="50"/>
      <c r="BV50" s="50"/>
      <c r="BW50" s="50"/>
      <c r="BX50" s="50"/>
      <c r="BY50" s="50"/>
      <c r="BZ50" s="50"/>
      <c r="CA50" s="50"/>
      <c r="CB50" s="49"/>
      <c r="CE50" s="50"/>
      <c r="CF50" s="50"/>
      <c r="CG50" s="50"/>
      <c r="CH50" s="50"/>
      <c r="CI50" s="50"/>
      <c r="CJ50" s="50"/>
      <c r="CK50" s="50"/>
      <c r="CL50" s="50"/>
      <c r="CM50" s="50"/>
      <c r="CN50" s="49"/>
      <c r="CR50" s="50"/>
      <c r="CS50" s="50"/>
      <c r="CT50" s="50"/>
      <c r="CU50" s="50"/>
      <c r="CV50" s="50"/>
      <c r="CW50" s="50"/>
      <c r="CX50" s="50"/>
      <c r="CY50" s="50"/>
      <c r="CZ50" s="50"/>
      <c r="DA50" s="49"/>
      <c r="DE50" s="50"/>
      <c r="DF50" s="50"/>
      <c r="DG50" s="50"/>
      <c r="DH50" s="50"/>
      <c r="DI50" s="50"/>
      <c r="DJ50" s="50"/>
      <c r="DK50" s="50"/>
      <c r="DL50" s="50"/>
      <c r="DM50" s="49"/>
    </row>
    <row r="51">
      <c r="A51" s="56" t="s">
        <v>1208</v>
      </c>
      <c r="B51" s="58"/>
      <c r="C51" s="58"/>
      <c r="D51" s="58"/>
      <c r="E51" s="58"/>
      <c r="F51" s="59"/>
      <c r="G51" s="59"/>
      <c r="H51" s="59"/>
      <c r="I51" s="59"/>
      <c r="J51" s="59"/>
      <c r="K51" s="59"/>
      <c r="L51" s="59"/>
      <c r="M51" s="58"/>
      <c r="N51" s="58"/>
      <c r="O51" s="58"/>
      <c r="P51" s="56" t="s">
        <v>1098</v>
      </c>
      <c r="Q51" s="57">
        <v>1.732343</v>
      </c>
      <c r="R51" s="57">
        <v>1.189031</v>
      </c>
      <c r="S51" s="57">
        <v>4.887613</v>
      </c>
      <c r="T51" s="57">
        <v>2.311874</v>
      </c>
      <c r="U51" s="57">
        <v>1.454469</v>
      </c>
      <c r="V51" s="4"/>
      <c r="W51" s="4"/>
      <c r="X51" s="50"/>
      <c r="Y51" s="50"/>
      <c r="Z51" s="49"/>
      <c r="AD51" s="50"/>
      <c r="AE51" s="50"/>
      <c r="AF51" s="50"/>
      <c r="AG51" s="50"/>
      <c r="AH51" s="50"/>
      <c r="AI51" s="50"/>
      <c r="AJ51" s="50"/>
      <c r="AK51" s="50"/>
      <c r="AL51" s="49"/>
      <c r="AP51" s="50"/>
      <c r="AQ51" s="50"/>
      <c r="AR51" s="50"/>
      <c r="AS51" s="50"/>
      <c r="AT51" s="50"/>
      <c r="AU51" s="50"/>
      <c r="AV51" s="50"/>
      <c r="AW51" s="50"/>
      <c r="AX51" s="49"/>
      <c r="BB51" s="50"/>
      <c r="BC51" s="50"/>
      <c r="BD51" s="50"/>
      <c r="BE51" s="50"/>
      <c r="BF51" s="50"/>
      <c r="BG51" s="50"/>
      <c r="BH51" s="50"/>
      <c r="BI51" s="50"/>
      <c r="BJ51" s="49"/>
      <c r="BN51" s="50"/>
      <c r="BO51" s="50"/>
      <c r="BP51" s="49"/>
      <c r="BT51" s="50"/>
      <c r="BU51" s="50"/>
      <c r="BV51" s="50"/>
      <c r="BW51" s="50"/>
      <c r="BX51" s="50"/>
      <c r="BY51" s="50"/>
      <c r="BZ51" s="50"/>
      <c r="CA51" s="50"/>
      <c r="CB51" s="49"/>
      <c r="CF51" s="50"/>
      <c r="CG51" s="50"/>
      <c r="CH51" s="50"/>
      <c r="CI51" s="50"/>
      <c r="CJ51" s="50"/>
      <c r="CK51" s="50"/>
      <c r="CL51" s="50"/>
      <c r="CM51" s="50"/>
      <c r="CN51" s="49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49"/>
      <c r="DD51" s="50"/>
      <c r="DE51" s="50"/>
      <c r="DF51" s="50"/>
      <c r="DG51" s="50"/>
      <c r="DH51" s="50"/>
      <c r="DI51" s="50"/>
      <c r="DJ51" s="50"/>
      <c r="DK51" s="50"/>
      <c r="DL51" s="50"/>
      <c r="DM51" s="49"/>
    </row>
    <row r="52">
      <c r="A52" s="56" t="s">
        <v>1208</v>
      </c>
      <c r="B52" s="58"/>
      <c r="C52" s="58"/>
      <c r="D52" s="58"/>
      <c r="E52" s="58"/>
      <c r="F52" s="59"/>
      <c r="G52" s="59"/>
      <c r="H52" s="59"/>
      <c r="I52" s="59"/>
      <c r="J52" s="59"/>
      <c r="K52" s="59"/>
      <c r="L52" s="59"/>
      <c r="M52" s="58"/>
      <c r="N52" s="58"/>
      <c r="O52" s="58"/>
      <c r="P52" s="56" t="s">
        <v>1104</v>
      </c>
      <c r="Q52" s="57">
        <v>2.477513</v>
      </c>
      <c r="R52" s="57">
        <v>1.404138</v>
      </c>
      <c r="S52" s="57">
        <v>6.043859</v>
      </c>
      <c r="T52" s="57">
        <v>2.711104</v>
      </c>
      <c r="U52" s="57">
        <v>1.851147</v>
      </c>
      <c r="V52" s="4"/>
      <c r="W52" s="4"/>
      <c r="X52" s="50"/>
      <c r="Y52" s="50"/>
      <c r="Z52" s="49"/>
      <c r="AD52" s="50"/>
      <c r="AE52" s="50"/>
      <c r="AF52" s="50"/>
      <c r="AG52" s="50"/>
      <c r="AH52" s="50"/>
      <c r="AI52" s="50"/>
      <c r="AJ52" s="50"/>
      <c r="AK52" s="50"/>
      <c r="AL52" s="49"/>
      <c r="AP52" s="50"/>
      <c r="AQ52" s="50"/>
      <c r="AR52" s="50"/>
      <c r="AS52" s="50"/>
      <c r="AT52" s="50"/>
      <c r="AU52" s="50"/>
      <c r="AV52" s="50"/>
      <c r="AW52" s="50"/>
      <c r="AX52" s="49"/>
      <c r="BB52" s="50"/>
      <c r="BC52" s="50"/>
      <c r="BD52" s="50"/>
      <c r="BE52" s="50"/>
      <c r="BF52" s="50"/>
      <c r="BG52" s="50"/>
      <c r="BH52" s="50"/>
      <c r="BI52" s="50"/>
      <c r="BJ52" s="49"/>
      <c r="BN52" s="50"/>
      <c r="BO52" s="50"/>
      <c r="BP52" s="49"/>
      <c r="BT52" s="50"/>
      <c r="BU52" s="50"/>
      <c r="BV52" s="50"/>
      <c r="BW52" s="50"/>
      <c r="BX52" s="50"/>
      <c r="BY52" s="50"/>
      <c r="BZ52" s="50"/>
      <c r="CA52" s="50"/>
      <c r="CB52" s="49"/>
      <c r="CF52" s="50"/>
      <c r="CG52" s="50"/>
      <c r="CH52" s="50"/>
      <c r="CI52" s="50"/>
      <c r="CJ52" s="50"/>
      <c r="CK52" s="50"/>
      <c r="CL52" s="50"/>
      <c r="CM52" s="50"/>
      <c r="CN52" s="49"/>
      <c r="CR52" s="50"/>
      <c r="CS52" s="50"/>
      <c r="CT52" s="50"/>
      <c r="CU52" s="50"/>
      <c r="CV52" s="50"/>
      <c r="CW52" s="50"/>
      <c r="CX52" s="50"/>
      <c r="CY52" s="50"/>
      <c r="CZ52" s="50"/>
      <c r="DA52" s="49"/>
      <c r="DE52" s="50"/>
      <c r="DF52" s="50"/>
      <c r="DG52" s="50"/>
      <c r="DH52" s="50"/>
      <c r="DI52" s="50"/>
      <c r="DJ52" s="50"/>
      <c r="DK52" s="50"/>
      <c r="DL52" s="50"/>
      <c r="DM52" s="49"/>
    </row>
    <row r="53">
      <c r="A53" s="56" t="s">
        <v>1209</v>
      </c>
      <c r="B53" s="58"/>
      <c r="C53" s="58"/>
      <c r="D53" s="58"/>
      <c r="E53" s="58"/>
      <c r="F53" s="59"/>
      <c r="G53" s="59"/>
      <c r="H53" s="59"/>
      <c r="I53" s="59"/>
      <c r="J53" s="59"/>
      <c r="K53" s="59"/>
      <c r="L53" s="59"/>
      <c r="M53" s="59"/>
      <c r="N53" s="58"/>
      <c r="O53" s="58"/>
      <c r="P53" s="56" t="s">
        <v>1110</v>
      </c>
      <c r="Q53" s="56" t="s">
        <v>1111</v>
      </c>
      <c r="R53" s="57">
        <v>5.260594</v>
      </c>
      <c r="S53" s="57">
        <v>15.906958</v>
      </c>
      <c r="T53" s="57">
        <v>2.446959</v>
      </c>
      <c r="U53" s="57">
        <v>43.445947</v>
      </c>
      <c r="V53" s="4"/>
      <c r="W53" s="4"/>
      <c r="X53" s="50"/>
      <c r="Y53" s="50"/>
      <c r="Z53" s="49"/>
      <c r="AD53" s="50"/>
      <c r="AE53" s="50"/>
      <c r="AF53" s="50"/>
      <c r="AG53" s="50"/>
      <c r="AH53" s="50"/>
      <c r="AI53" s="50"/>
      <c r="AJ53" s="50"/>
      <c r="AK53" s="50"/>
      <c r="AL53" s="49"/>
      <c r="AP53" s="50"/>
      <c r="AQ53" s="50"/>
      <c r="AR53" s="50"/>
      <c r="AS53" s="50"/>
      <c r="AT53" s="50"/>
      <c r="AU53" s="50"/>
      <c r="AV53" s="50"/>
      <c r="AW53" s="50"/>
      <c r="AX53" s="49"/>
      <c r="BB53" s="50"/>
      <c r="BC53" s="50"/>
      <c r="BD53" s="50"/>
      <c r="BE53" s="50"/>
      <c r="BF53" s="50"/>
      <c r="BG53" s="50"/>
      <c r="BH53" s="50"/>
      <c r="BI53" s="50"/>
      <c r="BJ53" s="49"/>
      <c r="BN53" s="50"/>
      <c r="BO53" s="50"/>
      <c r="BP53" s="49"/>
      <c r="BT53" s="50"/>
      <c r="BU53" s="50"/>
      <c r="BV53" s="50"/>
      <c r="BW53" s="50"/>
      <c r="BX53" s="50"/>
      <c r="BY53" s="50"/>
      <c r="BZ53" s="50"/>
      <c r="CA53" s="50"/>
      <c r="CB53" s="49"/>
      <c r="CF53" s="50"/>
      <c r="CG53" s="50"/>
      <c r="CH53" s="50"/>
      <c r="CI53" s="50"/>
      <c r="CJ53" s="50"/>
      <c r="CK53" s="50"/>
      <c r="CL53" s="50"/>
      <c r="CM53" s="50"/>
      <c r="CN53" s="49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49"/>
      <c r="DD53" s="50"/>
      <c r="DE53" s="50"/>
      <c r="DF53" s="50"/>
      <c r="DG53" s="50"/>
      <c r="DH53" s="50"/>
      <c r="DI53" s="50"/>
      <c r="DJ53" s="50"/>
      <c r="DK53" s="50"/>
      <c r="DL53" s="50"/>
      <c r="DM53" s="49"/>
    </row>
    <row r="54">
      <c r="A54" s="56" t="s">
        <v>1209</v>
      </c>
      <c r="B54" s="58"/>
      <c r="C54" s="58"/>
      <c r="D54" s="58"/>
      <c r="E54" s="58"/>
      <c r="F54" s="59"/>
      <c r="G54" s="59"/>
      <c r="H54" s="59"/>
      <c r="I54" s="59"/>
      <c r="J54" s="59"/>
      <c r="K54" s="59"/>
      <c r="L54" s="59"/>
      <c r="M54" s="59"/>
      <c r="N54" s="58"/>
      <c r="O54" s="58"/>
      <c r="P54" s="58"/>
      <c r="Q54" s="56" t="s">
        <v>1116</v>
      </c>
      <c r="R54" s="57">
        <v>2.040951</v>
      </c>
      <c r="S54" s="57">
        <v>3.327933</v>
      </c>
      <c r="T54" s="57">
        <v>1.55563</v>
      </c>
      <c r="U54" s="57">
        <v>5.575976</v>
      </c>
      <c r="V54" s="4"/>
      <c r="W54" s="4"/>
      <c r="X54" s="50"/>
      <c r="Y54" s="50"/>
      <c r="Z54" s="49"/>
      <c r="AD54" s="50"/>
      <c r="AE54" s="50"/>
      <c r="AF54" s="50"/>
      <c r="AG54" s="50"/>
      <c r="AH54" s="50"/>
      <c r="AI54" s="50"/>
      <c r="AJ54" s="50"/>
      <c r="AK54" s="50"/>
      <c r="AL54" s="49"/>
      <c r="AP54" s="50"/>
      <c r="AQ54" s="50"/>
      <c r="AR54" s="50"/>
      <c r="AS54" s="50"/>
      <c r="AT54" s="50"/>
      <c r="AU54" s="50"/>
      <c r="AV54" s="50"/>
      <c r="AW54" s="50"/>
      <c r="AX54" s="49"/>
      <c r="BB54" s="50"/>
      <c r="BC54" s="50"/>
      <c r="BD54" s="50"/>
      <c r="BE54" s="50"/>
      <c r="BF54" s="50"/>
      <c r="BG54" s="50"/>
      <c r="BH54" s="50"/>
      <c r="BI54" s="50"/>
      <c r="BJ54" s="49"/>
      <c r="BN54" s="50"/>
      <c r="BO54" s="50"/>
      <c r="BP54" s="49"/>
      <c r="BT54" s="50"/>
      <c r="BU54" s="50"/>
      <c r="BV54" s="50"/>
      <c r="BW54" s="50"/>
      <c r="BX54" s="50"/>
      <c r="BY54" s="50"/>
      <c r="BZ54" s="50"/>
      <c r="CA54" s="50"/>
      <c r="CB54" s="49"/>
      <c r="CF54" s="50"/>
      <c r="CG54" s="50"/>
      <c r="CH54" s="50"/>
      <c r="CI54" s="50"/>
      <c r="CJ54" s="50"/>
      <c r="CK54" s="50"/>
      <c r="CL54" s="50"/>
      <c r="CM54" s="50"/>
      <c r="CN54" s="49"/>
      <c r="CR54" s="50"/>
      <c r="CS54" s="50"/>
      <c r="CT54" s="50"/>
      <c r="CU54" s="50"/>
      <c r="CV54" s="50"/>
      <c r="CW54" s="50"/>
      <c r="CX54" s="50"/>
      <c r="CY54" s="50"/>
      <c r="CZ54" s="50"/>
      <c r="DA54" s="49"/>
      <c r="DE54" s="50"/>
      <c r="DF54" s="50"/>
      <c r="DG54" s="50"/>
      <c r="DH54" s="50"/>
      <c r="DI54" s="50"/>
      <c r="DJ54" s="50"/>
      <c r="DK54" s="50"/>
      <c r="DL54" s="50"/>
      <c r="DM54" s="49"/>
    </row>
    <row r="55">
      <c r="A55" s="56" t="s">
        <v>1209</v>
      </c>
      <c r="B55" s="58"/>
      <c r="C55" s="58"/>
      <c r="D55" s="58"/>
      <c r="E55" s="58"/>
      <c r="F55" s="59"/>
      <c r="G55" s="59"/>
      <c r="H55" s="59"/>
      <c r="I55" s="59"/>
      <c r="J55" s="59"/>
      <c r="K55" s="59"/>
      <c r="L55" s="59"/>
      <c r="M55" s="59"/>
      <c r="N55" s="58"/>
      <c r="O55" s="58"/>
      <c r="P55" s="58"/>
      <c r="Q55" s="56" t="s">
        <v>1121</v>
      </c>
      <c r="R55" s="57">
        <v>2.293598</v>
      </c>
      <c r="S55" s="57">
        <v>3.988353</v>
      </c>
      <c r="T55" s="57">
        <v>1.564276</v>
      </c>
      <c r="U55" s="57">
        <v>6.591354</v>
      </c>
      <c r="V55" s="4"/>
      <c r="W55" s="4"/>
      <c r="X55" s="50"/>
      <c r="Y55" s="50"/>
      <c r="Z55" s="49"/>
      <c r="AD55" s="50"/>
      <c r="AE55" s="50"/>
      <c r="AF55" s="50"/>
      <c r="AG55" s="50"/>
      <c r="AH55" s="50"/>
      <c r="AI55" s="50"/>
      <c r="AJ55" s="50"/>
      <c r="AK55" s="50"/>
      <c r="AL55" s="49"/>
      <c r="AP55" s="50"/>
      <c r="AQ55" s="50"/>
      <c r="AR55" s="50"/>
      <c r="AS55" s="50"/>
      <c r="AT55" s="50"/>
      <c r="AU55" s="50"/>
      <c r="AV55" s="50"/>
      <c r="AW55" s="50"/>
      <c r="AX55" s="49"/>
      <c r="BB55" s="50"/>
      <c r="BC55" s="50"/>
      <c r="BD55" s="50"/>
      <c r="BE55" s="50"/>
      <c r="BF55" s="50"/>
      <c r="BG55" s="50"/>
      <c r="BH55" s="50"/>
      <c r="BI55" s="50"/>
      <c r="BJ55" s="49"/>
      <c r="BN55" s="50"/>
      <c r="BO55" s="50"/>
      <c r="BP55" s="49"/>
      <c r="BT55" s="50"/>
      <c r="BU55" s="50"/>
      <c r="BV55" s="50"/>
      <c r="BW55" s="50"/>
      <c r="BX55" s="50"/>
      <c r="BY55" s="50"/>
      <c r="BZ55" s="50"/>
      <c r="CA55" s="50"/>
      <c r="CB55" s="49"/>
      <c r="CF55" s="50"/>
      <c r="CG55" s="50"/>
      <c r="CH55" s="50"/>
      <c r="CI55" s="50"/>
      <c r="CJ55" s="50"/>
      <c r="CK55" s="50"/>
      <c r="CL55" s="50"/>
      <c r="CM55" s="50"/>
      <c r="CN55" s="49"/>
      <c r="CR55" s="50"/>
      <c r="CS55" s="50"/>
      <c r="CT55" s="50"/>
      <c r="CU55" s="50"/>
      <c r="CV55" s="50"/>
      <c r="CW55" s="50"/>
      <c r="CX55" s="50"/>
      <c r="CY55" s="50"/>
      <c r="CZ55" s="50"/>
      <c r="DA55" s="49"/>
      <c r="DE55" s="50"/>
      <c r="DF55" s="50"/>
      <c r="DG55" s="50"/>
      <c r="DH55" s="50"/>
      <c r="DI55" s="50"/>
      <c r="DJ55" s="50"/>
      <c r="DK55" s="50"/>
      <c r="DL55" s="50"/>
      <c r="DM55" s="49"/>
    </row>
    <row r="56">
      <c r="A56" s="56" t="s">
        <v>1210</v>
      </c>
      <c r="B56" s="58"/>
      <c r="C56" s="58"/>
      <c r="D56" s="58"/>
      <c r="E56" s="58"/>
      <c r="F56" s="59"/>
      <c r="G56" s="59"/>
      <c r="H56" s="59"/>
      <c r="I56" s="59"/>
      <c r="J56" s="59"/>
      <c r="K56" s="59"/>
      <c r="L56" s="59"/>
      <c r="M56" s="59"/>
      <c r="N56" s="58"/>
      <c r="O56" s="58"/>
      <c r="P56" s="58"/>
      <c r="Q56" s="56" t="s">
        <v>1126</v>
      </c>
      <c r="R56" s="56" t="s">
        <v>1127</v>
      </c>
      <c r="S56" s="57">
        <v>19.901276</v>
      </c>
      <c r="T56" s="57">
        <v>13.840902</v>
      </c>
      <c r="U56" s="57">
        <v>57.88265</v>
      </c>
      <c r="V56" s="4"/>
      <c r="W56" s="4"/>
      <c r="X56" s="50"/>
      <c r="Y56" s="50"/>
      <c r="Z56" s="49"/>
      <c r="AD56" s="50"/>
      <c r="AE56" s="50"/>
      <c r="AF56" s="50"/>
      <c r="AG56" s="50"/>
      <c r="AH56" s="50"/>
      <c r="AI56" s="50"/>
      <c r="AJ56" s="50"/>
      <c r="AK56" s="50"/>
      <c r="AL56" s="49"/>
      <c r="AP56" s="50"/>
      <c r="AQ56" s="50"/>
      <c r="AR56" s="50"/>
      <c r="AS56" s="50"/>
      <c r="AT56" s="50"/>
      <c r="AU56" s="50"/>
      <c r="AV56" s="50"/>
      <c r="AW56" s="50"/>
      <c r="AX56" s="49"/>
      <c r="BB56" s="50"/>
      <c r="BC56" s="50"/>
      <c r="BD56" s="50"/>
      <c r="BE56" s="50"/>
      <c r="BF56" s="50"/>
      <c r="BG56" s="50"/>
      <c r="BH56" s="50"/>
      <c r="BI56" s="50"/>
      <c r="BJ56" s="49"/>
      <c r="BN56" s="50"/>
      <c r="BO56" s="50"/>
      <c r="BP56" s="49"/>
      <c r="BT56" s="50"/>
      <c r="BU56" s="50"/>
      <c r="BV56" s="50"/>
      <c r="BW56" s="50"/>
      <c r="BX56" s="50"/>
      <c r="BY56" s="50"/>
      <c r="BZ56" s="50"/>
      <c r="CA56" s="50"/>
      <c r="CB56" s="49"/>
      <c r="CF56" s="50"/>
      <c r="CG56" s="50"/>
      <c r="CH56" s="50"/>
      <c r="CI56" s="50"/>
      <c r="CJ56" s="50"/>
      <c r="CK56" s="50"/>
      <c r="CL56" s="50"/>
      <c r="CM56" s="50"/>
      <c r="CN56" s="49"/>
      <c r="CR56" s="50"/>
      <c r="CS56" s="50"/>
      <c r="CT56" s="50"/>
      <c r="CU56" s="50"/>
      <c r="CV56" s="50"/>
      <c r="CW56" s="50"/>
      <c r="CX56" s="50"/>
      <c r="CY56" s="50"/>
      <c r="CZ56" s="50"/>
      <c r="DA56" s="49"/>
      <c r="DE56" s="50"/>
      <c r="DF56" s="50"/>
      <c r="DG56" s="50"/>
      <c r="DH56" s="50"/>
      <c r="DI56" s="50"/>
      <c r="DJ56" s="50"/>
      <c r="DK56" s="50"/>
      <c r="DL56" s="50"/>
      <c r="DM56" s="49"/>
    </row>
    <row r="57">
      <c r="A57" s="56" t="s">
        <v>1210</v>
      </c>
      <c r="B57" s="58"/>
      <c r="C57" s="58"/>
      <c r="D57" s="58"/>
      <c r="E57" s="58"/>
      <c r="F57" s="59"/>
      <c r="G57" s="59"/>
      <c r="H57" s="59"/>
      <c r="I57" s="59"/>
      <c r="J57" s="59"/>
      <c r="K57" s="59"/>
      <c r="L57" s="59"/>
      <c r="M57" s="59"/>
      <c r="N57" s="58"/>
      <c r="O57" s="58"/>
      <c r="P57" s="58"/>
      <c r="Q57" s="58"/>
      <c r="R57" s="56" t="s">
        <v>1131</v>
      </c>
      <c r="S57" s="57">
        <v>3.87631</v>
      </c>
      <c r="T57" s="57">
        <v>3.52555</v>
      </c>
      <c r="U57" s="57">
        <v>6.530389</v>
      </c>
      <c r="V57" s="4"/>
      <c r="W57" s="4"/>
      <c r="X57" s="50"/>
      <c r="Y57" s="50"/>
      <c r="Z57" s="49"/>
      <c r="AD57" s="50"/>
      <c r="AE57" s="50"/>
      <c r="AF57" s="50"/>
      <c r="AG57" s="50"/>
      <c r="AH57" s="50"/>
      <c r="AI57" s="50"/>
      <c r="AJ57" s="50"/>
      <c r="AK57" s="50"/>
      <c r="AL57" s="49"/>
      <c r="AP57" s="50"/>
      <c r="AQ57" s="50"/>
      <c r="AR57" s="50"/>
      <c r="AS57" s="50"/>
      <c r="AT57" s="50"/>
      <c r="AU57" s="50"/>
      <c r="AV57" s="50"/>
      <c r="AW57" s="50"/>
      <c r="AX57" s="49"/>
      <c r="BB57" s="50"/>
      <c r="BC57" s="50"/>
      <c r="BD57" s="50"/>
      <c r="BE57" s="50"/>
      <c r="BF57" s="50"/>
      <c r="BG57" s="50"/>
      <c r="BH57" s="50"/>
      <c r="BI57" s="50"/>
      <c r="BJ57" s="49"/>
      <c r="BN57" s="50"/>
      <c r="BO57" s="50"/>
      <c r="BP57" s="49"/>
      <c r="BT57" s="50"/>
      <c r="BU57" s="50"/>
      <c r="BV57" s="50"/>
      <c r="BW57" s="50"/>
      <c r="BX57" s="50"/>
      <c r="BY57" s="50"/>
      <c r="BZ57" s="50"/>
      <c r="CA57" s="50"/>
      <c r="CB57" s="49"/>
      <c r="CF57" s="50"/>
      <c r="CG57" s="50"/>
      <c r="CH57" s="50"/>
      <c r="CI57" s="50"/>
      <c r="CJ57" s="50"/>
      <c r="CK57" s="50"/>
      <c r="CL57" s="50"/>
      <c r="CM57" s="50"/>
      <c r="CN57" s="49"/>
      <c r="CR57" s="50"/>
      <c r="CS57" s="50"/>
      <c r="CT57" s="50"/>
      <c r="CU57" s="50"/>
      <c r="CV57" s="50"/>
      <c r="CW57" s="50"/>
      <c r="CX57" s="50"/>
      <c r="CY57" s="50"/>
      <c r="CZ57" s="50"/>
      <c r="DA57" s="49"/>
      <c r="DE57" s="50"/>
      <c r="DF57" s="50"/>
      <c r="DG57" s="50"/>
      <c r="DH57" s="50"/>
      <c r="DI57" s="50"/>
      <c r="DJ57" s="50"/>
      <c r="DK57" s="50"/>
      <c r="DL57" s="50"/>
      <c r="DM57" s="49"/>
    </row>
    <row r="58">
      <c r="A58" s="56" t="s">
        <v>1210</v>
      </c>
      <c r="B58" s="58"/>
      <c r="C58" s="58"/>
      <c r="D58" s="58"/>
      <c r="E58" s="58"/>
      <c r="F58" s="59"/>
      <c r="G58" s="59"/>
      <c r="H58" s="59"/>
      <c r="I58" s="59"/>
      <c r="J58" s="59"/>
      <c r="K58" s="59"/>
      <c r="L58" s="59"/>
      <c r="M58" s="59"/>
      <c r="N58" s="58"/>
      <c r="O58" s="58"/>
      <c r="P58" s="58"/>
      <c r="Q58" s="58"/>
      <c r="R58" s="56" t="s">
        <v>1135</v>
      </c>
      <c r="S58" s="57">
        <v>4.461085</v>
      </c>
      <c r="T58" s="57">
        <v>3.720336</v>
      </c>
      <c r="U58" s="57">
        <v>7.608065</v>
      </c>
      <c r="V58" s="4"/>
      <c r="W58" s="4"/>
      <c r="X58" s="50"/>
      <c r="Y58" s="50"/>
      <c r="Z58" s="49"/>
      <c r="AD58" s="50"/>
      <c r="AE58" s="50"/>
      <c r="AF58" s="50"/>
      <c r="AG58" s="50"/>
      <c r="AH58" s="50"/>
      <c r="AI58" s="50"/>
      <c r="AJ58" s="50"/>
      <c r="AK58" s="50"/>
      <c r="AL58" s="49"/>
      <c r="AP58" s="50"/>
      <c r="AQ58" s="50"/>
      <c r="AR58" s="50"/>
      <c r="AS58" s="50"/>
      <c r="AT58" s="50"/>
      <c r="AU58" s="50"/>
      <c r="AV58" s="50"/>
      <c r="AW58" s="50"/>
      <c r="AX58" s="49"/>
      <c r="BB58" s="50"/>
      <c r="BC58" s="50"/>
      <c r="BD58" s="50"/>
      <c r="BE58" s="50"/>
      <c r="BF58" s="50"/>
      <c r="BG58" s="50"/>
      <c r="BH58" s="50"/>
      <c r="BI58" s="50"/>
      <c r="BJ58" s="49"/>
      <c r="BN58" s="50"/>
      <c r="BO58" s="50"/>
      <c r="BP58" s="49"/>
      <c r="BT58" s="50"/>
      <c r="BU58" s="50"/>
      <c r="BV58" s="50"/>
      <c r="BW58" s="50"/>
      <c r="BX58" s="50"/>
      <c r="BY58" s="50"/>
      <c r="BZ58" s="50"/>
      <c r="CA58" s="50"/>
      <c r="CB58" s="49"/>
      <c r="CF58" s="50"/>
      <c r="CG58" s="50"/>
      <c r="CH58" s="50"/>
      <c r="CI58" s="50"/>
      <c r="CJ58" s="50"/>
      <c r="CK58" s="50"/>
      <c r="CL58" s="50"/>
      <c r="CM58" s="50"/>
      <c r="CN58" s="49"/>
      <c r="CR58" s="50"/>
      <c r="CS58" s="50"/>
      <c r="CT58" s="50"/>
      <c r="CU58" s="50"/>
      <c r="CV58" s="50"/>
      <c r="CW58" s="50"/>
      <c r="CX58" s="50"/>
      <c r="CY58" s="50"/>
      <c r="CZ58" s="50"/>
      <c r="DA58" s="49"/>
      <c r="DE58" s="50"/>
      <c r="DF58" s="50"/>
      <c r="DG58" s="50"/>
      <c r="DH58" s="50"/>
      <c r="DI58" s="50"/>
      <c r="DJ58" s="50"/>
      <c r="DK58" s="50"/>
      <c r="DL58" s="50"/>
      <c r="DM58" s="49"/>
    </row>
    <row r="59">
      <c r="A59" s="56" t="s">
        <v>1211</v>
      </c>
      <c r="B59" s="58"/>
      <c r="C59" s="58"/>
      <c r="D59" s="58"/>
      <c r="E59" s="58"/>
      <c r="F59" s="59"/>
      <c r="G59" s="59"/>
      <c r="H59" s="59"/>
      <c r="I59" s="59"/>
      <c r="J59" s="59"/>
      <c r="K59" s="59"/>
      <c r="L59" s="59"/>
      <c r="M59" s="59"/>
      <c r="N59" s="58"/>
      <c r="O59" s="58"/>
      <c r="P59" s="58"/>
      <c r="Q59" s="58"/>
      <c r="R59" s="56" t="s">
        <v>1139</v>
      </c>
      <c r="S59" s="56" t="s">
        <v>1140</v>
      </c>
      <c r="T59" s="57">
        <v>21.722165</v>
      </c>
      <c r="U59" s="57">
        <v>17.164312</v>
      </c>
      <c r="V59" s="4"/>
      <c r="W59" s="4"/>
      <c r="X59" s="50"/>
      <c r="Y59" s="50"/>
      <c r="Z59" s="49"/>
      <c r="AD59" s="50"/>
      <c r="AE59" s="50"/>
      <c r="AF59" s="50"/>
      <c r="AG59" s="50"/>
      <c r="AH59" s="50"/>
      <c r="AI59" s="50"/>
      <c r="AJ59" s="50"/>
      <c r="AK59" s="50"/>
      <c r="AL59" s="49"/>
      <c r="AP59" s="50"/>
      <c r="AQ59" s="50"/>
      <c r="AR59" s="50"/>
      <c r="AS59" s="50"/>
      <c r="AT59" s="50"/>
      <c r="AU59" s="50"/>
      <c r="AV59" s="50"/>
      <c r="AW59" s="50"/>
      <c r="AX59" s="49"/>
      <c r="BB59" s="50"/>
      <c r="BC59" s="50"/>
      <c r="BD59" s="50"/>
      <c r="BE59" s="50"/>
      <c r="BF59" s="50"/>
      <c r="BG59" s="50"/>
      <c r="BH59" s="50"/>
      <c r="BI59" s="50"/>
      <c r="BJ59" s="49"/>
      <c r="BN59" s="50"/>
      <c r="BO59" s="50"/>
      <c r="BP59" s="49"/>
      <c r="BT59" s="50"/>
      <c r="BU59" s="50"/>
      <c r="BV59" s="50"/>
      <c r="BW59" s="50"/>
      <c r="BX59" s="50"/>
      <c r="BY59" s="50"/>
      <c r="BZ59" s="50"/>
      <c r="CA59" s="50"/>
      <c r="CB59" s="49"/>
      <c r="CF59" s="50"/>
      <c r="CG59" s="50"/>
      <c r="CH59" s="50"/>
      <c r="CI59" s="50"/>
      <c r="CJ59" s="50"/>
      <c r="CK59" s="50"/>
      <c r="CL59" s="50"/>
      <c r="CM59" s="50"/>
      <c r="CN59" s="49"/>
      <c r="CR59" s="50"/>
      <c r="CS59" s="50"/>
      <c r="CT59" s="50"/>
      <c r="CU59" s="50"/>
      <c r="CV59" s="50"/>
      <c r="CW59" s="50"/>
      <c r="CX59" s="50"/>
      <c r="CY59" s="50"/>
      <c r="CZ59" s="50"/>
      <c r="DA59" s="49"/>
      <c r="DE59" s="50"/>
      <c r="DF59" s="50"/>
      <c r="DG59" s="50"/>
      <c r="DH59" s="50"/>
      <c r="DI59" s="50"/>
      <c r="DJ59" s="50"/>
      <c r="DK59" s="50"/>
      <c r="DL59" s="50"/>
      <c r="DM59" s="49"/>
    </row>
    <row r="60">
      <c r="A60" s="56" t="s">
        <v>1211</v>
      </c>
      <c r="B60" s="58"/>
      <c r="C60" s="58"/>
      <c r="D60" s="58"/>
      <c r="E60" s="58"/>
      <c r="F60" s="59"/>
      <c r="G60" s="59"/>
      <c r="H60" s="59"/>
      <c r="I60" s="59"/>
      <c r="J60" s="59"/>
      <c r="K60" s="59"/>
      <c r="L60" s="59"/>
      <c r="M60" s="59"/>
      <c r="N60" s="58"/>
      <c r="O60" s="58"/>
      <c r="P60" s="58"/>
      <c r="Q60" s="58"/>
      <c r="R60" s="58"/>
      <c r="S60" s="56" t="s">
        <v>1143</v>
      </c>
      <c r="T60" s="57">
        <v>4.260031</v>
      </c>
      <c r="U60" s="57">
        <v>3.639825</v>
      </c>
      <c r="V60" s="4"/>
      <c r="W60" s="4"/>
      <c r="X60" s="50"/>
      <c r="Y60" s="50"/>
      <c r="Z60" s="49"/>
      <c r="AD60" s="50"/>
      <c r="AE60" s="50"/>
      <c r="AF60" s="50"/>
      <c r="AG60" s="50"/>
      <c r="AH60" s="50"/>
      <c r="AI60" s="50"/>
      <c r="AJ60" s="50"/>
      <c r="AK60" s="50"/>
      <c r="AL60" s="49"/>
      <c r="AP60" s="50"/>
      <c r="AQ60" s="50"/>
      <c r="AR60" s="50"/>
      <c r="AS60" s="50"/>
      <c r="AT60" s="50"/>
      <c r="AU60" s="50"/>
      <c r="AV60" s="50"/>
      <c r="AW60" s="50"/>
      <c r="AX60" s="49"/>
      <c r="BB60" s="50"/>
      <c r="BC60" s="50"/>
      <c r="BD60" s="50"/>
      <c r="BE60" s="50"/>
      <c r="BF60" s="50"/>
      <c r="BG60" s="50"/>
      <c r="BH60" s="50"/>
      <c r="BI60" s="50"/>
      <c r="BJ60" s="49"/>
      <c r="BN60" s="50"/>
      <c r="BO60" s="50"/>
      <c r="BP60" s="49"/>
      <c r="BT60" s="50"/>
      <c r="BU60" s="50"/>
      <c r="BV60" s="50"/>
      <c r="BW60" s="50"/>
      <c r="BX60" s="50"/>
      <c r="BY60" s="50"/>
      <c r="BZ60" s="50"/>
      <c r="CA60" s="50"/>
      <c r="CB60" s="49"/>
      <c r="CF60" s="50"/>
      <c r="CG60" s="50"/>
      <c r="CH60" s="50"/>
      <c r="CI60" s="50"/>
      <c r="CJ60" s="50"/>
      <c r="CK60" s="50"/>
      <c r="CL60" s="50"/>
      <c r="CM60" s="50"/>
      <c r="CN60" s="49"/>
      <c r="CR60" s="50"/>
      <c r="CS60" s="50"/>
      <c r="CT60" s="50"/>
      <c r="CU60" s="50"/>
      <c r="CV60" s="50"/>
      <c r="CW60" s="50"/>
      <c r="CX60" s="50"/>
      <c r="CY60" s="50"/>
      <c r="CZ60" s="50"/>
      <c r="DA60" s="49"/>
      <c r="DE60" s="50"/>
      <c r="DF60" s="50"/>
      <c r="DG60" s="50"/>
      <c r="DH60" s="50"/>
      <c r="DI60" s="50"/>
      <c r="DJ60" s="50"/>
      <c r="DK60" s="50"/>
      <c r="DL60" s="50"/>
      <c r="DM60" s="49"/>
    </row>
    <row r="61">
      <c r="A61" s="56" t="s">
        <v>1211</v>
      </c>
      <c r="B61" s="58"/>
      <c r="C61" s="58"/>
      <c r="D61" s="58"/>
      <c r="E61" s="58"/>
      <c r="F61" s="58"/>
      <c r="G61" s="58"/>
      <c r="H61" s="58"/>
      <c r="I61" s="58"/>
      <c r="J61" s="59"/>
      <c r="K61" s="59"/>
      <c r="L61" s="59"/>
      <c r="M61" s="59"/>
      <c r="N61" s="58"/>
      <c r="O61" s="58"/>
      <c r="P61" s="58"/>
      <c r="Q61" s="58"/>
      <c r="R61" s="58"/>
      <c r="S61" s="56" t="s">
        <v>1146</v>
      </c>
      <c r="T61" s="57">
        <v>4.660704</v>
      </c>
      <c r="U61" s="57">
        <v>4.142983</v>
      </c>
      <c r="V61" s="4"/>
      <c r="W61" s="4"/>
      <c r="X61" s="50"/>
      <c r="Y61" s="50"/>
      <c r="Z61" s="49"/>
      <c r="AD61" s="50"/>
      <c r="AE61" s="50"/>
      <c r="AF61" s="50"/>
      <c r="AG61" s="50"/>
      <c r="AH61" s="50"/>
      <c r="AI61" s="50"/>
      <c r="AJ61" s="50"/>
      <c r="AK61" s="50"/>
      <c r="AL61" s="49"/>
      <c r="AP61" s="50"/>
      <c r="AQ61" s="50"/>
      <c r="AR61" s="50"/>
      <c r="AS61" s="50"/>
      <c r="AT61" s="50"/>
      <c r="AU61" s="50"/>
      <c r="AV61" s="50"/>
      <c r="AW61" s="50"/>
      <c r="AX61" s="49"/>
      <c r="BB61" s="50"/>
      <c r="BC61" s="50"/>
      <c r="BD61" s="50"/>
      <c r="BE61" s="50"/>
      <c r="BF61" s="50"/>
      <c r="BG61" s="50"/>
      <c r="BH61" s="50"/>
      <c r="BI61" s="50"/>
      <c r="BJ61" s="49"/>
      <c r="BN61" s="50"/>
      <c r="BO61" s="50"/>
      <c r="BP61" s="49"/>
      <c r="BT61" s="50"/>
      <c r="BU61" s="50"/>
      <c r="BV61" s="50"/>
      <c r="BW61" s="50"/>
      <c r="BX61" s="50"/>
      <c r="BY61" s="50"/>
      <c r="BZ61" s="50"/>
      <c r="CA61" s="50"/>
      <c r="CB61" s="49"/>
      <c r="CF61" s="50"/>
      <c r="CG61" s="50"/>
      <c r="CH61" s="50"/>
      <c r="CI61" s="50"/>
      <c r="CJ61" s="50"/>
      <c r="CK61" s="50"/>
      <c r="CL61" s="50"/>
      <c r="CM61" s="50"/>
      <c r="CN61" s="49"/>
      <c r="CR61" s="50"/>
      <c r="CS61" s="50"/>
      <c r="CT61" s="50"/>
      <c r="CU61" s="50"/>
      <c r="CV61" s="50"/>
      <c r="CW61" s="50"/>
      <c r="CX61" s="50"/>
      <c r="CY61" s="50"/>
      <c r="CZ61" s="50"/>
      <c r="DA61" s="49"/>
      <c r="DE61" s="50"/>
      <c r="DF61" s="50"/>
      <c r="DG61" s="50"/>
      <c r="DH61" s="50"/>
      <c r="DI61" s="50"/>
      <c r="DJ61" s="50"/>
      <c r="DK61" s="50"/>
      <c r="DL61" s="50"/>
      <c r="DM61" s="49"/>
    </row>
    <row r="62">
      <c r="A62" s="56" t="s">
        <v>1212</v>
      </c>
      <c r="B62" s="58"/>
      <c r="C62" s="58"/>
      <c r="D62" s="58"/>
      <c r="E62" s="58"/>
      <c r="F62" s="58"/>
      <c r="G62" s="58"/>
      <c r="H62" s="58"/>
      <c r="I62" s="58"/>
      <c r="J62" s="59"/>
      <c r="K62" s="59"/>
      <c r="L62" s="59"/>
      <c r="M62" s="59"/>
      <c r="N62" s="58"/>
      <c r="O62" s="58"/>
      <c r="P62" s="58"/>
      <c r="Q62" s="58"/>
      <c r="R62" s="58"/>
      <c r="S62" s="56" t="s">
        <v>1149</v>
      </c>
      <c r="T62" s="56" t="s">
        <v>1150</v>
      </c>
      <c r="U62" s="57">
        <v>29.99096</v>
      </c>
      <c r="V62" s="4"/>
      <c r="W62" s="4"/>
      <c r="X62" s="50"/>
      <c r="Y62" s="50"/>
      <c r="Z62" s="49"/>
      <c r="AD62" s="50"/>
      <c r="AE62" s="50"/>
      <c r="AF62" s="50"/>
      <c r="AG62" s="50"/>
      <c r="AH62" s="50"/>
      <c r="AI62" s="50"/>
      <c r="AJ62" s="50"/>
      <c r="AK62" s="50"/>
      <c r="AL62" s="49"/>
      <c r="AP62" s="50"/>
      <c r="AQ62" s="50"/>
      <c r="AR62" s="50"/>
      <c r="AS62" s="50"/>
      <c r="AT62" s="50"/>
      <c r="AU62" s="50"/>
      <c r="AV62" s="50"/>
      <c r="AW62" s="50"/>
      <c r="AX62" s="49"/>
      <c r="BB62" s="50"/>
      <c r="BC62" s="50"/>
      <c r="BD62" s="50"/>
      <c r="BE62" s="50"/>
      <c r="BF62" s="50"/>
      <c r="BG62" s="50"/>
      <c r="BH62" s="50"/>
      <c r="BI62" s="50"/>
      <c r="BJ62" s="49"/>
      <c r="BN62" s="50"/>
      <c r="BO62" s="50"/>
      <c r="BP62" s="49"/>
      <c r="BT62" s="50"/>
      <c r="BU62" s="50"/>
      <c r="BV62" s="50"/>
      <c r="BW62" s="50"/>
      <c r="BX62" s="50"/>
      <c r="BY62" s="50"/>
      <c r="BZ62" s="50"/>
      <c r="CA62" s="50"/>
      <c r="CB62" s="49"/>
      <c r="CF62" s="50"/>
      <c r="CG62" s="50"/>
      <c r="CH62" s="50"/>
      <c r="CI62" s="50"/>
      <c r="CJ62" s="50"/>
      <c r="CK62" s="50"/>
      <c r="CL62" s="50"/>
      <c r="CM62" s="50"/>
      <c r="CN62" s="49"/>
      <c r="CR62" s="50"/>
      <c r="CS62" s="50"/>
      <c r="CT62" s="50"/>
      <c r="CU62" s="50"/>
      <c r="CV62" s="50"/>
      <c r="CW62" s="50"/>
      <c r="CX62" s="50"/>
      <c r="CY62" s="50"/>
      <c r="CZ62" s="50"/>
      <c r="DA62" s="49"/>
      <c r="DE62" s="50"/>
      <c r="DF62" s="50"/>
      <c r="DG62" s="50"/>
      <c r="DH62" s="50"/>
      <c r="DI62" s="50"/>
      <c r="DJ62" s="50"/>
      <c r="DK62" s="50"/>
      <c r="DL62" s="50"/>
      <c r="DM62" s="49"/>
    </row>
    <row r="63">
      <c r="A63" s="56" t="s">
        <v>1212</v>
      </c>
      <c r="B63" s="58"/>
      <c r="C63" s="58"/>
      <c r="D63" s="58"/>
      <c r="E63" s="58"/>
      <c r="F63" s="58"/>
      <c r="G63" s="58"/>
      <c r="H63" s="58"/>
      <c r="I63" s="58"/>
      <c r="J63" s="59"/>
      <c r="K63" s="59"/>
      <c r="L63" s="59"/>
      <c r="M63" s="59"/>
      <c r="N63" s="58"/>
      <c r="O63" s="58"/>
      <c r="P63" s="58"/>
      <c r="Q63" s="58"/>
      <c r="R63" s="58"/>
      <c r="S63" s="58"/>
      <c r="T63" s="56" t="s">
        <v>1152</v>
      </c>
      <c r="U63" s="57">
        <v>3.893613</v>
      </c>
      <c r="V63" s="4"/>
      <c r="W63" s="4"/>
      <c r="X63" s="50"/>
      <c r="Y63" s="50"/>
      <c r="Z63" s="49"/>
      <c r="AD63" s="50"/>
      <c r="AE63" s="50"/>
      <c r="AF63" s="50"/>
      <c r="AG63" s="50"/>
      <c r="AH63" s="50"/>
      <c r="AI63" s="50"/>
      <c r="AJ63" s="50"/>
      <c r="AK63" s="50"/>
      <c r="AL63" s="49"/>
      <c r="AP63" s="50"/>
      <c r="AQ63" s="50"/>
      <c r="AR63" s="50"/>
      <c r="AS63" s="50"/>
      <c r="AT63" s="50"/>
      <c r="AU63" s="50"/>
      <c r="AV63" s="50"/>
      <c r="AW63" s="50"/>
      <c r="AX63" s="49"/>
      <c r="BB63" s="50"/>
      <c r="BC63" s="50"/>
      <c r="BD63" s="50"/>
      <c r="BE63" s="50"/>
      <c r="BF63" s="50"/>
      <c r="BG63" s="50"/>
      <c r="BH63" s="50"/>
      <c r="BI63" s="50"/>
      <c r="BJ63" s="49"/>
      <c r="BN63" s="50"/>
      <c r="BO63" s="50"/>
      <c r="BP63" s="49"/>
      <c r="BT63" s="50"/>
      <c r="BU63" s="50"/>
      <c r="BV63" s="50"/>
      <c r="BW63" s="50"/>
      <c r="BX63" s="50"/>
      <c r="BY63" s="50"/>
      <c r="BZ63" s="50"/>
      <c r="CA63" s="50"/>
      <c r="CB63" s="49"/>
      <c r="CF63" s="50"/>
      <c r="CG63" s="50"/>
      <c r="CH63" s="50"/>
      <c r="CI63" s="50"/>
      <c r="CJ63" s="50"/>
      <c r="CK63" s="50"/>
      <c r="CL63" s="50"/>
      <c r="CM63" s="50"/>
      <c r="CN63" s="49"/>
      <c r="CR63" s="50"/>
      <c r="CS63" s="50"/>
      <c r="CT63" s="50"/>
      <c r="CU63" s="50"/>
      <c r="CV63" s="50"/>
      <c r="CW63" s="50"/>
      <c r="CX63" s="50"/>
      <c r="CY63" s="50"/>
      <c r="CZ63" s="50"/>
      <c r="DA63" s="49"/>
      <c r="DE63" s="50"/>
      <c r="DF63" s="50"/>
      <c r="DG63" s="50"/>
      <c r="DH63" s="50"/>
      <c r="DI63" s="50"/>
      <c r="DJ63" s="50"/>
      <c r="DK63" s="50"/>
      <c r="DL63" s="50"/>
      <c r="DM63" s="49"/>
    </row>
    <row r="64">
      <c r="A64" s="56" t="s">
        <v>1212</v>
      </c>
      <c r="B64" s="58"/>
      <c r="C64" s="58"/>
      <c r="D64" s="58"/>
      <c r="E64" s="58"/>
      <c r="F64" s="59"/>
      <c r="G64" s="59"/>
      <c r="H64" s="59"/>
      <c r="I64" s="59"/>
      <c r="J64" s="59"/>
      <c r="K64" s="59"/>
      <c r="L64" s="59"/>
      <c r="M64" s="59"/>
      <c r="N64" s="58"/>
      <c r="O64" s="58"/>
      <c r="P64" s="58"/>
      <c r="Q64" s="58"/>
      <c r="R64" s="58"/>
      <c r="S64" s="58"/>
      <c r="T64" s="56" t="s">
        <v>1154</v>
      </c>
      <c r="U64" s="57">
        <v>5.4764</v>
      </c>
      <c r="V64" s="4"/>
      <c r="W64" s="4"/>
      <c r="X64" s="50"/>
      <c r="Y64" s="50"/>
      <c r="Z64" s="49"/>
      <c r="AD64" s="50"/>
      <c r="AE64" s="50"/>
      <c r="AF64" s="50"/>
      <c r="AG64" s="50"/>
      <c r="AH64" s="50"/>
      <c r="AI64" s="50"/>
      <c r="AJ64" s="50"/>
      <c r="AK64" s="50"/>
      <c r="AL64" s="49"/>
      <c r="AP64" s="50"/>
      <c r="AQ64" s="50"/>
      <c r="AR64" s="50"/>
      <c r="AS64" s="50"/>
      <c r="AT64" s="50"/>
      <c r="AU64" s="50"/>
      <c r="AV64" s="50"/>
      <c r="AW64" s="50"/>
      <c r="AX64" s="49"/>
      <c r="BB64" s="50"/>
      <c r="BC64" s="50"/>
      <c r="BD64" s="50"/>
      <c r="BE64" s="50"/>
      <c r="BF64" s="50"/>
      <c r="BG64" s="50"/>
      <c r="BH64" s="50"/>
      <c r="BI64" s="50"/>
      <c r="BJ64" s="49"/>
      <c r="BN64" s="50"/>
      <c r="BO64" s="50"/>
      <c r="BP64" s="49"/>
      <c r="BT64" s="50"/>
      <c r="BU64" s="50"/>
      <c r="BV64" s="50"/>
      <c r="BW64" s="50"/>
      <c r="BX64" s="50"/>
      <c r="BY64" s="50"/>
      <c r="BZ64" s="50"/>
      <c r="CA64" s="50"/>
      <c r="CB64" s="49"/>
      <c r="CF64" s="50"/>
      <c r="CG64" s="50"/>
      <c r="CH64" s="50"/>
      <c r="CI64" s="50"/>
      <c r="CJ64" s="50"/>
      <c r="CK64" s="50"/>
      <c r="CL64" s="50"/>
      <c r="CM64" s="50"/>
      <c r="CN64" s="49"/>
      <c r="CR64" s="50"/>
      <c r="CS64" s="50"/>
      <c r="CT64" s="50"/>
      <c r="CU64" s="50"/>
      <c r="CV64" s="50"/>
      <c r="CW64" s="50"/>
      <c r="CX64" s="50"/>
      <c r="CY64" s="50"/>
      <c r="CZ64" s="50"/>
      <c r="DA64" s="49"/>
      <c r="DE64" s="50"/>
      <c r="DF64" s="50"/>
      <c r="DG64" s="50"/>
      <c r="DH64" s="50"/>
      <c r="DI64" s="50"/>
      <c r="DJ64" s="50"/>
      <c r="DK64" s="50"/>
      <c r="DL64" s="50"/>
      <c r="DM64" s="49"/>
    </row>
    <row r="65">
      <c r="A65" s="56" t="s">
        <v>1213</v>
      </c>
      <c r="B65" s="58"/>
      <c r="C65" s="58"/>
      <c r="D65" s="58"/>
      <c r="E65" s="58"/>
      <c r="F65" s="59"/>
      <c r="G65" s="59"/>
      <c r="H65" s="59"/>
      <c r="I65" s="59"/>
      <c r="J65" s="59"/>
      <c r="K65" s="59"/>
      <c r="L65" s="59"/>
      <c r="M65" s="59"/>
      <c r="N65" s="58"/>
      <c r="O65" s="58"/>
      <c r="P65" s="58"/>
      <c r="Q65" s="58"/>
      <c r="R65" s="58"/>
      <c r="S65" s="58"/>
      <c r="T65" s="56" t="s">
        <v>1156</v>
      </c>
      <c r="U65" s="57">
        <v>36.887148</v>
      </c>
      <c r="V65" s="4"/>
      <c r="W65" s="4"/>
      <c r="X65" s="50"/>
      <c r="Y65" s="50"/>
      <c r="Z65" s="49"/>
      <c r="AD65" s="50"/>
      <c r="AE65" s="50"/>
      <c r="AF65" s="50"/>
      <c r="AG65" s="50"/>
      <c r="AH65" s="50"/>
      <c r="AI65" s="50"/>
      <c r="AJ65" s="50"/>
      <c r="AK65" s="50"/>
      <c r="AL65" s="49"/>
      <c r="AP65" s="50"/>
      <c r="AQ65" s="50"/>
      <c r="AR65" s="50"/>
      <c r="AS65" s="50"/>
      <c r="AT65" s="50"/>
      <c r="AU65" s="50"/>
      <c r="AV65" s="50"/>
      <c r="AW65" s="50"/>
      <c r="AX65" s="49"/>
      <c r="BB65" s="50"/>
      <c r="BC65" s="50"/>
      <c r="BD65" s="50"/>
      <c r="BE65" s="50"/>
      <c r="BF65" s="50"/>
      <c r="BG65" s="50"/>
      <c r="BH65" s="50"/>
      <c r="BI65" s="50"/>
      <c r="BJ65" s="49"/>
      <c r="BN65" s="50"/>
      <c r="BO65" s="50"/>
      <c r="BP65" s="49"/>
      <c r="BT65" s="50"/>
      <c r="BU65" s="50"/>
      <c r="BV65" s="50"/>
      <c r="BW65" s="50"/>
      <c r="BX65" s="50"/>
      <c r="BY65" s="50"/>
      <c r="BZ65" s="50"/>
      <c r="CA65" s="50"/>
      <c r="CB65" s="49"/>
      <c r="CF65" s="50"/>
      <c r="CG65" s="50"/>
      <c r="CH65" s="50"/>
      <c r="CI65" s="50"/>
      <c r="CJ65" s="50"/>
      <c r="CK65" s="50"/>
      <c r="CL65" s="50"/>
      <c r="CM65" s="50"/>
      <c r="CN65" s="49"/>
      <c r="CR65" s="50"/>
      <c r="CS65" s="50"/>
      <c r="CT65" s="50"/>
      <c r="CU65" s="50"/>
      <c r="CV65" s="50"/>
      <c r="CW65" s="50"/>
      <c r="CX65" s="50"/>
      <c r="CY65" s="50"/>
      <c r="CZ65" s="50"/>
      <c r="DA65" s="49"/>
      <c r="DE65" s="50"/>
      <c r="DF65" s="50"/>
      <c r="DG65" s="50"/>
      <c r="DH65" s="50"/>
      <c r="DI65" s="50"/>
      <c r="DJ65" s="50"/>
      <c r="DK65" s="50"/>
      <c r="DL65" s="50"/>
      <c r="DM65" s="49"/>
    </row>
    <row r="66">
      <c r="A66" s="56" t="s">
        <v>1213</v>
      </c>
      <c r="B66" s="58"/>
      <c r="C66" s="58"/>
      <c r="D66" s="58"/>
      <c r="E66" s="58"/>
      <c r="F66" s="59"/>
      <c r="G66" s="59"/>
      <c r="H66" s="59"/>
      <c r="I66" s="59"/>
      <c r="J66" s="59"/>
      <c r="K66" s="59"/>
      <c r="L66" s="59"/>
      <c r="M66" s="59"/>
      <c r="N66" s="58"/>
      <c r="O66" s="58"/>
      <c r="P66" s="58"/>
      <c r="Q66" s="58"/>
      <c r="R66" s="58"/>
      <c r="S66" s="58"/>
      <c r="T66" s="58"/>
      <c r="U66" s="57">
        <v>5.491202</v>
      </c>
      <c r="V66" s="4"/>
      <c r="W66" s="4"/>
      <c r="X66" s="50"/>
      <c r="Y66" s="50"/>
      <c r="Z66" s="49"/>
      <c r="AD66" s="50"/>
      <c r="AE66" s="50"/>
      <c r="AF66" s="50"/>
      <c r="AG66" s="50"/>
      <c r="AH66" s="50"/>
      <c r="AI66" s="50"/>
      <c r="AJ66" s="50"/>
      <c r="AK66" s="50"/>
      <c r="AL66" s="49"/>
      <c r="AP66" s="50"/>
      <c r="AQ66" s="50"/>
      <c r="AR66" s="50"/>
      <c r="AS66" s="50"/>
      <c r="AT66" s="50"/>
      <c r="AU66" s="50"/>
      <c r="AV66" s="50"/>
      <c r="AW66" s="50"/>
      <c r="AX66" s="49"/>
      <c r="BB66" s="50"/>
      <c r="BC66" s="50"/>
      <c r="BD66" s="50"/>
      <c r="BE66" s="50"/>
      <c r="BF66" s="50"/>
      <c r="BG66" s="50"/>
      <c r="BH66" s="50"/>
      <c r="BI66" s="50"/>
      <c r="BJ66" s="49"/>
      <c r="BN66" s="50"/>
      <c r="BO66" s="50"/>
      <c r="BP66" s="49"/>
      <c r="BT66" s="50"/>
      <c r="BU66" s="50"/>
      <c r="BV66" s="50"/>
      <c r="BW66" s="50"/>
      <c r="BX66" s="50"/>
      <c r="BY66" s="50"/>
      <c r="BZ66" s="50"/>
      <c r="CA66" s="50"/>
      <c r="CB66" s="49"/>
      <c r="CF66" s="50"/>
      <c r="CG66" s="50"/>
      <c r="CH66" s="50"/>
      <c r="CI66" s="50"/>
      <c r="CJ66" s="50"/>
      <c r="CK66" s="50"/>
      <c r="CL66" s="50"/>
      <c r="CM66" s="50"/>
      <c r="CN66" s="49"/>
      <c r="CR66" s="50"/>
      <c r="CS66" s="50"/>
      <c r="CT66" s="50"/>
      <c r="CU66" s="50"/>
      <c r="CV66" s="50"/>
      <c r="CW66" s="50"/>
      <c r="CX66" s="50"/>
      <c r="CY66" s="50"/>
      <c r="CZ66" s="50"/>
      <c r="DA66" s="49"/>
      <c r="DE66" s="50"/>
      <c r="DF66" s="50"/>
      <c r="DG66" s="50"/>
      <c r="DH66" s="50"/>
      <c r="DI66" s="50"/>
      <c r="DJ66" s="50"/>
      <c r="DK66" s="50"/>
      <c r="DL66" s="50"/>
      <c r="DM66" s="49"/>
    </row>
    <row r="67">
      <c r="A67" s="56" t="s">
        <v>1213</v>
      </c>
      <c r="B67" s="58"/>
      <c r="C67" s="58"/>
      <c r="D67" s="58"/>
      <c r="E67" s="58"/>
      <c r="F67" s="59"/>
      <c r="G67" s="59"/>
      <c r="H67" s="59"/>
      <c r="I67" s="59"/>
      <c r="J67" s="59"/>
      <c r="K67" s="59"/>
      <c r="L67" s="59"/>
      <c r="M67" s="59"/>
      <c r="N67" s="58"/>
      <c r="O67" s="58"/>
      <c r="P67" s="58"/>
      <c r="Q67" s="58"/>
      <c r="R67" s="58"/>
      <c r="S67" s="58"/>
      <c r="T67" s="58"/>
      <c r="U67" s="57">
        <v>6.073479</v>
      </c>
      <c r="V67" s="4"/>
      <c r="W67" s="4"/>
      <c r="X67" s="50"/>
      <c r="Y67" s="50"/>
      <c r="Z67" s="49"/>
      <c r="AD67" s="50"/>
      <c r="AE67" s="50"/>
      <c r="AF67" s="50"/>
      <c r="AG67" s="50"/>
      <c r="AH67" s="50"/>
      <c r="AI67" s="50"/>
      <c r="AJ67" s="50"/>
      <c r="AK67" s="50"/>
      <c r="AL67" s="49"/>
      <c r="AP67" s="50"/>
      <c r="AQ67" s="50"/>
      <c r="AR67" s="50"/>
      <c r="AS67" s="50"/>
      <c r="AT67" s="50"/>
      <c r="AU67" s="50"/>
      <c r="AV67" s="50"/>
      <c r="AW67" s="50"/>
      <c r="AX67" s="49"/>
      <c r="BB67" s="50"/>
      <c r="BC67" s="50"/>
      <c r="BD67" s="50"/>
      <c r="BE67" s="50"/>
      <c r="BF67" s="50"/>
      <c r="BG67" s="50"/>
      <c r="BH67" s="50"/>
      <c r="BI67" s="50"/>
      <c r="BJ67" s="49"/>
      <c r="BN67" s="50"/>
      <c r="BO67" s="50"/>
      <c r="BP67" s="49"/>
      <c r="BT67" s="50"/>
      <c r="BU67" s="50"/>
      <c r="BV67" s="50"/>
      <c r="BW67" s="50"/>
      <c r="BX67" s="50"/>
      <c r="BY67" s="50"/>
      <c r="BZ67" s="50"/>
      <c r="CA67" s="50"/>
      <c r="CB67" s="49"/>
      <c r="CF67" s="50"/>
      <c r="CG67" s="50"/>
      <c r="CH67" s="50"/>
      <c r="CI67" s="50"/>
      <c r="CJ67" s="50"/>
      <c r="CK67" s="50"/>
      <c r="CL67" s="50"/>
      <c r="CM67" s="50"/>
      <c r="CN67" s="49"/>
      <c r="CR67" s="50"/>
      <c r="CS67" s="50"/>
      <c r="CT67" s="50"/>
      <c r="CU67" s="50"/>
      <c r="CV67" s="50"/>
      <c r="CW67" s="50"/>
      <c r="CX67" s="50"/>
      <c r="CY67" s="50"/>
      <c r="CZ67" s="50"/>
      <c r="DA67" s="49"/>
      <c r="DE67" s="50"/>
      <c r="DF67" s="50"/>
      <c r="DG67" s="50"/>
      <c r="DH67" s="50"/>
      <c r="DI67" s="50"/>
      <c r="DJ67" s="50"/>
      <c r="DK67" s="50"/>
      <c r="DL67" s="50"/>
      <c r="DM67" s="49"/>
    </row>
    <row r="68">
      <c r="A68" s="56" t="s">
        <v>1214</v>
      </c>
      <c r="B68" s="58"/>
      <c r="C68" s="58"/>
      <c r="D68" s="58"/>
      <c r="E68" s="58"/>
      <c r="F68" s="59"/>
      <c r="G68" s="59"/>
      <c r="H68" s="59"/>
      <c r="I68" s="59"/>
      <c r="J68" s="59"/>
      <c r="K68" s="59"/>
      <c r="L68" s="59"/>
      <c r="M68" s="59"/>
      <c r="N68" s="58"/>
      <c r="O68" s="58"/>
      <c r="P68" s="58"/>
      <c r="Q68" s="58"/>
      <c r="R68" s="59"/>
      <c r="S68" s="58"/>
      <c r="T68" s="58"/>
      <c r="U68" s="57">
        <v>10.534038</v>
      </c>
      <c r="V68" s="4"/>
      <c r="W68" s="4"/>
      <c r="X68" s="50"/>
      <c r="Y68" s="50"/>
      <c r="Z68" s="49"/>
      <c r="AD68" s="50"/>
      <c r="AE68" s="50"/>
      <c r="AF68" s="50"/>
      <c r="AG68" s="50"/>
      <c r="AH68" s="50"/>
      <c r="AI68" s="50"/>
      <c r="AJ68" s="50"/>
      <c r="AK68" s="50"/>
      <c r="AL68" s="49"/>
      <c r="AP68" s="50"/>
      <c r="AQ68" s="50"/>
      <c r="AR68" s="50"/>
      <c r="AS68" s="50"/>
      <c r="AT68" s="50"/>
      <c r="AU68" s="50"/>
      <c r="AV68" s="50"/>
      <c r="AW68" s="50"/>
      <c r="AX68" s="49"/>
      <c r="BB68" s="50"/>
      <c r="BC68" s="50"/>
      <c r="BD68" s="50"/>
      <c r="BE68" s="50"/>
      <c r="BF68" s="50"/>
      <c r="BG68" s="50"/>
      <c r="BH68" s="50"/>
      <c r="BI68" s="50"/>
      <c r="BJ68" s="49"/>
      <c r="BN68" s="50"/>
      <c r="BO68" s="50"/>
      <c r="BP68" s="49"/>
      <c r="BT68" s="50"/>
      <c r="BU68" s="50"/>
      <c r="BV68" s="50"/>
      <c r="BW68" s="50"/>
      <c r="BX68" s="50"/>
      <c r="BY68" s="50"/>
      <c r="BZ68" s="50"/>
      <c r="CA68" s="50"/>
      <c r="CB68" s="49"/>
      <c r="CF68" s="50"/>
      <c r="CG68" s="50"/>
      <c r="CH68" s="50"/>
      <c r="CI68" s="50"/>
      <c r="CJ68" s="50"/>
      <c r="CK68" s="50"/>
      <c r="CL68" s="50"/>
      <c r="CM68" s="50"/>
      <c r="CN68" s="49"/>
      <c r="CR68" s="50"/>
      <c r="CS68" s="50"/>
      <c r="CT68" s="50"/>
      <c r="CU68" s="50"/>
      <c r="CV68" s="50"/>
      <c r="CW68" s="50"/>
      <c r="CX68" s="50"/>
      <c r="CY68" s="50"/>
      <c r="CZ68" s="50"/>
      <c r="DA68" s="49"/>
      <c r="DE68" s="50"/>
      <c r="DF68" s="50"/>
      <c r="DG68" s="50"/>
      <c r="DH68" s="50"/>
      <c r="DI68" s="50"/>
      <c r="DJ68" s="50"/>
      <c r="DK68" s="50"/>
      <c r="DL68" s="50"/>
      <c r="DM68" s="49"/>
    </row>
    <row r="69">
      <c r="A69" s="56" t="s">
        <v>1214</v>
      </c>
      <c r="B69" s="58"/>
      <c r="C69" s="58"/>
      <c r="D69" s="58"/>
      <c r="E69" s="58"/>
      <c r="F69" s="59"/>
      <c r="G69" s="59"/>
      <c r="H69" s="59"/>
      <c r="I69" s="59"/>
      <c r="J69" s="59"/>
      <c r="K69" s="59"/>
      <c r="L69" s="59"/>
      <c r="M69" s="59"/>
      <c r="N69" s="58"/>
      <c r="O69" s="58"/>
      <c r="P69" s="58"/>
      <c r="Q69" s="58"/>
      <c r="R69" s="59"/>
      <c r="S69" s="58"/>
      <c r="T69" s="58"/>
      <c r="U69" s="57">
        <v>2.863158</v>
      </c>
      <c r="V69" s="4"/>
      <c r="W69" s="4"/>
      <c r="X69" s="50"/>
      <c r="Y69" s="50"/>
      <c r="Z69" s="49"/>
      <c r="AD69" s="50"/>
      <c r="AE69" s="50"/>
      <c r="AF69" s="50"/>
      <c r="AG69" s="50"/>
      <c r="AH69" s="50"/>
      <c r="AI69" s="50"/>
      <c r="AJ69" s="50"/>
      <c r="AK69" s="50"/>
      <c r="AL69" s="49"/>
      <c r="AP69" s="50"/>
      <c r="AQ69" s="50"/>
      <c r="AR69" s="50"/>
      <c r="AS69" s="50"/>
      <c r="AT69" s="50"/>
      <c r="AU69" s="50"/>
      <c r="AV69" s="50"/>
      <c r="AW69" s="50"/>
      <c r="AX69" s="49"/>
      <c r="BB69" s="50"/>
      <c r="BC69" s="50"/>
      <c r="BD69" s="50"/>
      <c r="BE69" s="50"/>
      <c r="BF69" s="50"/>
      <c r="BG69" s="50"/>
      <c r="BH69" s="50"/>
      <c r="BI69" s="50"/>
      <c r="BJ69" s="49"/>
      <c r="BN69" s="50"/>
      <c r="BO69" s="50"/>
      <c r="BP69" s="49"/>
      <c r="BT69" s="50"/>
      <c r="BU69" s="50"/>
      <c r="BV69" s="50"/>
      <c r="BW69" s="50"/>
      <c r="BX69" s="50"/>
      <c r="BY69" s="50"/>
      <c r="BZ69" s="50"/>
      <c r="CA69" s="50"/>
      <c r="CB69" s="49"/>
      <c r="CF69" s="50"/>
      <c r="CG69" s="50"/>
      <c r="CH69" s="50"/>
      <c r="CI69" s="50"/>
      <c r="CJ69" s="50"/>
      <c r="CK69" s="50"/>
      <c r="CL69" s="50"/>
      <c r="CM69" s="50"/>
      <c r="CN69" s="49"/>
      <c r="CR69" s="50"/>
      <c r="CS69" s="50"/>
      <c r="CT69" s="50"/>
      <c r="CU69" s="50"/>
      <c r="CV69" s="50"/>
      <c r="CW69" s="50"/>
      <c r="CX69" s="50"/>
      <c r="CY69" s="50"/>
      <c r="CZ69" s="50"/>
      <c r="DA69" s="49"/>
      <c r="DE69" s="50"/>
      <c r="DF69" s="50"/>
      <c r="DG69" s="50"/>
      <c r="DH69" s="50"/>
      <c r="DI69" s="50"/>
      <c r="DJ69" s="50"/>
      <c r="DK69" s="50"/>
      <c r="DL69" s="50"/>
      <c r="DM69" s="49"/>
    </row>
    <row r="70">
      <c r="A70" s="56" t="s">
        <v>1214</v>
      </c>
      <c r="B70" s="58"/>
      <c r="C70" s="58"/>
      <c r="D70" s="58"/>
      <c r="E70" s="58"/>
      <c r="F70" s="59"/>
      <c r="G70" s="59"/>
      <c r="H70" s="59"/>
      <c r="I70" s="59"/>
      <c r="J70" s="59"/>
      <c r="K70" s="59"/>
      <c r="L70" s="59"/>
      <c r="M70" s="59"/>
      <c r="N70" s="58"/>
      <c r="O70" s="58"/>
      <c r="P70" s="58"/>
      <c r="Q70" s="58"/>
      <c r="R70" s="59"/>
      <c r="S70" s="58"/>
      <c r="T70" s="58"/>
      <c r="U70" s="57">
        <v>3.245618</v>
      </c>
      <c r="V70" s="4"/>
      <c r="W70" s="4"/>
      <c r="X70" s="50"/>
      <c r="Y70" s="50"/>
      <c r="Z70" s="49"/>
      <c r="AD70" s="50"/>
      <c r="AE70" s="50"/>
      <c r="AF70" s="50"/>
      <c r="AG70" s="50"/>
      <c r="AH70" s="50"/>
      <c r="AI70" s="50"/>
      <c r="AJ70" s="50"/>
      <c r="AK70" s="50"/>
      <c r="AL70" s="49"/>
      <c r="AP70" s="50"/>
      <c r="AQ70" s="50"/>
      <c r="AR70" s="50"/>
      <c r="AS70" s="50"/>
      <c r="AT70" s="50"/>
      <c r="AU70" s="50"/>
      <c r="AV70" s="50"/>
      <c r="AW70" s="50"/>
      <c r="AX70" s="49"/>
      <c r="BB70" s="50"/>
      <c r="BC70" s="50"/>
      <c r="BD70" s="50"/>
      <c r="BE70" s="50"/>
      <c r="BF70" s="50"/>
      <c r="BG70" s="50"/>
      <c r="BH70" s="50"/>
      <c r="BI70" s="50"/>
      <c r="BJ70" s="49"/>
      <c r="BN70" s="50"/>
      <c r="BO70" s="50"/>
      <c r="BP70" s="49"/>
      <c r="BT70" s="50"/>
      <c r="BU70" s="50"/>
      <c r="BV70" s="50"/>
      <c r="BW70" s="50"/>
      <c r="BX70" s="50"/>
      <c r="BY70" s="50"/>
      <c r="BZ70" s="50"/>
      <c r="CA70" s="50"/>
      <c r="CB70" s="49"/>
      <c r="CF70" s="50"/>
      <c r="CG70" s="50"/>
      <c r="CH70" s="50"/>
      <c r="CI70" s="50"/>
      <c r="CJ70" s="50"/>
      <c r="CK70" s="50"/>
      <c r="CL70" s="50"/>
      <c r="CM70" s="50"/>
      <c r="CN70" s="49"/>
      <c r="CR70" s="50"/>
      <c r="CS70" s="50"/>
      <c r="CT70" s="50"/>
      <c r="CU70" s="50"/>
      <c r="CV70" s="50"/>
      <c r="CW70" s="50"/>
      <c r="CX70" s="50"/>
      <c r="CY70" s="50"/>
      <c r="CZ70" s="50"/>
      <c r="DA70" s="49"/>
      <c r="DE70" s="50"/>
      <c r="DF70" s="50"/>
      <c r="DG70" s="50"/>
      <c r="DH70" s="50"/>
      <c r="DI70" s="50"/>
      <c r="DJ70" s="50"/>
      <c r="DK70" s="50"/>
      <c r="DL70" s="50"/>
      <c r="DM70" s="49"/>
    </row>
    <row r="71">
      <c r="A71" s="56" t="s">
        <v>1215</v>
      </c>
      <c r="B71" s="58"/>
      <c r="C71" s="58"/>
      <c r="D71" s="58"/>
      <c r="E71" s="58"/>
      <c r="F71" s="59"/>
      <c r="G71" s="59"/>
      <c r="H71" s="59"/>
      <c r="I71" s="59"/>
      <c r="J71" s="59"/>
      <c r="K71" s="59"/>
      <c r="L71" s="59"/>
      <c r="M71" s="59"/>
      <c r="N71" s="58"/>
      <c r="O71" s="58"/>
      <c r="P71" s="58"/>
      <c r="Q71" s="58"/>
      <c r="R71" s="59"/>
      <c r="S71" s="59"/>
      <c r="T71" s="58"/>
      <c r="U71" s="57">
        <v>7.045912</v>
      </c>
      <c r="V71" s="4"/>
      <c r="W71" s="4"/>
      <c r="X71" s="50"/>
      <c r="Y71" s="50"/>
      <c r="Z71" s="49"/>
      <c r="AD71" s="50"/>
      <c r="AE71" s="50"/>
      <c r="AF71" s="50"/>
      <c r="AG71" s="50"/>
      <c r="AH71" s="50"/>
      <c r="AI71" s="50"/>
      <c r="AJ71" s="50"/>
      <c r="AK71" s="50"/>
      <c r="AL71" s="49"/>
      <c r="AP71" s="50"/>
      <c r="AQ71" s="50"/>
      <c r="AR71" s="50"/>
      <c r="AS71" s="50"/>
      <c r="AT71" s="50"/>
      <c r="AU71" s="50"/>
      <c r="AV71" s="50"/>
      <c r="AW71" s="50"/>
      <c r="AX71" s="49"/>
      <c r="BB71" s="50"/>
      <c r="BC71" s="50"/>
      <c r="BD71" s="50"/>
      <c r="BE71" s="50"/>
      <c r="BF71" s="50"/>
      <c r="BG71" s="50"/>
      <c r="BH71" s="50"/>
      <c r="BI71" s="50"/>
      <c r="BJ71" s="49"/>
      <c r="BN71" s="50"/>
      <c r="BO71" s="50"/>
      <c r="BP71" s="49"/>
      <c r="BT71" s="50"/>
      <c r="BU71" s="50"/>
      <c r="BV71" s="50"/>
      <c r="BW71" s="50"/>
      <c r="BX71" s="50"/>
      <c r="BY71" s="50"/>
      <c r="BZ71" s="50"/>
      <c r="CA71" s="50"/>
      <c r="CB71" s="49"/>
      <c r="CF71" s="50"/>
      <c r="CG71" s="50"/>
      <c r="CH71" s="50"/>
      <c r="CI71" s="50"/>
      <c r="CJ71" s="50"/>
      <c r="CK71" s="50"/>
      <c r="CL71" s="50"/>
      <c r="CM71" s="50"/>
      <c r="CN71" s="49"/>
      <c r="CR71" s="50"/>
      <c r="CS71" s="50"/>
      <c r="CT71" s="50"/>
      <c r="CU71" s="50"/>
      <c r="CV71" s="50"/>
      <c r="CW71" s="50"/>
      <c r="CX71" s="50"/>
      <c r="CY71" s="50"/>
      <c r="CZ71" s="50"/>
      <c r="DA71" s="49"/>
      <c r="DE71" s="50"/>
      <c r="DF71" s="50"/>
      <c r="DG71" s="50"/>
      <c r="DH71" s="50"/>
      <c r="DI71" s="50"/>
      <c r="DJ71" s="50"/>
      <c r="DK71" s="50"/>
      <c r="DL71" s="50"/>
      <c r="DM71" s="49"/>
    </row>
    <row r="72">
      <c r="A72" s="56" t="s">
        <v>1215</v>
      </c>
      <c r="B72" s="58"/>
      <c r="C72" s="58"/>
      <c r="D72" s="58"/>
      <c r="E72" s="58"/>
      <c r="F72" s="59"/>
      <c r="G72" s="59"/>
      <c r="H72" s="59"/>
      <c r="I72" s="59"/>
      <c r="J72" s="59"/>
      <c r="K72" s="59"/>
      <c r="L72" s="59"/>
      <c r="M72" s="59"/>
      <c r="N72" s="58"/>
      <c r="O72" s="58"/>
      <c r="P72" s="58"/>
      <c r="Q72" s="58"/>
      <c r="R72" s="59"/>
      <c r="S72" s="59"/>
      <c r="T72" s="58"/>
      <c r="U72" s="57">
        <v>2.644447</v>
      </c>
      <c r="V72" s="4"/>
      <c r="W72" s="4"/>
      <c r="X72" s="50"/>
      <c r="Y72" s="50"/>
      <c r="Z72" s="49"/>
      <c r="AD72" s="50"/>
      <c r="AE72" s="50"/>
      <c r="AF72" s="50"/>
      <c r="AG72" s="50"/>
      <c r="AH72" s="50"/>
      <c r="AI72" s="50"/>
      <c r="AJ72" s="50"/>
      <c r="AK72" s="50"/>
      <c r="AL72" s="49"/>
      <c r="AP72" s="50"/>
      <c r="AQ72" s="50"/>
      <c r="AR72" s="50"/>
      <c r="AS72" s="50"/>
      <c r="AT72" s="50"/>
      <c r="AU72" s="50"/>
      <c r="AV72" s="50"/>
      <c r="AW72" s="50"/>
      <c r="AX72" s="49"/>
      <c r="BB72" s="50"/>
      <c r="BC72" s="50"/>
      <c r="BD72" s="50"/>
      <c r="BE72" s="50"/>
      <c r="BF72" s="50"/>
      <c r="BG72" s="50"/>
      <c r="BH72" s="50"/>
      <c r="BI72" s="50"/>
      <c r="BJ72" s="49"/>
      <c r="BN72" s="50"/>
      <c r="BO72" s="50"/>
      <c r="BP72" s="49"/>
      <c r="BT72" s="50"/>
      <c r="BU72" s="50"/>
      <c r="BV72" s="50"/>
      <c r="BW72" s="50"/>
      <c r="BX72" s="50"/>
      <c r="BY72" s="50"/>
      <c r="BZ72" s="50"/>
      <c r="CA72" s="50"/>
      <c r="CB72" s="49"/>
      <c r="CF72" s="50"/>
      <c r="CG72" s="50"/>
      <c r="CH72" s="50"/>
      <c r="CI72" s="50"/>
      <c r="CJ72" s="50"/>
      <c r="CK72" s="50"/>
      <c r="CL72" s="50"/>
      <c r="CM72" s="50"/>
      <c r="CN72" s="49"/>
      <c r="CR72" s="50"/>
      <c r="CS72" s="50"/>
      <c r="CT72" s="50"/>
      <c r="CU72" s="50"/>
      <c r="CV72" s="50"/>
      <c r="CW72" s="50"/>
      <c r="CX72" s="50"/>
      <c r="CY72" s="50"/>
      <c r="CZ72" s="50"/>
      <c r="DA72" s="49"/>
      <c r="DE72" s="50"/>
      <c r="DF72" s="50"/>
      <c r="DG72" s="50"/>
      <c r="DH72" s="50"/>
      <c r="DI72" s="50"/>
      <c r="DJ72" s="50"/>
      <c r="DK72" s="50"/>
      <c r="DL72" s="50"/>
      <c r="DM72" s="49"/>
    </row>
    <row r="73">
      <c r="A73" s="56" t="s">
        <v>1215</v>
      </c>
      <c r="B73" s="58"/>
      <c r="C73" s="58"/>
      <c r="D73" s="58"/>
      <c r="E73" s="58"/>
      <c r="F73" s="58"/>
      <c r="G73" s="59"/>
      <c r="H73" s="59"/>
      <c r="I73" s="59"/>
      <c r="J73" s="59"/>
      <c r="K73" s="59"/>
      <c r="L73" s="59"/>
      <c r="M73" s="59"/>
      <c r="N73" s="58"/>
      <c r="O73" s="58"/>
      <c r="P73" s="58"/>
      <c r="Q73" s="58"/>
      <c r="R73" s="59"/>
      <c r="S73" s="59"/>
      <c r="T73" s="58"/>
      <c r="U73" s="57">
        <v>2.654414</v>
      </c>
      <c r="V73" s="4"/>
      <c r="W73" s="4"/>
      <c r="X73" s="50"/>
      <c r="Y73" s="50"/>
      <c r="Z73" s="49"/>
      <c r="AD73" s="50"/>
      <c r="AE73" s="50"/>
      <c r="AF73" s="50"/>
      <c r="AG73" s="50"/>
      <c r="AH73" s="50"/>
      <c r="AI73" s="50"/>
      <c r="AJ73" s="50"/>
      <c r="AK73" s="50"/>
      <c r="AL73" s="49"/>
      <c r="AP73" s="50"/>
      <c r="AQ73" s="50"/>
      <c r="AR73" s="50"/>
      <c r="AS73" s="50"/>
      <c r="AT73" s="50"/>
      <c r="AU73" s="50"/>
      <c r="AV73" s="50"/>
      <c r="AW73" s="50"/>
      <c r="AX73" s="49"/>
      <c r="BB73" s="50"/>
      <c r="BC73" s="50"/>
      <c r="BD73" s="50"/>
      <c r="BE73" s="50"/>
      <c r="BF73" s="50"/>
      <c r="BG73" s="50"/>
      <c r="BH73" s="50"/>
      <c r="BI73" s="50"/>
      <c r="BJ73" s="49"/>
      <c r="BN73" s="50"/>
      <c r="BO73" s="50"/>
      <c r="BP73" s="49"/>
      <c r="BT73" s="50"/>
      <c r="BU73" s="50"/>
      <c r="BV73" s="50"/>
      <c r="BW73" s="50"/>
      <c r="BX73" s="50"/>
      <c r="BY73" s="50"/>
      <c r="BZ73" s="50"/>
      <c r="CA73" s="50"/>
      <c r="CB73" s="49"/>
      <c r="CF73" s="50"/>
      <c r="CG73" s="50"/>
      <c r="CH73" s="50"/>
      <c r="CI73" s="50"/>
      <c r="CJ73" s="50"/>
      <c r="CK73" s="50"/>
      <c r="CL73" s="50"/>
      <c r="CM73" s="50"/>
      <c r="CN73" s="49"/>
      <c r="CR73" s="50"/>
      <c r="CS73" s="50"/>
      <c r="CT73" s="50"/>
      <c r="CU73" s="50"/>
      <c r="CV73" s="50"/>
      <c r="CW73" s="50"/>
      <c r="CX73" s="50"/>
      <c r="CY73" s="50"/>
      <c r="CZ73" s="50"/>
      <c r="DA73" s="49"/>
      <c r="DE73" s="50"/>
      <c r="DF73" s="50"/>
      <c r="DG73" s="50"/>
      <c r="DH73" s="50"/>
      <c r="DI73" s="50"/>
      <c r="DJ73" s="50"/>
      <c r="DK73" s="50"/>
      <c r="DL73" s="50"/>
      <c r="DM73" s="49"/>
    </row>
    <row r="74">
      <c r="A74" s="56" t="s">
        <v>1216</v>
      </c>
      <c r="B74" s="58"/>
      <c r="C74" s="58"/>
      <c r="D74" s="58"/>
      <c r="E74" s="58"/>
      <c r="F74" s="59"/>
      <c r="G74" s="59"/>
      <c r="H74" s="59"/>
      <c r="I74" s="59"/>
      <c r="J74" s="59"/>
      <c r="K74" s="59"/>
      <c r="L74" s="59"/>
      <c r="M74" s="59"/>
      <c r="N74" s="58"/>
      <c r="O74" s="58"/>
      <c r="P74" s="58"/>
      <c r="Q74" s="58"/>
      <c r="R74" s="59"/>
      <c r="S74" s="59"/>
      <c r="T74" s="59"/>
      <c r="U74" s="57">
        <v>54.151948</v>
      </c>
      <c r="V74" s="4"/>
      <c r="W74" s="4"/>
      <c r="X74" s="50"/>
      <c r="Y74" s="50"/>
      <c r="Z74" s="49"/>
      <c r="AD74" s="50"/>
      <c r="AE74" s="50"/>
      <c r="AF74" s="50"/>
      <c r="AG74" s="50"/>
      <c r="AH74" s="50"/>
      <c r="AI74" s="50"/>
      <c r="AJ74" s="50"/>
      <c r="AK74" s="50"/>
      <c r="AL74" s="49"/>
      <c r="AP74" s="50"/>
      <c r="AQ74" s="50"/>
      <c r="AR74" s="50"/>
      <c r="AS74" s="50"/>
      <c r="AT74" s="50"/>
      <c r="AU74" s="50"/>
      <c r="AV74" s="50"/>
      <c r="AW74" s="50"/>
      <c r="AX74" s="49"/>
      <c r="BB74" s="50"/>
      <c r="BC74" s="50"/>
      <c r="BD74" s="50"/>
      <c r="BE74" s="50"/>
      <c r="BF74" s="50"/>
      <c r="BG74" s="50"/>
      <c r="BH74" s="50"/>
      <c r="BI74" s="50"/>
      <c r="BJ74" s="49"/>
      <c r="BN74" s="50"/>
      <c r="BO74" s="50"/>
      <c r="BP74" s="49"/>
      <c r="BT74" s="50"/>
      <c r="BU74" s="50"/>
      <c r="BV74" s="50"/>
      <c r="BW74" s="50"/>
      <c r="BX74" s="50"/>
      <c r="BY74" s="50"/>
      <c r="BZ74" s="50"/>
      <c r="CA74" s="50"/>
      <c r="CB74" s="49"/>
      <c r="CF74" s="50"/>
      <c r="CG74" s="50"/>
      <c r="CH74" s="50"/>
      <c r="CI74" s="50"/>
      <c r="CJ74" s="50"/>
      <c r="CK74" s="50"/>
      <c r="CL74" s="50"/>
      <c r="CM74" s="50"/>
      <c r="CN74" s="49"/>
      <c r="CR74" s="50"/>
      <c r="CS74" s="50"/>
      <c r="CT74" s="50"/>
      <c r="CU74" s="50"/>
      <c r="CV74" s="50"/>
      <c r="CW74" s="50"/>
      <c r="CX74" s="50"/>
      <c r="CY74" s="50"/>
      <c r="CZ74" s="50"/>
      <c r="DA74" s="49"/>
      <c r="DE74" s="50"/>
      <c r="DF74" s="50"/>
      <c r="DG74" s="50"/>
      <c r="DH74" s="50"/>
      <c r="DI74" s="50"/>
      <c r="DJ74" s="50"/>
      <c r="DK74" s="50"/>
      <c r="DL74" s="50"/>
      <c r="DM74" s="49"/>
    </row>
    <row r="75">
      <c r="A75" s="56" t="s">
        <v>1216</v>
      </c>
      <c r="B75" s="58"/>
      <c r="C75" s="58"/>
      <c r="D75" s="58"/>
      <c r="E75" s="58"/>
      <c r="F75" s="59"/>
      <c r="G75" s="59"/>
      <c r="H75" s="59"/>
      <c r="I75" s="59"/>
      <c r="J75" s="59"/>
      <c r="K75" s="59"/>
      <c r="L75" s="59"/>
      <c r="M75" s="59"/>
      <c r="N75" s="58"/>
      <c r="O75" s="58"/>
      <c r="P75" s="58"/>
      <c r="Q75" s="58"/>
      <c r="R75" s="59"/>
      <c r="S75" s="59"/>
      <c r="T75" s="59"/>
      <c r="U75" s="57">
        <v>6.260249</v>
      </c>
      <c r="V75" s="4"/>
      <c r="W75" s="4"/>
      <c r="X75" s="50"/>
      <c r="Y75" s="50"/>
      <c r="Z75" s="49"/>
      <c r="AD75" s="50"/>
      <c r="AE75" s="50"/>
      <c r="AF75" s="50"/>
      <c r="AG75" s="50"/>
      <c r="AH75" s="50"/>
      <c r="AI75" s="50"/>
      <c r="AJ75" s="50"/>
      <c r="AK75" s="50"/>
      <c r="AL75" s="49"/>
      <c r="AP75" s="50"/>
      <c r="AQ75" s="50"/>
      <c r="AR75" s="50"/>
      <c r="AS75" s="50"/>
      <c r="AT75" s="50"/>
      <c r="AU75" s="50"/>
      <c r="AV75" s="50"/>
      <c r="AW75" s="50"/>
      <c r="AX75" s="49"/>
      <c r="BB75" s="50"/>
      <c r="BC75" s="50"/>
      <c r="BD75" s="50"/>
      <c r="BE75" s="50"/>
      <c r="BF75" s="50"/>
      <c r="BG75" s="50"/>
      <c r="BH75" s="50"/>
      <c r="BI75" s="50"/>
      <c r="BJ75" s="49"/>
      <c r="BN75" s="50"/>
      <c r="BO75" s="50"/>
      <c r="BP75" s="49"/>
      <c r="BT75" s="50"/>
      <c r="BU75" s="50"/>
      <c r="BV75" s="50"/>
      <c r="BW75" s="50"/>
      <c r="BX75" s="50"/>
      <c r="BY75" s="50"/>
      <c r="BZ75" s="50"/>
      <c r="CA75" s="50"/>
      <c r="CB75" s="49"/>
      <c r="CF75" s="50"/>
      <c r="CG75" s="50"/>
      <c r="CH75" s="50"/>
      <c r="CI75" s="50"/>
      <c r="CJ75" s="50"/>
      <c r="CK75" s="50"/>
      <c r="CL75" s="50"/>
      <c r="CM75" s="50"/>
      <c r="CN75" s="49"/>
      <c r="CR75" s="50"/>
      <c r="CS75" s="50"/>
      <c r="CT75" s="50"/>
      <c r="CU75" s="50"/>
      <c r="CV75" s="50"/>
      <c r="CW75" s="50"/>
      <c r="CX75" s="50"/>
      <c r="CY75" s="50"/>
      <c r="CZ75" s="50"/>
      <c r="DA75" s="49"/>
      <c r="DE75" s="50"/>
      <c r="DF75" s="50"/>
      <c r="DG75" s="50"/>
      <c r="DH75" s="50"/>
      <c r="DI75" s="50"/>
      <c r="DJ75" s="50"/>
      <c r="DK75" s="50"/>
      <c r="DL75" s="50"/>
      <c r="DM75" s="49"/>
    </row>
    <row r="76">
      <c r="A76" s="56" t="s">
        <v>1216</v>
      </c>
      <c r="B76" s="58"/>
      <c r="C76" s="58"/>
      <c r="D76" s="58"/>
      <c r="E76" s="59"/>
      <c r="F76" s="59"/>
      <c r="G76" s="59"/>
      <c r="H76" s="59"/>
      <c r="I76" s="59"/>
      <c r="J76" s="59"/>
      <c r="K76" s="59"/>
      <c r="L76" s="59"/>
      <c r="M76" s="59"/>
      <c r="N76" s="58"/>
      <c r="O76" s="58"/>
      <c r="P76" s="58"/>
      <c r="Q76" s="58"/>
      <c r="R76" s="58"/>
      <c r="S76" s="59"/>
      <c r="T76" s="59"/>
      <c r="U76" s="57">
        <v>7.358801</v>
      </c>
      <c r="V76" s="4"/>
      <c r="W76" s="4"/>
      <c r="X76" s="50"/>
      <c r="Y76" s="50"/>
      <c r="Z76" s="49"/>
      <c r="AD76" s="50"/>
      <c r="AE76" s="50"/>
      <c r="AF76" s="50"/>
      <c r="AG76" s="50"/>
      <c r="AH76" s="50"/>
      <c r="AI76" s="50"/>
      <c r="AJ76" s="50"/>
      <c r="AK76" s="50"/>
      <c r="AL76" s="49"/>
      <c r="AP76" s="50"/>
      <c r="AQ76" s="50"/>
      <c r="AR76" s="50"/>
      <c r="AS76" s="50"/>
      <c r="AT76" s="50"/>
      <c r="AU76" s="50"/>
      <c r="AV76" s="50"/>
      <c r="AW76" s="50"/>
      <c r="AX76" s="49"/>
      <c r="BB76" s="50"/>
      <c r="BC76" s="50"/>
      <c r="BD76" s="50"/>
      <c r="BE76" s="50"/>
      <c r="BF76" s="50"/>
      <c r="BG76" s="50"/>
      <c r="BH76" s="50"/>
      <c r="BI76" s="50"/>
      <c r="BJ76" s="49"/>
      <c r="BN76" s="50"/>
      <c r="BO76" s="50"/>
      <c r="BP76" s="49"/>
      <c r="BT76" s="50"/>
      <c r="BU76" s="50"/>
      <c r="BV76" s="50"/>
      <c r="BW76" s="50"/>
      <c r="BX76" s="50"/>
      <c r="BY76" s="50"/>
      <c r="BZ76" s="50"/>
      <c r="CA76" s="50"/>
      <c r="CB76" s="49"/>
      <c r="CF76" s="50"/>
      <c r="CG76" s="50"/>
      <c r="CH76" s="50"/>
      <c r="CI76" s="50"/>
      <c r="CJ76" s="50"/>
      <c r="CK76" s="50"/>
      <c r="CL76" s="50"/>
      <c r="CM76" s="50"/>
      <c r="CN76" s="49"/>
      <c r="CR76" s="50"/>
      <c r="CS76" s="50"/>
      <c r="CT76" s="50"/>
      <c r="CU76" s="50"/>
      <c r="CV76" s="50"/>
      <c r="CW76" s="50"/>
      <c r="CX76" s="50"/>
      <c r="CY76" s="50"/>
      <c r="CZ76" s="50"/>
      <c r="DA76" s="49"/>
      <c r="DE76" s="50"/>
      <c r="DF76" s="50"/>
      <c r="DG76" s="50"/>
      <c r="DH76" s="50"/>
      <c r="DI76" s="50"/>
      <c r="DJ76" s="50"/>
      <c r="DK76" s="50"/>
      <c r="DL76" s="50"/>
      <c r="DM76" s="49"/>
    </row>
    <row r="77">
      <c r="A77" s="56" t="s">
        <v>1217</v>
      </c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8"/>
      <c r="O77" s="58"/>
      <c r="P77" s="58"/>
      <c r="Q77" s="58"/>
      <c r="R77" s="59"/>
      <c r="S77" s="59"/>
      <c r="T77" s="59"/>
      <c r="U77" s="57">
        <v>19.777281</v>
      </c>
      <c r="V77" s="4"/>
      <c r="W77" s="4"/>
      <c r="X77" s="50"/>
      <c r="Y77" s="50"/>
      <c r="Z77" s="49"/>
      <c r="AD77" s="50"/>
      <c r="AE77" s="50"/>
      <c r="AF77" s="50"/>
      <c r="AG77" s="50"/>
      <c r="AH77" s="50"/>
      <c r="AI77" s="50"/>
      <c r="AJ77" s="50"/>
      <c r="AK77" s="50"/>
      <c r="AL77" s="49"/>
      <c r="AP77" s="50"/>
      <c r="AQ77" s="50"/>
      <c r="AR77" s="50"/>
      <c r="AS77" s="50"/>
      <c r="AT77" s="50"/>
      <c r="AU77" s="50"/>
      <c r="AV77" s="50"/>
      <c r="AW77" s="50"/>
      <c r="AX77" s="49"/>
      <c r="BB77" s="50"/>
      <c r="BC77" s="50"/>
      <c r="BD77" s="50"/>
      <c r="BE77" s="50"/>
      <c r="BF77" s="50"/>
      <c r="BG77" s="50"/>
      <c r="BH77" s="50"/>
      <c r="BI77" s="50"/>
      <c r="BJ77" s="49"/>
      <c r="BN77" s="50"/>
      <c r="BO77" s="50"/>
      <c r="BP77" s="49"/>
      <c r="BT77" s="50"/>
      <c r="BU77" s="50"/>
      <c r="BV77" s="50"/>
      <c r="BW77" s="50"/>
      <c r="BX77" s="50"/>
      <c r="BY77" s="50"/>
      <c r="BZ77" s="50"/>
      <c r="CA77" s="50"/>
      <c r="CB77" s="49"/>
      <c r="CF77" s="50"/>
      <c r="CG77" s="50"/>
      <c r="CH77" s="50"/>
      <c r="CI77" s="50"/>
      <c r="CJ77" s="50"/>
      <c r="CK77" s="50"/>
      <c r="CL77" s="50"/>
      <c r="CM77" s="50"/>
      <c r="CN77" s="49"/>
      <c r="CR77" s="50"/>
      <c r="CS77" s="50"/>
      <c r="CT77" s="50"/>
      <c r="CU77" s="50"/>
      <c r="CV77" s="50"/>
      <c r="CW77" s="50"/>
      <c r="CX77" s="50"/>
      <c r="CY77" s="50"/>
      <c r="CZ77" s="50"/>
      <c r="DA77" s="49"/>
      <c r="DE77" s="50"/>
      <c r="DF77" s="50"/>
      <c r="DG77" s="50"/>
      <c r="DH77" s="50"/>
      <c r="DI77" s="50"/>
      <c r="DJ77" s="50"/>
      <c r="DK77" s="50"/>
      <c r="DL77" s="50"/>
      <c r="DM77" s="49"/>
    </row>
    <row r="78">
      <c r="A78" s="56" t="s">
        <v>1217</v>
      </c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8"/>
      <c r="O78" s="58"/>
      <c r="P78" s="58"/>
      <c r="Q78" s="58"/>
      <c r="R78" s="59"/>
      <c r="S78" s="59"/>
      <c r="T78" s="59"/>
      <c r="U78" s="57">
        <v>3.855351</v>
      </c>
      <c r="V78" s="4"/>
      <c r="W78" s="4"/>
      <c r="X78" s="50"/>
      <c r="Y78" s="50"/>
      <c r="Z78" s="49"/>
      <c r="AD78" s="50"/>
      <c r="AE78" s="50"/>
      <c r="AF78" s="50"/>
      <c r="AG78" s="50"/>
      <c r="AH78" s="50"/>
      <c r="AI78" s="50"/>
      <c r="AJ78" s="50"/>
      <c r="AK78" s="50"/>
      <c r="AL78" s="49"/>
      <c r="AP78" s="50"/>
      <c r="AQ78" s="50"/>
      <c r="AR78" s="50"/>
      <c r="AS78" s="50"/>
      <c r="AT78" s="50"/>
      <c r="AU78" s="50"/>
      <c r="AV78" s="50"/>
      <c r="AW78" s="50"/>
      <c r="AX78" s="49"/>
      <c r="BB78" s="50"/>
      <c r="BC78" s="50"/>
      <c r="BD78" s="50"/>
      <c r="BE78" s="50"/>
      <c r="BF78" s="50"/>
      <c r="BG78" s="50"/>
      <c r="BH78" s="50"/>
      <c r="BI78" s="50"/>
      <c r="BJ78" s="49"/>
      <c r="BN78" s="50"/>
      <c r="BO78" s="50"/>
      <c r="BP78" s="49"/>
      <c r="BT78" s="50"/>
      <c r="BU78" s="50"/>
      <c r="BV78" s="50"/>
      <c r="BW78" s="50"/>
      <c r="BX78" s="50"/>
      <c r="BY78" s="50"/>
      <c r="BZ78" s="50"/>
      <c r="CA78" s="50"/>
      <c r="CB78" s="49"/>
      <c r="CF78" s="50"/>
      <c r="CG78" s="50"/>
      <c r="CH78" s="50"/>
      <c r="CI78" s="50"/>
      <c r="CJ78" s="50"/>
      <c r="CK78" s="50"/>
      <c r="CL78" s="50"/>
      <c r="CM78" s="50"/>
      <c r="CN78" s="49"/>
      <c r="CR78" s="50"/>
      <c r="CS78" s="50"/>
      <c r="CT78" s="50"/>
      <c r="CU78" s="50"/>
      <c r="CV78" s="50"/>
      <c r="CW78" s="50"/>
      <c r="CX78" s="50"/>
      <c r="CY78" s="50"/>
      <c r="CZ78" s="50"/>
      <c r="DA78" s="49"/>
      <c r="DE78" s="50"/>
      <c r="DF78" s="50"/>
      <c r="DG78" s="50"/>
      <c r="DH78" s="50"/>
      <c r="DI78" s="50"/>
      <c r="DJ78" s="50"/>
      <c r="DK78" s="50"/>
      <c r="DL78" s="50"/>
      <c r="DM78" s="49"/>
    </row>
    <row r="79">
      <c r="A79" s="56" t="s">
        <v>1217</v>
      </c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8"/>
      <c r="O79" s="58"/>
      <c r="P79" s="58"/>
      <c r="Q79" s="59"/>
      <c r="R79" s="59"/>
      <c r="S79" s="59"/>
      <c r="T79" s="59"/>
      <c r="U79" s="57">
        <v>4.447165</v>
      </c>
      <c r="V79" s="4"/>
      <c r="W79" s="4"/>
      <c r="X79" s="50"/>
      <c r="Y79" s="50"/>
      <c r="Z79" s="49"/>
      <c r="AE79" s="50"/>
      <c r="AF79" s="50"/>
      <c r="AG79" s="50"/>
      <c r="AH79" s="50"/>
      <c r="AI79" s="50"/>
      <c r="AJ79" s="50"/>
      <c r="AK79" s="50"/>
      <c r="AL79" s="49"/>
      <c r="AP79" s="50"/>
      <c r="AQ79" s="50"/>
      <c r="AR79" s="50"/>
      <c r="AS79" s="50"/>
      <c r="AT79" s="50"/>
      <c r="AU79" s="50"/>
      <c r="AV79" s="50"/>
      <c r="AW79" s="50"/>
      <c r="AX79" s="49"/>
      <c r="BB79" s="50"/>
      <c r="BC79" s="50"/>
      <c r="BD79" s="50"/>
      <c r="BE79" s="50"/>
      <c r="BF79" s="50"/>
      <c r="BG79" s="50"/>
      <c r="BH79" s="50"/>
      <c r="BI79" s="50"/>
      <c r="BJ79" s="49"/>
      <c r="BN79" s="50"/>
      <c r="BO79" s="50"/>
      <c r="BP79" s="49"/>
      <c r="BT79" s="50"/>
      <c r="BU79" s="50"/>
      <c r="BV79" s="50"/>
      <c r="BW79" s="50"/>
      <c r="BX79" s="50"/>
      <c r="BY79" s="50"/>
      <c r="BZ79" s="50"/>
      <c r="CA79" s="50"/>
      <c r="CB79" s="49"/>
      <c r="CF79" s="50"/>
      <c r="CG79" s="50"/>
      <c r="CH79" s="50"/>
      <c r="CI79" s="50"/>
      <c r="CJ79" s="50"/>
      <c r="CK79" s="50"/>
      <c r="CL79" s="50"/>
      <c r="CM79" s="50"/>
      <c r="CN79" s="49"/>
      <c r="CR79" s="50"/>
      <c r="CS79" s="50"/>
      <c r="CT79" s="50"/>
      <c r="CU79" s="50"/>
      <c r="CV79" s="50"/>
      <c r="CW79" s="50"/>
      <c r="CX79" s="50"/>
      <c r="CY79" s="50"/>
      <c r="CZ79" s="50"/>
      <c r="DA79" s="49"/>
      <c r="DE79" s="50"/>
      <c r="DF79" s="50"/>
      <c r="DG79" s="50"/>
      <c r="DH79" s="50"/>
      <c r="DI79" s="50"/>
      <c r="DJ79" s="50"/>
      <c r="DK79" s="50"/>
      <c r="DL79" s="50"/>
      <c r="DM79" s="49"/>
    </row>
    <row r="80">
      <c r="A80" s="56" t="s">
        <v>1218</v>
      </c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7">
        <v>23.848953</v>
      </c>
      <c r="V80" s="4"/>
      <c r="W80" s="4"/>
      <c r="X80" s="50"/>
      <c r="Y80" s="50"/>
      <c r="Z80" s="49"/>
      <c r="AD80" s="50"/>
      <c r="AE80" s="50"/>
      <c r="AF80" s="50"/>
      <c r="AG80" s="50"/>
      <c r="AH80" s="50"/>
      <c r="AI80" s="50"/>
      <c r="AJ80" s="50"/>
      <c r="AK80" s="50"/>
      <c r="AL80" s="49"/>
      <c r="AP80" s="50"/>
      <c r="AQ80" s="50"/>
      <c r="AR80" s="50"/>
      <c r="AS80" s="50"/>
      <c r="AT80" s="50"/>
      <c r="AU80" s="50"/>
      <c r="AV80" s="50"/>
      <c r="AW80" s="50"/>
      <c r="AX80" s="49"/>
      <c r="BB80" s="50"/>
      <c r="BC80" s="50"/>
      <c r="BD80" s="50"/>
      <c r="BE80" s="50"/>
      <c r="BF80" s="50"/>
      <c r="BG80" s="50"/>
      <c r="BH80" s="50"/>
      <c r="BI80" s="50"/>
      <c r="BJ80" s="49"/>
      <c r="BN80" s="50"/>
      <c r="BO80" s="50"/>
      <c r="BP80" s="49"/>
      <c r="BT80" s="50"/>
      <c r="BU80" s="50"/>
      <c r="BV80" s="50"/>
      <c r="BW80" s="50"/>
      <c r="BX80" s="50"/>
      <c r="BY80" s="50"/>
      <c r="BZ80" s="50"/>
      <c r="CA80" s="50"/>
      <c r="CB80" s="49"/>
      <c r="CF80" s="50"/>
      <c r="CG80" s="50"/>
      <c r="CH80" s="50"/>
      <c r="CI80" s="50"/>
      <c r="CJ80" s="50"/>
      <c r="CK80" s="50"/>
      <c r="CL80" s="50"/>
      <c r="CM80" s="50"/>
      <c r="CN80" s="49"/>
      <c r="CR80" s="50"/>
      <c r="CS80" s="50"/>
      <c r="CT80" s="50"/>
      <c r="CU80" s="50"/>
      <c r="CV80" s="50"/>
      <c r="CW80" s="50"/>
      <c r="CX80" s="50"/>
      <c r="CY80" s="50"/>
      <c r="CZ80" s="50"/>
      <c r="DA80" s="49"/>
      <c r="DE80" s="50"/>
      <c r="DF80" s="50"/>
      <c r="DG80" s="50"/>
      <c r="DH80" s="50"/>
      <c r="DI80" s="50"/>
      <c r="DJ80" s="50"/>
      <c r="DK80" s="50"/>
      <c r="DL80" s="50"/>
      <c r="DM80" s="49"/>
    </row>
    <row r="81">
      <c r="A81" s="56" t="s">
        <v>1218</v>
      </c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7">
        <v>4.575616</v>
      </c>
      <c r="V81" s="4"/>
      <c r="W81" s="4"/>
      <c r="X81" s="50"/>
      <c r="Y81" s="50"/>
      <c r="Z81" s="49"/>
      <c r="AD81" s="50"/>
      <c r="AE81" s="50"/>
      <c r="AF81" s="50"/>
      <c r="AG81" s="50"/>
      <c r="AH81" s="50"/>
      <c r="AI81" s="50"/>
      <c r="AJ81" s="50"/>
      <c r="AK81" s="50"/>
      <c r="AL81" s="49"/>
      <c r="AP81" s="50"/>
      <c r="AQ81" s="50"/>
      <c r="AR81" s="50"/>
      <c r="AS81" s="50"/>
      <c r="AT81" s="50"/>
      <c r="AU81" s="50"/>
      <c r="AV81" s="50"/>
      <c r="AW81" s="50"/>
      <c r="AX81" s="49"/>
      <c r="BB81" s="50"/>
      <c r="BC81" s="50"/>
      <c r="BD81" s="50"/>
      <c r="BE81" s="50"/>
      <c r="BF81" s="50"/>
      <c r="BG81" s="50"/>
      <c r="BH81" s="50"/>
      <c r="BI81" s="50"/>
      <c r="BJ81" s="49"/>
      <c r="BN81" s="50"/>
      <c r="BO81" s="50"/>
      <c r="BP81" s="49"/>
      <c r="BT81" s="50"/>
      <c r="BU81" s="50"/>
      <c r="BV81" s="50"/>
      <c r="BW81" s="50"/>
      <c r="BX81" s="50"/>
      <c r="BY81" s="50"/>
      <c r="BZ81" s="50"/>
      <c r="CA81" s="50"/>
      <c r="CB81" s="49"/>
      <c r="CF81" s="50"/>
      <c r="CG81" s="50"/>
      <c r="CH81" s="50"/>
      <c r="CI81" s="50"/>
      <c r="CJ81" s="50"/>
      <c r="CK81" s="50"/>
      <c r="CL81" s="50"/>
      <c r="CM81" s="50"/>
      <c r="CN81" s="49"/>
      <c r="CR81" s="50"/>
      <c r="CS81" s="50"/>
      <c r="CT81" s="50"/>
      <c r="CU81" s="50"/>
      <c r="CV81" s="50"/>
      <c r="CW81" s="50"/>
      <c r="CX81" s="50"/>
      <c r="CY81" s="50"/>
      <c r="CZ81" s="50"/>
      <c r="DA81" s="49"/>
      <c r="DE81" s="50"/>
      <c r="DF81" s="50"/>
      <c r="DG81" s="50"/>
      <c r="DH81" s="50"/>
      <c r="DI81" s="50"/>
      <c r="DJ81" s="50"/>
      <c r="DK81" s="50"/>
      <c r="DL81" s="50"/>
      <c r="DM81" s="49"/>
    </row>
    <row r="82">
      <c r="A82" s="56" t="s">
        <v>1218</v>
      </c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7">
        <v>4.883539</v>
      </c>
      <c r="V82" s="4"/>
      <c r="W82" s="4"/>
      <c r="X82" s="50"/>
      <c r="Y82" s="50"/>
      <c r="Z82" s="49"/>
      <c r="AC82" s="50"/>
      <c r="AD82" s="50"/>
      <c r="AE82" s="50"/>
      <c r="AF82" s="50"/>
      <c r="AG82" s="50"/>
      <c r="AH82" s="50"/>
      <c r="AI82" s="50"/>
      <c r="AJ82" s="50"/>
      <c r="AK82" s="50"/>
      <c r="AL82" s="49"/>
      <c r="AQ82" s="50"/>
      <c r="AR82" s="50"/>
      <c r="AS82" s="50"/>
      <c r="AT82" s="50"/>
      <c r="AU82" s="50"/>
      <c r="AV82" s="50"/>
      <c r="AW82" s="50"/>
      <c r="AX82" s="49"/>
      <c r="BB82" s="50"/>
      <c r="BC82" s="50"/>
      <c r="BD82" s="50"/>
      <c r="BE82" s="50"/>
      <c r="BF82" s="50"/>
      <c r="BG82" s="50"/>
      <c r="BH82" s="50"/>
      <c r="BI82" s="50"/>
      <c r="BJ82" s="49"/>
      <c r="BN82" s="50"/>
      <c r="BO82" s="50"/>
      <c r="BP82" s="49"/>
      <c r="BT82" s="50"/>
      <c r="BU82" s="50"/>
      <c r="BV82" s="50"/>
      <c r="BW82" s="50"/>
      <c r="BX82" s="50"/>
      <c r="BY82" s="50"/>
      <c r="BZ82" s="50"/>
      <c r="CA82" s="50"/>
      <c r="CB82" s="49"/>
      <c r="CF82" s="50"/>
      <c r="CG82" s="50"/>
      <c r="CH82" s="50"/>
      <c r="CI82" s="50"/>
      <c r="CJ82" s="50"/>
      <c r="CK82" s="50"/>
      <c r="CL82" s="50"/>
      <c r="CM82" s="50"/>
      <c r="CN82" s="49"/>
      <c r="CR82" s="50"/>
      <c r="CS82" s="50"/>
      <c r="CT82" s="50"/>
      <c r="CU82" s="50"/>
      <c r="CV82" s="50"/>
      <c r="CW82" s="50"/>
      <c r="CX82" s="50"/>
      <c r="CY82" s="50"/>
      <c r="CZ82" s="50"/>
      <c r="DA82" s="49"/>
      <c r="DE82" s="50"/>
      <c r="DF82" s="50"/>
      <c r="DG82" s="50"/>
      <c r="DH82" s="50"/>
      <c r="DI82" s="50"/>
      <c r="DJ82" s="50"/>
      <c r="DK82" s="50"/>
      <c r="DL82" s="50"/>
      <c r="DM82" s="49"/>
    </row>
    <row r="83">
      <c r="A83" s="56" t="s">
        <v>1219</v>
      </c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7">
        <v>4.751851</v>
      </c>
      <c r="V83" s="4"/>
      <c r="W83" s="4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49"/>
      <c r="AP83" s="50"/>
      <c r="AQ83" s="50"/>
      <c r="AR83" s="50"/>
      <c r="AS83" s="50"/>
      <c r="AT83" s="50"/>
      <c r="AU83" s="50"/>
      <c r="AV83" s="50"/>
      <c r="AW83" s="50"/>
      <c r="AX83" s="49"/>
      <c r="BB83" s="50"/>
      <c r="BC83" s="50"/>
      <c r="BD83" s="50"/>
      <c r="BE83" s="50"/>
      <c r="BF83" s="50"/>
      <c r="BG83" s="50"/>
      <c r="BH83" s="50"/>
      <c r="BI83" s="50"/>
      <c r="BJ83" s="49"/>
      <c r="BN83" s="50"/>
      <c r="BO83" s="50"/>
      <c r="BP83" s="49"/>
      <c r="BT83" s="50"/>
      <c r="BU83" s="50"/>
      <c r="BV83" s="50"/>
      <c r="BW83" s="50"/>
      <c r="BX83" s="50"/>
      <c r="BY83" s="50"/>
      <c r="BZ83" s="50"/>
      <c r="CA83" s="50"/>
      <c r="CB83" s="49"/>
      <c r="CF83" s="50"/>
      <c r="CG83" s="50"/>
      <c r="CH83" s="50"/>
      <c r="CI83" s="50"/>
      <c r="CJ83" s="50"/>
      <c r="CK83" s="50"/>
      <c r="CL83" s="50"/>
      <c r="CM83" s="50"/>
      <c r="CN83" s="49"/>
      <c r="CR83" s="50"/>
      <c r="CS83" s="50"/>
      <c r="CT83" s="50"/>
      <c r="CU83" s="50"/>
      <c r="CV83" s="50"/>
      <c r="CW83" s="50"/>
      <c r="CX83" s="50"/>
      <c r="CY83" s="50"/>
      <c r="CZ83" s="50"/>
      <c r="DA83" s="49"/>
      <c r="DE83" s="50"/>
      <c r="DF83" s="50"/>
      <c r="DG83" s="50"/>
      <c r="DH83" s="50"/>
      <c r="DI83" s="50"/>
      <c r="DJ83" s="50"/>
      <c r="DK83" s="50"/>
      <c r="DL83" s="50"/>
      <c r="DM83" s="49"/>
    </row>
    <row r="84">
      <c r="A84" s="56" t="s">
        <v>1219</v>
      </c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7">
        <v>1.609313</v>
      </c>
      <c r="V84" s="4"/>
      <c r="W84" s="4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49"/>
      <c r="AP84" s="50"/>
      <c r="AQ84" s="50"/>
      <c r="AR84" s="50"/>
      <c r="AS84" s="50"/>
      <c r="AT84" s="50"/>
      <c r="AU84" s="50"/>
      <c r="AV84" s="50"/>
      <c r="AW84" s="50"/>
      <c r="AX84" s="49"/>
      <c r="BB84" s="50"/>
      <c r="BC84" s="50"/>
      <c r="BD84" s="50"/>
      <c r="BE84" s="50"/>
      <c r="BF84" s="50"/>
      <c r="BG84" s="50"/>
      <c r="BH84" s="50"/>
      <c r="BI84" s="50"/>
      <c r="BJ84" s="49"/>
      <c r="BN84" s="50"/>
      <c r="BO84" s="50"/>
      <c r="BP84" s="49"/>
      <c r="BT84" s="50"/>
      <c r="BU84" s="50"/>
      <c r="BV84" s="50"/>
      <c r="BW84" s="50"/>
      <c r="BX84" s="50"/>
      <c r="BY84" s="50"/>
      <c r="BZ84" s="50"/>
      <c r="CA84" s="50"/>
      <c r="CB84" s="49"/>
      <c r="CF84" s="50"/>
      <c r="CG84" s="50"/>
      <c r="CH84" s="50"/>
      <c r="CI84" s="50"/>
      <c r="CJ84" s="50"/>
      <c r="CK84" s="50"/>
      <c r="CL84" s="50"/>
      <c r="CM84" s="50"/>
      <c r="CN84" s="49"/>
      <c r="CR84" s="50"/>
      <c r="CS84" s="50"/>
      <c r="CT84" s="50"/>
      <c r="CU84" s="50"/>
      <c r="CV84" s="50"/>
      <c r="CW84" s="50"/>
      <c r="CX84" s="50"/>
      <c r="CY84" s="50"/>
      <c r="CZ84" s="50"/>
      <c r="DA84" s="49"/>
      <c r="DE84" s="50"/>
      <c r="DF84" s="50"/>
      <c r="DG84" s="50"/>
      <c r="DH84" s="50"/>
      <c r="DI84" s="50"/>
      <c r="DJ84" s="50"/>
      <c r="DK84" s="50"/>
      <c r="DL84" s="50"/>
      <c r="DM84" s="49"/>
    </row>
    <row r="85">
      <c r="A85" s="56" t="s">
        <v>1219</v>
      </c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7">
        <v>2.179874</v>
      </c>
      <c r="V85" s="4"/>
      <c r="W85" s="4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49"/>
      <c r="AO85" s="50"/>
      <c r="AP85" s="50"/>
      <c r="AQ85" s="50"/>
      <c r="AR85" s="50"/>
      <c r="AS85" s="50"/>
      <c r="AT85" s="50"/>
      <c r="AU85" s="50"/>
      <c r="AV85" s="50"/>
      <c r="AW85" s="50"/>
      <c r="AX85" s="49"/>
      <c r="BB85" s="50"/>
      <c r="BC85" s="50"/>
      <c r="BD85" s="50"/>
      <c r="BE85" s="50"/>
      <c r="BF85" s="50"/>
      <c r="BG85" s="50"/>
      <c r="BH85" s="50"/>
      <c r="BI85" s="50"/>
      <c r="BJ85" s="49"/>
      <c r="BN85" s="50"/>
      <c r="BO85" s="50"/>
      <c r="BP85" s="49"/>
      <c r="BT85" s="50"/>
      <c r="BU85" s="50"/>
      <c r="BV85" s="50"/>
      <c r="BW85" s="50"/>
      <c r="BX85" s="50"/>
      <c r="BY85" s="50"/>
      <c r="BZ85" s="50"/>
      <c r="CA85" s="50"/>
      <c r="CB85" s="49"/>
      <c r="CF85" s="50"/>
      <c r="CG85" s="50"/>
      <c r="CH85" s="50"/>
      <c r="CI85" s="50"/>
      <c r="CJ85" s="50"/>
      <c r="CK85" s="50"/>
      <c r="CL85" s="50"/>
      <c r="CM85" s="50"/>
      <c r="CN85" s="49"/>
      <c r="CR85" s="50"/>
      <c r="CS85" s="50"/>
      <c r="CT85" s="50"/>
      <c r="CU85" s="50"/>
      <c r="CV85" s="50"/>
      <c r="CW85" s="50"/>
      <c r="CX85" s="50"/>
      <c r="CY85" s="50"/>
      <c r="CZ85" s="50"/>
      <c r="DA85" s="49"/>
      <c r="DE85" s="50"/>
      <c r="DF85" s="50"/>
      <c r="DG85" s="50"/>
      <c r="DH85" s="50"/>
      <c r="DI85" s="50"/>
      <c r="DJ85" s="50"/>
      <c r="DK85" s="50"/>
      <c r="DL85" s="50"/>
      <c r="DM85" s="49"/>
    </row>
    <row r="86">
      <c r="A86" s="56" t="s">
        <v>1220</v>
      </c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7">
        <v>32.783121</v>
      </c>
      <c r="V86" s="4"/>
      <c r="W86" s="4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49"/>
      <c r="BB86" s="50"/>
      <c r="BC86" s="50"/>
      <c r="BD86" s="50"/>
      <c r="BE86" s="50"/>
      <c r="BF86" s="50"/>
      <c r="BG86" s="50"/>
      <c r="BH86" s="50"/>
      <c r="BI86" s="50"/>
      <c r="BJ86" s="49"/>
      <c r="BN86" s="50"/>
      <c r="BO86" s="50"/>
      <c r="BP86" s="49"/>
      <c r="BT86" s="50"/>
      <c r="BU86" s="50"/>
      <c r="BV86" s="50"/>
      <c r="BW86" s="50"/>
      <c r="BX86" s="50"/>
      <c r="BY86" s="50"/>
      <c r="BZ86" s="50"/>
      <c r="CA86" s="50"/>
      <c r="CB86" s="49"/>
      <c r="CF86" s="50"/>
      <c r="CG86" s="50"/>
      <c r="CH86" s="50"/>
      <c r="CI86" s="50"/>
      <c r="CJ86" s="50"/>
      <c r="CK86" s="50"/>
      <c r="CL86" s="50"/>
      <c r="CM86" s="50"/>
      <c r="CN86" s="49"/>
      <c r="CR86" s="50"/>
      <c r="CS86" s="50"/>
      <c r="CT86" s="50"/>
      <c r="CU86" s="50"/>
      <c r="CV86" s="50"/>
      <c r="CW86" s="50"/>
      <c r="CX86" s="50"/>
      <c r="CY86" s="50"/>
      <c r="CZ86" s="50"/>
      <c r="DA86" s="49"/>
      <c r="DE86" s="50"/>
      <c r="DF86" s="50"/>
      <c r="DG86" s="50"/>
      <c r="DH86" s="50"/>
      <c r="DI86" s="50"/>
      <c r="DJ86" s="50"/>
      <c r="DK86" s="50"/>
      <c r="DL86" s="50"/>
      <c r="DM86" s="49"/>
    </row>
    <row r="87">
      <c r="A87" s="56" t="s">
        <v>1220</v>
      </c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7">
        <v>5.718038</v>
      </c>
      <c r="V87" s="4"/>
      <c r="W87" s="4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49"/>
      <c r="BC87" s="50"/>
      <c r="BD87" s="50"/>
      <c r="BE87" s="50"/>
      <c r="BF87" s="50"/>
      <c r="BG87" s="50"/>
      <c r="BH87" s="50"/>
      <c r="BI87" s="50"/>
      <c r="BJ87" s="49"/>
      <c r="BN87" s="50"/>
      <c r="BO87" s="50"/>
      <c r="BP87" s="49"/>
      <c r="BT87" s="50"/>
      <c r="BU87" s="50"/>
      <c r="BV87" s="50"/>
      <c r="BW87" s="50"/>
      <c r="BX87" s="50"/>
      <c r="BY87" s="50"/>
      <c r="BZ87" s="50"/>
      <c r="CA87" s="50"/>
      <c r="CB87" s="49"/>
      <c r="CF87" s="50"/>
      <c r="CG87" s="50"/>
      <c r="CH87" s="50"/>
      <c r="CI87" s="50"/>
      <c r="CJ87" s="50"/>
      <c r="CK87" s="50"/>
      <c r="CL87" s="50"/>
      <c r="CM87" s="50"/>
      <c r="CN87" s="49"/>
      <c r="CR87" s="50"/>
      <c r="CS87" s="50"/>
      <c r="CT87" s="50"/>
      <c r="CU87" s="50"/>
      <c r="CV87" s="50"/>
      <c r="CW87" s="50"/>
      <c r="CX87" s="50"/>
      <c r="CY87" s="50"/>
      <c r="CZ87" s="50"/>
      <c r="DA87" s="49"/>
      <c r="DE87" s="50"/>
      <c r="DF87" s="50"/>
      <c r="DG87" s="50"/>
      <c r="DH87" s="50"/>
      <c r="DI87" s="50"/>
      <c r="DJ87" s="50"/>
      <c r="DK87" s="50"/>
      <c r="DL87" s="50"/>
      <c r="DM87" s="49"/>
    </row>
    <row r="88">
      <c r="A88" s="56" t="s">
        <v>1220</v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7">
        <v>5.725655</v>
      </c>
      <c r="V88" s="4"/>
      <c r="W88" s="4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49"/>
      <c r="BB88" s="50"/>
      <c r="BC88" s="50"/>
      <c r="BD88" s="50"/>
      <c r="BE88" s="50"/>
      <c r="BF88" s="50"/>
      <c r="BG88" s="50"/>
      <c r="BH88" s="50"/>
      <c r="BI88" s="50"/>
      <c r="BJ88" s="49"/>
      <c r="BN88" s="50"/>
      <c r="BO88" s="50"/>
      <c r="BP88" s="49"/>
      <c r="BT88" s="50"/>
      <c r="BU88" s="50"/>
      <c r="BV88" s="50"/>
      <c r="BW88" s="50"/>
      <c r="BX88" s="50"/>
      <c r="BY88" s="50"/>
      <c r="BZ88" s="50"/>
      <c r="CA88" s="50"/>
      <c r="CB88" s="49"/>
      <c r="CF88" s="50"/>
      <c r="CG88" s="50"/>
      <c r="CH88" s="50"/>
      <c r="CI88" s="50"/>
      <c r="CJ88" s="50"/>
      <c r="CK88" s="50"/>
      <c r="CL88" s="50"/>
      <c r="CM88" s="50"/>
      <c r="CN88" s="49"/>
      <c r="CR88" s="50"/>
      <c r="CS88" s="50"/>
      <c r="CT88" s="50"/>
      <c r="CU88" s="50"/>
      <c r="CV88" s="50"/>
      <c r="CW88" s="50"/>
      <c r="CX88" s="50"/>
      <c r="CY88" s="50"/>
      <c r="CZ88" s="50"/>
      <c r="DA88" s="49"/>
      <c r="DE88" s="50"/>
      <c r="DF88" s="50"/>
      <c r="DG88" s="50"/>
      <c r="DH88" s="50"/>
      <c r="DI88" s="50"/>
      <c r="DJ88" s="50"/>
      <c r="DK88" s="50"/>
      <c r="DL88" s="50"/>
      <c r="DM88" s="49"/>
    </row>
    <row r="89">
      <c r="A89" s="56" t="s">
        <v>1221</v>
      </c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7">
        <v>39.238766</v>
      </c>
      <c r="V89" s="4"/>
      <c r="W89" s="4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49"/>
      <c r="BB89" s="50"/>
      <c r="BC89" s="50"/>
      <c r="BD89" s="50"/>
      <c r="BE89" s="50"/>
      <c r="BF89" s="50"/>
      <c r="BG89" s="50"/>
      <c r="BH89" s="50"/>
      <c r="BI89" s="50"/>
      <c r="BJ89" s="49"/>
      <c r="BN89" s="50"/>
      <c r="BO89" s="50"/>
      <c r="BP89" s="49"/>
      <c r="BT89" s="50"/>
      <c r="BU89" s="50"/>
      <c r="BV89" s="50"/>
      <c r="BW89" s="50"/>
      <c r="BX89" s="50"/>
      <c r="BY89" s="50"/>
      <c r="BZ89" s="50"/>
      <c r="CA89" s="50"/>
      <c r="CB89" s="49"/>
      <c r="CF89" s="50"/>
      <c r="CG89" s="50"/>
      <c r="CH89" s="50"/>
      <c r="CI89" s="50"/>
      <c r="CJ89" s="50"/>
      <c r="CK89" s="50"/>
      <c r="CL89" s="50"/>
      <c r="CM89" s="50"/>
      <c r="CN89" s="49"/>
      <c r="CR89" s="50"/>
      <c r="CS89" s="50"/>
      <c r="CT89" s="50"/>
      <c r="CU89" s="50"/>
      <c r="CV89" s="50"/>
      <c r="CW89" s="50"/>
      <c r="CX89" s="50"/>
      <c r="CY89" s="50"/>
      <c r="CZ89" s="50"/>
      <c r="DA89" s="49"/>
      <c r="DE89" s="50"/>
      <c r="DF89" s="50"/>
      <c r="DG89" s="50"/>
      <c r="DH89" s="50"/>
      <c r="DI89" s="50"/>
      <c r="DJ89" s="50"/>
      <c r="DK89" s="50"/>
      <c r="DL89" s="50"/>
      <c r="DM89" s="49"/>
    </row>
    <row r="90">
      <c r="A90" s="56" t="s">
        <v>1221</v>
      </c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7">
        <v>6.046205</v>
      </c>
      <c r="V90" s="4"/>
      <c r="W90" s="4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49"/>
      <c r="BA90" s="50"/>
      <c r="BB90" s="50"/>
      <c r="BC90" s="50"/>
      <c r="BD90" s="50"/>
      <c r="BE90" s="50"/>
      <c r="BF90" s="50"/>
      <c r="BG90" s="50"/>
      <c r="BH90" s="50"/>
      <c r="BI90" s="50"/>
      <c r="BJ90" s="49"/>
      <c r="BN90" s="50"/>
      <c r="BO90" s="50"/>
      <c r="BP90" s="49"/>
      <c r="BT90" s="50"/>
      <c r="BU90" s="50"/>
      <c r="BV90" s="50"/>
      <c r="BW90" s="50"/>
      <c r="BX90" s="50"/>
      <c r="BY90" s="50"/>
      <c r="BZ90" s="50"/>
      <c r="CA90" s="50"/>
      <c r="CB90" s="49"/>
      <c r="CF90" s="50"/>
      <c r="CG90" s="50"/>
      <c r="CH90" s="50"/>
      <c r="CI90" s="50"/>
      <c r="CJ90" s="50"/>
      <c r="CK90" s="50"/>
      <c r="CL90" s="50"/>
      <c r="CM90" s="50"/>
      <c r="CN90" s="49"/>
      <c r="CR90" s="50"/>
      <c r="CS90" s="50"/>
      <c r="CT90" s="50"/>
      <c r="CU90" s="50"/>
      <c r="CV90" s="50"/>
      <c r="CW90" s="50"/>
      <c r="CX90" s="50"/>
      <c r="CY90" s="50"/>
      <c r="CZ90" s="50"/>
      <c r="DA90" s="49"/>
      <c r="DE90" s="50"/>
      <c r="DF90" s="50"/>
      <c r="DG90" s="50"/>
      <c r="DH90" s="50"/>
      <c r="DI90" s="50"/>
      <c r="DJ90" s="50"/>
      <c r="DK90" s="50"/>
      <c r="DL90" s="50"/>
      <c r="DM90" s="49"/>
    </row>
    <row r="91">
      <c r="A91" s="56" t="s">
        <v>1221</v>
      </c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7">
        <v>6.264085</v>
      </c>
      <c r="V91" s="4"/>
      <c r="W91" s="4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49"/>
      <c r="BN91" s="50"/>
      <c r="BO91" s="50"/>
      <c r="BP91" s="49"/>
      <c r="BT91" s="50"/>
      <c r="BU91" s="50"/>
      <c r="BV91" s="50"/>
      <c r="BW91" s="50"/>
      <c r="BX91" s="50"/>
      <c r="BY91" s="50"/>
      <c r="BZ91" s="50"/>
      <c r="CA91" s="50"/>
      <c r="CB91" s="49"/>
      <c r="CF91" s="50"/>
      <c r="CG91" s="50"/>
      <c r="CH91" s="50"/>
      <c r="CI91" s="50"/>
      <c r="CJ91" s="50"/>
      <c r="CK91" s="50"/>
      <c r="CL91" s="50"/>
      <c r="CM91" s="50"/>
      <c r="CN91" s="49"/>
      <c r="CR91" s="50"/>
      <c r="CS91" s="50"/>
      <c r="CT91" s="50"/>
      <c r="CU91" s="50"/>
      <c r="CV91" s="50"/>
      <c r="CW91" s="50"/>
      <c r="CX91" s="50"/>
      <c r="CY91" s="50"/>
      <c r="CZ91" s="50"/>
      <c r="DA91" s="49"/>
      <c r="DE91" s="50"/>
      <c r="DF91" s="50"/>
      <c r="DG91" s="50"/>
      <c r="DH91" s="50"/>
      <c r="DI91" s="50"/>
      <c r="DJ91" s="50"/>
      <c r="DK91" s="50"/>
      <c r="DL91" s="50"/>
      <c r="DM91" s="49"/>
    </row>
    <row r="92">
      <c r="A92" s="65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6" t="s">
        <v>1184</v>
      </c>
      <c r="V92" s="4"/>
      <c r="W92" s="4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49"/>
      <c r="BN92" s="50"/>
      <c r="BO92" s="50"/>
      <c r="BP92" s="49"/>
      <c r="BT92" s="50"/>
      <c r="BU92" s="50"/>
      <c r="BV92" s="50"/>
      <c r="BW92" s="50"/>
      <c r="BX92" s="50"/>
      <c r="BY92" s="50"/>
      <c r="BZ92" s="50"/>
      <c r="CA92" s="50"/>
      <c r="CB92" s="49"/>
      <c r="CF92" s="50"/>
      <c r="CG92" s="50"/>
      <c r="CH92" s="50"/>
      <c r="CI92" s="50"/>
      <c r="CJ92" s="50"/>
      <c r="CK92" s="50"/>
      <c r="CL92" s="50"/>
      <c r="CM92" s="50"/>
      <c r="CN92" s="49"/>
      <c r="CR92" s="50"/>
      <c r="CS92" s="50"/>
      <c r="CT92" s="50"/>
      <c r="CU92" s="50"/>
      <c r="CV92" s="50"/>
      <c r="CW92" s="50"/>
      <c r="CX92" s="50"/>
      <c r="CY92" s="50"/>
      <c r="CZ92" s="50"/>
      <c r="DA92" s="49"/>
      <c r="DE92" s="50"/>
      <c r="DF92" s="50"/>
      <c r="DG92" s="50"/>
      <c r="DH92" s="50"/>
      <c r="DI92" s="50"/>
      <c r="DJ92" s="50"/>
      <c r="DK92" s="50"/>
      <c r="DL92" s="50"/>
      <c r="DM92" s="49"/>
    </row>
    <row r="93">
      <c r="A93" s="65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6" t="s">
        <v>1185</v>
      </c>
      <c r="V93" s="4"/>
      <c r="W93" s="4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49"/>
      <c r="BO93" s="50"/>
      <c r="BP93" s="49"/>
      <c r="BT93" s="50"/>
      <c r="BU93" s="50"/>
      <c r="BV93" s="50"/>
      <c r="BW93" s="50"/>
      <c r="BX93" s="50"/>
      <c r="BY93" s="50"/>
      <c r="BZ93" s="50"/>
      <c r="CA93" s="50"/>
      <c r="CB93" s="49"/>
      <c r="CF93" s="50"/>
      <c r="CG93" s="50"/>
      <c r="CH93" s="50"/>
      <c r="CI93" s="50"/>
      <c r="CJ93" s="50"/>
      <c r="CK93" s="50"/>
      <c r="CL93" s="50"/>
      <c r="CM93" s="50"/>
      <c r="CN93" s="49"/>
      <c r="CR93" s="50"/>
      <c r="CS93" s="50"/>
      <c r="CT93" s="50"/>
      <c r="CU93" s="50"/>
      <c r="CV93" s="50"/>
      <c r="CW93" s="50"/>
      <c r="CX93" s="50"/>
      <c r="CY93" s="50"/>
      <c r="CZ93" s="50"/>
      <c r="DA93" s="49"/>
      <c r="DE93" s="50"/>
      <c r="DF93" s="50"/>
      <c r="DG93" s="50"/>
      <c r="DH93" s="50"/>
      <c r="DI93" s="50"/>
      <c r="DJ93" s="50"/>
      <c r="DK93" s="50"/>
      <c r="DL93" s="50"/>
      <c r="DM93" s="49"/>
    </row>
    <row r="94">
      <c r="A94" s="65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6" t="s">
        <v>1186</v>
      </c>
      <c r="V94" s="4"/>
      <c r="W94" s="4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49"/>
      <c r="BN94" s="50"/>
      <c r="BO94" s="50"/>
      <c r="BP94" s="49"/>
      <c r="BT94" s="50"/>
      <c r="BU94" s="50"/>
      <c r="BV94" s="50"/>
      <c r="BW94" s="50"/>
      <c r="BX94" s="50"/>
      <c r="BY94" s="50"/>
      <c r="BZ94" s="50"/>
      <c r="CA94" s="50"/>
      <c r="CB94" s="49"/>
      <c r="CF94" s="50"/>
      <c r="CG94" s="50"/>
      <c r="CH94" s="50"/>
      <c r="CI94" s="50"/>
      <c r="CJ94" s="50"/>
      <c r="CK94" s="50"/>
      <c r="CL94" s="50"/>
      <c r="CM94" s="50"/>
      <c r="CN94" s="49"/>
      <c r="CR94" s="50"/>
      <c r="CS94" s="50"/>
      <c r="CT94" s="50"/>
      <c r="CU94" s="50"/>
      <c r="CV94" s="50"/>
      <c r="CW94" s="50"/>
      <c r="CX94" s="50"/>
      <c r="CY94" s="50"/>
      <c r="CZ94" s="50"/>
      <c r="DA94" s="49"/>
      <c r="DE94" s="50"/>
      <c r="DF94" s="50"/>
      <c r="DG94" s="50"/>
      <c r="DH94" s="50"/>
      <c r="DI94" s="50"/>
      <c r="DJ94" s="50"/>
      <c r="DK94" s="50"/>
      <c r="DL94" s="50"/>
      <c r="DM94" s="49"/>
    </row>
    <row r="95">
      <c r="A95" s="65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6" t="s">
        <v>1187</v>
      </c>
      <c r="V95" s="4"/>
      <c r="W95" s="4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49"/>
      <c r="BN95" s="50"/>
      <c r="BO95" s="50"/>
      <c r="BP95" s="49"/>
      <c r="BT95" s="50"/>
      <c r="BU95" s="50"/>
      <c r="BV95" s="50"/>
      <c r="BW95" s="50"/>
      <c r="BX95" s="50"/>
      <c r="BY95" s="50"/>
      <c r="BZ95" s="50"/>
      <c r="CA95" s="50"/>
      <c r="CB95" s="49"/>
      <c r="CF95" s="50"/>
      <c r="CG95" s="50"/>
      <c r="CH95" s="50"/>
      <c r="CI95" s="50"/>
      <c r="CJ95" s="50"/>
      <c r="CK95" s="50"/>
      <c r="CL95" s="50"/>
      <c r="CM95" s="50"/>
      <c r="CN95" s="49"/>
      <c r="CR95" s="50"/>
      <c r="CS95" s="50"/>
      <c r="CT95" s="50"/>
      <c r="CU95" s="50"/>
      <c r="CV95" s="50"/>
      <c r="CW95" s="50"/>
      <c r="CX95" s="50"/>
      <c r="CY95" s="50"/>
      <c r="CZ95" s="50"/>
      <c r="DA95" s="49"/>
      <c r="DE95" s="50"/>
      <c r="DF95" s="50"/>
      <c r="DG95" s="50"/>
      <c r="DH95" s="50"/>
      <c r="DI95" s="50"/>
      <c r="DJ95" s="50"/>
      <c r="DK95" s="50"/>
      <c r="DL95" s="50"/>
      <c r="DM95" s="49"/>
    </row>
    <row r="96">
      <c r="B96" s="66"/>
      <c r="C96" s="66"/>
      <c r="D96" s="66"/>
      <c r="E96" s="66"/>
      <c r="F96" s="66"/>
      <c r="G96" s="66"/>
      <c r="H96" s="66"/>
      <c r="I96" s="66"/>
      <c r="J96" s="66"/>
      <c r="V96" s="4"/>
      <c r="W96" s="4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49"/>
      <c r="BM96" s="50"/>
      <c r="BN96" s="50"/>
      <c r="BO96" s="50"/>
      <c r="BP96" s="49"/>
      <c r="BT96" s="50"/>
      <c r="BU96" s="50"/>
      <c r="BV96" s="50"/>
      <c r="BW96" s="50"/>
      <c r="BX96" s="50"/>
      <c r="BY96" s="50"/>
      <c r="BZ96" s="50"/>
      <c r="CA96" s="50"/>
      <c r="CB96" s="49"/>
      <c r="CF96" s="50"/>
      <c r="CG96" s="50"/>
      <c r="CH96" s="50"/>
      <c r="CI96" s="50"/>
      <c r="CJ96" s="50"/>
      <c r="CK96" s="50"/>
      <c r="CL96" s="50"/>
      <c r="CM96" s="50"/>
      <c r="CN96" s="49"/>
      <c r="CR96" s="50"/>
      <c r="CS96" s="50"/>
      <c r="CT96" s="50"/>
      <c r="CU96" s="50"/>
      <c r="CV96" s="50"/>
      <c r="CW96" s="50"/>
      <c r="CX96" s="50"/>
      <c r="CY96" s="50"/>
      <c r="CZ96" s="50"/>
      <c r="DA96" s="49"/>
      <c r="DE96" s="50"/>
      <c r="DF96" s="50"/>
      <c r="DG96" s="50"/>
      <c r="DH96" s="50"/>
      <c r="DI96" s="50"/>
      <c r="DJ96" s="50"/>
      <c r="DK96" s="50"/>
      <c r="DL96" s="50"/>
      <c r="DM96" s="49"/>
    </row>
    <row r="97">
      <c r="B97" s="66"/>
      <c r="C97" s="66"/>
      <c r="D97" s="66"/>
      <c r="E97" s="66"/>
      <c r="F97" s="66"/>
      <c r="G97" s="66"/>
      <c r="H97" s="66"/>
      <c r="I97" s="66"/>
      <c r="J97" s="66"/>
      <c r="V97" s="4"/>
      <c r="W97" s="4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49"/>
      <c r="BT97" s="50"/>
      <c r="BU97" s="50"/>
      <c r="BV97" s="50"/>
      <c r="BW97" s="50"/>
      <c r="BX97" s="50"/>
      <c r="BY97" s="50"/>
      <c r="BZ97" s="50"/>
      <c r="CA97" s="50"/>
      <c r="CB97" s="49"/>
      <c r="CF97" s="50"/>
      <c r="CG97" s="50"/>
      <c r="CH97" s="50"/>
      <c r="CI97" s="50"/>
      <c r="CJ97" s="50"/>
      <c r="CK97" s="50"/>
      <c r="CL97" s="50"/>
      <c r="CM97" s="50"/>
      <c r="CN97" s="49"/>
      <c r="CR97" s="50"/>
      <c r="CS97" s="50"/>
      <c r="CT97" s="50"/>
      <c r="CU97" s="50"/>
      <c r="CV97" s="50"/>
      <c r="CW97" s="50"/>
      <c r="CX97" s="50"/>
      <c r="CY97" s="50"/>
      <c r="CZ97" s="50"/>
      <c r="DA97" s="49"/>
      <c r="DE97" s="50"/>
      <c r="DF97" s="50"/>
      <c r="DG97" s="50"/>
      <c r="DH97" s="50"/>
      <c r="DI97" s="50"/>
      <c r="DJ97" s="50"/>
      <c r="DK97" s="50"/>
      <c r="DL97" s="50"/>
      <c r="DM97" s="49"/>
    </row>
    <row r="98">
      <c r="B98" s="66"/>
      <c r="C98" s="66"/>
      <c r="D98" s="66"/>
      <c r="E98" s="66"/>
      <c r="F98" s="66"/>
      <c r="G98" s="66"/>
      <c r="H98" s="66"/>
      <c r="I98" s="66"/>
      <c r="J98" s="66"/>
      <c r="V98" s="4"/>
      <c r="W98" s="4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49"/>
      <c r="BT98" s="50"/>
      <c r="BU98" s="50"/>
      <c r="BV98" s="50"/>
      <c r="BW98" s="50"/>
      <c r="BX98" s="50"/>
      <c r="BY98" s="50"/>
      <c r="BZ98" s="50"/>
      <c r="CA98" s="50"/>
      <c r="CB98" s="49"/>
      <c r="CF98" s="50"/>
      <c r="CG98" s="50"/>
      <c r="CH98" s="50"/>
      <c r="CI98" s="50"/>
      <c r="CJ98" s="50"/>
      <c r="CK98" s="50"/>
      <c r="CL98" s="50"/>
      <c r="CM98" s="50"/>
      <c r="CN98" s="49"/>
      <c r="CR98" s="50"/>
      <c r="CS98" s="50"/>
      <c r="CT98" s="50"/>
      <c r="CU98" s="50"/>
      <c r="CV98" s="50"/>
      <c r="CW98" s="50"/>
      <c r="CX98" s="50"/>
      <c r="CY98" s="50"/>
      <c r="CZ98" s="50"/>
      <c r="DA98" s="49"/>
      <c r="DE98" s="50"/>
      <c r="DF98" s="50"/>
      <c r="DG98" s="50"/>
      <c r="DH98" s="50"/>
      <c r="DI98" s="50"/>
      <c r="DJ98" s="50"/>
      <c r="DK98" s="50"/>
      <c r="DL98" s="50"/>
      <c r="DM98" s="49"/>
    </row>
    <row r="99">
      <c r="B99" s="66"/>
      <c r="C99" s="66"/>
      <c r="D99" s="66"/>
      <c r="E99" s="66"/>
      <c r="F99" s="66"/>
      <c r="G99" s="66"/>
      <c r="H99" s="66"/>
      <c r="I99" s="66"/>
      <c r="J99" s="66"/>
      <c r="V99" s="4"/>
      <c r="W99" s="4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49"/>
      <c r="BT99" s="50"/>
      <c r="BU99" s="50"/>
      <c r="BV99" s="50"/>
      <c r="BW99" s="50"/>
      <c r="BX99" s="50"/>
      <c r="BY99" s="50"/>
      <c r="BZ99" s="50"/>
      <c r="CA99" s="50"/>
      <c r="CB99" s="49"/>
      <c r="CF99" s="50"/>
      <c r="CG99" s="50"/>
      <c r="CH99" s="50"/>
      <c r="CI99" s="50"/>
      <c r="CJ99" s="50"/>
      <c r="CK99" s="50"/>
      <c r="CL99" s="50"/>
      <c r="CM99" s="50"/>
      <c r="CN99" s="49"/>
      <c r="CR99" s="50"/>
      <c r="CS99" s="50"/>
      <c r="CT99" s="50"/>
      <c r="CU99" s="50"/>
      <c r="CV99" s="50"/>
      <c r="CW99" s="50"/>
      <c r="CX99" s="50"/>
      <c r="CY99" s="50"/>
      <c r="CZ99" s="50"/>
      <c r="DA99" s="49"/>
      <c r="DE99" s="50"/>
      <c r="DF99" s="50"/>
      <c r="DG99" s="50"/>
      <c r="DH99" s="50"/>
      <c r="DI99" s="50"/>
      <c r="DJ99" s="50"/>
      <c r="DK99" s="50"/>
      <c r="DL99" s="50"/>
      <c r="DM99" s="49"/>
    </row>
    <row r="100">
      <c r="A100" s="56" t="s">
        <v>1222</v>
      </c>
      <c r="B100" s="56" t="s">
        <v>232</v>
      </c>
      <c r="C100" s="56" t="s">
        <v>233</v>
      </c>
      <c r="D100" s="56" t="s">
        <v>234</v>
      </c>
      <c r="E100" s="56" t="s">
        <v>235</v>
      </c>
      <c r="F100" s="56" t="s">
        <v>236</v>
      </c>
      <c r="G100" s="56" t="s">
        <v>237</v>
      </c>
      <c r="H100" s="56" t="s">
        <v>238</v>
      </c>
      <c r="I100" s="56" t="s">
        <v>239</v>
      </c>
      <c r="J100" s="56" t="s">
        <v>240</v>
      </c>
      <c r="K100" s="56" t="s">
        <v>241</v>
      </c>
      <c r="L100" s="56" t="s">
        <v>242</v>
      </c>
      <c r="M100" s="56" t="s">
        <v>243</v>
      </c>
      <c r="N100" s="56" t="s">
        <v>244</v>
      </c>
      <c r="O100" s="56" t="s">
        <v>245</v>
      </c>
      <c r="P100" s="56" t="s">
        <v>246</v>
      </c>
      <c r="Q100" s="56" t="s">
        <v>247</v>
      </c>
      <c r="R100" s="56" t="s">
        <v>248</v>
      </c>
      <c r="S100" s="56" t="s">
        <v>249</v>
      </c>
      <c r="T100" s="56" t="s">
        <v>250</v>
      </c>
      <c r="U100" s="56" t="s">
        <v>251</v>
      </c>
      <c r="V100" s="4"/>
      <c r="W100" s="4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49"/>
      <c r="BU100" s="50"/>
      <c r="BV100" s="50"/>
      <c r="BW100" s="50"/>
      <c r="BX100" s="50"/>
      <c r="BY100" s="50"/>
      <c r="BZ100" s="50"/>
      <c r="CA100" s="50"/>
      <c r="CB100" s="49"/>
      <c r="CF100" s="50"/>
      <c r="CG100" s="50"/>
      <c r="CH100" s="50"/>
      <c r="CI100" s="50"/>
      <c r="CJ100" s="50"/>
      <c r="CK100" s="50"/>
      <c r="CL100" s="50"/>
      <c r="CM100" s="50"/>
      <c r="CN100" s="49"/>
      <c r="CR100" s="50"/>
      <c r="CS100" s="50"/>
      <c r="CT100" s="50"/>
      <c r="CU100" s="50"/>
      <c r="CV100" s="50"/>
      <c r="CW100" s="50"/>
      <c r="CX100" s="50"/>
      <c r="CY100" s="50"/>
      <c r="CZ100" s="50"/>
      <c r="DA100" s="49"/>
      <c r="DE100" s="50"/>
      <c r="DF100" s="50"/>
      <c r="DG100" s="50"/>
      <c r="DH100" s="50"/>
      <c r="DI100" s="50"/>
      <c r="DJ100" s="50"/>
      <c r="DK100" s="50"/>
      <c r="DL100" s="50"/>
      <c r="DM100" s="49"/>
    </row>
    <row r="101">
      <c r="A101" s="56" t="s">
        <v>1223</v>
      </c>
      <c r="B101" s="56" t="s">
        <v>1224</v>
      </c>
      <c r="C101" s="56" t="s">
        <v>1225</v>
      </c>
      <c r="D101" s="56" t="s">
        <v>1226</v>
      </c>
      <c r="E101" s="56" t="s">
        <v>1227</v>
      </c>
      <c r="F101" s="56" t="s">
        <v>1228</v>
      </c>
      <c r="G101" s="56" t="s">
        <v>1229</v>
      </c>
      <c r="H101" s="56" t="s">
        <v>1230</v>
      </c>
      <c r="I101" s="56" t="s">
        <v>1231</v>
      </c>
      <c r="J101" s="56" t="s">
        <v>1232</v>
      </c>
      <c r="K101" s="56" t="s">
        <v>1233</v>
      </c>
      <c r="L101" s="56" t="s">
        <v>1234</v>
      </c>
      <c r="M101" s="56" t="s">
        <v>1235</v>
      </c>
      <c r="N101" s="56" t="s">
        <v>1236</v>
      </c>
      <c r="O101" s="56" t="s">
        <v>1237</v>
      </c>
      <c r="P101" s="56" t="s">
        <v>1238</v>
      </c>
      <c r="Q101" s="56" t="s">
        <v>1239</v>
      </c>
      <c r="R101" s="56" t="s">
        <v>1240</v>
      </c>
      <c r="S101" s="56" t="s">
        <v>1241</v>
      </c>
      <c r="T101" s="56" t="s">
        <v>1242</v>
      </c>
      <c r="U101" s="56" t="s">
        <v>1243</v>
      </c>
      <c r="V101" s="4"/>
      <c r="W101" s="4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49"/>
      <c r="BT101" s="50"/>
      <c r="BU101" s="50"/>
      <c r="BV101" s="50"/>
      <c r="BW101" s="50"/>
      <c r="BX101" s="50"/>
      <c r="BY101" s="50"/>
      <c r="BZ101" s="50"/>
      <c r="CA101" s="50"/>
      <c r="CB101" s="49"/>
      <c r="CF101" s="50"/>
      <c r="CG101" s="50"/>
      <c r="CH101" s="50"/>
      <c r="CI101" s="50"/>
      <c r="CJ101" s="50"/>
      <c r="CK101" s="50"/>
      <c r="CL101" s="50"/>
      <c r="CM101" s="50"/>
      <c r="CN101" s="49"/>
      <c r="CR101" s="50"/>
      <c r="CS101" s="50"/>
      <c r="CT101" s="50"/>
      <c r="CU101" s="50"/>
      <c r="CV101" s="50"/>
      <c r="CW101" s="50"/>
      <c r="CX101" s="50"/>
      <c r="CY101" s="50"/>
      <c r="CZ101" s="50"/>
      <c r="DA101" s="49"/>
      <c r="DE101" s="50"/>
      <c r="DF101" s="50"/>
      <c r="DG101" s="50"/>
      <c r="DH101" s="50"/>
      <c r="DI101" s="50"/>
      <c r="DJ101" s="50"/>
      <c r="DK101" s="50"/>
      <c r="DL101" s="50"/>
      <c r="DM101" s="49"/>
    </row>
    <row r="102">
      <c r="A102" s="56" t="s">
        <v>1244</v>
      </c>
      <c r="B102" s="56" t="s">
        <v>1245</v>
      </c>
      <c r="C102" s="56" t="s">
        <v>1246</v>
      </c>
      <c r="D102" s="56" t="s">
        <v>1247</v>
      </c>
      <c r="E102" s="56" t="s">
        <v>1248</v>
      </c>
      <c r="F102" s="56" t="s">
        <v>1249</v>
      </c>
      <c r="G102" s="60" t="s">
        <v>1250</v>
      </c>
      <c r="H102" s="56" t="s">
        <v>1251</v>
      </c>
      <c r="I102" s="56" t="s">
        <v>1252</v>
      </c>
      <c r="J102" s="56" t="s">
        <v>1253</v>
      </c>
      <c r="K102" s="56" t="s">
        <v>1254</v>
      </c>
      <c r="L102" s="56" t="s">
        <v>1255</v>
      </c>
      <c r="M102" s="56" t="s">
        <v>1256</v>
      </c>
      <c r="N102" s="56" t="s">
        <v>1257</v>
      </c>
      <c r="O102" s="56" t="s">
        <v>1258</v>
      </c>
      <c r="P102" s="56" t="s">
        <v>1259</v>
      </c>
      <c r="Q102" s="56" t="s">
        <v>1260</v>
      </c>
      <c r="R102" s="56" t="s">
        <v>1261</v>
      </c>
      <c r="S102" s="56" t="s">
        <v>1262</v>
      </c>
      <c r="T102" s="56" t="s">
        <v>1263</v>
      </c>
      <c r="U102" s="56" t="s">
        <v>1264</v>
      </c>
      <c r="V102" s="4"/>
      <c r="W102" s="4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49"/>
      <c r="BT102" s="50"/>
      <c r="BU102" s="50"/>
      <c r="BV102" s="50"/>
      <c r="BW102" s="50"/>
      <c r="BX102" s="50"/>
      <c r="BY102" s="50"/>
      <c r="BZ102" s="50"/>
      <c r="CA102" s="50"/>
      <c r="CB102" s="49"/>
      <c r="CF102" s="50"/>
      <c r="CG102" s="50"/>
      <c r="CH102" s="50"/>
      <c r="CI102" s="50"/>
      <c r="CJ102" s="50"/>
      <c r="CK102" s="50"/>
      <c r="CL102" s="50"/>
      <c r="CM102" s="50"/>
      <c r="CN102" s="49"/>
      <c r="CR102" s="50"/>
      <c r="CS102" s="50"/>
      <c r="CT102" s="50"/>
      <c r="CU102" s="50"/>
      <c r="CV102" s="50"/>
      <c r="CW102" s="50"/>
      <c r="CX102" s="50"/>
      <c r="CY102" s="50"/>
      <c r="CZ102" s="50"/>
      <c r="DA102" s="49"/>
      <c r="DE102" s="50"/>
      <c r="DF102" s="50"/>
      <c r="DG102" s="50"/>
      <c r="DH102" s="50"/>
      <c r="DI102" s="50"/>
      <c r="DJ102" s="50"/>
      <c r="DK102" s="50"/>
      <c r="DL102" s="50"/>
      <c r="DM102" s="49"/>
    </row>
    <row r="103">
      <c r="A103" s="56" t="s">
        <v>1265</v>
      </c>
      <c r="B103" s="56" t="s">
        <v>1266</v>
      </c>
      <c r="C103" s="56" t="s">
        <v>1267</v>
      </c>
      <c r="D103" s="56" t="s">
        <v>1268</v>
      </c>
      <c r="E103" s="56" t="s">
        <v>1269</v>
      </c>
      <c r="F103" s="56" t="s">
        <v>1270</v>
      </c>
      <c r="G103" s="60" t="s">
        <v>1271</v>
      </c>
      <c r="H103" s="56" t="s">
        <v>1272</v>
      </c>
      <c r="I103" s="56" t="s">
        <v>1273</v>
      </c>
      <c r="J103" s="56" t="s">
        <v>1274</v>
      </c>
      <c r="K103" s="56" t="s">
        <v>1275</v>
      </c>
      <c r="L103" s="56" t="s">
        <v>1276</v>
      </c>
      <c r="M103" s="56" t="s">
        <v>1277</v>
      </c>
      <c r="N103" s="56" t="s">
        <v>1278</v>
      </c>
      <c r="O103" s="56" t="s">
        <v>1279</v>
      </c>
      <c r="P103" s="56" t="s">
        <v>1280</v>
      </c>
      <c r="Q103" s="56" t="s">
        <v>1281</v>
      </c>
      <c r="R103" s="56" t="s">
        <v>1282</v>
      </c>
      <c r="S103" s="56" t="s">
        <v>1283</v>
      </c>
      <c r="T103" s="56" t="s">
        <v>1284</v>
      </c>
      <c r="U103" s="56" t="s">
        <v>1285</v>
      </c>
      <c r="V103" s="4"/>
      <c r="W103" s="4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49"/>
      <c r="BS103" s="50"/>
      <c r="BT103" s="50"/>
      <c r="BU103" s="50"/>
      <c r="BV103" s="50"/>
      <c r="BW103" s="50"/>
      <c r="BX103" s="50"/>
      <c r="BY103" s="50"/>
      <c r="BZ103" s="50"/>
      <c r="CA103" s="50"/>
      <c r="CB103" s="49"/>
      <c r="CF103" s="50"/>
      <c r="CG103" s="50"/>
      <c r="CH103" s="50"/>
      <c r="CI103" s="50"/>
      <c r="CJ103" s="50"/>
      <c r="CK103" s="50"/>
      <c r="CL103" s="50"/>
      <c r="CM103" s="50"/>
      <c r="CN103" s="49"/>
      <c r="CR103" s="50"/>
      <c r="CS103" s="50"/>
      <c r="CT103" s="50"/>
      <c r="CU103" s="50"/>
      <c r="CV103" s="50"/>
      <c r="CW103" s="50"/>
      <c r="CX103" s="50"/>
      <c r="CY103" s="50"/>
      <c r="CZ103" s="50"/>
      <c r="DA103" s="49"/>
      <c r="DE103" s="50"/>
      <c r="DF103" s="50"/>
      <c r="DG103" s="50"/>
      <c r="DH103" s="50"/>
      <c r="DI103" s="50"/>
      <c r="DJ103" s="50"/>
      <c r="DK103" s="50"/>
      <c r="DL103" s="50"/>
      <c r="DM103" s="49"/>
    </row>
    <row r="104">
      <c r="A104" s="56" t="s">
        <v>1286</v>
      </c>
      <c r="B104" s="67">
        <v>4.6296296296296294E-5</v>
      </c>
      <c r="C104" s="67">
        <v>6.944444444444444E-5</v>
      </c>
      <c r="D104" s="67">
        <v>1.0416666666666667E-4</v>
      </c>
      <c r="E104" s="67">
        <v>1.273148148148148E-4</v>
      </c>
      <c r="F104" s="68">
        <v>1.6203703703703703E-4</v>
      </c>
      <c r="G104" s="68">
        <v>1.7361111111111112E-4</v>
      </c>
      <c r="H104" s="67">
        <v>2.199074074074074E-4</v>
      </c>
      <c r="I104" s="67">
        <v>2.546296296296296E-4</v>
      </c>
      <c r="J104" s="67">
        <v>2.546296296296296E-4</v>
      </c>
      <c r="K104" s="67">
        <v>2.662037037037037E-4</v>
      </c>
      <c r="L104" s="67">
        <v>3.2407407407407406E-4</v>
      </c>
      <c r="M104" s="67">
        <v>3.125E-4</v>
      </c>
      <c r="N104" s="67">
        <v>3.4722222222222224E-4</v>
      </c>
      <c r="O104" s="67">
        <v>3.7037037037037035E-4</v>
      </c>
      <c r="P104" s="67">
        <v>4.5138888888888887E-4</v>
      </c>
      <c r="Q104" s="67">
        <v>4.976851851851852E-4</v>
      </c>
      <c r="R104" s="67">
        <v>5.208333333333333E-4</v>
      </c>
      <c r="S104" s="67">
        <v>5.555555555555556E-4</v>
      </c>
      <c r="T104" s="67">
        <v>5.671296296296297E-4</v>
      </c>
      <c r="U104" s="67">
        <v>8.564814814814815E-4</v>
      </c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49"/>
      <c r="CF104" s="50"/>
      <c r="CG104" s="50"/>
      <c r="CH104" s="50"/>
      <c r="CI104" s="50"/>
      <c r="CJ104" s="50"/>
      <c r="CK104" s="50"/>
      <c r="CL104" s="50"/>
      <c r="CM104" s="50"/>
      <c r="CN104" s="49"/>
      <c r="CR104" s="50"/>
      <c r="CS104" s="50"/>
      <c r="CT104" s="50"/>
      <c r="CU104" s="50"/>
      <c r="CV104" s="50"/>
      <c r="CW104" s="50"/>
      <c r="CX104" s="50"/>
      <c r="CY104" s="50"/>
      <c r="CZ104" s="50"/>
      <c r="DA104" s="49"/>
      <c r="DE104" s="50"/>
      <c r="DF104" s="50"/>
      <c r="DG104" s="50"/>
      <c r="DH104" s="50"/>
      <c r="DI104" s="50"/>
      <c r="DJ104" s="50"/>
      <c r="DK104" s="50"/>
      <c r="DL104" s="50"/>
      <c r="DM104" s="49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49"/>
      <c r="CG105" s="50"/>
      <c r="CH105" s="50"/>
      <c r="CI105" s="50"/>
      <c r="CJ105" s="50"/>
      <c r="CK105" s="50"/>
      <c r="CL105" s="50"/>
      <c r="CM105" s="50"/>
      <c r="CN105" s="49"/>
      <c r="CR105" s="50"/>
      <c r="CS105" s="50"/>
      <c r="CT105" s="50"/>
      <c r="CU105" s="50"/>
      <c r="CV105" s="50"/>
      <c r="CW105" s="50"/>
      <c r="CX105" s="50"/>
      <c r="CY105" s="50"/>
      <c r="CZ105" s="50"/>
      <c r="DA105" s="49"/>
      <c r="DE105" s="50"/>
      <c r="DF105" s="50"/>
      <c r="DG105" s="50"/>
      <c r="DH105" s="50"/>
      <c r="DI105" s="50"/>
      <c r="DJ105" s="50"/>
      <c r="DK105" s="50"/>
      <c r="DL105" s="50"/>
      <c r="DM105" s="49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49"/>
      <c r="CF106" s="50"/>
      <c r="CG106" s="50"/>
      <c r="CH106" s="50"/>
      <c r="CI106" s="50"/>
      <c r="CJ106" s="50"/>
      <c r="CK106" s="50"/>
      <c r="CL106" s="50"/>
      <c r="CM106" s="50"/>
      <c r="CN106" s="49"/>
      <c r="CR106" s="50"/>
      <c r="CS106" s="50"/>
      <c r="CT106" s="50"/>
      <c r="CU106" s="50"/>
      <c r="CV106" s="50"/>
      <c r="CW106" s="50"/>
      <c r="CX106" s="50"/>
      <c r="CY106" s="50"/>
      <c r="CZ106" s="50"/>
      <c r="DA106" s="49"/>
      <c r="DE106" s="50"/>
      <c r="DF106" s="50"/>
      <c r="DG106" s="50"/>
      <c r="DH106" s="50"/>
      <c r="DI106" s="50"/>
      <c r="DJ106" s="50"/>
      <c r="DK106" s="50"/>
      <c r="DL106" s="50"/>
      <c r="DM106" s="49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49"/>
      <c r="CF107" s="50"/>
      <c r="CG107" s="50"/>
      <c r="CH107" s="50"/>
      <c r="CI107" s="50"/>
      <c r="CJ107" s="50"/>
      <c r="CK107" s="50"/>
      <c r="CL107" s="50"/>
      <c r="CM107" s="50"/>
      <c r="CN107" s="49"/>
      <c r="CR107" s="50"/>
      <c r="CS107" s="50"/>
      <c r="CT107" s="50"/>
      <c r="CU107" s="50"/>
      <c r="CV107" s="50"/>
      <c r="CW107" s="50"/>
      <c r="CX107" s="50"/>
      <c r="CY107" s="50"/>
      <c r="CZ107" s="50"/>
      <c r="DA107" s="49"/>
      <c r="DE107" s="50"/>
      <c r="DF107" s="50"/>
      <c r="DG107" s="50"/>
      <c r="DH107" s="50"/>
      <c r="DI107" s="50"/>
      <c r="DJ107" s="50"/>
      <c r="DK107" s="50"/>
      <c r="DL107" s="50"/>
      <c r="DM107" s="49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49"/>
      <c r="CE108" s="50"/>
      <c r="CF108" s="50"/>
      <c r="CG108" s="50"/>
      <c r="CH108" s="50"/>
      <c r="CI108" s="50"/>
      <c r="CJ108" s="50"/>
      <c r="CK108" s="50"/>
      <c r="CL108" s="50"/>
      <c r="CM108" s="50"/>
      <c r="CN108" s="49"/>
      <c r="CR108" s="50"/>
      <c r="CS108" s="50"/>
      <c r="CT108" s="50"/>
      <c r="CU108" s="50"/>
      <c r="CV108" s="50"/>
      <c r="CW108" s="50"/>
      <c r="CX108" s="50"/>
      <c r="CY108" s="50"/>
      <c r="CZ108" s="50"/>
      <c r="DA108" s="49"/>
      <c r="DE108" s="50"/>
      <c r="DF108" s="50"/>
      <c r="DG108" s="50"/>
      <c r="DH108" s="50"/>
      <c r="DI108" s="50"/>
      <c r="DJ108" s="50"/>
      <c r="DK108" s="50"/>
      <c r="DL108" s="50"/>
      <c r="DM108" s="49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49"/>
      <c r="CR109" s="50"/>
      <c r="CS109" s="50"/>
      <c r="CT109" s="50"/>
      <c r="CU109" s="50"/>
      <c r="CV109" s="50"/>
      <c r="CW109" s="50"/>
      <c r="CX109" s="50"/>
      <c r="CY109" s="50"/>
      <c r="CZ109" s="50"/>
      <c r="DA109" s="49"/>
      <c r="DE109" s="50"/>
      <c r="DF109" s="50"/>
      <c r="DG109" s="50"/>
      <c r="DH109" s="50"/>
      <c r="DI109" s="50"/>
      <c r="DJ109" s="50"/>
      <c r="DK109" s="50"/>
      <c r="DL109" s="50"/>
      <c r="DM109" s="49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49"/>
      <c r="CR110" s="50"/>
      <c r="CS110" s="50"/>
      <c r="CT110" s="50"/>
      <c r="CU110" s="50"/>
      <c r="CV110" s="50"/>
      <c r="CW110" s="50"/>
      <c r="CX110" s="50"/>
      <c r="CY110" s="50"/>
      <c r="CZ110" s="50"/>
      <c r="DA110" s="49"/>
      <c r="DE110" s="50"/>
      <c r="DF110" s="50"/>
      <c r="DG110" s="50"/>
      <c r="DH110" s="50"/>
      <c r="DI110" s="50"/>
      <c r="DJ110" s="50"/>
      <c r="DK110" s="50"/>
      <c r="DL110" s="50"/>
      <c r="DM110" s="49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49"/>
      <c r="CS111" s="50"/>
      <c r="CT111" s="50"/>
      <c r="CU111" s="50"/>
      <c r="CV111" s="50"/>
      <c r="CW111" s="50"/>
      <c r="CX111" s="50"/>
      <c r="CY111" s="50"/>
      <c r="CZ111" s="50"/>
      <c r="DA111" s="49"/>
      <c r="DE111" s="50"/>
      <c r="DF111" s="50"/>
      <c r="DG111" s="50"/>
      <c r="DH111" s="50"/>
      <c r="DI111" s="50"/>
      <c r="DJ111" s="50"/>
      <c r="DK111" s="50"/>
      <c r="DL111" s="50"/>
      <c r="DM111" s="49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49"/>
      <c r="CR112" s="50"/>
      <c r="CS112" s="50"/>
      <c r="CT112" s="50"/>
      <c r="CU112" s="50"/>
      <c r="CV112" s="50"/>
      <c r="CW112" s="50"/>
      <c r="CX112" s="50"/>
      <c r="CY112" s="50"/>
      <c r="CZ112" s="50"/>
      <c r="DA112" s="49"/>
      <c r="DE112" s="50"/>
      <c r="DF112" s="50"/>
      <c r="DG112" s="50"/>
      <c r="DH112" s="50"/>
      <c r="DI112" s="50"/>
      <c r="DJ112" s="50"/>
      <c r="DK112" s="50"/>
      <c r="DL112" s="50"/>
      <c r="DM112" s="49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49"/>
      <c r="CR113" s="50"/>
      <c r="CS113" s="50"/>
      <c r="CT113" s="50"/>
      <c r="CU113" s="50"/>
      <c r="CV113" s="50"/>
      <c r="CW113" s="50"/>
      <c r="CX113" s="50"/>
      <c r="CY113" s="50"/>
      <c r="CZ113" s="50"/>
      <c r="DA113" s="49"/>
      <c r="DE113" s="50"/>
      <c r="DF113" s="50"/>
      <c r="DG113" s="50"/>
      <c r="DH113" s="50"/>
      <c r="DI113" s="50"/>
      <c r="DJ113" s="50"/>
      <c r="DK113" s="50"/>
      <c r="DL113" s="50"/>
      <c r="DM113" s="49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49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49"/>
      <c r="DF114" s="50"/>
      <c r="DG114" s="50"/>
      <c r="DH114" s="50"/>
      <c r="DI114" s="50"/>
      <c r="DJ114" s="50"/>
      <c r="DK114" s="50"/>
      <c r="DL114" s="50"/>
      <c r="DM114" s="49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49"/>
      <c r="DE115" s="50"/>
      <c r="DF115" s="50"/>
      <c r="DG115" s="50"/>
      <c r="DH115" s="50"/>
      <c r="DI115" s="50"/>
      <c r="DJ115" s="50"/>
      <c r="DK115" s="50"/>
      <c r="DL115" s="50"/>
      <c r="DM115" s="49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49"/>
      <c r="DE116" s="50"/>
      <c r="DF116" s="50"/>
      <c r="DG116" s="50"/>
      <c r="DH116" s="50"/>
      <c r="DI116" s="50"/>
      <c r="DJ116" s="50"/>
      <c r="DK116" s="50"/>
      <c r="DL116" s="50"/>
      <c r="DM116" s="49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49"/>
      <c r="DD117" s="50"/>
      <c r="DE117" s="50"/>
      <c r="DF117" s="50"/>
      <c r="DG117" s="50"/>
      <c r="DH117" s="50"/>
      <c r="DI117" s="50"/>
      <c r="DJ117" s="50"/>
      <c r="DK117" s="50"/>
      <c r="DL117" s="50"/>
      <c r="DM117" s="49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49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49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49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49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49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49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49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49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49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49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49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49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49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49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49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49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  <c r="CH134" s="50"/>
      <c r="CI134" s="50"/>
      <c r="CJ134" s="50"/>
      <c r="CK134" s="50"/>
      <c r="CL134" s="50"/>
      <c r="CM134" s="50"/>
      <c r="CN134" s="50"/>
      <c r="CO134" s="50"/>
      <c r="CP134" s="50"/>
      <c r="CQ134" s="50"/>
      <c r="CR134" s="50"/>
      <c r="CS134" s="50"/>
      <c r="CT134" s="50"/>
      <c r="CU134" s="50"/>
      <c r="CV134" s="50"/>
      <c r="CW134" s="50"/>
      <c r="CX134" s="50"/>
      <c r="CY134" s="50"/>
      <c r="CZ134" s="50"/>
      <c r="DA134" s="50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50"/>
      <c r="DM134" s="49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49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49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49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49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49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49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49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  <c r="CH142" s="50"/>
      <c r="CI142" s="50"/>
      <c r="CJ142" s="50"/>
      <c r="CK142" s="50"/>
      <c r="CL142" s="50"/>
      <c r="CM142" s="50"/>
      <c r="CN142" s="50"/>
      <c r="CO142" s="50"/>
      <c r="CP142" s="50"/>
      <c r="CQ142" s="50"/>
      <c r="CR142" s="50"/>
      <c r="CS142" s="50"/>
      <c r="CT142" s="50"/>
      <c r="CU142" s="50"/>
      <c r="CV142" s="50"/>
      <c r="CW142" s="50"/>
      <c r="CX142" s="50"/>
      <c r="CY142" s="50"/>
      <c r="CZ142" s="50"/>
      <c r="DA142" s="50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50"/>
      <c r="DM142" s="49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49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0"/>
      <c r="CK144" s="50"/>
      <c r="CL144" s="50"/>
      <c r="CM144" s="50"/>
      <c r="CN144" s="50"/>
      <c r="CO144" s="50"/>
      <c r="CP144" s="50"/>
      <c r="CQ144" s="50"/>
      <c r="CR144" s="50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49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49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0"/>
      <c r="CK146" s="50"/>
      <c r="CL146" s="50"/>
      <c r="CM146" s="50"/>
      <c r="CN146" s="50"/>
      <c r="CO146" s="50"/>
      <c r="CP146" s="50"/>
      <c r="CQ146" s="50"/>
      <c r="CR146" s="50"/>
      <c r="CS146" s="50"/>
      <c r="CT146" s="50"/>
      <c r="CU146" s="50"/>
      <c r="CV146" s="50"/>
      <c r="CW146" s="50"/>
      <c r="CX146" s="50"/>
      <c r="CY146" s="50"/>
      <c r="CZ146" s="50"/>
      <c r="DA146" s="50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49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49"/>
    </row>
    <row r="148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</row>
    <row r="149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</row>
    <row r="150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  <c r="CW150" s="54"/>
      <c r="CX150" s="54"/>
      <c r="CY150" s="54"/>
      <c r="CZ150" s="54"/>
      <c r="DA150" s="54"/>
      <c r="DB150" s="54"/>
      <c r="DC150" s="54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</row>
    <row r="151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  <c r="CW151" s="54"/>
      <c r="CX151" s="54"/>
      <c r="CY151" s="54"/>
      <c r="CZ151" s="54"/>
      <c r="DA151" s="54"/>
      <c r="DB151" s="54"/>
      <c r="DC151" s="54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</row>
    <row r="15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</row>
    <row r="15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  <c r="CW153" s="54"/>
      <c r="CX153" s="54"/>
      <c r="CY153" s="54"/>
      <c r="CZ153" s="54"/>
      <c r="DA153" s="54"/>
      <c r="DB153" s="54"/>
      <c r="DC153" s="54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</row>
    <row r="154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</row>
    <row r="15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</row>
    <row r="156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</row>
    <row r="157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</row>
    <row r="158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</row>
    <row r="159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</row>
    <row r="160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</row>
    <row r="161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  <c r="CW161" s="54"/>
      <c r="CX161" s="54"/>
      <c r="CY161" s="54"/>
      <c r="CZ161" s="54"/>
      <c r="DA161" s="54"/>
      <c r="DB161" s="54"/>
      <c r="DC161" s="54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</row>
    <row r="16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  <c r="CW162" s="54"/>
      <c r="CX162" s="54"/>
      <c r="CY162" s="54"/>
      <c r="CZ162" s="54"/>
      <c r="DA162" s="54"/>
      <c r="DB162" s="54"/>
      <c r="DC162" s="54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</row>
    <row r="16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  <c r="CW163" s="54"/>
      <c r="CX163" s="54"/>
      <c r="CY163" s="54"/>
      <c r="CZ163" s="54"/>
      <c r="DA163" s="54"/>
      <c r="DB163" s="54"/>
      <c r="DC163" s="54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</row>
    <row r="164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</row>
    <row r="16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</row>
    <row r="166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  <c r="CW166" s="54"/>
      <c r="CX166" s="54"/>
      <c r="CY166" s="54"/>
      <c r="CZ166" s="54"/>
      <c r="DA166" s="54"/>
      <c r="DB166" s="54"/>
      <c r="DC166" s="54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</row>
    <row r="167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  <c r="CW167" s="54"/>
      <c r="CX167" s="54"/>
      <c r="CY167" s="54"/>
      <c r="CZ167" s="54"/>
      <c r="DA167" s="54"/>
      <c r="DB167" s="54"/>
      <c r="DC167" s="54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</row>
    <row r="168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</row>
    <row r="169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/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</row>
    <row r="170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</row>
    <row r="171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</row>
    <row r="17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</row>
    <row r="17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</row>
    <row r="174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</row>
    <row r="17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</row>
    <row r="176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</row>
    <row r="177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</row>
    <row r="178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</row>
    <row r="179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/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</row>
    <row r="180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</row>
    <row r="181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</row>
    <row r="18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</row>
    <row r="18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/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</row>
    <row r="184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</row>
    <row r="18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</row>
    <row r="186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</row>
    <row r="187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</row>
    <row r="188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/>
      <c r="DB188" s="54"/>
      <c r="DC188" s="54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</row>
    <row r="189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</row>
    <row r="190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</row>
    <row r="191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</row>
    <row r="19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</row>
    <row r="19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</row>
    <row r="194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</row>
    <row r="19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</row>
    <row r="196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</row>
    <row r="197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  <c r="CW197" s="54"/>
      <c r="CX197" s="54"/>
      <c r="CY197" s="54"/>
      <c r="CZ197" s="54"/>
      <c r="DA197" s="54"/>
      <c r="DB197" s="54"/>
      <c r="DC197" s="54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</row>
    <row r="198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</row>
    <row r="199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</row>
    <row r="200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</row>
    <row r="201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</row>
    <row r="20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</row>
    <row r="20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</row>
    <row r="204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</row>
    <row r="20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</row>
    <row r="206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</row>
    <row r="207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</row>
    <row r="208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</row>
    <row r="209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</row>
    <row r="210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</row>
    <row r="211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</row>
    <row r="21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</row>
    <row r="21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</row>
    <row r="214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</row>
    <row r="21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</row>
    <row r="216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</row>
    <row r="217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</row>
    <row r="218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</row>
    <row r="219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</row>
    <row r="220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</row>
    <row r="221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</row>
    <row r="22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</row>
    <row r="22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</row>
    <row r="224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</row>
    <row r="2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</row>
    <row r="226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</row>
    <row r="227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</row>
    <row r="228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</row>
    <row r="229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</row>
    <row r="230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</row>
    <row r="231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</row>
    <row r="23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</row>
    <row r="23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</row>
    <row r="234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</row>
    <row r="23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</row>
    <row r="236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  <c r="CW236" s="54"/>
      <c r="CX236" s="54"/>
      <c r="CY236" s="54"/>
      <c r="CZ236" s="54"/>
      <c r="DA236" s="54"/>
      <c r="DB236" s="54"/>
      <c r="DC236" s="54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</row>
    <row r="237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  <c r="CW237" s="54"/>
      <c r="CX237" s="54"/>
      <c r="CY237" s="54"/>
      <c r="CZ237" s="54"/>
      <c r="DA237" s="54"/>
      <c r="DB237" s="54"/>
      <c r="DC237" s="54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</row>
    <row r="238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  <c r="CW238" s="54"/>
      <c r="CX238" s="54"/>
      <c r="CY238" s="54"/>
      <c r="CZ238" s="54"/>
      <c r="DA238" s="54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</row>
    <row r="239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  <c r="CW239" s="54"/>
      <c r="CX239" s="54"/>
      <c r="CY239" s="54"/>
      <c r="CZ239" s="54"/>
      <c r="DA239" s="54"/>
      <c r="DB239" s="54"/>
      <c r="DC239" s="54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</row>
    <row r="240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</row>
    <row r="24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</row>
    <row r="24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</row>
    <row r="24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  <c r="CW243" s="54"/>
      <c r="CX243" s="54"/>
      <c r="CY243" s="54"/>
      <c r="CZ243" s="54"/>
      <c r="DA243" s="54"/>
      <c r="DB243" s="54"/>
      <c r="DC243" s="54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</row>
    <row r="244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</row>
    <row r="24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  <c r="CW245" s="54"/>
      <c r="CX245" s="54"/>
      <c r="CY245" s="54"/>
      <c r="CZ245" s="54"/>
      <c r="DA245" s="54"/>
      <c r="DB245" s="54"/>
      <c r="DC245" s="54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</row>
    <row r="246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/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</row>
    <row r="247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</row>
    <row r="248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  <c r="CW248" s="54"/>
      <c r="CX248" s="54"/>
      <c r="CY248" s="54"/>
      <c r="CZ248" s="54"/>
      <c r="DA248" s="54"/>
      <c r="DB248" s="54"/>
      <c r="DC248" s="54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</row>
    <row r="249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</row>
    <row r="250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  <c r="CW250" s="54"/>
      <c r="CX250" s="54"/>
      <c r="CY250" s="54"/>
      <c r="CZ250" s="54"/>
      <c r="DA250" s="54"/>
      <c r="DB250" s="54"/>
      <c r="DC250" s="54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</row>
    <row r="25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</row>
    <row r="25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</row>
    <row r="25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  <c r="CW253" s="54"/>
      <c r="CX253" s="54"/>
      <c r="CY253" s="54"/>
      <c r="CZ253" s="54"/>
      <c r="DA253" s="54"/>
      <c r="DB253" s="54"/>
      <c r="DC253" s="54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</row>
    <row r="254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</row>
    <row r="25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</row>
    <row r="256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</row>
    <row r="257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</row>
    <row r="258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</row>
    <row r="259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</row>
    <row r="260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</row>
    <row r="26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</row>
    <row r="26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  <c r="CW262" s="54"/>
      <c r="CX262" s="54"/>
      <c r="CY262" s="54"/>
      <c r="CZ262" s="54"/>
      <c r="DA262" s="54"/>
      <c r="DB262" s="54"/>
      <c r="DC262" s="54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</row>
    <row r="26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/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</row>
    <row r="264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</row>
    <row r="26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</row>
    <row r="266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</row>
    <row r="267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  <c r="CW267" s="54"/>
      <c r="CX267" s="54"/>
      <c r="CY267" s="54"/>
      <c r="CZ267" s="54"/>
      <c r="DA267" s="54"/>
      <c r="DB267" s="54"/>
      <c r="DC267" s="54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</row>
    <row r="268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  <c r="CW268" s="54"/>
      <c r="CX268" s="54"/>
      <c r="CY268" s="54"/>
      <c r="CZ268" s="54"/>
      <c r="DA268" s="54"/>
      <c r="DB268" s="54"/>
      <c r="DC268" s="54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</row>
    <row r="269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  <c r="CW269" s="54"/>
      <c r="CX269" s="54"/>
      <c r="CY269" s="54"/>
      <c r="CZ269" s="54"/>
      <c r="DA269" s="54"/>
      <c r="DB269" s="54"/>
      <c r="DC269" s="54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</row>
    <row r="270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  <c r="CW270" s="54"/>
      <c r="CX270" s="54"/>
      <c r="CY270" s="54"/>
      <c r="CZ270" s="54"/>
      <c r="DA270" s="54"/>
      <c r="DB270" s="54"/>
      <c r="DC270" s="54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</row>
    <row r="27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  <c r="CW271" s="54"/>
      <c r="CX271" s="54"/>
      <c r="CY271" s="54"/>
      <c r="CZ271" s="54"/>
      <c r="DA271" s="54"/>
      <c r="DB271" s="54"/>
      <c r="DC271" s="54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</row>
    <row r="27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  <c r="CW272" s="54"/>
      <c r="CX272" s="54"/>
      <c r="CY272" s="54"/>
      <c r="CZ272" s="54"/>
      <c r="DA272" s="54"/>
      <c r="DB272" s="54"/>
      <c r="DC272" s="54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</row>
    <row r="27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</row>
    <row r="274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  <c r="CW274" s="54"/>
      <c r="CX274" s="54"/>
      <c r="CY274" s="54"/>
      <c r="CZ274" s="54"/>
      <c r="DA274" s="54"/>
      <c r="DB274" s="54"/>
      <c r="DC274" s="54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</row>
    <row r="27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</row>
    <row r="276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  <c r="CW276" s="54"/>
      <c r="CX276" s="54"/>
      <c r="CY276" s="54"/>
      <c r="CZ276" s="54"/>
      <c r="DA276" s="54"/>
      <c r="DB276" s="54"/>
      <c r="DC276" s="54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</row>
    <row r="277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  <c r="CW277" s="54"/>
      <c r="CX277" s="54"/>
      <c r="CY277" s="54"/>
      <c r="CZ277" s="54"/>
      <c r="DA277" s="54"/>
      <c r="DB277" s="54"/>
      <c r="DC277" s="54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</row>
    <row r="278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  <c r="CW278" s="54"/>
      <c r="CX278" s="54"/>
      <c r="CY278" s="54"/>
      <c r="CZ278" s="54"/>
      <c r="DA278" s="54"/>
      <c r="DB278" s="54"/>
      <c r="DC278" s="54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</row>
    <row r="279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  <c r="CW279" s="54"/>
      <c r="CX279" s="54"/>
      <c r="CY279" s="54"/>
      <c r="CZ279" s="54"/>
      <c r="DA279" s="54"/>
      <c r="DB279" s="54"/>
      <c r="DC279" s="54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</row>
    <row r="280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  <c r="CW280" s="54"/>
      <c r="CX280" s="54"/>
      <c r="CY280" s="54"/>
      <c r="CZ280" s="54"/>
      <c r="DA280" s="54"/>
      <c r="DB280" s="54"/>
      <c r="DC280" s="54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</row>
    <row r="28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  <c r="CW281" s="54"/>
      <c r="CX281" s="54"/>
      <c r="CY281" s="54"/>
      <c r="CZ281" s="54"/>
      <c r="DA281" s="54"/>
      <c r="DB281" s="54"/>
      <c r="DC281" s="54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</row>
    <row r="28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  <c r="CW282" s="54"/>
      <c r="CX282" s="54"/>
      <c r="CY282" s="54"/>
      <c r="CZ282" s="54"/>
      <c r="DA282" s="54"/>
      <c r="DB282" s="54"/>
      <c r="DC282" s="54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</row>
    <row r="28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</row>
    <row r="284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</row>
    <row r="28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</row>
    <row r="286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  <c r="CW286" s="54"/>
      <c r="CX286" s="54"/>
      <c r="CY286" s="54"/>
      <c r="CZ286" s="54"/>
      <c r="DA286" s="54"/>
      <c r="DB286" s="54"/>
      <c r="DC286" s="54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</row>
    <row r="287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  <c r="CW287" s="54"/>
      <c r="CX287" s="54"/>
      <c r="CY287" s="54"/>
      <c r="CZ287" s="54"/>
      <c r="DA287" s="54"/>
      <c r="DB287" s="54"/>
      <c r="DC287" s="54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</row>
    <row r="288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</row>
    <row r="289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</row>
    <row r="290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</row>
    <row r="29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</row>
    <row r="29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</row>
    <row r="29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</row>
    <row r="294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</row>
    <row r="29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</row>
    <row r="296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</row>
    <row r="297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</row>
    <row r="298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</row>
    <row r="299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</row>
    <row r="300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</row>
    <row r="30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</row>
    <row r="30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</row>
    <row r="30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</row>
    <row r="304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</row>
    <row r="30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</row>
    <row r="306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</row>
    <row r="307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</row>
    <row r="308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</row>
    <row r="309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</row>
    <row r="310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</row>
    <row r="31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</row>
    <row r="31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</row>
    <row r="31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</row>
    <row r="314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</row>
    <row r="31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</row>
    <row r="316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</row>
    <row r="317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</row>
    <row r="318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</row>
    <row r="319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</row>
    <row r="320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</row>
    <row r="32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</row>
    <row r="32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</row>
    <row r="32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</row>
    <row r="324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</row>
    <row r="3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</row>
    <row r="326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</row>
    <row r="327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</row>
    <row r="328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</row>
    <row r="329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</row>
    <row r="330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</row>
    <row r="33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</row>
    <row r="33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</row>
    <row r="33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</row>
    <row r="33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</row>
    <row r="33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</row>
    <row r="336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</row>
    <row r="337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</row>
    <row r="338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</row>
    <row r="339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</row>
    <row r="340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</row>
    <row r="34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</row>
    <row r="34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</row>
    <row r="34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</row>
    <row r="344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</row>
    <row r="34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</row>
    <row r="346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</row>
    <row r="347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</row>
    <row r="348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</row>
    <row r="349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</row>
    <row r="350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</row>
    <row r="35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</row>
    <row r="35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</row>
    <row r="35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</row>
    <row r="354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</row>
    <row r="35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</row>
    <row r="356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</row>
    <row r="357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</row>
    <row r="358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</row>
    <row r="359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</row>
    <row r="360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</row>
    <row r="36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</row>
    <row r="36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</row>
    <row r="36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</row>
    <row r="364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</row>
    <row r="36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</row>
    <row r="366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</row>
    <row r="367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</row>
    <row r="368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</row>
    <row r="369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</row>
    <row r="370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</row>
    <row r="37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</row>
    <row r="37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</row>
    <row r="37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</row>
    <row r="374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</row>
    <row r="37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</row>
    <row r="376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</row>
    <row r="377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</row>
    <row r="378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</row>
    <row r="379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</row>
    <row r="380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</row>
    <row r="38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</row>
    <row r="38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</row>
    <row r="38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</row>
    <row r="384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</row>
    <row r="38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</row>
    <row r="386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</row>
    <row r="387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</row>
    <row r="388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</row>
    <row r="389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</row>
    <row r="390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</row>
    <row r="39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</row>
    <row r="39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</row>
    <row r="39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</row>
    <row r="394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</row>
    <row r="39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</row>
    <row r="396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</row>
    <row r="397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</row>
    <row r="398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</row>
    <row r="399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</row>
    <row r="400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</row>
    <row r="40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</row>
    <row r="40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</row>
    <row r="40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</row>
    <row r="404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</row>
    <row r="40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</row>
    <row r="406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</row>
    <row r="407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</row>
    <row r="408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</row>
    <row r="409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</row>
    <row r="410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</row>
    <row r="41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</row>
    <row r="41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</row>
    <row r="41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</row>
    <row r="414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</row>
    <row r="41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</row>
    <row r="416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</row>
    <row r="417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</row>
    <row r="418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</row>
    <row r="419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</row>
    <row r="420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</row>
    <row r="42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</row>
    <row r="42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</row>
    <row r="42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</row>
    <row r="424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</row>
    <row r="4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</row>
    <row r="426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</row>
    <row r="427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</row>
    <row r="428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</row>
    <row r="429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</row>
    <row r="430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</row>
    <row r="43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</row>
    <row r="43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</row>
    <row r="43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</row>
    <row r="434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</row>
    <row r="43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</row>
    <row r="436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</row>
    <row r="437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</row>
    <row r="438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</row>
    <row r="439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</row>
    <row r="440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</row>
    <row r="44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</row>
    <row r="44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</row>
    <row r="44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</row>
    <row r="444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</row>
    <row r="44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</row>
    <row r="446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</row>
    <row r="447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</row>
    <row r="448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</row>
    <row r="449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</row>
    <row r="450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</row>
    <row r="45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</row>
    <row r="45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</row>
    <row r="45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</row>
    <row r="454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</row>
    <row r="45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</row>
    <row r="456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</row>
    <row r="457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</row>
    <row r="458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</row>
    <row r="459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</row>
    <row r="460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</row>
    <row r="46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</row>
    <row r="46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</row>
    <row r="46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</row>
    <row r="464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</row>
    <row r="46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</row>
    <row r="466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</row>
    <row r="467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</row>
    <row r="468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</row>
    <row r="469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</row>
    <row r="470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</row>
    <row r="47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</row>
    <row r="47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</row>
    <row r="47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</row>
    <row r="474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</row>
    <row r="47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</row>
    <row r="476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</row>
    <row r="477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</row>
    <row r="478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</row>
    <row r="479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</row>
    <row r="480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</row>
    <row r="48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</row>
    <row r="48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</row>
    <row r="48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</row>
    <row r="484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</row>
    <row r="48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</row>
    <row r="486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</row>
    <row r="487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</row>
    <row r="488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</row>
    <row r="489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</row>
    <row r="490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</row>
    <row r="49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</row>
    <row r="49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</row>
    <row r="49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</row>
    <row r="494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</row>
    <row r="49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</row>
    <row r="496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</row>
    <row r="497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</row>
    <row r="498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</row>
    <row r="499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</row>
    <row r="500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</row>
    <row r="50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</row>
    <row r="50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</row>
    <row r="50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</row>
    <row r="504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</row>
    <row r="50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</row>
    <row r="506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</row>
    <row r="507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</row>
    <row r="508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</row>
    <row r="509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</row>
    <row r="510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</row>
    <row r="51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</row>
    <row r="51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</row>
    <row r="51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</row>
    <row r="514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</row>
    <row r="51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</row>
    <row r="516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</row>
    <row r="517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</row>
    <row r="518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</row>
    <row r="519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</row>
    <row r="520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</row>
    <row r="52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</row>
    <row r="52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</row>
    <row r="52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</row>
    <row r="524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</row>
    <row r="5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</row>
    <row r="526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</row>
    <row r="527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</row>
    <row r="528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</row>
    <row r="529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</row>
    <row r="530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</row>
    <row r="53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</row>
    <row r="53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</row>
    <row r="53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</row>
    <row r="534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</row>
    <row r="53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</row>
    <row r="536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</row>
    <row r="537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</row>
    <row r="538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</row>
    <row r="539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</row>
    <row r="540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</row>
    <row r="54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</row>
    <row r="54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</row>
    <row r="54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</row>
    <row r="544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</row>
    <row r="54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</row>
    <row r="546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</row>
    <row r="547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</row>
    <row r="548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</row>
    <row r="549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</row>
    <row r="550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</row>
    <row r="55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</row>
    <row r="55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</row>
    <row r="55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</row>
    <row r="554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</row>
    <row r="55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</row>
    <row r="556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</row>
    <row r="557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</row>
    <row r="558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</row>
    <row r="559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</row>
    <row r="560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</row>
    <row r="56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</row>
    <row r="56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</row>
    <row r="56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</row>
    <row r="564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</row>
    <row r="56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</row>
    <row r="566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</row>
    <row r="567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</row>
    <row r="568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</row>
    <row r="569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</row>
    <row r="570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</row>
    <row r="57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</row>
    <row r="57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</row>
    <row r="57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</row>
    <row r="574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</row>
    <row r="57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</row>
    <row r="576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</row>
    <row r="577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</row>
    <row r="578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</row>
    <row r="579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</row>
    <row r="580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</row>
    <row r="58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</row>
    <row r="58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</row>
    <row r="58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</row>
    <row r="584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</row>
    <row r="58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</row>
    <row r="586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</row>
    <row r="587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</row>
    <row r="588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</row>
    <row r="589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</row>
    <row r="590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</row>
    <row r="59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</row>
    <row r="59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</row>
    <row r="59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</row>
    <row r="594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</row>
    <row r="59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</row>
    <row r="596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</row>
    <row r="597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</row>
    <row r="598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</row>
    <row r="599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</row>
    <row r="600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</row>
    <row r="60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</row>
    <row r="60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</row>
    <row r="60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</row>
    <row r="604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</row>
    <row r="60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</row>
    <row r="606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</row>
    <row r="607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</row>
    <row r="608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</row>
    <row r="609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</row>
    <row r="610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</row>
    <row r="61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</row>
    <row r="61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</row>
    <row r="61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</row>
    <row r="614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</row>
    <row r="61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</row>
    <row r="616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</row>
    <row r="617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</row>
    <row r="618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</row>
    <row r="619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</row>
    <row r="620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</row>
    <row r="62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</row>
    <row r="62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</row>
    <row r="62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</row>
    <row r="624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</row>
    <row r="6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</row>
    <row r="626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</row>
    <row r="627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</row>
    <row r="628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</row>
    <row r="629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</row>
    <row r="630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</row>
    <row r="63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</row>
    <row r="63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</row>
    <row r="63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</row>
    <row r="634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</row>
    <row r="63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</row>
    <row r="636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</row>
    <row r="637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</row>
    <row r="638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</row>
    <row r="639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</row>
    <row r="640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</row>
    <row r="64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</row>
    <row r="64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</row>
    <row r="64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</row>
    <row r="644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</row>
    <row r="64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</row>
    <row r="646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</row>
    <row r="647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</row>
    <row r="648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</row>
    <row r="649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</row>
    <row r="650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</row>
    <row r="65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</row>
    <row r="65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</row>
    <row r="65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</row>
    <row r="654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</row>
    <row r="65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</row>
    <row r="656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</row>
    <row r="657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</row>
    <row r="658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</row>
    <row r="659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</row>
    <row r="660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</row>
    <row r="66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</row>
    <row r="66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</row>
    <row r="66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</row>
    <row r="664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</row>
    <row r="66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</row>
    <row r="666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</row>
    <row r="667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</row>
    <row r="668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</row>
    <row r="669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</row>
    <row r="670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</row>
    <row r="67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</row>
    <row r="67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</row>
    <row r="67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</row>
    <row r="674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</row>
    <row r="67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</row>
    <row r="676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</row>
    <row r="677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</row>
    <row r="678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</row>
    <row r="679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</row>
    <row r="680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</row>
    <row r="68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</row>
    <row r="68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</row>
    <row r="68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</row>
    <row r="684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</row>
    <row r="68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</row>
    <row r="686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</row>
    <row r="687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</row>
    <row r="688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</row>
    <row r="689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</row>
    <row r="690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</row>
    <row r="69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</row>
    <row r="69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</row>
    <row r="69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</row>
    <row r="694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</row>
    <row r="69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</row>
    <row r="696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</row>
    <row r="697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</row>
    <row r="698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</row>
    <row r="699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</row>
    <row r="700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</row>
    <row r="70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  <c r="CW701" s="54"/>
      <c r="CX701" s="54"/>
      <c r="CY701" s="54"/>
      <c r="CZ701" s="54"/>
      <c r="DA701" s="54"/>
      <c r="DB701" s="54"/>
      <c r="DC701" s="54"/>
      <c r="DD701" s="54"/>
      <c r="DE701" s="54"/>
      <c r="DF701" s="54"/>
      <c r="DG701" s="54"/>
      <c r="DH701" s="54"/>
      <c r="DI701" s="54"/>
      <c r="DJ701" s="54"/>
      <c r="DK701" s="54"/>
      <c r="DL701" s="54"/>
      <c r="DM701" s="54"/>
    </row>
    <row r="702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  <c r="CW702" s="54"/>
      <c r="CX702" s="54"/>
      <c r="CY702" s="54"/>
      <c r="CZ702" s="54"/>
      <c r="DA702" s="54"/>
      <c r="DB702" s="54"/>
      <c r="DC702" s="54"/>
      <c r="DD702" s="54"/>
      <c r="DE702" s="54"/>
      <c r="DF702" s="54"/>
      <c r="DG702" s="54"/>
      <c r="DH702" s="54"/>
      <c r="DI702" s="54"/>
      <c r="DJ702" s="54"/>
      <c r="DK702" s="54"/>
      <c r="DL702" s="54"/>
      <c r="DM702" s="54"/>
    </row>
    <row r="70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  <c r="CW703" s="54"/>
      <c r="CX703" s="54"/>
      <c r="CY703" s="54"/>
      <c r="CZ703" s="54"/>
      <c r="DA703" s="54"/>
      <c r="DB703" s="54"/>
      <c r="DC703" s="54"/>
      <c r="DD703" s="54"/>
      <c r="DE703" s="54"/>
      <c r="DF703" s="54"/>
      <c r="DG703" s="54"/>
      <c r="DH703" s="54"/>
      <c r="DI703" s="54"/>
      <c r="DJ703" s="54"/>
      <c r="DK703" s="54"/>
      <c r="DL703" s="54"/>
      <c r="DM703" s="54"/>
    </row>
    <row r="704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  <c r="CW704" s="54"/>
      <c r="CX704" s="54"/>
      <c r="CY704" s="54"/>
      <c r="CZ704" s="54"/>
      <c r="DA704" s="54"/>
      <c r="DB704" s="54"/>
      <c r="DC704" s="54"/>
      <c r="DD704" s="54"/>
      <c r="DE704" s="54"/>
      <c r="DF704" s="54"/>
      <c r="DG704" s="54"/>
      <c r="DH704" s="54"/>
      <c r="DI704" s="54"/>
      <c r="DJ704" s="54"/>
      <c r="DK704" s="54"/>
      <c r="DL704" s="54"/>
      <c r="DM704" s="54"/>
    </row>
    <row r="70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  <c r="CW705" s="54"/>
      <c r="CX705" s="54"/>
      <c r="CY705" s="54"/>
      <c r="CZ705" s="54"/>
      <c r="DA705" s="54"/>
      <c r="DB705" s="54"/>
      <c r="DC705" s="54"/>
      <c r="DD705" s="54"/>
      <c r="DE705" s="54"/>
      <c r="DF705" s="54"/>
      <c r="DG705" s="54"/>
      <c r="DH705" s="54"/>
      <c r="DI705" s="54"/>
      <c r="DJ705" s="54"/>
      <c r="DK705" s="54"/>
      <c r="DL705" s="54"/>
      <c r="DM705" s="54"/>
    </row>
    <row r="706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  <c r="CW706" s="54"/>
      <c r="CX706" s="54"/>
      <c r="CY706" s="54"/>
      <c r="CZ706" s="54"/>
      <c r="DA706" s="54"/>
      <c r="DB706" s="54"/>
      <c r="DC706" s="54"/>
      <c r="DD706" s="54"/>
      <c r="DE706" s="54"/>
      <c r="DF706" s="54"/>
      <c r="DG706" s="54"/>
      <c r="DH706" s="54"/>
      <c r="DI706" s="54"/>
      <c r="DJ706" s="54"/>
      <c r="DK706" s="54"/>
      <c r="DL706" s="54"/>
      <c r="DM706" s="54"/>
    </row>
    <row r="707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  <c r="CW707" s="54"/>
      <c r="CX707" s="54"/>
      <c r="CY707" s="54"/>
      <c r="CZ707" s="54"/>
      <c r="DA707" s="54"/>
      <c r="DB707" s="54"/>
      <c r="DC707" s="54"/>
      <c r="DD707" s="54"/>
      <c r="DE707" s="54"/>
      <c r="DF707" s="54"/>
      <c r="DG707" s="54"/>
      <c r="DH707" s="54"/>
      <c r="DI707" s="54"/>
      <c r="DJ707" s="54"/>
      <c r="DK707" s="54"/>
      <c r="DL707" s="54"/>
      <c r="DM707" s="54"/>
    </row>
    <row r="708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  <c r="CW708" s="54"/>
      <c r="CX708" s="54"/>
      <c r="CY708" s="54"/>
      <c r="CZ708" s="54"/>
      <c r="DA708" s="54"/>
      <c r="DB708" s="54"/>
      <c r="DC708" s="54"/>
      <c r="DD708" s="54"/>
      <c r="DE708" s="54"/>
      <c r="DF708" s="54"/>
      <c r="DG708" s="54"/>
      <c r="DH708" s="54"/>
      <c r="DI708" s="54"/>
      <c r="DJ708" s="54"/>
      <c r="DK708" s="54"/>
      <c r="DL708" s="54"/>
      <c r="DM708" s="54"/>
    </row>
    <row r="709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  <c r="CW709" s="54"/>
      <c r="CX709" s="54"/>
      <c r="CY709" s="54"/>
      <c r="CZ709" s="54"/>
      <c r="DA709" s="54"/>
      <c r="DB709" s="54"/>
      <c r="DC709" s="54"/>
      <c r="DD709" s="54"/>
      <c r="DE709" s="54"/>
      <c r="DF709" s="54"/>
      <c r="DG709" s="54"/>
      <c r="DH709" s="54"/>
      <c r="DI709" s="54"/>
      <c r="DJ709" s="54"/>
      <c r="DK709" s="54"/>
      <c r="DL709" s="54"/>
      <c r="DM709" s="54"/>
    </row>
    <row r="710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  <c r="CW710" s="54"/>
      <c r="CX710" s="54"/>
      <c r="CY710" s="54"/>
      <c r="CZ710" s="54"/>
      <c r="DA710" s="54"/>
      <c r="DB710" s="54"/>
      <c r="DC710" s="54"/>
      <c r="DD710" s="54"/>
      <c r="DE710" s="54"/>
      <c r="DF710" s="54"/>
      <c r="DG710" s="54"/>
      <c r="DH710" s="54"/>
      <c r="DI710" s="54"/>
      <c r="DJ710" s="54"/>
      <c r="DK710" s="54"/>
      <c r="DL710" s="54"/>
      <c r="DM710" s="54"/>
    </row>
    <row r="71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  <c r="CW711" s="54"/>
      <c r="CX711" s="54"/>
      <c r="CY711" s="54"/>
      <c r="CZ711" s="54"/>
      <c r="DA711" s="54"/>
      <c r="DB711" s="54"/>
      <c r="DC711" s="54"/>
      <c r="DD711" s="54"/>
      <c r="DE711" s="54"/>
      <c r="DF711" s="54"/>
      <c r="DG711" s="54"/>
      <c r="DH711" s="54"/>
      <c r="DI711" s="54"/>
      <c r="DJ711" s="54"/>
      <c r="DK711" s="54"/>
      <c r="DL711" s="54"/>
      <c r="DM711" s="54"/>
    </row>
    <row r="712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  <c r="CW712" s="54"/>
      <c r="CX712" s="54"/>
      <c r="CY712" s="54"/>
      <c r="CZ712" s="54"/>
      <c r="DA712" s="54"/>
      <c r="DB712" s="54"/>
      <c r="DC712" s="54"/>
      <c r="DD712" s="54"/>
      <c r="DE712" s="54"/>
      <c r="DF712" s="54"/>
      <c r="DG712" s="54"/>
      <c r="DH712" s="54"/>
      <c r="DI712" s="54"/>
      <c r="DJ712" s="54"/>
      <c r="DK712" s="54"/>
      <c r="DL712" s="54"/>
      <c r="DM712" s="54"/>
    </row>
    <row r="71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  <c r="CW713" s="54"/>
      <c r="CX713" s="54"/>
      <c r="CY713" s="54"/>
      <c r="CZ713" s="54"/>
      <c r="DA713" s="54"/>
      <c r="DB713" s="54"/>
      <c r="DC713" s="54"/>
      <c r="DD713" s="54"/>
      <c r="DE713" s="54"/>
      <c r="DF713" s="54"/>
      <c r="DG713" s="54"/>
      <c r="DH713" s="54"/>
      <c r="DI713" s="54"/>
      <c r="DJ713" s="54"/>
      <c r="DK713" s="54"/>
      <c r="DL713" s="54"/>
      <c r="DM713" s="54"/>
    </row>
    <row r="714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  <c r="CW714" s="54"/>
      <c r="CX714" s="54"/>
      <c r="CY714" s="54"/>
      <c r="CZ714" s="54"/>
      <c r="DA714" s="54"/>
      <c r="DB714" s="54"/>
      <c r="DC714" s="54"/>
      <c r="DD714" s="54"/>
      <c r="DE714" s="54"/>
      <c r="DF714" s="54"/>
      <c r="DG714" s="54"/>
      <c r="DH714" s="54"/>
      <c r="DI714" s="54"/>
      <c r="DJ714" s="54"/>
      <c r="DK714" s="54"/>
      <c r="DL714" s="54"/>
      <c r="DM714" s="54"/>
    </row>
    <row r="71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  <c r="CW715" s="54"/>
      <c r="CX715" s="54"/>
      <c r="CY715" s="54"/>
      <c r="CZ715" s="54"/>
      <c r="DA715" s="54"/>
      <c r="DB715" s="54"/>
      <c r="DC715" s="54"/>
      <c r="DD715" s="54"/>
      <c r="DE715" s="54"/>
      <c r="DF715" s="54"/>
      <c r="DG715" s="54"/>
      <c r="DH715" s="54"/>
      <c r="DI715" s="54"/>
      <c r="DJ715" s="54"/>
      <c r="DK715" s="54"/>
      <c r="DL715" s="54"/>
      <c r="DM715" s="54"/>
    </row>
    <row r="716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  <c r="CW716" s="54"/>
      <c r="CX716" s="54"/>
      <c r="CY716" s="54"/>
      <c r="CZ716" s="54"/>
      <c r="DA716" s="54"/>
      <c r="DB716" s="54"/>
      <c r="DC716" s="54"/>
      <c r="DD716" s="54"/>
      <c r="DE716" s="54"/>
      <c r="DF716" s="54"/>
      <c r="DG716" s="54"/>
      <c r="DH716" s="54"/>
      <c r="DI716" s="54"/>
      <c r="DJ716" s="54"/>
      <c r="DK716" s="54"/>
      <c r="DL716" s="54"/>
      <c r="DM716" s="54"/>
    </row>
    <row r="717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  <c r="CW717" s="54"/>
      <c r="CX717" s="54"/>
      <c r="CY717" s="54"/>
      <c r="CZ717" s="54"/>
      <c r="DA717" s="54"/>
      <c r="DB717" s="54"/>
      <c r="DC717" s="54"/>
      <c r="DD717" s="54"/>
      <c r="DE717" s="54"/>
      <c r="DF717" s="54"/>
      <c r="DG717" s="54"/>
      <c r="DH717" s="54"/>
      <c r="DI717" s="54"/>
      <c r="DJ717" s="54"/>
      <c r="DK717" s="54"/>
      <c r="DL717" s="54"/>
      <c r="DM717" s="54"/>
    </row>
    <row r="718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  <c r="CW718" s="54"/>
      <c r="CX718" s="54"/>
      <c r="CY718" s="54"/>
      <c r="CZ718" s="54"/>
      <c r="DA718" s="54"/>
      <c r="DB718" s="54"/>
      <c r="DC718" s="54"/>
      <c r="DD718" s="54"/>
      <c r="DE718" s="54"/>
      <c r="DF718" s="54"/>
      <c r="DG718" s="54"/>
      <c r="DH718" s="54"/>
      <c r="DI718" s="54"/>
      <c r="DJ718" s="54"/>
      <c r="DK718" s="54"/>
      <c r="DL718" s="54"/>
      <c r="DM718" s="54"/>
    </row>
    <row r="719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  <c r="CW719" s="54"/>
      <c r="CX719" s="54"/>
      <c r="CY719" s="54"/>
      <c r="CZ719" s="54"/>
      <c r="DA719" s="54"/>
      <c r="DB719" s="54"/>
      <c r="DC719" s="54"/>
      <c r="DD719" s="54"/>
      <c r="DE719" s="54"/>
      <c r="DF719" s="54"/>
      <c r="DG719" s="54"/>
      <c r="DH719" s="54"/>
      <c r="DI719" s="54"/>
      <c r="DJ719" s="54"/>
      <c r="DK719" s="54"/>
      <c r="DL719" s="54"/>
      <c r="DM719" s="54"/>
    </row>
    <row r="720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  <c r="CW720" s="54"/>
      <c r="CX720" s="54"/>
      <c r="CY720" s="54"/>
      <c r="CZ720" s="54"/>
      <c r="DA720" s="54"/>
      <c r="DB720" s="54"/>
      <c r="DC720" s="54"/>
      <c r="DD720" s="54"/>
      <c r="DE720" s="54"/>
      <c r="DF720" s="54"/>
      <c r="DG720" s="54"/>
      <c r="DH720" s="54"/>
      <c r="DI720" s="54"/>
      <c r="DJ720" s="54"/>
      <c r="DK720" s="54"/>
      <c r="DL720" s="54"/>
      <c r="DM720" s="54"/>
    </row>
    <row r="72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  <c r="CW721" s="54"/>
      <c r="CX721" s="54"/>
      <c r="CY721" s="54"/>
      <c r="CZ721" s="54"/>
      <c r="DA721" s="54"/>
      <c r="DB721" s="54"/>
      <c r="DC721" s="54"/>
      <c r="DD721" s="54"/>
      <c r="DE721" s="54"/>
      <c r="DF721" s="54"/>
      <c r="DG721" s="54"/>
      <c r="DH721" s="54"/>
      <c r="DI721" s="54"/>
      <c r="DJ721" s="54"/>
      <c r="DK721" s="54"/>
      <c r="DL721" s="54"/>
      <c r="DM721" s="54"/>
    </row>
    <row r="722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  <c r="CW722" s="54"/>
      <c r="CX722" s="54"/>
      <c r="CY722" s="54"/>
      <c r="CZ722" s="54"/>
      <c r="DA722" s="54"/>
      <c r="DB722" s="54"/>
      <c r="DC722" s="54"/>
      <c r="DD722" s="54"/>
      <c r="DE722" s="54"/>
      <c r="DF722" s="54"/>
      <c r="DG722" s="54"/>
      <c r="DH722" s="54"/>
      <c r="DI722" s="54"/>
      <c r="DJ722" s="54"/>
      <c r="DK722" s="54"/>
      <c r="DL722" s="54"/>
      <c r="DM722" s="54"/>
    </row>
    <row r="72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  <c r="CW723" s="54"/>
      <c r="CX723" s="54"/>
      <c r="CY723" s="54"/>
      <c r="CZ723" s="54"/>
      <c r="DA723" s="54"/>
      <c r="DB723" s="54"/>
      <c r="DC723" s="54"/>
      <c r="DD723" s="54"/>
      <c r="DE723" s="54"/>
      <c r="DF723" s="54"/>
      <c r="DG723" s="54"/>
      <c r="DH723" s="54"/>
      <c r="DI723" s="54"/>
      <c r="DJ723" s="54"/>
      <c r="DK723" s="54"/>
      <c r="DL723" s="54"/>
      <c r="DM723" s="54"/>
    </row>
    <row r="724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  <c r="CW724" s="54"/>
      <c r="CX724" s="54"/>
      <c r="CY724" s="54"/>
      <c r="CZ724" s="54"/>
      <c r="DA724" s="54"/>
      <c r="DB724" s="54"/>
      <c r="DC724" s="54"/>
      <c r="DD724" s="54"/>
      <c r="DE724" s="54"/>
      <c r="DF724" s="54"/>
      <c r="DG724" s="54"/>
      <c r="DH724" s="54"/>
      <c r="DI724" s="54"/>
      <c r="DJ724" s="54"/>
      <c r="DK724" s="54"/>
      <c r="DL724" s="54"/>
      <c r="DM724" s="54"/>
    </row>
    <row r="7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  <c r="CW725" s="54"/>
      <c r="CX725" s="54"/>
      <c r="CY725" s="54"/>
      <c r="CZ725" s="54"/>
      <c r="DA725" s="54"/>
      <c r="DB725" s="54"/>
      <c r="DC725" s="54"/>
      <c r="DD725" s="54"/>
      <c r="DE725" s="54"/>
      <c r="DF725" s="54"/>
      <c r="DG725" s="54"/>
      <c r="DH725" s="54"/>
      <c r="DI725" s="54"/>
      <c r="DJ725" s="54"/>
      <c r="DK725" s="54"/>
      <c r="DL725" s="54"/>
      <c r="DM725" s="54"/>
    </row>
    <row r="726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  <c r="CW726" s="54"/>
      <c r="CX726" s="54"/>
      <c r="CY726" s="54"/>
      <c r="CZ726" s="54"/>
      <c r="DA726" s="54"/>
      <c r="DB726" s="54"/>
      <c r="DC726" s="54"/>
      <c r="DD726" s="54"/>
      <c r="DE726" s="54"/>
      <c r="DF726" s="54"/>
      <c r="DG726" s="54"/>
      <c r="DH726" s="54"/>
      <c r="DI726" s="54"/>
      <c r="DJ726" s="54"/>
      <c r="DK726" s="54"/>
      <c r="DL726" s="54"/>
      <c r="DM726" s="54"/>
    </row>
    <row r="727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  <c r="CW727" s="54"/>
      <c r="CX727" s="54"/>
      <c r="CY727" s="54"/>
      <c r="CZ727" s="54"/>
      <c r="DA727" s="54"/>
      <c r="DB727" s="54"/>
      <c r="DC727" s="54"/>
      <c r="DD727" s="54"/>
      <c r="DE727" s="54"/>
      <c r="DF727" s="54"/>
      <c r="DG727" s="54"/>
      <c r="DH727" s="54"/>
      <c r="DI727" s="54"/>
      <c r="DJ727" s="54"/>
      <c r="DK727" s="54"/>
      <c r="DL727" s="54"/>
      <c r="DM727" s="54"/>
    </row>
    <row r="728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  <c r="CW728" s="54"/>
      <c r="CX728" s="54"/>
      <c r="CY728" s="54"/>
      <c r="CZ728" s="54"/>
      <c r="DA728" s="54"/>
      <c r="DB728" s="54"/>
      <c r="DC728" s="54"/>
      <c r="DD728" s="54"/>
      <c r="DE728" s="54"/>
      <c r="DF728" s="54"/>
      <c r="DG728" s="54"/>
      <c r="DH728" s="54"/>
      <c r="DI728" s="54"/>
      <c r="DJ728" s="54"/>
      <c r="DK728" s="54"/>
      <c r="DL728" s="54"/>
      <c r="DM728" s="54"/>
    </row>
    <row r="729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  <c r="CW729" s="54"/>
      <c r="CX729" s="54"/>
      <c r="CY729" s="54"/>
      <c r="CZ729" s="54"/>
      <c r="DA729" s="54"/>
      <c r="DB729" s="54"/>
      <c r="DC729" s="54"/>
      <c r="DD729" s="54"/>
      <c r="DE729" s="54"/>
      <c r="DF729" s="54"/>
      <c r="DG729" s="54"/>
      <c r="DH729" s="54"/>
      <c r="DI729" s="54"/>
      <c r="DJ729" s="54"/>
      <c r="DK729" s="54"/>
      <c r="DL729" s="54"/>
      <c r="DM729" s="54"/>
    </row>
    <row r="730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  <c r="CW730" s="54"/>
      <c r="CX730" s="54"/>
      <c r="CY730" s="54"/>
      <c r="CZ730" s="54"/>
      <c r="DA730" s="54"/>
      <c r="DB730" s="54"/>
      <c r="DC730" s="54"/>
      <c r="DD730" s="54"/>
      <c r="DE730" s="54"/>
      <c r="DF730" s="54"/>
      <c r="DG730" s="54"/>
      <c r="DH730" s="54"/>
      <c r="DI730" s="54"/>
      <c r="DJ730" s="54"/>
      <c r="DK730" s="54"/>
      <c r="DL730" s="54"/>
      <c r="DM730" s="54"/>
    </row>
    <row r="73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  <c r="CW731" s="54"/>
      <c r="CX731" s="54"/>
      <c r="CY731" s="54"/>
      <c r="CZ731" s="54"/>
      <c r="DA731" s="54"/>
      <c r="DB731" s="54"/>
      <c r="DC731" s="54"/>
      <c r="DD731" s="54"/>
      <c r="DE731" s="54"/>
      <c r="DF731" s="54"/>
      <c r="DG731" s="54"/>
      <c r="DH731" s="54"/>
      <c r="DI731" s="54"/>
      <c r="DJ731" s="54"/>
      <c r="DK731" s="54"/>
      <c r="DL731" s="54"/>
      <c r="DM731" s="54"/>
    </row>
    <row r="732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  <c r="CW732" s="54"/>
      <c r="CX732" s="54"/>
      <c r="CY732" s="54"/>
      <c r="CZ732" s="54"/>
      <c r="DA732" s="54"/>
      <c r="DB732" s="54"/>
      <c r="DC732" s="54"/>
      <c r="DD732" s="54"/>
      <c r="DE732" s="54"/>
      <c r="DF732" s="54"/>
      <c r="DG732" s="54"/>
      <c r="DH732" s="54"/>
      <c r="DI732" s="54"/>
      <c r="DJ732" s="54"/>
      <c r="DK732" s="54"/>
      <c r="DL732" s="54"/>
      <c r="DM732" s="54"/>
    </row>
    <row r="73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  <c r="CW733" s="54"/>
      <c r="CX733" s="54"/>
      <c r="CY733" s="54"/>
      <c r="CZ733" s="54"/>
      <c r="DA733" s="54"/>
      <c r="DB733" s="54"/>
      <c r="DC733" s="54"/>
      <c r="DD733" s="54"/>
      <c r="DE733" s="54"/>
      <c r="DF733" s="54"/>
      <c r="DG733" s="54"/>
      <c r="DH733" s="54"/>
      <c r="DI733" s="54"/>
      <c r="DJ733" s="54"/>
      <c r="DK733" s="54"/>
      <c r="DL733" s="54"/>
      <c r="DM733" s="54"/>
    </row>
    <row r="734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  <c r="CW734" s="54"/>
      <c r="CX734" s="54"/>
      <c r="CY734" s="54"/>
      <c r="CZ734" s="54"/>
      <c r="DA734" s="54"/>
      <c r="DB734" s="54"/>
      <c r="DC734" s="54"/>
      <c r="DD734" s="54"/>
      <c r="DE734" s="54"/>
      <c r="DF734" s="54"/>
      <c r="DG734" s="54"/>
      <c r="DH734" s="54"/>
      <c r="DI734" s="54"/>
      <c r="DJ734" s="54"/>
      <c r="DK734" s="54"/>
      <c r="DL734" s="54"/>
      <c r="DM734" s="54"/>
    </row>
    <row r="73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  <c r="CW735" s="54"/>
      <c r="CX735" s="54"/>
      <c r="CY735" s="54"/>
      <c r="CZ735" s="54"/>
      <c r="DA735" s="54"/>
      <c r="DB735" s="54"/>
      <c r="DC735" s="54"/>
      <c r="DD735" s="54"/>
      <c r="DE735" s="54"/>
      <c r="DF735" s="54"/>
      <c r="DG735" s="54"/>
      <c r="DH735" s="54"/>
      <c r="DI735" s="54"/>
      <c r="DJ735" s="54"/>
      <c r="DK735" s="54"/>
      <c r="DL735" s="54"/>
      <c r="DM735" s="54"/>
    </row>
    <row r="736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  <c r="CW736" s="54"/>
      <c r="CX736" s="54"/>
      <c r="CY736" s="54"/>
      <c r="CZ736" s="54"/>
      <c r="DA736" s="54"/>
      <c r="DB736" s="54"/>
      <c r="DC736" s="54"/>
      <c r="DD736" s="54"/>
      <c r="DE736" s="54"/>
      <c r="DF736" s="54"/>
      <c r="DG736" s="54"/>
      <c r="DH736" s="54"/>
      <c r="DI736" s="54"/>
      <c r="DJ736" s="54"/>
      <c r="DK736" s="54"/>
      <c r="DL736" s="54"/>
      <c r="DM736" s="54"/>
    </row>
    <row r="737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  <c r="CW737" s="54"/>
      <c r="CX737" s="54"/>
      <c r="CY737" s="54"/>
      <c r="CZ737" s="54"/>
      <c r="DA737" s="54"/>
      <c r="DB737" s="54"/>
      <c r="DC737" s="54"/>
      <c r="DD737" s="54"/>
      <c r="DE737" s="54"/>
      <c r="DF737" s="54"/>
      <c r="DG737" s="54"/>
      <c r="DH737" s="54"/>
      <c r="DI737" s="54"/>
      <c r="DJ737" s="54"/>
      <c r="DK737" s="54"/>
      <c r="DL737" s="54"/>
      <c r="DM737" s="54"/>
    </row>
    <row r="738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  <c r="CW738" s="54"/>
      <c r="CX738" s="54"/>
      <c r="CY738" s="54"/>
      <c r="CZ738" s="54"/>
      <c r="DA738" s="54"/>
      <c r="DB738" s="54"/>
      <c r="DC738" s="54"/>
      <c r="DD738" s="54"/>
      <c r="DE738" s="54"/>
      <c r="DF738" s="54"/>
      <c r="DG738" s="54"/>
      <c r="DH738" s="54"/>
      <c r="DI738" s="54"/>
      <c r="DJ738" s="54"/>
      <c r="DK738" s="54"/>
      <c r="DL738" s="54"/>
      <c r="DM738" s="54"/>
    </row>
    <row r="739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  <c r="CW739" s="54"/>
      <c r="CX739" s="54"/>
      <c r="CY739" s="54"/>
      <c r="CZ739" s="54"/>
      <c r="DA739" s="54"/>
      <c r="DB739" s="54"/>
      <c r="DC739" s="54"/>
      <c r="DD739" s="54"/>
      <c r="DE739" s="54"/>
      <c r="DF739" s="54"/>
      <c r="DG739" s="54"/>
      <c r="DH739" s="54"/>
      <c r="DI739" s="54"/>
      <c r="DJ739" s="54"/>
      <c r="DK739" s="54"/>
      <c r="DL739" s="54"/>
      <c r="DM739" s="54"/>
    </row>
    <row r="740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  <c r="CW740" s="54"/>
      <c r="CX740" s="54"/>
      <c r="CY740" s="54"/>
      <c r="CZ740" s="54"/>
      <c r="DA740" s="54"/>
      <c r="DB740" s="54"/>
      <c r="DC740" s="54"/>
      <c r="DD740" s="54"/>
      <c r="DE740" s="54"/>
      <c r="DF740" s="54"/>
      <c r="DG740" s="54"/>
      <c r="DH740" s="54"/>
      <c r="DI740" s="54"/>
      <c r="DJ740" s="54"/>
      <c r="DK740" s="54"/>
      <c r="DL740" s="54"/>
      <c r="DM740" s="54"/>
    </row>
    <row r="74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  <c r="CW741" s="54"/>
      <c r="CX741" s="54"/>
      <c r="CY741" s="54"/>
      <c r="CZ741" s="54"/>
      <c r="DA741" s="54"/>
      <c r="DB741" s="54"/>
      <c r="DC741" s="54"/>
      <c r="DD741" s="54"/>
      <c r="DE741" s="54"/>
      <c r="DF741" s="54"/>
      <c r="DG741" s="54"/>
      <c r="DH741" s="54"/>
      <c r="DI741" s="54"/>
      <c r="DJ741" s="54"/>
      <c r="DK741" s="54"/>
      <c r="DL741" s="54"/>
      <c r="DM741" s="54"/>
    </row>
    <row r="742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  <c r="CW742" s="54"/>
      <c r="CX742" s="54"/>
      <c r="CY742" s="54"/>
      <c r="CZ742" s="54"/>
      <c r="DA742" s="54"/>
      <c r="DB742" s="54"/>
      <c r="DC742" s="54"/>
      <c r="DD742" s="54"/>
      <c r="DE742" s="54"/>
      <c r="DF742" s="54"/>
      <c r="DG742" s="54"/>
      <c r="DH742" s="54"/>
      <c r="DI742" s="54"/>
      <c r="DJ742" s="54"/>
      <c r="DK742" s="54"/>
      <c r="DL742" s="54"/>
      <c r="DM742" s="54"/>
    </row>
    <row r="74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  <c r="CW743" s="54"/>
      <c r="CX743" s="54"/>
      <c r="CY743" s="54"/>
      <c r="CZ743" s="54"/>
      <c r="DA743" s="54"/>
      <c r="DB743" s="54"/>
      <c r="DC743" s="54"/>
      <c r="DD743" s="54"/>
      <c r="DE743" s="54"/>
      <c r="DF743" s="54"/>
      <c r="DG743" s="54"/>
      <c r="DH743" s="54"/>
      <c r="DI743" s="54"/>
      <c r="DJ743" s="54"/>
      <c r="DK743" s="54"/>
      <c r="DL743" s="54"/>
      <c r="DM743" s="54"/>
    </row>
    <row r="744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  <c r="CW744" s="54"/>
      <c r="CX744" s="54"/>
      <c r="CY744" s="54"/>
      <c r="CZ744" s="54"/>
      <c r="DA744" s="54"/>
      <c r="DB744" s="54"/>
      <c r="DC744" s="54"/>
      <c r="DD744" s="54"/>
      <c r="DE744" s="54"/>
      <c r="DF744" s="54"/>
      <c r="DG744" s="54"/>
      <c r="DH744" s="54"/>
      <c r="DI744" s="54"/>
      <c r="DJ744" s="54"/>
      <c r="DK744" s="54"/>
      <c r="DL744" s="54"/>
      <c r="DM744" s="54"/>
    </row>
    <row r="74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  <c r="CW745" s="54"/>
      <c r="CX745" s="54"/>
      <c r="CY745" s="54"/>
      <c r="CZ745" s="54"/>
      <c r="DA745" s="54"/>
      <c r="DB745" s="54"/>
      <c r="DC745" s="54"/>
      <c r="DD745" s="54"/>
      <c r="DE745" s="54"/>
      <c r="DF745" s="54"/>
      <c r="DG745" s="54"/>
      <c r="DH745" s="54"/>
      <c r="DI745" s="54"/>
      <c r="DJ745" s="54"/>
      <c r="DK745" s="54"/>
      <c r="DL745" s="54"/>
      <c r="DM745" s="54"/>
    </row>
    <row r="746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  <c r="CW746" s="54"/>
      <c r="CX746" s="54"/>
      <c r="CY746" s="54"/>
      <c r="CZ746" s="54"/>
      <c r="DA746" s="54"/>
      <c r="DB746" s="54"/>
      <c r="DC746" s="54"/>
      <c r="DD746" s="54"/>
      <c r="DE746" s="54"/>
      <c r="DF746" s="54"/>
      <c r="DG746" s="54"/>
      <c r="DH746" s="54"/>
      <c r="DI746" s="54"/>
      <c r="DJ746" s="54"/>
      <c r="DK746" s="54"/>
      <c r="DL746" s="54"/>
      <c r="DM746" s="54"/>
    </row>
    <row r="747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  <c r="CW747" s="54"/>
      <c r="CX747" s="54"/>
      <c r="CY747" s="54"/>
      <c r="CZ747" s="54"/>
      <c r="DA747" s="54"/>
      <c r="DB747" s="54"/>
      <c r="DC747" s="54"/>
      <c r="DD747" s="54"/>
      <c r="DE747" s="54"/>
      <c r="DF747" s="54"/>
      <c r="DG747" s="54"/>
      <c r="DH747" s="54"/>
      <c r="DI747" s="54"/>
      <c r="DJ747" s="54"/>
      <c r="DK747" s="54"/>
      <c r="DL747" s="54"/>
      <c r="DM747" s="54"/>
    </row>
    <row r="748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  <c r="CW748" s="54"/>
      <c r="CX748" s="54"/>
      <c r="CY748" s="54"/>
      <c r="CZ748" s="54"/>
      <c r="DA748" s="54"/>
      <c r="DB748" s="54"/>
      <c r="DC748" s="54"/>
      <c r="DD748" s="54"/>
      <c r="DE748" s="54"/>
      <c r="DF748" s="54"/>
      <c r="DG748" s="54"/>
      <c r="DH748" s="54"/>
      <c r="DI748" s="54"/>
      <c r="DJ748" s="54"/>
      <c r="DK748" s="54"/>
      <c r="DL748" s="54"/>
      <c r="DM748" s="54"/>
    </row>
    <row r="749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  <c r="CW749" s="54"/>
      <c r="CX749" s="54"/>
      <c r="CY749" s="54"/>
      <c r="CZ749" s="54"/>
      <c r="DA749" s="54"/>
      <c r="DB749" s="54"/>
      <c r="DC749" s="54"/>
      <c r="DD749" s="54"/>
      <c r="DE749" s="54"/>
      <c r="DF749" s="54"/>
      <c r="DG749" s="54"/>
      <c r="DH749" s="54"/>
      <c r="DI749" s="54"/>
      <c r="DJ749" s="54"/>
      <c r="DK749" s="54"/>
      <c r="DL749" s="54"/>
      <c r="DM749" s="54"/>
    </row>
    <row r="750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  <c r="CW750" s="54"/>
      <c r="CX750" s="54"/>
      <c r="CY750" s="54"/>
      <c r="CZ750" s="54"/>
      <c r="DA750" s="54"/>
      <c r="DB750" s="54"/>
      <c r="DC750" s="54"/>
      <c r="DD750" s="54"/>
      <c r="DE750" s="54"/>
      <c r="DF750" s="54"/>
      <c r="DG750" s="54"/>
      <c r="DH750" s="54"/>
      <c r="DI750" s="54"/>
      <c r="DJ750" s="54"/>
      <c r="DK750" s="54"/>
      <c r="DL750" s="54"/>
      <c r="DM750" s="54"/>
    </row>
    <row r="75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  <c r="CW751" s="54"/>
      <c r="CX751" s="54"/>
      <c r="CY751" s="54"/>
      <c r="CZ751" s="54"/>
      <c r="DA751" s="54"/>
      <c r="DB751" s="54"/>
      <c r="DC751" s="54"/>
      <c r="DD751" s="54"/>
      <c r="DE751" s="54"/>
      <c r="DF751" s="54"/>
      <c r="DG751" s="54"/>
      <c r="DH751" s="54"/>
      <c r="DI751" s="54"/>
      <c r="DJ751" s="54"/>
      <c r="DK751" s="54"/>
      <c r="DL751" s="54"/>
      <c r="DM751" s="54"/>
    </row>
    <row r="752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  <c r="CW752" s="54"/>
      <c r="CX752" s="54"/>
      <c r="CY752" s="54"/>
      <c r="CZ752" s="54"/>
      <c r="DA752" s="54"/>
      <c r="DB752" s="54"/>
      <c r="DC752" s="54"/>
      <c r="DD752" s="54"/>
      <c r="DE752" s="54"/>
      <c r="DF752" s="54"/>
      <c r="DG752" s="54"/>
      <c r="DH752" s="54"/>
      <c r="DI752" s="54"/>
      <c r="DJ752" s="54"/>
      <c r="DK752" s="54"/>
      <c r="DL752" s="54"/>
      <c r="DM752" s="54"/>
    </row>
    <row r="75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  <c r="CW753" s="54"/>
      <c r="CX753" s="54"/>
      <c r="CY753" s="54"/>
      <c r="CZ753" s="54"/>
      <c r="DA753" s="54"/>
      <c r="DB753" s="54"/>
      <c r="DC753" s="54"/>
      <c r="DD753" s="54"/>
      <c r="DE753" s="54"/>
      <c r="DF753" s="54"/>
      <c r="DG753" s="54"/>
      <c r="DH753" s="54"/>
      <c r="DI753" s="54"/>
      <c r="DJ753" s="54"/>
      <c r="DK753" s="54"/>
      <c r="DL753" s="54"/>
      <c r="DM753" s="54"/>
    </row>
    <row r="754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  <c r="CW754" s="54"/>
      <c r="CX754" s="54"/>
      <c r="CY754" s="54"/>
      <c r="CZ754" s="54"/>
      <c r="DA754" s="54"/>
      <c r="DB754" s="54"/>
      <c r="DC754" s="54"/>
      <c r="DD754" s="54"/>
      <c r="DE754" s="54"/>
      <c r="DF754" s="54"/>
      <c r="DG754" s="54"/>
      <c r="DH754" s="54"/>
      <c r="DI754" s="54"/>
      <c r="DJ754" s="54"/>
      <c r="DK754" s="54"/>
      <c r="DL754" s="54"/>
      <c r="DM754" s="54"/>
    </row>
    <row r="75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  <c r="CW755" s="54"/>
      <c r="CX755" s="54"/>
      <c r="CY755" s="54"/>
      <c r="CZ755" s="54"/>
      <c r="DA755" s="54"/>
      <c r="DB755" s="54"/>
      <c r="DC755" s="54"/>
      <c r="DD755" s="54"/>
      <c r="DE755" s="54"/>
      <c r="DF755" s="54"/>
      <c r="DG755" s="54"/>
      <c r="DH755" s="54"/>
      <c r="DI755" s="54"/>
      <c r="DJ755" s="54"/>
      <c r="DK755" s="54"/>
      <c r="DL755" s="54"/>
      <c r="DM755" s="54"/>
    </row>
    <row r="756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  <c r="CW756" s="54"/>
      <c r="CX756" s="54"/>
      <c r="CY756" s="54"/>
      <c r="CZ756" s="54"/>
      <c r="DA756" s="54"/>
      <c r="DB756" s="54"/>
      <c r="DC756" s="54"/>
      <c r="DD756" s="54"/>
      <c r="DE756" s="54"/>
      <c r="DF756" s="54"/>
      <c r="DG756" s="54"/>
      <c r="DH756" s="54"/>
      <c r="DI756" s="54"/>
      <c r="DJ756" s="54"/>
      <c r="DK756" s="54"/>
      <c r="DL756" s="54"/>
      <c r="DM756" s="54"/>
    </row>
    <row r="757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  <c r="CW757" s="54"/>
      <c r="CX757" s="54"/>
      <c r="CY757" s="54"/>
      <c r="CZ757" s="54"/>
      <c r="DA757" s="54"/>
      <c r="DB757" s="54"/>
      <c r="DC757" s="54"/>
      <c r="DD757" s="54"/>
      <c r="DE757" s="54"/>
      <c r="DF757" s="54"/>
      <c r="DG757" s="54"/>
      <c r="DH757" s="54"/>
      <c r="DI757" s="54"/>
      <c r="DJ757" s="54"/>
      <c r="DK757" s="54"/>
      <c r="DL757" s="54"/>
      <c r="DM757" s="54"/>
    </row>
    <row r="758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  <c r="CW758" s="54"/>
      <c r="CX758" s="54"/>
      <c r="CY758" s="54"/>
      <c r="CZ758" s="54"/>
      <c r="DA758" s="54"/>
      <c r="DB758" s="54"/>
      <c r="DC758" s="54"/>
      <c r="DD758" s="54"/>
      <c r="DE758" s="54"/>
      <c r="DF758" s="54"/>
      <c r="DG758" s="54"/>
      <c r="DH758" s="54"/>
      <c r="DI758" s="54"/>
      <c r="DJ758" s="54"/>
      <c r="DK758" s="54"/>
      <c r="DL758" s="54"/>
      <c r="DM758" s="54"/>
    </row>
    <row r="759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  <c r="CW759" s="54"/>
      <c r="CX759" s="54"/>
      <c r="CY759" s="54"/>
      <c r="CZ759" s="54"/>
      <c r="DA759" s="54"/>
      <c r="DB759" s="54"/>
      <c r="DC759" s="54"/>
      <c r="DD759" s="54"/>
      <c r="DE759" s="54"/>
      <c r="DF759" s="54"/>
      <c r="DG759" s="54"/>
      <c r="DH759" s="54"/>
      <c r="DI759" s="54"/>
      <c r="DJ759" s="54"/>
      <c r="DK759" s="54"/>
      <c r="DL759" s="54"/>
      <c r="DM759" s="54"/>
    </row>
    <row r="760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  <c r="CW760" s="54"/>
      <c r="CX760" s="54"/>
      <c r="CY760" s="54"/>
      <c r="CZ760" s="54"/>
      <c r="DA760" s="54"/>
      <c r="DB760" s="54"/>
      <c r="DC760" s="54"/>
      <c r="DD760" s="54"/>
      <c r="DE760" s="54"/>
      <c r="DF760" s="54"/>
      <c r="DG760" s="54"/>
      <c r="DH760" s="54"/>
      <c r="DI760" s="54"/>
      <c r="DJ760" s="54"/>
      <c r="DK760" s="54"/>
      <c r="DL760" s="54"/>
      <c r="DM760" s="54"/>
    </row>
    <row r="76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  <c r="CW761" s="54"/>
      <c r="CX761" s="54"/>
      <c r="CY761" s="54"/>
      <c r="CZ761" s="54"/>
      <c r="DA761" s="54"/>
      <c r="DB761" s="54"/>
      <c r="DC761" s="54"/>
      <c r="DD761" s="54"/>
      <c r="DE761" s="54"/>
      <c r="DF761" s="54"/>
      <c r="DG761" s="54"/>
      <c r="DH761" s="54"/>
      <c r="DI761" s="54"/>
      <c r="DJ761" s="54"/>
      <c r="DK761" s="54"/>
      <c r="DL761" s="54"/>
      <c r="DM761" s="54"/>
    </row>
    <row r="762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  <c r="CW762" s="54"/>
      <c r="CX762" s="54"/>
      <c r="CY762" s="54"/>
      <c r="CZ762" s="54"/>
      <c r="DA762" s="54"/>
      <c r="DB762" s="54"/>
      <c r="DC762" s="54"/>
      <c r="DD762" s="54"/>
      <c r="DE762" s="54"/>
      <c r="DF762" s="54"/>
      <c r="DG762" s="54"/>
      <c r="DH762" s="54"/>
      <c r="DI762" s="54"/>
      <c r="DJ762" s="54"/>
      <c r="DK762" s="54"/>
      <c r="DL762" s="54"/>
      <c r="DM762" s="54"/>
    </row>
    <row r="76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  <c r="CW763" s="54"/>
      <c r="CX763" s="54"/>
      <c r="CY763" s="54"/>
      <c r="CZ763" s="54"/>
      <c r="DA763" s="54"/>
      <c r="DB763" s="54"/>
      <c r="DC763" s="54"/>
      <c r="DD763" s="54"/>
      <c r="DE763" s="54"/>
      <c r="DF763" s="54"/>
      <c r="DG763" s="54"/>
      <c r="DH763" s="54"/>
      <c r="DI763" s="54"/>
      <c r="DJ763" s="54"/>
      <c r="DK763" s="54"/>
      <c r="DL763" s="54"/>
      <c r="DM763" s="54"/>
    </row>
    <row r="764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  <c r="CW764" s="54"/>
      <c r="CX764" s="54"/>
      <c r="CY764" s="54"/>
      <c r="CZ764" s="54"/>
      <c r="DA764" s="54"/>
      <c r="DB764" s="54"/>
      <c r="DC764" s="54"/>
      <c r="DD764" s="54"/>
      <c r="DE764" s="54"/>
      <c r="DF764" s="54"/>
      <c r="DG764" s="54"/>
      <c r="DH764" s="54"/>
      <c r="DI764" s="54"/>
      <c r="DJ764" s="54"/>
      <c r="DK764" s="54"/>
      <c r="DL764" s="54"/>
      <c r="DM764" s="54"/>
    </row>
    <row r="76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  <c r="CW765" s="54"/>
      <c r="CX765" s="54"/>
      <c r="CY765" s="54"/>
      <c r="CZ765" s="54"/>
      <c r="DA765" s="54"/>
      <c r="DB765" s="54"/>
      <c r="DC765" s="54"/>
      <c r="DD765" s="54"/>
      <c r="DE765" s="54"/>
      <c r="DF765" s="54"/>
      <c r="DG765" s="54"/>
      <c r="DH765" s="54"/>
      <c r="DI765" s="54"/>
      <c r="DJ765" s="54"/>
      <c r="DK765" s="54"/>
      <c r="DL765" s="54"/>
      <c r="DM765" s="54"/>
    </row>
    <row r="766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  <c r="CW766" s="54"/>
      <c r="CX766" s="54"/>
      <c r="CY766" s="54"/>
      <c r="CZ766" s="54"/>
      <c r="DA766" s="54"/>
      <c r="DB766" s="54"/>
      <c r="DC766" s="54"/>
      <c r="DD766" s="54"/>
      <c r="DE766" s="54"/>
      <c r="DF766" s="54"/>
      <c r="DG766" s="54"/>
      <c r="DH766" s="54"/>
      <c r="DI766" s="54"/>
      <c r="DJ766" s="54"/>
      <c r="DK766" s="54"/>
      <c r="DL766" s="54"/>
      <c r="DM766" s="54"/>
    </row>
    <row r="767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  <c r="CW767" s="54"/>
      <c r="CX767" s="54"/>
      <c r="CY767" s="54"/>
      <c r="CZ767" s="54"/>
      <c r="DA767" s="54"/>
      <c r="DB767" s="54"/>
      <c r="DC767" s="54"/>
      <c r="DD767" s="54"/>
      <c r="DE767" s="54"/>
      <c r="DF767" s="54"/>
      <c r="DG767" s="54"/>
      <c r="DH767" s="54"/>
      <c r="DI767" s="54"/>
      <c r="DJ767" s="54"/>
      <c r="DK767" s="54"/>
      <c r="DL767" s="54"/>
      <c r="DM767" s="54"/>
    </row>
    <row r="768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  <c r="CW768" s="54"/>
      <c r="CX768" s="54"/>
      <c r="CY768" s="54"/>
      <c r="CZ768" s="54"/>
      <c r="DA768" s="54"/>
      <c r="DB768" s="54"/>
      <c r="DC768" s="54"/>
      <c r="DD768" s="54"/>
      <c r="DE768" s="54"/>
      <c r="DF768" s="54"/>
      <c r="DG768" s="54"/>
      <c r="DH768" s="54"/>
      <c r="DI768" s="54"/>
      <c r="DJ768" s="54"/>
      <c r="DK768" s="54"/>
      <c r="DL768" s="54"/>
      <c r="DM768" s="54"/>
    </row>
    <row r="769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  <c r="CW769" s="54"/>
      <c r="CX769" s="54"/>
      <c r="CY769" s="54"/>
      <c r="CZ769" s="54"/>
      <c r="DA769" s="54"/>
      <c r="DB769" s="54"/>
      <c r="DC769" s="54"/>
      <c r="DD769" s="54"/>
      <c r="DE769" s="54"/>
      <c r="DF769" s="54"/>
      <c r="DG769" s="54"/>
      <c r="DH769" s="54"/>
      <c r="DI769" s="54"/>
      <c r="DJ769" s="54"/>
      <c r="DK769" s="54"/>
      <c r="DL769" s="54"/>
      <c r="DM769" s="54"/>
    </row>
    <row r="770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  <c r="CW770" s="54"/>
      <c r="CX770" s="54"/>
      <c r="CY770" s="54"/>
      <c r="CZ770" s="54"/>
      <c r="DA770" s="54"/>
      <c r="DB770" s="54"/>
      <c r="DC770" s="54"/>
      <c r="DD770" s="54"/>
      <c r="DE770" s="54"/>
      <c r="DF770" s="54"/>
      <c r="DG770" s="54"/>
      <c r="DH770" s="54"/>
      <c r="DI770" s="54"/>
      <c r="DJ770" s="54"/>
      <c r="DK770" s="54"/>
      <c r="DL770" s="54"/>
      <c r="DM770" s="54"/>
    </row>
    <row r="77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  <c r="CW771" s="54"/>
      <c r="CX771" s="54"/>
      <c r="CY771" s="54"/>
      <c r="CZ771" s="54"/>
      <c r="DA771" s="54"/>
      <c r="DB771" s="54"/>
      <c r="DC771" s="54"/>
      <c r="DD771" s="54"/>
      <c r="DE771" s="54"/>
      <c r="DF771" s="54"/>
      <c r="DG771" s="54"/>
      <c r="DH771" s="54"/>
      <c r="DI771" s="54"/>
      <c r="DJ771" s="54"/>
      <c r="DK771" s="54"/>
      <c r="DL771" s="54"/>
      <c r="DM771" s="54"/>
    </row>
    <row r="772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  <c r="CW772" s="54"/>
      <c r="CX772" s="54"/>
      <c r="CY772" s="54"/>
      <c r="CZ772" s="54"/>
      <c r="DA772" s="54"/>
      <c r="DB772" s="54"/>
      <c r="DC772" s="54"/>
      <c r="DD772" s="54"/>
      <c r="DE772" s="54"/>
      <c r="DF772" s="54"/>
      <c r="DG772" s="54"/>
      <c r="DH772" s="54"/>
      <c r="DI772" s="54"/>
      <c r="DJ772" s="54"/>
      <c r="DK772" s="54"/>
      <c r="DL772" s="54"/>
      <c r="DM772" s="54"/>
    </row>
    <row r="77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  <c r="CW773" s="54"/>
      <c r="CX773" s="54"/>
      <c r="CY773" s="54"/>
      <c r="CZ773" s="54"/>
      <c r="DA773" s="54"/>
      <c r="DB773" s="54"/>
      <c r="DC773" s="54"/>
      <c r="DD773" s="54"/>
      <c r="DE773" s="54"/>
      <c r="DF773" s="54"/>
      <c r="DG773" s="54"/>
      <c r="DH773" s="54"/>
      <c r="DI773" s="54"/>
      <c r="DJ773" s="54"/>
      <c r="DK773" s="54"/>
      <c r="DL773" s="54"/>
      <c r="DM773" s="54"/>
    </row>
    <row r="774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  <c r="CW774" s="54"/>
      <c r="CX774" s="54"/>
      <c r="CY774" s="54"/>
      <c r="CZ774" s="54"/>
      <c r="DA774" s="54"/>
      <c r="DB774" s="54"/>
      <c r="DC774" s="54"/>
      <c r="DD774" s="54"/>
      <c r="DE774" s="54"/>
      <c r="DF774" s="54"/>
      <c r="DG774" s="54"/>
      <c r="DH774" s="54"/>
      <c r="DI774" s="54"/>
      <c r="DJ774" s="54"/>
      <c r="DK774" s="54"/>
      <c r="DL774" s="54"/>
      <c r="DM774" s="54"/>
    </row>
    <row r="77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  <c r="CW775" s="54"/>
      <c r="CX775" s="54"/>
      <c r="CY775" s="54"/>
      <c r="CZ775" s="54"/>
      <c r="DA775" s="54"/>
      <c r="DB775" s="54"/>
      <c r="DC775" s="54"/>
      <c r="DD775" s="54"/>
      <c r="DE775" s="54"/>
      <c r="DF775" s="54"/>
      <c r="DG775" s="54"/>
      <c r="DH775" s="54"/>
      <c r="DI775" s="54"/>
      <c r="DJ775" s="54"/>
      <c r="DK775" s="54"/>
      <c r="DL775" s="54"/>
      <c r="DM775" s="54"/>
    </row>
    <row r="776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  <c r="CW776" s="54"/>
      <c r="CX776" s="54"/>
      <c r="CY776" s="54"/>
      <c r="CZ776" s="54"/>
      <c r="DA776" s="54"/>
      <c r="DB776" s="54"/>
      <c r="DC776" s="54"/>
      <c r="DD776" s="54"/>
      <c r="DE776" s="54"/>
      <c r="DF776" s="54"/>
      <c r="DG776" s="54"/>
      <c r="DH776" s="54"/>
      <c r="DI776" s="54"/>
      <c r="DJ776" s="54"/>
      <c r="DK776" s="54"/>
      <c r="DL776" s="54"/>
      <c r="DM776" s="54"/>
    </row>
    <row r="777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  <c r="CW777" s="54"/>
      <c r="CX777" s="54"/>
      <c r="CY777" s="54"/>
      <c r="CZ777" s="54"/>
      <c r="DA777" s="54"/>
      <c r="DB777" s="54"/>
      <c r="DC777" s="54"/>
      <c r="DD777" s="54"/>
      <c r="DE777" s="54"/>
      <c r="DF777" s="54"/>
      <c r="DG777" s="54"/>
      <c r="DH777" s="54"/>
      <c r="DI777" s="54"/>
      <c r="DJ777" s="54"/>
      <c r="DK777" s="54"/>
      <c r="DL777" s="54"/>
      <c r="DM777" s="54"/>
    </row>
    <row r="778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  <c r="CW778" s="54"/>
      <c r="CX778" s="54"/>
      <c r="CY778" s="54"/>
      <c r="CZ778" s="54"/>
      <c r="DA778" s="54"/>
      <c r="DB778" s="54"/>
      <c r="DC778" s="54"/>
      <c r="DD778" s="54"/>
      <c r="DE778" s="54"/>
      <c r="DF778" s="54"/>
      <c r="DG778" s="54"/>
      <c r="DH778" s="54"/>
      <c r="DI778" s="54"/>
      <c r="DJ778" s="54"/>
      <c r="DK778" s="54"/>
      <c r="DL778" s="54"/>
      <c r="DM778" s="54"/>
    </row>
    <row r="779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  <c r="CW779" s="54"/>
      <c r="CX779" s="54"/>
      <c r="CY779" s="54"/>
      <c r="CZ779" s="54"/>
      <c r="DA779" s="54"/>
      <c r="DB779" s="54"/>
      <c r="DC779" s="54"/>
      <c r="DD779" s="54"/>
      <c r="DE779" s="54"/>
      <c r="DF779" s="54"/>
      <c r="DG779" s="54"/>
      <c r="DH779" s="54"/>
      <c r="DI779" s="54"/>
      <c r="DJ779" s="54"/>
      <c r="DK779" s="54"/>
      <c r="DL779" s="54"/>
      <c r="DM779" s="54"/>
    </row>
    <row r="780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  <c r="CW780" s="54"/>
      <c r="CX780" s="54"/>
      <c r="CY780" s="54"/>
      <c r="CZ780" s="54"/>
      <c r="DA780" s="54"/>
      <c r="DB780" s="54"/>
      <c r="DC780" s="54"/>
      <c r="DD780" s="54"/>
      <c r="DE780" s="54"/>
      <c r="DF780" s="54"/>
      <c r="DG780" s="54"/>
      <c r="DH780" s="54"/>
      <c r="DI780" s="54"/>
      <c r="DJ780" s="54"/>
      <c r="DK780" s="54"/>
      <c r="DL780" s="54"/>
      <c r="DM780" s="54"/>
    </row>
    <row r="78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  <c r="CW781" s="54"/>
      <c r="CX781" s="54"/>
      <c r="CY781" s="54"/>
      <c r="CZ781" s="54"/>
      <c r="DA781" s="54"/>
      <c r="DB781" s="54"/>
      <c r="DC781" s="54"/>
      <c r="DD781" s="54"/>
      <c r="DE781" s="54"/>
      <c r="DF781" s="54"/>
      <c r="DG781" s="54"/>
      <c r="DH781" s="54"/>
      <c r="DI781" s="54"/>
      <c r="DJ781" s="54"/>
      <c r="DK781" s="54"/>
      <c r="DL781" s="54"/>
      <c r="DM781" s="54"/>
    </row>
    <row r="782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  <c r="CW782" s="54"/>
      <c r="CX782" s="54"/>
      <c r="CY782" s="54"/>
      <c r="CZ782" s="54"/>
      <c r="DA782" s="54"/>
      <c r="DB782" s="54"/>
      <c r="DC782" s="54"/>
      <c r="DD782" s="54"/>
      <c r="DE782" s="54"/>
      <c r="DF782" s="54"/>
      <c r="DG782" s="54"/>
      <c r="DH782" s="54"/>
      <c r="DI782" s="54"/>
      <c r="DJ782" s="54"/>
      <c r="DK782" s="54"/>
      <c r="DL782" s="54"/>
      <c r="DM782" s="54"/>
    </row>
    <row r="78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  <c r="CW783" s="54"/>
      <c r="CX783" s="54"/>
      <c r="CY783" s="54"/>
      <c r="CZ783" s="54"/>
      <c r="DA783" s="54"/>
      <c r="DB783" s="54"/>
      <c r="DC783" s="54"/>
      <c r="DD783" s="54"/>
      <c r="DE783" s="54"/>
      <c r="DF783" s="54"/>
      <c r="DG783" s="54"/>
      <c r="DH783" s="54"/>
      <c r="DI783" s="54"/>
      <c r="DJ783" s="54"/>
      <c r="DK783" s="54"/>
      <c r="DL783" s="54"/>
      <c r="DM783" s="54"/>
    </row>
    <row r="784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  <c r="CW784" s="54"/>
      <c r="CX784" s="54"/>
      <c r="CY784" s="54"/>
      <c r="CZ784" s="54"/>
      <c r="DA784" s="54"/>
      <c r="DB784" s="54"/>
      <c r="DC784" s="54"/>
      <c r="DD784" s="54"/>
      <c r="DE784" s="54"/>
      <c r="DF784" s="54"/>
      <c r="DG784" s="54"/>
      <c r="DH784" s="54"/>
      <c r="DI784" s="54"/>
      <c r="DJ784" s="54"/>
      <c r="DK784" s="54"/>
      <c r="DL784" s="54"/>
      <c r="DM784" s="54"/>
    </row>
    <row r="78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  <c r="CW785" s="54"/>
      <c r="CX785" s="54"/>
      <c r="CY785" s="54"/>
      <c r="CZ785" s="54"/>
      <c r="DA785" s="54"/>
      <c r="DB785" s="54"/>
      <c r="DC785" s="54"/>
      <c r="DD785" s="54"/>
      <c r="DE785" s="54"/>
      <c r="DF785" s="54"/>
      <c r="DG785" s="54"/>
      <c r="DH785" s="54"/>
      <c r="DI785" s="54"/>
      <c r="DJ785" s="54"/>
      <c r="DK785" s="54"/>
      <c r="DL785" s="54"/>
      <c r="DM785" s="54"/>
    </row>
    <row r="786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  <c r="CW786" s="54"/>
      <c r="CX786" s="54"/>
      <c r="CY786" s="54"/>
      <c r="CZ786" s="54"/>
      <c r="DA786" s="54"/>
      <c r="DB786" s="54"/>
      <c r="DC786" s="54"/>
      <c r="DD786" s="54"/>
      <c r="DE786" s="54"/>
      <c r="DF786" s="54"/>
      <c r="DG786" s="54"/>
      <c r="DH786" s="54"/>
      <c r="DI786" s="54"/>
      <c r="DJ786" s="54"/>
      <c r="DK786" s="54"/>
      <c r="DL786" s="54"/>
      <c r="DM786" s="54"/>
    </row>
    <row r="787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  <c r="CW787" s="54"/>
      <c r="CX787" s="54"/>
      <c r="CY787" s="54"/>
      <c r="CZ787" s="54"/>
      <c r="DA787" s="54"/>
      <c r="DB787" s="54"/>
      <c r="DC787" s="54"/>
      <c r="DD787" s="54"/>
      <c r="DE787" s="54"/>
      <c r="DF787" s="54"/>
      <c r="DG787" s="54"/>
      <c r="DH787" s="54"/>
      <c r="DI787" s="54"/>
      <c r="DJ787" s="54"/>
      <c r="DK787" s="54"/>
      <c r="DL787" s="54"/>
      <c r="DM787" s="54"/>
    </row>
    <row r="788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  <c r="CW788" s="54"/>
      <c r="CX788" s="54"/>
      <c r="CY788" s="54"/>
      <c r="CZ788" s="54"/>
      <c r="DA788" s="54"/>
      <c r="DB788" s="54"/>
      <c r="DC788" s="54"/>
      <c r="DD788" s="54"/>
      <c r="DE788" s="54"/>
      <c r="DF788" s="54"/>
      <c r="DG788" s="54"/>
      <c r="DH788" s="54"/>
      <c r="DI788" s="54"/>
      <c r="DJ788" s="54"/>
      <c r="DK788" s="54"/>
      <c r="DL788" s="54"/>
      <c r="DM788" s="54"/>
    </row>
    <row r="789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  <c r="CW789" s="54"/>
      <c r="CX789" s="54"/>
      <c r="CY789" s="54"/>
      <c r="CZ789" s="54"/>
      <c r="DA789" s="54"/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54"/>
      <c r="DM789" s="54"/>
    </row>
    <row r="790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  <c r="CW790" s="54"/>
      <c r="CX790" s="54"/>
      <c r="CY790" s="54"/>
      <c r="CZ790" s="54"/>
      <c r="DA790" s="54"/>
      <c r="DB790" s="54"/>
      <c r="DC790" s="54"/>
      <c r="DD790" s="54"/>
      <c r="DE790" s="54"/>
      <c r="DF790" s="54"/>
      <c r="DG790" s="54"/>
      <c r="DH790" s="54"/>
      <c r="DI790" s="54"/>
      <c r="DJ790" s="54"/>
      <c r="DK790" s="54"/>
      <c r="DL790" s="54"/>
      <c r="DM790" s="54"/>
    </row>
    <row r="79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  <c r="CW791" s="54"/>
      <c r="CX791" s="54"/>
      <c r="CY791" s="54"/>
      <c r="CZ791" s="54"/>
      <c r="DA791" s="54"/>
      <c r="DB791" s="54"/>
      <c r="DC791" s="54"/>
      <c r="DD791" s="54"/>
      <c r="DE791" s="54"/>
      <c r="DF791" s="54"/>
      <c r="DG791" s="54"/>
      <c r="DH791" s="54"/>
      <c r="DI791" s="54"/>
      <c r="DJ791" s="54"/>
      <c r="DK791" s="54"/>
      <c r="DL791" s="54"/>
      <c r="DM791" s="54"/>
    </row>
    <row r="792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  <c r="CW792" s="54"/>
      <c r="CX792" s="54"/>
      <c r="CY792" s="54"/>
      <c r="CZ792" s="54"/>
      <c r="DA792" s="54"/>
      <c r="DB792" s="54"/>
      <c r="DC792" s="54"/>
      <c r="DD792" s="54"/>
      <c r="DE792" s="54"/>
      <c r="DF792" s="54"/>
      <c r="DG792" s="54"/>
      <c r="DH792" s="54"/>
      <c r="DI792" s="54"/>
      <c r="DJ792" s="54"/>
      <c r="DK792" s="54"/>
      <c r="DL792" s="54"/>
      <c r="DM792" s="54"/>
    </row>
    <row r="79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  <c r="CW793" s="54"/>
      <c r="CX793" s="54"/>
      <c r="CY793" s="54"/>
      <c r="CZ793" s="54"/>
      <c r="DA793" s="54"/>
      <c r="DB793" s="54"/>
      <c r="DC793" s="54"/>
      <c r="DD793" s="54"/>
      <c r="DE793" s="54"/>
      <c r="DF793" s="54"/>
      <c r="DG793" s="54"/>
      <c r="DH793" s="54"/>
      <c r="DI793" s="54"/>
      <c r="DJ793" s="54"/>
      <c r="DK793" s="54"/>
      <c r="DL793" s="54"/>
      <c r="DM793" s="54"/>
    </row>
    <row r="794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  <c r="CW794" s="54"/>
      <c r="CX794" s="54"/>
      <c r="CY794" s="54"/>
      <c r="CZ794" s="54"/>
      <c r="DA794" s="54"/>
      <c r="DB794" s="54"/>
      <c r="DC794" s="54"/>
      <c r="DD794" s="54"/>
      <c r="DE794" s="54"/>
      <c r="DF794" s="54"/>
      <c r="DG794" s="54"/>
      <c r="DH794" s="54"/>
      <c r="DI794" s="54"/>
      <c r="DJ794" s="54"/>
      <c r="DK794" s="54"/>
      <c r="DL794" s="54"/>
      <c r="DM794" s="54"/>
    </row>
    <row r="79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  <c r="CW795" s="54"/>
      <c r="CX795" s="54"/>
      <c r="CY795" s="54"/>
      <c r="CZ795" s="54"/>
      <c r="DA795" s="54"/>
      <c r="DB795" s="54"/>
      <c r="DC795" s="54"/>
      <c r="DD795" s="54"/>
      <c r="DE795" s="54"/>
      <c r="DF795" s="54"/>
      <c r="DG795" s="54"/>
      <c r="DH795" s="54"/>
      <c r="DI795" s="54"/>
      <c r="DJ795" s="54"/>
      <c r="DK795" s="54"/>
      <c r="DL795" s="54"/>
      <c r="DM795" s="54"/>
    </row>
    <row r="796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  <c r="CW796" s="54"/>
      <c r="CX796" s="54"/>
      <c r="CY796" s="54"/>
      <c r="CZ796" s="54"/>
      <c r="DA796" s="54"/>
      <c r="DB796" s="54"/>
      <c r="DC796" s="54"/>
      <c r="DD796" s="54"/>
      <c r="DE796" s="54"/>
      <c r="DF796" s="54"/>
      <c r="DG796" s="54"/>
      <c r="DH796" s="54"/>
      <c r="DI796" s="54"/>
      <c r="DJ796" s="54"/>
      <c r="DK796" s="54"/>
      <c r="DL796" s="54"/>
      <c r="DM796" s="54"/>
    </row>
    <row r="797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  <c r="CW797" s="54"/>
      <c r="CX797" s="54"/>
      <c r="CY797" s="54"/>
      <c r="CZ797" s="54"/>
      <c r="DA797" s="54"/>
      <c r="DB797" s="54"/>
      <c r="DC797" s="54"/>
      <c r="DD797" s="54"/>
      <c r="DE797" s="54"/>
      <c r="DF797" s="54"/>
      <c r="DG797" s="54"/>
      <c r="DH797" s="54"/>
      <c r="DI797" s="54"/>
      <c r="DJ797" s="54"/>
      <c r="DK797" s="54"/>
      <c r="DL797" s="54"/>
      <c r="DM797" s="54"/>
    </row>
    <row r="798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  <c r="CW798" s="54"/>
      <c r="CX798" s="54"/>
      <c r="CY798" s="54"/>
      <c r="CZ798" s="54"/>
      <c r="DA798" s="54"/>
      <c r="DB798" s="54"/>
      <c r="DC798" s="54"/>
      <c r="DD798" s="54"/>
      <c r="DE798" s="54"/>
      <c r="DF798" s="54"/>
      <c r="DG798" s="54"/>
      <c r="DH798" s="54"/>
      <c r="DI798" s="54"/>
      <c r="DJ798" s="54"/>
      <c r="DK798" s="54"/>
      <c r="DL798" s="54"/>
      <c r="DM798" s="54"/>
    </row>
    <row r="799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  <c r="CW799" s="54"/>
      <c r="CX799" s="54"/>
      <c r="CY799" s="54"/>
      <c r="CZ799" s="54"/>
      <c r="DA799" s="54"/>
      <c r="DB799" s="54"/>
      <c r="DC799" s="54"/>
      <c r="DD799" s="54"/>
      <c r="DE799" s="54"/>
      <c r="DF799" s="54"/>
      <c r="DG799" s="54"/>
      <c r="DH799" s="54"/>
      <c r="DI799" s="54"/>
      <c r="DJ799" s="54"/>
      <c r="DK799" s="54"/>
      <c r="DL799" s="54"/>
      <c r="DM799" s="54"/>
    </row>
    <row r="800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  <c r="CW800" s="54"/>
      <c r="CX800" s="54"/>
      <c r="CY800" s="54"/>
      <c r="CZ800" s="54"/>
      <c r="DA800" s="54"/>
      <c r="DB800" s="54"/>
      <c r="DC800" s="54"/>
      <c r="DD800" s="54"/>
      <c r="DE800" s="54"/>
      <c r="DF800" s="54"/>
      <c r="DG800" s="54"/>
      <c r="DH800" s="54"/>
      <c r="DI800" s="54"/>
      <c r="DJ800" s="54"/>
      <c r="DK800" s="54"/>
      <c r="DL800" s="54"/>
      <c r="DM800" s="54"/>
    </row>
    <row r="80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  <c r="CW801" s="54"/>
      <c r="CX801" s="54"/>
      <c r="CY801" s="54"/>
      <c r="CZ801" s="54"/>
      <c r="DA801" s="54"/>
      <c r="DB801" s="54"/>
      <c r="DC801" s="54"/>
      <c r="DD801" s="54"/>
      <c r="DE801" s="54"/>
      <c r="DF801" s="54"/>
      <c r="DG801" s="54"/>
      <c r="DH801" s="54"/>
      <c r="DI801" s="54"/>
      <c r="DJ801" s="54"/>
      <c r="DK801" s="54"/>
      <c r="DL801" s="54"/>
      <c r="DM801" s="54"/>
    </row>
    <row r="802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  <c r="CW802" s="54"/>
      <c r="CX802" s="54"/>
      <c r="CY802" s="54"/>
      <c r="CZ802" s="54"/>
      <c r="DA802" s="54"/>
      <c r="DB802" s="54"/>
      <c r="DC802" s="54"/>
      <c r="DD802" s="54"/>
      <c r="DE802" s="54"/>
      <c r="DF802" s="54"/>
      <c r="DG802" s="54"/>
      <c r="DH802" s="54"/>
      <c r="DI802" s="54"/>
      <c r="DJ802" s="54"/>
      <c r="DK802" s="54"/>
      <c r="DL802" s="54"/>
      <c r="DM802" s="54"/>
    </row>
    <row r="80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  <c r="CW803" s="54"/>
      <c r="CX803" s="54"/>
      <c r="CY803" s="54"/>
      <c r="CZ803" s="54"/>
      <c r="DA803" s="54"/>
      <c r="DB803" s="54"/>
      <c r="DC803" s="54"/>
      <c r="DD803" s="54"/>
      <c r="DE803" s="54"/>
      <c r="DF803" s="54"/>
      <c r="DG803" s="54"/>
      <c r="DH803" s="54"/>
      <c r="DI803" s="54"/>
      <c r="DJ803" s="54"/>
      <c r="DK803" s="54"/>
      <c r="DL803" s="54"/>
      <c r="DM803" s="54"/>
    </row>
    <row r="804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  <c r="CW804" s="54"/>
      <c r="CX804" s="54"/>
      <c r="CY804" s="54"/>
      <c r="CZ804" s="54"/>
      <c r="DA804" s="54"/>
      <c r="DB804" s="54"/>
      <c r="DC804" s="54"/>
      <c r="DD804" s="54"/>
      <c r="DE804" s="54"/>
      <c r="DF804" s="54"/>
      <c r="DG804" s="54"/>
      <c r="DH804" s="54"/>
      <c r="DI804" s="54"/>
      <c r="DJ804" s="54"/>
      <c r="DK804" s="54"/>
      <c r="DL804" s="54"/>
      <c r="DM804" s="54"/>
    </row>
    <row r="80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  <c r="CW805" s="54"/>
      <c r="CX805" s="54"/>
      <c r="CY805" s="54"/>
      <c r="CZ805" s="54"/>
      <c r="DA805" s="54"/>
      <c r="DB805" s="54"/>
      <c r="DC805" s="54"/>
      <c r="DD805" s="54"/>
      <c r="DE805" s="54"/>
      <c r="DF805" s="54"/>
      <c r="DG805" s="54"/>
      <c r="DH805" s="54"/>
      <c r="DI805" s="54"/>
      <c r="DJ805" s="54"/>
      <c r="DK805" s="54"/>
      <c r="DL805" s="54"/>
      <c r="DM805" s="54"/>
    </row>
    <row r="806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  <c r="CW806" s="54"/>
      <c r="CX806" s="54"/>
      <c r="CY806" s="54"/>
      <c r="CZ806" s="54"/>
      <c r="DA806" s="54"/>
      <c r="DB806" s="54"/>
      <c r="DC806" s="54"/>
      <c r="DD806" s="54"/>
      <c r="DE806" s="54"/>
      <c r="DF806" s="54"/>
      <c r="DG806" s="54"/>
      <c r="DH806" s="54"/>
      <c r="DI806" s="54"/>
      <c r="DJ806" s="54"/>
      <c r="DK806" s="54"/>
      <c r="DL806" s="54"/>
      <c r="DM806" s="54"/>
    </row>
    <row r="807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  <c r="CW807" s="54"/>
      <c r="CX807" s="54"/>
      <c r="CY807" s="54"/>
      <c r="CZ807" s="54"/>
      <c r="DA807" s="54"/>
      <c r="DB807" s="54"/>
      <c r="DC807" s="54"/>
      <c r="DD807" s="54"/>
      <c r="DE807" s="54"/>
      <c r="DF807" s="54"/>
      <c r="DG807" s="54"/>
      <c r="DH807" s="54"/>
      <c r="DI807" s="54"/>
      <c r="DJ807" s="54"/>
      <c r="DK807" s="54"/>
      <c r="DL807" s="54"/>
      <c r="DM807" s="54"/>
    </row>
    <row r="808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  <c r="CW808" s="54"/>
      <c r="CX808" s="54"/>
      <c r="CY808" s="54"/>
      <c r="CZ808" s="54"/>
      <c r="DA808" s="54"/>
      <c r="DB808" s="54"/>
      <c r="DC808" s="54"/>
      <c r="DD808" s="54"/>
      <c r="DE808" s="54"/>
      <c r="DF808" s="54"/>
      <c r="DG808" s="54"/>
      <c r="DH808" s="54"/>
      <c r="DI808" s="54"/>
      <c r="DJ808" s="54"/>
      <c r="DK808" s="54"/>
      <c r="DL808" s="54"/>
      <c r="DM808" s="54"/>
    </row>
    <row r="809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  <c r="CW809" s="54"/>
      <c r="CX809" s="54"/>
      <c r="CY809" s="54"/>
      <c r="CZ809" s="54"/>
      <c r="DA809" s="54"/>
      <c r="DB809" s="54"/>
      <c r="DC809" s="54"/>
      <c r="DD809" s="54"/>
      <c r="DE809" s="54"/>
      <c r="DF809" s="54"/>
      <c r="DG809" s="54"/>
      <c r="DH809" s="54"/>
      <c r="DI809" s="54"/>
      <c r="DJ809" s="54"/>
      <c r="DK809" s="54"/>
      <c r="DL809" s="54"/>
      <c r="DM809" s="54"/>
    </row>
    <row r="810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  <c r="CW810" s="54"/>
      <c r="CX810" s="54"/>
      <c r="CY810" s="54"/>
      <c r="CZ810" s="54"/>
      <c r="DA810" s="54"/>
      <c r="DB810" s="54"/>
      <c r="DC810" s="54"/>
      <c r="DD810" s="54"/>
      <c r="DE810" s="54"/>
      <c r="DF810" s="54"/>
      <c r="DG810" s="54"/>
      <c r="DH810" s="54"/>
      <c r="DI810" s="54"/>
      <c r="DJ810" s="54"/>
      <c r="DK810" s="54"/>
      <c r="DL810" s="54"/>
      <c r="DM810" s="54"/>
    </row>
    <row r="81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  <c r="CW811" s="54"/>
      <c r="CX811" s="54"/>
      <c r="CY811" s="54"/>
      <c r="CZ811" s="54"/>
      <c r="DA811" s="54"/>
      <c r="DB811" s="54"/>
      <c r="DC811" s="54"/>
      <c r="DD811" s="54"/>
      <c r="DE811" s="54"/>
      <c r="DF811" s="54"/>
      <c r="DG811" s="54"/>
      <c r="DH811" s="54"/>
      <c r="DI811" s="54"/>
      <c r="DJ811" s="54"/>
      <c r="DK811" s="54"/>
      <c r="DL811" s="54"/>
      <c r="DM811" s="54"/>
    </row>
    <row r="812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  <c r="CW812" s="54"/>
      <c r="CX812" s="54"/>
      <c r="CY812" s="54"/>
      <c r="CZ812" s="54"/>
      <c r="DA812" s="54"/>
      <c r="DB812" s="54"/>
      <c r="DC812" s="54"/>
      <c r="DD812" s="54"/>
      <c r="DE812" s="54"/>
      <c r="DF812" s="54"/>
      <c r="DG812" s="54"/>
      <c r="DH812" s="54"/>
      <c r="DI812" s="54"/>
      <c r="DJ812" s="54"/>
      <c r="DK812" s="54"/>
      <c r="DL812" s="54"/>
      <c r="DM812" s="54"/>
    </row>
    <row r="81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  <c r="CW813" s="54"/>
      <c r="CX813" s="54"/>
      <c r="CY813" s="54"/>
      <c r="CZ813" s="54"/>
      <c r="DA813" s="54"/>
      <c r="DB813" s="54"/>
      <c r="DC813" s="54"/>
      <c r="DD813" s="54"/>
      <c r="DE813" s="54"/>
      <c r="DF813" s="54"/>
      <c r="DG813" s="54"/>
      <c r="DH813" s="54"/>
      <c r="DI813" s="54"/>
      <c r="DJ813" s="54"/>
      <c r="DK813" s="54"/>
      <c r="DL813" s="54"/>
      <c r="DM813" s="54"/>
    </row>
    <row r="814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  <c r="CW814" s="54"/>
      <c r="CX814" s="54"/>
      <c r="CY814" s="54"/>
      <c r="CZ814" s="54"/>
      <c r="DA814" s="54"/>
      <c r="DB814" s="54"/>
      <c r="DC814" s="54"/>
      <c r="DD814" s="54"/>
      <c r="DE814" s="54"/>
      <c r="DF814" s="54"/>
      <c r="DG814" s="54"/>
      <c r="DH814" s="54"/>
      <c r="DI814" s="54"/>
      <c r="DJ814" s="54"/>
      <c r="DK814" s="54"/>
      <c r="DL814" s="54"/>
      <c r="DM814" s="54"/>
    </row>
    <row r="81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  <c r="CW815" s="54"/>
      <c r="CX815" s="54"/>
      <c r="CY815" s="54"/>
      <c r="CZ815" s="54"/>
      <c r="DA815" s="54"/>
      <c r="DB815" s="54"/>
      <c r="DC815" s="54"/>
      <c r="DD815" s="54"/>
      <c r="DE815" s="54"/>
      <c r="DF815" s="54"/>
      <c r="DG815" s="54"/>
      <c r="DH815" s="54"/>
      <c r="DI815" s="54"/>
      <c r="DJ815" s="54"/>
      <c r="DK815" s="54"/>
      <c r="DL815" s="54"/>
      <c r="DM815" s="54"/>
    </row>
    <row r="816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  <c r="CW816" s="54"/>
      <c r="CX816" s="54"/>
      <c r="CY816" s="54"/>
      <c r="CZ816" s="54"/>
      <c r="DA816" s="54"/>
      <c r="DB816" s="54"/>
      <c r="DC816" s="54"/>
      <c r="DD816" s="54"/>
      <c r="DE816" s="54"/>
      <c r="DF816" s="54"/>
      <c r="DG816" s="54"/>
      <c r="DH816" s="54"/>
      <c r="DI816" s="54"/>
      <c r="DJ816" s="54"/>
      <c r="DK816" s="54"/>
      <c r="DL816" s="54"/>
      <c r="DM816" s="54"/>
    </row>
    <row r="817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  <c r="CW817" s="54"/>
      <c r="CX817" s="54"/>
      <c r="CY817" s="54"/>
      <c r="CZ817" s="54"/>
      <c r="DA817" s="54"/>
      <c r="DB817" s="54"/>
      <c r="DC817" s="54"/>
      <c r="DD817" s="54"/>
      <c r="DE817" s="54"/>
      <c r="DF817" s="54"/>
      <c r="DG817" s="54"/>
      <c r="DH817" s="54"/>
      <c r="DI817" s="54"/>
      <c r="DJ817" s="54"/>
      <c r="DK817" s="54"/>
      <c r="DL817" s="54"/>
      <c r="DM817" s="54"/>
    </row>
    <row r="818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  <c r="CW818" s="54"/>
      <c r="CX818" s="54"/>
      <c r="CY818" s="54"/>
      <c r="CZ818" s="54"/>
      <c r="DA818" s="54"/>
      <c r="DB818" s="54"/>
      <c r="DC818" s="54"/>
      <c r="DD818" s="54"/>
      <c r="DE818" s="54"/>
      <c r="DF818" s="54"/>
      <c r="DG818" s="54"/>
      <c r="DH818" s="54"/>
      <c r="DI818" s="54"/>
      <c r="DJ818" s="54"/>
      <c r="DK818" s="54"/>
      <c r="DL818" s="54"/>
      <c r="DM818" s="54"/>
    </row>
    <row r="819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  <c r="CW819" s="54"/>
      <c r="CX819" s="54"/>
      <c r="CY819" s="54"/>
      <c r="CZ819" s="54"/>
      <c r="DA819" s="54"/>
      <c r="DB819" s="54"/>
      <c r="DC819" s="54"/>
      <c r="DD819" s="54"/>
      <c r="DE819" s="54"/>
      <c r="DF819" s="54"/>
      <c r="DG819" s="54"/>
      <c r="DH819" s="54"/>
      <c r="DI819" s="54"/>
      <c r="DJ819" s="54"/>
      <c r="DK819" s="54"/>
      <c r="DL819" s="54"/>
      <c r="DM819" s="54"/>
    </row>
    <row r="820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  <c r="CW820" s="54"/>
      <c r="CX820" s="54"/>
      <c r="CY820" s="54"/>
      <c r="CZ820" s="54"/>
      <c r="DA820" s="54"/>
      <c r="DB820" s="54"/>
      <c r="DC820" s="54"/>
      <c r="DD820" s="54"/>
      <c r="DE820" s="54"/>
      <c r="DF820" s="54"/>
      <c r="DG820" s="54"/>
      <c r="DH820" s="54"/>
      <c r="DI820" s="54"/>
      <c r="DJ820" s="54"/>
      <c r="DK820" s="54"/>
      <c r="DL820" s="54"/>
      <c r="DM820" s="54"/>
    </row>
    <row r="82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  <c r="CW821" s="54"/>
      <c r="CX821" s="54"/>
      <c r="CY821" s="54"/>
      <c r="CZ821" s="54"/>
      <c r="DA821" s="54"/>
      <c r="DB821" s="54"/>
      <c r="DC821" s="54"/>
      <c r="DD821" s="54"/>
      <c r="DE821" s="54"/>
      <c r="DF821" s="54"/>
      <c r="DG821" s="54"/>
      <c r="DH821" s="54"/>
      <c r="DI821" s="54"/>
      <c r="DJ821" s="54"/>
      <c r="DK821" s="54"/>
      <c r="DL821" s="54"/>
      <c r="DM821" s="54"/>
    </row>
    <row r="822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  <c r="CW822" s="54"/>
      <c r="CX822" s="54"/>
      <c r="CY822" s="54"/>
      <c r="CZ822" s="54"/>
      <c r="DA822" s="54"/>
      <c r="DB822" s="54"/>
      <c r="DC822" s="54"/>
      <c r="DD822" s="54"/>
      <c r="DE822" s="54"/>
      <c r="DF822" s="54"/>
      <c r="DG822" s="54"/>
      <c r="DH822" s="54"/>
      <c r="DI822" s="54"/>
      <c r="DJ822" s="54"/>
      <c r="DK822" s="54"/>
      <c r="DL822" s="54"/>
      <c r="DM822" s="54"/>
    </row>
    <row r="82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  <c r="CW823" s="54"/>
      <c r="CX823" s="54"/>
      <c r="CY823" s="54"/>
      <c r="CZ823" s="54"/>
      <c r="DA823" s="54"/>
      <c r="DB823" s="54"/>
      <c r="DC823" s="54"/>
      <c r="DD823" s="54"/>
      <c r="DE823" s="54"/>
      <c r="DF823" s="54"/>
      <c r="DG823" s="54"/>
      <c r="DH823" s="54"/>
      <c r="DI823" s="54"/>
      <c r="DJ823" s="54"/>
      <c r="DK823" s="54"/>
      <c r="DL823" s="54"/>
      <c r="DM823" s="54"/>
    </row>
    <row r="824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  <c r="CW824" s="54"/>
      <c r="CX824" s="54"/>
      <c r="CY824" s="54"/>
      <c r="CZ824" s="54"/>
      <c r="DA824" s="54"/>
      <c r="DB824" s="54"/>
      <c r="DC824" s="54"/>
      <c r="DD824" s="54"/>
      <c r="DE824" s="54"/>
      <c r="DF824" s="54"/>
      <c r="DG824" s="54"/>
      <c r="DH824" s="54"/>
      <c r="DI824" s="54"/>
      <c r="DJ824" s="54"/>
      <c r="DK824" s="54"/>
      <c r="DL824" s="54"/>
      <c r="DM824" s="54"/>
    </row>
    <row r="8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  <c r="CW825" s="54"/>
      <c r="CX825" s="54"/>
      <c r="CY825" s="54"/>
      <c r="CZ825" s="54"/>
      <c r="DA825" s="54"/>
      <c r="DB825" s="54"/>
      <c r="DC825" s="54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</row>
    <row r="826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  <c r="CW826" s="54"/>
      <c r="CX826" s="54"/>
      <c r="CY826" s="54"/>
      <c r="CZ826" s="54"/>
      <c r="DA826" s="54"/>
      <c r="DB826" s="54"/>
      <c r="DC826" s="54"/>
      <c r="DD826" s="54"/>
      <c r="DE826" s="54"/>
      <c r="DF826" s="54"/>
      <c r="DG826" s="54"/>
      <c r="DH826" s="54"/>
      <c r="DI826" s="54"/>
      <c r="DJ826" s="54"/>
      <c r="DK826" s="54"/>
      <c r="DL826" s="54"/>
      <c r="DM826" s="54"/>
    </row>
    <row r="827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  <c r="CW827" s="54"/>
      <c r="CX827" s="54"/>
      <c r="CY827" s="54"/>
      <c r="CZ827" s="54"/>
      <c r="DA827" s="54"/>
      <c r="DB827" s="54"/>
      <c r="DC827" s="54"/>
      <c r="DD827" s="54"/>
      <c r="DE827" s="54"/>
      <c r="DF827" s="54"/>
      <c r="DG827" s="54"/>
      <c r="DH827" s="54"/>
      <c r="DI827" s="54"/>
      <c r="DJ827" s="54"/>
      <c r="DK827" s="54"/>
      <c r="DL827" s="54"/>
      <c r="DM827" s="54"/>
    </row>
    <row r="828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  <c r="CW828" s="54"/>
      <c r="CX828" s="54"/>
      <c r="CY828" s="54"/>
      <c r="CZ828" s="54"/>
      <c r="DA828" s="54"/>
      <c r="DB828" s="54"/>
      <c r="DC828" s="54"/>
      <c r="DD828" s="54"/>
      <c r="DE828" s="54"/>
      <c r="DF828" s="54"/>
      <c r="DG828" s="54"/>
      <c r="DH828" s="54"/>
      <c r="DI828" s="54"/>
      <c r="DJ828" s="54"/>
      <c r="DK828" s="54"/>
      <c r="DL828" s="54"/>
      <c r="DM828" s="54"/>
    </row>
    <row r="829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  <c r="CW829" s="54"/>
      <c r="CX829" s="54"/>
      <c r="CY829" s="54"/>
      <c r="CZ829" s="54"/>
      <c r="DA829" s="54"/>
      <c r="DB829" s="54"/>
      <c r="DC829" s="54"/>
      <c r="DD829" s="54"/>
      <c r="DE829" s="54"/>
      <c r="DF829" s="54"/>
      <c r="DG829" s="54"/>
      <c r="DH829" s="54"/>
      <c r="DI829" s="54"/>
      <c r="DJ829" s="54"/>
      <c r="DK829" s="54"/>
      <c r="DL829" s="54"/>
      <c r="DM829" s="54"/>
    </row>
    <row r="830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  <c r="CW830" s="54"/>
      <c r="CX830" s="54"/>
      <c r="CY830" s="54"/>
      <c r="CZ830" s="54"/>
      <c r="DA830" s="54"/>
      <c r="DB830" s="54"/>
      <c r="DC830" s="54"/>
      <c r="DD830" s="54"/>
      <c r="DE830" s="54"/>
      <c r="DF830" s="54"/>
      <c r="DG830" s="54"/>
      <c r="DH830" s="54"/>
      <c r="DI830" s="54"/>
      <c r="DJ830" s="54"/>
      <c r="DK830" s="54"/>
      <c r="DL830" s="54"/>
      <c r="DM830" s="54"/>
    </row>
    <row r="83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  <c r="CW831" s="54"/>
      <c r="CX831" s="54"/>
      <c r="CY831" s="54"/>
      <c r="CZ831" s="54"/>
      <c r="DA831" s="54"/>
      <c r="DB831" s="54"/>
      <c r="DC831" s="54"/>
      <c r="DD831" s="54"/>
      <c r="DE831" s="54"/>
      <c r="DF831" s="54"/>
      <c r="DG831" s="54"/>
      <c r="DH831" s="54"/>
      <c r="DI831" s="54"/>
      <c r="DJ831" s="54"/>
      <c r="DK831" s="54"/>
      <c r="DL831" s="54"/>
      <c r="DM831" s="54"/>
    </row>
    <row r="832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</row>
    <row r="83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</row>
    <row r="834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</row>
    <row r="83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</row>
    <row r="836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</row>
    <row r="837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</row>
    <row r="838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</row>
    <row r="839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</row>
    <row r="840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</row>
    <row r="84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</row>
    <row r="842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</row>
    <row r="84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</row>
    <row r="844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</row>
    <row r="84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</row>
    <row r="846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</row>
    <row r="847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</row>
    <row r="848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</row>
    <row r="849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</row>
    <row r="850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</row>
    <row r="85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</row>
    <row r="852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</row>
    <row r="85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</row>
    <row r="854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</row>
    <row r="85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</row>
    <row r="856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</row>
    <row r="857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</row>
    <row r="858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</row>
    <row r="859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</row>
    <row r="860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</row>
    <row r="86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</row>
    <row r="862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</row>
    <row r="86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</row>
    <row r="864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</row>
    <row r="86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</row>
    <row r="866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</row>
    <row r="867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</row>
    <row r="868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</row>
    <row r="869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</row>
    <row r="870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</row>
    <row r="87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</row>
    <row r="872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</row>
    <row r="87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</row>
    <row r="874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</row>
    <row r="87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</row>
    <row r="876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</row>
    <row r="877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</row>
    <row r="878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</row>
    <row r="879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</row>
    <row r="880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</row>
    <row r="88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</row>
    <row r="882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</row>
    <row r="88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</row>
    <row r="884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  <c r="CW884" s="54"/>
      <c r="CX884" s="54"/>
      <c r="CY884" s="54"/>
      <c r="CZ884" s="54"/>
      <c r="DA884" s="54"/>
      <c r="DB884" s="54"/>
      <c r="DC884" s="54"/>
      <c r="DD884" s="54"/>
      <c r="DE884" s="54"/>
      <c r="DF884" s="54"/>
      <c r="DG884" s="54"/>
      <c r="DH884" s="54"/>
      <c r="DI884" s="54"/>
      <c r="DJ884" s="54"/>
      <c r="DK884" s="54"/>
      <c r="DL884" s="54"/>
      <c r="DM884" s="54"/>
    </row>
    <row r="88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  <c r="CW885" s="54"/>
      <c r="CX885" s="54"/>
      <c r="CY885" s="54"/>
      <c r="CZ885" s="54"/>
      <c r="DA885" s="54"/>
      <c r="DB885" s="54"/>
      <c r="DC885" s="54"/>
      <c r="DD885" s="54"/>
      <c r="DE885" s="54"/>
      <c r="DF885" s="54"/>
      <c r="DG885" s="54"/>
      <c r="DH885" s="54"/>
      <c r="DI885" s="54"/>
      <c r="DJ885" s="54"/>
      <c r="DK885" s="54"/>
      <c r="DL885" s="54"/>
      <c r="DM885" s="54"/>
    </row>
    <row r="886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  <c r="CW886" s="54"/>
      <c r="CX886" s="54"/>
      <c r="CY886" s="54"/>
      <c r="CZ886" s="54"/>
      <c r="DA886" s="54"/>
      <c r="DB886" s="54"/>
      <c r="DC886" s="54"/>
      <c r="DD886" s="54"/>
      <c r="DE886" s="54"/>
      <c r="DF886" s="54"/>
      <c r="DG886" s="54"/>
      <c r="DH886" s="54"/>
      <c r="DI886" s="54"/>
      <c r="DJ886" s="54"/>
      <c r="DK886" s="54"/>
      <c r="DL886" s="54"/>
      <c r="DM886" s="54"/>
    </row>
    <row r="887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  <c r="CW887" s="54"/>
      <c r="CX887" s="54"/>
      <c r="CY887" s="54"/>
      <c r="CZ887" s="54"/>
      <c r="DA887" s="54"/>
      <c r="DB887" s="54"/>
      <c r="DC887" s="54"/>
      <c r="DD887" s="54"/>
      <c r="DE887" s="54"/>
      <c r="DF887" s="54"/>
      <c r="DG887" s="54"/>
      <c r="DH887" s="54"/>
      <c r="DI887" s="54"/>
      <c r="DJ887" s="54"/>
      <c r="DK887" s="54"/>
      <c r="DL887" s="54"/>
      <c r="DM887" s="54"/>
    </row>
    <row r="888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  <c r="CW888" s="54"/>
      <c r="CX888" s="54"/>
      <c r="CY888" s="54"/>
      <c r="CZ888" s="54"/>
      <c r="DA888" s="54"/>
      <c r="DB888" s="54"/>
      <c r="DC888" s="54"/>
      <c r="DD888" s="54"/>
      <c r="DE888" s="54"/>
      <c r="DF888" s="54"/>
      <c r="DG888" s="54"/>
      <c r="DH888" s="54"/>
      <c r="DI888" s="54"/>
      <c r="DJ888" s="54"/>
      <c r="DK888" s="54"/>
      <c r="DL888" s="54"/>
      <c r="DM888" s="54"/>
    </row>
    <row r="889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  <c r="CW889" s="54"/>
      <c r="CX889" s="54"/>
      <c r="CY889" s="54"/>
      <c r="CZ889" s="54"/>
      <c r="DA889" s="54"/>
      <c r="DB889" s="54"/>
      <c r="DC889" s="54"/>
      <c r="DD889" s="54"/>
      <c r="DE889" s="54"/>
      <c r="DF889" s="54"/>
      <c r="DG889" s="54"/>
      <c r="DH889" s="54"/>
      <c r="DI889" s="54"/>
      <c r="DJ889" s="54"/>
      <c r="DK889" s="54"/>
      <c r="DL889" s="54"/>
      <c r="DM889" s="54"/>
    </row>
    <row r="890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  <c r="CW890" s="54"/>
      <c r="CX890" s="54"/>
      <c r="CY890" s="54"/>
      <c r="CZ890" s="54"/>
      <c r="DA890" s="54"/>
      <c r="DB890" s="54"/>
      <c r="DC890" s="54"/>
      <c r="DD890" s="54"/>
      <c r="DE890" s="54"/>
      <c r="DF890" s="54"/>
      <c r="DG890" s="54"/>
      <c r="DH890" s="54"/>
      <c r="DI890" s="54"/>
      <c r="DJ890" s="54"/>
      <c r="DK890" s="54"/>
      <c r="DL890" s="54"/>
      <c r="DM890" s="54"/>
    </row>
    <row r="89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  <c r="CW891" s="54"/>
      <c r="CX891" s="54"/>
      <c r="CY891" s="54"/>
      <c r="CZ891" s="54"/>
      <c r="DA891" s="54"/>
      <c r="DB891" s="54"/>
      <c r="DC891" s="54"/>
      <c r="DD891" s="54"/>
      <c r="DE891" s="54"/>
      <c r="DF891" s="54"/>
      <c r="DG891" s="54"/>
      <c r="DH891" s="54"/>
      <c r="DI891" s="54"/>
      <c r="DJ891" s="54"/>
      <c r="DK891" s="54"/>
      <c r="DL891" s="54"/>
      <c r="DM891" s="54"/>
    </row>
    <row r="892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  <c r="CW892" s="54"/>
      <c r="CX892" s="54"/>
      <c r="CY892" s="54"/>
      <c r="CZ892" s="54"/>
      <c r="DA892" s="54"/>
      <c r="DB892" s="54"/>
      <c r="DC892" s="54"/>
      <c r="DD892" s="54"/>
      <c r="DE892" s="54"/>
      <c r="DF892" s="54"/>
      <c r="DG892" s="54"/>
      <c r="DH892" s="54"/>
      <c r="DI892" s="54"/>
      <c r="DJ892" s="54"/>
      <c r="DK892" s="54"/>
      <c r="DL892" s="54"/>
      <c r="DM892" s="54"/>
    </row>
    <row r="89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  <c r="CW893" s="54"/>
      <c r="CX893" s="54"/>
      <c r="CY893" s="54"/>
      <c r="CZ893" s="54"/>
      <c r="DA893" s="54"/>
      <c r="DB893" s="54"/>
      <c r="DC893" s="54"/>
      <c r="DD893" s="54"/>
      <c r="DE893" s="54"/>
      <c r="DF893" s="54"/>
      <c r="DG893" s="54"/>
      <c r="DH893" s="54"/>
      <c r="DI893" s="54"/>
      <c r="DJ893" s="54"/>
      <c r="DK893" s="54"/>
      <c r="DL893" s="54"/>
      <c r="DM893" s="54"/>
    </row>
    <row r="894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  <c r="CW894" s="54"/>
      <c r="CX894" s="54"/>
      <c r="CY894" s="54"/>
      <c r="CZ894" s="54"/>
      <c r="DA894" s="54"/>
      <c r="DB894" s="54"/>
      <c r="DC894" s="54"/>
      <c r="DD894" s="54"/>
      <c r="DE894" s="54"/>
      <c r="DF894" s="54"/>
      <c r="DG894" s="54"/>
      <c r="DH894" s="54"/>
      <c r="DI894" s="54"/>
      <c r="DJ894" s="54"/>
      <c r="DK894" s="54"/>
      <c r="DL894" s="54"/>
      <c r="DM894" s="54"/>
    </row>
    <row r="89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  <c r="CW895" s="54"/>
      <c r="CX895" s="54"/>
      <c r="CY895" s="54"/>
      <c r="CZ895" s="54"/>
      <c r="DA895" s="54"/>
      <c r="DB895" s="54"/>
      <c r="DC895" s="54"/>
      <c r="DD895" s="54"/>
      <c r="DE895" s="54"/>
      <c r="DF895" s="54"/>
      <c r="DG895" s="54"/>
      <c r="DH895" s="54"/>
      <c r="DI895" s="54"/>
      <c r="DJ895" s="54"/>
      <c r="DK895" s="54"/>
      <c r="DL895" s="54"/>
      <c r="DM895" s="54"/>
    </row>
    <row r="896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  <c r="CW896" s="54"/>
      <c r="CX896" s="54"/>
      <c r="CY896" s="54"/>
      <c r="CZ896" s="54"/>
      <c r="DA896" s="54"/>
      <c r="DB896" s="54"/>
      <c r="DC896" s="54"/>
      <c r="DD896" s="54"/>
      <c r="DE896" s="54"/>
      <c r="DF896" s="54"/>
      <c r="DG896" s="54"/>
      <c r="DH896" s="54"/>
      <c r="DI896" s="54"/>
      <c r="DJ896" s="54"/>
      <c r="DK896" s="54"/>
      <c r="DL896" s="54"/>
      <c r="DM896" s="54"/>
    </row>
    <row r="897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  <c r="CW897" s="54"/>
      <c r="CX897" s="54"/>
      <c r="CY897" s="54"/>
      <c r="CZ897" s="54"/>
      <c r="DA897" s="54"/>
      <c r="DB897" s="54"/>
      <c r="DC897" s="54"/>
      <c r="DD897" s="54"/>
      <c r="DE897" s="54"/>
      <c r="DF897" s="54"/>
      <c r="DG897" s="54"/>
      <c r="DH897" s="54"/>
      <c r="DI897" s="54"/>
      <c r="DJ897" s="54"/>
      <c r="DK897" s="54"/>
      <c r="DL897" s="54"/>
      <c r="DM897" s="54"/>
    </row>
    <row r="898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  <c r="CW898" s="54"/>
      <c r="CX898" s="54"/>
      <c r="CY898" s="54"/>
      <c r="CZ898" s="54"/>
      <c r="DA898" s="54"/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54"/>
      <c r="DM898" s="54"/>
    </row>
    <row r="899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  <c r="CW899" s="54"/>
      <c r="CX899" s="54"/>
      <c r="CY899" s="54"/>
      <c r="CZ899" s="54"/>
      <c r="DA899" s="54"/>
      <c r="DB899" s="54"/>
      <c r="DC899" s="54"/>
      <c r="DD899" s="54"/>
      <c r="DE899" s="54"/>
      <c r="DF899" s="54"/>
      <c r="DG899" s="54"/>
      <c r="DH899" s="54"/>
      <c r="DI899" s="54"/>
      <c r="DJ899" s="54"/>
      <c r="DK899" s="54"/>
      <c r="DL899" s="54"/>
      <c r="DM899" s="54"/>
    </row>
    <row r="900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  <c r="CW900" s="54"/>
      <c r="CX900" s="54"/>
      <c r="CY900" s="54"/>
      <c r="CZ900" s="54"/>
      <c r="DA900" s="54"/>
      <c r="DB900" s="54"/>
      <c r="DC900" s="54"/>
      <c r="DD900" s="54"/>
      <c r="DE900" s="54"/>
      <c r="DF900" s="54"/>
      <c r="DG900" s="54"/>
      <c r="DH900" s="54"/>
      <c r="DI900" s="54"/>
      <c r="DJ900" s="54"/>
      <c r="DK900" s="54"/>
      <c r="DL900" s="54"/>
      <c r="DM900" s="54"/>
    </row>
    <row r="90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  <c r="CW901" s="54"/>
      <c r="CX901" s="54"/>
      <c r="CY901" s="54"/>
      <c r="CZ901" s="54"/>
      <c r="DA901" s="54"/>
      <c r="DB901" s="54"/>
      <c r="DC901" s="54"/>
      <c r="DD901" s="54"/>
      <c r="DE901" s="54"/>
      <c r="DF901" s="54"/>
      <c r="DG901" s="54"/>
      <c r="DH901" s="54"/>
      <c r="DI901" s="54"/>
      <c r="DJ901" s="54"/>
      <c r="DK901" s="54"/>
      <c r="DL901" s="54"/>
      <c r="DM901" s="54"/>
    </row>
    <row r="902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  <c r="CW902" s="54"/>
      <c r="CX902" s="54"/>
      <c r="CY902" s="54"/>
      <c r="CZ902" s="54"/>
      <c r="DA902" s="54"/>
      <c r="DB902" s="54"/>
      <c r="DC902" s="54"/>
      <c r="DD902" s="54"/>
      <c r="DE902" s="54"/>
      <c r="DF902" s="54"/>
      <c r="DG902" s="54"/>
      <c r="DH902" s="54"/>
      <c r="DI902" s="54"/>
      <c r="DJ902" s="54"/>
      <c r="DK902" s="54"/>
      <c r="DL902" s="54"/>
      <c r="DM902" s="54"/>
    </row>
    <row r="90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  <c r="CW903" s="54"/>
      <c r="CX903" s="54"/>
      <c r="CY903" s="54"/>
      <c r="CZ903" s="54"/>
      <c r="DA903" s="54"/>
      <c r="DB903" s="54"/>
      <c r="DC903" s="54"/>
      <c r="DD903" s="54"/>
      <c r="DE903" s="54"/>
      <c r="DF903" s="54"/>
      <c r="DG903" s="54"/>
      <c r="DH903" s="54"/>
      <c r="DI903" s="54"/>
      <c r="DJ903" s="54"/>
      <c r="DK903" s="54"/>
      <c r="DL903" s="54"/>
      <c r="DM903" s="54"/>
    </row>
    <row r="904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  <c r="CW904" s="54"/>
      <c r="CX904" s="54"/>
      <c r="CY904" s="54"/>
      <c r="CZ904" s="54"/>
      <c r="DA904" s="54"/>
      <c r="DB904" s="54"/>
      <c r="DC904" s="54"/>
      <c r="DD904" s="54"/>
      <c r="DE904" s="54"/>
      <c r="DF904" s="54"/>
      <c r="DG904" s="54"/>
      <c r="DH904" s="54"/>
      <c r="DI904" s="54"/>
      <c r="DJ904" s="54"/>
      <c r="DK904" s="54"/>
      <c r="DL904" s="54"/>
      <c r="DM904" s="54"/>
    </row>
    <row r="90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  <c r="CW905" s="54"/>
      <c r="CX905" s="54"/>
      <c r="CY905" s="54"/>
      <c r="CZ905" s="54"/>
      <c r="DA905" s="54"/>
      <c r="DB905" s="54"/>
      <c r="DC905" s="54"/>
      <c r="DD905" s="54"/>
      <c r="DE905" s="54"/>
      <c r="DF905" s="54"/>
      <c r="DG905" s="54"/>
      <c r="DH905" s="54"/>
      <c r="DI905" s="54"/>
      <c r="DJ905" s="54"/>
      <c r="DK905" s="54"/>
      <c r="DL905" s="54"/>
      <c r="DM905" s="54"/>
    </row>
    <row r="906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  <c r="CW906" s="54"/>
      <c r="CX906" s="54"/>
      <c r="CY906" s="54"/>
      <c r="CZ906" s="54"/>
      <c r="DA906" s="54"/>
      <c r="DB906" s="54"/>
      <c r="DC906" s="54"/>
      <c r="DD906" s="54"/>
      <c r="DE906" s="54"/>
      <c r="DF906" s="54"/>
      <c r="DG906" s="54"/>
      <c r="DH906" s="54"/>
      <c r="DI906" s="54"/>
      <c r="DJ906" s="54"/>
      <c r="DK906" s="54"/>
      <c r="DL906" s="54"/>
      <c r="DM906" s="54"/>
    </row>
    <row r="907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  <c r="CW907" s="54"/>
      <c r="CX907" s="54"/>
      <c r="CY907" s="54"/>
      <c r="CZ907" s="54"/>
      <c r="DA907" s="54"/>
      <c r="DB907" s="54"/>
      <c r="DC907" s="54"/>
      <c r="DD907" s="54"/>
      <c r="DE907" s="54"/>
      <c r="DF907" s="54"/>
      <c r="DG907" s="54"/>
      <c r="DH907" s="54"/>
      <c r="DI907" s="54"/>
      <c r="DJ907" s="54"/>
      <c r="DK907" s="54"/>
      <c r="DL907" s="54"/>
      <c r="DM907" s="54"/>
    </row>
    <row r="908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  <c r="CW908" s="54"/>
      <c r="CX908" s="54"/>
      <c r="CY908" s="54"/>
      <c r="CZ908" s="54"/>
      <c r="DA908" s="54"/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54"/>
      <c r="DM908" s="54"/>
    </row>
    <row r="909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  <c r="CW909" s="54"/>
      <c r="CX909" s="54"/>
      <c r="CY909" s="54"/>
      <c r="CZ909" s="54"/>
      <c r="DA909" s="54"/>
      <c r="DB909" s="54"/>
      <c r="DC909" s="54"/>
      <c r="DD909" s="54"/>
      <c r="DE909" s="54"/>
      <c r="DF909" s="54"/>
      <c r="DG909" s="54"/>
      <c r="DH909" s="54"/>
      <c r="DI909" s="54"/>
      <c r="DJ909" s="54"/>
      <c r="DK909" s="54"/>
      <c r="DL909" s="54"/>
      <c r="DM909" s="54"/>
    </row>
    <row r="910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  <c r="CW910" s="54"/>
      <c r="CX910" s="54"/>
      <c r="CY910" s="54"/>
      <c r="CZ910" s="54"/>
      <c r="DA910" s="54"/>
      <c r="DB910" s="54"/>
      <c r="DC910" s="54"/>
      <c r="DD910" s="54"/>
      <c r="DE910" s="54"/>
      <c r="DF910" s="54"/>
      <c r="DG910" s="54"/>
      <c r="DH910" s="54"/>
      <c r="DI910" s="54"/>
      <c r="DJ910" s="54"/>
      <c r="DK910" s="54"/>
      <c r="DL910" s="54"/>
      <c r="DM910" s="54"/>
    </row>
    <row r="91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  <c r="CW911" s="54"/>
      <c r="CX911" s="54"/>
      <c r="CY911" s="54"/>
      <c r="CZ911" s="54"/>
      <c r="DA911" s="54"/>
      <c r="DB911" s="54"/>
      <c r="DC911" s="54"/>
      <c r="DD911" s="54"/>
      <c r="DE911" s="54"/>
      <c r="DF911" s="54"/>
      <c r="DG911" s="54"/>
      <c r="DH911" s="54"/>
      <c r="DI911" s="54"/>
      <c r="DJ911" s="54"/>
      <c r="DK911" s="54"/>
      <c r="DL911" s="54"/>
      <c r="DM911" s="54"/>
    </row>
    <row r="912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  <c r="CW912" s="54"/>
      <c r="CX912" s="54"/>
      <c r="CY912" s="54"/>
      <c r="CZ912" s="54"/>
      <c r="DA912" s="54"/>
      <c r="DB912" s="54"/>
      <c r="DC912" s="54"/>
      <c r="DD912" s="54"/>
      <c r="DE912" s="54"/>
      <c r="DF912" s="54"/>
      <c r="DG912" s="54"/>
      <c r="DH912" s="54"/>
      <c r="DI912" s="54"/>
      <c r="DJ912" s="54"/>
      <c r="DK912" s="54"/>
      <c r="DL912" s="54"/>
      <c r="DM912" s="54"/>
    </row>
    <row r="91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  <c r="CW913" s="54"/>
      <c r="CX913" s="54"/>
      <c r="CY913" s="54"/>
      <c r="CZ913" s="54"/>
      <c r="DA913" s="54"/>
      <c r="DB913" s="54"/>
      <c r="DC913" s="54"/>
      <c r="DD913" s="54"/>
      <c r="DE913" s="54"/>
      <c r="DF913" s="54"/>
      <c r="DG913" s="54"/>
      <c r="DH913" s="54"/>
      <c r="DI913" s="54"/>
      <c r="DJ913" s="54"/>
      <c r="DK913" s="54"/>
      <c r="DL913" s="54"/>
      <c r="DM913" s="54"/>
    </row>
    <row r="914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  <c r="CW914" s="54"/>
      <c r="CX914" s="54"/>
      <c r="CY914" s="54"/>
      <c r="CZ914" s="54"/>
      <c r="DA914" s="54"/>
      <c r="DB914" s="54"/>
      <c r="DC914" s="54"/>
      <c r="DD914" s="54"/>
      <c r="DE914" s="54"/>
      <c r="DF914" s="54"/>
      <c r="DG914" s="54"/>
      <c r="DH914" s="54"/>
      <c r="DI914" s="54"/>
      <c r="DJ914" s="54"/>
      <c r="DK914" s="54"/>
      <c r="DL914" s="54"/>
      <c r="DM914" s="54"/>
    </row>
    <row r="91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  <c r="CW915" s="54"/>
      <c r="CX915" s="54"/>
      <c r="CY915" s="54"/>
      <c r="CZ915" s="54"/>
      <c r="DA915" s="54"/>
      <c r="DB915" s="54"/>
      <c r="DC915" s="54"/>
      <c r="DD915" s="54"/>
      <c r="DE915" s="54"/>
      <c r="DF915" s="54"/>
      <c r="DG915" s="54"/>
      <c r="DH915" s="54"/>
      <c r="DI915" s="54"/>
      <c r="DJ915" s="54"/>
      <c r="DK915" s="54"/>
      <c r="DL915" s="54"/>
      <c r="DM915" s="54"/>
    </row>
    <row r="916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  <c r="CW916" s="54"/>
      <c r="CX916" s="54"/>
      <c r="CY916" s="54"/>
      <c r="CZ916" s="54"/>
      <c r="DA916" s="54"/>
      <c r="DB916" s="54"/>
      <c r="DC916" s="54"/>
      <c r="DD916" s="54"/>
      <c r="DE916" s="54"/>
      <c r="DF916" s="54"/>
      <c r="DG916" s="54"/>
      <c r="DH916" s="54"/>
      <c r="DI916" s="54"/>
      <c r="DJ916" s="54"/>
      <c r="DK916" s="54"/>
      <c r="DL916" s="54"/>
      <c r="DM916" s="54"/>
    </row>
    <row r="917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  <c r="CW917" s="54"/>
      <c r="CX917" s="54"/>
      <c r="CY917" s="54"/>
      <c r="CZ917" s="54"/>
      <c r="DA917" s="54"/>
      <c r="DB917" s="54"/>
      <c r="DC917" s="54"/>
      <c r="DD917" s="54"/>
      <c r="DE917" s="54"/>
      <c r="DF917" s="54"/>
      <c r="DG917" s="54"/>
      <c r="DH917" s="54"/>
      <c r="DI917" s="54"/>
      <c r="DJ917" s="54"/>
      <c r="DK917" s="54"/>
      <c r="DL917" s="54"/>
      <c r="DM917" s="54"/>
    </row>
    <row r="918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  <c r="CW918" s="54"/>
      <c r="CX918" s="54"/>
      <c r="CY918" s="54"/>
      <c r="CZ918" s="54"/>
      <c r="DA918" s="54"/>
      <c r="DB918" s="54"/>
      <c r="DC918" s="54"/>
      <c r="DD918" s="54"/>
      <c r="DE918" s="54"/>
      <c r="DF918" s="54"/>
      <c r="DG918" s="54"/>
      <c r="DH918" s="54"/>
      <c r="DI918" s="54"/>
      <c r="DJ918" s="54"/>
      <c r="DK918" s="54"/>
      <c r="DL918" s="54"/>
      <c r="DM918" s="54"/>
    </row>
    <row r="919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  <c r="CW919" s="54"/>
      <c r="CX919" s="54"/>
      <c r="CY919" s="54"/>
      <c r="CZ919" s="54"/>
      <c r="DA919" s="54"/>
      <c r="DB919" s="54"/>
      <c r="DC919" s="54"/>
      <c r="DD919" s="54"/>
      <c r="DE919" s="54"/>
      <c r="DF919" s="54"/>
      <c r="DG919" s="54"/>
      <c r="DH919" s="54"/>
      <c r="DI919" s="54"/>
      <c r="DJ919" s="54"/>
      <c r="DK919" s="54"/>
      <c r="DL919" s="54"/>
      <c r="DM919" s="54"/>
    </row>
    <row r="920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  <c r="CW920" s="54"/>
      <c r="CX920" s="54"/>
      <c r="CY920" s="54"/>
      <c r="CZ920" s="54"/>
      <c r="DA920" s="54"/>
      <c r="DB920" s="54"/>
      <c r="DC920" s="54"/>
      <c r="DD920" s="54"/>
      <c r="DE920" s="54"/>
      <c r="DF920" s="54"/>
      <c r="DG920" s="54"/>
      <c r="DH920" s="54"/>
      <c r="DI920" s="54"/>
      <c r="DJ920" s="54"/>
      <c r="DK920" s="54"/>
      <c r="DL920" s="54"/>
      <c r="DM920" s="54"/>
    </row>
    <row r="92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  <c r="CW921" s="54"/>
      <c r="CX921" s="54"/>
      <c r="CY921" s="54"/>
      <c r="CZ921" s="54"/>
      <c r="DA921" s="54"/>
      <c r="DB921" s="54"/>
      <c r="DC921" s="54"/>
      <c r="DD921" s="54"/>
      <c r="DE921" s="54"/>
      <c r="DF921" s="54"/>
      <c r="DG921" s="54"/>
      <c r="DH921" s="54"/>
      <c r="DI921" s="54"/>
      <c r="DJ921" s="54"/>
      <c r="DK921" s="54"/>
      <c r="DL921" s="54"/>
      <c r="DM921" s="54"/>
    </row>
    <row r="922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  <c r="CW922" s="54"/>
      <c r="CX922" s="54"/>
      <c r="CY922" s="54"/>
      <c r="CZ922" s="54"/>
      <c r="DA922" s="54"/>
      <c r="DB922" s="54"/>
      <c r="DC922" s="54"/>
      <c r="DD922" s="54"/>
      <c r="DE922" s="54"/>
      <c r="DF922" s="54"/>
      <c r="DG922" s="54"/>
      <c r="DH922" s="54"/>
      <c r="DI922" s="54"/>
      <c r="DJ922" s="54"/>
      <c r="DK922" s="54"/>
      <c r="DL922" s="54"/>
      <c r="DM922" s="54"/>
    </row>
    <row r="92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  <c r="CW923" s="54"/>
      <c r="CX923" s="54"/>
      <c r="CY923" s="54"/>
      <c r="CZ923" s="54"/>
      <c r="DA923" s="54"/>
      <c r="DB923" s="54"/>
      <c r="DC923" s="54"/>
      <c r="DD923" s="54"/>
      <c r="DE923" s="54"/>
      <c r="DF923" s="54"/>
      <c r="DG923" s="54"/>
      <c r="DH923" s="54"/>
      <c r="DI923" s="54"/>
      <c r="DJ923" s="54"/>
      <c r="DK923" s="54"/>
      <c r="DL923" s="54"/>
      <c r="DM923" s="54"/>
    </row>
    <row r="924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  <c r="CW924" s="54"/>
      <c r="CX924" s="54"/>
      <c r="CY924" s="54"/>
      <c r="CZ924" s="54"/>
      <c r="DA924" s="54"/>
      <c r="DB924" s="54"/>
      <c r="DC924" s="54"/>
      <c r="DD924" s="54"/>
      <c r="DE924" s="54"/>
      <c r="DF924" s="54"/>
      <c r="DG924" s="54"/>
      <c r="DH924" s="54"/>
      <c r="DI924" s="54"/>
      <c r="DJ924" s="54"/>
      <c r="DK924" s="54"/>
      <c r="DL924" s="54"/>
      <c r="DM924" s="54"/>
    </row>
    <row r="9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  <c r="CW925" s="54"/>
      <c r="CX925" s="54"/>
      <c r="CY925" s="54"/>
      <c r="CZ925" s="54"/>
      <c r="DA925" s="54"/>
      <c r="DB925" s="54"/>
      <c r="DC925" s="54"/>
      <c r="DD925" s="54"/>
      <c r="DE925" s="54"/>
      <c r="DF925" s="54"/>
      <c r="DG925" s="54"/>
      <c r="DH925" s="54"/>
      <c r="DI925" s="54"/>
      <c r="DJ925" s="54"/>
      <c r="DK925" s="54"/>
      <c r="DL925" s="54"/>
      <c r="DM925" s="54"/>
    </row>
    <row r="926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  <c r="CW926" s="54"/>
      <c r="CX926" s="54"/>
      <c r="CY926" s="54"/>
      <c r="CZ926" s="54"/>
      <c r="DA926" s="54"/>
      <c r="DB926" s="54"/>
      <c r="DC926" s="54"/>
      <c r="DD926" s="54"/>
      <c r="DE926" s="54"/>
      <c r="DF926" s="54"/>
      <c r="DG926" s="54"/>
      <c r="DH926" s="54"/>
      <c r="DI926" s="54"/>
      <c r="DJ926" s="54"/>
      <c r="DK926" s="54"/>
      <c r="DL926" s="54"/>
      <c r="DM926" s="54"/>
    </row>
    <row r="927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  <c r="CW927" s="54"/>
      <c r="CX927" s="54"/>
      <c r="CY927" s="54"/>
      <c r="CZ927" s="54"/>
      <c r="DA927" s="54"/>
      <c r="DB927" s="54"/>
      <c r="DC927" s="54"/>
      <c r="DD927" s="54"/>
      <c r="DE927" s="54"/>
      <c r="DF927" s="54"/>
      <c r="DG927" s="54"/>
      <c r="DH927" s="54"/>
      <c r="DI927" s="54"/>
      <c r="DJ927" s="54"/>
      <c r="DK927" s="54"/>
      <c r="DL927" s="54"/>
      <c r="DM927" s="54"/>
    </row>
    <row r="928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  <c r="CW928" s="54"/>
      <c r="CX928" s="54"/>
      <c r="CY928" s="54"/>
      <c r="CZ928" s="54"/>
      <c r="DA928" s="54"/>
      <c r="DB928" s="54"/>
      <c r="DC928" s="54"/>
      <c r="DD928" s="54"/>
      <c r="DE928" s="54"/>
      <c r="DF928" s="54"/>
      <c r="DG928" s="54"/>
      <c r="DH928" s="54"/>
      <c r="DI928" s="54"/>
      <c r="DJ928" s="54"/>
      <c r="DK928" s="54"/>
      <c r="DL928" s="54"/>
      <c r="DM928" s="54"/>
    </row>
    <row r="929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  <c r="CW929" s="54"/>
      <c r="CX929" s="54"/>
      <c r="CY929" s="54"/>
      <c r="CZ929" s="54"/>
      <c r="DA929" s="54"/>
      <c r="DB929" s="54"/>
      <c r="DC929" s="54"/>
      <c r="DD929" s="54"/>
      <c r="DE929" s="54"/>
      <c r="DF929" s="54"/>
      <c r="DG929" s="54"/>
      <c r="DH929" s="54"/>
      <c r="DI929" s="54"/>
      <c r="DJ929" s="54"/>
      <c r="DK929" s="54"/>
      <c r="DL929" s="54"/>
      <c r="DM929" s="54"/>
    </row>
    <row r="930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  <c r="CW930" s="54"/>
      <c r="CX930" s="54"/>
      <c r="CY930" s="54"/>
      <c r="CZ930" s="54"/>
      <c r="DA930" s="54"/>
      <c r="DB930" s="54"/>
      <c r="DC930" s="54"/>
      <c r="DD930" s="54"/>
      <c r="DE930" s="54"/>
      <c r="DF930" s="54"/>
      <c r="DG930" s="54"/>
      <c r="DH930" s="54"/>
      <c r="DI930" s="54"/>
      <c r="DJ930" s="54"/>
      <c r="DK930" s="54"/>
      <c r="DL930" s="54"/>
      <c r="DM930" s="54"/>
    </row>
    <row r="93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  <c r="CW931" s="54"/>
      <c r="CX931" s="54"/>
      <c r="CY931" s="54"/>
      <c r="CZ931" s="54"/>
      <c r="DA931" s="54"/>
      <c r="DB931" s="54"/>
      <c r="DC931" s="54"/>
      <c r="DD931" s="54"/>
      <c r="DE931" s="54"/>
      <c r="DF931" s="54"/>
      <c r="DG931" s="54"/>
      <c r="DH931" s="54"/>
      <c r="DI931" s="54"/>
      <c r="DJ931" s="54"/>
      <c r="DK931" s="54"/>
      <c r="DL931" s="54"/>
      <c r="DM931" s="54"/>
    </row>
    <row r="932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  <c r="CW932" s="54"/>
      <c r="CX932" s="54"/>
      <c r="CY932" s="54"/>
      <c r="CZ932" s="54"/>
      <c r="DA932" s="54"/>
      <c r="DB932" s="54"/>
      <c r="DC932" s="54"/>
      <c r="DD932" s="54"/>
      <c r="DE932" s="54"/>
      <c r="DF932" s="54"/>
      <c r="DG932" s="54"/>
      <c r="DH932" s="54"/>
      <c r="DI932" s="54"/>
      <c r="DJ932" s="54"/>
      <c r="DK932" s="54"/>
      <c r="DL932" s="54"/>
      <c r="DM932" s="54"/>
    </row>
    <row r="93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  <c r="CW933" s="54"/>
      <c r="CX933" s="54"/>
      <c r="CY933" s="54"/>
      <c r="CZ933" s="54"/>
      <c r="DA933" s="54"/>
      <c r="DB933" s="54"/>
      <c r="DC933" s="54"/>
      <c r="DD933" s="54"/>
      <c r="DE933" s="54"/>
      <c r="DF933" s="54"/>
      <c r="DG933" s="54"/>
      <c r="DH933" s="54"/>
      <c r="DI933" s="54"/>
      <c r="DJ933" s="54"/>
      <c r="DK933" s="54"/>
      <c r="DL933" s="54"/>
      <c r="DM933" s="54"/>
    </row>
    <row r="934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  <c r="CW934" s="54"/>
      <c r="CX934" s="54"/>
      <c r="CY934" s="54"/>
      <c r="CZ934" s="54"/>
      <c r="DA934" s="54"/>
      <c r="DB934" s="54"/>
      <c r="DC934" s="54"/>
      <c r="DD934" s="54"/>
      <c r="DE934" s="54"/>
      <c r="DF934" s="54"/>
      <c r="DG934" s="54"/>
      <c r="DH934" s="54"/>
      <c r="DI934" s="54"/>
      <c r="DJ934" s="54"/>
      <c r="DK934" s="54"/>
      <c r="DL934" s="54"/>
      <c r="DM934" s="54"/>
    </row>
    <row r="93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  <c r="CW935" s="54"/>
      <c r="CX935" s="54"/>
      <c r="CY935" s="54"/>
      <c r="CZ935" s="54"/>
      <c r="DA935" s="54"/>
      <c r="DB935" s="54"/>
      <c r="DC935" s="54"/>
      <c r="DD935" s="54"/>
      <c r="DE935" s="54"/>
      <c r="DF935" s="54"/>
      <c r="DG935" s="54"/>
      <c r="DH935" s="54"/>
      <c r="DI935" s="54"/>
      <c r="DJ935" s="54"/>
      <c r="DK935" s="54"/>
      <c r="DL935" s="54"/>
      <c r="DM935" s="54"/>
    </row>
    <row r="936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  <c r="CW936" s="54"/>
      <c r="CX936" s="54"/>
      <c r="CY936" s="54"/>
      <c r="CZ936" s="54"/>
      <c r="DA936" s="54"/>
      <c r="DB936" s="54"/>
      <c r="DC936" s="54"/>
      <c r="DD936" s="54"/>
      <c r="DE936" s="54"/>
      <c r="DF936" s="54"/>
      <c r="DG936" s="54"/>
      <c r="DH936" s="54"/>
      <c r="DI936" s="54"/>
      <c r="DJ936" s="54"/>
      <c r="DK936" s="54"/>
      <c r="DL936" s="54"/>
      <c r="DM936" s="54"/>
    </row>
    <row r="937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  <c r="CW937" s="54"/>
      <c r="CX937" s="54"/>
      <c r="CY937" s="54"/>
      <c r="CZ937" s="54"/>
      <c r="DA937" s="54"/>
      <c r="DB937" s="54"/>
      <c r="DC937" s="54"/>
      <c r="DD937" s="54"/>
      <c r="DE937" s="54"/>
      <c r="DF937" s="54"/>
      <c r="DG937" s="54"/>
      <c r="DH937" s="54"/>
      <c r="DI937" s="54"/>
      <c r="DJ937" s="54"/>
      <c r="DK937" s="54"/>
      <c r="DL937" s="54"/>
      <c r="DM937" s="54"/>
    </row>
    <row r="938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  <c r="CW938" s="54"/>
      <c r="CX938" s="54"/>
      <c r="CY938" s="54"/>
      <c r="CZ938" s="54"/>
      <c r="DA938" s="54"/>
      <c r="DB938" s="54"/>
      <c r="DC938" s="54"/>
      <c r="DD938" s="54"/>
      <c r="DE938" s="54"/>
      <c r="DF938" s="54"/>
      <c r="DG938" s="54"/>
      <c r="DH938" s="54"/>
      <c r="DI938" s="54"/>
      <c r="DJ938" s="54"/>
      <c r="DK938" s="54"/>
      <c r="DL938" s="54"/>
      <c r="DM938" s="54"/>
    </row>
    <row r="939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  <c r="CW939" s="54"/>
      <c r="CX939" s="54"/>
      <c r="CY939" s="54"/>
      <c r="CZ939" s="54"/>
      <c r="DA939" s="54"/>
      <c r="DB939" s="54"/>
      <c r="DC939" s="54"/>
      <c r="DD939" s="54"/>
      <c r="DE939" s="54"/>
      <c r="DF939" s="54"/>
      <c r="DG939" s="54"/>
      <c r="DH939" s="54"/>
      <c r="DI939" s="54"/>
      <c r="DJ939" s="54"/>
      <c r="DK939" s="54"/>
      <c r="DL939" s="54"/>
      <c r="DM939" s="54"/>
    </row>
    <row r="940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  <c r="CW940" s="54"/>
      <c r="CX940" s="54"/>
      <c r="CY940" s="54"/>
      <c r="CZ940" s="54"/>
      <c r="DA940" s="54"/>
      <c r="DB940" s="54"/>
      <c r="DC940" s="54"/>
      <c r="DD940" s="54"/>
      <c r="DE940" s="54"/>
      <c r="DF940" s="54"/>
      <c r="DG940" s="54"/>
      <c r="DH940" s="54"/>
      <c r="DI940" s="54"/>
      <c r="DJ940" s="54"/>
      <c r="DK940" s="54"/>
      <c r="DL940" s="54"/>
      <c r="DM940" s="54"/>
    </row>
    <row r="94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  <c r="CW941" s="54"/>
      <c r="CX941" s="54"/>
      <c r="CY941" s="54"/>
      <c r="CZ941" s="54"/>
      <c r="DA941" s="54"/>
      <c r="DB941" s="54"/>
      <c r="DC941" s="54"/>
      <c r="DD941" s="54"/>
      <c r="DE941" s="54"/>
      <c r="DF941" s="54"/>
      <c r="DG941" s="54"/>
      <c r="DH941" s="54"/>
      <c r="DI941" s="54"/>
      <c r="DJ941" s="54"/>
      <c r="DK941" s="54"/>
      <c r="DL941" s="54"/>
      <c r="DM941" s="54"/>
    </row>
    <row r="942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  <c r="CW942" s="54"/>
      <c r="CX942" s="54"/>
      <c r="CY942" s="54"/>
      <c r="CZ942" s="54"/>
      <c r="DA942" s="54"/>
      <c r="DB942" s="54"/>
      <c r="DC942" s="54"/>
      <c r="DD942" s="54"/>
      <c r="DE942" s="54"/>
      <c r="DF942" s="54"/>
      <c r="DG942" s="54"/>
      <c r="DH942" s="54"/>
      <c r="DI942" s="54"/>
      <c r="DJ942" s="54"/>
      <c r="DK942" s="54"/>
      <c r="DL942" s="54"/>
      <c r="DM942" s="54"/>
    </row>
    <row r="94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  <c r="CW943" s="54"/>
      <c r="CX943" s="54"/>
      <c r="CY943" s="54"/>
      <c r="CZ943" s="54"/>
      <c r="DA943" s="54"/>
      <c r="DB943" s="54"/>
      <c r="DC943" s="54"/>
      <c r="DD943" s="54"/>
      <c r="DE943" s="54"/>
      <c r="DF943" s="54"/>
      <c r="DG943" s="54"/>
      <c r="DH943" s="54"/>
      <c r="DI943" s="54"/>
      <c r="DJ943" s="54"/>
      <c r="DK943" s="54"/>
      <c r="DL943" s="54"/>
      <c r="DM943" s="54"/>
    </row>
    <row r="944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  <c r="CW944" s="54"/>
      <c r="CX944" s="54"/>
      <c r="CY944" s="54"/>
      <c r="CZ944" s="54"/>
      <c r="DA944" s="54"/>
      <c r="DB944" s="54"/>
      <c r="DC944" s="54"/>
      <c r="DD944" s="54"/>
      <c r="DE944" s="54"/>
      <c r="DF944" s="54"/>
      <c r="DG944" s="54"/>
      <c r="DH944" s="54"/>
      <c r="DI944" s="54"/>
      <c r="DJ944" s="54"/>
      <c r="DK944" s="54"/>
      <c r="DL944" s="54"/>
      <c r="DM944" s="54"/>
    </row>
    <row r="94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  <c r="CW945" s="54"/>
      <c r="CX945" s="54"/>
      <c r="CY945" s="54"/>
      <c r="CZ945" s="54"/>
      <c r="DA945" s="54"/>
      <c r="DB945" s="54"/>
      <c r="DC945" s="54"/>
      <c r="DD945" s="54"/>
      <c r="DE945" s="54"/>
      <c r="DF945" s="54"/>
      <c r="DG945" s="54"/>
      <c r="DH945" s="54"/>
      <c r="DI945" s="54"/>
      <c r="DJ945" s="54"/>
      <c r="DK945" s="54"/>
      <c r="DL945" s="54"/>
      <c r="DM945" s="54"/>
    </row>
    <row r="946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  <c r="CW946" s="54"/>
      <c r="CX946" s="54"/>
      <c r="CY946" s="54"/>
      <c r="CZ946" s="54"/>
      <c r="DA946" s="54"/>
      <c r="DB946" s="54"/>
      <c r="DC946" s="54"/>
      <c r="DD946" s="54"/>
      <c r="DE946" s="54"/>
      <c r="DF946" s="54"/>
      <c r="DG946" s="54"/>
      <c r="DH946" s="54"/>
      <c r="DI946" s="54"/>
      <c r="DJ946" s="54"/>
      <c r="DK946" s="54"/>
      <c r="DL946" s="54"/>
      <c r="DM946" s="54"/>
    </row>
    <row r="947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  <c r="CW947" s="54"/>
      <c r="CX947" s="54"/>
      <c r="CY947" s="54"/>
      <c r="CZ947" s="54"/>
      <c r="DA947" s="54"/>
      <c r="DB947" s="54"/>
      <c r="DC947" s="54"/>
      <c r="DD947" s="54"/>
      <c r="DE947" s="54"/>
      <c r="DF947" s="54"/>
      <c r="DG947" s="54"/>
      <c r="DH947" s="54"/>
      <c r="DI947" s="54"/>
      <c r="DJ947" s="54"/>
      <c r="DK947" s="54"/>
      <c r="DL947" s="54"/>
      <c r="DM947" s="54"/>
    </row>
    <row r="948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  <c r="CW948" s="54"/>
      <c r="CX948" s="54"/>
      <c r="CY948" s="54"/>
      <c r="CZ948" s="54"/>
      <c r="DA948" s="54"/>
      <c r="DB948" s="54"/>
      <c r="DC948" s="54"/>
      <c r="DD948" s="54"/>
      <c r="DE948" s="54"/>
      <c r="DF948" s="54"/>
      <c r="DG948" s="54"/>
      <c r="DH948" s="54"/>
      <c r="DI948" s="54"/>
      <c r="DJ948" s="54"/>
      <c r="DK948" s="54"/>
      <c r="DL948" s="54"/>
      <c r="DM948" s="54"/>
    </row>
    <row r="949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  <c r="CW949" s="54"/>
      <c r="CX949" s="54"/>
      <c r="CY949" s="54"/>
      <c r="CZ949" s="54"/>
      <c r="DA949" s="54"/>
      <c r="DB949" s="54"/>
      <c r="DC949" s="54"/>
      <c r="DD949" s="54"/>
      <c r="DE949" s="54"/>
      <c r="DF949" s="54"/>
      <c r="DG949" s="54"/>
      <c r="DH949" s="54"/>
      <c r="DI949" s="54"/>
      <c r="DJ949" s="54"/>
      <c r="DK949" s="54"/>
      <c r="DL949" s="54"/>
      <c r="DM949" s="54"/>
    </row>
    <row r="950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  <c r="CW950" s="54"/>
      <c r="CX950" s="54"/>
      <c r="CY950" s="54"/>
      <c r="CZ950" s="54"/>
      <c r="DA950" s="54"/>
      <c r="DB950" s="54"/>
      <c r="DC950" s="54"/>
      <c r="DD950" s="54"/>
      <c r="DE950" s="54"/>
      <c r="DF950" s="54"/>
      <c r="DG950" s="54"/>
      <c r="DH950" s="54"/>
      <c r="DI950" s="54"/>
      <c r="DJ950" s="54"/>
      <c r="DK950" s="54"/>
      <c r="DL950" s="54"/>
      <c r="DM950" s="54"/>
    </row>
    <row r="95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  <c r="CW951" s="54"/>
      <c r="CX951" s="54"/>
      <c r="CY951" s="54"/>
      <c r="CZ951" s="54"/>
      <c r="DA951" s="54"/>
      <c r="DB951" s="54"/>
      <c r="DC951" s="54"/>
      <c r="DD951" s="54"/>
      <c r="DE951" s="54"/>
      <c r="DF951" s="54"/>
      <c r="DG951" s="54"/>
      <c r="DH951" s="54"/>
      <c r="DI951" s="54"/>
      <c r="DJ951" s="54"/>
      <c r="DK951" s="54"/>
      <c r="DL951" s="54"/>
      <c r="DM951" s="54"/>
    </row>
    <row r="952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  <c r="CW952" s="54"/>
      <c r="CX952" s="54"/>
      <c r="CY952" s="54"/>
      <c r="CZ952" s="54"/>
      <c r="DA952" s="54"/>
      <c r="DB952" s="54"/>
      <c r="DC952" s="54"/>
      <c r="DD952" s="54"/>
      <c r="DE952" s="54"/>
      <c r="DF952" s="54"/>
      <c r="DG952" s="54"/>
      <c r="DH952" s="54"/>
      <c r="DI952" s="54"/>
      <c r="DJ952" s="54"/>
      <c r="DK952" s="54"/>
      <c r="DL952" s="54"/>
      <c r="DM952" s="54"/>
    </row>
    <row r="95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  <c r="CW953" s="54"/>
      <c r="CX953" s="54"/>
      <c r="CY953" s="54"/>
      <c r="CZ953" s="54"/>
      <c r="DA953" s="54"/>
      <c r="DB953" s="54"/>
      <c r="DC953" s="54"/>
      <c r="DD953" s="54"/>
      <c r="DE953" s="54"/>
      <c r="DF953" s="54"/>
      <c r="DG953" s="54"/>
      <c r="DH953" s="54"/>
      <c r="DI953" s="54"/>
      <c r="DJ953" s="54"/>
      <c r="DK953" s="54"/>
      <c r="DL953" s="54"/>
      <c r="DM953" s="54"/>
    </row>
    <row r="954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  <c r="CW954" s="54"/>
      <c r="CX954" s="54"/>
      <c r="CY954" s="54"/>
      <c r="CZ954" s="54"/>
      <c r="DA954" s="54"/>
      <c r="DB954" s="54"/>
      <c r="DC954" s="54"/>
      <c r="DD954" s="54"/>
      <c r="DE954" s="54"/>
      <c r="DF954" s="54"/>
      <c r="DG954" s="54"/>
      <c r="DH954" s="54"/>
      <c r="DI954" s="54"/>
      <c r="DJ954" s="54"/>
      <c r="DK954" s="54"/>
      <c r="DL954" s="54"/>
      <c r="DM954" s="54"/>
    </row>
    <row r="95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  <c r="CW955" s="54"/>
      <c r="CX955" s="54"/>
      <c r="CY955" s="54"/>
      <c r="CZ955" s="54"/>
      <c r="DA955" s="54"/>
      <c r="DB955" s="54"/>
      <c r="DC955" s="54"/>
      <c r="DD955" s="54"/>
      <c r="DE955" s="54"/>
      <c r="DF955" s="54"/>
      <c r="DG955" s="54"/>
      <c r="DH955" s="54"/>
      <c r="DI955" s="54"/>
      <c r="DJ955" s="54"/>
      <c r="DK955" s="54"/>
      <c r="DL955" s="54"/>
      <c r="DM955" s="54"/>
    </row>
    <row r="956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  <c r="CW956" s="54"/>
      <c r="CX956" s="54"/>
      <c r="CY956" s="54"/>
      <c r="CZ956" s="54"/>
      <c r="DA956" s="54"/>
      <c r="DB956" s="54"/>
      <c r="DC956" s="54"/>
      <c r="DD956" s="54"/>
      <c r="DE956" s="54"/>
      <c r="DF956" s="54"/>
      <c r="DG956" s="54"/>
      <c r="DH956" s="54"/>
      <c r="DI956" s="54"/>
      <c r="DJ956" s="54"/>
      <c r="DK956" s="54"/>
      <c r="DL956" s="54"/>
      <c r="DM956" s="54"/>
    </row>
    <row r="957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  <c r="CW957" s="54"/>
      <c r="CX957" s="54"/>
      <c r="CY957" s="54"/>
      <c r="CZ957" s="54"/>
      <c r="DA957" s="54"/>
      <c r="DB957" s="54"/>
      <c r="DC957" s="54"/>
      <c r="DD957" s="54"/>
      <c r="DE957" s="54"/>
      <c r="DF957" s="54"/>
      <c r="DG957" s="54"/>
      <c r="DH957" s="54"/>
      <c r="DI957" s="54"/>
      <c r="DJ957" s="54"/>
      <c r="DK957" s="54"/>
      <c r="DL957" s="54"/>
      <c r="DM957" s="54"/>
    </row>
    <row r="958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  <c r="CW958" s="54"/>
      <c r="CX958" s="54"/>
      <c r="CY958" s="54"/>
      <c r="CZ958" s="54"/>
      <c r="DA958" s="54"/>
      <c r="DB958" s="54"/>
      <c r="DC958" s="54"/>
      <c r="DD958" s="54"/>
      <c r="DE958" s="54"/>
      <c r="DF958" s="54"/>
      <c r="DG958" s="54"/>
      <c r="DH958" s="54"/>
      <c r="DI958" s="54"/>
      <c r="DJ958" s="54"/>
      <c r="DK958" s="54"/>
      <c r="DL958" s="54"/>
      <c r="DM958" s="54"/>
    </row>
    <row r="959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  <c r="CW959" s="54"/>
      <c r="CX959" s="54"/>
      <c r="CY959" s="54"/>
      <c r="CZ959" s="54"/>
      <c r="DA959" s="54"/>
      <c r="DB959" s="54"/>
      <c r="DC959" s="54"/>
      <c r="DD959" s="54"/>
      <c r="DE959" s="54"/>
      <c r="DF959" s="54"/>
      <c r="DG959" s="54"/>
      <c r="DH959" s="54"/>
      <c r="DI959" s="54"/>
      <c r="DJ959" s="54"/>
      <c r="DK959" s="54"/>
      <c r="DL959" s="54"/>
      <c r="DM959" s="54"/>
    </row>
    <row r="960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  <c r="CW960" s="54"/>
      <c r="CX960" s="54"/>
      <c r="CY960" s="54"/>
      <c r="CZ960" s="54"/>
      <c r="DA960" s="54"/>
      <c r="DB960" s="54"/>
      <c r="DC960" s="54"/>
      <c r="DD960" s="54"/>
      <c r="DE960" s="54"/>
      <c r="DF960" s="54"/>
      <c r="DG960" s="54"/>
      <c r="DH960" s="54"/>
      <c r="DI960" s="54"/>
      <c r="DJ960" s="54"/>
      <c r="DK960" s="54"/>
      <c r="DL960" s="54"/>
      <c r="DM960" s="54"/>
    </row>
    <row r="96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  <c r="CW961" s="54"/>
      <c r="CX961" s="54"/>
      <c r="CY961" s="54"/>
      <c r="CZ961" s="54"/>
      <c r="DA961" s="54"/>
      <c r="DB961" s="54"/>
      <c r="DC961" s="54"/>
      <c r="DD961" s="54"/>
      <c r="DE961" s="54"/>
      <c r="DF961" s="54"/>
      <c r="DG961" s="54"/>
      <c r="DH961" s="54"/>
      <c r="DI961" s="54"/>
      <c r="DJ961" s="54"/>
      <c r="DK961" s="54"/>
      <c r="DL961" s="54"/>
      <c r="DM961" s="54"/>
    </row>
    <row r="962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  <c r="CW962" s="54"/>
      <c r="CX962" s="54"/>
      <c r="CY962" s="54"/>
      <c r="CZ962" s="54"/>
      <c r="DA962" s="54"/>
      <c r="DB962" s="54"/>
      <c r="DC962" s="54"/>
      <c r="DD962" s="54"/>
      <c r="DE962" s="54"/>
      <c r="DF962" s="54"/>
      <c r="DG962" s="54"/>
      <c r="DH962" s="54"/>
      <c r="DI962" s="54"/>
      <c r="DJ962" s="54"/>
      <c r="DK962" s="54"/>
      <c r="DL962" s="54"/>
      <c r="DM962" s="54"/>
    </row>
    <row r="96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  <c r="CW963" s="54"/>
      <c r="CX963" s="54"/>
      <c r="CY963" s="54"/>
      <c r="CZ963" s="54"/>
      <c r="DA963" s="54"/>
      <c r="DB963" s="54"/>
      <c r="DC963" s="54"/>
      <c r="DD963" s="54"/>
      <c r="DE963" s="54"/>
      <c r="DF963" s="54"/>
      <c r="DG963" s="54"/>
      <c r="DH963" s="54"/>
      <c r="DI963" s="54"/>
      <c r="DJ963" s="54"/>
      <c r="DK963" s="54"/>
      <c r="DL963" s="54"/>
      <c r="DM963" s="54"/>
    </row>
    <row r="964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  <c r="CW964" s="54"/>
      <c r="CX964" s="54"/>
      <c r="CY964" s="54"/>
      <c r="CZ964" s="54"/>
      <c r="DA964" s="54"/>
      <c r="DB964" s="54"/>
      <c r="DC964" s="54"/>
      <c r="DD964" s="54"/>
      <c r="DE964" s="54"/>
      <c r="DF964" s="54"/>
      <c r="DG964" s="54"/>
      <c r="DH964" s="54"/>
      <c r="DI964" s="54"/>
      <c r="DJ964" s="54"/>
      <c r="DK964" s="54"/>
      <c r="DL964" s="54"/>
      <c r="DM964" s="54"/>
    </row>
    <row r="96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  <c r="CW965" s="54"/>
      <c r="CX965" s="54"/>
      <c r="CY965" s="54"/>
      <c r="CZ965" s="54"/>
      <c r="DA965" s="54"/>
      <c r="DB965" s="54"/>
      <c r="DC965" s="54"/>
      <c r="DD965" s="54"/>
      <c r="DE965" s="54"/>
      <c r="DF965" s="54"/>
      <c r="DG965" s="54"/>
      <c r="DH965" s="54"/>
      <c r="DI965" s="54"/>
      <c r="DJ965" s="54"/>
      <c r="DK965" s="54"/>
      <c r="DL965" s="54"/>
      <c r="DM965" s="54"/>
    </row>
    <row r="966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  <c r="CW966" s="54"/>
      <c r="CX966" s="54"/>
      <c r="CY966" s="54"/>
      <c r="CZ966" s="54"/>
      <c r="DA966" s="54"/>
      <c r="DB966" s="54"/>
      <c r="DC966" s="54"/>
      <c r="DD966" s="54"/>
      <c r="DE966" s="54"/>
      <c r="DF966" s="54"/>
      <c r="DG966" s="54"/>
      <c r="DH966" s="54"/>
      <c r="DI966" s="54"/>
      <c r="DJ966" s="54"/>
      <c r="DK966" s="54"/>
      <c r="DL966" s="54"/>
      <c r="DM966" s="54"/>
    </row>
    <row r="967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  <c r="CW967" s="54"/>
      <c r="CX967" s="54"/>
      <c r="CY967" s="54"/>
      <c r="CZ967" s="54"/>
      <c r="DA967" s="54"/>
      <c r="DB967" s="54"/>
      <c r="DC967" s="54"/>
      <c r="DD967" s="54"/>
      <c r="DE967" s="54"/>
      <c r="DF967" s="54"/>
      <c r="DG967" s="54"/>
      <c r="DH967" s="54"/>
      <c r="DI967" s="54"/>
      <c r="DJ967" s="54"/>
      <c r="DK967" s="54"/>
      <c r="DL967" s="54"/>
      <c r="DM967" s="54"/>
    </row>
    <row r="968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  <c r="CW968" s="54"/>
      <c r="CX968" s="54"/>
      <c r="CY968" s="54"/>
      <c r="CZ968" s="54"/>
      <c r="DA968" s="54"/>
      <c r="DB968" s="54"/>
      <c r="DC968" s="54"/>
      <c r="DD968" s="54"/>
      <c r="DE968" s="54"/>
      <c r="DF968" s="54"/>
      <c r="DG968" s="54"/>
      <c r="DH968" s="54"/>
      <c r="DI968" s="54"/>
      <c r="DJ968" s="54"/>
      <c r="DK968" s="54"/>
      <c r="DL968" s="54"/>
      <c r="DM968" s="54"/>
    </row>
    <row r="969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  <c r="CW969" s="54"/>
      <c r="CX969" s="54"/>
      <c r="CY969" s="54"/>
      <c r="CZ969" s="54"/>
      <c r="DA969" s="54"/>
      <c r="DB969" s="54"/>
      <c r="DC969" s="54"/>
      <c r="DD969" s="54"/>
      <c r="DE969" s="54"/>
      <c r="DF969" s="54"/>
      <c r="DG969" s="54"/>
      <c r="DH969" s="54"/>
      <c r="DI969" s="54"/>
      <c r="DJ969" s="54"/>
      <c r="DK969" s="54"/>
      <c r="DL969" s="54"/>
      <c r="DM969" s="54"/>
    </row>
    <row r="970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  <c r="CW970" s="54"/>
      <c r="CX970" s="54"/>
      <c r="CY970" s="54"/>
      <c r="CZ970" s="54"/>
      <c r="DA970" s="54"/>
      <c r="DB970" s="54"/>
      <c r="DC970" s="54"/>
      <c r="DD970" s="54"/>
      <c r="DE970" s="54"/>
      <c r="DF970" s="54"/>
      <c r="DG970" s="54"/>
      <c r="DH970" s="54"/>
      <c r="DI970" s="54"/>
      <c r="DJ970" s="54"/>
      <c r="DK970" s="54"/>
      <c r="DL970" s="54"/>
      <c r="DM970" s="54"/>
    </row>
    <row r="97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  <c r="CW971" s="54"/>
      <c r="CX971" s="54"/>
      <c r="CY971" s="54"/>
      <c r="CZ971" s="54"/>
      <c r="DA971" s="54"/>
      <c r="DB971" s="54"/>
      <c r="DC971" s="54"/>
      <c r="DD971" s="54"/>
      <c r="DE971" s="54"/>
      <c r="DF971" s="54"/>
      <c r="DG971" s="54"/>
      <c r="DH971" s="54"/>
      <c r="DI971" s="54"/>
      <c r="DJ971" s="54"/>
      <c r="DK971" s="54"/>
      <c r="DL971" s="54"/>
      <c r="DM971" s="54"/>
    </row>
    <row r="972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  <c r="CW972" s="54"/>
      <c r="CX972" s="54"/>
      <c r="CY972" s="54"/>
      <c r="CZ972" s="54"/>
      <c r="DA972" s="54"/>
      <c r="DB972" s="54"/>
      <c r="DC972" s="54"/>
      <c r="DD972" s="54"/>
      <c r="DE972" s="54"/>
      <c r="DF972" s="54"/>
      <c r="DG972" s="54"/>
      <c r="DH972" s="54"/>
      <c r="DI972" s="54"/>
      <c r="DJ972" s="54"/>
      <c r="DK972" s="54"/>
      <c r="DL972" s="54"/>
      <c r="DM972" s="54"/>
    </row>
    <row r="97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  <c r="CW973" s="54"/>
      <c r="CX973" s="54"/>
      <c r="CY973" s="54"/>
      <c r="CZ973" s="54"/>
      <c r="DA973" s="54"/>
      <c r="DB973" s="54"/>
      <c r="DC973" s="54"/>
      <c r="DD973" s="54"/>
      <c r="DE973" s="54"/>
      <c r="DF973" s="54"/>
      <c r="DG973" s="54"/>
      <c r="DH973" s="54"/>
      <c r="DI973" s="54"/>
      <c r="DJ973" s="54"/>
      <c r="DK973" s="54"/>
      <c r="DL973" s="54"/>
      <c r="DM973" s="54"/>
    </row>
    <row r="974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  <c r="CW974" s="54"/>
      <c r="CX974" s="54"/>
      <c r="CY974" s="54"/>
      <c r="CZ974" s="54"/>
      <c r="DA974" s="54"/>
      <c r="DB974" s="54"/>
      <c r="DC974" s="54"/>
      <c r="DD974" s="54"/>
      <c r="DE974" s="54"/>
      <c r="DF974" s="54"/>
      <c r="DG974" s="54"/>
      <c r="DH974" s="54"/>
      <c r="DI974" s="54"/>
      <c r="DJ974" s="54"/>
      <c r="DK974" s="54"/>
      <c r="DL974" s="54"/>
      <c r="DM974" s="54"/>
    </row>
    <row r="97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  <c r="CW975" s="54"/>
      <c r="CX975" s="54"/>
      <c r="CY975" s="54"/>
      <c r="CZ975" s="54"/>
      <c r="DA975" s="54"/>
      <c r="DB975" s="54"/>
      <c r="DC975" s="54"/>
      <c r="DD975" s="54"/>
      <c r="DE975" s="54"/>
      <c r="DF975" s="54"/>
      <c r="DG975" s="54"/>
      <c r="DH975" s="54"/>
      <c r="DI975" s="54"/>
      <c r="DJ975" s="54"/>
      <c r="DK975" s="54"/>
      <c r="DL975" s="54"/>
      <c r="DM975" s="54"/>
    </row>
    <row r="976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  <c r="CW976" s="54"/>
      <c r="CX976" s="54"/>
      <c r="CY976" s="54"/>
      <c r="CZ976" s="54"/>
      <c r="DA976" s="54"/>
      <c r="DB976" s="54"/>
      <c r="DC976" s="54"/>
      <c r="DD976" s="54"/>
      <c r="DE976" s="54"/>
      <c r="DF976" s="54"/>
      <c r="DG976" s="54"/>
      <c r="DH976" s="54"/>
      <c r="DI976" s="54"/>
      <c r="DJ976" s="54"/>
      <c r="DK976" s="54"/>
      <c r="DL976" s="54"/>
      <c r="DM976" s="54"/>
    </row>
    <row r="977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  <c r="CW977" s="54"/>
      <c r="CX977" s="54"/>
      <c r="CY977" s="54"/>
      <c r="CZ977" s="54"/>
      <c r="DA977" s="54"/>
      <c r="DB977" s="54"/>
      <c r="DC977" s="54"/>
      <c r="DD977" s="54"/>
      <c r="DE977" s="54"/>
      <c r="DF977" s="54"/>
      <c r="DG977" s="54"/>
      <c r="DH977" s="54"/>
      <c r="DI977" s="54"/>
      <c r="DJ977" s="54"/>
      <c r="DK977" s="54"/>
      <c r="DL977" s="54"/>
      <c r="DM977" s="54"/>
    </row>
    <row r="978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  <c r="CW978" s="54"/>
      <c r="CX978" s="54"/>
      <c r="CY978" s="54"/>
      <c r="CZ978" s="54"/>
      <c r="DA978" s="54"/>
      <c r="DB978" s="54"/>
      <c r="DC978" s="54"/>
      <c r="DD978" s="54"/>
      <c r="DE978" s="54"/>
      <c r="DF978" s="54"/>
      <c r="DG978" s="54"/>
      <c r="DH978" s="54"/>
      <c r="DI978" s="54"/>
      <c r="DJ978" s="54"/>
      <c r="DK978" s="54"/>
      <c r="DL978" s="54"/>
      <c r="DM978" s="54"/>
    </row>
    <row r="979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  <c r="CW979" s="54"/>
      <c r="CX979" s="54"/>
      <c r="CY979" s="54"/>
      <c r="CZ979" s="54"/>
      <c r="DA979" s="54"/>
      <c r="DB979" s="54"/>
      <c r="DC979" s="54"/>
      <c r="DD979" s="54"/>
      <c r="DE979" s="54"/>
      <c r="DF979" s="54"/>
      <c r="DG979" s="54"/>
      <c r="DH979" s="54"/>
      <c r="DI979" s="54"/>
      <c r="DJ979" s="54"/>
      <c r="DK979" s="54"/>
      <c r="DL979" s="54"/>
      <c r="DM979" s="54"/>
    </row>
    <row r="980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  <c r="CW980" s="54"/>
      <c r="CX980" s="54"/>
      <c r="CY980" s="54"/>
      <c r="CZ980" s="54"/>
      <c r="DA980" s="54"/>
      <c r="DB980" s="54"/>
      <c r="DC980" s="54"/>
      <c r="DD980" s="54"/>
      <c r="DE980" s="54"/>
      <c r="DF980" s="54"/>
      <c r="DG980" s="54"/>
      <c r="DH980" s="54"/>
      <c r="DI980" s="54"/>
      <c r="DJ980" s="54"/>
      <c r="DK980" s="54"/>
      <c r="DL980" s="54"/>
      <c r="DM980" s="54"/>
    </row>
    <row r="98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  <c r="CW981" s="54"/>
      <c r="CX981" s="54"/>
      <c r="CY981" s="54"/>
      <c r="CZ981" s="54"/>
      <c r="DA981" s="54"/>
      <c r="DB981" s="54"/>
      <c r="DC981" s="54"/>
      <c r="DD981" s="54"/>
      <c r="DE981" s="54"/>
      <c r="DF981" s="54"/>
      <c r="DG981" s="54"/>
      <c r="DH981" s="54"/>
      <c r="DI981" s="54"/>
      <c r="DJ981" s="54"/>
      <c r="DK981" s="54"/>
      <c r="DL981" s="54"/>
      <c r="DM981" s="54"/>
    </row>
    <row r="982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  <c r="CW982" s="54"/>
      <c r="CX982" s="54"/>
      <c r="CY982" s="54"/>
      <c r="CZ982" s="54"/>
      <c r="DA982" s="54"/>
      <c r="DB982" s="54"/>
      <c r="DC982" s="54"/>
      <c r="DD982" s="54"/>
      <c r="DE982" s="54"/>
      <c r="DF982" s="54"/>
      <c r="DG982" s="54"/>
      <c r="DH982" s="54"/>
      <c r="DI982" s="54"/>
      <c r="DJ982" s="54"/>
      <c r="DK982" s="54"/>
      <c r="DL982" s="54"/>
      <c r="DM982" s="54"/>
    </row>
    <row r="98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  <c r="CW983" s="54"/>
      <c r="CX983" s="54"/>
      <c r="CY983" s="54"/>
      <c r="CZ983" s="54"/>
      <c r="DA983" s="54"/>
      <c r="DB983" s="54"/>
      <c r="DC983" s="54"/>
      <c r="DD983" s="54"/>
      <c r="DE983" s="54"/>
      <c r="DF983" s="54"/>
      <c r="DG983" s="54"/>
      <c r="DH983" s="54"/>
      <c r="DI983" s="54"/>
      <c r="DJ983" s="54"/>
      <c r="DK983" s="54"/>
      <c r="DL983" s="54"/>
      <c r="DM983" s="54"/>
    </row>
    <row r="984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  <c r="CW984" s="54"/>
      <c r="CX984" s="54"/>
      <c r="CY984" s="54"/>
      <c r="CZ984" s="54"/>
      <c r="DA984" s="54"/>
      <c r="DB984" s="54"/>
      <c r="DC984" s="54"/>
      <c r="DD984" s="54"/>
      <c r="DE984" s="54"/>
      <c r="DF984" s="54"/>
      <c r="DG984" s="54"/>
      <c r="DH984" s="54"/>
      <c r="DI984" s="54"/>
      <c r="DJ984" s="54"/>
      <c r="DK984" s="54"/>
      <c r="DL984" s="54"/>
      <c r="DM984" s="54"/>
    </row>
    <row r="98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  <c r="CW985" s="54"/>
      <c r="CX985" s="54"/>
      <c r="CY985" s="54"/>
      <c r="CZ985" s="54"/>
      <c r="DA985" s="54"/>
      <c r="DB985" s="54"/>
      <c r="DC985" s="54"/>
      <c r="DD985" s="54"/>
      <c r="DE985" s="54"/>
      <c r="DF985" s="54"/>
      <c r="DG985" s="54"/>
      <c r="DH985" s="54"/>
      <c r="DI985" s="54"/>
      <c r="DJ985" s="54"/>
      <c r="DK985" s="54"/>
      <c r="DL985" s="54"/>
      <c r="DM985" s="54"/>
    </row>
    <row r="986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  <c r="CW986" s="54"/>
      <c r="CX986" s="54"/>
      <c r="CY986" s="54"/>
      <c r="CZ986" s="54"/>
      <c r="DA986" s="54"/>
      <c r="DB986" s="54"/>
      <c r="DC986" s="54"/>
      <c r="DD986" s="54"/>
      <c r="DE986" s="54"/>
      <c r="DF986" s="54"/>
      <c r="DG986" s="54"/>
      <c r="DH986" s="54"/>
      <c r="DI986" s="54"/>
      <c r="DJ986" s="54"/>
      <c r="DK986" s="54"/>
      <c r="DL986" s="54"/>
      <c r="DM986" s="54"/>
    </row>
    <row r="987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  <c r="CW987" s="54"/>
      <c r="CX987" s="54"/>
      <c r="CY987" s="54"/>
      <c r="CZ987" s="54"/>
      <c r="DA987" s="54"/>
      <c r="DB987" s="54"/>
      <c r="DC987" s="54"/>
      <c r="DD987" s="54"/>
      <c r="DE987" s="54"/>
      <c r="DF987" s="54"/>
      <c r="DG987" s="54"/>
      <c r="DH987" s="54"/>
      <c r="DI987" s="54"/>
      <c r="DJ987" s="54"/>
      <c r="DK987" s="54"/>
      <c r="DL987" s="54"/>
      <c r="DM987" s="54"/>
    </row>
    <row r="988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  <c r="CW988" s="54"/>
      <c r="CX988" s="54"/>
      <c r="CY988" s="54"/>
      <c r="CZ988" s="54"/>
      <c r="DA988" s="54"/>
      <c r="DB988" s="54"/>
      <c r="DC988" s="54"/>
      <c r="DD988" s="54"/>
      <c r="DE988" s="54"/>
      <c r="DF988" s="54"/>
      <c r="DG988" s="54"/>
      <c r="DH988" s="54"/>
      <c r="DI988" s="54"/>
      <c r="DJ988" s="54"/>
      <c r="DK988" s="54"/>
      <c r="DL988" s="54"/>
      <c r="DM988" s="54"/>
    </row>
    <row r="989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  <c r="CW989" s="54"/>
      <c r="CX989" s="54"/>
      <c r="CY989" s="54"/>
      <c r="CZ989" s="54"/>
      <c r="DA989" s="54"/>
      <c r="DB989" s="54"/>
      <c r="DC989" s="54"/>
      <c r="DD989" s="54"/>
      <c r="DE989" s="54"/>
      <c r="DF989" s="54"/>
      <c r="DG989" s="54"/>
      <c r="DH989" s="54"/>
      <c r="DI989" s="54"/>
      <c r="DJ989" s="54"/>
      <c r="DK989" s="54"/>
      <c r="DL989" s="54"/>
      <c r="DM989" s="54"/>
    </row>
    <row r="990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  <c r="CW990" s="54"/>
      <c r="CX990" s="54"/>
      <c r="CY990" s="54"/>
      <c r="CZ990" s="54"/>
      <c r="DA990" s="54"/>
      <c r="DB990" s="54"/>
      <c r="DC990" s="54"/>
      <c r="DD990" s="54"/>
      <c r="DE990" s="54"/>
      <c r="DF990" s="54"/>
      <c r="DG990" s="54"/>
      <c r="DH990" s="54"/>
      <c r="DI990" s="54"/>
      <c r="DJ990" s="54"/>
      <c r="DK990" s="54"/>
      <c r="DL990" s="54"/>
      <c r="DM990" s="54"/>
    </row>
    <row r="99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  <c r="CW991" s="54"/>
      <c r="CX991" s="54"/>
      <c r="CY991" s="54"/>
      <c r="CZ991" s="54"/>
      <c r="DA991" s="54"/>
      <c r="DB991" s="54"/>
      <c r="DC991" s="54"/>
      <c r="DD991" s="54"/>
      <c r="DE991" s="54"/>
      <c r="DF991" s="54"/>
      <c r="DG991" s="54"/>
      <c r="DH991" s="54"/>
      <c r="DI991" s="54"/>
      <c r="DJ991" s="54"/>
      <c r="DK991" s="54"/>
      <c r="DL991" s="54"/>
      <c r="DM991" s="54"/>
    </row>
    <row r="992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  <c r="CW992" s="54"/>
      <c r="CX992" s="54"/>
      <c r="CY992" s="54"/>
      <c r="CZ992" s="54"/>
      <c r="DA992" s="54"/>
      <c r="DB992" s="54"/>
      <c r="DC992" s="54"/>
      <c r="DD992" s="54"/>
      <c r="DE992" s="54"/>
      <c r="DF992" s="54"/>
      <c r="DG992" s="54"/>
      <c r="DH992" s="54"/>
      <c r="DI992" s="54"/>
      <c r="DJ992" s="54"/>
      <c r="DK992" s="54"/>
      <c r="DL992" s="54"/>
      <c r="DM992" s="54"/>
    </row>
    <row r="99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  <c r="CW993" s="54"/>
      <c r="CX993" s="54"/>
      <c r="CY993" s="54"/>
      <c r="CZ993" s="54"/>
      <c r="DA993" s="54"/>
      <c r="DB993" s="54"/>
      <c r="DC993" s="54"/>
      <c r="DD993" s="54"/>
      <c r="DE993" s="54"/>
      <c r="DF993" s="54"/>
      <c r="DG993" s="54"/>
      <c r="DH993" s="54"/>
      <c r="DI993" s="54"/>
      <c r="DJ993" s="54"/>
      <c r="DK993" s="54"/>
      <c r="DL993" s="54"/>
      <c r="DM993" s="54"/>
    </row>
    <row r="994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  <c r="CW994" s="54"/>
      <c r="CX994" s="54"/>
      <c r="CY994" s="54"/>
      <c r="CZ994" s="54"/>
      <c r="DA994" s="54"/>
      <c r="DB994" s="54"/>
      <c r="DC994" s="54"/>
      <c r="DD994" s="54"/>
      <c r="DE994" s="54"/>
      <c r="DF994" s="54"/>
      <c r="DG994" s="54"/>
      <c r="DH994" s="54"/>
      <c r="DI994" s="54"/>
      <c r="DJ994" s="54"/>
      <c r="DK994" s="54"/>
      <c r="DL994" s="54"/>
      <c r="DM994" s="54"/>
    </row>
    <row r="99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  <c r="CW995" s="54"/>
      <c r="CX995" s="54"/>
      <c r="CY995" s="54"/>
      <c r="CZ995" s="54"/>
      <c r="DA995" s="54"/>
      <c r="DB995" s="54"/>
      <c r="DC995" s="54"/>
      <c r="DD995" s="54"/>
      <c r="DE995" s="54"/>
      <c r="DF995" s="54"/>
      <c r="DG995" s="54"/>
      <c r="DH995" s="54"/>
      <c r="DI995" s="54"/>
      <c r="DJ995" s="54"/>
      <c r="DK995" s="54"/>
      <c r="DL995" s="54"/>
      <c r="DM995" s="54"/>
    </row>
    <row r="996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  <c r="CW996" s="54"/>
      <c r="CX996" s="54"/>
      <c r="CY996" s="54"/>
      <c r="CZ996" s="54"/>
      <c r="DA996" s="54"/>
      <c r="DB996" s="54"/>
      <c r="DC996" s="54"/>
      <c r="DD996" s="54"/>
      <c r="DE996" s="54"/>
      <c r="DF996" s="54"/>
      <c r="DG996" s="54"/>
      <c r="DH996" s="54"/>
      <c r="DI996" s="54"/>
      <c r="DJ996" s="54"/>
      <c r="DK996" s="54"/>
      <c r="DL996" s="54"/>
      <c r="DM996" s="54"/>
    </row>
    <row r="997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  <c r="CW997" s="54"/>
      <c r="CX997" s="54"/>
      <c r="CY997" s="54"/>
      <c r="CZ997" s="54"/>
      <c r="DA997" s="54"/>
      <c r="DB997" s="54"/>
      <c r="DC997" s="54"/>
      <c r="DD997" s="54"/>
      <c r="DE997" s="54"/>
      <c r="DF997" s="54"/>
      <c r="DG997" s="54"/>
      <c r="DH997" s="54"/>
      <c r="DI997" s="54"/>
      <c r="DJ997" s="54"/>
      <c r="DK997" s="54"/>
      <c r="DL997" s="54"/>
      <c r="DM997" s="54"/>
    </row>
    <row r="998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  <c r="CW998" s="54"/>
      <c r="CX998" s="54"/>
      <c r="CY998" s="54"/>
      <c r="CZ998" s="54"/>
      <c r="DA998" s="54"/>
      <c r="DB998" s="54"/>
      <c r="DC998" s="54"/>
      <c r="DD998" s="54"/>
      <c r="DE998" s="54"/>
      <c r="DF998" s="54"/>
      <c r="DG998" s="54"/>
      <c r="DH998" s="54"/>
      <c r="DI998" s="54"/>
      <c r="DJ998" s="54"/>
      <c r="DK998" s="54"/>
      <c r="DL998" s="54"/>
      <c r="DM998" s="54"/>
    </row>
    <row r="999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  <c r="CW999" s="54"/>
      <c r="CX999" s="54"/>
      <c r="CY999" s="54"/>
      <c r="CZ999" s="54"/>
      <c r="DA999" s="54"/>
      <c r="DB999" s="54"/>
      <c r="DC999" s="54"/>
      <c r="DD999" s="54"/>
      <c r="DE999" s="54"/>
      <c r="DF999" s="54"/>
      <c r="DG999" s="54"/>
      <c r="DH999" s="54"/>
      <c r="DI999" s="54"/>
      <c r="DJ999" s="54"/>
      <c r="DK999" s="54"/>
      <c r="DL999" s="54"/>
      <c r="DM999" s="54"/>
    </row>
    <row r="1000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  <c r="CW1000" s="54"/>
      <c r="CX1000" s="54"/>
      <c r="CY1000" s="54"/>
      <c r="CZ1000" s="54"/>
      <c r="DA1000" s="54"/>
      <c r="DB1000" s="54"/>
      <c r="DC1000" s="54"/>
      <c r="DD1000" s="54"/>
      <c r="DE1000" s="54"/>
      <c r="DF1000" s="54"/>
      <c r="DG1000" s="54"/>
      <c r="DH1000" s="54"/>
      <c r="DI1000" s="54"/>
      <c r="DJ1000" s="54"/>
      <c r="DK1000" s="54"/>
      <c r="DL1000" s="54"/>
      <c r="DM1000" s="54"/>
    </row>
  </sheetData>
  <mergeCells count="712">
    <mergeCell ref="BJ39:BL39"/>
    <mergeCell ref="BJ40:BL40"/>
    <mergeCell ref="BJ28:BM28"/>
    <mergeCell ref="BJ29:BM29"/>
    <mergeCell ref="BJ31:BN31"/>
    <mergeCell ref="BJ32:BM32"/>
    <mergeCell ref="BJ36:BO36"/>
    <mergeCell ref="BJ37:BO37"/>
    <mergeCell ref="BJ38:BL38"/>
    <mergeCell ref="AX8:BA8"/>
    <mergeCell ref="AX9:AZ9"/>
    <mergeCell ref="BJ9:BL9"/>
    <mergeCell ref="BP9:BS9"/>
    <mergeCell ref="AX10:BA10"/>
    <mergeCell ref="BP10:BR10"/>
    <mergeCell ref="AX11:BA11"/>
    <mergeCell ref="BP11:BS11"/>
    <mergeCell ref="BJ10:BM10"/>
    <mergeCell ref="BJ11:BM11"/>
    <mergeCell ref="BJ14:BM14"/>
    <mergeCell ref="BP14:BS14"/>
    <mergeCell ref="BJ15:BM15"/>
    <mergeCell ref="BP15:BS15"/>
    <mergeCell ref="BP16:BS16"/>
    <mergeCell ref="BJ16:BM16"/>
    <mergeCell ref="BJ17:BM17"/>
    <mergeCell ref="BJ18:BM18"/>
    <mergeCell ref="BJ19:BM19"/>
    <mergeCell ref="BJ20:BM20"/>
    <mergeCell ref="BJ21:BM21"/>
    <mergeCell ref="BJ22:BM22"/>
    <mergeCell ref="BP17:BS17"/>
    <mergeCell ref="BP18:BS18"/>
    <mergeCell ref="BP19:BS19"/>
    <mergeCell ref="BP20:BS20"/>
    <mergeCell ref="BP21:BS21"/>
    <mergeCell ref="BP22:BS22"/>
    <mergeCell ref="BP23:BS23"/>
    <mergeCell ref="BJ23:BM23"/>
    <mergeCell ref="BJ24:BM24"/>
    <mergeCell ref="BJ25:BM25"/>
    <mergeCell ref="BJ26:BM26"/>
    <mergeCell ref="BJ27:BM27"/>
    <mergeCell ref="AX28:BB28"/>
    <mergeCell ref="AX29:BA29"/>
    <mergeCell ref="AX34:BC34"/>
    <mergeCell ref="AX35:AZ35"/>
    <mergeCell ref="AX36:AZ36"/>
    <mergeCell ref="AX37:AZ37"/>
    <mergeCell ref="AX38:BA38"/>
    <mergeCell ref="AX39:AZ39"/>
    <mergeCell ref="AX40:BA40"/>
    <mergeCell ref="AX30:BA30"/>
    <mergeCell ref="BJ30:BM30"/>
    <mergeCell ref="AX33:BI33"/>
    <mergeCell ref="BJ33:BM33"/>
    <mergeCell ref="BP33:BS33"/>
    <mergeCell ref="BJ34:BL34"/>
    <mergeCell ref="BP34:BS34"/>
    <mergeCell ref="AL20:AO20"/>
    <mergeCell ref="AL21:AO21"/>
    <mergeCell ref="AL22:AO22"/>
    <mergeCell ref="AL23:AO23"/>
    <mergeCell ref="AL24:AO24"/>
    <mergeCell ref="AL25:AO25"/>
    <mergeCell ref="AL26:AO26"/>
    <mergeCell ref="AL35:AN35"/>
    <mergeCell ref="AL36:AN36"/>
    <mergeCell ref="AL37:AN37"/>
    <mergeCell ref="AL38:AO38"/>
    <mergeCell ref="AL39:AN39"/>
    <mergeCell ref="AL40:AO40"/>
    <mergeCell ref="AL41:AO41"/>
    <mergeCell ref="AL58:AO58"/>
    <mergeCell ref="AL59:AO59"/>
    <mergeCell ref="AL51:AO51"/>
    <mergeCell ref="AL52:AO52"/>
    <mergeCell ref="AL53:AO53"/>
    <mergeCell ref="AL54:AO54"/>
    <mergeCell ref="AL55:AO55"/>
    <mergeCell ref="AL56:AO56"/>
    <mergeCell ref="AL57:AO57"/>
    <mergeCell ref="AX56:BA56"/>
    <mergeCell ref="AX57:BA57"/>
    <mergeCell ref="AX58:BA58"/>
    <mergeCell ref="AX59:BA59"/>
    <mergeCell ref="AX60:BA60"/>
    <mergeCell ref="AX61:BA61"/>
    <mergeCell ref="AX62:BA62"/>
    <mergeCell ref="AX63:BA63"/>
    <mergeCell ref="AX64:BA64"/>
    <mergeCell ref="AX65:BA65"/>
    <mergeCell ref="AX66:BA66"/>
    <mergeCell ref="AX67:BA67"/>
    <mergeCell ref="AX68:BA68"/>
    <mergeCell ref="AX69:BA69"/>
    <mergeCell ref="AX70:BA70"/>
    <mergeCell ref="AX71:BA71"/>
    <mergeCell ref="AX72:BA72"/>
    <mergeCell ref="AX73:BA73"/>
    <mergeCell ref="AX74:BA74"/>
    <mergeCell ref="AX75:BA75"/>
    <mergeCell ref="AX76:BA76"/>
    <mergeCell ref="AX84:BA84"/>
    <mergeCell ref="AX85:BA85"/>
    <mergeCell ref="AX86:BA86"/>
    <mergeCell ref="AX87:BB87"/>
    <mergeCell ref="AX88:BA88"/>
    <mergeCell ref="AX89:BA89"/>
    <mergeCell ref="AX90:AZ90"/>
    <mergeCell ref="AX77:BA77"/>
    <mergeCell ref="AX78:BA78"/>
    <mergeCell ref="AX79:BA79"/>
    <mergeCell ref="AX80:BA80"/>
    <mergeCell ref="AX81:BA81"/>
    <mergeCell ref="AX82:BA82"/>
    <mergeCell ref="AX83:BA83"/>
    <mergeCell ref="AL12:AO12"/>
    <mergeCell ref="AL13:AO13"/>
    <mergeCell ref="AL6:AO6"/>
    <mergeCell ref="AL7:AN7"/>
    <mergeCell ref="AL8:AO8"/>
    <mergeCell ref="AL9:AN9"/>
    <mergeCell ref="AL10:AO10"/>
    <mergeCell ref="AL11:AO11"/>
    <mergeCell ref="AX12:BA12"/>
    <mergeCell ref="AX13:BA13"/>
    <mergeCell ref="AX14:BA14"/>
    <mergeCell ref="AX15:BA15"/>
    <mergeCell ref="AX16:BA16"/>
    <mergeCell ref="AX17:BA17"/>
    <mergeCell ref="AX18:BA18"/>
    <mergeCell ref="AX19:BA19"/>
    <mergeCell ref="AX27:BA27"/>
    <mergeCell ref="AL31:AW31"/>
    <mergeCell ref="AX31:AZ31"/>
    <mergeCell ref="AL32:AQ32"/>
    <mergeCell ref="AX20:BA20"/>
    <mergeCell ref="AX21:BA21"/>
    <mergeCell ref="AX22:BA22"/>
    <mergeCell ref="AX23:BA23"/>
    <mergeCell ref="AX24:BA24"/>
    <mergeCell ref="AX25:BA25"/>
    <mergeCell ref="AX26:BA26"/>
    <mergeCell ref="AX41:AZ41"/>
    <mergeCell ref="AX42:BA42"/>
    <mergeCell ref="AX43:BA43"/>
    <mergeCell ref="AX44:BA44"/>
    <mergeCell ref="AX45:BA45"/>
    <mergeCell ref="AX46:BA46"/>
    <mergeCell ref="AX47:BA47"/>
    <mergeCell ref="AX48:BA48"/>
    <mergeCell ref="AX49:BA49"/>
    <mergeCell ref="AX51:BA51"/>
    <mergeCell ref="AX52:BA52"/>
    <mergeCell ref="AX53:BA53"/>
    <mergeCell ref="AX54:BA54"/>
    <mergeCell ref="AX55:BA55"/>
    <mergeCell ref="Z61:AC61"/>
    <mergeCell ref="Z62:AC62"/>
    <mergeCell ref="Z63:AC63"/>
    <mergeCell ref="Z64:AC64"/>
    <mergeCell ref="Z65:AC65"/>
    <mergeCell ref="Z58:AC58"/>
    <mergeCell ref="Z59:AC59"/>
    <mergeCell ref="Z60:AC60"/>
    <mergeCell ref="AL60:AO60"/>
    <mergeCell ref="AL61:AO61"/>
    <mergeCell ref="AL62:AO62"/>
    <mergeCell ref="AL63:AO63"/>
    <mergeCell ref="AL64:AO64"/>
    <mergeCell ref="AL65:AO65"/>
    <mergeCell ref="AL66:AO66"/>
    <mergeCell ref="AL67:AO67"/>
    <mergeCell ref="AL68:AO68"/>
    <mergeCell ref="AL69:AO69"/>
    <mergeCell ref="AL70:AO70"/>
    <mergeCell ref="AL80:AO80"/>
    <mergeCell ref="AL81:AO81"/>
    <mergeCell ref="AL82:AP82"/>
    <mergeCell ref="AL83:AO83"/>
    <mergeCell ref="AL84:AO84"/>
    <mergeCell ref="AL85:AN85"/>
    <mergeCell ref="AL71:AO71"/>
    <mergeCell ref="AL72:AO72"/>
    <mergeCell ref="AL75:AO75"/>
    <mergeCell ref="AL76:AO76"/>
    <mergeCell ref="AL77:AO77"/>
    <mergeCell ref="AL78:AO78"/>
    <mergeCell ref="AL79:AO79"/>
    <mergeCell ref="Z66:AC66"/>
    <mergeCell ref="Z67:AC67"/>
    <mergeCell ref="Z68:AC68"/>
    <mergeCell ref="Z69:AC69"/>
    <mergeCell ref="Z70:AC70"/>
    <mergeCell ref="Z71:AC71"/>
    <mergeCell ref="Z72:AC72"/>
    <mergeCell ref="Z81:AC81"/>
    <mergeCell ref="Z82:AB82"/>
    <mergeCell ref="Z74:AC74"/>
    <mergeCell ref="Z75:AC75"/>
    <mergeCell ref="Z76:AC76"/>
    <mergeCell ref="Z77:AC77"/>
    <mergeCell ref="Z78:AC78"/>
    <mergeCell ref="Z79:AD79"/>
    <mergeCell ref="Z80:AC80"/>
    <mergeCell ref="Z7:AB7"/>
    <mergeCell ref="Z8:AC8"/>
    <mergeCell ref="Z9:AB9"/>
    <mergeCell ref="Z10:AC10"/>
    <mergeCell ref="Z11:AC11"/>
    <mergeCell ref="Z12:AC12"/>
    <mergeCell ref="Z13:AC13"/>
    <mergeCell ref="Z14:AC14"/>
    <mergeCell ref="AL14:AO14"/>
    <mergeCell ref="AL15:AO15"/>
    <mergeCell ref="AL16:AO16"/>
    <mergeCell ref="AL17:AO17"/>
    <mergeCell ref="AL18:AO18"/>
    <mergeCell ref="AL19:AO19"/>
    <mergeCell ref="Z22:AD22"/>
    <mergeCell ref="Z23:AC23"/>
    <mergeCell ref="Z24:AC24"/>
    <mergeCell ref="Z25:AB25"/>
    <mergeCell ref="AL27:AO27"/>
    <mergeCell ref="AL28:AN28"/>
    <mergeCell ref="Z31:AK31"/>
    <mergeCell ref="Z32:AE32"/>
    <mergeCell ref="Z33:AB33"/>
    <mergeCell ref="AL33:AN33"/>
    <mergeCell ref="AL34:AN34"/>
    <mergeCell ref="Z15:AC15"/>
    <mergeCell ref="Z16:AC16"/>
    <mergeCell ref="Z17:AC17"/>
    <mergeCell ref="Z18:AC18"/>
    <mergeCell ref="Z19:AC19"/>
    <mergeCell ref="Z20:AC20"/>
    <mergeCell ref="Z21:AC21"/>
    <mergeCell ref="Z51:AC51"/>
    <mergeCell ref="Z52:AC52"/>
    <mergeCell ref="Z53:AC53"/>
    <mergeCell ref="Z54:AC54"/>
    <mergeCell ref="Z55:AC55"/>
    <mergeCell ref="Z56:AC56"/>
    <mergeCell ref="Z57:AC57"/>
    <mergeCell ref="Z73:AC73"/>
    <mergeCell ref="AL73:AO73"/>
    <mergeCell ref="AL74:AO74"/>
    <mergeCell ref="BP24:BS24"/>
    <mergeCell ref="BP25:BS25"/>
    <mergeCell ref="BP26:BS26"/>
    <mergeCell ref="BP27:BS27"/>
    <mergeCell ref="BP28:BS28"/>
    <mergeCell ref="BP29:BS29"/>
    <mergeCell ref="BP30:BS30"/>
    <mergeCell ref="CB43:CG43"/>
    <mergeCell ref="CB44:CD44"/>
    <mergeCell ref="CB45:CD45"/>
    <mergeCell ref="CN45:CY45"/>
    <mergeCell ref="DA45:DL45"/>
    <mergeCell ref="BP31:BS31"/>
    <mergeCell ref="BP32:BS32"/>
    <mergeCell ref="BP40:CA40"/>
    <mergeCell ref="BJ41:BM41"/>
    <mergeCell ref="BP41:BU41"/>
    <mergeCell ref="BP42:BR42"/>
    <mergeCell ref="CB42:CM42"/>
    <mergeCell ref="BP45:BR45"/>
    <mergeCell ref="BP46:BR46"/>
    <mergeCell ref="CB46:CD46"/>
    <mergeCell ref="CN46:CR46"/>
    <mergeCell ref="DA46:DF46"/>
    <mergeCell ref="BJ47:BM47"/>
    <mergeCell ref="BP47:BS47"/>
    <mergeCell ref="CB47:CD47"/>
    <mergeCell ref="CN47:CP47"/>
    <mergeCell ref="DA47:DC47"/>
    <mergeCell ref="BJ48:BM48"/>
    <mergeCell ref="BP48:BR48"/>
    <mergeCell ref="CB48:CD48"/>
    <mergeCell ref="CN48:CP48"/>
    <mergeCell ref="DA48:DC48"/>
    <mergeCell ref="DA53:DC53"/>
    <mergeCell ref="DA54:DD54"/>
    <mergeCell ref="CB60:CE60"/>
    <mergeCell ref="CB61:CE61"/>
    <mergeCell ref="CB62:CE62"/>
    <mergeCell ref="CB63:CE63"/>
    <mergeCell ref="CB64:CE64"/>
    <mergeCell ref="CB65:CE65"/>
    <mergeCell ref="CB66:CE66"/>
    <mergeCell ref="CB67:CE67"/>
    <mergeCell ref="CB68:CE68"/>
    <mergeCell ref="CB69:CE69"/>
    <mergeCell ref="CB70:CE70"/>
    <mergeCell ref="CB71:CE71"/>
    <mergeCell ref="CB72:CE72"/>
    <mergeCell ref="CB73:CE73"/>
    <mergeCell ref="CB74:CE74"/>
    <mergeCell ref="CB75:CE75"/>
    <mergeCell ref="CB76:CE76"/>
    <mergeCell ref="CB77:CE77"/>
    <mergeCell ref="CB78:CE78"/>
    <mergeCell ref="CB79:CE79"/>
    <mergeCell ref="CB80:CE80"/>
    <mergeCell ref="CB81:CE81"/>
    <mergeCell ref="CB82:CE82"/>
    <mergeCell ref="CB83:CE83"/>
    <mergeCell ref="CB84:CE84"/>
    <mergeCell ref="CB85:CE85"/>
    <mergeCell ref="CB86:CE86"/>
    <mergeCell ref="CB87:CE87"/>
    <mergeCell ref="CB88:CE88"/>
    <mergeCell ref="CB89:CE89"/>
    <mergeCell ref="CB90:CE90"/>
    <mergeCell ref="CB91:CE91"/>
    <mergeCell ref="CB92:CE92"/>
    <mergeCell ref="CB93:CE93"/>
    <mergeCell ref="CB94:CE94"/>
    <mergeCell ref="CB102:CE102"/>
    <mergeCell ref="CB103:CE103"/>
    <mergeCell ref="CB104:CE104"/>
    <mergeCell ref="CB105:CF105"/>
    <mergeCell ref="CB106:CE106"/>
    <mergeCell ref="CB107:CE107"/>
    <mergeCell ref="CB108:CD108"/>
    <mergeCell ref="CB95:CE95"/>
    <mergeCell ref="CB96:CE96"/>
    <mergeCell ref="CB97:CE97"/>
    <mergeCell ref="CB98:CE98"/>
    <mergeCell ref="CB99:CE99"/>
    <mergeCell ref="CB100:CE100"/>
    <mergeCell ref="CB101:CE101"/>
    <mergeCell ref="DA66:DD66"/>
    <mergeCell ref="DA67:DD67"/>
    <mergeCell ref="DA68:DD68"/>
    <mergeCell ref="DA69:DD69"/>
    <mergeCell ref="DA70:DD70"/>
    <mergeCell ref="DA71:DD71"/>
    <mergeCell ref="DA72:DD72"/>
    <mergeCell ref="DA73:DD73"/>
    <mergeCell ref="DA74:DD74"/>
    <mergeCell ref="DA80:DD80"/>
    <mergeCell ref="DA81:DD81"/>
    <mergeCell ref="DA82:DD82"/>
    <mergeCell ref="DA83:DD83"/>
    <mergeCell ref="DA84:DD84"/>
    <mergeCell ref="DA85:DD85"/>
    <mergeCell ref="DA86:DD86"/>
    <mergeCell ref="DA87:DD87"/>
    <mergeCell ref="DA88:DD88"/>
    <mergeCell ref="DA89:DD89"/>
    <mergeCell ref="DA90:DD90"/>
    <mergeCell ref="DA91:DD91"/>
    <mergeCell ref="DA92:DD92"/>
    <mergeCell ref="DA93:DD93"/>
    <mergeCell ref="DA94:DD94"/>
    <mergeCell ref="DA95:DD95"/>
    <mergeCell ref="DA96:DD96"/>
    <mergeCell ref="DA97:DD97"/>
    <mergeCell ref="DA98:DD98"/>
    <mergeCell ref="DA99:DD99"/>
    <mergeCell ref="DA100:DD100"/>
    <mergeCell ref="DA101:DD101"/>
    <mergeCell ref="DA102:DD102"/>
    <mergeCell ref="DA103:DD103"/>
    <mergeCell ref="DA104:DD104"/>
    <mergeCell ref="DA105:DD105"/>
    <mergeCell ref="DA113:DD113"/>
    <mergeCell ref="DA114:DE114"/>
    <mergeCell ref="DA115:DD115"/>
    <mergeCell ref="DA116:DD116"/>
    <mergeCell ref="DA117:DC117"/>
    <mergeCell ref="DA106:DD106"/>
    <mergeCell ref="DA107:DD107"/>
    <mergeCell ref="DA108:DD108"/>
    <mergeCell ref="DA109:DD109"/>
    <mergeCell ref="DA110:DD110"/>
    <mergeCell ref="DA111:DD111"/>
    <mergeCell ref="DA112:DD112"/>
    <mergeCell ref="BJ67:BM67"/>
    <mergeCell ref="BJ68:BM68"/>
    <mergeCell ref="BJ69:BM69"/>
    <mergeCell ref="BJ70:BM70"/>
    <mergeCell ref="BJ71:BM71"/>
    <mergeCell ref="BJ72:BM72"/>
    <mergeCell ref="BJ73:BM73"/>
    <mergeCell ref="BJ74:BM74"/>
    <mergeCell ref="BJ75:BM75"/>
    <mergeCell ref="BJ76:BM76"/>
    <mergeCell ref="BJ77:BM77"/>
    <mergeCell ref="BJ78:BM78"/>
    <mergeCell ref="BJ79:BM79"/>
    <mergeCell ref="BJ80:BM80"/>
    <mergeCell ref="BJ81:BM81"/>
    <mergeCell ref="BJ82:BM82"/>
    <mergeCell ref="BJ83:BM83"/>
    <mergeCell ref="BJ84:BM84"/>
    <mergeCell ref="BJ85:BM85"/>
    <mergeCell ref="BJ86:BM86"/>
    <mergeCell ref="BJ87:BM87"/>
    <mergeCell ref="BJ95:BM95"/>
    <mergeCell ref="BJ96:BL96"/>
    <mergeCell ref="BJ88:BM88"/>
    <mergeCell ref="BJ89:BM89"/>
    <mergeCell ref="BJ90:BM90"/>
    <mergeCell ref="BJ91:BM91"/>
    <mergeCell ref="BJ92:BM92"/>
    <mergeCell ref="BJ93:BN93"/>
    <mergeCell ref="BJ94:BM94"/>
    <mergeCell ref="CN72:CQ72"/>
    <mergeCell ref="CN73:CQ73"/>
    <mergeCell ref="CN74:CQ74"/>
    <mergeCell ref="CN75:CQ75"/>
    <mergeCell ref="CN76:CQ76"/>
    <mergeCell ref="CN77:CQ77"/>
    <mergeCell ref="CN78:CQ78"/>
    <mergeCell ref="CN79:CQ79"/>
    <mergeCell ref="CN80:CQ80"/>
    <mergeCell ref="CN81:CQ81"/>
    <mergeCell ref="CN82:CQ82"/>
    <mergeCell ref="CN83:CQ83"/>
    <mergeCell ref="CN84:CQ84"/>
    <mergeCell ref="CN85:CQ85"/>
    <mergeCell ref="CN86:CQ86"/>
    <mergeCell ref="CN87:CQ87"/>
    <mergeCell ref="CN88:CQ88"/>
    <mergeCell ref="CN89:CQ89"/>
    <mergeCell ref="CN90:CQ90"/>
    <mergeCell ref="CN91:CQ91"/>
    <mergeCell ref="CN92:CQ92"/>
    <mergeCell ref="CN93:CQ93"/>
    <mergeCell ref="CN94:CQ94"/>
    <mergeCell ref="CN95:CQ95"/>
    <mergeCell ref="CN96:CQ96"/>
    <mergeCell ref="CN97:CQ97"/>
    <mergeCell ref="CN98:CQ98"/>
    <mergeCell ref="CN99:CQ99"/>
    <mergeCell ref="CN107:CQ107"/>
    <mergeCell ref="CN108:CQ108"/>
    <mergeCell ref="CN109:CQ109"/>
    <mergeCell ref="CN110:CQ110"/>
    <mergeCell ref="CN111:CR111"/>
    <mergeCell ref="CN112:CQ112"/>
    <mergeCell ref="CN113:CQ113"/>
    <mergeCell ref="CN114:CP114"/>
    <mergeCell ref="CN100:CQ100"/>
    <mergeCell ref="CN101:CQ101"/>
    <mergeCell ref="CN102:CQ102"/>
    <mergeCell ref="CN103:CQ103"/>
    <mergeCell ref="CN104:CQ104"/>
    <mergeCell ref="CN105:CQ105"/>
    <mergeCell ref="CN106:CQ106"/>
    <mergeCell ref="BJ49:BM49"/>
    <mergeCell ref="BP49:BS49"/>
    <mergeCell ref="CN49:CP49"/>
    <mergeCell ref="DA49:DC49"/>
    <mergeCell ref="CN50:CQ50"/>
    <mergeCell ref="DA50:DD50"/>
    <mergeCell ref="CN54:CQ54"/>
    <mergeCell ref="CN55:CQ55"/>
    <mergeCell ref="DA55:DD55"/>
    <mergeCell ref="CN56:CQ56"/>
    <mergeCell ref="DA56:DD56"/>
    <mergeCell ref="CN57:CQ57"/>
    <mergeCell ref="DA57:DD57"/>
    <mergeCell ref="DA58:DD58"/>
    <mergeCell ref="CB49:CE49"/>
    <mergeCell ref="CB54:CE54"/>
    <mergeCell ref="CB55:CE55"/>
    <mergeCell ref="CB56:CE56"/>
    <mergeCell ref="CB57:CE57"/>
    <mergeCell ref="CB58:CE58"/>
    <mergeCell ref="CB59:CE59"/>
    <mergeCell ref="CN58:CQ58"/>
    <mergeCell ref="CN59:CQ59"/>
    <mergeCell ref="CN60:CQ60"/>
    <mergeCell ref="CN61:CQ61"/>
    <mergeCell ref="CN62:CQ62"/>
    <mergeCell ref="CN63:CQ63"/>
    <mergeCell ref="CN64:CQ64"/>
    <mergeCell ref="CN65:CQ65"/>
    <mergeCell ref="CN66:CQ66"/>
    <mergeCell ref="CN67:CQ67"/>
    <mergeCell ref="CN68:CQ68"/>
    <mergeCell ref="CN69:CQ69"/>
    <mergeCell ref="CN70:CQ70"/>
    <mergeCell ref="CN71:CQ71"/>
    <mergeCell ref="DA75:DD75"/>
    <mergeCell ref="DA76:DD76"/>
    <mergeCell ref="DA77:DD77"/>
    <mergeCell ref="DA78:DD78"/>
    <mergeCell ref="DA79:DD79"/>
    <mergeCell ref="DA59:DD59"/>
    <mergeCell ref="DA60:DD60"/>
    <mergeCell ref="DA61:DD61"/>
    <mergeCell ref="DA62:DD62"/>
    <mergeCell ref="DA63:DD63"/>
    <mergeCell ref="DA64:DD64"/>
    <mergeCell ref="DA65:DD65"/>
    <mergeCell ref="BP75:BS75"/>
    <mergeCell ref="BP76:BS76"/>
    <mergeCell ref="BP77:BS77"/>
    <mergeCell ref="BP78:BS78"/>
    <mergeCell ref="BP79:BS79"/>
    <mergeCell ref="BP80:BS80"/>
    <mergeCell ref="BP81:BS81"/>
    <mergeCell ref="BP82:BS82"/>
    <mergeCell ref="BP83:BS83"/>
    <mergeCell ref="BP84:BS84"/>
    <mergeCell ref="BP85:BS85"/>
    <mergeCell ref="BP86:BS86"/>
    <mergeCell ref="BP87:BS87"/>
    <mergeCell ref="BP88:BS88"/>
    <mergeCell ref="BP96:BS96"/>
    <mergeCell ref="BP97:BS97"/>
    <mergeCell ref="BP98:BS98"/>
    <mergeCell ref="BP99:BS99"/>
    <mergeCell ref="BP100:BT100"/>
    <mergeCell ref="BP101:BS101"/>
    <mergeCell ref="BP102:BS102"/>
    <mergeCell ref="BP103:BR103"/>
    <mergeCell ref="BP89:BS89"/>
    <mergeCell ref="BP90:BS90"/>
    <mergeCell ref="BP91:BS91"/>
    <mergeCell ref="BP92:BS92"/>
    <mergeCell ref="BP93:BS93"/>
    <mergeCell ref="BP94:BS94"/>
    <mergeCell ref="BP95:BS95"/>
    <mergeCell ref="BJ42:BL42"/>
    <mergeCell ref="BJ43:BM43"/>
    <mergeCell ref="BP43:BR43"/>
    <mergeCell ref="BJ44:BL44"/>
    <mergeCell ref="BP44:BR44"/>
    <mergeCell ref="BJ45:BM45"/>
    <mergeCell ref="BJ46:BM46"/>
    <mergeCell ref="BJ50:BM50"/>
    <mergeCell ref="BP50:BS50"/>
    <mergeCell ref="BJ51:BM51"/>
    <mergeCell ref="BP51:BS51"/>
    <mergeCell ref="BJ52:BM52"/>
    <mergeCell ref="BP52:BS52"/>
    <mergeCell ref="BP53:BS53"/>
    <mergeCell ref="BJ53:BM53"/>
    <mergeCell ref="BJ54:BM54"/>
    <mergeCell ref="BJ55:BM55"/>
    <mergeCell ref="BJ56:BM56"/>
    <mergeCell ref="BJ57:BM57"/>
    <mergeCell ref="BJ58:BM58"/>
    <mergeCell ref="BJ59:BM59"/>
    <mergeCell ref="BP54:BS54"/>
    <mergeCell ref="BP55:BS55"/>
    <mergeCell ref="BP56:BS56"/>
    <mergeCell ref="BP57:BS57"/>
    <mergeCell ref="BP58:BS58"/>
    <mergeCell ref="BP59:BS59"/>
    <mergeCell ref="BP60:BS60"/>
    <mergeCell ref="BJ60:BM60"/>
    <mergeCell ref="BJ61:BM61"/>
    <mergeCell ref="BJ62:BM62"/>
    <mergeCell ref="BJ63:BM63"/>
    <mergeCell ref="BJ64:BM64"/>
    <mergeCell ref="BJ65:BM65"/>
    <mergeCell ref="BJ66:BM66"/>
    <mergeCell ref="BP61:BS61"/>
    <mergeCell ref="BP62:BS62"/>
    <mergeCell ref="BP63:BS63"/>
    <mergeCell ref="BP64:BS64"/>
    <mergeCell ref="BP65:BS65"/>
    <mergeCell ref="BP66:BS66"/>
    <mergeCell ref="BP67:BS67"/>
    <mergeCell ref="BP68:BS68"/>
    <mergeCell ref="BP69:BS69"/>
    <mergeCell ref="BP70:BS70"/>
    <mergeCell ref="BP71:BS71"/>
    <mergeCell ref="BP72:BS72"/>
    <mergeCell ref="BP73:BS73"/>
    <mergeCell ref="BP74:BS74"/>
    <mergeCell ref="BJ7:BL7"/>
    <mergeCell ref="BP7:BS7"/>
    <mergeCell ref="BJ1:BL1"/>
    <mergeCell ref="BJ2:BO2"/>
    <mergeCell ref="BJ3:BL3"/>
    <mergeCell ref="BJ4:BL4"/>
    <mergeCell ref="BP4:BR4"/>
    <mergeCell ref="BJ5:BL5"/>
    <mergeCell ref="BJ6:BM6"/>
    <mergeCell ref="AL1:AN1"/>
    <mergeCell ref="AL2:AQ2"/>
    <mergeCell ref="Z3:AB3"/>
    <mergeCell ref="AL3:AN3"/>
    <mergeCell ref="AX3:AZ3"/>
    <mergeCell ref="AL4:AN4"/>
    <mergeCell ref="AX4:AZ4"/>
    <mergeCell ref="Z4:AB4"/>
    <mergeCell ref="Z5:AB5"/>
    <mergeCell ref="AL5:AN5"/>
    <mergeCell ref="AX5:AZ5"/>
    <mergeCell ref="Z6:AC6"/>
    <mergeCell ref="AX6:BA6"/>
    <mergeCell ref="AX7:AZ7"/>
    <mergeCell ref="CB12:CE12"/>
    <mergeCell ref="CB13:CE13"/>
    <mergeCell ref="CB14:CE14"/>
    <mergeCell ref="CB15:CE15"/>
    <mergeCell ref="CB16:CE16"/>
    <mergeCell ref="CB17:CE17"/>
    <mergeCell ref="CB18:CE18"/>
    <mergeCell ref="CB26:CE26"/>
    <mergeCell ref="CB27:CE27"/>
    <mergeCell ref="CB28:CE28"/>
    <mergeCell ref="CB29:CE29"/>
    <mergeCell ref="CB30:CE30"/>
    <mergeCell ref="CB19:CE19"/>
    <mergeCell ref="CB20:CE20"/>
    <mergeCell ref="CB21:CE21"/>
    <mergeCell ref="CB22:CE22"/>
    <mergeCell ref="CB23:CE23"/>
    <mergeCell ref="CB24:CE24"/>
    <mergeCell ref="CB25:CE25"/>
    <mergeCell ref="Z1:AB1"/>
    <mergeCell ref="AX1:AZ1"/>
    <mergeCell ref="BP1:BS1"/>
    <mergeCell ref="CB1:CD1"/>
    <mergeCell ref="CN1:CP1"/>
    <mergeCell ref="Z2:AE2"/>
    <mergeCell ref="AX2:BC2"/>
    <mergeCell ref="CN2:CS2"/>
    <mergeCell ref="BP2:CA2"/>
    <mergeCell ref="CB2:CG2"/>
    <mergeCell ref="BP3:BU3"/>
    <mergeCell ref="CB3:CD3"/>
    <mergeCell ref="CN3:CP3"/>
    <mergeCell ref="CB4:CD4"/>
    <mergeCell ref="CB5:CD5"/>
    <mergeCell ref="BP5:BR5"/>
    <mergeCell ref="BP6:BR6"/>
    <mergeCell ref="CB6:CE6"/>
    <mergeCell ref="CB7:CD7"/>
    <mergeCell ref="BJ8:BM8"/>
    <mergeCell ref="BP8:BR8"/>
    <mergeCell ref="CB8:CE8"/>
    <mergeCell ref="CN4:CP4"/>
    <mergeCell ref="CN5:CP5"/>
    <mergeCell ref="CN6:CQ6"/>
    <mergeCell ref="CN7:CP7"/>
    <mergeCell ref="CN8:CQ8"/>
    <mergeCell ref="CN9:CP9"/>
    <mergeCell ref="CN10:CQ10"/>
    <mergeCell ref="CB9:CD9"/>
    <mergeCell ref="CB10:CE10"/>
    <mergeCell ref="CB11:CE11"/>
    <mergeCell ref="BJ12:BM12"/>
    <mergeCell ref="BP12:BS12"/>
    <mergeCell ref="BJ13:BM13"/>
    <mergeCell ref="BP13:BS13"/>
    <mergeCell ref="CN11:CQ11"/>
    <mergeCell ref="CN12:CQ12"/>
    <mergeCell ref="CN13:CQ13"/>
    <mergeCell ref="CN14:CQ14"/>
    <mergeCell ref="CN15:CQ15"/>
    <mergeCell ref="CN16:CQ16"/>
    <mergeCell ref="CN17:CQ17"/>
    <mergeCell ref="CN25:CQ25"/>
    <mergeCell ref="CN26:CQ26"/>
    <mergeCell ref="CN27:CQ27"/>
    <mergeCell ref="CN28:CQ28"/>
    <mergeCell ref="CN29:CQ29"/>
    <mergeCell ref="CN30:CQ30"/>
    <mergeCell ref="CN18:CQ18"/>
    <mergeCell ref="CN19:CQ19"/>
    <mergeCell ref="CN20:CQ20"/>
    <mergeCell ref="CN21:CQ21"/>
    <mergeCell ref="CN22:CQ22"/>
    <mergeCell ref="CN23:CQ23"/>
    <mergeCell ref="CN24:CQ24"/>
    <mergeCell ref="Z34:AB34"/>
    <mergeCell ref="Z35:AB35"/>
    <mergeCell ref="Z36:AB36"/>
    <mergeCell ref="Z37:AB37"/>
    <mergeCell ref="Z38:AC38"/>
    <mergeCell ref="Z39:AB39"/>
    <mergeCell ref="Z40:AC40"/>
    <mergeCell ref="Z48:AC48"/>
    <mergeCell ref="Z49:AC49"/>
    <mergeCell ref="Z50:AC50"/>
    <mergeCell ref="Z41:AC41"/>
    <mergeCell ref="Z42:AC42"/>
    <mergeCell ref="Z43:AC43"/>
    <mergeCell ref="Z44:AC44"/>
    <mergeCell ref="Z45:AC45"/>
    <mergeCell ref="Z46:AC46"/>
    <mergeCell ref="Z47:AC47"/>
    <mergeCell ref="AL49:AO49"/>
    <mergeCell ref="AL50:AO50"/>
    <mergeCell ref="AX50:BA50"/>
    <mergeCell ref="AL42:AO42"/>
    <mergeCell ref="AL43:AO43"/>
    <mergeCell ref="AL44:AO44"/>
    <mergeCell ref="AL45:AO45"/>
    <mergeCell ref="AL46:AO46"/>
    <mergeCell ref="AL47:AO47"/>
    <mergeCell ref="AL48:AO48"/>
    <mergeCell ref="CN52:CQ52"/>
    <mergeCell ref="CN53:CP53"/>
    <mergeCell ref="CB50:CD50"/>
    <mergeCell ref="CB51:CE51"/>
    <mergeCell ref="CN51:CP51"/>
    <mergeCell ref="DA51:DC51"/>
    <mergeCell ref="CB52:CE52"/>
    <mergeCell ref="DA52:DD52"/>
    <mergeCell ref="CB53:CE53"/>
  </mergeCells>
  <conditionalFormatting sqref="B1:U95 B100:U104 A101:A104">
    <cfRule type="cellIs" dxfId="7" priority="1" operator="between">
      <formula>1.51</formula>
      <formula>2.5</formula>
    </cfRule>
  </conditionalFormatting>
  <conditionalFormatting sqref="B1:U95 B100:U104 A101:A104">
    <cfRule type="cellIs" dxfId="8" priority="2" operator="lessThanOrEqual">
      <formula>1.5</formula>
    </cfRule>
  </conditionalFormatting>
  <conditionalFormatting sqref="A1:U95 B100:U104 A101:A104">
    <cfRule type="cellIs" dxfId="9" priority="3" operator="between">
      <formula>2.51</formula>
      <formula>3.5</formula>
    </cfRule>
  </conditionalFormatting>
  <conditionalFormatting sqref="V37">
    <cfRule type="notContainsBlanks" dxfId="6" priority="4">
      <formula>LEN(TRIM(V37))&gt;0</formula>
    </cfRule>
  </conditionalFormatting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18.88"/>
    <col customWidth="1" min="3" max="3" width="27.63"/>
    <col customWidth="1" min="6" max="6" width="23.63"/>
  </cols>
  <sheetData>
    <row r="1">
      <c r="A1" s="4"/>
      <c r="B1" s="4"/>
      <c r="C1" s="69"/>
      <c r="D1" s="70"/>
      <c r="E1" s="70"/>
      <c r="F1" s="70"/>
      <c r="G1" s="70"/>
      <c r="H1" s="70"/>
      <c r="I1" s="4"/>
      <c r="J1" s="4"/>
      <c r="K1" s="4"/>
      <c r="L1" s="4"/>
      <c r="M1" s="4"/>
      <c r="N1" s="4"/>
      <c r="O1" s="4"/>
      <c r="P1" s="4"/>
      <c r="Q1" s="4"/>
      <c r="R1" s="4"/>
    </row>
    <row r="2">
      <c r="A2" s="71"/>
      <c r="B2" s="72" t="s">
        <v>1287</v>
      </c>
      <c r="C2" s="73" t="s">
        <v>1288</v>
      </c>
      <c r="D2" s="74" t="s">
        <v>1289</v>
      </c>
      <c r="E2" s="74" t="s">
        <v>1290</v>
      </c>
      <c r="F2" s="74" t="s">
        <v>1291</v>
      </c>
      <c r="G2" s="74" t="s">
        <v>1292</v>
      </c>
      <c r="H2" s="74" t="s">
        <v>1293</v>
      </c>
      <c r="I2" s="75" t="s">
        <v>1294</v>
      </c>
      <c r="J2" s="75" t="s">
        <v>1295</v>
      </c>
      <c r="K2" s="75" t="s">
        <v>1296</v>
      </c>
      <c r="L2" s="75" t="s">
        <v>1297</v>
      </c>
      <c r="M2" s="75" t="s">
        <v>1298</v>
      </c>
      <c r="N2" s="75" t="s">
        <v>1299</v>
      </c>
      <c r="O2" s="75" t="s">
        <v>1300</v>
      </c>
      <c r="P2" s="75" t="s">
        <v>1301</v>
      </c>
      <c r="Q2" s="75" t="s">
        <v>1302</v>
      </c>
      <c r="R2" s="75" t="s">
        <v>1303</v>
      </c>
    </row>
    <row r="3">
      <c r="A3" s="4"/>
      <c r="B3" s="4"/>
      <c r="C3" s="76"/>
      <c r="D3" s="77"/>
      <c r="E3" s="77"/>
      <c r="F3" s="77"/>
      <c r="G3" s="77"/>
      <c r="H3" s="77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72" t="s">
        <v>21</v>
      </c>
      <c r="B4" s="78">
        <v>8.143197</v>
      </c>
      <c r="C4" s="79">
        <v>1.26012</v>
      </c>
      <c r="D4" s="80">
        <v>116.0947</v>
      </c>
      <c r="E4" s="80">
        <v>176.2065</v>
      </c>
      <c r="F4" s="80">
        <v>1.27369</v>
      </c>
      <c r="G4" s="80">
        <v>88.67898</v>
      </c>
      <c r="H4" s="80">
        <v>97.38998</v>
      </c>
      <c r="I4" s="6">
        <v>166.8857</v>
      </c>
      <c r="J4" s="6">
        <v>171.6484</v>
      </c>
      <c r="K4" s="6">
        <v>172.1958</v>
      </c>
      <c r="L4" s="6">
        <v>160.2155</v>
      </c>
      <c r="M4" s="6">
        <v>1.96444</v>
      </c>
      <c r="N4" s="6">
        <v>2.03544</v>
      </c>
      <c r="O4" s="6">
        <v>2.11084</v>
      </c>
      <c r="P4" s="6">
        <v>2.07831</v>
      </c>
      <c r="Q4" s="6">
        <v>2.587</v>
      </c>
      <c r="R4" s="6">
        <v>149.2967</v>
      </c>
    </row>
    <row r="5">
      <c r="A5" s="72" t="s">
        <v>29</v>
      </c>
      <c r="B5" s="78">
        <v>3.175205</v>
      </c>
      <c r="C5" s="79">
        <v>1.35589</v>
      </c>
      <c r="D5" s="80">
        <v>111.6478</v>
      </c>
      <c r="E5" s="80">
        <v>177.3575</v>
      </c>
      <c r="F5" s="80">
        <v>1.20582</v>
      </c>
      <c r="G5" s="80">
        <v>71.26336</v>
      </c>
      <c r="H5" s="80">
        <v>71.04459</v>
      </c>
      <c r="I5" s="6">
        <v>174.9549</v>
      </c>
      <c r="J5" s="6">
        <v>165.1469</v>
      </c>
      <c r="K5" s="6">
        <v>168.5497</v>
      </c>
      <c r="L5" s="6">
        <v>162.45</v>
      </c>
      <c r="M5" s="6">
        <v>2.00368</v>
      </c>
      <c r="N5" s="6">
        <v>1.96439</v>
      </c>
      <c r="O5" s="6">
        <v>2.08304</v>
      </c>
      <c r="P5" s="6">
        <v>2.10471</v>
      </c>
      <c r="Q5" s="6">
        <v>2.52452</v>
      </c>
      <c r="R5" s="6">
        <v>151.5723</v>
      </c>
    </row>
    <row r="6">
      <c r="A6" s="72" t="s">
        <v>31</v>
      </c>
      <c r="B6" s="78">
        <v>2.331827</v>
      </c>
      <c r="C6" s="79">
        <v>1.36722</v>
      </c>
      <c r="D6" s="80">
        <v>111.9302</v>
      </c>
      <c r="E6" s="80">
        <v>176.2389</v>
      </c>
      <c r="F6" s="80">
        <v>1.20277</v>
      </c>
      <c r="G6" s="80">
        <v>70.17353</v>
      </c>
      <c r="H6" s="80">
        <v>70.79583</v>
      </c>
      <c r="I6" s="6">
        <v>176.709</v>
      </c>
      <c r="J6" s="6">
        <v>170.624</v>
      </c>
      <c r="K6" s="6">
        <v>171.5156</v>
      </c>
      <c r="L6" s="6">
        <v>159.0611</v>
      </c>
      <c r="M6" s="6">
        <v>2.00294</v>
      </c>
      <c r="N6" s="6">
        <v>2.01769</v>
      </c>
      <c r="O6" s="6">
        <v>2.01769</v>
      </c>
      <c r="P6" s="6">
        <v>2.08863</v>
      </c>
      <c r="Q6" s="6">
        <v>2.53539</v>
      </c>
      <c r="R6" s="6">
        <v>148.1805</v>
      </c>
    </row>
    <row r="7">
      <c r="A7" s="72" t="s">
        <v>36</v>
      </c>
      <c r="B7" s="78">
        <v>10.87914</v>
      </c>
      <c r="C7" s="79">
        <v>1.25393</v>
      </c>
      <c r="D7" s="80">
        <v>108.0014</v>
      </c>
      <c r="E7" s="80">
        <v>174.8221</v>
      </c>
      <c r="F7" s="80">
        <v>1.26556</v>
      </c>
      <c r="G7" s="80">
        <v>66.2812</v>
      </c>
      <c r="H7" s="80">
        <v>64.05184</v>
      </c>
      <c r="I7" s="6">
        <v>174.1549</v>
      </c>
      <c r="J7" s="6">
        <v>171.0442</v>
      </c>
      <c r="K7" s="6">
        <v>171.9226</v>
      </c>
      <c r="L7" s="6">
        <v>157.7652</v>
      </c>
      <c r="M7" s="6">
        <v>1.9861</v>
      </c>
      <c r="N7" s="6">
        <v>1.96347</v>
      </c>
      <c r="O7" s="6">
        <v>2.14709</v>
      </c>
      <c r="P7" s="6">
        <v>2.10841</v>
      </c>
      <c r="Q7" s="6">
        <v>2.36115</v>
      </c>
      <c r="R7" s="6">
        <v>145.315</v>
      </c>
    </row>
    <row r="8">
      <c r="A8" s="72" t="s">
        <v>53</v>
      </c>
      <c r="B8" s="78">
        <v>9.624759</v>
      </c>
      <c r="C8" s="79">
        <v>1.26131</v>
      </c>
      <c r="D8" s="80">
        <v>108.1795</v>
      </c>
      <c r="E8" s="80">
        <v>171.5025</v>
      </c>
      <c r="F8" s="80">
        <v>1.26287</v>
      </c>
      <c r="G8" s="80">
        <v>65.14589</v>
      </c>
      <c r="H8" s="80">
        <v>63.65439</v>
      </c>
      <c r="I8" s="6">
        <v>174.4091</v>
      </c>
      <c r="J8" s="6">
        <v>173.7034</v>
      </c>
      <c r="K8" s="6">
        <v>178.0659</v>
      </c>
      <c r="L8" s="6">
        <v>153.9719</v>
      </c>
      <c r="M8" s="6">
        <v>2.10111</v>
      </c>
      <c r="N8" s="6">
        <v>2.06138</v>
      </c>
      <c r="O8" s="6">
        <v>2.12892</v>
      </c>
      <c r="P8" s="6">
        <v>2.13744</v>
      </c>
      <c r="Q8" s="6">
        <v>2.37334</v>
      </c>
      <c r="R8" s="6">
        <v>142.4617</v>
      </c>
    </row>
    <row r="9">
      <c r="A9" s="72" t="s">
        <v>56</v>
      </c>
      <c r="B9" s="78">
        <v>10.06524</v>
      </c>
      <c r="C9" s="79">
        <v>1.24477</v>
      </c>
      <c r="D9" s="80">
        <v>107.4638</v>
      </c>
      <c r="E9" s="80">
        <v>174.4806</v>
      </c>
      <c r="F9" s="80">
        <v>1.27378</v>
      </c>
      <c r="G9" s="80">
        <v>64.758</v>
      </c>
      <c r="H9" s="80">
        <v>62.67344</v>
      </c>
      <c r="I9" s="6">
        <v>179.4586</v>
      </c>
      <c r="J9" s="6">
        <v>172.0237</v>
      </c>
      <c r="K9" s="6">
        <v>172.181</v>
      </c>
      <c r="L9" s="6">
        <v>156.7554</v>
      </c>
      <c r="M9" s="6">
        <v>2.13178</v>
      </c>
      <c r="N9" s="6">
        <v>2.08738</v>
      </c>
      <c r="O9" s="6">
        <v>2.12103</v>
      </c>
      <c r="P9" s="6">
        <v>2.09416</v>
      </c>
      <c r="Q9" s="6">
        <v>2.34343</v>
      </c>
      <c r="R9" s="6">
        <v>144.0518</v>
      </c>
    </row>
    <row r="10">
      <c r="A10" s="72" t="s">
        <v>69</v>
      </c>
      <c r="B10" s="78">
        <v>8.433107</v>
      </c>
      <c r="C10" s="79">
        <v>1.24376</v>
      </c>
      <c r="D10" s="80">
        <v>122.1277</v>
      </c>
      <c r="E10" s="80">
        <v>168.4016</v>
      </c>
      <c r="F10" s="80">
        <v>1.292</v>
      </c>
      <c r="G10" s="80">
        <v>96.34888</v>
      </c>
      <c r="H10" s="80">
        <v>117.7685</v>
      </c>
      <c r="I10" s="6">
        <v>167.0338</v>
      </c>
      <c r="J10" s="6">
        <v>170.0504</v>
      </c>
      <c r="K10" s="6">
        <v>174.7575</v>
      </c>
      <c r="L10" s="6">
        <v>166.392</v>
      </c>
      <c r="M10" s="6">
        <v>2.00187</v>
      </c>
      <c r="N10" s="6">
        <v>2.06716</v>
      </c>
      <c r="O10" s="6">
        <v>2.16783</v>
      </c>
      <c r="P10" s="6">
        <v>2.10211</v>
      </c>
      <c r="Q10" s="6">
        <v>2.63788</v>
      </c>
      <c r="R10" s="6">
        <v>158.7781</v>
      </c>
    </row>
    <row r="11">
      <c r="A11" s="72" t="s">
        <v>88</v>
      </c>
      <c r="B11" s="78">
        <v>13.18461</v>
      </c>
      <c r="C11" s="79">
        <v>1.28293</v>
      </c>
      <c r="D11" s="80">
        <v>107.9728</v>
      </c>
      <c r="E11" s="80">
        <v>173.2097</v>
      </c>
      <c r="F11" s="80">
        <v>1.24526</v>
      </c>
      <c r="G11" s="80">
        <v>65.56165</v>
      </c>
      <c r="H11" s="80">
        <v>63.86568</v>
      </c>
      <c r="I11" s="6">
        <v>165.1368</v>
      </c>
      <c r="J11" s="6">
        <v>171.725</v>
      </c>
      <c r="K11" s="6">
        <v>173.1897</v>
      </c>
      <c r="L11" s="6">
        <v>156.677</v>
      </c>
      <c r="M11" s="6">
        <v>1.97061</v>
      </c>
      <c r="N11" s="6">
        <v>1.99499</v>
      </c>
      <c r="O11" s="6">
        <v>2.03928</v>
      </c>
      <c r="P11" s="6">
        <v>2.03884</v>
      </c>
      <c r="Q11" s="6">
        <v>2.38268</v>
      </c>
      <c r="R11" s="6">
        <v>144.7906</v>
      </c>
    </row>
    <row r="12">
      <c r="A12" s="72" t="s">
        <v>90</v>
      </c>
      <c r="B12" s="78">
        <v>22.55522</v>
      </c>
      <c r="C12" s="79">
        <v>1.17023</v>
      </c>
      <c r="D12" s="80">
        <v>122.8831</v>
      </c>
      <c r="E12" s="80">
        <v>172.7053</v>
      </c>
      <c r="F12" s="80">
        <v>1.35778</v>
      </c>
      <c r="G12" s="80">
        <v>122.9468</v>
      </c>
      <c r="H12" s="80">
        <v>124.8049</v>
      </c>
      <c r="I12" s="6">
        <v>179.4988</v>
      </c>
      <c r="J12" s="6">
        <v>153.5934</v>
      </c>
      <c r="K12" s="6">
        <v>144.365</v>
      </c>
      <c r="L12" s="6">
        <v>169.1938</v>
      </c>
      <c r="M12" s="6">
        <v>2.12425</v>
      </c>
      <c r="N12" s="6">
        <v>1.9562</v>
      </c>
      <c r="O12" s="6">
        <v>3.03505</v>
      </c>
      <c r="P12" s="6">
        <v>2.10228</v>
      </c>
      <c r="Q12" s="6">
        <v>2.56636</v>
      </c>
      <c r="R12" s="6">
        <v>166.0327</v>
      </c>
    </row>
    <row r="13">
      <c r="A13" s="72" t="s">
        <v>111</v>
      </c>
      <c r="B13" s="78">
        <v>1.619603</v>
      </c>
      <c r="C13" s="79">
        <v>1.37561</v>
      </c>
      <c r="D13" s="80">
        <v>113.4838</v>
      </c>
      <c r="E13" s="80">
        <v>174.5062</v>
      </c>
      <c r="F13" s="80">
        <v>1.19842</v>
      </c>
      <c r="G13" s="80">
        <v>69.57825</v>
      </c>
      <c r="H13" s="80">
        <v>71.22296</v>
      </c>
      <c r="I13" s="6">
        <v>163.7707</v>
      </c>
      <c r="J13" s="6">
        <v>166.7677</v>
      </c>
      <c r="K13" s="6">
        <v>171.0822</v>
      </c>
      <c r="L13" s="6">
        <v>162.4908</v>
      </c>
      <c r="M13" s="6">
        <v>2.00409</v>
      </c>
      <c r="N13" s="6">
        <v>2.02138</v>
      </c>
      <c r="O13" s="6">
        <v>2.06692</v>
      </c>
      <c r="P13" s="6">
        <v>2.11326</v>
      </c>
      <c r="Q13" s="6">
        <v>2.56018</v>
      </c>
      <c r="R13" s="6">
        <v>152.3485</v>
      </c>
    </row>
    <row r="14">
      <c r="A14" s="72" t="s">
        <v>127</v>
      </c>
      <c r="B14" s="78">
        <v>13.20783</v>
      </c>
      <c r="C14" s="79">
        <v>1.68839</v>
      </c>
      <c r="D14" s="80">
        <v>107.9642</v>
      </c>
      <c r="E14" s="80">
        <v>173.2406</v>
      </c>
      <c r="F14" s="80">
        <v>1.24527</v>
      </c>
      <c r="G14" s="80">
        <v>65.55249</v>
      </c>
      <c r="H14" s="80">
        <v>63.85176</v>
      </c>
      <c r="I14" s="6">
        <v>165.1609</v>
      </c>
      <c r="J14" s="6">
        <v>171.7332</v>
      </c>
      <c r="K14" s="6">
        <v>173.1807</v>
      </c>
      <c r="L14" s="6">
        <v>156.6727</v>
      </c>
      <c r="M14" s="6">
        <v>1.99515</v>
      </c>
      <c r="N14" s="6">
        <v>1.97051</v>
      </c>
      <c r="O14" s="6">
        <v>2.03921</v>
      </c>
      <c r="P14" s="6">
        <v>2.03882</v>
      </c>
      <c r="Q14" s="6">
        <v>2.38257</v>
      </c>
      <c r="R14" s="6">
        <v>144.7853</v>
      </c>
    </row>
    <row r="15">
      <c r="A15" s="72" t="s">
        <v>138</v>
      </c>
      <c r="B15" s="78">
        <v>7.37889</v>
      </c>
      <c r="C15" s="79">
        <v>1.25933</v>
      </c>
      <c r="D15" s="80">
        <v>117.5837</v>
      </c>
      <c r="E15" s="80">
        <v>174.7326</v>
      </c>
      <c r="F15" s="80">
        <v>1.27341</v>
      </c>
      <c r="G15" s="80">
        <v>101.7884</v>
      </c>
      <c r="H15" s="80">
        <v>121.9557</v>
      </c>
      <c r="I15" s="6">
        <v>163.3399</v>
      </c>
      <c r="J15" s="6">
        <v>171.6586</v>
      </c>
      <c r="K15" s="6">
        <v>173.1571</v>
      </c>
      <c r="L15" s="6">
        <v>161.5072</v>
      </c>
      <c r="M15" s="6">
        <v>1.97976</v>
      </c>
      <c r="N15" s="6">
        <v>2.05235</v>
      </c>
      <c r="O15" s="6">
        <v>2.04999</v>
      </c>
      <c r="P15" s="6">
        <v>1.94666</v>
      </c>
      <c r="Q15" s="6">
        <v>2.6046</v>
      </c>
      <c r="R15" s="6">
        <v>151.3095</v>
      </c>
    </row>
    <row r="16">
      <c r="A16" s="72" t="s">
        <v>143</v>
      </c>
      <c r="B16" s="78">
        <v>14.84563</v>
      </c>
      <c r="C16" s="79">
        <v>1.24166</v>
      </c>
      <c r="D16" s="80">
        <v>130.8583</v>
      </c>
      <c r="E16" s="80">
        <v>165.2313</v>
      </c>
      <c r="F16" s="80">
        <v>1.29443</v>
      </c>
      <c r="G16" s="80">
        <v>92.71722</v>
      </c>
      <c r="H16" s="80">
        <v>117.9121</v>
      </c>
      <c r="I16" s="6">
        <v>165.3155</v>
      </c>
      <c r="J16" s="6">
        <v>173.404</v>
      </c>
      <c r="K16" s="6">
        <v>173.4649</v>
      </c>
      <c r="L16" s="6">
        <v>165.7995</v>
      </c>
      <c r="M16" s="6">
        <v>1.98315</v>
      </c>
      <c r="N16" s="6">
        <v>2.06188</v>
      </c>
      <c r="O16" s="6">
        <v>2.07844</v>
      </c>
      <c r="P16" s="6">
        <v>2.11611</v>
      </c>
      <c r="Q16" s="6">
        <v>2.74693</v>
      </c>
      <c r="R16" s="6">
        <v>161.2952</v>
      </c>
    </row>
    <row r="17">
      <c r="A17" s="72" t="s">
        <v>150</v>
      </c>
      <c r="B17" s="78">
        <v>6.831074</v>
      </c>
      <c r="C17" s="79">
        <v>1.3314</v>
      </c>
      <c r="D17" s="80">
        <v>111.7515</v>
      </c>
      <c r="E17" s="80">
        <v>176.2272</v>
      </c>
      <c r="F17" s="80">
        <v>1.22191</v>
      </c>
      <c r="G17" s="80">
        <v>71.55346</v>
      </c>
      <c r="H17" s="80">
        <v>71.06011</v>
      </c>
      <c r="I17" s="6">
        <v>175.4247</v>
      </c>
      <c r="J17" s="6">
        <v>163.2434</v>
      </c>
      <c r="K17" s="6">
        <v>165.7611</v>
      </c>
      <c r="L17" s="6">
        <v>164.9104</v>
      </c>
      <c r="M17" s="6">
        <v>1.98448</v>
      </c>
      <c r="N17" s="6">
        <v>2.00304</v>
      </c>
      <c r="O17" s="6">
        <v>2.08161</v>
      </c>
      <c r="P17" s="6">
        <v>2.0514</v>
      </c>
      <c r="Q17" s="6">
        <v>2.49817</v>
      </c>
      <c r="R17" s="6">
        <v>154.1827</v>
      </c>
    </row>
    <row r="18">
      <c r="A18" s="72" t="s">
        <v>155</v>
      </c>
      <c r="B18" s="78">
        <v>12.1304</v>
      </c>
      <c r="C18" s="79">
        <v>1.24352</v>
      </c>
      <c r="D18" s="80">
        <v>107.5076</v>
      </c>
      <c r="E18" s="80">
        <v>175.5538</v>
      </c>
      <c r="F18" s="80">
        <v>1.2727</v>
      </c>
      <c r="G18" s="80">
        <v>66.81427</v>
      </c>
      <c r="H18" s="80">
        <v>63.84702</v>
      </c>
      <c r="I18" s="6">
        <v>175.3188</v>
      </c>
      <c r="J18" s="6">
        <v>169.0265</v>
      </c>
      <c r="K18" s="6">
        <v>171.7104</v>
      </c>
      <c r="L18" s="6">
        <v>154.8842</v>
      </c>
      <c r="M18" s="6">
        <v>2.0015</v>
      </c>
      <c r="N18" s="6">
        <v>1.97069</v>
      </c>
      <c r="O18" s="6">
        <v>2.10251</v>
      </c>
      <c r="P18" s="6">
        <v>2.07988</v>
      </c>
      <c r="Q18" s="6">
        <v>2.34786</v>
      </c>
      <c r="R18" s="6">
        <v>142.0716</v>
      </c>
    </row>
    <row r="19">
      <c r="A19" s="72" t="s">
        <v>160</v>
      </c>
      <c r="B19" s="78">
        <v>5.736696</v>
      </c>
      <c r="C19" s="79">
        <v>1.26086</v>
      </c>
      <c r="D19" s="80">
        <v>117.0501</v>
      </c>
      <c r="E19" s="80">
        <v>175.7252</v>
      </c>
      <c r="F19" s="80">
        <v>1.27173</v>
      </c>
      <c r="G19" s="80">
        <v>89.24113</v>
      </c>
      <c r="H19" s="80">
        <v>98.24745</v>
      </c>
      <c r="I19" s="6">
        <v>168.1628</v>
      </c>
      <c r="J19" s="6">
        <v>171.7058</v>
      </c>
      <c r="K19" s="6">
        <v>171.469</v>
      </c>
      <c r="L19" s="6">
        <v>160.662</v>
      </c>
      <c r="M19" s="6">
        <v>2.03475</v>
      </c>
      <c r="N19" s="6">
        <v>1.99163</v>
      </c>
      <c r="O19" s="6">
        <v>2.11715</v>
      </c>
      <c r="P19" s="6">
        <v>2.05417</v>
      </c>
      <c r="Q19" s="6">
        <v>2.5967</v>
      </c>
      <c r="R19" s="6">
        <v>150.1195</v>
      </c>
    </row>
    <row r="20">
      <c r="A20" s="72" t="s">
        <v>162</v>
      </c>
      <c r="B20" s="78">
        <v>9.755898</v>
      </c>
      <c r="C20" s="79">
        <v>1.27701</v>
      </c>
      <c r="D20" s="80">
        <v>122.7936</v>
      </c>
      <c r="E20" s="80">
        <v>127.5024</v>
      </c>
      <c r="F20" s="80">
        <v>1.26511</v>
      </c>
      <c r="G20" s="80">
        <v>119.2046</v>
      </c>
      <c r="H20" s="80">
        <v>166.048</v>
      </c>
      <c r="I20" s="6">
        <v>168.5389</v>
      </c>
      <c r="J20" s="6">
        <v>176.3014</v>
      </c>
      <c r="K20" s="6">
        <v>167.9813</v>
      </c>
      <c r="L20" s="6">
        <v>154.7156</v>
      </c>
      <c r="M20" s="6">
        <v>1.9658</v>
      </c>
      <c r="N20" s="6">
        <v>1.99454</v>
      </c>
      <c r="O20" s="6">
        <v>2.08747</v>
      </c>
      <c r="P20" s="6">
        <v>2.05915</v>
      </c>
      <c r="Q20" s="6">
        <v>2.62277</v>
      </c>
      <c r="R20" s="6">
        <v>147.087</v>
      </c>
    </row>
    <row r="21">
      <c r="A21" s="72" t="s">
        <v>172</v>
      </c>
      <c r="B21" s="78">
        <v>7.404618</v>
      </c>
      <c r="C21" s="79">
        <v>1.29024</v>
      </c>
      <c r="D21" s="80">
        <v>116.727</v>
      </c>
      <c r="E21" s="80">
        <v>174.6078</v>
      </c>
      <c r="F21" s="80">
        <v>1.26127</v>
      </c>
      <c r="G21" s="80">
        <v>115.3159</v>
      </c>
      <c r="H21" s="80">
        <v>162.6861</v>
      </c>
      <c r="I21" s="6">
        <v>156.8845</v>
      </c>
      <c r="J21" s="6">
        <v>177.6502</v>
      </c>
      <c r="K21" s="6">
        <v>176.5209</v>
      </c>
      <c r="L21" s="6">
        <v>155.9891</v>
      </c>
      <c r="M21" s="6">
        <v>1.97879</v>
      </c>
      <c r="N21" s="6">
        <v>1.97852</v>
      </c>
      <c r="O21" s="6">
        <v>2.0008</v>
      </c>
      <c r="P21" s="6">
        <v>2.01533</v>
      </c>
      <c r="Q21" s="6">
        <v>2.59536</v>
      </c>
      <c r="R21" s="6">
        <v>145.8047</v>
      </c>
    </row>
    <row r="22">
      <c r="A22" s="72" t="s">
        <v>175</v>
      </c>
      <c r="B22" s="78">
        <v>7.720256</v>
      </c>
      <c r="C22" s="79">
        <v>1.33764</v>
      </c>
      <c r="D22" s="80">
        <v>115.5289</v>
      </c>
      <c r="E22" s="80">
        <v>178.1896</v>
      </c>
      <c r="F22" s="80">
        <v>1.21805</v>
      </c>
      <c r="G22" s="80">
        <v>114.3519</v>
      </c>
      <c r="H22" s="80">
        <v>132.9827</v>
      </c>
      <c r="I22" s="6">
        <v>166.9998</v>
      </c>
      <c r="J22" s="6">
        <v>166.8643</v>
      </c>
      <c r="K22" s="6">
        <v>168.2522</v>
      </c>
      <c r="L22" s="6">
        <v>83.49841</v>
      </c>
      <c r="M22" s="6">
        <v>2.02404</v>
      </c>
      <c r="N22" s="6">
        <v>1.9614</v>
      </c>
      <c r="O22" s="6">
        <v>2.00584</v>
      </c>
      <c r="P22" s="6">
        <v>2.03802</v>
      </c>
      <c r="Q22" s="6">
        <v>2.57933</v>
      </c>
      <c r="R22" s="6">
        <v>97.01198</v>
      </c>
    </row>
    <row r="23">
      <c r="A23" s="72" t="s">
        <v>184</v>
      </c>
      <c r="B23" s="78">
        <v>6.415037</v>
      </c>
      <c r="C23" s="79">
        <v>1.27741</v>
      </c>
      <c r="D23" s="80">
        <v>117.9051</v>
      </c>
      <c r="E23" s="80">
        <v>175.8914</v>
      </c>
      <c r="F23" s="80">
        <v>1.25653</v>
      </c>
      <c r="G23" s="80">
        <v>88.08528</v>
      </c>
      <c r="H23" s="80">
        <v>96.2046</v>
      </c>
      <c r="I23" s="6">
        <v>178.3828</v>
      </c>
      <c r="J23" s="6">
        <v>169.1508</v>
      </c>
      <c r="K23" s="6">
        <v>168.1635</v>
      </c>
      <c r="L23" s="6">
        <v>165.006</v>
      </c>
      <c r="M23" s="6">
        <v>1.99531</v>
      </c>
      <c r="N23" s="6">
        <v>1.98373</v>
      </c>
      <c r="O23" s="6">
        <v>2.10793</v>
      </c>
      <c r="P23" s="6">
        <v>2.10198</v>
      </c>
      <c r="Q23" s="6">
        <v>2.61864</v>
      </c>
      <c r="R23" s="6">
        <v>154.4373</v>
      </c>
    </row>
    <row r="24">
      <c r="A24" s="72" t="s">
        <v>186</v>
      </c>
      <c r="B24" s="78">
        <v>11.49661</v>
      </c>
      <c r="C24" s="79">
        <v>1.23921</v>
      </c>
      <c r="D24" s="80">
        <v>119.8483</v>
      </c>
      <c r="E24" s="80">
        <v>170.7402</v>
      </c>
      <c r="F24" s="80">
        <v>1.29514</v>
      </c>
      <c r="G24" s="80">
        <v>76.12539</v>
      </c>
      <c r="H24" s="80">
        <v>81.34518</v>
      </c>
      <c r="I24" s="6">
        <v>128.0823</v>
      </c>
      <c r="J24" s="6">
        <v>173.9239</v>
      </c>
      <c r="K24" s="6">
        <v>170.6841</v>
      </c>
      <c r="L24" s="6">
        <v>153.2849</v>
      </c>
      <c r="M24" s="6">
        <v>2.1371</v>
      </c>
      <c r="N24" s="6">
        <v>2.09828</v>
      </c>
      <c r="O24" s="6">
        <v>2.34757</v>
      </c>
      <c r="P24" s="6">
        <v>2.16053</v>
      </c>
      <c r="Q24" s="6">
        <v>2.5946</v>
      </c>
      <c r="R24" s="6">
        <v>144.5518</v>
      </c>
    </row>
    <row r="25">
      <c r="A25" s="72" t="s">
        <v>191</v>
      </c>
      <c r="B25" s="78">
        <v>6.289533</v>
      </c>
      <c r="C25" s="79">
        <v>1.29981</v>
      </c>
      <c r="D25" s="80">
        <v>107.3813</v>
      </c>
      <c r="E25" s="80">
        <v>172.6013</v>
      </c>
      <c r="F25" s="80">
        <v>1.24484</v>
      </c>
      <c r="G25" s="80">
        <v>62.64001</v>
      </c>
      <c r="H25" s="80">
        <v>61.79774</v>
      </c>
      <c r="I25" s="6">
        <v>161.839</v>
      </c>
      <c r="J25" s="6">
        <v>172.4787</v>
      </c>
      <c r="K25" s="6">
        <v>176.352</v>
      </c>
      <c r="L25" s="6">
        <v>156.1116</v>
      </c>
      <c r="M25" s="6">
        <v>1.98442</v>
      </c>
      <c r="N25" s="6">
        <v>1.97835</v>
      </c>
      <c r="O25" s="6">
        <v>2.07604</v>
      </c>
      <c r="P25" s="6">
        <v>2.20742</v>
      </c>
      <c r="Q25" s="6">
        <v>2.38021</v>
      </c>
      <c r="R25" s="6">
        <v>144.6172</v>
      </c>
    </row>
    <row r="26">
      <c r="A26" s="72" t="s">
        <v>193</v>
      </c>
      <c r="B26" s="78">
        <v>10.76995</v>
      </c>
      <c r="C26" s="79">
        <v>1.24556</v>
      </c>
      <c r="D26" s="80">
        <v>108.61</v>
      </c>
      <c r="E26" s="80">
        <v>175.1564</v>
      </c>
      <c r="F26" s="80">
        <v>1.27116</v>
      </c>
      <c r="G26" s="80">
        <v>66.75468</v>
      </c>
      <c r="H26" s="80">
        <v>64.48072</v>
      </c>
      <c r="I26" s="6">
        <v>163.285</v>
      </c>
      <c r="J26" s="6">
        <v>171.343</v>
      </c>
      <c r="K26" s="6">
        <v>175.4643</v>
      </c>
      <c r="L26" s="6">
        <v>158.0876</v>
      </c>
      <c r="M26" s="6">
        <v>1.97569</v>
      </c>
      <c r="N26" s="6">
        <v>1.99006</v>
      </c>
      <c r="O26" s="6">
        <v>2.06382</v>
      </c>
      <c r="P26" s="6">
        <v>2.14144</v>
      </c>
      <c r="Q26" s="6">
        <v>2.36479</v>
      </c>
      <c r="R26" s="6">
        <v>145.4213</v>
      </c>
    </row>
    <row r="27">
      <c r="A27" s="72" t="s">
        <v>203</v>
      </c>
      <c r="B27" s="78">
        <v>10.3056</v>
      </c>
      <c r="C27" s="79">
        <v>1.25153</v>
      </c>
      <c r="D27" s="80">
        <v>118.8401</v>
      </c>
      <c r="E27" s="80">
        <v>173.5312</v>
      </c>
      <c r="F27" s="80">
        <v>1.2761</v>
      </c>
      <c r="G27" s="80">
        <v>91.38901</v>
      </c>
      <c r="H27" s="80">
        <v>99.71638</v>
      </c>
      <c r="I27" s="6">
        <v>176.5634</v>
      </c>
      <c r="J27" s="6">
        <v>169.9227</v>
      </c>
      <c r="K27" s="6">
        <v>168.5224</v>
      </c>
      <c r="L27" s="6">
        <v>162.8059</v>
      </c>
      <c r="M27" s="6">
        <v>2.08349</v>
      </c>
      <c r="N27" s="6">
        <v>2.07993</v>
      </c>
      <c r="O27" s="6">
        <v>2.11807</v>
      </c>
      <c r="P27" s="6">
        <v>2.10332</v>
      </c>
      <c r="Q27" s="6">
        <v>2.59023</v>
      </c>
      <c r="R27" s="6">
        <v>153.409</v>
      </c>
    </row>
    <row r="28">
      <c r="A28" s="72" t="s">
        <v>1304</v>
      </c>
      <c r="B28" s="81" t="s">
        <v>1305</v>
      </c>
      <c r="C28" s="79">
        <v>1.294139</v>
      </c>
      <c r="D28" s="80">
        <v>114.5889</v>
      </c>
      <c r="E28" s="80">
        <v>172.0151</v>
      </c>
      <c r="F28" s="80">
        <v>1.260233</v>
      </c>
      <c r="G28" s="80">
        <v>83.42793</v>
      </c>
      <c r="H28" s="80">
        <v>92.05865</v>
      </c>
      <c r="I28" s="82">
        <v>168.1379</v>
      </c>
      <c r="J28" s="82">
        <v>170.1972</v>
      </c>
      <c r="K28" s="82">
        <v>170.7712</v>
      </c>
      <c r="L28" s="82">
        <v>156.6211</v>
      </c>
      <c r="M28" s="82">
        <v>2.017263</v>
      </c>
      <c r="N28" s="82">
        <v>2.01185</v>
      </c>
      <c r="O28" s="82">
        <v>2.133089</v>
      </c>
      <c r="P28" s="82">
        <v>2.086766</v>
      </c>
      <c r="Q28" s="82">
        <v>2.516445</v>
      </c>
      <c r="R28" s="82">
        <v>147.4555</v>
      </c>
    </row>
    <row r="29">
      <c r="A29" s="71"/>
      <c r="B29" s="83" t="s">
        <v>1306</v>
      </c>
      <c r="C29" s="79">
        <v>1.261085</v>
      </c>
      <c r="D29" s="80">
        <v>114.5063</v>
      </c>
      <c r="E29" s="80">
        <v>174.557</v>
      </c>
      <c r="F29" s="80">
        <v>1.265335</v>
      </c>
      <c r="G29" s="80">
        <v>73.83943</v>
      </c>
      <c r="H29" s="80">
        <v>76.28407</v>
      </c>
      <c r="I29" s="80">
        <v>167.5983</v>
      </c>
      <c r="J29" s="80">
        <v>171.4957</v>
      </c>
      <c r="K29" s="80">
        <v>171.8165</v>
      </c>
      <c r="L29" s="80">
        <v>158.5744</v>
      </c>
      <c r="M29" s="80">
        <v>1.998405</v>
      </c>
      <c r="N29" s="80">
        <v>1.994765</v>
      </c>
      <c r="O29" s="80">
        <v>2.085255</v>
      </c>
      <c r="P29" s="80">
        <v>2.09807</v>
      </c>
      <c r="Q29" s="80">
        <v>2.56327</v>
      </c>
      <c r="R29" s="80">
        <v>147.6338</v>
      </c>
    </row>
    <row r="30">
      <c r="A30" s="71"/>
      <c r="B30" s="71"/>
      <c r="C30" s="76"/>
      <c r="D30" s="77"/>
      <c r="E30" s="77"/>
      <c r="F30" s="77"/>
      <c r="G30" s="77"/>
      <c r="H30" s="77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71"/>
      <c r="B31" s="71"/>
      <c r="C31" s="76"/>
      <c r="D31" s="77"/>
      <c r="E31" s="77"/>
      <c r="F31" s="77"/>
      <c r="G31" s="77"/>
      <c r="H31" s="77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71"/>
      <c r="B32" s="71"/>
      <c r="C32" s="84"/>
      <c r="D32" s="77">
        <f t="shared" ref="D32:D33" si="1">C28+F28</f>
        <v>2.554372</v>
      </c>
      <c r="E32" s="77"/>
      <c r="F32" s="77"/>
      <c r="G32" s="77"/>
      <c r="H32" s="77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>
      <c r="A33" s="71"/>
      <c r="B33" s="71"/>
      <c r="C33" s="76"/>
      <c r="D33" s="77">
        <f t="shared" si="1"/>
        <v>2.52642</v>
      </c>
      <c r="E33" s="77"/>
      <c r="F33" s="77"/>
      <c r="G33" s="77"/>
      <c r="H33" s="77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>
      <c r="A34" s="71"/>
      <c r="B34" s="71"/>
      <c r="C34" s="76"/>
      <c r="D34" s="77"/>
      <c r="E34" s="77"/>
      <c r="F34" s="77"/>
      <c r="G34" s="77"/>
      <c r="H34" s="77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71"/>
      <c r="B35" s="71"/>
      <c r="C35" s="76"/>
      <c r="D35" s="77"/>
      <c r="E35" s="77"/>
      <c r="F35" s="77"/>
      <c r="G35" s="77"/>
      <c r="H35" s="77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71"/>
      <c r="B36" s="71"/>
      <c r="C36" s="76"/>
      <c r="D36" s="77"/>
      <c r="E36" s="77"/>
      <c r="F36" s="77"/>
      <c r="G36" s="77"/>
      <c r="H36" s="77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71"/>
      <c r="B37" s="71"/>
      <c r="C37" s="76"/>
      <c r="D37" s="77"/>
      <c r="E37" s="77"/>
      <c r="F37" s="77"/>
      <c r="G37" s="77"/>
      <c r="H37" s="77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71"/>
      <c r="B38" s="71"/>
      <c r="C38" s="76"/>
      <c r="D38" s="77"/>
      <c r="E38" s="77"/>
      <c r="F38" s="77"/>
      <c r="G38" s="77"/>
      <c r="H38" s="77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71"/>
      <c r="B39" s="71"/>
      <c r="C39" s="76"/>
      <c r="D39" s="77"/>
      <c r="E39" s="77"/>
      <c r="F39" s="77"/>
      <c r="G39" s="77"/>
      <c r="H39" s="77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71"/>
      <c r="B40" s="71"/>
      <c r="C40" s="76"/>
      <c r="D40" s="77"/>
      <c r="E40" s="77"/>
      <c r="F40" s="77"/>
      <c r="G40" s="77"/>
      <c r="H40" s="77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71"/>
      <c r="B41" s="71"/>
      <c r="C41" s="76"/>
      <c r="D41" s="77"/>
      <c r="E41" s="77"/>
      <c r="F41" s="77"/>
      <c r="G41" s="77"/>
      <c r="H41" s="77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71"/>
      <c r="B42" s="71"/>
      <c r="C42" s="76"/>
      <c r="D42" s="77"/>
      <c r="E42" s="77"/>
      <c r="F42" s="77"/>
      <c r="G42" s="77"/>
      <c r="H42" s="77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>
      <c r="A43" s="71"/>
      <c r="B43" s="71"/>
      <c r="C43" s="76"/>
      <c r="D43" s="77"/>
      <c r="E43" s="77"/>
      <c r="F43" s="77"/>
      <c r="G43" s="77"/>
      <c r="H43" s="77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71"/>
      <c r="B44" s="71"/>
      <c r="C44" s="76"/>
      <c r="D44" s="77"/>
      <c r="E44" s="77"/>
      <c r="F44" s="77"/>
      <c r="G44" s="77"/>
      <c r="H44" s="77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71"/>
      <c r="B45" s="71"/>
      <c r="C45" s="76"/>
      <c r="D45" s="77"/>
      <c r="E45" s="77"/>
      <c r="F45" s="77"/>
      <c r="G45" s="77"/>
      <c r="H45" s="77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71"/>
      <c r="B46" s="71"/>
      <c r="C46" s="76"/>
      <c r="D46" s="77"/>
      <c r="E46" s="77"/>
      <c r="F46" s="77"/>
      <c r="G46" s="77"/>
      <c r="H46" s="77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71"/>
      <c r="B47" s="71"/>
      <c r="C47" s="76"/>
      <c r="D47" s="77"/>
      <c r="E47" s="77"/>
      <c r="F47" s="77"/>
      <c r="G47" s="77"/>
      <c r="H47" s="77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71"/>
      <c r="B48" s="71"/>
      <c r="C48" s="76"/>
      <c r="D48" s="77"/>
      <c r="E48" s="77"/>
      <c r="F48" s="77"/>
      <c r="G48" s="77"/>
      <c r="H48" s="77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71"/>
      <c r="B49" s="71"/>
      <c r="C49" s="76"/>
      <c r="D49" s="77"/>
      <c r="E49" s="77"/>
      <c r="F49" s="77"/>
      <c r="G49" s="77"/>
      <c r="H49" s="77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>
      <c r="A50" s="71"/>
      <c r="B50" s="71"/>
      <c r="C50" s="76"/>
      <c r="D50" s="77"/>
      <c r="E50" s="77"/>
      <c r="F50" s="77"/>
      <c r="G50" s="77"/>
      <c r="H50" s="77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71"/>
      <c r="B51" s="71"/>
      <c r="C51" s="76"/>
      <c r="D51" s="77"/>
      <c r="E51" s="77"/>
      <c r="F51" s="77"/>
      <c r="G51" s="77"/>
      <c r="H51" s="77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71"/>
      <c r="B52" s="71"/>
      <c r="C52" s="76"/>
      <c r="D52" s="77"/>
      <c r="E52" s="77"/>
      <c r="F52" s="77"/>
      <c r="G52" s="77"/>
      <c r="H52" s="77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71"/>
      <c r="B53" s="71"/>
      <c r="C53" s="76"/>
      <c r="D53" s="77"/>
      <c r="E53" s="77"/>
      <c r="F53" s="77"/>
      <c r="G53" s="77"/>
      <c r="H53" s="77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71"/>
      <c r="B54" s="71"/>
      <c r="C54" s="76"/>
      <c r="D54" s="77"/>
      <c r="E54" s="77"/>
      <c r="F54" s="77"/>
      <c r="G54" s="77"/>
      <c r="H54" s="77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>
      <c r="A55" s="71"/>
      <c r="B55" s="71"/>
      <c r="C55" s="76"/>
      <c r="D55" s="77"/>
      <c r="E55" s="77"/>
      <c r="F55" s="77"/>
      <c r="G55" s="77"/>
      <c r="H55" s="77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71"/>
      <c r="B56" s="71"/>
      <c r="C56" s="76"/>
      <c r="D56" s="77"/>
      <c r="E56" s="77"/>
      <c r="F56" s="77"/>
      <c r="G56" s="77"/>
      <c r="H56" s="77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>
      <c r="A57" s="71"/>
      <c r="B57" s="71"/>
      <c r="C57" s="76"/>
      <c r="D57" s="77"/>
      <c r="E57" s="77"/>
      <c r="F57" s="77"/>
      <c r="G57" s="77"/>
      <c r="H57" s="77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71"/>
      <c r="B58" s="71"/>
      <c r="C58" s="76"/>
      <c r="D58" s="77"/>
      <c r="E58" s="77"/>
      <c r="F58" s="77"/>
      <c r="G58" s="77"/>
      <c r="H58" s="77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71"/>
      <c r="B59" s="71"/>
      <c r="C59" s="76"/>
      <c r="D59" s="77"/>
      <c r="E59" s="77"/>
      <c r="F59" s="77"/>
      <c r="G59" s="77"/>
      <c r="H59" s="77"/>
      <c r="I59" s="4"/>
      <c r="J59" s="4"/>
      <c r="K59" s="4"/>
      <c r="L59" s="4"/>
      <c r="M59" s="4"/>
      <c r="N59" s="4"/>
      <c r="O59" s="4"/>
      <c r="P59" s="4"/>
      <c r="Q59" s="4"/>
      <c r="R59" s="4"/>
    </row>
    <row r="60">
      <c r="A60" s="71"/>
      <c r="B60" s="71"/>
      <c r="C60" s="76"/>
      <c r="D60" s="77"/>
      <c r="E60" s="77"/>
      <c r="F60" s="77"/>
      <c r="G60" s="77"/>
      <c r="H60" s="77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71"/>
      <c r="B61" s="71"/>
      <c r="C61" s="76"/>
      <c r="D61" s="77"/>
      <c r="E61" s="77"/>
      <c r="F61" s="77"/>
      <c r="G61" s="77"/>
      <c r="H61" s="77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71"/>
      <c r="B62" s="71"/>
      <c r="C62" s="76"/>
      <c r="D62" s="77"/>
      <c r="E62" s="77"/>
      <c r="F62" s="77"/>
      <c r="G62" s="77"/>
      <c r="H62" s="77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71"/>
      <c r="B63" s="71"/>
      <c r="C63" s="76"/>
      <c r="D63" s="77"/>
      <c r="E63" s="77"/>
      <c r="F63" s="77"/>
      <c r="G63" s="77"/>
      <c r="H63" s="77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>
      <c r="A64" s="71"/>
      <c r="B64" s="71"/>
      <c r="C64" s="76"/>
      <c r="D64" s="77"/>
      <c r="E64" s="77"/>
      <c r="F64" s="77"/>
      <c r="G64" s="77"/>
      <c r="H64" s="77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71"/>
      <c r="B65" s="71"/>
      <c r="C65" s="76"/>
      <c r="D65" s="77"/>
      <c r="E65" s="77"/>
      <c r="F65" s="77"/>
      <c r="G65" s="77"/>
      <c r="H65" s="77"/>
      <c r="I65" s="4"/>
      <c r="J65" s="4"/>
      <c r="K65" s="4"/>
      <c r="L65" s="4"/>
      <c r="M65" s="4"/>
      <c r="N65" s="4"/>
      <c r="O65" s="4"/>
      <c r="P65" s="4"/>
      <c r="Q65" s="4"/>
      <c r="R65" s="4"/>
    </row>
    <row r="66">
      <c r="A66" s="71"/>
      <c r="B66" s="71"/>
      <c r="C66" s="76"/>
      <c r="D66" s="77"/>
      <c r="E66" s="77"/>
      <c r="F66" s="77"/>
      <c r="G66" s="77"/>
      <c r="H66" s="77"/>
      <c r="I66" s="4"/>
      <c r="J66" s="4"/>
      <c r="K66" s="4"/>
      <c r="L66" s="4"/>
      <c r="M66" s="4"/>
      <c r="N66" s="4"/>
      <c r="O66" s="4"/>
      <c r="P66" s="4"/>
      <c r="Q66" s="4"/>
      <c r="R66" s="4"/>
    </row>
    <row r="67">
      <c r="A67" s="71"/>
      <c r="B67" s="71"/>
      <c r="C67" s="76"/>
      <c r="D67" s="77"/>
      <c r="E67" s="77"/>
      <c r="F67" s="77"/>
      <c r="G67" s="77"/>
      <c r="H67" s="77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71"/>
      <c r="B68" s="71"/>
      <c r="C68" s="76"/>
      <c r="D68" s="77"/>
      <c r="E68" s="77"/>
      <c r="F68" s="77"/>
      <c r="G68" s="77"/>
      <c r="H68" s="77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71"/>
      <c r="B69" s="71"/>
      <c r="C69" s="76"/>
      <c r="D69" s="77"/>
      <c r="E69" s="77"/>
      <c r="F69" s="77"/>
      <c r="G69" s="77"/>
      <c r="H69" s="77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71"/>
      <c r="B70" s="71"/>
      <c r="C70" s="76"/>
      <c r="D70" s="77"/>
      <c r="E70" s="77"/>
      <c r="F70" s="77"/>
      <c r="G70" s="77"/>
      <c r="H70" s="77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71"/>
      <c r="B71" s="71"/>
      <c r="C71" s="76"/>
      <c r="D71" s="77"/>
      <c r="E71" s="77"/>
      <c r="F71" s="77"/>
      <c r="G71" s="77"/>
      <c r="H71" s="77"/>
      <c r="I71" s="4"/>
      <c r="J71" s="4"/>
      <c r="K71" s="4"/>
      <c r="L71" s="4"/>
      <c r="M71" s="4"/>
      <c r="N71" s="4"/>
      <c r="O71" s="4"/>
      <c r="P71" s="4"/>
      <c r="Q71" s="4"/>
      <c r="R71" s="4"/>
    </row>
    <row r="72">
      <c r="A72" s="71"/>
      <c r="B72" s="71"/>
      <c r="C72" s="76"/>
      <c r="D72" s="77"/>
      <c r="E72" s="77"/>
      <c r="F72" s="77"/>
      <c r="G72" s="77"/>
      <c r="H72" s="77"/>
      <c r="I72" s="4"/>
      <c r="J72" s="4"/>
      <c r="K72" s="4"/>
      <c r="L72" s="4"/>
      <c r="M72" s="4"/>
      <c r="N72" s="4"/>
      <c r="O72" s="4"/>
      <c r="P72" s="4"/>
      <c r="Q72" s="4"/>
      <c r="R72" s="4"/>
    </row>
    <row r="73">
      <c r="A73" s="71"/>
      <c r="B73" s="71"/>
      <c r="C73" s="76"/>
      <c r="D73" s="77"/>
      <c r="E73" s="77"/>
      <c r="F73" s="77"/>
      <c r="G73" s="77"/>
      <c r="H73" s="77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71"/>
      <c r="B74" s="71"/>
      <c r="C74" s="76"/>
      <c r="D74" s="77"/>
      <c r="E74" s="77"/>
      <c r="F74" s="77"/>
      <c r="G74" s="77"/>
      <c r="H74" s="77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71"/>
      <c r="B75" s="71"/>
      <c r="C75" s="76"/>
      <c r="D75" s="77"/>
      <c r="E75" s="77"/>
      <c r="F75" s="77"/>
      <c r="G75" s="77"/>
      <c r="H75" s="77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71"/>
      <c r="B76" s="71"/>
      <c r="C76" s="76"/>
      <c r="D76" s="77"/>
      <c r="E76" s="77"/>
      <c r="F76" s="77"/>
      <c r="G76" s="77"/>
      <c r="H76" s="77"/>
      <c r="I76" s="4"/>
      <c r="J76" s="4"/>
      <c r="K76" s="4"/>
      <c r="L76" s="4"/>
      <c r="M76" s="4"/>
      <c r="N76" s="4"/>
      <c r="O76" s="4"/>
      <c r="P76" s="4"/>
      <c r="Q76" s="4"/>
      <c r="R76" s="4"/>
    </row>
    <row r="77">
      <c r="A77" s="71"/>
      <c r="B77" s="71"/>
      <c r="C77" s="76"/>
      <c r="D77" s="77"/>
      <c r="E77" s="77"/>
      <c r="F77" s="77"/>
      <c r="G77" s="77"/>
      <c r="H77" s="77"/>
      <c r="I77" s="4"/>
      <c r="J77" s="4"/>
      <c r="K77" s="4"/>
      <c r="L77" s="4"/>
      <c r="M77" s="4"/>
      <c r="N77" s="4"/>
      <c r="O77" s="4"/>
      <c r="P77" s="4"/>
      <c r="Q77" s="4"/>
      <c r="R77" s="4"/>
    </row>
    <row r="78">
      <c r="A78" s="71"/>
      <c r="B78" s="71"/>
      <c r="C78" s="76"/>
      <c r="D78" s="77"/>
      <c r="E78" s="77"/>
      <c r="F78" s="77"/>
      <c r="G78" s="77"/>
      <c r="H78" s="77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71"/>
      <c r="B79" s="71"/>
      <c r="C79" s="76"/>
      <c r="D79" s="77"/>
      <c r="E79" s="77"/>
      <c r="F79" s="77"/>
      <c r="G79" s="77"/>
      <c r="H79" s="77"/>
      <c r="I79" s="4"/>
      <c r="J79" s="4"/>
      <c r="K79" s="4"/>
      <c r="L79" s="4"/>
      <c r="M79" s="4"/>
      <c r="N79" s="4"/>
      <c r="O79" s="4"/>
      <c r="P79" s="4"/>
      <c r="Q79" s="4"/>
      <c r="R79" s="4"/>
    </row>
    <row r="80">
      <c r="A80" s="71"/>
      <c r="B80" s="71"/>
      <c r="C80" s="76"/>
      <c r="D80" s="77"/>
      <c r="E80" s="77"/>
      <c r="F80" s="77"/>
      <c r="G80" s="77"/>
      <c r="H80" s="77"/>
      <c r="I80" s="4"/>
      <c r="J80" s="4"/>
      <c r="K80" s="4"/>
      <c r="L80" s="4"/>
      <c r="M80" s="4"/>
      <c r="N80" s="4"/>
      <c r="O80" s="4"/>
      <c r="P80" s="4"/>
      <c r="Q80" s="4"/>
      <c r="R80" s="4"/>
    </row>
    <row r="81">
      <c r="A81" s="71"/>
      <c r="B81" s="71"/>
      <c r="C81" s="76"/>
      <c r="D81" s="77"/>
      <c r="E81" s="77"/>
      <c r="F81" s="77"/>
      <c r="G81" s="77"/>
      <c r="H81" s="77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71"/>
      <c r="B82" s="71"/>
      <c r="C82" s="76"/>
      <c r="D82" s="77"/>
      <c r="E82" s="77"/>
      <c r="F82" s="77"/>
      <c r="G82" s="77"/>
      <c r="H82" s="77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71"/>
      <c r="B83" s="71"/>
      <c r="C83" s="76"/>
      <c r="D83" s="77"/>
      <c r="E83" s="77"/>
      <c r="F83" s="77"/>
      <c r="G83" s="77"/>
      <c r="H83" s="77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71"/>
      <c r="B84" s="71"/>
      <c r="C84" s="76"/>
      <c r="D84" s="77"/>
      <c r="E84" s="77"/>
      <c r="F84" s="77"/>
      <c r="G84" s="77"/>
      <c r="H84" s="77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71"/>
      <c r="B85" s="71"/>
      <c r="C85" s="76"/>
      <c r="D85" s="77"/>
      <c r="E85" s="77"/>
      <c r="F85" s="77"/>
      <c r="G85" s="77"/>
      <c r="H85" s="77"/>
      <c r="I85" s="4"/>
      <c r="J85" s="4"/>
      <c r="K85" s="4"/>
      <c r="L85" s="4"/>
      <c r="M85" s="4"/>
      <c r="N85" s="4"/>
      <c r="O85" s="4"/>
      <c r="P85" s="4"/>
      <c r="Q85" s="4"/>
      <c r="R85" s="4"/>
    </row>
    <row r="86">
      <c r="A86" s="71"/>
      <c r="B86" s="71"/>
      <c r="C86" s="76"/>
      <c r="D86" s="77"/>
      <c r="E86" s="77"/>
      <c r="F86" s="77"/>
      <c r="G86" s="77"/>
      <c r="H86" s="77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71"/>
      <c r="B87" s="71"/>
      <c r="C87" s="76"/>
      <c r="D87" s="77"/>
      <c r="E87" s="77"/>
      <c r="F87" s="77"/>
      <c r="G87" s="77"/>
      <c r="H87" s="77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71"/>
      <c r="B88" s="71"/>
      <c r="C88" s="76"/>
      <c r="D88" s="77"/>
      <c r="E88" s="77"/>
      <c r="F88" s="77"/>
      <c r="G88" s="77"/>
      <c r="H88" s="77"/>
      <c r="I88" s="4"/>
      <c r="J88" s="4"/>
      <c r="K88" s="4"/>
      <c r="L88" s="4"/>
      <c r="M88" s="4"/>
      <c r="N88" s="4"/>
      <c r="O88" s="4"/>
      <c r="P88" s="4"/>
      <c r="Q88" s="4"/>
      <c r="R88" s="4"/>
    </row>
    <row r="89">
      <c r="A89" s="71"/>
      <c r="B89" s="71"/>
      <c r="C89" s="76"/>
      <c r="D89" s="77"/>
      <c r="E89" s="77"/>
      <c r="F89" s="77"/>
      <c r="G89" s="77"/>
      <c r="H89" s="77"/>
      <c r="I89" s="4"/>
      <c r="J89" s="4"/>
      <c r="K89" s="4"/>
      <c r="L89" s="4"/>
      <c r="M89" s="4"/>
      <c r="N89" s="4"/>
      <c r="O89" s="4"/>
      <c r="P89" s="4"/>
      <c r="Q89" s="4"/>
      <c r="R89" s="4"/>
    </row>
    <row r="90">
      <c r="A90" s="71"/>
      <c r="B90" s="71"/>
      <c r="C90" s="76"/>
      <c r="D90" s="77"/>
      <c r="E90" s="77"/>
      <c r="F90" s="77"/>
      <c r="G90" s="77"/>
      <c r="H90" s="77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71"/>
      <c r="B91" s="71"/>
      <c r="C91" s="76"/>
      <c r="D91" s="77"/>
      <c r="E91" s="77"/>
      <c r="F91" s="77"/>
      <c r="G91" s="77"/>
      <c r="H91" s="77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71"/>
      <c r="B92" s="71"/>
      <c r="C92" s="76"/>
      <c r="D92" s="77"/>
      <c r="E92" s="77"/>
      <c r="F92" s="77"/>
      <c r="G92" s="77"/>
      <c r="H92" s="77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71"/>
      <c r="B93" s="71"/>
      <c r="C93" s="76"/>
      <c r="D93" s="77"/>
      <c r="E93" s="77"/>
      <c r="F93" s="77"/>
      <c r="G93" s="77"/>
      <c r="H93" s="77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71"/>
      <c r="B94" s="71"/>
      <c r="C94" s="76"/>
      <c r="D94" s="77"/>
      <c r="E94" s="77"/>
      <c r="F94" s="77"/>
      <c r="G94" s="77"/>
      <c r="H94" s="77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71"/>
      <c r="B95" s="71"/>
      <c r="C95" s="76"/>
      <c r="D95" s="77"/>
      <c r="E95" s="77"/>
      <c r="F95" s="77"/>
      <c r="G95" s="77"/>
      <c r="H95" s="77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71"/>
      <c r="B96" s="71"/>
      <c r="C96" s="76"/>
      <c r="D96" s="77"/>
      <c r="E96" s="77"/>
      <c r="F96" s="77"/>
      <c r="G96" s="77"/>
      <c r="H96" s="77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71"/>
      <c r="B97" s="71"/>
      <c r="C97" s="76"/>
      <c r="D97" s="77"/>
      <c r="E97" s="77"/>
      <c r="F97" s="77"/>
      <c r="G97" s="77"/>
      <c r="H97" s="77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71"/>
      <c r="B98" s="71"/>
      <c r="C98" s="76"/>
      <c r="D98" s="77"/>
      <c r="E98" s="77"/>
      <c r="F98" s="77"/>
      <c r="G98" s="77"/>
      <c r="H98" s="77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71"/>
      <c r="B99" s="71"/>
      <c r="C99" s="76"/>
      <c r="D99" s="77"/>
      <c r="E99" s="77"/>
      <c r="F99" s="77"/>
      <c r="G99" s="77"/>
      <c r="H99" s="77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71"/>
      <c r="B100" s="71"/>
      <c r="C100" s="76"/>
      <c r="D100" s="77"/>
      <c r="E100" s="77"/>
      <c r="F100" s="77"/>
      <c r="G100" s="77"/>
      <c r="H100" s="77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71"/>
      <c r="B101" s="71"/>
      <c r="C101" s="76"/>
      <c r="D101" s="77"/>
      <c r="E101" s="77"/>
      <c r="F101" s="77"/>
      <c r="G101" s="77"/>
      <c r="H101" s="77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71"/>
      <c r="B102" s="71"/>
      <c r="C102" s="76"/>
      <c r="D102" s="77"/>
      <c r="E102" s="77"/>
      <c r="F102" s="77"/>
      <c r="G102" s="77"/>
      <c r="H102" s="77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71"/>
      <c r="B103" s="71"/>
      <c r="C103" s="76"/>
      <c r="D103" s="77"/>
      <c r="E103" s="77"/>
      <c r="F103" s="77"/>
      <c r="G103" s="77"/>
      <c r="H103" s="77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71"/>
      <c r="B104" s="71"/>
      <c r="C104" s="76"/>
      <c r="D104" s="77"/>
      <c r="E104" s="77"/>
      <c r="F104" s="77"/>
      <c r="G104" s="77"/>
      <c r="H104" s="77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71"/>
      <c r="B105" s="71"/>
      <c r="C105" s="76"/>
      <c r="D105" s="77"/>
      <c r="E105" s="77"/>
      <c r="F105" s="77"/>
      <c r="G105" s="77"/>
      <c r="H105" s="77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71"/>
      <c r="B106" s="71"/>
      <c r="C106" s="76"/>
      <c r="D106" s="77"/>
      <c r="E106" s="77"/>
      <c r="F106" s="77"/>
      <c r="G106" s="77"/>
      <c r="H106" s="77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71"/>
      <c r="B107" s="71"/>
      <c r="C107" s="76"/>
      <c r="D107" s="77"/>
      <c r="E107" s="77"/>
      <c r="F107" s="77"/>
      <c r="G107" s="77"/>
      <c r="H107" s="77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71"/>
      <c r="B108" s="71"/>
      <c r="C108" s="76"/>
      <c r="D108" s="77"/>
      <c r="E108" s="77"/>
      <c r="F108" s="77"/>
      <c r="G108" s="77"/>
      <c r="H108" s="77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71"/>
      <c r="B109" s="71"/>
      <c r="C109" s="76"/>
      <c r="D109" s="77"/>
      <c r="E109" s="77"/>
      <c r="F109" s="77"/>
      <c r="G109" s="77"/>
      <c r="H109" s="77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71"/>
      <c r="B110" s="71"/>
      <c r="C110" s="76"/>
      <c r="D110" s="77"/>
      <c r="E110" s="77"/>
      <c r="F110" s="77"/>
      <c r="G110" s="77"/>
      <c r="H110" s="77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71"/>
      <c r="B111" s="71"/>
      <c r="C111" s="76"/>
      <c r="D111" s="77"/>
      <c r="E111" s="77"/>
      <c r="F111" s="77"/>
      <c r="G111" s="77"/>
      <c r="H111" s="77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71"/>
      <c r="B112" s="71"/>
      <c r="C112" s="76"/>
      <c r="D112" s="77"/>
      <c r="E112" s="77"/>
      <c r="F112" s="77"/>
      <c r="G112" s="77"/>
      <c r="H112" s="77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71"/>
      <c r="B113" s="71"/>
      <c r="C113" s="76"/>
      <c r="D113" s="77"/>
      <c r="E113" s="77"/>
      <c r="F113" s="77"/>
      <c r="G113" s="77"/>
      <c r="H113" s="77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71"/>
      <c r="B114" s="71"/>
      <c r="C114" s="76"/>
      <c r="D114" s="77"/>
      <c r="E114" s="77"/>
      <c r="F114" s="77"/>
      <c r="G114" s="77"/>
      <c r="H114" s="77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71"/>
      <c r="B115" s="71"/>
      <c r="C115" s="76"/>
      <c r="D115" s="77"/>
      <c r="E115" s="77"/>
      <c r="F115" s="77"/>
      <c r="G115" s="77"/>
      <c r="H115" s="77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71"/>
      <c r="B116" s="71"/>
      <c r="C116" s="76"/>
      <c r="D116" s="77"/>
      <c r="E116" s="77"/>
      <c r="F116" s="77"/>
      <c r="G116" s="77"/>
      <c r="H116" s="77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71"/>
      <c r="B117" s="71"/>
      <c r="C117" s="76"/>
      <c r="D117" s="77"/>
      <c r="E117" s="77"/>
      <c r="F117" s="77"/>
      <c r="G117" s="77"/>
      <c r="H117" s="77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71"/>
      <c r="B118" s="71"/>
      <c r="C118" s="76"/>
      <c r="D118" s="77"/>
      <c r="E118" s="77"/>
      <c r="F118" s="77"/>
      <c r="G118" s="77"/>
      <c r="H118" s="77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71"/>
      <c r="B119" s="71"/>
      <c r="C119" s="76"/>
      <c r="D119" s="77"/>
      <c r="E119" s="77"/>
      <c r="F119" s="77"/>
      <c r="G119" s="77"/>
      <c r="H119" s="77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71"/>
      <c r="B120" s="71"/>
      <c r="C120" s="76"/>
      <c r="D120" s="77"/>
      <c r="E120" s="77"/>
      <c r="F120" s="77"/>
      <c r="G120" s="77"/>
      <c r="H120" s="77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71"/>
      <c r="B121" s="71"/>
      <c r="C121" s="76"/>
      <c r="D121" s="77"/>
      <c r="E121" s="77"/>
      <c r="F121" s="77"/>
      <c r="G121" s="77"/>
      <c r="H121" s="77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71"/>
      <c r="B122" s="71"/>
      <c r="C122" s="76"/>
      <c r="D122" s="77"/>
      <c r="E122" s="77"/>
      <c r="F122" s="77"/>
      <c r="G122" s="77"/>
      <c r="H122" s="77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71"/>
      <c r="B123" s="71"/>
      <c r="C123" s="76"/>
      <c r="D123" s="77"/>
      <c r="E123" s="77"/>
      <c r="F123" s="77"/>
      <c r="G123" s="77"/>
      <c r="H123" s="77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71"/>
      <c r="B124" s="71"/>
      <c r="C124" s="76"/>
      <c r="D124" s="77"/>
      <c r="E124" s="77"/>
      <c r="F124" s="77"/>
      <c r="G124" s="77"/>
      <c r="H124" s="77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71"/>
      <c r="B125" s="71"/>
      <c r="C125" s="76"/>
      <c r="D125" s="77"/>
      <c r="E125" s="77"/>
      <c r="F125" s="77"/>
      <c r="G125" s="77"/>
      <c r="H125" s="77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71"/>
      <c r="B126" s="71"/>
      <c r="C126" s="76"/>
      <c r="D126" s="77"/>
      <c r="E126" s="77"/>
      <c r="F126" s="77"/>
      <c r="G126" s="77"/>
      <c r="H126" s="77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71"/>
      <c r="B127" s="71"/>
      <c r="C127" s="76"/>
      <c r="D127" s="77"/>
      <c r="E127" s="77"/>
      <c r="F127" s="77"/>
      <c r="G127" s="77"/>
      <c r="H127" s="77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71"/>
      <c r="B128" s="71"/>
      <c r="C128" s="76"/>
      <c r="D128" s="77"/>
      <c r="E128" s="77"/>
      <c r="F128" s="77"/>
      <c r="G128" s="77"/>
      <c r="H128" s="77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71"/>
      <c r="B129" s="71"/>
      <c r="C129" s="76"/>
      <c r="D129" s="77"/>
      <c r="E129" s="77"/>
      <c r="F129" s="77"/>
      <c r="G129" s="77"/>
      <c r="H129" s="77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71"/>
      <c r="B130" s="71"/>
      <c r="C130" s="76"/>
      <c r="D130" s="77"/>
      <c r="E130" s="77"/>
      <c r="F130" s="77"/>
      <c r="G130" s="77"/>
      <c r="H130" s="77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71"/>
      <c r="B131" s="71"/>
      <c r="C131" s="76"/>
      <c r="D131" s="77"/>
      <c r="E131" s="77"/>
      <c r="F131" s="77"/>
      <c r="G131" s="77"/>
      <c r="H131" s="77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71"/>
      <c r="B132" s="71"/>
      <c r="C132" s="76"/>
      <c r="D132" s="77"/>
      <c r="E132" s="77"/>
      <c r="F132" s="77"/>
      <c r="G132" s="77"/>
      <c r="H132" s="77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71"/>
      <c r="B133" s="71"/>
      <c r="C133" s="76"/>
      <c r="D133" s="77"/>
      <c r="E133" s="77"/>
      <c r="F133" s="77"/>
      <c r="G133" s="77"/>
      <c r="H133" s="77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71"/>
      <c r="B134" s="71"/>
      <c r="C134" s="76"/>
      <c r="D134" s="77"/>
      <c r="E134" s="77"/>
      <c r="F134" s="77"/>
      <c r="G134" s="77"/>
      <c r="H134" s="77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71"/>
      <c r="B135" s="71"/>
      <c r="C135" s="76"/>
      <c r="D135" s="77"/>
      <c r="E135" s="77"/>
      <c r="F135" s="77"/>
      <c r="G135" s="77"/>
      <c r="H135" s="77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71"/>
      <c r="B136" s="71"/>
      <c r="C136" s="76"/>
      <c r="D136" s="77"/>
      <c r="E136" s="77"/>
      <c r="F136" s="77"/>
      <c r="G136" s="77"/>
      <c r="H136" s="77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71"/>
      <c r="B137" s="71"/>
      <c r="C137" s="76"/>
      <c r="D137" s="77"/>
      <c r="E137" s="77"/>
      <c r="F137" s="77"/>
      <c r="G137" s="77"/>
      <c r="H137" s="77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71"/>
      <c r="B138" s="71"/>
      <c r="C138" s="76"/>
      <c r="D138" s="77"/>
      <c r="E138" s="77"/>
      <c r="F138" s="77"/>
      <c r="G138" s="77"/>
      <c r="H138" s="77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71"/>
      <c r="B139" s="71"/>
      <c r="C139" s="76"/>
      <c r="D139" s="77"/>
      <c r="E139" s="77"/>
      <c r="F139" s="77"/>
      <c r="G139" s="77"/>
      <c r="H139" s="77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71"/>
      <c r="B140" s="71"/>
      <c r="C140" s="76"/>
      <c r="D140" s="77"/>
      <c r="E140" s="77"/>
      <c r="F140" s="77"/>
      <c r="G140" s="77"/>
      <c r="H140" s="77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71"/>
      <c r="B141" s="71"/>
      <c r="C141" s="76"/>
      <c r="D141" s="77"/>
      <c r="E141" s="77"/>
      <c r="F141" s="77"/>
      <c r="G141" s="77"/>
      <c r="H141" s="77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71"/>
      <c r="B142" s="71"/>
      <c r="C142" s="76"/>
      <c r="D142" s="77"/>
      <c r="E142" s="77"/>
      <c r="F142" s="77"/>
      <c r="G142" s="77"/>
      <c r="H142" s="77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71"/>
      <c r="B143" s="71"/>
      <c r="C143" s="76"/>
      <c r="D143" s="77"/>
      <c r="E143" s="77"/>
      <c r="F143" s="77"/>
      <c r="G143" s="77"/>
      <c r="H143" s="77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71"/>
      <c r="B144" s="71"/>
      <c r="C144" s="76"/>
      <c r="D144" s="77"/>
      <c r="E144" s="77"/>
      <c r="F144" s="77"/>
      <c r="G144" s="77"/>
      <c r="H144" s="77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71"/>
      <c r="B145" s="71"/>
      <c r="C145" s="76"/>
      <c r="D145" s="77"/>
      <c r="E145" s="77"/>
      <c r="F145" s="77"/>
      <c r="G145" s="77"/>
      <c r="H145" s="77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71"/>
      <c r="B146" s="71"/>
      <c r="C146" s="76"/>
      <c r="D146" s="77"/>
      <c r="E146" s="77"/>
      <c r="F146" s="77"/>
      <c r="G146" s="77"/>
      <c r="H146" s="77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71"/>
      <c r="B147" s="71"/>
      <c r="C147" s="76"/>
      <c r="D147" s="77"/>
      <c r="E147" s="77"/>
      <c r="F147" s="77"/>
      <c r="G147" s="77"/>
      <c r="H147" s="77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71"/>
      <c r="B148" s="71"/>
      <c r="C148" s="76"/>
      <c r="D148" s="77"/>
      <c r="E148" s="77"/>
      <c r="F148" s="77"/>
      <c r="G148" s="77"/>
      <c r="H148" s="77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71"/>
      <c r="B149" s="71"/>
      <c r="C149" s="76"/>
      <c r="D149" s="77"/>
      <c r="E149" s="77"/>
      <c r="F149" s="77"/>
      <c r="G149" s="77"/>
      <c r="H149" s="77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71"/>
      <c r="B150" s="71"/>
      <c r="C150" s="76"/>
      <c r="D150" s="77"/>
      <c r="E150" s="77"/>
      <c r="F150" s="77"/>
      <c r="G150" s="77"/>
      <c r="H150" s="77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71"/>
      <c r="B151" s="71"/>
      <c r="C151" s="76"/>
      <c r="D151" s="77"/>
      <c r="E151" s="77"/>
      <c r="F151" s="77"/>
      <c r="G151" s="77"/>
      <c r="H151" s="77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71"/>
      <c r="B152" s="71"/>
      <c r="C152" s="76"/>
      <c r="D152" s="77"/>
      <c r="E152" s="77"/>
      <c r="F152" s="77"/>
      <c r="G152" s="77"/>
      <c r="H152" s="77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71"/>
      <c r="B153" s="71"/>
      <c r="C153" s="76"/>
      <c r="D153" s="77"/>
      <c r="E153" s="77"/>
      <c r="F153" s="77"/>
      <c r="G153" s="77"/>
      <c r="H153" s="77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71"/>
      <c r="B154" s="71"/>
      <c r="C154" s="76"/>
      <c r="D154" s="77"/>
      <c r="E154" s="77"/>
      <c r="F154" s="77"/>
      <c r="G154" s="77"/>
      <c r="H154" s="77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71"/>
      <c r="B155" s="71"/>
      <c r="C155" s="76"/>
      <c r="D155" s="77"/>
      <c r="E155" s="77"/>
      <c r="F155" s="77"/>
      <c r="G155" s="77"/>
      <c r="H155" s="77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71"/>
      <c r="B156" s="71"/>
      <c r="C156" s="76"/>
      <c r="D156" s="77"/>
      <c r="E156" s="77"/>
      <c r="F156" s="77"/>
      <c r="G156" s="77"/>
      <c r="H156" s="77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71"/>
      <c r="B157" s="71"/>
      <c r="C157" s="76"/>
      <c r="D157" s="77"/>
      <c r="E157" s="77"/>
      <c r="F157" s="77"/>
      <c r="G157" s="77"/>
      <c r="H157" s="77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71"/>
      <c r="B158" s="71"/>
      <c r="C158" s="76"/>
      <c r="D158" s="77"/>
      <c r="E158" s="77"/>
      <c r="F158" s="77"/>
      <c r="G158" s="77"/>
      <c r="H158" s="77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71"/>
      <c r="B159" s="71"/>
      <c r="C159" s="76"/>
      <c r="D159" s="77"/>
      <c r="E159" s="77"/>
      <c r="F159" s="77"/>
      <c r="G159" s="77"/>
      <c r="H159" s="77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71"/>
      <c r="B160" s="71"/>
      <c r="C160" s="76"/>
      <c r="D160" s="77"/>
      <c r="E160" s="77"/>
      <c r="F160" s="77"/>
      <c r="G160" s="77"/>
      <c r="H160" s="77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71"/>
      <c r="B161" s="71"/>
      <c r="C161" s="76"/>
      <c r="D161" s="77"/>
      <c r="E161" s="77"/>
      <c r="F161" s="77"/>
      <c r="G161" s="77"/>
      <c r="H161" s="77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71"/>
      <c r="B162" s="71"/>
      <c r="C162" s="76"/>
      <c r="D162" s="77"/>
      <c r="E162" s="77"/>
      <c r="F162" s="77"/>
      <c r="G162" s="77"/>
      <c r="H162" s="77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71"/>
      <c r="B163" s="71"/>
      <c r="C163" s="76"/>
      <c r="D163" s="77"/>
      <c r="E163" s="77"/>
      <c r="F163" s="77"/>
      <c r="G163" s="77"/>
      <c r="H163" s="77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71"/>
      <c r="B164" s="71"/>
      <c r="C164" s="76"/>
      <c r="D164" s="77"/>
      <c r="E164" s="77"/>
      <c r="F164" s="77"/>
      <c r="G164" s="77"/>
      <c r="H164" s="77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71"/>
      <c r="B165" s="71"/>
      <c r="C165" s="76"/>
      <c r="D165" s="77"/>
      <c r="E165" s="77"/>
      <c r="F165" s="77"/>
      <c r="G165" s="77"/>
      <c r="H165" s="77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71"/>
      <c r="B166" s="71"/>
      <c r="C166" s="76"/>
      <c r="D166" s="77"/>
      <c r="E166" s="77"/>
      <c r="F166" s="77"/>
      <c r="G166" s="77"/>
      <c r="H166" s="77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71"/>
      <c r="B167" s="71"/>
      <c r="C167" s="76"/>
      <c r="D167" s="77"/>
      <c r="E167" s="77"/>
      <c r="F167" s="77"/>
      <c r="G167" s="77"/>
      <c r="H167" s="77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71"/>
      <c r="B168" s="71"/>
      <c r="C168" s="76"/>
      <c r="D168" s="77"/>
      <c r="E168" s="77"/>
      <c r="F168" s="77"/>
      <c r="G168" s="77"/>
      <c r="H168" s="77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71"/>
      <c r="B169" s="71"/>
      <c r="C169" s="76"/>
      <c r="D169" s="77"/>
      <c r="E169" s="77"/>
      <c r="F169" s="77"/>
      <c r="G169" s="77"/>
      <c r="H169" s="77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71"/>
      <c r="B170" s="71"/>
      <c r="C170" s="76"/>
      <c r="D170" s="77"/>
      <c r="E170" s="77"/>
      <c r="F170" s="77"/>
      <c r="G170" s="77"/>
      <c r="H170" s="77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71"/>
      <c r="B171" s="71"/>
      <c r="C171" s="76"/>
      <c r="D171" s="77"/>
      <c r="E171" s="77"/>
      <c r="F171" s="77"/>
      <c r="G171" s="77"/>
      <c r="H171" s="77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71"/>
      <c r="B172" s="71"/>
      <c r="C172" s="76"/>
      <c r="D172" s="77"/>
      <c r="E172" s="77"/>
      <c r="F172" s="77"/>
      <c r="G172" s="77"/>
      <c r="H172" s="77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71"/>
      <c r="B173" s="71"/>
      <c r="C173" s="76"/>
      <c r="D173" s="77"/>
      <c r="E173" s="77"/>
      <c r="F173" s="77"/>
      <c r="G173" s="77"/>
      <c r="H173" s="77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71"/>
      <c r="B174" s="71"/>
      <c r="C174" s="76"/>
      <c r="D174" s="77"/>
      <c r="E174" s="77"/>
      <c r="F174" s="77"/>
      <c r="G174" s="77"/>
      <c r="H174" s="77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71"/>
      <c r="B175" s="71"/>
      <c r="C175" s="76"/>
      <c r="D175" s="77"/>
      <c r="E175" s="77"/>
      <c r="F175" s="77"/>
      <c r="G175" s="77"/>
      <c r="H175" s="77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71"/>
      <c r="B176" s="71"/>
      <c r="C176" s="76"/>
      <c r="D176" s="77"/>
      <c r="E176" s="77"/>
      <c r="F176" s="77"/>
      <c r="G176" s="77"/>
      <c r="H176" s="77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71"/>
      <c r="B177" s="71"/>
      <c r="C177" s="76"/>
      <c r="D177" s="77"/>
      <c r="E177" s="77"/>
      <c r="F177" s="77"/>
      <c r="G177" s="77"/>
      <c r="H177" s="77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71"/>
      <c r="B178" s="71"/>
      <c r="C178" s="76"/>
      <c r="D178" s="77"/>
      <c r="E178" s="77"/>
      <c r="F178" s="77"/>
      <c r="G178" s="77"/>
      <c r="H178" s="77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71"/>
      <c r="B179" s="71"/>
      <c r="C179" s="76"/>
      <c r="D179" s="77"/>
      <c r="E179" s="77"/>
      <c r="F179" s="77"/>
      <c r="G179" s="77"/>
      <c r="H179" s="77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71"/>
      <c r="B180" s="71"/>
      <c r="C180" s="76"/>
      <c r="D180" s="77"/>
      <c r="E180" s="77"/>
      <c r="F180" s="77"/>
      <c r="G180" s="77"/>
      <c r="H180" s="77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71"/>
      <c r="B181" s="71"/>
      <c r="C181" s="76"/>
      <c r="D181" s="77"/>
      <c r="E181" s="77"/>
      <c r="F181" s="77"/>
      <c r="G181" s="77"/>
      <c r="H181" s="77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71"/>
      <c r="B182" s="71"/>
      <c r="C182" s="76"/>
      <c r="D182" s="77"/>
      <c r="E182" s="77"/>
      <c r="F182" s="77"/>
      <c r="G182" s="77"/>
      <c r="H182" s="77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71"/>
      <c r="B183" s="71"/>
      <c r="C183" s="76"/>
      <c r="D183" s="77"/>
      <c r="E183" s="77"/>
      <c r="F183" s="77"/>
      <c r="G183" s="77"/>
      <c r="H183" s="77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71"/>
      <c r="B184" s="71"/>
      <c r="C184" s="76"/>
      <c r="D184" s="77"/>
      <c r="E184" s="77"/>
      <c r="F184" s="77"/>
      <c r="G184" s="77"/>
      <c r="H184" s="77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71"/>
      <c r="B185" s="71"/>
      <c r="C185" s="76"/>
      <c r="D185" s="77"/>
      <c r="E185" s="77"/>
      <c r="F185" s="77"/>
      <c r="G185" s="77"/>
      <c r="H185" s="77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71"/>
      <c r="B186" s="71"/>
      <c r="C186" s="76"/>
      <c r="D186" s="77"/>
      <c r="E186" s="77"/>
      <c r="F186" s="77"/>
      <c r="G186" s="77"/>
      <c r="H186" s="77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71"/>
      <c r="B187" s="71"/>
      <c r="C187" s="76"/>
      <c r="D187" s="77"/>
      <c r="E187" s="77"/>
      <c r="F187" s="77"/>
      <c r="G187" s="77"/>
      <c r="H187" s="77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71"/>
      <c r="B188" s="71"/>
      <c r="C188" s="76"/>
      <c r="D188" s="77"/>
      <c r="E188" s="77"/>
      <c r="F188" s="77"/>
      <c r="G188" s="77"/>
      <c r="H188" s="77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71"/>
      <c r="B189" s="71"/>
      <c r="C189" s="76"/>
      <c r="D189" s="77"/>
      <c r="E189" s="77"/>
      <c r="F189" s="77"/>
      <c r="G189" s="77"/>
      <c r="H189" s="77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71"/>
      <c r="B190" s="71"/>
      <c r="C190" s="76"/>
      <c r="D190" s="77"/>
      <c r="E190" s="77"/>
      <c r="F190" s="77"/>
      <c r="G190" s="77"/>
      <c r="H190" s="77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71"/>
      <c r="B191" s="71"/>
      <c r="C191" s="76"/>
      <c r="D191" s="77"/>
      <c r="E191" s="77"/>
      <c r="F191" s="77"/>
      <c r="G191" s="77"/>
      <c r="H191" s="77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71"/>
      <c r="B192" s="71"/>
      <c r="C192" s="76"/>
      <c r="D192" s="77"/>
      <c r="E192" s="77"/>
      <c r="F192" s="77"/>
      <c r="G192" s="77"/>
      <c r="H192" s="77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71"/>
      <c r="B193" s="71"/>
      <c r="C193" s="76"/>
      <c r="D193" s="77"/>
      <c r="E193" s="77"/>
      <c r="F193" s="77"/>
      <c r="G193" s="77"/>
      <c r="H193" s="77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71"/>
      <c r="B194" s="71"/>
      <c r="C194" s="76"/>
      <c r="D194" s="77"/>
      <c r="E194" s="77"/>
      <c r="F194" s="77"/>
      <c r="G194" s="77"/>
      <c r="H194" s="77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71"/>
      <c r="B195" s="71"/>
      <c r="C195" s="76"/>
      <c r="D195" s="77"/>
      <c r="E195" s="77"/>
      <c r="F195" s="77"/>
      <c r="G195" s="77"/>
      <c r="H195" s="77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71"/>
      <c r="B196" s="71"/>
      <c r="C196" s="76"/>
      <c r="D196" s="77"/>
      <c r="E196" s="77"/>
      <c r="F196" s="77"/>
      <c r="G196" s="77"/>
      <c r="H196" s="77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71"/>
      <c r="B197" s="71"/>
      <c r="C197" s="76"/>
      <c r="D197" s="77"/>
      <c r="E197" s="77"/>
      <c r="F197" s="77"/>
      <c r="G197" s="77"/>
      <c r="H197" s="77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71"/>
      <c r="B198" s="71"/>
      <c r="C198" s="76"/>
      <c r="D198" s="77"/>
      <c r="E198" s="77"/>
      <c r="F198" s="77"/>
      <c r="G198" s="77"/>
      <c r="H198" s="77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71"/>
      <c r="B199" s="71"/>
      <c r="C199" s="76"/>
      <c r="D199" s="77"/>
      <c r="E199" s="77"/>
      <c r="F199" s="77"/>
      <c r="G199" s="77"/>
      <c r="H199" s="77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71"/>
      <c r="B200" s="71"/>
      <c r="C200" s="76"/>
      <c r="D200" s="77"/>
      <c r="E200" s="77"/>
      <c r="F200" s="77"/>
      <c r="G200" s="77"/>
      <c r="H200" s="77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71"/>
      <c r="B201" s="71"/>
      <c r="C201" s="76"/>
      <c r="D201" s="77"/>
      <c r="E201" s="77"/>
      <c r="F201" s="77"/>
      <c r="G201" s="77"/>
      <c r="H201" s="77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71"/>
      <c r="B202" s="71"/>
      <c r="C202" s="76"/>
      <c r="D202" s="77"/>
      <c r="E202" s="77"/>
      <c r="F202" s="77"/>
      <c r="G202" s="77"/>
      <c r="H202" s="77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71"/>
      <c r="B203" s="71"/>
      <c r="C203" s="76"/>
      <c r="D203" s="77"/>
      <c r="E203" s="77"/>
      <c r="F203" s="77"/>
      <c r="G203" s="77"/>
      <c r="H203" s="77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71"/>
      <c r="B204" s="71"/>
      <c r="C204" s="76"/>
      <c r="D204" s="77"/>
      <c r="E204" s="77"/>
      <c r="F204" s="77"/>
      <c r="G204" s="77"/>
      <c r="H204" s="77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71"/>
      <c r="B205" s="71"/>
      <c r="C205" s="76"/>
      <c r="D205" s="77"/>
      <c r="E205" s="77"/>
      <c r="F205" s="77"/>
      <c r="G205" s="77"/>
      <c r="H205" s="77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71"/>
      <c r="B206" s="71"/>
      <c r="C206" s="76"/>
      <c r="D206" s="77"/>
      <c r="E206" s="77"/>
      <c r="F206" s="77"/>
      <c r="G206" s="77"/>
      <c r="H206" s="77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71"/>
      <c r="B207" s="71"/>
      <c r="C207" s="76"/>
      <c r="D207" s="77"/>
      <c r="E207" s="77"/>
      <c r="F207" s="77"/>
      <c r="G207" s="77"/>
      <c r="H207" s="77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71"/>
      <c r="B208" s="71"/>
      <c r="C208" s="76"/>
      <c r="D208" s="77"/>
      <c r="E208" s="77"/>
      <c r="F208" s="77"/>
      <c r="G208" s="77"/>
      <c r="H208" s="77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71"/>
      <c r="B209" s="71"/>
      <c r="C209" s="76"/>
      <c r="D209" s="77"/>
      <c r="E209" s="77"/>
      <c r="F209" s="77"/>
      <c r="G209" s="77"/>
      <c r="H209" s="77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71"/>
      <c r="B210" s="71"/>
      <c r="C210" s="76"/>
      <c r="D210" s="77"/>
      <c r="E210" s="77"/>
      <c r="F210" s="77"/>
      <c r="G210" s="77"/>
      <c r="H210" s="77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71"/>
      <c r="B211" s="71"/>
      <c r="C211" s="76"/>
      <c r="D211" s="77"/>
      <c r="E211" s="77"/>
      <c r="F211" s="77"/>
      <c r="G211" s="77"/>
      <c r="H211" s="77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71"/>
      <c r="B212" s="71"/>
      <c r="C212" s="76"/>
      <c r="D212" s="77"/>
      <c r="E212" s="77"/>
      <c r="F212" s="77"/>
      <c r="G212" s="77"/>
      <c r="H212" s="77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71"/>
      <c r="B213" s="71"/>
      <c r="C213" s="76"/>
      <c r="D213" s="77"/>
      <c r="E213" s="77"/>
      <c r="F213" s="77"/>
      <c r="G213" s="77"/>
      <c r="H213" s="77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71"/>
      <c r="B214" s="71"/>
      <c r="C214" s="76"/>
      <c r="D214" s="77"/>
      <c r="E214" s="77"/>
      <c r="F214" s="77"/>
      <c r="G214" s="77"/>
      <c r="H214" s="77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71"/>
      <c r="B215" s="71"/>
      <c r="C215" s="76"/>
      <c r="D215" s="77"/>
      <c r="E215" s="77"/>
      <c r="F215" s="77"/>
      <c r="G215" s="77"/>
      <c r="H215" s="77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71"/>
      <c r="B216" s="71"/>
      <c r="C216" s="76"/>
      <c r="D216" s="77"/>
      <c r="E216" s="77"/>
      <c r="F216" s="77"/>
      <c r="G216" s="77"/>
      <c r="H216" s="77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71"/>
      <c r="B217" s="71"/>
      <c r="C217" s="76"/>
      <c r="D217" s="77"/>
      <c r="E217" s="77"/>
      <c r="F217" s="77"/>
      <c r="G217" s="77"/>
      <c r="H217" s="77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71"/>
      <c r="B218" s="71"/>
      <c r="C218" s="76"/>
      <c r="D218" s="77"/>
      <c r="E218" s="77"/>
      <c r="F218" s="77"/>
      <c r="G218" s="77"/>
      <c r="H218" s="77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71"/>
      <c r="B219" s="71"/>
      <c r="C219" s="76"/>
      <c r="D219" s="77"/>
      <c r="E219" s="77"/>
      <c r="F219" s="77"/>
      <c r="G219" s="77"/>
      <c r="H219" s="77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71"/>
      <c r="B220" s="71"/>
      <c r="C220" s="76"/>
      <c r="D220" s="77"/>
      <c r="E220" s="77"/>
      <c r="F220" s="77"/>
      <c r="G220" s="77"/>
      <c r="H220" s="77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71"/>
      <c r="B221" s="71"/>
      <c r="C221" s="76"/>
      <c r="D221" s="77"/>
      <c r="E221" s="77"/>
      <c r="F221" s="77"/>
      <c r="G221" s="77"/>
      <c r="H221" s="77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71"/>
      <c r="B222" s="71"/>
      <c r="C222" s="76"/>
      <c r="D222" s="77"/>
      <c r="E222" s="77"/>
      <c r="F222" s="77"/>
      <c r="G222" s="77"/>
      <c r="H222" s="77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71"/>
      <c r="B223" s="71"/>
      <c r="C223" s="76"/>
      <c r="D223" s="77"/>
      <c r="E223" s="77"/>
      <c r="F223" s="77"/>
      <c r="G223" s="77"/>
      <c r="H223" s="77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71"/>
      <c r="B224" s="71"/>
      <c r="C224" s="76"/>
      <c r="D224" s="77"/>
      <c r="E224" s="77"/>
      <c r="F224" s="77"/>
      <c r="G224" s="77"/>
      <c r="H224" s="77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71"/>
      <c r="B225" s="71"/>
      <c r="C225" s="76"/>
      <c r="D225" s="77"/>
      <c r="E225" s="77"/>
      <c r="F225" s="77"/>
      <c r="G225" s="77"/>
      <c r="H225" s="77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71"/>
      <c r="B226" s="71"/>
      <c r="C226" s="76"/>
      <c r="D226" s="77"/>
      <c r="E226" s="77"/>
      <c r="F226" s="77"/>
      <c r="G226" s="77"/>
      <c r="H226" s="77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71"/>
      <c r="B227" s="71"/>
      <c r="C227" s="76"/>
      <c r="D227" s="77"/>
      <c r="E227" s="77"/>
      <c r="F227" s="77"/>
      <c r="G227" s="77"/>
      <c r="H227" s="77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71"/>
      <c r="B228" s="71"/>
      <c r="C228" s="76"/>
      <c r="D228" s="77"/>
      <c r="E228" s="77"/>
      <c r="F228" s="77"/>
      <c r="G228" s="77"/>
      <c r="H228" s="77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71"/>
      <c r="B229" s="71"/>
      <c r="C229" s="76"/>
      <c r="D229" s="77"/>
      <c r="E229" s="77"/>
      <c r="F229" s="77"/>
      <c r="G229" s="77"/>
      <c r="H229" s="77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71"/>
      <c r="B230" s="71"/>
      <c r="C230" s="76"/>
      <c r="D230" s="77"/>
      <c r="E230" s="77"/>
      <c r="F230" s="77"/>
      <c r="G230" s="77"/>
      <c r="H230" s="77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71"/>
      <c r="B231" s="71"/>
      <c r="C231" s="76"/>
      <c r="D231" s="77"/>
      <c r="E231" s="77"/>
      <c r="F231" s="77"/>
      <c r="G231" s="77"/>
      <c r="H231" s="77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71"/>
      <c r="B232" s="71"/>
      <c r="C232" s="76"/>
      <c r="D232" s="77"/>
      <c r="E232" s="77"/>
      <c r="F232" s="77"/>
      <c r="G232" s="77"/>
      <c r="H232" s="77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71"/>
      <c r="B233" s="71"/>
      <c r="C233" s="76"/>
      <c r="D233" s="77"/>
      <c r="E233" s="77"/>
      <c r="F233" s="77"/>
      <c r="G233" s="77"/>
      <c r="H233" s="77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71"/>
      <c r="B234" s="71"/>
      <c r="C234" s="76"/>
      <c r="D234" s="77"/>
      <c r="E234" s="77"/>
      <c r="F234" s="77"/>
      <c r="G234" s="77"/>
      <c r="H234" s="77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71"/>
      <c r="B235" s="71"/>
      <c r="C235" s="76"/>
      <c r="D235" s="77"/>
      <c r="E235" s="77"/>
      <c r="F235" s="77"/>
      <c r="G235" s="77"/>
      <c r="H235" s="77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71"/>
      <c r="B236" s="71"/>
      <c r="C236" s="76"/>
      <c r="D236" s="77"/>
      <c r="E236" s="77"/>
      <c r="F236" s="77"/>
      <c r="G236" s="77"/>
      <c r="H236" s="77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71"/>
      <c r="B237" s="71"/>
      <c r="C237" s="76"/>
      <c r="D237" s="77"/>
      <c r="E237" s="77"/>
      <c r="F237" s="77"/>
      <c r="G237" s="77"/>
      <c r="H237" s="77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71"/>
      <c r="B238" s="71"/>
      <c r="C238" s="76"/>
      <c r="D238" s="77"/>
      <c r="E238" s="77"/>
      <c r="F238" s="77"/>
      <c r="G238" s="77"/>
      <c r="H238" s="77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71"/>
      <c r="B239" s="71"/>
      <c r="C239" s="76"/>
      <c r="D239" s="77"/>
      <c r="E239" s="77"/>
      <c r="F239" s="77"/>
      <c r="G239" s="77"/>
      <c r="H239" s="77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71"/>
      <c r="B240" s="71"/>
      <c r="C240" s="76"/>
      <c r="D240" s="77"/>
      <c r="E240" s="77"/>
      <c r="F240" s="77"/>
      <c r="G240" s="77"/>
      <c r="H240" s="77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71"/>
      <c r="B241" s="71"/>
      <c r="C241" s="76"/>
      <c r="D241" s="77"/>
      <c r="E241" s="77"/>
      <c r="F241" s="77"/>
      <c r="G241" s="77"/>
      <c r="H241" s="77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71"/>
      <c r="B242" s="71"/>
      <c r="C242" s="76"/>
      <c r="D242" s="77"/>
      <c r="E242" s="77"/>
      <c r="F242" s="77"/>
      <c r="G242" s="77"/>
      <c r="H242" s="77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71"/>
      <c r="B243" s="71"/>
      <c r="C243" s="76"/>
      <c r="D243" s="77"/>
      <c r="E243" s="77"/>
      <c r="F243" s="77"/>
      <c r="G243" s="77"/>
      <c r="H243" s="77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71"/>
      <c r="B244" s="71"/>
      <c r="C244" s="76"/>
      <c r="D244" s="77"/>
      <c r="E244" s="77"/>
      <c r="F244" s="77"/>
      <c r="G244" s="77"/>
      <c r="H244" s="77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71"/>
      <c r="B245" s="71"/>
      <c r="C245" s="76"/>
      <c r="D245" s="77"/>
      <c r="E245" s="77"/>
      <c r="F245" s="77"/>
      <c r="G245" s="77"/>
      <c r="H245" s="77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71"/>
      <c r="B246" s="71"/>
      <c r="C246" s="76"/>
      <c r="D246" s="77"/>
      <c r="E246" s="77"/>
      <c r="F246" s="77"/>
      <c r="G246" s="77"/>
      <c r="H246" s="77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71"/>
      <c r="B247" s="71"/>
      <c r="C247" s="76"/>
      <c r="D247" s="77"/>
      <c r="E247" s="77"/>
      <c r="F247" s="77"/>
      <c r="G247" s="77"/>
      <c r="H247" s="77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71"/>
      <c r="B248" s="71"/>
      <c r="C248" s="76"/>
      <c r="D248" s="77"/>
      <c r="E248" s="77"/>
      <c r="F248" s="77"/>
      <c r="G248" s="77"/>
      <c r="H248" s="77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71"/>
      <c r="B249" s="71"/>
      <c r="C249" s="76"/>
      <c r="D249" s="77"/>
      <c r="E249" s="77"/>
      <c r="F249" s="77"/>
      <c r="G249" s="77"/>
      <c r="H249" s="77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71"/>
      <c r="B250" s="71"/>
      <c r="C250" s="76"/>
      <c r="D250" s="77"/>
      <c r="E250" s="77"/>
      <c r="F250" s="77"/>
      <c r="G250" s="77"/>
      <c r="H250" s="77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71"/>
      <c r="B251" s="71"/>
      <c r="C251" s="76"/>
      <c r="D251" s="77"/>
      <c r="E251" s="77"/>
      <c r="F251" s="77"/>
      <c r="G251" s="77"/>
      <c r="H251" s="77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71"/>
      <c r="B252" s="71"/>
      <c r="C252" s="76"/>
      <c r="D252" s="77"/>
      <c r="E252" s="77"/>
      <c r="F252" s="77"/>
      <c r="G252" s="77"/>
      <c r="H252" s="77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71"/>
      <c r="B253" s="71"/>
      <c r="C253" s="76"/>
      <c r="D253" s="77"/>
      <c r="E253" s="77"/>
      <c r="F253" s="77"/>
      <c r="G253" s="77"/>
      <c r="H253" s="77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71"/>
      <c r="B254" s="71"/>
      <c r="C254" s="76"/>
      <c r="D254" s="77"/>
      <c r="E254" s="77"/>
      <c r="F254" s="77"/>
      <c r="G254" s="77"/>
      <c r="H254" s="77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71"/>
      <c r="B255" s="71"/>
      <c r="C255" s="76"/>
      <c r="D255" s="77"/>
      <c r="E255" s="77"/>
      <c r="F255" s="77"/>
      <c r="G255" s="77"/>
      <c r="H255" s="77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71"/>
      <c r="B256" s="71"/>
      <c r="C256" s="76"/>
      <c r="D256" s="77"/>
      <c r="E256" s="77"/>
      <c r="F256" s="77"/>
      <c r="G256" s="77"/>
      <c r="H256" s="77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71"/>
      <c r="B257" s="71"/>
      <c r="C257" s="76"/>
      <c r="D257" s="77"/>
      <c r="E257" s="77"/>
      <c r="F257" s="77"/>
      <c r="G257" s="77"/>
      <c r="H257" s="77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71"/>
      <c r="B258" s="71"/>
      <c r="C258" s="76"/>
      <c r="D258" s="77"/>
      <c r="E258" s="77"/>
      <c r="F258" s="77"/>
      <c r="G258" s="77"/>
      <c r="H258" s="77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71"/>
      <c r="B259" s="71"/>
      <c r="C259" s="76"/>
      <c r="D259" s="77"/>
      <c r="E259" s="77"/>
      <c r="F259" s="77"/>
      <c r="G259" s="77"/>
      <c r="H259" s="77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71"/>
      <c r="B260" s="71"/>
      <c r="C260" s="76"/>
      <c r="D260" s="77"/>
      <c r="E260" s="77"/>
      <c r="F260" s="77"/>
      <c r="G260" s="77"/>
      <c r="H260" s="77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71"/>
      <c r="B261" s="71"/>
      <c r="C261" s="76"/>
      <c r="D261" s="77"/>
      <c r="E261" s="77"/>
      <c r="F261" s="77"/>
      <c r="G261" s="77"/>
      <c r="H261" s="77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71"/>
      <c r="B262" s="71"/>
      <c r="C262" s="76"/>
      <c r="D262" s="77"/>
      <c r="E262" s="77"/>
      <c r="F262" s="77"/>
      <c r="G262" s="77"/>
      <c r="H262" s="77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71"/>
      <c r="B263" s="71"/>
      <c r="C263" s="76"/>
      <c r="D263" s="77"/>
      <c r="E263" s="77"/>
      <c r="F263" s="77"/>
      <c r="G263" s="77"/>
      <c r="H263" s="77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71"/>
      <c r="B264" s="71"/>
      <c r="C264" s="76"/>
      <c r="D264" s="77"/>
      <c r="E264" s="77"/>
      <c r="F264" s="77"/>
      <c r="G264" s="77"/>
      <c r="H264" s="77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71"/>
      <c r="B265" s="71"/>
      <c r="C265" s="76"/>
      <c r="D265" s="77"/>
      <c r="E265" s="77"/>
      <c r="F265" s="77"/>
      <c r="G265" s="77"/>
      <c r="H265" s="77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71"/>
      <c r="B266" s="71"/>
      <c r="C266" s="76"/>
      <c r="D266" s="77"/>
      <c r="E266" s="77"/>
      <c r="F266" s="77"/>
      <c r="G266" s="77"/>
      <c r="H266" s="77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71"/>
      <c r="B267" s="71"/>
      <c r="C267" s="76"/>
      <c r="D267" s="77"/>
      <c r="E267" s="77"/>
      <c r="F267" s="77"/>
      <c r="G267" s="77"/>
      <c r="H267" s="77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71"/>
      <c r="B268" s="71"/>
      <c r="C268" s="76"/>
      <c r="D268" s="77"/>
      <c r="E268" s="77"/>
      <c r="F268" s="77"/>
      <c r="G268" s="77"/>
      <c r="H268" s="77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71"/>
      <c r="B269" s="71"/>
      <c r="C269" s="76"/>
      <c r="D269" s="77"/>
      <c r="E269" s="77"/>
      <c r="F269" s="77"/>
      <c r="G269" s="77"/>
      <c r="H269" s="77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71"/>
      <c r="B270" s="71"/>
      <c r="C270" s="76"/>
      <c r="D270" s="77"/>
      <c r="E270" s="77"/>
      <c r="F270" s="77"/>
      <c r="G270" s="77"/>
      <c r="H270" s="77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71"/>
      <c r="B271" s="71"/>
      <c r="C271" s="76"/>
      <c r="D271" s="77"/>
      <c r="E271" s="77"/>
      <c r="F271" s="77"/>
      <c r="G271" s="77"/>
      <c r="H271" s="77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71"/>
      <c r="B272" s="71"/>
      <c r="C272" s="76"/>
      <c r="D272" s="77"/>
      <c r="E272" s="77"/>
      <c r="F272" s="77"/>
      <c r="G272" s="77"/>
      <c r="H272" s="77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71"/>
      <c r="B273" s="71"/>
      <c r="C273" s="76"/>
      <c r="D273" s="77"/>
      <c r="E273" s="77"/>
      <c r="F273" s="77"/>
      <c r="G273" s="77"/>
      <c r="H273" s="77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71"/>
      <c r="B274" s="71"/>
      <c r="C274" s="76"/>
      <c r="D274" s="77"/>
      <c r="E274" s="77"/>
      <c r="F274" s="77"/>
      <c r="G274" s="77"/>
      <c r="H274" s="77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71"/>
      <c r="B275" s="71"/>
      <c r="C275" s="76"/>
      <c r="D275" s="77"/>
      <c r="E275" s="77"/>
      <c r="F275" s="77"/>
      <c r="G275" s="77"/>
      <c r="H275" s="77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71"/>
      <c r="B276" s="71"/>
      <c r="C276" s="76"/>
      <c r="D276" s="77"/>
      <c r="E276" s="77"/>
      <c r="F276" s="77"/>
      <c r="G276" s="77"/>
      <c r="H276" s="77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71"/>
      <c r="B277" s="71"/>
      <c r="C277" s="76"/>
      <c r="D277" s="77"/>
      <c r="E277" s="77"/>
      <c r="F277" s="77"/>
      <c r="G277" s="77"/>
      <c r="H277" s="77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71"/>
      <c r="B278" s="71"/>
      <c r="C278" s="76"/>
      <c r="D278" s="77"/>
      <c r="E278" s="77"/>
      <c r="F278" s="77"/>
      <c r="G278" s="77"/>
      <c r="H278" s="77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71"/>
      <c r="B279" s="71"/>
      <c r="C279" s="76"/>
      <c r="D279" s="77"/>
      <c r="E279" s="77"/>
      <c r="F279" s="77"/>
      <c r="G279" s="77"/>
      <c r="H279" s="77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71"/>
      <c r="B280" s="71"/>
      <c r="C280" s="76"/>
      <c r="D280" s="77"/>
      <c r="E280" s="77"/>
      <c r="F280" s="77"/>
      <c r="G280" s="77"/>
      <c r="H280" s="77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71"/>
      <c r="B281" s="71"/>
      <c r="C281" s="76"/>
      <c r="D281" s="77"/>
      <c r="E281" s="77"/>
      <c r="F281" s="77"/>
      <c r="G281" s="77"/>
      <c r="H281" s="77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71"/>
      <c r="B282" s="71"/>
      <c r="C282" s="76"/>
      <c r="D282" s="77"/>
      <c r="E282" s="77"/>
      <c r="F282" s="77"/>
      <c r="G282" s="77"/>
      <c r="H282" s="77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71"/>
      <c r="B283" s="71"/>
      <c r="C283" s="76"/>
      <c r="D283" s="77"/>
      <c r="E283" s="77"/>
      <c r="F283" s="77"/>
      <c r="G283" s="77"/>
      <c r="H283" s="77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71"/>
      <c r="B284" s="71"/>
      <c r="C284" s="76"/>
      <c r="D284" s="77"/>
      <c r="E284" s="77"/>
      <c r="F284" s="77"/>
      <c r="G284" s="77"/>
      <c r="H284" s="77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71"/>
      <c r="B285" s="71"/>
      <c r="C285" s="76"/>
      <c r="D285" s="77"/>
      <c r="E285" s="77"/>
      <c r="F285" s="77"/>
      <c r="G285" s="77"/>
      <c r="H285" s="77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71"/>
      <c r="B286" s="71"/>
      <c r="C286" s="76"/>
      <c r="D286" s="77"/>
      <c r="E286" s="77"/>
      <c r="F286" s="77"/>
      <c r="G286" s="77"/>
      <c r="H286" s="77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71"/>
      <c r="B287" s="71"/>
      <c r="C287" s="76"/>
      <c r="D287" s="77"/>
      <c r="E287" s="77"/>
      <c r="F287" s="77"/>
      <c r="G287" s="77"/>
      <c r="H287" s="77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71"/>
      <c r="B288" s="71"/>
      <c r="C288" s="76"/>
      <c r="D288" s="77"/>
      <c r="E288" s="77"/>
      <c r="F288" s="77"/>
      <c r="G288" s="77"/>
      <c r="H288" s="77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71"/>
      <c r="B289" s="71"/>
      <c r="C289" s="76"/>
      <c r="D289" s="77"/>
      <c r="E289" s="77"/>
      <c r="F289" s="77"/>
      <c r="G289" s="77"/>
      <c r="H289" s="77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71"/>
      <c r="B290" s="71"/>
      <c r="C290" s="76"/>
      <c r="D290" s="77"/>
      <c r="E290" s="77"/>
      <c r="F290" s="77"/>
      <c r="G290" s="77"/>
      <c r="H290" s="77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71"/>
      <c r="B291" s="71"/>
      <c r="C291" s="76"/>
      <c r="D291" s="77"/>
      <c r="E291" s="77"/>
      <c r="F291" s="77"/>
      <c r="G291" s="77"/>
      <c r="H291" s="77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71"/>
      <c r="B292" s="71"/>
      <c r="C292" s="76"/>
      <c r="D292" s="77"/>
      <c r="E292" s="77"/>
      <c r="F292" s="77"/>
      <c r="G292" s="77"/>
      <c r="H292" s="77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71"/>
      <c r="B293" s="71"/>
      <c r="C293" s="76"/>
      <c r="D293" s="77"/>
      <c r="E293" s="77"/>
      <c r="F293" s="77"/>
      <c r="G293" s="77"/>
      <c r="H293" s="77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71"/>
      <c r="B294" s="71"/>
      <c r="C294" s="76"/>
      <c r="D294" s="77"/>
      <c r="E294" s="77"/>
      <c r="F294" s="77"/>
      <c r="G294" s="77"/>
      <c r="H294" s="77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71"/>
      <c r="B295" s="71"/>
      <c r="C295" s="76"/>
      <c r="D295" s="77"/>
      <c r="E295" s="77"/>
      <c r="F295" s="77"/>
      <c r="G295" s="77"/>
      <c r="H295" s="77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71"/>
      <c r="B296" s="71"/>
      <c r="C296" s="76"/>
      <c r="D296" s="77"/>
      <c r="E296" s="77"/>
      <c r="F296" s="77"/>
      <c r="G296" s="77"/>
      <c r="H296" s="77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71"/>
      <c r="B297" s="71"/>
      <c r="C297" s="76"/>
      <c r="D297" s="77"/>
      <c r="E297" s="77"/>
      <c r="F297" s="77"/>
      <c r="G297" s="77"/>
      <c r="H297" s="77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71"/>
      <c r="B298" s="71"/>
      <c r="C298" s="76"/>
      <c r="D298" s="77"/>
      <c r="E298" s="77"/>
      <c r="F298" s="77"/>
      <c r="G298" s="77"/>
      <c r="H298" s="77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71"/>
      <c r="B299" s="71"/>
      <c r="C299" s="76"/>
      <c r="D299" s="77"/>
      <c r="E299" s="77"/>
      <c r="F299" s="77"/>
      <c r="G299" s="77"/>
      <c r="H299" s="77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71"/>
      <c r="B300" s="71"/>
      <c r="C300" s="76"/>
      <c r="D300" s="77"/>
      <c r="E300" s="77"/>
      <c r="F300" s="77"/>
      <c r="G300" s="77"/>
      <c r="H300" s="77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71"/>
      <c r="B301" s="71"/>
      <c r="C301" s="76"/>
      <c r="D301" s="77"/>
      <c r="E301" s="77"/>
      <c r="F301" s="77"/>
      <c r="G301" s="77"/>
      <c r="H301" s="77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71"/>
      <c r="B302" s="71"/>
      <c r="C302" s="76"/>
      <c r="D302" s="77"/>
      <c r="E302" s="77"/>
      <c r="F302" s="77"/>
      <c r="G302" s="77"/>
      <c r="H302" s="77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71"/>
      <c r="B303" s="71"/>
      <c r="C303" s="76"/>
      <c r="D303" s="77"/>
      <c r="E303" s="77"/>
      <c r="F303" s="77"/>
      <c r="G303" s="77"/>
      <c r="H303" s="77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71"/>
      <c r="B304" s="71"/>
      <c r="C304" s="76"/>
      <c r="D304" s="77"/>
      <c r="E304" s="77"/>
      <c r="F304" s="77"/>
      <c r="G304" s="77"/>
      <c r="H304" s="77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71"/>
      <c r="B305" s="71"/>
      <c r="C305" s="76"/>
      <c r="D305" s="77"/>
      <c r="E305" s="77"/>
      <c r="F305" s="77"/>
      <c r="G305" s="77"/>
      <c r="H305" s="77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71"/>
      <c r="B306" s="71"/>
      <c r="C306" s="76"/>
      <c r="D306" s="77"/>
      <c r="E306" s="77"/>
      <c r="F306" s="77"/>
      <c r="G306" s="77"/>
      <c r="H306" s="77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71"/>
      <c r="B307" s="71"/>
      <c r="C307" s="76"/>
      <c r="D307" s="77"/>
      <c r="E307" s="77"/>
      <c r="F307" s="77"/>
      <c r="G307" s="77"/>
      <c r="H307" s="77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71"/>
      <c r="B308" s="71"/>
      <c r="C308" s="76"/>
      <c r="D308" s="77"/>
      <c r="E308" s="77"/>
      <c r="F308" s="77"/>
      <c r="G308" s="77"/>
      <c r="H308" s="77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71"/>
      <c r="B309" s="71"/>
      <c r="C309" s="76"/>
      <c r="D309" s="77"/>
      <c r="E309" s="77"/>
      <c r="F309" s="77"/>
      <c r="G309" s="77"/>
      <c r="H309" s="77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71"/>
      <c r="B310" s="71"/>
      <c r="C310" s="76"/>
      <c r="D310" s="77"/>
      <c r="E310" s="77"/>
      <c r="F310" s="77"/>
      <c r="G310" s="77"/>
      <c r="H310" s="77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71"/>
      <c r="B311" s="71"/>
      <c r="C311" s="76"/>
      <c r="D311" s="77"/>
      <c r="E311" s="77"/>
      <c r="F311" s="77"/>
      <c r="G311" s="77"/>
      <c r="H311" s="77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71"/>
      <c r="B312" s="71"/>
      <c r="C312" s="76"/>
      <c r="D312" s="77"/>
      <c r="E312" s="77"/>
      <c r="F312" s="77"/>
      <c r="G312" s="77"/>
      <c r="H312" s="77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71"/>
      <c r="B313" s="71"/>
      <c r="C313" s="76"/>
      <c r="D313" s="77"/>
      <c r="E313" s="77"/>
      <c r="F313" s="77"/>
      <c r="G313" s="77"/>
      <c r="H313" s="77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71"/>
      <c r="B314" s="71"/>
      <c r="C314" s="76"/>
      <c r="D314" s="77"/>
      <c r="E314" s="77"/>
      <c r="F314" s="77"/>
      <c r="G314" s="77"/>
      <c r="H314" s="77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71"/>
      <c r="B315" s="71"/>
      <c r="C315" s="76"/>
      <c r="D315" s="77"/>
      <c r="E315" s="77"/>
      <c r="F315" s="77"/>
      <c r="G315" s="77"/>
      <c r="H315" s="77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71"/>
      <c r="B316" s="71"/>
      <c r="C316" s="76"/>
      <c r="D316" s="77"/>
      <c r="E316" s="77"/>
      <c r="F316" s="77"/>
      <c r="G316" s="77"/>
      <c r="H316" s="77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71"/>
      <c r="B317" s="71"/>
      <c r="C317" s="76"/>
      <c r="D317" s="77"/>
      <c r="E317" s="77"/>
      <c r="F317" s="77"/>
      <c r="G317" s="77"/>
      <c r="H317" s="77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71"/>
      <c r="B318" s="71"/>
      <c r="C318" s="76"/>
      <c r="D318" s="77"/>
      <c r="E318" s="77"/>
      <c r="F318" s="77"/>
      <c r="G318" s="77"/>
      <c r="H318" s="77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71"/>
      <c r="B319" s="71"/>
      <c r="C319" s="76"/>
      <c r="D319" s="77"/>
      <c r="E319" s="77"/>
      <c r="F319" s="77"/>
      <c r="G319" s="77"/>
      <c r="H319" s="77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71"/>
      <c r="B320" s="71"/>
      <c r="C320" s="76"/>
      <c r="D320" s="77"/>
      <c r="E320" s="77"/>
      <c r="F320" s="77"/>
      <c r="G320" s="77"/>
      <c r="H320" s="77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71"/>
      <c r="B321" s="71"/>
      <c r="C321" s="76"/>
      <c r="D321" s="77"/>
      <c r="E321" s="77"/>
      <c r="F321" s="77"/>
      <c r="G321" s="77"/>
      <c r="H321" s="77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71"/>
      <c r="B322" s="71"/>
      <c r="C322" s="76"/>
      <c r="D322" s="77"/>
      <c r="E322" s="77"/>
      <c r="F322" s="77"/>
      <c r="G322" s="77"/>
      <c r="H322" s="77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71"/>
      <c r="B323" s="71"/>
      <c r="C323" s="76"/>
      <c r="D323" s="77"/>
      <c r="E323" s="77"/>
      <c r="F323" s="77"/>
      <c r="G323" s="77"/>
      <c r="H323" s="77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71"/>
      <c r="B324" s="71"/>
      <c r="C324" s="76"/>
      <c r="D324" s="77"/>
      <c r="E324" s="77"/>
      <c r="F324" s="77"/>
      <c r="G324" s="77"/>
      <c r="H324" s="77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71"/>
      <c r="B325" s="71"/>
      <c r="C325" s="76"/>
      <c r="D325" s="77"/>
      <c r="E325" s="77"/>
      <c r="F325" s="77"/>
      <c r="G325" s="77"/>
      <c r="H325" s="77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71"/>
      <c r="B326" s="71"/>
      <c r="C326" s="76"/>
      <c r="D326" s="77"/>
      <c r="E326" s="77"/>
      <c r="F326" s="77"/>
      <c r="G326" s="77"/>
      <c r="H326" s="77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71"/>
      <c r="B327" s="71"/>
      <c r="C327" s="76"/>
      <c r="D327" s="77"/>
      <c r="E327" s="77"/>
      <c r="F327" s="77"/>
      <c r="G327" s="77"/>
      <c r="H327" s="77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71"/>
      <c r="B328" s="71"/>
      <c r="C328" s="76"/>
      <c r="D328" s="77"/>
      <c r="E328" s="77"/>
      <c r="F328" s="77"/>
      <c r="G328" s="77"/>
      <c r="H328" s="77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71"/>
      <c r="B329" s="71"/>
      <c r="C329" s="76"/>
      <c r="D329" s="77"/>
      <c r="E329" s="77"/>
      <c r="F329" s="77"/>
      <c r="G329" s="77"/>
      <c r="H329" s="77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71"/>
      <c r="B330" s="71"/>
      <c r="C330" s="76"/>
      <c r="D330" s="77"/>
      <c r="E330" s="77"/>
      <c r="F330" s="77"/>
      <c r="G330" s="77"/>
      <c r="H330" s="77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71"/>
      <c r="B331" s="71"/>
      <c r="C331" s="76"/>
      <c r="D331" s="77"/>
      <c r="E331" s="77"/>
      <c r="F331" s="77"/>
      <c r="G331" s="77"/>
      <c r="H331" s="77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71"/>
      <c r="B332" s="71"/>
      <c r="C332" s="76"/>
      <c r="D332" s="77"/>
      <c r="E332" s="77"/>
      <c r="F332" s="77"/>
      <c r="G332" s="77"/>
      <c r="H332" s="77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71"/>
      <c r="B333" s="71"/>
      <c r="C333" s="76"/>
      <c r="D333" s="77"/>
      <c r="E333" s="77"/>
      <c r="F333" s="77"/>
      <c r="G333" s="77"/>
      <c r="H333" s="77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71"/>
      <c r="B334" s="71"/>
      <c r="C334" s="76"/>
      <c r="D334" s="77"/>
      <c r="E334" s="77"/>
      <c r="F334" s="77"/>
      <c r="G334" s="77"/>
      <c r="H334" s="77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71"/>
      <c r="B335" s="71"/>
      <c r="C335" s="76"/>
      <c r="D335" s="77"/>
      <c r="E335" s="77"/>
      <c r="F335" s="77"/>
      <c r="G335" s="77"/>
      <c r="H335" s="77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71"/>
      <c r="B336" s="71"/>
      <c r="C336" s="76"/>
      <c r="D336" s="77"/>
      <c r="E336" s="77"/>
      <c r="F336" s="77"/>
      <c r="G336" s="77"/>
      <c r="H336" s="77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71"/>
      <c r="B337" s="71"/>
      <c r="C337" s="76"/>
      <c r="D337" s="77"/>
      <c r="E337" s="77"/>
      <c r="F337" s="77"/>
      <c r="G337" s="77"/>
      <c r="H337" s="77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71"/>
      <c r="B338" s="71"/>
      <c r="C338" s="76"/>
      <c r="D338" s="77"/>
      <c r="E338" s="77"/>
      <c r="F338" s="77"/>
      <c r="G338" s="77"/>
      <c r="H338" s="77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71"/>
      <c r="B339" s="71"/>
      <c r="C339" s="76"/>
      <c r="D339" s="77"/>
      <c r="E339" s="77"/>
      <c r="F339" s="77"/>
      <c r="G339" s="77"/>
      <c r="H339" s="77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71"/>
      <c r="B340" s="71"/>
      <c r="C340" s="76"/>
      <c r="D340" s="77"/>
      <c r="E340" s="77"/>
      <c r="F340" s="77"/>
      <c r="G340" s="77"/>
      <c r="H340" s="77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71"/>
      <c r="B341" s="71"/>
      <c r="C341" s="76"/>
      <c r="D341" s="77"/>
      <c r="E341" s="77"/>
      <c r="F341" s="77"/>
      <c r="G341" s="77"/>
      <c r="H341" s="77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71"/>
      <c r="B342" s="71"/>
      <c r="C342" s="76"/>
      <c r="D342" s="77"/>
      <c r="E342" s="77"/>
      <c r="F342" s="77"/>
      <c r="G342" s="77"/>
      <c r="H342" s="77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71"/>
      <c r="B343" s="71"/>
      <c r="C343" s="76"/>
      <c r="D343" s="77"/>
      <c r="E343" s="77"/>
      <c r="F343" s="77"/>
      <c r="G343" s="77"/>
      <c r="H343" s="77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71"/>
      <c r="B344" s="71"/>
      <c r="C344" s="76"/>
      <c r="D344" s="77"/>
      <c r="E344" s="77"/>
      <c r="F344" s="77"/>
      <c r="G344" s="77"/>
      <c r="H344" s="77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71"/>
      <c r="B345" s="71"/>
      <c r="C345" s="76"/>
      <c r="D345" s="77"/>
      <c r="E345" s="77"/>
      <c r="F345" s="77"/>
      <c r="G345" s="77"/>
      <c r="H345" s="77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71"/>
      <c r="B346" s="71"/>
      <c r="C346" s="76"/>
      <c r="D346" s="77"/>
      <c r="E346" s="77"/>
      <c r="F346" s="77"/>
      <c r="G346" s="77"/>
      <c r="H346" s="77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71"/>
      <c r="B347" s="71"/>
      <c r="C347" s="76"/>
      <c r="D347" s="77"/>
      <c r="E347" s="77"/>
      <c r="F347" s="77"/>
      <c r="G347" s="77"/>
      <c r="H347" s="77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71"/>
      <c r="B348" s="71"/>
      <c r="C348" s="76"/>
      <c r="D348" s="77"/>
      <c r="E348" s="77"/>
      <c r="F348" s="77"/>
      <c r="G348" s="77"/>
      <c r="H348" s="77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71"/>
      <c r="B349" s="71"/>
      <c r="C349" s="76"/>
      <c r="D349" s="77"/>
      <c r="E349" s="77"/>
      <c r="F349" s="77"/>
      <c r="G349" s="77"/>
      <c r="H349" s="77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71"/>
      <c r="B350" s="71"/>
      <c r="C350" s="76"/>
      <c r="D350" s="77"/>
      <c r="E350" s="77"/>
      <c r="F350" s="77"/>
      <c r="G350" s="77"/>
      <c r="H350" s="77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71"/>
      <c r="B351" s="71"/>
      <c r="C351" s="76"/>
      <c r="D351" s="77"/>
      <c r="E351" s="77"/>
      <c r="F351" s="77"/>
      <c r="G351" s="77"/>
      <c r="H351" s="77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71"/>
      <c r="B352" s="71"/>
      <c r="C352" s="76"/>
      <c r="D352" s="77"/>
      <c r="E352" s="77"/>
      <c r="F352" s="77"/>
      <c r="G352" s="77"/>
      <c r="H352" s="77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71"/>
      <c r="B353" s="71"/>
      <c r="C353" s="76"/>
      <c r="D353" s="77"/>
      <c r="E353" s="77"/>
      <c r="F353" s="77"/>
      <c r="G353" s="77"/>
      <c r="H353" s="77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71"/>
      <c r="B354" s="71"/>
      <c r="C354" s="76"/>
      <c r="D354" s="77"/>
      <c r="E354" s="77"/>
      <c r="F354" s="77"/>
      <c r="G354" s="77"/>
      <c r="H354" s="77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71"/>
      <c r="B355" s="71"/>
      <c r="C355" s="76"/>
      <c r="D355" s="77"/>
      <c r="E355" s="77"/>
      <c r="F355" s="77"/>
      <c r="G355" s="77"/>
      <c r="H355" s="77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71"/>
      <c r="B356" s="71"/>
      <c r="C356" s="76"/>
      <c r="D356" s="77"/>
      <c r="E356" s="77"/>
      <c r="F356" s="77"/>
      <c r="G356" s="77"/>
      <c r="H356" s="77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71"/>
      <c r="B357" s="71"/>
      <c r="C357" s="76"/>
      <c r="D357" s="77"/>
      <c r="E357" s="77"/>
      <c r="F357" s="77"/>
      <c r="G357" s="77"/>
      <c r="H357" s="77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71"/>
      <c r="B358" s="71"/>
      <c r="C358" s="76"/>
      <c r="D358" s="77"/>
      <c r="E358" s="77"/>
      <c r="F358" s="77"/>
      <c r="G358" s="77"/>
      <c r="H358" s="77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71"/>
      <c r="B359" s="71"/>
      <c r="C359" s="76"/>
      <c r="D359" s="77"/>
      <c r="E359" s="77"/>
      <c r="F359" s="77"/>
      <c r="G359" s="77"/>
      <c r="H359" s="77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71"/>
      <c r="B360" s="71"/>
      <c r="C360" s="76"/>
      <c r="D360" s="77"/>
      <c r="E360" s="77"/>
      <c r="F360" s="77"/>
      <c r="G360" s="77"/>
      <c r="H360" s="77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71"/>
      <c r="B361" s="71"/>
      <c r="C361" s="76"/>
      <c r="D361" s="77"/>
      <c r="E361" s="77"/>
      <c r="F361" s="77"/>
      <c r="G361" s="77"/>
      <c r="H361" s="77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71"/>
      <c r="B362" s="71"/>
      <c r="C362" s="76"/>
      <c r="D362" s="77"/>
      <c r="E362" s="77"/>
      <c r="F362" s="77"/>
      <c r="G362" s="77"/>
      <c r="H362" s="77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71"/>
      <c r="B363" s="71"/>
      <c r="C363" s="76"/>
      <c r="D363" s="77"/>
      <c r="E363" s="77"/>
      <c r="F363" s="77"/>
      <c r="G363" s="77"/>
      <c r="H363" s="77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71"/>
      <c r="B364" s="71"/>
      <c r="C364" s="76"/>
      <c r="D364" s="77"/>
      <c r="E364" s="77"/>
      <c r="F364" s="77"/>
      <c r="G364" s="77"/>
      <c r="H364" s="77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71"/>
      <c r="B365" s="71"/>
      <c r="C365" s="76"/>
      <c r="D365" s="77"/>
      <c r="E365" s="77"/>
      <c r="F365" s="77"/>
      <c r="G365" s="77"/>
      <c r="H365" s="77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71"/>
      <c r="B366" s="71"/>
      <c r="C366" s="76"/>
      <c r="D366" s="77"/>
      <c r="E366" s="77"/>
      <c r="F366" s="77"/>
      <c r="G366" s="77"/>
      <c r="H366" s="77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71"/>
      <c r="B367" s="71"/>
      <c r="C367" s="76"/>
      <c r="D367" s="77"/>
      <c r="E367" s="77"/>
      <c r="F367" s="77"/>
      <c r="G367" s="77"/>
      <c r="H367" s="77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71"/>
      <c r="B368" s="71"/>
      <c r="C368" s="76"/>
      <c r="D368" s="77"/>
      <c r="E368" s="77"/>
      <c r="F368" s="77"/>
      <c r="G368" s="77"/>
      <c r="H368" s="77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71"/>
      <c r="B369" s="71"/>
      <c r="C369" s="76"/>
      <c r="D369" s="77"/>
      <c r="E369" s="77"/>
      <c r="F369" s="77"/>
      <c r="G369" s="77"/>
      <c r="H369" s="77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71"/>
      <c r="B370" s="71"/>
      <c r="C370" s="76"/>
      <c r="D370" s="77"/>
      <c r="E370" s="77"/>
      <c r="F370" s="77"/>
      <c r="G370" s="77"/>
      <c r="H370" s="77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71"/>
      <c r="B371" s="71"/>
      <c r="C371" s="76"/>
      <c r="D371" s="77"/>
      <c r="E371" s="77"/>
      <c r="F371" s="77"/>
      <c r="G371" s="77"/>
      <c r="H371" s="77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71"/>
      <c r="B372" s="71"/>
      <c r="C372" s="76"/>
      <c r="D372" s="77"/>
      <c r="E372" s="77"/>
      <c r="F372" s="77"/>
      <c r="G372" s="77"/>
      <c r="H372" s="77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71"/>
      <c r="B373" s="71"/>
      <c r="C373" s="76"/>
      <c r="D373" s="77"/>
      <c r="E373" s="77"/>
      <c r="F373" s="77"/>
      <c r="G373" s="77"/>
      <c r="H373" s="77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71"/>
      <c r="B374" s="71"/>
      <c r="C374" s="76"/>
      <c r="D374" s="77"/>
      <c r="E374" s="77"/>
      <c r="F374" s="77"/>
      <c r="G374" s="77"/>
      <c r="H374" s="77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71"/>
      <c r="B375" s="71"/>
      <c r="C375" s="76"/>
      <c r="D375" s="77"/>
      <c r="E375" s="77"/>
      <c r="F375" s="77"/>
      <c r="G375" s="77"/>
      <c r="H375" s="77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71"/>
      <c r="B376" s="71"/>
      <c r="C376" s="76"/>
      <c r="D376" s="77"/>
      <c r="E376" s="77"/>
      <c r="F376" s="77"/>
      <c r="G376" s="77"/>
      <c r="H376" s="77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71"/>
      <c r="B377" s="71"/>
      <c r="C377" s="76"/>
      <c r="D377" s="77"/>
      <c r="E377" s="77"/>
      <c r="F377" s="77"/>
      <c r="G377" s="77"/>
      <c r="H377" s="77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71"/>
      <c r="B378" s="71"/>
      <c r="C378" s="76"/>
      <c r="D378" s="77"/>
      <c r="E378" s="77"/>
      <c r="F378" s="77"/>
      <c r="G378" s="77"/>
      <c r="H378" s="77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71"/>
      <c r="B379" s="71"/>
      <c r="C379" s="76"/>
      <c r="D379" s="77"/>
      <c r="E379" s="77"/>
      <c r="F379" s="77"/>
      <c r="G379" s="77"/>
      <c r="H379" s="77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71"/>
      <c r="B380" s="71"/>
      <c r="C380" s="76"/>
      <c r="D380" s="77"/>
      <c r="E380" s="77"/>
      <c r="F380" s="77"/>
      <c r="G380" s="77"/>
      <c r="H380" s="77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71"/>
      <c r="B381" s="71"/>
      <c r="C381" s="76"/>
      <c r="D381" s="77"/>
      <c r="E381" s="77"/>
      <c r="F381" s="77"/>
      <c r="G381" s="77"/>
      <c r="H381" s="77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71"/>
      <c r="B382" s="71"/>
      <c r="C382" s="76"/>
      <c r="D382" s="77"/>
      <c r="E382" s="77"/>
      <c r="F382" s="77"/>
      <c r="G382" s="77"/>
      <c r="H382" s="77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71"/>
      <c r="B383" s="71"/>
      <c r="C383" s="76"/>
      <c r="D383" s="77"/>
      <c r="E383" s="77"/>
      <c r="F383" s="77"/>
      <c r="G383" s="77"/>
      <c r="H383" s="77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71"/>
      <c r="B384" s="71"/>
      <c r="C384" s="76"/>
      <c r="D384" s="77"/>
      <c r="E384" s="77"/>
      <c r="F384" s="77"/>
      <c r="G384" s="77"/>
      <c r="H384" s="77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71"/>
      <c r="B385" s="71"/>
      <c r="C385" s="76"/>
      <c r="D385" s="77"/>
      <c r="E385" s="77"/>
      <c r="F385" s="77"/>
      <c r="G385" s="77"/>
      <c r="H385" s="77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71"/>
      <c r="B386" s="71"/>
      <c r="C386" s="76"/>
      <c r="D386" s="77"/>
      <c r="E386" s="77"/>
      <c r="F386" s="77"/>
      <c r="G386" s="77"/>
      <c r="H386" s="77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71"/>
      <c r="B387" s="71"/>
      <c r="C387" s="76"/>
      <c r="D387" s="77"/>
      <c r="E387" s="77"/>
      <c r="F387" s="77"/>
      <c r="G387" s="77"/>
      <c r="H387" s="77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71"/>
      <c r="B388" s="71"/>
      <c r="C388" s="76"/>
      <c r="D388" s="77"/>
      <c r="E388" s="77"/>
      <c r="F388" s="77"/>
      <c r="G388" s="77"/>
      <c r="H388" s="77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71"/>
      <c r="B389" s="71"/>
      <c r="C389" s="76"/>
      <c r="D389" s="77"/>
      <c r="E389" s="77"/>
      <c r="F389" s="77"/>
      <c r="G389" s="77"/>
      <c r="H389" s="77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71"/>
      <c r="B390" s="71"/>
      <c r="C390" s="76"/>
      <c r="D390" s="77"/>
      <c r="E390" s="77"/>
      <c r="F390" s="77"/>
      <c r="G390" s="77"/>
      <c r="H390" s="77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71"/>
      <c r="B391" s="71"/>
      <c r="C391" s="76"/>
      <c r="D391" s="77"/>
      <c r="E391" s="77"/>
      <c r="F391" s="77"/>
      <c r="G391" s="77"/>
      <c r="H391" s="77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71"/>
      <c r="B392" s="71"/>
      <c r="C392" s="76"/>
      <c r="D392" s="77"/>
      <c r="E392" s="77"/>
      <c r="F392" s="77"/>
      <c r="G392" s="77"/>
      <c r="H392" s="77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71"/>
      <c r="B393" s="71"/>
      <c r="C393" s="76"/>
      <c r="D393" s="77"/>
      <c r="E393" s="77"/>
      <c r="F393" s="77"/>
      <c r="G393" s="77"/>
      <c r="H393" s="77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71"/>
      <c r="B394" s="71"/>
      <c r="C394" s="76"/>
      <c r="D394" s="77"/>
      <c r="E394" s="77"/>
      <c r="F394" s="77"/>
      <c r="G394" s="77"/>
      <c r="H394" s="77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71"/>
      <c r="B395" s="71"/>
      <c r="C395" s="76"/>
      <c r="D395" s="77"/>
      <c r="E395" s="77"/>
      <c r="F395" s="77"/>
      <c r="G395" s="77"/>
      <c r="H395" s="77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71"/>
      <c r="B396" s="71"/>
      <c r="C396" s="76"/>
      <c r="D396" s="77"/>
      <c r="E396" s="77"/>
      <c r="F396" s="77"/>
      <c r="G396" s="77"/>
      <c r="H396" s="77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71"/>
      <c r="B397" s="71"/>
      <c r="C397" s="76"/>
      <c r="D397" s="77"/>
      <c r="E397" s="77"/>
      <c r="F397" s="77"/>
      <c r="G397" s="77"/>
      <c r="H397" s="77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71"/>
      <c r="B398" s="71"/>
      <c r="C398" s="76"/>
      <c r="D398" s="77"/>
      <c r="E398" s="77"/>
      <c r="F398" s="77"/>
      <c r="G398" s="77"/>
      <c r="H398" s="77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71"/>
      <c r="B399" s="71"/>
      <c r="C399" s="76"/>
      <c r="D399" s="77"/>
      <c r="E399" s="77"/>
      <c r="F399" s="77"/>
      <c r="G399" s="77"/>
      <c r="H399" s="77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71"/>
      <c r="B400" s="71"/>
      <c r="C400" s="76"/>
      <c r="D400" s="77"/>
      <c r="E400" s="77"/>
      <c r="F400" s="77"/>
      <c r="G400" s="77"/>
      <c r="H400" s="77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71"/>
      <c r="B401" s="71"/>
      <c r="C401" s="76"/>
      <c r="D401" s="77"/>
      <c r="E401" s="77"/>
      <c r="F401" s="77"/>
      <c r="G401" s="77"/>
      <c r="H401" s="77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71"/>
      <c r="B402" s="71"/>
      <c r="C402" s="76"/>
      <c r="D402" s="77"/>
      <c r="E402" s="77"/>
      <c r="F402" s="77"/>
      <c r="G402" s="77"/>
      <c r="H402" s="77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71"/>
      <c r="B403" s="71"/>
      <c r="C403" s="76"/>
      <c r="D403" s="77"/>
      <c r="E403" s="77"/>
      <c r="F403" s="77"/>
      <c r="G403" s="77"/>
      <c r="H403" s="77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71"/>
      <c r="B404" s="71"/>
      <c r="C404" s="76"/>
      <c r="D404" s="77"/>
      <c r="E404" s="77"/>
      <c r="F404" s="77"/>
      <c r="G404" s="77"/>
      <c r="H404" s="77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71"/>
      <c r="B405" s="71"/>
      <c r="C405" s="76"/>
      <c r="D405" s="77"/>
      <c r="E405" s="77"/>
      <c r="F405" s="77"/>
      <c r="G405" s="77"/>
      <c r="H405" s="77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71"/>
      <c r="B406" s="71"/>
      <c r="C406" s="76"/>
      <c r="D406" s="77"/>
      <c r="E406" s="77"/>
      <c r="F406" s="77"/>
      <c r="G406" s="77"/>
      <c r="H406" s="77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71"/>
      <c r="B407" s="71"/>
      <c r="C407" s="76"/>
      <c r="D407" s="77"/>
      <c r="E407" s="77"/>
      <c r="F407" s="77"/>
      <c r="G407" s="77"/>
      <c r="H407" s="77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71"/>
      <c r="B408" s="71"/>
      <c r="C408" s="76"/>
      <c r="D408" s="77"/>
      <c r="E408" s="77"/>
      <c r="F408" s="77"/>
      <c r="G408" s="77"/>
      <c r="H408" s="77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71"/>
      <c r="B409" s="71"/>
      <c r="C409" s="76"/>
      <c r="D409" s="77"/>
      <c r="E409" s="77"/>
      <c r="F409" s="77"/>
      <c r="G409" s="77"/>
      <c r="H409" s="77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71"/>
      <c r="B410" s="71"/>
      <c r="C410" s="76"/>
      <c r="D410" s="77"/>
      <c r="E410" s="77"/>
      <c r="F410" s="77"/>
      <c r="G410" s="77"/>
      <c r="H410" s="77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71"/>
      <c r="B411" s="71"/>
      <c r="C411" s="76"/>
      <c r="D411" s="77"/>
      <c r="E411" s="77"/>
      <c r="F411" s="77"/>
      <c r="G411" s="77"/>
      <c r="H411" s="77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71"/>
      <c r="B412" s="71"/>
      <c r="C412" s="76"/>
      <c r="D412" s="77"/>
      <c r="E412" s="77"/>
      <c r="F412" s="77"/>
      <c r="G412" s="77"/>
      <c r="H412" s="77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71"/>
      <c r="B413" s="71"/>
      <c r="C413" s="76"/>
      <c r="D413" s="77"/>
      <c r="E413" s="77"/>
      <c r="F413" s="77"/>
      <c r="G413" s="77"/>
      <c r="H413" s="77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71"/>
      <c r="B414" s="71"/>
      <c r="C414" s="76"/>
      <c r="D414" s="77"/>
      <c r="E414" s="77"/>
      <c r="F414" s="77"/>
      <c r="G414" s="77"/>
      <c r="H414" s="77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71"/>
      <c r="B415" s="71"/>
      <c r="C415" s="76"/>
      <c r="D415" s="77"/>
      <c r="E415" s="77"/>
      <c r="F415" s="77"/>
      <c r="G415" s="77"/>
      <c r="H415" s="77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71"/>
      <c r="B416" s="71"/>
      <c r="C416" s="76"/>
      <c r="D416" s="77"/>
      <c r="E416" s="77"/>
      <c r="F416" s="77"/>
      <c r="G416" s="77"/>
      <c r="H416" s="77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71"/>
      <c r="B417" s="71"/>
      <c r="C417" s="76"/>
      <c r="D417" s="77"/>
      <c r="E417" s="77"/>
      <c r="F417" s="77"/>
      <c r="G417" s="77"/>
      <c r="H417" s="77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71"/>
      <c r="B418" s="71"/>
      <c r="C418" s="76"/>
      <c r="D418" s="77"/>
      <c r="E418" s="77"/>
      <c r="F418" s="77"/>
      <c r="G418" s="77"/>
      <c r="H418" s="77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71"/>
      <c r="B419" s="71"/>
      <c r="C419" s="76"/>
      <c r="D419" s="77"/>
      <c r="E419" s="77"/>
      <c r="F419" s="77"/>
      <c r="G419" s="77"/>
      <c r="H419" s="77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71"/>
      <c r="B420" s="71"/>
      <c r="C420" s="76"/>
      <c r="D420" s="77"/>
      <c r="E420" s="77"/>
      <c r="F420" s="77"/>
      <c r="G420" s="77"/>
      <c r="H420" s="77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71"/>
      <c r="B421" s="71"/>
      <c r="C421" s="76"/>
      <c r="D421" s="77"/>
      <c r="E421" s="77"/>
      <c r="F421" s="77"/>
      <c r="G421" s="77"/>
      <c r="H421" s="77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71"/>
      <c r="B422" s="71"/>
      <c r="C422" s="76"/>
      <c r="D422" s="77"/>
      <c r="E422" s="77"/>
      <c r="F422" s="77"/>
      <c r="G422" s="77"/>
      <c r="H422" s="77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71"/>
      <c r="B423" s="71"/>
      <c r="C423" s="76"/>
      <c r="D423" s="77"/>
      <c r="E423" s="77"/>
      <c r="F423" s="77"/>
      <c r="G423" s="77"/>
      <c r="H423" s="77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71"/>
      <c r="B424" s="71"/>
      <c r="C424" s="76"/>
      <c r="D424" s="77"/>
      <c r="E424" s="77"/>
      <c r="F424" s="77"/>
      <c r="G424" s="77"/>
      <c r="H424" s="77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71"/>
      <c r="B425" s="71"/>
      <c r="C425" s="76"/>
      <c r="D425" s="77"/>
      <c r="E425" s="77"/>
      <c r="F425" s="77"/>
      <c r="G425" s="77"/>
      <c r="H425" s="77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71"/>
      <c r="B426" s="71"/>
      <c r="C426" s="76"/>
      <c r="D426" s="77"/>
      <c r="E426" s="77"/>
      <c r="F426" s="77"/>
      <c r="G426" s="77"/>
      <c r="H426" s="77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71"/>
      <c r="B427" s="71"/>
      <c r="C427" s="76"/>
      <c r="D427" s="77"/>
      <c r="E427" s="77"/>
      <c r="F427" s="77"/>
      <c r="G427" s="77"/>
      <c r="H427" s="77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71"/>
      <c r="B428" s="71"/>
      <c r="C428" s="76"/>
      <c r="D428" s="77"/>
      <c r="E428" s="77"/>
      <c r="F428" s="77"/>
      <c r="G428" s="77"/>
      <c r="H428" s="77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71"/>
      <c r="B429" s="71"/>
      <c r="C429" s="76"/>
      <c r="D429" s="77"/>
      <c r="E429" s="77"/>
      <c r="F429" s="77"/>
      <c r="G429" s="77"/>
      <c r="H429" s="77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71"/>
      <c r="B430" s="71"/>
      <c r="C430" s="76"/>
      <c r="D430" s="77"/>
      <c r="E430" s="77"/>
      <c r="F430" s="77"/>
      <c r="G430" s="77"/>
      <c r="H430" s="77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71"/>
      <c r="B431" s="71"/>
      <c r="C431" s="76"/>
      <c r="D431" s="77"/>
      <c r="E431" s="77"/>
      <c r="F431" s="77"/>
      <c r="G431" s="77"/>
      <c r="H431" s="77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71"/>
      <c r="B432" s="71"/>
      <c r="C432" s="76"/>
      <c r="D432" s="77"/>
      <c r="E432" s="77"/>
      <c r="F432" s="77"/>
      <c r="G432" s="77"/>
      <c r="H432" s="77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71"/>
      <c r="B433" s="71"/>
      <c r="C433" s="76"/>
      <c r="D433" s="77"/>
      <c r="E433" s="77"/>
      <c r="F433" s="77"/>
      <c r="G433" s="77"/>
      <c r="H433" s="77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71"/>
      <c r="B434" s="71"/>
      <c r="C434" s="76"/>
      <c r="D434" s="77"/>
      <c r="E434" s="77"/>
      <c r="F434" s="77"/>
      <c r="G434" s="77"/>
      <c r="H434" s="77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71"/>
      <c r="B435" s="71"/>
      <c r="C435" s="76"/>
      <c r="D435" s="77"/>
      <c r="E435" s="77"/>
      <c r="F435" s="77"/>
      <c r="G435" s="77"/>
      <c r="H435" s="77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71"/>
      <c r="B436" s="71"/>
      <c r="C436" s="76"/>
      <c r="D436" s="77"/>
      <c r="E436" s="77"/>
      <c r="F436" s="77"/>
      <c r="G436" s="77"/>
      <c r="H436" s="77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71"/>
      <c r="B437" s="71"/>
      <c r="C437" s="76"/>
      <c r="D437" s="77"/>
      <c r="E437" s="77"/>
      <c r="F437" s="77"/>
      <c r="G437" s="77"/>
      <c r="H437" s="77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71"/>
      <c r="B438" s="71"/>
      <c r="C438" s="76"/>
      <c r="D438" s="77"/>
      <c r="E438" s="77"/>
      <c r="F438" s="77"/>
      <c r="G438" s="77"/>
      <c r="H438" s="77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71"/>
      <c r="B439" s="71"/>
      <c r="C439" s="76"/>
      <c r="D439" s="77"/>
      <c r="E439" s="77"/>
      <c r="F439" s="77"/>
      <c r="G439" s="77"/>
      <c r="H439" s="77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71"/>
      <c r="B440" s="71"/>
      <c r="C440" s="76"/>
      <c r="D440" s="77"/>
      <c r="E440" s="77"/>
      <c r="F440" s="77"/>
      <c r="G440" s="77"/>
      <c r="H440" s="77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71"/>
      <c r="B441" s="71"/>
      <c r="C441" s="76"/>
      <c r="D441" s="77"/>
      <c r="E441" s="77"/>
      <c r="F441" s="77"/>
      <c r="G441" s="77"/>
      <c r="H441" s="77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71"/>
      <c r="B442" s="71"/>
      <c r="C442" s="76"/>
      <c r="D442" s="77"/>
      <c r="E442" s="77"/>
      <c r="F442" s="77"/>
      <c r="G442" s="77"/>
      <c r="H442" s="77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71"/>
      <c r="B443" s="71"/>
      <c r="C443" s="76"/>
      <c r="D443" s="77"/>
      <c r="E443" s="77"/>
      <c r="F443" s="77"/>
      <c r="G443" s="77"/>
      <c r="H443" s="77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71"/>
      <c r="B444" s="71"/>
      <c r="C444" s="76"/>
      <c r="D444" s="77"/>
      <c r="E444" s="77"/>
      <c r="F444" s="77"/>
      <c r="G444" s="77"/>
      <c r="H444" s="77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71"/>
      <c r="B445" s="71"/>
      <c r="C445" s="76"/>
      <c r="D445" s="77"/>
      <c r="E445" s="77"/>
      <c r="F445" s="77"/>
      <c r="G445" s="77"/>
      <c r="H445" s="77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71"/>
      <c r="B446" s="71"/>
      <c r="C446" s="76"/>
      <c r="D446" s="77"/>
      <c r="E446" s="77"/>
      <c r="F446" s="77"/>
      <c r="G446" s="77"/>
      <c r="H446" s="77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71"/>
      <c r="B447" s="71"/>
      <c r="C447" s="76"/>
      <c r="D447" s="77"/>
      <c r="E447" s="77"/>
      <c r="F447" s="77"/>
      <c r="G447" s="77"/>
      <c r="H447" s="77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71"/>
      <c r="B448" s="71"/>
      <c r="C448" s="76"/>
      <c r="D448" s="77"/>
      <c r="E448" s="77"/>
      <c r="F448" s="77"/>
      <c r="G448" s="77"/>
      <c r="H448" s="77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71"/>
      <c r="B449" s="71"/>
      <c r="C449" s="76"/>
      <c r="D449" s="77"/>
      <c r="E449" s="77"/>
      <c r="F449" s="77"/>
      <c r="G449" s="77"/>
      <c r="H449" s="77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71"/>
      <c r="B450" s="71"/>
      <c r="C450" s="76"/>
      <c r="D450" s="77"/>
      <c r="E450" s="77"/>
      <c r="F450" s="77"/>
      <c r="G450" s="77"/>
      <c r="H450" s="77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71"/>
      <c r="B451" s="71"/>
      <c r="C451" s="76"/>
      <c r="D451" s="77"/>
      <c r="E451" s="77"/>
      <c r="F451" s="77"/>
      <c r="G451" s="77"/>
      <c r="H451" s="77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71"/>
      <c r="B452" s="71"/>
      <c r="C452" s="76"/>
      <c r="D452" s="77"/>
      <c r="E452" s="77"/>
      <c r="F452" s="77"/>
      <c r="G452" s="77"/>
      <c r="H452" s="77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71"/>
      <c r="B453" s="71"/>
      <c r="C453" s="76"/>
      <c r="D453" s="77"/>
      <c r="E453" s="77"/>
      <c r="F453" s="77"/>
      <c r="G453" s="77"/>
      <c r="H453" s="77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71"/>
      <c r="B454" s="71"/>
      <c r="C454" s="76"/>
      <c r="D454" s="77"/>
      <c r="E454" s="77"/>
      <c r="F454" s="77"/>
      <c r="G454" s="77"/>
      <c r="H454" s="77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71"/>
      <c r="B455" s="71"/>
      <c r="C455" s="76"/>
      <c r="D455" s="77"/>
      <c r="E455" s="77"/>
      <c r="F455" s="77"/>
      <c r="G455" s="77"/>
      <c r="H455" s="77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71"/>
      <c r="B456" s="71"/>
      <c r="C456" s="76"/>
      <c r="D456" s="77"/>
      <c r="E456" s="77"/>
      <c r="F456" s="77"/>
      <c r="G456" s="77"/>
      <c r="H456" s="77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71"/>
      <c r="B457" s="71"/>
      <c r="C457" s="76"/>
      <c r="D457" s="77"/>
      <c r="E457" s="77"/>
      <c r="F457" s="77"/>
      <c r="G457" s="77"/>
      <c r="H457" s="77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71"/>
      <c r="B458" s="71"/>
      <c r="C458" s="76"/>
      <c r="D458" s="77"/>
      <c r="E458" s="77"/>
      <c r="F458" s="77"/>
      <c r="G458" s="77"/>
      <c r="H458" s="77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71"/>
      <c r="B459" s="71"/>
      <c r="C459" s="76"/>
      <c r="D459" s="77"/>
      <c r="E459" s="77"/>
      <c r="F459" s="77"/>
      <c r="G459" s="77"/>
      <c r="H459" s="77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71"/>
      <c r="B460" s="71"/>
      <c r="C460" s="76"/>
      <c r="D460" s="77"/>
      <c r="E460" s="77"/>
      <c r="F460" s="77"/>
      <c r="G460" s="77"/>
      <c r="H460" s="77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71"/>
      <c r="B461" s="71"/>
      <c r="C461" s="76"/>
      <c r="D461" s="77"/>
      <c r="E461" s="77"/>
      <c r="F461" s="77"/>
      <c r="G461" s="77"/>
      <c r="H461" s="77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71"/>
      <c r="B462" s="71"/>
      <c r="C462" s="76"/>
      <c r="D462" s="77"/>
      <c r="E462" s="77"/>
      <c r="F462" s="77"/>
      <c r="G462" s="77"/>
      <c r="H462" s="77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71"/>
      <c r="B463" s="71"/>
      <c r="C463" s="76"/>
      <c r="D463" s="77"/>
      <c r="E463" s="77"/>
      <c r="F463" s="77"/>
      <c r="G463" s="77"/>
      <c r="H463" s="77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71"/>
      <c r="B464" s="71"/>
      <c r="C464" s="76"/>
      <c r="D464" s="77"/>
      <c r="E464" s="77"/>
      <c r="F464" s="77"/>
      <c r="G464" s="77"/>
      <c r="H464" s="77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71"/>
      <c r="B465" s="71"/>
      <c r="C465" s="76"/>
      <c r="D465" s="77"/>
      <c r="E465" s="77"/>
      <c r="F465" s="77"/>
      <c r="G465" s="77"/>
      <c r="H465" s="77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71"/>
      <c r="B466" s="71"/>
      <c r="C466" s="76"/>
      <c r="D466" s="77"/>
      <c r="E466" s="77"/>
      <c r="F466" s="77"/>
      <c r="G466" s="77"/>
      <c r="H466" s="77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71"/>
      <c r="B467" s="71"/>
      <c r="C467" s="76"/>
      <c r="D467" s="77"/>
      <c r="E467" s="77"/>
      <c r="F467" s="77"/>
      <c r="G467" s="77"/>
      <c r="H467" s="77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71"/>
      <c r="B468" s="71"/>
      <c r="C468" s="76"/>
      <c r="D468" s="77"/>
      <c r="E468" s="77"/>
      <c r="F468" s="77"/>
      <c r="G468" s="77"/>
      <c r="H468" s="77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71"/>
      <c r="B469" s="71"/>
      <c r="C469" s="76"/>
      <c r="D469" s="77"/>
      <c r="E469" s="77"/>
      <c r="F469" s="77"/>
      <c r="G469" s="77"/>
      <c r="H469" s="77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71"/>
      <c r="B470" s="71"/>
      <c r="C470" s="76"/>
      <c r="D470" s="77"/>
      <c r="E470" s="77"/>
      <c r="F470" s="77"/>
      <c r="G470" s="77"/>
      <c r="H470" s="77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71"/>
      <c r="B471" s="71"/>
      <c r="C471" s="76"/>
      <c r="D471" s="77"/>
      <c r="E471" s="77"/>
      <c r="F471" s="77"/>
      <c r="G471" s="77"/>
      <c r="H471" s="77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71"/>
      <c r="B472" s="71"/>
      <c r="C472" s="76"/>
      <c r="D472" s="77"/>
      <c r="E472" s="77"/>
      <c r="F472" s="77"/>
      <c r="G472" s="77"/>
      <c r="H472" s="77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71"/>
      <c r="B473" s="71"/>
      <c r="C473" s="76"/>
      <c r="D473" s="77"/>
      <c r="E473" s="77"/>
      <c r="F473" s="77"/>
      <c r="G473" s="77"/>
      <c r="H473" s="77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71"/>
      <c r="B474" s="71"/>
      <c r="C474" s="76"/>
      <c r="D474" s="77"/>
      <c r="E474" s="77"/>
      <c r="F474" s="77"/>
      <c r="G474" s="77"/>
      <c r="H474" s="77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71"/>
      <c r="B475" s="71"/>
      <c r="C475" s="76"/>
      <c r="D475" s="77"/>
      <c r="E475" s="77"/>
      <c r="F475" s="77"/>
      <c r="G475" s="77"/>
      <c r="H475" s="77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71"/>
      <c r="B476" s="71"/>
      <c r="C476" s="76"/>
      <c r="D476" s="77"/>
      <c r="E476" s="77"/>
      <c r="F476" s="77"/>
      <c r="G476" s="77"/>
      <c r="H476" s="77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71"/>
      <c r="B477" s="71"/>
      <c r="C477" s="76"/>
      <c r="D477" s="77"/>
      <c r="E477" s="77"/>
      <c r="F477" s="77"/>
      <c r="G477" s="77"/>
      <c r="H477" s="77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71"/>
      <c r="B478" s="71"/>
      <c r="C478" s="76"/>
      <c r="D478" s="77"/>
      <c r="E478" s="77"/>
      <c r="F478" s="77"/>
      <c r="G478" s="77"/>
      <c r="H478" s="77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71"/>
      <c r="B479" s="71"/>
      <c r="C479" s="76"/>
      <c r="D479" s="77"/>
      <c r="E479" s="77"/>
      <c r="F479" s="77"/>
      <c r="G479" s="77"/>
      <c r="H479" s="77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71"/>
      <c r="B480" s="71"/>
      <c r="C480" s="76"/>
      <c r="D480" s="77"/>
      <c r="E480" s="77"/>
      <c r="F480" s="77"/>
      <c r="G480" s="77"/>
      <c r="H480" s="77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71"/>
      <c r="B481" s="71"/>
      <c r="C481" s="76"/>
      <c r="D481" s="77"/>
      <c r="E481" s="77"/>
      <c r="F481" s="77"/>
      <c r="G481" s="77"/>
      <c r="H481" s="77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71"/>
      <c r="B482" s="71"/>
      <c r="C482" s="76"/>
      <c r="D482" s="77"/>
      <c r="E482" s="77"/>
      <c r="F482" s="77"/>
      <c r="G482" s="77"/>
      <c r="H482" s="77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71"/>
      <c r="B483" s="71"/>
      <c r="C483" s="76"/>
      <c r="D483" s="77"/>
      <c r="E483" s="77"/>
      <c r="F483" s="77"/>
      <c r="G483" s="77"/>
      <c r="H483" s="77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71"/>
      <c r="B484" s="71"/>
      <c r="C484" s="76"/>
      <c r="D484" s="77"/>
      <c r="E484" s="77"/>
      <c r="F484" s="77"/>
      <c r="G484" s="77"/>
      <c r="H484" s="77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71"/>
      <c r="B485" s="71"/>
      <c r="C485" s="76"/>
      <c r="D485" s="77"/>
      <c r="E485" s="77"/>
      <c r="F485" s="77"/>
      <c r="G485" s="77"/>
      <c r="H485" s="77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71"/>
      <c r="B486" s="71"/>
      <c r="C486" s="76"/>
      <c r="D486" s="77"/>
      <c r="E486" s="77"/>
      <c r="F486" s="77"/>
      <c r="G486" s="77"/>
      <c r="H486" s="77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71"/>
      <c r="B487" s="71"/>
      <c r="C487" s="76"/>
      <c r="D487" s="77"/>
      <c r="E487" s="77"/>
      <c r="F487" s="77"/>
      <c r="G487" s="77"/>
      <c r="H487" s="77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71"/>
      <c r="B488" s="71"/>
      <c r="C488" s="76"/>
      <c r="D488" s="77"/>
      <c r="E488" s="77"/>
      <c r="F488" s="77"/>
      <c r="G488" s="77"/>
      <c r="H488" s="77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71"/>
      <c r="B489" s="71"/>
      <c r="C489" s="76"/>
      <c r="D489" s="77"/>
      <c r="E489" s="77"/>
      <c r="F489" s="77"/>
      <c r="G489" s="77"/>
      <c r="H489" s="77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71"/>
      <c r="B490" s="71"/>
      <c r="C490" s="76"/>
      <c r="D490" s="77"/>
      <c r="E490" s="77"/>
      <c r="F490" s="77"/>
      <c r="G490" s="77"/>
      <c r="H490" s="77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71"/>
      <c r="B491" s="71"/>
      <c r="C491" s="76"/>
      <c r="D491" s="77"/>
      <c r="E491" s="77"/>
      <c r="F491" s="77"/>
      <c r="G491" s="77"/>
      <c r="H491" s="77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71"/>
      <c r="B492" s="71"/>
      <c r="C492" s="76"/>
      <c r="D492" s="77"/>
      <c r="E492" s="77"/>
      <c r="F492" s="77"/>
      <c r="G492" s="77"/>
      <c r="H492" s="77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71"/>
      <c r="B493" s="71"/>
      <c r="C493" s="76"/>
      <c r="D493" s="77"/>
      <c r="E493" s="77"/>
      <c r="F493" s="77"/>
      <c r="G493" s="77"/>
      <c r="H493" s="77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71"/>
      <c r="B494" s="71"/>
      <c r="C494" s="76"/>
      <c r="D494" s="77"/>
      <c r="E494" s="77"/>
      <c r="F494" s="77"/>
      <c r="G494" s="77"/>
      <c r="H494" s="77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71"/>
      <c r="B495" s="71"/>
      <c r="C495" s="76"/>
      <c r="D495" s="77"/>
      <c r="E495" s="77"/>
      <c r="F495" s="77"/>
      <c r="G495" s="77"/>
      <c r="H495" s="77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71"/>
      <c r="B496" s="71"/>
      <c r="C496" s="76"/>
      <c r="D496" s="77"/>
      <c r="E496" s="77"/>
      <c r="F496" s="77"/>
      <c r="G496" s="77"/>
      <c r="H496" s="77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71"/>
      <c r="B497" s="71"/>
      <c r="C497" s="76"/>
      <c r="D497" s="77"/>
      <c r="E497" s="77"/>
      <c r="F497" s="77"/>
      <c r="G497" s="77"/>
      <c r="H497" s="77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71"/>
      <c r="B498" s="71"/>
      <c r="C498" s="76"/>
      <c r="D498" s="77"/>
      <c r="E498" s="77"/>
      <c r="F498" s="77"/>
      <c r="G498" s="77"/>
      <c r="H498" s="77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71"/>
      <c r="B499" s="71"/>
      <c r="C499" s="76"/>
      <c r="D499" s="77"/>
      <c r="E499" s="77"/>
      <c r="F499" s="77"/>
      <c r="G499" s="77"/>
      <c r="H499" s="77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71"/>
      <c r="B500" s="71"/>
      <c r="C500" s="76"/>
      <c r="D500" s="77"/>
      <c r="E500" s="77"/>
      <c r="F500" s="77"/>
      <c r="G500" s="77"/>
      <c r="H500" s="77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71"/>
      <c r="B501" s="71"/>
      <c r="C501" s="76"/>
      <c r="D501" s="77"/>
      <c r="E501" s="77"/>
      <c r="F501" s="77"/>
      <c r="G501" s="77"/>
      <c r="H501" s="77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71"/>
      <c r="B502" s="71"/>
      <c r="C502" s="76"/>
      <c r="D502" s="77"/>
      <c r="E502" s="77"/>
      <c r="F502" s="77"/>
      <c r="G502" s="77"/>
      <c r="H502" s="77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71"/>
      <c r="B503" s="71"/>
      <c r="C503" s="76"/>
      <c r="D503" s="77"/>
      <c r="E503" s="77"/>
      <c r="F503" s="77"/>
      <c r="G503" s="77"/>
      <c r="H503" s="77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71"/>
      <c r="B504" s="71"/>
      <c r="C504" s="76"/>
      <c r="D504" s="77"/>
      <c r="E504" s="77"/>
      <c r="F504" s="77"/>
      <c r="G504" s="77"/>
      <c r="H504" s="77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71"/>
      <c r="B505" s="71"/>
      <c r="C505" s="76"/>
      <c r="D505" s="77"/>
      <c r="E505" s="77"/>
      <c r="F505" s="77"/>
      <c r="G505" s="77"/>
      <c r="H505" s="77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71"/>
      <c r="B506" s="71"/>
      <c r="C506" s="76"/>
      <c r="D506" s="77"/>
      <c r="E506" s="77"/>
      <c r="F506" s="77"/>
      <c r="G506" s="77"/>
      <c r="H506" s="77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71"/>
      <c r="B507" s="71"/>
      <c r="C507" s="76"/>
      <c r="D507" s="77"/>
      <c r="E507" s="77"/>
      <c r="F507" s="77"/>
      <c r="G507" s="77"/>
      <c r="H507" s="77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71"/>
      <c r="B508" s="71"/>
      <c r="C508" s="76"/>
      <c r="D508" s="77"/>
      <c r="E508" s="77"/>
      <c r="F508" s="77"/>
      <c r="G508" s="77"/>
      <c r="H508" s="77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71"/>
      <c r="B509" s="71"/>
      <c r="C509" s="76"/>
      <c r="D509" s="77"/>
      <c r="E509" s="77"/>
      <c r="F509" s="77"/>
      <c r="G509" s="77"/>
      <c r="H509" s="77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71"/>
      <c r="B510" s="71"/>
      <c r="C510" s="76"/>
      <c r="D510" s="77"/>
      <c r="E510" s="77"/>
      <c r="F510" s="77"/>
      <c r="G510" s="77"/>
      <c r="H510" s="77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71"/>
      <c r="B511" s="71"/>
      <c r="C511" s="76"/>
      <c r="D511" s="77"/>
      <c r="E511" s="77"/>
      <c r="F511" s="77"/>
      <c r="G511" s="77"/>
      <c r="H511" s="77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71"/>
      <c r="B512" s="71"/>
      <c r="C512" s="76"/>
      <c r="D512" s="77"/>
      <c r="E512" s="77"/>
      <c r="F512" s="77"/>
      <c r="G512" s="77"/>
      <c r="H512" s="77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71"/>
      <c r="B513" s="71"/>
      <c r="C513" s="76"/>
      <c r="D513" s="77"/>
      <c r="E513" s="77"/>
      <c r="F513" s="77"/>
      <c r="G513" s="77"/>
      <c r="H513" s="77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71"/>
      <c r="B514" s="71"/>
      <c r="C514" s="76"/>
      <c r="D514" s="77"/>
      <c r="E514" s="77"/>
      <c r="F514" s="77"/>
      <c r="G514" s="77"/>
      <c r="H514" s="77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71"/>
      <c r="B515" s="71"/>
      <c r="C515" s="76"/>
      <c r="D515" s="77"/>
      <c r="E515" s="77"/>
      <c r="F515" s="77"/>
      <c r="G515" s="77"/>
      <c r="H515" s="77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71"/>
      <c r="B516" s="71"/>
      <c r="C516" s="76"/>
      <c r="D516" s="77"/>
      <c r="E516" s="77"/>
      <c r="F516" s="77"/>
      <c r="G516" s="77"/>
      <c r="H516" s="77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71"/>
      <c r="B517" s="71"/>
      <c r="C517" s="76"/>
      <c r="D517" s="77"/>
      <c r="E517" s="77"/>
      <c r="F517" s="77"/>
      <c r="G517" s="77"/>
      <c r="H517" s="77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71"/>
      <c r="B518" s="71"/>
      <c r="C518" s="76"/>
      <c r="D518" s="77"/>
      <c r="E518" s="77"/>
      <c r="F518" s="77"/>
      <c r="G518" s="77"/>
      <c r="H518" s="77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71"/>
      <c r="B519" s="71"/>
      <c r="C519" s="76"/>
      <c r="D519" s="77"/>
      <c r="E519" s="77"/>
      <c r="F519" s="77"/>
      <c r="G519" s="77"/>
      <c r="H519" s="77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71"/>
      <c r="B520" s="71"/>
      <c r="C520" s="76"/>
      <c r="D520" s="77"/>
      <c r="E520" s="77"/>
      <c r="F520" s="77"/>
      <c r="G520" s="77"/>
      <c r="H520" s="77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71"/>
      <c r="B521" s="71"/>
      <c r="C521" s="76"/>
      <c r="D521" s="77"/>
      <c r="E521" s="77"/>
      <c r="F521" s="77"/>
      <c r="G521" s="77"/>
      <c r="H521" s="77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71"/>
      <c r="B522" s="71"/>
      <c r="C522" s="76"/>
      <c r="D522" s="77"/>
      <c r="E522" s="77"/>
      <c r="F522" s="77"/>
      <c r="G522" s="77"/>
      <c r="H522" s="77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71"/>
      <c r="B523" s="71"/>
      <c r="C523" s="76"/>
      <c r="D523" s="77"/>
      <c r="E523" s="77"/>
      <c r="F523" s="77"/>
      <c r="G523" s="77"/>
      <c r="H523" s="77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71"/>
      <c r="B524" s="71"/>
      <c r="C524" s="76"/>
      <c r="D524" s="77"/>
      <c r="E524" s="77"/>
      <c r="F524" s="77"/>
      <c r="G524" s="77"/>
      <c r="H524" s="77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71"/>
      <c r="B525" s="71"/>
      <c r="C525" s="76"/>
      <c r="D525" s="77"/>
      <c r="E525" s="77"/>
      <c r="F525" s="77"/>
      <c r="G525" s="77"/>
      <c r="H525" s="77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71"/>
      <c r="B526" s="71"/>
      <c r="C526" s="76"/>
      <c r="D526" s="77"/>
      <c r="E526" s="77"/>
      <c r="F526" s="77"/>
      <c r="G526" s="77"/>
      <c r="H526" s="77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71"/>
      <c r="B527" s="71"/>
      <c r="C527" s="76"/>
      <c r="D527" s="77"/>
      <c r="E527" s="77"/>
      <c r="F527" s="77"/>
      <c r="G527" s="77"/>
      <c r="H527" s="77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71"/>
      <c r="B528" s="71"/>
      <c r="C528" s="76"/>
      <c r="D528" s="77"/>
      <c r="E528" s="77"/>
      <c r="F528" s="77"/>
      <c r="G528" s="77"/>
      <c r="H528" s="77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71"/>
      <c r="B529" s="71"/>
      <c r="C529" s="76"/>
      <c r="D529" s="77"/>
      <c r="E529" s="77"/>
      <c r="F529" s="77"/>
      <c r="G529" s="77"/>
      <c r="H529" s="77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71"/>
      <c r="B530" s="71"/>
      <c r="C530" s="76"/>
      <c r="D530" s="77"/>
      <c r="E530" s="77"/>
      <c r="F530" s="77"/>
      <c r="G530" s="77"/>
      <c r="H530" s="77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71"/>
      <c r="B531" s="71"/>
      <c r="C531" s="76"/>
      <c r="D531" s="77"/>
      <c r="E531" s="77"/>
      <c r="F531" s="77"/>
      <c r="G531" s="77"/>
      <c r="H531" s="77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71"/>
      <c r="B532" s="71"/>
      <c r="C532" s="76"/>
      <c r="D532" s="77"/>
      <c r="E532" s="77"/>
      <c r="F532" s="77"/>
      <c r="G532" s="77"/>
      <c r="H532" s="77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71"/>
      <c r="B533" s="71"/>
      <c r="C533" s="76"/>
      <c r="D533" s="77"/>
      <c r="E533" s="77"/>
      <c r="F533" s="77"/>
      <c r="G533" s="77"/>
      <c r="H533" s="77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71"/>
      <c r="B534" s="71"/>
      <c r="C534" s="76"/>
      <c r="D534" s="77"/>
      <c r="E534" s="77"/>
      <c r="F534" s="77"/>
      <c r="G534" s="77"/>
      <c r="H534" s="77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71"/>
      <c r="B535" s="71"/>
      <c r="C535" s="76"/>
      <c r="D535" s="77"/>
      <c r="E535" s="77"/>
      <c r="F535" s="77"/>
      <c r="G535" s="77"/>
      <c r="H535" s="77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71"/>
      <c r="B536" s="71"/>
      <c r="C536" s="76"/>
      <c r="D536" s="77"/>
      <c r="E536" s="77"/>
      <c r="F536" s="77"/>
      <c r="G536" s="77"/>
      <c r="H536" s="77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71"/>
      <c r="B537" s="71"/>
      <c r="C537" s="76"/>
      <c r="D537" s="77"/>
      <c r="E537" s="77"/>
      <c r="F537" s="77"/>
      <c r="G537" s="77"/>
      <c r="H537" s="77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71"/>
      <c r="B538" s="71"/>
      <c r="C538" s="76"/>
      <c r="D538" s="77"/>
      <c r="E538" s="77"/>
      <c r="F538" s="77"/>
      <c r="G538" s="77"/>
      <c r="H538" s="77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71"/>
      <c r="B539" s="71"/>
      <c r="C539" s="76"/>
      <c r="D539" s="77"/>
      <c r="E539" s="77"/>
      <c r="F539" s="77"/>
      <c r="G539" s="77"/>
      <c r="H539" s="77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71"/>
      <c r="B540" s="71"/>
      <c r="C540" s="76"/>
      <c r="D540" s="77"/>
      <c r="E540" s="77"/>
      <c r="F540" s="77"/>
      <c r="G540" s="77"/>
      <c r="H540" s="77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71"/>
      <c r="B541" s="71"/>
      <c r="C541" s="76"/>
      <c r="D541" s="77"/>
      <c r="E541" s="77"/>
      <c r="F541" s="77"/>
      <c r="G541" s="77"/>
      <c r="H541" s="77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71"/>
      <c r="B542" s="71"/>
      <c r="C542" s="76"/>
      <c r="D542" s="77"/>
      <c r="E542" s="77"/>
      <c r="F542" s="77"/>
      <c r="G542" s="77"/>
      <c r="H542" s="77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71"/>
      <c r="B543" s="71"/>
      <c r="C543" s="76"/>
      <c r="D543" s="77"/>
      <c r="E543" s="77"/>
      <c r="F543" s="77"/>
      <c r="G543" s="77"/>
      <c r="H543" s="77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71"/>
      <c r="B544" s="71"/>
      <c r="C544" s="76"/>
      <c r="D544" s="77"/>
      <c r="E544" s="77"/>
      <c r="F544" s="77"/>
      <c r="G544" s="77"/>
      <c r="H544" s="77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71"/>
      <c r="B545" s="71"/>
      <c r="C545" s="76"/>
      <c r="D545" s="77"/>
      <c r="E545" s="77"/>
      <c r="F545" s="77"/>
      <c r="G545" s="77"/>
      <c r="H545" s="77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71"/>
      <c r="B546" s="71"/>
      <c r="C546" s="76"/>
      <c r="D546" s="77"/>
      <c r="E546" s="77"/>
      <c r="F546" s="77"/>
      <c r="G546" s="77"/>
      <c r="H546" s="77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71"/>
      <c r="B547" s="71"/>
      <c r="C547" s="76"/>
      <c r="D547" s="77"/>
      <c r="E547" s="77"/>
      <c r="F547" s="77"/>
      <c r="G547" s="77"/>
      <c r="H547" s="77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71"/>
      <c r="B548" s="71"/>
      <c r="C548" s="76"/>
      <c r="D548" s="77"/>
      <c r="E548" s="77"/>
      <c r="F548" s="77"/>
      <c r="G548" s="77"/>
      <c r="H548" s="77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71"/>
      <c r="B549" s="71"/>
      <c r="C549" s="76"/>
      <c r="D549" s="77"/>
      <c r="E549" s="77"/>
      <c r="F549" s="77"/>
      <c r="G549" s="77"/>
      <c r="H549" s="77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71"/>
      <c r="B550" s="71"/>
      <c r="C550" s="76"/>
      <c r="D550" s="77"/>
      <c r="E550" s="77"/>
      <c r="F550" s="77"/>
      <c r="G550" s="77"/>
      <c r="H550" s="77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71"/>
      <c r="B551" s="71"/>
      <c r="C551" s="76"/>
      <c r="D551" s="77"/>
      <c r="E551" s="77"/>
      <c r="F551" s="77"/>
      <c r="G551" s="77"/>
      <c r="H551" s="77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71"/>
      <c r="B552" s="71"/>
      <c r="C552" s="76"/>
      <c r="D552" s="77"/>
      <c r="E552" s="77"/>
      <c r="F552" s="77"/>
      <c r="G552" s="77"/>
      <c r="H552" s="77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71"/>
      <c r="B553" s="71"/>
      <c r="C553" s="76"/>
      <c r="D553" s="77"/>
      <c r="E553" s="77"/>
      <c r="F553" s="77"/>
      <c r="G553" s="77"/>
      <c r="H553" s="77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71"/>
      <c r="B554" s="71"/>
      <c r="C554" s="76"/>
      <c r="D554" s="77"/>
      <c r="E554" s="77"/>
      <c r="F554" s="77"/>
      <c r="G554" s="77"/>
      <c r="H554" s="77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71"/>
      <c r="B555" s="71"/>
      <c r="C555" s="76"/>
      <c r="D555" s="77"/>
      <c r="E555" s="77"/>
      <c r="F555" s="77"/>
      <c r="G555" s="77"/>
      <c r="H555" s="77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71"/>
      <c r="B556" s="71"/>
      <c r="C556" s="76"/>
      <c r="D556" s="77"/>
      <c r="E556" s="77"/>
      <c r="F556" s="77"/>
      <c r="G556" s="77"/>
      <c r="H556" s="77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71"/>
      <c r="B557" s="71"/>
      <c r="C557" s="76"/>
      <c r="D557" s="77"/>
      <c r="E557" s="77"/>
      <c r="F557" s="77"/>
      <c r="G557" s="77"/>
      <c r="H557" s="77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71"/>
      <c r="B558" s="71"/>
      <c r="C558" s="76"/>
      <c r="D558" s="77"/>
      <c r="E558" s="77"/>
      <c r="F558" s="77"/>
      <c r="G558" s="77"/>
      <c r="H558" s="77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71"/>
      <c r="B559" s="71"/>
      <c r="C559" s="76"/>
      <c r="D559" s="77"/>
      <c r="E559" s="77"/>
      <c r="F559" s="77"/>
      <c r="G559" s="77"/>
      <c r="H559" s="77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71"/>
      <c r="B560" s="71"/>
      <c r="C560" s="76"/>
      <c r="D560" s="77"/>
      <c r="E560" s="77"/>
      <c r="F560" s="77"/>
      <c r="G560" s="77"/>
      <c r="H560" s="77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71"/>
      <c r="B561" s="71"/>
      <c r="C561" s="76"/>
      <c r="D561" s="77"/>
      <c r="E561" s="77"/>
      <c r="F561" s="77"/>
      <c r="G561" s="77"/>
      <c r="H561" s="77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71"/>
      <c r="B562" s="71"/>
      <c r="C562" s="76"/>
      <c r="D562" s="77"/>
      <c r="E562" s="77"/>
      <c r="F562" s="77"/>
      <c r="G562" s="77"/>
      <c r="H562" s="77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71"/>
      <c r="B563" s="71"/>
      <c r="C563" s="76"/>
      <c r="D563" s="77"/>
      <c r="E563" s="77"/>
      <c r="F563" s="77"/>
      <c r="G563" s="77"/>
      <c r="H563" s="77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71"/>
      <c r="B564" s="71"/>
      <c r="C564" s="76"/>
      <c r="D564" s="77"/>
      <c r="E564" s="77"/>
      <c r="F564" s="77"/>
      <c r="G564" s="77"/>
      <c r="H564" s="77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71"/>
      <c r="B565" s="71"/>
      <c r="C565" s="76"/>
      <c r="D565" s="77"/>
      <c r="E565" s="77"/>
      <c r="F565" s="77"/>
      <c r="G565" s="77"/>
      <c r="H565" s="77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71"/>
      <c r="B566" s="71"/>
      <c r="C566" s="76"/>
      <c r="D566" s="77"/>
      <c r="E566" s="77"/>
      <c r="F566" s="77"/>
      <c r="G566" s="77"/>
      <c r="H566" s="77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71"/>
      <c r="B567" s="71"/>
      <c r="C567" s="76"/>
      <c r="D567" s="77"/>
      <c r="E567" s="77"/>
      <c r="F567" s="77"/>
      <c r="G567" s="77"/>
      <c r="H567" s="77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71"/>
      <c r="B568" s="71"/>
      <c r="C568" s="76"/>
      <c r="D568" s="77"/>
      <c r="E568" s="77"/>
      <c r="F568" s="77"/>
      <c r="G568" s="77"/>
      <c r="H568" s="77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71"/>
      <c r="B569" s="71"/>
      <c r="C569" s="76"/>
      <c r="D569" s="77"/>
      <c r="E569" s="77"/>
      <c r="F569" s="77"/>
      <c r="G569" s="77"/>
      <c r="H569" s="77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71"/>
      <c r="B570" s="71"/>
      <c r="C570" s="76"/>
      <c r="D570" s="77"/>
      <c r="E570" s="77"/>
      <c r="F570" s="77"/>
      <c r="G570" s="77"/>
      <c r="H570" s="77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71"/>
      <c r="B571" s="71"/>
      <c r="C571" s="76"/>
      <c r="D571" s="77"/>
      <c r="E571" s="77"/>
      <c r="F571" s="77"/>
      <c r="G571" s="77"/>
      <c r="H571" s="77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71"/>
      <c r="B572" s="71"/>
      <c r="C572" s="76"/>
      <c r="D572" s="77"/>
      <c r="E572" s="77"/>
      <c r="F572" s="77"/>
      <c r="G572" s="77"/>
      <c r="H572" s="77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71"/>
      <c r="B573" s="71"/>
      <c r="C573" s="76"/>
      <c r="D573" s="77"/>
      <c r="E573" s="77"/>
      <c r="F573" s="77"/>
      <c r="G573" s="77"/>
      <c r="H573" s="77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71"/>
      <c r="B574" s="71"/>
      <c r="C574" s="76"/>
      <c r="D574" s="77"/>
      <c r="E574" s="77"/>
      <c r="F574" s="77"/>
      <c r="G574" s="77"/>
      <c r="H574" s="77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71"/>
      <c r="B575" s="71"/>
      <c r="C575" s="76"/>
      <c r="D575" s="77"/>
      <c r="E575" s="77"/>
      <c r="F575" s="77"/>
      <c r="G575" s="77"/>
      <c r="H575" s="77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71"/>
      <c r="B576" s="71"/>
      <c r="C576" s="76"/>
      <c r="D576" s="77"/>
      <c r="E576" s="77"/>
      <c r="F576" s="77"/>
      <c r="G576" s="77"/>
      <c r="H576" s="77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71"/>
      <c r="B577" s="71"/>
      <c r="C577" s="76"/>
      <c r="D577" s="77"/>
      <c r="E577" s="77"/>
      <c r="F577" s="77"/>
      <c r="G577" s="77"/>
      <c r="H577" s="77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71"/>
      <c r="B578" s="71"/>
      <c r="C578" s="76"/>
      <c r="D578" s="77"/>
      <c r="E578" s="77"/>
      <c r="F578" s="77"/>
      <c r="G578" s="77"/>
      <c r="H578" s="77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71"/>
      <c r="B579" s="71"/>
      <c r="C579" s="76"/>
      <c r="D579" s="77"/>
      <c r="E579" s="77"/>
      <c r="F579" s="77"/>
      <c r="G579" s="77"/>
      <c r="H579" s="77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71"/>
      <c r="B580" s="71"/>
      <c r="C580" s="76"/>
      <c r="D580" s="77"/>
      <c r="E580" s="77"/>
      <c r="F580" s="77"/>
      <c r="G580" s="77"/>
      <c r="H580" s="77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71"/>
      <c r="B581" s="71"/>
      <c r="C581" s="76"/>
      <c r="D581" s="77"/>
      <c r="E581" s="77"/>
      <c r="F581" s="77"/>
      <c r="G581" s="77"/>
      <c r="H581" s="77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71"/>
      <c r="B582" s="71"/>
      <c r="C582" s="76"/>
      <c r="D582" s="77"/>
      <c r="E582" s="77"/>
      <c r="F582" s="77"/>
      <c r="G582" s="77"/>
      <c r="H582" s="77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71"/>
      <c r="B583" s="71"/>
      <c r="C583" s="76"/>
      <c r="D583" s="77"/>
      <c r="E583" s="77"/>
      <c r="F583" s="77"/>
      <c r="G583" s="77"/>
      <c r="H583" s="77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71"/>
      <c r="B584" s="71"/>
      <c r="C584" s="76"/>
      <c r="D584" s="77"/>
      <c r="E584" s="77"/>
      <c r="F584" s="77"/>
      <c r="G584" s="77"/>
      <c r="H584" s="77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71"/>
      <c r="B585" s="71"/>
      <c r="C585" s="76"/>
      <c r="D585" s="77"/>
      <c r="E585" s="77"/>
      <c r="F585" s="77"/>
      <c r="G585" s="77"/>
      <c r="H585" s="77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71"/>
      <c r="B586" s="71"/>
      <c r="C586" s="76"/>
      <c r="D586" s="77"/>
      <c r="E586" s="77"/>
      <c r="F586" s="77"/>
      <c r="G586" s="77"/>
      <c r="H586" s="77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71"/>
      <c r="B587" s="71"/>
      <c r="C587" s="76"/>
      <c r="D587" s="77"/>
      <c r="E587" s="77"/>
      <c r="F587" s="77"/>
      <c r="G587" s="77"/>
      <c r="H587" s="77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71"/>
      <c r="B588" s="71"/>
      <c r="C588" s="76"/>
      <c r="D588" s="77"/>
      <c r="E588" s="77"/>
      <c r="F588" s="77"/>
      <c r="G588" s="77"/>
      <c r="H588" s="77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71"/>
      <c r="B589" s="71"/>
      <c r="C589" s="76"/>
      <c r="D589" s="77"/>
      <c r="E589" s="77"/>
      <c r="F589" s="77"/>
      <c r="G589" s="77"/>
      <c r="H589" s="77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71"/>
      <c r="B590" s="71"/>
      <c r="C590" s="76"/>
      <c r="D590" s="77"/>
      <c r="E590" s="77"/>
      <c r="F590" s="77"/>
      <c r="G590" s="77"/>
      <c r="H590" s="77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71"/>
      <c r="B591" s="71"/>
      <c r="C591" s="76"/>
      <c r="D591" s="77"/>
      <c r="E591" s="77"/>
      <c r="F591" s="77"/>
      <c r="G591" s="77"/>
      <c r="H591" s="77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71"/>
      <c r="B592" s="71"/>
      <c r="C592" s="76"/>
      <c r="D592" s="77"/>
      <c r="E592" s="77"/>
      <c r="F592" s="77"/>
      <c r="G592" s="77"/>
      <c r="H592" s="77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71"/>
      <c r="B593" s="71"/>
      <c r="C593" s="76"/>
      <c r="D593" s="77"/>
      <c r="E593" s="77"/>
      <c r="F593" s="77"/>
      <c r="G593" s="77"/>
      <c r="H593" s="77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71"/>
      <c r="B594" s="71"/>
      <c r="C594" s="76"/>
      <c r="D594" s="77"/>
      <c r="E594" s="77"/>
      <c r="F594" s="77"/>
      <c r="G594" s="77"/>
      <c r="H594" s="77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71"/>
      <c r="B595" s="71"/>
      <c r="C595" s="76"/>
      <c r="D595" s="77"/>
      <c r="E595" s="77"/>
      <c r="F595" s="77"/>
      <c r="G595" s="77"/>
      <c r="H595" s="77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71"/>
      <c r="B596" s="71"/>
      <c r="C596" s="76"/>
      <c r="D596" s="77"/>
      <c r="E596" s="77"/>
      <c r="F596" s="77"/>
      <c r="G596" s="77"/>
      <c r="H596" s="77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71"/>
      <c r="B597" s="71"/>
      <c r="C597" s="76"/>
      <c r="D597" s="77"/>
      <c r="E597" s="77"/>
      <c r="F597" s="77"/>
      <c r="G597" s="77"/>
      <c r="H597" s="77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71"/>
      <c r="B598" s="71"/>
      <c r="C598" s="76"/>
      <c r="D598" s="77"/>
      <c r="E598" s="77"/>
      <c r="F598" s="77"/>
      <c r="G598" s="77"/>
      <c r="H598" s="77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71"/>
      <c r="B599" s="71"/>
      <c r="C599" s="76"/>
      <c r="D599" s="77"/>
      <c r="E599" s="77"/>
      <c r="F599" s="77"/>
      <c r="G599" s="77"/>
      <c r="H599" s="77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71"/>
      <c r="B600" s="71"/>
      <c r="C600" s="76"/>
      <c r="D600" s="77"/>
      <c r="E600" s="77"/>
      <c r="F600" s="77"/>
      <c r="G600" s="77"/>
      <c r="H600" s="77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71"/>
      <c r="B601" s="71"/>
      <c r="C601" s="76"/>
      <c r="D601" s="77"/>
      <c r="E601" s="77"/>
      <c r="F601" s="77"/>
      <c r="G601" s="77"/>
      <c r="H601" s="77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71"/>
      <c r="B602" s="71"/>
      <c r="C602" s="76"/>
      <c r="D602" s="77"/>
      <c r="E602" s="77"/>
      <c r="F602" s="77"/>
      <c r="G602" s="77"/>
      <c r="H602" s="77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71"/>
      <c r="B603" s="71"/>
      <c r="C603" s="76"/>
      <c r="D603" s="77"/>
      <c r="E603" s="77"/>
      <c r="F603" s="77"/>
      <c r="G603" s="77"/>
      <c r="H603" s="77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71"/>
      <c r="B604" s="71"/>
      <c r="C604" s="76"/>
      <c r="D604" s="77"/>
      <c r="E604" s="77"/>
      <c r="F604" s="77"/>
      <c r="G604" s="77"/>
      <c r="H604" s="77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71"/>
      <c r="B605" s="71"/>
      <c r="C605" s="76"/>
      <c r="D605" s="77"/>
      <c r="E605" s="77"/>
      <c r="F605" s="77"/>
      <c r="G605" s="77"/>
      <c r="H605" s="77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71"/>
      <c r="B606" s="71"/>
      <c r="C606" s="76"/>
      <c r="D606" s="77"/>
      <c r="E606" s="77"/>
      <c r="F606" s="77"/>
      <c r="G606" s="77"/>
      <c r="H606" s="77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71"/>
      <c r="B607" s="71"/>
      <c r="C607" s="76"/>
      <c r="D607" s="77"/>
      <c r="E607" s="77"/>
      <c r="F607" s="77"/>
      <c r="G607" s="77"/>
      <c r="H607" s="77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71"/>
      <c r="B608" s="71"/>
      <c r="C608" s="76"/>
      <c r="D608" s="77"/>
      <c r="E608" s="77"/>
      <c r="F608" s="77"/>
      <c r="G608" s="77"/>
      <c r="H608" s="77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71"/>
      <c r="B609" s="71"/>
      <c r="C609" s="76"/>
      <c r="D609" s="77"/>
      <c r="E609" s="77"/>
      <c r="F609" s="77"/>
      <c r="G609" s="77"/>
      <c r="H609" s="77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71"/>
      <c r="B610" s="71"/>
      <c r="C610" s="76"/>
      <c r="D610" s="77"/>
      <c r="E610" s="77"/>
      <c r="F610" s="77"/>
      <c r="G610" s="77"/>
      <c r="H610" s="77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71"/>
      <c r="B611" s="71"/>
      <c r="C611" s="76"/>
      <c r="D611" s="77"/>
      <c r="E611" s="77"/>
      <c r="F611" s="77"/>
      <c r="G611" s="77"/>
      <c r="H611" s="77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71"/>
      <c r="B612" s="71"/>
      <c r="C612" s="76"/>
      <c r="D612" s="77"/>
      <c r="E612" s="77"/>
      <c r="F612" s="77"/>
      <c r="G612" s="77"/>
      <c r="H612" s="77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71"/>
      <c r="B613" s="71"/>
      <c r="C613" s="76"/>
      <c r="D613" s="77"/>
      <c r="E613" s="77"/>
      <c r="F613" s="77"/>
      <c r="G613" s="77"/>
      <c r="H613" s="77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71"/>
      <c r="B614" s="71"/>
      <c r="C614" s="76"/>
      <c r="D614" s="77"/>
      <c r="E614" s="77"/>
      <c r="F614" s="77"/>
      <c r="G614" s="77"/>
      <c r="H614" s="77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71"/>
      <c r="B615" s="71"/>
      <c r="C615" s="76"/>
      <c r="D615" s="77"/>
      <c r="E615" s="77"/>
      <c r="F615" s="77"/>
      <c r="G615" s="77"/>
      <c r="H615" s="77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71"/>
      <c r="B616" s="71"/>
      <c r="C616" s="76"/>
      <c r="D616" s="77"/>
      <c r="E616" s="77"/>
      <c r="F616" s="77"/>
      <c r="G616" s="77"/>
      <c r="H616" s="77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71"/>
      <c r="B617" s="71"/>
      <c r="C617" s="76"/>
      <c r="D617" s="77"/>
      <c r="E617" s="77"/>
      <c r="F617" s="77"/>
      <c r="G617" s="77"/>
      <c r="H617" s="77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71"/>
      <c r="B618" s="71"/>
      <c r="C618" s="76"/>
      <c r="D618" s="77"/>
      <c r="E618" s="77"/>
      <c r="F618" s="77"/>
      <c r="G618" s="77"/>
      <c r="H618" s="77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71"/>
      <c r="B619" s="71"/>
      <c r="C619" s="76"/>
      <c r="D619" s="77"/>
      <c r="E619" s="77"/>
      <c r="F619" s="77"/>
      <c r="G619" s="77"/>
      <c r="H619" s="77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71"/>
      <c r="B620" s="71"/>
      <c r="C620" s="76"/>
      <c r="D620" s="77"/>
      <c r="E620" s="77"/>
      <c r="F620" s="77"/>
      <c r="G620" s="77"/>
      <c r="H620" s="77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71"/>
      <c r="B621" s="71"/>
      <c r="C621" s="76"/>
      <c r="D621" s="77"/>
      <c r="E621" s="77"/>
      <c r="F621" s="77"/>
      <c r="G621" s="77"/>
      <c r="H621" s="77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71"/>
      <c r="B622" s="71"/>
      <c r="C622" s="76"/>
      <c r="D622" s="77"/>
      <c r="E622" s="77"/>
      <c r="F622" s="77"/>
      <c r="G622" s="77"/>
      <c r="H622" s="77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71"/>
      <c r="B623" s="71"/>
      <c r="C623" s="76"/>
      <c r="D623" s="77"/>
      <c r="E623" s="77"/>
      <c r="F623" s="77"/>
      <c r="G623" s="77"/>
      <c r="H623" s="77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71"/>
      <c r="B624" s="71"/>
      <c r="C624" s="76"/>
      <c r="D624" s="77"/>
      <c r="E624" s="77"/>
      <c r="F624" s="77"/>
      <c r="G624" s="77"/>
      <c r="H624" s="77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71"/>
      <c r="B625" s="71"/>
      <c r="C625" s="76"/>
      <c r="D625" s="77"/>
      <c r="E625" s="77"/>
      <c r="F625" s="77"/>
      <c r="G625" s="77"/>
      <c r="H625" s="77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71"/>
      <c r="B626" s="71"/>
      <c r="C626" s="76"/>
      <c r="D626" s="77"/>
      <c r="E626" s="77"/>
      <c r="F626" s="77"/>
      <c r="G626" s="77"/>
      <c r="H626" s="77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71"/>
      <c r="B627" s="71"/>
      <c r="C627" s="76"/>
      <c r="D627" s="77"/>
      <c r="E627" s="77"/>
      <c r="F627" s="77"/>
      <c r="G627" s="77"/>
      <c r="H627" s="77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71"/>
      <c r="B628" s="71"/>
      <c r="C628" s="76"/>
      <c r="D628" s="77"/>
      <c r="E628" s="77"/>
      <c r="F628" s="77"/>
      <c r="G628" s="77"/>
      <c r="H628" s="77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71"/>
      <c r="B629" s="71"/>
      <c r="C629" s="76"/>
      <c r="D629" s="77"/>
      <c r="E629" s="77"/>
      <c r="F629" s="77"/>
      <c r="G629" s="77"/>
      <c r="H629" s="77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71"/>
      <c r="B630" s="71"/>
      <c r="C630" s="76"/>
      <c r="D630" s="77"/>
      <c r="E630" s="77"/>
      <c r="F630" s="77"/>
      <c r="G630" s="77"/>
      <c r="H630" s="77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71"/>
      <c r="B631" s="71"/>
      <c r="C631" s="76"/>
      <c r="D631" s="77"/>
      <c r="E631" s="77"/>
      <c r="F631" s="77"/>
      <c r="G631" s="77"/>
      <c r="H631" s="77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71"/>
      <c r="B632" s="71"/>
      <c r="C632" s="76"/>
      <c r="D632" s="77"/>
      <c r="E632" s="77"/>
      <c r="F632" s="77"/>
      <c r="G632" s="77"/>
      <c r="H632" s="77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71"/>
      <c r="B633" s="71"/>
      <c r="C633" s="76"/>
      <c r="D633" s="77"/>
      <c r="E633" s="77"/>
      <c r="F633" s="77"/>
      <c r="G633" s="77"/>
      <c r="H633" s="77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71"/>
      <c r="B634" s="71"/>
      <c r="C634" s="76"/>
      <c r="D634" s="77"/>
      <c r="E634" s="77"/>
      <c r="F634" s="77"/>
      <c r="G634" s="77"/>
      <c r="H634" s="77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71"/>
      <c r="B635" s="71"/>
      <c r="C635" s="76"/>
      <c r="D635" s="77"/>
      <c r="E635" s="77"/>
      <c r="F635" s="77"/>
      <c r="G635" s="77"/>
      <c r="H635" s="77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71"/>
      <c r="B636" s="71"/>
      <c r="C636" s="76"/>
      <c r="D636" s="77"/>
      <c r="E636" s="77"/>
      <c r="F636" s="77"/>
      <c r="G636" s="77"/>
      <c r="H636" s="77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71"/>
      <c r="B637" s="71"/>
      <c r="C637" s="76"/>
      <c r="D637" s="77"/>
      <c r="E637" s="77"/>
      <c r="F637" s="77"/>
      <c r="G637" s="77"/>
      <c r="H637" s="77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71"/>
      <c r="B638" s="71"/>
      <c r="C638" s="76"/>
      <c r="D638" s="77"/>
      <c r="E638" s="77"/>
      <c r="F638" s="77"/>
      <c r="G638" s="77"/>
      <c r="H638" s="77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71"/>
      <c r="B639" s="71"/>
      <c r="C639" s="76"/>
      <c r="D639" s="77"/>
      <c r="E639" s="77"/>
      <c r="F639" s="77"/>
      <c r="G639" s="77"/>
      <c r="H639" s="77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71"/>
      <c r="B640" s="71"/>
      <c r="C640" s="76"/>
      <c r="D640" s="77"/>
      <c r="E640" s="77"/>
      <c r="F640" s="77"/>
      <c r="G640" s="77"/>
      <c r="H640" s="77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71"/>
      <c r="B641" s="71"/>
      <c r="C641" s="76"/>
      <c r="D641" s="77"/>
      <c r="E641" s="77"/>
      <c r="F641" s="77"/>
      <c r="G641" s="77"/>
      <c r="H641" s="77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71"/>
      <c r="B642" s="71"/>
      <c r="C642" s="76"/>
      <c r="D642" s="77"/>
      <c r="E642" s="77"/>
      <c r="F642" s="77"/>
      <c r="G642" s="77"/>
      <c r="H642" s="77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71"/>
      <c r="B643" s="71"/>
      <c r="C643" s="76"/>
      <c r="D643" s="77"/>
      <c r="E643" s="77"/>
      <c r="F643" s="77"/>
      <c r="G643" s="77"/>
      <c r="H643" s="77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71"/>
      <c r="B644" s="71"/>
      <c r="C644" s="76"/>
      <c r="D644" s="77"/>
      <c r="E644" s="77"/>
      <c r="F644" s="77"/>
      <c r="G644" s="77"/>
      <c r="H644" s="77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71"/>
      <c r="B645" s="71"/>
      <c r="C645" s="76"/>
      <c r="D645" s="77"/>
      <c r="E645" s="77"/>
      <c r="F645" s="77"/>
      <c r="G645" s="77"/>
      <c r="H645" s="77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71"/>
      <c r="B646" s="71"/>
      <c r="C646" s="76"/>
      <c r="D646" s="77"/>
      <c r="E646" s="77"/>
      <c r="F646" s="77"/>
      <c r="G646" s="77"/>
      <c r="H646" s="77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71"/>
      <c r="B647" s="71"/>
      <c r="C647" s="76"/>
      <c r="D647" s="77"/>
      <c r="E647" s="77"/>
      <c r="F647" s="77"/>
      <c r="G647" s="77"/>
      <c r="H647" s="77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71"/>
      <c r="B648" s="71"/>
      <c r="C648" s="76"/>
      <c r="D648" s="77"/>
      <c r="E648" s="77"/>
      <c r="F648" s="77"/>
      <c r="G648" s="77"/>
      <c r="H648" s="77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71"/>
      <c r="B649" s="71"/>
      <c r="C649" s="76"/>
      <c r="D649" s="77"/>
      <c r="E649" s="77"/>
      <c r="F649" s="77"/>
      <c r="G649" s="77"/>
      <c r="H649" s="77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71"/>
      <c r="B650" s="71"/>
      <c r="C650" s="76"/>
      <c r="D650" s="77"/>
      <c r="E650" s="77"/>
      <c r="F650" s="77"/>
      <c r="G650" s="77"/>
      <c r="H650" s="77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71"/>
      <c r="B651" s="71"/>
      <c r="C651" s="76"/>
      <c r="D651" s="77"/>
      <c r="E651" s="77"/>
      <c r="F651" s="77"/>
      <c r="G651" s="77"/>
      <c r="H651" s="77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71"/>
      <c r="B652" s="71"/>
      <c r="C652" s="76"/>
      <c r="D652" s="77"/>
      <c r="E652" s="77"/>
      <c r="F652" s="77"/>
      <c r="G652" s="77"/>
      <c r="H652" s="77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71"/>
      <c r="B653" s="71"/>
      <c r="C653" s="76"/>
      <c r="D653" s="77"/>
      <c r="E653" s="77"/>
      <c r="F653" s="77"/>
      <c r="G653" s="77"/>
      <c r="H653" s="77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71"/>
      <c r="B654" s="71"/>
      <c r="C654" s="76"/>
      <c r="D654" s="77"/>
      <c r="E654" s="77"/>
      <c r="F654" s="77"/>
      <c r="G654" s="77"/>
      <c r="H654" s="77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71"/>
      <c r="B655" s="71"/>
      <c r="C655" s="76"/>
      <c r="D655" s="77"/>
      <c r="E655" s="77"/>
      <c r="F655" s="77"/>
      <c r="G655" s="77"/>
      <c r="H655" s="77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71"/>
      <c r="B656" s="71"/>
      <c r="C656" s="76"/>
      <c r="D656" s="77"/>
      <c r="E656" s="77"/>
      <c r="F656" s="77"/>
      <c r="G656" s="77"/>
      <c r="H656" s="77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71"/>
      <c r="B657" s="71"/>
      <c r="C657" s="76"/>
      <c r="D657" s="77"/>
      <c r="E657" s="77"/>
      <c r="F657" s="77"/>
      <c r="G657" s="77"/>
      <c r="H657" s="77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71"/>
      <c r="B658" s="71"/>
      <c r="C658" s="76"/>
      <c r="D658" s="77"/>
      <c r="E658" s="77"/>
      <c r="F658" s="77"/>
      <c r="G658" s="77"/>
      <c r="H658" s="77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71"/>
      <c r="B659" s="71"/>
      <c r="C659" s="76"/>
      <c r="D659" s="77"/>
      <c r="E659" s="77"/>
      <c r="F659" s="77"/>
      <c r="G659" s="77"/>
      <c r="H659" s="77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71"/>
      <c r="B660" s="71"/>
      <c r="C660" s="76"/>
      <c r="D660" s="77"/>
      <c r="E660" s="77"/>
      <c r="F660" s="77"/>
      <c r="G660" s="77"/>
      <c r="H660" s="77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71"/>
      <c r="B661" s="71"/>
      <c r="C661" s="76"/>
      <c r="D661" s="77"/>
      <c r="E661" s="77"/>
      <c r="F661" s="77"/>
      <c r="G661" s="77"/>
      <c r="H661" s="77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71"/>
      <c r="B662" s="71"/>
      <c r="C662" s="76"/>
      <c r="D662" s="77"/>
      <c r="E662" s="77"/>
      <c r="F662" s="77"/>
      <c r="G662" s="77"/>
      <c r="H662" s="77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71"/>
      <c r="B663" s="71"/>
      <c r="C663" s="76"/>
      <c r="D663" s="77"/>
      <c r="E663" s="77"/>
      <c r="F663" s="77"/>
      <c r="G663" s="77"/>
      <c r="H663" s="77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71"/>
      <c r="B664" s="71"/>
      <c r="C664" s="76"/>
      <c r="D664" s="77"/>
      <c r="E664" s="77"/>
      <c r="F664" s="77"/>
      <c r="G664" s="77"/>
      <c r="H664" s="77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71"/>
      <c r="B665" s="71"/>
      <c r="C665" s="76"/>
      <c r="D665" s="77"/>
      <c r="E665" s="77"/>
      <c r="F665" s="77"/>
      <c r="G665" s="77"/>
      <c r="H665" s="77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71"/>
      <c r="B666" s="71"/>
      <c r="C666" s="76"/>
      <c r="D666" s="77"/>
      <c r="E666" s="77"/>
      <c r="F666" s="77"/>
      <c r="G666" s="77"/>
      <c r="H666" s="77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71"/>
      <c r="B667" s="71"/>
      <c r="C667" s="76"/>
      <c r="D667" s="77"/>
      <c r="E667" s="77"/>
      <c r="F667" s="77"/>
      <c r="G667" s="77"/>
      <c r="H667" s="77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71"/>
      <c r="B668" s="71"/>
      <c r="C668" s="76"/>
      <c r="D668" s="77"/>
      <c r="E668" s="77"/>
      <c r="F668" s="77"/>
      <c r="G668" s="77"/>
      <c r="H668" s="77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71"/>
      <c r="B669" s="71"/>
      <c r="C669" s="76"/>
      <c r="D669" s="77"/>
      <c r="E669" s="77"/>
      <c r="F669" s="77"/>
      <c r="G669" s="77"/>
      <c r="H669" s="77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71"/>
      <c r="B670" s="71"/>
      <c r="C670" s="76"/>
      <c r="D670" s="77"/>
      <c r="E670" s="77"/>
      <c r="F670" s="77"/>
      <c r="G670" s="77"/>
      <c r="H670" s="77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71"/>
      <c r="B671" s="71"/>
      <c r="C671" s="76"/>
      <c r="D671" s="77"/>
      <c r="E671" s="77"/>
      <c r="F671" s="77"/>
      <c r="G671" s="77"/>
      <c r="H671" s="77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71"/>
      <c r="B672" s="71"/>
      <c r="C672" s="76"/>
      <c r="D672" s="77"/>
      <c r="E672" s="77"/>
      <c r="F672" s="77"/>
      <c r="G672" s="77"/>
      <c r="H672" s="77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71"/>
      <c r="B673" s="71"/>
      <c r="C673" s="76"/>
      <c r="D673" s="77"/>
      <c r="E673" s="77"/>
      <c r="F673" s="77"/>
      <c r="G673" s="77"/>
      <c r="H673" s="77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71"/>
      <c r="B674" s="71"/>
      <c r="C674" s="76"/>
      <c r="D674" s="77"/>
      <c r="E674" s="77"/>
      <c r="F674" s="77"/>
      <c r="G674" s="77"/>
      <c r="H674" s="77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71"/>
      <c r="B675" s="71"/>
      <c r="C675" s="76"/>
      <c r="D675" s="77"/>
      <c r="E675" s="77"/>
      <c r="F675" s="77"/>
      <c r="G675" s="77"/>
      <c r="H675" s="77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71"/>
      <c r="B676" s="71"/>
      <c r="C676" s="76"/>
      <c r="D676" s="77"/>
      <c r="E676" s="77"/>
      <c r="F676" s="77"/>
      <c r="G676" s="77"/>
      <c r="H676" s="77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71"/>
      <c r="B677" s="71"/>
      <c r="C677" s="76"/>
      <c r="D677" s="77"/>
      <c r="E677" s="77"/>
      <c r="F677" s="77"/>
      <c r="G677" s="77"/>
      <c r="H677" s="77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71"/>
      <c r="B678" s="71"/>
      <c r="C678" s="76"/>
      <c r="D678" s="77"/>
      <c r="E678" s="77"/>
      <c r="F678" s="77"/>
      <c r="G678" s="77"/>
      <c r="H678" s="77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71"/>
      <c r="B679" s="71"/>
      <c r="C679" s="76"/>
      <c r="D679" s="77"/>
      <c r="E679" s="77"/>
      <c r="F679" s="77"/>
      <c r="G679" s="77"/>
      <c r="H679" s="77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71"/>
      <c r="B680" s="71"/>
      <c r="C680" s="76"/>
      <c r="D680" s="77"/>
      <c r="E680" s="77"/>
      <c r="F680" s="77"/>
      <c r="G680" s="77"/>
      <c r="H680" s="77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71"/>
      <c r="B681" s="71"/>
      <c r="C681" s="76"/>
      <c r="D681" s="77"/>
      <c r="E681" s="77"/>
      <c r="F681" s="77"/>
      <c r="G681" s="77"/>
      <c r="H681" s="77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71"/>
      <c r="B682" s="71"/>
      <c r="C682" s="76"/>
      <c r="D682" s="77"/>
      <c r="E682" s="77"/>
      <c r="F682" s="77"/>
      <c r="G682" s="77"/>
      <c r="H682" s="77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71"/>
      <c r="B683" s="71"/>
      <c r="C683" s="76"/>
      <c r="D683" s="77"/>
      <c r="E683" s="77"/>
      <c r="F683" s="77"/>
      <c r="G683" s="77"/>
      <c r="H683" s="77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71"/>
      <c r="B684" s="71"/>
      <c r="C684" s="76"/>
      <c r="D684" s="77"/>
      <c r="E684" s="77"/>
      <c r="F684" s="77"/>
      <c r="G684" s="77"/>
      <c r="H684" s="77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71"/>
      <c r="B685" s="71"/>
      <c r="C685" s="76"/>
      <c r="D685" s="77"/>
      <c r="E685" s="77"/>
      <c r="F685" s="77"/>
      <c r="G685" s="77"/>
      <c r="H685" s="77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71"/>
      <c r="B686" s="71"/>
      <c r="C686" s="76"/>
      <c r="D686" s="77"/>
      <c r="E686" s="77"/>
      <c r="F686" s="77"/>
      <c r="G686" s="77"/>
      <c r="H686" s="77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71"/>
      <c r="B687" s="71"/>
      <c r="C687" s="76"/>
      <c r="D687" s="77"/>
      <c r="E687" s="77"/>
      <c r="F687" s="77"/>
      <c r="G687" s="77"/>
      <c r="H687" s="77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71"/>
      <c r="B688" s="71"/>
      <c r="C688" s="76"/>
      <c r="D688" s="77"/>
      <c r="E688" s="77"/>
      <c r="F688" s="77"/>
      <c r="G688" s="77"/>
      <c r="H688" s="77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71"/>
      <c r="B689" s="71"/>
      <c r="C689" s="76"/>
      <c r="D689" s="77"/>
      <c r="E689" s="77"/>
      <c r="F689" s="77"/>
      <c r="G689" s="77"/>
      <c r="H689" s="77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71"/>
      <c r="B690" s="71"/>
      <c r="C690" s="76"/>
      <c r="D690" s="77"/>
      <c r="E690" s="77"/>
      <c r="F690" s="77"/>
      <c r="G690" s="77"/>
      <c r="H690" s="77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71"/>
      <c r="B691" s="71"/>
      <c r="C691" s="76"/>
      <c r="D691" s="77"/>
      <c r="E691" s="77"/>
      <c r="F691" s="77"/>
      <c r="G691" s="77"/>
      <c r="H691" s="77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71"/>
      <c r="B692" s="71"/>
      <c r="C692" s="76"/>
      <c r="D692" s="77"/>
      <c r="E692" s="77"/>
      <c r="F692" s="77"/>
      <c r="G692" s="77"/>
      <c r="H692" s="77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71"/>
      <c r="B693" s="71"/>
      <c r="C693" s="76"/>
      <c r="D693" s="77"/>
      <c r="E693" s="77"/>
      <c r="F693" s="77"/>
      <c r="G693" s="77"/>
      <c r="H693" s="77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71"/>
      <c r="B694" s="71"/>
      <c r="C694" s="76"/>
      <c r="D694" s="77"/>
      <c r="E694" s="77"/>
      <c r="F694" s="77"/>
      <c r="G694" s="77"/>
      <c r="H694" s="77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71"/>
      <c r="B695" s="71"/>
      <c r="C695" s="76"/>
      <c r="D695" s="77"/>
      <c r="E695" s="77"/>
      <c r="F695" s="77"/>
      <c r="G695" s="77"/>
      <c r="H695" s="77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71"/>
      <c r="B696" s="71"/>
      <c r="C696" s="76"/>
      <c r="D696" s="77"/>
      <c r="E696" s="77"/>
      <c r="F696" s="77"/>
      <c r="G696" s="77"/>
      <c r="H696" s="77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71"/>
      <c r="B697" s="71"/>
      <c r="C697" s="76"/>
      <c r="D697" s="77"/>
      <c r="E697" s="77"/>
      <c r="F697" s="77"/>
      <c r="G697" s="77"/>
      <c r="H697" s="77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71"/>
      <c r="B698" s="71"/>
      <c r="C698" s="76"/>
      <c r="D698" s="77"/>
      <c r="E698" s="77"/>
      <c r="F698" s="77"/>
      <c r="G698" s="77"/>
      <c r="H698" s="77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71"/>
      <c r="B699" s="71"/>
      <c r="C699" s="76"/>
      <c r="D699" s="77"/>
      <c r="E699" s="77"/>
      <c r="F699" s="77"/>
      <c r="G699" s="77"/>
      <c r="H699" s="77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71"/>
      <c r="B700" s="71"/>
      <c r="C700" s="76"/>
      <c r="D700" s="77"/>
      <c r="E700" s="77"/>
      <c r="F700" s="77"/>
      <c r="G700" s="77"/>
      <c r="H700" s="77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71"/>
      <c r="B701" s="71"/>
      <c r="C701" s="76"/>
      <c r="D701" s="77"/>
      <c r="E701" s="77"/>
      <c r="F701" s="77"/>
      <c r="G701" s="77"/>
      <c r="H701" s="77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71"/>
      <c r="B702" s="71"/>
      <c r="C702" s="76"/>
      <c r="D702" s="77"/>
      <c r="E702" s="77"/>
      <c r="F702" s="77"/>
      <c r="G702" s="77"/>
      <c r="H702" s="77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71"/>
      <c r="B703" s="71"/>
      <c r="C703" s="76"/>
      <c r="D703" s="77"/>
      <c r="E703" s="77"/>
      <c r="F703" s="77"/>
      <c r="G703" s="77"/>
      <c r="H703" s="77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71"/>
      <c r="B704" s="71"/>
      <c r="C704" s="76"/>
      <c r="D704" s="77"/>
      <c r="E704" s="77"/>
      <c r="F704" s="77"/>
      <c r="G704" s="77"/>
      <c r="H704" s="77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71"/>
      <c r="B705" s="71"/>
      <c r="C705" s="76"/>
      <c r="D705" s="77"/>
      <c r="E705" s="77"/>
      <c r="F705" s="77"/>
      <c r="G705" s="77"/>
      <c r="H705" s="77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71"/>
      <c r="B706" s="71"/>
      <c r="C706" s="76"/>
      <c r="D706" s="77"/>
      <c r="E706" s="77"/>
      <c r="F706" s="77"/>
      <c r="G706" s="77"/>
      <c r="H706" s="77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71"/>
      <c r="B707" s="71"/>
      <c r="C707" s="76"/>
      <c r="D707" s="77"/>
      <c r="E707" s="77"/>
      <c r="F707" s="77"/>
      <c r="G707" s="77"/>
      <c r="H707" s="77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71"/>
      <c r="B708" s="71"/>
      <c r="C708" s="76"/>
      <c r="D708" s="77"/>
      <c r="E708" s="77"/>
      <c r="F708" s="77"/>
      <c r="G708" s="77"/>
      <c r="H708" s="77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71"/>
      <c r="B709" s="71"/>
      <c r="C709" s="76"/>
      <c r="D709" s="77"/>
      <c r="E709" s="77"/>
      <c r="F709" s="77"/>
      <c r="G709" s="77"/>
      <c r="H709" s="77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71"/>
      <c r="B710" s="71"/>
      <c r="C710" s="76"/>
      <c r="D710" s="77"/>
      <c r="E710" s="77"/>
      <c r="F710" s="77"/>
      <c r="G710" s="77"/>
      <c r="H710" s="77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71"/>
      <c r="B711" s="71"/>
      <c r="C711" s="76"/>
      <c r="D711" s="77"/>
      <c r="E711" s="77"/>
      <c r="F711" s="77"/>
      <c r="G711" s="77"/>
      <c r="H711" s="77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71"/>
      <c r="B712" s="71"/>
      <c r="C712" s="76"/>
      <c r="D712" s="77"/>
      <c r="E712" s="77"/>
      <c r="F712" s="77"/>
      <c r="G712" s="77"/>
      <c r="H712" s="77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71"/>
      <c r="B713" s="71"/>
      <c r="C713" s="76"/>
      <c r="D713" s="77"/>
      <c r="E713" s="77"/>
      <c r="F713" s="77"/>
      <c r="G713" s="77"/>
      <c r="H713" s="77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71"/>
      <c r="B714" s="71"/>
      <c r="C714" s="76"/>
      <c r="D714" s="77"/>
      <c r="E714" s="77"/>
      <c r="F714" s="77"/>
      <c r="G714" s="77"/>
      <c r="H714" s="77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71"/>
      <c r="B715" s="71"/>
      <c r="C715" s="76"/>
      <c r="D715" s="77"/>
      <c r="E715" s="77"/>
      <c r="F715" s="77"/>
      <c r="G715" s="77"/>
      <c r="H715" s="77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71"/>
      <c r="B716" s="71"/>
      <c r="C716" s="76"/>
      <c r="D716" s="77"/>
      <c r="E716" s="77"/>
      <c r="F716" s="77"/>
      <c r="G716" s="77"/>
      <c r="H716" s="77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71"/>
      <c r="B717" s="71"/>
      <c r="C717" s="76"/>
      <c r="D717" s="77"/>
      <c r="E717" s="77"/>
      <c r="F717" s="77"/>
      <c r="G717" s="77"/>
      <c r="H717" s="77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71"/>
      <c r="B718" s="71"/>
      <c r="C718" s="76"/>
      <c r="D718" s="77"/>
      <c r="E718" s="77"/>
      <c r="F718" s="77"/>
      <c r="G718" s="77"/>
      <c r="H718" s="77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71"/>
      <c r="B719" s="71"/>
      <c r="C719" s="76"/>
      <c r="D719" s="77"/>
      <c r="E719" s="77"/>
      <c r="F719" s="77"/>
      <c r="G719" s="77"/>
      <c r="H719" s="77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71"/>
      <c r="B720" s="71"/>
      <c r="C720" s="76"/>
      <c r="D720" s="77"/>
      <c r="E720" s="77"/>
      <c r="F720" s="77"/>
      <c r="G720" s="77"/>
      <c r="H720" s="77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71"/>
      <c r="B721" s="71"/>
      <c r="C721" s="76"/>
      <c r="D721" s="77"/>
      <c r="E721" s="77"/>
      <c r="F721" s="77"/>
      <c r="G721" s="77"/>
      <c r="H721" s="77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71"/>
      <c r="B722" s="71"/>
      <c r="C722" s="76"/>
      <c r="D722" s="77"/>
      <c r="E722" s="77"/>
      <c r="F722" s="77"/>
      <c r="G722" s="77"/>
      <c r="H722" s="77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71"/>
      <c r="B723" s="71"/>
      <c r="C723" s="76"/>
      <c r="D723" s="77"/>
      <c r="E723" s="77"/>
      <c r="F723" s="77"/>
      <c r="G723" s="77"/>
      <c r="H723" s="77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71"/>
      <c r="B724" s="71"/>
      <c r="C724" s="76"/>
      <c r="D724" s="77"/>
      <c r="E724" s="77"/>
      <c r="F724" s="77"/>
      <c r="G724" s="77"/>
      <c r="H724" s="77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71"/>
      <c r="B725" s="71"/>
      <c r="C725" s="76"/>
      <c r="D725" s="77"/>
      <c r="E725" s="77"/>
      <c r="F725" s="77"/>
      <c r="G725" s="77"/>
      <c r="H725" s="77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71"/>
      <c r="B726" s="71"/>
      <c r="C726" s="76"/>
      <c r="D726" s="77"/>
      <c r="E726" s="77"/>
      <c r="F726" s="77"/>
      <c r="G726" s="77"/>
      <c r="H726" s="77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71"/>
      <c r="B727" s="71"/>
      <c r="C727" s="76"/>
      <c r="D727" s="77"/>
      <c r="E727" s="77"/>
      <c r="F727" s="77"/>
      <c r="G727" s="77"/>
      <c r="H727" s="77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71"/>
      <c r="B728" s="71"/>
      <c r="C728" s="76"/>
      <c r="D728" s="77"/>
      <c r="E728" s="77"/>
      <c r="F728" s="77"/>
      <c r="G728" s="77"/>
      <c r="H728" s="77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71"/>
      <c r="B729" s="71"/>
      <c r="C729" s="76"/>
      <c r="D729" s="77"/>
      <c r="E729" s="77"/>
      <c r="F729" s="77"/>
      <c r="G729" s="77"/>
      <c r="H729" s="77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71"/>
      <c r="B730" s="71"/>
      <c r="C730" s="76"/>
      <c r="D730" s="77"/>
      <c r="E730" s="77"/>
      <c r="F730" s="77"/>
      <c r="G730" s="77"/>
      <c r="H730" s="77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71"/>
      <c r="B731" s="71"/>
      <c r="C731" s="76"/>
      <c r="D731" s="77"/>
      <c r="E731" s="77"/>
      <c r="F731" s="77"/>
      <c r="G731" s="77"/>
      <c r="H731" s="77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71"/>
      <c r="B732" s="71"/>
      <c r="C732" s="76"/>
      <c r="D732" s="77"/>
      <c r="E732" s="77"/>
      <c r="F732" s="77"/>
      <c r="G732" s="77"/>
      <c r="H732" s="77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71"/>
      <c r="B733" s="71"/>
      <c r="C733" s="76"/>
      <c r="D733" s="77"/>
      <c r="E733" s="77"/>
      <c r="F733" s="77"/>
      <c r="G733" s="77"/>
      <c r="H733" s="77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71"/>
      <c r="B734" s="71"/>
      <c r="C734" s="76"/>
      <c r="D734" s="77"/>
      <c r="E734" s="77"/>
      <c r="F734" s="77"/>
      <c r="G734" s="77"/>
      <c r="H734" s="77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71"/>
      <c r="B735" s="71"/>
      <c r="C735" s="76"/>
      <c r="D735" s="77"/>
      <c r="E735" s="77"/>
      <c r="F735" s="77"/>
      <c r="G735" s="77"/>
      <c r="H735" s="77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71"/>
      <c r="B736" s="71"/>
      <c r="C736" s="76"/>
      <c r="D736" s="77"/>
      <c r="E736" s="77"/>
      <c r="F736" s="77"/>
      <c r="G736" s="77"/>
      <c r="H736" s="77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71"/>
      <c r="B737" s="71"/>
      <c r="C737" s="76"/>
      <c r="D737" s="77"/>
      <c r="E737" s="77"/>
      <c r="F737" s="77"/>
      <c r="G737" s="77"/>
      <c r="H737" s="77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71"/>
      <c r="B738" s="71"/>
      <c r="C738" s="76"/>
      <c r="D738" s="77"/>
      <c r="E738" s="77"/>
      <c r="F738" s="77"/>
      <c r="G738" s="77"/>
      <c r="H738" s="77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71"/>
      <c r="B739" s="71"/>
      <c r="C739" s="76"/>
      <c r="D739" s="77"/>
      <c r="E739" s="77"/>
      <c r="F739" s="77"/>
      <c r="G739" s="77"/>
      <c r="H739" s="77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71"/>
      <c r="B740" s="71"/>
      <c r="C740" s="76"/>
      <c r="D740" s="77"/>
      <c r="E740" s="77"/>
      <c r="F740" s="77"/>
      <c r="G740" s="77"/>
      <c r="H740" s="77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71"/>
      <c r="B741" s="71"/>
      <c r="C741" s="76"/>
      <c r="D741" s="77"/>
      <c r="E741" s="77"/>
      <c r="F741" s="77"/>
      <c r="G741" s="77"/>
      <c r="H741" s="77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71"/>
      <c r="B742" s="71"/>
      <c r="C742" s="76"/>
      <c r="D742" s="77"/>
      <c r="E742" s="77"/>
      <c r="F742" s="77"/>
      <c r="G742" s="77"/>
      <c r="H742" s="77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71"/>
      <c r="B743" s="71"/>
      <c r="C743" s="76"/>
      <c r="D743" s="77"/>
      <c r="E743" s="77"/>
      <c r="F743" s="77"/>
      <c r="G743" s="77"/>
      <c r="H743" s="77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71"/>
      <c r="B744" s="71"/>
      <c r="C744" s="76"/>
      <c r="D744" s="77"/>
      <c r="E744" s="77"/>
      <c r="F744" s="77"/>
      <c r="G744" s="77"/>
      <c r="H744" s="77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71"/>
      <c r="B745" s="71"/>
      <c r="C745" s="76"/>
      <c r="D745" s="77"/>
      <c r="E745" s="77"/>
      <c r="F745" s="77"/>
      <c r="G745" s="77"/>
      <c r="H745" s="77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71"/>
      <c r="B746" s="71"/>
      <c r="C746" s="76"/>
      <c r="D746" s="77"/>
      <c r="E746" s="77"/>
      <c r="F746" s="77"/>
      <c r="G746" s="77"/>
      <c r="H746" s="77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71"/>
      <c r="B747" s="71"/>
      <c r="C747" s="76"/>
      <c r="D747" s="77"/>
      <c r="E747" s="77"/>
      <c r="F747" s="77"/>
      <c r="G747" s="77"/>
      <c r="H747" s="77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71"/>
      <c r="B748" s="71"/>
      <c r="C748" s="76"/>
      <c r="D748" s="77"/>
      <c r="E748" s="77"/>
      <c r="F748" s="77"/>
      <c r="G748" s="77"/>
      <c r="H748" s="77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71"/>
      <c r="B749" s="71"/>
      <c r="C749" s="76"/>
      <c r="D749" s="77"/>
      <c r="E749" s="77"/>
      <c r="F749" s="77"/>
      <c r="G749" s="77"/>
      <c r="H749" s="77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71"/>
      <c r="B750" s="71"/>
      <c r="C750" s="76"/>
      <c r="D750" s="77"/>
      <c r="E750" s="77"/>
      <c r="F750" s="77"/>
      <c r="G750" s="77"/>
      <c r="H750" s="77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71"/>
      <c r="B751" s="71"/>
      <c r="C751" s="76"/>
      <c r="D751" s="77"/>
      <c r="E751" s="77"/>
      <c r="F751" s="77"/>
      <c r="G751" s="77"/>
      <c r="H751" s="77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71"/>
      <c r="B752" s="71"/>
      <c r="C752" s="76"/>
      <c r="D752" s="77"/>
      <c r="E752" s="77"/>
      <c r="F752" s="77"/>
      <c r="G752" s="77"/>
      <c r="H752" s="77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71"/>
      <c r="B753" s="71"/>
      <c r="C753" s="76"/>
      <c r="D753" s="77"/>
      <c r="E753" s="77"/>
      <c r="F753" s="77"/>
      <c r="G753" s="77"/>
      <c r="H753" s="77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71"/>
      <c r="B754" s="71"/>
      <c r="C754" s="76"/>
      <c r="D754" s="77"/>
      <c r="E754" s="77"/>
      <c r="F754" s="77"/>
      <c r="G754" s="77"/>
      <c r="H754" s="77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71"/>
      <c r="B755" s="71"/>
      <c r="C755" s="76"/>
      <c r="D755" s="77"/>
      <c r="E755" s="77"/>
      <c r="F755" s="77"/>
      <c r="G755" s="77"/>
      <c r="H755" s="77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71"/>
      <c r="B756" s="71"/>
      <c r="C756" s="76"/>
      <c r="D756" s="77"/>
      <c r="E756" s="77"/>
      <c r="F756" s="77"/>
      <c r="G756" s="77"/>
      <c r="H756" s="77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71"/>
      <c r="B757" s="71"/>
      <c r="C757" s="76"/>
      <c r="D757" s="77"/>
      <c r="E757" s="77"/>
      <c r="F757" s="77"/>
      <c r="G757" s="77"/>
      <c r="H757" s="77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71"/>
      <c r="B758" s="71"/>
      <c r="C758" s="76"/>
      <c r="D758" s="77"/>
      <c r="E758" s="77"/>
      <c r="F758" s="77"/>
      <c r="G758" s="77"/>
      <c r="H758" s="77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71"/>
      <c r="B759" s="71"/>
      <c r="C759" s="76"/>
      <c r="D759" s="77"/>
      <c r="E759" s="77"/>
      <c r="F759" s="77"/>
      <c r="G759" s="77"/>
      <c r="H759" s="77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71"/>
      <c r="B760" s="71"/>
      <c r="C760" s="76"/>
      <c r="D760" s="77"/>
      <c r="E760" s="77"/>
      <c r="F760" s="77"/>
      <c r="G760" s="77"/>
      <c r="H760" s="77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71"/>
      <c r="B761" s="71"/>
      <c r="C761" s="76"/>
      <c r="D761" s="77"/>
      <c r="E761" s="77"/>
      <c r="F761" s="77"/>
      <c r="G761" s="77"/>
      <c r="H761" s="77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71"/>
      <c r="B762" s="71"/>
      <c r="C762" s="76"/>
      <c r="D762" s="77"/>
      <c r="E762" s="77"/>
      <c r="F762" s="77"/>
      <c r="G762" s="77"/>
      <c r="H762" s="77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71"/>
      <c r="B763" s="71"/>
      <c r="C763" s="76"/>
      <c r="D763" s="77"/>
      <c r="E763" s="77"/>
      <c r="F763" s="77"/>
      <c r="G763" s="77"/>
      <c r="H763" s="77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71"/>
      <c r="B764" s="71"/>
      <c r="C764" s="76"/>
      <c r="D764" s="77"/>
      <c r="E764" s="77"/>
      <c r="F764" s="77"/>
      <c r="G764" s="77"/>
      <c r="H764" s="77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71"/>
      <c r="B765" s="71"/>
      <c r="C765" s="76"/>
      <c r="D765" s="77"/>
      <c r="E765" s="77"/>
      <c r="F765" s="77"/>
      <c r="G765" s="77"/>
      <c r="H765" s="77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71"/>
      <c r="B766" s="71"/>
      <c r="C766" s="76"/>
      <c r="D766" s="77"/>
      <c r="E766" s="77"/>
      <c r="F766" s="77"/>
      <c r="G766" s="77"/>
      <c r="H766" s="77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71"/>
      <c r="B767" s="71"/>
      <c r="C767" s="76"/>
      <c r="D767" s="77"/>
      <c r="E767" s="77"/>
      <c r="F767" s="77"/>
      <c r="G767" s="77"/>
      <c r="H767" s="77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71"/>
      <c r="B768" s="71"/>
      <c r="C768" s="76"/>
      <c r="D768" s="77"/>
      <c r="E768" s="77"/>
      <c r="F768" s="77"/>
      <c r="G768" s="77"/>
      <c r="H768" s="77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71"/>
      <c r="B769" s="71"/>
      <c r="C769" s="76"/>
      <c r="D769" s="77"/>
      <c r="E769" s="77"/>
      <c r="F769" s="77"/>
      <c r="G769" s="77"/>
      <c r="H769" s="77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71"/>
      <c r="B770" s="71"/>
      <c r="C770" s="76"/>
      <c r="D770" s="77"/>
      <c r="E770" s="77"/>
      <c r="F770" s="77"/>
      <c r="G770" s="77"/>
      <c r="H770" s="77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71"/>
      <c r="B771" s="71"/>
      <c r="C771" s="76"/>
      <c r="D771" s="77"/>
      <c r="E771" s="77"/>
      <c r="F771" s="77"/>
      <c r="G771" s="77"/>
      <c r="H771" s="77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71"/>
      <c r="B772" s="71"/>
      <c r="C772" s="76"/>
      <c r="D772" s="77"/>
      <c r="E772" s="77"/>
      <c r="F772" s="77"/>
      <c r="G772" s="77"/>
      <c r="H772" s="77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71"/>
      <c r="B773" s="71"/>
      <c r="C773" s="76"/>
      <c r="D773" s="77"/>
      <c r="E773" s="77"/>
      <c r="F773" s="77"/>
      <c r="G773" s="77"/>
      <c r="H773" s="77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71"/>
      <c r="B774" s="71"/>
      <c r="C774" s="76"/>
      <c r="D774" s="77"/>
      <c r="E774" s="77"/>
      <c r="F774" s="77"/>
      <c r="G774" s="77"/>
      <c r="H774" s="77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71"/>
      <c r="B775" s="71"/>
      <c r="C775" s="76"/>
      <c r="D775" s="77"/>
      <c r="E775" s="77"/>
      <c r="F775" s="77"/>
      <c r="G775" s="77"/>
      <c r="H775" s="77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71"/>
      <c r="B776" s="71"/>
      <c r="C776" s="76"/>
      <c r="D776" s="77"/>
      <c r="E776" s="77"/>
      <c r="F776" s="77"/>
      <c r="G776" s="77"/>
      <c r="H776" s="77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71"/>
      <c r="B777" s="71"/>
      <c r="C777" s="76"/>
      <c r="D777" s="77"/>
      <c r="E777" s="77"/>
      <c r="F777" s="77"/>
      <c r="G777" s="77"/>
      <c r="H777" s="77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71"/>
      <c r="B778" s="71"/>
      <c r="C778" s="76"/>
      <c r="D778" s="77"/>
      <c r="E778" s="77"/>
      <c r="F778" s="77"/>
      <c r="G778" s="77"/>
      <c r="H778" s="77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71"/>
      <c r="B779" s="71"/>
      <c r="C779" s="76"/>
      <c r="D779" s="77"/>
      <c r="E779" s="77"/>
      <c r="F779" s="77"/>
      <c r="G779" s="77"/>
      <c r="H779" s="77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71"/>
      <c r="B780" s="71"/>
      <c r="C780" s="76"/>
      <c r="D780" s="77"/>
      <c r="E780" s="77"/>
      <c r="F780" s="77"/>
      <c r="G780" s="77"/>
      <c r="H780" s="77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71"/>
      <c r="B781" s="71"/>
      <c r="C781" s="76"/>
      <c r="D781" s="77"/>
      <c r="E781" s="77"/>
      <c r="F781" s="77"/>
      <c r="G781" s="77"/>
      <c r="H781" s="77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71"/>
      <c r="B782" s="71"/>
      <c r="C782" s="76"/>
      <c r="D782" s="77"/>
      <c r="E782" s="77"/>
      <c r="F782" s="77"/>
      <c r="G782" s="77"/>
      <c r="H782" s="77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71"/>
      <c r="B783" s="71"/>
      <c r="C783" s="76"/>
      <c r="D783" s="77"/>
      <c r="E783" s="77"/>
      <c r="F783" s="77"/>
      <c r="G783" s="77"/>
      <c r="H783" s="77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71"/>
      <c r="B784" s="71"/>
      <c r="C784" s="76"/>
      <c r="D784" s="77"/>
      <c r="E784" s="77"/>
      <c r="F784" s="77"/>
      <c r="G784" s="77"/>
      <c r="H784" s="77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71"/>
      <c r="B785" s="71"/>
      <c r="C785" s="76"/>
      <c r="D785" s="77"/>
      <c r="E785" s="77"/>
      <c r="F785" s="77"/>
      <c r="G785" s="77"/>
      <c r="H785" s="77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71"/>
      <c r="B786" s="71"/>
      <c r="C786" s="76"/>
      <c r="D786" s="77"/>
      <c r="E786" s="77"/>
      <c r="F786" s="77"/>
      <c r="G786" s="77"/>
      <c r="H786" s="77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71"/>
      <c r="B787" s="71"/>
      <c r="C787" s="76"/>
      <c r="D787" s="77"/>
      <c r="E787" s="77"/>
      <c r="F787" s="77"/>
      <c r="G787" s="77"/>
      <c r="H787" s="77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71"/>
      <c r="B788" s="71"/>
      <c r="C788" s="76"/>
      <c r="D788" s="77"/>
      <c r="E788" s="77"/>
      <c r="F788" s="77"/>
      <c r="G788" s="77"/>
      <c r="H788" s="77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71"/>
      <c r="B789" s="71"/>
      <c r="C789" s="76"/>
      <c r="D789" s="77"/>
      <c r="E789" s="77"/>
      <c r="F789" s="77"/>
      <c r="G789" s="77"/>
      <c r="H789" s="77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71"/>
      <c r="B790" s="71"/>
      <c r="C790" s="76"/>
      <c r="D790" s="77"/>
      <c r="E790" s="77"/>
      <c r="F790" s="77"/>
      <c r="G790" s="77"/>
      <c r="H790" s="77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71"/>
      <c r="B791" s="71"/>
      <c r="C791" s="76"/>
      <c r="D791" s="77"/>
      <c r="E791" s="77"/>
      <c r="F791" s="77"/>
      <c r="G791" s="77"/>
      <c r="H791" s="77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71"/>
      <c r="B792" s="71"/>
      <c r="C792" s="76"/>
      <c r="D792" s="77"/>
      <c r="E792" s="77"/>
      <c r="F792" s="77"/>
      <c r="G792" s="77"/>
      <c r="H792" s="77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71"/>
      <c r="B793" s="71"/>
      <c r="C793" s="76"/>
      <c r="D793" s="77"/>
      <c r="E793" s="77"/>
      <c r="F793" s="77"/>
      <c r="G793" s="77"/>
      <c r="H793" s="77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71"/>
      <c r="B794" s="71"/>
      <c r="C794" s="76"/>
      <c r="D794" s="77"/>
      <c r="E794" s="77"/>
      <c r="F794" s="77"/>
      <c r="G794" s="77"/>
      <c r="H794" s="77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71"/>
      <c r="B795" s="71"/>
      <c r="C795" s="76"/>
      <c r="D795" s="77"/>
      <c r="E795" s="77"/>
      <c r="F795" s="77"/>
      <c r="G795" s="77"/>
      <c r="H795" s="77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71"/>
      <c r="B796" s="71"/>
      <c r="C796" s="76"/>
      <c r="D796" s="77"/>
      <c r="E796" s="77"/>
      <c r="F796" s="77"/>
      <c r="G796" s="77"/>
      <c r="H796" s="77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71"/>
      <c r="B797" s="71"/>
      <c r="C797" s="76"/>
      <c r="D797" s="77"/>
      <c r="E797" s="77"/>
      <c r="F797" s="77"/>
      <c r="G797" s="77"/>
      <c r="H797" s="77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71"/>
      <c r="B798" s="71"/>
      <c r="C798" s="76"/>
      <c r="D798" s="77"/>
      <c r="E798" s="77"/>
      <c r="F798" s="77"/>
      <c r="G798" s="77"/>
      <c r="H798" s="77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71"/>
      <c r="B799" s="71"/>
      <c r="C799" s="76"/>
      <c r="D799" s="77"/>
      <c r="E799" s="77"/>
      <c r="F799" s="77"/>
      <c r="G799" s="77"/>
      <c r="H799" s="77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71"/>
      <c r="B800" s="71"/>
      <c r="C800" s="76"/>
      <c r="D800" s="77"/>
      <c r="E800" s="77"/>
      <c r="F800" s="77"/>
      <c r="G800" s="77"/>
      <c r="H800" s="77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71"/>
      <c r="B801" s="71"/>
      <c r="C801" s="76"/>
      <c r="D801" s="77"/>
      <c r="E801" s="77"/>
      <c r="F801" s="77"/>
      <c r="G801" s="77"/>
      <c r="H801" s="77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71"/>
      <c r="B802" s="71"/>
      <c r="C802" s="76"/>
      <c r="D802" s="77"/>
      <c r="E802" s="77"/>
      <c r="F802" s="77"/>
      <c r="G802" s="77"/>
      <c r="H802" s="77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71"/>
      <c r="B803" s="71"/>
      <c r="C803" s="76"/>
      <c r="D803" s="77"/>
      <c r="E803" s="77"/>
      <c r="F803" s="77"/>
      <c r="G803" s="77"/>
      <c r="H803" s="77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71"/>
      <c r="B804" s="71"/>
      <c r="C804" s="76"/>
      <c r="D804" s="77"/>
      <c r="E804" s="77"/>
      <c r="F804" s="77"/>
      <c r="G804" s="77"/>
      <c r="H804" s="77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71"/>
      <c r="B805" s="71"/>
      <c r="C805" s="76"/>
      <c r="D805" s="77"/>
      <c r="E805" s="77"/>
      <c r="F805" s="77"/>
      <c r="G805" s="77"/>
      <c r="H805" s="77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71"/>
      <c r="B806" s="71"/>
      <c r="C806" s="76"/>
      <c r="D806" s="77"/>
      <c r="E806" s="77"/>
      <c r="F806" s="77"/>
      <c r="G806" s="77"/>
      <c r="H806" s="77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71"/>
      <c r="B807" s="71"/>
      <c r="C807" s="76"/>
      <c r="D807" s="77"/>
      <c r="E807" s="77"/>
      <c r="F807" s="77"/>
      <c r="G807" s="77"/>
      <c r="H807" s="77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71"/>
      <c r="B808" s="71"/>
      <c r="C808" s="76"/>
      <c r="D808" s="77"/>
      <c r="E808" s="77"/>
      <c r="F808" s="77"/>
      <c r="G808" s="77"/>
      <c r="H808" s="77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71"/>
      <c r="B809" s="71"/>
      <c r="C809" s="76"/>
      <c r="D809" s="77"/>
      <c r="E809" s="77"/>
      <c r="F809" s="77"/>
      <c r="G809" s="77"/>
      <c r="H809" s="77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71"/>
      <c r="B810" s="71"/>
      <c r="C810" s="76"/>
      <c r="D810" s="77"/>
      <c r="E810" s="77"/>
      <c r="F810" s="77"/>
      <c r="G810" s="77"/>
      <c r="H810" s="77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71"/>
      <c r="B811" s="71"/>
      <c r="C811" s="76"/>
      <c r="D811" s="77"/>
      <c r="E811" s="77"/>
      <c r="F811" s="77"/>
      <c r="G811" s="77"/>
      <c r="H811" s="77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71"/>
      <c r="B812" s="71"/>
      <c r="C812" s="76"/>
      <c r="D812" s="77"/>
      <c r="E812" s="77"/>
      <c r="F812" s="77"/>
      <c r="G812" s="77"/>
      <c r="H812" s="77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71"/>
      <c r="B813" s="71"/>
      <c r="C813" s="76"/>
      <c r="D813" s="77"/>
      <c r="E813" s="77"/>
      <c r="F813" s="77"/>
      <c r="G813" s="77"/>
      <c r="H813" s="77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71"/>
      <c r="B814" s="71"/>
      <c r="C814" s="76"/>
      <c r="D814" s="77"/>
      <c r="E814" s="77"/>
      <c r="F814" s="77"/>
      <c r="G814" s="77"/>
      <c r="H814" s="77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71"/>
      <c r="B815" s="71"/>
      <c r="C815" s="76"/>
      <c r="D815" s="77"/>
      <c r="E815" s="77"/>
      <c r="F815" s="77"/>
      <c r="G815" s="77"/>
      <c r="H815" s="77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71"/>
      <c r="B816" s="71"/>
      <c r="C816" s="76"/>
      <c r="D816" s="77"/>
      <c r="E816" s="77"/>
      <c r="F816" s="77"/>
      <c r="G816" s="77"/>
      <c r="H816" s="77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71"/>
      <c r="B817" s="71"/>
      <c r="C817" s="76"/>
      <c r="D817" s="77"/>
      <c r="E817" s="77"/>
      <c r="F817" s="77"/>
      <c r="G817" s="77"/>
      <c r="H817" s="77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71"/>
      <c r="B818" s="71"/>
      <c r="C818" s="76"/>
      <c r="D818" s="77"/>
      <c r="E818" s="77"/>
      <c r="F818" s="77"/>
      <c r="G818" s="77"/>
      <c r="H818" s="77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71"/>
      <c r="B819" s="71"/>
      <c r="C819" s="76"/>
      <c r="D819" s="77"/>
      <c r="E819" s="77"/>
      <c r="F819" s="77"/>
      <c r="G819" s="77"/>
      <c r="H819" s="77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71"/>
      <c r="B820" s="71"/>
      <c r="C820" s="76"/>
      <c r="D820" s="77"/>
      <c r="E820" s="77"/>
      <c r="F820" s="77"/>
      <c r="G820" s="77"/>
      <c r="H820" s="77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71"/>
      <c r="B821" s="71"/>
      <c r="C821" s="76"/>
      <c r="D821" s="77"/>
      <c r="E821" s="77"/>
      <c r="F821" s="77"/>
      <c r="G821" s="77"/>
      <c r="H821" s="77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71"/>
      <c r="B822" s="71"/>
      <c r="C822" s="76"/>
      <c r="D822" s="77"/>
      <c r="E822" s="77"/>
      <c r="F822" s="77"/>
      <c r="G822" s="77"/>
      <c r="H822" s="77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71"/>
      <c r="B823" s="71"/>
      <c r="C823" s="76"/>
      <c r="D823" s="77"/>
      <c r="E823" s="77"/>
      <c r="F823" s="77"/>
      <c r="G823" s="77"/>
      <c r="H823" s="77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71"/>
      <c r="B824" s="71"/>
      <c r="C824" s="76"/>
      <c r="D824" s="77"/>
      <c r="E824" s="77"/>
      <c r="F824" s="77"/>
      <c r="G824" s="77"/>
      <c r="H824" s="77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71"/>
      <c r="B825" s="71"/>
      <c r="C825" s="76"/>
      <c r="D825" s="77"/>
      <c r="E825" s="77"/>
      <c r="F825" s="77"/>
      <c r="G825" s="77"/>
      <c r="H825" s="77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71"/>
      <c r="B826" s="71"/>
      <c r="C826" s="76"/>
      <c r="D826" s="77"/>
      <c r="E826" s="77"/>
      <c r="F826" s="77"/>
      <c r="G826" s="77"/>
      <c r="H826" s="77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71"/>
      <c r="B827" s="71"/>
      <c r="C827" s="76"/>
      <c r="D827" s="77"/>
      <c r="E827" s="77"/>
      <c r="F827" s="77"/>
      <c r="G827" s="77"/>
      <c r="H827" s="77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71"/>
      <c r="B828" s="71"/>
      <c r="C828" s="76"/>
      <c r="D828" s="77"/>
      <c r="E828" s="77"/>
      <c r="F828" s="77"/>
      <c r="G828" s="77"/>
      <c r="H828" s="77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71"/>
      <c r="B829" s="71"/>
      <c r="C829" s="76"/>
      <c r="D829" s="77"/>
      <c r="E829" s="77"/>
      <c r="F829" s="77"/>
      <c r="G829" s="77"/>
      <c r="H829" s="77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71"/>
      <c r="B830" s="71"/>
      <c r="C830" s="76"/>
      <c r="D830" s="77"/>
      <c r="E830" s="77"/>
      <c r="F830" s="77"/>
      <c r="G830" s="77"/>
      <c r="H830" s="77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71"/>
      <c r="B831" s="71"/>
      <c r="C831" s="76"/>
      <c r="D831" s="77"/>
      <c r="E831" s="77"/>
      <c r="F831" s="77"/>
      <c r="G831" s="77"/>
      <c r="H831" s="77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71"/>
      <c r="B832" s="71"/>
      <c r="C832" s="76"/>
      <c r="D832" s="77"/>
      <c r="E832" s="77"/>
      <c r="F832" s="77"/>
      <c r="G832" s="77"/>
      <c r="H832" s="77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71"/>
      <c r="B833" s="71"/>
      <c r="C833" s="76"/>
      <c r="D833" s="77"/>
      <c r="E833" s="77"/>
      <c r="F833" s="77"/>
      <c r="G833" s="77"/>
      <c r="H833" s="77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71"/>
      <c r="B834" s="71"/>
      <c r="C834" s="76"/>
      <c r="D834" s="77"/>
      <c r="E834" s="77"/>
      <c r="F834" s="77"/>
      <c r="G834" s="77"/>
      <c r="H834" s="77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71"/>
      <c r="B835" s="71"/>
      <c r="C835" s="76"/>
      <c r="D835" s="77"/>
      <c r="E835" s="77"/>
      <c r="F835" s="77"/>
      <c r="G835" s="77"/>
      <c r="H835" s="77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71"/>
      <c r="B836" s="71"/>
      <c r="C836" s="76"/>
      <c r="D836" s="77"/>
      <c r="E836" s="77"/>
      <c r="F836" s="77"/>
      <c r="G836" s="77"/>
      <c r="H836" s="77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71"/>
      <c r="B837" s="71"/>
      <c r="C837" s="76"/>
      <c r="D837" s="77"/>
      <c r="E837" s="77"/>
      <c r="F837" s="77"/>
      <c r="G837" s="77"/>
      <c r="H837" s="77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71"/>
      <c r="B838" s="71"/>
      <c r="C838" s="76"/>
      <c r="D838" s="77"/>
      <c r="E838" s="77"/>
      <c r="F838" s="77"/>
      <c r="G838" s="77"/>
      <c r="H838" s="77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71"/>
      <c r="B839" s="71"/>
      <c r="C839" s="76"/>
      <c r="D839" s="77"/>
      <c r="E839" s="77"/>
      <c r="F839" s="77"/>
      <c r="G839" s="77"/>
      <c r="H839" s="77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71"/>
      <c r="B840" s="71"/>
      <c r="C840" s="76"/>
      <c r="D840" s="77"/>
      <c r="E840" s="77"/>
      <c r="F840" s="77"/>
      <c r="G840" s="77"/>
      <c r="H840" s="77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71"/>
      <c r="B841" s="71"/>
      <c r="C841" s="76"/>
      <c r="D841" s="77"/>
      <c r="E841" s="77"/>
      <c r="F841" s="77"/>
      <c r="G841" s="77"/>
      <c r="H841" s="77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71"/>
      <c r="B842" s="71"/>
      <c r="C842" s="76"/>
      <c r="D842" s="77"/>
      <c r="E842" s="77"/>
      <c r="F842" s="77"/>
      <c r="G842" s="77"/>
      <c r="H842" s="77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71"/>
      <c r="B843" s="71"/>
      <c r="C843" s="76"/>
      <c r="D843" s="77"/>
      <c r="E843" s="77"/>
      <c r="F843" s="77"/>
      <c r="G843" s="77"/>
      <c r="H843" s="77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71"/>
      <c r="B844" s="71"/>
      <c r="C844" s="76"/>
      <c r="D844" s="77"/>
      <c r="E844" s="77"/>
      <c r="F844" s="77"/>
      <c r="G844" s="77"/>
      <c r="H844" s="77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71"/>
      <c r="B845" s="71"/>
      <c r="C845" s="76"/>
      <c r="D845" s="77"/>
      <c r="E845" s="77"/>
      <c r="F845" s="77"/>
      <c r="G845" s="77"/>
      <c r="H845" s="77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71"/>
      <c r="B846" s="71"/>
      <c r="C846" s="76"/>
      <c r="D846" s="77"/>
      <c r="E846" s="77"/>
      <c r="F846" s="77"/>
      <c r="G846" s="77"/>
      <c r="H846" s="77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71"/>
      <c r="B847" s="71"/>
      <c r="C847" s="76"/>
      <c r="D847" s="77"/>
      <c r="E847" s="77"/>
      <c r="F847" s="77"/>
      <c r="G847" s="77"/>
      <c r="H847" s="77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71"/>
      <c r="B848" s="71"/>
      <c r="C848" s="76"/>
      <c r="D848" s="77"/>
      <c r="E848" s="77"/>
      <c r="F848" s="77"/>
      <c r="G848" s="77"/>
      <c r="H848" s="77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71"/>
      <c r="B849" s="71"/>
      <c r="C849" s="76"/>
      <c r="D849" s="77"/>
      <c r="E849" s="77"/>
      <c r="F849" s="77"/>
      <c r="G849" s="77"/>
      <c r="H849" s="77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71"/>
      <c r="B850" s="71"/>
      <c r="C850" s="76"/>
      <c r="D850" s="77"/>
      <c r="E850" s="77"/>
      <c r="F850" s="77"/>
      <c r="G850" s="77"/>
      <c r="H850" s="77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71"/>
      <c r="B851" s="71"/>
      <c r="C851" s="76"/>
      <c r="D851" s="77"/>
      <c r="E851" s="77"/>
      <c r="F851" s="77"/>
      <c r="G851" s="77"/>
      <c r="H851" s="77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71"/>
      <c r="B852" s="71"/>
      <c r="C852" s="76"/>
      <c r="D852" s="77"/>
      <c r="E852" s="77"/>
      <c r="F852" s="77"/>
      <c r="G852" s="77"/>
      <c r="H852" s="77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71"/>
      <c r="B853" s="71"/>
      <c r="C853" s="76"/>
      <c r="D853" s="77"/>
      <c r="E853" s="77"/>
      <c r="F853" s="77"/>
      <c r="G853" s="77"/>
      <c r="H853" s="77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71"/>
      <c r="B854" s="71"/>
      <c r="C854" s="76"/>
      <c r="D854" s="77"/>
      <c r="E854" s="77"/>
      <c r="F854" s="77"/>
      <c r="G854" s="77"/>
      <c r="H854" s="77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71"/>
      <c r="B855" s="71"/>
      <c r="C855" s="76"/>
      <c r="D855" s="77"/>
      <c r="E855" s="77"/>
      <c r="F855" s="77"/>
      <c r="G855" s="77"/>
      <c r="H855" s="77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71"/>
      <c r="B856" s="71"/>
      <c r="C856" s="76"/>
      <c r="D856" s="77"/>
      <c r="E856" s="77"/>
      <c r="F856" s="77"/>
      <c r="G856" s="77"/>
      <c r="H856" s="77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71"/>
      <c r="B857" s="71"/>
      <c r="C857" s="76"/>
      <c r="D857" s="77"/>
      <c r="E857" s="77"/>
      <c r="F857" s="77"/>
      <c r="G857" s="77"/>
      <c r="H857" s="77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71"/>
      <c r="B858" s="71"/>
      <c r="C858" s="76"/>
      <c r="D858" s="77"/>
      <c r="E858" s="77"/>
      <c r="F858" s="77"/>
      <c r="G858" s="77"/>
      <c r="H858" s="77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71"/>
      <c r="B859" s="71"/>
      <c r="C859" s="76"/>
      <c r="D859" s="77"/>
      <c r="E859" s="77"/>
      <c r="F859" s="77"/>
      <c r="G859" s="77"/>
      <c r="H859" s="77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71"/>
      <c r="B860" s="71"/>
      <c r="C860" s="76"/>
      <c r="D860" s="77"/>
      <c r="E860" s="77"/>
      <c r="F860" s="77"/>
      <c r="G860" s="77"/>
      <c r="H860" s="77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71"/>
      <c r="B861" s="71"/>
      <c r="C861" s="76"/>
      <c r="D861" s="77"/>
      <c r="E861" s="77"/>
      <c r="F861" s="77"/>
      <c r="G861" s="77"/>
      <c r="H861" s="77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71"/>
      <c r="B862" s="71"/>
      <c r="C862" s="76"/>
      <c r="D862" s="77"/>
      <c r="E862" s="77"/>
      <c r="F862" s="77"/>
      <c r="G862" s="77"/>
      <c r="H862" s="77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71"/>
      <c r="B863" s="71"/>
      <c r="C863" s="76"/>
      <c r="D863" s="77"/>
      <c r="E863" s="77"/>
      <c r="F863" s="77"/>
      <c r="G863" s="77"/>
      <c r="H863" s="77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71"/>
      <c r="B864" s="71"/>
      <c r="C864" s="76"/>
      <c r="D864" s="77"/>
      <c r="E864" s="77"/>
      <c r="F864" s="77"/>
      <c r="G864" s="77"/>
      <c r="H864" s="77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71"/>
      <c r="B865" s="71"/>
      <c r="C865" s="76"/>
      <c r="D865" s="77"/>
      <c r="E865" s="77"/>
      <c r="F865" s="77"/>
      <c r="G865" s="77"/>
      <c r="H865" s="77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71"/>
      <c r="B866" s="71"/>
      <c r="C866" s="76"/>
      <c r="D866" s="77"/>
      <c r="E866" s="77"/>
      <c r="F866" s="77"/>
      <c r="G866" s="77"/>
      <c r="H866" s="77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71"/>
      <c r="B867" s="71"/>
      <c r="C867" s="76"/>
      <c r="D867" s="77"/>
      <c r="E867" s="77"/>
      <c r="F867" s="77"/>
      <c r="G867" s="77"/>
      <c r="H867" s="77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71"/>
      <c r="B868" s="71"/>
      <c r="C868" s="76"/>
      <c r="D868" s="77"/>
      <c r="E868" s="77"/>
      <c r="F868" s="77"/>
      <c r="G868" s="77"/>
      <c r="H868" s="77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71"/>
      <c r="B869" s="71"/>
      <c r="C869" s="76"/>
      <c r="D869" s="77"/>
      <c r="E869" s="77"/>
      <c r="F869" s="77"/>
      <c r="G869" s="77"/>
      <c r="H869" s="77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71"/>
      <c r="B870" s="71"/>
      <c r="C870" s="76"/>
      <c r="D870" s="77"/>
      <c r="E870" s="77"/>
      <c r="F870" s="77"/>
      <c r="G870" s="77"/>
      <c r="H870" s="77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71"/>
      <c r="B871" s="71"/>
      <c r="C871" s="76"/>
      <c r="D871" s="77"/>
      <c r="E871" s="77"/>
      <c r="F871" s="77"/>
      <c r="G871" s="77"/>
      <c r="H871" s="77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71"/>
      <c r="B872" s="71"/>
      <c r="C872" s="76"/>
      <c r="D872" s="77"/>
      <c r="E872" s="77"/>
      <c r="F872" s="77"/>
      <c r="G872" s="77"/>
      <c r="H872" s="77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71"/>
      <c r="B873" s="71"/>
      <c r="C873" s="76"/>
      <c r="D873" s="77"/>
      <c r="E873" s="77"/>
      <c r="F873" s="77"/>
      <c r="G873" s="77"/>
      <c r="H873" s="77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71"/>
      <c r="B874" s="71"/>
      <c r="C874" s="76"/>
      <c r="D874" s="77"/>
      <c r="E874" s="77"/>
      <c r="F874" s="77"/>
      <c r="G874" s="77"/>
      <c r="H874" s="77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71"/>
      <c r="B875" s="71"/>
      <c r="C875" s="76"/>
      <c r="D875" s="77"/>
      <c r="E875" s="77"/>
      <c r="F875" s="77"/>
      <c r="G875" s="77"/>
      <c r="H875" s="77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71"/>
      <c r="B876" s="71"/>
      <c r="C876" s="76"/>
      <c r="D876" s="77"/>
      <c r="E876" s="77"/>
      <c r="F876" s="77"/>
      <c r="G876" s="77"/>
      <c r="H876" s="77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71"/>
      <c r="B877" s="71"/>
      <c r="C877" s="76"/>
      <c r="D877" s="77"/>
      <c r="E877" s="77"/>
      <c r="F877" s="77"/>
      <c r="G877" s="77"/>
      <c r="H877" s="77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71"/>
      <c r="B878" s="71"/>
      <c r="C878" s="76"/>
      <c r="D878" s="77"/>
      <c r="E878" s="77"/>
      <c r="F878" s="77"/>
      <c r="G878" s="77"/>
      <c r="H878" s="77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71"/>
      <c r="B879" s="71"/>
      <c r="C879" s="76"/>
      <c r="D879" s="77"/>
      <c r="E879" s="77"/>
      <c r="F879" s="77"/>
      <c r="G879" s="77"/>
      <c r="H879" s="77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71"/>
      <c r="B880" s="71"/>
      <c r="C880" s="76"/>
      <c r="D880" s="77"/>
      <c r="E880" s="77"/>
      <c r="F880" s="77"/>
      <c r="G880" s="77"/>
      <c r="H880" s="77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71"/>
      <c r="B881" s="71"/>
      <c r="C881" s="76"/>
      <c r="D881" s="77"/>
      <c r="E881" s="77"/>
      <c r="F881" s="77"/>
      <c r="G881" s="77"/>
      <c r="H881" s="77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71"/>
      <c r="B882" s="71"/>
      <c r="C882" s="76"/>
      <c r="D882" s="77"/>
      <c r="E882" s="77"/>
      <c r="F882" s="77"/>
      <c r="G882" s="77"/>
      <c r="H882" s="77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71"/>
      <c r="B883" s="71"/>
      <c r="C883" s="76"/>
      <c r="D883" s="77"/>
      <c r="E883" s="77"/>
      <c r="F883" s="77"/>
      <c r="G883" s="77"/>
      <c r="H883" s="77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71"/>
      <c r="B884" s="71"/>
      <c r="C884" s="76"/>
      <c r="D884" s="77"/>
      <c r="E884" s="77"/>
      <c r="F884" s="77"/>
      <c r="G884" s="77"/>
      <c r="H884" s="77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71"/>
      <c r="B885" s="71"/>
      <c r="C885" s="76"/>
      <c r="D885" s="77"/>
      <c r="E885" s="77"/>
      <c r="F885" s="77"/>
      <c r="G885" s="77"/>
      <c r="H885" s="77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71"/>
      <c r="B886" s="71"/>
      <c r="C886" s="76"/>
      <c r="D886" s="77"/>
      <c r="E886" s="77"/>
      <c r="F886" s="77"/>
      <c r="G886" s="77"/>
      <c r="H886" s="77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71"/>
      <c r="B887" s="71"/>
      <c r="C887" s="76"/>
      <c r="D887" s="77"/>
      <c r="E887" s="77"/>
      <c r="F887" s="77"/>
      <c r="G887" s="77"/>
      <c r="H887" s="77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71"/>
      <c r="B888" s="71"/>
      <c r="C888" s="76"/>
      <c r="D888" s="77"/>
      <c r="E888" s="77"/>
      <c r="F888" s="77"/>
      <c r="G888" s="77"/>
      <c r="H888" s="77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71"/>
      <c r="B889" s="71"/>
      <c r="C889" s="76"/>
      <c r="D889" s="77"/>
      <c r="E889" s="77"/>
      <c r="F889" s="77"/>
      <c r="G889" s="77"/>
      <c r="H889" s="77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71"/>
      <c r="B890" s="71"/>
      <c r="C890" s="76"/>
      <c r="D890" s="77"/>
      <c r="E890" s="77"/>
      <c r="F890" s="77"/>
      <c r="G890" s="77"/>
      <c r="H890" s="77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71"/>
      <c r="B891" s="71"/>
      <c r="C891" s="76"/>
      <c r="D891" s="77"/>
      <c r="E891" s="77"/>
      <c r="F891" s="77"/>
      <c r="G891" s="77"/>
      <c r="H891" s="77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71"/>
      <c r="B892" s="71"/>
      <c r="C892" s="76"/>
      <c r="D892" s="77"/>
      <c r="E892" s="77"/>
      <c r="F892" s="77"/>
      <c r="G892" s="77"/>
      <c r="H892" s="77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71"/>
      <c r="B893" s="71"/>
      <c r="C893" s="76"/>
      <c r="D893" s="77"/>
      <c r="E893" s="77"/>
      <c r="F893" s="77"/>
      <c r="G893" s="77"/>
      <c r="H893" s="77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71"/>
      <c r="B894" s="71"/>
      <c r="C894" s="76"/>
      <c r="D894" s="77"/>
      <c r="E894" s="77"/>
      <c r="F894" s="77"/>
      <c r="G894" s="77"/>
      <c r="H894" s="77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71"/>
      <c r="B895" s="71"/>
      <c r="C895" s="76"/>
      <c r="D895" s="77"/>
      <c r="E895" s="77"/>
      <c r="F895" s="77"/>
      <c r="G895" s="77"/>
      <c r="H895" s="77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71"/>
      <c r="B896" s="71"/>
      <c r="C896" s="76"/>
      <c r="D896" s="77"/>
      <c r="E896" s="77"/>
      <c r="F896" s="77"/>
      <c r="G896" s="77"/>
      <c r="H896" s="77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71"/>
      <c r="B897" s="71"/>
      <c r="C897" s="76"/>
      <c r="D897" s="77"/>
      <c r="E897" s="77"/>
      <c r="F897" s="77"/>
      <c r="G897" s="77"/>
      <c r="H897" s="77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71"/>
      <c r="B898" s="71"/>
      <c r="C898" s="76"/>
      <c r="D898" s="77"/>
      <c r="E898" s="77"/>
      <c r="F898" s="77"/>
      <c r="G898" s="77"/>
      <c r="H898" s="77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71"/>
      <c r="B899" s="71"/>
      <c r="C899" s="76"/>
      <c r="D899" s="77"/>
      <c r="E899" s="77"/>
      <c r="F899" s="77"/>
      <c r="G899" s="77"/>
      <c r="H899" s="77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71"/>
      <c r="B900" s="71"/>
      <c r="C900" s="76"/>
      <c r="D900" s="77"/>
      <c r="E900" s="77"/>
      <c r="F900" s="77"/>
      <c r="G900" s="77"/>
      <c r="H900" s="77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71"/>
      <c r="B901" s="71"/>
      <c r="C901" s="76"/>
      <c r="D901" s="77"/>
      <c r="E901" s="77"/>
      <c r="F901" s="77"/>
      <c r="G901" s="77"/>
      <c r="H901" s="77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71"/>
      <c r="B902" s="71"/>
      <c r="C902" s="76"/>
      <c r="D902" s="77"/>
      <c r="E902" s="77"/>
      <c r="F902" s="77"/>
      <c r="G902" s="77"/>
      <c r="H902" s="77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71"/>
      <c r="B903" s="71"/>
      <c r="C903" s="76"/>
      <c r="D903" s="77"/>
      <c r="E903" s="77"/>
      <c r="F903" s="77"/>
      <c r="G903" s="77"/>
      <c r="H903" s="77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71"/>
      <c r="B904" s="71"/>
      <c r="C904" s="76"/>
      <c r="D904" s="77"/>
      <c r="E904" s="77"/>
      <c r="F904" s="77"/>
      <c r="G904" s="77"/>
      <c r="H904" s="77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71"/>
      <c r="B905" s="71"/>
      <c r="C905" s="76"/>
      <c r="D905" s="77"/>
      <c r="E905" s="77"/>
      <c r="F905" s="77"/>
      <c r="G905" s="77"/>
      <c r="H905" s="77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71"/>
      <c r="B906" s="71"/>
      <c r="C906" s="76"/>
      <c r="D906" s="77"/>
      <c r="E906" s="77"/>
      <c r="F906" s="77"/>
      <c r="G906" s="77"/>
      <c r="H906" s="77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71"/>
      <c r="B907" s="71"/>
      <c r="C907" s="76"/>
      <c r="D907" s="77"/>
      <c r="E907" s="77"/>
      <c r="F907" s="77"/>
      <c r="G907" s="77"/>
      <c r="H907" s="77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71"/>
      <c r="B908" s="71"/>
      <c r="C908" s="76"/>
      <c r="D908" s="77"/>
      <c r="E908" s="77"/>
      <c r="F908" s="77"/>
      <c r="G908" s="77"/>
      <c r="H908" s="77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71"/>
      <c r="B909" s="71"/>
      <c r="C909" s="76"/>
      <c r="D909" s="77"/>
      <c r="E909" s="77"/>
      <c r="F909" s="77"/>
      <c r="G909" s="77"/>
      <c r="H909" s="77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71"/>
      <c r="B910" s="71"/>
      <c r="C910" s="76"/>
      <c r="D910" s="77"/>
      <c r="E910" s="77"/>
      <c r="F910" s="77"/>
      <c r="G910" s="77"/>
      <c r="H910" s="77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71"/>
      <c r="B911" s="71"/>
      <c r="C911" s="76"/>
      <c r="D911" s="77"/>
      <c r="E911" s="77"/>
      <c r="F911" s="77"/>
      <c r="G911" s="77"/>
      <c r="H911" s="77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71"/>
      <c r="B912" s="71"/>
      <c r="C912" s="76"/>
      <c r="D912" s="77"/>
      <c r="E912" s="77"/>
      <c r="F912" s="77"/>
      <c r="G912" s="77"/>
      <c r="H912" s="77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71"/>
      <c r="B913" s="71"/>
      <c r="C913" s="76"/>
      <c r="D913" s="77"/>
      <c r="E913" s="77"/>
      <c r="F913" s="77"/>
      <c r="G913" s="77"/>
      <c r="H913" s="77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71"/>
      <c r="B914" s="71"/>
      <c r="C914" s="76"/>
      <c r="D914" s="77"/>
      <c r="E914" s="77"/>
      <c r="F914" s="77"/>
      <c r="G914" s="77"/>
      <c r="H914" s="77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71"/>
      <c r="B915" s="71"/>
      <c r="C915" s="76"/>
      <c r="D915" s="77"/>
      <c r="E915" s="77"/>
      <c r="F915" s="77"/>
      <c r="G915" s="77"/>
      <c r="H915" s="77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71"/>
      <c r="B916" s="71"/>
      <c r="C916" s="76"/>
      <c r="D916" s="77"/>
      <c r="E916" s="77"/>
      <c r="F916" s="77"/>
      <c r="G916" s="77"/>
      <c r="H916" s="77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71"/>
      <c r="B917" s="71"/>
      <c r="C917" s="76"/>
      <c r="D917" s="77"/>
      <c r="E917" s="77"/>
      <c r="F917" s="77"/>
      <c r="G917" s="77"/>
      <c r="H917" s="77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71"/>
      <c r="B918" s="71"/>
      <c r="C918" s="76"/>
      <c r="D918" s="77"/>
      <c r="E918" s="77"/>
      <c r="F918" s="77"/>
      <c r="G918" s="77"/>
      <c r="H918" s="77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71"/>
      <c r="B919" s="71"/>
      <c r="C919" s="76"/>
      <c r="D919" s="77"/>
      <c r="E919" s="77"/>
      <c r="F919" s="77"/>
      <c r="G919" s="77"/>
      <c r="H919" s="77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71"/>
      <c r="B920" s="71"/>
      <c r="C920" s="76"/>
      <c r="D920" s="77"/>
      <c r="E920" s="77"/>
      <c r="F920" s="77"/>
      <c r="G920" s="77"/>
      <c r="H920" s="77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71"/>
      <c r="B921" s="71"/>
      <c r="C921" s="76"/>
      <c r="D921" s="77"/>
      <c r="E921" s="77"/>
      <c r="F921" s="77"/>
      <c r="G921" s="77"/>
      <c r="H921" s="77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71"/>
      <c r="B922" s="71"/>
      <c r="C922" s="76"/>
      <c r="D922" s="77"/>
      <c r="E922" s="77"/>
      <c r="F922" s="77"/>
      <c r="G922" s="77"/>
      <c r="H922" s="77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71"/>
      <c r="B923" s="71"/>
      <c r="C923" s="76"/>
      <c r="D923" s="77"/>
      <c r="E923" s="77"/>
      <c r="F923" s="77"/>
      <c r="G923" s="77"/>
      <c r="H923" s="77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71"/>
      <c r="B924" s="71"/>
      <c r="C924" s="76"/>
      <c r="D924" s="77"/>
      <c r="E924" s="77"/>
      <c r="F924" s="77"/>
      <c r="G924" s="77"/>
      <c r="H924" s="77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71"/>
      <c r="B925" s="71"/>
      <c r="C925" s="76"/>
      <c r="D925" s="77"/>
      <c r="E925" s="77"/>
      <c r="F925" s="77"/>
      <c r="G925" s="77"/>
      <c r="H925" s="77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71"/>
      <c r="B926" s="71"/>
      <c r="C926" s="76"/>
      <c r="D926" s="77"/>
      <c r="E926" s="77"/>
      <c r="F926" s="77"/>
      <c r="G926" s="77"/>
      <c r="H926" s="77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71"/>
      <c r="B927" s="71"/>
      <c r="C927" s="76"/>
      <c r="D927" s="77"/>
      <c r="E927" s="77"/>
      <c r="F927" s="77"/>
      <c r="G927" s="77"/>
      <c r="H927" s="77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71"/>
      <c r="B928" s="71"/>
      <c r="C928" s="76"/>
      <c r="D928" s="77"/>
      <c r="E928" s="77"/>
      <c r="F928" s="77"/>
      <c r="G928" s="77"/>
      <c r="H928" s="77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71"/>
      <c r="B929" s="71"/>
      <c r="C929" s="76"/>
      <c r="D929" s="77"/>
      <c r="E929" s="77"/>
      <c r="F929" s="77"/>
      <c r="G929" s="77"/>
      <c r="H929" s="77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71"/>
      <c r="B930" s="71"/>
      <c r="C930" s="76"/>
      <c r="D930" s="77"/>
      <c r="E930" s="77"/>
      <c r="F930" s="77"/>
      <c r="G930" s="77"/>
      <c r="H930" s="77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71"/>
      <c r="B931" s="71"/>
      <c r="C931" s="76"/>
      <c r="D931" s="77"/>
      <c r="E931" s="77"/>
      <c r="F931" s="77"/>
      <c r="G931" s="77"/>
      <c r="H931" s="77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71"/>
      <c r="B932" s="71"/>
      <c r="C932" s="76"/>
      <c r="D932" s="77"/>
      <c r="E932" s="77"/>
      <c r="F932" s="77"/>
      <c r="G932" s="77"/>
      <c r="H932" s="77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71"/>
      <c r="B933" s="71"/>
      <c r="C933" s="76"/>
      <c r="D933" s="77"/>
      <c r="E933" s="77"/>
      <c r="F933" s="77"/>
      <c r="G933" s="77"/>
      <c r="H933" s="77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71"/>
      <c r="B934" s="71"/>
      <c r="C934" s="76"/>
      <c r="D934" s="77"/>
      <c r="E934" s="77"/>
      <c r="F934" s="77"/>
      <c r="G934" s="77"/>
      <c r="H934" s="77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71"/>
      <c r="B935" s="71"/>
      <c r="C935" s="76"/>
      <c r="D935" s="77"/>
      <c r="E935" s="77"/>
      <c r="F935" s="77"/>
      <c r="G935" s="77"/>
      <c r="H935" s="77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71"/>
      <c r="B936" s="71"/>
      <c r="C936" s="76"/>
      <c r="D936" s="77"/>
      <c r="E936" s="77"/>
      <c r="F936" s="77"/>
      <c r="G936" s="77"/>
      <c r="H936" s="77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71"/>
      <c r="B937" s="71"/>
      <c r="C937" s="76"/>
      <c r="D937" s="77"/>
      <c r="E937" s="77"/>
      <c r="F937" s="77"/>
      <c r="G937" s="77"/>
      <c r="H937" s="77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71"/>
      <c r="B938" s="71"/>
      <c r="C938" s="76"/>
      <c r="D938" s="77"/>
      <c r="E938" s="77"/>
      <c r="F938" s="77"/>
      <c r="G938" s="77"/>
      <c r="H938" s="77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71"/>
      <c r="B939" s="71"/>
      <c r="C939" s="76"/>
      <c r="D939" s="77"/>
      <c r="E939" s="77"/>
      <c r="F939" s="77"/>
      <c r="G939" s="77"/>
      <c r="H939" s="77"/>
      <c r="I939" s="4"/>
      <c r="J939" s="4"/>
      <c r="K939" s="4"/>
      <c r="L939" s="4"/>
      <c r="M939" s="4"/>
      <c r="N939" s="4"/>
      <c r="O939" s="4"/>
      <c r="P939" s="4"/>
      <c r="Q939" s="4"/>
      <c r="R939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23.88"/>
    <col customWidth="1" min="3" max="3" width="27.63"/>
    <col customWidth="1" min="6" max="6" width="23.63"/>
  </cols>
  <sheetData>
    <row r="1">
      <c r="A1" s="4"/>
      <c r="B1" s="4"/>
      <c r="C1" s="69"/>
      <c r="D1" s="70"/>
      <c r="E1" s="70"/>
      <c r="F1" s="70"/>
      <c r="G1" s="70"/>
      <c r="H1" s="70"/>
      <c r="I1" s="4"/>
      <c r="J1" s="4"/>
      <c r="K1" s="4"/>
      <c r="L1" s="4"/>
      <c r="M1" s="4"/>
      <c r="N1" s="4"/>
      <c r="O1" s="4"/>
      <c r="P1" s="4"/>
      <c r="Q1" s="4"/>
      <c r="R1" s="4"/>
    </row>
    <row r="2">
      <c r="A2" s="71"/>
      <c r="B2" s="72" t="s">
        <v>1287</v>
      </c>
      <c r="C2" s="73" t="s">
        <v>1307</v>
      </c>
      <c r="D2" s="74" t="s">
        <v>1308</v>
      </c>
      <c r="E2" s="74" t="s">
        <v>1290</v>
      </c>
      <c r="F2" s="74" t="s">
        <v>1291</v>
      </c>
      <c r="G2" s="74" t="s">
        <v>1292</v>
      </c>
      <c r="H2" s="74" t="s">
        <v>1293</v>
      </c>
      <c r="I2" s="75" t="s">
        <v>1294</v>
      </c>
      <c r="J2" s="75" t="s">
        <v>1295</v>
      </c>
      <c r="K2" s="75" t="s">
        <v>1296</v>
      </c>
      <c r="L2" s="75" t="s">
        <v>1297</v>
      </c>
      <c r="M2" s="75" t="s">
        <v>1298</v>
      </c>
      <c r="N2" s="75" t="s">
        <v>1299</v>
      </c>
      <c r="O2" s="75" t="s">
        <v>1300</v>
      </c>
      <c r="P2" s="75" t="s">
        <v>1301</v>
      </c>
      <c r="Q2" s="75" t="s">
        <v>1302</v>
      </c>
      <c r="R2" s="75" t="s">
        <v>1303</v>
      </c>
    </row>
    <row r="3">
      <c r="A3" s="4"/>
      <c r="B3" s="4"/>
      <c r="C3" s="76"/>
      <c r="D3" s="77"/>
      <c r="E3" s="77"/>
      <c r="F3" s="77"/>
      <c r="G3" s="77"/>
      <c r="H3" s="77"/>
      <c r="I3" s="4"/>
      <c r="J3" s="4"/>
      <c r="K3" s="4"/>
      <c r="L3" s="4"/>
      <c r="M3" s="4"/>
      <c r="N3" s="4"/>
      <c r="O3" s="4"/>
      <c r="P3" s="4"/>
      <c r="Q3" s="4"/>
      <c r="R3" s="4"/>
    </row>
    <row r="4">
      <c r="A4" s="72" t="s">
        <v>14</v>
      </c>
      <c r="B4" s="71"/>
      <c r="C4" s="76"/>
      <c r="D4" s="77"/>
      <c r="E4" s="77"/>
      <c r="F4" s="77"/>
      <c r="G4" s="77"/>
      <c r="H4" s="77"/>
      <c r="I4" s="4"/>
      <c r="J4" s="4"/>
      <c r="K4" s="4"/>
      <c r="L4" s="4"/>
      <c r="M4" s="4"/>
      <c r="N4" s="4"/>
      <c r="O4" s="4"/>
      <c r="P4" s="4"/>
      <c r="Q4" s="4"/>
      <c r="R4" s="4"/>
    </row>
    <row r="5">
      <c r="A5" s="72" t="s">
        <v>21</v>
      </c>
      <c r="B5" s="78">
        <v>8.143197</v>
      </c>
      <c r="C5" s="79">
        <v>1.26012</v>
      </c>
      <c r="D5" s="80">
        <v>116.0947</v>
      </c>
      <c r="E5" s="80">
        <v>176.2065</v>
      </c>
      <c r="F5" s="80">
        <v>1.27369</v>
      </c>
      <c r="G5" s="80">
        <v>88.67898</v>
      </c>
      <c r="H5" s="80">
        <v>97.38998</v>
      </c>
      <c r="I5" s="6">
        <v>166.8857</v>
      </c>
      <c r="J5" s="6">
        <v>171.6484</v>
      </c>
      <c r="K5" s="6">
        <v>172.1958</v>
      </c>
      <c r="L5" s="6">
        <v>160.2155</v>
      </c>
      <c r="M5" s="6">
        <v>1.96444</v>
      </c>
      <c r="N5" s="6">
        <v>2.03544</v>
      </c>
      <c r="O5" s="6">
        <v>2.11084</v>
      </c>
      <c r="P5" s="6">
        <v>2.07831</v>
      </c>
      <c r="Q5" s="6">
        <v>2.587</v>
      </c>
      <c r="R5" s="6">
        <v>149.2967</v>
      </c>
    </row>
    <row r="6">
      <c r="A6" s="72" t="s">
        <v>23</v>
      </c>
      <c r="B6" s="71"/>
      <c r="C6" s="76"/>
      <c r="D6" s="77"/>
      <c r="E6" s="77"/>
      <c r="F6" s="77"/>
      <c r="G6" s="77"/>
      <c r="H6" s="77"/>
      <c r="I6" s="4"/>
      <c r="J6" s="4"/>
      <c r="K6" s="4"/>
      <c r="L6" s="4"/>
      <c r="M6" s="4"/>
      <c r="N6" s="4"/>
      <c r="O6" s="4"/>
      <c r="P6" s="4"/>
      <c r="Q6" s="4"/>
      <c r="R6" s="4"/>
    </row>
    <row r="7">
      <c r="A7" s="72" t="s">
        <v>25</v>
      </c>
      <c r="B7" s="71"/>
      <c r="C7" s="84">
        <v>1.26852</v>
      </c>
      <c r="D7" s="77"/>
      <c r="E7" s="77"/>
      <c r="F7" s="85">
        <v>1.25663</v>
      </c>
      <c r="G7" s="77"/>
      <c r="H7" s="77"/>
      <c r="I7" s="4"/>
      <c r="J7" s="4"/>
      <c r="K7" s="4"/>
      <c r="L7" s="4"/>
      <c r="M7" s="4"/>
      <c r="N7" s="4"/>
      <c r="O7" s="4"/>
      <c r="P7" s="4"/>
      <c r="Q7" s="4"/>
      <c r="R7" s="4"/>
    </row>
    <row r="8">
      <c r="A8" s="72" t="s">
        <v>27</v>
      </c>
      <c r="B8" s="71"/>
      <c r="C8" s="76"/>
      <c r="D8" s="77"/>
      <c r="E8" s="77"/>
      <c r="F8" s="77"/>
      <c r="G8" s="77"/>
      <c r="H8" s="77"/>
      <c r="I8" s="4"/>
      <c r="J8" s="4"/>
      <c r="K8" s="4"/>
      <c r="L8" s="4"/>
      <c r="M8" s="4"/>
      <c r="N8" s="4"/>
      <c r="O8" s="4"/>
      <c r="P8" s="4"/>
      <c r="Q8" s="4"/>
      <c r="R8" s="4"/>
    </row>
    <row r="9">
      <c r="A9" s="72" t="s">
        <v>29</v>
      </c>
      <c r="B9" s="78">
        <v>3.175205</v>
      </c>
      <c r="C9" s="79">
        <v>1.35589</v>
      </c>
      <c r="D9" s="80">
        <v>111.6478</v>
      </c>
      <c r="E9" s="80">
        <v>177.3575</v>
      </c>
      <c r="F9" s="80">
        <v>1.20582</v>
      </c>
      <c r="G9" s="80">
        <v>71.26336</v>
      </c>
      <c r="H9" s="80">
        <v>71.04459</v>
      </c>
      <c r="I9" s="6">
        <v>174.9549</v>
      </c>
      <c r="J9" s="6">
        <v>165.1469</v>
      </c>
      <c r="K9" s="6">
        <v>168.5497</v>
      </c>
      <c r="L9" s="6">
        <v>162.45</v>
      </c>
      <c r="M9" s="6">
        <v>2.00368</v>
      </c>
      <c r="N9" s="6">
        <v>1.96439</v>
      </c>
      <c r="O9" s="6">
        <v>2.08304</v>
      </c>
      <c r="P9" s="6">
        <v>2.10471</v>
      </c>
      <c r="Q9" s="6">
        <v>2.52452</v>
      </c>
      <c r="R9" s="6">
        <v>151.5723</v>
      </c>
    </row>
    <row r="10">
      <c r="A10" s="72" t="s">
        <v>31</v>
      </c>
      <c r="B10" s="78">
        <v>2.331827</v>
      </c>
      <c r="C10" s="79">
        <v>1.36722</v>
      </c>
      <c r="D10" s="80">
        <v>111.9302</v>
      </c>
      <c r="E10" s="80">
        <v>176.2389</v>
      </c>
      <c r="F10" s="80">
        <v>1.20277</v>
      </c>
      <c r="G10" s="80">
        <v>70.17353</v>
      </c>
      <c r="H10" s="80">
        <v>70.79583</v>
      </c>
      <c r="I10" s="6">
        <v>176.709</v>
      </c>
      <c r="J10" s="6">
        <v>170.624</v>
      </c>
      <c r="K10" s="6">
        <v>171.5156</v>
      </c>
      <c r="L10" s="6">
        <v>159.0611</v>
      </c>
      <c r="M10" s="6">
        <v>2.00294</v>
      </c>
      <c r="N10" s="6">
        <v>2.01769</v>
      </c>
      <c r="O10" s="6">
        <v>2.01769</v>
      </c>
      <c r="P10" s="6">
        <v>2.08863</v>
      </c>
      <c r="Q10" s="6">
        <v>2.53539</v>
      </c>
      <c r="R10" s="6">
        <v>148.1805</v>
      </c>
    </row>
    <row r="11">
      <c r="A11" s="72" t="s">
        <v>33</v>
      </c>
      <c r="B11" s="71"/>
      <c r="C11" s="76"/>
      <c r="D11" s="77"/>
      <c r="E11" s="77"/>
      <c r="F11" s="77"/>
      <c r="G11" s="77"/>
      <c r="H11" s="77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>
      <c r="A12" s="72" t="s">
        <v>36</v>
      </c>
      <c r="B12" s="78">
        <v>10.87914</v>
      </c>
      <c r="C12" s="79">
        <v>1.25393</v>
      </c>
      <c r="D12" s="80">
        <v>108.0014</v>
      </c>
      <c r="E12" s="80">
        <v>174.8221</v>
      </c>
      <c r="F12" s="80">
        <v>1.26556</v>
      </c>
      <c r="G12" s="80">
        <v>66.2812</v>
      </c>
      <c r="H12" s="80">
        <v>64.05184</v>
      </c>
      <c r="I12" s="6">
        <v>174.1549</v>
      </c>
      <c r="J12" s="6">
        <v>171.0442</v>
      </c>
      <c r="K12" s="6">
        <v>171.9226</v>
      </c>
      <c r="L12" s="6">
        <v>157.7652</v>
      </c>
      <c r="M12" s="6">
        <v>1.9861</v>
      </c>
      <c r="N12" s="6">
        <v>1.96347</v>
      </c>
      <c r="O12" s="6">
        <v>2.14709</v>
      </c>
      <c r="P12" s="6">
        <v>2.10841</v>
      </c>
      <c r="Q12" s="6">
        <v>2.36115</v>
      </c>
      <c r="R12" s="6">
        <v>145.315</v>
      </c>
    </row>
    <row r="13">
      <c r="A13" s="72" t="s">
        <v>40</v>
      </c>
      <c r="B13" s="71"/>
      <c r="C13" s="76"/>
      <c r="D13" s="77"/>
      <c r="E13" s="77"/>
      <c r="F13" s="77"/>
      <c r="G13" s="77"/>
      <c r="H13" s="77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>
      <c r="A14" s="72" t="s">
        <v>44</v>
      </c>
      <c r="B14" s="71"/>
      <c r="C14" s="76"/>
      <c r="D14" s="77"/>
      <c r="E14" s="77"/>
      <c r="F14" s="77"/>
      <c r="G14" s="77"/>
      <c r="H14" s="77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>
      <c r="A15" s="72" t="s">
        <v>48</v>
      </c>
      <c r="B15" s="71"/>
      <c r="C15" s="76"/>
      <c r="D15" s="77"/>
      <c r="E15" s="77"/>
      <c r="F15" s="77"/>
      <c r="G15" s="77"/>
      <c r="H15" s="77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>
      <c r="A16" s="72" t="s">
        <v>53</v>
      </c>
      <c r="B16" s="78">
        <v>9.624759</v>
      </c>
      <c r="C16" s="79">
        <v>1.26131</v>
      </c>
      <c r="D16" s="80">
        <v>108.1795</v>
      </c>
      <c r="E16" s="80">
        <v>171.5025</v>
      </c>
      <c r="F16" s="80">
        <v>1.26287</v>
      </c>
      <c r="G16" s="80">
        <v>65.14589</v>
      </c>
      <c r="H16" s="80">
        <v>63.65439</v>
      </c>
      <c r="I16" s="6">
        <v>174.4091</v>
      </c>
      <c r="J16" s="6">
        <v>173.7034</v>
      </c>
      <c r="K16" s="6">
        <v>178.0659</v>
      </c>
      <c r="L16" s="6">
        <v>153.9719</v>
      </c>
      <c r="M16" s="6">
        <v>2.10111</v>
      </c>
      <c r="N16" s="6">
        <v>2.06138</v>
      </c>
      <c r="O16" s="6">
        <v>2.12892</v>
      </c>
      <c r="P16" s="6">
        <v>2.13744</v>
      </c>
      <c r="Q16" s="6">
        <v>2.37334</v>
      </c>
      <c r="R16" s="6">
        <v>142.4617</v>
      </c>
    </row>
    <row r="17">
      <c r="A17" s="72" t="s">
        <v>56</v>
      </c>
      <c r="B17" s="78">
        <v>10.06524</v>
      </c>
      <c r="C17" s="79">
        <v>1.24477</v>
      </c>
      <c r="D17" s="80">
        <v>107.4638</v>
      </c>
      <c r="E17" s="80">
        <v>174.4806</v>
      </c>
      <c r="F17" s="80">
        <v>1.27378</v>
      </c>
      <c r="G17" s="80">
        <v>64.758</v>
      </c>
      <c r="H17" s="80">
        <v>62.67344</v>
      </c>
      <c r="I17" s="6">
        <v>179.4586</v>
      </c>
      <c r="J17" s="6">
        <v>172.0237</v>
      </c>
      <c r="K17" s="6">
        <v>172.181</v>
      </c>
      <c r="L17" s="6">
        <v>156.7554</v>
      </c>
      <c r="M17" s="6">
        <v>2.13178</v>
      </c>
      <c r="N17" s="6">
        <v>2.08738</v>
      </c>
      <c r="O17" s="6">
        <v>2.12103</v>
      </c>
      <c r="P17" s="6">
        <v>2.09416</v>
      </c>
      <c r="Q17" s="6">
        <v>2.34343</v>
      </c>
      <c r="R17" s="6">
        <v>144.0518</v>
      </c>
    </row>
    <row r="18">
      <c r="A18" s="72" t="s">
        <v>58</v>
      </c>
      <c r="B18" s="71"/>
      <c r="C18" s="76"/>
      <c r="D18" s="77"/>
      <c r="E18" s="77"/>
      <c r="F18" s="77"/>
      <c r="G18" s="77"/>
      <c r="H18" s="77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>
      <c r="A19" s="72" t="s">
        <v>60</v>
      </c>
      <c r="B19" s="71"/>
      <c r="C19" s="76"/>
      <c r="D19" s="77"/>
      <c r="E19" s="77"/>
      <c r="F19" s="77"/>
      <c r="G19" s="77"/>
      <c r="H19" s="77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>
      <c r="A20" s="72" t="s">
        <v>62</v>
      </c>
      <c r="B20" s="71"/>
      <c r="C20" s="76"/>
      <c r="D20" s="77"/>
      <c r="E20" s="77"/>
      <c r="F20" s="77"/>
      <c r="G20" s="77"/>
      <c r="H20" s="77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>
      <c r="A21" s="72" t="s">
        <v>65</v>
      </c>
      <c r="B21" s="71"/>
      <c r="C21" s="76"/>
      <c r="D21" s="77"/>
      <c r="E21" s="77"/>
      <c r="F21" s="77"/>
      <c r="G21" s="77"/>
      <c r="H21" s="77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>
      <c r="A22" s="72" t="s">
        <v>67</v>
      </c>
      <c r="B22" s="71"/>
      <c r="C22" s="76"/>
      <c r="D22" s="77"/>
      <c r="E22" s="77"/>
      <c r="F22" s="77"/>
      <c r="G22" s="77"/>
      <c r="H22" s="77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>
      <c r="A23" s="72" t="s">
        <v>69</v>
      </c>
      <c r="B23" s="78">
        <v>8.433107</v>
      </c>
      <c r="C23" s="79">
        <v>1.24376</v>
      </c>
      <c r="D23" s="80">
        <v>122.1277</v>
      </c>
      <c r="E23" s="80">
        <v>168.4016</v>
      </c>
      <c r="F23" s="80">
        <v>1.292</v>
      </c>
      <c r="G23" s="80">
        <v>96.34888</v>
      </c>
      <c r="H23" s="80">
        <v>117.7685</v>
      </c>
      <c r="I23" s="6">
        <v>167.0338</v>
      </c>
      <c r="J23" s="6">
        <v>170.0504</v>
      </c>
      <c r="K23" s="6">
        <v>174.7575</v>
      </c>
      <c r="L23" s="6">
        <v>166.392</v>
      </c>
      <c r="M23" s="6">
        <v>2.00187</v>
      </c>
      <c r="N23" s="6">
        <v>2.06716</v>
      </c>
      <c r="O23" s="6">
        <v>2.16783</v>
      </c>
      <c r="P23" s="6">
        <v>2.10211</v>
      </c>
      <c r="Q23" s="6">
        <v>2.63788</v>
      </c>
      <c r="R23" s="6">
        <v>158.7781</v>
      </c>
    </row>
    <row r="24">
      <c r="A24" s="72" t="s">
        <v>71</v>
      </c>
      <c r="B24" s="71"/>
      <c r="C24" s="76"/>
      <c r="D24" s="77"/>
      <c r="E24" s="77"/>
      <c r="F24" s="77"/>
      <c r="G24" s="77"/>
      <c r="H24" s="77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>
      <c r="A25" s="72" t="s">
        <v>74</v>
      </c>
      <c r="B25" s="71"/>
      <c r="C25" s="76"/>
      <c r="D25" s="77"/>
      <c r="E25" s="77"/>
      <c r="F25" s="77"/>
      <c r="G25" s="77"/>
      <c r="H25" s="77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>
      <c r="A26" s="72" t="s">
        <v>76</v>
      </c>
      <c r="B26" s="71"/>
      <c r="C26" s="76"/>
      <c r="D26" s="77"/>
      <c r="E26" s="77"/>
      <c r="F26" s="77"/>
      <c r="G26" s="77"/>
      <c r="H26" s="77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>
      <c r="A27" s="72" t="s">
        <v>78</v>
      </c>
      <c r="B27" s="71"/>
      <c r="C27" s="76"/>
      <c r="D27" s="77"/>
      <c r="E27" s="77"/>
      <c r="F27" s="77"/>
      <c r="G27" s="77"/>
      <c r="H27" s="77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>
      <c r="A28" s="72" t="s">
        <v>80</v>
      </c>
      <c r="B28" s="71"/>
      <c r="C28" s="76"/>
      <c r="D28" s="77"/>
      <c r="E28" s="77"/>
      <c r="F28" s="77"/>
      <c r="G28" s="77"/>
      <c r="H28" s="77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>
      <c r="A29" s="72" t="s">
        <v>82</v>
      </c>
      <c r="B29" s="71"/>
      <c r="C29" s="76"/>
      <c r="D29" s="77"/>
      <c r="E29" s="77"/>
      <c r="F29" s="77"/>
      <c r="G29" s="77"/>
      <c r="H29" s="77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>
      <c r="A30" s="72" t="s">
        <v>84</v>
      </c>
      <c r="B30" s="71"/>
      <c r="C30" s="76"/>
      <c r="D30" s="77"/>
      <c r="E30" s="77"/>
      <c r="F30" s="77"/>
      <c r="G30" s="77"/>
      <c r="H30" s="77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>
      <c r="A31" s="72" t="s">
        <v>86</v>
      </c>
      <c r="B31" s="71"/>
      <c r="C31" s="76"/>
      <c r="D31" s="77"/>
      <c r="E31" s="77"/>
      <c r="F31" s="77"/>
      <c r="G31" s="77"/>
      <c r="H31" s="77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>
      <c r="A32" s="72" t="s">
        <v>88</v>
      </c>
      <c r="B32" s="78">
        <v>13.18461</v>
      </c>
      <c r="C32" s="79">
        <v>1.28293</v>
      </c>
      <c r="D32" s="80">
        <v>107.9728</v>
      </c>
      <c r="E32" s="80">
        <v>173.2097</v>
      </c>
      <c r="F32" s="80">
        <v>1.24526</v>
      </c>
      <c r="G32" s="80">
        <v>65.56165</v>
      </c>
      <c r="H32" s="80">
        <v>63.86568</v>
      </c>
      <c r="I32" s="6">
        <v>165.1368</v>
      </c>
      <c r="J32" s="6">
        <v>171.725</v>
      </c>
      <c r="K32" s="6">
        <v>173.1897</v>
      </c>
      <c r="L32" s="6">
        <v>156.677</v>
      </c>
      <c r="M32" s="6">
        <v>1.97061</v>
      </c>
      <c r="N32" s="6">
        <v>1.99499</v>
      </c>
      <c r="O32" s="6">
        <v>2.03928</v>
      </c>
      <c r="P32" s="6">
        <v>2.03884</v>
      </c>
      <c r="Q32" s="6">
        <v>2.38268</v>
      </c>
      <c r="R32" s="6">
        <v>144.7906</v>
      </c>
    </row>
    <row r="33">
      <c r="A33" s="72" t="s">
        <v>90</v>
      </c>
      <c r="B33" s="78">
        <v>22.55522</v>
      </c>
      <c r="C33" s="79">
        <v>1.17023</v>
      </c>
      <c r="D33" s="80">
        <v>122.8831</v>
      </c>
      <c r="E33" s="80">
        <v>172.7053</v>
      </c>
      <c r="F33" s="80">
        <v>1.35778</v>
      </c>
      <c r="G33" s="80">
        <v>122.9468</v>
      </c>
      <c r="H33" s="80">
        <v>124.8049</v>
      </c>
      <c r="I33" s="6">
        <v>179.4988</v>
      </c>
      <c r="J33" s="6">
        <v>153.5934</v>
      </c>
      <c r="K33" s="6">
        <v>144.365</v>
      </c>
      <c r="L33" s="6">
        <v>169.1938</v>
      </c>
      <c r="M33" s="6">
        <v>2.12425</v>
      </c>
      <c r="N33" s="6">
        <v>1.9562</v>
      </c>
      <c r="O33" s="6">
        <v>3.03505</v>
      </c>
      <c r="P33" s="6">
        <v>2.10228</v>
      </c>
      <c r="Q33" s="6">
        <v>2.56636</v>
      </c>
      <c r="R33" s="6">
        <v>166.0327</v>
      </c>
    </row>
    <row r="34">
      <c r="A34" s="72" t="s">
        <v>92</v>
      </c>
      <c r="B34" s="71"/>
      <c r="C34" s="76"/>
      <c r="D34" s="77"/>
      <c r="E34" s="77"/>
      <c r="F34" s="77"/>
      <c r="G34" s="77"/>
      <c r="H34" s="77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>
      <c r="A35" s="72" t="s">
        <v>96</v>
      </c>
      <c r="B35" s="71"/>
      <c r="C35" s="76"/>
      <c r="D35" s="77"/>
      <c r="E35" s="85"/>
      <c r="F35" s="77"/>
      <c r="G35" s="77"/>
      <c r="H35" s="77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>
      <c r="A36" s="72" t="s">
        <v>98</v>
      </c>
      <c r="B36" s="71"/>
      <c r="C36" s="76"/>
      <c r="D36" s="77"/>
      <c r="E36" s="85"/>
      <c r="F36" s="77"/>
      <c r="G36" s="77"/>
      <c r="H36" s="77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>
      <c r="A37" s="72" t="s">
        <v>101</v>
      </c>
      <c r="B37" s="71"/>
      <c r="C37" s="76"/>
      <c r="D37" s="77"/>
      <c r="E37" s="77"/>
      <c r="F37" s="77"/>
      <c r="G37" s="77"/>
      <c r="H37" s="77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>
      <c r="A38" s="72" t="s">
        <v>103</v>
      </c>
      <c r="B38" s="71"/>
      <c r="C38" s="76"/>
      <c r="D38" s="77"/>
      <c r="E38" s="77"/>
      <c r="F38" s="77"/>
      <c r="G38" s="77"/>
      <c r="H38" s="77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>
      <c r="A39" s="72" t="s">
        <v>105</v>
      </c>
      <c r="B39" s="71"/>
      <c r="C39" s="76"/>
      <c r="D39" s="77"/>
      <c r="E39" s="77"/>
      <c r="F39" s="77"/>
      <c r="G39" s="77"/>
      <c r="H39" s="77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>
      <c r="A40" s="72" t="s">
        <v>107</v>
      </c>
      <c r="B40" s="71"/>
      <c r="C40" s="76"/>
      <c r="D40" s="77"/>
      <c r="E40" s="77"/>
      <c r="F40" s="77"/>
      <c r="G40" s="77"/>
      <c r="H40" s="77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>
      <c r="A41" s="72" t="s">
        <v>109</v>
      </c>
      <c r="B41" s="78">
        <v>23.1432</v>
      </c>
      <c r="C41" s="76"/>
      <c r="D41" s="77"/>
      <c r="E41" s="77"/>
      <c r="F41" s="77"/>
      <c r="G41" s="77"/>
      <c r="H41" s="77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>
      <c r="A42" s="72" t="s">
        <v>111</v>
      </c>
      <c r="B42" s="78">
        <v>1.619603</v>
      </c>
      <c r="C42" s="79">
        <v>1.37561</v>
      </c>
      <c r="D42" s="80">
        <v>113.4838</v>
      </c>
      <c r="E42" s="80">
        <v>174.5062</v>
      </c>
      <c r="F42" s="80">
        <v>1.19842</v>
      </c>
      <c r="G42" s="80">
        <v>69.57825</v>
      </c>
      <c r="H42" s="80">
        <v>71.22296</v>
      </c>
      <c r="I42" s="6">
        <v>163.7707</v>
      </c>
      <c r="J42" s="6">
        <v>166.7677</v>
      </c>
      <c r="K42" s="6">
        <v>171.0822</v>
      </c>
      <c r="L42" s="6">
        <v>162.4908</v>
      </c>
      <c r="M42" s="6">
        <v>2.00409</v>
      </c>
      <c r="N42" s="6">
        <v>2.02138</v>
      </c>
      <c r="O42" s="6">
        <v>2.06692</v>
      </c>
      <c r="P42" s="6">
        <v>2.11326</v>
      </c>
      <c r="Q42" s="6">
        <v>2.56018</v>
      </c>
      <c r="R42" s="6">
        <v>152.3485</v>
      </c>
    </row>
    <row r="43">
      <c r="A43" s="72" t="s">
        <v>113</v>
      </c>
      <c r="B43" s="71"/>
      <c r="C43" s="76"/>
      <c r="D43" s="77"/>
      <c r="E43" s="77"/>
      <c r="F43" s="77"/>
      <c r="G43" s="77"/>
      <c r="H43" s="77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>
      <c r="A44" s="72" t="s">
        <v>115</v>
      </c>
      <c r="B44" s="71"/>
      <c r="C44" s="76"/>
      <c r="D44" s="77"/>
      <c r="E44" s="77"/>
      <c r="F44" s="77"/>
      <c r="G44" s="77"/>
      <c r="H44" s="77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>
      <c r="A45" s="72" t="s">
        <v>118</v>
      </c>
      <c r="B45" s="71"/>
      <c r="C45" s="76"/>
      <c r="D45" s="77"/>
      <c r="E45" s="77"/>
      <c r="F45" s="77"/>
      <c r="G45" s="77"/>
      <c r="H45" s="77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>
      <c r="A46" s="72" t="s">
        <v>120</v>
      </c>
      <c r="B46" s="71"/>
      <c r="C46" s="76"/>
      <c r="D46" s="77"/>
      <c r="E46" s="77"/>
      <c r="F46" s="77"/>
      <c r="G46" s="77"/>
      <c r="H46" s="77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>
      <c r="A47" s="72" t="s">
        <v>122</v>
      </c>
      <c r="B47" s="71"/>
      <c r="C47" s="76"/>
      <c r="D47" s="77"/>
      <c r="E47" s="77"/>
      <c r="F47" s="77"/>
      <c r="G47" s="77"/>
      <c r="H47" s="77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>
      <c r="A48" s="72" t="s">
        <v>125</v>
      </c>
      <c r="B48" s="71"/>
      <c r="C48" s="76"/>
      <c r="D48" s="77"/>
      <c r="E48" s="77"/>
      <c r="F48" s="77"/>
      <c r="G48" s="77"/>
      <c r="H48" s="77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>
      <c r="A49" s="72" t="s">
        <v>127</v>
      </c>
      <c r="B49" s="78">
        <v>13.20783</v>
      </c>
      <c r="C49" s="79">
        <v>1.68839</v>
      </c>
      <c r="D49" s="80">
        <v>107.9642</v>
      </c>
      <c r="E49" s="80">
        <v>173.2406</v>
      </c>
      <c r="F49" s="80">
        <v>1.24527</v>
      </c>
      <c r="G49" s="80">
        <v>65.55249</v>
      </c>
      <c r="H49" s="80">
        <v>63.85176</v>
      </c>
      <c r="I49" s="6">
        <v>165.1609</v>
      </c>
      <c r="J49" s="6">
        <v>171.7332</v>
      </c>
      <c r="K49" s="6">
        <v>173.1807</v>
      </c>
      <c r="L49" s="6">
        <v>156.6727</v>
      </c>
      <c r="M49" s="6">
        <v>1.99515</v>
      </c>
      <c r="N49" s="6">
        <v>1.97051</v>
      </c>
      <c r="O49" s="6">
        <v>2.03921</v>
      </c>
      <c r="P49" s="6">
        <v>2.03882</v>
      </c>
      <c r="Q49" s="6">
        <v>2.38257</v>
      </c>
      <c r="R49" s="6">
        <v>144.7853</v>
      </c>
    </row>
    <row r="50">
      <c r="A50" s="72" t="s">
        <v>129</v>
      </c>
      <c r="B50" s="71"/>
      <c r="C50" s="76"/>
      <c r="D50" s="77"/>
      <c r="E50" s="77"/>
      <c r="F50" s="77"/>
      <c r="G50" s="77"/>
      <c r="H50" s="77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>
      <c r="A51" s="72" t="s">
        <v>131</v>
      </c>
      <c r="B51" s="71"/>
      <c r="C51" s="76"/>
      <c r="D51" s="77"/>
      <c r="E51" s="77"/>
      <c r="F51" s="77"/>
      <c r="G51" s="77"/>
      <c r="H51" s="77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>
      <c r="A52" s="72" t="s">
        <v>133</v>
      </c>
      <c r="B52" s="71"/>
      <c r="C52" s="76"/>
      <c r="D52" s="77"/>
      <c r="E52" s="77"/>
      <c r="F52" s="77"/>
      <c r="G52" s="77"/>
      <c r="H52" s="77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>
      <c r="A53" s="72" t="s">
        <v>136</v>
      </c>
      <c r="B53" s="71"/>
      <c r="C53" s="76"/>
      <c r="D53" s="77"/>
      <c r="E53" s="77"/>
      <c r="F53" s="77"/>
      <c r="G53" s="77"/>
      <c r="H53" s="77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>
      <c r="A54" s="72" t="s">
        <v>138</v>
      </c>
      <c r="B54" s="78">
        <v>7.37889</v>
      </c>
      <c r="C54" s="79">
        <v>1.25933</v>
      </c>
      <c r="D54" s="80">
        <v>117.5837</v>
      </c>
      <c r="E54" s="80">
        <v>174.7326</v>
      </c>
      <c r="F54" s="80">
        <v>1.27341</v>
      </c>
      <c r="G54" s="80">
        <v>101.7884</v>
      </c>
      <c r="H54" s="80">
        <v>121.9557</v>
      </c>
      <c r="I54" s="6">
        <v>163.3399</v>
      </c>
      <c r="J54" s="6">
        <v>171.6586</v>
      </c>
      <c r="K54" s="6">
        <v>173.1571</v>
      </c>
      <c r="L54" s="6">
        <v>161.5072</v>
      </c>
      <c r="M54" s="6">
        <v>1.97976</v>
      </c>
      <c r="N54" s="6">
        <v>2.05235</v>
      </c>
      <c r="O54" s="6">
        <v>2.04999</v>
      </c>
      <c r="P54" s="6">
        <v>1.94666</v>
      </c>
      <c r="Q54" s="6">
        <v>2.6046</v>
      </c>
      <c r="R54" s="6">
        <v>151.3095</v>
      </c>
    </row>
    <row r="55">
      <c r="A55" s="72" t="s">
        <v>140</v>
      </c>
      <c r="B55" s="71"/>
      <c r="C55" s="76"/>
      <c r="D55" s="77"/>
      <c r="E55" s="77"/>
      <c r="F55" s="77"/>
      <c r="G55" s="77"/>
      <c r="H55" s="77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>
      <c r="A56" s="72" t="s">
        <v>143</v>
      </c>
      <c r="B56" s="78">
        <v>14.84563</v>
      </c>
      <c r="C56" s="79">
        <v>1.24166</v>
      </c>
      <c r="D56" s="80">
        <v>130.8583</v>
      </c>
      <c r="E56" s="80">
        <v>165.2313</v>
      </c>
      <c r="F56" s="80">
        <v>1.29443</v>
      </c>
      <c r="G56" s="80">
        <v>92.71722</v>
      </c>
      <c r="H56" s="80">
        <v>117.9121</v>
      </c>
      <c r="I56" s="6">
        <v>165.3155</v>
      </c>
      <c r="J56" s="6">
        <v>173.404</v>
      </c>
      <c r="K56" s="6">
        <v>173.4649</v>
      </c>
      <c r="L56" s="6">
        <v>165.7995</v>
      </c>
      <c r="M56" s="6">
        <v>1.98315</v>
      </c>
      <c r="N56" s="6">
        <v>2.06188</v>
      </c>
      <c r="O56" s="6">
        <v>2.07844</v>
      </c>
      <c r="P56" s="6">
        <v>2.11611</v>
      </c>
      <c r="Q56" s="6">
        <v>2.74693</v>
      </c>
      <c r="R56" s="6">
        <v>161.2952</v>
      </c>
    </row>
    <row r="57">
      <c r="A57" s="72" t="s">
        <v>145</v>
      </c>
      <c r="B57" s="71"/>
      <c r="C57" s="76"/>
      <c r="D57" s="77"/>
      <c r="E57" s="77"/>
      <c r="F57" s="77"/>
      <c r="G57" s="77"/>
      <c r="H57" s="77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>
      <c r="A58" s="72" t="s">
        <v>147</v>
      </c>
      <c r="B58" s="71"/>
      <c r="C58" s="76"/>
      <c r="D58" s="77"/>
      <c r="E58" s="77"/>
      <c r="F58" s="77"/>
      <c r="G58" s="77"/>
      <c r="H58" s="77"/>
      <c r="I58" s="4"/>
      <c r="J58" s="4"/>
      <c r="K58" s="4"/>
      <c r="L58" s="4"/>
      <c r="M58" s="4"/>
      <c r="N58" s="4"/>
      <c r="O58" s="4"/>
      <c r="P58" s="4"/>
      <c r="Q58" s="4"/>
      <c r="R58" s="4"/>
    </row>
    <row r="59">
      <c r="A59" s="72" t="s">
        <v>150</v>
      </c>
      <c r="B59" s="78">
        <v>6.831074</v>
      </c>
      <c r="C59" s="79">
        <v>1.3314</v>
      </c>
      <c r="D59" s="80">
        <v>111.7515</v>
      </c>
      <c r="E59" s="80">
        <v>176.2272</v>
      </c>
      <c r="F59" s="80">
        <v>1.22191</v>
      </c>
      <c r="G59" s="80">
        <v>71.55346</v>
      </c>
      <c r="H59" s="80">
        <v>71.06011</v>
      </c>
      <c r="I59" s="6">
        <v>175.4247</v>
      </c>
      <c r="J59" s="6">
        <v>163.2434</v>
      </c>
      <c r="K59" s="6">
        <v>165.7611</v>
      </c>
      <c r="L59" s="6">
        <v>164.9104</v>
      </c>
      <c r="M59" s="6">
        <v>1.98448</v>
      </c>
      <c r="N59" s="6">
        <v>2.00304</v>
      </c>
      <c r="O59" s="6">
        <v>2.08161</v>
      </c>
      <c r="P59" s="6">
        <v>2.0514</v>
      </c>
      <c r="Q59" s="6">
        <v>2.49817</v>
      </c>
      <c r="R59" s="6">
        <v>154.1827</v>
      </c>
    </row>
    <row r="60">
      <c r="A60" s="72" t="s">
        <v>1309</v>
      </c>
      <c r="B60" s="71"/>
      <c r="C60" s="76"/>
      <c r="D60" s="77"/>
      <c r="E60" s="77"/>
      <c r="F60" s="77"/>
      <c r="G60" s="77"/>
      <c r="H60" s="77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>
      <c r="A61" s="72" t="s">
        <v>151</v>
      </c>
      <c r="B61" s="71"/>
      <c r="C61" s="76"/>
      <c r="D61" s="77"/>
      <c r="E61" s="77"/>
      <c r="F61" s="77"/>
      <c r="G61" s="77"/>
      <c r="H61" s="77"/>
      <c r="I61" s="4"/>
      <c r="J61" s="4"/>
      <c r="K61" s="4"/>
      <c r="L61" s="4"/>
      <c r="M61" s="4"/>
      <c r="N61" s="4"/>
      <c r="O61" s="4"/>
      <c r="P61" s="4"/>
      <c r="Q61" s="4"/>
      <c r="R61" s="4"/>
    </row>
    <row r="62">
      <c r="A62" s="72" t="s">
        <v>153</v>
      </c>
      <c r="B62" s="71"/>
      <c r="C62" s="76"/>
      <c r="D62" s="77"/>
      <c r="E62" s="77"/>
      <c r="F62" s="77"/>
      <c r="G62" s="77"/>
      <c r="H62" s="77"/>
      <c r="I62" s="4"/>
      <c r="J62" s="4"/>
      <c r="K62" s="4"/>
      <c r="L62" s="4"/>
      <c r="M62" s="4"/>
      <c r="N62" s="4"/>
      <c r="O62" s="4"/>
      <c r="P62" s="4"/>
      <c r="Q62" s="4"/>
      <c r="R62" s="4"/>
    </row>
    <row r="63">
      <c r="A63" s="72" t="s">
        <v>155</v>
      </c>
      <c r="B63" s="78">
        <v>12.1304</v>
      </c>
      <c r="C63" s="79">
        <v>1.24352</v>
      </c>
      <c r="D63" s="80">
        <v>107.5076</v>
      </c>
      <c r="E63" s="80">
        <v>175.5538</v>
      </c>
      <c r="F63" s="80">
        <v>1.2727</v>
      </c>
      <c r="G63" s="80">
        <v>66.81427</v>
      </c>
      <c r="H63" s="80">
        <v>63.84702</v>
      </c>
      <c r="I63" s="6">
        <v>175.3188</v>
      </c>
      <c r="J63" s="6">
        <v>169.0265</v>
      </c>
      <c r="K63" s="6">
        <v>171.7104</v>
      </c>
      <c r="L63" s="6">
        <v>154.8842</v>
      </c>
      <c r="M63" s="6">
        <v>2.0015</v>
      </c>
      <c r="N63" s="6">
        <v>1.97069</v>
      </c>
      <c r="O63" s="6">
        <v>2.10251</v>
      </c>
      <c r="P63" s="6">
        <v>2.07988</v>
      </c>
      <c r="Q63" s="6">
        <v>2.34786</v>
      </c>
      <c r="R63" s="6">
        <v>142.0716</v>
      </c>
    </row>
    <row r="64">
      <c r="A64" s="72" t="s">
        <v>157</v>
      </c>
      <c r="B64" s="71"/>
      <c r="C64" s="76"/>
      <c r="D64" s="77"/>
      <c r="E64" s="77"/>
      <c r="F64" s="77"/>
      <c r="G64" s="77"/>
      <c r="H64" s="77"/>
      <c r="I64" s="4"/>
      <c r="J64" s="4"/>
      <c r="K64" s="4"/>
      <c r="L64" s="4"/>
      <c r="M64" s="4"/>
      <c r="N64" s="4"/>
      <c r="O64" s="4"/>
      <c r="P64" s="4"/>
      <c r="Q64" s="4"/>
      <c r="R64" s="4"/>
    </row>
    <row r="65">
      <c r="A65" s="72" t="s">
        <v>160</v>
      </c>
      <c r="B65" s="78">
        <v>5.736696</v>
      </c>
      <c r="C65" s="79">
        <v>1.26086</v>
      </c>
      <c r="D65" s="80">
        <v>117.0501</v>
      </c>
      <c r="E65" s="80">
        <v>175.7252</v>
      </c>
      <c r="F65" s="80">
        <v>1.27173</v>
      </c>
      <c r="G65" s="80">
        <v>89.24113</v>
      </c>
      <c r="H65" s="80">
        <v>98.24745</v>
      </c>
      <c r="I65" s="6">
        <v>168.1628</v>
      </c>
      <c r="J65" s="6">
        <v>171.7058</v>
      </c>
      <c r="K65" s="6">
        <v>171.469</v>
      </c>
      <c r="L65" s="6">
        <v>160.662</v>
      </c>
      <c r="M65" s="6">
        <v>2.03475</v>
      </c>
      <c r="N65" s="6">
        <v>1.99163</v>
      </c>
      <c r="O65" s="6">
        <v>2.11715</v>
      </c>
      <c r="P65" s="6">
        <v>2.05417</v>
      </c>
      <c r="Q65" s="6">
        <v>2.5967</v>
      </c>
      <c r="R65" s="6">
        <v>150.1195</v>
      </c>
    </row>
    <row r="66">
      <c r="A66" s="72" t="s">
        <v>162</v>
      </c>
      <c r="B66" s="78">
        <v>9.755898</v>
      </c>
      <c r="C66" s="79">
        <v>1.27701</v>
      </c>
      <c r="D66" s="80">
        <v>122.7936</v>
      </c>
      <c r="E66" s="80">
        <v>127.5024</v>
      </c>
      <c r="F66" s="80">
        <v>1.26511</v>
      </c>
      <c r="G66" s="80">
        <v>119.2046</v>
      </c>
      <c r="H66" s="80">
        <v>166.048</v>
      </c>
      <c r="I66" s="6">
        <v>168.5389</v>
      </c>
      <c r="J66" s="6">
        <v>176.3014</v>
      </c>
      <c r="K66" s="6">
        <v>167.9813</v>
      </c>
      <c r="L66" s="6">
        <v>154.7156</v>
      </c>
      <c r="M66" s="6">
        <v>1.9658</v>
      </c>
      <c r="N66" s="6">
        <v>1.99454</v>
      </c>
      <c r="O66" s="6">
        <v>2.08747</v>
      </c>
      <c r="P66" s="6">
        <v>2.05915</v>
      </c>
      <c r="Q66" s="6">
        <v>2.62277</v>
      </c>
      <c r="R66" s="6">
        <v>147.087</v>
      </c>
    </row>
    <row r="67">
      <c r="A67" s="72" t="s">
        <v>164</v>
      </c>
      <c r="B67" s="71"/>
      <c r="C67" s="76"/>
      <c r="D67" s="77"/>
      <c r="E67" s="77"/>
      <c r="F67" s="77"/>
      <c r="G67" s="77"/>
      <c r="H67" s="77"/>
      <c r="I67" s="4"/>
      <c r="J67" s="4"/>
      <c r="K67" s="4"/>
      <c r="L67" s="4"/>
      <c r="M67" s="4"/>
      <c r="N67" s="4"/>
      <c r="O67" s="4"/>
      <c r="P67" s="4"/>
      <c r="Q67" s="4"/>
      <c r="R67" s="4"/>
    </row>
    <row r="68">
      <c r="A68" s="72" t="s">
        <v>166</v>
      </c>
      <c r="B68" s="71"/>
      <c r="C68" s="76"/>
      <c r="D68" s="77"/>
      <c r="E68" s="77"/>
      <c r="F68" s="77"/>
      <c r="G68" s="77"/>
      <c r="H68" s="77"/>
      <c r="I68" s="4"/>
      <c r="J68" s="4"/>
      <c r="K68" s="4"/>
      <c r="L68" s="4"/>
      <c r="M68" s="4"/>
      <c r="N68" s="4"/>
      <c r="O68" s="4"/>
      <c r="P68" s="4"/>
      <c r="Q68" s="4"/>
      <c r="R68" s="4"/>
    </row>
    <row r="69">
      <c r="A69" s="72" t="s">
        <v>168</v>
      </c>
      <c r="B69" s="71"/>
      <c r="C69" s="76"/>
      <c r="D69" s="77"/>
      <c r="E69" s="77"/>
      <c r="F69" s="77"/>
      <c r="G69" s="77"/>
      <c r="H69" s="77"/>
      <c r="I69" s="4"/>
      <c r="J69" s="4"/>
      <c r="K69" s="4"/>
      <c r="L69" s="4"/>
      <c r="M69" s="4"/>
      <c r="N69" s="4"/>
      <c r="O69" s="4"/>
      <c r="P69" s="4"/>
      <c r="Q69" s="4"/>
      <c r="R69" s="4"/>
    </row>
    <row r="70">
      <c r="A70" s="72" t="s">
        <v>170</v>
      </c>
      <c r="B70" s="71"/>
      <c r="C70" s="76"/>
      <c r="D70" s="77"/>
      <c r="E70" s="77"/>
      <c r="F70" s="77"/>
      <c r="G70" s="77"/>
      <c r="H70" s="77"/>
      <c r="I70" s="4"/>
      <c r="J70" s="4"/>
      <c r="K70" s="4"/>
      <c r="L70" s="4"/>
      <c r="M70" s="4"/>
      <c r="N70" s="4"/>
      <c r="O70" s="4"/>
      <c r="P70" s="4"/>
      <c r="Q70" s="4"/>
      <c r="R70" s="4"/>
    </row>
    <row r="71">
      <c r="A71" s="72" t="s">
        <v>172</v>
      </c>
      <c r="B71" s="78">
        <v>7.404618</v>
      </c>
      <c r="C71" s="79">
        <v>1.29024</v>
      </c>
      <c r="D71" s="80">
        <v>116.727</v>
      </c>
      <c r="E71" s="80">
        <v>174.6078</v>
      </c>
      <c r="F71" s="80">
        <v>1.26127</v>
      </c>
      <c r="G71" s="80">
        <v>115.3159</v>
      </c>
      <c r="H71" s="80">
        <v>162.6861</v>
      </c>
      <c r="I71" s="6">
        <v>156.8845</v>
      </c>
      <c r="J71" s="6">
        <v>177.6502</v>
      </c>
      <c r="K71" s="6">
        <v>176.5209</v>
      </c>
      <c r="L71" s="6">
        <v>155.9891</v>
      </c>
      <c r="M71" s="6">
        <v>1.97879</v>
      </c>
      <c r="N71" s="6">
        <v>1.97852</v>
      </c>
      <c r="O71" s="6">
        <v>2.0008</v>
      </c>
      <c r="P71" s="6">
        <v>2.01533</v>
      </c>
      <c r="Q71" s="6">
        <v>2.59536</v>
      </c>
      <c r="R71" s="6">
        <v>145.8047</v>
      </c>
    </row>
    <row r="72">
      <c r="A72" s="72" t="s">
        <v>175</v>
      </c>
      <c r="B72" s="78">
        <v>7.720256</v>
      </c>
      <c r="C72" s="79">
        <v>1.33764</v>
      </c>
      <c r="D72" s="80">
        <v>115.5289</v>
      </c>
      <c r="E72" s="80">
        <v>178.1896</v>
      </c>
      <c r="F72" s="80">
        <v>1.21805</v>
      </c>
      <c r="G72" s="80">
        <v>114.3519</v>
      </c>
      <c r="H72" s="80">
        <v>132.9827</v>
      </c>
      <c r="I72" s="6">
        <v>166.9998</v>
      </c>
      <c r="J72" s="6">
        <v>166.8643</v>
      </c>
      <c r="K72" s="6">
        <v>168.2522</v>
      </c>
      <c r="L72" s="6">
        <v>83.49841</v>
      </c>
      <c r="M72" s="6">
        <v>2.02404</v>
      </c>
      <c r="N72" s="6">
        <v>1.9614</v>
      </c>
      <c r="O72" s="6">
        <v>2.00584</v>
      </c>
      <c r="P72" s="6">
        <v>2.03802</v>
      </c>
      <c r="Q72" s="6">
        <v>2.57933</v>
      </c>
      <c r="R72" s="6">
        <v>97.01198</v>
      </c>
    </row>
    <row r="73">
      <c r="A73" s="72" t="s">
        <v>177</v>
      </c>
      <c r="B73" s="71"/>
      <c r="C73" s="76"/>
      <c r="D73" s="77"/>
      <c r="E73" s="77"/>
      <c r="F73" s="77"/>
      <c r="G73" s="77"/>
      <c r="H73" s="77"/>
      <c r="I73" s="4"/>
      <c r="J73" s="4"/>
      <c r="K73" s="4"/>
      <c r="L73" s="4"/>
      <c r="M73" s="4"/>
      <c r="N73" s="4"/>
      <c r="O73" s="4"/>
      <c r="P73" s="4"/>
      <c r="Q73" s="4"/>
      <c r="R73" s="4"/>
    </row>
    <row r="74">
      <c r="A74" s="72" t="s">
        <v>179</v>
      </c>
      <c r="B74" s="71"/>
      <c r="C74" s="76"/>
      <c r="D74" s="77"/>
      <c r="E74" s="77"/>
      <c r="F74" s="77"/>
      <c r="G74" s="77"/>
      <c r="H74" s="77"/>
      <c r="I74" s="4"/>
      <c r="J74" s="4"/>
      <c r="K74" s="4"/>
      <c r="L74" s="4"/>
      <c r="M74" s="4"/>
      <c r="N74" s="4"/>
      <c r="O74" s="4"/>
      <c r="P74" s="4"/>
      <c r="Q74" s="4"/>
      <c r="R74" s="4"/>
    </row>
    <row r="75">
      <c r="A75" s="72" t="s">
        <v>181</v>
      </c>
      <c r="B75" s="71"/>
      <c r="C75" s="76"/>
      <c r="D75" s="77"/>
      <c r="E75" s="77"/>
      <c r="F75" s="77"/>
      <c r="G75" s="77"/>
      <c r="H75" s="77"/>
      <c r="I75" s="4"/>
      <c r="J75" s="4"/>
      <c r="K75" s="4"/>
      <c r="L75" s="4"/>
      <c r="M75" s="4"/>
      <c r="N75" s="4"/>
      <c r="O75" s="4"/>
      <c r="P75" s="4"/>
      <c r="Q75" s="4"/>
      <c r="R75" s="4"/>
    </row>
    <row r="76">
      <c r="A76" s="72" t="s">
        <v>184</v>
      </c>
      <c r="B76" s="78">
        <v>6.415037</v>
      </c>
      <c r="C76" s="79">
        <v>1.27741</v>
      </c>
      <c r="D76" s="80">
        <v>117.9051</v>
      </c>
      <c r="E76" s="80">
        <v>175.8914</v>
      </c>
      <c r="F76" s="80">
        <v>1.25653</v>
      </c>
      <c r="G76" s="80">
        <v>88.08528</v>
      </c>
      <c r="H76" s="80">
        <v>96.2046</v>
      </c>
      <c r="I76" s="6">
        <v>178.3828</v>
      </c>
      <c r="J76" s="6">
        <v>169.1508</v>
      </c>
      <c r="K76" s="6">
        <v>168.1635</v>
      </c>
      <c r="L76" s="6">
        <v>165.006</v>
      </c>
      <c r="M76" s="6">
        <v>1.99531</v>
      </c>
      <c r="N76" s="6">
        <v>1.98373</v>
      </c>
      <c r="O76" s="6">
        <v>2.10793</v>
      </c>
      <c r="P76" s="6">
        <v>2.10198</v>
      </c>
      <c r="Q76" s="6">
        <v>2.61864</v>
      </c>
      <c r="R76" s="6">
        <v>154.4373</v>
      </c>
    </row>
    <row r="77">
      <c r="A77" s="72" t="s">
        <v>186</v>
      </c>
      <c r="B77" s="78">
        <v>11.49661</v>
      </c>
      <c r="C77" s="79">
        <v>1.23921</v>
      </c>
      <c r="D77" s="80">
        <v>119.8483</v>
      </c>
      <c r="E77" s="80">
        <v>170.7402</v>
      </c>
      <c r="F77" s="80">
        <v>1.29514</v>
      </c>
      <c r="G77" s="80">
        <v>76.12539</v>
      </c>
      <c r="H77" s="80">
        <v>81.34518</v>
      </c>
      <c r="I77" s="6">
        <v>128.0823</v>
      </c>
      <c r="J77" s="6">
        <v>173.9239</v>
      </c>
      <c r="K77" s="6">
        <v>170.6841</v>
      </c>
      <c r="L77" s="6">
        <v>153.2849</v>
      </c>
      <c r="M77" s="6">
        <v>2.1371</v>
      </c>
      <c r="N77" s="6">
        <v>2.09828</v>
      </c>
      <c r="O77" s="6">
        <v>2.34757</v>
      </c>
      <c r="P77" s="6">
        <v>2.16053</v>
      </c>
      <c r="Q77" s="6">
        <v>2.5946</v>
      </c>
      <c r="R77" s="6">
        <v>144.5518</v>
      </c>
    </row>
    <row r="78">
      <c r="A78" s="72" t="s">
        <v>188</v>
      </c>
      <c r="B78" s="71"/>
      <c r="C78" s="76"/>
      <c r="D78" s="77"/>
      <c r="E78" s="77"/>
      <c r="F78" s="77"/>
      <c r="G78" s="77"/>
      <c r="H78" s="77"/>
      <c r="I78" s="4"/>
      <c r="J78" s="4"/>
      <c r="K78" s="4"/>
      <c r="L78" s="4"/>
      <c r="M78" s="4"/>
      <c r="N78" s="4"/>
      <c r="O78" s="4"/>
      <c r="P78" s="4"/>
      <c r="Q78" s="4"/>
      <c r="R78" s="4"/>
    </row>
    <row r="79">
      <c r="A79" s="72" t="s">
        <v>191</v>
      </c>
      <c r="B79" s="78">
        <v>6.289533</v>
      </c>
      <c r="C79" s="79">
        <v>1.29981</v>
      </c>
      <c r="D79" s="80">
        <v>107.3813</v>
      </c>
      <c r="E79" s="80">
        <v>172.6013</v>
      </c>
      <c r="F79" s="80">
        <v>1.24484</v>
      </c>
      <c r="G79" s="80">
        <v>62.64001</v>
      </c>
      <c r="H79" s="80">
        <v>61.79774</v>
      </c>
      <c r="I79" s="6">
        <v>161.839</v>
      </c>
      <c r="J79" s="6">
        <v>172.4787</v>
      </c>
      <c r="K79" s="6">
        <v>176.352</v>
      </c>
      <c r="L79" s="6">
        <v>156.1116</v>
      </c>
      <c r="M79" s="6">
        <v>1.98442</v>
      </c>
      <c r="N79" s="6">
        <v>1.97835</v>
      </c>
      <c r="O79" s="6">
        <v>2.07604</v>
      </c>
      <c r="P79" s="6">
        <v>2.20742</v>
      </c>
      <c r="Q79" s="6">
        <v>2.38021</v>
      </c>
      <c r="R79" s="6">
        <v>144.6172</v>
      </c>
    </row>
    <row r="80">
      <c r="A80" s="72" t="s">
        <v>193</v>
      </c>
      <c r="B80" s="78">
        <v>10.76995</v>
      </c>
      <c r="C80" s="79">
        <v>1.24556</v>
      </c>
      <c r="D80" s="80">
        <v>108.61</v>
      </c>
      <c r="E80" s="80">
        <v>175.1564</v>
      </c>
      <c r="F80" s="80">
        <v>1.27116</v>
      </c>
      <c r="G80" s="80">
        <v>66.75468</v>
      </c>
      <c r="H80" s="80">
        <v>64.48072</v>
      </c>
      <c r="I80" s="6">
        <v>163.285</v>
      </c>
      <c r="J80" s="6">
        <v>171.343</v>
      </c>
      <c r="K80" s="6">
        <v>175.4643</v>
      </c>
      <c r="L80" s="6">
        <v>158.0876</v>
      </c>
      <c r="M80" s="6">
        <v>1.97569</v>
      </c>
      <c r="N80" s="6">
        <v>1.99006</v>
      </c>
      <c r="O80" s="6">
        <v>2.06382</v>
      </c>
      <c r="P80" s="6">
        <v>2.14144</v>
      </c>
      <c r="Q80" s="6">
        <v>2.36479</v>
      </c>
      <c r="R80" s="6">
        <v>145.4213</v>
      </c>
    </row>
    <row r="81">
      <c r="A81" s="72" t="s">
        <v>195</v>
      </c>
      <c r="B81" s="71"/>
      <c r="C81" s="76"/>
      <c r="D81" s="77"/>
      <c r="E81" s="77"/>
      <c r="F81" s="77"/>
      <c r="G81" s="77"/>
      <c r="H81" s="77"/>
      <c r="I81" s="4"/>
      <c r="J81" s="4"/>
      <c r="K81" s="4"/>
      <c r="L81" s="4"/>
      <c r="M81" s="4"/>
      <c r="N81" s="4"/>
      <c r="O81" s="4"/>
      <c r="P81" s="4"/>
      <c r="Q81" s="4"/>
      <c r="R81" s="4"/>
    </row>
    <row r="82">
      <c r="A82" s="72" t="s">
        <v>197</v>
      </c>
      <c r="B82" s="71"/>
      <c r="C82" s="76"/>
      <c r="D82" s="77"/>
      <c r="E82" s="77"/>
      <c r="F82" s="77"/>
      <c r="G82" s="77"/>
      <c r="H82" s="77"/>
      <c r="I82" s="4"/>
      <c r="J82" s="4"/>
      <c r="K82" s="4"/>
      <c r="L82" s="4"/>
      <c r="M82" s="4"/>
      <c r="N82" s="4"/>
      <c r="O82" s="4"/>
      <c r="P82" s="4"/>
      <c r="Q82" s="4"/>
      <c r="R82" s="4"/>
    </row>
    <row r="83">
      <c r="A83" s="72" t="s">
        <v>199</v>
      </c>
      <c r="B83" s="71"/>
      <c r="C83" s="76"/>
      <c r="D83" s="77"/>
      <c r="E83" s="77"/>
      <c r="F83" s="77"/>
      <c r="G83" s="77"/>
      <c r="H83" s="77"/>
      <c r="I83" s="4"/>
      <c r="J83" s="4"/>
      <c r="K83" s="4"/>
      <c r="L83" s="4"/>
      <c r="M83" s="4"/>
      <c r="N83" s="4"/>
      <c r="O83" s="4"/>
      <c r="P83" s="4"/>
      <c r="Q83" s="4"/>
      <c r="R83" s="4"/>
    </row>
    <row r="84">
      <c r="A84" s="72" t="s">
        <v>201</v>
      </c>
      <c r="B84" s="71"/>
      <c r="C84" s="76"/>
      <c r="D84" s="77"/>
      <c r="E84" s="77"/>
      <c r="F84" s="77"/>
      <c r="G84" s="77"/>
      <c r="H84" s="77"/>
      <c r="I84" s="4"/>
      <c r="J84" s="4"/>
      <c r="K84" s="4"/>
      <c r="L84" s="4"/>
      <c r="M84" s="4"/>
      <c r="N84" s="4"/>
      <c r="O84" s="4"/>
      <c r="P84" s="4"/>
      <c r="Q84" s="4"/>
      <c r="R84" s="4"/>
    </row>
    <row r="85">
      <c r="A85" s="72" t="s">
        <v>203</v>
      </c>
      <c r="B85" s="78">
        <v>10.3056</v>
      </c>
      <c r="C85" s="79">
        <v>1.25153</v>
      </c>
      <c r="D85" s="80">
        <v>118.8401</v>
      </c>
      <c r="E85" s="80">
        <v>173.5312</v>
      </c>
      <c r="F85" s="80">
        <v>1.2761</v>
      </c>
      <c r="G85" s="80">
        <v>91.38901</v>
      </c>
      <c r="H85" s="80">
        <v>99.71638</v>
      </c>
      <c r="I85" s="6">
        <v>176.5634</v>
      </c>
      <c r="J85" s="6">
        <v>169.9227</v>
      </c>
      <c r="K85" s="6">
        <v>168.5224</v>
      </c>
      <c r="L85" s="6">
        <v>162.8059</v>
      </c>
      <c r="M85" s="6">
        <v>2.08349</v>
      </c>
      <c r="N85" s="6">
        <v>2.07993</v>
      </c>
      <c r="O85" s="6">
        <v>2.11807</v>
      </c>
      <c r="P85" s="6">
        <v>2.10332</v>
      </c>
      <c r="Q85" s="6">
        <v>2.59023</v>
      </c>
      <c r="R85" s="6">
        <v>153.409</v>
      </c>
    </row>
    <row r="86">
      <c r="A86" s="72" t="s">
        <v>205</v>
      </c>
      <c r="B86" s="71"/>
      <c r="C86" s="76"/>
      <c r="D86" s="77"/>
      <c r="E86" s="77"/>
      <c r="F86" s="77"/>
      <c r="G86" s="77"/>
      <c r="H86" s="77"/>
      <c r="I86" s="4"/>
      <c r="J86" s="4"/>
      <c r="K86" s="4"/>
      <c r="L86" s="4"/>
      <c r="M86" s="4"/>
      <c r="N86" s="4"/>
      <c r="O86" s="4"/>
      <c r="P86" s="4"/>
      <c r="Q86" s="4"/>
      <c r="R86" s="4"/>
    </row>
    <row r="87">
      <c r="A87" s="72" t="s">
        <v>207</v>
      </c>
      <c r="B87" s="71"/>
      <c r="C87" s="76"/>
      <c r="D87" s="77"/>
      <c r="E87" s="77"/>
      <c r="F87" s="77"/>
      <c r="G87" s="77"/>
      <c r="H87" s="77"/>
      <c r="I87" s="4"/>
      <c r="J87" s="4"/>
      <c r="K87" s="4"/>
      <c r="L87" s="4"/>
      <c r="M87" s="4"/>
      <c r="N87" s="4"/>
      <c r="O87" s="4"/>
      <c r="P87" s="4"/>
      <c r="Q87" s="4"/>
      <c r="R87" s="4"/>
    </row>
    <row r="88">
      <c r="A88" s="72" t="s">
        <v>209</v>
      </c>
      <c r="B88" s="81" t="s">
        <v>1305</v>
      </c>
      <c r="C88" s="79">
        <v>1.294139</v>
      </c>
      <c r="D88" s="80">
        <v>114.5889</v>
      </c>
      <c r="E88" s="80">
        <v>172.0151</v>
      </c>
      <c r="F88" s="80">
        <v>1.260233</v>
      </c>
      <c r="G88" s="80">
        <v>83.42793</v>
      </c>
      <c r="H88" s="80">
        <v>92.05865</v>
      </c>
      <c r="I88" s="82">
        <v>168.1379</v>
      </c>
      <c r="J88" s="82">
        <v>170.1972</v>
      </c>
      <c r="K88" s="82">
        <v>170.7712</v>
      </c>
      <c r="L88" s="82">
        <v>156.6211</v>
      </c>
      <c r="M88" s="82">
        <v>2.017263</v>
      </c>
      <c r="N88" s="82">
        <v>2.01185</v>
      </c>
      <c r="O88" s="82">
        <v>2.133089</v>
      </c>
      <c r="P88" s="82">
        <v>2.086766</v>
      </c>
      <c r="Q88" s="82">
        <v>2.516445</v>
      </c>
      <c r="R88" s="82">
        <v>147.4555</v>
      </c>
    </row>
    <row r="89">
      <c r="A89" s="71"/>
      <c r="B89" s="83" t="s">
        <v>1306</v>
      </c>
      <c r="C89" s="79">
        <v>1.261085</v>
      </c>
      <c r="D89" s="80">
        <v>114.5063</v>
      </c>
      <c r="E89" s="80">
        <v>174.557</v>
      </c>
      <c r="F89" s="80">
        <v>1.265335</v>
      </c>
      <c r="G89" s="80">
        <v>73.83943</v>
      </c>
      <c r="H89" s="80">
        <v>76.28407</v>
      </c>
      <c r="I89" s="80">
        <v>167.5983</v>
      </c>
      <c r="J89" s="80">
        <v>171.4957</v>
      </c>
      <c r="K89" s="80">
        <v>171.8165</v>
      </c>
      <c r="L89" s="80">
        <v>158.5744</v>
      </c>
      <c r="M89" s="80">
        <v>1.998405</v>
      </c>
      <c r="N89" s="80">
        <v>1.994765</v>
      </c>
      <c r="O89" s="80">
        <v>2.085255</v>
      </c>
      <c r="P89" s="80">
        <v>2.09807</v>
      </c>
      <c r="Q89" s="80">
        <v>2.56327</v>
      </c>
      <c r="R89" s="80">
        <v>147.6338</v>
      </c>
    </row>
    <row r="90">
      <c r="A90" s="71"/>
      <c r="B90" s="71"/>
      <c r="C90" s="76"/>
      <c r="D90" s="77"/>
      <c r="E90" s="77"/>
      <c r="F90" s="77"/>
      <c r="G90" s="77"/>
      <c r="H90" s="77"/>
      <c r="I90" s="4"/>
      <c r="J90" s="4"/>
      <c r="K90" s="4"/>
      <c r="L90" s="4"/>
      <c r="M90" s="4"/>
      <c r="N90" s="4"/>
      <c r="O90" s="4"/>
      <c r="P90" s="4"/>
      <c r="Q90" s="4"/>
      <c r="R90" s="4"/>
    </row>
    <row r="91">
      <c r="A91" s="71"/>
      <c r="B91" s="71"/>
      <c r="C91" s="76"/>
      <c r="D91" s="77"/>
      <c r="E91" s="77"/>
      <c r="F91" s="77"/>
      <c r="G91" s="77"/>
      <c r="H91" s="77"/>
      <c r="I91" s="4"/>
      <c r="J91" s="4"/>
      <c r="K91" s="4"/>
      <c r="L91" s="4"/>
      <c r="M91" s="4"/>
      <c r="N91" s="4"/>
      <c r="O91" s="4"/>
      <c r="P91" s="4"/>
      <c r="Q91" s="4"/>
      <c r="R91" s="4"/>
    </row>
    <row r="92">
      <c r="A92" s="71"/>
      <c r="B92" s="71"/>
      <c r="C92" s="84"/>
      <c r="D92" s="77">
        <f t="shared" ref="D92:D93" si="1">C88+F88</f>
        <v>2.554372</v>
      </c>
      <c r="E92" s="77"/>
      <c r="F92" s="77"/>
      <c r="G92" s="77"/>
      <c r="H92" s="77"/>
      <c r="I92" s="4"/>
      <c r="J92" s="4"/>
      <c r="K92" s="4"/>
      <c r="L92" s="4"/>
      <c r="M92" s="4"/>
      <c r="N92" s="4"/>
      <c r="O92" s="4"/>
      <c r="P92" s="4"/>
      <c r="Q92" s="4"/>
      <c r="R92" s="4"/>
    </row>
    <row r="93">
      <c r="A93" s="71"/>
      <c r="B93" s="71"/>
      <c r="C93" s="76"/>
      <c r="D93" s="77">
        <f t="shared" si="1"/>
        <v>2.52642</v>
      </c>
      <c r="E93" s="77"/>
      <c r="F93" s="77"/>
      <c r="G93" s="77"/>
      <c r="H93" s="77"/>
      <c r="I93" s="4"/>
      <c r="J93" s="4"/>
      <c r="K93" s="4"/>
      <c r="L93" s="4"/>
      <c r="M93" s="4"/>
      <c r="N93" s="4"/>
      <c r="O93" s="4"/>
      <c r="P93" s="4"/>
      <c r="Q93" s="4"/>
      <c r="R93" s="4"/>
    </row>
    <row r="94">
      <c r="A94" s="71"/>
      <c r="B94" s="71"/>
      <c r="C94" s="76"/>
      <c r="D94" s="77"/>
      <c r="E94" s="77"/>
      <c r="F94" s="77"/>
      <c r="G94" s="77"/>
      <c r="H94" s="77"/>
      <c r="I94" s="4"/>
      <c r="J94" s="4"/>
      <c r="K94" s="4"/>
      <c r="L94" s="4"/>
      <c r="M94" s="4"/>
      <c r="N94" s="4"/>
      <c r="O94" s="4"/>
      <c r="P94" s="4"/>
      <c r="Q94" s="4"/>
      <c r="R94" s="4"/>
    </row>
    <row r="95">
      <c r="A95" s="71"/>
      <c r="B95" s="71"/>
      <c r="C95" s="76"/>
      <c r="D95" s="77"/>
      <c r="E95" s="77"/>
      <c r="F95" s="77"/>
      <c r="G95" s="77"/>
      <c r="H95" s="77"/>
      <c r="I95" s="4"/>
      <c r="J95" s="4"/>
      <c r="K95" s="4"/>
      <c r="L95" s="4"/>
      <c r="M95" s="4"/>
      <c r="N95" s="4"/>
      <c r="O95" s="4"/>
      <c r="P95" s="4"/>
      <c r="Q95" s="4"/>
      <c r="R95" s="4"/>
    </row>
    <row r="96">
      <c r="A96" s="71"/>
      <c r="B96" s="71"/>
      <c r="C96" s="76"/>
      <c r="D96" s="77"/>
      <c r="E96" s="77"/>
      <c r="F96" s="77"/>
      <c r="G96" s="77"/>
      <c r="H96" s="77"/>
      <c r="I96" s="4"/>
      <c r="J96" s="4"/>
      <c r="K96" s="4"/>
      <c r="L96" s="4"/>
      <c r="M96" s="4"/>
      <c r="N96" s="4"/>
      <c r="O96" s="4"/>
      <c r="P96" s="4"/>
      <c r="Q96" s="4"/>
      <c r="R96" s="4"/>
    </row>
    <row r="97">
      <c r="A97" s="71"/>
      <c r="B97" s="71"/>
      <c r="C97" s="76"/>
      <c r="D97" s="77"/>
      <c r="E97" s="77"/>
      <c r="F97" s="77"/>
      <c r="G97" s="77"/>
      <c r="H97" s="77"/>
      <c r="I97" s="4"/>
      <c r="J97" s="4"/>
      <c r="K97" s="4"/>
      <c r="L97" s="4"/>
      <c r="M97" s="4"/>
      <c r="N97" s="4"/>
      <c r="O97" s="4"/>
      <c r="P97" s="4"/>
      <c r="Q97" s="4"/>
      <c r="R97" s="4"/>
    </row>
    <row r="98">
      <c r="A98" s="71"/>
      <c r="B98" s="71"/>
      <c r="C98" s="76"/>
      <c r="D98" s="77"/>
      <c r="E98" s="77"/>
      <c r="F98" s="77"/>
      <c r="G98" s="77"/>
      <c r="H98" s="77"/>
      <c r="I98" s="4"/>
      <c r="J98" s="4"/>
      <c r="K98" s="4"/>
      <c r="L98" s="4"/>
      <c r="M98" s="4"/>
      <c r="N98" s="4"/>
      <c r="O98" s="4"/>
      <c r="P98" s="4"/>
      <c r="Q98" s="4"/>
      <c r="R98" s="4"/>
    </row>
    <row r="99">
      <c r="A99" s="71"/>
      <c r="B99" s="71"/>
      <c r="C99" s="76"/>
      <c r="D99" s="77"/>
      <c r="E99" s="77"/>
      <c r="F99" s="77"/>
      <c r="G99" s="77"/>
      <c r="H99" s="77"/>
      <c r="I99" s="4"/>
      <c r="J99" s="4"/>
      <c r="K99" s="4"/>
      <c r="L99" s="4"/>
      <c r="M99" s="4"/>
      <c r="N99" s="4"/>
      <c r="O99" s="4"/>
      <c r="P99" s="4"/>
      <c r="Q99" s="4"/>
      <c r="R99" s="4"/>
    </row>
    <row r="100">
      <c r="A100" s="71"/>
      <c r="B100" s="71"/>
      <c r="C100" s="76"/>
      <c r="D100" s="77"/>
      <c r="E100" s="77"/>
      <c r="F100" s="77"/>
      <c r="G100" s="77"/>
      <c r="H100" s="77"/>
      <c r="I100" s="4"/>
      <c r="J100" s="4"/>
      <c r="K100" s="4"/>
      <c r="L100" s="4"/>
      <c r="M100" s="4"/>
      <c r="N100" s="4"/>
      <c r="O100" s="4"/>
      <c r="P100" s="4"/>
      <c r="Q100" s="4"/>
      <c r="R100" s="4"/>
    </row>
    <row r="101">
      <c r="A101" s="71"/>
      <c r="B101" s="71"/>
      <c r="C101" s="76"/>
      <c r="D101" s="77"/>
      <c r="E101" s="77"/>
      <c r="F101" s="77"/>
      <c r="G101" s="77"/>
      <c r="H101" s="77"/>
      <c r="I101" s="4"/>
      <c r="J101" s="4"/>
      <c r="K101" s="4"/>
      <c r="L101" s="4"/>
      <c r="M101" s="4"/>
      <c r="N101" s="4"/>
      <c r="O101" s="4"/>
      <c r="P101" s="4"/>
      <c r="Q101" s="4"/>
      <c r="R101" s="4"/>
    </row>
    <row r="102">
      <c r="A102" s="71"/>
      <c r="B102" s="71"/>
      <c r="C102" s="76"/>
      <c r="D102" s="77"/>
      <c r="E102" s="77"/>
      <c r="F102" s="77"/>
      <c r="G102" s="77"/>
      <c r="H102" s="77"/>
      <c r="I102" s="4"/>
      <c r="J102" s="4"/>
      <c r="K102" s="4"/>
      <c r="L102" s="4"/>
      <c r="M102" s="4"/>
      <c r="N102" s="4"/>
      <c r="O102" s="4"/>
      <c r="P102" s="4"/>
      <c r="Q102" s="4"/>
      <c r="R102" s="4"/>
    </row>
    <row r="103">
      <c r="A103" s="71"/>
      <c r="B103" s="71"/>
      <c r="C103" s="76"/>
      <c r="D103" s="77"/>
      <c r="E103" s="77"/>
      <c r="F103" s="77"/>
      <c r="G103" s="77"/>
      <c r="H103" s="77"/>
      <c r="I103" s="4"/>
      <c r="J103" s="4"/>
      <c r="K103" s="4"/>
      <c r="L103" s="4"/>
      <c r="M103" s="4"/>
      <c r="N103" s="4"/>
      <c r="O103" s="4"/>
      <c r="P103" s="4"/>
      <c r="Q103" s="4"/>
      <c r="R103" s="4"/>
    </row>
    <row r="104">
      <c r="A104" s="71"/>
      <c r="B104" s="71"/>
      <c r="C104" s="76"/>
      <c r="D104" s="77"/>
      <c r="E104" s="77"/>
      <c r="F104" s="77"/>
      <c r="G104" s="77"/>
      <c r="H104" s="77"/>
      <c r="I104" s="4"/>
      <c r="J104" s="4"/>
      <c r="K104" s="4"/>
      <c r="L104" s="4"/>
      <c r="M104" s="4"/>
      <c r="N104" s="4"/>
      <c r="O104" s="4"/>
      <c r="P104" s="4"/>
      <c r="Q104" s="4"/>
      <c r="R104" s="4"/>
    </row>
    <row r="105">
      <c r="A105" s="71"/>
      <c r="B105" s="71"/>
      <c r="C105" s="76"/>
      <c r="D105" s="77"/>
      <c r="E105" s="77"/>
      <c r="F105" s="77"/>
      <c r="G105" s="77"/>
      <c r="H105" s="77"/>
      <c r="I105" s="4"/>
      <c r="J105" s="4"/>
      <c r="K105" s="4"/>
      <c r="L105" s="4"/>
      <c r="M105" s="4"/>
      <c r="N105" s="4"/>
      <c r="O105" s="4"/>
      <c r="P105" s="4"/>
      <c r="Q105" s="4"/>
      <c r="R105" s="4"/>
    </row>
    <row r="106">
      <c r="A106" s="71"/>
      <c r="B106" s="71"/>
      <c r="C106" s="76"/>
      <c r="D106" s="77"/>
      <c r="E106" s="77"/>
      <c r="F106" s="77"/>
      <c r="G106" s="77"/>
      <c r="H106" s="77"/>
      <c r="I106" s="4"/>
      <c r="J106" s="4"/>
      <c r="K106" s="4"/>
      <c r="L106" s="4"/>
      <c r="M106" s="4"/>
      <c r="N106" s="4"/>
      <c r="O106" s="4"/>
      <c r="P106" s="4"/>
      <c r="Q106" s="4"/>
      <c r="R106" s="4"/>
    </row>
    <row r="107">
      <c r="A107" s="71"/>
      <c r="B107" s="71"/>
      <c r="C107" s="76"/>
      <c r="D107" s="77"/>
      <c r="E107" s="77"/>
      <c r="F107" s="77"/>
      <c r="G107" s="77"/>
      <c r="H107" s="77"/>
      <c r="I107" s="4"/>
      <c r="J107" s="4"/>
      <c r="K107" s="4"/>
      <c r="L107" s="4"/>
      <c r="M107" s="4"/>
      <c r="N107" s="4"/>
      <c r="O107" s="4"/>
      <c r="P107" s="4"/>
      <c r="Q107" s="4"/>
      <c r="R107" s="4"/>
    </row>
    <row r="108">
      <c r="A108" s="71"/>
      <c r="B108" s="71"/>
      <c r="C108" s="76"/>
      <c r="D108" s="77"/>
      <c r="E108" s="77"/>
      <c r="F108" s="77"/>
      <c r="G108" s="77"/>
      <c r="H108" s="77"/>
      <c r="I108" s="4"/>
      <c r="J108" s="4"/>
      <c r="K108" s="4"/>
      <c r="L108" s="4"/>
      <c r="M108" s="4"/>
      <c r="N108" s="4"/>
      <c r="O108" s="4"/>
      <c r="P108" s="4"/>
      <c r="Q108" s="4"/>
      <c r="R108" s="4"/>
    </row>
    <row r="109">
      <c r="A109" s="71"/>
      <c r="B109" s="71"/>
      <c r="C109" s="76"/>
      <c r="D109" s="77"/>
      <c r="E109" s="77"/>
      <c r="F109" s="77"/>
      <c r="G109" s="77"/>
      <c r="H109" s="77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>
      <c r="A110" s="71"/>
      <c r="B110" s="71"/>
      <c r="C110" s="76"/>
      <c r="D110" s="77"/>
      <c r="E110" s="77"/>
      <c r="F110" s="77"/>
      <c r="G110" s="77"/>
      <c r="H110" s="77"/>
      <c r="I110" s="4"/>
      <c r="J110" s="4"/>
      <c r="K110" s="4"/>
      <c r="L110" s="4"/>
      <c r="M110" s="4"/>
      <c r="N110" s="4"/>
      <c r="O110" s="4"/>
      <c r="P110" s="4"/>
      <c r="Q110" s="4"/>
      <c r="R110" s="4"/>
    </row>
    <row r="111">
      <c r="A111" s="71"/>
      <c r="B111" s="71"/>
      <c r="C111" s="76"/>
      <c r="D111" s="77"/>
      <c r="E111" s="77"/>
      <c r="F111" s="77"/>
      <c r="G111" s="77"/>
      <c r="H111" s="77"/>
      <c r="I111" s="4"/>
      <c r="J111" s="4"/>
      <c r="K111" s="4"/>
      <c r="L111" s="4"/>
      <c r="M111" s="4"/>
      <c r="N111" s="4"/>
      <c r="O111" s="4"/>
      <c r="P111" s="4"/>
      <c r="Q111" s="4"/>
      <c r="R111" s="4"/>
    </row>
    <row r="112">
      <c r="A112" s="71"/>
      <c r="B112" s="71"/>
      <c r="C112" s="76"/>
      <c r="D112" s="77"/>
      <c r="E112" s="77"/>
      <c r="F112" s="77"/>
      <c r="G112" s="77"/>
      <c r="H112" s="77"/>
      <c r="I112" s="4"/>
      <c r="J112" s="4"/>
      <c r="K112" s="4"/>
      <c r="L112" s="4"/>
      <c r="M112" s="4"/>
      <c r="N112" s="4"/>
      <c r="O112" s="4"/>
      <c r="P112" s="4"/>
      <c r="Q112" s="4"/>
      <c r="R112" s="4"/>
    </row>
    <row r="113">
      <c r="A113" s="71"/>
      <c r="B113" s="71"/>
      <c r="C113" s="76"/>
      <c r="D113" s="77"/>
      <c r="E113" s="77"/>
      <c r="F113" s="77"/>
      <c r="G113" s="77"/>
      <c r="H113" s="77"/>
      <c r="I113" s="4"/>
      <c r="J113" s="4"/>
      <c r="K113" s="4"/>
      <c r="L113" s="4"/>
      <c r="M113" s="4"/>
      <c r="N113" s="4"/>
      <c r="O113" s="4"/>
      <c r="P113" s="4"/>
      <c r="Q113" s="4"/>
      <c r="R113" s="4"/>
    </row>
    <row r="114">
      <c r="A114" s="71"/>
      <c r="B114" s="71"/>
      <c r="C114" s="76"/>
      <c r="D114" s="77"/>
      <c r="E114" s="77"/>
      <c r="F114" s="77"/>
      <c r="G114" s="77"/>
      <c r="H114" s="77"/>
      <c r="I114" s="4"/>
      <c r="J114" s="4"/>
      <c r="K114" s="4"/>
      <c r="L114" s="4"/>
      <c r="M114" s="4"/>
      <c r="N114" s="4"/>
      <c r="O114" s="4"/>
      <c r="P114" s="4"/>
      <c r="Q114" s="4"/>
      <c r="R114" s="4"/>
    </row>
    <row r="115">
      <c r="A115" s="71"/>
      <c r="B115" s="71"/>
      <c r="C115" s="76"/>
      <c r="D115" s="77"/>
      <c r="E115" s="77"/>
      <c r="F115" s="77"/>
      <c r="G115" s="77"/>
      <c r="H115" s="77"/>
      <c r="I115" s="4"/>
      <c r="J115" s="4"/>
      <c r="K115" s="4"/>
      <c r="L115" s="4"/>
      <c r="M115" s="4"/>
      <c r="N115" s="4"/>
      <c r="O115" s="4"/>
      <c r="P115" s="4"/>
      <c r="Q115" s="4"/>
      <c r="R115" s="4"/>
    </row>
    <row r="116">
      <c r="A116" s="71"/>
      <c r="B116" s="71"/>
      <c r="C116" s="76"/>
      <c r="D116" s="77"/>
      <c r="E116" s="77"/>
      <c r="F116" s="77"/>
      <c r="G116" s="77"/>
      <c r="H116" s="77"/>
      <c r="I116" s="4"/>
      <c r="J116" s="4"/>
      <c r="K116" s="4"/>
      <c r="L116" s="4"/>
      <c r="M116" s="4"/>
      <c r="N116" s="4"/>
      <c r="O116" s="4"/>
      <c r="P116" s="4"/>
      <c r="Q116" s="4"/>
      <c r="R116" s="4"/>
    </row>
    <row r="117">
      <c r="A117" s="71"/>
      <c r="B117" s="71"/>
      <c r="C117" s="76"/>
      <c r="D117" s="77"/>
      <c r="E117" s="77"/>
      <c r="F117" s="77"/>
      <c r="G117" s="77"/>
      <c r="H117" s="77"/>
      <c r="I117" s="4"/>
      <c r="J117" s="4"/>
      <c r="K117" s="4"/>
      <c r="L117" s="4"/>
      <c r="M117" s="4"/>
      <c r="N117" s="4"/>
      <c r="O117" s="4"/>
      <c r="P117" s="4"/>
      <c r="Q117" s="4"/>
      <c r="R117" s="4"/>
    </row>
    <row r="118">
      <c r="A118" s="71"/>
      <c r="B118" s="71"/>
      <c r="C118" s="76"/>
      <c r="D118" s="77"/>
      <c r="E118" s="77"/>
      <c r="F118" s="77"/>
      <c r="G118" s="77"/>
      <c r="H118" s="77"/>
      <c r="I118" s="4"/>
      <c r="J118" s="4"/>
      <c r="K118" s="4"/>
      <c r="L118" s="4"/>
      <c r="M118" s="4"/>
      <c r="N118" s="4"/>
      <c r="O118" s="4"/>
      <c r="P118" s="4"/>
      <c r="Q118" s="4"/>
      <c r="R118" s="4"/>
    </row>
    <row r="119">
      <c r="A119" s="71"/>
      <c r="B119" s="71"/>
      <c r="C119" s="76"/>
      <c r="D119" s="77"/>
      <c r="E119" s="77"/>
      <c r="F119" s="77"/>
      <c r="G119" s="77"/>
      <c r="H119" s="77"/>
      <c r="I119" s="4"/>
      <c r="J119" s="4"/>
      <c r="K119" s="4"/>
      <c r="L119" s="4"/>
      <c r="M119" s="4"/>
      <c r="N119" s="4"/>
      <c r="O119" s="4"/>
      <c r="P119" s="4"/>
      <c r="Q119" s="4"/>
      <c r="R119" s="4"/>
    </row>
    <row r="120">
      <c r="A120" s="71"/>
      <c r="B120" s="71"/>
      <c r="C120" s="76"/>
      <c r="D120" s="77"/>
      <c r="E120" s="77"/>
      <c r="F120" s="77"/>
      <c r="G120" s="77"/>
      <c r="H120" s="77"/>
      <c r="I120" s="4"/>
      <c r="J120" s="4"/>
      <c r="K120" s="4"/>
      <c r="L120" s="4"/>
      <c r="M120" s="4"/>
      <c r="N120" s="4"/>
      <c r="O120" s="4"/>
      <c r="P120" s="4"/>
      <c r="Q120" s="4"/>
      <c r="R120" s="4"/>
    </row>
    <row r="121">
      <c r="A121" s="71"/>
      <c r="B121" s="71"/>
      <c r="C121" s="76"/>
      <c r="D121" s="77"/>
      <c r="E121" s="77"/>
      <c r="F121" s="77"/>
      <c r="G121" s="77"/>
      <c r="H121" s="77"/>
      <c r="I121" s="4"/>
      <c r="J121" s="4"/>
      <c r="K121" s="4"/>
      <c r="L121" s="4"/>
      <c r="M121" s="4"/>
      <c r="N121" s="4"/>
      <c r="O121" s="4"/>
      <c r="P121" s="4"/>
      <c r="Q121" s="4"/>
      <c r="R121" s="4"/>
    </row>
    <row r="122">
      <c r="A122" s="71"/>
      <c r="B122" s="71"/>
      <c r="C122" s="76"/>
      <c r="D122" s="77"/>
      <c r="E122" s="77"/>
      <c r="F122" s="77"/>
      <c r="G122" s="77"/>
      <c r="H122" s="77"/>
      <c r="I122" s="4"/>
      <c r="J122" s="4"/>
      <c r="K122" s="4"/>
      <c r="L122" s="4"/>
      <c r="M122" s="4"/>
      <c r="N122" s="4"/>
      <c r="O122" s="4"/>
      <c r="P122" s="4"/>
      <c r="Q122" s="4"/>
      <c r="R122" s="4"/>
    </row>
    <row r="123">
      <c r="A123" s="71"/>
      <c r="B123" s="71"/>
      <c r="C123" s="76"/>
      <c r="D123" s="77"/>
      <c r="E123" s="77"/>
      <c r="F123" s="77"/>
      <c r="G123" s="77"/>
      <c r="H123" s="77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>
      <c r="A124" s="71"/>
      <c r="B124" s="71"/>
      <c r="C124" s="76"/>
      <c r="D124" s="77"/>
      <c r="E124" s="77"/>
      <c r="F124" s="77"/>
      <c r="G124" s="77"/>
      <c r="H124" s="77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>
      <c r="A125" s="71"/>
      <c r="B125" s="71"/>
      <c r="C125" s="76"/>
      <c r="D125" s="77"/>
      <c r="E125" s="77"/>
      <c r="F125" s="77"/>
      <c r="G125" s="77"/>
      <c r="H125" s="77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>
      <c r="A126" s="71"/>
      <c r="B126" s="71"/>
      <c r="C126" s="76"/>
      <c r="D126" s="77"/>
      <c r="E126" s="77"/>
      <c r="F126" s="77"/>
      <c r="G126" s="77"/>
      <c r="H126" s="77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>
      <c r="A127" s="71"/>
      <c r="B127" s="71"/>
      <c r="C127" s="76"/>
      <c r="D127" s="77"/>
      <c r="E127" s="77"/>
      <c r="F127" s="77"/>
      <c r="G127" s="77"/>
      <c r="H127" s="77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>
      <c r="A128" s="71"/>
      <c r="B128" s="71"/>
      <c r="C128" s="76"/>
      <c r="D128" s="77"/>
      <c r="E128" s="77"/>
      <c r="F128" s="77"/>
      <c r="G128" s="77"/>
      <c r="H128" s="77"/>
      <c r="I128" s="4"/>
      <c r="J128" s="4"/>
      <c r="K128" s="4"/>
      <c r="L128" s="4"/>
      <c r="M128" s="4"/>
      <c r="N128" s="4"/>
      <c r="O128" s="4"/>
      <c r="P128" s="4"/>
      <c r="Q128" s="4"/>
      <c r="R128" s="4"/>
    </row>
    <row r="129">
      <c r="A129" s="71"/>
      <c r="B129" s="71"/>
      <c r="C129" s="76"/>
      <c r="D129" s="77"/>
      <c r="E129" s="77"/>
      <c r="F129" s="77"/>
      <c r="G129" s="77"/>
      <c r="H129" s="77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>
      <c r="A130" s="71"/>
      <c r="B130" s="71"/>
      <c r="C130" s="76"/>
      <c r="D130" s="77"/>
      <c r="E130" s="77"/>
      <c r="F130" s="77"/>
      <c r="G130" s="77"/>
      <c r="H130" s="77"/>
      <c r="I130" s="4"/>
      <c r="J130" s="4"/>
      <c r="K130" s="4"/>
      <c r="L130" s="4"/>
      <c r="M130" s="4"/>
      <c r="N130" s="4"/>
      <c r="O130" s="4"/>
      <c r="P130" s="4"/>
      <c r="Q130" s="4"/>
      <c r="R130" s="4"/>
    </row>
    <row r="131">
      <c r="A131" s="71"/>
      <c r="B131" s="71"/>
      <c r="C131" s="76"/>
      <c r="D131" s="77"/>
      <c r="E131" s="77"/>
      <c r="F131" s="77"/>
      <c r="G131" s="77"/>
      <c r="H131" s="77"/>
      <c r="I131" s="4"/>
      <c r="J131" s="4"/>
      <c r="K131" s="4"/>
      <c r="L131" s="4"/>
      <c r="M131" s="4"/>
      <c r="N131" s="4"/>
      <c r="O131" s="4"/>
      <c r="P131" s="4"/>
      <c r="Q131" s="4"/>
      <c r="R131" s="4"/>
    </row>
    <row r="132">
      <c r="A132" s="71"/>
      <c r="B132" s="71"/>
      <c r="C132" s="76"/>
      <c r="D132" s="77"/>
      <c r="E132" s="77"/>
      <c r="F132" s="77"/>
      <c r="G132" s="77"/>
      <c r="H132" s="77"/>
      <c r="I132" s="4"/>
      <c r="J132" s="4"/>
      <c r="K132" s="4"/>
      <c r="L132" s="4"/>
      <c r="M132" s="4"/>
      <c r="N132" s="4"/>
      <c r="O132" s="4"/>
      <c r="P132" s="4"/>
      <c r="Q132" s="4"/>
      <c r="R132" s="4"/>
    </row>
    <row r="133">
      <c r="A133" s="71"/>
      <c r="B133" s="71"/>
      <c r="C133" s="76"/>
      <c r="D133" s="77"/>
      <c r="E133" s="77"/>
      <c r="F133" s="77"/>
      <c r="G133" s="77"/>
      <c r="H133" s="77"/>
      <c r="I133" s="4"/>
      <c r="J133" s="4"/>
      <c r="K133" s="4"/>
      <c r="L133" s="4"/>
      <c r="M133" s="4"/>
      <c r="N133" s="4"/>
      <c r="O133" s="4"/>
      <c r="P133" s="4"/>
      <c r="Q133" s="4"/>
      <c r="R133" s="4"/>
    </row>
    <row r="134">
      <c r="A134" s="71"/>
      <c r="B134" s="71"/>
      <c r="C134" s="76"/>
      <c r="D134" s="77"/>
      <c r="E134" s="77"/>
      <c r="F134" s="77"/>
      <c r="G134" s="77"/>
      <c r="H134" s="77"/>
      <c r="I134" s="4"/>
      <c r="J134" s="4"/>
      <c r="K134" s="4"/>
      <c r="L134" s="4"/>
      <c r="M134" s="4"/>
      <c r="N134" s="4"/>
      <c r="O134" s="4"/>
      <c r="P134" s="4"/>
      <c r="Q134" s="4"/>
      <c r="R134" s="4"/>
    </row>
    <row r="135">
      <c r="A135" s="71"/>
      <c r="B135" s="71"/>
      <c r="C135" s="76"/>
      <c r="D135" s="77"/>
      <c r="E135" s="77"/>
      <c r="F135" s="77"/>
      <c r="G135" s="77"/>
      <c r="H135" s="77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>
      <c r="A136" s="71"/>
      <c r="B136" s="71"/>
      <c r="C136" s="76"/>
      <c r="D136" s="77"/>
      <c r="E136" s="77"/>
      <c r="F136" s="77"/>
      <c r="G136" s="77"/>
      <c r="H136" s="77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>
      <c r="A137" s="71"/>
      <c r="B137" s="71"/>
      <c r="C137" s="76"/>
      <c r="D137" s="77"/>
      <c r="E137" s="77"/>
      <c r="F137" s="77"/>
      <c r="G137" s="77"/>
      <c r="H137" s="77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>
      <c r="A138" s="71"/>
      <c r="B138" s="71"/>
      <c r="C138" s="76"/>
      <c r="D138" s="77"/>
      <c r="E138" s="77"/>
      <c r="F138" s="77"/>
      <c r="G138" s="77"/>
      <c r="H138" s="77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>
      <c r="A139" s="71"/>
      <c r="B139" s="71"/>
      <c r="C139" s="76"/>
      <c r="D139" s="77"/>
      <c r="E139" s="77"/>
      <c r="F139" s="77"/>
      <c r="G139" s="77"/>
      <c r="H139" s="77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>
      <c r="A140" s="71"/>
      <c r="B140" s="71"/>
      <c r="C140" s="76"/>
      <c r="D140" s="77"/>
      <c r="E140" s="77"/>
      <c r="F140" s="77"/>
      <c r="G140" s="77"/>
      <c r="H140" s="77"/>
      <c r="I140" s="4"/>
      <c r="J140" s="4"/>
      <c r="K140" s="4"/>
      <c r="L140" s="4"/>
      <c r="M140" s="4"/>
      <c r="N140" s="4"/>
      <c r="O140" s="4"/>
      <c r="P140" s="4"/>
      <c r="Q140" s="4"/>
      <c r="R140" s="4"/>
    </row>
    <row r="141">
      <c r="A141" s="71"/>
      <c r="B141" s="71"/>
      <c r="C141" s="76"/>
      <c r="D141" s="77"/>
      <c r="E141" s="77"/>
      <c r="F141" s="77"/>
      <c r="G141" s="77"/>
      <c r="H141" s="77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>
      <c r="A142" s="71"/>
      <c r="B142" s="71"/>
      <c r="C142" s="76"/>
      <c r="D142" s="77"/>
      <c r="E142" s="77"/>
      <c r="F142" s="77"/>
      <c r="G142" s="77"/>
      <c r="H142" s="77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>
      <c r="A143" s="71"/>
      <c r="B143" s="71"/>
      <c r="C143" s="76"/>
      <c r="D143" s="77"/>
      <c r="E143" s="77"/>
      <c r="F143" s="77"/>
      <c r="G143" s="77"/>
      <c r="H143" s="77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>
      <c r="A144" s="71"/>
      <c r="B144" s="71"/>
      <c r="C144" s="76"/>
      <c r="D144" s="77"/>
      <c r="E144" s="77"/>
      <c r="F144" s="77"/>
      <c r="G144" s="77"/>
      <c r="H144" s="77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>
      <c r="A145" s="71"/>
      <c r="B145" s="71"/>
      <c r="C145" s="76"/>
      <c r="D145" s="77"/>
      <c r="E145" s="77"/>
      <c r="F145" s="77"/>
      <c r="G145" s="77"/>
      <c r="H145" s="77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>
      <c r="A146" s="71"/>
      <c r="B146" s="71"/>
      <c r="C146" s="76"/>
      <c r="D146" s="77"/>
      <c r="E146" s="77"/>
      <c r="F146" s="77"/>
      <c r="G146" s="77"/>
      <c r="H146" s="77"/>
      <c r="I146" s="4"/>
      <c r="J146" s="4"/>
      <c r="K146" s="4"/>
      <c r="L146" s="4"/>
      <c r="M146" s="4"/>
      <c r="N146" s="4"/>
      <c r="O146" s="4"/>
      <c r="P146" s="4"/>
      <c r="Q146" s="4"/>
      <c r="R146" s="4"/>
    </row>
    <row r="147">
      <c r="A147" s="71"/>
      <c r="B147" s="71"/>
      <c r="C147" s="76"/>
      <c r="D147" s="77"/>
      <c r="E147" s="77"/>
      <c r="F147" s="77"/>
      <c r="G147" s="77"/>
      <c r="H147" s="77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>
      <c r="A148" s="71"/>
      <c r="B148" s="71"/>
      <c r="C148" s="76"/>
      <c r="D148" s="77"/>
      <c r="E148" s="77"/>
      <c r="F148" s="77"/>
      <c r="G148" s="77"/>
      <c r="H148" s="77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>
      <c r="A149" s="71"/>
      <c r="B149" s="71"/>
      <c r="C149" s="76"/>
      <c r="D149" s="77"/>
      <c r="E149" s="77"/>
      <c r="F149" s="77"/>
      <c r="G149" s="77"/>
      <c r="H149" s="77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>
      <c r="A150" s="71"/>
      <c r="B150" s="71"/>
      <c r="C150" s="76"/>
      <c r="D150" s="77"/>
      <c r="E150" s="77"/>
      <c r="F150" s="77"/>
      <c r="G150" s="77"/>
      <c r="H150" s="77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>
      <c r="A151" s="71"/>
      <c r="B151" s="71"/>
      <c r="C151" s="76"/>
      <c r="D151" s="77"/>
      <c r="E151" s="77"/>
      <c r="F151" s="77"/>
      <c r="G151" s="77"/>
      <c r="H151" s="77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>
      <c r="A152" s="71"/>
      <c r="B152" s="71"/>
      <c r="C152" s="76"/>
      <c r="D152" s="77"/>
      <c r="E152" s="77"/>
      <c r="F152" s="77"/>
      <c r="G152" s="77"/>
      <c r="H152" s="77"/>
      <c r="I152" s="4"/>
      <c r="J152" s="4"/>
      <c r="K152" s="4"/>
      <c r="L152" s="4"/>
      <c r="M152" s="4"/>
      <c r="N152" s="4"/>
      <c r="O152" s="4"/>
      <c r="P152" s="4"/>
      <c r="Q152" s="4"/>
      <c r="R152" s="4"/>
    </row>
    <row r="153">
      <c r="A153" s="71"/>
      <c r="B153" s="71"/>
      <c r="C153" s="76"/>
      <c r="D153" s="77"/>
      <c r="E153" s="77"/>
      <c r="F153" s="77"/>
      <c r="G153" s="77"/>
      <c r="H153" s="77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>
      <c r="A154" s="71"/>
      <c r="B154" s="71"/>
      <c r="C154" s="76"/>
      <c r="D154" s="77"/>
      <c r="E154" s="77"/>
      <c r="F154" s="77"/>
      <c r="G154" s="77"/>
      <c r="H154" s="77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>
      <c r="A155" s="71"/>
      <c r="B155" s="71"/>
      <c r="C155" s="76"/>
      <c r="D155" s="77"/>
      <c r="E155" s="77"/>
      <c r="F155" s="77"/>
      <c r="G155" s="77"/>
      <c r="H155" s="77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>
      <c r="A156" s="71"/>
      <c r="B156" s="71"/>
      <c r="C156" s="76"/>
      <c r="D156" s="77"/>
      <c r="E156" s="77"/>
      <c r="F156" s="77"/>
      <c r="G156" s="77"/>
      <c r="H156" s="77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>
      <c r="A157" s="71"/>
      <c r="B157" s="71"/>
      <c r="C157" s="76"/>
      <c r="D157" s="77"/>
      <c r="E157" s="77"/>
      <c r="F157" s="77"/>
      <c r="G157" s="77"/>
      <c r="H157" s="77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>
      <c r="A158" s="71"/>
      <c r="B158" s="71"/>
      <c r="C158" s="76"/>
      <c r="D158" s="77"/>
      <c r="E158" s="77"/>
      <c r="F158" s="77"/>
      <c r="G158" s="77"/>
      <c r="H158" s="77"/>
      <c r="I158" s="4"/>
      <c r="J158" s="4"/>
      <c r="K158" s="4"/>
      <c r="L158" s="4"/>
      <c r="M158" s="4"/>
      <c r="N158" s="4"/>
      <c r="O158" s="4"/>
      <c r="P158" s="4"/>
      <c r="Q158" s="4"/>
      <c r="R158" s="4"/>
    </row>
    <row r="159">
      <c r="A159" s="71"/>
      <c r="B159" s="71"/>
      <c r="C159" s="76"/>
      <c r="D159" s="77"/>
      <c r="E159" s="77"/>
      <c r="F159" s="77"/>
      <c r="G159" s="77"/>
      <c r="H159" s="77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>
      <c r="A160" s="71"/>
      <c r="B160" s="71"/>
      <c r="C160" s="76"/>
      <c r="D160" s="77"/>
      <c r="E160" s="77"/>
      <c r="F160" s="77"/>
      <c r="G160" s="77"/>
      <c r="H160" s="77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>
      <c r="A161" s="71"/>
      <c r="B161" s="71"/>
      <c r="C161" s="76"/>
      <c r="D161" s="77"/>
      <c r="E161" s="77"/>
      <c r="F161" s="77"/>
      <c r="G161" s="77"/>
      <c r="H161" s="77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>
      <c r="A162" s="71"/>
      <c r="B162" s="71"/>
      <c r="C162" s="76"/>
      <c r="D162" s="77"/>
      <c r="E162" s="77"/>
      <c r="F162" s="77"/>
      <c r="G162" s="77"/>
      <c r="H162" s="77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>
      <c r="A163" s="71"/>
      <c r="B163" s="71"/>
      <c r="C163" s="76"/>
      <c r="D163" s="77"/>
      <c r="E163" s="77"/>
      <c r="F163" s="77"/>
      <c r="G163" s="77"/>
      <c r="H163" s="77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>
      <c r="A164" s="71"/>
      <c r="B164" s="71"/>
      <c r="C164" s="76"/>
      <c r="D164" s="77"/>
      <c r="E164" s="77"/>
      <c r="F164" s="77"/>
      <c r="G164" s="77"/>
      <c r="H164" s="77"/>
      <c r="I164" s="4"/>
      <c r="J164" s="4"/>
      <c r="K164" s="4"/>
      <c r="L164" s="4"/>
      <c r="M164" s="4"/>
      <c r="N164" s="4"/>
      <c r="O164" s="4"/>
      <c r="P164" s="4"/>
      <c r="Q164" s="4"/>
      <c r="R164" s="4"/>
    </row>
    <row r="165">
      <c r="A165" s="71"/>
      <c r="B165" s="71"/>
      <c r="C165" s="76"/>
      <c r="D165" s="77"/>
      <c r="E165" s="77"/>
      <c r="F165" s="77"/>
      <c r="G165" s="77"/>
      <c r="H165" s="77"/>
      <c r="I165" s="4"/>
      <c r="J165" s="4"/>
      <c r="K165" s="4"/>
      <c r="L165" s="4"/>
      <c r="M165" s="4"/>
      <c r="N165" s="4"/>
      <c r="O165" s="4"/>
      <c r="P165" s="4"/>
      <c r="Q165" s="4"/>
      <c r="R165" s="4"/>
    </row>
    <row r="166">
      <c r="A166" s="71"/>
      <c r="B166" s="71"/>
      <c r="C166" s="76"/>
      <c r="D166" s="77"/>
      <c r="E166" s="77"/>
      <c r="F166" s="77"/>
      <c r="G166" s="77"/>
      <c r="H166" s="77"/>
      <c r="I166" s="4"/>
      <c r="J166" s="4"/>
      <c r="K166" s="4"/>
      <c r="L166" s="4"/>
      <c r="M166" s="4"/>
      <c r="N166" s="4"/>
      <c r="O166" s="4"/>
      <c r="P166" s="4"/>
      <c r="Q166" s="4"/>
      <c r="R166" s="4"/>
    </row>
    <row r="167">
      <c r="A167" s="71"/>
      <c r="B167" s="71"/>
      <c r="C167" s="76"/>
      <c r="D167" s="77"/>
      <c r="E167" s="77"/>
      <c r="F167" s="77"/>
      <c r="G167" s="77"/>
      <c r="H167" s="77"/>
      <c r="I167" s="4"/>
      <c r="J167" s="4"/>
      <c r="K167" s="4"/>
      <c r="L167" s="4"/>
      <c r="M167" s="4"/>
      <c r="N167" s="4"/>
      <c r="O167" s="4"/>
      <c r="P167" s="4"/>
      <c r="Q167" s="4"/>
      <c r="R167" s="4"/>
    </row>
    <row r="168">
      <c r="A168" s="71"/>
      <c r="B168" s="71"/>
      <c r="C168" s="76"/>
      <c r="D168" s="77"/>
      <c r="E168" s="77"/>
      <c r="F168" s="77"/>
      <c r="G168" s="77"/>
      <c r="H168" s="77"/>
      <c r="I168" s="4"/>
      <c r="J168" s="4"/>
      <c r="K168" s="4"/>
      <c r="L168" s="4"/>
      <c r="M168" s="4"/>
      <c r="N168" s="4"/>
      <c r="O168" s="4"/>
      <c r="P168" s="4"/>
      <c r="Q168" s="4"/>
      <c r="R168" s="4"/>
    </row>
    <row r="169">
      <c r="A169" s="71"/>
      <c r="B169" s="71"/>
      <c r="C169" s="76"/>
      <c r="D169" s="77"/>
      <c r="E169" s="77"/>
      <c r="F169" s="77"/>
      <c r="G169" s="77"/>
      <c r="H169" s="77"/>
      <c r="I169" s="4"/>
      <c r="J169" s="4"/>
      <c r="K169" s="4"/>
      <c r="L169" s="4"/>
      <c r="M169" s="4"/>
      <c r="N169" s="4"/>
      <c r="O169" s="4"/>
      <c r="P169" s="4"/>
      <c r="Q169" s="4"/>
      <c r="R169" s="4"/>
    </row>
    <row r="170">
      <c r="A170" s="71"/>
      <c r="B170" s="71"/>
      <c r="C170" s="76"/>
      <c r="D170" s="77"/>
      <c r="E170" s="77"/>
      <c r="F170" s="77"/>
      <c r="G170" s="77"/>
      <c r="H170" s="77"/>
      <c r="I170" s="4"/>
      <c r="J170" s="4"/>
      <c r="K170" s="4"/>
      <c r="L170" s="4"/>
      <c r="M170" s="4"/>
      <c r="N170" s="4"/>
      <c r="O170" s="4"/>
      <c r="P170" s="4"/>
      <c r="Q170" s="4"/>
      <c r="R170" s="4"/>
    </row>
    <row r="171">
      <c r="A171" s="71"/>
      <c r="B171" s="71"/>
      <c r="C171" s="76"/>
      <c r="D171" s="77"/>
      <c r="E171" s="77"/>
      <c r="F171" s="77"/>
      <c r="G171" s="77"/>
      <c r="H171" s="77"/>
      <c r="I171" s="4"/>
      <c r="J171" s="4"/>
      <c r="K171" s="4"/>
      <c r="L171" s="4"/>
      <c r="M171" s="4"/>
      <c r="N171" s="4"/>
      <c r="O171" s="4"/>
      <c r="P171" s="4"/>
      <c r="Q171" s="4"/>
      <c r="R171" s="4"/>
    </row>
    <row r="172">
      <c r="A172" s="71"/>
      <c r="B172" s="71"/>
      <c r="C172" s="76"/>
      <c r="D172" s="77"/>
      <c r="E172" s="77"/>
      <c r="F172" s="77"/>
      <c r="G172" s="77"/>
      <c r="H172" s="77"/>
      <c r="I172" s="4"/>
      <c r="J172" s="4"/>
      <c r="K172" s="4"/>
      <c r="L172" s="4"/>
      <c r="M172" s="4"/>
      <c r="N172" s="4"/>
      <c r="O172" s="4"/>
      <c r="P172" s="4"/>
      <c r="Q172" s="4"/>
      <c r="R172" s="4"/>
    </row>
    <row r="173">
      <c r="A173" s="71"/>
      <c r="B173" s="71"/>
      <c r="C173" s="76"/>
      <c r="D173" s="77"/>
      <c r="E173" s="77"/>
      <c r="F173" s="77"/>
      <c r="G173" s="77"/>
      <c r="H173" s="77"/>
      <c r="I173" s="4"/>
      <c r="J173" s="4"/>
      <c r="K173" s="4"/>
      <c r="L173" s="4"/>
      <c r="M173" s="4"/>
      <c r="N173" s="4"/>
      <c r="O173" s="4"/>
      <c r="P173" s="4"/>
      <c r="Q173" s="4"/>
      <c r="R173" s="4"/>
    </row>
    <row r="174">
      <c r="A174" s="71"/>
      <c r="B174" s="71"/>
      <c r="C174" s="76"/>
      <c r="D174" s="77"/>
      <c r="E174" s="77"/>
      <c r="F174" s="77"/>
      <c r="G174" s="77"/>
      <c r="H174" s="77"/>
      <c r="I174" s="4"/>
      <c r="J174" s="4"/>
      <c r="K174" s="4"/>
      <c r="L174" s="4"/>
      <c r="M174" s="4"/>
      <c r="N174" s="4"/>
      <c r="O174" s="4"/>
      <c r="P174" s="4"/>
      <c r="Q174" s="4"/>
      <c r="R174" s="4"/>
    </row>
    <row r="175">
      <c r="A175" s="71"/>
      <c r="B175" s="71"/>
      <c r="C175" s="76"/>
      <c r="D175" s="77"/>
      <c r="E175" s="77"/>
      <c r="F175" s="77"/>
      <c r="G175" s="77"/>
      <c r="H175" s="77"/>
      <c r="I175" s="4"/>
      <c r="J175" s="4"/>
      <c r="K175" s="4"/>
      <c r="L175" s="4"/>
      <c r="M175" s="4"/>
      <c r="N175" s="4"/>
      <c r="O175" s="4"/>
      <c r="P175" s="4"/>
      <c r="Q175" s="4"/>
      <c r="R175" s="4"/>
    </row>
    <row r="176">
      <c r="A176" s="71"/>
      <c r="B176" s="71"/>
      <c r="C176" s="76"/>
      <c r="D176" s="77"/>
      <c r="E176" s="77"/>
      <c r="F176" s="77"/>
      <c r="G176" s="77"/>
      <c r="H176" s="77"/>
      <c r="I176" s="4"/>
      <c r="J176" s="4"/>
      <c r="K176" s="4"/>
      <c r="L176" s="4"/>
      <c r="M176" s="4"/>
      <c r="N176" s="4"/>
      <c r="O176" s="4"/>
      <c r="P176" s="4"/>
      <c r="Q176" s="4"/>
      <c r="R176" s="4"/>
    </row>
    <row r="177">
      <c r="A177" s="71"/>
      <c r="B177" s="71"/>
      <c r="C177" s="76"/>
      <c r="D177" s="77"/>
      <c r="E177" s="77"/>
      <c r="F177" s="77"/>
      <c r="G177" s="77"/>
      <c r="H177" s="77"/>
      <c r="I177" s="4"/>
      <c r="J177" s="4"/>
      <c r="K177" s="4"/>
      <c r="L177" s="4"/>
      <c r="M177" s="4"/>
      <c r="N177" s="4"/>
      <c r="O177" s="4"/>
      <c r="P177" s="4"/>
      <c r="Q177" s="4"/>
      <c r="R177" s="4"/>
    </row>
    <row r="178">
      <c r="A178" s="71"/>
      <c r="B178" s="71"/>
      <c r="C178" s="76"/>
      <c r="D178" s="77"/>
      <c r="E178" s="77"/>
      <c r="F178" s="77"/>
      <c r="G178" s="77"/>
      <c r="H178" s="77"/>
      <c r="I178" s="4"/>
      <c r="J178" s="4"/>
      <c r="K178" s="4"/>
      <c r="L178" s="4"/>
      <c r="M178" s="4"/>
      <c r="N178" s="4"/>
      <c r="O178" s="4"/>
      <c r="P178" s="4"/>
      <c r="Q178" s="4"/>
      <c r="R178" s="4"/>
    </row>
    <row r="179">
      <c r="A179" s="71"/>
      <c r="B179" s="71"/>
      <c r="C179" s="76"/>
      <c r="D179" s="77"/>
      <c r="E179" s="77"/>
      <c r="F179" s="77"/>
      <c r="G179" s="77"/>
      <c r="H179" s="77"/>
      <c r="I179" s="4"/>
      <c r="J179" s="4"/>
      <c r="K179" s="4"/>
      <c r="L179" s="4"/>
      <c r="M179" s="4"/>
      <c r="N179" s="4"/>
      <c r="O179" s="4"/>
      <c r="P179" s="4"/>
      <c r="Q179" s="4"/>
      <c r="R179" s="4"/>
    </row>
    <row r="180">
      <c r="A180" s="71"/>
      <c r="B180" s="71"/>
      <c r="C180" s="76"/>
      <c r="D180" s="77"/>
      <c r="E180" s="77"/>
      <c r="F180" s="77"/>
      <c r="G180" s="77"/>
      <c r="H180" s="77"/>
      <c r="I180" s="4"/>
      <c r="J180" s="4"/>
      <c r="K180" s="4"/>
      <c r="L180" s="4"/>
      <c r="M180" s="4"/>
      <c r="N180" s="4"/>
      <c r="O180" s="4"/>
      <c r="P180" s="4"/>
      <c r="Q180" s="4"/>
      <c r="R180" s="4"/>
    </row>
    <row r="181">
      <c r="A181" s="71"/>
      <c r="B181" s="71"/>
      <c r="C181" s="76"/>
      <c r="D181" s="77"/>
      <c r="E181" s="77"/>
      <c r="F181" s="77"/>
      <c r="G181" s="77"/>
      <c r="H181" s="77"/>
      <c r="I181" s="4"/>
      <c r="J181" s="4"/>
      <c r="K181" s="4"/>
      <c r="L181" s="4"/>
      <c r="M181" s="4"/>
      <c r="N181" s="4"/>
      <c r="O181" s="4"/>
      <c r="P181" s="4"/>
      <c r="Q181" s="4"/>
      <c r="R181" s="4"/>
    </row>
    <row r="182">
      <c r="A182" s="71"/>
      <c r="B182" s="71"/>
      <c r="C182" s="76"/>
      <c r="D182" s="77"/>
      <c r="E182" s="77"/>
      <c r="F182" s="77"/>
      <c r="G182" s="77"/>
      <c r="H182" s="77"/>
      <c r="I182" s="4"/>
      <c r="J182" s="4"/>
      <c r="K182" s="4"/>
      <c r="L182" s="4"/>
      <c r="M182" s="4"/>
      <c r="N182" s="4"/>
      <c r="O182" s="4"/>
      <c r="P182" s="4"/>
      <c r="Q182" s="4"/>
      <c r="R182" s="4"/>
    </row>
    <row r="183">
      <c r="A183" s="71"/>
      <c r="B183" s="71"/>
      <c r="C183" s="76"/>
      <c r="D183" s="77"/>
      <c r="E183" s="77"/>
      <c r="F183" s="77"/>
      <c r="G183" s="77"/>
      <c r="H183" s="77"/>
      <c r="I183" s="4"/>
      <c r="J183" s="4"/>
      <c r="K183" s="4"/>
      <c r="L183" s="4"/>
      <c r="M183" s="4"/>
      <c r="N183" s="4"/>
      <c r="O183" s="4"/>
      <c r="P183" s="4"/>
      <c r="Q183" s="4"/>
      <c r="R183" s="4"/>
    </row>
    <row r="184">
      <c r="A184" s="71"/>
      <c r="B184" s="71"/>
      <c r="C184" s="76"/>
      <c r="D184" s="77"/>
      <c r="E184" s="77"/>
      <c r="F184" s="77"/>
      <c r="G184" s="77"/>
      <c r="H184" s="77"/>
      <c r="I184" s="4"/>
      <c r="J184" s="4"/>
      <c r="K184" s="4"/>
      <c r="L184" s="4"/>
      <c r="M184" s="4"/>
      <c r="N184" s="4"/>
      <c r="O184" s="4"/>
      <c r="P184" s="4"/>
      <c r="Q184" s="4"/>
      <c r="R184" s="4"/>
    </row>
    <row r="185">
      <c r="A185" s="71"/>
      <c r="B185" s="71"/>
      <c r="C185" s="76"/>
      <c r="D185" s="77"/>
      <c r="E185" s="77"/>
      <c r="F185" s="77"/>
      <c r="G185" s="77"/>
      <c r="H185" s="77"/>
      <c r="I185" s="4"/>
      <c r="J185" s="4"/>
      <c r="K185" s="4"/>
      <c r="L185" s="4"/>
      <c r="M185" s="4"/>
      <c r="N185" s="4"/>
      <c r="O185" s="4"/>
      <c r="P185" s="4"/>
      <c r="Q185" s="4"/>
      <c r="R185" s="4"/>
    </row>
    <row r="186">
      <c r="A186" s="71"/>
      <c r="B186" s="71"/>
      <c r="C186" s="76"/>
      <c r="D186" s="77"/>
      <c r="E186" s="77"/>
      <c r="F186" s="77"/>
      <c r="G186" s="77"/>
      <c r="H186" s="77"/>
      <c r="I186" s="4"/>
      <c r="J186" s="4"/>
      <c r="K186" s="4"/>
      <c r="L186" s="4"/>
      <c r="M186" s="4"/>
      <c r="N186" s="4"/>
      <c r="O186" s="4"/>
      <c r="P186" s="4"/>
      <c r="Q186" s="4"/>
      <c r="R186" s="4"/>
    </row>
    <row r="187">
      <c r="A187" s="71"/>
      <c r="B187" s="71"/>
      <c r="C187" s="76"/>
      <c r="D187" s="77"/>
      <c r="E187" s="77"/>
      <c r="F187" s="77"/>
      <c r="G187" s="77"/>
      <c r="H187" s="77"/>
      <c r="I187" s="4"/>
      <c r="J187" s="4"/>
      <c r="K187" s="4"/>
      <c r="L187" s="4"/>
      <c r="M187" s="4"/>
      <c r="N187" s="4"/>
      <c r="O187" s="4"/>
      <c r="P187" s="4"/>
      <c r="Q187" s="4"/>
      <c r="R187" s="4"/>
    </row>
    <row r="188">
      <c r="A188" s="71"/>
      <c r="B188" s="71"/>
      <c r="C188" s="76"/>
      <c r="D188" s="77"/>
      <c r="E188" s="77"/>
      <c r="F188" s="77"/>
      <c r="G188" s="77"/>
      <c r="H188" s="77"/>
      <c r="I188" s="4"/>
      <c r="J188" s="4"/>
      <c r="K188" s="4"/>
      <c r="L188" s="4"/>
      <c r="M188" s="4"/>
      <c r="N188" s="4"/>
      <c r="O188" s="4"/>
      <c r="P188" s="4"/>
      <c r="Q188" s="4"/>
      <c r="R188" s="4"/>
    </row>
    <row r="189">
      <c r="A189" s="71"/>
      <c r="B189" s="71"/>
      <c r="C189" s="76"/>
      <c r="D189" s="77"/>
      <c r="E189" s="77"/>
      <c r="F189" s="77"/>
      <c r="G189" s="77"/>
      <c r="H189" s="77"/>
      <c r="I189" s="4"/>
      <c r="J189" s="4"/>
      <c r="K189" s="4"/>
      <c r="L189" s="4"/>
      <c r="M189" s="4"/>
      <c r="N189" s="4"/>
      <c r="O189" s="4"/>
      <c r="P189" s="4"/>
      <c r="Q189" s="4"/>
      <c r="R189" s="4"/>
    </row>
    <row r="190">
      <c r="A190" s="71"/>
      <c r="B190" s="71"/>
      <c r="C190" s="76"/>
      <c r="D190" s="77"/>
      <c r="E190" s="77"/>
      <c r="F190" s="77"/>
      <c r="G190" s="77"/>
      <c r="H190" s="77"/>
      <c r="I190" s="4"/>
      <c r="J190" s="4"/>
      <c r="K190" s="4"/>
      <c r="L190" s="4"/>
      <c r="M190" s="4"/>
      <c r="N190" s="4"/>
      <c r="O190" s="4"/>
      <c r="P190" s="4"/>
      <c r="Q190" s="4"/>
      <c r="R190" s="4"/>
    </row>
    <row r="191">
      <c r="A191" s="71"/>
      <c r="B191" s="71"/>
      <c r="C191" s="76"/>
      <c r="D191" s="77"/>
      <c r="E191" s="77"/>
      <c r="F191" s="77"/>
      <c r="G191" s="77"/>
      <c r="H191" s="77"/>
      <c r="I191" s="4"/>
      <c r="J191" s="4"/>
      <c r="K191" s="4"/>
      <c r="L191" s="4"/>
      <c r="M191" s="4"/>
      <c r="N191" s="4"/>
      <c r="O191" s="4"/>
      <c r="P191" s="4"/>
      <c r="Q191" s="4"/>
      <c r="R191" s="4"/>
    </row>
    <row r="192">
      <c r="A192" s="71"/>
      <c r="B192" s="71"/>
      <c r="C192" s="76"/>
      <c r="D192" s="77"/>
      <c r="E192" s="77"/>
      <c r="F192" s="77"/>
      <c r="G192" s="77"/>
      <c r="H192" s="77"/>
      <c r="I192" s="4"/>
      <c r="J192" s="4"/>
      <c r="K192" s="4"/>
      <c r="L192" s="4"/>
      <c r="M192" s="4"/>
      <c r="N192" s="4"/>
      <c r="O192" s="4"/>
      <c r="P192" s="4"/>
      <c r="Q192" s="4"/>
      <c r="R192" s="4"/>
    </row>
    <row r="193">
      <c r="A193" s="71"/>
      <c r="B193" s="71"/>
      <c r="C193" s="76"/>
      <c r="D193" s="77"/>
      <c r="E193" s="77"/>
      <c r="F193" s="77"/>
      <c r="G193" s="77"/>
      <c r="H193" s="77"/>
      <c r="I193" s="4"/>
      <c r="J193" s="4"/>
      <c r="K193" s="4"/>
      <c r="L193" s="4"/>
      <c r="M193" s="4"/>
      <c r="N193" s="4"/>
      <c r="O193" s="4"/>
      <c r="P193" s="4"/>
      <c r="Q193" s="4"/>
      <c r="R193" s="4"/>
    </row>
    <row r="194">
      <c r="A194" s="71"/>
      <c r="B194" s="71"/>
      <c r="C194" s="76"/>
      <c r="D194" s="77"/>
      <c r="E194" s="77"/>
      <c r="F194" s="77"/>
      <c r="G194" s="77"/>
      <c r="H194" s="77"/>
      <c r="I194" s="4"/>
      <c r="J194" s="4"/>
      <c r="K194" s="4"/>
      <c r="L194" s="4"/>
      <c r="M194" s="4"/>
      <c r="N194" s="4"/>
      <c r="O194" s="4"/>
      <c r="P194" s="4"/>
      <c r="Q194" s="4"/>
      <c r="R194" s="4"/>
    </row>
    <row r="195">
      <c r="A195" s="71"/>
      <c r="B195" s="71"/>
      <c r="C195" s="76"/>
      <c r="D195" s="77"/>
      <c r="E195" s="77"/>
      <c r="F195" s="77"/>
      <c r="G195" s="77"/>
      <c r="H195" s="77"/>
      <c r="I195" s="4"/>
      <c r="J195" s="4"/>
      <c r="K195" s="4"/>
      <c r="L195" s="4"/>
      <c r="M195" s="4"/>
      <c r="N195" s="4"/>
      <c r="O195" s="4"/>
      <c r="P195" s="4"/>
      <c r="Q195" s="4"/>
      <c r="R195" s="4"/>
    </row>
    <row r="196">
      <c r="A196" s="71"/>
      <c r="B196" s="71"/>
      <c r="C196" s="76"/>
      <c r="D196" s="77"/>
      <c r="E196" s="77"/>
      <c r="F196" s="77"/>
      <c r="G196" s="77"/>
      <c r="H196" s="77"/>
      <c r="I196" s="4"/>
      <c r="J196" s="4"/>
      <c r="K196" s="4"/>
      <c r="L196" s="4"/>
      <c r="M196" s="4"/>
      <c r="N196" s="4"/>
      <c r="O196" s="4"/>
      <c r="P196" s="4"/>
      <c r="Q196" s="4"/>
      <c r="R196" s="4"/>
    </row>
    <row r="197">
      <c r="A197" s="71"/>
      <c r="B197" s="71"/>
      <c r="C197" s="76"/>
      <c r="D197" s="77"/>
      <c r="E197" s="77"/>
      <c r="F197" s="77"/>
      <c r="G197" s="77"/>
      <c r="H197" s="77"/>
      <c r="I197" s="4"/>
      <c r="J197" s="4"/>
      <c r="K197" s="4"/>
      <c r="L197" s="4"/>
      <c r="M197" s="4"/>
      <c r="N197" s="4"/>
      <c r="O197" s="4"/>
      <c r="P197" s="4"/>
      <c r="Q197" s="4"/>
      <c r="R197" s="4"/>
    </row>
    <row r="198">
      <c r="A198" s="71"/>
      <c r="B198" s="71"/>
      <c r="C198" s="76"/>
      <c r="D198" s="77"/>
      <c r="E198" s="77"/>
      <c r="F198" s="77"/>
      <c r="G198" s="77"/>
      <c r="H198" s="77"/>
      <c r="I198" s="4"/>
      <c r="J198" s="4"/>
      <c r="K198" s="4"/>
      <c r="L198" s="4"/>
      <c r="M198" s="4"/>
      <c r="N198" s="4"/>
      <c r="O198" s="4"/>
      <c r="P198" s="4"/>
      <c r="Q198" s="4"/>
      <c r="R198" s="4"/>
    </row>
    <row r="199">
      <c r="A199" s="71"/>
      <c r="B199" s="71"/>
      <c r="C199" s="76"/>
      <c r="D199" s="77"/>
      <c r="E199" s="77"/>
      <c r="F199" s="77"/>
      <c r="G199" s="77"/>
      <c r="H199" s="77"/>
      <c r="I199" s="4"/>
      <c r="J199" s="4"/>
      <c r="K199" s="4"/>
      <c r="L199" s="4"/>
      <c r="M199" s="4"/>
      <c r="N199" s="4"/>
      <c r="O199" s="4"/>
      <c r="P199" s="4"/>
      <c r="Q199" s="4"/>
      <c r="R199" s="4"/>
    </row>
    <row r="200">
      <c r="A200" s="71"/>
      <c r="B200" s="71"/>
      <c r="C200" s="76"/>
      <c r="D200" s="77"/>
      <c r="E200" s="77"/>
      <c r="F200" s="77"/>
      <c r="G200" s="77"/>
      <c r="H200" s="77"/>
      <c r="I200" s="4"/>
      <c r="J200" s="4"/>
      <c r="K200" s="4"/>
      <c r="L200" s="4"/>
      <c r="M200" s="4"/>
      <c r="N200" s="4"/>
      <c r="O200" s="4"/>
      <c r="P200" s="4"/>
      <c r="Q200" s="4"/>
      <c r="R200" s="4"/>
    </row>
    <row r="201">
      <c r="A201" s="71"/>
      <c r="B201" s="71"/>
      <c r="C201" s="76"/>
      <c r="D201" s="77"/>
      <c r="E201" s="77"/>
      <c r="F201" s="77"/>
      <c r="G201" s="77"/>
      <c r="H201" s="77"/>
      <c r="I201" s="4"/>
      <c r="J201" s="4"/>
      <c r="K201" s="4"/>
      <c r="L201" s="4"/>
      <c r="M201" s="4"/>
      <c r="N201" s="4"/>
      <c r="O201" s="4"/>
      <c r="P201" s="4"/>
      <c r="Q201" s="4"/>
      <c r="R201" s="4"/>
    </row>
    <row r="202">
      <c r="A202" s="71"/>
      <c r="B202" s="71"/>
      <c r="C202" s="76"/>
      <c r="D202" s="77"/>
      <c r="E202" s="77"/>
      <c r="F202" s="77"/>
      <c r="G202" s="77"/>
      <c r="H202" s="77"/>
      <c r="I202" s="4"/>
      <c r="J202" s="4"/>
      <c r="K202" s="4"/>
      <c r="L202" s="4"/>
      <c r="M202" s="4"/>
      <c r="N202" s="4"/>
      <c r="O202" s="4"/>
      <c r="P202" s="4"/>
      <c r="Q202" s="4"/>
      <c r="R202" s="4"/>
    </row>
    <row r="203">
      <c r="A203" s="71"/>
      <c r="B203" s="71"/>
      <c r="C203" s="76"/>
      <c r="D203" s="77"/>
      <c r="E203" s="77"/>
      <c r="F203" s="77"/>
      <c r="G203" s="77"/>
      <c r="H203" s="77"/>
      <c r="I203" s="4"/>
      <c r="J203" s="4"/>
      <c r="K203" s="4"/>
      <c r="L203" s="4"/>
      <c r="M203" s="4"/>
      <c r="N203" s="4"/>
      <c r="O203" s="4"/>
      <c r="P203" s="4"/>
      <c r="Q203" s="4"/>
      <c r="R203" s="4"/>
    </row>
    <row r="204">
      <c r="A204" s="71"/>
      <c r="B204" s="71"/>
      <c r="C204" s="76"/>
      <c r="D204" s="77"/>
      <c r="E204" s="77"/>
      <c r="F204" s="77"/>
      <c r="G204" s="77"/>
      <c r="H204" s="77"/>
      <c r="I204" s="4"/>
      <c r="J204" s="4"/>
      <c r="K204" s="4"/>
      <c r="L204" s="4"/>
      <c r="M204" s="4"/>
      <c r="N204" s="4"/>
      <c r="O204" s="4"/>
      <c r="P204" s="4"/>
      <c r="Q204" s="4"/>
      <c r="R204" s="4"/>
    </row>
    <row r="205">
      <c r="A205" s="71"/>
      <c r="B205" s="71"/>
      <c r="C205" s="76"/>
      <c r="D205" s="77"/>
      <c r="E205" s="77"/>
      <c r="F205" s="77"/>
      <c r="G205" s="77"/>
      <c r="H205" s="77"/>
      <c r="I205" s="4"/>
      <c r="J205" s="4"/>
      <c r="K205" s="4"/>
      <c r="L205" s="4"/>
      <c r="M205" s="4"/>
      <c r="N205" s="4"/>
      <c r="O205" s="4"/>
      <c r="P205" s="4"/>
      <c r="Q205" s="4"/>
      <c r="R205" s="4"/>
    </row>
    <row r="206">
      <c r="A206" s="71"/>
      <c r="B206" s="71"/>
      <c r="C206" s="76"/>
      <c r="D206" s="77"/>
      <c r="E206" s="77"/>
      <c r="F206" s="77"/>
      <c r="G206" s="77"/>
      <c r="H206" s="77"/>
      <c r="I206" s="4"/>
      <c r="J206" s="4"/>
      <c r="K206" s="4"/>
      <c r="L206" s="4"/>
      <c r="M206" s="4"/>
      <c r="N206" s="4"/>
      <c r="O206" s="4"/>
      <c r="P206" s="4"/>
      <c r="Q206" s="4"/>
      <c r="R206" s="4"/>
    </row>
    <row r="207">
      <c r="A207" s="71"/>
      <c r="B207" s="71"/>
      <c r="C207" s="76"/>
      <c r="D207" s="77"/>
      <c r="E207" s="77"/>
      <c r="F207" s="77"/>
      <c r="G207" s="77"/>
      <c r="H207" s="77"/>
      <c r="I207" s="4"/>
      <c r="J207" s="4"/>
      <c r="K207" s="4"/>
      <c r="L207" s="4"/>
      <c r="M207" s="4"/>
      <c r="N207" s="4"/>
      <c r="O207" s="4"/>
      <c r="P207" s="4"/>
      <c r="Q207" s="4"/>
      <c r="R207" s="4"/>
    </row>
    <row r="208">
      <c r="A208" s="71"/>
      <c r="B208" s="71"/>
      <c r="C208" s="76"/>
      <c r="D208" s="77"/>
      <c r="E208" s="77"/>
      <c r="F208" s="77"/>
      <c r="G208" s="77"/>
      <c r="H208" s="77"/>
      <c r="I208" s="4"/>
      <c r="J208" s="4"/>
      <c r="K208" s="4"/>
      <c r="L208" s="4"/>
      <c r="M208" s="4"/>
      <c r="N208" s="4"/>
      <c r="O208" s="4"/>
      <c r="P208" s="4"/>
      <c r="Q208" s="4"/>
      <c r="R208" s="4"/>
    </row>
    <row r="209">
      <c r="A209" s="71"/>
      <c r="B209" s="71"/>
      <c r="C209" s="76"/>
      <c r="D209" s="77"/>
      <c r="E209" s="77"/>
      <c r="F209" s="77"/>
      <c r="G209" s="77"/>
      <c r="H209" s="77"/>
      <c r="I209" s="4"/>
      <c r="J209" s="4"/>
      <c r="K209" s="4"/>
      <c r="L209" s="4"/>
      <c r="M209" s="4"/>
      <c r="N209" s="4"/>
      <c r="O209" s="4"/>
      <c r="P209" s="4"/>
      <c r="Q209" s="4"/>
      <c r="R209" s="4"/>
    </row>
    <row r="210">
      <c r="A210" s="71"/>
      <c r="B210" s="71"/>
      <c r="C210" s="76"/>
      <c r="D210" s="77"/>
      <c r="E210" s="77"/>
      <c r="F210" s="77"/>
      <c r="G210" s="77"/>
      <c r="H210" s="77"/>
      <c r="I210" s="4"/>
      <c r="J210" s="4"/>
      <c r="K210" s="4"/>
      <c r="L210" s="4"/>
      <c r="M210" s="4"/>
      <c r="N210" s="4"/>
      <c r="O210" s="4"/>
      <c r="P210" s="4"/>
      <c r="Q210" s="4"/>
      <c r="R210" s="4"/>
    </row>
    <row r="211">
      <c r="A211" s="71"/>
      <c r="B211" s="71"/>
      <c r="C211" s="76"/>
      <c r="D211" s="77"/>
      <c r="E211" s="77"/>
      <c r="F211" s="77"/>
      <c r="G211" s="77"/>
      <c r="H211" s="77"/>
      <c r="I211" s="4"/>
      <c r="J211" s="4"/>
      <c r="K211" s="4"/>
      <c r="L211" s="4"/>
      <c r="M211" s="4"/>
      <c r="N211" s="4"/>
      <c r="O211" s="4"/>
      <c r="P211" s="4"/>
      <c r="Q211" s="4"/>
      <c r="R211" s="4"/>
    </row>
    <row r="212">
      <c r="A212" s="71"/>
      <c r="B212" s="71"/>
      <c r="C212" s="76"/>
      <c r="D212" s="77"/>
      <c r="E212" s="77"/>
      <c r="F212" s="77"/>
      <c r="G212" s="77"/>
      <c r="H212" s="77"/>
      <c r="I212" s="4"/>
      <c r="J212" s="4"/>
      <c r="K212" s="4"/>
      <c r="L212" s="4"/>
      <c r="M212" s="4"/>
      <c r="N212" s="4"/>
      <c r="O212" s="4"/>
      <c r="P212" s="4"/>
      <c r="Q212" s="4"/>
      <c r="R212" s="4"/>
    </row>
    <row r="213">
      <c r="A213" s="71"/>
      <c r="B213" s="71"/>
      <c r="C213" s="76"/>
      <c r="D213" s="77"/>
      <c r="E213" s="77"/>
      <c r="F213" s="77"/>
      <c r="G213" s="77"/>
      <c r="H213" s="77"/>
      <c r="I213" s="4"/>
      <c r="J213" s="4"/>
      <c r="K213" s="4"/>
      <c r="L213" s="4"/>
      <c r="M213" s="4"/>
      <c r="N213" s="4"/>
      <c r="O213" s="4"/>
      <c r="P213" s="4"/>
      <c r="Q213" s="4"/>
      <c r="R213" s="4"/>
    </row>
    <row r="214">
      <c r="A214" s="71"/>
      <c r="B214" s="71"/>
      <c r="C214" s="76"/>
      <c r="D214" s="77"/>
      <c r="E214" s="77"/>
      <c r="F214" s="77"/>
      <c r="G214" s="77"/>
      <c r="H214" s="77"/>
      <c r="I214" s="4"/>
      <c r="J214" s="4"/>
      <c r="K214" s="4"/>
      <c r="L214" s="4"/>
      <c r="M214" s="4"/>
      <c r="N214" s="4"/>
      <c r="O214" s="4"/>
      <c r="P214" s="4"/>
      <c r="Q214" s="4"/>
      <c r="R214" s="4"/>
    </row>
    <row r="215">
      <c r="A215" s="71"/>
      <c r="B215" s="71"/>
      <c r="C215" s="76"/>
      <c r="D215" s="77"/>
      <c r="E215" s="77"/>
      <c r="F215" s="77"/>
      <c r="G215" s="77"/>
      <c r="H215" s="77"/>
      <c r="I215" s="4"/>
      <c r="J215" s="4"/>
      <c r="K215" s="4"/>
      <c r="L215" s="4"/>
      <c r="M215" s="4"/>
      <c r="N215" s="4"/>
      <c r="O215" s="4"/>
      <c r="P215" s="4"/>
      <c r="Q215" s="4"/>
      <c r="R215" s="4"/>
    </row>
    <row r="216">
      <c r="A216" s="71"/>
      <c r="B216" s="71"/>
      <c r="C216" s="76"/>
      <c r="D216" s="77"/>
      <c r="E216" s="77"/>
      <c r="F216" s="77"/>
      <c r="G216" s="77"/>
      <c r="H216" s="77"/>
      <c r="I216" s="4"/>
      <c r="J216" s="4"/>
      <c r="K216" s="4"/>
      <c r="L216" s="4"/>
      <c r="M216" s="4"/>
      <c r="N216" s="4"/>
      <c r="O216" s="4"/>
      <c r="P216" s="4"/>
      <c r="Q216" s="4"/>
      <c r="R216" s="4"/>
    </row>
    <row r="217">
      <c r="A217" s="71"/>
      <c r="B217" s="71"/>
      <c r="C217" s="76"/>
      <c r="D217" s="77"/>
      <c r="E217" s="77"/>
      <c r="F217" s="77"/>
      <c r="G217" s="77"/>
      <c r="H217" s="77"/>
      <c r="I217" s="4"/>
      <c r="J217" s="4"/>
      <c r="K217" s="4"/>
      <c r="L217" s="4"/>
      <c r="M217" s="4"/>
      <c r="N217" s="4"/>
      <c r="O217" s="4"/>
      <c r="P217" s="4"/>
      <c r="Q217" s="4"/>
      <c r="R217" s="4"/>
    </row>
    <row r="218">
      <c r="A218" s="71"/>
      <c r="B218" s="71"/>
      <c r="C218" s="76"/>
      <c r="D218" s="77"/>
      <c r="E218" s="77"/>
      <c r="F218" s="77"/>
      <c r="G218" s="77"/>
      <c r="H218" s="77"/>
      <c r="I218" s="4"/>
      <c r="J218" s="4"/>
      <c r="K218" s="4"/>
      <c r="L218" s="4"/>
      <c r="M218" s="4"/>
      <c r="N218" s="4"/>
      <c r="O218" s="4"/>
      <c r="P218" s="4"/>
      <c r="Q218" s="4"/>
      <c r="R218" s="4"/>
    </row>
    <row r="219">
      <c r="A219" s="71"/>
      <c r="B219" s="71"/>
      <c r="C219" s="76"/>
      <c r="D219" s="77"/>
      <c r="E219" s="77"/>
      <c r="F219" s="77"/>
      <c r="G219" s="77"/>
      <c r="H219" s="77"/>
      <c r="I219" s="4"/>
      <c r="J219" s="4"/>
      <c r="K219" s="4"/>
      <c r="L219" s="4"/>
      <c r="M219" s="4"/>
      <c r="N219" s="4"/>
      <c r="O219" s="4"/>
      <c r="P219" s="4"/>
      <c r="Q219" s="4"/>
      <c r="R219" s="4"/>
    </row>
    <row r="220">
      <c r="A220" s="71"/>
      <c r="B220" s="71"/>
      <c r="C220" s="76"/>
      <c r="D220" s="77"/>
      <c r="E220" s="77"/>
      <c r="F220" s="77"/>
      <c r="G220" s="77"/>
      <c r="H220" s="77"/>
      <c r="I220" s="4"/>
      <c r="J220" s="4"/>
      <c r="K220" s="4"/>
      <c r="L220" s="4"/>
      <c r="M220" s="4"/>
      <c r="N220" s="4"/>
      <c r="O220" s="4"/>
      <c r="P220" s="4"/>
      <c r="Q220" s="4"/>
      <c r="R220" s="4"/>
    </row>
    <row r="221">
      <c r="A221" s="71"/>
      <c r="B221" s="71"/>
      <c r="C221" s="76"/>
      <c r="D221" s="77"/>
      <c r="E221" s="77"/>
      <c r="F221" s="77"/>
      <c r="G221" s="77"/>
      <c r="H221" s="77"/>
      <c r="I221" s="4"/>
      <c r="J221" s="4"/>
      <c r="K221" s="4"/>
      <c r="L221" s="4"/>
      <c r="M221" s="4"/>
      <c r="N221" s="4"/>
      <c r="O221" s="4"/>
      <c r="P221" s="4"/>
      <c r="Q221" s="4"/>
      <c r="R221" s="4"/>
    </row>
    <row r="222">
      <c r="A222" s="71"/>
      <c r="B222" s="71"/>
      <c r="C222" s="76"/>
      <c r="D222" s="77"/>
      <c r="E222" s="77"/>
      <c r="F222" s="77"/>
      <c r="G222" s="77"/>
      <c r="H222" s="77"/>
      <c r="I222" s="4"/>
      <c r="J222" s="4"/>
      <c r="K222" s="4"/>
      <c r="L222" s="4"/>
      <c r="M222" s="4"/>
      <c r="N222" s="4"/>
      <c r="O222" s="4"/>
      <c r="P222" s="4"/>
      <c r="Q222" s="4"/>
      <c r="R222" s="4"/>
    </row>
    <row r="223">
      <c r="A223" s="71"/>
      <c r="B223" s="71"/>
      <c r="C223" s="76"/>
      <c r="D223" s="77"/>
      <c r="E223" s="77"/>
      <c r="F223" s="77"/>
      <c r="G223" s="77"/>
      <c r="H223" s="77"/>
      <c r="I223" s="4"/>
      <c r="J223" s="4"/>
      <c r="K223" s="4"/>
      <c r="L223" s="4"/>
      <c r="M223" s="4"/>
      <c r="N223" s="4"/>
      <c r="O223" s="4"/>
      <c r="P223" s="4"/>
      <c r="Q223" s="4"/>
      <c r="R223" s="4"/>
    </row>
    <row r="224">
      <c r="A224" s="71"/>
      <c r="B224" s="71"/>
      <c r="C224" s="76"/>
      <c r="D224" s="77"/>
      <c r="E224" s="77"/>
      <c r="F224" s="77"/>
      <c r="G224" s="77"/>
      <c r="H224" s="77"/>
      <c r="I224" s="4"/>
      <c r="J224" s="4"/>
      <c r="K224" s="4"/>
      <c r="L224" s="4"/>
      <c r="M224" s="4"/>
      <c r="N224" s="4"/>
      <c r="O224" s="4"/>
      <c r="P224" s="4"/>
      <c r="Q224" s="4"/>
      <c r="R224" s="4"/>
    </row>
    <row r="225">
      <c r="A225" s="71"/>
      <c r="B225" s="71"/>
      <c r="C225" s="76"/>
      <c r="D225" s="77"/>
      <c r="E225" s="77"/>
      <c r="F225" s="77"/>
      <c r="G225" s="77"/>
      <c r="H225" s="77"/>
      <c r="I225" s="4"/>
      <c r="J225" s="4"/>
      <c r="K225" s="4"/>
      <c r="L225" s="4"/>
      <c r="M225" s="4"/>
      <c r="N225" s="4"/>
      <c r="O225" s="4"/>
      <c r="P225" s="4"/>
      <c r="Q225" s="4"/>
      <c r="R225" s="4"/>
    </row>
    <row r="226">
      <c r="A226" s="71"/>
      <c r="B226" s="71"/>
      <c r="C226" s="76"/>
      <c r="D226" s="77"/>
      <c r="E226" s="77"/>
      <c r="F226" s="77"/>
      <c r="G226" s="77"/>
      <c r="H226" s="77"/>
      <c r="I226" s="4"/>
      <c r="J226" s="4"/>
      <c r="K226" s="4"/>
      <c r="L226" s="4"/>
      <c r="M226" s="4"/>
      <c r="N226" s="4"/>
      <c r="O226" s="4"/>
      <c r="P226" s="4"/>
      <c r="Q226" s="4"/>
      <c r="R226" s="4"/>
    </row>
    <row r="227">
      <c r="A227" s="71"/>
      <c r="B227" s="71"/>
      <c r="C227" s="76"/>
      <c r="D227" s="77"/>
      <c r="E227" s="77"/>
      <c r="F227" s="77"/>
      <c r="G227" s="77"/>
      <c r="H227" s="77"/>
      <c r="I227" s="4"/>
      <c r="J227" s="4"/>
      <c r="K227" s="4"/>
      <c r="L227" s="4"/>
      <c r="M227" s="4"/>
      <c r="N227" s="4"/>
      <c r="O227" s="4"/>
      <c r="P227" s="4"/>
      <c r="Q227" s="4"/>
      <c r="R227" s="4"/>
    </row>
    <row r="228">
      <c r="A228" s="71"/>
      <c r="B228" s="71"/>
      <c r="C228" s="76"/>
      <c r="D228" s="77"/>
      <c r="E228" s="77"/>
      <c r="F228" s="77"/>
      <c r="G228" s="77"/>
      <c r="H228" s="77"/>
      <c r="I228" s="4"/>
      <c r="J228" s="4"/>
      <c r="K228" s="4"/>
      <c r="L228" s="4"/>
      <c r="M228" s="4"/>
      <c r="N228" s="4"/>
      <c r="O228" s="4"/>
      <c r="P228" s="4"/>
      <c r="Q228" s="4"/>
      <c r="R228" s="4"/>
    </row>
    <row r="229">
      <c r="A229" s="71"/>
      <c r="B229" s="71"/>
      <c r="C229" s="76"/>
      <c r="D229" s="77"/>
      <c r="E229" s="77"/>
      <c r="F229" s="77"/>
      <c r="G229" s="77"/>
      <c r="H229" s="77"/>
      <c r="I229" s="4"/>
      <c r="J229" s="4"/>
      <c r="K229" s="4"/>
      <c r="L229" s="4"/>
      <c r="M229" s="4"/>
      <c r="N229" s="4"/>
      <c r="O229" s="4"/>
      <c r="P229" s="4"/>
      <c r="Q229" s="4"/>
      <c r="R229" s="4"/>
    </row>
    <row r="230">
      <c r="A230" s="71"/>
      <c r="B230" s="71"/>
      <c r="C230" s="76"/>
      <c r="D230" s="77"/>
      <c r="E230" s="77"/>
      <c r="F230" s="77"/>
      <c r="G230" s="77"/>
      <c r="H230" s="77"/>
      <c r="I230" s="4"/>
      <c r="J230" s="4"/>
      <c r="K230" s="4"/>
      <c r="L230" s="4"/>
      <c r="M230" s="4"/>
      <c r="N230" s="4"/>
      <c r="O230" s="4"/>
      <c r="P230" s="4"/>
      <c r="Q230" s="4"/>
      <c r="R230" s="4"/>
    </row>
    <row r="231">
      <c r="A231" s="71"/>
      <c r="B231" s="71"/>
      <c r="C231" s="76"/>
      <c r="D231" s="77"/>
      <c r="E231" s="77"/>
      <c r="F231" s="77"/>
      <c r="G231" s="77"/>
      <c r="H231" s="77"/>
      <c r="I231" s="4"/>
      <c r="J231" s="4"/>
      <c r="K231" s="4"/>
      <c r="L231" s="4"/>
      <c r="M231" s="4"/>
      <c r="N231" s="4"/>
      <c r="O231" s="4"/>
      <c r="P231" s="4"/>
      <c r="Q231" s="4"/>
      <c r="R231" s="4"/>
    </row>
    <row r="232">
      <c r="A232" s="71"/>
      <c r="B232" s="71"/>
      <c r="C232" s="76"/>
      <c r="D232" s="77"/>
      <c r="E232" s="77"/>
      <c r="F232" s="77"/>
      <c r="G232" s="77"/>
      <c r="H232" s="77"/>
      <c r="I232" s="4"/>
      <c r="J232" s="4"/>
      <c r="K232" s="4"/>
      <c r="L232" s="4"/>
      <c r="M232" s="4"/>
      <c r="N232" s="4"/>
      <c r="O232" s="4"/>
      <c r="P232" s="4"/>
      <c r="Q232" s="4"/>
      <c r="R232" s="4"/>
    </row>
    <row r="233">
      <c r="A233" s="71"/>
      <c r="B233" s="71"/>
      <c r="C233" s="76"/>
      <c r="D233" s="77"/>
      <c r="E233" s="77"/>
      <c r="F233" s="77"/>
      <c r="G233" s="77"/>
      <c r="H233" s="77"/>
      <c r="I233" s="4"/>
      <c r="J233" s="4"/>
      <c r="K233" s="4"/>
      <c r="L233" s="4"/>
      <c r="M233" s="4"/>
      <c r="N233" s="4"/>
      <c r="O233" s="4"/>
      <c r="P233" s="4"/>
      <c r="Q233" s="4"/>
      <c r="R233" s="4"/>
    </row>
    <row r="234">
      <c r="A234" s="71"/>
      <c r="B234" s="71"/>
      <c r="C234" s="76"/>
      <c r="D234" s="77"/>
      <c r="E234" s="77"/>
      <c r="F234" s="77"/>
      <c r="G234" s="77"/>
      <c r="H234" s="77"/>
      <c r="I234" s="4"/>
      <c r="J234" s="4"/>
      <c r="K234" s="4"/>
      <c r="L234" s="4"/>
      <c r="M234" s="4"/>
      <c r="N234" s="4"/>
      <c r="O234" s="4"/>
      <c r="P234" s="4"/>
      <c r="Q234" s="4"/>
      <c r="R234" s="4"/>
    </row>
    <row r="235">
      <c r="A235" s="71"/>
      <c r="B235" s="71"/>
      <c r="C235" s="76"/>
      <c r="D235" s="77"/>
      <c r="E235" s="77"/>
      <c r="F235" s="77"/>
      <c r="G235" s="77"/>
      <c r="H235" s="77"/>
      <c r="I235" s="4"/>
      <c r="J235" s="4"/>
      <c r="K235" s="4"/>
      <c r="L235" s="4"/>
      <c r="M235" s="4"/>
      <c r="N235" s="4"/>
      <c r="O235" s="4"/>
      <c r="P235" s="4"/>
      <c r="Q235" s="4"/>
      <c r="R235" s="4"/>
    </row>
    <row r="236">
      <c r="A236" s="71"/>
      <c r="B236" s="71"/>
      <c r="C236" s="76"/>
      <c r="D236" s="77"/>
      <c r="E236" s="77"/>
      <c r="F236" s="77"/>
      <c r="G236" s="77"/>
      <c r="H236" s="77"/>
      <c r="I236" s="4"/>
      <c r="J236" s="4"/>
      <c r="K236" s="4"/>
      <c r="L236" s="4"/>
      <c r="M236" s="4"/>
      <c r="N236" s="4"/>
      <c r="O236" s="4"/>
      <c r="P236" s="4"/>
      <c r="Q236" s="4"/>
      <c r="R236" s="4"/>
    </row>
    <row r="237">
      <c r="A237" s="71"/>
      <c r="B237" s="71"/>
      <c r="C237" s="76"/>
      <c r="D237" s="77"/>
      <c r="E237" s="77"/>
      <c r="F237" s="77"/>
      <c r="G237" s="77"/>
      <c r="H237" s="77"/>
      <c r="I237" s="4"/>
      <c r="J237" s="4"/>
      <c r="K237" s="4"/>
      <c r="L237" s="4"/>
      <c r="M237" s="4"/>
      <c r="N237" s="4"/>
      <c r="O237" s="4"/>
      <c r="P237" s="4"/>
      <c r="Q237" s="4"/>
      <c r="R237" s="4"/>
    </row>
    <row r="238">
      <c r="A238" s="71"/>
      <c r="B238" s="71"/>
      <c r="C238" s="76"/>
      <c r="D238" s="77"/>
      <c r="E238" s="77"/>
      <c r="F238" s="77"/>
      <c r="G238" s="77"/>
      <c r="H238" s="77"/>
      <c r="I238" s="4"/>
      <c r="J238" s="4"/>
      <c r="K238" s="4"/>
      <c r="L238" s="4"/>
      <c r="M238" s="4"/>
      <c r="N238" s="4"/>
      <c r="O238" s="4"/>
      <c r="P238" s="4"/>
      <c r="Q238" s="4"/>
      <c r="R238" s="4"/>
    </row>
    <row r="239">
      <c r="A239" s="71"/>
      <c r="B239" s="71"/>
      <c r="C239" s="76"/>
      <c r="D239" s="77"/>
      <c r="E239" s="77"/>
      <c r="F239" s="77"/>
      <c r="G239" s="77"/>
      <c r="H239" s="77"/>
      <c r="I239" s="4"/>
      <c r="J239" s="4"/>
      <c r="K239" s="4"/>
      <c r="L239" s="4"/>
      <c r="M239" s="4"/>
      <c r="N239" s="4"/>
      <c r="O239" s="4"/>
      <c r="P239" s="4"/>
      <c r="Q239" s="4"/>
      <c r="R239" s="4"/>
    </row>
    <row r="240">
      <c r="A240" s="71"/>
      <c r="B240" s="71"/>
      <c r="C240" s="76"/>
      <c r="D240" s="77"/>
      <c r="E240" s="77"/>
      <c r="F240" s="77"/>
      <c r="G240" s="77"/>
      <c r="H240" s="77"/>
      <c r="I240" s="4"/>
      <c r="J240" s="4"/>
      <c r="K240" s="4"/>
      <c r="L240" s="4"/>
      <c r="M240" s="4"/>
      <c r="N240" s="4"/>
      <c r="O240" s="4"/>
      <c r="P240" s="4"/>
      <c r="Q240" s="4"/>
      <c r="R240" s="4"/>
    </row>
    <row r="241">
      <c r="A241" s="71"/>
      <c r="B241" s="71"/>
      <c r="C241" s="76"/>
      <c r="D241" s="77"/>
      <c r="E241" s="77"/>
      <c r="F241" s="77"/>
      <c r="G241" s="77"/>
      <c r="H241" s="77"/>
      <c r="I241" s="4"/>
      <c r="J241" s="4"/>
      <c r="K241" s="4"/>
      <c r="L241" s="4"/>
      <c r="M241" s="4"/>
      <c r="N241" s="4"/>
      <c r="O241" s="4"/>
      <c r="P241" s="4"/>
      <c r="Q241" s="4"/>
      <c r="R241" s="4"/>
    </row>
    <row r="242">
      <c r="A242" s="71"/>
      <c r="B242" s="71"/>
      <c r="C242" s="76"/>
      <c r="D242" s="77"/>
      <c r="E242" s="77"/>
      <c r="F242" s="77"/>
      <c r="G242" s="77"/>
      <c r="H242" s="77"/>
      <c r="I242" s="4"/>
      <c r="J242" s="4"/>
      <c r="K242" s="4"/>
      <c r="L242" s="4"/>
      <c r="M242" s="4"/>
      <c r="N242" s="4"/>
      <c r="O242" s="4"/>
      <c r="P242" s="4"/>
      <c r="Q242" s="4"/>
      <c r="R242" s="4"/>
    </row>
    <row r="243">
      <c r="A243" s="71"/>
      <c r="B243" s="71"/>
      <c r="C243" s="76"/>
      <c r="D243" s="77"/>
      <c r="E243" s="77"/>
      <c r="F243" s="77"/>
      <c r="G243" s="77"/>
      <c r="H243" s="77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>
      <c r="A244" s="71"/>
      <c r="B244" s="71"/>
      <c r="C244" s="76"/>
      <c r="D244" s="77"/>
      <c r="E244" s="77"/>
      <c r="F244" s="77"/>
      <c r="G244" s="77"/>
      <c r="H244" s="77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>
      <c r="A245" s="71"/>
      <c r="B245" s="71"/>
      <c r="C245" s="76"/>
      <c r="D245" s="77"/>
      <c r="E245" s="77"/>
      <c r="F245" s="77"/>
      <c r="G245" s="77"/>
      <c r="H245" s="77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>
      <c r="A246" s="71"/>
      <c r="B246" s="71"/>
      <c r="C246" s="76"/>
      <c r="D246" s="77"/>
      <c r="E246" s="77"/>
      <c r="F246" s="77"/>
      <c r="G246" s="77"/>
      <c r="H246" s="77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>
      <c r="A247" s="71"/>
      <c r="B247" s="71"/>
      <c r="C247" s="76"/>
      <c r="D247" s="77"/>
      <c r="E247" s="77"/>
      <c r="F247" s="77"/>
      <c r="G247" s="77"/>
      <c r="H247" s="77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>
      <c r="A248" s="71"/>
      <c r="B248" s="71"/>
      <c r="C248" s="76"/>
      <c r="D248" s="77"/>
      <c r="E248" s="77"/>
      <c r="F248" s="77"/>
      <c r="G248" s="77"/>
      <c r="H248" s="77"/>
      <c r="I248" s="4"/>
      <c r="J248" s="4"/>
      <c r="K248" s="4"/>
      <c r="L248" s="4"/>
      <c r="M248" s="4"/>
      <c r="N248" s="4"/>
      <c r="O248" s="4"/>
      <c r="P248" s="4"/>
      <c r="Q248" s="4"/>
      <c r="R248" s="4"/>
    </row>
    <row r="249">
      <c r="A249" s="71"/>
      <c r="B249" s="71"/>
      <c r="C249" s="76"/>
      <c r="D249" s="77"/>
      <c r="E249" s="77"/>
      <c r="F249" s="77"/>
      <c r="G249" s="77"/>
      <c r="H249" s="77"/>
      <c r="I249" s="4"/>
      <c r="J249" s="4"/>
      <c r="K249" s="4"/>
      <c r="L249" s="4"/>
      <c r="M249" s="4"/>
      <c r="N249" s="4"/>
      <c r="O249" s="4"/>
      <c r="P249" s="4"/>
      <c r="Q249" s="4"/>
      <c r="R249" s="4"/>
    </row>
    <row r="250">
      <c r="A250" s="71"/>
      <c r="B250" s="71"/>
      <c r="C250" s="76"/>
      <c r="D250" s="77"/>
      <c r="E250" s="77"/>
      <c r="F250" s="77"/>
      <c r="G250" s="77"/>
      <c r="H250" s="77"/>
      <c r="I250" s="4"/>
      <c r="J250" s="4"/>
      <c r="K250" s="4"/>
      <c r="L250" s="4"/>
      <c r="M250" s="4"/>
      <c r="N250" s="4"/>
      <c r="O250" s="4"/>
      <c r="P250" s="4"/>
      <c r="Q250" s="4"/>
      <c r="R250" s="4"/>
    </row>
    <row r="251">
      <c r="A251" s="71"/>
      <c r="B251" s="71"/>
      <c r="C251" s="76"/>
      <c r="D251" s="77"/>
      <c r="E251" s="77"/>
      <c r="F251" s="77"/>
      <c r="G251" s="77"/>
      <c r="H251" s="77"/>
      <c r="I251" s="4"/>
      <c r="J251" s="4"/>
      <c r="K251" s="4"/>
      <c r="L251" s="4"/>
      <c r="M251" s="4"/>
      <c r="N251" s="4"/>
      <c r="O251" s="4"/>
      <c r="P251" s="4"/>
      <c r="Q251" s="4"/>
      <c r="R251" s="4"/>
    </row>
    <row r="252">
      <c r="A252" s="71"/>
      <c r="B252" s="71"/>
      <c r="C252" s="76"/>
      <c r="D252" s="77"/>
      <c r="E252" s="77"/>
      <c r="F252" s="77"/>
      <c r="G252" s="77"/>
      <c r="H252" s="77"/>
      <c r="I252" s="4"/>
      <c r="J252" s="4"/>
      <c r="K252" s="4"/>
      <c r="L252" s="4"/>
      <c r="M252" s="4"/>
      <c r="N252" s="4"/>
      <c r="O252" s="4"/>
      <c r="P252" s="4"/>
      <c r="Q252" s="4"/>
      <c r="R252" s="4"/>
    </row>
    <row r="253">
      <c r="A253" s="71"/>
      <c r="B253" s="71"/>
      <c r="C253" s="76"/>
      <c r="D253" s="77"/>
      <c r="E253" s="77"/>
      <c r="F253" s="77"/>
      <c r="G253" s="77"/>
      <c r="H253" s="77"/>
      <c r="I253" s="4"/>
      <c r="J253" s="4"/>
      <c r="K253" s="4"/>
      <c r="L253" s="4"/>
      <c r="M253" s="4"/>
      <c r="N253" s="4"/>
      <c r="O253" s="4"/>
      <c r="P253" s="4"/>
      <c r="Q253" s="4"/>
      <c r="R253" s="4"/>
    </row>
    <row r="254">
      <c r="A254" s="71"/>
      <c r="B254" s="71"/>
      <c r="C254" s="76"/>
      <c r="D254" s="77"/>
      <c r="E254" s="77"/>
      <c r="F254" s="77"/>
      <c r="G254" s="77"/>
      <c r="H254" s="77"/>
      <c r="I254" s="4"/>
      <c r="J254" s="4"/>
      <c r="K254" s="4"/>
      <c r="L254" s="4"/>
      <c r="M254" s="4"/>
      <c r="N254" s="4"/>
      <c r="O254" s="4"/>
      <c r="P254" s="4"/>
      <c r="Q254" s="4"/>
      <c r="R254" s="4"/>
    </row>
    <row r="255">
      <c r="A255" s="71"/>
      <c r="B255" s="71"/>
      <c r="C255" s="76"/>
      <c r="D255" s="77"/>
      <c r="E255" s="77"/>
      <c r="F255" s="77"/>
      <c r="G255" s="77"/>
      <c r="H255" s="77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>
      <c r="A256" s="71"/>
      <c r="B256" s="71"/>
      <c r="C256" s="76"/>
      <c r="D256" s="77"/>
      <c r="E256" s="77"/>
      <c r="F256" s="77"/>
      <c r="G256" s="77"/>
      <c r="H256" s="77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>
      <c r="A257" s="71"/>
      <c r="B257" s="71"/>
      <c r="C257" s="76"/>
      <c r="D257" s="77"/>
      <c r="E257" s="77"/>
      <c r="F257" s="77"/>
      <c r="G257" s="77"/>
      <c r="H257" s="77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>
      <c r="A258" s="71"/>
      <c r="B258" s="71"/>
      <c r="C258" s="76"/>
      <c r="D258" s="77"/>
      <c r="E258" s="77"/>
      <c r="F258" s="77"/>
      <c r="G258" s="77"/>
      <c r="H258" s="77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>
      <c r="A259" s="71"/>
      <c r="B259" s="71"/>
      <c r="C259" s="76"/>
      <c r="D259" s="77"/>
      <c r="E259" s="77"/>
      <c r="F259" s="77"/>
      <c r="G259" s="77"/>
      <c r="H259" s="77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>
      <c r="A260" s="71"/>
      <c r="B260" s="71"/>
      <c r="C260" s="76"/>
      <c r="D260" s="77"/>
      <c r="E260" s="77"/>
      <c r="F260" s="77"/>
      <c r="G260" s="77"/>
      <c r="H260" s="77"/>
      <c r="I260" s="4"/>
      <c r="J260" s="4"/>
      <c r="K260" s="4"/>
      <c r="L260" s="4"/>
      <c r="M260" s="4"/>
      <c r="N260" s="4"/>
      <c r="O260" s="4"/>
      <c r="P260" s="4"/>
      <c r="Q260" s="4"/>
      <c r="R260" s="4"/>
    </row>
    <row r="261">
      <c r="A261" s="71"/>
      <c r="B261" s="71"/>
      <c r="C261" s="76"/>
      <c r="D261" s="77"/>
      <c r="E261" s="77"/>
      <c r="F261" s="77"/>
      <c r="G261" s="77"/>
      <c r="H261" s="77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>
      <c r="A262" s="71"/>
      <c r="B262" s="71"/>
      <c r="C262" s="76"/>
      <c r="D262" s="77"/>
      <c r="E262" s="77"/>
      <c r="F262" s="77"/>
      <c r="G262" s="77"/>
      <c r="H262" s="77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>
      <c r="A263" s="71"/>
      <c r="B263" s="71"/>
      <c r="C263" s="76"/>
      <c r="D263" s="77"/>
      <c r="E263" s="77"/>
      <c r="F263" s="77"/>
      <c r="G263" s="77"/>
      <c r="H263" s="77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>
      <c r="A264" s="71"/>
      <c r="B264" s="71"/>
      <c r="C264" s="76"/>
      <c r="D264" s="77"/>
      <c r="E264" s="77"/>
      <c r="F264" s="77"/>
      <c r="G264" s="77"/>
      <c r="H264" s="77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>
      <c r="A265" s="71"/>
      <c r="B265" s="71"/>
      <c r="C265" s="76"/>
      <c r="D265" s="77"/>
      <c r="E265" s="77"/>
      <c r="F265" s="77"/>
      <c r="G265" s="77"/>
      <c r="H265" s="77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>
      <c r="A266" s="71"/>
      <c r="B266" s="71"/>
      <c r="C266" s="76"/>
      <c r="D266" s="77"/>
      <c r="E266" s="77"/>
      <c r="F266" s="77"/>
      <c r="G266" s="77"/>
      <c r="H266" s="77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>
      <c r="A267" s="71"/>
      <c r="B267" s="71"/>
      <c r="C267" s="76"/>
      <c r="D267" s="77"/>
      <c r="E267" s="77"/>
      <c r="F267" s="77"/>
      <c r="G267" s="77"/>
      <c r="H267" s="77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>
      <c r="A268" s="71"/>
      <c r="B268" s="71"/>
      <c r="C268" s="76"/>
      <c r="D268" s="77"/>
      <c r="E268" s="77"/>
      <c r="F268" s="77"/>
      <c r="G268" s="77"/>
      <c r="H268" s="77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>
      <c r="A269" s="71"/>
      <c r="B269" s="71"/>
      <c r="C269" s="76"/>
      <c r="D269" s="77"/>
      <c r="E269" s="77"/>
      <c r="F269" s="77"/>
      <c r="G269" s="77"/>
      <c r="H269" s="77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>
      <c r="A270" s="71"/>
      <c r="B270" s="71"/>
      <c r="C270" s="76"/>
      <c r="D270" s="77"/>
      <c r="E270" s="77"/>
      <c r="F270" s="77"/>
      <c r="G270" s="77"/>
      <c r="H270" s="77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>
      <c r="A271" s="71"/>
      <c r="B271" s="71"/>
      <c r="C271" s="76"/>
      <c r="D271" s="77"/>
      <c r="E271" s="77"/>
      <c r="F271" s="77"/>
      <c r="G271" s="77"/>
      <c r="H271" s="77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>
      <c r="A272" s="71"/>
      <c r="B272" s="71"/>
      <c r="C272" s="76"/>
      <c r="D272" s="77"/>
      <c r="E272" s="77"/>
      <c r="F272" s="77"/>
      <c r="G272" s="77"/>
      <c r="H272" s="77"/>
      <c r="I272" s="4"/>
      <c r="J272" s="4"/>
      <c r="K272" s="4"/>
      <c r="L272" s="4"/>
      <c r="M272" s="4"/>
      <c r="N272" s="4"/>
      <c r="O272" s="4"/>
      <c r="P272" s="4"/>
      <c r="Q272" s="4"/>
      <c r="R272" s="4"/>
    </row>
    <row r="273">
      <c r="A273" s="71"/>
      <c r="B273" s="71"/>
      <c r="C273" s="76"/>
      <c r="D273" s="77"/>
      <c r="E273" s="77"/>
      <c r="F273" s="77"/>
      <c r="G273" s="77"/>
      <c r="H273" s="77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>
      <c r="A274" s="71"/>
      <c r="B274" s="71"/>
      <c r="C274" s="76"/>
      <c r="D274" s="77"/>
      <c r="E274" s="77"/>
      <c r="F274" s="77"/>
      <c r="G274" s="77"/>
      <c r="H274" s="77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>
      <c r="A275" s="71"/>
      <c r="B275" s="71"/>
      <c r="C275" s="76"/>
      <c r="D275" s="77"/>
      <c r="E275" s="77"/>
      <c r="F275" s="77"/>
      <c r="G275" s="77"/>
      <c r="H275" s="77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>
      <c r="A276" s="71"/>
      <c r="B276" s="71"/>
      <c r="C276" s="76"/>
      <c r="D276" s="77"/>
      <c r="E276" s="77"/>
      <c r="F276" s="77"/>
      <c r="G276" s="77"/>
      <c r="H276" s="77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>
      <c r="A277" s="71"/>
      <c r="B277" s="71"/>
      <c r="C277" s="76"/>
      <c r="D277" s="77"/>
      <c r="E277" s="77"/>
      <c r="F277" s="77"/>
      <c r="G277" s="77"/>
      <c r="H277" s="77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>
      <c r="A278" s="71"/>
      <c r="B278" s="71"/>
      <c r="C278" s="76"/>
      <c r="D278" s="77"/>
      <c r="E278" s="77"/>
      <c r="F278" s="77"/>
      <c r="G278" s="77"/>
      <c r="H278" s="77"/>
      <c r="I278" s="4"/>
      <c r="J278" s="4"/>
      <c r="K278" s="4"/>
      <c r="L278" s="4"/>
      <c r="M278" s="4"/>
      <c r="N278" s="4"/>
      <c r="O278" s="4"/>
      <c r="P278" s="4"/>
      <c r="Q278" s="4"/>
      <c r="R278" s="4"/>
    </row>
    <row r="279">
      <c r="A279" s="71"/>
      <c r="B279" s="71"/>
      <c r="C279" s="76"/>
      <c r="D279" s="77"/>
      <c r="E279" s="77"/>
      <c r="F279" s="77"/>
      <c r="G279" s="77"/>
      <c r="H279" s="77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>
      <c r="A280" s="71"/>
      <c r="B280" s="71"/>
      <c r="C280" s="76"/>
      <c r="D280" s="77"/>
      <c r="E280" s="77"/>
      <c r="F280" s="77"/>
      <c r="G280" s="77"/>
      <c r="H280" s="77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>
      <c r="A281" s="71"/>
      <c r="B281" s="71"/>
      <c r="C281" s="76"/>
      <c r="D281" s="77"/>
      <c r="E281" s="77"/>
      <c r="F281" s="77"/>
      <c r="G281" s="77"/>
      <c r="H281" s="77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>
      <c r="A282" s="71"/>
      <c r="B282" s="71"/>
      <c r="C282" s="76"/>
      <c r="D282" s="77"/>
      <c r="E282" s="77"/>
      <c r="F282" s="77"/>
      <c r="G282" s="77"/>
      <c r="H282" s="77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>
      <c r="A283" s="71"/>
      <c r="B283" s="71"/>
      <c r="C283" s="76"/>
      <c r="D283" s="77"/>
      <c r="E283" s="77"/>
      <c r="F283" s="77"/>
      <c r="G283" s="77"/>
      <c r="H283" s="77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>
      <c r="A284" s="71"/>
      <c r="B284" s="71"/>
      <c r="C284" s="76"/>
      <c r="D284" s="77"/>
      <c r="E284" s="77"/>
      <c r="F284" s="77"/>
      <c r="G284" s="77"/>
      <c r="H284" s="77"/>
      <c r="I284" s="4"/>
      <c r="J284" s="4"/>
      <c r="K284" s="4"/>
      <c r="L284" s="4"/>
      <c r="M284" s="4"/>
      <c r="N284" s="4"/>
      <c r="O284" s="4"/>
      <c r="P284" s="4"/>
      <c r="Q284" s="4"/>
      <c r="R284" s="4"/>
    </row>
    <row r="285">
      <c r="A285" s="71"/>
      <c r="B285" s="71"/>
      <c r="C285" s="76"/>
      <c r="D285" s="77"/>
      <c r="E285" s="77"/>
      <c r="F285" s="77"/>
      <c r="G285" s="77"/>
      <c r="H285" s="77"/>
      <c r="I285" s="4"/>
      <c r="J285" s="4"/>
      <c r="K285" s="4"/>
      <c r="L285" s="4"/>
      <c r="M285" s="4"/>
      <c r="N285" s="4"/>
      <c r="O285" s="4"/>
      <c r="P285" s="4"/>
      <c r="Q285" s="4"/>
      <c r="R285" s="4"/>
    </row>
    <row r="286">
      <c r="A286" s="71"/>
      <c r="B286" s="71"/>
      <c r="C286" s="76"/>
      <c r="D286" s="77"/>
      <c r="E286" s="77"/>
      <c r="F286" s="77"/>
      <c r="G286" s="77"/>
      <c r="H286" s="77"/>
      <c r="I286" s="4"/>
      <c r="J286" s="4"/>
      <c r="K286" s="4"/>
      <c r="L286" s="4"/>
      <c r="M286" s="4"/>
      <c r="N286" s="4"/>
      <c r="O286" s="4"/>
      <c r="P286" s="4"/>
      <c r="Q286" s="4"/>
      <c r="R286" s="4"/>
    </row>
    <row r="287">
      <c r="A287" s="71"/>
      <c r="B287" s="71"/>
      <c r="C287" s="76"/>
      <c r="D287" s="77"/>
      <c r="E287" s="77"/>
      <c r="F287" s="77"/>
      <c r="G287" s="77"/>
      <c r="H287" s="77"/>
      <c r="I287" s="4"/>
      <c r="J287" s="4"/>
      <c r="K287" s="4"/>
      <c r="L287" s="4"/>
      <c r="M287" s="4"/>
      <c r="N287" s="4"/>
      <c r="O287" s="4"/>
      <c r="P287" s="4"/>
      <c r="Q287" s="4"/>
      <c r="R287" s="4"/>
    </row>
    <row r="288">
      <c r="A288" s="71"/>
      <c r="B288" s="71"/>
      <c r="C288" s="76"/>
      <c r="D288" s="77"/>
      <c r="E288" s="77"/>
      <c r="F288" s="77"/>
      <c r="G288" s="77"/>
      <c r="H288" s="77"/>
      <c r="I288" s="4"/>
      <c r="J288" s="4"/>
      <c r="K288" s="4"/>
      <c r="L288" s="4"/>
      <c r="M288" s="4"/>
      <c r="N288" s="4"/>
      <c r="O288" s="4"/>
      <c r="P288" s="4"/>
      <c r="Q288" s="4"/>
      <c r="R288" s="4"/>
    </row>
    <row r="289">
      <c r="A289" s="71"/>
      <c r="B289" s="71"/>
      <c r="C289" s="76"/>
      <c r="D289" s="77"/>
      <c r="E289" s="77"/>
      <c r="F289" s="77"/>
      <c r="G289" s="77"/>
      <c r="H289" s="77"/>
      <c r="I289" s="4"/>
      <c r="J289" s="4"/>
      <c r="K289" s="4"/>
      <c r="L289" s="4"/>
      <c r="M289" s="4"/>
      <c r="N289" s="4"/>
      <c r="O289" s="4"/>
      <c r="P289" s="4"/>
      <c r="Q289" s="4"/>
      <c r="R289" s="4"/>
    </row>
    <row r="290">
      <c r="A290" s="71"/>
      <c r="B290" s="71"/>
      <c r="C290" s="76"/>
      <c r="D290" s="77"/>
      <c r="E290" s="77"/>
      <c r="F290" s="77"/>
      <c r="G290" s="77"/>
      <c r="H290" s="77"/>
      <c r="I290" s="4"/>
      <c r="J290" s="4"/>
      <c r="K290" s="4"/>
      <c r="L290" s="4"/>
      <c r="M290" s="4"/>
      <c r="N290" s="4"/>
      <c r="O290" s="4"/>
      <c r="P290" s="4"/>
      <c r="Q290" s="4"/>
      <c r="R290" s="4"/>
    </row>
    <row r="291">
      <c r="A291" s="71"/>
      <c r="B291" s="71"/>
      <c r="C291" s="76"/>
      <c r="D291" s="77"/>
      <c r="E291" s="77"/>
      <c r="F291" s="77"/>
      <c r="G291" s="77"/>
      <c r="H291" s="77"/>
      <c r="I291" s="4"/>
      <c r="J291" s="4"/>
      <c r="K291" s="4"/>
      <c r="L291" s="4"/>
      <c r="M291" s="4"/>
      <c r="N291" s="4"/>
      <c r="O291" s="4"/>
      <c r="P291" s="4"/>
      <c r="Q291" s="4"/>
      <c r="R291" s="4"/>
    </row>
    <row r="292">
      <c r="A292" s="71"/>
      <c r="B292" s="71"/>
      <c r="C292" s="76"/>
      <c r="D292" s="77"/>
      <c r="E292" s="77"/>
      <c r="F292" s="77"/>
      <c r="G292" s="77"/>
      <c r="H292" s="77"/>
      <c r="I292" s="4"/>
      <c r="J292" s="4"/>
      <c r="K292" s="4"/>
      <c r="L292" s="4"/>
      <c r="M292" s="4"/>
      <c r="N292" s="4"/>
      <c r="O292" s="4"/>
      <c r="P292" s="4"/>
      <c r="Q292" s="4"/>
      <c r="R292" s="4"/>
    </row>
    <row r="293">
      <c r="A293" s="71"/>
      <c r="B293" s="71"/>
      <c r="C293" s="76"/>
      <c r="D293" s="77"/>
      <c r="E293" s="77"/>
      <c r="F293" s="77"/>
      <c r="G293" s="77"/>
      <c r="H293" s="77"/>
      <c r="I293" s="4"/>
      <c r="J293" s="4"/>
      <c r="K293" s="4"/>
      <c r="L293" s="4"/>
      <c r="M293" s="4"/>
      <c r="N293" s="4"/>
      <c r="O293" s="4"/>
      <c r="P293" s="4"/>
      <c r="Q293" s="4"/>
      <c r="R293" s="4"/>
    </row>
    <row r="294">
      <c r="A294" s="71"/>
      <c r="B294" s="71"/>
      <c r="C294" s="76"/>
      <c r="D294" s="77"/>
      <c r="E294" s="77"/>
      <c r="F294" s="77"/>
      <c r="G294" s="77"/>
      <c r="H294" s="77"/>
      <c r="I294" s="4"/>
      <c r="J294" s="4"/>
      <c r="K294" s="4"/>
      <c r="L294" s="4"/>
      <c r="M294" s="4"/>
      <c r="N294" s="4"/>
      <c r="O294" s="4"/>
      <c r="P294" s="4"/>
      <c r="Q294" s="4"/>
      <c r="R294" s="4"/>
    </row>
    <row r="295">
      <c r="A295" s="71"/>
      <c r="B295" s="71"/>
      <c r="C295" s="76"/>
      <c r="D295" s="77"/>
      <c r="E295" s="77"/>
      <c r="F295" s="77"/>
      <c r="G295" s="77"/>
      <c r="H295" s="77"/>
      <c r="I295" s="4"/>
      <c r="J295" s="4"/>
      <c r="K295" s="4"/>
      <c r="L295" s="4"/>
      <c r="M295" s="4"/>
      <c r="N295" s="4"/>
      <c r="O295" s="4"/>
      <c r="P295" s="4"/>
      <c r="Q295" s="4"/>
      <c r="R295" s="4"/>
    </row>
    <row r="296">
      <c r="A296" s="71"/>
      <c r="B296" s="71"/>
      <c r="C296" s="76"/>
      <c r="D296" s="77"/>
      <c r="E296" s="77"/>
      <c r="F296" s="77"/>
      <c r="G296" s="77"/>
      <c r="H296" s="77"/>
      <c r="I296" s="4"/>
      <c r="J296" s="4"/>
      <c r="K296" s="4"/>
      <c r="L296" s="4"/>
      <c r="M296" s="4"/>
      <c r="N296" s="4"/>
      <c r="O296" s="4"/>
      <c r="P296" s="4"/>
      <c r="Q296" s="4"/>
      <c r="R296" s="4"/>
    </row>
    <row r="297">
      <c r="A297" s="71"/>
      <c r="B297" s="71"/>
      <c r="C297" s="76"/>
      <c r="D297" s="77"/>
      <c r="E297" s="77"/>
      <c r="F297" s="77"/>
      <c r="G297" s="77"/>
      <c r="H297" s="77"/>
      <c r="I297" s="4"/>
      <c r="J297" s="4"/>
      <c r="K297" s="4"/>
      <c r="L297" s="4"/>
      <c r="M297" s="4"/>
      <c r="N297" s="4"/>
      <c r="O297" s="4"/>
      <c r="P297" s="4"/>
      <c r="Q297" s="4"/>
      <c r="R297" s="4"/>
    </row>
    <row r="298">
      <c r="A298" s="71"/>
      <c r="B298" s="71"/>
      <c r="C298" s="76"/>
      <c r="D298" s="77"/>
      <c r="E298" s="77"/>
      <c r="F298" s="77"/>
      <c r="G298" s="77"/>
      <c r="H298" s="77"/>
      <c r="I298" s="4"/>
      <c r="J298" s="4"/>
      <c r="K298" s="4"/>
      <c r="L298" s="4"/>
      <c r="M298" s="4"/>
      <c r="N298" s="4"/>
      <c r="O298" s="4"/>
      <c r="P298" s="4"/>
      <c r="Q298" s="4"/>
      <c r="R298" s="4"/>
    </row>
    <row r="299">
      <c r="A299" s="71"/>
      <c r="B299" s="71"/>
      <c r="C299" s="76"/>
      <c r="D299" s="77"/>
      <c r="E299" s="77"/>
      <c r="F299" s="77"/>
      <c r="G299" s="77"/>
      <c r="H299" s="77"/>
      <c r="I299" s="4"/>
      <c r="J299" s="4"/>
      <c r="K299" s="4"/>
      <c r="L299" s="4"/>
      <c r="M299" s="4"/>
      <c r="N299" s="4"/>
      <c r="O299" s="4"/>
      <c r="P299" s="4"/>
      <c r="Q299" s="4"/>
      <c r="R299" s="4"/>
    </row>
    <row r="300">
      <c r="A300" s="71"/>
      <c r="B300" s="71"/>
      <c r="C300" s="76"/>
      <c r="D300" s="77"/>
      <c r="E300" s="77"/>
      <c r="F300" s="77"/>
      <c r="G300" s="77"/>
      <c r="H300" s="77"/>
      <c r="I300" s="4"/>
      <c r="J300" s="4"/>
      <c r="K300" s="4"/>
      <c r="L300" s="4"/>
      <c r="M300" s="4"/>
      <c r="N300" s="4"/>
      <c r="O300" s="4"/>
      <c r="P300" s="4"/>
      <c r="Q300" s="4"/>
      <c r="R300" s="4"/>
    </row>
    <row r="301">
      <c r="A301" s="71"/>
      <c r="B301" s="71"/>
      <c r="C301" s="76"/>
      <c r="D301" s="77"/>
      <c r="E301" s="77"/>
      <c r="F301" s="77"/>
      <c r="G301" s="77"/>
      <c r="H301" s="77"/>
      <c r="I301" s="4"/>
      <c r="J301" s="4"/>
      <c r="K301" s="4"/>
      <c r="L301" s="4"/>
      <c r="M301" s="4"/>
      <c r="N301" s="4"/>
      <c r="O301" s="4"/>
      <c r="P301" s="4"/>
      <c r="Q301" s="4"/>
      <c r="R301" s="4"/>
    </row>
    <row r="302">
      <c r="A302" s="71"/>
      <c r="B302" s="71"/>
      <c r="C302" s="76"/>
      <c r="D302" s="77"/>
      <c r="E302" s="77"/>
      <c r="F302" s="77"/>
      <c r="G302" s="77"/>
      <c r="H302" s="77"/>
      <c r="I302" s="4"/>
      <c r="J302" s="4"/>
      <c r="K302" s="4"/>
      <c r="L302" s="4"/>
      <c r="M302" s="4"/>
      <c r="N302" s="4"/>
      <c r="O302" s="4"/>
      <c r="P302" s="4"/>
      <c r="Q302" s="4"/>
      <c r="R302" s="4"/>
    </row>
    <row r="303">
      <c r="A303" s="71"/>
      <c r="B303" s="71"/>
      <c r="C303" s="76"/>
      <c r="D303" s="77"/>
      <c r="E303" s="77"/>
      <c r="F303" s="77"/>
      <c r="G303" s="77"/>
      <c r="H303" s="77"/>
      <c r="I303" s="4"/>
      <c r="J303" s="4"/>
      <c r="K303" s="4"/>
      <c r="L303" s="4"/>
      <c r="M303" s="4"/>
      <c r="N303" s="4"/>
      <c r="O303" s="4"/>
      <c r="P303" s="4"/>
      <c r="Q303" s="4"/>
      <c r="R303" s="4"/>
    </row>
    <row r="304">
      <c r="A304" s="71"/>
      <c r="B304" s="71"/>
      <c r="C304" s="76"/>
      <c r="D304" s="77"/>
      <c r="E304" s="77"/>
      <c r="F304" s="77"/>
      <c r="G304" s="77"/>
      <c r="H304" s="77"/>
      <c r="I304" s="4"/>
      <c r="J304" s="4"/>
      <c r="K304" s="4"/>
      <c r="L304" s="4"/>
      <c r="M304" s="4"/>
      <c r="N304" s="4"/>
      <c r="O304" s="4"/>
      <c r="P304" s="4"/>
      <c r="Q304" s="4"/>
      <c r="R304" s="4"/>
    </row>
    <row r="305">
      <c r="A305" s="71"/>
      <c r="B305" s="71"/>
      <c r="C305" s="76"/>
      <c r="D305" s="77"/>
      <c r="E305" s="77"/>
      <c r="F305" s="77"/>
      <c r="G305" s="77"/>
      <c r="H305" s="77"/>
      <c r="I305" s="4"/>
      <c r="J305" s="4"/>
      <c r="K305" s="4"/>
      <c r="L305" s="4"/>
      <c r="M305" s="4"/>
      <c r="N305" s="4"/>
      <c r="O305" s="4"/>
      <c r="P305" s="4"/>
      <c r="Q305" s="4"/>
      <c r="R305" s="4"/>
    </row>
    <row r="306">
      <c r="A306" s="71"/>
      <c r="B306" s="71"/>
      <c r="C306" s="76"/>
      <c r="D306" s="77"/>
      <c r="E306" s="77"/>
      <c r="F306" s="77"/>
      <c r="G306" s="77"/>
      <c r="H306" s="77"/>
      <c r="I306" s="4"/>
      <c r="J306" s="4"/>
      <c r="K306" s="4"/>
      <c r="L306" s="4"/>
      <c r="M306" s="4"/>
      <c r="N306" s="4"/>
      <c r="O306" s="4"/>
      <c r="P306" s="4"/>
      <c r="Q306" s="4"/>
      <c r="R306" s="4"/>
    </row>
    <row r="307">
      <c r="A307" s="71"/>
      <c r="B307" s="71"/>
      <c r="C307" s="76"/>
      <c r="D307" s="77"/>
      <c r="E307" s="77"/>
      <c r="F307" s="77"/>
      <c r="G307" s="77"/>
      <c r="H307" s="77"/>
      <c r="I307" s="4"/>
      <c r="J307" s="4"/>
      <c r="K307" s="4"/>
      <c r="L307" s="4"/>
      <c r="M307" s="4"/>
      <c r="N307" s="4"/>
      <c r="O307" s="4"/>
      <c r="P307" s="4"/>
      <c r="Q307" s="4"/>
      <c r="R307" s="4"/>
    </row>
    <row r="308">
      <c r="A308" s="71"/>
      <c r="B308" s="71"/>
      <c r="C308" s="76"/>
      <c r="D308" s="77"/>
      <c r="E308" s="77"/>
      <c r="F308" s="77"/>
      <c r="G308" s="77"/>
      <c r="H308" s="77"/>
      <c r="I308" s="4"/>
      <c r="J308" s="4"/>
      <c r="K308" s="4"/>
      <c r="L308" s="4"/>
      <c r="M308" s="4"/>
      <c r="N308" s="4"/>
      <c r="O308" s="4"/>
      <c r="P308" s="4"/>
      <c r="Q308" s="4"/>
      <c r="R308" s="4"/>
    </row>
    <row r="309">
      <c r="A309" s="71"/>
      <c r="B309" s="71"/>
      <c r="C309" s="76"/>
      <c r="D309" s="77"/>
      <c r="E309" s="77"/>
      <c r="F309" s="77"/>
      <c r="G309" s="77"/>
      <c r="H309" s="77"/>
      <c r="I309" s="4"/>
      <c r="J309" s="4"/>
      <c r="K309" s="4"/>
      <c r="L309" s="4"/>
      <c r="M309" s="4"/>
      <c r="N309" s="4"/>
      <c r="O309" s="4"/>
      <c r="P309" s="4"/>
      <c r="Q309" s="4"/>
      <c r="R309" s="4"/>
    </row>
    <row r="310">
      <c r="A310" s="71"/>
      <c r="B310" s="71"/>
      <c r="C310" s="76"/>
      <c r="D310" s="77"/>
      <c r="E310" s="77"/>
      <c r="F310" s="77"/>
      <c r="G310" s="77"/>
      <c r="H310" s="77"/>
      <c r="I310" s="4"/>
      <c r="J310" s="4"/>
      <c r="K310" s="4"/>
      <c r="L310" s="4"/>
      <c r="M310" s="4"/>
      <c r="N310" s="4"/>
      <c r="O310" s="4"/>
      <c r="P310" s="4"/>
      <c r="Q310" s="4"/>
      <c r="R310" s="4"/>
    </row>
    <row r="311">
      <c r="A311" s="71"/>
      <c r="B311" s="71"/>
      <c r="C311" s="76"/>
      <c r="D311" s="77"/>
      <c r="E311" s="77"/>
      <c r="F311" s="77"/>
      <c r="G311" s="77"/>
      <c r="H311" s="77"/>
      <c r="I311" s="4"/>
      <c r="J311" s="4"/>
      <c r="K311" s="4"/>
      <c r="L311" s="4"/>
      <c r="M311" s="4"/>
      <c r="N311" s="4"/>
      <c r="O311" s="4"/>
      <c r="P311" s="4"/>
      <c r="Q311" s="4"/>
      <c r="R311" s="4"/>
    </row>
    <row r="312">
      <c r="A312" s="71"/>
      <c r="B312" s="71"/>
      <c r="C312" s="76"/>
      <c r="D312" s="77"/>
      <c r="E312" s="77"/>
      <c r="F312" s="77"/>
      <c r="G312" s="77"/>
      <c r="H312" s="77"/>
      <c r="I312" s="4"/>
      <c r="J312" s="4"/>
      <c r="K312" s="4"/>
      <c r="L312" s="4"/>
      <c r="M312" s="4"/>
      <c r="N312" s="4"/>
      <c r="O312" s="4"/>
      <c r="P312" s="4"/>
      <c r="Q312" s="4"/>
      <c r="R312" s="4"/>
    </row>
    <row r="313">
      <c r="A313" s="71"/>
      <c r="B313" s="71"/>
      <c r="C313" s="76"/>
      <c r="D313" s="77"/>
      <c r="E313" s="77"/>
      <c r="F313" s="77"/>
      <c r="G313" s="77"/>
      <c r="H313" s="77"/>
      <c r="I313" s="4"/>
      <c r="J313" s="4"/>
      <c r="K313" s="4"/>
      <c r="L313" s="4"/>
      <c r="M313" s="4"/>
      <c r="N313" s="4"/>
      <c r="O313" s="4"/>
      <c r="P313" s="4"/>
      <c r="Q313" s="4"/>
      <c r="R313" s="4"/>
    </row>
    <row r="314">
      <c r="A314" s="71"/>
      <c r="B314" s="71"/>
      <c r="C314" s="76"/>
      <c r="D314" s="77"/>
      <c r="E314" s="77"/>
      <c r="F314" s="77"/>
      <c r="G314" s="77"/>
      <c r="H314" s="77"/>
      <c r="I314" s="4"/>
      <c r="J314" s="4"/>
      <c r="K314" s="4"/>
      <c r="L314" s="4"/>
      <c r="M314" s="4"/>
      <c r="N314" s="4"/>
      <c r="O314" s="4"/>
      <c r="P314" s="4"/>
      <c r="Q314" s="4"/>
      <c r="R314" s="4"/>
    </row>
    <row r="315">
      <c r="A315" s="71"/>
      <c r="B315" s="71"/>
      <c r="C315" s="76"/>
      <c r="D315" s="77"/>
      <c r="E315" s="77"/>
      <c r="F315" s="77"/>
      <c r="G315" s="77"/>
      <c r="H315" s="77"/>
      <c r="I315" s="4"/>
      <c r="J315" s="4"/>
      <c r="K315" s="4"/>
      <c r="L315" s="4"/>
      <c r="M315" s="4"/>
      <c r="N315" s="4"/>
      <c r="O315" s="4"/>
      <c r="P315" s="4"/>
      <c r="Q315" s="4"/>
      <c r="R315" s="4"/>
    </row>
    <row r="316">
      <c r="A316" s="71"/>
      <c r="B316" s="71"/>
      <c r="C316" s="76"/>
      <c r="D316" s="77"/>
      <c r="E316" s="77"/>
      <c r="F316" s="77"/>
      <c r="G316" s="77"/>
      <c r="H316" s="77"/>
      <c r="I316" s="4"/>
      <c r="J316" s="4"/>
      <c r="K316" s="4"/>
      <c r="L316" s="4"/>
      <c r="M316" s="4"/>
      <c r="N316" s="4"/>
      <c r="O316" s="4"/>
      <c r="P316" s="4"/>
      <c r="Q316" s="4"/>
      <c r="R316" s="4"/>
    </row>
    <row r="317">
      <c r="A317" s="71"/>
      <c r="B317" s="71"/>
      <c r="C317" s="76"/>
      <c r="D317" s="77"/>
      <c r="E317" s="77"/>
      <c r="F317" s="77"/>
      <c r="G317" s="77"/>
      <c r="H317" s="77"/>
      <c r="I317" s="4"/>
      <c r="J317" s="4"/>
      <c r="K317" s="4"/>
      <c r="L317" s="4"/>
      <c r="M317" s="4"/>
      <c r="N317" s="4"/>
      <c r="O317" s="4"/>
      <c r="P317" s="4"/>
      <c r="Q317" s="4"/>
      <c r="R317" s="4"/>
    </row>
    <row r="318">
      <c r="A318" s="71"/>
      <c r="B318" s="71"/>
      <c r="C318" s="76"/>
      <c r="D318" s="77"/>
      <c r="E318" s="77"/>
      <c r="F318" s="77"/>
      <c r="G318" s="77"/>
      <c r="H318" s="77"/>
      <c r="I318" s="4"/>
      <c r="J318" s="4"/>
      <c r="K318" s="4"/>
      <c r="L318" s="4"/>
      <c r="M318" s="4"/>
      <c r="N318" s="4"/>
      <c r="O318" s="4"/>
      <c r="P318" s="4"/>
      <c r="Q318" s="4"/>
      <c r="R318" s="4"/>
    </row>
    <row r="319">
      <c r="A319" s="71"/>
      <c r="B319" s="71"/>
      <c r="C319" s="76"/>
      <c r="D319" s="77"/>
      <c r="E319" s="77"/>
      <c r="F319" s="77"/>
      <c r="G319" s="77"/>
      <c r="H319" s="77"/>
      <c r="I319" s="4"/>
      <c r="J319" s="4"/>
      <c r="K319" s="4"/>
      <c r="L319" s="4"/>
      <c r="M319" s="4"/>
      <c r="N319" s="4"/>
      <c r="O319" s="4"/>
      <c r="P319" s="4"/>
      <c r="Q319" s="4"/>
      <c r="R319" s="4"/>
    </row>
    <row r="320">
      <c r="A320" s="71"/>
      <c r="B320" s="71"/>
      <c r="C320" s="76"/>
      <c r="D320" s="77"/>
      <c r="E320" s="77"/>
      <c r="F320" s="77"/>
      <c r="G320" s="77"/>
      <c r="H320" s="77"/>
      <c r="I320" s="4"/>
      <c r="J320" s="4"/>
      <c r="K320" s="4"/>
      <c r="L320" s="4"/>
      <c r="M320" s="4"/>
      <c r="N320" s="4"/>
      <c r="O320" s="4"/>
      <c r="P320" s="4"/>
      <c r="Q320" s="4"/>
      <c r="R320" s="4"/>
    </row>
    <row r="321">
      <c r="A321" s="71"/>
      <c r="B321" s="71"/>
      <c r="C321" s="76"/>
      <c r="D321" s="77"/>
      <c r="E321" s="77"/>
      <c r="F321" s="77"/>
      <c r="G321" s="77"/>
      <c r="H321" s="77"/>
      <c r="I321" s="4"/>
      <c r="J321" s="4"/>
      <c r="K321" s="4"/>
      <c r="L321" s="4"/>
      <c r="M321" s="4"/>
      <c r="N321" s="4"/>
      <c r="O321" s="4"/>
      <c r="P321" s="4"/>
      <c r="Q321" s="4"/>
      <c r="R321" s="4"/>
    </row>
    <row r="322">
      <c r="A322" s="71"/>
      <c r="B322" s="71"/>
      <c r="C322" s="76"/>
      <c r="D322" s="77"/>
      <c r="E322" s="77"/>
      <c r="F322" s="77"/>
      <c r="G322" s="77"/>
      <c r="H322" s="77"/>
      <c r="I322" s="4"/>
      <c r="J322" s="4"/>
      <c r="K322" s="4"/>
      <c r="L322" s="4"/>
      <c r="M322" s="4"/>
      <c r="N322" s="4"/>
      <c r="O322" s="4"/>
      <c r="P322" s="4"/>
      <c r="Q322" s="4"/>
      <c r="R322" s="4"/>
    </row>
    <row r="323">
      <c r="A323" s="71"/>
      <c r="B323" s="71"/>
      <c r="C323" s="76"/>
      <c r="D323" s="77"/>
      <c r="E323" s="77"/>
      <c r="F323" s="77"/>
      <c r="G323" s="77"/>
      <c r="H323" s="77"/>
      <c r="I323" s="4"/>
      <c r="J323" s="4"/>
      <c r="K323" s="4"/>
      <c r="L323" s="4"/>
      <c r="M323" s="4"/>
      <c r="N323" s="4"/>
      <c r="O323" s="4"/>
      <c r="P323" s="4"/>
      <c r="Q323" s="4"/>
      <c r="R323" s="4"/>
    </row>
    <row r="324">
      <c r="A324" s="71"/>
      <c r="B324" s="71"/>
      <c r="C324" s="76"/>
      <c r="D324" s="77"/>
      <c r="E324" s="77"/>
      <c r="F324" s="77"/>
      <c r="G324" s="77"/>
      <c r="H324" s="77"/>
      <c r="I324" s="4"/>
      <c r="J324" s="4"/>
      <c r="K324" s="4"/>
      <c r="L324" s="4"/>
      <c r="M324" s="4"/>
      <c r="N324" s="4"/>
      <c r="O324" s="4"/>
      <c r="P324" s="4"/>
      <c r="Q324" s="4"/>
      <c r="R324" s="4"/>
    </row>
    <row r="325">
      <c r="A325" s="71"/>
      <c r="B325" s="71"/>
      <c r="C325" s="76"/>
      <c r="D325" s="77"/>
      <c r="E325" s="77"/>
      <c r="F325" s="77"/>
      <c r="G325" s="77"/>
      <c r="H325" s="77"/>
      <c r="I325" s="4"/>
      <c r="J325" s="4"/>
      <c r="K325" s="4"/>
      <c r="L325" s="4"/>
      <c r="M325" s="4"/>
      <c r="N325" s="4"/>
      <c r="O325" s="4"/>
      <c r="P325" s="4"/>
      <c r="Q325" s="4"/>
      <c r="R325" s="4"/>
    </row>
    <row r="326">
      <c r="A326" s="71"/>
      <c r="B326" s="71"/>
      <c r="C326" s="76"/>
      <c r="D326" s="77"/>
      <c r="E326" s="77"/>
      <c r="F326" s="77"/>
      <c r="G326" s="77"/>
      <c r="H326" s="77"/>
      <c r="I326" s="4"/>
      <c r="J326" s="4"/>
      <c r="K326" s="4"/>
      <c r="L326" s="4"/>
      <c r="M326" s="4"/>
      <c r="N326" s="4"/>
      <c r="O326" s="4"/>
      <c r="P326" s="4"/>
      <c r="Q326" s="4"/>
      <c r="R326" s="4"/>
    </row>
    <row r="327">
      <c r="A327" s="71"/>
      <c r="B327" s="71"/>
      <c r="C327" s="76"/>
      <c r="D327" s="77"/>
      <c r="E327" s="77"/>
      <c r="F327" s="77"/>
      <c r="G327" s="77"/>
      <c r="H327" s="77"/>
      <c r="I327" s="4"/>
      <c r="J327" s="4"/>
      <c r="K327" s="4"/>
      <c r="L327" s="4"/>
      <c r="M327" s="4"/>
      <c r="N327" s="4"/>
      <c r="O327" s="4"/>
      <c r="P327" s="4"/>
      <c r="Q327" s="4"/>
      <c r="R327" s="4"/>
    </row>
    <row r="328">
      <c r="A328" s="71"/>
      <c r="B328" s="71"/>
      <c r="C328" s="76"/>
      <c r="D328" s="77"/>
      <c r="E328" s="77"/>
      <c r="F328" s="77"/>
      <c r="G328" s="77"/>
      <c r="H328" s="77"/>
      <c r="I328" s="4"/>
      <c r="J328" s="4"/>
      <c r="K328" s="4"/>
      <c r="L328" s="4"/>
      <c r="M328" s="4"/>
      <c r="N328" s="4"/>
      <c r="O328" s="4"/>
      <c r="P328" s="4"/>
      <c r="Q328" s="4"/>
      <c r="R328" s="4"/>
    </row>
    <row r="329">
      <c r="A329" s="71"/>
      <c r="B329" s="71"/>
      <c r="C329" s="76"/>
      <c r="D329" s="77"/>
      <c r="E329" s="77"/>
      <c r="F329" s="77"/>
      <c r="G329" s="77"/>
      <c r="H329" s="77"/>
      <c r="I329" s="4"/>
      <c r="J329" s="4"/>
      <c r="K329" s="4"/>
      <c r="L329" s="4"/>
      <c r="M329" s="4"/>
      <c r="N329" s="4"/>
      <c r="O329" s="4"/>
      <c r="P329" s="4"/>
      <c r="Q329" s="4"/>
      <c r="R329" s="4"/>
    </row>
    <row r="330">
      <c r="A330" s="71"/>
      <c r="B330" s="71"/>
      <c r="C330" s="76"/>
      <c r="D330" s="77"/>
      <c r="E330" s="77"/>
      <c r="F330" s="77"/>
      <c r="G330" s="77"/>
      <c r="H330" s="77"/>
      <c r="I330" s="4"/>
      <c r="J330" s="4"/>
      <c r="K330" s="4"/>
      <c r="L330" s="4"/>
      <c r="M330" s="4"/>
      <c r="N330" s="4"/>
      <c r="O330" s="4"/>
      <c r="P330" s="4"/>
      <c r="Q330" s="4"/>
      <c r="R330" s="4"/>
    </row>
    <row r="331">
      <c r="A331" s="71"/>
      <c r="B331" s="71"/>
      <c r="C331" s="76"/>
      <c r="D331" s="77"/>
      <c r="E331" s="77"/>
      <c r="F331" s="77"/>
      <c r="G331" s="77"/>
      <c r="H331" s="77"/>
      <c r="I331" s="4"/>
      <c r="J331" s="4"/>
      <c r="K331" s="4"/>
      <c r="L331" s="4"/>
      <c r="M331" s="4"/>
      <c r="N331" s="4"/>
      <c r="O331" s="4"/>
      <c r="P331" s="4"/>
      <c r="Q331" s="4"/>
      <c r="R331" s="4"/>
    </row>
    <row r="332">
      <c r="A332" s="71"/>
      <c r="B332" s="71"/>
      <c r="C332" s="76"/>
      <c r="D332" s="77"/>
      <c r="E332" s="77"/>
      <c r="F332" s="77"/>
      <c r="G332" s="77"/>
      <c r="H332" s="77"/>
      <c r="I332" s="4"/>
      <c r="J332" s="4"/>
      <c r="K332" s="4"/>
      <c r="L332" s="4"/>
      <c r="M332" s="4"/>
      <c r="N332" s="4"/>
      <c r="O332" s="4"/>
      <c r="P332" s="4"/>
      <c r="Q332" s="4"/>
      <c r="R332" s="4"/>
    </row>
    <row r="333">
      <c r="A333" s="71"/>
      <c r="B333" s="71"/>
      <c r="C333" s="76"/>
      <c r="D333" s="77"/>
      <c r="E333" s="77"/>
      <c r="F333" s="77"/>
      <c r="G333" s="77"/>
      <c r="H333" s="77"/>
      <c r="I333" s="4"/>
      <c r="J333" s="4"/>
      <c r="K333" s="4"/>
      <c r="L333" s="4"/>
      <c r="M333" s="4"/>
      <c r="N333" s="4"/>
      <c r="O333" s="4"/>
      <c r="P333" s="4"/>
      <c r="Q333" s="4"/>
      <c r="R333" s="4"/>
    </row>
    <row r="334">
      <c r="A334" s="71"/>
      <c r="B334" s="71"/>
      <c r="C334" s="76"/>
      <c r="D334" s="77"/>
      <c r="E334" s="77"/>
      <c r="F334" s="77"/>
      <c r="G334" s="77"/>
      <c r="H334" s="77"/>
      <c r="I334" s="4"/>
      <c r="J334" s="4"/>
      <c r="K334" s="4"/>
      <c r="L334" s="4"/>
      <c r="M334" s="4"/>
      <c r="N334" s="4"/>
      <c r="O334" s="4"/>
      <c r="P334" s="4"/>
      <c r="Q334" s="4"/>
      <c r="R334" s="4"/>
    </row>
    <row r="335">
      <c r="A335" s="71"/>
      <c r="B335" s="71"/>
      <c r="C335" s="76"/>
      <c r="D335" s="77"/>
      <c r="E335" s="77"/>
      <c r="F335" s="77"/>
      <c r="G335" s="77"/>
      <c r="H335" s="77"/>
      <c r="I335" s="4"/>
      <c r="J335" s="4"/>
      <c r="K335" s="4"/>
      <c r="L335" s="4"/>
      <c r="M335" s="4"/>
      <c r="N335" s="4"/>
      <c r="O335" s="4"/>
      <c r="P335" s="4"/>
      <c r="Q335" s="4"/>
      <c r="R335" s="4"/>
    </row>
    <row r="336">
      <c r="A336" s="71"/>
      <c r="B336" s="71"/>
      <c r="C336" s="76"/>
      <c r="D336" s="77"/>
      <c r="E336" s="77"/>
      <c r="F336" s="77"/>
      <c r="G336" s="77"/>
      <c r="H336" s="77"/>
      <c r="I336" s="4"/>
      <c r="J336" s="4"/>
      <c r="K336" s="4"/>
      <c r="L336" s="4"/>
      <c r="M336" s="4"/>
      <c r="N336" s="4"/>
      <c r="O336" s="4"/>
      <c r="P336" s="4"/>
      <c r="Q336" s="4"/>
      <c r="R336" s="4"/>
    </row>
    <row r="337">
      <c r="A337" s="71"/>
      <c r="B337" s="71"/>
      <c r="C337" s="76"/>
      <c r="D337" s="77"/>
      <c r="E337" s="77"/>
      <c r="F337" s="77"/>
      <c r="G337" s="77"/>
      <c r="H337" s="77"/>
      <c r="I337" s="4"/>
      <c r="J337" s="4"/>
      <c r="K337" s="4"/>
      <c r="L337" s="4"/>
      <c r="M337" s="4"/>
      <c r="N337" s="4"/>
      <c r="O337" s="4"/>
      <c r="P337" s="4"/>
      <c r="Q337" s="4"/>
      <c r="R337" s="4"/>
    </row>
    <row r="338">
      <c r="A338" s="71"/>
      <c r="B338" s="71"/>
      <c r="C338" s="76"/>
      <c r="D338" s="77"/>
      <c r="E338" s="77"/>
      <c r="F338" s="77"/>
      <c r="G338" s="77"/>
      <c r="H338" s="77"/>
      <c r="I338" s="4"/>
      <c r="J338" s="4"/>
      <c r="K338" s="4"/>
      <c r="L338" s="4"/>
      <c r="M338" s="4"/>
      <c r="N338" s="4"/>
      <c r="O338" s="4"/>
      <c r="P338" s="4"/>
      <c r="Q338" s="4"/>
      <c r="R338" s="4"/>
    </row>
    <row r="339">
      <c r="A339" s="71"/>
      <c r="B339" s="71"/>
      <c r="C339" s="76"/>
      <c r="D339" s="77"/>
      <c r="E339" s="77"/>
      <c r="F339" s="77"/>
      <c r="G339" s="77"/>
      <c r="H339" s="77"/>
      <c r="I339" s="4"/>
      <c r="J339" s="4"/>
      <c r="K339" s="4"/>
      <c r="L339" s="4"/>
      <c r="M339" s="4"/>
      <c r="N339" s="4"/>
      <c r="O339" s="4"/>
      <c r="P339" s="4"/>
      <c r="Q339" s="4"/>
      <c r="R339" s="4"/>
    </row>
    <row r="340">
      <c r="A340" s="71"/>
      <c r="B340" s="71"/>
      <c r="C340" s="76"/>
      <c r="D340" s="77"/>
      <c r="E340" s="77"/>
      <c r="F340" s="77"/>
      <c r="G340" s="77"/>
      <c r="H340" s="77"/>
      <c r="I340" s="4"/>
      <c r="J340" s="4"/>
      <c r="K340" s="4"/>
      <c r="L340" s="4"/>
      <c r="M340" s="4"/>
      <c r="N340" s="4"/>
      <c r="O340" s="4"/>
      <c r="P340" s="4"/>
      <c r="Q340" s="4"/>
      <c r="R340" s="4"/>
    </row>
    <row r="341">
      <c r="A341" s="71"/>
      <c r="B341" s="71"/>
      <c r="C341" s="76"/>
      <c r="D341" s="77"/>
      <c r="E341" s="77"/>
      <c r="F341" s="77"/>
      <c r="G341" s="77"/>
      <c r="H341" s="77"/>
      <c r="I341" s="4"/>
      <c r="J341" s="4"/>
      <c r="K341" s="4"/>
      <c r="L341" s="4"/>
      <c r="M341" s="4"/>
      <c r="N341" s="4"/>
      <c r="O341" s="4"/>
      <c r="P341" s="4"/>
      <c r="Q341" s="4"/>
      <c r="R341" s="4"/>
    </row>
    <row r="342">
      <c r="A342" s="71"/>
      <c r="B342" s="71"/>
      <c r="C342" s="76"/>
      <c r="D342" s="77"/>
      <c r="E342" s="77"/>
      <c r="F342" s="77"/>
      <c r="G342" s="77"/>
      <c r="H342" s="77"/>
      <c r="I342" s="4"/>
      <c r="J342" s="4"/>
      <c r="K342" s="4"/>
      <c r="L342" s="4"/>
      <c r="M342" s="4"/>
      <c r="N342" s="4"/>
      <c r="O342" s="4"/>
      <c r="P342" s="4"/>
      <c r="Q342" s="4"/>
      <c r="R342" s="4"/>
    </row>
    <row r="343">
      <c r="A343" s="71"/>
      <c r="B343" s="71"/>
      <c r="C343" s="76"/>
      <c r="D343" s="77"/>
      <c r="E343" s="77"/>
      <c r="F343" s="77"/>
      <c r="G343" s="77"/>
      <c r="H343" s="77"/>
      <c r="I343" s="4"/>
      <c r="J343" s="4"/>
      <c r="K343" s="4"/>
      <c r="L343" s="4"/>
      <c r="M343" s="4"/>
      <c r="N343" s="4"/>
      <c r="O343" s="4"/>
      <c r="P343" s="4"/>
      <c r="Q343" s="4"/>
      <c r="R343" s="4"/>
    </row>
    <row r="344">
      <c r="A344" s="71"/>
      <c r="B344" s="71"/>
      <c r="C344" s="76"/>
      <c r="D344" s="77"/>
      <c r="E344" s="77"/>
      <c r="F344" s="77"/>
      <c r="G344" s="77"/>
      <c r="H344" s="77"/>
      <c r="I344" s="4"/>
      <c r="J344" s="4"/>
      <c r="K344" s="4"/>
      <c r="L344" s="4"/>
      <c r="M344" s="4"/>
      <c r="N344" s="4"/>
      <c r="O344" s="4"/>
      <c r="P344" s="4"/>
      <c r="Q344" s="4"/>
      <c r="R344" s="4"/>
    </row>
    <row r="345">
      <c r="A345" s="71"/>
      <c r="B345" s="71"/>
      <c r="C345" s="76"/>
      <c r="D345" s="77"/>
      <c r="E345" s="77"/>
      <c r="F345" s="77"/>
      <c r="G345" s="77"/>
      <c r="H345" s="77"/>
      <c r="I345" s="4"/>
      <c r="J345" s="4"/>
      <c r="K345" s="4"/>
      <c r="L345" s="4"/>
      <c r="M345" s="4"/>
      <c r="N345" s="4"/>
      <c r="O345" s="4"/>
      <c r="P345" s="4"/>
      <c r="Q345" s="4"/>
      <c r="R345" s="4"/>
    </row>
    <row r="346">
      <c r="A346" s="71"/>
      <c r="B346" s="71"/>
      <c r="C346" s="76"/>
      <c r="D346" s="77"/>
      <c r="E346" s="77"/>
      <c r="F346" s="77"/>
      <c r="G346" s="77"/>
      <c r="H346" s="77"/>
      <c r="I346" s="4"/>
      <c r="J346" s="4"/>
      <c r="K346" s="4"/>
      <c r="L346" s="4"/>
      <c r="M346" s="4"/>
      <c r="N346" s="4"/>
      <c r="O346" s="4"/>
      <c r="P346" s="4"/>
      <c r="Q346" s="4"/>
      <c r="R346" s="4"/>
    </row>
    <row r="347">
      <c r="A347" s="71"/>
      <c r="B347" s="71"/>
      <c r="C347" s="76"/>
      <c r="D347" s="77"/>
      <c r="E347" s="77"/>
      <c r="F347" s="77"/>
      <c r="G347" s="77"/>
      <c r="H347" s="77"/>
      <c r="I347" s="4"/>
      <c r="J347" s="4"/>
      <c r="K347" s="4"/>
      <c r="L347" s="4"/>
      <c r="M347" s="4"/>
      <c r="N347" s="4"/>
      <c r="O347" s="4"/>
      <c r="P347" s="4"/>
      <c r="Q347" s="4"/>
      <c r="R347" s="4"/>
    </row>
    <row r="348">
      <c r="A348" s="71"/>
      <c r="B348" s="71"/>
      <c r="C348" s="76"/>
      <c r="D348" s="77"/>
      <c r="E348" s="77"/>
      <c r="F348" s="77"/>
      <c r="G348" s="77"/>
      <c r="H348" s="77"/>
      <c r="I348" s="4"/>
      <c r="J348" s="4"/>
      <c r="K348" s="4"/>
      <c r="L348" s="4"/>
      <c r="M348" s="4"/>
      <c r="N348" s="4"/>
      <c r="O348" s="4"/>
      <c r="P348" s="4"/>
      <c r="Q348" s="4"/>
      <c r="R348" s="4"/>
    </row>
    <row r="349">
      <c r="A349" s="71"/>
      <c r="B349" s="71"/>
      <c r="C349" s="76"/>
      <c r="D349" s="77"/>
      <c r="E349" s="77"/>
      <c r="F349" s="77"/>
      <c r="G349" s="77"/>
      <c r="H349" s="77"/>
      <c r="I349" s="4"/>
      <c r="J349" s="4"/>
      <c r="K349" s="4"/>
      <c r="L349" s="4"/>
      <c r="M349" s="4"/>
      <c r="N349" s="4"/>
      <c r="O349" s="4"/>
      <c r="P349" s="4"/>
      <c r="Q349" s="4"/>
      <c r="R349" s="4"/>
    </row>
    <row r="350">
      <c r="A350" s="71"/>
      <c r="B350" s="71"/>
      <c r="C350" s="76"/>
      <c r="D350" s="77"/>
      <c r="E350" s="77"/>
      <c r="F350" s="77"/>
      <c r="G350" s="77"/>
      <c r="H350" s="77"/>
      <c r="I350" s="4"/>
      <c r="J350" s="4"/>
      <c r="K350" s="4"/>
      <c r="L350" s="4"/>
      <c r="M350" s="4"/>
      <c r="N350" s="4"/>
      <c r="O350" s="4"/>
      <c r="P350" s="4"/>
      <c r="Q350" s="4"/>
      <c r="R350" s="4"/>
    </row>
    <row r="351">
      <c r="A351" s="71"/>
      <c r="B351" s="71"/>
      <c r="C351" s="76"/>
      <c r="D351" s="77"/>
      <c r="E351" s="77"/>
      <c r="F351" s="77"/>
      <c r="G351" s="77"/>
      <c r="H351" s="77"/>
      <c r="I351" s="4"/>
      <c r="J351" s="4"/>
      <c r="K351" s="4"/>
      <c r="L351" s="4"/>
      <c r="M351" s="4"/>
      <c r="N351" s="4"/>
      <c r="O351" s="4"/>
      <c r="P351" s="4"/>
      <c r="Q351" s="4"/>
      <c r="R351" s="4"/>
    </row>
    <row r="352">
      <c r="A352" s="71"/>
      <c r="B352" s="71"/>
      <c r="C352" s="76"/>
      <c r="D352" s="77"/>
      <c r="E352" s="77"/>
      <c r="F352" s="77"/>
      <c r="G352" s="77"/>
      <c r="H352" s="77"/>
      <c r="I352" s="4"/>
      <c r="J352" s="4"/>
      <c r="K352" s="4"/>
      <c r="L352" s="4"/>
      <c r="M352" s="4"/>
      <c r="N352" s="4"/>
      <c r="O352" s="4"/>
      <c r="P352" s="4"/>
      <c r="Q352" s="4"/>
      <c r="R352" s="4"/>
    </row>
    <row r="353">
      <c r="A353" s="71"/>
      <c r="B353" s="71"/>
      <c r="C353" s="76"/>
      <c r="D353" s="77"/>
      <c r="E353" s="77"/>
      <c r="F353" s="77"/>
      <c r="G353" s="77"/>
      <c r="H353" s="77"/>
      <c r="I353" s="4"/>
      <c r="J353" s="4"/>
      <c r="K353" s="4"/>
      <c r="L353" s="4"/>
      <c r="M353" s="4"/>
      <c r="N353" s="4"/>
      <c r="O353" s="4"/>
      <c r="P353" s="4"/>
      <c r="Q353" s="4"/>
      <c r="R353" s="4"/>
    </row>
    <row r="354">
      <c r="A354" s="71"/>
      <c r="B354" s="71"/>
      <c r="C354" s="76"/>
      <c r="D354" s="77"/>
      <c r="E354" s="77"/>
      <c r="F354" s="77"/>
      <c r="G354" s="77"/>
      <c r="H354" s="77"/>
      <c r="I354" s="4"/>
      <c r="J354" s="4"/>
      <c r="K354" s="4"/>
      <c r="L354" s="4"/>
      <c r="M354" s="4"/>
      <c r="N354" s="4"/>
      <c r="O354" s="4"/>
      <c r="P354" s="4"/>
      <c r="Q354" s="4"/>
      <c r="R354" s="4"/>
    </row>
    <row r="355">
      <c r="A355" s="71"/>
      <c r="B355" s="71"/>
      <c r="C355" s="76"/>
      <c r="D355" s="77"/>
      <c r="E355" s="77"/>
      <c r="F355" s="77"/>
      <c r="G355" s="77"/>
      <c r="H355" s="77"/>
      <c r="I355" s="4"/>
      <c r="J355" s="4"/>
      <c r="K355" s="4"/>
      <c r="L355" s="4"/>
      <c r="M355" s="4"/>
      <c r="N355" s="4"/>
      <c r="O355" s="4"/>
      <c r="P355" s="4"/>
      <c r="Q355" s="4"/>
      <c r="R355" s="4"/>
    </row>
    <row r="356">
      <c r="A356" s="71"/>
      <c r="B356" s="71"/>
      <c r="C356" s="76"/>
      <c r="D356" s="77"/>
      <c r="E356" s="77"/>
      <c r="F356" s="77"/>
      <c r="G356" s="77"/>
      <c r="H356" s="77"/>
      <c r="I356" s="4"/>
      <c r="J356" s="4"/>
      <c r="K356" s="4"/>
      <c r="L356" s="4"/>
      <c r="M356" s="4"/>
      <c r="N356" s="4"/>
      <c r="O356" s="4"/>
      <c r="P356" s="4"/>
      <c r="Q356" s="4"/>
      <c r="R356" s="4"/>
    </row>
    <row r="357">
      <c r="A357" s="71"/>
      <c r="B357" s="71"/>
      <c r="C357" s="76"/>
      <c r="D357" s="77"/>
      <c r="E357" s="77"/>
      <c r="F357" s="77"/>
      <c r="G357" s="77"/>
      <c r="H357" s="77"/>
      <c r="I357" s="4"/>
      <c r="J357" s="4"/>
      <c r="K357" s="4"/>
      <c r="L357" s="4"/>
      <c r="M357" s="4"/>
      <c r="N357" s="4"/>
      <c r="O357" s="4"/>
      <c r="P357" s="4"/>
      <c r="Q357" s="4"/>
      <c r="R357" s="4"/>
    </row>
    <row r="358">
      <c r="A358" s="71"/>
      <c r="B358" s="71"/>
      <c r="C358" s="76"/>
      <c r="D358" s="77"/>
      <c r="E358" s="77"/>
      <c r="F358" s="77"/>
      <c r="G358" s="77"/>
      <c r="H358" s="77"/>
      <c r="I358" s="4"/>
      <c r="J358" s="4"/>
      <c r="K358" s="4"/>
      <c r="L358" s="4"/>
      <c r="M358" s="4"/>
      <c r="N358" s="4"/>
      <c r="O358" s="4"/>
      <c r="P358" s="4"/>
      <c r="Q358" s="4"/>
      <c r="R358" s="4"/>
    </row>
    <row r="359">
      <c r="A359" s="71"/>
      <c r="B359" s="71"/>
      <c r="C359" s="76"/>
      <c r="D359" s="77"/>
      <c r="E359" s="77"/>
      <c r="F359" s="77"/>
      <c r="G359" s="77"/>
      <c r="H359" s="77"/>
      <c r="I359" s="4"/>
      <c r="J359" s="4"/>
      <c r="K359" s="4"/>
      <c r="L359" s="4"/>
      <c r="M359" s="4"/>
      <c r="N359" s="4"/>
      <c r="O359" s="4"/>
      <c r="P359" s="4"/>
      <c r="Q359" s="4"/>
      <c r="R359" s="4"/>
    </row>
    <row r="360">
      <c r="A360" s="71"/>
      <c r="B360" s="71"/>
      <c r="C360" s="76"/>
      <c r="D360" s="77"/>
      <c r="E360" s="77"/>
      <c r="F360" s="77"/>
      <c r="G360" s="77"/>
      <c r="H360" s="77"/>
      <c r="I360" s="4"/>
      <c r="J360" s="4"/>
      <c r="K360" s="4"/>
      <c r="L360" s="4"/>
      <c r="M360" s="4"/>
      <c r="N360" s="4"/>
      <c r="O360" s="4"/>
      <c r="P360" s="4"/>
      <c r="Q360" s="4"/>
      <c r="R360" s="4"/>
    </row>
    <row r="361">
      <c r="A361" s="71"/>
      <c r="B361" s="71"/>
      <c r="C361" s="76"/>
      <c r="D361" s="77"/>
      <c r="E361" s="77"/>
      <c r="F361" s="77"/>
      <c r="G361" s="77"/>
      <c r="H361" s="77"/>
      <c r="I361" s="4"/>
      <c r="J361" s="4"/>
      <c r="K361" s="4"/>
      <c r="L361" s="4"/>
      <c r="M361" s="4"/>
      <c r="N361" s="4"/>
      <c r="O361" s="4"/>
      <c r="P361" s="4"/>
      <c r="Q361" s="4"/>
      <c r="R361" s="4"/>
    </row>
    <row r="362">
      <c r="A362" s="71"/>
      <c r="B362" s="71"/>
      <c r="C362" s="76"/>
      <c r="D362" s="77"/>
      <c r="E362" s="77"/>
      <c r="F362" s="77"/>
      <c r="G362" s="77"/>
      <c r="H362" s="77"/>
      <c r="I362" s="4"/>
      <c r="J362" s="4"/>
      <c r="K362" s="4"/>
      <c r="L362" s="4"/>
      <c r="M362" s="4"/>
      <c r="N362" s="4"/>
      <c r="O362" s="4"/>
      <c r="P362" s="4"/>
      <c r="Q362" s="4"/>
      <c r="R362" s="4"/>
    </row>
    <row r="363">
      <c r="A363" s="71"/>
      <c r="B363" s="71"/>
      <c r="C363" s="76"/>
      <c r="D363" s="77"/>
      <c r="E363" s="77"/>
      <c r="F363" s="77"/>
      <c r="G363" s="77"/>
      <c r="H363" s="77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>
      <c r="A364" s="71"/>
      <c r="B364" s="71"/>
      <c r="C364" s="76"/>
      <c r="D364" s="77"/>
      <c r="E364" s="77"/>
      <c r="F364" s="77"/>
      <c r="G364" s="77"/>
      <c r="H364" s="77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>
      <c r="A365" s="71"/>
      <c r="B365" s="71"/>
      <c r="C365" s="76"/>
      <c r="D365" s="77"/>
      <c r="E365" s="77"/>
      <c r="F365" s="77"/>
      <c r="G365" s="77"/>
      <c r="H365" s="77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>
      <c r="A366" s="71"/>
      <c r="B366" s="71"/>
      <c r="C366" s="76"/>
      <c r="D366" s="77"/>
      <c r="E366" s="77"/>
      <c r="F366" s="77"/>
      <c r="G366" s="77"/>
      <c r="H366" s="77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>
      <c r="A367" s="71"/>
      <c r="B367" s="71"/>
      <c r="C367" s="76"/>
      <c r="D367" s="77"/>
      <c r="E367" s="77"/>
      <c r="F367" s="77"/>
      <c r="G367" s="77"/>
      <c r="H367" s="77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>
      <c r="A368" s="71"/>
      <c r="B368" s="71"/>
      <c r="C368" s="76"/>
      <c r="D368" s="77"/>
      <c r="E368" s="77"/>
      <c r="F368" s="77"/>
      <c r="G368" s="77"/>
      <c r="H368" s="77"/>
      <c r="I368" s="4"/>
      <c r="J368" s="4"/>
      <c r="K368" s="4"/>
      <c r="L368" s="4"/>
      <c r="M368" s="4"/>
      <c r="N368" s="4"/>
      <c r="O368" s="4"/>
      <c r="P368" s="4"/>
      <c r="Q368" s="4"/>
      <c r="R368" s="4"/>
    </row>
    <row r="369">
      <c r="A369" s="71"/>
      <c r="B369" s="71"/>
      <c r="C369" s="76"/>
      <c r="D369" s="77"/>
      <c r="E369" s="77"/>
      <c r="F369" s="77"/>
      <c r="G369" s="77"/>
      <c r="H369" s="77"/>
      <c r="I369" s="4"/>
      <c r="J369" s="4"/>
      <c r="K369" s="4"/>
      <c r="L369" s="4"/>
      <c r="M369" s="4"/>
      <c r="N369" s="4"/>
      <c r="O369" s="4"/>
      <c r="P369" s="4"/>
      <c r="Q369" s="4"/>
      <c r="R369" s="4"/>
    </row>
    <row r="370">
      <c r="A370" s="71"/>
      <c r="B370" s="71"/>
      <c r="C370" s="76"/>
      <c r="D370" s="77"/>
      <c r="E370" s="77"/>
      <c r="F370" s="77"/>
      <c r="G370" s="77"/>
      <c r="H370" s="77"/>
      <c r="I370" s="4"/>
      <c r="J370" s="4"/>
      <c r="K370" s="4"/>
      <c r="L370" s="4"/>
      <c r="M370" s="4"/>
      <c r="N370" s="4"/>
      <c r="O370" s="4"/>
      <c r="P370" s="4"/>
      <c r="Q370" s="4"/>
      <c r="R370" s="4"/>
    </row>
    <row r="371">
      <c r="A371" s="71"/>
      <c r="B371" s="71"/>
      <c r="C371" s="76"/>
      <c r="D371" s="77"/>
      <c r="E371" s="77"/>
      <c r="F371" s="77"/>
      <c r="G371" s="77"/>
      <c r="H371" s="77"/>
      <c r="I371" s="4"/>
      <c r="J371" s="4"/>
      <c r="K371" s="4"/>
      <c r="L371" s="4"/>
      <c r="M371" s="4"/>
      <c r="N371" s="4"/>
      <c r="O371" s="4"/>
      <c r="P371" s="4"/>
      <c r="Q371" s="4"/>
      <c r="R371" s="4"/>
    </row>
    <row r="372">
      <c r="A372" s="71"/>
      <c r="B372" s="71"/>
      <c r="C372" s="76"/>
      <c r="D372" s="77"/>
      <c r="E372" s="77"/>
      <c r="F372" s="77"/>
      <c r="G372" s="77"/>
      <c r="H372" s="77"/>
      <c r="I372" s="4"/>
      <c r="J372" s="4"/>
      <c r="K372" s="4"/>
      <c r="L372" s="4"/>
      <c r="M372" s="4"/>
      <c r="N372" s="4"/>
      <c r="O372" s="4"/>
      <c r="P372" s="4"/>
      <c r="Q372" s="4"/>
      <c r="R372" s="4"/>
    </row>
    <row r="373">
      <c r="A373" s="71"/>
      <c r="B373" s="71"/>
      <c r="C373" s="76"/>
      <c r="D373" s="77"/>
      <c r="E373" s="77"/>
      <c r="F373" s="77"/>
      <c r="G373" s="77"/>
      <c r="H373" s="77"/>
      <c r="I373" s="4"/>
      <c r="J373" s="4"/>
      <c r="K373" s="4"/>
      <c r="L373" s="4"/>
      <c r="M373" s="4"/>
      <c r="N373" s="4"/>
      <c r="O373" s="4"/>
      <c r="P373" s="4"/>
      <c r="Q373" s="4"/>
      <c r="R373" s="4"/>
    </row>
    <row r="374">
      <c r="A374" s="71"/>
      <c r="B374" s="71"/>
      <c r="C374" s="76"/>
      <c r="D374" s="77"/>
      <c r="E374" s="77"/>
      <c r="F374" s="77"/>
      <c r="G374" s="77"/>
      <c r="H374" s="77"/>
      <c r="I374" s="4"/>
      <c r="J374" s="4"/>
      <c r="K374" s="4"/>
      <c r="L374" s="4"/>
      <c r="M374" s="4"/>
      <c r="N374" s="4"/>
      <c r="O374" s="4"/>
      <c r="P374" s="4"/>
      <c r="Q374" s="4"/>
      <c r="R374" s="4"/>
    </row>
    <row r="375">
      <c r="A375" s="71"/>
      <c r="B375" s="71"/>
      <c r="C375" s="76"/>
      <c r="D375" s="77"/>
      <c r="E375" s="77"/>
      <c r="F375" s="77"/>
      <c r="G375" s="77"/>
      <c r="H375" s="77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>
      <c r="A376" s="71"/>
      <c r="B376" s="71"/>
      <c r="C376" s="76"/>
      <c r="D376" s="77"/>
      <c r="E376" s="77"/>
      <c r="F376" s="77"/>
      <c r="G376" s="77"/>
      <c r="H376" s="77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>
      <c r="A377" s="71"/>
      <c r="B377" s="71"/>
      <c r="C377" s="76"/>
      <c r="D377" s="77"/>
      <c r="E377" s="77"/>
      <c r="F377" s="77"/>
      <c r="G377" s="77"/>
      <c r="H377" s="77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>
      <c r="A378" s="71"/>
      <c r="B378" s="71"/>
      <c r="C378" s="76"/>
      <c r="D378" s="77"/>
      <c r="E378" s="77"/>
      <c r="F378" s="77"/>
      <c r="G378" s="77"/>
      <c r="H378" s="77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>
      <c r="A379" s="71"/>
      <c r="B379" s="71"/>
      <c r="C379" s="76"/>
      <c r="D379" s="77"/>
      <c r="E379" s="77"/>
      <c r="F379" s="77"/>
      <c r="G379" s="77"/>
      <c r="H379" s="77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>
      <c r="A380" s="71"/>
      <c r="B380" s="71"/>
      <c r="C380" s="76"/>
      <c r="D380" s="77"/>
      <c r="E380" s="77"/>
      <c r="F380" s="77"/>
      <c r="G380" s="77"/>
      <c r="H380" s="77"/>
      <c r="I380" s="4"/>
      <c r="J380" s="4"/>
      <c r="K380" s="4"/>
      <c r="L380" s="4"/>
      <c r="M380" s="4"/>
      <c r="N380" s="4"/>
      <c r="O380" s="4"/>
      <c r="P380" s="4"/>
      <c r="Q380" s="4"/>
      <c r="R380" s="4"/>
    </row>
    <row r="381">
      <c r="A381" s="71"/>
      <c r="B381" s="71"/>
      <c r="C381" s="76"/>
      <c r="D381" s="77"/>
      <c r="E381" s="77"/>
      <c r="F381" s="77"/>
      <c r="G381" s="77"/>
      <c r="H381" s="77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>
      <c r="A382" s="71"/>
      <c r="B382" s="71"/>
      <c r="C382" s="76"/>
      <c r="D382" s="77"/>
      <c r="E382" s="77"/>
      <c r="F382" s="77"/>
      <c r="G382" s="77"/>
      <c r="H382" s="77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>
      <c r="A383" s="71"/>
      <c r="B383" s="71"/>
      <c r="C383" s="76"/>
      <c r="D383" s="77"/>
      <c r="E383" s="77"/>
      <c r="F383" s="77"/>
      <c r="G383" s="77"/>
      <c r="H383" s="77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>
      <c r="A384" s="71"/>
      <c r="B384" s="71"/>
      <c r="C384" s="76"/>
      <c r="D384" s="77"/>
      <c r="E384" s="77"/>
      <c r="F384" s="77"/>
      <c r="G384" s="77"/>
      <c r="H384" s="77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>
      <c r="A385" s="71"/>
      <c r="B385" s="71"/>
      <c r="C385" s="76"/>
      <c r="D385" s="77"/>
      <c r="E385" s="77"/>
      <c r="F385" s="77"/>
      <c r="G385" s="77"/>
      <c r="H385" s="77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>
      <c r="A386" s="71"/>
      <c r="B386" s="71"/>
      <c r="C386" s="76"/>
      <c r="D386" s="77"/>
      <c r="E386" s="77"/>
      <c r="F386" s="77"/>
      <c r="G386" s="77"/>
      <c r="H386" s="77"/>
      <c r="I386" s="4"/>
      <c r="J386" s="4"/>
      <c r="K386" s="4"/>
      <c r="L386" s="4"/>
      <c r="M386" s="4"/>
      <c r="N386" s="4"/>
      <c r="O386" s="4"/>
      <c r="P386" s="4"/>
      <c r="Q386" s="4"/>
      <c r="R386" s="4"/>
    </row>
    <row r="387">
      <c r="A387" s="71"/>
      <c r="B387" s="71"/>
      <c r="C387" s="76"/>
      <c r="D387" s="77"/>
      <c r="E387" s="77"/>
      <c r="F387" s="77"/>
      <c r="G387" s="77"/>
      <c r="H387" s="77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>
      <c r="A388" s="71"/>
      <c r="B388" s="71"/>
      <c r="C388" s="76"/>
      <c r="D388" s="77"/>
      <c r="E388" s="77"/>
      <c r="F388" s="77"/>
      <c r="G388" s="77"/>
      <c r="H388" s="77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>
      <c r="A389" s="71"/>
      <c r="B389" s="71"/>
      <c r="C389" s="76"/>
      <c r="D389" s="77"/>
      <c r="E389" s="77"/>
      <c r="F389" s="77"/>
      <c r="G389" s="77"/>
      <c r="H389" s="77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>
      <c r="A390" s="71"/>
      <c r="B390" s="71"/>
      <c r="C390" s="76"/>
      <c r="D390" s="77"/>
      <c r="E390" s="77"/>
      <c r="F390" s="77"/>
      <c r="G390" s="77"/>
      <c r="H390" s="77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>
      <c r="A391" s="71"/>
      <c r="B391" s="71"/>
      <c r="C391" s="76"/>
      <c r="D391" s="77"/>
      <c r="E391" s="77"/>
      <c r="F391" s="77"/>
      <c r="G391" s="77"/>
      <c r="H391" s="77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>
      <c r="A392" s="71"/>
      <c r="B392" s="71"/>
      <c r="C392" s="76"/>
      <c r="D392" s="77"/>
      <c r="E392" s="77"/>
      <c r="F392" s="77"/>
      <c r="G392" s="77"/>
      <c r="H392" s="77"/>
      <c r="I392" s="4"/>
      <c r="J392" s="4"/>
      <c r="K392" s="4"/>
      <c r="L392" s="4"/>
      <c r="M392" s="4"/>
      <c r="N392" s="4"/>
      <c r="O392" s="4"/>
      <c r="P392" s="4"/>
      <c r="Q392" s="4"/>
      <c r="R392" s="4"/>
    </row>
    <row r="393">
      <c r="A393" s="71"/>
      <c r="B393" s="71"/>
      <c r="C393" s="76"/>
      <c r="D393" s="77"/>
      <c r="E393" s="77"/>
      <c r="F393" s="77"/>
      <c r="G393" s="77"/>
      <c r="H393" s="77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>
      <c r="A394" s="71"/>
      <c r="B394" s="71"/>
      <c r="C394" s="76"/>
      <c r="D394" s="77"/>
      <c r="E394" s="77"/>
      <c r="F394" s="77"/>
      <c r="G394" s="77"/>
      <c r="H394" s="77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>
      <c r="A395" s="71"/>
      <c r="B395" s="71"/>
      <c r="C395" s="76"/>
      <c r="D395" s="77"/>
      <c r="E395" s="77"/>
      <c r="F395" s="77"/>
      <c r="G395" s="77"/>
      <c r="H395" s="77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>
      <c r="A396" s="71"/>
      <c r="B396" s="71"/>
      <c r="C396" s="76"/>
      <c r="D396" s="77"/>
      <c r="E396" s="77"/>
      <c r="F396" s="77"/>
      <c r="G396" s="77"/>
      <c r="H396" s="77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>
      <c r="A397" s="71"/>
      <c r="B397" s="71"/>
      <c r="C397" s="76"/>
      <c r="D397" s="77"/>
      <c r="E397" s="77"/>
      <c r="F397" s="77"/>
      <c r="G397" s="77"/>
      <c r="H397" s="77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>
      <c r="A398" s="71"/>
      <c r="B398" s="71"/>
      <c r="C398" s="76"/>
      <c r="D398" s="77"/>
      <c r="E398" s="77"/>
      <c r="F398" s="77"/>
      <c r="G398" s="77"/>
      <c r="H398" s="77"/>
      <c r="I398" s="4"/>
      <c r="J398" s="4"/>
      <c r="K398" s="4"/>
      <c r="L398" s="4"/>
      <c r="M398" s="4"/>
      <c r="N398" s="4"/>
      <c r="O398" s="4"/>
      <c r="P398" s="4"/>
      <c r="Q398" s="4"/>
      <c r="R398" s="4"/>
    </row>
    <row r="399">
      <c r="A399" s="71"/>
      <c r="B399" s="71"/>
      <c r="C399" s="76"/>
      <c r="D399" s="77"/>
      <c r="E399" s="77"/>
      <c r="F399" s="77"/>
      <c r="G399" s="77"/>
      <c r="H399" s="77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>
      <c r="A400" s="71"/>
      <c r="B400" s="71"/>
      <c r="C400" s="76"/>
      <c r="D400" s="77"/>
      <c r="E400" s="77"/>
      <c r="F400" s="77"/>
      <c r="G400" s="77"/>
      <c r="H400" s="77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>
      <c r="A401" s="71"/>
      <c r="B401" s="71"/>
      <c r="C401" s="76"/>
      <c r="D401" s="77"/>
      <c r="E401" s="77"/>
      <c r="F401" s="77"/>
      <c r="G401" s="77"/>
      <c r="H401" s="77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>
      <c r="A402" s="71"/>
      <c r="B402" s="71"/>
      <c r="C402" s="76"/>
      <c r="D402" s="77"/>
      <c r="E402" s="77"/>
      <c r="F402" s="77"/>
      <c r="G402" s="77"/>
      <c r="H402" s="77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>
      <c r="A403" s="71"/>
      <c r="B403" s="71"/>
      <c r="C403" s="76"/>
      <c r="D403" s="77"/>
      <c r="E403" s="77"/>
      <c r="F403" s="77"/>
      <c r="G403" s="77"/>
      <c r="H403" s="77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>
      <c r="A404" s="71"/>
      <c r="B404" s="71"/>
      <c r="C404" s="76"/>
      <c r="D404" s="77"/>
      <c r="E404" s="77"/>
      <c r="F404" s="77"/>
      <c r="G404" s="77"/>
      <c r="H404" s="77"/>
      <c r="I404" s="4"/>
      <c r="J404" s="4"/>
      <c r="K404" s="4"/>
      <c r="L404" s="4"/>
      <c r="M404" s="4"/>
      <c r="N404" s="4"/>
      <c r="O404" s="4"/>
      <c r="P404" s="4"/>
      <c r="Q404" s="4"/>
      <c r="R404" s="4"/>
    </row>
    <row r="405">
      <c r="A405" s="71"/>
      <c r="B405" s="71"/>
      <c r="C405" s="76"/>
      <c r="D405" s="77"/>
      <c r="E405" s="77"/>
      <c r="F405" s="77"/>
      <c r="G405" s="77"/>
      <c r="H405" s="77"/>
      <c r="I405" s="4"/>
      <c r="J405" s="4"/>
      <c r="K405" s="4"/>
      <c r="L405" s="4"/>
      <c r="M405" s="4"/>
      <c r="N405" s="4"/>
      <c r="O405" s="4"/>
      <c r="P405" s="4"/>
      <c r="Q405" s="4"/>
      <c r="R405" s="4"/>
    </row>
    <row r="406">
      <c r="A406" s="71"/>
      <c r="B406" s="71"/>
      <c r="C406" s="76"/>
      <c r="D406" s="77"/>
      <c r="E406" s="77"/>
      <c r="F406" s="77"/>
      <c r="G406" s="77"/>
      <c r="H406" s="77"/>
      <c r="I406" s="4"/>
      <c r="J406" s="4"/>
      <c r="K406" s="4"/>
      <c r="L406" s="4"/>
      <c r="M406" s="4"/>
      <c r="N406" s="4"/>
      <c r="O406" s="4"/>
      <c r="P406" s="4"/>
      <c r="Q406" s="4"/>
      <c r="R406" s="4"/>
    </row>
    <row r="407">
      <c r="A407" s="71"/>
      <c r="B407" s="71"/>
      <c r="C407" s="76"/>
      <c r="D407" s="77"/>
      <c r="E407" s="77"/>
      <c r="F407" s="77"/>
      <c r="G407" s="77"/>
      <c r="H407" s="77"/>
      <c r="I407" s="4"/>
      <c r="J407" s="4"/>
      <c r="K407" s="4"/>
      <c r="L407" s="4"/>
      <c r="M407" s="4"/>
      <c r="N407" s="4"/>
      <c r="O407" s="4"/>
      <c r="P407" s="4"/>
      <c r="Q407" s="4"/>
      <c r="R407" s="4"/>
    </row>
    <row r="408">
      <c r="A408" s="71"/>
      <c r="B408" s="71"/>
      <c r="C408" s="76"/>
      <c r="D408" s="77"/>
      <c r="E408" s="77"/>
      <c r="F408" s="77"/>
      <c r="G408" s="77"/>
      <c r="H408" s="77"/>
      <c r="I408" s="4"/>
      <c r="J408" s="4"/>
      <c r="K408" s="4"/>
      <c r="L408" s="4"/>
      <c r="M408" s="4"/>
      <c r="N408" s="4"/>
      <c r="O408" s="4"/>
      <c r="P408" s="4"/>
      <c r="Q408" s="4"/>
      <c r="R408" s="4"/>
    </row>
    <row r="409">
      <c r="A409" s="71"/>
      <c r="B409" s="71"/>
      <c r="C409" s="76"/>
      <c r="D409" s="77"/>
      <c r="E409" s="77"/>
      <c r="F409" s="77"/>
      <c r="G409" s="77"/>
      <c r="H409" s="77"/>
      <c r="I409" s="4"/>
      <c r="J409" s="4"/>
      <c r="K409" s="4"/>
      <c r="L409" s="4"/>
      <c r="M409" s="4"/>
      <c r="N409" s="4"/>
      <c r="O409" s="4"/>
      <c r="P409" s="4"/>
      <c r="Q409" s="4"/>
      <c r="R409" s="4"/>
    </row>
    <row r="410">
      <c r="A410" s="71"/>
      <c r="B410" s="71"/>
      <c r="C410" s="76"/>
      <c r="D410" s="77"/>
      <c r="E410" s="77"/>
      <c r="F410" s="77"/>
      <c r="G410" s="77"/>
      <c r="H410" s="77"/>
      <c r="I410" s="4"/>
      <c r="J410" s="4"/>
      <c r="K410" s="4"/>
      <c r="L410" s="4"/>
      <c r="M410" s="4"/>
      <c r="N410" s="4"/>
      <c r="O410" s="4"/>
      <c r="P410" s="4"/>
      <c r="Q410" s="4"/>
      <c r="R410" s="4"/>
    </row>
    <row r="411">
      <c r="A411" s="71"/>
      <c r="B411" s="71"/>
      <c r="C411" s="76"/>
      <c r="D411" s="77"/>
      <c r="E411" s="77"/>
      <c r="F411" s="77"/>
      <c r="G411" s="77"/>
      <c r="H411" s="77"/>
      <c r="I411" s="4"/>
      <c r="J411" s="4"/>
      <c r="K411" s="4"/>
      <c r="L411" s="4"/>
      <c r="M411" s="4"/>
      <c r="N411" s="4"/>
      <c r="O411" s="4"/>
      <c r="P411" s="4"/>
      <c r="Q411" s="4"/>
      <c r="R411" s="4"/>
    </row>
    <row r="412">
      <c r="A412" s="71"/>
      <c r="B412" s="71"/>
      <c r="C412" s="76"/>
      <c r="D412" s="77"/>
      <c r="E412" s="77"/>
      <c r="F412" s="77"/>
      <c r="G412" s="77"/>
      <c r="H412" s="77"/>
      <c r="I412" s="4"/>
      <c r="J412" s="4"/>
      <c r="K412" s="4"/>
      <c r="L412" s="4"/>
      <c r="M412" s="4"/>
      <c r="N412" s="4"/>
      <c r="O412" s="4"/>
      <c r="P412" s="4"/>
      <c r="Q412" s="4"/>
      <c r="R412" s="4"/>
    </row>
    <row r="413">
      <c r="A413" s="71"/>
      <c r="B413" s="71"/>
      <c r="C413" s="76"/>
      <c r="D413" s="77"/>
      <c r="E413" s="77"/>
      <c r="F413" s="77"/>
      <c r="G413" s="77"/>
      <c r="H413" s="77"/>
      <c r="I413" s="4"/>
      <c r="J413" s="4"/>
      <c r="K413" s="4"/>
      <c r="L413" s="4"/>
      <c r="M413" s="4"/>
      <c r="N413" s="4"/>
      <c r="O413" s="4"/>
      <c r="P413" s="4"/>
      <c r="Q413" s="4"/>
      <c r="R413" s="4"/>
    </row>
    <row r="414">
      <c r="A414" s="71"/>
      <c r="B414" s="71"/>
      <c r="C414" s="76"/>
      <c r="D414" s="77"/>
      <c r="E414" s="77"/>
      <c r="F414" s="77"/>
      <c r="G414" s="77"/>
      <c r="H414" s="77"/>
      <c r="I414" s="4"/>
      <c r="J414" s="4"/>
      <c r="K414" s="4"/>
      <c r="L414" s="4"/>
      <c r="M414" s="4"/>
      <c r="N414" s="4"/>
      <c r="O414" s="4"/>
      <c r="P414" s="4"/>
      <c r="Q414" s="4"/>
      <c r="R414" s="4"/>
    </row>
    <row r="415">
      <c r="A415" s="71"/>
      <c r="B415" s="71"/>
      <c r="C415" s="76"/>
      <c r="D415" s="77"/>
      <c r="E415" s="77"/>
      <c r="F415" s="77"/>
      <c r="G415" s="77"/>
      <c r="H415" s="77"/>
      <c r="I415" s="4"/>
      <c r="J415" s="4"/>
      <c r="K415" s="4"/>
      <c r="L415" s="4"/>
      <c r="M415" s="4"/>
      <c r="N415" s="4"/>
      <c r="O415" s="4"/>
      <c r="P415" s="4"/>
      <c r="Q415" s="4"/>
      <c r="R415" s="4"/>
    </row>
    <row r="416">
      <c r="A416" s="71"/>
      <c r="B416" s="71"/>
      <c r="C416" s="76"/>
      <c r="D416" s="77"/>
      <c r="E416" s="77"/>
      <c r="F416" s="77"/>
      <c r="G416" s="77"/>
      <c r="H416" s="77"/>
      <c r="I416" s="4"/>
      <c r="J416" s="4"/>
      <c r="K416" s="4"/>
      <c r="L416" s="4"/>
      <c r="M416" s="4"/>
      <c r="N416" s="4"/>
      <c r="O416" s="4"/>
      <c r="P416" s="4"/>
      <c r="Q416" s="4"/>
      <c r="R416" s="4"/>
    </row>
    <row r="417">
      <c r="A417" s="71"/>
      <c r="B417" s="71"/>
      <c r="C417" s="76"/>
      <c r="D417" s="77"/>
      <c r="E417" s="77"/>
      <c r="F417" s="77"/>
      <c r="G417" s="77"/>
      <c r="H417" s="77"/>
      <c r="I417" s="4"/>
      <c r="J417" s="4"/>
      <c r="K417" s="4"/>
      <c r="L417" s="4"/>
      <c r="M417" s="4"/>
      <c r="N417" s="4"/>
      <c r="O417" s="4"/>
      <c r="P417" s="4"/>
      <c r="Q417" s="4"/>
      <c r="R417" s="4"/>
    </row>
    <row r="418">
      <c r="A418" s="71"/>
      <c r="B418" s="71"/>
      <c r="C418" s="76"/>
      <c r="D418" s="77"/>
      <c r="E418" s="77"/>
      <c r="F418" s="77"/>
      <c r="G418" s="77"/>
      <c r="H418" s="77"/>
      <c r="I418" s="4"/>
      <c r="J418" s="4"/>
      <c r="K418" s="4"/>
      <c r="L418" s="4"/>
      <c r="M418" s="4"/>
      <c r="N418" s="4"/>
      <c r="O418" s="4"/>
      <c r="P418" s="4"/>
      <c r="Q418" s="4"/>
      <c r="R418" s="4"/>
    </row>
    <row r="419">
      <c r="A419" s="71"/>
      <c r="B419" s="71"/>
      <c r="C419" s="76"/>
      <c r="D419" s="77"/>
      <c r="E419" s="77"/>
      <c r="F419" s="77"/>
      <c r="G419" s="77"/>
      <c r="H419" s="77"/>
      <c r="I419" s="4"/>
      <c r="J419" s="4"/>
      <c r="K419" s="4"/>
      <c r="L419" s="4"/>
      <c r="M419" s="4"/>
      <c r="N419" s="4"/>
      <c r="O419" s="4"/>
      <c r="P419" s="4"/>
      <c r="Q419" s="4"/>
      <c r="R419" s="4"/>
    </row>
    <row r="420">
      <c r="A420" s="71"/>
      <c r="B420" s="71"/>
      <c r="C420" s="76"/>
      <c r="D420" s="77"/>
      <c r="E420" s="77"/>
      <c r="F420" s="77"/>
      <c r="G420" s="77"/>
      <c r="H420" s="77"/>
      <c r="I420" s="4"/>
      <c r="J420" s="4"/>
      <c r="K420" s="4"/>
      <c r="L420" s="4"/>
      <c r="M420" s="4"/>
      <c r="N420" s="4"/>
      <c r="O420" s="4"/>
      <c r="P420" s="4"/>
      <c r="Q420" s="4"/>
      <c r="R420" s="4"/>
    </row>
    <row r="421">
      <c r="A421" s="71"/>
      <c r="B421" s="71"/>
      <c r="C421" s="76"/>
      <c r="D421" s="77"/>
      <c r="E421" s="77"/>
      <c r="F421" s="77"/>
      <c r="G421" s="77"/>
      <c r="H421" s="77"/>
      <c r="I421" s="4"/>
      <c r="J421" s="4"/>
      <c r="K421" s="4"/>
      <c r="L421" s="4"/>
      <c r="M421" s="4"/>
      <c r="N421" s="4"/>
      <c r="O421" s="4"/>
      <c r="P421" s="4"/>
      <c r="Q421" s="4"/>
      <c r="R421" s="4"/>
    </row>
    <row r="422">
      <c r="A422" s="71"/>
      <c r="B422" s="71"/>
      <c r="C422" s="76"/>
      <c r="D422" s="77"/>
      <c r="E422" s="77"/>
      <c r="F422" s="77"/>
      <c r="G422" s="77"/>
      <c r="H422" s="77"/>
      <c r="I422" s="4"/>
      <c r="J422" s="4"/>
      <c r="K422" s="4"/>
      <c r="L422" s="4"/>
      <c r="M422" s="4"/>
      <c r="N422" s="4"/>
      <c r="O422" s="4"/>
      <c r="P422" s="4"/>
      <c r="Q422" s="4"/>
      <c r="R422" s="4"/>
    </row>
    <row r="423">
      <c r="A423" s="71"/>
      <c r="B423" s="71"/>
      <c r="C423" s="76"/>
      <c r="D423" s="77"/>
      <c r="E423" s="77"/>
      <c r="F423" s="77"/>
      <c r="G423" s="77"/>
      <c r="H423" s="77"/>
      <c r="I423" s="4"/>
      <c r="J423" s="4"/>
      <c r="K423" s="4"/>
      <c r="L423" s="4"/>
      <c r="M423" s="4"/>
      <c r="N423" s="4"/>
      <c r="O423" s="4"/>
      <c r="P423" s="4"/>
      <c r="Q423" s="4"/>
      <c r="R423" s="4"/>
    </row>
    <row r="424">
      <c r="A424" s="71"/>
      <c r="B424" s="71"/>
      <c r="C424" s="76"/>
      <c r="D424" s="77"/>
      <c r="E424" s="77"/>
      <c r="F424" s="77"/>
      <c r="G424" s="77"/>
      <c r="H424" s="77"/>
      <c r="I424" s="4"/>
      <c r="J424" s="4"/>
      <c r="K424" s="4"/>
      <c r="L424" s="4"/>
      <c r="M424" s="4"/>
      <c r="N424" s="4"/>
      <c r="O424" s="4"/>
      <c r="P424" s="4"/>
      <c r="Q424" s="4"/>
      <c r="R424" s="4"/>
    </row>
    <row r="425">
      <c r="A425" s="71"/>
      <c r="B425" s="71"/>
      <c r="C425" s="76"/>
      <c r="D425" s="77"/>
      <c r="E425" s="77"/>
      <c r="F425" s="77"/>
      <c r="G425" s="77"/>
      <c r="H425" s="77"/>
      <c r="I425" s="4"/>
      <c r="J425" s="4"/>
      <c r="K425" s="4"/>
      <c r="L425" s="4"/>
      <c r="M425" s="4"/>
      <c r="N425" s="4"/>
      <c r="O425" s="4"/>
      <c r="P425" s="4"/>
      <c r="Q425" s="4"/>
      <c r="R425" s="4"/>
    </row>
    <row r="426">
      <c r="A426" s="71"/>
      <c r="B426" s="71"/>
      <c r="C426" s="76"/>
      <c r="D426" s="77"/>
      <c r="E426" s="77"/>
      <c r="F426" s="77"/>
      <c r="G426" s="77"/>
      <c r="H426" s="77"/>
      <c r="I426" s="4"/>
      <c r="J426" s="4"/>
      <c r="K426" s="4"/>
      <c r="L426" s="4"/>
      <c r="M426" s="4"/>
      <c r="N426" s="4"/>
      <c r="O426" s="4"/>
      <c r="P426" s="4"/>
      <c r="Q426" s="4"/>
      <c r="R426" s="4"/>
    </row>
    <row r="427">
      <c r="A427" s="71"/>
      <c r="B427" s="71"/>
      <c r="C427" s="76"/>
      <c r="D427" s="77"/>
      <c r="E427" s="77"/>
      <c r="F427" s="77"/>
      <c r="G427" s="77"/>
      <c r="H427" s="77"/>
      <c r="I427" s="4"/>
      <c r="J427" s="4"/>
      <c r="K427" s="4"/>
      <c r="L427" s="4"/>
      <c r="M427" s="4"/>
      <c r="N427" s="4"/>
      <c r="O427" s="4"/>
      <c r="P427" s="4"/>
      <c r="Q427" s="4"/>
      <c r="R427" s="4"/>
    </row>
    <row r="428">
      <c r="A428" s="71"/>
      <c r="B428" s="71"/>
      <c r="C428" s="76"/>
      <c r="D428" s="77"/>
      <c r="E428" s="77"/>
      <c r="F428" s="77"/>
      <c r="G428" s="77"/>
      <c r="H428" s="77"/>
      <c r="I428" s="4"/>
      <c r="J428" s="4"/>
      <c r="K428" s="4"/>
      <c r="L428" s="4"/>
      <c r="M428" s="4"/>
      <c r="N428" s="4"/>
      <c r="O428" s="4"/>
      <c r="P428" s="4"/>
      <c r="Q428" s="4"/>
      <c r="R428" s="4"/>
    </row>
    <row r="429">
      <c r="A429" s="71"/>
      <c r="B429" s="71"/>
      <c r="C429" s="76"/>
      <c r="D429" s="77"/>
      <c r="E429" s="77"/>
      <c r="F429" s="77"/>
      <c r="G429" s="77"/>
      <c r="H429" s="77"/>
      <c r="I429" s="4"/>
      <c r="J429" s="4"/>
      <c r="K429" s="4"/>
      <c r="L429" s="4"/>
      <c r="M429" s="4"/>
      <c r="N429" s="4"/>
      <c r="O429" s="4"/>
      <c r="P429" s="4"/>
      <c r="Q429" s="4"/>
      <c r="R429" s="4"/>
    </row>
    <row r="430">
      <c r="A430" s="71"/>
      <c r="B430" s="71"/>
      <c r="C430" s="76"/>
      <c r="D430" s="77"/>
      <c r="E430" s="77"/>
      <c r="F430" s="77"/>
      <c r="G430" s="77"/>
      <c r="H430" s="77"/>
      <c r="I430" s="4"/>
      <c r="J430" s="4"/>
      <c r="K430" s="4"/>
      <c r="L430" s="4"/>
      <c r="M430" s="4"/>
      <c r="N430" s="4"/>
      <c r="O430" s="4"/>
      <c r="P430" s="4"/>
      <c r="Q430" s="4"/>
      <c r="R430" s="4"/>
    </row>
    <row r="431">
      <c r="A431" s="71"/>
      <c r="B431" s="71"/>
      <c r="C431" s="76"/>
      <c r="D431" s="77"/>
      <c r="E431" s="77"/>
      <c r="F431" s="77"/>
      <c r="G431" s="77"/>
      <c r="H431" s="77"/>
      <c r="I431" s="4"/>
      <c r="J431" s="4"/>
      <c r="K431" s="4"/>
      <c r="L431" s="4"/>
      <c r="M431" s="4"/>
      <c r="N431" s="4"/>
      <c r="O431" s="4"/>
      <c r="P431" s="4"/>
      <c r="Q431" s="4"/>
      <c r="R431" s="4"/>
    </row>
    <row r="432">
      <c r="A432" s="71"/>
      <c r="B432" s="71"/>
      <c r="C432" s="76"/>
      <c r="D432" s="77"/>
      <c r="E432" s="77"/>
      <c r="F432" s="77"/>
      <c r="G432" s="77"/>
      <c r="H432" s="77"/>
      <c r="I432" s="4"/>
      <c r="J432" s="4"/>
      <c r="K432" s="4"/>
      <c r="L432" s="4"/>
      <c r="M432" s="4"/>
      <c r="N432" s="4"/>
      <c r="O432" s="4"/>
      <c r="P432" s="4"/>
      <c r="Q432" s="4"/>
      <c r="R432" s="4"/>
    </row>
    <row r="433">
      <c r="A433" s="71"/>
      <c r="B433" s="71"/>
      <c r="C433" s="76"/>
      <c r="D433" s="77"/>
      <c r="E433" s="77"/>
      <c r="F433" s="77"/>
      <c r="G433" s="77"/>
      <c r="H433" s="77"/>
      <c r="I433" s="4"/>
      <c r="J433" s="4"/>
      <c r="K433" s="4"/>
      <c r="L433" s="4"/>
      <c r="M433" s="4"/>
      <c r="N433" s="4"/>
      <c r="O433" s="4"/>
      <c r="P433" s="4"/>
      <c r="Q433" s="4"/>
      <c r="R433" s="4"/>
    </row>
    <row r="434">
      <c r="A434" s="71"/>
      <c r="B434" s="71"/>
      <c r="C434" s="76"/>
      <c r="D434" s="77"/>
      <c r="E434" s="77"/>
      <c r="F434" s="77"/>
      <c r="G434" s="77"/>
      <c r="H434" s="77"/>
      <c r="I434" s="4"/>
      <c r="J434" s="4"/>
      <c r="K434" s="4"/>
      <c r="L434" s="4"/>
      <c r="M434" s="4"/>
      <c r="N434" s="4"/>
      <c r="O434" s="4"/>
      <c r="P434" s="4"/>
      <c r="Q434" s="4"/>
      <c r="R434" s="4"/>
    </row>
    <row r="435">
      <c r="A435" s="71"/>
      <c r="B435" s="71"/>
      <c r="C435" s="76"/>
      <c r="D435" s="77"/>
      <c r="E435" s="77"/>
      <c r="F435" s="77"/>
      <c r="G435" s="77"/>
      <c r="H435" s="77"/>
      <c r="I435" s="4"/>
      <c r="J435" s="4"/>
      <c r="K435" s="4"/>
      <c r="L435" s="4"/>
      <c r="M435" s="4"/>
      <c r="N435" s="4"/>
      <c r="O435" s="4"/>
      <c r="P435" s="4"/>
      <c r="Q435" s="4"/>
      <c r="R435" s="4"/>
    </row>
    <row r="436">
      <c r="A436" s="71"/>
      <c r="B436" s="71"/>
      <c r="C436" s="76"/>
      <c r="D436" s="77"/>
      <c r="E436" s="77"/>
      <c r="F436" s="77"/>
      <c r="G436" s="77"/>
      <c r="H436" s="77"/>
      <c r="I436" s="4"/>
      <c r="J436" s="4"/>
      <c r="K436" s="4"/>
      <c r="L436" s="4"/>
      <c r="M436" s="4"/>
      <c r="N436" s="4"/>
      <c r="O436" s="4"/>
      <c r="P436" s="4"/>
      <c r="Q436" s="4"/>
      <c r="R436" s="4"/>
    </row>
    <row r="437">
      <c r="A437" s="71"/>
      <c r="B437" s="71"/>
      <c r="C437" s="76"/>
      <c r="D437" s="77"/>
      <c r="E437" s="77"/>
      <c r="F437" s="77"/>
      <c r="G437" s="77"/>
      <c r="H437" s="77"/>
      <c r="I437" s="4"/>
      <c r="J437" s="4"/>
      <c r="K437" s="4"/>
      <c r="L437" s="4"/>
      <c r="M437" s="4"/>
      <c r="N437" s="4"/>
      <c r="O437" s="4"/>
      <c r="P437" s="4"/>
      <c r="Q437" s="4"/>
      <c r="R437" s="4"/>
    </row>
    <row r="438">
      <c r="A438" s="71"/>
      <c r="B438" s="71"/>
      <c r="C438" s="76"/>
      <c r="D438" s="77"/>
      <c r="E438" s="77"/>
      <c r="F438" s="77"/>
      <c r="G438" s="77"/>
      <c r="H438" s="77"/>
      <c r="I438" s="4"/>
      <c r="J438" s="4"/>
      <c r="K438" s="4"/>
      <c r="L438" s="4"/>
      <c r="M438" s="4"/>
      <c r="N438" s="4"/>
      <c r="O438" s="4"/>
      <c r="P438" s="4"/>
      <c r="Q438" s="4"/>
      <c r="R438" s="4"/>
    </row>
    <row r="439">
      <c r="A439" s="71"/>
      <c r="B439" s="71"/>
      <c r="C439" s="76"/>
      <c r="D439" s="77"/>
      <c r="E439" s="77"/>
      <c r="F439" s="77"/>
      <c r="G439" s="77"/>
      <c r="H439" s="77"/>
      <c r="I439" s="4"/>
      <c r="J439" s="4"/>
      <c r="K439" s="4"/>
      <c r="L439" s="4"/>
      <c r="M439" s="4"/>
      <c r="N439" s="4"/>
      <c r="O439" s="4"/>
      <c r="P439" s="4"/>
      <c r="Q439" s="4"/>
      <c r="R439" s="4"/>
    </row>
    <row r="440">
      <c r="A440" s="71"/>
      <c r="B440" s="71"/>
      <c r="C440" s="76"/>
      <c r="D440" s="77"/>
      <c r="E440" s="77"/>
      <c r="F440" s="77"/>
      <c r="G440" s="77"/>
      <c r="H440" s="77"/>
      <c r="I440" s="4"/>
      <c r="J440" s="4"/>
      <c r="K440" s="4"/>
      <c r="L440" s="4"/>
      <c r="M440" s="4"/>
      <c r="N440" s="4"/>
      <c r="O440" s="4"/>
      <c r="P440" s="4"/>
      <c r="Q440" s="4"/>
      <c r="R440" s="4"/>
    </row>
    <row r="441">
      <c r="A441" s="71"/>
      <c r="B441" s="71"/>
      <c r="C441" s="76"/>
      <c r="D441" s="77"/>
      <c r="E441" s="77"/>
      <c r="F441" s="77"/>
      <c r="G441" s="77"/>
      <c r="H441" s="77"/>
      <c r="I441" s="4"/>
      <c r="J441" s="4"/>
      <c r="K441" s="4"/>
      <c r="L441" s="4"/>
      <c r="M441" s="4"/>
      <c r="N441" s="4"/>
      <c r="O441" s="4"/>
      <c r="P441" s="4"/>
      <c r="Q441" s="4"/>
      <c r="R441" s="4"/>
    </row>
    <row r="442">
      <c r="A442" s="71"/>
      <c r="B442" s="71"/>
      <c r="C442" s="76"/>
      <c r="D442" s="77"/>
      <c r="E442" s="77"/>
      <c r="F442" s="77"/>
      <c r="G442" s="77"/>
      <c r="H442" s="77"/>
      <c r="I442" s="4"/>
      <c r="J442" s="4"/>
      <c r="K442" s="4"/>
      <c r="L442" s="4"/>
      <c r="M442" s="4"/>
      <c r="N442" s="4"/>
      <c r="O442" s="4"/>
      <c r="P442" s="4"/>
      <c r="Q442" s="4"/>
      <c r="R442" s="4"/>
    </row>
    <row r="443">
      <c r="A443" s="71"/>
      <c r="B443" s="71"/>
      <c r="C443" s="76"/>
      <c r="D443" s="77"/>
      <c r="E443" s="77"/>
      <c r="F443" s="77"/>
      <c r="G443" s="77"/>
      <c r="H443" s="77"/>
      <c r="I443" s="4"/>
      <c r="J443" s="4"/>
      <c r="K443" s="4"/>
      <c r="L443" s="4"/>
      <c r="M443" s="4"/>
      <c r="N443" s="4"/>
      <c r="O443" s="4"/>
      <c r="P443" s="4"/>
      <c r="Q443" s="4"/>
      <c r="R443" s="4"/>
    </row>
    <row r="444">
      <c r="A444" s="71"/>
      <c r="B444" s="71"/>
      <c r="C444" s="76"/>
      <c r="D444" s="77"/>
      <c r="E444" s="77"/>
      <c r="F444" s="77"/>
      <c r="G444" s="77"/>
      <c r="H444" s="77"/>
      <c r="I444" s="4"/>
      <c r="J444" s="4"/>
      <c r="K444" s="4"/>
      <c r="L444" s="4"/>
      <c r="M444" s="4"/>
      <c r="N444" s="4"/>
      <c r="O444" s="4"/>
      <c r="P444" s="4"/>
      <c r="Q444" s="4"/>
      <c r="R444" s="4"/>
    </row>
    <row r="445">
      <c r="A445" s="71"/>
      <c r="B445" s="71"/>
      <c r="C445" s="76"/>
      <c r="D445" s="77"/>
      <c r="E445" s="77"/>
      <c r="F445" s="77"/>
      <c r="G445" s="77"/>
      <c r="H445" s="77"/>
      <c r="I445" s="4"/>
      <c r="J445" s="4"/>
      <c r="K445" s="4"/>
      <c r="L445" s="4"/>
      <c r="M445" s="4"/>
      <c r="N445" s="4"/>
      <c r="O445" s="4"/>
      <c r="P445" s="4"/>
      <c r="Q445" s="4"/>
      <c r="R445" s="4"/>
    </row>
    <row r="446">
      <c r="A446" s="71"/>
      <c r="B446" s="71"/>
      <c r="C446" s="76"/>
      <c r="D446" s="77"/>
      <c r="E446" s="77"/>
      <c r="F446" s="77"/>
      <c r="G446" s="77"/>
      <c r="H446" s="77"/>
      <c r="I446" s="4"/>
      <c r="J446" s="4"/>
      <c r="K446" s="4"/>
      <c r="L446" s="4"/>
      <c r="M446" s="4"/>
      <c r="N446" s="4"/>
      <c r="O446" s="4"/>
      <c r="P446" s="4"/>
      <c r="Q446" s="4"/>
      <c r="R446" s="4"/>
    </row>
    <row r="447">
      <c r="A447" s="71"/>
      <c r="B447" s="71"/>
      <c r="C447" s="76"/>
      <c r="D447" s="77"/>
      <c r="E447" s="77"/>
      <c r="F447" s="77"/>
      <c r="G447" s="77"/>
      <c r="H447" s="77"/>
      <c r="I447" s="4"/>
      <c r="J447" s="4"/>
      <c r="K447" s="4"/>
      <c r="L447" s="4"/>
      <c r="M447" s="4"/>
      <c r="N447" s="4"/>
      <c r="O447" s="4"/>
      <c r="P447" s="4"/>
      <c r="Q447" s="4"/>
      <c r="R447" s="4"/>
    </row>
    <row r="448">
      <c r="A448" s="71"/>
      <c r="B448" s="71"/>
      <c r="C448" s="76"/>
      <c r="D448" s="77"/>
      <c r="E448" s="77"/>
      <c r="F448" s="77"/>
      <c r="G448" s="77"/>
      <c r="H448" s="77"/>
      <c r="I448" s="4"/>
      <c r="J448" s="4"/>
      <c r="K448" s="4"/>
      <c r="L448" s="4"/>
      <c r="M448" s="4"/>
      <c r="N448" s="4"/>
      <c r="O448" s="4"/>
      <c r="P448" s="4"/>
      <c r="Q448" s="4"/>
      <c r="R448" s="4"/>
    </row>
    <row r="449">
      <c r="A449" s="71"/>
      <c r="B449" s="71"/>
      <c r="C449" s="76"/>
      <c r="D449" s="77"/>
      <c r="E449" s="77"/>
      <c r="F449" s="77"/>
      <c r="G449" s="77"/>
      <c r="H449" s="77"/>
      <c r="I449" s="4"/>
      <c r="J449" s="4"/>
      <c r="K449" s="4"/>
      <c r="L449" s="4"/>
      <c r="M449" s="4"/>
      <c r="N449" s="4"/>
      <c r="O449" s="4"/>
      <c r="P449" s="4"/>
      <c r="Q449" s="4"/>
      <c r="R449" s="4"/>
    </row>
    <row r="450">
      <c r="A450" s="71"/>
      <c r="B450" s="71"/>
      <c r="C450" s="76"/>
      <c r="D450" s="77"/>
      <c r="E450" s="77"/>
      <c r="F450" s="77"/>
      <c r="G450" s="77"/>
      <c r="H450" s="77"/>
      <c r="I450" s="4"/>
      <c r="J450" s="4"/>
      <c r="K450" s="4"/>
      <c r="L450" s="4"/>
      <c r="M450" s="4"/>
      <c r="N450" s="4"/>
      <c r="O450" s="4"/>
      <c r="P450" s="4"/>
      <c r="Q450" s="4"/>
      <c r="R450" s="4"/>
    </row>
    <row r="451">
      <c r="A451" s="71"/>
      <c r="B451" s="71"/>
      <c r="C451" s="76"/>
      <c r="D451" s="77"/>
      <c r="E451" s="77"/>
      <c r="F451" s="77"/>
      <c r="G451" s="77"/>
      <c r="H451" s="77"/>
      <c r="I451" s="4"/>
      <c r="J451" s="4"/>
      <c r="K451" s="4"/>
      <c r="L451" s="4"/>
      <c r="M451" s="4"/>
      <c r="N451" s="4"/>
      <c r="O451" s="4"/>
      <c r="P451" s="4"/>
      <c r="Q451" s="4"/>
      <c r="R451" s="4"/>
    </row>
    <row r="452">
      <c r="A452" s="71"/>
      <c r="B452" s="71"/>
      <c r="C452" s="76"/>
      <c r="D452" s="77"/>
      <c r="E452" s="77"/>
      <c r="F452" s="77"/>
      <c r="G452" s="77"/>
      <c r="H452" s="77"/>
      <c r="I452" s="4"/>
      <c r="J452" s="4"/>
      <c r="K452" s="4"/>
      <c r="L452" s="4"/>
      <c r="M452" s="4"/>
      <c r="N452" s="4"/>
      <c r="O452" s="4"/>
      <c r="P452" s="4"/>
      <c r="Q452" s="4"/>
      <c r="R452" s="4"/>
    </row>
    <row r="453">
      <c r="A453" s="71"/>
      <c r="B453" s="71"/>
      <c r="C453" s="76"/>
      <c r="D453" s="77"/>
      <c r="E453" s="77"/>
      <c r="F453" s="77"/>
      <c r="G453" s="77"/>
      <c r="H453" s="77"/>
      <c r="I453" s="4"/>
      <c r="J453" s="4"/>
      <c r="K453" s="4"/>
      <c r="L453" s="4"/>
      <c r="M453" s="4"/>
      <c r="N453" s="4"/>
      <c r="O453" s="4"/>
      <c r="P453" s="4"/>
      <c r="Q453" s="4"/>
      <c r="R453" s="4"/>
    </row>
    <row r="454">
      <c r="A454" s="71"/>
      <c r="B454" s="71"/>
      <c r="C454" s="76"/>
      <c r="D454" s="77"/>
      <c r="E454" s="77"/>
      <c r="F454" s="77"/>
      <c r="G454" s="77"/>
      <c r="H454" s="77"/>
      <c r="I454" s="4"/>
      <c r="J454" s="4"/>
      <c r="K454" s="4"/>
      <c r="L454" s="4"/>
      <c r="M454" s="4"/>
      <c r="N454" s="4"/>
      <c r="O454" s="4"/>
      <c r="P454" s="4"/>
      <c r="Q454" s="4"/>
      <c r="R454" s="4"/>
    </row>
    <row r="455">
      <c r="A455" s="71"/>
      <c r="B455" s="71"/>
      <c r="C455" s="76"/>
      <c r="D455" s="77"/>
      <c r="E455" s="77"/>
      <c r="F455" s="77"/>
      <c r="G455" s="77"/>
      <c r="H455" s="77"/>
      <c r="I455" s="4"/>
      <c r="J455" s="4"/>
      <c r="K455" s="4"/>
      <c r="L455" s="4"/>
      <c r="M455" s="4"/>
      <c r="N455" s="4"/>
      <c r="O455" s="4"/>
      <c r="P455" s="4"/>
      <c r="Q455" s="4"/>
      <c r="R455" s="4"/>
    </row>
    <row r="456">
      <c r="A456" s="71"/>
      <c r="B456" s="71"/>
      <c r="C456" s="76"/>
      <c r="D456" s="77"/>
      <c r="E456" s="77"/>
      <c r="F456" s="77"/>
      <c r="G456" s="77"/>
      <c r="H456" s="77"/>
      <c r="I456" s="4"/>
      <c r="J456" s="4"/>
      <c r="K456" s="4"/>
      <c r="L456" s="4"/>
      <c r="M456" s="4"/>
      <c r="N456" s="4"/>
      <c r="O456" s="4"/>
      <c r="P456" s="4"/>
      <c r="Q456" s="4"/>
      <c r="R456" s="4"/>
    </row>
    <row r="457">
      <c r="A457" s="71"/>
      <c r="B457" s="71"/>
      <c r="C457" s="76"/>
      <c r="D457" s="77"/>
      <c r="E457" s="77"/>
      <c r="F457" s="77"/>
      <c r="G457" s="77"/>
      <c r="H457" s="77"/>
      <c r="I457" s="4"/>
      <c r="J457" s="4"/>
      <c r="K457" s="4"/>
      <c r="L457" s="4"/>
      <c r="M457" s="4"/>
      <c r="N457" s="4"/>
      <c r="O457" s="4"/>
      <c r="P457" s="4"/>
      <c r="Q457" s="4"/>
      <c r="R457" s="4"/>
    </row>
    <row r="458">
      <c r="A458" s="71"/>
      <c r="B458" s="71"/>
      <c r="C458" s="76"/>
      <c r="D458" s="77"/>
      <c r="E458" s="77"/>
      <c r="F458" s="77"/>
      <c r="G458" s="77"/>
      <c r="H458" s="77"/>
      <c r="I458" s="4"/>
      <c r="J458" s="4"/>
      <c r="K458" s="4"/>
      <c r="L458" s="4"/>
      <c r="M458" s="4"/>
      <c r="N458" s="4"/>
      <c r="O458" s="4"/>
      <c r="P458" s="4"/>
      <c r="Q458" s="4"/>
      <c r="R458" s="4"/>
    </row>
    <row r="459">
      <c r="A459" s="71"/>
      <c r="B459" s="71"/>
      <c r="C459" s="76"/>
      <c r="D459" s="77"/>
      <c r="E459" s="77"/>
      <c r="F459" s="77"/>
      <c r="G459" s="77"/>
      <c r="H459" s="77"/>
      <c r="I459" s="4"/>
      <c r="J459" s="4"/>
      <c r="K459" s="4"/>
      <c r="L459" s="4"/>
      <c r="M459" s="4"/>
      <c r="N459" s="4"/>
      <c r="O459" s="4"/>
      <c r="P459" s="4"/>
      <c r="Q459" s="4"/>
      <c r="R459" s="4"/>
    </row>
    <row r="460">
      <c r="A460" s="71"/>
      <c r="B460" s="71"/>
      <c r="C460" s="76"/>
      <c r="D460" s="77"/>
      <c r="E460" s="77"/>
      <c r="F460" s="77"/>
      <c r="G460" s="77"/>
      <c r="H460" s="77"/>
      <c r="I460" s="4"/>
      <c r="J460" s="4"/>
      <c r="K460" s="4"/>
      <c r="L460" s="4"/>
      <c r="M460" s="4"/>
      <c r="N460" s="4"/>
      <c r="O460" s="4"/>
      <c r="P460" s="4"/>
      <c r="Q460" s="4"/>
      <c r="R460" s="4"/>
    </row>
    <row r="461">
      <c r="A461" s="71"/>
      <c r="B461" s="71"/>
      <c r="C461" s="76"/>
      <c r="D461" s="77"/>
      <c r="E461" s="77"/>
      <c r="F461" s="77"/>
      <c r="G461" s="77"/>
      <c r="H461" s="77"/>
      <c r="I461" s="4"/>
      <c r="J461" s="4"/>
      <c r="K461" s="4"/>
      <c r="L461" s="4"/>
      <c r="M461" s="4"/>
      <c r="N461" s="4"/>
      <c r="O461" s="4"/>
      <c r="P461" s="4"/>
      <c r="Q461" s="4"/>
      <c r="R461" s="4"/>
    </row>
    <row r="462">
      <c r="A462" s="71"/>
      <c r="B462" s="71"/>
      <c r="C462" s="76"/>
      <c r="D462" s="77"/>
      <c r="E462" s="77"/>
      <c r="F462" s="77"/>
      <c r="G462" s="77"/>
      <c r="H462" s="77"/>
      <c r="I462" s="4"/>
      <c r="J462" s="4"/>
      <c r="K462" s="4"/>
      <c r="L462" s="4"/>
      <c r="M462" s="4"/>
      <c r="N462" s="4"/>
      <c r="O462" s="4"/>
      <c r="P462" s="4"/>
      <c r="Q462" s="4"/>
      <c r="R462" s="4"/>
    </row>
    <row r="463">
      <c r="A463" s="71"/>
      <c r="B463" s="71"/>
      <c r="C463" s="76"/>
      <c r="D463" s="77"/>
      <c r="E463" s="77"/>
      <c r="F463" s="77"/>
      <c r="G463" s="77"/>
      <c r="H463" s="77"/>
      <c r="I463" s="4"/>
      <c r="J463" s="4"/>
      <c r="K463" s="4"/>
      <c r="L463" s="4"/>
      <c r="M463" s="4"/>
      <c r="N463" s="4"/>
      <c r="O463" s="4"/>
      <c r="P463" s="4"/>
      <c r="Q463" s="4"/>
      <c r="R463" s="4"/>
    </row>
    <row r="464">
      <c r="A464" s="71"/>
      <c r="B464" s="71"/>
      <c r="C464" s="76"/>
      <c r="D464" s="77"/>
      <c r="E464" s="77"/>
      <c r="F464" s="77"/>
      <c r="G464" s="77"/>
      <c r="H464" s="77"/>
      <c r="I464" s="4"/>
      <c r="J464" s="4"/>
      <c r="K464" s="4"/>
      <c r="L464" s="4"/>
      <c r="M464" s="4"/>
      <c r="N464" s="4"/>
      <c r="O464" s="4"/>
      <c r="P464" s="4"/>
      <c r="Q464" s="4"/>
      <c r="R464" s="4"/>
    </row>
    <row r="465">
      <c r="A465" s="71"/>
      <c r="B465" s="71"/>
      <c r="C465" s="76"/>
      <c r="D465" s="77"/>
      <c r="E465" s="77"/>
      <c r="F465" s="77"/>
      <c r="G465" s="77"/>
      <c r="H465" s="77"/>
      <c r="I465" s="4"/>
      <c r="J465" s="4"/>
      <c r="K465" s="4"/>
      <c r="L465" s="4"/>
      <c r="M465" s="4"/>
      <c r="N465" s="4"/>
      <c r="O465" s="4"/>
      <c r="P465" s="4"/>
      <c r="Q465" s="4"/>
      <c r="R465" s="4"/>
    </row>
    <row r="466">
      <c r="A466" s="71"/>
      <c r="B466" s="71"/>
      <c r="C466" s="76"/>
      <c r="D466" s="77"/>
      <c r="E466" s="77"/>
      <c r="F466" s="77"/>
      <c r="G466" s="77"/>
      <c r="H466" s="77"/>
      <c r="I466" s="4"/>
      <c r="J466" s="4"/>
      <c r="K466" s="4"/>
      <c r="L466" s="4"/>
      <c r="M466" s="4"/>
      <c r="N466" s="4"/>
      <c r="O466" s="4"/>
      <c r="P466" s="4"/>
      <c r="Q466" s="4"/>
      <c r="R466" s="4"/>
    </row>
    <row r="467">
      <c r="A467" s="71"/>
      <c r="B467" s="71"/>
      <c r="C467" s="76"/>
      <c r="D467" s="77"/>
      <c r="E467" s="77"/>
      <c r="F467" s="77"/>
      <c r="G467" s="77"/>
      <c r="H467" s="77"/>
      <c r="I467" s="4"/>
      <c r="J467" s="4"/>
      <c r="K467" s="4"/>
      <c r="L467" s="4"/>
      <c r="M467" s="4"/>
      <c r="N467" s="4"/>
      <c r="O467" s="4"/>
      <c r="P467" s="4"/>
      <c r="Q467" s="4"/>
      <c r="R467" s="4"/>
    </row>
    <row r="468">
      <c r="A468" s="71"/>
      <c r="B468" s="71"/>
      <c r="C468" s="76"/>
      <c r="D468" s="77"/>
      <c r="E468" s="77"/>
      <c r="F468" s="77"/>
      <c r="G468" s="77"/>
      <c r="H468" s="77"/>
      <c r="I468" s="4"/>
      <c r="J468" s="4"/>
      <c r="K468" s="4"/>
      <c r="L468" s="4"/>
      <c r="M468" s="4"/>
      <c r="N468" s="4"/>
      <c r="O468" s="4"/>
      <c r="P468" s="4"/>
      <c r="Q468" s="4"/>
      <c r="R468" s="4"/>
    </row>
    <row r="469">
      <c r="A469" s="71"/>
      <c r="B469" s="71"/>
      <c r="C469" s="76"/>
      <c r="D469" s="77"/>
      <c r="E469" s="77"/>
      <c r="F469" s="77"/>
      <c r="G469" s="77"/>
      <c r="H469" s="77"/>
      <c r="I469" s="4"/>
      <c r="J469" s="4"/>
      <c r="K469" s="4"/>
      <c r="L469" s="4"/>
      <c r="M469" s="4"/>
      <c r="N469" s="4"/>
      <c r="O469" s="4"/>
      <c r="P469" s="4"/>
      <c r="Q469" s="4"/>
      <c r="R469" s="4"/>
    </row>
    <row r="470">
      <c r="A470" s="71"/>
      <c r="B470" s="71"/>
      <c r="C470" s="76"/>
      <c r="D470" s="77"/>
      <c r="E470" s="77"/>
      <c r="F470" s="77"/>
      <c r="G470" s="77"/>
      <c r="H470" s="77"/>
      <c r="I470" s="4"/>
      <c r="J470" s="4"/>
      <c r="K470" s="4"/>
      <c r="L470" s="4"/>
      <c r="M470" s="4"/>
      <c r="N470" s="4"/>
      <c r="O470" s="4"/>
      <c r="P470" s="4"/>
      <c r="Q470" s="4"/>
      <c r="R470" s="4"/>
    </row>
    <row r="471">
      <c r="A471" s="71"/>
      <c r="B471" s="71"/>
      <c r="C471" s="76"/>
      <c r="D471" s="77"/>
      <c r="E471" s="77"/>
      <c r="F471" s="77"/>
      <c r="G471" s="77"/>
      <c r="H471" s="77"/>
      <c r="I471" s="4"/>
      <c r="J471" s="4"/>
      <c r="K471" s="4"/>
      <c r="L471" s="4"/>
      <c r="M471" s="4"/>
      <c r="N471" s="4"/>
      <c r="O471" s="4"/>
      <c r="P471" s="4"/>
      <c r="Q471" s="4"/>
      <c r="R471" s="4"/>
    </row>
    <row r="472">
      <c r="A472" s="71"/>
      <c r="B472" s="71"/>
      <c r="C472" s="76"/>
      <c r="D472" s="77"/>
      <c r="E472" s="77"/>
      <c r="F472" s="77"/>
      <c r="G472" s="77"/>
      <c r="H472" s="77"/>
      <c r="I472" s="4"/>
      <c r="J472" s="4"/>
      <c r="K472" s="4"/>
      <c r="L472" s="4"/>
      <c r="M472" s="4"/>
      <c r="N472" s="4"/>
      <c r="O472" s="4"/>
      <c r="P472" s="4"/>
      <c r="Q472" s="4"/>
      <c r="R472" s="4"/>
    </row>
    <row r="473">
      <c r="A473" s="71"/>
      <c r="B473" s="71"/>
      <c r="C473" s="76"/>
      <c r="D473" s="77"/>
      <c r="E473" s="77"/>
      <c r="F473" s="77"/>
      <c r="G473" s="77"/>
      <c r="H473" s="77"/>
      <c r="I473" s="4"/>
      <c r="J473" s="4"/>
      <c r="K473" s="4"/>
      <c r="L473" s="4"/>
      <c r="M473" s="4"/>
      <c r="N473" s="4"/>
      <c r="O473" s="4"/>
      <c r="P473" s="4"/>
      <c r="Q473" s="4"/>
      <c r="R473" s="4"/>
    </row>
    <row r="474">
      <c r="A474" s="71"/>
      <c r="B474" s="71"/>
      <c r="C474" s="76"/>
      <c r="D474" s="77"/>
      <c r="E474" s="77"/>
      <c r="F474" s="77"/>
      <c r="G474" s="77"/>
      <c r="H474" s="77"/>
      <c r="I474" s="4"/>
      <c r="J474" s="4"/>
      <c r="K474" s="4"/>
      <c r="L474" s="4"/>
      <c r="M474" s="4"/>
      <c r="N474" s="4"/>
      <c r="O474" s="4"/>
      <c r="P474" s="4"/>
      <c r="Q474" s="4"/>
      <c r="R474" s="4"/>
    </row>
    <row r="475">
      <c r="A475" s="71"/>
      <c r="B475" s="71"/>
      <c r="C475" s="76"/>
      <c r="D475" s="77"/>
      <c r="E475" s="77"/>
      <c r="F475" s="77"/>
      <c r="G475" s="77"/>
      <c r="H475" s="77"/>
      <c r="I475" s="4"/>
      <c r="J475" s="4"/>
      <c r="K475" s="4"/>
      <c r="L475" s="4"/>
      <c r="M475" s="4"/>
      <c r="N475" s="4"/>
      <c r="O475" s="4"/>
      <c r="P475" s="4"/>
      <c r="Q475" s="4"/>
      <c r="R475" s="4"/>
    </row>
    <row r="476">
      <c r="A476" s="71"/>
      <c r="B476" s="71"/>
      <c r="C476" s="76"/>
      <c r="D476" s="77"/>
      <c r="E476" s="77"/>
      <c r="F476" s="77"/>
      <c r="G476" s="77"/>
      <c r="H476" s="77"/>
      <c r="I476" s="4"/>
      <c r="J476" s="4"/>
      <c r="K476" s="4"/>
      <c r="L476" s="4"/>
      <c r="M476" s="4"/>
      <c r="N476" s="4"/>
      <c r="O476" s="4"/>
      <c r="P476" s="4"/>
      <c r="Q476" s="4"/>
      <c r="R476" s="4"/>
    </row>
    <row r="477">
      <c r="A477" s="71"/>
      <c r="B477" s="71"/>
      <c r="C477" s="76"/>
      <c r="D477" s="77"/>
      <c r="E477" s="77"/>
      <c r="F477" s="77"/>
      <c r="G477" s="77"/>
      <c r="H477" s="77"/>
      <c r="I477" s="4"/>
      <c r="J477" s="4"/>
      <c r="K477" s="4"/>
      <c r="L477" s="4"/>
      <c r="M477" s="4"/>
      <c r="N477" s="4"/>
      <c r="O477" s="4"/>
      <c r="P477" s="4"/>
      <c r="Q477" s="4"/>
      <c r="R477" s="4"/>
    </row>
    <row r="478">
      <c r="A478" s="71"/>
      <c r="B478" s="71"/>
      <c r="C478" s="76"/>
      <c r="D478" s="77"/>
      <c r="E478" s="77"/>
      <c r="F478" s="77"/>
      <c r="G478" s="77"/>
      <c r="H478" s="77"/>
      <c r="I478" s="4"/>
      <c r="J478" s="4"/>
      <c r="K478" s="4"/>
      <c r="L478" s="4"/>
      <c r="M478" s="4"/>
      <c r="N478" s="4"/>
      <c r="O478" s="4"/>
      <c r="P478" s="4"/>
      <c r="Q478" s="4"/>
      <c r="R478" s="4"/>
    </row>
    <row r="479">
      <c r="A479" s="71"/>
      <c r="B479" s="71"/>
      <c r="C479" s="76"/>
      <c r="D479" s="77"/>
      <c r="E479" s="77"/>
      <c r="F479" s="77"/>
      <c r="G479" s="77"/>
      <c r="H479" s="77"/>
      <c r="I479" s="4"/>
      <c r="J479" s="4"/>
      <c r="K479" s="4"/>
      <c r="L479" s="4"/>
      <c r="M479" s="4"/>
      <c r="N479" s="4"/>
      <c r="O479" s="4"/>
      <c r="P479" s="4"/>
      <c r="Q479" s="4"/>
      <c r="R479" s="4"/>
    </row>
    <row r="480">
      <c r="A480" s="71"/>
      <c r="B480" s="71"/>
      <c r="C480" s="76"/>
      <c r="D480" s="77"/>
      <c r="E480" s="77"/>
      <c r="F480" s="77"/>
      <c r="G480" s="77"/>
      <c r="H480" s="77"/>
      <c r="I480" s="4"/>
      <c r="J480" s="4"/>
      <c r="K480" s="4"/>
      <c r="L480" s="4"/>
      <c r="M480" s="4"/>
      <c r="N480" s="4"/>
      <c r="O480" s="4"/>
      <c r="P480" s="4"/>
      <c r="Q480" s="4"/>
      <c r="R480" s="4"/>
    </row>
    <row r="481">
      <c r="A481" s="71"/>
      <c r="B481" s="71"/>
      <c r="C481" s="76"/>
      <c r="D481" s="77"/>
      <c r="E481" s="77"/>
      <c r="F481" s="77"/>
      <c r="G481" s="77"/>
      <c r="H481" s="77"/>
      <c r="I481" s="4"/>
      <c r="J481" s="4"/>
      <c r="K481" s="4"/>
      <c r="L481" s="4"/>
      <c r="M481" s="4"/>
      <c r="N481" s="4"/>
      <c r="O481" s="4"/>
      <c r="P481" s="4"/>
      <c r="Q481" s="4"/>
      <c r="R481" s="4"/>
    </row>
    <row r="482">
      <c r="A482" s="71"/>
      <c r="B482" s="71"/>
      <c r="C482" s="76"/>
      <c r="D482" s="77"/>
      <c r="E482" s="77"/>
      <c r="F482" s="77"/>
      <c r="G482" s="77"/>
      <c r="H482" s="77"/>
      <c r="I482" s="4"/>
      <c r="J482" s="4"/>
      <c r="K482" s="4"/>
      <c r="L482" s="4"/>
      <c r="M482" s="4"/>
      <c r="N482" s="4"/>
      <c r="O482" s="4"/>
      <c r="P482" s="4"/>
      <c r="Q482" s="4"/>
      <c r="R482" s="4"/>
    </row>
    <row r="483">
      <c r="A483" s="71"/>
      <c r="B483" s="71"/>
      <c r="C483" s="76"/>
      <c r="D483" s="77"/>
      <c r="E483" s="77"/>
      <c r="F483" s="77"/>
      <c r="G483" s="77"/>
      <c r="H483" s="77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>
      <c r="A484" s="71"/>
      <c r="B484" s="71"/>
      <c r="C484" s="76"/>
      <c r="D484" s="77"/>
      <c r="E484" s="77"/>
      <c r="F484" s="77"/>
      <c r="G484" s="77"/>
      <c r="H484" s="77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>
      <c r="A485" s="71"/>
      <c r="B485" s="71"/>
      <c r="C485" s="76"/>
      <c r="D485" s="77"/>
      <c r="E485" s="77"/>
      <c r="F485" s="77"/>
      <c r="G485" s="77"/>
      <c r="H485" s="77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>
      <c r="A486" s="71"/>
      <c r="B486" s="71"/>
      <c r="C486" s="76"/>
      <c r="D486" s="77"/>
      <c r="E486" s="77"/>
      <c r="F486" s="77"/>
      <c r="G486" s="77"/>
      <c r="H486" s="77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>
      <c r="A487" s="71"/>
      <c r="B487" s="71"/>
      <c r="C487" s="76"/>
      <c r="D487" s="77"/>
      <c r="E487" s="77"/>
      <c r="F487" s="77"/>
      <c r="G487" s="77"/>
      <c r="H487" s="77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>
      <c r="A488" s="71"/>
      <c r="B488" s="71"/>
      <c r="C488" s="76"/>
      <c r="D488" s="77"/>
      <c r="E488" s="77"/>
      <c r="F488" s="77"/>
      <c r="G488" s="77"/>
      <c r="H488" s="77"/>
      <c r="I488" s="4"/>
      <c r="J488" s="4"/>
      <c r="K488" s="4"/>
      <c r="L488" s="4"/>
      <c r="M488" s="4"/>
      <c r="N488" s="4"/>
      <c r="O488" s="4"/>
      <c r="P488" s="4"/>
      <c r="Q488" s="4"/>
      <c r="R488" s="4"/>
    </row>
    <row r="489">
      <c r="A489" s="71"/>
      <c r="B489" s="71"/>
      <c r="C489" s="76"/>
      <c r="D489" s="77"/>
      <c r="E489" s="77"/>
      <c r="F489" s="77"/>
      <c r="G489" s="77"/>
      <c r="H489" s="77"/>
      <c r="I489" s="4"/>
      <c r="J489" s="4"/>
      <c r="K489" s="4"/>
      <c r="L489" s="4"/>
      <c r="M489" s="4"/>
      <c r="N489" s="4"/>
      <c r="O489" s="4"/>
      <c r="P489" s="4"/>
      <c r="Q489" s="4"/>
      <c r="R489" s="4"/>
    </row>
    <row r="490">
      <c r="A490" s="71"/>
      <c r="B490" s="71"/>
      <c r="C490" s="76"/>
      <c r="D490" s="77"/>
      <c r="E490" s="77"/>
      <c r="F490" s="77"/>
      <c r="G490" s="77"/>
      <c r="H490" s="77"/>
      <c r="I490" s="4"/>
      <c r="J490" s="4"/>
      <c r="K490" s="4"/>
      <c r="L490" s="4"/>
      <c r="M490" s="4"/>
      <c r="N490" s="4"/>
      <c r="O490" s="4"/>
      <c r="P490" s="4"/>
      <c r="Q490" s="4"/>
      <c r="R490" s="4"/>
    </row>
    <row r="491">
      <c r="A491" s="71"/>
      <c r="B491" s="71"/>
      <c r="C491" s="76"/>
      <c r="D491" s="77"/>
      <c r="E491" s="77"/>
      <c r="F491" s="77"/>
      <c r="G491" s="77"/>
      <c r="H491" s="77"/>
      <c r="I491" s="4"/>
      <c r="J491" s="4"/>
      <c r="K491" s="4"/>
      <c r="L491" s="4"/>
      <c r="M491" s="4"/>
      <c r="N491" s="4"/>
      <c r="O491" s="4"/>
      <c r="P491" s="4"/>
      <c r="Q491" s="4"/>
      <c r="R491" s="4"/>
    </row>
    <row r="492">
      <c r="A492" s="71"/>
      <c r="B492" s="71"/>
      <c r="C492" s="76"/>
      <c r="D492" s="77"/>
      <c r="E492" s="77"/>
      <c r="F492" s="77"/>
      <c r="G492" s="77"/>
      <c r="H492" s="77"/>
      <c r="I492" s="4"/>
      <c r="J492" s="4"/>
      <c r="K492" s="4"/>
      <c r="L492" s="4"/>
      <c r="M492" s="4"/>
      <c r="N492" s="4"/>
      <c r="O492" s="4"/>
      <c r="P492" s="4"/>
      <c r="Q492" s="4"/>
      <c r="R492" s="4"/>
    </row>
    <row r="493">
      <c r="A493" s="71"/>
      <c r="B493" s="71"/>
      <c r="C493" s="76"/>
      <c r="D493" s="77"/>
      <c r="E493" s="77"/>
      <c r="F493" s="77"/>
      <c r="G493" s="77"/>
      <c r="H493" s="77"/>
      <c r="I493" s="4"/>
      <c r="J493" s="4"/>
      <c r="K493" s="4"/>
      <c r="L493" s="4"/>
      <c r="M493" s="4"/>
      <c r="N493" s="4"/>
      <c r="O493" s="4"/>
      <c r="P493" s="4"/>
      <c r="Q493" s="4"/>
      <c r="R493" s="4"/>
    </row>
    <row r="494">
      <c r="A494" s="71"/>
      <c r="B494" s="71"/>
      <c r="C494" s="76"/>
      <c r="D494" s="77"/>
      <c r="E494" s="77"/>
      <c r="F494" s="77"/>
      <c r="G494" s="77"/>
      <c r="H494" s="77"/>
      <c r="I494" s="4"/>
      <c r="J494" s="4"/>
      <c r="K494" s="4"/>
      <c r="L494" s="4"/>
      <c r="M494" s="4"/>
      <c r="N494" s="4"/>
      <c r="O494" s="4"/>
      <c r="P494" s="4"/>
      <c r="Q494" s="4"/>
      <c r="R494" s="4"/>
    </row>
    <row r="495">
      <c r="A495" s="71"/>
      <c r="B495" s="71"/>
      <c r="C495" s="76"/>
      <c r="D495" s="77"/>
      <c r="E495" s="77"/>
      <c r="F495" s="77"/>
      <c r="G495" s="77"/>
      <c r="H495" s="77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>
      <c r="A496" s="71"/>
      <c r="B496" s="71"/>
      <c r="C496" s="76"/>
      <c r="D496" s="77"/>
      <c r="E496" s="77"/>
      <c r="F496" s="77"/>
      <c r="G496" s="77"/>
      <c r="H496" s="77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>
      <c r="A497" s="71"/>
      <c r="B497" s="71"/>
      <c r="C497" s="76"/>
      <c r="D497" s="77"/>
      <c r="E497" s="77"/>
      <c r="F497" s="77"/>
      <c r="G497" s="77"/>
      <c r="H497" s="77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>
      <c r="A498" s="71"/>
      <c r="B498" s="71"/>
      <c r="C498" s="76"/>
      <c r="D498" s="77"/>
      <c r="E498" s="77"/>
      <c r="F498" s="77"/>
      <c r="G498" s="77"/>
      <c r="H498" s="77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>
      <c r="A499" s="71"/>
      <c r="B499" s="71"/>
      <c r="C499" s="76"/>
      <c r="D499" s="77"/>
      <c r="E499" s="77"/>
      <c r="F499" s="77"/>
      <c r="G499" s="77"/>
      <c r="H499" s="77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>
      <c r="A500" s="71"/>
      <c r="B500" s="71"/>
      <c r="C500" s="76"/>
      <c r="D500" s="77"/>
      <c r="E500" s="77"/>
      <c r="F500" s="77"/>
      <c r="G500" s="77"/>
      <c r="H500" s="77"/>
      <c r="I500" s="4"/>
      <c r="J500" s="4"/>
      <c r="K500" s="4"/>
      <c r="L500" s="4"/>
      <c r="M500" s="4"/>
      <c r="N500" s="4"/>
      <c r="O500" s="4"/>
      <c r="P500" s="4"/>
      <c r="Q500" s="4"/>
      <c r="R500" s="4"/>
    </row>
    <row r="501">
      <c r="A501" s="71"/>
      <c r="B501" s="71"/>
      <c r="C501" s="76"/>
      <c r="D501" s="77"/>
      <c r="E501" s="77"/>
      <c r="F501" s="77"/>
      <c r="G501" s="77"/>
      <c r="H501" s="77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>
      <c r="A502" s="71"/>
      <c r="B502" s="71"/>
      <c r="C502" s="76"/>
      <c r="D502" s="77"/>
      <c r="E502" s="77"/>
      <c r="F502" s="77"/>
      <c r="G502" s="77"/>
      <c r="H502" s="77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>
      <c r="A503" s="71"/>
      <c r="B503" s="71"/>
      <c r="C503" s="76"/>
      <c r="D503" s="77"/>
      <c r="E503" s="77"/>
      <c r="F503" s="77"/>
      <c r="G503" s="77"/>
      <c r="H503" s="77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>
      <c r="A504" s="71"/>
      <c r="B504" s="71"/>
      <c r="C504" s="76"/>
      <c r="D504" s="77"/>
      <c r="E504" s="77"/>
      <c r="F504" s="77"/>
      <c r="G504" s="77"/>
      <c r="H504" s="77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>
      <c r="A505" s="71"/>
      <c r="B505" s="71"/>
      <c r="C505" s="76"/>
      <c r="D505" s="77"/>
      <c r="E505" s="77"/>
      <c r="F505" s="77"/>
      <c r="G505" s="77"/>
      <c r="H505" s="77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>
      <c r="A506" s="71"/>
      <c r="B506" s="71"/>
      <c r="C506" s="76"/>
      <c r="D506" s="77"/>
      <c r="E506" s="77"/>
      <c r="F506" s="77"/>
      <c r="G506" s="77"/>
      <c r="H506" s="77"/>
      <c r="I506" s="4"/>
      <c r="J506" s="4"/>
      <c r="K506" s="4"/>
      <c r="L506" s="4"/>
      <c r="M506" s="4"/>
      <c r="N506" s="4"/>
      <c r="O506" s="4"/>
      <c r="P506" s="4"/>
      <c r="Q506" s="4"/>
      <c r="R506" s="4"/>
    </row>
    <row r="507">
      <c r="A507" s="71"/>
      <c r="B507" s="71"/>
      <c r="C507" s="76"/>
      <c r="D507" s="77"/>
      <c r="E507" s="77"/>
      <c r="F507" s="77"/>
      <c r="G507" s="77"/>
      <c r="H507" s="77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>
      <c r="A508" s="71"/>
      <c r="B508" s="71"/>
      <c r="C508" s="76"/>
      <c r="D508" s="77"/>
      <c r="E508" s="77"/>
      <c r="F508" s="77"/>
      <c r="G508" s="77"/>
      <c r="H508" s="77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>
      <c r="A509" s="71"/>
      <c r="B509" s="71"/>
      <c r="C509" s="76"/>
      <c r="D509" s="77"/>
      <c r="E509" s="77"/>
      <c r="F509" s="77"/>
      <c r="G509" s="77"/>
      <c r="H509" s="77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>
      <c r="A510" s="71"/>
      <c r="B510" s="71"/>
      <c r="C510" s="76"/>
      <c r="D510" s="77"/>
      <c r="E510" s="77"/>
      <c r="F510" s="77"/>
      <c r="G510" s="77"/>
      <c r="H510" s="77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>
      <c r="A511" s="71"/>
      <c r="B511" s="71"/>
      <c r="C511" s="76"/>
      <c r="D511" s="77"/>
      <c r="E511" s="77"/>
      <c r="F511" s="77"/>
      <c r="G511" s="77"/>
      <c r="H511" s="77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>
      <c r="A512" s="71"/>
      <c r="B512" s="71"/>
      <c r="C512" s="76"/>
      <c r="D512" s="77"/>
      <c r="E512" s="77"/>
      <c r="F512" s="77"/>
      <c r="G512" s="77"/>
      <c r="H512" s="77"/>
      <c r="I512" s="4"/>
      <c r="J512" s="4"/>
      <c r="K512" s="4"/>
      <c r="L512" s="4"/>
      <c r="M512" s="4"/>
      <c r="N512" s="4"/>
      <c r="O512" s="4"/>
      <c r="P512" s="4"/>
      <c r="Q512" s="4"/>
      <c r="R512" s="4"/>
    </row>
    <row r="513">
      <c r="A513" s="71"/>
      <c r="B513" s="71"/>
      <c r="C513" s="76"/>
      <c r="D513" s="77"/>
      <c r="E513" s="77"/>
      <c r="F513" s="77"/>
      <c r="G513" s="77"/>
      <c r="H513" s="77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>
      <c r="A514" s="71"/>
      <c r="B514" s="71"/>
      <c r="C514" s="76"/>
      <c r="D514" s="77"/>
      <c r="E514" s="77"/>
      <c r="F514" s="77"/>
      <c r="G514" s="77"/>
      <c r="H514" s="77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>
      <c r="A515" s="71"/>
      <c r="B515" s="71"/>
      <c r="C515" s="76"/>
      <c r="D515" s="77"/>
      <c r="E515" s="77"/>
      <c r="F515" s="77"/>
      <c r="G515" s="77"/>
      <c r="H515" s="77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>
      <c r="A516" s="71"/>
      <c r="B516" s="71"/>
      <c r="C516" s="76"/>
      <c r="D516" s="77"/>
      <c r="E516" s="77"/>
      <c r="F516" s="77"/>
      <c r="G516" s="77"/>
      <c r="H516" s="77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>
      <c r="A517" s="71"/>
      <c r="B517" s="71"/>
      <c r="C517" s="76"/>
      <c r="D517" s="77"/>
      <c r="E517" s="77"/>
      <c r="F517" s="77"/>
      <c r="G517" s="77"/>
      <c r="H517" s="77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>
      <c r="A518" s="71"/>
      <c r="B518" s="71"/>
      <c r="C518" s="76"/>
      <c r="D518" s="77"/>
      <c r="E518" s="77"/>
      <c r="F518" s="77"/>
      <c r="G518" s="77"/>
      <c r="H518" s="77"/>
      <c r="I518" s="4"/>
      <c r="J518" s="4"/>
      <c r="K518" s="4"/>
      <c r="L518" s="4"/>
      <c r="M518" s="4"/>
      <c r="N518" s="4"/>
      <c r="O518" s="4"/>
      <c r="P518" s="4"/>
      <c r="Q518" s="4"/>
      <c r="R518" s="4"/>
    </row>
    <row r="519">
      <c r="A519" s="71"/>
      <c r="B519" s="71"/>
      <c r="C519" s="76"/>
      <c r="D519" s="77"/>
      <c r="E519" s="77"/>
      <c r="F519" s="77"/>
      <c r="G519" s="77"/>
      <c r="H519" s="77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>
      <c r="A520" s="71"/>
      <c r="B520" s="71"/>
      <c r="C520" s="76"/>
      <c r="D520" s="77"/>
      <c r="E520" s="77"/>
      <c r="F520" s="77"/>
      <c r="G520" s="77"/>
      <c r="H520" s="77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>
      <c r="A521" s="71"/>
      <c r="B521" s="71"/>
      <c r="C521" s="76"/>
      <c r="D521" s="77"/>
      <c r="E521" s="77"/>
      <c r="F521" s="77"/>
      <c r="G521" s="77"/>
      <c r="H521" s="77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>
      <c r="A522" s="71"/>
      <c r="B522" s="71"/>
      <c r="C522" s="76"/>
      <c r="D522" s="77"/>
      <c r="E522" s="77"/>
      <c r="F522" s="77"/>
      <c r="G522" s="77"/>
      <c r="H522" s="77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>
      <c r="A523" s="71"/>
      <c r="B523" s="71"/>
      <c r="C523" s="76"/>
      <c r="D523" s="77"/>
      <c r="E523" s="77"/>
      <c r="F523" s="77"/>
      <c r="G523" s="77"/>
      <c r="H523" s="77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>
      <c r="A524" s="71"/>
      <c r="B524" s="71"/>
      <c r="C524" s="76"/>
      <c r="D524" s="77"/>
      <c r="E524" s="77"/>
      <c r="F524" s="77"/>
      <c r="G524" s="77"/>
      <c r="H524" s="77"/>
      <c r="I524" s="4"/>
      <c r="J524" s="4"/>
      <c r="K524" s="4"/>
      <c r="L524" s="4"/>
      <c r="M524" s="4"/>
      <c r="N524" s="4"/>
      <c r="O524" s="4"/>
      <c r="P524" s="4"/>
      <c r="Q524" s="4"/>
      <c r="R524" s="4"/>
    </row>
    <row r="525">
      <c r="A525" s="71"/>
      <c r="B525" s="71"/>
      <c r="C525" s="76"/>
      <c r="D525" s="77"/>
      <c r="E525" s="77"/>
      <c r="F525" s="77"/>
      <c r="G525" s="77"/>
      <c r="H525" s="77"/>
      <c r="I525" s="4"/>
      <c r="J525" s="4"/>
      <c r="K525" s="4"/>
      <c r="L525" s="4"/>
      <c r="M525" s="4"/>
      <c r="N525" s="4"/>
      <c r="O525" s="4"/>
      <c r="P525" s="4"/>
      <c r="Q525" s="4"/>
      <c r="R525" s="4"/>
    </row>
    <row r="526">
      <c r="A526" s="71"/>
      <c r="B526" s="71"/>
      <c r="C526" s="76"/>
      <c r="D526" s="77"/>
      <c r="E526" s="77"/>
      <c r="F526" s="77"/>
      <c r="G526" s="77"/>
      <c r="H526" s="77"/>
      <c r="I526" s="4"/>
      <c r="J526" s="4"/>
      <c r="K526" s="4"/>
      <c r="L526" s="4"/>
      <c r="M526" s="4"/>
      <c r="N526" s="4"/>
      <c r="O526" s="4"/>
      <c r="P526" s="4"/>
      <c r="Q526" s="4"/>
      <c r="R526" s="4"/>
    </row>
    <row r="527">
      <c r="A527" s="71"/>
      <c r="B527" s="71"/>
      <c r="C527" s="76"/>
      <c r="D527" s="77"/>
      <c r="E527" s="77"/>
      <c r="F527" s="77"/>
      <c r="G527" s="77"/>
      <c r="H527" s="77"/>
      <c r="I527" s="4"/>
      <c r="J527" s="4"/>
      <c r="K527" s="4"/>
      <c r="L527" s="4"/>
      <c r="M527" s="4"/>
      <c r="N527" s="4"/>
      <c r="O527" s="4"/>
      <c r="P527" s="4"/>
      <c r="Q527" s="4"/>
      <c r="R527" s="4"/>
    </row>
    <row r="528">
      <c r="A528" s="71"/>
      <c r="B528" s="71"/>
      <c r="C528" s="76"/>
      <c r="D528" s="77"/>
      <c r="E528" s="77"/>
      <c r="F528" s="77"/>
      <c r="G528" s="77"/>
      <c r="H528" s="77"/>
      <c r="I528" s="4"/>
      <c r="J528" s="4"/>
      <c r="K528" s="4"/>
      <c r="L528" s="4"/>
      <c r="M528" s="4"/>
      <c r="N528" s="4"/>
      <c r="O528" s="4"/>
      <c r="P528" s="4"/>
      <c r="Q528" s="4"/>
      <c r="R528" s="4"/>
    </row>
    <row r="529">
      <c r="A529" s="71"/>
      <c r="B529" s="71"/>
      <c r="C529" s="76"/>
      <c r="D529" s="77"/>
      <c r="E529" s="77"/>
      <c r="F529" s="77"/>
      <c r="G529" s="77"/>
      <c r="H529" s="77"/>
      <c r="I529" s="4"/>
      <c r="J529" s="4"/>
      <c r="K529" s="4"/>
      <c r="L529" s="4"/>
      <c r="M529" s="4"/>
      <c r="N529" s="4"/>
      <c r="O529" s="4"/>
      <c r="P529" s="4"/>
      <c r="Q529" s="4"/>
      <c r="R529" s="4"/>
    </row>
    <row r="530">
      <c r="A530" s="71"/>
      <c r="B530" s="71"/>
      <c r="C530" s="76"/>
      <c r="D530" s="77"/>
      <c r="E530" s="77"/>
      <c r="F530" s="77"/>
      <c r="G530" s="77"/>
      <c r="H530" s="77"/>
      <c r="I530" s="4"/>
      <c r="J530" s="4"/>
      <c r="K530" s="4"/>
      <c r="L530" s="4"/>
      <c r="M530" s="4"/>
      <c r="N530" s="4"/>
      <c r="O530" s="4"/>
      <c r="P530" s="4"/>
      <c r="Q530" s="4"/>
      <c r="R530" s="4"/>
    </row>
    <row r="531">
      <c r="A531" s="71"/>
      <c r="B531" s="71"/>
      <c r="C531" s="76"/>
      <c r="D531" s="77"/>
      <c r="E531" s="77"/>
      <c r="F531" s="77"/>
      <c r="G531" s="77"/>
      <c r="H531" s="77"/>
      <c r="I531" s="4"/>
      <c r="J531" s="4"/>
      <c r="K531" s="4"/>
      <c r="L531" s="4"/>
      <c r="M531" s="4"/>
      <c r="N531" s="4"/>
      <c r="O531" s="4"/>
      <c r="P531" s="4"/>
      <c r="Q531" s="4"/>
      <c r="R531" s="4"/>
    </row>
    <row r="532">
      <c r="A532" s="71"/>
      <c r="B532" s="71"/>
      <c r="C532" s="76"/>
      <c r="D532" s="77"/>
      <c r="E532" s="77"/>
      <c r="F532" s="77"/>
      <c r="G532" s="77"/>
      <c r="H532" s="77"/>
      <c r="I532" s="4"/>
      <c r="J532" s="4"/>
      <c r="K532" s="4"/>
      <c r="L532" s="4"/>
      <c r="M532" s="4"/>
      <c r="N532" s="4"/>
      <c r="O532" s="4"/>
      <c r="P532" s="4"/>
      <c r="Q532" s="4"/>
      <c r="R532" s="4"/>
    </row>
    <row r="533">
      <c r="A533" s="71"/>
      <c r="B533" s="71"/>
      <c r="C533" s="76"/>
      <c r="D533" s="77"/>
      <c r="E533" s="77"/>
      <c r="F533" s="77"/>
      <c r="G533" s="77"/>
      <c r="H533" s="77"/>
      <c r="I533" s="4"/>
      <c r="J533" s="4"/>
      <c r="K533" s="4"/>
      <c r="L533" s="4"/>
      <c r="M533" s="4"/>
      <c r="N533" s="4"/>
      <c r="O533" s="4"/>
      <c r="P533" s="4"/>
      <c r="Q533" s="4"/>
      <c r="R533" s="4"/>
    </row>
    <row r="534">
      <c r="A534" s="71"/>
      <c r="B534" s="71"/>
      <c r="C534" s="76"/>
      <c r="D534" s="77"/>
      <c r="E534" s="77"/>
      <c r="F534" s="77"/>
      <c r="G534" s="77"/>
      <c r="H534" s="77"/>
      <c r="I534" s="4"/>
      <c r="J534" s="4"/>
      <c r="K534" s="4"/>
      <c r="L534" s="4"/>
      <c r="M534" s="4"/>
      <c r="N534" s="4"/>
      <c r="O534" s="4"/>
      <c r="P534" s="4"/>
      <c r="Q534" s="4"/>
      <c r="R534" s="4"/>
    </row>
    <row r="535">
      <c r="A535" s="71"/>
      <c r="B535" s="71"/>
      <c r="C535" s="76"/>
      <c r="D535" s="77"/>
      <c r="E535" s="77"/>
      <c r="F535" s="77"/>
      <c r="G535" s="77"/>
      <c r="H535" s="77"/>
      <c r="I535" s="4"/>
      <c r="J535" s="4"/>
      <c r="K535" s="4"/>
      <c r="L535" s="4"/>
      <c r="M535" s="4"/>
      <c r="N535" s="4"/>
      <c r="O535" s="4"/>
      <c r="P535" s="4"/>
      <c r="Q535" s="4"/>
      <c r="R535" s="4"/>
    </row>
    <row r="536">
      <c r="A536" s="71"/>
      <c r="B536" s="71"/>
      <c r="C536" s="76"/>
      <c r="D536" s="77"/>
      <c r="E536" s="77"/>
      <c r="F536" s="77"/>
      <c r="G536" s="77"/>
      <c r="H536" s="77"/>
      <c r="I536" s="4"/>
      <c r="J536" s="4"/>
      <c r="K536" s="4"/>
      <c r="L536" s="4"/>
      <c r="M536" s="4"/>
      <c r="N536" s="4"/>
      <c r="O536" s="4"/>
      <c r="P536" s="4"/>
      <c r="Q536" s="4"/>
      <c r="R536" s="4"/>
    </row>
    <row r="537">
      <c r="A537" s="71"/>
      <c r="B537" s="71"/>
      <c r="C537" s="76"/>
      <c r="D537" s="77"/>
      <c r="E537" s="77"/>
      <c r="F537" s="77"/>
      <c r="G537" s="77"/>
      <c r="H537" s="77"/>
      <c r="I537" s="4"/>
      <c r="J537" s="4"/>
      <c r="K537" s="4"/>
      <c r="L537" s="4"/>
      <c r="M537" s="4"/>
      <c r="N537" s="4"/>
      <c r="O537" s="4"/>
      <c r="P537" s="4"/>
      <c r="Q537" s="4"/>
      <c r="R537" s="4"/>
    </row>
    <row r="538">
      <c r="A538" s="71"/>
      <c r="B538" s="71"/>
      <c r="C538" s="76"/>
      <c r="D538" s="77"/>
      <c r="E538" s="77"/>
      <c r="F538" s="77"/>
      <c r="G538" s="77"/>
      <c r="H538" s="77"/>
      <c r="I538" s="4"/>
      <c r="J538" s="4"/>
      <c r="K538" s="4"/>
      <c r="L538" s="4"/>
      <c r="M538" s="4"/>
      <c r="N538" s="4"/>
      <c r="O538" s="4"/>
      <c r="P538" s="4"/>
      <c r="Q538" s="4"/>
      <c r="R538" s="4"/>
    </row>
    <row r="539">
      <c r="A539" s="71"/>
      <c r="B539" s="71"/>
      <c r="C539" s="76"/>
      <c r="D539" s="77"/>
      <c r="E539" s="77"/>
      <c r="F539" s="77"/>
      <c r="G539" s="77"/>
      <c r="H539" s="77"/>
      <c r="I539" s="4"/>
      <c r="J539" s="4"/>
      <c r="K539" s="4"/>
      <c r="L539" s="4"/>
      <c r="M539" s="4"/>
      <c r="N539" s="4"/>
      <c r="O539" s="4"/>
      <c r="P539" s="4"/>
      <c r="Q539" s="4"/>
      <c r="R539" s="4"/>
    </row>
    <row r="540">
      <c r="A540" s="71"/>
      <c r="B540" s="71"/>
      <c r="C540" s="76"/>
      <c r="D540" s="77"/>
      <c r="E540" s="77"/>
      <c r="F540" s="77"/>
      <c r="G540" s="77"/>
      <c r="H540" s="77"/>
      <c r="I540" s="4"/>
      <c r="J540" s="4"/>
      <c r="K540" s="4"/>
      <c r="L540" s="4"/>
      <c r="M540" s="4"/>
      <c r="N540" s="4"/>
      <c r="O540" s="4"/>
      <c r="P540" s="4"/>
      <c r="Q540" s="4"/>
      <c r="R540" s="4"/>
    </row>
    <row r="541">
      <c r="A541" s="71"/>
      <c r="B541" s="71"/>
      <c r="C541" s="76"/>
      <c r="D541" s="77"/>
      <c r="E541" s="77"/>
      <c r="F541" s="77"/>
      <c r="G541" s="77"/>
      <c r="H541" s="77"/>
      <c r="I541" s="4"/>
      <c r="J541" s="4"/>
      <c r="K541" s="4"/>
      <c r="L541" s="4"/>
      <c r="M541" s="4"/>
      <c r="N541" s="4"/>
      <c r="O541" s="4"/>
      <c r="P541" s="4"/>
      <c r="Q541" s="4"/>
      <c r="R541" s="4"/>
    </row>
    <row r="542">
      <c r="A542" s="71"/>
      <c r="B542" s="71"/>
      <c r="C542" s="76"/>
      <c r="D542" s="77"/>
      <c r="E542" s="77"/>
      <c r="F542" s="77"/>
      <c r="G542" s="77"/>
      <c r="H542" s="77"/>
      <c r="I542" s="4"/>
      <c r="J542" s="4"/>
      <c r="K542" s="4"/>
      <c r="L542" s="4"/>
      <c r="M542" s="4"/>
      <c r="N542" s="4"/>
      <c r="O542" s="4"/>
      <c r="P542" s="4"/>
      <c r="Q542" s="4"/>
      <c r="R542" s="4"/>
    </row>
    <row r="543">
      <c r="A543" s="71"/>
      <c r="B543" s="71"/>
      <c r="C543" s="76"/>
      <c r="D543" s="77"/>
      <c r="E543" s="77"/>
      <c r="F543" s="77"/>
      <c r="G543" s="77"/>
      <c r="H543" s="77"/>
      <c r="I543" s="4"/>
      <c r="J543" s="4"/>
      <c r="K543" s="4"/>
      <c r="L543" s="4"/>
      <c r="M543" s="4"/>
      <c r="N543" s="4"/>
      <c r="O543" s="4"/>
      <c r="P543" s="4"/>
      <c r="Q543" s="4"/>
      <c r="R543" s="4"/>
    </row>
    <row r="544">
      <c r="A544" s="71"/>
      <c r="B544" s="71"/>
      <c r="C544" s="76"/>
      <c r="D544" s="77"/>
      <c r="E544" s="77"/>
      <c r="F544" s="77"/>
      <c r="G544" s="77"/>
      <c r="H544" s="77"/>
      <c r="I544" s="4"/>
      <c r="J544" s="4"/>
      <c r="K544" s="4"/>
      <c r="L544" s="4"/>
      <c r="M544" s="4"/>
      <c r="N544" s="4"/>
      <c r="O544" s="4"/>
      <c r="P544" s="4"/>
      <c r="Q544" s="4"/>
      <c r="R544" s="4"/>
    </row>
    <row r="545">
      <c r="A545" s="71"/>
      <c r="B545" s="71"/>
      <c r="C545" s="76"/>
      <c r="D545" s="77"/>
      <c r="E545" s="77"/>
      <c r="F545" s="77"/>
      <c r="G545" s="77"/>
      <c r="H545" s="77"/>
      <c r="I545" s="4"/>
      <c r="J545" s="4"/>
      <c r="K545" s="4"/>
      <c r="L545" s="4"/>
      <c r="M545" s="4"/>
      <c r="N545" s="4"/>
      <c r="O545" s="4"/>
      <c r="P545" s="4"/>
      <c r="Q545" s="4"/>
      <c r="R545" s="4"/>
    </row>
    <row r="546">
      <c r="A546" s="71"/>
      <c r="B546" s="71"/>
      <c r="C546" s="76"/>
      <c r="D546" s="77"/>
      <c r="E546" s="77"/>
      <c r="F546" s="77"/>
      <c r="G546" s="77"/>
      <c r="H546" s="77"/>
      <c r="I546" s="4"/>
      <c r="J546" s="4"/>
      <c r="K546" s="4"/>
      <c r="L546" s="4"/>
      <c r="M546" s="4"/>
      <c r="N546" s="4"/>
      <c r="O546" s="4"/>
      <c r="P546" s="4"/>
      <c r="Q546" s="4"/>
      <c r="R546" s="4"/>
    </row>
    <row r="547">
      <c r="A547" s="71"/>
      <c r="B547" s="71"/>
      <c r="C547" s="76"/>
      <c r="D547" s="77"/>
      <c r="E547" s="77"/>
      <c r="F547" s="77"/>
      <c r="G547" s="77"/>
      <c r="H547" s="77"/>
      <c r="I547" s="4"/>
      <c r="J547" s="4"/>
      <c r="K547" s="4"/>
      <c r="L547" s="4"/>
      <c r="M547" s="4"/>
      <c r="N547" s="4"/>
      <c r="O547" s="4"/>
      <c r="P547" s="4"/>
      <c r="Q547" s="4"/>
      <c r="R547" s="4"/>
    </row>
    <row r="548">
      <c r="A548" s="71"/>
      <c r="B548" s="71"/>
      <c r="C548" s="76"/>
      <c r="D548" s="77"/>
      <c r="E548" s="77"/>
      <c r="F548" s="77"/>
      <c r="G548" s="77"/>
      <c r="H548" s="77"/>
      <c r="I548" s="4"/>
      <c r="J548" s="4"/>
      <c r="K548" s="4"/>
      <c r="L548" s="4"/>
      <c r="M548" s="4"/>
      <c r="N548" s="4"/>
      <c r="O548" s="4"/>
      <c r="P548" s="4"/>
      <c r="Q548" s="4"/>
      <c r="R548" s="4"/>
    </row>
    <row r="549">
      <c r="A549" s="71"/>
      <c r="B549" s="71"/>
      <c r="C549" s="76"/>
      <c r="D549" s="77"/>
      <c r="E549" s="77"/>
      <c r="F549" s="77"/>
      <c r="G549" s="77"/>
      <c r="H549" s="77"/>
      <c r="I549" s="4"/>
      <c r="J549" s="4"/>
      <c r="K549" s="4"/>
      <c r="L549" s="4"/>
      <c r="M549" s="4"/>
      <c r="N549" s="4"/>
      <c r="O549" s="4"/>
      <c r="P549" s="4"/>
      <c r="Q549" s="4"/>
      <c r="R549" s="4"/>
    </row>
    <row r="550">
      <c r="A550" s="71"/>
      <c r="B550" s="71"/>
      <c r="C550" s="76"/>
      <c r="D550" s="77"/>
      <c r="E550" s="77"/>
      <c r="F550" s="77"/>
      <c r="G550" s="77"/>
      <c r="H550" s="77"/>
      <c r="I550" s="4"/>
      <c r="J550" s="4"/>
      <c r="K550" s="4"/>
      <c r="L550" s="4"/>
      <c r="M550" s="4"/>
      <c r="N550" s="4"/>
      <c r="O550" s="4"/>
      <c r="P550" s="4"/>
      <c r="Q550" s="4"/>
      <c r="R550" s="4"/>
    </row>
    <row r="551">
      <c r="A551" s="71"/>
      <c r="B551" s="71"/>
      <c r="C551" s="76"/>
      <c r="D551" s="77"/>
      <c r="E551" s="77"/>
      <c r="F551" s="77"/>
      <c r="G551" s="77"/>
      <c r="H551" s="77"/>
      <c r="I551" s="4"/>
      <c r="J551" s="4"/>
      <c r="K551" s="4"/>
      <c r="L551" s="4"/>
      <c r="M551" s="4"/>
      <c r="N551" s="4"/>
      <c r="O551" s="4"/>
      <c r="P551" s="4"/>
      <c r="Q551" s="4"/>
      <c r="R551" s="4"/>
    </row>
    <row r="552">
      <c r="A552" s="71"/>
      <c r="B552" s="71"/>
      <c r="C552" s="76"/>
      <c r="D552" s="77"/>
      <c r="E552" s="77"/>
      <c r="F552" s="77"/>
      <c r="G552" s="77"/>
      <c r="H552" s="77"/>
      <c r="I552" s="4"/>
      <c r="J552" s="4"/>
      <c r="K552" s="4"/>
      <c r="L552" s="4"/>
      <c r="M552" s="4"/>
      <c r="N552" s="4"/>
      <c r="O552" s="4"/>
      <c r="P552" s="4"/>
      <c r="Q552" s="4"/>
      <c r="R552" s="4"/>
    </row>
    <row r="553">
      <c r="A553" s="71"/>
      <c r="B553" s="71"/>
      <c r="C553" s="76"/>
      <c r="D553" s="77"/>
      <c r="E553" s="77"/>
      <c r="F553" s="77"/>
      <c r="G553" s="77"/>
      <c r="H553" s="77"/>
      <c r="I553" s="4"/>
      <c r="J553" s="4"/>
      <c r="K553" s="4"/>
      <c r="L553" s="4"/>
      <c r="M553" s="4"/>
      <c r="N553" s="4"/>
      <c r="O553" s="4"/>
      <c r="P553" s="4"/>
      <c r="Q553" s="4"/>
      <c r="R553" s="4"/>
    </row>
    <row r="554">
      <c r="A554" s="71"/>
      <c r="B554" s="71"/>
      <c r="C554" s="76"/>
      <c r="D554" s="77"/>
      <c r="E554" s="77"/>
      <c r="F554" s="77"/>
      <c r="G554" s="77"/>
      <c r="H554" s="77"/>
      <c r="I554" s="4"/>
      <c r="J554" s="4"/>
      <c r="K554" s="4"/>
      <c r="L554" s="4"/>
      <c r="M554" s="4"/>
      <c r="N554" s="4"/>
      <c r="O554" s="4"/>
      <c r="P554" s="4"/>
      <c r="Q554" s="4"/>
      <c r="R554" s="4"/>
    </row>
    <row r="555">
      <c r="A555" s="71"/>
      <c r="B555" s="71"/>
      <c r="C555" s="76"/>
      <c r="D555" s="77"/>
      <c r="E555" s="77"/>
      <c r="F555" s="77"/>
      <c r="G555" s="77"/>
      <c r="H555" s="77"/>
      <c r="I555" s="4"/>
      <c r="J555" s="4"/>
      <c r="K555" s="4"/>
      <c r="L555" s="4"/>
      <c r="M555" s="4"/>
      <c r="N555" s="4"/>
      <c r="O555" s="4"/>
      <c r="P555" s="4"/>
      <c r="Q555" s="4"/>
      <c r="R555" s="4"/>
    </row>
    <row r="556">
      <c r="A556" s="71"/>
      <c r="B556" s="71"/>
      <c r="C556" s="76"/>
      <c r="D556" s="77"/>
      <c r="E556" s="77"/>
      <c r="F556" s="77"/>
      <c r="G556" s="77"/>
      <c r="H556" s="77"/>
      <c r="I556" s="4"/>
      <c r="J556" s="4"/>
      <c r="K556" s="4"/>
      <c r="L556" s="4"/>
      <c r="M556" s="4"/>
      <c r="N556" s="4"/>
      <c r="O556" s="4"/>
      <c r="P556" s="4"/>
      <c r="Q556" s="4"/>
      <c r="R556" s="4"/>
    </row>
    <row r="557">
      <c r="A557" s="71"/>
      <c r="B557" s="71"/>
      <c r="C557" s="76"/>
      <c r="D557" s="77"/>
      <c r="E557" s="77"/>
      <c r="F557" s="77"/>
      <c r="G557" s="77"/>
      <c r="H557" s="77"/>
      <c r="I557" s="4"/>
      <c r="J557" s="4"/>
      <c r="K557" s="4"/>
      <c r="L557" s="4"/>
      <c r="M557" s="4"/>
      <c r="N557" s="4"/>
      <c r="O557" s="4"/>
      <c r="P557" s="4"/>
      <c r="Q557" s="4"/>
      <c r="R557" s="4"/>
    </row>
    <row r="558">
      <c r="A558" s="71"/>
      <c r="B558" s="71"/>
      <c r="C558" s="76"/>
      <c r="D558" s="77"/>
      <c r="E558" s="77"/>
      <c r="F558" s="77"/>
      <c r="G558" s="77"/>
      <c r="H558" s="77"/>
      <c r="I558" s="4"/>
      <c r="J558" s="4"/>
      <c r="K558" s="4"/>
      <c r="L558" s="4"/>
      <c r="M558" s="4"/>
      <c r="N558" s="4"/>
      <c r="O558" s="4"/>
      <c r="P558" s="4"/>
      <c r="Q558" s="4"/>
      <c r="R558" s="4"/>
    </row>
    <row r="559">
      <c r="A559" s="71"/>
      <c r="B559" s="71"/>
      <c r="C559" s="76"/>
      <c r="D559" s="77"/>
      <c r="E559" s="77"/>
      <c r="F559" s="77"/>
      <c r="G559" s="77"/>
      <c r="H559" s="77"/>
      <c r="I559" s="4"/>
      <c r="J559" s="4"/>
      <c r="K559" s="4"/>
      <c r="L559" s="4"/>
      <c r="M559" s="4"/>
      <c r="N559" s="4"/>
      <c r="O559" s="4"/>
      <c r="P559" s="4"/>
      <c r="Q559" s="4"/>
      <c r="R559" s="4"/>
    </row>
    <row r="560">
      <c r="A560" s="71"/>
      <c r="B560" s="71"/>
      <c r="C560" s="76"/>
      <c r="D560" s="77"/>
      <c r="E560" s="77"/>
      <c r="F560" s="77"/>
      <c r="G560" s="77"/>
      <c r="H560" s="77"/>
      <c r="I560" s="4"/>
      <c r="J560" s="4"/>
      <c r="K560" s="4"/>
      <c r="L560" s="4"/>
      <c r="M560" s="4"/>
      <c r="N560" s="4"/>
      <c r="O560" s="4"/>
      <c r="P560" s="4"/>
      <c r="Q560" s="4"/>
      <c r="R560" s="4"/>
    </row>
    <row r="561">
      <c r="A561" s="71"/>
      <c r="B561" s="71"/>
      <c r="C561" s="76"/>
      <c r="D561" s="77"/>
      <c r="E561" s="77"/>
      <c r="F561" s="77"/>
      <c r="G561" s="77"/>
      <c r="H561" s="77"/>
      <c r="I561" s="4"/>
      <c r="J561" s="4"/>
      <c r="K561" s="4"/>
      <c r="L561" s="4"/>
      <c r="M561" s="4"/>
      <c r="N561" s="4"/>
      <c r="O561" s="4"/>
      <c r="P561" s="4"/>
      <c r="Q561" s="4"/>
      <c r="R561" s="4"/>
    </row>
    <row r="562">
      <c r="A562" s="71"/>
      <c r="B562" s="71"/>
      <c r="C562" s="76"/>
      <c r="D562" s="77"/>
      <c r="E562" s="77"/>
      <c r="F562" s="77"/>
      <c r="G562" s="77"/>
      <c r="H562" s="77"/>
      <c r="I562" s="4"/>
      <c r="J562" s="4"/>
      <c r="K562" s="4"/>
      <c r="L562" s="4"/>
      <c r="M562" s="4"/>
      <c r="N562" s="4"/>
      <c r="O562" s="4"/>
      <c r="P562" s="4"/>
      <c r="Q562" s="4"/>
      <c r="R562" s="4"/>
    </row>
    <row r="563">
      <c r="A563" s="71"/>
      <c r="B563" s="71"/>
      <c r="C563" s="76"/>
      <c r="D563" s="77"/>
      <c r="E563" s="77"/>
      <c r="F563" s="77"/>
      <c r="G563" s="77"/>
      <c r="H563" s="77"/>
      <c r="I563" s="4"/>
      <c r="J563" s="4"/>
      <c r="K563" s="4"/>
      <c r="L563" s="4"/>
      <c r="M563" s="4"/>
      <c r="N563" s="4"/>
      <c r="O563" s="4"/>
      <c r="P563" s="4"/>
      <c r="Q563" s="4"/>
      <c r="R563" s="4"/>
    </row>
    <row r="564">
      <c r="A564" s="71"/>
      <c r="B564" s="71"/>
      <c r="C564" s="76"/>
      <c r="D564" s="77"/>
      <c r="E564" s="77"/>
      <c r="F564" s="77"/>
      <c r="G564" s="77"/>
      <c r="H564" s="77"/>
      <c r="I564" s="4"/>
      <c r="J564" s="4"/>
      <c r="K564" s="4"/>
      <c r="L564" s="4"/>
      <c r="M564" s="4"/>
      <c r="N564" s="4"/>
      <c r="O564" s="4"/>
      <c r="P564" s="4"/>
      <c r="Q564" s="4"/>
      <c r="R564" s="4"/>
    </row>
    <row r="565">
      <c r="A565" s="71"/>
      <c r="B565" s="71"/>
      <c r="C565" s="76"/>
      <c r="D565" s="77"/>
      <c r="E565" s="77"/>
      <c r="F565" s="77"/>
      <c r="G565" s="77"/>
      <c r="H565" s="77"/>
      <c r="I565" s="4"/>
      <c r="J565" s="4"/>
      <c r="K565" s="4"/>
      <c r="L565" s="4"/>
      <c r="M565" s="4"/>
      <c r="N565" s="4"/>
      <c r="O565" s="4"/>
      <c r="P565" s="4"/>
      <c r="Q565" s="4"/>
      <c r="R565" s="4"/>
    </row>
    <row r="566">
      <c r="A566" s="71"/>
      <c r="B566" s="71"/>
      <c r="C566" s="76"/>
      <c r="D566" s="77"/>
      <c r="E566" s="77"/>
      <c r="F566" s="77"/>
      <c r="G566" s="77"/>
      <c r="H566" s="77"/>
      <c r="I566" s="4"/>
      <c r="J566" s="4"/>
      <c r="K566" s="4"/>
      <c r="L566" s="4"/>
      <c r="M566" s="4"/>
      <c r="N566" s="4"/>
      <c r="O566" s="4"/>
      <c r="P566" s="4"/>
      <c r="Q566" s="4"/>
      <c r="R566" s="4"/>
    </row>
    <row r="567">
      <c r="A567" s="71"/>
      <c r="B567" s="71"/>
      <c r="C567" s="76"/>
      <c r="D567" s="77"/>
      <c r="E567" s="77"/>
      <c r="F567" s="77"/>
      <c r="G567" s="77"/>
      <c r="H567" s="77"/>
      <c r="I567" s="4"/>
      <c r="J567" s="4"/>
      <c r="K567" s="4"/>
      <c r="L567" s="4"/>
      <c r="M567" s="4"/>
      <c r="N567" s="4"/>
      <c r="O567" s="4"/>
      <c r="P567" s="4"/>
      <c r="Q567" s="4"/>
      <c r="R567" s="4"/>
    </row>
    <row r="568">
      <c r="A568" s="71"/>
      <c r="B568" s="71"/>
      <c r="C568" s="76"/>
      <c r="D568" s="77"/>
      <c r="E568" s="77"/>
      <c r="F568" s="77"/>
      <c r="G568" s="77"/>
      <c r="H568" s="77"/>
      <c r="I568" s="4"/>
      <c r="J568" s="4"/>
      <c r="K568" s="4"/>
      <c r="L568" s="4"/>
      <c r="M568" s="4"/>
      <c r="N568" s="4"/>
      <c r="O568" s="4"/>
      <c r="P568" s="4"/>
      <c r="Q568" s="4"/>
      <c r="R568" s="4"/>
    </row>
    <row r="569">
      <c r="A569" s="71"/>
      <c r="B569" s="71"/>
      <c r="C569" s="76"/>
      <c r="D569" s="77"/>
      <c r="E569" s="77"/>
      <c r="F569" s="77"/>
      <c r="G569" s="77"/>
      <c r="H569" s="77"/>
      <c r="I569" s="4"/>
      <c r="J569" s="4"/>
      <c r="K569" s="4"/>
      <c r="L569" s="4"/>
      <c r="M569" s="4"/>
      <c r="N569" s="4"/>
      <c r="O569" s="4"/>
      <c r="P569" s="4"/>
      <c r="Q569" s="4"/>
      <c r="R569" s="4"/>
    </row>
    <row r="570">
      <c r="A570" s="71"/>
      <c r="B570" s="71"/>
      <c r="C570" s="76"/>
      <c r="D570" s="77"/>
      <c r="E570" s="77"/>
      <c r="F570" s="77"/>
      <c r="G570" s="77"/>
      <c r="H570" s="77"/>
      <c r="I570" s="4"/>
      <c r="J570" s="4"/>
      <c r="K570" s="4"/>
      <c r="L570" s="4"/>
      <c r="M570" s="4"/>
      <c r="N570" s="4"/>
      <c r="O570" s="4"/>
      <c r="P570" s="4"/>
      <c r="Q570" s="4"/>
      <c r="R570" s="4"/>
    </row>
    <row r="571">
      <c r="A571" s="71"/>
      <c r="B571" s="71"/>
      <c r="C571" s="76"/>
      <c r="D571" s="77"/>
      <c r="E571" s="77"/>
      <c r="F571" s="77"/>
      <c r="G571" s="77"/>
      <c r="H571" s="77"/>
      <c r="I571" s="4"/>
      <c r="J571" s="4"/>
      <c r="K571" s="4"/>
      <c r="L571" s="4"/>
      <c r="M571" s="4"/>
      <c r="N571" s="4"/>
      <c r="O571" s="4"/>
      <c r="P571" s="4"/>
      <c r="Q571" s="4"/>
      <c r="R571" s="4"/>
    </row>
    <row r="572">
      <c r="A572" s="71"/>
      <c r="B572" s="71"/>
      <c r="C572" s="76"/>
      <c r="D572" s="77"/>
      <c r="E572" s="77"/>
      <c r="F572" s="77"/>
      <c r="G572" s="77"/>
      <c r="H572" s="77"/>
      <c r="I572" s="4"/>
      <c r="J572" s="4"/>
      <c r="K572" s="4"/>
      <c r="L572" s="4"/>
      <c r="M572" s="4"/>
      <c r="N572" s="4"/>
      <c r="O572" s="4"/>
      <c r="P572" s="4"/>
      <c r="Q572" s="4"/>
      <c r="R572" s="4"/>
    </row>
    <row r="573">
      <c r="A573" s="71"/>
      <c r="B573" s="71"/>
      <c r="C573" s="76"/>
      <c r="D573" s="77"/>
      <c r="E573" s="77"/>
      <c r="F573" s="77"/>
      <c r="G573" s="77"/>
      <c r="H573" s="77"/>
      <c r="I573" s="4"/>
      <c r="J573" s="4"/>
      <c r="K573" s="4"/>
      <c r="L573" s="4"/>
      <c r="M573" s="4"/>
      <c r="N573" s="4"/>
      <c r="O573" s="4"/>
      <c r="P573" s="4"/>
      <c r="Q573" s="4"/>
      <c r="R573" s="4"/>
    </row>
    <row r="574">
      <c r="A574" s="71"/>
      <c r="B574" s="71"/>
      <c r="C574" s="76"/>
      <c r="D574" s="77"/>
      <c r="E574" s="77"/>
      <c r="F574" s="77"/>
      <c r="G574" s="77"/>
      <c r="H574" s="77"/>
      <c r="I574" s="4"/>
      <c r="J574" s="4"/>
      <c r="K574" s="4"/>
      <c r="L574" s="4"/>
      <c r="M574" s="4"/>
      <c r="N574" s="4"/>
      <c r="O574" s="4"/>
      <c r="P574" s="4"/>
      <c r="Q574" s="4"/>
      <c r="R574" s="4"/>
    </row>
    <row r="575">
      <c r="A575" s="71"/>
      <c r="B575" s="71"/>
      <c r="C575" s="76"/>
      <c r="D575" s="77"/>
      <c r="E575" s="77"/>
      <c r="F575" s="77"/>
      <c r="G575" s="77"/>
      <c r="H575" s="77"/>
      <c r="I575" s="4"/>
      <c r="J575" s="4"/>
      <c r="K575" s="4"/>
      <c r="L575" s="4"/>
      <c r="M575" s="4"/>
      <c r="N575" s="4"/>
      <c r="O575" s="4"/>
      <c r="P575" s="4"/>
      <c r="Q575" s="4"/>
      <c r="R575" s="4"/>
    </row>
    <row r="576">
      <c r="A576" s="71"/>
      <c r="B576" s="71"/>
      <c r="C576" s="76"/>
      <c r="D576" s="77"/>
      <c r="E576" s="77"/>
      <c r="F576" s="77"/>
      <c r="G576" s="77"/>
      <c r="H576" s="77"/>
      <c r="I576" s="4"/>
      <c r="J576" s="4"/>
      <c r="K576" s="4"/>
      <c r="L576" s="4"/>
      <c r="M576" s="4"/>
      <c r="N576" s="4"/>
      <c r="O576" s="4"/>
      <c r="P576" s="4"/>
      <c r="Q576" s="4"/>
      <c r="R576" s="4"/>
    </row>
    <row r="577">
      <c r="A577" s="71"/>
      <c r="B577" s="71"/>
      <c r="C577" s="76"/>
      <c r="D577" s="77"/>
      <c r="E577" s="77"/>
      <c r="F577" s="77"/>
      <c r="G577" s="77"/>
      <c r="H577" s="77"/>
      <c r="I577" s="4"/>
      <c r="J577" s="4"/>
      <c r="K577" s="4"/>
      <c r="L577" s="4"/>
      <c r="M577" s="4"/>
      <c r="N577" s="4"/>
      <c r="O577" s="4"/>
      <c r="P577" s="4"/>
      <c r="Q577" s="4"/>
      <c r="R577" s="4"/>
    </row>
    <row r="578">
      <c r="A578" s="71"/>
      <c r="B578" s="71"/>
      <c r="C578" s="76"/>
      <c r="D578" s="77"/>
      <c r="E578" s="77"/>
      <c r="F578" s="77"/>
      <c r="G578" s="77"/>
      <c r="H578" s="77"/>
      <c r="I578" s="4"/>
      <c r="J578" s="4"/>
      <c r="K578" s="4"/>
      <c r="L578" s="4"/>
      <c r="M578" s="4"/>
      <c r="N578" s="4"/>
      <c r="O578" s="4"/>
      <c r="P578" s="4"/>
      <c r="Q578" s="4"/>
      <c r="R578" s="4"/>
    </row>
    <row r="579">
      <c r="A579" s="71"/>
      <c r="B579" s="71"/>
      <c r="C579" s="76"/>
      <c r="D579" s="77"/>
      <c r="E579" s="77"/>
      <c r="F579" s="77"/>
      <c r="G579" s="77"/>
      <c r="H579" s="77"/>
      <c r="I579" s="4"/>
      <c r="J579" s="4"/>
      <c r="K579" s="4"/>
      <c r="L579" s="4"/>
      <c r="M579" s="4"/>
      <c r="N579" s="4"/>
      <c r="O579" s="4"/>
      <c r="P579" s="4"/>
      <c r="Q579" s="4"/>
      <c r="R579" s="4"/>
    </row>
    <row r="580">
      <c r="A580" s="71"/>
      <c r="B580" s="71"/>
      <c r="C580" s="76"/>
      <c r="D580" s="77"/>
      <c r="E580" s="77"/>
      <c r="F580" s="77"/>
      <c r="G580" s="77"/>
      <c r="H580" s="77"/>
      <c r="I580" s="4"/>
      <c r="J580" s="4"/>
      <c r="K580" s="4"/>
      <c r="L580" s="4"/>
      <c r="M580" s="4"/>
      <c r="N580" s="4"/>
      <c r="O580" s="4"/>
      <c r="P580" s="4"/>
      <c r="Q580" s="4"/>
      <c r="R580" s="4"/>
    </row>
    <row r="581">
      <c r="A581" s="71"/>
      <c r="B581" s="71"/>
      <c r="C581" s="76"/>
      <c r="D581" s="77"/>
      <c r="E581" s="77"/>
      <c r="F581" s="77"/>
      <c r="G581" s="77"/>
      <c r="H581" s="77"/>
      <c r="I581" s="4"/>
      <c r="J581" s="4"/>
      <c r="K581" s="4"/>
      <c r="L581" s="4"/>
      <c r="M581" s="4"/>
      <c r="N581" s="4"/>
      <c r="O581" s="4"/>
      <c r="P581" s="4"/>
      <c r="Q581" s="4"/>
      <c r="R581" s="4"/>
    </row>
    <row r="582">
      <c r="A582" s="71"/>
      <c r="B582" s="71"/>
      <c r="C582" s="76"/>
      <c r="D582" s="77"/>
      <c r="E582" s="77"/>
      <c r="F582" s="77"/>
      <c r="G582" s="77"/>
      <c r="H582" s="77"/>
      <c r="I582" s="4"/>
      <c r="J582" s="4"/>
      <c r="K582" s="4"/>
      <c r="L582" s="4"/>
      <c r="M582" s="4"/>
      <c r="N582" s="4"/>
      <c r="O582" s="4"/>
      <c r="P582" s="4"/>
      <c r="Q582" s="4"/>
      <c r="R582" s="4"/>
    </row>
    <row r="583">
      <c r="A583" s="71"/>
      <c r="B583" s="71"/>
      <c r="C583" s="76"/>
      <c r="D583" s="77"/>
      <c r="E583" s="77"/>
      <c r="F583" s="77"/>
      <c r="G583" s="77"/>
      <c r="H583" s="77"/>
      <c r="I583" s="4"/>
      <c r="J583" s="4"/>
      <c r="K583" s="4"/>
      <c r="L583" s="4"/>
      <c r="M583" s="4"/>
      <c r="N583" s="4"/>
      <c r="O583" s="4"/>
      <c r="P583" s="4"/>
      <c r="Q583" s="4"/>
      <c r="R583" s="4"/>
    </row>
    <row r="584">
      <c r="A584" s="71"/>
      <c r="B584" s="71"/>
      <c r="C584" s="76"/>
      <c r="D584" s="77"/>
      <c r="E584" s="77"/>
      <c r="F584" s="77"/>
      <c r="G584" s="77"/>
      <c r="H584" s="77"/>
      <c r="I584" s="4"/>
      <c r="J584" s="4"/>
      <c r="K584" s="4"/>
      <c r="L584" s="4"/>
      <c r="M584" s="4"/>
      <c r="N584" s="4"/>
      <c r="O584" s="4"/>
      <c r="P584" s="4"/>
      <c r="Q584" s="4"/>
      <c r="R584" s="4"/>
    </row>
    <row r="585">
      <c r="A585" s="71"/>
      <c r="B585" s="71"/>
      <c r="C585" s="76"/>
      <c r="D585" s="77"/>
      <c r="E585" s="77"/>
      <c r="F585" s="77"/>
      <c r="G585" s="77"/>
      <c r="H585" s="77"/>
      <c r="I585" s="4"/>
      <c r="J585" s="4"/>
      <c r="K585" s="4"/>
      <c r="L585" s="4"/>
      <c r="M585" s="4"/>
      <c r="N585" s="4"/>
      <c r="O585" s="4"/>
      <c r="P585" s="4"/>
      <c r="Q585" s="4"/>
      <c r="R585" s="4"/>
    </row>
    <row r="586">
      <c r="A586" s="71"/>
      <c r="B586" s="71"/>
      <c r="C586" s="76"/>
      <c r="D586" s="77"/>
      <c r="E586" s="77"/>
      <c r="F586" s="77"/>
      <c r="G586" s="77"/>
      <c r="H586" s="77"/>
      <c r="I586" s="4"/>
      <c r="J586" s="4"/>
      <c r="K586" s="4"/>
      <c r="L586" s="4"/>
      <c r="M586" s="4"/>
      <c r="N586" s="4"/>
      <c r="O586" s="4"/>
      <c r="P586" s="4"/>
      <c r="Q586" s="4"/>
      <c r="R586" s="4"/>
    </row>
    <row r="587">
      <c r="A587" s="71"/>
      <c r="B587" s="71"/>
      <c r="C587" s="76"/>
      <c r="D587" s="77"/>
      <c r="E587" s="77"/>
      <c r="F587" s="77"/>
      <c r="G587" s="77"/>
      <c r="H587" s="77"/>
      <c r="I587" s="4"/>
      <c r="J587" s="4"/>
      <c r="K587" s="4"/>
      <c r="L587" s="4"/>
      <c r="M587" s="4"/>
      <c r="N587" s="4"/>
      <c r="O587" s="4"/>
      <c r="P587" s="4"/>
      <c r="Q587" s="4"/>
      <c r="R587" s="4"/>
    </row>
    <row r="588">
      <c r="A588" s="71"/>
      <c r="B588" s="71"/>
      <c r="C588" s="76"/>
      <c r="D588" s="77"/>
      <c r="E588" s="77"/>
      <c r="F588" s="77"/>
      <c r="G588" s="77"/>
      <c r="H588" s="77"/>
      <c r="I588" s="4"/>
      <c r="J588" s="4"/>
      <c r="K588" s="4"/>
      <c r="L588" s="4"/>
      <c r="M588" s="4"/>
      <c r="N588" s="4"/>
      <c r="O588" s="4"/>
      <c r="P588" s="4"/>
      <c r="Q588" s="4"/>
      <c r="R588" s="4"/>
    </row>
    <row r="589">
      <c r="A589" s="71"/>
      <c r="B589" s="71"/>
      <c r="C589" s="76"/>
      <c r="D589" s="77"/>
      <c r="E589" s="77"/>
      <c r="F589" s="77"/>
      <c r="G589" s="77"/>
      <c r="H589" s="77"/>
      <c r="I589" s="4"/>
      <c r="J589" s="4"/>
      <c r="K589" s="4"/>
      <c r="L589" s="4"/>
      <c r="M589" s="4"/>
      <c r="N589" s="4"/>
      <c r="O589" s="4"/>
      <c r="P589" s="4"/>
      <c r="Q589" s="4"/>
      <c r="R589" s="4"/>
    </row>
    <row r="590">
      <c r="A590" s="71"/>
      <c r="B590" s="71"/>
      <c r="C590" s="76"/>
      <c r="D590" s="77"/>
      <c r="E590" s="77"/>
      <c r="F590" s="77"/>
      <c r="G590" s="77"/>
      <c r="H590" s="77"/>
      <c r="I590" s="4"/>
      <c r="J590" s="4"/>
      <c r="K590" s="4"/>
      <c r="L590" s="4"/>
      <c r="M590" s="4"/>
      <c r="N590" s="4"/>
      <c r="O590" s="4"/>
      <c r="P590" s="4"/>
      <c r="Q590" s="4"/>
      <c r="R590" s="4"/>
    </row>
    <row r="591">
      <c r="A591" s="71"/>
      <c r="B591" s="71"/>
      <c r="C591" s="76"/>
      <c r="D591" s="77"/>
      <c r="E591" s="77"/>
      <c r="F591" s="77"/>
      <c r="G591" s="77"/>
      <c r="H591" s="77"/>
      <c r="I591" s="4"/>
      <c r="J591" s="4"/>
      <c r="K591" s="4"/>
      <c r="L591" s="4"/>
      <c r="M591" s="4"/>
      <c r="N591" s="4"/>
      <c r="O591" s="4"/>
      <c r="P591" s="4"/>
      <c r="Q591" s="4"/>
      <c r="R591" s="4"/>
    </row>
    <row r="592">
      <c r="A592" s="71"/>
      <c r="B592" s="71"/>
      <c r="C592" s="76"/>
      <c r="D592" s="77"/>
      <c r="E592" s="77"/>
      <c r="F592" s="77"/>
      <c r="G592" s="77"/>
      <c r="H592" s="77"/>
      <c r="I592" s="4"/>
      <c r="J592" s="4"/>
      <c r="K592" s="4"/>
      <c r="L592" s="4"/>
      <c r="M592" s="4"/>
      <c r="N592" s="4"/>
      <c r="O592" s="4"/>
      <c r="P592" s="4"/>
      <c r="Q592" s="4"/>
      <c r="R592" s="4"/>
    </row>
    <row r="593">
      <c r="A593" s="71"/>
      <c r="B593" s="71"/>
      <c r="C593" s="76"/>
      <c r="D593" s="77"/>
      <c r="E593" s="77"/>
      <c r="F593" s="77"/>
      <c r="G593" s="77"/>
      <c r="H593" s="77"/>
      <c r="I593" s="4"/>
      <c r="J593" s="4"/>
      <c r="K593" s="4"/>
      <c r="L593" s="4"/>
      <c r="M593" s="4"/>
      <c r="N593" s="4"/>
      <c r="O593" s="4"/>
      <c r="P593" s="4"/>
      <c r="Q593" s="4"/>
      <c r="R593" s="4"/>
    </row>
    <row r="594">
      <c r="A594" s="71"/>
      <c r="B594" s="71"/>
      <c r="C594" s="76"/>
      <c r="D594" s="77"/>
      <c r="E594" s="77"/>
      <c r="F594" s="77"/>
      <c r="G594" s="77"/>
      <c r="H594" s="77"/>
      <c r="I594" s="4"/>
      <c r="J594" s="4"/>
      <c r="K594" s="4"/>
      <c r="L594" s="4"/>
      <c r="M594" s="4"/>
      <c r="N594" s="4"/>
      <c r="O594" s="4"/>
      <c r="P594" s="4"/>
      <c r="Q594" s="4"/>
      <c r="R594" s="4"/>
    </row>
    <row r="595">
      <c r="A595" s="71"/>
      <c r="B595" s="71"/>
      <c r="C595" s="76"/>
      <c r="D595" s="77"/>
      <c r="E595" s="77"/>
      <c r="F595" s="77"/>
      <c r="G595" s="77"/>
      <c r="H595" s="77"/>
      <c r="I595" s="4"/>
      <c r="J595" s="4"/>
      <c r="K595" s="4"/>
      <c r="L595" s="4"/>
      <c r="M595" s="4"/>
      <c r="N595" s="4"/>
      <c r="O595" s="4"/>
      <c r="P595" s="4"/>
      <c r="Q595" s="4"/>
      <c r="R595" s="4"/>
    </row>
    <row r="596">
      <c r="A596" s="71"/>
      <c r="B596" s="71"/>
      <c r="C596" s="76"/>
      <c r="D596" s="77"/>
      <c r="E596" s="77"/>
      <c r="F596" s="77"/>
      <c r="G596" s="77"/>
      <c r="H596" s="77"/>
      <c r="I596" s="4"/>
      <c r="J596" s="4"/>
      <c r="K596" s="4"/>
      <c r="L596" s="4"/>
      <c r="M596" s="4"/>
      <c r="N596" s="4"/>
      <c r="O596" s="4"/>
      <c r="P596" s="4"/>
      <c r="Q596" s="4"/>
      <c r="R596" s="4"/>
    </row>
    <row r="597">
      <c r="A597" s="71"/>
      <c r="B597" s="71"/>
      <c r="C597" s="76"/>
      <c r="D597" s="77"/>
      <c r="E597" s="77"/>
      <c r="F597" s="77"/>
      <c r="G597" s="77"/>
      <c r="H597" s="77"/>
      <c r="I597" s="4"/>
      <c r="J597" s="4"/>
      <c r="K597" s="4"/>
      <c r="L597" s="4"/>
      <c r="M597" s="4"/>
      <c r="N597" s="4"/>
      <c r="O597" s="4"/>
      <c r="P597" s="4"/>
      <c r="Q597" s="4"/>
      <c r="R597" s="4"/>
    </row>
    <row r="598">
      <c r="A598" s="71"/>
      <c r="B598" s="71"/>
      <c r="C598" s="76"/>
      <c r="D598" s="77"/>
      <c r="E598" s="77"/>
      <c r="F598" s="77"/>
      <c r="G598" s="77"/>
      <c r="H598" s="77"/>
      <c r="I598" s="4"/>
      <c r="J598" s="4"/>
      <c r="K598" s="4"/>
      <c r="L598" s="4"/>
      <c r="M598" s="4"/>
      <c r="N598" s="4"/>
      <c r="O598" s="4"/>
      <c r="P598" s="4"/>
      <c r="Q598" s="4"/>
      <c r="R598" s="4"/>
    </row>
    <row r="599">
      <c r="A599" s="71"/>
      <c r="B599" s="71"/>
      <c r="C599" s="76"/>
      <c r="D599" s="77"/>
      <c r="E599" s="77"/>
      <c r="F599" s="77"/>
      <c r="G599" s="77"/>
      <c r="H599" s="77"/>
      <c r="I599" s="4"/>
      <c r="J599" s="4"/>
      <c r="K599" s="4"/>
      <c r="L599" s="4"/>
      <c r="M599" s="4"/>
      <c r="N599" s="4"/>
      <c r="O599" s="4"/>
      <c r="P599" s="4"/>
      <c r="Q599" s="4"/>
      <c r="R599" s="4"/>
    </row>
    <row r="600">
      <c r="A600" s="71"/>
      <c r="B600" s="71"/>
      <c r="C600" s="76"/>
      <c r="D600" s="77"/>
      <c r="E600" s="77"/>
      <c r="F600" s="77"/>
      <c r="G600" s="77"/>
      <c r="H600" s="77"/>
      <c r="I600" s="4"/>
      <c r="J600" s="4"/>
      <c r="K600" s="4"/>
      <c r="L600" s="4"/>
      <c r="M600" s="4"/>
      <c r="N600" s="4"/>
      <c r="O600" s="4"/>
      <c r="P600" s="4"/>
      <c r="Q600" s="4"/>
      <c r="R600" s="4"/>
    </row>
    <row r="601">
      <c r="A601" s="71"/>
      <c r="B601" s="71"/>
      <c r="C601" s="76"/>
      <c r="D601" s="77"/>
      <c r="E601" s="77"/>
      <c r="F601" s="77"/>
      <c r="G601" s="77"/>
      <c r="H601" s="77"/>
      <c r="I601" s="4"/>
      <c r="J601" s="4"/>
      <c r="K601" s="4"/>
      <c r="L601" s="4"/>
      <c r="M601" s="4"/>
      <c r="N601" s="4"/>
      <c r="O601" s="4"/>
      <c r="P601" s="4"/>
      <c r="Q601" s="4"/>
      <c r="R601" s="4"/>
    </row>
    <row r="602">
      <c r="A602" s="71"/>
      <c r="B602" s="71"/>
      <c r="C602" s="76"/>
      <c r="D602" s="77"/>
      <c r="E602" s="77"/>
      <c r="F602" s="77"/>
      <c r="G602" s="77"/>
      <c r="H602" s="77"/>
      <c r="I602" s="4"/>
      <c r="J602" s="4"/>
      <c r="K602" s="4"/>
      <c r="L602" s="4"/>
      <c r="M602" s="4"/>
      <c r="N602" s="4"/>
      <c r="O602" s="4"/>
      <c r="P602" s="4"/>
      <c r="Q602" s="4"/>
      <c r="R602" s="4"/>
    </row>
    <row r="603">
      <c r="A603" s="71"/>
      <c r="B603" s="71"/>
      <c r="C603" s="76"/>
      <c r="D603" s="77"/>
      <c r="E603" s="77"/>
      <c r="F603" s="77"/>
      <c r="G603" s="77"/>
      <c r="H603" s="77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>
      <c r="A604" s="71"/>
      <c r="B604" s="71"/>
      <c r="C604" s="76"/>
      <c r="D604" s="77"/>
      <c r="E604" s="77"/>
      <c r="F604" s="77"/>
      <c r="G604" s="77"/>
      <c r="H604" s="77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>
      <c r="A605" s="71"/>
      <c r="B605" s="71"/>
      <c r="C605" s="76"/>
      <c r="D605" s="77"/>
      <c r="E605" s="77"/>
      <c r="F605" s="77"/>
      <c r="G605" s="77"/>
      <c r="H605" s="77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>
      <c r="A606" s="71"/>
      <c r="B606" s="71"/>
      <c r="C606" s="76"/>
      <c r="D606" s="77"/>
      <c r="E606" s="77"/>
      <c r="F606" s="77"/>
      <c r="G606" s="77"/>
      <c r="H606" s="77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>
      <c r="A607" s="71"/>
      <c r="B607" s="71"/>
      <c r="C607" s="76"/>
      <c r="D607" s="77"/>
      <c r="E607" s="77"/>
      <c r="F607" s="77"/>
      <c r="G607" s="77"/>
      <c r="H607" s="77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>
      <c r="A608" s="71"/>
      <c r="B608" s="71"/>
      <c r="C608" s="76"/>
      <c r="D608" s="77"/>
      <c r="E608" s="77"/>
      <c r="F608" s="77"/>
      <c r="G608" s="77"/>
      <c r="H608" s="77"/>
      <c r="I608" s="4"/>
      <c r="J608" s="4"/>
      <c r="K608" s="4"/>
      <c r="L608" s="4"/>
      <c r="M608" s="4"/>
      <c r="N608" s="4"/>
      <c r="O608" s="4"/>
      <c r="P608" s="4"/>
      <c r="Q608" s="4"/>
      <c r="R608" s="4"/>
    </row>
    <row r="609">
      <c r="A609" s="71"/>
      <c r="B609" s="71"/>
      <c r="C609" s="76"/>
      <c r="D609" s="77"/>
      <c r="E609" s="77"/>
      <c r="F609" s="77"/>
      <c r="G609" s="77"/>
      <c r="H609" s="77"/>
      <c r="I609" s="4"/>
      <c r="J609" s="4"/>
      <c r="K609" s="4"/>
      <c r="L609" s="4"/>
      <c r="M609" s="4"/>
      <c r="N609" s="4"/>
      <c r="O609" s="4"/>
      <c r="P609" s="4"/>
      <c r="Q609" s="4"/>
      <c r="R609" s="4"/>
    </row>
    <row r="610">
      <c r="A610" s="71"/>
      <c r="B610" s="71"/>
      <c r="C610" s="76"/>
      <c r="D610" s="77"/>
      <c r="E610" s="77"/>
      <c r="F610" s="77"/>
      <c r="G610" s="77"/>
      <c r="H610" s="77"/>
      <c r="I610" s="4"/>
      <c r="J610" s="4"/>
      <c r="K610" s="4"/>
      <c r="L610" s="4"/>
      <c r="M610" s="4"/>
      <c r="N610" s="4"/>
      <c r="O610" s="4"/>
      <c r="P610" s="4"/>
      <c r="Q610" s="4"/>
      <c r="R610" s="4"/>
    </row>
    <row r="611">
      <c r="A611" s="71"/>
      <c r="B611" s="71"/>
      <c r="C611" s="76"/>
      <c r="D611" s="77"/>
      <c r="E611" s="77"/>
      <c r="F611" s="77"/>
      <c r="G611" s="77"/>
      <c r="H611" s="77"/>
      <c r="I611" s="4"/>
      <c r="J611" s="4"/>
      <c r="K611" s="4"/>
      <c r="L611" s="4"/>
      <c r="M611" s="4"/>
      <c r="N611" s="4"/>
      <c r="O611" s="4"/>
      <c r="P611" s="4"/>
      <c r="Q611" s="4"/>
      <c r="R611" s="4"/>
    </row>
    <row r="612">
      <c r="A612" s="71"/>
      <c r="B612" s="71"/>
      <c r="C612" s="76"/>
      <c r="D612" s="77"/>
      <c r="E612" s="77"/>
      <c r="F612" s="77"/>
      <c r="G612" s="77"/>
      <c r="H612" s="77"/>
      <c r="I612" s="4"/>
      <c r="J612" s="4"/>
      <c r="K612" s="4"/>
      <c r="L612" s="4"/>
      <c r="M612" s="4"/>
      <c r="N612" s="4"/>
      <c r="O612" s="4"/>
      <c r="P612" s="4"/>
      <c r="Q612" s="4"/>
      <c r="R612" s="4"/>
    </row>
    <row r="613">
      <c r="A613" s="71"/>
      <c r="B613" s="71"/>
      <c r="C613" s="76"/>
      <c r="D613" s="77"/>
      <c r="E613" s="77"/>
      <c r="F613" s="77"/>
      <c r="G613" s="77"/>
      <c r="H613" s="77"/>
      <c r="I613" s="4"/>
      <c r="J613" s="4"/>
      <c r="K613" s="4"/>
      <c r="L613" s="4"/>
      <c r="M613" s="4"/>
      <c r="N613" s="4"/>
      <c r="O613" s="4"/>
      <c r="P613" s="4"/>
      <c r="Q613" s="4"/>
      <c r="R613" s="4"/>
    </row>
    <row r="614">
      <c r="A614" s="71"/>
      <c r="B614" s="71"/>
      <c r="C614" s="76"/>
      <c r="D614" s="77"/>
      <c r="E614" s="77"/>
      <c r="F614" s="77"/>
      <c r="G614" s="77"/>
      <c r="H614" s="77"/>
      <c r="I614" s="4"/>
      <c r="J614" s="4"/>
      <c r="K614" s="4"/>
      <c r="L614" s="4"/>
      <c r="M614" s="4"/>
      <c r="N614" s="4"/>
      <c r="O614" s="4"/>
      <c r="P614" s="4"/>
      <c r="Q614" s="4"/>
      <c r="R614" s="4"/>
    </row>
    <row r="615">
      <c r="A615" s="71"/>
      <c r="B615" s="71"/>
      <c r="C615" s="76"/>
      <c r="D615" s="77"/>
      <c r="E615" s="77"/>
      <c r="F615" s="77"/>
      <c r="G615" s="77"/>
      <c r="H615" s="77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>
      <c r="A616" s="71"/>
      <c r="B616" s="71"/>
      <c r="C616" s="76"/>
      <c r="D616" s="77"/>
      <c r="E616" s="77"/>
      <c r="F616" s="77"/>
      <c r="G616" s="77"/>
      <c r="H616" s="77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>
      <c r="A617" s="71"/>
      <c r="B617" s="71"/>
      <c r="C617" s="76"/>
      <c r="D617" s="77"/>
      <c r="E617" s="77"/>
      <c r="F617" s="77"/>
      <c r="G617" s="77"/>
      <c r="H617" s="77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>
      <c r="A618" s="71"/>
      <c r="B618" s="71"/>
      <c r="C618" s="76"/>
      <c r="D618" s="77"/>
      <c r="E618" s="77"/>
      <c r="F618" s="77"/>
      <c r="G618" s="77"/>
      <c r="H618" s="77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>
      <c r="A619" s="71"/>
      <c r="B619" s="71"/>
      <c r="C619" s="76"/>
      <c r="D619" s="77"/>
      <c r="E619" s="77"/>
      <c r="F619" s="77"/>
      <c r="G619" s="77"/>
      <c r="H619" s="77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>
      <c r="A620" s="71"/>
      <c r="B620" s="71"/>
      <c r="C620" s="76"/>
      <c r="D620" s="77"/>
      <c r="E620" s="77"/>
      <c r="F620" s="77"/>
      <c r="G620" s="77"/>
      <c r="H620" s="77"/>
      <c r="I620" s="4"/>
      <c r="J620" s="4"/>
      <c r="K620" s="4"/>
      <c r="L620" s="4"/>
      <c r="M620" s="4"/>
      <c r="N620" s="4"/>
      <c r="O620" s="4"/>
      <c r="P620" s="4"/>
      <c r="Q620" s="4"/>
      <c r="R620" s="4"/>
    </row>
    <row r="621">
      <c r="A621" s="71"/>
      <c r="B621" s="71"/>
      <c r="C621" s="76"/>
      <c r="D621" s="77"/>
      <c r="E621" s="77"/>
      <c r="F621" s="77"/>
      <c r="G621" s="77"/>
      <c r="H621" s="77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>
      <c r="A622" s="71"/>
      <c r="B622" s="71"/>
      <c r="C622" s="76"/>
      <c r="D622" s="77"/>
      <c r="E622" s="77"/>
      <c r="F622" s="77"/>
      <c r="G622" s="77"/>
      <c r="H622" s="77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>
      <c r="A623" s="71"/>
      <c r="B623" s="71"/>
      <c r="C623" s="76"/>
      <c r="D623" s="77"/>
      <c r="E623" s="77"/>
      <c r="F623" s="77"/>
      <c r="G623" s="77"/>
      <c r="H623" s="77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>
      <c r="A624" s="71"/>
      <c r="B624" s="71"/>
      <c r="C624" s="76"/>
      <c r="D624" s="77"/>
      <c r="E624" s="77"/>
      <c r="F624" s="77"/>
      <c r="G624" s="77"/>
      <c r="H624" s="77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>
      <c r="A625" s="71"/>
      <c r="B625" s="71"/>
      <c r="C625" s="76"/>
      <c r="D625" s="77"/>
      <c r="E625" s="77"/>
      <c r="F625" s="77"/>
      <c r="G625" s="77"/>
      <c r="H625" s="77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>
      <c r="A626" s="71"/>
      <c r="B626" s="71"/>
      <c r="C626" s="76"/>
      <c r="D626" s="77"/>
      <c r="E626" s="77"/>
      <c r="F626" s="77"/>
      <c r="G626" s="77"/>
      <c r="H626" s="77"/>
      <c r="I626" s="4"/>
      <c r="J626" s="4"/>
      <c r="K626" s="4"/>
      <c r="L626" s="4"/>
      <c r="M626" s="4"/>
      <c r="N626" s="4"/>
      <c r="O626" s="4"/>
      <c r="P626" s="4"/>
      <c r="Q626" s="4"/>
      <c r="R626" s="4"/>
    </row>
    <row r="627">
      <c r="A627" s="71"/>
      <c r="B627" s="71"/>
      <c r="C627" s="76"/>
      <c r="D627" s="77"/>
      <c r="E627" s="77"/>
      <c r="F627" s="77"/>
      <c r="G627" s="77"/>
      <c r="H627" s="77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>
      <c r="A628" s="71"/>
      <c r="B628" s="71"/>
      <c r="C628" s="76"/>
      <c r="D628" s="77"/>
      <c r="E628" s="77"/>
      <c r="F628" s="77"/>
      <c r="G628" s="77"/>
      <c r="H628" s="77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>
      <c r="A629" s="71"/>
      <c r="B629" s="71"/>
      <c r="C629" s="76"/>
      <c r="D629" s="77"/>
      <c r="E629" s="77"/>
      <c r="F629" s="77"/>
      <c r="G629" s="77"/>
      <c r="H629" s="77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>
      <c r="A630" s="71"/>
      <c r="B630" s="71"/>
      <c r="C630" s="76"/>
      <c r="D630" s="77"/>
      <c r="E630" s="77"/>
      <c r="F630" s="77"/>
      <c r="G630" s="77"/>
      <c r="H630" s="77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>
      <c r="A631" s="71"/>
      <c r="B631" s="71"/>
      <c r="C631" s="76"/>
      <c r="D631" s="77"/>
      <c r="E631" s="77"/>
      <c r="F631" s="77"/>
      <c r="G631" s="77"/>
      <c r="H631" s="77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>
      <c r="A632" s="71"/>
      <c r="B632" s="71"/>
      <c r="C632" s="76"/>
      <c r="D632" s="77"/>
      <c r="E632" s="77"/>
      <c r="F632" s="77"/>
      <c r="G632" s="77"/>
      <c r="H632" s="77"/>
      <c r="I632" s="4"/>
      <c r="J632" s="4"/>
      <c r="K632" s="4"/>
      <c r="L632" s="4"/>
      <c r="M632" s="4"/>
      <c r="N632" s="4"/>
      <c r="O632" s="4"/>
      <c r="P632" s="4"/>
      <c r="Q632" s="4"/>
      <c r="R632" s="4"/>
    </row>
    <row r="633">
      <c r="A633" s="71"/>
      <c r="B633" s="71"/>
      <c r="C633" s="76"/>
      <c r="D633" s="77"/>
      <c r="E633" s="77"/>
      <c r="F633" s="77"/>
      <c r="G633" s="77"/>
      <c r="H633" s="77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>
      <c r="A634" s="71"/>
      <c r="B634" s="71"/>
      <c r="C634" s="76"/>
      <c r="D634" s="77"/>
      <c r="E634" s="77"/>
      <c r="F634" s="77"/>
      <c r="G634" s="77"/>
      <c r="H634" s="77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>
      <c r="A635" s="71"/>
      <c r="B635" s="71"/>
      <c r="C635" s="76"/>
      <c r="D635" s="77"/>
      <c r="E635" s="77"/>
      <c r="F635" s="77"/>
      <c r="G635" s="77"/>
      <c r="H635" s="77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>
      <c r="A636" s="71"/>
      <c r="B636" s="71"/>
      <c r="C636" s="76"/>
      <c r="D636" s="77"/>
      <c r="E636" s="77"/>
      <c r="F636" s="77"/>
      <c r="G636" s="77"/>
      <c r="H636" s="77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>
      <c r="A637" s="71"/>
      <c r="B637" s="71"/>
      <c r="C637" s="76"/>
      <c r="D637" s="77"/>
      <c r="E637" s="77"/>
      <c r="F637" s="77"/>
      <c r="G637" s="77"/>
      <c r="H637" s="77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>
      <c r="A638" s="71"/>
      <c r="B638" s="71"/>
      <c r="C638" s="76"/>
      <c r="D638" s="77"/>
      <c r="E638" s="77"/>
      <c r="F638" s="77"/>
      <c r="G638" s="77"/>
      <c r="H638" s="77"/>
      <c r="I638" s="4"/>
      <c r="J638" s="4"/>
      <c r="K638" s="4"/>
      <c r="L638" s="4"/>
      <c r="M638" s="4"/>
      <c r="N638" s="4"/>
      <c r="O638" s="4"/>
      <c r="P638" s="4"/>
      <c r="Q638" s="4"/>
      <c r="R638" s="4"/>
    </row>
    <row r="639">
      <c r="A639" s="71"/>
      <c r="B639" s="71"/>
      <c r="C639" s="76"/>
      <c r="D639" s="77"/>
      <c r="E639" s="77"/>
      <c r="F639" s="77"/>
      <c r="G639" s="77"/>
      <c r="H639" s="77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>
      <c r="A640" s="71"/>
      <c r="B640" s="71"/>
      <c r="C640" s="76"/>
      <c r="D640" s="77"/>
      <c r="E640" s="77"/>
      <c r="F640" s="77"/>
      <c r="G640" s="77"/>
      <c r="H640" s="77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>
      <c r="A641" s="71"/>
      <c r="B641" s="71"/>
      <c r="C641" s="76"/>
      <c r="D641" s="77"/>
      <c r="E641" s="77"/>
      <c r="F641" s="77"/>
      <c r="G641" s="77"/>
      <c r="H641" s="77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>
      <c r="A642" s="71"/>
      <c r="B642" s="71"/>
      <c r="C642" s="76"/>
      <c r="D642" s="77"/>
      <c r="E642" s="77"/>
      <c r="F642" s="77"/>
      <c r="G642" s="77"/>
      <c r="H642" s="77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>
      <c r="A643" s="71"/>
      <c r="B643" s="71"/>
      <c r="C643" s="76"/>
      <c r="D643" s="77"/>
      <c r="E643" s="77"/>
      <c r="F643" s="77"/>
      <c r="G643" s="77"/>
      <c r="H643" s="77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>
      <c r="A644" s="71"/>
      <c r="B644" s="71"/>
      <c r="C644" s="76"/>
      <c r="D644" s="77"/>
      <c r="E644" s="77"/>
      <c r="F644" s="77"/>
      <c r="G644" s="77"/>
      <c r="H644" s="77"/>
      <c r="I644" s="4"/>
      <c r="J644" s="4"/>
      <c r="K644" s="4"/>
      <c r="L644" s="4"/>
      <c r="M644" s="4"/>
      <c r="N644" s="4"/>
      <c r="O644" s="4"/>
      <c r="P644" s="4"/>
      <c r="Q644" s="4"/>
      <c r="R644" s="4"/>
    </row>
    <row r="645">
      <c r="A645" s="71"/>
      <c r="B645" s="71"/>
      <c r="C645" s="76"/>
      <c r="D645" s="77"/>
      <c r="E645" s="77"/>
      <c r="F645" s="77"/>
      <c r="G645" s="77"/>
      <c r="H645" s="77"/>
      <c r="I645" s="4"/>
      <c r="J645" s="4"/>
      <c r="K645" s="4"/>
      <c r="L645" s="4"/>
      <c r="M645" s="4"/>
      <c r="N645" s="4"/>
      <c r="O645" s="4"/>
      <c r="P645" s="4"/>
      <c r="Q645" s="4"/>
      <c r="R645" s="4"/>
    </row>
    <row r="646">
      <c r="A646" s="71"/>
      <c r="B646" s="71"/>
      <c r="C646" s="76"/>
      <c r="D646" s="77"/>
      <c r="E646" s="77"/>
      <c r="F646" s="77"/>
      <c r="G646" s="77"/>
      <c r="H646" s="77"/>
      <c r="I646" s="4"/>
      <c r="J646" s="4"/>
      <c r="K646" s="4"/>
      <c r="L646" s="4"/>
      <c r="M646" s="4"/>
      <c r="N646" s="4"/>
      <c r="O646" s="4"/>
      <c r="P646" s="4"/>
      <c r="Q646" s="4"/>
      <c r="R646" s="4"/>
    </row>
    <row r="647">
      <c r="A647" s="71"/>
      <c r="B647" s="71"/>
      <c r="C647" s="76"/>
      <c r="D647" s="77"/>
      <c r="E647" s="77"/>
      <c r="F647" s="77"/>
      <c r="G647" s="77"/>
      <c r="H647" s="77"/>
      <c r="I647" s="4"/>
      <c r="J647" s="4"/>
      <c r="K647" s="4"/>
      <c r="L647" s="4"/>
      <c r="M647" s="4"/>
      <c r="N647" s="4"/>
      <c r="O647" s="4"/>
      <c r="P647" s="4"/>
      <c r="Q647" s="4"/>
      <c r="R647" s="4"/>
    </row>
    <row r="648">
      <c r="A648" s="71"/>
      <c r="B648" s="71"/>
      <c r="C648" s="76"/>
      <c r="D648" s="77"/>
      <c r="E648" s="77"/>
      <c r="F648" s="77"/>
      <c r="G648" s="77"/>
      <c r="H648" s="77"/>
      <c r="I648" s="4"/>
      <c r="J648" s="4"/>
      <c r="K648" s="4"/>
      <c r="L648" s="4"/>
      <c r="M648" s="4"/>
      <c r="N648" s="4"/>
      <c r="O648" s="4"/>
      <c r="P648" s="4"/>
      <c r="Q648" s="4"/>
      <c r="R648" s="4"/>
    </row>
    <row r="649">
      <c r="A649" s="71"/>
      <c r="B649" s="71"/>
      <c r="C649" s="76"/>
      <c r="D649" s="77"/>
      <c r="E649" s="77"/>
      <c r="F649" s="77"/>
      <c r="G649" s="77"/>
      <c r="H649" s="77"/>
      <c r="I649" s="4"/>
      <c r="J649" s="4"/>
      <c r="K649" s="4"/>
      <c r="L649" s="4"/>
      <c r="M649" s="4"/>
      <c r="N649" s="4"/>
      <c r="O649" s="4"/>
      <c r="P649" s="4"/>
      <c r="Q649" s="4"/>
      <c r="R649" s="4"/>
    </row>
    <row r="650">
      <c r="A650" s="71"/>
      <c r="B650" s="71"/>
      <c r="C650" s="76"/>
      <c r="D650" s="77"/>
      <c r="E650" s="77"/>
      <c r="F650" s="77"/>
      <c r="G650" s="77"/>
      <c r="H650" s="77"/>
      <c r="I650" s="4"/>
      <c r="J650" s="4"/>
      <c r="K650" s="4"/>
      <c r="L650" s="4"/>
      <c r="M650" s="4"/>
      <c r="N650" s="4"/>
      <c r="O650" s="4"/>
      <c r="P650" s="4"/>
      <c r="Q650" s="4"/>
      <c r="R650" s="4"/>
    </row>
    <row r="651">
      <c r="A651" s="71"/>
      <c r="B651" s="71"/>
      <c r="C651" s="76"/>
      <c r="D651" s="77"/>
      <c r="E651" s="77"/>
      <c r="F651" s="77"/>
      <c r="G651" s="77"/>
      <c r="H651" s="77"/>
      <c r="I651" s="4"/>
      <c r="J651" s="4"/>
      <c r="K651" s="4"/>
      <c r="L651" s="4"/>
      <c r="M651" s="4"/>
      <c r="N651" s="4"/>
      <c r="O651" s="4"/>
      <c r="P651" s="4"/>
      <c r="Q651" s="4"/>
      <c r="R651" s="4"/>
    </row>
    <row r="652">
      <c r="A652" s="71"/>
      <c r="B652" s="71"/>
      <c r="C652" s="76"/>
      <c r="D652" s="77"/>
      <c r="E652" s="77"/>
      <c r="F652" s="77"/>
      <c r="G652" s="77"/>
      <c r="H652" s="77"/>
      <c r="I652" s="4"/>
      <c r="J652" s="4"/>
      <c r="K652" s="4"/>
      <c r="L652" s="4"/>
      <c r="M652" s="4"/>
      <c r="N652" s="4"/>
      <c r="O652" s="4"/>
      <c r="P652" s="4"/>
      <c r="Q652" s="4"/>
      <c r="R652" s="4"/>
    </row>
    <row r="653">
      <c r="A653" s="71"/>
      <c r="B653" s="71"/>
      <c r="C653" s="76"/>
      <c r="D653" s="77"/>
      <c r="E653" s="77"/>
      <c r="F653" s="77"/>
      <c r="G653" s="77"/>
      <c r="H653" s="77"/>
      <c r="I653" s="4"/>
      <c r="J653" s="4"/>
      <c r="K653" s="4"/>
      <c r="L653" s="4"/>
      <c r="M653" s="4"/>
      <c r="N653" s="4"/>
      <c r="O653" s="4"/>
      <c r="P653" s="4"/>
      <c r="Q653" s="4"/>
      <c r="R653" s="4"/>
    </row>
    <row r="654">
      <c r="A654" s="71"/>
      <c r="B654" s="71"/>
      <c r="C654" s="76"/>
      <c r="D654" s="77"/>
      <c r="E654" s="77"/>
      <c r="F654" s="77"/>
      <c r="G654" s="77"/>
      <c r="H654" s="77"/>
      <c r="I654" s="4"/>
      <c r="J654" s="4"/>
      <c r="K654" s="4"/>
      <c r="L654" s="4"/>
      <c r="M654" s="4"/>
      <c r="N654" s="4"/>
      <c r="O654" s="4"/>
      <c r="P654" s="4"/>
      <c r="Q654" s="4"/>
      <c r="R654" s="4"/>
    </row>
    <row r="655">
      <c r="A655" s="71"/>
      <c r="B655" s="71"/>
      <c r="C655" s="76"/>
      <c r="D655" s="77"/>
      <c r="E655" s="77"/>
      <c r="F655" s="77"/>
      <c r="G655" s="77"/>
      <c r="H655" s="77"/>
      <c r="I655" s="4"/>
      <c r="J655" s="4"/>
      <c r="K655" s="4"/>
      <c r="L655" s="4"/>
      <c r="M655" s="4"/>
      <c r="N655" s="4"/>
      <c r="O655" s="4"/>
      <c r="P655" s="4"/>
      <c r="Q655" s="4"/>
      <c r="R655" s="4"/>
    </row>
    <row r="656">
      <c r="A656" s="71"/>
      <c r="B656" s="71"/>
      <c r="C656" s="76"/>
      <c r="D656" s="77"/>
      <c r="E656" s="77"/>
      <c r="F656" s="77"/>
      <c r="G656" s="77"/>
      <c r="H656" s="77"/>
      <c r="I656" s="4"/>
      <c r="J656" s="4"/>
      <c r="K656" s="4"/>
      <c r="L656" s="4"/>
      <c r="M656" s="4"/>
      <c r="N656" s="4"/>
      <c r="O656" s="4"/>
      <c r="P656" s="4"/>
      <c r="Q656" s="4"/>
      <c r="R656" s="4"/>
    </row>
    <row r="657">
      <c r="A657" s="71"/>
      <c r="B657" s="71"/>
      <c r="C657" s="76"/>
      <c r="D657" s="77"/>
      <c r="E657" s="77"/>
      <c r="F657" s="77"/>
      <c r="G657" s="77"/>
      <c r="H657" s="77"/>
      <c r="I657" s="4"/>
      <c r="J657" s="4"/>
      <c r="K657" s="4"/>
      <c r="L657" s="4"/>
      <c r="M657" s="4"/>
      <c r="N657" s="4"/>
      <c r="O657" s="4"/>
      <c r="P657" s="4"/>
      <c r="Q657" s="4"/>
      <c r="R657" s="4"/>
    </row>
    <row r="658">
      <c r="A658" s="71"/>
      <c r="B658" s="71"/>
      <c r="C658" s="76"/>
      <c r="D658" s="77"/>
      <c r="E658" s="77"/>
      <c r="F658" s="77"/>
      <c r="G658" s="77"/>
      <c r="H658" s="77"/>
      <c r="I658" s="4"/>
      <c r="J658" s="4"/>
      <c r="K658" s="4"/>
      <c r="L658" s="4"/>
      <c r="M658" s="4"/>
      <c r="N658" s="4"/>
      <c r="O658" s="4"/>
      <c r="P658" s="4"/>
      <c r="Q658" s="4"/>
      <c r="R658" s="4"/>
    </row>
    <row r="659">
      <c r="A659" s="71"/>
      <c r="B659" s="71"/>
      <c r="C659" s="76"/>
      <c r="D659" s="77"/>
      <c r="E659" s="77"/>
      <c r="F659" s="77"/>
      <c r="G659" s="77"/>
      <c r="H659" s="77"/>
      <c r="I659" s="4"/>
      <c r="J659" s="4"/>
      <c r="K659" s="4"/>
      <c r="L659" s="4"/>
      <c r="M659" s="4"/>
      <c r="N659" s="4"/>
      <c r="O659" s="4"/>
      <c r="P659" s="4"/>
      <c r="Q659" s="4"/>
      <c r="R659" s="4"/>
    </row>
    <row r="660">
      <c r="A660" s="71"/>
      <c r="B660" s="71"/>
      <c r="C660" s="76"/>
      <c r="D660" s="77"/>
      <c r="E660" s="77"/>
      <c r="F660" s="77"/>
      <c r="G660" s="77"/>
      <c r="H660" s="77"/>
      <c r="I660" s="4"/>
      <c r="J660" s="4"/>
      <c r="K660" s="4"/>
      <c r="L660" s="4"/>
      <c r="M660" s="4"/>
      <c r="N660" s="4"/>
      <c r="O660" s="4"/>
      <c r="P660" s="4"/>
      <c r="Q660" s="4"/>
      <c r="R660" s="4"/>
    </row>
    <row r="661">
      <c r="A661" s="71"/>
      <c r="B661" s="71"/>
      <c r="C661" s="76"/>
      <c r="D661" s="77"/>
      <c r="E661" s="77"/>
      <c r="F661" s="77"/>
      <c r="G661" s="77"/>
      <c r="H661" s="77"/>
      <c r="I661" s="4"/>
      <c r="J661" s="4"/>
      <c r="K661" s="4"/>
      <c r="L661" s="4"/>
      <c r="M661" s="4"/>
      <c r="N661" s="4"/>
      <c r="O661" s="4"/>
      <c r="P661" s="4"/>
      <c r="Q661" s="4"/>
      <c r="R661" s="4"/>
    </row>
    <row r="662">
      <c r="A662" s="71"/>
      <c r="B662" s="71"/>
      <c r="C662" s="76"/>
      <c r="D662" s="77"/>
      <c r="E662" s="77"/>
      <c r="F662" s="77"/>
      <c r="G662" s="77"/>
      <c r="H662" s="77"/>
      <c r="I662" s="4"/>
      <c r="J662" s="4"/>
      <c r="K662" s="4"/>
      <c r="L662" s="4"/>
      <c r="M662" s="4"/>
      <c r="N662" s="4"/>
      <c r="O662" s="4"/>
      <c r="P662" s="4"/>
      <c r="Q662" s="4"/>
      <c r="R662" s="4"/>
    </row>
    <row r="663">
      <c r="A663" s="71"/>
      <c r="B663" s="71"/>
      <c r="C663" s="76"/>
      <c r="D663" s="77"/>
      <c r="E663" s="77"/>
      <c r="F663" s="77"/>
      <c r="G663" s="77"/>
      <c r="H663" s="77"/>
      <c r="I663" s="4"/>
      <c r="J663" s="4"/>
      <c r="K663" s="4"/>
      <c r="L663" s="4"/>
      <c r="M663" s="4"/>
      <c r="N663" s="4"/>
      <c r="O663" s="4"/>
      <c r="P663" s="4"/>
      <c r="Q663" s="4"/>
      <c r="R663" s="4"/>
    </row>
    <row r="664">
      <c r="A664" s="71"/>
      <c r="B664" s="71"/>
      <c r="C664" s="76"/>
      <c r="D664" s="77"/>
      <c r="E664" s="77"/>
      <c r="F664" s="77"/>
      <c r="G664" s="77"/>
      <c r="H664" s="77"/>
      <c r="I664" s="4"/>
      <c r="J664" s="4"/>
      <c r="K664" s="4"/>
      <c r="L664" s="4"/>
      <c r="M664" s="4"/>
      <c r="N664" s="4"/>
      <c r="O664" s="4"/>
      <c r="P664" s="4"/>
      <c r="Q664" s="4"/>
      <c r="R664" s="4"/>
    </row>
    <row r="665">
      <c r="A665" s="71"/>
      <c r="B665" s="71"/>
      <c r="C665" s="76"/>
      <c r="D665" s="77"/>
      <c r="E665" s="77"/>
      <c r="F665" s="77"/>
      <c r="G665" s="77"/>
      <c r="H665" s="77"/>
      <c r="I665" s="4"/>
      <c r="J665" s="4"/>
      <c r="K665" s="4"/>
      <c r="L665" s="4"/>
      <c r="M665" s="4"/>
      <c r="N665" s="4"/>
      <c r="O665" s="4"/>
      <c r="P665" s="4"/>
      <c r="Q665" s="4"/>
      <c r="R665" s="4"/>
    </row>
    <row r="666">
      <c r="A666" s="71"/>
      <c r="B666" s="71"/>
      <c r="C666" s="76"/>
      <c r="D666" s="77"/>
      <c r="E666" s="77"/>
      <c r="F666" s="77"/>
      <c r="G666" s="77"/>
      <c r="H666" s="77"/>
      <c r="I666" s="4"/>
      <c r="J666" s="4"/>
      <c r="K666" s="4"/>
      <c r="L666" s="4"/>
      <c r="M666" s="4"/>
      <c r="N666" s="4"/>
      <c r="O666" s="4"/>
      <c r="P666" s="4"/>
      <c r="Q666" s="4"/>
      <c r="R666" s="4"/>
    </row>
    <row r="667">
      <c r="A667" s="71"/>
      <c r="B667" s="71"/>
      <c r="C667" s="76"/>
      <c r="D667" s="77"/>
      <c r="E667" s="77"/>
      <c r="F667" s="77"/>
      <c r="G667" s="77"/>
      <c r="H667" s="77"/>
      <c r="I667" s="4"/>
      <c r="J667" s="4"/>
      <c r="K667" s="4"/>
      <c r="L667" s="4"/>
      <c r="M667" s="4"/>
      <c r="N667" s="4"/>
      <c r="O667" s="4"/>
      <c r="P667" s="4"/>
      <c r="Q667" s="4"/>
      <c r="R667" s="4"/>
    </row>
    <row r="668">
      <c r="A668" s="71"/>
      <c r="B668" s="71"/>
      <c r="C668" s="76"/>
      <c r="D668" s="77"/>
      <c r="E668" s="77"/>
      <c r="F668" s="77"/>
      <c r="G668" s="77"/>
      <c r="H668" s="77"/>
      <c r="I668" s="4"/>
      <c r="J668" s="4"/>
      <c r="K668" s="4"/>
      <c r="L668" s="4"/>
      <c r="M668" s="4"/>
      <c r="N668" s="4"/>
      <c r="O668" s="4"/>
      <c r="P668" s="4"/>
      <c r="Q668" s="4"/>
      <c r="R668" s="4"/>
    </row>
    <row r="669">
      <c r="A669" s="71"/>
      <c r="B669" s="71"/>
      <c r="C669" s="76"/>
      <c r="D669" s="77"/>
      <c r="E669" s="77"/>
      <c r="F669" s="77"/>
      <c r="G669" s="77"/>
      <c r="H669" s="77"/>
      <c r="I669" s="4"/>
      <c r="J669" s="4"/>
      <c r="K669" s="4"/>
      <c r="L669" s="4"/>
      <c r="M669" s="4"/>
      <c r="N669" s="4"/>
      <c r="O669" s="4"/>
      <c r="P669" s="4"/>
      <c r="Q669" s="4"/>
      <c r="R669" s="4"/>
    </row>
    <row r="670">
      <c r="A670" s="71"/>
      <c r="B670" s="71"/>
      <c r="C670" s="76"/>
      <c r="D670" s="77"/>
      <c r="E670" s="77"/>
      <c r="F670" s="77"/>
      <c r="G670" s="77"/>
      <c r="H670" s="77"/>
      <c r="I670" s="4"/>
      <c r="J670" s="4"/>
      <c r="K670" s="4"/>
      <c r="L670" s="4"/>
      <c r="M670" s="4"/>
      <c r="N670" s="4"/>
      <c r="O670" s="4"/>
      <c r="P670" s="4"/>
      <c r="Q670" s="4"/>
      <c r="R670" s="4"/>
    </row>
    <row r="671">
      <c r="A671" s="71"/>
      <c r="B671" s="71"/>
      <c r="C671" s="76"/>
      <c r="D671" s="77"/>
      <c r="E671" s="77"/>
      <c r="F671" s="77"/>
      <c r="G671" s="77"/>
      <c r="H671" s="77"/>
      <c r="I671" s="4"/>
      <c r="J671" s="4"/>
      <c r="K671" s="4"/>
      <c r="L671" s="4"/>
      <c r="M671" s="4"/>
      <c r="N671" s="4"/>
      <c r="O671" s="4"/>
      <c r="P671" s="4"/>
      <c r="Q671" s="4"/>
      <c r="R671" s="4"/>
    </row>
    <row r="672">
      <c r="A672" s="71"/>
      <c r="B672" s="71"/>
      <c r="C672" s="76"/>
      <c r="D672" s="77"/>
      <c r="E672" s="77"/>
      <c r="F672" s="77"/>
      <c r="G672" s="77"/>
      <c r="H672" s="77"/>
      <c r="I672" s="4"/>
      <c r="J672" s="4"/>
      <c r="K672" s="4"/>
      <c r="L672" s="4"/>
      <c r="M672" s="4"/>
      <c r="N672" s="4"/>
      <c r="O672" s="4"/>
      <c r="P672" s="4"/>
      <c r="Q672" s="4"/>
      <c r="R672" s="4"/>
    </row>
    <row r="673">
      <c r="A673" s="71"/>
      <c r="B673" s="71"/>
      <c r="C673" s="76"/>
      <c r="D673" s="77"/>
      <c r="E673" s="77"/>
      <c r="F673" s="77"/>
      <c r="G673" s="77"/>
      <c r="H673" s="77"/>
      <c r="I673" s="4"/>
      <c r="J673" s="4"/>
      <c r="K673" s="4"/>
      <c r="L673" s="4"/>
      <c r="M673" s="4"/>
      <c r="N673" s="4"/>
      <c r="O673" s="4"/>
      <c r="P673" s="4"/>
      <c r="Q673" s="4"/>
      <c r="R673" s="4"/>
    </row>
    <row r="674">
      <c r="A674" s="71"/>
      <c r="B674" s="71"/>
      <c r="C674" s="76"/>
      <c r="D674" s="77"/>
      <c r="E674" s="77"/>
      <c r="F674" s="77"/>
      <c r="G674" s="77"/>
      <c r="H674" s="77"/>
      <c r="I674" s="4"/>
      <c r="J674" s="4"/>
      <c r="K674" s="4"/>
      <c r="L674" s="4"/>
      <c r="M674" s="4"/>
      <c r="N674" s="4"/>
      <c r="O674" s="4"/>
      <c r="P674" s="4"/>
      <c r="Q674" s="4"/>
      <c r="R674" s="4"/>
    </row>
    <row r="675">
      <c r="A675" s="71"/>
      <c r="B675" s="71"/>
      <c r="C675" s="76"/>
      <c r="D675" s="77"/>
      <c r="E675" s="77"/>
      <c r="F675" s="77"/>
      <c r="G675" s="77"/>
      <c r="H675" s="77"/>
      <c r="I675" s="4"/>
      <c r="J675" s="4"/>
      <c r="K675" s="4"/>
      <c r="L675" s="4"/>
      <c r="M675" s="4"/>
      <c r="N675" s="4"/>
      <c r="O675" s="4"/>
      <c r="P675" s="4"/>
      <c r="Q675" s="4"/>
      <c r="R675" s="4"/>
    </row>
    <row r="676">
      <c r="A676" s="71"/>
      <c r="B676" s="71"/>
      <c r="C676" s="76"/>
      <c r="D676" s="77"/>
      <c r="E676" s="77"/>
      <c r="F676" s="77"/>
      <c r="G676" s="77"/>
      <c r="H676" s="77"/>
      <c r="I676" s="4"/>
      <c r="J676" s="4"/>
      <c r="K676" s="4"/>
      <c r="L676" s="4"/>
      <c r="M676" s="4"/>
      <c r="N676" s="4"/>
      <c r="O676" s="4"/>
      <c r="P676" s="4"/>
      <c r="Q676" s="4"/>
      <c r="R676" s="4"/>
    </row>
    <row r="677">
      <c r="A677" s="71"/>
      <c r="B677" s="71"/>
      <c r="C677" s="76"/>
      <c r="D677" s="77"/>
      <c r="E677" s="77"/>
      <c r="F677" s="77"/>
      <c r="G677" s="77"/>
      <c r="H677" s="77"/>
      <c r="I677" s="4"/>
      <c r="J677" s="4"/>
      <c r="K677" s="4"/>
      <c r="L677" s="4"/>
      <c r="M677" s="4"/>
      <c r="N677" s="4"/>
      <c r="O677" s="4"/>
      <c r="P677" s="4"/>
      <c r="Q677" s="4"/>
      <c r="R677" s="4"/>
    </row>
    <row r="678">
      <c r="A678" s="71"/>
      <c r="B678" s="71"/>
      <c r="C678" s="76"/>
      <c r="D678" s="77"/>
      <c r="E678" s="77"/>
      <c r="F678" s="77"/>
      <c r="G678" s="77"/>
      <c r="H678" s="77"/>
      <c r="I678" s="4"/>
      <c r="J678" s="4"/>
      <c r="K678" s="4"/>
      <c r="L678" s="4"/>
      <c r="M678" s="4"/>
      <c r="N678" s="4"/>
      <c r="O678" s="4"/>
      <c r="P678" s="4"/>
      <c r="Q678" s="4"/>
      <c r="R678" s="4"/>
    </row>
    <row r="679">
      <c r="A679" s="71"/>
      <c r="B679" s="71"/>
      <c r="C679" s="76"/>
      <c r="D679" s="77"/>
      <c r="E679" s="77"/>
      <c r="F679" s="77"/>
      <c r="G679" s="77"/>
      <c r="H679" s="77"/>
      <c r="I679" s="4"/>
      <c r="J679" s="4"/>
      <c r="K679" s="4"/>
      <c r="L679" s="4"/>
      <c r="M679" s="4"/>
      <c r="N679" s="4"/>
      <c r="O679" s="4"/>
      <c r="P679" s="4"/>
      <c r="Q679" s="4"/>
      <c r="R679" s="4"/>
    </row>
    <row r="680">
      <c r="A680" s="71"/>
      <c r="B680" s="71"/>
      <c r="C680" s="76"/>
      <c r="D680" s="77"/>
      <c r="E680" s="77"/>
      <c r="F680" s="77"/>
      <c r="G680" s="77"/>
      <c r="H680" s="77"/>
      <c r="I680" s="4"/>
      <c r="J680" s="4"/>
      <c r="K680" s="4"/>
      <c r="L680" s="4"/>
      <c r="M680" s="4"/>
      <c r="N680" s="4"/>
      <c r="O680" s="4"/>
      <c r="P680" s="4"/>
      <c r="Q680" s="4"/>
      <c r="R680" s="4"/>
    </row>
    <row r="681">
      <c r="A681" s="71"/>
      <c r="B681" s="71"/>
      <c r="C681" s="76"/>
      <c r="D681" s="77"/>
      <c r="E681" s="77"/>
      <c r="F681" s="77"/>
      <c r="G681" s="77"/>
      <c r="H681" s="77"/>
      <c r="I681" s="4"/>
      <c r="J681" s="4"/>
      <c r="K681" s="4"/>
      <c r="L681" s="4"/>
      <c r="M681" s="4"/>
      <c r="N681" s="4"/>
      <c r="O681" s="4"/>
      <c r="P681" s="4"/>
      <c r="Q681" s="4"/>
      <c r="R681" s="4"/>
    </row>
    <row r="682">
      <c r="A682" s="71"/>
      <c r="B682" s="71"/>
      <c r="C682" s="76"/>
      <c r="D682" s="77"/>
      <c r="E682" s="77"/>
      <c r="F682" s="77"/>
      <c r="G682" s="77"/>
      <c r="H682" s="77"/>
      <c r="I682" s="4"/>
      <c r="J682" s="4"/>
      <c r="K682" s="4"/>
      <c r="L682" s="4"/>
      <c r="M682" s="4"/>
      <c r="N682" s="4"/>
      <c r="O682" s="4"/>
      <c r="P682" s="4"/>
      <c r="Q682" s="4"/>
      <c r="R682" s="4"/>
    </row>
    <row r="683">
      <c r="A683" s="71"/>
      <c r="B683" s="71"/>
      <c r="C683" s="76"/>
      <c r="D683" s="77"/>
      <c r="E683" s="77"/>
      <c r="F683" s="77"/>
      <c r="G683" s="77"/>
      <c r="H683" s="77"/>
      <c r="I683" s="4"/>
      <c r="J683" s="4"/>
      <c r="K683" s="4"/>
      <c r="L683" s="4"/>
      <c r="M683" s="4"/>
      <c r="N683" s="4"/>
      <c r="O683" s="4"/>
      <c r="P683" s="4"/>
      <c r="Q683" s="4"/>
      <c r="R683" s="4"/>
    </row>
    <row r="684">
      <c r="A684" s="71"/>
      <c r="B684" s="71"/>
      <c r="C684" s="76"/>
      <c r="D684" s="77"/>
      <c r="E684" s="77"/>
      <c r="F684" s="77"/>
      <c r="G684" s="77"/>
      <c r="H684" s="77"/>
      <c r="I684" s="4"/>
      <c r="J684" s="4"/>
      <c r="K684" s="4"/>
      <c r="L684" s="4"/>
      <c r="M684" s="4"/>
      <c r="N684" s="4"/>
      <c r="O684" s="4"/>
      <c r="P684" s="4"/>
      <c r="Q684" s="4"/>
      <c r="R684" s="4"/>
    </row>
    <row r="685">
      <c r="A685" s="71"/>
      <c r="B685" s="71"/>
      <c r="C685" s="76"/>
      <c r="D685" s="77"/>
      <c r="E685" s="77"/>
      <c r="F685" s="77"/>
      <c r="G685" s="77"/>
      <c r="H685" s="77"/>
      <c r="I685" s="4"/>
      <c r="J685" s="4"/>
      <c r="K685" s="4"/>
      <c r="L685" s="4"/>
      <c r="M685" s="4"/>
      <c r="N685" s="4"/>
      <c r="O685" s="4"/>
      <c r="P685" s="4"/>
      <c r="Q685" s="4"/>
      <c r="R685" s="4"/>
    </row>
    <row r="686">
      <c r="A686" s="71"/>
      <c r="B686" s="71"/>
      <c r="C686" s="76"/>
      <c r="D686" s="77"/>
      <c r="E686" s="77"/>
      <c r="F686" s="77"/>
      <c r="G686" s="77"/>
      <c r="H686" s="77"/>
      <c r="I686" s="4"/>
      <c r="J686" s="4"/>
      <c r="K686" s="4"/>
      <c r="L686" s="4"/>
      <c r="M686" s="4"/>
      <c r="N686" s="4"/>
      <c r="O686" s="4"/>
      <c r="P686" s="4"/>
      <c r="Q686" s="4"/>
      <c r="R686" s="4"/>
    </row>
    <row r="687">
      <c r="A687" s="71"/>
      <c r="B687" s="71"/>
      <c r="C687" s="76"/>
      <c r="D687" s="77"/>
      <c r="E687" s="77"/>
      <c r="F687" s="77"/>
      <c r="G687" s="77"/>
      <c r="H687" s="77"/>
      <c r="I687" s="4"/>
      <c r="J687" s="4"/>
      <c r="K687" s="4"/>
      <c r="L687" s="4"/>
      <c r="M687" s="4"/>
      <c r="N687" s="4"/>
      <c r="O687" s="4"/>
      <c r="P687" s="4"/>
      <c r="Q687" s="4"/>
      <c r="R687" s="4"/>
    </row>
    <row r="688">
      <c r="A688" s="71"/>
      <c r="B688" s="71"/>
      <c r="C688" s="76"/>
      <c r="D688" s="77"/>
      <c r="E688" s="77"/>
      <c r="F688" s="77"/>
      <c r="G688" s="77"/>
      <c r="H688" s="77"/>
      <c r="I688" s="4"/>
      <c r="J688" s="4"/>
      <c r="K688" s="4"/>
      <c r="L688" s="4"/>
      <c r="M688" s="4"/>
      <c r="N688" s="4"/>
      <c r="O688" s="4"/>
      <c r="P688" s="4"/>
      <c r="Q688" s="4"/>
      <c r="R688" s="4"/>
    </row>
    <row r="689">
      <c r="A689" s="71"/>
      <c r="B689" s="71"/>
      <c r="C689" s="76"/>
      <c r="D689" s="77"/>
      <c r="E689" s="77"/>
      <c r="F689" s="77"/>
      <c r="G689" s="77"/>
      <c r="H689" s="77"/>
      <c r="I689" s="4"/>
      <c r="J689" s="4"/>
      <c r="K689" s="4"/>
      <c r="L689" s="4"/>
      <c r="M689" s="4"/>
      <c r="N689" s="4"/>
      <c r="O689" s="4"/>
      <c r="P689" s="4"/>
      <c r="Q689" s="4"/>
      <c r="R689" s="4"/>
    </row>
    <row r="690">
      <c r="A690" s="71"/>
      <c r="B690" s="71"/>
      <c r="C690" s="76"/>
      <c r="D690" s="77"/>
      <c r="E690" s="77"/>
      <c r="F690" s="77"/>
      <c r="G690" s="77"/>
      <c r="H690" s="77"/>
      <c r="I690" s="4"/>
      <c r="J690" s="4"/>
      <c r="K690" s="4"/>
      <c r="L690" s="4"/>
      <c r="M690" s="4"/>
      <c r="N690" s="4"/>
      <c r="O690" s="4"/>
      <c r="P690" s="4"/>
      <c r="Q690" s="4"/>
      <c r="R690" s="4"/>
    </row>
    <row r="691">
      <c r="A691" s="71"/>
      <c r="B691" s="71"/>
      <c r="C691" s="76"/>
      <c r="D691" s="77"/>
      <c r="E691" s="77"/>
      <c r="F691" s="77"/>
      <c r="G691" s="77"/>
      <c r="H691" s="77"/>
      <c r="I691" s="4"/>
      <c r="J691" s="4"/>
      <c r="K691" s="4"/>
      <c r="L691" s="4"/>
      <c r="M691" s="4"/>
      <c r="N691" s="4"/>
      <c r="O691" s="4"/>
      <c r="P691" s="4"/>
      <c r="Q691" s="4"/>
      <c r="R691" s="4"/>
    </row>
    <row r="692">
      <c r="A692" s="71"/>
      <c r="B692" s="71"/>
      <c r="C692" s="76"/>
      <c r="D692" s="77"/>
      <c r="E692" s="77"/>
      <c r="F692" s="77"/>
      <c r="G692" s="77"/>
      <c r="H692" s="77"/>
      <c r="I692" s="4"/>
      <c r="J692" s="4"/>
      <c r="K692" s="4"/>
      <c r="L692" s="4"/>
      <c r="M692" s="4"/>
      <c r="N692" s="4"/>
      <c r="O692" s="4"/>
      <c r="P692" s="4"/>
      <c r="Q692" s="4"/>
      <c r="R692" s="4"/>
    </row>
    <row r="693">
      <c r="A693" s="71"/>
      <c r="B693" s="71"/>
      <c r="C693" s="76"/>
      <c r="D693" s="77"/>
      <c r="E693" s="77"/>
      <c r="F693" s="77"/>
      <c r="G693" s="77"/>
      <c r="H693" s="77"/>
      <c r="I693" s="4"/>
      <c r="J693" s="4"/>
      <c r="K693" s="4"/>
      <c r="L693" s="4"/>
      <c r="M693" s="4"/>
      <c r="N693" s="4"/>
      <c r="O693" s="4"/>
      <c r="P693" s="4"/>
      <c r="Q693" s="4"/>
      <c r="R693" s="4"/>
    </row>
    <row r="694">
      <c r="A694" s="71"/>
      <c r="B694" s="71"/>
      <c r="C694" s="76"/>
      <c r="D694" s="77"/>
      <c r="E694" s="77"/>
      <c r="F694" s="77"/>
      <c r="G694" s="77"/>
      <c r="H694" s="77"/>
      <c r="I694" s="4"/>
      <c r="J694" s="4"/>
      <c r="K694" s="4"/>
      <c r="L694" s="4"/>
      <c r="M694" s="4"/>
      <c r="N694" s="4"/>
      <c r="O694" s="4"/>
      <c r="P694" s="4"/>
      <c r="Q694" s="4"/>
      <c r="R694" s="4"/>
    </row>
    <row r="695">
      <c r="A695" s="71"/>
      <c r="B695" s="71"/>
      <c r="C695" s="76"/>
      <c r="D695" s="77"/>
      <c r="E695" s="77"/>
      <c r="F695" s="77"/>
      <c r="G695" s="77"/>
      <c r="H695" s="77"/>
      <c r="I695" s="4"/>
      <c r="J695" s="4"/>
      <c r="K695" s="4"/>
      <c r="L695" s="4"/>
      <c r="M695" s="4"/>
      <c r="N695" s="4"/>
      <c r="O695" s="4"/>
      <c r="P695" s="4"/>
      <c r="Q695" s="4"/>
      <c r="R695" s="4"/>
    </row>
    <row r="696">
      <c r="A696" s="71"/>
      <c r="B696" s="71"/>
      <c r="C696" s="76"/>
      <c r="D696" s="77"/>
      <c r="E696" s="77"/>
      <c r="F696" s="77"/>
      <c r="G696" s="77"/>
      <c r="H696" s="77"/>
      <c r="I696" s="4"/>
      <c r="J696" s="4"/>
      <c r="K696" s="4"/>
      <c r="L696" s="4"/>
      <c r="M696" s="4"/>
      <c r="N696" s="4"/>
      <c r="O696" s="4"/>
      <c r="P696" s="4"/>
      <c r="Q696" s="4"/>
      <c r="R696" s="4"/>
    </row>
    <row r="697">
      <c r="A697" s="71"/>
      <c r="B697" s="71"/>
      <c r="C697" s="76"/>
      <c r="D697" s="77"/>
      <c r="E697" s="77"/>
      <c r="F697" s="77"/>
      <c r="G697" s="77"/>
      <c r="H697" s="77"/>
      <c r="I697" s="4"/>
      <c r="J697" s="4"/>
      <c r="K697" s="4"/>
      <c r="L697" s="4"/>
      <c r="M697" s="4"/>
      <c r="N697" s="4"/>
      <c r="O697" s="4"/>
      <c r="P697" s="4"/>
      <c r="Q697" s="4"/>
      <c r="R697" s="4"/>
    </row>
    <row r="698">
      <c r="A698" s="71"/>
      <c r="B698" s="71"/>
      <c r="C698" s="76"/>
      <c r="D698" s="77"/>
      <c r="E698" s="77"/>
      <c r="F698" s="77"/>
      <c r="G698" s="77"/>
      <c r="H698" s="77"/>
      <c r="I698" s="4"/>
      <c r="J698" s="4"/>
      <c r="K698" s="4"/>
      <c r="L698" s="4"/>
      <c r="M698" s="4"/>
      <c r="N698" s="4"/>
      <c r="O698" s="4"/>
      <c r="P698" s="4"/>
      <c r="Q698" s="4"/>
      <c r="R698" s="4"/>
    </row>
    <row r="699">
      <c r="A699" s="71"/>
      <c r="B699" s="71"/>
      <c r="C699" s="76"/>
      <c r="D699" s="77"/>
      <c r="E699" s="77"/>
      <c r="F699" s="77"/>
      <c r="G699" s="77"/>
      <c r="H699" s="77"/>
      <c r="I699" s="4"/>
      <c r="J699" s="4"/>
      <c r="K699" s="4"/>
      <c r="L699" s="4"/>
      <c r="M699" s="4"/>
      <c r="N699" s="4"/>
      <c r="O699" s="4"/>
      <c r="P699" s="4"/>
      <c r="Q699" s="4"/>
      <c r="R699" s="4"/>
    </row>
    <row r="700">
      <c r="A700" s="71"/>
      <c r="B700" s="71"/>
      <c r="C700" s="76"/>
      <c r="D700" s="77"/>
      <c r="E700" s="77"/>
      <c r="F700" s="77"/>
      <c r="G700" s="77"/>
      <c r="H700" s="77"/>
      <c r="I700" s="4"/>
      <c r="J700" s="4"/>
      <c r="K700" s="4"/>
      <c r="L700" s="4"/>
      <c r="M700" s="4"/>
      <c r="N700" s="4"/>
      <c r="O700" s="4"/>
      <c r="P700" s="4"/>
      <c r="Q700" s="4"/>
      <c r="R700" s="4"/>
    </row>
    <row r="701">
      <c r="A701" s="71"/>
      <c r="B701" s="71"/>
      <c r="C701" s="76"/>
      <c r="D701" s="77"/>
      <c r="E701" s="77"/>
      <c r="F701" s="77"/>
      <c r="G701" s="77"/>
      <c r="H701" s="77"/>
      <c r="I701" s="4"/>
      <c r="J701" s="4"/>
      <c r="K701" s="4"/>
      <c r="L701" s="4"/>
      <c r="M701" s="4"/>
      <c r="N701" s="4"/>
      <c r="O701" s="4"/>
      <c r="P701" s="4"/>
      <c r="Q701" s="4"/>
      <c r="R701" s="4"/>
    </row>
    <row r="702">
      <c r="A702" s="71"/>
      <c r="B702" s="71"/>
      <c r="C702" s="76"/>
      <c r="D702" s="77"/>
      <c r="E702" s="77"/>
      <c r="F702" s="77"/>
      <c r="G702" s="77"/>
      <c r="H702" s="77"/>
      <c r="I702" s="4"/>
      <c r="J702" s="4"/>
      <c r="K702" s="4"/>
      <c r="L702" s="4"/>
      <c r="M702" s="4"/>
      <c r="N702" s="4"/>
      <c r="O702" s="4"/>
      <c r="P702" s="4"/>
      <c r="Q702" s="4"/>
      <c r="R702" s="4"/>
    </row>
    <row r="703">
      <c r="A703" s="71"/>
      <c r="B703" s="71"/>
      <c r="C703" s="76"/>
      <c r="D703" s="77"/>
      <c r="E703" s="77"/>
      <c r="F703" s="77"/>
      <c r="G703" s="77"/>
      <c r="H703" s="77"/>
      <c r="I703" s="4"/>
      <c r="J703" s="4"/>
      <c r="K703" s="4"/>
      <c r="L703" s="4"/>
      <c r="M703" s="4"/>
      <c r="N703" s="4"/>
      <c r="O703" s="4"/>
      <c r="P703" s="4"/>
      <c r="Q703" s="4"/>
      <c r="R703" s="4"/>
    </row>
    <row r="704">
      <c r="A704" s="71"/>
      <c r="B704" s="71"/>
      <c r="C704" s="76"/>
      <c r="D704" s="77"/>
      <c r="E704" s="77"/>
      <c r="F704" s="77"/>
      <c r="G704" s="77"/>
      <c r="H704" s="77"/>
      <c r="I704" s="4"/>
      <c r="J704" s="4"/>
      <c r="K704" s="4"/>
      <c r="L704" s="4"/>
      <c r="M704" s="4"/>
      <c r="N704" s="4"/>
      <c r="O704" s="4"/>
      <c r="P704" s="4"/>
      <c r="Q704" s="4"/>
      <c r="R704" s="4"/>
    </row>
    <row r="705">
      <c r="A705" s="71"/>
      <c r="B705" s="71"/>
      <c r="C705" s="76"/>
      <c r="D705" s="77"/>
      <c r="E705" s="77"/>
      <c r="F705" s="77"/>
      <c r="G705" s="77"/>
      <c r="H705" s="77"/>
      <c r="I705" s="4"/>
      <c r="J705" s="4"/>
      <c r="K705" s="4"/>
      <c r="L705" s="4"/>
      <c r="M705" s="4"/>
      <c r="N705" s="4"/>
      <c r="O705" s="4"/>
      <c r="P705" s="4"/>
      <c r="Q705" s="4"/>
      <c r="R705" s="4"/>
    </row>
    <row r="706">
      <c r="A706" s="71"/>
      <c r="B706" s="71"/>
      <c r="C706" s="76"/>
      <c r="D706" s="77"/>
      <c r="E706" s="77"/>
      <c r="F706" s="77"/>
      <c r="G706" s="77"/>
      <c r="H706" s="77"/>
      <c r="I706" s="4"/>
      <c r="J706" s="4"/>
      <c r="K706" s="4"/>
      <c r="L706" s="4"/>
      <c r="M706" s="4"/>
      <c r="N706" s="4"/>
      <c r="O706" s="4"/>
      <c r="P706" s="4"/>
      <c r="Q706" s="4"/>
      <c r="R706" s="4"/>
    </row>
    <row r="707">
      <c r="A707" s="71"/>
      <c r="B707" s="71"/>
      <c r="C707" s="76"/>
      <c r="D707" s="77"/>
      <c r="E707" s="77"/>
      <c r="F707" s="77"/>
      <c r="G707" s="77"/>
      <c r="H707" s="77"/>
      <c r="I707" s="4"/>
      <c r="J707" s="4"/>
      <c r="K707" s="4"/>
      <c r="L707" s="4"/>
      <c r="M707" s="4"/>
      <c r="N707" s="4"/>
      <c r="O707" s="4"/>
      <c r="P707" s="4"/>
      <c r="Q707" s="4"/>
      <c r="R707" s="4"/>
    </row>
    <row r="708">
      <c r="A708" s="71"/>
      <c r="B708" s="71"/>
      <c r="C708" s="76"/>
      <c r="D708" s="77"/>
      <c r="E708" s="77"/>
      <c r="F708" s="77"/>
      <c r="G708" s="77"/>
      <c r="H708" s="77"/>
      <c r="I708" s="4"/>
      <c r="J708" s="4"/>
      <c r="K708" s="4"/>
      <c r="L708" s="4"/>
      <c r="M708" s="4"/>
      <c r="N708" s="4"/>
      <c r="O708" s="4"/>
      <c r="P708" s="4"/>
      <c r="Q708" s="4"/>
      <c r="R708" s="4"/>
    </row>
    <row r="709">
      <c r="A709" s="71"/>
      <c r="B709" s="71"/>
      <c r="C709" s="76"/>
      <c r="D709" s="77"/>
      <c r="E709" s="77"/>
      <c r="F709" s="77"/>
      <c r="G709" s="77"/>
      <c r="H709" s="77"/>
      <c r="I709" s="4"/>
      <c r="J709" s="4"/>
      <c r="K709" s="4"/>
      <c r="L709" s="4"/>
      <c r="M709" s="4"/>
      <c r="N709" s="4"/>
      <c r="O709" s="4"/>
      <c r="P709" s="4"/>
      <c r="Q709" s="4"/>
      <c r="R709" s="4"/>
    </row>
    <row r="710">
      <c r="A710" s="71"/>
      <c r="B710" s="71"/>
      <c r="C710" s="76"/>
      <c r="D710" s="77"/>
      <c r="E710" s="77"/>
      <c r="F710" s="77"/>
      <c r="G710" s="77"/>
      <c r="H710" s="77"/>
      <c r="I710" s="4"/>
      <c r="J710" s="4"/>
      <c r="K710" s="4"/>
      <c r="L710" s="4"/>
      <c r="M710" s="4"/>
      <c r="N710" s="4"/>
      <c r="O710" s="4"/>
      <c r="P710" s="4"/>
      <c r="Q710" s="4"/>
      <c r="R710" s="4"/>
    </row>
    <row r="711">
      <c r="A711" s="71"/>
      <c r="B711" s="71"/>
      <c r="C711" s="76"/>
      <c r="D711" s="77"/>
      <c r="E711" s="77"/>
      <c r="F711" s="77"/>
      <c r="G711" s="77"/>
      <c r="H711" s="77"/>
      <c r="I711" s="4"/>
      <c r="J711" s="4"/>
      <c r="K711" s="4"/>
      <c r="L711" s="4"/>
      <c r="M711" s="4"/>
      <c r="N711" s="4"/>
      <c r="O711" s="4"/>
      <c r="P711" s="4"/>
      <c r="Q711" s="4"/>
      <c r="R711" s="4"/>
    </row>
    <row r="712">
      <c r="A712" s="71"/>
      <c r="B712" s="71"/>
      <c r="C712" s="76"/>
      <c r="D712" s="77"/>
      <c r="E712" s="77"/>
      <c r="F712" s="77"/>
      <c r="G712" s="77"/>
      <c r="H712" s="77"/>
      <c r="I712" s="4"/>
      <c r="J712" s="4"/>
      <c r="K712" s="4"/>
      <c r="L712" s="4"/>
      <c r="M712" s="4"/>
      <c r="N712" s="4"/>
      <c r="O712" s="4"/>
      <c r="P712" s="4"/>
      <c r="Q712" s="4"/>
      <c r="R712" s="4"/>
    </row>
    <row r="713">
      <c r="A713" s="71"/>
      <c r="B713" s="71"/>
      <c r="C713" s="76"/>
      <c r="D713" s="77"/>
      <c r="E713" s="77"/>
      <c r="F713" s="77"/>
      <c r="G713" s="77"/>
      <c r="H713" s="77"/>
      <c r="I713" s="4"/>
      <c r="J713" s="4"/>
      <c r="K713" s="4"/>
      <c r="L713" s="4"/>
      <c r="M713" s="4"/>
      <c r="N713" s="4"/>
      <c r="O713" s="4"/>
      <c r="P713" s="4"/>
      <c r="Q713" s="4"/>
      <c r="R713" s="4"/>
    </row>
    <row r="714">
      <c r="A714" s="71"/>
      <c r="B714" s="71"/>
      <c r="C714" s="76"/>
      <c r="D714" s="77"/>
      <c r="E714" s="77"/>
      <c r="F714" s="77"/>
      <c r="G714" s="77"/>
      <c r="H714" s="77"/>
      <c r="I714" s="4"/>
      <c r="J714" s="4"/>
      <c r="K714" s="4"/>
      <c r="L714" s="4"/>
      <c r="M714" s="4"/>
      <c r="N714" s="4"/>
      <c r="O714" s="4"/>
      <c r="P714" s="4"/>
      <c r="Q714" s="4"/>
      <c r="R714" s="4"/>
    </row>
    <row r="715">
      <c r="A715" s="71"/>
      <c r="B715" s="71"/>
      <c r="C715" s="76"/>
      <c r="D715" s="77"/>
      <c r="E715" s="77"/>
      <c r="F715" s="77"/>
      <c r="G715" s="77"/>
      <c r="H715" s="77"/>
      <c r="I715" s="4"/>
      <c r="J715" s="4"/>
      <c r="K715" s="4"/>
      <c r="L715" s="4"/>
      <c r="M715" s="4"/>
      <c r="N715" s="4"/>
      <c r="O715" s="4"/>
      <c r="P715" s="4"/>
      <c r="Q715" s="4"/>
      <c r="R715" s="4"/>
    </row>
    <row r="716">
      <c r="A716" s="71"/>
      <c r="B716" s="71"/>
      <c r="C716" s="76"/>
      <c r="D716" s="77"/>
      <c r="E716" s="77"/>
      <c r="F716" s="77"/>
      <c r="G716" s="77"/>
      <c r="H716" s="77"/>
      <c r="I716" s="4"/>
      <c r="J716" s="4"/>
      <c r="K716" s="4"/>
      <c r="L716" s="4"/>
      <c r="M716" s="4"/>
      <c r="N716" s="4"/>
      <c r="O716" s="4"/>
      <c r="P716" s="4"/>
      <c r="Q716" s="4"/>
      <c r="R716" s="4"/>
    </row>
    <row r="717">
      <c r="A717" s="71"/>
      <c r="B717" s="71"/>
      <c r="C717" s="76"/>
      <c r="D717" s="77"/>
      <c r="E717" s="77"/>
      <c r="F717" s="77"/>
      <c r="G717" s="77"/>
      <c r="H717" s="77"/>
      <c r="I717" s="4"/>
      <c r="J717" s="4"/>
      <c r="K717" s="4"/>
      <c r="L717" s="4"/>
      <c r="M717" s="4"/>
      <c r="N717" s="4"/>
      <c r="O717" s="4"/>
      <c r="P717" s="4"/>
      <c r="Q717" s="4"/>
      <c r="R717" s="4"/>
    </row>
    <row r="718">
      <c r="A718" s="71"/>
      <c r="B718" s="71"/>
      <c r="C718" s="76"/>
      <c r="D718" s="77"/>
      <c r="E718" s="77"/>
      <c r="F718" s="77"/>
      <c r="G718" s="77"/>
      <c r="H718" s="77"/>
      <c r="I718" s="4"/>
      <c r="J718" s="4"/>
      <c r="K718" s="4"/>
      <c r="L718" s="4"/>
      <c r="M718" s="4"/>
      <c r="N718" s="4"/>
      <c r="O718" s="4"/>
      <c r="P718" s="4"/>
      <c r="Q718" s="4"/>
      <c r="R718" s="4"/>
    </row>
    <row r="719">
      <c r="A719" s="71"/>
      <c r="B719" s="71"/>
      <c r="C719" s="76"/>
      <c r="D719" s="77"/>
      <c r="E719" s="77"/>
      <c r="F719" s="77"/>
      <c r="G719" s="77"/>
      <c r="H719" s="77"/>
      <c r="I719" s="4"/>
      <c r="J719" s="4"/>
      <c r="K719" s="4"/>
      <c r="L719" s="4"/>
      <c r="M719" s="4"/>
      <c r="N719" s="4"/>
      <c r="O719" s="4"/>
      <c r="P719" s="4"/>
      <c r="Q719" s="4"/>
      <c r="R719" s="4"/>
    </row>
    <row r="720">
      <c r="A720" s="71"/>
      <c r="B720" s="71"/>
      <c r="C720" s="76"/>
      <c r="D720" s="77"/>
      <c r="E720" s="77"/>
      <c r="F720" s="77"/>
      <c r="G720" s="77"/>
      <c r="H720" s="77"/>
      <c r="I720" s="4"/>
      <c r="J720" s="4"/>
      <c r="K720" s="4"/>
      <c r="L720" s="4"/>
      <c r="M720" s="4"/>
      <c r="N720" s="4"/>
      <c r="O720" s="4"/>
      <c r="P720" s="4"/>
      <c r="Q720" s="4"/>
      <c r="R720" s="4"/>
    </row>
    <row r="721">
      <c r="A721" s="71"/>
      <c r="B721" s="71"/>
      <c r="C721" s="76"/>
      <c r="D721" s="77"/>
      <c r="E721" s="77"/>
      <c r="F721" s="77"/>
      <c r="G721" s="77"/>
      <c r="H721" s="77"/>
      <c r="I721" s="4"/>
      <c r="J721" s="4"/>
      <c r="K721" s="4"/>
      <c r="L721" s="4"/>
      <c r="M721" s="4"/>
      <c r="N721" s="4"/>
      <c r="O721" s="4"/>
      <c r="P721" s="4"/>
      <c r="Q721" s="4"/>
      <c r="R721" s="4"/>
    </row>
    <row r="722">
      <c r="A722" s="71"/>
      <c r="B722" s="71"/>
      <c r="C722" s="76"/>
      <c r="D722" s="77"/>
      <c r="E722" s="77"/>
      <c r="F722" s="77"/>
      <c r="G722" s="77"/>
      <c r="H722" s="77"/>
      <c r="I722" s="4"/>
      <c r="J722" s="4"/>
      <c r="K722" s="4"/>
      <c r="L722" s="4"/>
      <c r="M722" s="4"/>
      <c r="N722" s="4"/>
      <c r="O722" s="4"/>
      <c r="P722" s="4"/>
      <c r="Q722" s="4"/>
      <c r="R722" s="4"/>
    </row>
    <row r="723">
      <c r="A723" s="71"/>
      <c r="B723" s="71"/>
      <c r="C723" s="76"/>
      <c r="D723" s="77"/>
      <c r="E723" s="77"/>
      <c r="F723" s="77"/>
      <c r="G723" s="77"/>
      <c r="H723" s="77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>
      <c r="A724" s="71"/>
      <c r="B724" s="71"/>
      <c r="C724" s="76"/>
      <c r="D724" s="77"/>
      <c r="E724" s="77"/>
      <c r="F724" s="77"/>
      <c r="G724" s="77"/>
      <c r="H724" s="77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>
      <c r="A725" s="71"/>
      <c r="B725" s="71"/>
      <c r="C725" s="76"/>
      <c r="D725" s="77"/>
      <c r="E725" s="77"/>
      <c r="F725" s="77"/>
      <c r="G725" s="77"/>
      <c r="H725" s="77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>
      <c r="A726" s="71"/>
      <c r="B726" s="71"/>
      <c r="C726" s="76"/>
      <c r="D726" s="77"/>
      <c r="E726" s="77"/>
      <c r="F726" s="77"/>
      <c r="G726" s="77"/>
      <c r="H726" s="77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>
      <c r="A727" s="71"/>
      <c r="B727" s="71"/>
      <c r="C727" s="76"/>
      <c r="D727" s="77"/>
      <c r="E727" s="77"/>
      <c r="F727" s="77"/>
      <c r="G727" s="77"/>
      <c r="H727" s="77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>
      <c r="A728" s="71"/>
      <c r="B728" s="71"/>
      <c r="C728" s="76"/>
      <c r="D728" s="77"/>
      <c r="E728" s="77"/>
      <c r="F728" s="77"/>
      <c r="G728" s="77"/>
      <c r="H728" s="77"/>
      <c r="I728" s="4"/>
      <c r="J728" s="4"/>
      <c r="K728" s="4"/>
      <c r="L728" s="4"/>
      <c r="M728" s="4"/>
      <c r="N728" s="4"/>
      <c r="O728" s="4"/>
      <c r="P728" s="4"/>
      <c r="Q728" s="4"/>
      <c r="R728" s="4"/>
    </row>
    <row r="729">
      <c r="A729" s="71"/>
      <c r="B729" s="71"/>
      <c r="C729" s="76"/>
      <c r="D729" s="77"/>
      <c r="E729" s="77"/>
      <c r="F729" s="77"/>
      <c r="G729" s="77"/>
      <c r="H729" s="77"/>
      <c r="I729" s="4"/>
      <c r="J729" s="4"/>
      <c r="K729" s="4"/>
      <c r="L729" s="4"/>
      <c r="M729" s="4"/>
      <c r="N729" s="4"/>
      <c r="O729" s="4"/>
      <c r="P729" s="4"/>
      <c r="Q729" s="4"/>
      <c r="R729" s="4"/>
    </row>
    <row r="730">
      <c r="A730" s="71"/>
      <c r="B730" s="71"/>
      <c r="C730" s="76"/>
      <c r="D730" s="77"/>
      <c r="E730" s="77"/>
      <c r="F730" s="77"/>
      <c r="G730" s="77"/>
      <c r="H730" s="77"/>
      <c r="I730" s="4"/>
      <c r="J730" s="4"/>
      <c r="K730" s="4"/>
      <c r="L730" s="4"/>
      <c r="M730" s="4"/>
      <c r="N730" s="4"/>
      <c r="O730" s="4"/>
      <c r="P730" s="4"/>
      <c r="Q730" s="4"/>
      <c r="R730" s="4"/>
    </row>
    <row r="731">
      <c r="A731" s="71"/>
      <c r="B731" s="71"/>
      <c r="C731" s="76"/>
      <c r="D731" s="77"/>
      <c r="E731" s="77"/>
      <c r="F731" s="77"/>
      <c r="G731" s="77"/>
      <c r="H731" s="77"/>
      <c r="I731" s="4"/>
      <c r="J731" s="4"/>
      <c r="K731" s="4"/>
      <c r="L731" s="4"/>
      <c r="M731" s="4"/>
      <c r="N731" s="4"/>
      <c r="O731" s="4"/>
      <c r="P731" s="4"/>
      <c r="Q731" s="4"/>
      <c r="R731" s="4"/>
    </row>
    <row r="732">
      <c r="A732" s="71"/>
      <c r="B732" s="71"/>
      <c r="C732" s="76"/>
      <c r="D732" s="77"/>
      <c r="E732" s="77"/>
      <c r="F732" s="77"/>
      <c r="G732" s="77"/>
      <c r="H732" s="77"/>
      <c r="I732" s="4"/>
      <c r="J732" s="4"/>
      <c r="K732" s="4"/>
      <c r="L732" s="4"/>
      <c r="M732" s="4"/>
      <c r="N732" s="4"/>
      <c r="O732" s="4"/>
      <c r="P732" s="4"/>
      <c r="Q732" s="4"/>
      <c r="R732" s="4"/>
    </row>
    <row r="733">
      <c r="A733" s="71"/>
      <c r="B733" s="71"/>
      <c r="C733" s="76"/>
      <c r="D733" s="77"/>
      <c r="E733" s="77"/>
      <c r="F733" s="77"/>
      <c r="G733" s="77"/>
      <c r="H733" s="77"/>
      <c r="I733" s="4"/>
      <c r="J733" s="4"/>
      <c r="K733" s="4"/>
      <c r="L733" s="4"/>
      <c r="M733" s="4"/>
      <c r="N733" s="4"/>
      <c r="O733" s="4"/>
      <c r="P733" s="4"/>
      <c r="Q733" s="4"/>
      <c r="R733" s="4"/>
    </row>
    <row r="734">
      <c r="A734" s="71"/>
      <c r="B734" s="71"/>
      <c r="C734" s="76"/>
      <c r="D734" s="77"/>
      <c r="E734" s="77"/>
      <c r="F734" s="77"/>
      <c r="G734" s="77"/>
      <c r="H734" s="77"/>
      <c r="I734" s="4"/>
      <c r="J734" s="4"/>
      <c r="K734" s="4"/>
      <c r="L734" s="4"/>
      <c r="M734" s="4"/>
      <c r="N734" s="4"/>
      <c r="O734" s="4"/>
      <c r="P734" s="4"/>
      <c r="Q734" s="4"/>
      <c r="R734" s="4"/>
    </row>
    <row r="735">
      <c r="A735" s="71"/>
      <c r="B735" s="71"/>
      <c r="C735" s="76"/>
      <c r="D735" s="77"/>
      <c r="E735" s="77"/>
      <c r="F735" s="77"/>
      <c r="G735" s="77"/>
      <c r="H735" s="77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>
      <c r="A736" s="71"/>
      <c r="B736" s="71"/>
      <c r="C736" s="76"/>
      <c r="D736" s="77"/>
      <c r="E736" s="77"/>
      <c r="F736" s="77"/>
      <c r="G736" s="77"/>
      <c r="H736" s="77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>
      <c r="A737" s="71"/>
      <c r="B737" s="71"/>
      <c r="C737" s="76"/>
      <c r="D737" s="77"/>
      <c r="E737" s="77"/>
      <c r="F737" s="77"/>
      <c r="G737" s="77"/>
      <c r="H737" s="77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>
      <c r="A738" s="71"/>
      <c r="B738" s="71"/>
      <c r="C738" s="76"/>
      <c r="D738" s="77"/>
      <c r="E738" s="77"/>
      <c r="F738" s="77"/>
      <c r="G738" s="77"/>
      <c r="H738" s="77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>
      <c r="A739" s="71"/>
      <c r="B739" s="71"/>
      <c r="C739" s="76"/>
      <c r="D739" s="77"/>
      <c r="E739" s="77"/>
      <c r="F739" s="77"/>
      <c r="G739" s="77"/>
      <c r="H739" s="77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>
      <c r="A740" s="71"/>
      <c r="B740" s="71"/>
      <c r="C740" s="76"/>
      <c r="D740" s="77"/>
      <c r="E740" s="77"/>
      <c r="F740" s="77"/>
      <c r="G740" s="77"/>
      <c r="H740" s="77"/>
      <c r="I740" s="4"/>
      <c r="J740" s="4"/>
      <c r="K740" s="4"/>
      <c r="L740" s="4"/>
      <c r="M740" s="4"/>
      <c r="N740" s="4"/>
      <c r="O740" s="4"/>
      <c r="P740" s="4"/>
      <c r="Q740" s="4"/>
      <c r="R740" s="4"/>
    </row>
    <row r="741">
      <c r="A741" s="71"/>
      <c r="B741" s="71"/>
      <c r="C741" s="76"/>
      <c r="D741" s="77"/>
      <c r="E741" s="77"/>
      <c r="F741" s="77"/>
      <c r="G741" s="77"/>
      <c r="H741" s="77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>
      <c r="A742" s="71"/>
      <c r="B742" s="71"/>
      <c r="C742" s="76"/>
      <c r="D742" s="77"/>
      <c r="E742" s="77"/>
      <c r="F742" s="77"/>
      <c r="G742" s="77"/>
      <c r="H742" s="77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>
      <c r="A743" s="71"/>
      <c r="B743" s="71"/>
      <c r="C743" s="76"/>
      <c r="D743" s="77"/>
      <c r="E743" s="77"/>
      <c r="F743" s="77"/>
      <c r="G743" s="77"/>
      <c r="H743" s="77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>
      <c r="A744" s="71"/>
      <c r="B744" s="71"/>
      <c r="C744" s="76"/>
      <c r="D744" s="77"/>
      <c r="E744" s="77"/>
      <c r="F744" s="77"/>
      <c r="G744" s="77"/>
      <c r="H744" s="77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>
      <c r="A745" s="71"/>
      <c r="B745" s="71"/>
      <c r="C745" s="76"/>
      <c r="D745" s="77"/>
      <c r="E745" s="77"/>
      <c r="F745" s="77"/>
      <c r="G745" s="77"/>
      <c r="H745" s="77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>
      <c r="A746" s="71"/>
      <c r="B746" s="71"/>
      <c r="C746" s="76"/>
      <c r="D746" s="77"/>
      <c r="E746" s="77"/>
      <c r="F746" s="77"/>
      <c r="G746" s="77"/>
      <c r="H746" s="77"/>
      <c r="I746" s="4"/>
      <c r="J746" s="4"/>
      <c r="K746" s="4"/>
      <c r="L746" s="4"/>
      <c r="M746" s="4"/>
      <c r="N746" s="4"/>
      <c r="O746" s="4"/>
      <c r="P746" s="4"/>
      <c r="Q746" s="4"/>
      <c r="R746" s="4"/>
    </row>
    <row r="747">
      <c r="A747" s="71"/>
      <c r="B747" s="71"/>
      <c r="C747" s="76"/>
      <c r="D747" s="77"/>
      <c r="E747" s="77"/>
      <c r="F747" s="77"/>
      <c r="G747" s="77"/>
      <c r="H747" s="77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>
      <c r="A748" s="71"/>
      <c r="B748" s="71"/>
      <c r="C748" s="76"/>
      <c r="D748" s="77"/>
      <c r="E748" s="77"/>
      <c r="F748" s="77"/>
      <c r="G748" s="77"/>
      <c r="H748" s="77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>
      <c r="A749" s="71"/>
      <c r="B749" s="71"/>
      <c r="C749" s="76"/>
      <c r="D749" s="77"/>
      <c r="E749" s="77"/>
      <c r="F749" s="77"/>
      <c r="G749" s="77"/>
      <c r="H749" s="77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>
      <c r="A750" s="71"/>
      <c r="B750" s="71"/>
      <c r="C750" s="76"/>
      <c r="D750" s="77"/>
      <c r="E750" s="77"/>
      <c r="F750" s="77"/>
      <c r="G750" s="77"/>
      <c r="H750" s="77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>
      <c r="A751" s="71"/>
      <c r="B751" s="71"/>
      <c r="C751" s="76"/>
      <c r="D751" s="77"/>
      <c r="E751" s="77"/>
      <c r="F751" s="77"/>
      <c r="G751" s="77"/>
      <c r="H751" s="77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>
      <c r="A752" s="71"/>
      <c r="B752" s="71"/>
      <c r="C752" s="76"/>
      <c r="D752" s="77"/>
      <c r="E752" s="77"/>
      <c r="F752" s="77"/>
      <c r="G752" s="77"/>
      <c r="H752" s="77"/>
      <c r="I752" s="4"/>
      <c r="J752" s="4"/>
      <c r="K752" s="4"/>
      <c r="L752" s="4"/>
      <c r="M752" s="4"/>
      <c r="N752" s="4"/>
      <c r="O752" s="4"/>
      <c r="P752" s="4"/>
      <c r="Q752" s="4"/>
      <c r="R752" s="4"/>
    </row>
    <row r="753">
      <c r="A753" s="71"/>
      <c r="B753" s="71"/>
      <c r="C753" s="76"/>
      <c r="D753" s="77"/>
      <c r="E753" s="77"/>
      <c r="F753" s="77"/>
      <c r="G753" s="77"/>
      <c r="H753" s="77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>
      <c r="A754" s="71"/>
      <c r="B754" s="71"/>
      <c r="C754" s="76"/>
      <c r="D754" s="77"/>
      <c r="E754" s="77"/>
      <c r="F754" s="77"/>
      <c r="G754" s="77"/>
      <c r="H754" s="77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>
      <c r="A755" s="71"/>
      <c r="B755" s="71"/>
      <c r="C755" s="76"/>
      <c r="D755" s="77"/>
      <c r="E755" s="77"/>
      <c r="F755" s="77"/>
      <c r="G755" s="77"/>
      <c r="H755" s="77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>
      <c r="A756" s="71"/>
      <c r="B756" s="71"/>
      <c r="C756" s="76"/>
      <c r="D756" s="77"/>
      <c r="E756" s="77"/>
      <c r="F756" s="77"/>
      <c r="G756" s="77"/>
      <c r="H756" s="77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>
      <c r="A757" s="71"/>
      <c r="B757" s="71"/>
      <c r="C757" s="76"/>
      <c r="D757" s="77"/>
      <c r="E757" s="77"/>
      <c r="F757" s="77"/>
      <c r="G757" s="77"/>
      <c r="H757" s="77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>
      <c r="A758" s="71"/>
      <c r="B758" s="71"/>
      <c r="C758" s="76"/>
      <c r="D758" s="77"/>
      <c r="E758" s="77"/>
      <c r="F758" s="77"/>
      <c r="G758" s="77"/>
      <c r="H758" s="77"/>
      <c r="I758" s="4"/>
      <c r="J758" s="4"/>
      <c r="K758" s="4"/>
      <c r="L758" s="4"/>
      <c r="M758" s="4"/>
      <c r="N758" s="4"/>
      <c r="O758" s="4"/>
      <c r="P758" s="4"/>
      <c r="Q758" s="4"/>
      <c r="R758" s="4"/>
    </row>
    <row r="759">
      <c r="A759" s="71"/>
      <c r="B759" s="71"/>
      <c r="C759" s="76"/>
      <c r="D759" s="77"/>
      <c r="E759" s="77"/>
      <c r="F759" s="77"/>
      <c r="G759" s="77"/>
      <c r="H759" s="77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>
      <c r="A760" s="71"/>
      <c r="B760" s="71"/>
      <c r="C760" s="76"/>
      <c r="D760" s="77"/>
      <c r="E760" s="77"/>
      <c r="F760" s="77"/>
      <c r="G760" s="77"/>
      <c r="H760" s="77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>
      <c r="A761" s="71"/>
      <c r="B761" s="71"/>
      <c r="C761" s="76"/>
      <c r="D761" s="77"/>
      <c r="E761" s="77"/>
      <c r="F761" s="77"/>
      <c r="G761" s="77"/>
      <c r="H761" s="77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>
      <c r="A762" s="71"/>
      <c r="B762" s="71"/>
      <c r="C762" s="76"/>
      <c r="D762" s="77"/>
      <c r="E762" s="77"/>
      <c r="F762" s="77"/>
      <c r="G762" s="77"/>
      <c r="H762" s="77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>
      <c r="A763" s="71"/>
      <c r="B763" s="71"/>
      <c r="C763" s="76"/>
      <c r="D763" s="77"/>
      <c r="E763" s="77"/>
      <c r="F763" s="77"/>
      <c r="G763" s="77"/>
      <c r="H763" s="77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>
      <c r="A764" s="71"/>
      <c r="B764" s="71"/>
      <c r="C764" s="76"/>
      <c r="D764" s="77"/>
      <c r="E764" s="77"/>
      <c r="F764" s="77"/>
      <c r="G764" s="77"/>
      <c r="H764" s="77"/>
      <c r="I764" s="4"/>
      <c r="J764" s="4"/>
      <c r="K764" s="4"/>
      <c r="L764" s="4"/>
      <c r="M764" s="4"/>
      <c r="N764" s="4"/>
      <c r="O764" s="4"/>
      <c r="P764" s="4"/>
      <c r="Q764" s="4"/>
      <c r="R764" s="4"/>
    </row>
    <row r="765">
      <c r="A765" s="71"/>
      <c r="B765" s="71"/>
      <c r="C765" s="76"/>
      <c r="D765" s="77"/>
      <c r="E765" s="77"/>
      <c r="F765" s="77"/>
      <c r="G765" s="77"/>
      <c r="H765" s="77"/>
      <c r="I765" s="4"/>
      <c r="J765" s="4"/>
      <c r="K765" s="4"/>
      <c r="L765" s="4"/>
      <c r="M765" s="4"/>
      <c r="N765" s="4"/>
      <c r="O765" s="4"/>
      <c r="P765" s="4"/>
      <c r="Q765" s="4"/>
      <c r="R765" s="4"/>
    </row>
    <row r="766">
      <c r="A766" s="71"/>
      <c r="B766" s="71"/>
      <c r="C766" s="76"/>
      <c r="D766" s="77"/>
      <c r="E766" s="77"/>
      <c r="F766" s="77"/>
      <c r="G766" s="77"/>
      <c r="H766" s="77"/>
      <c r="I766" s="4"/>
      <c r="J766" s="4"/>
      <c r="K766" s="4"/>
      <c r="L766" s="4"/>
      <c r="M766" s="4"/>
      <c r="N766" s="4"/>
      <c r="O766" s="4"/>
      <c r="P766" s="4"/>
      <c r="Q766" s="4"/>
      <c r="R766" s="4"/>
    </row>
    <row r="767">
      <c r="A767" s="71"/>
      <c r="B767" s="71"/>
      <c r="C767" s="76"/>
      <c r="D767" s="77"/>
      <c r="E767" s="77"/>
      <c r="F767" s="77"/>
      <c r="G767" s="77"/>
      <c r="H767" s="77"/>
      <c r="I767" s="4"/>
      <c r="J767" s="4"/>
      <c r="K767" s="4"/>
      <c r="L767" s="4"/>
      <c r="M767" s="4"/>
      <c r="N767" s="4"/>
      <c r="O767" s="4"/>
      <c r="P767" s="4"/>
      <c r="Q767" s="4"/>
      <c r="R767" s="4"/>
    </row>
    <row r="768">
      <c r="A768" s="71"/>
      <c r="B768" s="71"/>
      <c r="C768" s="76"/>
      <c r="D768" s="77"/>
      <c r="E768" s="77"/>
      <c r="F768" s="77"/>
      <c r="G768" s="77"/>
      <c r="H768" s="77"/>
      <c r="I768" s="4"/>
      <c r="J768" s="4"/>
      <c r="K768" s="4"/>
      <c r="L768" s="4"/>
      <c r="M768" s="4"/>
      <c r="N768" s="4"/>
      <c r="O768" s="4"/>
      <c r="P768" s="4"/>
      <c r="Q768" s="4"/>
      <c r="R768" s="4"/>
    </row>
    <row r="769">
      <c r="A769" s="71"/>
      <c r="B769" s="71"/>
      <c r="C769" s="76"/>
      <c r="D769" s="77"/>
      <c r="E769" s="77"/>
      <c r="F769" s="77"/>
      <c r="G769" s="77"/>
      <c r="H769" s="77"/>
      <c r="I769" s="4"/>
      <c r="J769" s="4"/>
      <c r="K769" s="4"/>
      <c r="L769" s="4"/>
      <c r="M769" s="4"/>
      <c r="N769" s="4"/>
      <c r="O769" s="4"/>
      <c r="P769" s="4"/>
      <c r="Q769" s="4"/>
      <c r="R769" s="4"/>
    </row>
    <row r="770">
      <c r="A770" s="71"/>
      <c r="B770" s="71"/>
      <c r="C770" s="76"/>
      <c r="D770" s="77"/>
      <c r="E770" s="77"/>
      <c r="F770" s="77"/>
      <c r="G770" s="77"/>
      <c r="H770" s="77"/>
      <c r="I770" s="4"/>
      <c r="J770" s="4"/>
      <c r="K770" s="4"/>
      <c r="L770" s="4"/>
      <c r="M770" s="4"/>
      <c r="N770" s="4"/>
      <c r="O770" s="4"/>
      <c r="P770" s="4"/>
      <c r="Q770" s="4"/>
      <c r="R770" s="4"/>
    </row>
    <row r="771">
      <c r="A771" s="71"/>
      <c r="B771" s="71"/>
      <c r="C771" s="76"/>
      <c r="D771" s="77"/>
      <c r="E771" s="77"/>
      <c r="F771" s="77"/>
      <c r="G771" s="77"/>
      <c r="H771" s="77"/>
      <c r="I771" s="4"/>
      <c r="J771" s="4"/>
      <c r="K771" s="4"/>
      <c r="L771" s="4"/>
      <c r="M771" s="4"/>
      <c r="N771" s="4"/>
      <c r="O771" s="4"/>
      <c r="P771" s="4"/>
      <c r="Q771" s="4"/>
      <c r="R771" s="4"/>
    </row>
    <row r="772">
      <c r="A772" s="71"/>
      <c r="B772" s="71"/>
      <c r="C772" s="76"/>
      <c r="D772" s="77"/>
      <c r="E772" s="77"/>
      <c r="F772" s="77"/>
      <c r="G772" s="77"/>
      <c r="H772" s="77"/>
      <c r="I772" s="4"/>
      <c r="J772" s="4"/>
      <c r="K772" s="4"/>
      <c r="L772" s="4"/>
      <c r="M772" s="4"/>
      <c r="N772" s="4"/>
      <c r="O772" s="4"/>
      <c r="P772" s="4"/>
      <c r="Q772" s="4"/>
      <c r="R772" s="4"/>
    </row>
    <row r="773">
      <c r="A773" s="71"/>
      <c r="B773" s="71"/>
      <c r="C773" s="76"/>
      <c r="D773" s="77"/>
      <c r="E773" s="77"/>
      <c r="F773" s="77"/>
      <c r="G773" s="77"/>
      <c r="H773" s="77"/>
      <c r="I773" s="4"/>
      <c r="J773" s="4"/>
      <c r="K773" s="4"/>
      <c r="L773" s="4"/>
      <c r="M773" s="4"/>
      <c r="N773" s="4"/>
      <c r="O773" s="4"/>
      <c r="P773" s="4"/>
      <c r="Q773" s="4"/>
      <c r="R773" s="4"/>
    </row>
    <row r="774">
      <c r="A774" s="71"/>
      <c r="B774" s="71"/>
      <c r="C774" s="76"/>
      <c r="D774" s="77"/>
      <c r="E774" s="77"/>
      <c r="F774" s="77"/>
      <c r="G774" s="77"/>
      <c r="H774" s="77"/>
      <c r="I774" s="4"/>
      <c r="J774" s="4"/>
      <c r="K774" s="4"/>
      <c r="L774" s="4"/>
      <c r="M774" s="4"/>
      <c r="N774" s="4"/>
      <c r="O774" s="4"/>
      <c r="P774" s="4"/>
      <c r="Q774" s="4"/>
      <c r="R774" s="4"/>
    </row>
    <row r="775">
      <c r="A775" s="71"/>
      <c r="B775" s="71"/>
      <c r="C775" s="76"/>
      <c r="D775" s="77"/>
      <c r="E775" s="77"/>
      <c r="F775" s="77"/>
      <c r="G775" s="77"/>
      <c r="H775" s="77"/>
      <c r="I775" s="4"/>
      <c r="J775" s="4"/>
      <c r="K775" s="4"/>
      <c r="L775" s="4"/>
      <c r="M775" s="4"/>
      <c r="N775" s="4"/>
      <c r="O775" s="4"/>
      <c r="P775" s="4"/>
      <c r="Q775" s="4"/>
      <c r="R775" s="4"/>
    </row>
    <row r="776">
      <c r="A776" s="71"/>
      <c r="B776" s="71"/>
      <c r="C776" s="76"/>
      <c r="D776" s="77"/>
      <c r="E776" s="77"/>
      <c r="F776" s="77"/>
      <c r="G776" s="77"/>
      <c r="H776" s="77"/>
      <c r="I776" s="4"/>
      <c r="J776" s="4"/>
      <c r="K776" s="4"/>
      <c r="L776" s="4"/>
      <c r="M776" s="4"/>
      <c r="N776" s="4"/>
      <c r="O776" s="4"/>
      <c r="P776" s="4"/>
      <c r="Q776" s="4"/>
      <c r="R776" s="4"/>
    </row>
    <row r="777">
      <c r="A777" s="71"/>
      <c r="B777" s="71"/>
      <c r="C777" s="76"/>
      <c r="D777" s="77"/>
      <c r="E777" s="77"/>
      <c r="F777" s="77"/>
      <c r="G777" s="77"/>
      <c r="H777" s="77"/>
      <c r="I777" s="4"/>
      <c r="J777" s="4"/>
      <c r="K777" s="4"/>
      <c r="L777" s="4"/>
      <c r="M777" s="4"/>
      <c r="N777" s="4"/>
      <c r="O777" s="4"/>
      <c r="P777" s="4"/>
      <c r="Q777" s="4"/>
      <c r="R777" s="4"/>
    </row>
    <row r="778">
      <c r="A778" s="71"/>
      <c r="B778" s="71"/>
      <c r="C778" s="76"/>
      <c r="D778" s="77"/>
      <c r="E778" s="77"/>
      <c r="F778" s="77"/>
      <c r="G778" s="77"/>
      <c r="H778" s="77"/>
      <c r="I778" s="4"/>
      <c r="J778" s="4"/>
      <c r="K778" s="4"/>
      <c r="L778" s="4"/>
      <c r="M778" s="4"/>
      <c r="N778" s="4"/>
      <c r="O778" s="4"/>
      <c r="P778" s="4"/>
      <c r="Q778" s="4"/>
      <c r="R778" s="4"/>
    </row>
    <row r="779">
      <c r="A779" s="71"/>
      <c r="B779" s="71"/>
      <c r="C779" s="76"/>
      <c r="D779" s="77"/>
      <c r="E779" s="77"/>
      <c r="F779" s="77"/>
      <c r="G779" s="77"/>
      <c r="H779" s="77"/>
      <c r="I779" s="4"/>
      <c r="J779" s="4"/>
      <c r="K779" s="4"/>
      <c r="L779" s="4"/>
      <c r="M779" s="4"/>
      <c r="N779" s="4"/>
      <c r="O779" s="4"/>
      <c r="P779" s="4"/>
      <c r="Q779" s="4"/>
      <c r="R779" s="4"/>
    </row>
    <row r="780">
      <c r="A780" s="71"/>
      <c r="B780" s="71"/>
      <c r="C780" s="76"/>
      <c r="D780" s="77"/>
      <c r="E780" s="77"/>
      <c r="F780" s="77"/>
      <c r="G780" s="77"/>
      <c r="H780" s="77"/>
      <c r="I780" s="4"/>
      <c r="J780" s="4"/>
      <c r="K780" s="4"/>
      <c r="L780" s="4"/>
      <c r="M780" s="4"/>
      <c r="N780" s="4"/>
      <c r="O780" s="4"/>
      <c r="P780" s="4"/>
      <c r="Q780" s="4"/>
      <c r="R780" s="4"/>
    </row>
    <row r="781">
      <c r="A781" s="71"/>
      <c r="B781" s="71"/>
      <c r="C781" s="76"/>
      <c r="D781" s="77"/>
      <c r="E781" s="77"/>
      <c r="F781" s="77"/>
      <c r="G781" s="77"/>
      <c r="H781" s="77"/>
      <c r="I781" s="4"/>
      <c r="J781" s="4"/>
      <c r="K781" s="4"/>
      <c r="L781" s="4"/>
      <c r="M781" s="4"/>
      <c r="N781" s="4"/>
      <c r="O781" s="4"/>
      <c r="P781" s="4"/>
      <c r="Q781" s="4"/>
      <c r="R781" s="4"/>
    </row>
    <row r="782">
      <c r="A782" s="71"/>
      <c r="B782" s="71"/>
      <c r="C782" s="76"/>
      <c r="D782" s="77"/>
      <c r="E782" s="77"/>
      <c r="F782" s="77"/>
      <c r="G782" s="77"/>
      <c r="H782" s="77"/>
      <c r="I782" s="4"/>
      <c r="J782" s="4"/>
      <c r="K782" s="4"/>
      <c r="L782" s="4"/>
      <c r="M782" s="4"/>
      <c r="N782" s="4"/>
      <c r="O782" s="4"/>
      <c r="P782" s="4"/>
      <c r="Q782" s="4"/>
      <c r="R782" s="4"/>
    </row>
    <row r="783">
      <c r="A783" s="71"/>
      <c r="B783" s="71"/>
      <c r="C783" s="76"/>
      <c r="D783" s="77"/>
      <c r="E783" s="77"/>
      <c r="F783" s="77"/>
      <c r="G783" s="77"/>
      <c r="H783" s="77"/>
      <c r="I783" s="4"/>
      <c r="J783" s="4"/>
      <c r="K783" s="4"/>
      <c r="L783" s="4"/>
      <c r="M783" s="4"/>
      <c r="N783" s="4"/>
      <c r="O783" s="4"/>
      <c r="P783" s="4"/>
      <c r="Q783" s="4"/>
      <c r="R783" s="4"/>
    </row>
    <row r="784">
      <c r="A784" s="71"/>
      <c r="B784" s="71"/>
      <c r="C784" s="76"/>
      <c r="D784" s="77"/>
      <c r="E784" s="77"/>
      <c r="F784" s="77"/>
      <c r="G784" s="77"/>
      <c r="H784" s="77"/>
      <c r="I784" s="4"/>
      <c r="J784" s="4"/>
      <c r="K784" s="4"/>
      <c r="L784" s="4"/>
      <c r="M784" s="4"/>
      <c r="N784" s="4"/>
      <c r="O784" s="4"/>
      <c r="P784" s="4"/>
      <c r="Q784" s="4"/>
      <c r="R784" s="4"/>
    </row>
    <row r="785">
      <c r="A785" s="71"/>
      <c r="B785" s="71"/>
      <c r="C785" s="76"/>
      <c r="D785" s="77"/>
      <c r="E785" s="77"/>
      <c r="F785" s="77"/>
      <c r="G785" s="77"/>
      <c r="H785" s="77"/>
      <c r="I785" s="4"/>
      <c r="J785" s="4"/>
      <c r="K785" s="4"/>
      <c r="L785" s="4"/>
      <c r="M785" s="4"/>
      <c r="N785" s="4"/>
      <c r="O785" s="4"/>
      <c r="P785" s="4"/>
      <c r="Q785" s="4"/>
      <c r="R785" s="4"/>
    </row>
    <row r="786">
      <c r="A786" s="71"/>
      <c r="B786" s="71"/>
      <c r="C786" s="76"/>
      <c r="D786" s="77"/>
      <c r="E786" s="77"/>
      <c r="F786" s="77"/>
      <c r="G786" s="77"/>
      <c r="H786" s="77"/>
      <c r="I786" s="4"/>
      <c r="J786" s="4"/>
      <c r="K786" s="4"/>
      <c r="L786" s="4"/>
      <c r="M786" s="4"/>
      <c r="N786" s="4"/>
      <c r="O786" s="4"/>
      <c r="P786" s="4"/>
      <c r="Q786" s="4"/>
      <c r="R786" s="4"/>
    </row>
    <row r="787">
      <c r="A787" s="71"/>
      <c r="B787" s="71"/>
      <c r="C787" s="76"/>
      <c r="D787" s="77"/>
      <c r="E787" s="77"/>
      <c r="F787" s="77"/>
      <c r="G787" s="77"/>
      <c r="H787" s="77"/>
      <c r="I787" s="4"/>
      <c r="J787" s="4"/>
      <c r="K787" s="4"/>
      <c r="L787" s="4"/>
      <c r="M787" s="4"/>
      <c r="N787" s="4"/>
      <c r="O787" s="4"/>
      <c r="P787" s="4"/>
      <c r="Q787" s="4"/>
      <c r="R787" s="4"/>
    </row>
    <row r="788">
      <c r="A788" s="71"/>
      <c r="B788" s="71"/>
      <c r="C788" s="76"/>
      <c r="D788" s="77"/>
      <c r="E788" s="77"/>
      <c r="F788" s="77"/>
      <c r="G788" s="77"/>
      <c r="H788" s="77"/>
      <c r="I788" s="4"/>
      <c r="J788" s="4"/>
      <c r="K788" s="4"/>
      <c r="L788" s="4"/>
      <c r="M788" s="4"/>
      <c r="N788" s="4"/>
      <c r="O788" s="4"/>
      <c r="P788" s="4"/>
      <c r="Q788" s="4"/>
      <c r="R788" s="4"/>
    </row>
    <row r="789">
      <c r="A789" s="71"/>
      <c r="B789" s="71"/>
      <c r="C789" s="76"/>
      <c r="D789" s="77"/>
      <c r="E789" s="77"/>
      <c r="F789" s="77"/>
      <c r="G789" s="77"/>
      <c r="H789" s="77"/>
      <c r="I789" s="4"/>
      <c r="J789" s="4"/>
      <c r="K789" s="4"/>
      <c r="L789" s="4"/>
      <c r="M789" s="4"/>
      <c r="N789" s="4"/>
      <c r="O789" s="4"/>
      <c r="P789" s="4"/>
      <c r="Q789" s="4"/>
      <c r="R789" s="4"/>
    </row>
    <row r="790">
      <c r="A790" s="71"/>
      <c r="B790" s="71"/>
      <c r="C790" s="76"/>
      <c r="D790" s="77"/>
      <c r="E790" s="77"/>
      <c r="F790" s="77"/>
      <c r="G790" s="77"/>
      <c r="H790" s="77"/>
      <c r="I790" s="4"/>
      <c r="J790" s="4"/>
      <c r="K790" s="4"/>
      <c r="L790" s="4"/>
      <c r="M790" s="4"/>
      <c r="N790" s="4"/>
      <c r="O790" s="4"/>
      <c r="P790" s="4"/>
      <c r="Q790" s="4"/>
      <c r="R790" s="4"/>
    </row>
    <row r="791">
      <c r="A791" s="71"/>
      <c r="B791" s="71"/>
      <c r="C791" s="76"/>
      <c r="D791" s="77"/>
      <c r="E791" s="77"/>
      <c r="F791" s="77"/>
      <c r="G791" s="77"/>
      <c r="H791" s="77"/>
      <c r="I791" s="4"/>
      <c r="J791" s="4"/>
      <c r="K791" s="4"/>
      <c r="L791" s="4"/>
      <c r="M791" s="4"/>
      <c r="N791" s="4"/>
      <c r="O791" s="4"/>
      <c r="P791" s="4"/>
      <c r="Q791" s="4"/>
      <c r="R791" s="4"/>
    </row>
    <row r="792">
      <c r="A792" s="71"/>
      <c r="B792" s="71"/>
      <c r="C792" s="76"/>
      <c r="D792" s="77"/>
      <c r="E792" s="77"/>
      <c r="F792" s="77"/>
      <c r="G792" s="77"/>
      <c r="H792" s="77"/>
      <c r="I792" s="4"/>
      <c r="J792" s="4"/>
      <c r="K792" s="4"/>
      <c r="L792" s="4"/>
      <c r="M792" s="4"/>
      <c r="N792" s="4"/>
      <c r="O792" s="4"/>
      <c r="P792" s="4"/>
      <c r="Q792" s="4"/>
      <c r="R792" s="4"/>
    </row>
    <row r="793">
      <c r="A793" s="71"/>
      <c r="B793" s="71"/>
      <c r="C793" s="76"/>
      <c r="D793" s="77"/>
      <c r="E793" s="77"/>
      <c r="F793" s="77"/>
      <c r="G793" s="77"/>
      <c r="H793" s="77"/>
      <c r="I793" s="4"/>
      <c r="J793" s="4"/>
      <c r="K793" s="4"/>
      <c r="L793" s="4"/>
      <c r="M793" s="4"/>
      <c r="N793" s="4"/>
      <c r="O793" s="4"/>
      <c r="P793" s="4"/>
      <c r="Q793" s="4"/>
      <c r="R793" s="4"/>
    </row>
    <row r="794">
      <c r="A794" s="71"/>
      <c r="B794" s="71"/>
      <c r="C794" s="76"/>
      <c r="D794" s="77"/>
      <c r="E794" s="77"/>
      <c r="F794" s="77"/>
      <c r="G794" s="77"/>
      <c r="H794" s="77"/>
      <c r="I794" s="4"/>
      <c r="J794" s="4"/>
      <c r="K794" s="4"/>
      <c r="L794" s="4"/>
      <c r="M794" s="4"/>
      <c r="N794" s="4"/>
      <c r="O794" s="4"/>
      <c r="P794" s="4"/>
      <c r="Q794" s="4"/>
      <c r="R794" s="4"/>
    </row>
    <row r="795">
      <c r="A795" s="71"/>
      <c r="B795" s="71"/>
      <c r="C795" s="76"/>
      <c r="D795" s="77"/>
      <c r="E795" s="77"/>
      <c r="F795" s="77"/>
      <c r="G795" s="77"/>
      <c r="H795" s="77"/>
      <c r="I795" s="4"/>
      <c r="J795" s="4"/>
      <c r="K795" s="4"/>
      <c r="L795" s="4"/>
      <c r="M795" s="4"/>
      <c r="N795" s="4"/>
      <c r="O795" s="4"/>
      <c r="P795" s="4"/>
      <c r="Q795" s="4"/>
      <c r="R795" s="4"/>
    </row>
    <row r="796">
      <c r="A796" s="71"/>
      <c r="B796" s="71"/>
      <c r="C796" s="76"/>
      <c r="D796" s="77"/>
      <c r="E796" s="77"/>
      <c r="F796" s="77"/>
      <c r="G796" s="77"/>
      <c r="H796" s="77"/>
      <c r="I796" s="4"/>
      <c r="J796" s="4"/>
      <c r="K796" s="4"/>
      <c r="L796" s="4"/>
      <c r="M796" s="4"/>
      <c r="N796" s="4"/>
      <c r="O796" s="4"/>
      <c r="P796" s="4"/>
      <c r="Q796" s="4"/>
      <c r="R796" s="4"/>
    </row>
    <row r="797">
      <c r="A797" s="71"/>
      <c r="B797" s="71"/>
      <c r="C797" s="76"/>
      <c r="D797" s="77"/>
      <c r="E797" s="77"/>
      <c r="F797" s="77"/>
      <c r="G797" s="77"/>
      <c r="H797" s="77"/>
      <c r="I797" s="4"/>
      <c r="J797" s="4"/>
      <c r="K797" s="4"/>
      <c r="L797" s="4"/>
      <c r="M797" s="4"/>
      <c r="N797" s="4"/>
      <c r="O797" s="4"/>
      <c r="P797" s="4"/>
      <c r="Q797" s="4"/>
      <c r="R797" s="4"/>
    </row>
    <row r="798">
      <c r="A798" s="71"/>
      <c r="B798" s="71"/>
      <c r="C798" s="76"/>
      <c r="D798" s="77"/>
      <c r="E798" s="77"/>
      <c r="F798" s="77"/>
      <c r="G798" s="77"/>
      <c r="H798" s="77"/>
      <c r="I798" s="4"/>
      <c r="J798" s="4"/>
      <c r="K798" s="4"/>
      <c r="L798" s="4"/>
      <c r="M798" s="4"/>
      <c r="N798" s="4"/>
      <c r="O798" s="4"/>
      <c r="P798" s="4"/>
      <c r="Q798" s="4"/>
      <c r="R798" s="4"/>
    </row>
    <row r="799">
      <c r="A799" s="71"/>
      <c r="B799" s="71"/>
      <c r="C799" s="76"/>
      <c r="D799" s="77"/>
      <c r="E799" s="77"/>
      <c r="F799" s="77"/>
      <c r="G799" s="77"/>
      <c r="H799" s="77"/>
      <c r="I799" s="4"/>
      <c r="J799" s="4"/>
      <c r="K799" s="4"/>
      <c r="L799" s="4"/>
      <c r="M799" s="4"/>
      <c r="N799" s="4"/>
      <c r="O799" s="4"/>
      <c r="P799" s="4"/>
      <c r="Q799" s="4"/>
      <c r="R799" s="4"/>
    </row>
    <row r="800">
      <c r="A800" s="71"/>
      <c r="B800" s="71"/>
      <c r="C800" s="76"/>
      <c r="D800" s="77"/>
      <c r="E800" s="77"/>
      <c r="F800" s="77"/>
      <c r="G800" s="77"/>
      <c r="H800" s="77"/>
      <c r="I800" s="4"/>
      <c r="J800" s="4"/>
      <c r="K800" s="4"/>
      <c r="L800" s="4"/>
      <c r="M800" s="4"/>
      <c r="N800" s="4"/>
      <c r="O800" s="4"/>
      <c r="P800" s="4"/>
      <c r="Q800" s="4"/>
      <c r="R800" s="4"/>
    </row>
    <row r="801">
      <c r="A801" s="71"/>
      <c r="B801" s="71"/>
      <c r="C801" s="76"/>
      <c r="D801" s="77"/>
      <c r="E801" s="77"/>
      <c r="F801" s="77"/>
      <c r="G801" s="77"/>
      <c r="H801" s="77"/>
      <c r="I801" s="4"/>
      <c r="J801" s="4"/>
      <c r="K801" s="4"/>
      <c r="L801" s="4"/>
      <c r="M801" s="4"/>
      <c r="N801" s="4"/>
      <c r="O801" s="4"/>
      <c r="P801" s="4"/>
      <c r="Q801" s="4"/>
      <c r="R801" s="4"/>
    </row>
    <row r="802">
      <c r="A802" s="71"/>
      <c r="B802" s="71"/>
      <c r="C802" s="76"/>
      <c r="D802" s="77"/>
      <c r="E802" s="77"/>
      <c r="F802" s="77"/>
      <c r="G802" s="77"/>
      <c r="H802" s="77"/>
      <c r="I802" s="4"/>
      <c r="J802" s="4"/>
      <c r="K802" s="4"/>
      <c r="L802" s="4"/>
      <c r="M802" s="4"/>
      <c r="N802" s="4"/>
      <c r="O802" s="4"/>
      <c r="P802" s="4"/>
      <c r="Q802" s="4"/>
      <c r="R802" s="4"/>
    </row>
    <row r="803">
      <c r="A803" s="71"/>
      <c r="B803" s="71"/>
      <c r="C803" s="76"/>
      <c r="D803" s="77"/>
      <c r="E803" s="77"/>
      <c r="F803" s="77"/>
      <c r="G803" s="77"/>
      <c r="H803" s="77"/>
      <c r="I803" s="4"/>
      <c r="J803" s="4"/>
      <c r="K803" s="4"/>
      <c r="L803" s="4"/>
      <c r="M803" s="4"/>
      <c r="N803" s="4"/>
      <c r="O803" s="4"/>
      <c r="P803" s="4"/>
      <c r="Q803" s="4"/>
      <c r="R803" s="4"/>
    </row>
    <row r="804">
      <c r="A804" s="71"/>
      <c r="B804" s="71"/>
      <c r="C804" s="76"/>
      <c r="D804" s="77"/>
      <c r="E804" s="77"/>
      <c r="F804" s="77"/>
      <c r="G804" s="77"/>
      <c r="H804" s="77"/>
      <c r="I804" s="4"/>
      <c r="J804" s="4"/>
      <c r="K804" s="4"/>
      <c r="L804" s="4"/>
      <c r="M804" s="4"/>
      <c r="N804" s="4"/>
      <c r="O804" s="4"/>
      <c r="P804" s="4"/>
      <c r="Q804" s="4"/>
      <c r="R804" s="4"/>
    </row>
    <row r="805">
      <c r="A805" s="71"/>
      <c r="B805" s="71"/>
      <c r="C805" s="76"/>
      <c r="D805" s="77"/>
      <c r="E805" s="77"/>
      <c r="F805" s="77"/>
      <c r="G805" s="77"/>
      <c r="H805" s="77"/>
      <c r="I805" s="4"/>
      <c r="J805" s="4"/>
      <c r="K805" s="4"/>
      <c r="L805" s="4"/>
      <c r="M805" s="4"/>
      <c r="N805" s="4"/>
      <c r="O805" s="4"/>
      <c r="P805" s="4"/>
      <c r="Q805" s="4"/>
      <c r="R805" s="4"/>
    </row>
    <row r="806">
      <c r="A806" s="71"/>
      <c r="B806" s="71"/>
      <c r="C806" s="76"/>
      <c r="D806" s="77"/>
      <c r="E806" s="77"/>
      <c r="F806" s="77"/>
      <c r="G806" s="77"/>
      <c r="H806" s="77"/>
      <c r="I806" s="4"/>
      <c r="J806" s="4"/>
      <c r="K806" s="4"/>
      <c r="L806" s="4"/>
      <c r="M806" s="4"/>
      <c r="N806" s="4"/>
      <c r="O806" s="4"/>
      <c r="P806" s="4"/>
      <c r="Q806" s="4"/>
      <c r="R806" s="4"/>
    </row>
    <row r="807">
      <c r="A807" s="71"/>
      <c r="B807" s="71"/>
      <c r="C807" s="76"/>
      <c r="D807" s="77"/>
      <c r="E807" s="77"/>
      <c r="F807" s="77"/>
      <c r="G807" s="77"/>
      <c r="H807" s="77"/>
      <c r="I807" s="4"/>
      <c r="J807" s="4"/>
      <c r="K807" s="4"/>
      <c r="L807" s="4"/>
      <c r="M807" s="4"/>
      <c r="N807" s="4"/>
      <c r="O807" s="4"/>
      <c r="P807" s="4"/>
      <c r="Q807" s="4"/>
      <c r="R807" s="4"/>
    </row>
    <row r="808">
      <c r="A808" s="71"/>
      <c r="B808" s="71"/>
      <c r="C808" s="76"/>
      <c r="D808" s="77"/>
      <c r="E808" s="77"/>
      <c r="F808" s="77"/>
      <c r="G808" s="77"/>
      <c r="H808" s="77"/>
      <c r="I808" s="4"/>
      <c r="J808" s="4"/>
      <c r="K808" s="4"/>
      <c r="L808" s="4"/>
      <c r="M808" s="4"/>
      <c r="N808" s="4"/>
      <c r="O808" s="4"/>
      <c r="P808" s="4"/>
      <c r="Q808" s="4"/>
      <c r="R808" s="4"/>
    </row>
    <row r="809">
      <c r="A809" s="71"/>
      <c r="B809" s="71"/>
      <c r="C809" s="76"/>
      <c r="D809" s="77"/>
      <c r="E809" s="77"/>
      <c r="F809" s="77"/>
      <c r="G809" s="77"/>
      <c r="H809" s="77"/>
      <c r="I809" s="4"/>
      <c r="J809" s="4"/>
      <c r="K809" s="4"/>
      <c r="L809" s="4"/>
      <c r="M809" s="4"/>
      <c r="N809" s="4"/>
      <c r="O809" s="4"/>
      <c r="P809" s="4"/>
      <c r="Q809" s="4"/>
      <c r="R809" s="4"/>
    </row>
    <row r="810">
      <c r="A810" s="71"/>
      <c r="B810" s="71"/>
      <c r="C810" s="76"/>
      <c r="D810" s="77"/>
      <c r="E810" s="77"/>
      <c r="F810" s="77"/>
      <c r="G810" s="77"/>
      <c r="H810" s="77"/>
      <c r="I810" s="4"/>
      <c r="J810" s="4"/>
      <c r="K810" s="4"/>
      <c r="L810" s="4"/>
      <c r="M810" s="4"/>
      <c r="N810" s="4"/>
      <c r="O810" s="4"/>
      <c r="P810" s="4"/>
      <c r="Q810" s="4"/>
      <c r="R810" s="4"/>
    </row>
    <row r="811">
      <c r="A811" s="71"/>
      <c r="B811" s="71"/>
      <c r="C811" s="76"/>
      <c r="D811" s="77"/>
      <c r="E811" s="77"/>
      <c r="F811" s="77"/>
      <c r="G811" s="77"/>
      <c r="H811" s="77"/>
      <c r="I811" s="4"/>
      <c r="J811" s="4"/>
      <c r="K811" s="4"/>
      <c r="L811" s="4"/>
      <c r="M811" s="4"/>
      <c r="N811" s="4"/>
      <c r="O811" s="4"/>
      <c r="P811" s="4"/>
      <c r="Q811" s="4"/>
      <c r="R811" s="4"/>
    </row>
    <row r="812">
      <c r="A812" s="71"/>
      <c r="B812" s="71"/>
      <c r="C812" s="76"/>
      <c r="D812" s="77"/>
      <c r="E812" s="77"/>
      <c r="F812" s="77"/>
      <c r="G812" s="77"/>
      <c r="H812" s="77"/>
      <c r="I812" s="4"/>
      <c r="J812" s="4"/>
      <c r="K812" s="4"/>
      <c r="L812" s="4"/>
      <c r="M812" s="4"/>
      <c r="N812" s="4"/>
      <c r="O812" s="4"/>
      <c r="P812" s="4"/>
      <c r="Q812" s="4"/>
      <c r="R812" s="4"/>
    </row>
    <row r="813">
      <c r="A813" s="71"/>
      <c r="B813" s="71"/>
      <c r="C813" s="76"/>
      <c r="D813" s="77"/>
      <c r="E813" s="77"/>
      <c r="F813" s="77"/>
      <c r="G813" s="77"/>
      <c r="H813" s="77"/>
      <c r="I813" s="4"/>
      <c r="J813" s="4"/>
      <c r="K813" s="4"/>
      <c r="L813" s="4"/>
      <c r="M813" s="4"/>
      <c r="N813" s="4"/>
      <c r="O813" s="4"/>
      <c r="P813" s="4"/>
      <c r="Q813" s="4"/>
      <c r="R813" s="4"/>
    </row>
    <row r="814">
      <c r="A814" s="71"/>
      <c r="B814" s="71"/>
      <c r="C814" s="76"/>
      <c r="D814" s="77"/>
      <c r="E814" s="77"/>
      <c r="F814" s="77"/>
      <c r="G814" s="77"/>
      <c r="H814" s="77"/>
      <c r="I814" s="4"/>
      <c r="J814" s="4"/>
      <c r="K814" s="4"/>
      <c r="L814" s="4"/>
      <c r="M814" s="4"/>
      <c r="N814" s="4"/>
      <c r="O814" s="4"/>
      <c r="P814" s="4"/>
      <c r="Q814" s="4"/>
      <c r="R814" s="4"/>
    </row>
    <row r="815">
      <c r="A815" s="71"/>
      <c r="B815" s="71"/>
      <c r="C815" s="76"/>
      <c r="D815" s="77"/>
      <c r="E815" s="77"/>
      <c r="F815" s="77"/>
      <c r="G815" s="77"/>
      <c r="H815" s="77"/>
      <c r="I815" s="4"/>
      <c r="J815" s="4"/>
      <c r="K815" s="4"/>
      <c r="L815" s="4"/>
      <c r="M815" s="4"/>
      <c r="N815" s="4"/>
      <c r="O815" s="4"/>
      <c r="P815" s="4"/>
      <c r="Q815" s="4"/>
      <c r="R815" s="4"/>
    </row>
    <row r="816">
      <c r="A816" s="71"/>
      <c r="B816" s="71"/>
      <c r="C816" s="76"/>
      <c r="D816" s="77"/>
      <c r="E816" s="77"/>
      <c r="F816" s="77"/>
      <c r="G816" s="77"/>
      <c r="H816" s="77"/>
      <c r="I816" s="4"/>
      <c r="J816" s="4"/>
      <c r="K816" s="4"/>
      <c r="L816" s="4"/>
      <c r="M816" s="4"/>
      <c r="N816" s="4"/>
      <c r="O816" s="4"/>
      <c r="P816" s="4"/>
      <c r="Q816" s="4"/>
      <c r="R816" s="4"/>
    </row>
    <row r="817">
      <c r="A817" s="71"/>
      <c r="B817" s="71"/>
      <c r="C817" s="76"/>
      <c r="D817" s="77"/>
      <c r="E817" s="77"/>
      <c r="F817" s="77"/>
      <c r="G817" s="77"/>
      <c r="H817" s="77"/>
      <c r="I817" s="4"/>
      <c r="J817" s="4"/>
      <c r="K817" s="4"/>
      <c r="L817" s="4"/>
      <c r="M817" s="4"/>
      <c r="N817" s="4"/>
      <c r="O817" s="4"/>
      <c r="P817" s="4"/>
      <c r="Q817" s="4"/>
      <c r="R817" s="4"/>
    </row>
    <row r="818">
      <c r="A818" s="71"/>
      <c r="B818" s="71"/>
      <c r="C818" s="76"/>
      <c r="D818" s="77"/>
      <c r="E818" s="77"/>
      <c r="F818" s="77"/>
      <c r="G818" s="77"/>
      <c r="H818" s="77"/>
      <c r="I818" s="4"/>
      <c r="J818" s="4"/>
      <c r="K818" s="4"/>
      <c r="L818" s="4"/>
      <c r="M818" s="4"/>
      <c r="N818" s="4"/>
      <c r="O818" s="4"/>
      <c r="P818" s="4"/>
      <c r="Q818" s="4"/>
      <c r="R818" s="4"/>
    </row>
    <row r="819">
      <c r="A819" s="71"/>
      <c r="B819" s="71"/>
      <c r="C819" s="76"/>
      <c r="D819" s="77"/>
      <c r="E819" s="77"/>
      <c r="F819" s="77"/>
      <c r="G819" s="77"/>
      <c r="H819" s="77"/>
      <c r="I819" s="4"/>
      <c r="J819" s="4"/>
      <c r="K819" s="4"/>
      <c r="L819" s="4"/>
      <c r="M819" s="4"/>
      <c r="N819" s="4"/>
      <c r="O819" s="4"/>
      <c r="P819" s="4"/>
      <c r="Q819" s="4"/>
      <c r="R819" s="4"/>
    </row>
    <row r="820">
      <c r="A820" s="71"/>
      <c r="B820" s="71"/>
      <c r="C820" s="76"/>
      <c r="D820" s="77"/>
      <c r="E820" s="77"/>
      <c r="F820" s="77"/>
      <c r="G820" s="77"/>
      <c r="H820" s="77"/>
      <c r="I820" s="4"/>
      <c r="J820" s="4"/>
      <c r="K820" s="4"/>
      <c r="L820" s="4"/>
      <c r="M820" s="4"/>
      <c r="N820" s="4"/>
      <c r="O820" s="4"/>
      <c r="P820" s="4"/>
      <c r="Q820" s="4"/>
      <c r="R820" s="4"/>
    </row>
    <row r="821">
      <c r="A821" s="71"/>
      <c r="B821" s="71"/>
      <c r="C821" s="76"/>
      <c r="D821" s="77"/>
      <c r="E821" s="77"/>
      <c r="F821" s="77"/>
      <c r="G821" s="77"/>
      <c r="H821" s="77"/>
      <c r="I821" s="4"/>
      <c r="J821" s="4"/>
      <c r="K821" s="4"/>
      <c r="L821" s="4"/>
      <c r="M821" s="4"/>
      <c r="N821" s="4"/>
      <c r="O821" s="4"/>
      <c r="P821" s="4"/>
      <c r="Q821" s="4"/>
      <c r="R821" s="4"/>
    </row>
    <row r="822">
      <c r="A822" s="71"/>
      <c r="B822" s="71"/>
      <c r="C822" s="76"/>
      <c r="D822" s="77"/>
      <c r="E822" s="77"/>
      <c r="F822" s="77"/>
      <c r="G822" s="77"/>
      <c r="H822" s="77"/>
      <c r="I822" s="4"/>
      <c r="J822" s="4"/>
      <c r="K822" s="4"/>
      <c r="L822" s="4"/>
      <c r="M822" s="4"/>
      <c r="N822" s="4"/>
      <c r="O822" s="4"/>
      <c r="P822" s="4"/>
      <c r="Q822" s="4"/>
      <c r="R822" s="4"/>
    </row>
    <row r="823">
      <c r="A823" s="71"/>
      <c r="B823" s="71"/>
      <c r="C823" s="76"/>
      <c r="D823" s="77"/>
      <c r="E823" s="77"/>
      <c r="F823" s="77"/>
      <c r="G823" s="77"/>
      <c r="H823" s="77"/>
      <c r="I823" s="4"/>
      <c r="J823" s="4"/>
      <c r="K823" s="4"/>
      <c r="L823" s="4"/>
      <c r="M823" s="4"/>
      <c r="N823" s="4"/>
      <c r="O823" s="4"/>
      <c r="P823" s="4"/>
      <c r="Q823" s="4"/>
      <c r="R823" s="4"/>
    </row>
    <row r="824">
      <c r="A824" s="71"/>
      <c r="B824" s="71"/>
      <c r="C824" s="76"/>
      <c r="D824" s="77"/>
      <c r="E824" s="77"/>
      <c r="F824" s="77"/>
      <c r="G824" s="77"/>
      <c r="H824" s="77"/>
      <c r="I824" s="4"/>
      <c r="J824" s="4"/>
      <c r="K824" s="4"/>
      <c r="L824" s="4"/>
      <c r="M824" s="4"/>
      <c r="N824" s="4"/>
      <c r="O824" s="4"/>
      <c r="P824" s="4"/>
      <c r="Q824" s="4"/>
      <c r="R824" s="4"/>
    </row>
    <row r="825">
      <c r="A825" s="71"/>
      <c r="B825" s="71"/>
      <c r="C825" s="76"/>
      <c r="D825" s="77"/>
      <c r="E825" s="77"/>
      <c r="F825" s="77"/>
      <c r="G825" s="77"/>
      <c r="H825" s="77"/>
      <c r="I825" s="4"/>
      <c r="J825" s="4"/>
      <c r="K825" s="4"/>
      <c r="L825" s="4"/>
      <c r="M825" s="4"/>
      <c r="N825" s="4"/>
      <c r="O825" s="4"/>
      <c r="P825" s="4"/>
      <c r="Q825" s="4"/>
      <c r="R825" s="4"/>
    </row>
    <row r="826">
      <c r="A826" s="71"/>
      <c r="B826" s="71"/>
      <c r="C826" s="76"/>
      <c r="D826" s="77"/>
      <c r="E826" s="77"/>
      <c r="F826" s="77"/>
      <c r="G826" s="77"/>
      <c r="H826" s="77"/>
      <c r="I826" s="4"/>
      <c r="J826" s="4"/>
      <c r="K826" s="4"/>
      <c r="L826" s="4"/>
      <c r="M826" s="4"/>
      <c r="N826" s="4"/>
      <c r="O826" s="4"/>
      <c r="P826" s="4"/>
      <c r="Q826" s="4"/>
      <c r="R826" s="4"/>
    </row>
    <row r="827">
      <c r="A827" s="71"/>
      <c r="B827" s="71"/>
      <c r="C827" s="76"/>
      <c r="D827" s="77"/>
      <c r="E827" s="77"/>
      <c r="F827" s="77"/>
      <c r="G827" s="77"/>
      <c r="H827" s="77"/>
      <c r="I827" s="4"/>
      <c r="J827" s="4"/>
      <c r="K827" s="4"/>
      <c r="L827" s="4"/>
      <c r="M827" s="4"/>
      <c r="N827" s="4"/>
      <c r="O827" s="4"/>
      <c r="P827" s="4"/>
      <c r="Q827" s="4"/>
      <c r="R827" s="4"/>
    </row>
    <row r="828">
      <c r="A828" s="71"/>
      <c r="B828" s="71"/>
      <c r="C828" s="76"/>
      <c r="D828" s="77"/>
      <c r="E828" s="77"/>
      <c r="F828" s="77"/>
      <c r="G828" s="77"/>
      <c r="H828" s="77"/>
      <c r="I828" s="4"/>
      <c r="J828" s="4"/>
      <c r="K828" s="4"/>
      <c r="L828" s="4"/>
      <c r="M828" s="4"/>
      <c r="N828" s="4"/>
      <c r="O828" s="4"/>
      <c r="P828" s="4"/>
      <c r="Q828" s="4"/>
      <c r="R828" s="4"/>
    </row>
    <row r="829">
      <c r="A829" s="71"/>
      <c r="B829" s="71"/>
      <c r="C829" s="76"/>
      <c r="D829" s="77"/>
      <c r="E829" s="77"/>
      <c r="F829" s="77"/>
      <c r="G829" s="77"/>
      <c r="H829" s="77"/>
      <c r="I829" s="4"/>
      <c r="J829" s="4"/>
      <c r="K829" s="4"/>
      <c r="L829" s="4"/>
      <c r="M829" s="4"/>
      <c r="N829" s="4"/>
      <c r="O829" s="4"/>
      <c r="P829" s="4"/>
      <c r="Q829" s="4"/>
      <c r="R829" s="4"/>
    </row>
    <row r="830">
      <c r="A830" s="71"/>
      <c r="B830" s="71"/>
      <c r="C830" s="76"/>
      <c r="D830" s="77"/>
      <c r="E830" s="77"/>
      <c r="F830" s="77"/>
      <c r="G830" s="77"/>
      <c r="H830" s="77"/>
      <c r="I830" s="4"/>
      <c r="J830" s="4"/>
      <c r="K830" s="4"/>
      <c r="L830" s="4"/>
      <c r="M830" s="4"/>
      <c r="N830" s="4"/>
      <c r="O830" s="4"/>
      <c r="P830" s="4"/>
      <c r="Q830" s="4"/>
      <c r="R830" s="4"/>
    </row>
    <row r="831">
      <c r="A831" s="71"/>
      <c r="B831" s="71"/>
      <c r="C831" s="76"/>
      <c r="D831" s="77"/>
      <c r="E831" s="77"/>
      <c r="F831" s="77"/>
      <c r="G831" s="77"/>
      <c r="H831" s="77"/>
      <c r="I831" s="4"/>
      <c r="J831" s="4"/>
      <c r="K831" s="4"/>
      <c r="L831" s="4"/>
      <c r="M831" s="4"/>
      <c r="N831" s="4"/>
      <c r="O831" s="4"/>
      <c r="P831" s="4"/>
      <c r="Q831" s="4"/>
      <c r="R831" s="4"/>
    </row>
    <row r="832">
      <c r="A832" s="71"/>
      <c r="B832" s="71"/>
      <c r="C832" s="76"/>
      <c r="D832" s="77"/>
      <c r="E832" s="77"/>
      <c r="F832" s="77"/>
      <c r="G832" s="77"/>
      <c r="H832" s="77"/>
      <c r="I832" s="4"/>
      <c r="J832" s="4"/>
      <c r="K832" s="4"/>
      <c r="L832" s="4"/>
      <c r="M832" s="4"/>
      <c r="N832" s="4"/>
      <c r="O832" s="4"/>
      <c r="P832" s="4"/>
      <c r="Q832" s="4"/>
      <c r="R832" s="4"/>
    </row>
    <row r="833">
      <c r="A833" s="71"/>
      <c r="B833" s="71"/>
      <c r="C833" s="76"/>
      <c r="D833" s="77"/>
      <c r="E833" s="77"/>
      <c r="F833" s="77"/>
      <c r="G833" s="77"/>
      <c r="H833" s="77"/>
      <c r="I833" s="4"/>
      <c r="J833" s="4"/>
      <c r="K833" s="4"/>
      <c r="L833" s="4"/>
      <c r="M833" s="4"/>
      <c r="N833" s="4"/>
      <c r="O833" s="4"/>
      <c r="P833" s="4"/>
      <c r="Q833" s="4"/>
      <c r="R833" s="4"/>
    </row>
    <row r="834">
      <c r="A834" s="71"/>
      <c r="B834" s="71"/>
      <c r="C834" s="76"/>
      <c r="D834" s="77"/>
      <c r="E834" s="77"/>
      <c r="F834" s="77"/>
      <c r="G834" s="77"/>
      <c r="H834" s="77"/>
      <c r="I834" s="4"/>
      <c r="J834" s="4"/>
      <c r="K834" s="4"/>
      <c r="L834" s="4"/>
      <c r="M834" s="4"/>
      <c r="N834" s="4"/>
      <c r="O834" s="4"/>
      <c r="P834" s="4"/>
      <c r="Q834" s="4"/>
      <c r="R834" s="4"/>
    </row>
    <row r="835">
      <c r="A835" s="71"/>
      <c r="B835" s="71"/>
      <c r="C835" s="76"/>
      <c r="D835" s="77"/>
      <c r="E835" s="77"/>
      <c r="F835" s="77"/>
      <c r="G835" s="77"/>
      <c r="H835" s="77"/>
      <c r="I835" s="4"/>
      <c r="J835" s="4"/>
      <c r="K835" s="4"/>
      <c r="L835" s="4"/>
      <c r="M835" s="4"/>
      <c r="N835" s="4"/>
      <c r="O835" s="4"/>
      <c r="P835" s="4"/>
      <c r="Q835" s="4"/>
      <c r="R835" s="4"/>
    </row>
    <row r="836">
      <c r="A836" s="71"/>
      <c r="B836" s="71"/>
      <c r="C836" s="76"/>
      <c r="D836" s="77"/>
      <c r="E836" s="77"/>
      <c r="F836" s="77"/>
      <c r="G836" s="77"/>
      <c r="H836" s="77"/>
      <c r="I836" s="4"/>
      <c r="J836" s="4"/>
      <c r="K836" s="4"/>
      <c r="L836" s="4"/>
      <c r="M836" s="4"/>
      <c r="N836" s="4"/>
      <c r="O836" s="4"/>
      <c r="P836" s="4"/>
      <c r="Q836" s="4"/>
      <c r="R836" s="4"/>
    </row>
    <row r="837">
      <c r="A837" s="71"/>
      <c r="B837" s="71"/>
      <c r="C837" s="76"/>
      <c r="D837" s="77"/>
      <c r="E837" s="77"/>
      <c r="F837" s="77"/>
      <c r="G837" s="77"/>
      <c r="H837" s="77"/>
      <c r="I837" s="4"/>
      <c r="J837" s="4"/>
      <c r="K837" s="4"/>
      <c r="L837" s="4"/>
      <c r="M837" s="4"/>
      <c r="N837" s="4"/>
      <c r="O837" s="4"/>
      <c r="P837" s="4"/>
      <c r="Q837" s="4"/>
      <c r="R837" s="4"/>
    </row>
    <row r="838">
      <c r="A838" s="71"/>
      <c r="B838" s="71"/>
      <c r="C838" s="76"/>
      <c r="D838" s="77"/>
      <c r="E838" s="77"/>
      <c r="F838" s="77"/>
      <c r="G838" s="77"/>
      <c r="H838" s="77"/>
      <c r="I838" s="4"/>
      <c r="J838" s="4"/>
      <c r="K838" s="4"/>
      <c r="L838" s="4"/>
      <c r="M838" s="4"/>
      <c r="N838" s="4"/>
      <c r="O838" s="4"/>
      <c r="P838" s="4"/>
      <c r="Q838" s="4"/>
      <c r="R838" s="4"/>
    </row>
    <row r="839">
      <c r="A839" s="71"/>
      <c r="B839" s="71"/>
      <c r="C839" s="76"/>
      <c r="D839" s="77"/>
      <c r="E839" s="77"/>
      <c r="F839" s="77"/>
      <c r="G839" s="77"/>
      <c r="H839" s="77"/>
      <c r="I839" s="4"/>
      <c r="J839" s="4"/>
      <c r="K839" s="4"/>
      <c r="L839" s="4"/>
      <c r="M839" s="4"/>
      <c r="N839" s="4"/>
      <c r="O839" s="4"/>
      <c r="P839" s="4"/>
      <c r="Q839" s="4"/>
      <c r="R839" s="4"/>
    </row>
    <row r="840">
      <c r="A840" s="71"/>
      <c r="B840" s="71"/>
      <c r="C840" s="76"/>
      <c r="D840" s="77"/>
      <c r="E840" s="77"/>
      <c r="F840" s="77"/>
      <c r="G840" s="77"/>
      <c r="H840" s="77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>
      <c r="A841" s="71"/>
      <c r="B841" s="71"/>
      <c r="C841" s="76"/>
      <c r="D841" s="77"/>
      <c r="E841" s="77"/>
      <c r="F841" s="77"/>
      <c r="G841" s="77"/>
      <c r="H841" s="77"/>
      <c r="I841" s="4"/>
      <c r="J841" s="4"/>
      <c r="K841" s="4"/>
      <c r="L841" s="4"/>
      <c r="M841" s="4"/>
      <c r="N841" s="4"/>
      <c r="O841" s="4"/>
      <c r="P841" s="4"/>
      <c r="Q841" s="4"/>
      <c r="R841" s="4"/>
    </row>
    <row r="842">
      <c r="A842" s="71"/>
      <c r="B842" s="71"/>
      <c r="C842" s="76"/>
      <c r="D842" s="77"/>
      <c r="E842" s="77"/>
      <c r="F842" s="77"/>
      <c r="G842" s="77"/>
      <c r="H842" s="77"/>
      <c r="I842" s="4"/>
      <c r="J842" s="4"/>
      <c r="K842" s="4"/>
      <c r="L842" s="4"/>
      <c r="M842" s="4"/>
      <c r="N842" s="4"/>
      <c r="O842" s="4"/>
      <c r="P842" s="4"/>
      <c r="Q842" s="4"/>
      <c r="R842" s="4"/>
    </row>
    <row r="843">
      <c r="A843" s="71"/>
      <c r="B843" s="71"/>
      <c r="C843" s="76"/>
      <c r="D843" s="77"/>
      <c r="E843" s="77"/>
      <c r="F843" s="77"/>
      <c r="G843" s="77"/>
      <c r="H843" s="77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>
      <c r="A844" s="71"/>
      <c r="B844" s="71"/>
      <c r="C844" s="76"/>
      <c r="D844" s="77"/>
      <c r="E844" s="77"/>
      <c r="F844" s="77"/>
      <c r="G844" s="77"/>
      <c r="H844" s="77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>
      <c r="A845" s="71"/>
      <c r="B845" s="71"/>
      <c r="C845" s="76"/>
      <c r="D845" s="77"/>
      <c r="E845" s="77"/>
      <c r="F845" s="77"/>
      <c r="G845" s="77"/>
      <c r="H845" s="77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>
      <c r="A846" s="71"/>
      <c r="B846" s="71"/>
      <c r="C846" s="76"/>
      <c r="D846" s="77"/>
      <c r="E846" s="77"/>
      <c r="F846" s="77"/>
      <c r="G846" s="77"/>
      <c r="H846" s="77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>
      <c r="A847" s="71"/>
      <c r="B847" s="71"/>
      <c r="C847" s="76"/>
      <c r="D847" s="77"/>
      <c r="E847" s="77"/>
      <c r="F847" s="77"/>
      <c r="G847" s="77"/>
      <c r="H847" s="77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>
      <c r="A848" s="71"/>
      <c r="B848" s="71"/>
      <c r="C848" s="76"/>
      <c r="D848" s="77"/>
      <c r="E848" s="77"/>
      <c r="F848" s="77"/>
      <c r="G848" s="77"/>
      <c r="H848" s="77"/>
      <c r="I848" s="4"/>
      <c r="J848" s="4"/>
      <c r="K848" s="4"/>
      <c r="L848" s="4"/>
      <c r="M848" s="4"/>
      <c r="N848" s="4"/>
      <c r="O848" s="4"/>
      <c r="P848" s="4"/>
      <c r="Q848" s="4"/>
      <c r="R848" s="4"/>
    </row>
    <row r="849">
      <c r="A849" s="71"/>
      <c r="B849" s="71"/>
      <c r="C849" s="76"/>
      <c r="D849" s="77"/>
      <c r="E849" s="77"/>
      <c r="F849" s="77"/>
      <c r="G849" s="77"/>
      <c r="H849" s="77"/>
      <c r="I849" s="4"/>
      <c r="J849" s="4"/>
      <c r="K849" s="4"/>
      <c r="L849" s="4"/>
      <c r="M849" s="4"/>
      <c r="N849" s="4"/>
      <c r="O849" s="4"/>
      <c r="P849" s="4"/>
      <c r="Q849" s="4"/>
      <c r="R849" s="4"/>
    </row>
    <row r="850">
      <c r="A850" s="71"/>
      <c r="B850" s="71"/>
      <c r="C850" s="76"/>
      <c r="D850" s="77"/>
      <c r="E850" s="77"/>
      <c r="F850" s="77"/>
      <c r="G850" s="77"/>
      <c r="H850" s="77"/>
      <c r="I850" s="4"/>
      <c r="J850" s="4"/>
      <c r="K850" s="4"/>
      <c r="L850" s="4"/>
      <c r="M850" s="4"/>
      <c r="N850" s="4"/>
      <c r="O850" s="4"/>
      <c r="P850" s="4"/>
      <c r="Q850" s="4"/>
      <c r="R850" s="4"/>
    </row>
    <row r="851">
      <c r="A851" s="71"/>
      <c r="B851" s="71"/>
      <c r="C851" s="76"/>
      <c r="D851" s="77"/>
      <c r="E851" s="77"/>
      <c r="F851" s="77"/>
      <c r="G851" s="77"/>
      <c r="H851" s="77"/>
      <c r="I851" s="4"/>
      <c r="J851" s="4"/>
      <c r="K851" s="4"/>
      <c r="L851" s="4"/>
      <c r="M851" s="4"/>
      <c r="N851" s="4"/>
      <c r="O851" s="4"/>
      <c r="P851" s="4"/>
      <c r="Q851" s="4"/>
      <c r="R851" s="4"/>
    </row>
    <row r="852">
      <c r="A852" s="71"/>
      <c r="B852" s="71"/>
      <c r="C852" s="76"/>
      <c r="D852" s="77"/>
      <c r="E852" s="77"/>
      <c r="F852" s="77"/>
      <c r="G852" s="77"/>
      <c r="H852" s="77"/>
      <c r="I852" s="4"/>
      <c r="J852" s="4"/>
      <c r="K852" s="4"/>
      <c r="L852" s="4"/>
      <c r="M852" s="4"/>
      <c r="N852" s="4"/>
      <c r="O852" s="4"/>
      <c r="P852" s="4"/>
      <c r="Q852" s="4"/>
      <c r="R852" s="4"/>
    </row>
    <row r="853">
      <c r="A853" s="71"/>
      <c r="B853" s="71"/>
      <c r="C853" s="76"/>
      <c r="D853" s="77"/>
      <c r="E853" s="77"/>
      <c r="F853" s="77"/>
      <c r="G853" s="77"/>
      <c r="H853" s="77"/>
      <c r="I853" s="4"/>
      <c r="J853" s="4"/>
      <c r="K853" s="4"/>
      <c r="L853" s="4"/>
      <c r="M853" s="4"/>
      <c r="N853" s="4"/>
      <c r="O853" s="4"/>
      <c r="P853" s="4"/>
      <c r="Q853" s="4"/>
      <c r="R853" s="4"/>
    </row>
    <row r="854">
      <c r="A854" s="71"/>
      <c r="B854" s="71"/>
      <c r="C854" s="76"/>
      <c r="D854" s="77"/>
      <c r="E854" s="77"/>
      <c r="F854" s="77"/>
      <c r="G854" s="77"/>
      <c r="H854" s="77"/>
      <c r="I854" s="4"/>
      <c r="J854" s="4"/>
      <c r="K854" s="4"/>
      <c r="L854" s="4"/>
      <c r="M854" s="4"/>
      <c r="N854" s="4"/>
      <c r="O854" s="4"/>
      <c r="P854" s="4"/>
      <c r="Q854" s="4"/>
      <c r="R854" s="4"/>
    </row>
    <row r="855">
      <c r="A855" s="71"/>
      <c r="B855" s="71"/>
      <c r="C855" s="76"/>
      <c r="D855" s="77"/>
      <c r="E855" s="77"/>
      <c r="F855" s="77"/>
      <c r="G855" s="77"/>
      <c r="H855" s="77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>
      <c r="A856" s="71"/>
      <c r="B856" s="71"/>
      <c r="C856" s="76"/>
      <c r="D856" s="77"/>
      <c r="E856" s="77"/>
      <c r="F856" s="77"/>
      <c r="G856" s="77"/>
      <c r="H856" s="77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>
      <c r="A857" s="71"/>
      <c r="B857" s="71"/>
      <c r="C857" s="76"/>
      <c r="D857" s="77"/>
      <c r="E857" s="77"/>
      <c r="F857" s="77"/>
      <c r="G857" s="77"/>
      <c r="H857" s="77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>
      <c r="A858" s="71"/>
      <c r="B858" s="71"/>
      <c r="C858" s="76"/>
      <c r="D858" s="77"/>
      <c r="E858" s="77"/>
      <c r="F858" s="77"/>
      <c r="G858" s="77"/>
      <c r="H858" s="77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>
      <c r="A859" s="71"/>
      <c r="B859" s="71"/>
      <c r="C859" s="76"/>
      <c r="D859" s="77"/>
      <c r="E859" s="77"/>
      <c r="F859" s="77"/>
      <c r="G859" s="77"/>
      <c r="H859" s="77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>
      <c r="A860" s="71"/>
      <c r="B860" s="71"/>
      <c r="C860" s="76"/>
      <c r="D860" s="77"/>
      <c r="E860" s="77"/>
      <c r="F860" s="77"/>
      <c r="G860" s="77"/>
      <c r="H860" s="77"/>
      <c r="I860" s="4"/>
      <c r="J860" s="4"/>
      <c r="K860" s="4"/>
      <c r="L860" s="4"/>
      <c r="M860" s="4"/>
      <c r="N860" s="4"/>
      <c r="O860" s="4"/>
      <c r="P860" s="4"/>
      <c r="Q860" s="4"/>
      <c r="R860" s="4"/>
    </row>
    <row r="861">
      <c r="A861" s="71"/>
      <c r="B861" s="71"/>
      <c r="C861" s="76"/>
      <c r="D861" s="77"/>
      <c r="E861" s="77"/>
      <c r="F861" s="77"/>
      <c r="G861" s="77"/>
      <c r="H861" s="77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>
      <c r="A862" s="71"/>
      <c r="B862" s="71"/>
      <c r="C862" s="76"/>
      <c r="D862" s="77"/>
      <c r="E862" s="77"/>
      <c r="F862" s="77"/>
      <c r="G862" s="77"/>
      <c r="H862" s="77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>
      <c r="A863" s="71"/>
      <c r="B863" s="71"/>
      <c r="C863" s="76"/>
      <c r="D863" s="77"/>
      <c r="E863" s="77"/>
      <c r="F863" s="77"/>
      <c r="G863" s="77"/>
      <c r="H863" s="77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>
      <c r="A864" s="71"/>
      <c r="B864" s="71"/>
      <c r="C864" s="76"/>
      <c r="D864" s="77"/>
      <c r="E864" s="77"/>
      <c r="F864" s="77"/>
      <c r="G864" s="77"/>
      <c r="H864" s="77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>
      <c r="A865" s="71"/>
      <c r="B865" s="71"/>
      <c r="C865" s="76"/>
      <c r="D865" s="77"/>
      <c r="E865" s="77"/>
      <c r="F865" s="77"/>
      <c r="G865" s="77"/>
      <c r="H865" s="77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>
      <c r="A866" s="71"/>
      <c r="B866" s="71"/>
      <c r="C866" s="76"/>
      <c r="D866" s="77"/>
      <c r="E866" s="77"/>
      <c r="F866" s="77"/>
      <c r="G866" s="77"/>
      <c r="H866" s="77"/>
      <c r="I866" s="4"/>
      <c r="J866" s="4"/>
      <c r="K866" s="4"/>
      <c r="L866" s="4"/>
      <c r="M866" s="4"/>
      <c r="N866" s="4"/>
      <c r="O866" s="4"/>
      <c r="P866" s="4"/>
      <c r="Q866" s="4"/>
      <c r="R866" s="4"/>
    </row>
    <row r="867">
      <c r="A867" s="71"/>
      <c r="B867" s="71"/>
      <c r="C867" s="76"/>
      <c r="D867" s="77"/>
      <c r="E867" s="77"/>
      <c r="F867" s="77"/>
      <c r="G867" s="77"/>
      <c r="H867" s="77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>
      <c r="A868" s="71"/>
      <c r="B868" s="71"/>
      <c r="C868" s="76"/>
      <c r="D868" s="77"/>
      <c r="E868" s="77"/>
      <c r="F868" s="77"/>
      <c r="G868" s="77"/>
      <c r="H868" s="77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>
      <c r="A869" s="71"/>
      <c r="B869" s="71"/>
      <c r="C869" s="76"/>
      <c r="D869" s="77"/>
      <c r="E869" s="77"/>
      <c r="F869" s="77"/>
      <c r="G869" s="77"/>
      <c r="H869" s="77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>
      <c r="A870" s="71"/>
      <c r="B870" s="71"/>
      <c r="C870" s="76"/>
      <c r="D870" s="77"/>
      <c r="E870" s="77"/>
      <c r="F870" s="77"/>
      <c r="G870" s="77"/>
      <c r="H870" s="77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>
      <c r="A871" s="71"/>
      <c r="B871" s="71"/>
      <c r="C871" s="76"/>
      <c r="D871" s="77"/>
      <c r="E871" s="77"/>
      <c r="F871" s="77"/>
      <c r="G871" s="77"/>
      <c r="H871" s="77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>
      <c r="A872" s="71"/>
      <c r="B872" s="71"/>
      <c r="C872" s="76"/>
      <c r="D872" s="77"/>
      <c r="E872" s="77"/>
      <c r="F872" s="77"/>
      <c r="G872" s="77"/>
      <c r="H872" s="77"/>
      <c r="I872" s="4"/>
      <c r="J872" s="4"/>
      <c r="K872" s="4"/>
      <c r="L872" s="4"/>
      <c r="M872" s="4"/>
      <c r="N872" s="4"/>
      <c r="O872" s="4"/>
      <c r="P872" s="4"/>
      <c r="Q872" s="4"/>
      <c r="R872" s="4"/>
    </row>
    <row r="873">
      <c r="A873" s="71"/>
      <c r="B873" s="71"/>
      <c r="C873" s="76"/>
      <c r="D873" s="77"/>
      <c r="E873" s="77"/>
      <c r="F873" s="77"/>
      <c r="G873" s="77"/>
      <c r="H873" s="77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>
      <c r="A874" s="71"/>
      <c r="B874" s="71"/>
      <c r="C874" s="76"/>
      <c r="D874" s="77"/>
      <c r="E874" s="77"/>
      <c r="F874" s="77"/>
      <c r="G874" s="77"/>
      <c r="H874" s="77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>
      <c r="A875" s="71"/>
      <c r="B875" s="71"/>
      <c r="C875" s="76"/>
      <c r="D875" s="77"/>
      <c r="E875" s="77"/>
      <c r="F875" s="77"/>
      <c r="G875" s="77"/>
      <c r="H875" s="77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>
      <c r="A876" s="71"/>
      <c r="B876" s="71"/>
      <c r="C876" s="76"/>
      <c r="D876" s="77"/>
      <c r="E876" s="77"/>
      <c r="F876" s="77"/>
      <c r="G876" s="77"/>
      <c r="H876" s="77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>
      <c r="A877" s="71"/>
      <c r="B877" s="71"/>
      <c r="C877" s="76"/>
      <c r="D877" s="77"/>
      <c r="E877" s="77"/>
      <c r="F877" s="77"/>
      <c r="G877" s="77"/>
      <c r="H877" s="77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>
      <c r="A878" s="71"/>
      <c r="B878" s="71"/>
      <c r="C878" s="76"/>
      <c r="D878" s="77"/>
      <c r="E878" s="77"/>
      <c r="F878" s="77"/>
      <c r="G878" s="77"/>
      <c r="H878" s="77"/>
      <c r="I878" s="4"/>
      <c r="J878" s="4"/>
      <c r="K878" s="4"/>
      <c r="L878" s="4"/>
      <c r="M878" s="4"/>
      <c r="N878" s="4"/>
      <c r="O878" s="4"/>
      <c r="P878" s="4"/>
      <c r="Q878" s="4"/>
      <c r="R878" s="4"/>
    </row>
    <row r="879">
      <c r="A879" s="71"/>
      <c r="B879" s="71"/>
      <c r="C879" s="76"/>
      <c r="D879" s="77"/>
      <c r="E879" s="77"/>
      <c r="F879" s="77"/>
      <c r="G879" s="77"/>
      <c r="H879" s="77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>
      <c r="A880" s="71"/>
      <c r="B880" s="71"/>
      <c r="C880" s="76"/>
      <c r="D880" s="77"/>
      <c r="E880" s="77"/>
      <c r="F880" s="77"/>
      <c r="G880" s="77"/>
      <c r="H880" s="77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>
      <c r="A881" s="71"/>
      <c r="B881" s="71"/>
      <c r="C881" s="76"/>
      <c r="D881" s="77"/>
      <c r="E881" s="77"/>
      <c r="F881" s="77"/>
      <c r="G881" s="77"/>
      <c r="H881" s="77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>
      <c r="A882" s="71"/>
      <c r="B882" s="71"/>
      <c r="C882" s="76"/>
      <c r="D882" s="77"/>
      <c r="E882" s="77"/>
      <c r="F882" s="77"/>
      <c r="G882" s="77"/>
      <c r="H882" s="77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>
      <c r="A883" s="71"/>
      <c r="B883" s="71"/>
      <c r="C883" s="76"/>
      <c r="D883" s="77"/>
      <c r="E883" s="77"/>
      <c r="F883" s="77"/>
      <c r="G883" s="77"/>
      <c r="H883" s="77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>
      <c r="A884" s="71"/>
      <c r="B884" s="71"/>
      <c r="C884" s="76"/>
      <c r="D884" s="77"/>
      <c r="E884" s="77"/>
      <c r="F884" s="77"/>
      <c r="G884" s="77"/>
      <c r="H884" s="77"/>
      <c r="I884" s="4"/>
      <c r="J884" s="4"/>
      <c r="K884" s="4"/>
      <c r="L884" s="4"/>
      <c r="M884" s="4"/>
      <c r="N884" s="4"/>
      <c r="O884" s="4"/>
      <c r="P884" s="4"/>
      <c r="Q884" s="4"/>
      <c r="R884" s="4"/>
    </row>
    <row r="885">
      <c r="A885" s="71"/>
      <c r="B885" s="71"/>
      <c r="C885" s="76"/>
      <c r="D885" s="77"/>
      <c r="E885" s="77"/>
      <c r="F885" s="77"/>
      <c r="G885" s="77"/>
      <c r="H885" s="77"/>
      <c r="I885" s="4"/>
      <c r="J885" s="4"/>
      <c r="K885" s="4"/>
      <c r="L885" s="4"/>
      <c r="M885" s="4"/>
      <c r="N885" s="4"/>
      <c r="O885" s="4"/>
      <c r="P885" s="4"/>
      <c r="Q885" s="4"/>
      <c r="R885" s="4"/>
    </row>
    <row r="886">
      <c r="A886" s="71"/>
      <c r="B886" s="71"/>
      <c r="C886" s="76"/>
      <c r="D886" s="77"/>
      <c r="E886" s="77"/>
      <c r="F886" s="77"/>
      <c r="G886" s="77"/>
      <c r="H886" s="77"/>
      <c r="I886" s="4"/>
      <c r="J886" s="4"/>
      <c r="K886" s="4"/>
      <c r="L886" s="4"/>
      <c r="M886" s="4"/>
      <c r="N886" s="4"/>
      <c r="O886" s="4"/>
      <c r="P886" s="4"/>
      <c r="Q886" s="4"/>
      <c r="R886" s="4"/>
    </row>
    <row r="887">
      <c r="A887" s="71"/>
      <c r="B887" s="71"/>
      <c r="C887" s="76"/>
      <c r="D887" s="77"/>
      <c r="E887" s="77"/>
      <c r="F887" s="77"/>
      <c r="G887" s="77"/>
      <c r="H887" s="77"/>
      <c r="I887" s="4"/>
      <c r="J887" s="4"/>
      <c r="K887" s="4"/>
      <c r="L887" s="4"/>
      <c r="M887" s="4"/>
      <c r="N887" s="4"/>
      <c r="O887" s="4"/>
      <c r="P887" s="4"/>
      <c r="Q887" s="4"/>
      <c r="R887" s="4"/>
    </row>
    <row r="888">
      <c r="A888" s="71"/>
      <c r="B888" s="71"/>
      <c r="C888" s="76"/>
      <c r="D888" s="77"/>
      <c r="E888" s="77"/>
      <c r="F888" s="77"/>
      <c r="G888" s="77"/>
      <c r="H888" s="77"/>
      <c r="I888" s="4"/>
      <c r="J888" s="4"/>
      <c r="K888" s="4"/>
      <c r="L888" s="4"/>
      <c r="M888" s="4"/>
      <c r="N888" s="4"/>
      <c r="O888" s="4"/>
      <c r="P888" s="4"/>
      <c r="Q888" s="4"/>
      <c r="R888" s="4"/>
    </row>
    <row r="889">
      <c r="A889" s="71"/>
      <c r="B889" s="71"/>
      <c r="C889" s="76"/>
      <c r="D889" s="77"/>
      <c r="E889" s="77"/>
      <c r="F889" s="77"/>
      <c r="G889" s="77"/>
      <c r="H889" s="77"/>
      <c r="I889" s="4"/>
      <c r="J889" s="4"/>
      <c r="K889" s="4"/>
      <c r="L889" s="4"/>
      <c r="M889" s="4"/>
      <c r="N889" s="4"/>
      <c r="O889" s="4"/>
      <c r="P889" s="4"/>
      <c r="Q889" s="4"/>
      <c r="R889" s="4"/>
    </row>
    <row r="890">
      <c r="A890" s="71"/>
      <c r="B890" s="71"/>
      <c r="C890" s="76"/>
      <c r="D890" s="77"/>
      <c r="E890" s="77"/>
      <c r="F890" s="77"/>
      <c r="G890" s="77"/>
      <c r="H890" s="77"/>
      <c r="I890" s="4"/>
      <c r="J890" s="4"/>
      <c r="K890" s="4"/>
      <c r="L890" s="4"/>
      <c r="M890" s="4"/>
      <c r="N890" s="4"/>
      <c r="O890" s="4"/>
      <c r="P890" s="4"/>
      <c r="Q890" s="4"/>
      <c r="R890" s="4"/>
    </row>
    <row r="891">
      <c r="A891" s="71"/>
      <c r="B891" s="71"/>
      <c r="C891" s="76"/>
      <c r="D891" s="77"/>
      <c r="E891" s="77"/>
      <c r="F891" s="77"/>
      <c r="G891" s="77"/>
      <c r="H891" s="77"/>
      <c r="I891" s="4"/>
      <c r="J891" s="4"/>
      <c r="K891" s="4"/>
      <c r="L891" s="4"/>
      <c r="M891" s="4"/>
      <c r="N891" s="4"/>
      <c r="O891" s="4"/>
      <c r="P891" s="4"/>
      <c r="Q891" s="4"/>
      <c r="R891" s="4"/>
    </row>
    <row r="892">
      <c r="A892" s="71"/>
      <c r="B892" s="71"/>
      <c r="C892" s="76"/>
      <c r="D892" s="77"/>
      <c r="E892" s="77"/>
      <c r="F892" s="77"/>
      <c r="G892" s="77"/>
      <c r="H892" s="77"/>
      <c r="I892" s="4"/>
      <c r="J892" s="4"/>
      <c r="K892" s="4"/>
      <c r="L892" s="4"/>
      <c r="M892" s="4"/>
      <c r="N892" s="4"/>
      <c r="O892" s="4"/>
      <c r="P892" s="4"/>
      <c r="Q892" s="4"/>
      <c r="R892" s="4"/>
    </row>
    <row r="893">
      <c r="A893" s="71"/>
      <c r="B893" s="71"/>
      <c r="C893" s="76"/>
      <c r="D893" s="77"/>
      <c r="E893" s="77"/>
      <c r="F893" s="77"/>
      <c r="G893" s="77"/>
      <c r="H893" s="77"/>
      <c r="I893" s="4"/>
      <c r="J893" s="4"/>
      <c r="K893" s="4"/>
      <c r="L893" s="4"/>
      <c r="M893" s="4"/>
      <c r="N893" s="4"/>
      <c r="O893" s="4"/>
      <c r="P893" s="4"/>
      <c r="Q893" s="4"/>
      <c r="R893" s="4"/>
    </row>
    <row r="894">
      <c r="A894" s="71"/>
      <c r="B894" s="71"/>
      <c r="C894" s="76"/>
      <c r="D894" s="77"/>
      <c r="E894" s="77"/>
      <c r="F894" s="77"/>
      <c r="G894" s="77"/>
      <c r="H894" s="77"/>
      <c r="I894" s="4"/>
      <c r="J894" s="4"/>
      <c r="K894" s="4"/>
      <c r="L894" s="4"/>
      <c r="M894" s="4"/>
      <c r="N894" s="4"/>
      <c r="O894" s="4"/>
      <c r="P894" s="4"/>
      <c r="Q894" s="4"/>
      <c r="R894" s="4"/>
    </row>
    <row r="895">
      <c r="A895" s="71"/>
      <c r="B895" s="71"/>
      <c r="C895" s="76"/>
      <c r="D895" s="77"/>
      <c r="E895" s="77"/>
      <c r="F895" s="77"/>
      <c r="G895" s="77"/>
      <c r="H895" s="77"/>
      <c r="I895" s="4"/>
      <c r="J895" s="4"/>
      <c r="K895" s="4"/>
      <c r="L895" s="4"/>
      <c r="M895" s="4"/>
      <c r="N895" s="4"/>
      <c r="O895" s="4"/>
      <c r="P895" s="4"/>
      <c r="Q895" s="4"/>
      <c r="R895" s="4"/>
    </row>
    <row r="896">
      <c r="A896" s="71"/>
      <c r="B896" s="71"/>
      <c r="C896" s="76"/>
      <c r="D896" s="77"/>
      <c r="E896" s="77"/>
      <c r="F896" s="77"/>
      <c r="G896" s="77"/>
      <c r="H896" s="77"/>
      <c r="I896" s="4"/>
      <c r="J896" s="4"/>
      <c r="K896" s="4"/>
      <c r="L896" s="4"/>
      <c r="M896" s="4"/>
      <c r="N896" s="4"/>
      <c r="O896" s="4"/>
      <c r="P896" s="4"/>
      <c r="Q896" s="4"/>
      <c r="R896" s="4"/>
    </row>
    <row r="897">
      <c r="A897" s="71"/>
      <c r="B897" s="71"/>
      <c r="C897" s="76"/>
      <c r="D897" s="77"/>
      <c r="E897" s="77"/>
      <c r="F897" s="77"/>
      <c r="G897" s="77"/>
      <c r="H897" s="77"/>
      <c r="I897" s="4"/>
      <c r="J897" s="4"/>
      <c r="K897" s="4"/>
      <c r="L897" s="4"/>
      <c r="M897" s="4"/>
      <c r="N897" s="4"/>
      <c r="O897" s="4"/>
      <c r="P897" s="4"/>
      <c r="Q897" s="4"/>
      <c r="R897" s="4"/>
    </row>
    <row r="898">
      <c r="A898" s="71"/>
      <c r="B898" s="71"/>
      <c r="C898" s="76"/>
      <c r="D898" s="77"/>
      <c r="E898" s="77"/>
      <c r="F898" s="77"/>
      <c r="G898" s="77"/>
      <c r="H898" s="77"/>
      <c r="I898" s="4"/>
      <c r="J898" s="4"/>
      <c r="K898" s="4"/>
      <c r="L898" s="4"/>
      <c r="M898" s="4"/>
      <c r="N898" s="4"/>
      <c r="O898" s="4"/>
      <c r="P898" s="4"/>
      <c r="Q898" s="4"/>
      <c r="R898" s="4"/>
    </row>
    <row r="899">
      <c r="A899" s="71"/>
      <c r="B899" s="71"/>
      <c r="C899" s="76"/>
      <c r="D899" s="77"/>
      <c r="E899" s="77"/>
      <c r="F899" s="77"/>
      <c r="G899" s="77"/>
      <c r="H899" s="77"/>
      <c r="I899" s="4"/>
      <c r="J899" s="4"/>
      <c r="K899" s="4"/>
      <c r="L899" s="4"/>
      <c r="M899" s="4"/>
      <c r="N899" s="4"/>
      <c r="O899" s="4"/>
      <c r="P899" s="4"/>
      <c r="Q899" s="4"/>
      <c r="R899" s="4"/>
    </row>
    <row r="900">
      <c r="A900" s="71"/>
      <c r="B900" s="71"/>
      <c r="C900" s="76"/>
      <c r="D900" s="77"/>
      <c r="E900" s="77"/>
      <c r="F900" s="77"/>
      <c r="G900" s="77"/>
      <c r="H900" s="77"/>
      <c r="I900" s="4"/>
      <c r="J900" s="4"/>
      <c r="K900" s="4"/>
      <c r="L900" s="4"/>
      <c r="M900" s="4"/>
      <c r="N900" s="4"/>
      <c r="O900" s="4"/>
      <c r="P900" s="4"/>
      <c r="Q900" s="4"/>
      <c r="R900" s="4"/>
    </row>
    <row r="901">
      <c r="A901" s="71"/>
      <c r="B901" s="71"/>
      <c r="C901" s="76"/>
      <c r="D901" s="77"/>
      <c r="E901" s="77"/>
      <c r="F901" s="77"/>
      <c r="G901" s="77"/>
      <c r="H901" s="77"/>
      <c r="I901" s="4"/>
      <c r="J901" s="4"/>
      <c r="K901" s="4"/>
      <c r="L901" s="4"/>
      <c r="M901" s="4"/>
      <c r="N901" s="4"/>
      <c r="O901" s="4"/>
      <c r="P901" s="4"/>
      <c r="Q901" s="4"/>
      <c r="R901" s="4"/>
    </row>
    <row r="902">
      <c r="A902" s="71"/>
      <c r="B902" s="71"/>
      <c r="C902" s="76"/>
      <c r="D902" s="77"/>
      <c r="E902" s="77"/>
      <c r="F902" s="77"/>
      <c r="G902" s="77"/>
      <c r="H902" s="77"/>
      <c r="I902" s="4"/>
      <c r="J902" s="4"/>
      <c r="K902" s="4"/>
      <c r="L902" s="4"/>
      <c r="M902" s="4"/>
      <c r="N902" s="4"/>
      <c r="O902" s="4"/>
      <c r="P902" s="4"/>
      <c r="Q902" s="4"/>
      <c r="R902" s="4"/>
    </row>
    <row r="903">
      <c r="A903" s="71"/>
      <c r="B903" s="71"/>
      <c r="C903" s="76"/>
      <c r="D903" s="77"/>
      <c r="E903" s="77"/>
      <c r="F903" s="77"/>
      <c r="G903" s="77"/>
      <c r="H903" s="77"/>
      <c r="I903" s="4"/>
      <c r="J903" s="4"/>
      <c r="K903" s="4"/>
      <c r="L903" s="4"/>
      <c r="M903" s="4"/>
      <c r="N903" s="4"/>
      <c r="O903" s="4"/>
      <c r="P903" s="4"/>
      <c r="Q903" s="4"/>
      <c r="R903" s="4"/>
    </row>
    <row r="904">
      <c r="A904" s="71"/>
      <c r="B904" s="71"/>
      <c r="C904" s="76"/>
      <c r="D904" s="77"/>
      <c r="E904" s="77"/>
      <c r="F904" s="77"/>
      <c r="G904" s="77"/>
      <c r="H904" s="77"/>
      <c r="I904" s="4"/>
      <c r="J904" s="4"/>
      <c r="K904" s="4"/>
      <c r="L904" s="4"/>
      <c r="M904" s="4"/>
      <c r="N904" s="4"/>
      <c r="O904" s="4"/>
      <c r="P904" s="4"/>
      <c r="Q904" s="4"/>
      <c r="R904" s="4"/>
    </row>
    <row r="905">
      <c r="A905" s="71"/>
      <c r="B905" s="71"/>
      <c r="C905" s="76"/>
      <c r="D905" s="77"/>
      <c r="E905" s="77"/>
      <c r="F905" s="77"/>
      <c r="G905" s="77"/>
      <c r="H905" s="77"/>
      <c r="I905" s="4"/>
      <c r="J905" s="4"/>
      <c r="K905" s="4"/>
      <c r="L905" s="4"/>
      <c r="M905" s="4"/>
      <c r="N905" s="4"/>
      <c r="O905" s="4"/>
      <c r="P905" s="4"/>
      <c r="Q905" s="4"/>
      <c r="R905" s="4"/>
    </row>
    <row r="906">
      <c r="A906" s="71"/>
      <c r="B906" s="71"/>
      <c r="C906" s="76"/>
      <c r="D906" s="77"/>
      <c r="E906" s="77"/>
      <c r="F906" s="77"/>
      <c r="G906" s="77"/>
      <c r="H906" s="77"/>
      <c r="I906" s="4"/>
      <c r="J906" s="4"/>
      <c r="K906" s="4"/>
      <c r="L906" s="4"/>
      <c r="M906" s="4"/>
      <c r="N906" s="4"/>
      <c r="O906" s="4"/>
      <c r="P906" s="4"/>
      <c r="Q906" s="4"/>
      <c r="R906" s="4"/>
    </row>
    <row r="907">
      <c r="A907" s="71"/>
      <c r="B907" s="71"/>
      <c r="C907" s="76"/>
      <c r="D907" s="77"/>
      <c r="E907" s="77"/>
      <c r="F907" s="77"/>
      <c r="G907" s="77"/>
      <c r="H907" s="77"/>
      <c r="I907" s="4"/>
      <c r="J907" s="4"/>
      <c r="K907" s="4"/>
      <c r="L907" s="4"/>
      <c r="M907" s="4"/>
      <c r="N907" s="4"/>
      <c r="O907" s="4"/>
      <c r="P907" s="4"/>
      <c r="Q907" s="4"/>
      <c r="R907" s="4"/>
    </row>
    <row r="908">
      <c r="A908" s="71"/>
      <c r="B908" s="71"/>
      <c r="C908" s="76"/>
      <c r="D908" s="77"/>
      <c r="E908" s="77"/>
      <c r="F908" s="77"/>
      <c r="G908" s="77"/>
      <c r="H908" s="77"/>
      <c r="I908" s="4"/>
      <c r="J908" s="4"/>
      <c r="K908" s="4"/>
      <c r="L908" s="4"/>
      <c r="M908" s="4"/>
      <c r="N908" s="4"/>
      <c r="O908" s="4"/>
      <c r="P908" s="4"/>
      <c r="Q908" s="4"/>
      <c r="R908" s="4"/>
    </row>
    <row r="909">
      <c r="A909" s="71"/>
      <c r="B909" s="71"/>
      <c r="C909" s="76"/>
      <c r="D909" s="77"/>
      <c r="E909" s="77"/>
      <c r="F909" s="77"/>
      <c r="G909" s="77"/>
      <c r="H909" s="77"/>
      <c r="I909" s="4"/>
      <c r="J909" s="4"/>
      <c r="K909" s="4"/>
      <c r="L909" s="4"/>
      <c r="M909" s="4"/>
      <c r="N909" s="4"/>
      <c r="O909" s="4"/>
      <c r="P909" s="4"/>
      <c r="Q909" s="4"/>
      <c r="R909" s="4"/>
    </row>
    <row r="910">
      <c r="A910" s="71"/>
      <c r="B910" s="71"/>
      <c r="C910" s="76"/>
      <c r="D910" s="77"/>
      <c r="E910" s="77"/>
      <c r="F910" s="77"/>
      <c r="G910" s="77"/>
      <c r="H910" s="77"/>
      <c r="I910" s="4"/>
      <c r="J910" s="4"/>
      <c r="K910" s="4"/>
      <c r="L910" s="4"/>
      <c r="M910" s="4"/>
      <c r="N910" s="4"/>
      <c r="O910" s="4"/>
      <c r="P910" s="4"/>
      <c r="Q910" s="4"/>
      <c r="R910" s="4"/>
    </row>
    <row r="911">
      <c r="A911" s="71"/>
      <c r="B911" s="71"/>
      <c r="C911" s="76"/>
      <c r="D911" s="77"/>
      <c r="E911" s="77"/>
      <c r="F911" s="77"/>
      <c r="G911" s="77"/>
      <c r="H911" s="77"/>
      <c r="I911" s="4"/>
      <c r="J911" s="4"/>
      <c r="K911" s="4"/>
      <c r="L911" s="4"/>
      <c r="M911" s="4"/>
      <c r="N911" s="4"/>
      <c r="O911" s="4"/>
      <c r="P911" s="4"/>
      <c r="Q911" s="4"/>
      <c r="R911" s="4"/>
    </row>
    <row r="912">
      <c r="A912" s="71"/>
      <c r="B912" s="71"/>
      <c r="C912" s="76"/>
      <c r="D912" s="77"/>
      <c r="E912" s="77"/>
      <c r="F912" s="77"/>
      <c r="G912" s="77"/>
      <c r="H912" s="77"/>
      <c r="I912" s="4"/>
      <c r="J912" s="4"/>
      <c r="K912" s="4"/>
      <c r="L912" s="4"/>
      <c r="M912" s="4"/>
      <c r="N912" s="4"/>
      <c r="O912" s="4"/>
      <c r="P912" s="4"/>
      <c r="Q912" s="4"/>
      <c r="R912" s="4"/>
    </row>
    <row r="913">
      <c r="A913" s="71"/>
      <c r="B913" s="71"/>
      <c r="C913" s="76"/>
      <c r="D913" s="77"/>
      <c r="E913" s="77"/>
      <c r="F913" s="77"/>
      <c r="G913" s="77"/>
      <c r="H913" s="77"/>
      <c r="I913" s="4"/>
      <c r="J913" s="4"/>
      <c r="K913" s="4"/>
      <c r="L913" s="4"/>
      <c r="M913" s="4"/>
      <c r="N913" s="4"/>
      <c r="O913" s="4"/>
      <c r="P913" s="4"/>
      <c r="Q913" s="4"/>
      <c r="R913" s="4"/>
    </row>
    <row r="914">
      <c r="A914" s="71"/>
      <c r="B914" s="71"/>
      <c r="C914" s="76"/>
      <c r="D914" s="77"/>
      <c r="E914" s="77"/>
      <c r="F914" s="77"/>
      <c r="G914" s="77"/>
      <c r="H914" s="77"/>
      <c r="I914" s="4"/>
      <c r="J914" s="4"/>
      <c r="K914" s="4"/>
      <c r="L914" s="4"/>
      <c r="M914" s="4"/>
      <c r="N914" s="4"/>
      <c r="O914" s="4"/>
      <c r="P914" s="4"/>
      <c r="Q914" s="4"/>
      <c r="R914" s="4"/>
    </row>
    <row r="915">
      <c r="A915" s="71"/>
      <c r="B915" s="71"/>
      <c r="C915" s="76"/>
      <c r="D915" s="77"/>
      <c r="E915" s="77"/>
      <c r="F915" s="77"/>
      <c r="G915" s="77"/>
      <c r="H915" s="77"/>
      <c r="I915" s="4"/>
      <c r="J915" s="4"/>
      <c r="K915" s="4"/>
      <c r="L915" s="4"/>
      <c r="M915" s="4"/>
      <c r="N915" s="4"/>
      <c r="O915" s="4"/>
      <c r="P915" s="4"/>
      <c r="Q915" s="4"/>
      <c r="R915" s="4"/>
    </row>
    <row r="916">
      <c r="A916" s="71"/>
      <c r="B916" s="71"/>
      <c r="C916" s="76"/>
      <c r="D916" s="77"/>
      <c r="E916" s="77"/>
      <c r="F916" s="77"/>
      <c r="G916" s="77"/>
      <c r="H916" s="77"/>
      <c r="I916" s="4"/>
      <c r="J916" s="4"/>
      <c r="K916" s="4"/>
      <c r="L916" s="4"/>
      <c r="M916" s="4"/>
      <c r="N916" s="4"/>
      <c r="O916" s="4"/>
      <c r="P916" s="4"/>
      <c r="Q916" s="4"/>
      <c r="R916" s="4"/>
    </row>
    <row r="917">
      <c r="A917" s="71"/>
      <c r="B917" s="71"/>
      <c r="C917" s="76"/>
      <c r="D917" s="77"/>
      <c r="E917" s="77"/>
      <c r="F917" s="77"/>
      <c r="G917" s="77"/>
      <c r="H917" s="77"/>
      <c r="I917" s="4"/>
      <c r="J917" s="4"/>
      <c r="K917" s="4"/>
      <c r="L917" s="4"/>
      <c r="M917" s="4"/>
      <c r="N917" s="4"/>
      <c r="O917" s="4"/>
      <c r="P917" s="4"/>
      <c r="Q917" s="4"/>
      <c r="R917" s="4"/>
    </row>
    <row r="918">
      <c r="A918" s="71"/>
      <c r="B918" s="71"/>
      <c r="C918" s="76"/>
      <c r="D918" s="77"/>
      <c r="E918" s="77"/>
      <c r="F918" s="77"/>
      <c r="G918" s="77"/>
      <c r="H918" s="77"/>
      <c r="I918" s="4"/>
      <c r="J918" s="4"/>
      <c r="K918" s="4"/>
      <c r="L918" s="4"/>
      <c r="M918" s="4"/>
      <c r="N918" s="4"/>
      <c r="O918" s="4"/>
      <c r="P918" s="4"/>
      <c r="Q918" s="4"/>
      <c r="R918" s="4"/>
    </row>
    <row r="919">
      <c r="A919" s="71"/>
      <c r="B919" s="71"/>
      <c r="C919" s="76"/>
      <c r="D919" s="77"/>
      <c r="E919" s="77"/>
      <c r="F919" s="77"/>
      <c r="G919" s="77"/>
      <c r="H919" s="77"/>
      <c r="I919" s="4"/>
      <c r="J919" s="4"/>
      <c r="K919" s="4"/>
      <c r="L919" s="4"/>
      <c r="M919" s="4"/>
      <c r="N919" s="4"/>
      <c r="O919" s="4"/>
      <c r="P919" s="4"/>
      <c r="Q919" s="4"/>
      <c r="R919" s="4"/>
    </row>
    <row r="920">
      <c r="A920" s="71"/>
      <c r="B920" s="71"/>
      <c r="C920" s="76"/>
      <c r="D920" s="77"/>
      <c r="E920" s="77"/>
      <c r="F920" s="77"/>
      <c r="G920" s="77"/>
      <c r="H920" s="77"/>
      <c r="I920" s="4"/>
      <c r="J920" s="4"/>
      <c r="K920" s="4"/>
      <c r="L920" s="4"/>
      <c r="M920" s="4"/>
      <c r="N920" s="4"/>
      <c r="O920" s="4"/>
      <c r="P920" s="4"/>
      <c r="Q920" s="4"/>
      <c r="R920" s="4"/>
    </row>
    <row r="921">
      <c r="A921" s="71"/>
      <c r="B921" s="71"/>
      <c r="C921" s="76"/>
      <c r="D921" s="77"/>
      <c r="E921" s="77"/>
      <c r="F921" s="77"/>
      <c r="G921" s="77"/>
      <c r="H921" s="77"/>
      <c r="I921" s="4"/>
      <c r="J921" s="4"/>
      <c r="K921" s="4"/>
      <c r="L921" s="4"/>
      <c r="M921" s="4"/>
      <c r="N921" s="4"/>
      <c r="O921" s="4"/>
      <c r="P921" s="4"/>
      <c r="Q921" s="4"/>
      <c r="R921" s="4"/>
    </row>
    <row r="922">
      <c r="A922" s="71"/>
      <c r="B922" s="71"/>
      <c r="C922" s="76"/>
      <c r="D922" s="77"/>
      <c r="E922" s="77"/>
      <c r="F922" s="77"/>
      <c r="G922" s="77"/>
      <c r="H922" s="77"/>
      <c r="I922" s="4"/>
      <c r="J922" s="4"/>
      <c r="K922" s="4"/>
      <c r="L922" s="4"/>
      <c r="M922" s="4"/>
      <c r="N922" s="4"/>
      <c r="O922" s="4"/>
      <c r="P922" s="4"/>
      <c r="Q922" s="4"/>
      <c r="R922" s="4"/>
    </row>
    <row r="923">
      <c r="A923" s="71"/>
      <c r="B923" s="71"/>
      <c r="C923" s="76"/>
      <c r="D923" s="77"/>
      <c r="E923" s="77"/>
      <c r="F923" s="77"/>
      <c r="G923" s="77"/>
      <c r="H923" s="77"/>
      <c r="I923" s="4"/>
      <c r="J923" s="4"/>
      <c r="K923" s="4"/>
      <c r="L923" s="4"/>
      <c r="M923" s="4"/>
      <c r="N923" s="4"/>
      <c r="O923" s="4"/>
      <c r="P923" s="4"/>
      <c r="Q923" s="4"/>
      <c r="R923" s="4"/>
    </row>
    <row r="924">
      <c r="A924" s="71"/>
      <c r="B924" s="71"/>
      <c r="C924" s="76"/>
      <c r="D924" s="77"/>
      <c r="E924" s="77"/>
      <c r="F924" s="77"/>
      <c r="G924" s="77"/>
      <c r="H924" s="77"/>
      <c r="I924" s="4"/>
      <c r="J924" s="4"/>
      <c r="K924" s="4"/>
      <c r="L924" s="4"/>
      <c r="M924" s="4"/>
      <c r="N924" s="4"/>
      <c r="O924" s="4"/>
      <c r="P924" s="4"/>
      <c r="Q924" s="4"/>
      <c r="R924" s="4"/>
    </row>
    <row r="925">
      <c r="A925" s="71"/>
      <c r="B925" s="71"/>
      <c r="C925" s="76"/>
      <c r="D925" s="77"/>
      <c r="E925" s="77"/>
      <c r="F925" s="77"/>
      <c r="G925" s="77"/>
      <c r="H925" s="77"/>
      <c r="I925" s="4"/>
      <c r="J925" s="4"/>
      <c r="K925" s="4"/>
      <c r="L925" s="4"/>
      <c r="M925" s="4"/>
      <c r="N925" s="4"/>
      <c r="O925" s="4"/>
      <c r="P925" s="4"/>
      <c r="Q925" s="4"/>
      <c r="R925" s="4"/>
    </row>
    <row r="926">
      <c r="A926" s="71"/>
      <c r="B926" s="71"/>
      <c r="C926" s="76"/>
      <c r="D926" s="77"/>
      <c r="E926" s="77"/>
      <c r="F926" s="77"/>
      <c r="G926" s="77"/>
      <c r="H926" s="77"/>
      <c r="I926" s="4"/>
      <c r="J926" s="4"/>
      <c r="K926" s="4"/>
      <c r="L926" s="4"/>
      <c r="M926" s="4"/>
      <c r="N926" s="4"/>
      <c r="O926" s="4"/>
      <c r="P926" s="4"/>
      <c r="Q926" s="4"/>
      <c r="R926" s="4"/>
    </row>
    <row r="927">
      <c r="A927" s="71"/>
      <c r="B927" s="71"/>
      <c r="C927" s="76"/>
      <c r="D927" s="77"/>
      <c r="E927" s="77"/>
      <c r="F927" s="77"/>
      <c r="G927" s="77"/>
      <c r="H927" s="77"/>
      <c r="I927" s="4"/>
      <c r="J927" s="4"/>
      <c r="K927" s="4"/>
      <c r="L927" s="4"/>
      <c r="M927" s="4"/>
      <c r="N927" s="4"/>
      <c r="O927" s="4"/>
      <c r="P927" s="4"/>
      <c r="Q927" s="4"/>
      <c r="R927" s="4"/>
    </row>
    <row r="928">
      <c r="A928" s="71"/>
      <c r="B928" s="71"/>
      <c r="C928" s="76"/>
      <c r="D928" s="77"/>
      <c r="E928" s="77"/>
      <c r="F928" s="77"/>
      <c r="G928" s="77"/>
      <c r="H928" s="77"/>
      <c r="I928" s="4"/>
      <c r="J928" s="4"/>
      <c r="K928" s="4"/>
      <c r="L928" s="4"/>
      <c r="M928" s="4"/>
      <c r="N928" s="4"/>
      <c r="O928" s="4"/>
      <c r="P928" s="4"/>
      <c r="Q928" s="4"/>
      <c r="R928" s="4"/>
    </row>
    <row r="929">
      <c r="A929" s="71"/>
      <c r="B929" s="71"/>
      <c r="C929" s="76"/>
      <c r="D929" s="77"/>
      <c r="E929" s="77"/>
      <c r="F929" s="77"/>
      <c r="G929" s="77"/>
      <c r="H929" s="77"/>
      <c r="I929" s="4"/>
      <c r="J929" s="4"/>
      <c r="K929" s="4"/>
      <c r="L929" s="4"/>
      <c r="M929" s="4"/>
      <c r="N929" s="4"/>
      <c r="O929" s="4"/>
      <c r="P929" s="4"/>
      <c r="Q929" s="4"/>
      <c r="R929" s="4"/>
    </row>
    <row r="930">
      <c r="A930" s="71"/>
      <c r="B930" s="71"/>
      <c r="C930" s="76"/>
      <c r="D930" s="77"/>
      <c r="E930" s="77"/>
      <c r="F930" s="77"/>
      <c r="G930" s="77"/>
      <c r="H930" s="77"/>
      <c r="I930" s="4"/>
      <c r="J930" s="4"/>
      <c r="K930" s="4"/>
      <c r="L930" s="4"/>
      <c r="M930" s="4"/>
      <c r="N930" s="4"/>
      <c r="O930" s="4"/>
      <c r="P930" s="4"/>
      <c r="Q930" s="4"/>
      <c r="R930" s="4"/>
    </row>
    <row r="931">
      <c r="A931" s="71"/>
      <c r="B931" s="71"/>
      <c r="C931" s="76"/>
      <c r="D931" s="77"/>
      <c r="E931" s="77"/>
      <c r="F931" s="77"/>
      <c r="G931" s="77"/>
      <c r="H931" s="77"/>
      <c r="I931" s="4"/>
      <c r="J931" s="4"/>
      <c r="K931" s="4"/>
      <c r="L931" s="4"/>
      <c r="M931" s="4"/>
      <c r="N931" s="4"/>
      <c r="O931" s="4"/>
      <c r="P931" s="4"/>
      <c r="Q931" s="4"/>
      <c r="R931" s="4"/>
    </row>
    <row r="932">
      <c r="A932" s="71"/>
      <c r="B932" s="71"/>
      <c r="C932" s="76"/>
      <c r="D932" s="77"/>
      <c r="E932" s="77"/>
      <c r="F932" s="77"/>
      <c r="G932" s="77"/>
      <c r="H932" s="77"/>
      <c r="I932" s="4"/>
      <c r="J932" s="4"/>
      <c r="K932" s="4"/>
      <c r="L932" s="4"/>
      <c r="M932" s="4"/>
      <c r="N932" s="4"/>
      <c r="O932" s="4"/>
      <c r="P932" s="4"/>
      <c r="Q932" s="4"/>
      <c r="R932" s="4"/>
    </row>
    <row r="933">
      <c r="A933" s="71"/>
      <c r="B933" s="71"/>
      <c r="C933" s="76"/>
      <c r="D933" s="77"/>
      <c r="E933" s="77"/>
      <c r="F933" s="77"/>
      <c r="G933" s="77"/>
      <c r="H933" s="77"/>
      <c r="I933" s="4"/>
      <c r="J933" s="4"/>
      <c r="K933" s="4"/>
      <c r="L933" s="4"/>
      <c r="M933" s="4"/>
      <c r="N933" s="4"/>
      <c r="O933" s="4"/>
      <c r="P933" s="4"/>
      <c r="Q933" s="4"/>
      <c r="R933" s="4"/>
    </row>
    <row r="934">
      <c r="A934" s="71"/>
      <c r="B934" s="71"/>
      <c r="C934" s="76"/>
      <c r="D934" s="77"/>
      <c r="E934" s="77"/>
      <c r="F934" s="77"/>
      <c r="G934" s="77"/>
      <c r="H934" s="77"/>
      <c r="I934" s="4"/>
      <c r="J934" s="4"/>
      <c r="K934" s="4"/>
      <c r="L934" s="4"/>
      <c r="M934" s="4"/>
      <c r="N934" s="4"/>
      <c r="O934" s="4"/>
      <c r="P934" s="4"/>
      <c r="Q934" s="4"/>
      <c r="R934" s="4"/>
    </row>
    <row r="935">
      <c r="A935" s="71"/>
      <c r="B935" s="71"/>
      <c r="C935" s="76"/>
      <c r="D935" s="77"/>
      <c r="E935" s="77"/>
      <c r="F935" s="77"/>
      <c r="G935" s="77"/>
      <c r="H935" s="77"/>
      <c r="I935" s="4"/>
      <c r="J935" s="4"/>
      <c r="K935" s="4"/>
      <c r="L935" s="4"/>
      <c r="M935" s="4"/>
      <c r="N935" s="4"/>
      <c r="O935" s="4"/>
      <c r="P935" s="4"/>
      <c r="Q935" s="4"/>
      <c r="R935" s="4"/>
    </row>
    <row r="936">
      <c r="A936" s="71"/>
      <c r="B936" s="71"/>
      <c r="C936" s="76"/>
      <c r="D936" s="77"/>
      <c r="E936" s="77"/>
      <c r="F936" s="77"/>
      <c r="G936" s="77"/>
      <c r="H936" s="77"/>
      <c r="I936" s="4"/>
      <c r="J936" s="4"/>
      <c r="K936" s="4"/>
      <c r="L936" s="4"/>
      <c r="M936" s="4"/>
      <c r="N936" s="4"/>
      <c r="O936" s="4"/>
      <c r="P936" s="4"/>
      <c r="Q936" s="4"/>
      <c r="R936" s="4"/>
    </row>
    <row r="937">
      <c r="A937" s="71"/>
      <c r="B937" s="71"/>
      <c r="C937" s="76"/>
      <c r="D937" s="77"/>
      <c r="E937" s="77"/>
      <c r="F937" s="77"/>
      <c r="G937" s="77"/>
      <c r="H937" s="77"/>
      <c r="I937" s="4"/>
      <c r="J937" s="4"/>
      <c r="K937" s="4"/>
      <c r="L937" s="4"/>
      <c r="M937" s="4"/>
      <c r="N937" s="4"/>
      <c r="O937" s="4"/>
      <c r="P937" s="4"/>
      <c r="Q937" s="4"/>
      <c r="R937" s="4"/>
    </row>
    <row r="938">
      <c r="A938" s="71"/>
      <c r="B938" s="71"/>
      <c r="C938" s="76"/>
      <c r="D938" s="77"/>
      <c r="E938" s="77"/>
      <c r="F938" s="77"/>
      <c r="G938" s="77"/>
      <c r="H938" s="77"/>
      <c r="I938" s="4"/>
      <c r="J938" s="4"/>
      <c r="K938" s="4"/>
      <c r="L938" s="4"/>
      <c r="M938" s="4"/>
      <c r="N938" s="4"/>
      <c r="O938" s="4"/>
      <c r="P938" s="4"/>
      <c r="Q938" s="4"/>
      <c r="R938" s="4"/>
    </row>
    <row r="939">
      <c r="A939" s="71"/>
      <c r="B939" s="71"/>
      <c r="C939" s="76"/>
      <c r="D939" s="77"/>
      <c r="E939" s="77"/>
      <c r="F939" s="77"/>
      <c r="G939" s="77"/>
      <c r="H939" s="77"/>
      <c r="I939" s="4"/>
      <c r="J939" s="4"/>
      <c r="K939" s="4"/>
      <c r="L939" s="4"/>
      <c r="M939" s="4"/>
      <c r="N939" s="4"/>
      <c r="O939" s="4"/>
      <c r="P939" s="4"/>
      <c r="Q939" s="4"/>
      <c r="R939" s="4"/>
    </row>
    <row r="940">
      <c r="A940" s="71"/>
      <c r="B940" s="71"/>
      <c r="C940" s="76"/>
      <c r="D940" s="77"/>
      <c r="E940" s="77"/>
      <c r="F940" s="77"/>
      <c r="G940" s="77"/>
      <c r="H940" s="77"/>
      <c r="I940" s="4"/>
      <c r="J940" s="4"/>
      <c r="K940" s="4"/>
      <c r="L940" s="4"/>
      <c r="M940" s="4"/>
      <c r="N940" s="4"/>
      <c r="O940" s="4"/>
      <c r="P940" s="4"/>
      <c r="Q940" s="4"/>
      <c r="R940" s="4"/>
    </row>
    <row r="941">
      <c r="A941" s="71"/>
      <c r="B941" s="71"/>
      <c r="C941" s="76"/>
      <c r="D941" s="77"/>
      <c r="E941" s="77"/>
      <c r="F941" s="77"/>
      <c r="G941" s="77"/>
      <c r="H941" s="77"/>
      <c r="I941" s="4"/>
      <c r="J941" s="4"/>
      <c r="K941" s="4"/>
      <c r="L941" s="4"/>
      <c r="M941" s="4"/>
      <c r="N941" s="4"/>
      <c r="O941" s="4"/>
      <c r="P941" s="4"/>
      <c r="Q941" s="4"/>
      <c r="R941" s="4"/>
    </row>
    <row r="942">
      <c r="A942" s="71"/>
      <c r="B942" s="71"/>
      <c r="C942" s="76"/>
      <c r="D942" s="77"/>
      <c r="E942" s="77"/>
      <c r="F942" s="77"/>
      <c r="G942" s="77"/>
      <c r="H942" s="77"/>
      <c r="I942" s="4"/>
      <c r="J942" s="4"/>
      <c r="K942" s="4"/>
      <c r="L942" s="4"/>
      <c r="M942" s="4"/>
      <c r="N942" s="4"/>
      <c r="O942" s="4"/>
      <c r="P942" s="4"/>
      <c r="Q942" s="4"/>
      <c r="R942" s="4"/>
    </row>
    <row r="943">
      <c r="A943" s="71"/>
      <c r="B943" s="71"/>
      <c r="C943" s="76"/>
      <c r="D943" s="77"/>
      <c r="E943" s="77"/>
      <c r="F943" s="77"/>
      <c r="G943" s="77"/>
      <c r="H943" s="77"/>
      <c r="I943" s="4"/>
      <c r="J943" s="4"/>
      <c r="K943" s="4"/>
      <c r="L943" s="4"/>
      <c r="M943" s="4"/>
      <c r="N943" s="4"/>
      <c r="O943" s="4"/>
      <c r="P943" s="4"/>
      <c r="Q943" s="4"/>
      <c r="R943" s="4"/>
    </row>
    <row r="944">
      <c r="A944" s="71"/>
      <c r="B944" s="71"/>
      <c r="C944" s="76"/>
      <c r="D944" s="77"/>
      <c r="E944" s="77"/>
      <c r="F944" s="77"/>
      <c r="G944" s="77"/>
      <c r="H944" s="77"/>
      <c r="I944" s="4"/>
      <c r="J944" s="4"/>
      <c r="K944" s="4"/>
      <c r="L944" s="4"/>
      <c r="M944" s="4"/>
      <c r="N944" s="4"/>
      <c r="O944" s="4"/>
      <c r="P944" s="4"/>
      <c r="Q944" s="4"/>
      <c r="R944" s="4"/>
    </row>
    <row r="945">
      <c r="A945" s="71"/>
      <c r="B945" s="71"/>
      <c r="C945" s="76"/>
      <c r="D945" s="77"/>
      <c r="E945" s="77"/>
      <c r="F945" s="77"/>
      <c r="G945" s="77"/>
      <c r="H945" s="77"/>
      <c r="I945" s="4"/>
      <c r="J945" s="4"/>
      <c r="K945" s="4"/>
      <c r="L945" s="4"/>
      <c r="M945" s="4"/>
      <c r="N945" s="4"/>
      <c r="O945" s="4"/>
      <c r="P945" s="4"/>
      <c r="Q945" s="4"/>
      <c r="R945" s="4"/>
    </row>
    <row r="946">
      <c r="A946" s="71"/>
      <c r="B946" s="71"/>
      <c r="C946" s="76"/>
      <c r="D946" s="77"/>
      <c r="E946" s="77"/>
      <c r="F946" s="77"/>
      <c r="G946" s="77"/>
      <c r="H946" s="77"/>
      <c r="I946" s="4"/>
      <c r="J946" s="4"/>
      <c r="K946" s="4"/>
      <c r="L946" s="4"/>
      <c r="M946" s="4"/>
      <c r="N946" s="4"/>
      <c r="O946" s="4"/>
      <c r="P946" s="4"/>
      <c r="Q946" s="4"/>
      <c r="R946" s="4"/>
    </row>
    <row r="947">
      <c r="A947" s="71"/>
      <c r="B947" s="71"/>
      <c r="C947" s="76"/>
      <c r="D947" s="77"/>
      <c r="E947" s="77"/>
      <c r="F947" s="77"/>
      <c r="G947" s="77"/>
      <c r="H947" s="77"/>
      <c r="I947" s="4"/>
      <c r="J947" s="4"/>
      <c r="K947" s="4"/>
      <c r="L947" s="4"/>
      <c r="M947" s="4"/>
      <c r="N947" s="4"/>
      <c r="O947" s="4"/>
      <c r="P947" s="4"/>
      <c r="Q947" s="4"/>
      <c r="R947" s="4"/>
    </row>
    <row r="948">
      <c r="A948" s="71"/>
      <c r="B948" s="71"/>
      <c r="C948" s="76"/>
      <c r="D948" s="77"/>
      <c r="E948" s="77"/>
      <c r="F948" s="77"/>
      <c r="G948" s="77"/>
      <c r="H948" s="77"/>
      <c r="I948" s="4"/>
      <c r="J948" s="4"/>
      <c r="K948" s="4"/>
      <c r="L948" s="4"/>
      <c r="M948" s="4"/>
      <c r="N948" s="4"/>
      <c r="O948" s="4"/>
      <c r="P948" s="4"/>
      <c r="Q948" s="4"/>
      <c r="R948" s="4"/>
    </row>
    <row r="949">
      <c r="A949" s="71"/>
      <c r="B949" s="71"/>
      <c r="C949" s="76"/>
      <c r="D949" s="77"/>
      <c r="E949" s="77"/>
      <c r="F949" s="77"/>
      <c r="G949" s="77"/>
      <c r="H949" s="77"/>
      <c r="I949" s="4"/>
      <c r="J949" s="4"/>
      <c r="K949" s="4"/>
      <c r="L949" s="4"/>
      <c r="M949" s="4"/>
      <c r="N949" s="4"/>
      <c r="O949" s="4"/>
      <c r="P949" s="4"/>
      <c r="Q949" s="4"/>
      <c r="R949" s="4"/>
    </row>
    <row r="950">
      <c r="A950" s="71"/>
      <c r="B950" s="71"/>
      <c r="C950" s="76"/>
      <c r="D950" s="77"/>
      <c r="E950" s="77"/>
      <c r="F950" s="77"/>
      <c r="G950" s="77"/>
      <c r="H950" s="77"/>
      <c r="I950" s="4"/>
      <c r="J950" s="4"/>
      <c r="K950" s="4"/>
      <c r="L950" s="4"/>
      <c r="M950" s="4"/>
      <c r="N950" s="4"/>
      <c r="O950" s="4"/>
      <c r="P950" s="4"/>
      <c r="Q950" s="4"/>
      <c r="R950" s="4"/>
    </row>
    <row r="951">
      <c r="A951" s="71"/>
      <c r="B951" s="71"/>
      <c r="C951" s="76"/>
      <c r="D951" s="77"/>
      <c r="E951" s="77"/>
      <c r="F951" s="77"/>
      <c r="G951" s="77"/>
      <c r="H951" s="77"/>
      <c r="I951" s="4"/>
      <c r="J951" s="4"/>
      <c r="K951" s="4"/>
      <c r="L951" s="4"/>
      <c r="M951" s="4"/>
      <c r="N951" s="4"/>
      <c r="O951" s="4"/>
      <c r="P951" s="4"/>
      <c r="Q951" s="4"/>
      <c r="R951" s="4"/>
    </row>
    <row r="952">
      <c r="A952" s="71"/>
      <c r="B952" s="71"/>
      <c r="C952" s="76"/>
      <c r="D952" s="77"/>
      <c r="E952" s="77"/>
      <c r="F952" s="77"/>
      <c r="G952" s="77"/>
      <c r="H952" s="77"/>
      <c r="I952" s="4"/>
      <c r="J952" s="4"/>
      <c r="K952" s="4"/>
      <c r="L952" s="4"/>
      <c r="M952" s="4"/>
      <c r="N952" s="4"/>
      <c r="O952" s="4"/>
      <c r="P952" s="4"/>
      <c r="Q952" s="4"/>
      <c r="R952" s="4"/>
    </row>
    <row r="953">
      <c r="A953" s="71"/>
      <c r="B953" s="71"/>
      <c r="C953" s="76"/>
      <c r="D953" s="77"/>
      <c r="E953" s="77"/>
      <c r="F953" s="77"/>
      <c r="G953" s="77"/>
      <c r="H953" s="77"/>
      <c r="I953" s="4"/>
      <c r="J953" s="4"/>
      <c r="K953" s="4"/>
      <c r="L953" s="4"/>
      <c r="M953" s="4"/>
      <c r="N953" s="4"/>
      <c r="O953" s="4"/>
      <c r="P953" s="4"/>
      <c r="Q953" s="4"/>
      <c r="R953" s="4"/>
    </row>
    <row r="954">
      <c r="A954" s="71"/>
      <c r="B954" s="71"/>
      <c r="C954" s="76"/>
      <c r="D954" s="77"/>
      <c r="E954" s="77"/>
      <c r="F954" s="77"/>
      <c r="G954" s="77"/>
      <c r="H954" s="77"/>
      <c r="I954" s="4"/>
      <c r="J954" s="4"/>
      <c r="K954" s="4"/>
      <c r="L954" s="4"/>
      <c r="M954" s="4"/>
      <c r="N954" s="4"/>
      <c r="O954" s="4"/>
      <c r="P954" s="4"/>
      <c r="Q954" s="4"/>
      <c r="R954" s="4"/>
    </row>
    <row r="955">
      <c r="A955" s="71"/>
      <c r="B955" s="71"/>
      <c r="C955" s="76"/>
      <c r="D955" s="77"/>
      <c r="E955" s="77"/>
      <c r="F955" s="77"/>
      <c r="G955" s="77"/>
      <c r="H955" s="77"/>
      <c r="I955" s="4"/>
      <c r="J955" s="4"/>
      <c r="K955" s="4"/>
      <c r="L955" s="4"/>
      <c r="M955" s="4"/>
      <c r="N955" s="4"/>
      <c r="O955" s="4"/>
      <c r="P955" s="4"/>
      <c r="Q955" s="4"/>
      <c r="R955" s="4"/>
    </row>
    <row r="956">
      <c r="A956" s="71"/>
      <c r="B956" s="71"/>
      <c r="C956" s="76"/>
      <c r="D956" s="77"/>
      <c r="E956" s="77"/>
      <c r="F956" s="77"/>
      <c r="G956" s="77"/>
      <c r="H956" s="77"/>
      <c r="I956" s="4"/>
      <c r="J956" s="4"/>
      <c r="K956" s="4"/>
      <c r="L956" s="4"/>
      <c r="M956" s="4"/>
      <c r="N956" s="4"/>
      <c r="O956" s="4"/>
      <c r="P956" s="4"/>
      <c r="Q956" s="4"/>
      <c r="R956" s="4"/>
    </row>
    <row r="957">
      <c r="A957" s="71"/>
      <c r="B957" s="71"/>
      <c r="C957" s="76"/>
      <c r="D957" s="77"/>
      <c r="E957" s="77"/>
      <c r="F957" s="77"/>
      <c r="G957" s="77"/>
      <c r="H957" s="77"/>
      <c r="I957" s="4"/>
      <c r="J957" s="4"/>
      <c r="K957" s="4"/>
      <c r="L957" s="4"/>
      <c r="M957" s="4"/>
      <c r="N957" s="4"/>
      <c r="O957" s="4"/>
      <c r="P957" s="4"/>
      <c r="Q957" s="4"/>
      <c r="R957" s="4"/>
    </row>
    <row r="958">
      <c r="A958" s="71"/>
      <c r="B958" s="71"/>
      <c r="C958" s="76"/>
      <c r="D958" s="77"/>
      <c r="E958" s="77"/>
      <c r="F958" s="77"/>
      <c r="G958" s="77"/>
      <c r="H958" s="77"/>
      <c r="I958" s="4"/>
      <c r="J958" s="4"/>
      <c r="K958" s="4"/>
      <c r="L958" s="4"/>
      <c r="M958" s="4"/>
      <c r="N958" s="4"/>
      <c r="O958" s="4"/>
      <c r="P958" s="4"/>
      <c r="Q958" s="4"/>
      <c r="R958" s="4"/>
    </row>
    <row r="959">
      <c r="A959" s="71"/>
      <c r="B959" s="71"/>
      <c r="C959" s="76"/>
      <c r="D959" s="77"/>
      <c r="E959" s="77"/>
      <c r="F959" s="77"/>
      <c r="G959" s="77"/>
      <c r="H959" s="77"/>
      <c r="I959" s="4"/>
      <c r="J959" s="4"/>
      <c r="K959" s="4"/>
      <c r="L959" s="4"/>
      <c r="M959" s="4"/>
      <c r="N959" s="4"/>
      <c r="O959" s="4"/>
      <c r="P959" s="4"/>
      <c r="Q959" s="4"/>
      <c r="R959" s="4"/>
    </row>
    <row r="960">
      <c r="A960" s="71"/>
      <c r="B960" s="71"/>
      <c r="C960" s="76"/>
      <c r="D960" s="77"/>
      <c r="E960" s="77"/>
      <c r="F960" s="77"/>
      <c r="G960" s="77"/>
      <c r="H960" s="77"/>
      <c r="I960" s="4"/>
      <c r="J960" s="4"/>
      <c r="K960" s="4"/>
      <c r="L960" s="4"/>
      <c r="M960" s="4"/>
      <c r="N960" s="4"/>
      <c r="O960" s="4"/>
      <c r="P960" s="4"/>
      <c r="Q960" s="4"/>
      <c r="R960" s="4"/>
    </row>
    <row r="961">
      <c r="A961" s="71"/>
      <c r="B961" s="71"/>
      <c r="C961" s="76"/>
      <c r="D961" s="77"/>
      <c r="E961" s="77"/>
      <c r="F961" s="77"/>
      <c r="G961" s="77"/>
      <c r="H961" s="77"/>
      <c r="I961" s="4"/>
      <c r="J961" s="4"/>
      <c r="K961" s="4"/>
      <c r="L961" s="4"/>
      <c r="M961" s="4"/>
      <c r="N961" s="4"/>
      <c r="O961" s="4"/>
      <c r="P961" s="4"/>
      <c r="Q961" s="4"/>
      <c r="R961" s="4"/>
    </row>
    <row r="962">
      <c r="A962" s="71"/>
      <c r="B962" s="71"/>
      <c r="C962" s="76"/>
      <c r="D962" s="77"/>
      <c r="E962" s="77"/>
      <c r="F962" s="77"/>
      <c r="G962" s="77"/>
      <c r="H962" s="77"/>
      <c r="I962" s="4"/>
      <c r="J962" s="4"/>
      <c r="K962" s="4"/>
      <c r="L962" s="4"/>
      <c r="M962" s="4"/>
      <c r="N962" s="4"/>
      <c r="O962" s="4"/>
      <c r="P962" s="4"/>
      <c r="Q962" s="4"/>
      <c r="R962" s="4"/>
    </row>
    <row r="963">
      <c r="A963" s="71"/>
      <c r="B963" s="71"/>
      <c r="C963" s="76"/>
      <c r="D963" s="77"/>
      <c r="E963" s="77"/>
      <c r="F963" s="77"/>
      <c r="G963" s="77"/>
      <c r="H963" s="77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>
      <c r="A964" s="71"/>
      <c r="B964" s="71"/>
      <c r="C964" s="76"/>
      <c r="D964" s="77"/>
      <c r="E964" s="77"/>
      <c r="F964" s="77"/>
      <c r="G964" s="77"/>
      <c r="H964" s="77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>
      <c r="A965" s="71"/>
      <c r="B965" s="71"/>
      <c r="C965" s="76"/>
      <c r="D965" s="77"/>
      <c r="E965" s="77"/>
      <c r="F965" s="77"/>
      <c r="G965" s="77"/>
      <c r="H965" s="77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>
      <c r="A966" s="71"/>
      <c r="B966" s="71"/>
      <c r="C966" s="76"/>
      <c r="D966" s="77"/>
      <c r="E966" s="77"/>
      <c r="F966" s="77"/>
      <c r="G966" s="77"/>
      <c r="H966" s="77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>
      <c r="A967" s="71"/>
      <c r="B967" s="71"/>
      <c r="C967" s="76"/>
      <c r="D967" s="77"/>
      <c r="E967" s="77"/>
      <c r="F967" s="77"/>
      <c r="G967" s="77"/>
      <c r="H967" s="77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>
      <c r="A968" s="71"/>
      <c r="B968" s="71"/>
      <c r="C968" s="76"/>
      <c r="D968" s="77"/>
      <c r="E968" s="77"/>
      <c r="F968" s="77"/>
      <c r="G968" s="77"/>
      <c r="H968" s="77"/>
      <c r="I968" s="4"/>
      <c r="J968" s="4"/>
      <c r="K968" s="4"/>
      <c r="L968" s="4"/>
      <c r="M968" s="4"/>
      <c r="N968" s="4"/>
      <c r="O968" s="4"/>
      <c r="P968" s="4"/>
      <c r="Q968" s="4"/>
      <c r="R968" s="4"/>
    </row>
    <row r="969">
      <c r="A969" s="71"/>
      <c r="B969" s="71"/>
      <c r="C969" s="76"/>
      <c r="D969" s="77"/>
      <c r="E969" s="77"/>
      <c r="F969" s="77"/>
      <c r="G969" s="77"/>
      <c r="H969" s="77"/>
      <c r="I969" s="4"/>
      <c r="J969" s="4"/>
      <c r="K969" s="4"/>
      <c r="L969" s="4"/>
      <c r="M969" s="4"/>
      <c r="N969" s="4"/>
      <c r="O969" s="4"/>
      <c r="P969" s="4"/>
      <c r="Q969" s="4"/>
      <c r="R969" s="4"/>
    </row>
    <row r="970">
      <c r="A970" s="71"/>
      <c r="B970" s="71"/>
      <c r="C970" s="76"/>
      <c r="D970" s="77"/>
      <c r="E970" s="77"/>
      <c r="F970" s="77"/>
      <c r="G970" s="77"/>
      <c r="H970" s="77"/>
      <c r="I970" s="4"/>
      <c r="J970" s="4"/>
      <c r="K970" s="4"/>
      <c r="L970" s="4"/>
      <c r="M970" s="4"/>
      <c r="N970" s="4"/>
      <c r="O970" s="4"/>
      <c r="P970" s="4"/>
      <c r="Q970" s="4"/>
      <c r="R970" s="4"/>
    </row>
    <row r="971">
      <c r="A971" s="71"/>
      <c r="B971" s="71"/>
      <c r="C971" s="76"/>
      <c r="D971" s="77"/>
      <c r="E971" s="77"/>
      <c r="F971" s="77"/>
      <c r="G971" s="77"/>
      <c r="H971" s="77"/>
      <c r="I971" s="4"/>
      <c r="J971" s="4"/>
      <c r="K971" s="4"/>
      <c r="L971" s="4"/>
      <c r="M971" s="4"/>
      <c r="N971" s="4"/>
      <c r="O971" s="4"/>
      <c r="P971" s="4"/>
      <c r="Q971" s="4"/>
      <c r="R971" s="4"/>
    </row>
    <row r="972">
      <c r="A972" s="71"/>
      <c r="B972" s="71"/>
      <c r="C972" s="76"/>
      <c r="D972" s="77"/>
      <c r="E972" s="77"/>
      <c r="F972" s="77"/>
      <c r="G972" s="77"/>
      <c r="H972" s="77"/>
      <c r="I972" s="4"/>
      <c r="J972" s="4"/>
      <c r="K972" s="4"/>
      <c r="L972" s="4"/>
      <c r="M972" s="4"/>
      <c r="N972" s="4"/>
      <c r="O972" s="4"/>
      <c r="P972" s="4"/>
      <c r="Q972" s="4"/>
      <c r="R972" s="4"/>
    </row>
    <row r="973">
      <c r="A973" s="71"/>
      <c r="B973" s="71"/>
      <c r="C973" s="76"/>
      <c r="D973" s="77"/>
      <c r="E973" s="77"/>
      <c r="F973" s="77"/>
      <c r="G973" s="77"/>
      <c r="H973" s="77"/>
      <c r="I973" s="4"/>
      <c r="J973" s="4"/>
      <c r="K973" s="4"/>
      <c r="L973" s="4"/>
      <c r="M973" s="4"/>
      <c r="N973" s="4"/>
      <c r="O973" s="4"/>
      <c r="P973" s="4"/>
      <c r="Q973" s="4"/>
      <c r="R973" s="4"/>
    </row>
    <row r="974">
      <c r="A974" s="71"/>
      <c r="B974" s="71"/>
      <c r="C974" s="76"/>
      <c r="D974" s="77"/>
      <c r="E974" s="77"/>
      <c r="F974" s="77"/>
      <c r="G974" s="77"/>
      <c r="H974" s="77"/>
      <c r="I974" s="4"/>
      <c r="J974" s="4"/>
      <c r="K974" s="4"/>
      <c r="L974" s="4"/>
      <c r="M974" s="4"/>
      <c r="N974" s="4"/>
      <c r="O974" s="4"/>
      <c r="P974" s="4"/>
      <c r="Q974" s="4"/>
      <c r="R974" s="4"/>
    </row>
    <row r="975">
      <c r="A975" s="71"/>
      <c r="B975" s="71"/>
      <c r="C975" s="76"/>
      <c r="D975" s="77"/>
      <c r="E975" s="77"/>
      <c r="F975" s="77"/>
      <c r="G975" s="77"/>
      <c r="H975" s="77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>
      <c r="A976" s="71"/>
      <c r="B976" s="71"/>
      <c r="C976" s="76"/>
      <c r="D976" s="77"/>
      <c r="E976" s="77"/>
      <c r="F976" s="77"/>
      <c r="G976" s="77"/>
      <c r="H976" s="77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>
      <c r="A977" s="71"/>
      <c r="B977" s="71"/>
      <c r="C977" s="76"/>
      <c r="D977" s="77"/>
      <c r="E977" s="77"/>
      <c r="F977" s="77"/>
      <c r="G977" s="77"/>
      <c r="H977" s="77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>
      <c r="A978" s="71"/>
      <c r="B978" s="71"/>
      <c r="C978" s="76"/>
      <c r="D978" s="77"/>
      <c r="E978" s="77"/>
      <c r="F978" s="77"/>
      <c r="G978" s="77"/>
      <c r="H978" s="77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>
      <c r="A979" s="71"/>
      <c r="B979" s="71"/>
      <c r="C979" s="76"/>
      <c r="D979" s="77"/>
      <c r="E979" s="77"/>
      <c r="F979" s="77"/>
      <c r="G979" s="77"/>
      <c r="H979" s="77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>
      <c r="A980" s="71"/>
      <c r="B980" s="71"/>
      <c r="C980" s="76"/>
      <c r="D980" s="77"/>
      <c r="E980" s="77"/>
      <c r="F980" s="77"/>
      <c r="G980" s="77"/>
      <c r="H980" s="77"/>
      <c r="I980" s="4"/>
      <c r="J980" s="4"/>
      <c r="K980" s="4"/>
      <c r="L980" s="4"/>
      <c r="M980" s="4"/>
      <c r="N980" s="4"/>
      <c r="O980" s="4"/>
      <c r="P980" s="4"/>
      <c r="Q980" s="4"/>
      <c r="R980" s="4"/>
    </row>
    <row r="981">
      <c r="A981" s="71"/>
      <c r="B981" s="71"/>
      <c r="C981" s="76"/>
      <c r="D981" s="77"/>
      <c r="E981" s="77"/>
      <c r="F981" s="77"/>
      <c r="G981" s="77"/>
      <c r="H981" s="77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>
      <c r="A982" s="71"/>
      <c r="B982" s="71"/>
      <c r="C982" s="76"/>
      <c r="D982" s="77"/>
      <c r="E982" s="77"/>
      <c r="F982" s="77"/>
      <c r="G982" s="77"/>
      <c r="H982" s="77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>
      <c r="A983" s="71"/>
      <c r="B983" s="71"/>
      <c r="C983" s="76"/>
      <c r="D983" s="77"/>
      <c r="E983" s="77"/>
      <c r="F983" s="77"/>
      <c r="G983" s="77"/>
      <c r="H983" s="77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>
      <c r="A984" s="71"/>
      <c r="B984" s="71"/>
      <c r="C984" s="76"/>
      <c r="D984" s="77"/>
      <c r="E984" s="77"/>
      <c r="F984" s="77"/>
      <c r="G984" s="77"/>
      <c r="H984" s="77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>
      <c r="A985" s="71"/>
      <c r="B985" s="71"/>
      <c r="C985" s="76"/>
      <c r="D985" s="77"/>
      <c r="E985" s="77"/>
      <c r="F985" s="77"/>
      <c r="G985" s="77"/>
      <c r="H985" s="77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>
      <c r="A986" s="71"/>
      <c r="B986" s="71"/>
      <c r="C986" s="76"/>
      <c r="D986" s="77"/>
      <c r="E986" s="77"/>
      <c r="F986" s="77"/>
      <c r="G986" s="77"/>
      <c r="H986" s="77"/>
      <c r="I986" s="4"/>
      <c r="J986" s="4"/>
      <c r="K986" s="4"/>
      <c r="L986" s="4"/>
      <c r="M986" s="4"/>
      <c r="N986" s="4"/>
      <c r="O986" s="4"/>
      <c r="P986" s="4"/>
      <c r="Q986" s="4"/>
      <c r="R986" s="4"/>
    </row>
    <row r="987">
      <c r="A987" s="71"/>
      <c r="B987" s="71"/>
      <c r="C987" s="76"/>
      <c r="D987" s="77"/>
      <c r="E987" s="77"/>
      <c r="F987" s="77"/>
      <c r="G987" s="77"/>
      <c r="H987" s="77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>
      <c r="A988" s="71"/>
      <c r="B988" s="71"/>
      <c r="C988" s="76"/>
      <c r="D988" s="77"/>
      <c r="E988" s="77"/>
      <c r="F988" s="77"/>
      <c r="G988" s="77"/>
      <c r="H988" s="77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>
      <c r="A989" s="71"/>
      <c r="B989" s="71"/>
      <c r="C989" s="76"/>
      <c r="D989" s="77"/>
      <c r="E989" s="77"/>
      <c r="F989" s="77"/>
      <c r="G989" s="77"/>
      <c r="H989" s="77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>
      <c r="A990" s="71"/>
      <c r="B990" s="71"/>
      <c r="C990" s="76"/>
      <c r="D990" s="77"/>
      <c r="E990" s="77"/>
      <c r="F990" s="77"/>
      <c r="G990" s="77"/>
      <c r="H990" s="77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>
      <c r="A991" s="71"/>
      <c r="B991" s="71"/>
      <c r="C991" s="76"/>
      <c r="D991" s="77"/>
      <c r="E991" s="77"/>
      <c r="F991" s="77"/>
      <c r="G991" s="77"/>
      <c r="H991" s="77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>
      <c r="A992" s="71"/>
      <c r="B992" s="71"/>
      <c r="C992" s="76"/>
      <c r="D992" s="77"/>
      <c r="E992" s="77"/>
      <c r="F992" s="77"/>
      <c r="G992" s="77"/>
      <c r="H992" s="77"/>
      <c r="I992" s="4"/>
      <c r="J992" s="4"/>
      <c r="K992" s="4"/>
      <c r="L992" s="4"/>
      <c r="M992" s="4"/>
      <c r="N992" s="4"/>
      <c r="O992" s="4"/>
      <c r="P992" s="4"/>
      <c r="Q992" s="4"/>
      <c r="R992" s="4"/>
    </row>
    <row r="993">
      <c r="A993" s="71"/>
      <c r="B993" s="71"/>
      <c r="C993" s="76"/>
      <c r="D993" s="77"/>
      <c r="E993" s="77"/>
      <c r="F993" s="77"/>
      <c r="G993" s="77"/>
      <c r="H993" s="77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>
      <c r="A994" s="71"/>
      <c r="B994" s="71"/>
      <c r="C994" s="76"/>
      <c r="D994" s="77"/>
      <c r="E994" s="77"/>
      <c r="F994" s="77"/>
      <c r="G994" s="77"/>
      <c r="H994" s="77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>
      <c r="A995" s="71"/>
      <c r="B995" s="71"/>
      <c r="C995" s="76"/>
      <c r="D995" s="77"/>
      <c r="E995" s="77"/>
      <c r="F995" s="77"/>
      <c r="G995" s="77"/>
      <c r="H995" s="77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>
      <c r="A996" s="71"/>
      <c r="B996" s="71"/>
      <c r="C996" s="76"/>
      <c r="D996" s="77"/>
      <c r="E996" s="77"/>
      <c r="F996" s="77"/>
      <c r="G996" s="77"/>
      <c r="H996" s="77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>
      <c r="A997" s="71"/>
      <c r="B997" s="71"/>
      <c r="C997" s="76"/>
      <c r="D997" s="77"/>
      <c r="E997" s="77"/>
      <c r="F997" s="77"/>
      <c r="G997" s="77"/>
      <c r="H997" s="77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>
      <c r="A998" s="71"/>
      <c r="B998" s="71"/>
      <c r="C998" s="76"/>
      <c r="D998" s="77"/>
      <c r="E998" s="77"/>
      <c r="F998" s="77"/>
      <c r="G998" s="77"/>
      <c r="H998" s="77"/>
      <c r="I998" s="4"/>
      <c r="J998" s="4"/>
      <c r="K998" s="4"/>
      <c r="L998" s="4"/>
      <c r="M998" s="4"/>
      <c r="N998" s="4"/>
      <c r="O998" s="4"/>
      <c r="P998" s="4"/>
      <c r="Q998" s="4"/>
      <c r="R998" s="4"/>
    </row>
    <row r="999">
      <c r="A999" s="71"/>
      <c r="B999" s="71"/>
      <c r="C999" s="76"/>
      <c r="D999" s="77"/>
      <c r="E999" s="77"/>
      <c r="F999" s="77"/>
      <c r="G999" s="77"/>
      <c r="H999" s="77"/>
      <c r="I999" s="4"/>
      <c r="J999" s="4"/>
      <c r="K999" s="4"/>
      <c r="L999" s="4"/>
      <c r="M999" s="4"/>
      <c r="N999" s="4"/>
      <c r="O999" s="4"/>
      <c r="P999" s="4"/>
      <c r="Q999" s="4"/>
      <c r="R999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5"/>
    <col customWidth="1" min="2" max="2" width="17.5"/>
  </cols>
  <sheetData>
    <row r="1">
      <c r="B1" s="1" t="s">
        <v>232</v>
      </c>
      <c r="C1" s="1" t="s">
        <v>233</v>
      </c>
      <c r="D1" s="1" t="s">
        <v>234</v>
      </c>
      <c r="E1" s="1" t="s">
        <v>235</v>
      </c>
      <c r="F1" s="1" t="s">
        <v>236</v>
      </c>
      <c r="G1" s="1" t="s">
        <v>237</v>
      </c>
      <c r="H1" s="1" t="s">
        <v>238</v>
      </c>
      <c r="I1" s="1" t="s">
        <v>239</v>
      </c>
      <c r="J1" s="1" t="s">
        <v>240</v>
      </c>
      <c r="K1" s="1" t="s">
        <v>241</v>
      </c>
      <c r="L1" s="1" t="s">
        <v>242</v>
      </c>
      <c r="M1" s="1" t="s">
        <v>243</v>
      </c>
      <c r="N1" s="1" t="s">
        <v>244</v>
      </c>
      <c r="O1" s="1" t="s">
        <v>245</v>
      </c>
      <c r="P1" s="1" t="s">
        <v>246</v>
      </c>
      <c r="Q1" s="1" t="s">
        <v>247</v>
      </c>
      <c r="R1" s="1" t="s">
        <v>248</v>
      </c>
      <c r="S1" s="1" t="s">
        <v>249</v>
      </c>
      <c r="T1" s="1" t="s">
        <v>250</v>
      </c>
      <c r="U1" s="1" t="s">
        <v>251</v>
      </c>
    </row>
    <row r="2">
      <c r="A2" s="1" t="s">
        <v>1310</v>
      </c>
      <c r="B2" s="86" t="s">
        <v>1311</v>
      </c>
      <c r="C2" s="1" t="s">
        <v>1312</v>
      </c>
      <c r="D2" s="1" t="s">
        <v>1313</v>
      </c>
      <c r="E2" s="1" t="s">
        <v>1314</v>
      </c>
      <c r="F2" s="1" t="s">
        <v>1315</v>
      </c>
      <c r="G2" s="1" t="s">
        <v>1316</v>
      </c>
      <c r="H2" s="1" t="s">
        <v>1317</v>
      </c>
      <c r="I2" s="1" t="s">
        <v>1318</v>
      </c>
      <c r="J2" s="1" t="s">
        <v>1319</v>
      </c>
      <c r="K2" s="1" t="s">
        <v>1320</v>
      </c>
      <c r="L2" s="1" t="s">
        <v>1321</v>
      </c>
      <c r="M2" s="1" t="s">
        <v>1322</v>
      </c>
      <c r="N2" s="1" t="s">
        <v>1323</v>
      </c>
      <c r="O2" s="1" t="s">
        <v>1324</v>
      </c>
      <c r="P2" s="1" t="s">
        <v>1325</v>
      </c>
      <c r="Q2" s="1" t="s">
        <v>1326</v>
      </c>
      <c r="R2" s="1" t="s">
        <v>1327</v>
      </c>
      <c r="S2" s="1" t="s">
        <v>1328</v>
      </c>
      <c r="T2" s="1" t="s">
        <v>1329</v>
      </c>
      <c r="U2" s="1" t="s">
        <v>1330</v>
      </c>
    </row>
    <row r="3">
      <c r="A3" s="1" t="s">
        <v>1331</v>
      </c>
      <c r="B3" s="6">
        <v>62.9048</v>
      </c>
      <c r="C3" s="6">
        <v>26.57449</v>
      </c>
      <c r="D3" s="6">
        <v>16.20702</v>
      </c>
      <c r="E3" s="6">
        <v>33.09595</v>
      </c>
      <c r="F3" s="6">
        <v>19.91804</v>
      </c>
      <c r="G3" s="6">
        <v>22.28244</v>
      </c>
      <c r="H3" s="6">
        <v>17.50606</v>
      </c>
      <c r="I3" s="6">
        <v>10.58219</v>
      </c>
      <c r="J3" s="6">
        <v>20.38377</v>
      </c>
      <c r="K3" s="6">
        <v>81.024</v>
      </c>
      <c r="L3" s="6">
        <v>25.19899</v>
      </c>
      <c r="M3" s="6">
        <v>7.80659</v>
      </c>
      <c r="N3" s="6">
        <v>9.067989</v>
      </c>
      <c r="O3" s="6">
        <v>69.65603</v>
      </c>
      <c r="P3" s="6">
        <v>23.01681</v>
      </c>
      <c r="Q3" s="6">
        <v>6.138072</v>
      </c>
      <c r="R3" s="6">
        <v>5.260594</v>
      </c>
      <c r="S3" s="6">
        <v>19.90128</v>
      </c>
      <c r="T3" s="6">
        <v>21.72217</v>
      </c>
      <c r="U3" s="6">
        <v>39.23877</v>
      </c>
    </row>
    <row r="4">
      <c r="A4" s="1" t="s">
        <v>1332</v>
      </c>
      <c r="B4" s="6">
        <v>7.06904</v>
      </c>
      <c r="C4" s="6">
        <v>4.312533</v>
      </c>
      <c r="D4" s="6">
        <v>3.423463</v>
      </c>
      <c r="E4" s="6">
        <v>4.556895</v>
      </c>
      <c r="F4" s="6">
        <v>3.812376</v>
      </c>
      <c r="G4" s="6">
        <v>2.9798</v>
      </c>
      <c r="H4" s="6">
        <v>3.678546</v>
      </c>
      <c r="I4" s="6">
        <v>2.124652</v>
      </c>
      <c r="J4" s="6">
        <v>4.079494</v>
      </c>
      <c r="K4" s="6">
        <v>7.757013</v>
      </c>
      <c r="L4" s="6">
        <v>4.7592</v>
      </c>
      <c r="M4" s="6">
        <v>1.746421</v>
      </c>
      <c r="N4" s="6">
        <v>2.944815</v>
      </c>
      <c r="O4" s="6">
        <v>7.173392</v>
      </c>
      <c r="P4" s="6">
        <v>3.445397</v>
      </c>
      <c r="Q4" s="6">
        <v>1.732343</v>
      </c>
      <c r="R4" s="6">
        <v>2.040951</v>
      </c>
      <c r="S4" s="6">
        <v>3.87631</v>
      </c>
      <c r="T4" s="6">
        <v>4.260031</v>
      </c>
      <c r="U4" s="6">
        <v>6.046205</v>
      </c>
    </row>
    <row r="5">
      <c r="A5" s="1" t="s">
        <v>1333</v>
      </c>
      <c r="B5" s="6">
        <v>7.931255</v>
      </c>
      <c r="C5" s="6">
        <v>5.155045</v>
      </c>
      <c r="D5" s="6">
        <v>4.025795</v>
      </c>
      <c r="E5" s="6">
        <v>5.752908</v>
      </c>
      <c r="F5" s="6">
        <v>4.462964</v>
      </c>
      <c r="G5" s="6">
        <v>4.720428</v>
      </c>
      <c r="H5" s="6">
        <v>4.184024</v>
      </c>
      <c r="I5" s="6">
        <v>3.253028</v>
      </c>
      <c r="J5" s="6">
        <v>4.514838</v>
      </c>
      <c r="K5" s="6">
        <v>9.001333</v>
      </c>
      <c r="L5" s="6">
        <v>5.019859</v>
      </c>
      <c r="M5" s="6">
        <v>2.794027</v>
      </c>
      <c r="N5" s="6">
        <v>3.01131</v>
      </c>
      <c r="O5" s="6">
        <v>8.346019</v>
      </c>
      <c r="P5" s="6">
        <v>4.797583</v>
      </c>
      <c r="Q5" s="6">
        <v>2.477513</v>
      </c>
      <c r="R5" s="6">
        <v>2.293598</v>
      </c>
      <c r="S5" s="6">
        <v>4.461085</v>
      </c>
      <c r="T5" s="6">
        <v>4.660704</v>
      </c>
      <c r="U5" s="6">
        <v>6.264085</v>
      </c>
    </row>
    <row r="6">
      <c r="A6" s="1" t="s">
        <v>1334</v>
      </c>
      <c r="B6" s="6">
        <v>62.9048</v>
      </c>
      <c r="C6" s="6">
        <v>26.57449</v>
      </c>
      <c r="D6" s="6">
        <v>16.20702</v>
      </c>
      <c r="E6" s="6">
        <v>33.09595</v>
      </c>
      <c r="F6" s="6">
        <v>19.91804</v>
      </c>
      <c r="G6" s="6">
        <v>22.28244</v>
      </c>
      <c r="H6" s="6">
        <v>17.50606</v>
      </c>
      <c r="I6" s="6">
        <v>10.58219</v>
      </c>
      <c r="J6" s="6">
        <v>20.38377</v>
      </c>
      <c r="K6" s="6">
        <v>81.024</v>
      </c>
      <c r="L6" s="6">
        <v>25.19899</v>
      </c>
      <c r="M6" s="6">
        <v>7.80659</v>
      </c>
      <c r="N6" s="6">
        <v>9.067989</v>
      </c>
      <c r="O6" s="6">
        <v>69.65603</v>
      </c>
      <c r="P6" s="6">
        <v>23.01681</v>
      </c>
      <c r="Q6" s="6">
        <v>6.138072</v>
      </c>
      <c r="R6" s="6">
        <v>5.260594</v>
      </c>
      <c r="S6" s="6">
        <v>19.90128</v>
      </c>
      <c r="T6" s="6">
        <v>21.72217</v>
      </c>
      <c r="U6" s="6">
        <v>39.23877</v>
      </c>
    </row>
    <row r="7">
      <c r="A7" s="1" t="s">
        <v>1335</v>
      </c>
      <c r="B7" s="6">
        <v>7.06904</v>
      </c>
      <c r="C7" s="6">
        <v>4.312533</v>
      </c>
      <c r="D7" s="6">
        <v>3.423463</v>
      </c>
      <c r="E7" s="6">
        <v>4.556895</v>
      </c>
      <c r="F7" s="6">
        <v>3.812376</v>
      </c>
      <c r="G7" s="6">
        <v>2.9798</v>
      </c>
      <c r="H7" s="6">
        <v>3.678546</v>
      </c>
      <c r="I7" s="6">
        <v>2.124652</v>
      </c>
      <c r="J7" s="6">
        <v>4.079494</v>
      </c>
      <c r="K7" s="6">
        <v>7.757013</v>
      </c>
      <c r="L7" s="6">
        <v>4.7592</v>
      </c>
      <c r="M7" s="6">
        <v>1.746421</v>
      </c>
      <c r="N7" s="6">
        <v>2.944815</v>
      </c>
      <c r="O7" s="6">
        <v>7.173392</v>
      </c>
      <c r="P7" s="6">
        <v>3.445397</v>
      </c>
      <c r="Q7" s="6">
        <v>1.732343</v>
      </c>
      <c r="R7" s="6">
        <v>2.040951</v>
      </c>
      <c r="S7" s="6">
        <v>3.87631</v>
      </c>
      <c r="T7" s="6">
        <v>4.260031</v>
      </c>
      <c r="U7" s="6">
        <v>6.046205</v>
      </c>
    </row>
    <row r="8">
      <c r="A8" s="1" t="s">
        <v>1336</v>
      </c>
      <c r="B8" s="6">
        <v>7.931255</v>
      </c>
      <c r="C8" s="6">
        <v>5.155045</v>
      </c>
      <c r="D8" s="6">
        <v>4.025795</v>
      </c>
      <c r="E8" s="6">
        <v>5.752908</v>
      </c>
      <c r="F8" s="6">
        <v>4.462964</v>
      </c>
      <c r="G8" s="6">
        <v>4.720428</v>
      </c>
      <c r="H8" s="6">
        <v>4.184024</v>
      </c>
      <c r="I8" s="6">
        <v>3.253028</v>
      </c>
      <c r="J8" s="6">
        <v>4.514838</v>
      </c>
      <c r="K8" s="6">
        <v>9.001333</v>
      </c>
      <c r="L8" s="6">
        <v>5.019859</v>
      </c>
      <c r="M8" s="6">
        <v>2.794027</v>
      </c>
      <c r="N8" s="6">
        <v>3.01131</v>
      </c>
      <c r="O8" s="6">
        <v>8.346019</v>
      </c>
      <c r="P8" s="6">
        <v>4.797583</v>
      </c>
      <c r="Q8" s="6">
        <v>2.477513</v>
      </c>
      <c r="R8" s="6">
        <v>2.293598</v>
      </c>
      <c r="S8" s="6">
        <v>4.461085</v>
      </c>
      <c r="T8" s="6">
        <v>4.660704</v>
      </c>
      <c r="U8" s="6">
        <v>6.264085</v>
      </c>
    </row>
    <row r="9">
      <c r="A9" s="1" t="s">
        <v>1337</v>
      </c>
      <c r="B9" s="1" t="s">
        <v>1224</v>
      </c>
      <c r="C9" s="1" t="s">
        <v>1225</v>
      </c>
      <c r="D9" s="1" t="s">
        <v>1226</v>
      </c>
      <c r="E9" s="1" t="s">
        <v>1227</v>
      </c>
      <c r="F9" s="1" t="s">
        <v>1228</v>
      </c>
      <c r="G9" s="1" t="s">
        <v>1229</v>
      </c>
      <c r="H9" s="1" t="s">
        <v>1230</v>
      </c>
      <c r="I9" s="1" t="s">
        <v>1231</v>
      </c>
      <c r="J9" s="1" t="s">
        <v>1232</v>
      </c>
      <c r="K9" s="1" t="s">
        <v>1233</v>
      </c>
      <c r="L9" s="1" t="s">
        <v>1234</v>
      </c>
      <c r="M9" s="1" t="s">
        <v>1338</v>
      </c>
      <c r="N9" s="1" t="s">
        <v>1236</v>
      </c>
      <c r="O9" s="1" t="s">
        <v>1237</v>
      </c>
      <c r="P9" s="1" t="s">
        <v>1238</v>
      </c>
      <c r="Q9" s="1" t="s">
        <v>1239</v>
      </c>
      <c r="R9" s="1" t="s">
        <v>1240</v>
      </c>
      <c r="S9" s="1" t="s">
        <v>1241</v>
      </c>
      <c r="T9" s="1" t="s">
        <v>1242</v>
      </c>
      <c r="U9" s="1" t="s">
        <v>1243</v>
      </c>
    </row>
    <row r="10">
      <c r="A10" s="1" t="s">
        <v>1339</v>
      </c>
      <c r="B10" s="1" t="s">
        <v>1245</v>
      </c>
      <c r="C10" s="1" t="s">
        <v>1246</v>
      </c>
      <c r="D10" s="1" t="s">
        <v>1247</v>
      </c>
      <c r="E10" s="1" t="s">
        <v>1248</v>
      </c>
      <c r="F10" s="1" t="s">
        <v>1249</v>
      </c>
      <c r="G10" s="1" t="s">
        <v>1250</v>
      </c>
      <c r="H10" s="1" t="s">
        <v>1251</v>
      </c>
      <c r="I10" s="1" t="s">
        <v>1252</v>
      </c>
      <c r="J10" s="1" t="s">
        <v>1253</v>
      </c>
      <c r="K10" s="1" t="s">
        <v>1254</v>
      </c>
      <c r="L10" s="1" t="s">
        <v>1255</v>
      </c>
      <c r="M10" s="1" t="s">
        <v>1256</v>
      </c>
      <c r="N10" s="1" t="s">
        <v>1257</v>
      </c>
      <c r="O10" s="1" t="s">
        <v>1258</v>
      </c>
      <c r="P10" s="1" t="s">
        <v>1259</v>
      </c>
      <c r="Q10" s="1" t="s">
        <v>1260</v>
      </c>
      <c r="R10" s="1" t="s">
        <v>1261</v>
      </c>
      <c r="S10" s="1" t="s">
        <v>1262</v>
      </c>
      <c r="T10" s="1" t="s">
        <v>1263</v>
      </c>
      <c r="U10" s="1" t="s">
        <v>1264</v>
      </c>
    </row>
    <row r="11">
      <c r="A11" s="1" t="s">
        <v>1265</v>
      </c>
      <c r="B11" s="1" t="s">
        <v>1266</v>
      </c>
      <c r="C11" s="1" t="s">
        <v>1267</v>
      </c>
      <c r="D11" s="1" t="s">
        <v>1268</v>
      </c>
      <c r="E11" s="1" t="s">
        <v>1269</v>
      </c>
      <c r="F11" s="1" t="s">
        <v>1270</v>
      </c>
      <c r="G11" s="1" t="s">
        <v>1271</v>
      </c>
      <c r="H11" s="1" t="s">
        <v>1272</v>
      </c>
      <c r="I11" s="1" t="s">
        <v>1273</v>
      </c>
      <c r="J11" s="1" t="s">
        <v>1274</v>
      </c>
      <c r="K11" s="1" t="s">
        <v>1275</v>
      </c>
      <c r="L11" s="1" t="s">
        <v>1276</v>
      </c>
      <c r="M11" s="1" t="s">
        <v>1277</v>
      </c>
      <c r="N11" s="1" t="s">
        <v>1278</v>
      </c>
      <c r="O11" s="1" t="s">
        <v>1279</v>
      </c>
      <c r="P11" s="1" t="s">
        <v>1280</v>
      </c>
      <c r="Q11" s="1" t="s">
        <v>1281</v>
      </c>
      <c r="R11" s="1" t="s">
        <v>1282</v>
      </c>
      <c r="S11" s="1" t="s">
        <v>1283</v>
      </c>
      <c r="T11" s="1" t="s">
        <v>1284</v>
      </c>
      <c r="U11" s="1" t="s">
        <v>1285</v>
      </c>
    </row>
    <row r="12">
      <c r="A12" s="1" t="s">
        <v>1286</v>
      </c>
      <c r="B12" s="87">
        <v>4.6296296296296294E-5</v>
      </c>
      <c r="C12" s="87">
        <v>6.944444444444444E-5</v>
      </c>
      <c r="D12" s="87">
        <v>1.0416666666666667E-4</v>
      </c>
      <c r="E12" s="87">
        <v>1.273148148148148E-4</v>
      </c>
      <c r="F12" s="87">
        <v>1.6203703703703703E-4</v>
      </c>
      <c r="G12" s="87">
        <v>1.7361111111111112E-4</v>
      </c>
      <c r="H12" s="87">
        <v>2.199074074074074E-4</v>
      </c>
      <c r="I12" s="87">
        <v>2.546296296296296E-4</v>
      </c>
      <c r="J12" s="87">
        <v>2.546296296296296E-4</v>
      </c>
      <c r="K12" s="87">
        <v>2.662037037037037E-4</v>
      </c>
      <c r="L12" s="87">
        <v>3.2407407407407406E-4</v>
      </c>
      <c r="M12" s="87">
        <v>3.125E-4</v>
      </c>
      <c r="N12" s="87">
        <v>3.4722222222222224E-4</v>
      </c>
      <c r="O12" s="87">
        <v>3.7037037037037035E-4</v>
      </c>
      <c r="P12" s="87">
        <v>4.5138888888888887E-4</v>
      </c>
      <c r="Q12" s="87">
        <v>4.976851851851852E-4</v>
      </c>
      <c r="R12" s="87">
        <v>5.208333333333333E-4</v>
      </c>
      <c r="S12" s="87">
        <v>5.555555555555556E-4</v>
      </c>
      <c r="T12" s="87">
        <v>5.671296296296297E-4</v>
      </c>
      <c r="U12" s="87">
        <v>8.564814814814815E-4</v>
      </c>
    </row>
  </sheetData>
  <conditionalFormatting sqref="C3:U8">
    <cfRule type="cellIs" dxfId="8" priority="1" operator="lessThan">
      <formula>3.5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96" max="196" width="74.75"/>
  </cols>
  <sheetData>
    <row r="1">
      <c r="A1" s="1" t="s">
        <v>14</v>
      </c>
      <c r="B1" s="10"/>
      <c r="C1" s="10" t="s">
        <v>15</v>
      </c>
      <c r="E1" s="10" t="s">
        <v>1340</v>
      </c>
    </row>
    <row r="2">
      <c r="A2" s="1" t="s">
        <v>21</v>
      </c>
      <c r="B2" s="10"/>
      <c r="C2" s="10" t="s">
        <v>22</v>
      </c>
      <c r="E2" s="7">
        <v>8.143190781353042</v>
      </c>
    </row>
    <row r="3">
      <c r="A3" s="1" t="s">
        <v>23</v>
      </c>
      <c r="B3" s="10"/>
      <c r="C3" s="10" t="s">
        <v>24</v>
      </c>
      <c r="E3" s="10" t="s">
        <v>1340</v>
      </c>
    </row>
    <row r="4">
      <c r="A4" s="1" t="s">
        <v>25</v>
      </c>
      <c r="B4" s="10"/>
      <c r="C4" s="10" t="s">
        <v>26</v>
      </c>
      <c r="E4" s="7">
        <v>8.919420032761991</v>
      </c>
    </row>
    <row r="5">
      <c r="A5" s="1" t="s">
        <v>27</v>
      </c>
      <c r="B5" s="10"/>
      <c r="C5" s="10" t="s">
        <v>28</v>
      </c>
      <c r="E5" s="7">
        <v>12.095873121987097</v>
      </c>
    </row>
    <row r="6">
      <c r="A6" s="1" t="s">
        <v>29</v>
      </c>
      <c r="B6" s="10"/>
      <c r="C6" s="10" t="s">
        <v>30</v>
      </c>
      <c r="E6" s="7">
        <v>3.1751980701228604</v>
      </c>
    </row>
    <row r="7">
      <c r="A7" s="1" t="s">
        <v>31</v>
      </c>
      <c r="B7" s="10"/>
      <c r="C7" s="10" t="s">
        <v>32</v>
      </c>
      <c r="E7" s="7">
        <v>2.03815085592214</v>
      </c>
    </row>
    <row r="8">
      <c r="A8" s="1" t="s">
        <v>33</v>
      </c>
      <c r="B8" s="10"/>
      <c r="C8" s="10" t="s">
        <v>32</v>
      </c>
      <c r="E8" s="7">
        <v>1.487825024407357</v>
      </c>
    </row>
    <row r="9">
      <c r="A9" s="1" t="s">
        <v>36</v>
      </c>
      <c r="B9" s="10"/>
      <c r="C9" s="10" t="s">
        <v>37</v>
      </c>
      <c r="E9" s="7">
        <v>8.819018512964249</v>
      </c>
    </row>
    <row r="10">
      <c r="A10" s="1" t="s">
        <v>40</v>
      </c>
      <c r="B10" s="10"/>
      <c r="C10" s="10" t="s">
        <v>41</v>
      </c>
      <c r="E10" s="7">
        <v>3.202180978609249</v>
      </c>
    </row>
    <row r="11">
      <c r="A11" s="1" t="s">
        <v>44</v>
      </c>
      <c r="B11" s="10"/>
      <c r="C11" s="10" t="s">
        <v>45</v>
      </c>
      <c r="E11" s="7">
        <v>11.610180769115686</v>
      </c>
    </row>
    <row r="12">
      <c r="A12" s="1" t="s">
        <v>48</v>
      </c>
      <c r="B12" s="10"/>
      <c r="C12" s="10" t="s">
        <v>49</v>
      </c>
      <c r="E12" s="10" t="s">
        <v>1340</v>
      </c>
    </row>
    <row r="13">
      <c r="A13" s="1" t="s">
        <v>53</v>
      </c>
      <c r="B13" s="10"/>
      <c r="C13" s="10" t="s">
        <v>54</v>
      </c>
      <c r="E13" s="7">
        <v>9.624740710947663</v>
      </c>
    </row>
    <row r="14">
      <c r="A14" s="1" t="s">
        <v>56</v>
      </c>
      <c r="B14" s="10"/>
      <c r="C14" s="10" t="s">
        <v>57</v>
      </c>
      <c r="E14" s="7">
        <v>10.065252379979938</v>
      </c>
    </row>
    <row r="15">
      <c r="A15" s="1" t="s">
        <v>58</v>
      </c>
      <c r="B15" s="10"/>
      <c r="C15" s="10" t="s">
        <v>59</v>
      </c>
      <c r="E15" s="7">
        <v>6.128885286510922</v>
      </c>
    </row>
    <row r="16">
      <c r="A16" s="1" t="s">
        <v>60</v>
      </c>
      <c r="B16" s="10"/>
      <c r="C16" s="10" t="s">
        <v>61</v>
      </c>
      <c r="E16" s="7">
        <v>2.354415644076653</v>
      </c>
    </row>
    <row r="17">
      <c r="A17" s="1" t="s">
        <v>62</v>
      </c>
      <c r="B17" s="10"/>
      <c r="C17" s="10" t="s">
        <v>63</v>
      </c>
      <c r="E17" s="10" t="s">
        <v>1340</v>
      </c>
    </row>
    <row r="18">
      <c r="A18" s="1" t="s">
        <v>65</v>
      </c>
      <c r="B18" s="10"/>
      <c r="C18" s="10" t="s">
        <v>66</v>
      </c>
      <c r="E18" s="7">
        <v>10.624990854063071</v>
      </c>
    </row>
    <row r="19">
      <c r="A19" s="1" t="s">
        <v>67</v>
      </c>
      <c r="B19" s="10"/>
      <c r="C19" s="10" t="s">
        <v>68</v>
      </c>
      <c r="E19" s="7">
        <v>6.3353359119500965</v>
      </c>
    </row>
    <row r="20">
      <c r="A20" s="1" t="s">
        <v>69</v>
      </c>
      <c r="B20" s="10"/>
      <c r="C20" s="10" t="s">
        <v>70</v>
      </c>
      <c r="E20" s="7">
        <v>8.433100170455873</v>
      </c>
    </row>
    <row r="21">
      <c r="A21" s="1" t="s">
        <v>71</v>
      </c>
      <c r="B21" s="10"/>
      <c r="C21" s="10" t="s">
        <v>72</v>
      </c>
      <c r="E21" s="10" t="s">
        <v>1340</v>
      </c>
    </row>
    <row r="22">
      <c r="A22" s="1" t="s">
        <v>74</v>
      </c>
      <c r="B22" s="10"/>
      <c r="C22" s="10" t="s">
        <v>75</v>
      </c>
      <c r="E22" s="7">
        <v>4.888926514540799</v>
      </c>
    </row>
    <row r="23">
      <c r="A23" s="1" t="s">
        <v>76</v>
      </c>
      <c r="B23" s="10"/>
      <c r="C23" s="10" t="s">
        <v>77</v>
      </c>
      <c r="E23" s="7">
        <v>3.0045154858380556</v>
      </c>
    </row>
    <row r="24">
      <c r="A24" s="1" t="s">
        <v>78</v>
      </c>
      <c r="B24" s="10"/>
      <c r="C24" s="10" t="s">
        <v>79</v>
      </c>
      <c r="E24" s="7">
        <v>9.771577934036031</v>
      </c>
    </row>
    <row r="25">
      <c r="A25" s="1" t="s">
        <v>80</v>
      </c>
      <c r="B25" s="10"/>
      <c r="C25" s="10" t="s">
        <v>81</v>
      </c>
      <c r="E25" s="7">
        <v>4.14972032350488</v>
      </c>
    </row>
    <row r="26">
      <c r="A26" s="1" t="s">
        <v>82</v>
      </c>
      <c r="B26" s="10"/>
      <c r="C26" s="10" t="s">
        <v>83</v>
      </c>
      <c r="E26" s="7">
        <v>4.679965851013549</v>
      </c>
    </row>
    <row r="27">
      <c r="A27" s="1" t="s">
        <v>84</v>
      </c>
      <c r="B27" s="10"/>
      <c r="C27" s="10" t="s">
        <v>85</v>
      </c>
      <c r="E27" s="7">
        <v>10.228404850000516</v>
      </c>
    </row>
    <row r="28">
      <c r="A28" s="1" t="s">
        <v>86</v>
      </c>
      <c r="B28" s="10"/>
      <c r="C28" s="10" t="s">
        <v>87</v>
      </c>
      <c r="E28" s="7">
        <v>216127.00961534062</v>
      </c>
    </row>
    <row r="29">
      <c r="A29" s="1" t="s">
        <v>88</v>
      </c>
      <c r="B29" s="10"/>
      <c r="C29" s="10" t="s">
        <v>89</v>
      </c>
      <c r="E29" s="7">
        <v>13.184602104360238</v>
      </c>
    </row>
    <row r="30">
      <c r="A30" s="1" t="s">
        <v>90</v>
      </c>
      <c r="B30" s="10"/>
      <c r="C30" s="10" t="s">
        <v>91</v>
      </c>
      <c r="E30" s="7">
        <v>20.279852021019906</v>
      </c>
    </row>
    <row r="31">
      <c r="A31" s="1" t="s">
        <v>92</v>
      </c>
      <c r="B31" s="10"/>
      <c r="C31" s="10" t="s">
        <v>93</v>
      </c>
      <c r="E31" s="10" t="s">
        <v>1340</v>
      </c>
    </row>
    <row r="32">
      <c r="A32" s="1" t="s">
        <v>96</v>
      </c>
      <c r="B32" s="10"/>
      <c r="C32" s="10" t="s">
        <v>97</v>
      </c>
      <c r="E32" s="7">
        <v>-0.2842618036083877</v>
      </c>
    </row>
    <row r="33">
      <c r="A33" s="1" t="s">
        <v>98</v>
      </c>
      <c r="B33" s="10"/>
      <c r="C33" s="10" t="s">
        <v>102</v>
      </c>
      <c r="E33" s="10" t="s">
        <v>1340</v>
      </c>
    </row>
    <row r="34">
      <c r="A34" s="1" t="s">
        <v>101</v>
      </c>
      <c r="B34" s="10"/>
      <c r="C34" s="10" t="s">
        <v>104</v>
      </c>
      <c r="E34" s="7">
        <v>4.550949897733517</v>
      </c>
    </row>
    <row r="35">
      <c r="A35" s="1" t="s">
        <v>103</v>
      </c>
      <c r="B35" s="10"/>
      <c r="C35" s="10" t="s">
        <v>106</v>
      </c>
      <c r="E35" s="7">
        <v>6.440757508040406</v>
      </c>
    </row>
    <row r="36">
      <c r="A36" s="1" t="s">
        <v>105</v>
      </c>
      <c r="B36" s="10"/>
      <c r="C36" s="10" t="s">
        <v>108</v>
      </c>
      <c r="E36" s="7">
        <v>14.016052191960625</v>
      </c>
    </row>
    <row r="37">
      <c r="A37" s="1" t="s">
        <v>107</v>
      </c>
      <c r="B37" s="10"/>
      <c r="C37" s="10" t="s">
        <v>110</v>
      </c>
      <c r="E37" s="7">
        <v>1.3717357669956982</v>
      </c>
    </row>
    <row r="38">
      <c r="A38" s="1" t="s">
        <v>109</v>
      </c>
      <c r="B38" s="10"/>
      <c r="C38" s="10" t="s">
        <v>112</v>
      </c>
      <c r="E38" s="7">
        <v>22.156732935574837</v>
      </c>
    </row>
    <row r="39">
      <c r="A39" s="1" t="s">
        <v>111</v>
      </c>
      <c r="B39" s="10"/>
      <c r="C39" s="10" t="s">
        <v>114</v>
      </c>
      <c r="E39" s="7">
        <v>0.44364921643864363</v>
      </c>
    </row>
    <row r="40">
      <c r="A40" s="1" t="s">
        <v>113</v>
      </c>
      <c r="B40" s="10"/>
      <c r="C40" s="10" t="s">
        <v>116</v>
      </c>
      <c r="E40" s="7">
        <v>4.083204316557385</v>
      </c>
    </row>
    <row r="41">
      <c r="A41" s="1" t="s">
        <v>115</v>
      </c>
      <c r="B41" s="10"/>
      <c r="C41" s="10" t="s">
        <v>119</v>
      </c>
      <c r="E41" s="7">
        <v>2.44163946446497</v>
      </c>
    </row>
    <row r="42">
      <c r="A42" s="1" t="s">
        <v>118</v>
      </c>
      <c r="B42" s="10"/>
      <c r="C42" s="10" t="s">
        <v>121</v>
      </c>
      <c r="E42" s="7">
        <v>7.958702988456935</v>
      </c>
    </row>
    <row r="43">
      <c r="A43" s="1" t="s">
        <v>120</v>
      </c>
      <c r="B43" s="10"/>
      <c r="C43" s="10" t="s">
        <v>123</v>
      </c>
      <c r="E43" s="7">
        <v>2.0299932325724512</v>
      </c>
    </row>
    <row r="44">
      <c r="A44" s="1" t="s">
        <v>122</v>
      </c>
      <c r="B44" s="10"/>
      <c r="C44" s="10" t="s">
        <v>126</v>
      </c>
      <c r="E44" s="10" t="s">
        <v>1340</v>
      </c>
    </row>
    <row r="45">
      <c r="A45" s="1" t="s">
        <v>125</v>
      </c>
      <c r="B45" s="10"/>
      <c r="C45" s="10" t="s">
        <v>1341</v>
      </c>
      <c r="E45" s="7">
        <v>3.764429490547627</v>
      </c>
    </row>
    <row r="46">
      <c r="A46" s="1" t="s">
        <v>127</v>
      </c>
      <c r="B46" s="10"/>
      <c r="C46" s="10" t="s">
        <v>128</v>
      </c>
      <c r="E46" s="7">
        <v>16.275713901384734</v>
      </c>
    </row>
    <row r="47">
      <c r="A47" s="1" t="s">
        <v>129</v>
      </c>
      <c r="B47" s="10"/>
      <c r="C47" s="10" t="s">
        <v>130</v>
      </c>
      <c r="E47" s="7">
        <v>8.696654160390608</v>
      </c>
    </row>
    <row r="48">
      <c r="A48" s="1" t="s">
        <v>131</v>
      </c>
      <c r="B48" s="10"/>
      <c r="C48" s="10" t="s">
        <v>132</v>
      </c>
      <c r="E48" s="7">
        <v>11.363569535664283</v>
      </c>
    </row>
    <row r="49">
      <c r="A49" s="1" t="s">
        <v>133</v>
      </c>
      <c r="B49" s="10"/>
      <c r="C49" s="10" t="s">
        <v>134</v>
      </c>
      <c r="E49" s="10" t="s">
        <v>1340</v>
      </c>
    </row>
    <row r="50">
      <c r="A50" s="1" t="s">
        <v>136</v>
      </c>
      <c r="B50" s="10"/>
      <c r="C50" s="10" t="s">
        <v>137</v>
      </c>
      <c r="E50" s="7">
        <v>2.4535621451213956</v>
      </c>
    </row>
    <row r="51">
      <c r="A51" s="1" t="s">
        <v>138</v>
      </c>
      <c r="B51" s="10"/>
      <c r="C51" s="10" t="s">
        <v>139</v>
      </c>
      <c r="E51" s="7">
        <v>7.9941923305159435</v>
      </c>
    </row>
    <row r="52">
      <c r="A52" s="1" t="s">
        <v>140</v>
      </c>
      <c r="B52" s="10"/>
      <c r="C52" s="10" t="s">
        <v>1342</v>
      </c>
      <c r="E52" s="10" t="s">
        <v>1340</v>
      </c>
    </row>
    <row r="53">
      <c r="A53" s="1" t="s">
        <v>143</v>
      </c>
      <c r="B53" s="10"/>
      <c r="C53" s="10" t="s">
        <v>144</v>
      </c>
      <c r="E53" s="7">
        <v>14.84561975102406</v>
      </c>
    </row>
    <row r="54">
      <c r="A54" s="1" t="s">
        <v>145</v>
      </c>
      <c r="B54" s="10"/>
      <c r="C54" s="10" t="s">
        <v>146</v>
      </c>
      <c r="E54" s="7">
        <v>4.001628081430681</v>
      </c>
    </row>
    <row r="55">
      <c r="A55" s="1" t="s">
        <v>147</v>
      </c>
      <c r="B55" s="10"/>
      <c r="C55" s="10" t="s">
        <v>1343</v>
      </c>
      <c r="E55" s="7">
        <v>9.021076572011225</v>
      </c>
    </row>
    <row r="56">
      <c r="A56" s="1" t="s">
        <v>150</v>
      </c>
      <c r="B56" s="10"/>
      <c r="C56" s="10" t="s">
        <v>148</v>
      </c>
      <c r="E56" s="7">
        <v>6.831068417057395</v>
      </c>
    </row>
    <row r="57">
      <c r="A57" s="1" t="s">
        <v>151</v>
      </c>
      <c r="B57" s="10"/>
      <c r="C57" s="10" t="s">
        <v>148</v>
      </c>
      <c r="E57" s="7">
        <v>10.269192967447452</v>
      </c>
    </row>
    <row r="58">
      <c r="A58" s="1" t="s">
        <v>153</v>
      </c>
      <c r="B58" s="10"/>
      <c r="C58" s="10" t="s">
        <v>152</v>
      </c>
      <c r="E58" s="7">
        <v>9.765930348425172</v>
      </c>
    </row>
    <row r="59">
      <c r="A59" s="1" t="s">
        <v>155</v>
      </c>
      <c r="B59" s="10"/>
      <c r="C59" s="10" t="s">
        <v>154</v>
      </c>
      <c r="E59" s="7">
        <v>12.724766792962328</v>
      </c>
    </row>
    <row r="60">
      <c r="A60" s="1" t="s">
        <v>157</v>
      </c>
      <c r="B60" s="10"/>
      <c r="C60" s="10" t="s">
        <v>156</v>
      </c>
    </row>
    <row r="61">
      <c r="A61" s="1" t="s">
        <v>160</v>
      </c>
      <c r="B61" s="10"/>
      <c r="C61" s="10" t="s">
        <v>158</v>
      </c>
      <c r="E61" s="7">
        <v>5.736699999892153</v>
      </c>
    </row>
    <row r="62">
      <c r="A62" s="1" t="s">
        <v>162</v>
      </c>
      <c r="B62" s="10"/>
      <c r="C62" s="10" t="s">
        <v>161</v>
      </c>
      <c r="E62" s="7">
        <v>9.755899999989197</v>
      </c>
    </row>
    <row r="63">
      <c r="A63" s="1" t="s">
        <v>164</v>
      </c>
      <c r="B63" s="10"/>
      <c r="C63" s="10" t="s">
        <v>1344</v>
      </c>
      <c r="E63" s="10" t="s">
        <v>1340</v>
      </c>
    </row>
    <row r="64">
      <c r="A64" s="1" t="s">
        <v>166</v>
      </c>
      <c r="B64" s="10"/>
      <c r="C64" s="10" t="s">
        <v>163</v>
      </c>
      <c r="E64" s="7">
        <v>11.211084726965055</v>
      </c>
    </row>
    <row r="65">
      <c r="A65" s="1" t="s">
        <v>168</v>
      </c>
      <c r="B65" s="10"/>
      <c r="C65" s="10" t="s">
        <v>165</v>
      </c>
      <c r="E65" s="7">
        <v>7.823031411971897</v>
      </c>
    </row>
    <row r="66">
      <c r="A66" s="1" t="s">
        <v>170</v>
      </c>
      <c r="B66" s="10"/>
      <c r="C66" s="10" t="s">
        <v>169</v>
      </c>
      <c r="E66" s="7">
        <v>6.849893701961264</v>
      </c>
    </row>
    <row r="67">
      <c r="A67" s="1" t="s">
        <v>172</v>
      </c>
      <c r="B67" s="10"/>
      <c r="C67" s="10" t="s">
        <v>1345</v>
      </c>
      <c r="E67" s="7">
        <v>8.07726923841983</v>
      </c>
    </row>
    <row r="68">
      <c r="A68" s="1" t="s">
        <v>175</v>
      </c>
      <c r="B68" s="10"/>
      <c r="C68" s="10" t="s">
        <v>1346</v>
      </c>
      <c r="E68" s="7">
        <v>8.449858789565042</v>
      </c>
    </row>
    <row r="69">
      <c r="A69" s="1" t="s">
        <v>177</v>
      </c>
      <c r="B69" s="10"/>
      <c r="C69" s="10" t="s">
        <v>176</v>
      </c>
      <c r="E69" s="10" t="s">
        <v>1340</v>
      </c>
    </row>
    <row r="70">
      <c r="A70" s="1" t="s">
        <v>179</v>
      </c>
      <c r="B70" s="10"/>
      <c r="C70" s="10" t="s">
        <v>178</v>
      </c>
      <c r="E70" s="10" t="s">
        <v>1340</v>
      </c>
    </row>
    <row r="71">
      <c r="A71" s="1" t="s">
        <v>181</v>
      </c>
      <c r="B71" s="10"/>
      <c r="C71" s="10" t="s">
        <v>180</v>
      </c>
      <c r="E71" s="10" t="s">
        <v>1340</v>
      </c>
    </row>
    <row r="72">
      <c r="A72" s="1" t="s">
        <v>184</v>
      </c>
      <c r="B72" s="10"/>
      <c r="C72" s="10" t="s">
        <v>182</v>
      </c>
      <c r="E72" s="7">
        <v>7.302512992406264</v>
      </c>
    </row>
    <row r="73">
      <c r="A73" s="1" t="s">
        <v>186</v>
      </c>
      <c r="B73" s="10"/>
      <c r="C73" s="10" t="s">
        <v>185</v>
      </c>
      <c r="E73" s="7">
        <v>12.192333266837522</v>
      </c>
    </row>
    <row r="74">
      <c r="A74" s="1" t="s">
        <v>188</v>
      </c>
      <c r="B74" s="10"/>
      <c r="C74" s="10" t="s">
        <v>187</v>
      </c>
      <c r="E74" s="10" t="s">
        <v>1340</v>
      </c>
    </row>
    <row r="75">
      <c r="A75" s="1" t="s">
        <v>191</v>
      </c>
      <c r="B75" s="10"/>
      <c r="C75" s="10" t="s">
        <v>189</v>
      </c>
      <c r="E75" s="7">
        <v>7.190555230947211</v>
      </c>
    </row>
    <row r="76">
      <c r="A76" s="1" t="s">
        <v>193</v>
      </c>
      <c r="B76" s="10"/>
      <c r="C76" s="10" t="s">
        <v>192</v>
      </c>
      <c r="E76" s="7">
        <v>11.348333857022226</v>
      </c>
    </row>
    <row r="77">
      <c r="A77" s="1" t="s">
        <v>195</v>
      </c>
      <c r="B77" s="10"/>
      <c r="C77" s="10" t="s">
        <v>196</v>
      </c>
      <c r="E77" s="10" t="s">
        <v>1340</v>
      </c>
    </row>
    <row r="78">
      <c r="A78" s="1" t="s">
        <v>197</v>
      </c>
      <c r="B78" s="10"/>
      <c r="C78" s="10" t="s">
        <v>194</v>
      </c>
      <c r="E78" s="7">
        <v>1.3836584475357085</v>
      </c>
    </row>
    <row r="79">
      <c r="A79" s="1" t="s">
        <v>199</v>
      </c>
      <c r="B79" s="10"/>
      <c r="C79" s="10" t="s">
        <v>198</v>
      </c>
      <c r="E79" s="7">
        <v>4.604664710932411</v>
      </c>
    </row>
    <row r="80">
      <c r="A80" s="1" t="s">
        <v>201</v>
      </c>
      <c r="B80" s="10"/>
      <c r="C80" s="10" t="s">
        <v>200</v>
      </c>
      <c r="E80" s="7">
        <v>18.147574739996344</v>
      </c>
    </row>
    <row r="81">
      <c r="A81" s="1" t="s">
        <v>203</v>
      </c>
      <c r="B81" s="10"/>
      <c r="C81" s="10" t="s">
        <v>202</v>
      </c>
      <c r="E81" s="7">
        <v>10.923283296520822</v>
      </c>
    </row>
    <row r="82">
      <c r="A82" s="1" t="s">
        <v>205</v>
      </c>
      <c r="B82" s="10"/>
      <c r="C82" s="10" t="s">
        <v>204</v>
      </c>
      <c r="E82" s="10" t="s">
        <v>1340</v>
      </c>
    </row>
    <row r="83">
      <c r="A83" s="1" t="s">
        <v>207</v>
      </c>
      <c r="B83" s="10"/>
      <c r="C83" s="10" t="s">
        <v>206</v>
      </c>
      <c r="E83" s="7">
        <v>-3.2049106446793303</v>
      </c>
    </row>
    <row r="84">
      <c r="B84" s="10"/>
      <c r="C84" s="10" t="s">
        <v>208</v>
      </c>
      <c r="E84" s="88">
        <v>66.0</v>
      </c>
    </row>
    <row r="93">
      <c r="E93" s="10" t="s">
        <v>1347</v>
      </c>
      <c r="F93" s="10" t="s">
        <v>1348</v>
      </c>
      <c r="G93" s="10" t="s">
        <v>1349</v>
      </c>
    </row>
    <row r="94">
      <c r="E94" s="1" t="s">
        <v>21</v>
      </c>
      <c r="F94" s="1" t="s">
        <v>1350</v>
      </c>
      <c r="G94" s="7">
        <v>8.143190781353042</v>
      </c>
    </row>
    <row r="95">
      <c r="E95" s="1" t="s">
        <v>25</v>
      </c>
      <c r="F95" s="1" t="s">
        <v>1351</v>
      </c>
      <c r="G95" s="7">
        <v>8.919420032761991</v>
      </c>
    </row>
    <row r="96">
      <c r="E96" s="1" t="s">
        <v>27</v>
      </c>
      <c r="F96" s="1" t="s">
        <v>1351</v>
      </c>
      <c r="G96" s="7">
        <v>12.095873121987097</v>
      </c>
    </row>
    <row r="97">
      <c r="E97" s="1" t="s">
        <v>29</v>
      </c>
      <c r="F97" s="1" t="s">
        <v>1351</v>
      </c>
      <c r="G97" s="7">
        <v>3.1751980701228604</v>
      </c>
    </row>
    <row r="98">
      <c r="E98" s="1" t="s">
        <v>31</v>
      </c>
      <c r="F98" s="1" t="s">
        <v>1352</v>
      </c>
      <c r="G98" s="7">
        <v>2.03815085592214</v>
      </c>
    </row>
    <row r="99">
      <c r="E99" s="1" t="s">
        <v>33</v>
      </c>
      <c r="F99" s="1" t="s">
        <v>1352</v>
      </c>
      <c r="G99" s="7">
        <v>1.487825024407357</v>
      </c>
    </row>
    <row r="100">
      <c r="E100" s="1" t="s">
        <v>36</v>
      </c>
      <c r="F100" s="1" t="s">
        <v>1351</v>
      </c>
      <c r="G100" s="7">
        <v>8.819018512964249</v>
      </c>
    </row>
    <row r="101">
      <c r="E101" s="1" t="s">
        <v>40</v>
      </c>
      <c r="F101" s="1" t="s">
        <v>1351</v>
      </c>
      <c r="G101" s="7">
        <v>3.202180978609249</v>
      </c>
    </row>
    <row r="102">
      <c r="E102" s="1" t="s">
        <v>44</v>
      </c>
      <c r="F102" s="1" t="s">
        <v>1350</v>
      </c>
      <c r="G102" s="7">
        <v>11.610180769115686</v>
      </c>
    </row>
    <row r="103">
      <c r="E103" s="1" t="s">
        <v>229</v>
      </c>
      <c r="F103" s="1" t="s">
        <v>1351</v>
      </c>
      <c r="G103" s="7">
        <v>9.624740710947663</v>
      </c>
    </row>
    <row r="104">
      <c r="E104" s="1" t="s">
        <v>56</v>
      </c>
      <c r="F104" s="1" t="s">
        <v>1351</v>
      </c>
      <c r="G104" s="7">
        <v>10.065252379979938</v>
      </c>
    </row>
    <row r="105">
      <c r="E105" s="1" t="s">
        <v>58</v>
      </c>
      <c r="F105" s="1" t="s">
        <v>1351</v>
      </c>
      <c r="G105" s="7">
        <v>6.128885286510922</v>
      </c>
    </row>
    <row r="106">
      <c r="E106" s="1" t="s">
        <v>60</v>
      </c>
      <c r="F106" s="1" t="s">
        <v>1351</v>
      </c>
      <c r="G106" s="7">
        <v>2.354415644076653</v>
      </c>
    </row>
    <row r="107">
      <c r="E107" s="1" t="s">
        <v>65</v>
      </c>
      <c r="F107" s="1" t="s">
        <v>1350</v>
      </c>
      <c r="G107" s="7">
        <v>10.624990854063071</v>
      </c>
    </row>
    <row r="108">
      <c r="E108" s="1" t="s">
        <v>67</v>
      </c>
      <c r="F108" s="1" t="s">
        <v>1353</v>
      </c>
      <c r="G108" s="7">
        <v>6.3353359119500965</v>
      </c>
    </row>
    <row r="109">
      <c r="E109" s="1" t="s">
        <v>69</v>
      </c>
      <c r="F109" s="1" t="s">
        <v>1354</v>
      </c>
      <c r="G109" s="7">
        <v>8.433100170455873</v>
      </c>
    </row>
    <row r="110">
      <c r="E110" s="1" t="s">
        <v>74</v>
      </c>
      <c r="F110" s="1" t="s">
        <v>1351</v>
      </c>
      <c r="G110" s="7">
        <v>4.888926514540799</v>
      </c>
    </row>
    <row r="111">
      <c r="E111" s="1" t="s">
        <v>76</v>
      </c>
      <c r="F111" s="1" t="s">
        <v>1351</v>
      </c>
      <c r="G111" s="7">
        <v>3.0045154858380556</v>
      </c>
    </row>
    <row r="112">
      <c r="E112" s="1" t="s">
        <v>78</v>
      </c>
      <c r="F112" s="1" t="s">
        <v>1354</v>
      </c>
      <c r="G112" s="7">
        <v>9.771577934036031</v>
      </c>
    </row>
    <row r="113">
      <c r="E113" s="1" t="s">
        <v>80</v>
      </c>
      <c r="F113" s="1" t="s">
        <v>1354</v>
      </c>
      <c r="G113" s="7">
        <v>4.14972032350488</v>
      </c>
    </row>
    <row r="114">
      <c r="E114" s="89" t="s">
        <v>82</v>
      </c>
      <c r="F114" s="89" t="s">
        <v>1355</v>
      </c>
      <c r="G114" s="7">
        <v>4.679965851013549</v>
      </c>
    </row>
    <row r="115">
      <c r="E115" s="1" t="s">
        <v>84</v>
      </c>
      <c r="F115" s="1" t="s">
        <v>1351</v>
      </c>
      <c r="G115" s="7">
        <v>10.228404850000516</v>
      </c>
    </row>
    <row r="116">
      <c r="E116" s="1" t="s">
        <v>86</v>
      </c>
      <c r="F116" s="1" t="s">
        <v>1351</v>
      </c>
      <c r="G116" s="7">
        <v>216127.00961534062</v>
      </c>
    </row>
    <row r="117">
      <c r="E117" s="1" t="s">
        <v>88</v>
      </c>
      <c r="F117" s="1" t="s">
        <v>1353</v>
      </c>
      <c r="G117" s="7">
        <v>13.184602104360238</v>
      </c>
    </row>
    <row r="118">
      <c r="E118" s="1" t="s">
        <v>90</v>
      </c>
      <c r="F118" s="1" t="s">
        <v>1351</v>
      </c>
      <c r="G118" s="7">
        <v>20.279852021019906</v>
      </c>
    </row>
    <row r="119">
      <c r="E119" s="1" t="s">
        <v>96</v>
      </c>
      <c r="F119" s="1" t="s">
        <v>1351</v>
      </c>
      <c r="G119" s="7">
        <v>-0.2842618036083877</v>
      </c>
    </row>
    <row r="120">
      <c r="E120" s="1" t="s">
        <v>101</v>
      </c>
      <c r="F120" s="1" t="s">
        <v>1354</v>
      </c>
      <c r="G120" s="7">
        <v>4.550949897733517</v>
      </c>
    </row>
    <row r="121">
      <c r="E121" s="1" t="s">
        <v>103</v>
      </c>
      <c r="F121" s="1" t="s">
        <v>1350</v>
      </c>
      <c r="G121" s="7">
        <v>6.440757508040406</v>
      </c>
    </row>
    <row r="122">
      <c r="E122" s="1" t="s">
        <v>105</v>
      </c>
      <c r="F122" s="1" t="s">
        <v>1350</v>
      </c>
      <c r="G122" s="7">
        <v>14.016052191960625</v>
      </c>
    </row>
    <row r="123">
      <c r="E123" s="1" t="s">
        <v>107</v>
      </c>
      <c r="F123" s="1" t="s">
        <v>1350</v>
      </c>
      <c r="G123" s="7">
        <v>1.3717357669956982</v>
      </c>
    </row>
    <row r="124">
      <c r="E124" s="1" t="s">
        <v>109</v>
      </c>
      <c r="F124" s="1" t="s">
        <v>1350</v>
      </c>
      <c r="G124" s="7">
        <v>22.156732935574837</v>
      </c>
    </row>
    <row r="125">
      <c r="E125" s="1" t="s">
        <v>111</v>
      </c>
      <c r="F125" s="1" t="s">
        <v>1350</v>
      </c>
      <c r="G125" s="7">
        <v>0.44364921643864363</v>
      </c>
    </row>
    <row r="126">
      <c r="E126" s="1" t="s">
        <v>113</v>
      </c>
      <c r="F126" s="1" t="s">
        <v>1350</v>
      </c>
      <c r="G126" s="7">
        <v>4.083204316557385</v>
      </c>
    </row>
    <row r="127">
      <c r="E127" s="1" t="s">
        <v>118</v>
      </c>
      <c r="F127" s="1" t="s">
        <v>1350</v>
      </c>
      <c r="G127" s="7">
        <v>7.958702988456935</v>
      </c>
    </row>
    <row r="128">
      <c r="E128" s="1" t="s">
        <v>120</v>
      </c>
      <c r="F128" s="1" t="s">
        <v>1350</v>
      </c>
      <c r="G128" s="7">
        <v>2.0299932325724512</v>
      </c>
    </row>
    <row r="129">
      <c r="E129" s="1" t="s">
        <v>125</v>
      </c>
      <c r="F129" s="1" t="s">
        <v>1351</v>
      </c>
      <c r="G129" s="7">
        <v>3.764429490547627</v>
      </c>
    </row>
    <row r="130">
      <c r="E130" s="1" t="s">
        <v>127</v>
      </c>
      <c r="F130" s="1" t="s">
        <v>1353</v>
      </c>
      <c r="G130" s="7">
        <v>16.275713901384734</v>
      </c>
    </row>
    <row r="131">
      <c r="E131" s="1" t="s">
        <v>129</v>
      </c>
      <c r="F131" s="1" t="s">
        <v>1350</v>
      </c>
      <c r="G131" s="7">
        <v>8.696654160390608</v>
      </c>
    </row>
    <row r="132">
      <c r="E132" s="1" t="s">
        <v>131</v>
      </c>
      <c r="F132" s="1" t="s">
        <v>1350</v>
      </c>
      <c r="G132" s="7">
        <v>11.363569535664283</v>
      </c>
    </row>
    <row r="133">
      <c r="E133" s="1" t="s">
        <v>136</v>
      </c>
      <c r="F133" s="1" t="s">
        <v>1351</v>
      </c>
      <c r="G133" s="7">
        <v>2.4535621451213956</v>
      </c>
    </row>
    <row r="134">
      <c r="E134" s="1" t="s">
        <v>138</v>
      </c>
      <c r="F134" s="1" t="s">
        <v>1351</v>
      </c>
      <c r="G134" s="7">
        <v>7.9941923305159435</v>
      </c>
    </row>
    <row r="135">
      <c r="E135" s="1" t="s">
        <v>143</v>
      </c>
      <c r="F135" s="1" t="s">
        <v>1351</v>
      </c>
      <c r="G135" s="7">
        <v>14.84561975102406</v>
      </c>
    </row>
    <row r="136">
      <c r="E136" s="1" t="s">
        <v>145</v>
      </c>
      <c r="F136" s="1" t="s">
        <v>1351</v>
      </c>
      <c r="G136" s="7">
        <v>4.001628081430681</v>
      </c>
    </row>
    <row r="137">
      <c r="E137" s="1" t="s">
        <v>147</v>
      </c>
      <c r="F137" s="1" t="s">
        <v>1356</v>
      </c>
      <c r="G137" s="7">
        <v>9.021076572011225</v>
      </c>
    </row>
    <row r="138">
      <c r="E138" s="1" t="s">
        <v>150</v>
      </c>
      <c r="F138" s="1" t="s">
        <v>1351</v>
      </c>
      <c r="G138" s="7">
        <v>6.831068417057395</v>
      </c>
    </row>
    <row r="139">
      <c r="E139" s="1" t="s">
        <v>151</v>
      </c>
      <c r="F139" s="1" t="s">
        <v>1351</v>
      </c>
      <c r="G139" s="7">
        <v>10.269192967447452</v>
      </c>
    </row>
    <row r="140">
      <c r="E140" s="1" t="s">
        <v>153</v>
      </c>
      <c r="F140" s="1" t="s">
        <v>1353</v>
      </c>
      <c r="G140" s="7">
        <v>9.765930348425172</v>
      </c>
    </row>
    <row r="141">
      <c r="E141" s="1" t="s">
        <v>155</v>
      </c>
      <c r="F141" s="1" t="s">
        <v>1351</v>
      </c>
      <c r="G141" s="7">
        <v>12.724766792962328</v>
      </c>
    </row>
    <row r="142">
      <c r="E142" s="1" t="s">
        <v>160</v>
      </c>
      <c r="F142" s="1" t="s">
        <v>1350</v>
      </c>
      <c r="G142" s="7">
        <v>5.736699999892153</v>
      </c>
    </row>
    <row r="143">
      <c r="E143" s="1" t="s">
        <v>168</v>
      </c>
      <c r="F143" s="1" t="s">
        <v>1351</v>
      </c>
      <c r="G143" s="7">
        <v>7.823031411971897</v>
      </c>
    </row>
    <row r="144">
      <c r="E144" s="1" t="s">
        <v>170</v>
      </c>
      <c r="F144" s="1" t="s">
        <v>1356</v>
      </c>
      <c r="G144" s="7">
        <v>6.849893701961264</v>
      </c>
    </row>
    <row r="145">
      <c r="E145" s="1" t="s">
        <v>172</v>
      </c>
      <c r="F145" s="1" t="s">
        <v>1357</v>
      </c>
      <c r="G145" s="7">
        <v>8.07726923841983</v>
      </c>
    </row>
    <row r="146">
      <c r="E146" s="1" t="s">
        <v>175</v>
      </c>
      <c r="F146" s="1" t="s">
        <v>1353</v>
      </c>
      <c r="G146" s="7">
        <v>8.449858789565042</v>
      </c>
    </row>
    <row r="147">
      <c r="E147" s="1" t="s">
        <v>184</v>
      </c>
      <c r="F147" s="1" t="s">
        <v>1351</v>
      </c>
      <c r="G147" s="7">
        <v>7.302512992406264</v>
      </c>
    </row>
    <row r="148">
      <c r="E148" s="1" t="s">
        <v>186</v>
      </c>
      <c r="F148" s="1" t="s">
        <v>1351</v>
      </c>
      <c r="G148" s="7">
        <v>12.192333266837522</v>
      </c>
    </row>
    <row r="149">
      <c r="E149" s="1" t="s">
        <v>191</v>
      </c>
      <c r="F149" s="1" t="s">
        <v>1350</v>
      </c>
      <c r="G149" s="7">
        <v>7.190555230947211</v>
      </c>
    </row>
    <row r="150">
      <c r="E150" s="1" t="s">
        <v>193</v>
      </c>
      <c r="F150" s="1" t="s">
        <v>1353</v>
      </c>
      <c r="G150" s="7">
        <v>11.348333857022226</v>
      </c>
    </row>
    <row r="151">
      <c r="E151" s="1" t="s">
        <v>197</v>
      </c>
      <c r="F151" s="1" t="s">
        <v>1351</v>
      </c>
      <c r="G151" s="7">
        <v>1.3836584475357085</v>
      </c>
    </row>
    <row r="152">
      <c r="E152" s="1" t="s">
        <v>199</v>
      </c>
      <c r="F152" s="1" t="s">
        <v>1351</v>
      </c>
      <c r="G152" s="7">
        <v>4.604664710932411</v>
      </c>
    </row>
    <row r="153">
      <c r="E153" s="1" t="s">
        <v>201</v>
      </c>
      <c r="F153" s="1" t="s">
        <v>1351</v>
      </c>
      <c r="G153" s="7">
        <v>18.147574739996344</v>
      </c>
    </row>
    <row r="154">
      <c r="E154" s="1" t="s">
        <v>203</v>
      </c>
      <c r="F154" s="1" t="s">
        <v>1351</v>
      </c>
      <c r="G154" s="7">
        <v>10.923283296520822</v>
      </c>
    </row>
    <row r="155">
      <c r="E155" s="1" t="s">
        <v>207</v>
      </c>
      <c r="F155" s="1" t="s">
        <v>1354</v>
      </c>
      <c r="G155" s="7">
        <v>-3.2049106446793303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14</v>
      </c>
      <c r="B1" s="6">
        <v>4.0</v>
      </c>
      <c r="C1" s="6">
        <v>0.0</v>
      </c>
      <c r="D1" s="6">
        <v>2.0</v>
      </c>
      <c r="E1" s="6">
        <v>0.0</v>
      </c>
      <c r="F1" s="6">
        <v>806.4321</v>
      </c>
      <c r="G1" s="6">
        <v>1674.518</v>
      </c>
      <c r="H1" s="6">
        <v>3468.484</v>
      </c>
      <c r="I1" s="6">
        <v>5029.766</v>
      </c>
      <c r="J1" s="6">
        <v>4152.0</v>
      </c>
      <c r="K1" s="6">
        <v>9920.0</v>
      </c>
      <c r="L1" s="6">
        <v>18640.0</v>
      </c>
      <c r="M1" s="6">
        <v>23366.0</v>
      </c>
      <c r="N1" s="6">
        <v>127.0</v>
      </c>
      <c r="O1" s="6">
        <v>266.0</v>
      </c>
      <c r="P1" s="6">
        <v>538.0</v>
      </c>
      <c r="Q1" s="6">
        <v>808.0</v>
      </c>
      <c r="R1" s="6">
        <v>804.0</v>
      </c>
      <c r="S1" s="6">
        <v>2212.0</v>
      </c>
      <c r="T1" s="6">
        <v>3770.0</v>
      </c>
      <c r="U1" s="6">
        <v>5398.0</v>
      </c>
      <c r="V1" s="6">
        <v>47.5579</v>
      </c>
      <c r="W1" s="6">
        <v>127.6234</v>
      </c>
      <c r="X1" s="6">
        <v>233.8502</v>
      </c>
      <c r="Y1" s="6">
        <v>341.954</v>
      </c>
      <c r="Z1" s="6">
        <v>610.7214</v>
      </c>
      <c r="AA1" s="6">
        <v>1350.225</v>
      </c>
      <c r="AB1" s="6">
        <v>2493.808</v>
      </c>
      <c r="AC1" s="6">
        <v>3468.049</v>
      </c>
      <c r="AD1" s="6">
        <v>2022.0</v>
      </c>
      <c r="AE1" s="6">
        <v>5064.0</v>
      </c>
      <c r="AF1" s="6">
        <v>8200.0</v>
      </c>
      <c r="AG1" s="6">
        <v>9420.0</v>
      </c>
      <c r="AH1" s="6">
        <v>110.0</v>
      </c>
      <c r="AI1" s="6">
        <v>226.0</v>
      </c>
      <c r="AJ1" s="6">
        <v>436.0</v>
      </c>
      <c r="AK1" s="6">
        <v>618.0</v>
      </c>
      <c r="AL1" s="6">
        <v>662.0</v>
      </c>
      <c r="AM1" s="6">
        <v>1748.0</v>
      </c>
      <c r="AN1" s="6">
        <v>2708.0</v>
      </c>
      <c r="AO1" s="6">
        <v>3552.0</v>
      </c>
      <c r="AP1" s="6">
        <v>36.5068</v>
      </c>
      <c r="AQ1" s="6">
        <v>97.8362</v>
      </c>
      <c r="AR1" s="6">
        <v>165.0448</v>
      </c>
      <c r="AS1" s="6">
        <v>223.5978</v>
      </c>
      <c r="AT1" s="6">
        <v>267.6944</v>
      </c>
      <c r="AU1" s="6">
        <v>534.9438</v>
      </c>
      <c r="AV1" s="6">
        <v>1018.127</v>
      </c>
      <c r="AW1" s="6">
        <v>1320.311</v>
      </c>
      <c r="AX1" s="6">
        <v>1158.667</v>
      </c>
      <c r="AY1" s="6">
        <v>2544.0</v>
      </c>
      <c r="AZ1" s="6">
        <v>4081.333</v>
      </c>
      <c r="BA1" s="6">
        <v>4004.0</v>
      </c>
      <c r="BB1" s="6">
        <v>42.0</v>
      </c>
      <c r="BC1" s="6">
        <v>84.66667</v>
      </c>
      <c r="BD1" s="6">
        <v>161.3333</v>
      </c>
      <c r="BE1" s="6">
        <v>218.0</v>
      </c>
      <c r="BF1" s="6">
        <v>246.0</v>
      </c>
      <c r="BG1" s="6">
        <v>636.0</v>
      </c>
      <c r="BH1" s="6">
        <v>942.6667</v>
      </c>
      <c r="BI1" s="6">
        <v>1196.0</v>
      </c>
      <c r="BJ1" s="6">
        <v>15.3318</v>
      </c>
      <c r="BK1" s="6">
        <v>38.82447</v>
      </c>
      <c r="BL1" s="6">
        <v>64.30813</v>
      </c>
      <c r="BM1" s="6">
        <v>80.7522</v>
      </c>
      <c r="BN1" s="6">
        <v>9.2416</v>
      </c>
      <c r="BO1" s="6">
        <v>15.504</v>
      </c>
      <c r="BP1" s="6">
        <v>29.944</v>
      </c>
      <c r="BQ1" s="6">
        <v>42.8336</v>
      </c>
      <c r="BR1" s="6">
        <v>49.0</v>
      </c>
      <c r="BS1" s="6">
        <v>84.0</v>
      </c>
      <c r="BT1" s="6">
        <v>133.0</v>
      </c>
      <c r="BU1" s="6">
        <v>210.0</v>
      </c>
      <c r="BV1" s="6">
        <v>1.0</v>
      </c>
      <c r="BW1" s="6">
        <v>2.0</v>
      </c>
      <c r="BX1" s="6">
        <v>4.0</v>
      </c>
      <c r="BY1" s="6">
        <v>6.0</v>
      </c>
      <c r="BZ1" s="6">
        <v>4.0</v>
      </c>
      <c r="CA1" s="6">
        <v>12.0</v>
      </c>
      <c r="CB1" s="6">
        <v>22.0</v>
      </c>
      <c r="CC1" s="6">
        <v>26.0</v>
      </c>
      <c r="CD1" s="6">
        <v>0.5625</v>
      </c>
      <c r="CE1" s="6">
        <v>1.155</v>
      </c>
      <c r="CF1" s="6">
        <v>2.01</v>
      </c>
      <c r="CG1" s="6">
        <v>2.8425</v>
      </c>
      <c r="CH1" s="6">
        <v>10.9696</v>
      </c>
      <c r="CI1" s="6">
        <v>13.6688</v>
      </c>
      <c r="CJ1" s="6">
        <v>43.1088</v>
      </c>
      <c r="CK1" s="6">
        <v>49.85813</v>
      </c>
      <c r="CL1" s="6">
        <v>59.0</v>
      </c>
      <c r="CM1" s="6">
        <v>127.3333</v>
      </c>
      <c r="CN1" s="6">
        <v>185.0</v>
      </c>
      <c r="CO1" s="6">
        <v>216.3333</v>
      </c>
      <c r="CP1" s="6">
        <v>1.0</v>
      </c>
      <c r="CQ1" s="6">
        <v>1.666667</v>
      </c>
      <c r="CR1" s="6">
        <v>5.0</v>
      </c>
      <c r="CS1" s="6">
        <v>5.0</v>
      </c>
      <c r="CT1" s="6">
        <v>3.666667</v>
      </c>
      <c r="CU1" s="6">
        <v>14.66667</v>
      </c>
      <c r="CV1" s="6">
        <v>24.0</v>
      </c>
      <c r="CW1" s="6">
        <v>19.0</v>
      </c>
      <c r="CX1" s="6">
        <v>0.542767</v>
      </c>
      <c r="CY1" s="6">
        <v>1.0739</v>
      </c>
      <c r="CZ1" s="6">
        <v>2.317767</v>
      </c>
      <c r="DA1" s="6">
        <v>2.2591</v>
      </c>
      <c r="DB1" s="6">
        <v>0.0</v>
      </c>
      <c r="DC1" s="6">
        <v>0.98</v>
      </c>
      <c r="DD1" s="6">
        <v>2.31</v>
      </c>
      <c r="DE1" s="6">
        <v>4.15</v>
      </c>
      <c r="DF1" s="6">
        <v>0.0</v>
      </c>
      <c r="DG1" s="6">
        <v>2.0</v>
      </c>
      <c r="DH1" s="6">
        <v>9.0</v>
      </c>
      <c r="DI1" s="6">
        <v>12.0</v>
      </c>
      <c r="DJ1" s="6">
        <v>0.0</v>
      </c>
      <c r="DK1" s="6">
        <v>0.0</v>
      </c>
      <c r="DL1" s="6">
        <v>0.0</v>
      </c>
      <c r="DM1" s="6">
        <v>0.0</v>
      </c>
      <c r="DN1" s="6">
        <v>0.0</v>
      </c>
      <c r="DO1" s="6">
        <v>-2.0</v>
      </c>
      <c r="DP1" s="6">
        <v>-3.0</v>
      </c>
      <c r="DQ1" s="6">
        <v>-1.0</v>
      </c>
      <c r="DR1" s="6">
        <v>0.0</v>
      </c>
      <c r="DS1" s="6">
        <v>-0.04</v>
      </c>
      <c r="DT1" s="6">
        <v>0.32</v>
      </c>
      <c r="DU1" s="6">
        <v>0.71</v>
      </c>
      <c r="DV1" s="6">
        <v>0.0</v>
      </c>
      <c r="DW1" s="6">
        <v>1.063333</v>
      </c>
      <c r="DX1" s="6">
        <v>2.646667</v>
      </c>
      <c r="DY1" s="6">
        <v>0.646667</v>
      </c>
      <c r="DZ1" s="6">
        <v>0.0</v>
      </c>
      <c r="EA1" s="6">
        <v>-4.33333</v>
      </c>
      <c r="EB1" s="6">
        <v>12.66667</v>
      </c>
      <c r="EC1" s="6">
        <v>8.666667</v>
      </c>
      <c r="ED1" s="6">
        <v>0.0</v>
      </c>
      <c r="EE1" s="6">
        <v>0.0</v>
      </c>
      <c r="EF1" s="6">
        <v>0.0</v>
      </c>
      <c r="EG1" s="6">
        <v>0.0</v>
      </c>
      <c r="EH1" s="6">
        <v>0.0</v>
      </c>
      <c r="EI1" s="6">
        <v>-3.0</v>
      </c>
      <c r="EJ1" s="6">
        <v>0.333333</v>
      </c>
      <c r="EK1" s="6">
        <v>3.333333</v>
      </c>
      <c r="EL1" s="6">
        <v>0.0</v>
      </c>
      <c r="EM1" s="6">
        <v>-0.21333</v>
      </c>
      <c r="EN1" s="6">
        <v>0.58</v>
      </c>
      <c r="EO1" s="6">
        <v>0.66</v>
      </c>
      <c r="EP1" s="6">
        <v>3.3489</v>
      </c>
      <c r="EQ1" s="6">
        <v>34.8432</v>
      </c>
      <c r="ER1" s="6">
        <v>56.1078</v>
      </c>
      <c r="ES1" s="6">
        <v>120.1578</v>
      </c>
      <c r="ET1" s="6">
        <v>676.0</v>
      </c>
      <c r="EU1" s="6">
        <v>1144.0</v>
      </c>
      <c r="EV1" s="6">
        <v>2392.0</v>
      </c>
      <c r="EW1" s="6">
        <v>2704.0</v>
      </c>
      <c r="EX1" s="6">
        <v>1.0</v>
      </c>
      <c r="EY1" s="6">
        <v>6.0</v>
      </c>
      <c r="EZ1" s="6">
        <v>12.0</v>
      </c>
      <c r="FA1" s="6">
        <v>26.0</v>
      </c>
      <c r="FB1" s="6">
        <v>36.0</v>
      </c>
      <c r="FC1" s="6">
        <v>108.0</v>
      </c>
      <c r="FD1" s="6">
        <v>264.0</v>
      </c>
      <c r="FE1" s="6">
        <v>312.0</v>
      </c>
      <c r="FF1" s="6">
        <v>1.5625</v>
      </c>
      <c r="FG1" s="6">
        <v>5.575</v>
      </c>
      <c r="FH1" s="6">
        <v>12.175</v>
      </c>
      <c r="FI1" s="6">
        <v>18.825</v>
      </c>
      <c r="FJ1" s="6">
        <v>0.0</v>
      </c>
      <c r="FK1" s="6">
        <v>-8.06</v>
      </c>
      <c r="FL1" s="6">
        <v>-8.7</v>
      </c>
      <c r="FM1" s="6">
        <v>-18.08</v>
      </c>
      <c r="FN1" s="6">
        <v>0.0</v>
      </c>
      <c r="FO1" s="6">
        <v>112.0</v>
      </c>
      <c r="FP1" s="6">
        <v>220.0</v>
      </c>
      <c r="FQ1" s="6">
        <v>572.0</v>
      </c>
      <c r="FR1" s="6">
        <v>0.0</v>
      </c>
      <c r="FS1" s="6">
        <v>0.0</v>
      </c>
      <c r="FT1" s="6">
        <v>0.0</v>
      </c>
      <c r="FU1" s="6">
        <v>0.0</v>
      </c>
      <c r="FV1" s="6">
        <v>0.0</v>
      </c>
      <c r="FW1" s="6">
        <v>18.0</v>
      </c>
      <c r="FX1" s="6">
        <v>28.0</v>
      </c>
      <c r="FY1" s="6">
        <v>104.0</v>
      </c>
      <c r="FZ1" s="6">
        <v>0.0</v>
      </c>
      <c r="GA1" s="6">
        <v>3.04</v>
      </c>
      <c r="GB1" s="6">
        <v>5.26</v>
      </c>
      <c r="GC1" s="6">
        <v>17.44</v>
      </c>
      <c r="GD1" s="6">
        <v>-20.00573689</v>
      </c>
      <c r="GE1" s="1" t="s">
        <v>1351</v>
      </c>
      <c r="GF1" s="1" t="s">
        <v>1358</v>
      </c>
    </row>
    <row r="2">
      <c r="A2" s="1" t="s">
        <v>21</v>
      </c>
      <c r="B2" s="6">
        <v>4.0</v>
      </c>
      <c r="C2" s="6">
        <v>0.0</v>
      </c>
      <c r="D2" s="6">
        <v>2.0</v>
      </c>
      <c r="E2" s="6">
        <v>0.0</v>
      </c>
      <c r="F2" s="6">
        <v>483.1412</v>
      </c>
      <c r="G2" s="6">
        <v>974.3388</v>
      </c>
      <c r="H2" s="6">
        <v>2160.508</v>
      </c>
      <c r="I2" s="6">
        <v>3087.274</v>
      </c>
      <c r="J2" s="6">
        <v>3014.0</v>
      </c>
      <c r="K2" s="6">
        <v>7076.0</v>
      </c>
      <c r="L2" s="6">
        <v>13928.0</v>
      </c>
      <c r="M2" s="6">
        <v>16600.0</v>
      </c>
      <c r="N2" s="6">
        <v>66.0</v>
      </c>
      <c r="O2" s="6">
        <v>142.0</v>
      </c>
      <c r="P2" s="6">
        <v>292.0</v>
      </c>
      <c r="Q2" s="6">
        <v>442.0</v>
      </c>
      <c r="R2" s="6">
        <v>434.0</v>
      </c>
      <c r="S2" s="6">
        <v>1224.0</v>
      </c>
      <c r="T2" s="6">
        <v>2240.0</v>
      </c>
      <c r="U2" s="6">
        <v>3180.0</v>
      </c>
      <c r="V2" s="6">
        <v>27.6392</v>
      </c>
      <c r="W2" s="6">
        <v>73.1998</v>
      </c>
      <c r="X2" s="6">
        <v>139.082</v>
      </c>
      <c r="Y2" s="6">
        <v>203.085</v>
      </c>
      <c r="Z2" s="6">
        <v>287.4305</v>
      </c>
      <c r="AA2" s="6">
        <v>650.046</v>
      </c>
      <c r="AB2" s="6">
        <v>1176.498</v>
      </c>
      <c r="AC2" s="6">
        <v>1473.904</v>
      </c>
      <c r="AD2" s="6">
        <v>884.0</v>
      </c>
      <c r="AE2" s="6">
        <v>2220.0</v>
      </c>
      <c r="AF2" s="6">
        <v>3176.0</v>
      </c>
      <c r="AG2" s="6">
        <v>3568.0</v>
      </c>
      <c r="AH2" s="6">
        <v>49.0</v>
      </c>
      <c r="AI2" s="6">
        <v>102.0</v>
      </c>
      <c r="AJ2" s="6">
        <v>188.0</v>
      </c>
      <c r="AK2" s="6">
        <v>242.0</v>
      </c>
      <c r="AL2" s="6">
        <v>290.0</v>
      </c>
      <c r="AM2" s="6">
        <v>736.0</v>
      </c>
      <c r="AN2" s="6">
        <v>1080.0</v>
      </c>
      <c r="AO2" s="6">
        <v>1346.0</v>
      </c>
      <c r="AP2" s="6">
        <v>16.5881</v>
      </c>
      <c r="AQ2" s="6">
        <v>43.4126</v>
      </c>
      <c r="AR2" s="6">
        <v>68.3516</v>
      </c>
      <c r="AS2" s="6">
        <v>84.7254</v>
      </c>
      <c r="AT2" s="6">
        <v>159.9308</v>
      </c>
      <c r="AU2" s="6">
        <v>301.5508</v>
      </c>
      <c r="AV2" s="6">
        <v>579.0237</v>
      </c>
      <c r="AW2" s="6">
        <v>655.5957</v>
      </c>
      <c r="AX2" s="6">
        <v>779.3333</v>
      </c>
      <c r="AY2" s="6">
        <v>1596.0</v>
      </c>
      <c r="AZ2" s="6">
        <v>2406.667</v>
      </c>
      <c r="BA2" s="6">
        <v>2053.333</v>
      </c>
      <c r="BB2" s="6">
        <v>21.66667</v>
      </c>
      <c r="BC2" s="6">
        <v>43.33333</v>
      </c>
      <c r="BD2" s="6">
        <v>78.66667</v>
      </c>
      <c r="BE2" s="6">
        <v>92.66667</v>
      </c>
      <c r="BF2" s="6">
        <v>122.0</v>
      </c>
      <c r="BG2" s="6">
        <v>298.6667</v>
      </c>
      <c r="BH2" s="6">
        <v>400.0</v>
      </c>
      <c r="BI2" s="6">
        <v>460.6667</v>
      </c>
      <c r="BJ2" s="6">
        <v>8.692233</v>
      </c>
      <c r="BK2" s="6">
        <v>20.68327</v>
      </c>
      <c r="BL2" s="6">
        <v>32.07707</v>
      </c>
      <c r="BM2" s="6">
        <v>34.4614</v>
      </c>
      <c r="BN2" s="6">
        <v>9.2416</v>
      </c>
      <c r="BO2" s="6">
        <v>19.38</v>
      </c>
      <c r="BP2" s="6">
        <v>47.4088</v>
      </c>
      <c r="BQ2" s="6">
        <v>48.8984</v>
      </c>
      <c r="BR2" s="6">
        <v>49.0</v>
      </c>
      <c r="BS2" s="6">
        <v>105.0</v>
      </c>
      <c r="BT2" s="6">
        <v>154.0</v>
      </c>
      <c r="BU2" s="6">
        <v>161.0</v>
      </c>
      <c r="BV2" s="6">
        <v>1.0</v>
      </c>
      <c r="BW2" s="6">
        <v>2.5</v>
      </c>
      <c r="BX2" s="6">
        <v>6.5</v>
      </c>
      <c r="BY2" s="6">
        <v>6.5</v>
      </c>
      <c r="BZ2" s="6">
        <v>6.5</v>
      </c>
      <c r="CA2" s="6">
        <v>24.0</v>
      </c>
      <c r="CB2" s="6">
        <v>35.5</v>
      </c>
      <c r="CC2" s="6">
        <v>31.0</v>
      </c>
      <c r="CD2" s="6">
        <v>0.5625</v>
      </c>
      <c r="CE2" s="6">
        <v>1.44375</v>
      </c>
      <c r="CF2" s="6">
        <v>2.69625</v>
      </c>
      <c r="CG2" s="6">
        <v>2.68125</v>
      </c>
      <c r="CH2" s="6">
        <v>10.9696</v>
      </c>
      <c r="CI2" s="6">
        <v>13.6688</v>
      </c>
      <c r="CJ2" s="6">
        <v>42.5768</v>
      </c>
      <c r="CK2" s="6">
        <v>45.54133</v>
      </c>
      <c r="CL2" s="6">
        <v>59.0</v>
      </c>
      <c r="CM2" s="6">
        <v>127.3333</v>
      </c>
      <c r="CN2" s="6">
        <v>167.5</v>
      </c>
      <c r="CO2" s="6">
        <v>202.3333</v>
      </c>
      <c r="CP2" s="6">
        <v>1.0</v>
      </c>
      <c r="CQ2" s="6">
        <v>1.666667</v>
      </c>
      <c r="CR2" s="6">
        <v>5.0</v>
      </c>
      <c r="CS2" s="6">
        <v>4.333333</v>
      </c>
      <c r="CT2" s="6">
        <v>3.666667</v>
      </c>
      <c r="CU2" s="6">
        <v>14.66667</v>
      </c>
      <c r="CV2" s="6">
        <v>20.0</v>
      </c>
      <c r="CW2" s="6">
        <v>14.5</v>
      </c>
      <c r="CX2" s="6">
        <v>0.542767</v>
      </c>
      <c r="CY2" s="6">
        <v>1.0739</v>
      </c>
      <c r="CZ2" s="6">
        <v>2.167767</v>
      </c>
      <c r="DA2" s="6">
        <v>1.9691</v>
      </c>
      <c r="DB2" s="6">
        <v>0.0</v>
      </c>
      <c r="DC2" s="6">
        <v>1.225</v>
      </c>
      <c r="DD2" s="6">
        <v>4.165</v>
      </c>
      <c r="DE2" s="6">
        <v>3.675</v>
      </c>
      <c r="DF2" s="6">
        <v>0.0</v>
      </c>
      <c r="DG2" s="6">
        <v>2.5</v>
      </c>
      <c r="DH2" s="6">
        <v>23.5</v>
      </c>
      <c r="DI2" s="6">
        <v>22.5</v>
      </c>
      <c r="DJ2" s="6">
        <v>0.0</v>
      </c>
      <c r="DK2" s="6">
        <v>0.0</v>
      </c>
      <c r="DL2" s="6">
        <v>0.0</v>
      </c>
      <c r="DM2" s="6">
        <v>0.0</v>
      </c>
      <c r="DN2" s="6">
        <v>0.0</v>
      </c>
      <c r="DO2" s="6">
        <v>-2.5</v>
      </c>
      <c r="DP2" s="6">
        <v>3.5</v>
      </c>
      <c r="DQ2" s="6">
        <v>3.0</v>
      </c>
      <c r="DR2" s="6">
        <v>0.0</v>
      </c>
      <c r="DS2" s="6">
        <v>-0.05</v>
      </c>
      <c r="DT2" s="6">
        <v>1.28</v>
      </c>
      <c r="DU2" s="6">
        <v>1.3</v>
      </c>
      <c r="DV2" s="6">
        <v>0.0</v>
      </c>
      <c r="DW2" s="6">
        <v>1.063333</v>
      </c>
      <c r="DX2" s="6">
        <v>2.821667</v>
      </c>
      <c r="DY2" s="6">
        <v>0.04</v>
      </c>
      <c r="DZ2" s="6">
        <v>0.0</v>
      </c>
      <c r="EA2" s="6">
        <v>-4.33333</v>
      </c>
      <c r="EB2" s="6">
        <v>15.16667</v>
      </c>
      <c r="EC2" s="6">
        <v>6.0</v>
      </c>
      <c r="ED2" s="6">
        <v>0.0</v>
      </c>
      <c r="EE2" s="6">
        <v>0.0</v>
      </c>
      <c r="EF2" s="6">
        <v>0.0</v>
      </c>
      <c r="EG2" s="6">
        <v>0.0</v>
      </c>
      <c r="EH2" s="6">
        <v>0.0</v>
      </c>
      <c r="EI2" s="6">
        <v>-3.0</v>
      </c>
      <c r="EJ2" s="6">
        <v>1.666667</v>
      </c>
      <c r="EK2" s="6">
        <v>2.833333</v>
      </c>
      <c r="EL2" s="6">
        <v>0.0</v>
      </c>
      <c r="EM2" s="6">
        <v>-0.21333</v>
      </c>
      <c r="EN2" s="6">
        <v>0.78</v>
      </c>
      <c r="EO2" s="6">
        <v>0.546667</v>
      </c>
      <c r="EP2" s="6">
        <v>3.3489</v>
      </c>
      <c r="EQ2" s="6">
        <v>34.8432</v>
      </c>
      <c r="ER2" s="6">
        <v>60.7743</v>
      </c>
      <c r="ES2" s="6">
        <v>129.93</v>
      </c>
      <c r="ET2" s="6">
        <v>676.0</v>
      </c>
      <c r="EU2" s="6">
        <v>1144.0</v>
      </c>
      <c r="EV2" s="6">
        <v>2548.0</v>
      </c>
      <c r="EW2" s="6">
        <v>2158.0</v>
      </c>
      <c r="EX2" s="6">
        <v>1.0</v>
      </c>
      <c r="EY2" s="6">
        <v>6.0</v>
      </c>
      <c r="EZ2" s="6">
        <v>13.0</v>
      </c>
      <c r="FA2" s="6">
        <v>29.0</v>
      </c>
      <c r="FB2" s="6">
        <v>36.0</v>
      </c>
      <c r="FC2" s="6">
        <v>114.0</v>
      </c>
      <c r="FD2" s="6">
        <v>300.0</v>
      </c>
      <c r="FE2" s="6">
        <v>246.0</v>
      </c>
      <c r="FF2" s="6">
        <v>1.5625</v>
      </c>
      <c r="FG2" s="6">
        <v>5.575</v>
      </c>
      <c r="FH2" s="6">
        <v>13.1375</v>
      </c>
      <c r="FI2" s="6">
        <v>17.6875</v>
      </c>
      <c r="FJ2" s="6">
        <v>0.0</v>
      </c>
      <c r="FK2" s="6">
        <v>-8.06</v>
      </c>
      <c r="FL2" s="6">
        <v>-9.42</v>
      </c>
      <c r="FM2" s="6">
        <v>-17.93</v>
      </c>
      <c r="FN2" s="6">
        <v>0.0</v>
      </c>
      <c r="FO2" s="6">
        <v>112.0</v>
      </c>
      <c r="FP2" s="6">
        <v>240.0</v>
      </c>
      <c r="FQ2" s="6">
        <v>671.0</v>
      </c>
      <c r="FR2" s="6">
        <v>0.0</v>
      </c>
      <c r="FS2" s="6">
        <v>0.0</v>
      </c>
      <c r="FT2" s="6">
        <v>0.0</v>
      </c>
      <c r="FU2" s="6">
        <v>0.0</v>
      </c>
      <c r="FV2" s="6">
        <v>0.0</v>
      </c>
      <c r="FW2" s="6">
        <v>17.0</v>
      </c>
      <c r="FX2" s="6">
        <v>28.0</v>
      </c>
      <c r="FY2" s="6">
        <v>133.0</v>
      </c>
      <c r="FZ2" s="6">
        <v>0.0</v>
      </c>
      <c r="GA2" s="6">
        <v>3.04</v>
      </c>
      <c r="GB2" s="6">
        <v>5.74</v>
      </c>
      <c r="GC2" s="6">
        <v>22.1</v>
      </c>
      <c r="GD2" s="6">
        <v>-16.45406991</v>
      </c>
      <c r="GE2" s="1" t="s">
        <v>1350</v>
      </c>
      <c r="GF2" s="1" t="s">
        <v>1359</v>
      </c>
    </row>
    <row r="3">
      <c r="A3" s="1" t="s">
        <v>23</v>
      </c>
      <c r="B3" s="6">
        <v>4.0</v>
      </c>
      <c r="C3" s="6">
        <v>0.0</v>
      </c>
      <c r="D3" s="6">
        <v>2.0</v>
      </c>
      <c r="E3" s="6">
        <v>0.0</v>
      </c>
      <c r="F3" s="6">
        <v>1051.61</v>
      </c>
      <c r="G3" s="6">
        <v>2218.994</v>
      </c>
      <c r="H3" s="6">
        <v>4432.026</v>
      </c>
      <c r="I3" s="6">
        <v>5899.632</v>
      </c>
      <c r="J3" s="6">
        <v>5036.0</v>
      </c>
      <c r="K3" s="6">
        <v>11792.0</v>
      </c>
      <c r="L3" s="6">
        <v>20136.0</v>
      </c>
      <c r="M3" s="6">
        <v>24778.0</v>
      </c>
      <c r="N3" s="6">
        <v>155.0</v>
      </c>
      <c r="O3" s="6">
        <v>330.0</v>
      </c>
      <c r="P3" s="6">
        <v>634.0</v>
      </c>
      <c r="Q3" s="6">
        <v>876.0</v>
      </c>
      <c r="R3" s="6">
        <v>964.0</v>
      </c>
      <c r="S3" s="6">
        <v>2548.0</v>
      </c>
      <c r="T3" s="6">
        <v>3978.0</v>
      </c>
      <c r="U3" s="6">
        <v>5218.0</v>
      </c>
      <c r="V3" s="6">
        <v>60.1097</v>
      </c>
      <c r="W3" s="6">
        <v>156.8218</v>
      </c>
      <c r="X3" s="6">
        <v>267.7026</v>
      </c>
      <c r="Y3" s="6">
        <v>353.4888</v>
      </c>
      <c r="Z3" s="6">
        <v>855.8996</v>
      </c>
      <c r="AA3" s="6">
        <v>1894.701</v>
      </c>
      <c r="AB3" s="6">
        <v>3457.35</v>
      </c>
      <c r="AC3" s="6">
        <v>4337.915</v>
      </c>
      <c r="AD3" s="6">
        <v>2906.0</v>
      </c>
      <c r="AE3" s="6">
        <v>6936.0</v>
      </c>
      <c r="AF3" s="6">
        <v>9696.0</v>
      </c>
      <c r="AG3" s="6">
        <v>10832.0</v>
      </c>
      <c r="AH3" s="6">
        <v>138.0</v>
      </c>
      <c r="AI3" s="6">
        <v>290.0</v>
      </c>
      <c r="AJ3" s="6">
        <v>532.0</v>
      </c>
      <c r="AK3" s="6">
        <v>686.0</v>
      </c>
      <c r="AL3" s="6">
        <v>822.0</v>
      </c>
      <c r="AM3" s="6">
        <v>2084.0</v>
      </c>
      <c r="AN3" s="6">
        <v>2916.0</v>
      </c>
      <c r="AO3" s="6">
        <v>3376.0</v>
      </c>
      <c r="AP3" s="6">
        <v>49.0586</v>
      </c>
      <c r="AQ3" s="6">
        <v>127.0346</v>
      </c>
      <c r="AR3" s="6">
        <v>198.8972</v>
      </c>
      <c r="AS3" s="6">
        <v>235.1326</v>
      </c>
      <c r="AT3" s="6">
        <v>349.4205</v>
      </c>
      <c r="AU3" s="6">
        <v>716.4358</v>
      </c>
      <c r="AV3" s="6">
        <v>1339.308</v>
      </c>
      <c r="AW3" s="6">
        <v>1610.266</v>
      </c>
      <c r="AX3" s="6">
        <v>1453.333</v>
      </c>
      <c r="AY3" s="6">
        <v>3168.0</v>
      </c>
      <c r="AZ3" s="6">
        <v>4580.0</v>
      </c>
      <c r="BA3" s="6">
        <v>4474.667</v>
      </c>
      <c r="BB3" s="6">
        <v>51.33333</v>
      </c>
      <c r="BC3" s="6">
        <v>106.0</v>
      </c>
      <c r="BD3" s="6">
        <v>193.3333</v>
      </c>
      <c r="BE3" s="6">
        <v>240.6667</v>
      </c>
      <c r="BF3" s="6">
        <v>299.3333</v>
      </c>
      <c r="BG3" s="6">
        <v>748.0</v>
      </c>
      <c r="BH3" s="6">
        <v>1012.0</v>
      </c>
      <c r="BI3" s="6">
        <v>1137.333</v>
      </c>
      <c r="BJ3" s="6">
        <v>19.51573</v>
      </c>
      <c r="BK3" s="6">
        <v>48.55727</v>
      </c>
      <c r="BL3" s="6">
        <v>75.59227</v>
      </c>
      <c r="BM3" s="6">
        <v>84.59713</v>
      </c>
      <c r="BN3" s="6">
        <v>9.2416</v>
      </c>
      <c r="BO3" s="6">
        <v>15.504</v>
      </c>
      <c r="BP3" s="6">
        <v>29.944</v>
      </c>
      <c r="BQ3" s="6">
        <v>44.8096</v>
      </c>
      <c r="BR3" s="6">
        <v>49.0</v>
      </c>
      <c r="BS3" s="6">
        <v>84.0</v>
      </c>
      <c r="BT3" s="6">
        <v>133.0</v>
      </c>
      <c r="BU3" s="6">
        <v>154.0</v>
      </c>
      <c r="BV3" s="6">
        <v>1.0</v>
      </c>
      <c r="BW3" s="6">
        <v>2.0</v>
      </c>
      <c r="BX3" s="6">
        <v>4.0</v>
      </c>
      <c r="BY3" s="6">
        <v>6.0</v>
      </c>
      <c r="BZ3" s="6">
        <v>4.0</v>
      </c>
      <c r="CA3" s="6">
        <v>12.0</v>
      </c>
      <c r="CB3" s="6">
        <v>22.0</v>
      </c>
      <c r="CC3" s="6">
        <v>24.0</v>
      </c>
      <c r="CD3" s="6">
        <v>0.5625</v>
      </c>
      <c r="CE3" s="6">
        <v>1.155</v>
      </c>
      <c r="CF3" s="6">
        <v>2.01</v>
      </c>
      <c r="CG3" s="6">
        <v>2.55</v>
      </c>
      <c r="CH3" s="6">
        <v>10.9696</v>
      </c>
      <c r="CI3" s="6">
        <v>13.6688</v>
      </c>
      <c r="CJ3" s="6">
        <v>43.1088</v>
      </c>
      <c r="CK3" s="6">
        <v>49.85813</v>
      </c>
      <c r="CL3" s="6">
        <v>59.0</v>
      </c>
      <c r="CM3" s="6">
        <v>127.3333</v>
      </c>
      <c r="CN3" s="6">
        <v>185.0</v>
      </c>
      <c r="CO3" s="6">
        <v>216.3333</v>
      </c>
      <c r="CP3" s="6">
        <v>1.0</v>
      </c>
      <c r="CQ3" s="6">
        <v>1.666667</v>
      </c>
      <c r="CR3" s="6">
        <v>5.0</v>
      </c>
      <c r="CS3" s="6">
        <v>5.0</v>
      </c>
      <c r="CT3" s="6">
        <v>3.666667</v>
      </c>
      <c r="CU3" s="6">
        <v>14.66667</v>
      </c>
      <c r="CV3" s="6">
        <v>24.0</v>
      </c>
      <c r="CW3" s="6">
        <v>19.0</v>
      </c>
      <c r="CX3" s="6">
        <v>0.542767</v>
      </c>
      <c r="CY3" s="6">
        <v>1.0739</v>
      </c>
      <c r="CZ3" s="6">
        <v>2.317767</v>
      </c>
      <c r="DA3" s="6">
        <v>2.2591</v>
      </c>
      <c r="DB3" s="6">
        <v>0.0</v>
      </c>
      <c r="DC3" s="6">
        <v>0.98</v>
      </c>
      <c r="DD3" s="6">
        <v>2.31</v>
      </c>
      <c r="DE3" s="6">
        <v>3.5</v>
      </c>
      <c r="DF3" s="6">
        <v>0.0</v>
      </c>
      <c r="DG3" s="6">
        <v>2.0</v>
      </c>
      <c r="DH3" s="6">
        <v>9.0</v>
      </c>
      <c r="DI3" s="6">
        <v>20.0</v>
      </c>
      <c r="DJ3" s="6">
        <v>0.0</v>
      </c>
      <c r="DK3" s="6">
        <v>0.0</v>
      </c>
      <c r="DL3" s="6">
        <v>0.0</v>
      </c>
      <c r="DM3" s="6">
        <v>0.0</v>
      </c>
      <c r="DN3" s="6">
        <v>0.0</v>
      </c>
      <c r="DO3" s="6">
        <v>-2.0</v>
      </c>
      <c r="DP3" s="6">
        <v>-3.0</v>
      </c>
      <c r="DQ3" s="6">
        <v>0.0</v>
      </c>
      <c r="DR3" s="6">
        <v>0.0</v>
      </c>
      <c r="DS3" s="6">
        <v>-0.04</v>
      </c>
      <c r="DT3" s="6">
        <v>0.32</v>
      </c>
      <c r="DU3" s="6">
        <v>1.1</v>
      </c>
      <c r="DV3" s="6">
        <v>0.0</v>
      </c>
      <c r="DW3" s="6">
        <v>1.063333</v>
      </c>
      <c r="DX3" s="6">
        <v>2.646667</v>
      </c>
      <c r="DY3" s="6">
        <v>0.646667</v>
      </c>
      <c r="DZ3" s="6">
        <v>0.0</v>
      </c>
      <c r="EA3" s="6">
        <v>-4.33333</v>
      </c>
      <c r="EB3" s="6">
        <v>12.66667</v>
      </c>
      <c r="EC3" s="6">
        <v>8.666667</v>
      </c>
      <c r="ED3" s="6">
        <v>0.0</v>
      </c>
      <c r="EE3" s="6">
        <v>0.0</v>
      </c>
      <c r="EF3" s="6">
        <v>0.0</v>
      </c>
      <c r="EG3" s="6">
        <v>0.0</v>
      </c>
      <c r="EH3" s="6">
        <v>0.0</v>
      </c>
      <c r="EI3" s="6">
        <v>-3.0</v>
      </c>
      <c r="EJ3" s="6">
        <v>0.333333</v>
      </c>
      <c r="EK3" s="6">
        <v>3.333333</v>
      </c>
      <c r="EL3" s="6">
        <v>0.0</v>
      </c>
      <c r="EM3" s="6">
        <v>-0.21333</v>
      </c>
      <c r="EN3" s="6">
        <v>0.58</v>
      </c>
      <c r="EO3" s="6">
        <v>0.66</v>
      </c>
      <c r="EP3" s="6">
        <v>3.3489</v>
      </c>
      <c r="EQ3" s="6">
        <v>34.8432</v>
      </c>
      <c r="ER3" s="6">
        <v>56.1078</v>
      </c>
      <c r="ES3" s="6">
        <v>120.1578</v>
      </c>
      <c r="ET3" s="6">
        <v>676.0</v>
      </c>
      <c r="EU3" s="6">
        <v>1144.0</v>
      </c>
      <c r="EV3" s="6">
        <v>2392.0</v>
      </c>
      <c r="EW3" s="6">
        <v>2704.0</v>
      </c>
      <c r="EX3" s="6">
        <v>1.0</v>
      </c>
      <c r="EY3" s="6">
        <v>6.0</v>
      </c>
      <c r="EZ3" s="6">
        <v>12.0</v>
      </c>
      <c r="FA3" s="6">
        <v>26.0</v>
      </c>
      <c r="FB3" s="6">
        <v>36.0</v>
      </c>
      <c r="FC3" s="6">
        <v>108.0</v>
      </c>
      <c r="FD3" s="6">
        <v>264.0</v>
      </c>
      <c r="FE3" s="6">
        <v>312.0</v>
      </c>
      <c r="FF3" s="6">
        <v>1.5625</v>
      </c>
      <c r="FG3" s="6">
        <v>5.575</v>
      </c>
      <c r="FH3" s="6">
        <v>12.175</v>
      </c>
      <c r="FI3" s="6">
        <v>18.825</v>
      </c>
      <c r="FJ3" s="6">
        <v>0.0</v>
      </c>
      <c r="FK3" s="6">
        <v>-8.06</v>
      </c>
      <c r="FL3" s="6">
        <v>-8.7</v>
      </c>
      <c r="FM3" s="6">
        <v>-18.08</v>
      </c>
      <c r="FN3" s="6">
        <v>0.0</v>
      </c>
      <c r="FO3" s="6">
        <v>112.0</v>
      </c>
      <c r="FP3" s="6">
        <v>220.0</v>
      </c>
      <c r="FQ3" s="6">
        <v>572.0</v>
      </c>
      <c r="FR3" s="6">
        <v>0.0</v>
      </c>
      <c r="FS3" s="6">
        <v>0.0</v>
      </c>
      <c r="FT3" s="6">
        <v>0.0</v>
      </c>
      <c r="FU3" s="6">
        <v>0.0</v>
      </c>
      <c r="FV3" s="6">
        <v>0.0</v>
      </c>
      <c r="FW3" s="6">
        <v>18.0</v>
      </c>
      <c r="FX3" s="6">
        <v>28.0</v>
      </c>
      <c r="FY3" s="6">
        <v>104.0</v>
      </c>
      <c r="FZ3" s="6">
        <v>0.0</v>
      </c>
      <c r="GA3" s="6">
        <v>3.04</v>
      </c>
      <c r="GB3" s="6">
        <v>5.26</v>
      </c>
      <c r="GC3" s="6">
        <v>17.44</v>
      </c>
      <c r="GD3" s="6">
        <v>-19.27344089</v>
      </c>
      <c r="GE3" s="1" t="s">
        <v>1351</v>
      </c>
      <c r="GF3" s="1" t="s">
        <v>1360</v>
      </c>
    </row>
    <row r="4">
      <c r="A4" s="1" t="s">
        <v>25</v>
      </c>
      <c r="B4" s="6">
        <v>4.0</v>
      </c>
      <c r="C4" s="6">
        <v>0.0</v>
      </c>
      <c r="D4" s="6">
        <v>2.0</v>
      </c>
      <c r="E4" s="6">
        <v>0.0</v>
      </c>
      <c r="F4" s="6">
        <v>479.4983</v>
      </c>
      <c r="G4" s="6">
        <v>944.0448</v>
      </c>
      <c r="H4" s="6">
        <v>1996.09</v>
      </c>
      <c r="I4" s="6">
        <v>2796.971</v>
      </c>
      <c r="J4" s="6">
        <v>3644.0</v>
      </c>
      <c r="K4" s="6">
        <v>7496.0</v>
      </c>
      <c r="L4" s="6">
        <v>14296.0</v>
      </c>
      <c r="M4" s="6">
        <v>18062.0</v>
      </c>
      <c r="N4" s="6">
        <v>63.0</v>
      </c>
      <c r="O4" s="6">
        <v>136.0</v>
      </c>
      <c r="P4" s="6">
        <v>262.0</v>
      </c>
      <c r="Q4" s="6">
        <v>384.0</v>
      </c>
      <c r="R4" s="6">
        <v>398.0</v>
      </c>
      <c r="S4" s="6">
        <v>1092.0</v>
      </c>
      <c r="T4" s="6">
        <v>1902.0</v>
      </c>
      <c r="U4" s="6">
        <v>2700.0</v>
      </c>
      <c r="V4" s="6">
        <v>29.8573</v>
      </c>
      <c r="W4" s="6">
        <v>74.7552</v>
      </c>
      <c r="X4" s="6">
        <v>136.2374</v>
      </c>
      <c r="Y4" s="6">
        <v>195.0428</v>
      </c>
      <c r="Z4" s="6">
        <v>283.7876</v>
      </c>
      <c r="AA4" s="6">
        <v>619.752</v>
      </c>
      <c r="AB4" s="6">
        <v>1021.414</v>
      </c>
      <c r="AC4" s="6">
        <v>1253.92</v>
      </c>
      <c r="AD4" s="6">
        <v>1514.0</v>
      </c>
      <c r="AE4" s="6">
        <v>2640.0</v>
      </c>
      <c r="AF4" s="6">
        <v>3856.0</v>
      </c>
      <c r="AG4" s="6">
        <v>4740.0</v>
      </c>
      <c r="AH4" s="6">
        <v>46.0</v>
      </c>
      <c r="AI4" s="6">
        <v>96.0</v>
      </c>
      <c r="AJ4" s="6">
        <v>160.0</v>
      </c>
      <c r="AK4" s="6">
        <v>198.0</v>
      </c>
      <c r="AL4" s="6">
        <v>256.0</v>
      </c>
      <c r="AM4" s="6">
        <v>632.0</v>
      </c>
      <c r="AN4" s="6">
        <v>888.0</v>
      </c>
      <c r="AO4" s="6">
        <v>1034.0</v>
      </c>
      <c r="AP4" s="6">
        <v>18.8062</v>
      </c>
      <c r="AQ4" s="6">
        <v>44.968</v>
      </c>
      <c r="AR4" s="6">
        <v>67.432</v>
      </c>
      <c r="AS4" s="6">
        <v>80.5366</v>
      </c>
      <c r="AT4" s="6">
        <v>158.7165</v>
      </c>
      <c r="AU4" s="6">
        <v>291.4528</v>
      </c>
      <c r="AV4" s="6">
        <v>527.3289</v>
      </c>
      <c r="AW4" s="6">
        <v>582.2677</v>
      </c>
      <c r="AX4" s="6">
        <v>989.3333</v>
      </c>
      <c r="AY4" s="6">
        <v>1736.0</v>
      </c>
      <c r="AZ4" s="6">
        <v>2633.333</v>
      </c>
      <c r="BA4" s="6">
        <v>2444.0</v>
      </c>
      <c r="BB4" s="6">
        <v>20.66667</v>
      </c>
      <c r="BC4" s="6">
        <v>41.33333</v>
      </c>
      <c r="BD4" s="6">
        <v>69.33333</v>
      </c>
      <c r="BE4" s="6">
        <v>78.0</v>
      </c>
      <c r="BF4" s="6">
        <v>110.6667</v>
      </c>
      <c r="BG4" s="6">
        <v>264.0</v>
      </c>
      <c r="BH4" s="6">
        <v>336.0</v>
      </c>
      <c r="BI4" s="6">
        <v>356.6667</v>
      </c>
      <c r="BJ4" s="6">
        <v>9.4316</v>
      </c>
      <c r="BK4" s="6">
        <v>21.20173</v>
      </c>
      <c r="BL4" s="6">
        <v>31.77053</v>
      </c>
      <c r="BM4" s="6">
        <v>33.06513</v>
      </c>
      <c r="BN4" s="6">
        <v>9.2416</v>
      </c>
      <c r="BO4" s="6">
        <v>15.504</v>
      </c>
      <c r="BP4" s="6">
        <v>29.944</v>
      </c>
      <c r="BQ4" s="6">
        <v>43.7456</v>
      </c>
      <c r="BR4" s="6">
        <v>49.0</v>
      </c>
      <c r="BS4" s="6">
        <v>84.0</v>
      </c>
      <c r="BT4" s="6">
        <v>133.0</v>
      </c>
      <c r="BU4" s="6">
        <v>119.0</v>
      </c>
      <c r="BV4" s="6">
        <v>1.0</v>
      </c>
      <c r="BW4" s="6">
        <v>2.0</v>
      </c>
      <c r="BX4" s="6">
        <v>4.0</v>
      </c>
      <c r="BY4" s="6">
        <v>6.0</v>
      </c>
      <c r="BZ4" s="6">
        <v>4.0</v>
      </c>
      <c r="CA4" s="6">
        <v>12.0</v>
      </c>
      <c r="CB4" s="6">
        <v>22.0</v>
      </c>
      <c r="CC4" s="6">
        <v>20.0</v>
      </c>
      <c r="CD4" s="6">
        <v>0.5625</v>
      </c>
      <c r="CE4" s="6">
        <v>1.155</v>
      </c>
      <c r="CF4" s="6">
        <v>2.01</v>
      </c>
      <c r="CG4" s="6">
        <v>2.25</v>
      </c>
      <c r="CH4" s="6">
        <v>10.9696</v>
      </c>
      <c r="CI4" s="6">
        <v>13.6688</v>
      </c>
      <c r="CJ4" s="6">
        <v>40.5248</v>
      </c>
      <c r="CK4" s="6">
        <v>43.5248</v>
      </c>
      <c r="CL4" s="6">
        <v>59.0</v>
      </c>
      <c r="CM4" s="6">
        <v>127.3333</v>
      </c>
      <c r="CN4" s="6">
        <v>171.0</v>
      </c>
      <c r="CO4" s="6">
        <v>221.0</v>
      </c>
      <c r="CP4" s="6">
        <v>1.0</v>
      </c>
      <c r="CQ4" s="6">
        <v>1.666667</v>
      </c>
      <c r="CR4" s="6">
        <v>4.666667</v>
      </c>
      <c r="CS4" s="6">
        <v>4.0</v>
      </c>
      <c r="CT4" s="6">
        <v>3.666667</v>
      </c>
      <c r="CU4" s="6">
        <v>13.66667</v>
      </c>
      <c r="CV4" s="6">
        <v>18.0</v>
      </c>
      <c r="CW4" s="6">
        <v>17.0</v>
      </c>
      <c r="CX4" s="6">
        <v>0.542767</v>
      </c>
      <c r="CY4" s="6">
        <v>1.0739</v>
      </c>
      <c r="CZ4" s="6">
        <v>2.125267</v>
      </c>
      <c r="DA4" s="6">
        <v>2.0816</v>
      </c>
      <c r="DB4" s="6">
        <v>0.0</v>
      </c>
      <c r="DC4" s="6">
        <v>0.98</v>
      </c>
      <c r="DD4" s="6">
        <v>2.31</v>
      </c>
      <c r="DE4" s="6">
        <v>3.85</v>
      </c>
      <c r="DF4" s="6">
        <v>0.0</v>
      </c>
      <c r="DG4" s="6">
        <v>2.0</v>
      </c>
      <c r="DH4" s="6">
        <v>9.0</v>
      </c>
      <c r="DI4" s="6">
        <v>25.0</v>
      </c>
      <c r="DJ4" s="6">
        <v>0.0</v>
      </c>
      <c r="DK4" s="6">
        <v>0.0</v>
      </c>
      <c r="DL4" s="6">
        <v>0.0</v>
      </c>
      <c r="DM4" s="6">
        <v>0.0</v>
      </c>
      <c r="DN4" s="6">
        <v>0.0</v>
      </c>
      <c r="DO4" s="6">
        <v>-2.0</v>
      </c>
      <c r="DP4" s="6">
        <v>-3.0</v>
      </c>
      <c r="DQ4" s="6">
        <v>2.0</v>
      </c>
      <c r="DR4" s="6">
        <v>0.0</v>
      </c>
      <c r="DS4" s="6">
        <v>-0.04</v>
      </c>
      <c r="DT4" s="6">
        <v>0.32</v>
      </c>
      <c r="DU4" s="6">
        <v>1.5</v>
      </c>
      <c r="DV4" s="6">
        <v>0.0</v>
      </c>
      <c r="DW4" s="6">
        <v>1.063333</v>
      </c>
      <c r="DX4" s="6">
        <v>2.483333</v>
      </c>
      <c r="DY4" s="6">
        <v>-0.31</v>
      </c>
      <c r="DZ4" s="6">
        <v>0.0</v>
      </c>
      <c r="EA4" s="6">
        <v>-4.33333</v>
      </c>
      <c r="EB4" s="6">
        <v>12.33333</v>
      </c>
      <c r="EC4" s="6">
        <v>1.0</v>
      </c>
      <c r="ED4" s="6">
        <v>0.0</v>
      </c>
      <c r="EE4" s="6">
        <v>0.0</v>
      </c>
      <c r="EF4" s="6">
        <v>0.0</v>
      </c>
      <c r="EG4" s="6">
        <v>0.0</v>
      </c>
      <c r="EH4" s="6">
        <v>0.0</v>
      </c>
      <c r="EI4" s="6">
        <v>-2.66667</v>
      </c>
      <c r="EJ4" s="6">
        <v>1.333333</v>
      </c>
      <c r="EK4" s="6">
        <v>1.0</v>
      </c>
      <c r="EL4" s="6">
        <v>0.0</v>
      </c>
      <c r="EM4" s="6">
        <v>-0.21333</v>
      </c>
      <c r="EN4" s="6">
        <v>0.586667</v>
      </c>
      <c r="EO4" s="6">
        <v>0.146667</v>
      </c>
      <c r="EP4" s="6">
        <v>3.3489</v>
      </c>
      <c r="EQ4" s="6">
        <v>34.8432</v>
      </c>
      <c r="ER4" s="6">
        <v>56.1078</v>
      </c>
      <c r="ES4" s="6">
        <v>110.8248</v>
      </c>
      <c r="ET4" s="6">
        <v>676.0</v>
      </c>
      <c r="EU4" s="6">
        <v>1144.0</v>
      </c>
      <c r="EV4" s="6">
        <v>2392.0</v>
      </c>
      <c r="EW4" s="6">
        <v>2392.0</v>
      </c>
      <c r="EX4" s="6">
        <v>1.0</v>
      </c>
      <c r="EY4" s="6">
        <v>6.0</v>
      </c>
      <c r="EZ4" s="6">
        <v>12.0</v>
      </c>
      <c r="FA4" s="6">
        <v>24.0</v>
      </c>
      <c r="FB4" s="6">
        <v>36.0</v>
      </c>
      <c r="FC4" s="6">
        <v>108.0</v>
      </c>
      <c r="FD4" s="6">
        <v>252.0</v>
      </c>
      <c r="FE4" s="6">
        <v>252.0</v>
      </c>
      <c r="FF4" s="6">
        <v>1.5625</v>
      </c>
      <c r="FG4" s="6">
        <v>5.575</v>
      </c>
      <c r="FH4" s="6">
        <v>12.175</v>
      </c>
      <c r="FI4" s="6">
        <v>16.9</v>
      </c>
      <c r="FJ4" s="6">
        <v>0.0</v>
      </c>
      <c r="FK4" s="6">
        <v>-8.06</v>
      </c>
      <c r="FL4" s="6">
        <v>-8.7</v>
      </c>
      <c r="FM4" s="6">
        <v>-16.64</v>
      </c>
      <c r="FN4" s="6">
        <v>0.0</v>
      </c>
      <c r="FO4" s="6">
        <v>112.0</v>
      </c>
      <c r="FP4" s="6">
        <v>220.0</v>
      </c>
      <c r="FQ4" s="6">
        <v>532.0</v>
      </c>
      <c r="FR4" s="6">
        <v>0.0</v>
      </c>
      <c r="FS4" s="6">
        <v>0.0</v>
      </c>
      <c r="FT4" s="6">
        <v>0.0</v>
      </c>
      <c r="FU4" s="6">
        <v>0.0</v>
      </c>
      <c r="FV4" s="6">
        <v>0.0</v>
      </c>
      <c r="FW4" s="6">
        <v>18.0</v>
      </c>
      <c r="FX4" s="6">
        <v>30.0</v>
      </c>
      <c r="FY4" s="6">
        <v>102.0</v>
      </c>
      <c r="FZ4" s="6">
        <v>0.0</v>
      </c>
      <c r="GA4" s="6">
        <v>3.04</v>
      </c>
      <c r="GB4" s="6">
        <v>5.26</v>
      </c>
      <c r="GC4" s="6">
        <v>16.48</v>
      </c>
      <c r="GD4" s="6">
        <v>-15.25365668</v>
      </c>
      <c r="GE4" s="1" t="s">
        <v>1351</v>
      </c>
      <c r="GF4" s="1" t="s">
        <v>1361</v>
      </c>
    </row>
    <row r="5">
      <c r="A5" s="1" t="s">
        <v>27</v>
      </c>
      <c r="B5" s="6">
        <v>4.0</v>
      </c>
      <c r="C5" s="6">
        <v>0.0</v>
      </c>
      <c r="D5" s="6">
        <v>2.0</v>
      </c>
      <c r="E5" s="6">
        <v>0.0</v>
      </c>
      <c r="F5" s="6">
        <v>575.1053</v>
      </c>
      <c r="G5" s="6">
        <v>1204.502</v>
      </c>
      <c r="H5" s="6">
        <v>2581.099</v>
      </c>
      <c r="I5" s="6">
        <v>3620.097</v>
      </c>
      <c r="J5" s="6">
        <v>3392.0</v>
      </c>
      <c r="K5" s="6">
        <v>8096.0</v>
      </c>
      <c r="L5" s="6">
        <v>15400.0</v>
      </c>
      <c r="M5" s="6">
        <v>19766.0</v>
      </c>
      <c r="N5" s="6">
        <v>81.0</v>
      </c>
      <c r="O5" s="6">
        <v>178.0</v>
      </c>
      <c r="P5" s="6">
        <v>358.0</v>
      </c>
      <c r="Q5" s="6">
        <v>528.0</v>
      </c>
      <c r="R5" s="6">
        <v>536.0</v>
      </c>
      <c r="S5" s="6">
        <v>1504.0</v>
      </c>
      <c r="T5" s="6">
        <v>2678.0</v>
      </c>
      <c r="U5" s="6">
        <v>3730.0</v>
      </c>
      <c r="V5" s="6">
        <v>34.2223</v>
      </c>
      <c r="W5" s="6">
        <v>91.4026</v>
      </c>
      <c r="X5" s="6">
        <v>169.8854</v>
      </c>
      <c r="Y5" s="6">
        <v>239.5932</v>
      </c>
      <c r="Z5" s="6">
        <v>379.3946</v>
      </c>
      <c r="AA5" s="6">
        <v>880.209</v>
      </c>
      <c r="AB5" s="6">
        <v>1606.422</v>
      </c>
      <c r="AC5" s="6">
        <v>2052.231</v>
      </c>
      <c r="AD5" s="6">
        <v>1262.0</v>
      </c>
      <c r="AE5" s="6">
        <v>3240.0</v>
      </c>
      <c r="AF5" s="6">
        <v>4960.0</v>
      </c>
      <c r="AG5" s="6">
        <v>5196.0</v>
      </c>
      <c r="AH5" s="6">
        <v>64.0</v>
      </c>
      <c r="AI5" s="6">
        <v>138.0</v>
      </c>
      <c r="AJ5" s="6">
        <v>256.0</v>
      </c>
      <c r="AK5" s="6">
        <v>338.0</v>
      </c>
      <c r="AL5" s="6">
        <v>394.0</v>
      </c>
      <c r="AM5" s="6">
        <v>1040.0</v>
      </c>
      <c r="AN5" s="6">
        <v>1608.0</v>
      </c>
      <c r="AO5" s="6">
        <v>1824.0</v>
      </c>
      <c r="AP5" s="6">
        <v>23.1712</v>
      </c>
      <c r="AQ5" s="6">
        <v>61.6154</v>
      </c>
      <c r="AR5" s="6">
        <v>101.08</v>
      </c>
      <c r="AS5" s="6">
        <v>119.337</v>
      </c>
      <c r="AT5" s="6">
        <v>190.5855</v>
      </c>
      <c r="AU5" s="6">
        <v>378.2718</v>
      </c>
      <c r="AV5" s="6">
        <v>722.3317</v>
      </c>
      <c r="AW5" s="6">
        <v>848.3714</v>
      </c>
      <c r="AX5" s="6">
        <v>905.3333</v>
      </c>
      <c r="AY5" s="6">
        <v>1936.0</v>
      </c>
      <c r="AZ5" s="6">
        <v>3001.333</v>
      </c>
      <c r="BA5" s="6">
        <v>2596.0</v>
      </c>
      <c r="BB5" s="6">
        <v>26.66667</v>
      </c>
      <c r="BC5" s="6">
        <v>55.33333</v>
      </c>
      <c r="BD5" s="6">
        <v>101.3333</v>
      </c>
      <c r="BE5" s="6">
        <v>124.6667</v>
      </c>
      <c r="BF5" s="6">
        <v>156.6667</v>
      </c>
      <c r="BG5" s="6">
        <v>400.0</v>
      </c>
      <c r="BH5" s="6">
        <v>576.0</v>
      </c>
      <c r="BI5" s="6">
        <v>620.0</v>
      </c>
      <c r="BJ5" s="6">
        <v>10.8866</v>
      </c>
      <c r="BK5" s="6">
        <v>26.75087</v>
      </c>
      <c r="BL5" s="6">
        <v>42.98653</v>
      </c>
      <c r="BM5" s="6">
        <v>45.9986</v>
      </c>
      <c r="BN5" s="6">
        <v>9.2416</v>
      </c>
      <c r="BO5" s="6">
        <v>15.504</v>
      </c>
      <c r="BP5" s="6">
        <v>32.4976</v>
      </c>
      <c r="BQ5" s="6">
        <v>52.5616</v>
      </c>
      <c r="BR5" s="6">
        <v>49.0</v>
      </c>
      <c r="BS5" s="6">
        <v>84.0</v>
      </c>
      <c r="BT5" s="6">
        <v>175.0</v>
      </c>
      <c r="BU5" s="6">
        <v>196.0</v>
      </c>
      <c r="BV5" s="6">
        <v>1.0</v>
      </c>
      <c r="BW5" s="6">
        <v>2.0</v>
      </c>
      <c r="BX5" s="6">
        <v>4.0</v>
      </c>
      <c r="BY5" s="6">
        <v>7.0</v>
      </c>
      <c r="BZ5" s="6">
        <v>4.0</v>
      </c>
      <c r="CA5" s="6">
        <v>12.0</v>
      </c>
      <c r="CB5" s="6">
        <v>26.0</v>
      </c>
      <c r="CC5" s="6">
        <v>32.0</v>
      </c>
      <c r="CD5" s="6">
        <v>0.5625</v>
      </c>
      <c r="CE5" s="6">
        <v>1.155</v>
      </c>
      <c r="CF5" s="6">
        <v>2.295</v>
      </c>
      <c r="CG5" s="6">
        <v>3.1275</v>
      </c>
      <c r="CH5" s="6">
        <v>10.9696</v>
      </c>
      <c r="CI5" s="6">
        <v>13.6688</v>
      </c>
      <c r="CJ5" s="6">
        <v>43.1088</v>
      </c>
      <c r="CK5" s="6">
        <v>50.35467</v>
      </c>
      <c r="CL5" s="6">
        <v>59.0</v>
      </c>
      <c r="CM5" s="6">
        <v>127.3333</v>
      </c>
      <c r="CN5" s="6">
        <v>185.0</v>
      </c>
      <c r="CO5" s="6">
        <v>218.6667</v>
      </c>
      <c r="CP5" s="6">
        <v>1.0</v>
      </c>
      <c r="CQ5" s="6">
        <v>1.666667</v>
      </c>
      <c r="CR5" s="6">
        <v>5.0</v>
      </c>
      <c r="CS5" s="6">
        <v>5.0</v>
      </c>
      <c r="CT5" s="6">
        <v>3.666667</v>
      </c>
      <c r="CU5" s="6">
        <v>14.66667</v>
      </c>
      <c r="CV5" s="6">
        <v>24.0</v>
      </c>
      <c r="CW5" s="6">
        <v>19.0</v>
      </c>
      <c r="CX5" s="6">
        <v>0.542767</v>
      </c>
      <c r="CY5" s="6">
        <v>1.0739</v>
      </c>
      <c r="CZ5" s="6">
        <v>2.317767</v>
      </c>
      <c r="DA5" s="6">
        <v>2.2541</v>
      </c>
      <c r="DB5" s="6">
        <v>0.0</v>
      </c>
      <c r="DC5" s="6">
        <v>0.98</v>
      </c>
      <c r="DD5" s="6">
        <v>1.47</v>
      </c>
      <c r="DE5" s="6">
        <v>3.99</v>
      </c>
      <c r="DF5" s="6">
        <v>0.0</v>
      </c>
      <c r="DG5" s="6">
        <v>2.0</v>
      </c>
      <c r="DH5" s="6">
        <v>3.0</v>
      </c>
      <c r="DI5" s="6">
        <v>21.0</v>
      </c>
      <c r="DJ5" s="6">
        <v>0.0</v>
      </c>
      <c r="DK5" s="6">
        <v>0.0</v>
      </c>
      <c r="DL5" s="6">
        <v>0.0</v>
      </c>
      <c r="DM5" s="6">
        <v>0.0</v>
      </c>
      <c r="DN5" s="6">
        <v>0.0</v>
      </c>
      <c r="DO5" s="6">
        <v>-2.0</v>
      </c>
      <c r="DP5" s="6">
        <v>-5.0</v>
      </c>
      <c r="DQ5" s="6">
        <v>-2.0</v>
      </c>
      <c r="DR5" s="6">
        <v>0.0</v>
      </c>
      <c r="DS5" s="6">
        <v>-0.04</v>
      </c>
      <c r="DT5" s="6">
        <v>-0.06</v>
      </c>
      <c r="DU5" s="6">
        <v>1.08</v>
      </c>
      <c r="DV5" s="6">
        <v>0.0</v>
      </c>
      <c r="DW5" s="6">
        <v>1.063333</v>
      </c>
      <c r="DX5" s="6">
        <v>2.646667</v>
      </c>
      <c r="DY5" s="6">
        <v>0.483333</v>
      </c>
      <c r="DZ5" s="6">
        <v>0.0</v>
      </c>
      <c r="EA5" s="6">
        <v>-4.33333</v>
      </c>
      <c r="EB5" s="6">
        <v>12.66667</v>
      </c>
      <c r="EC5" s="6">
        <v>8.333333</v>
      </c>
      <c r="ED5" s="6">
        <v>0.0</v>
      </c>
      <c r="EE5" s="6">
        <v>0.0</v>
      </c>
      <c r="EF5" s="6">
        <v>0.0</v>
      </c>
      <c r="EG5" s="6">
        <v>0.0</v>
      </c>
      <c r="EH5" s="6">
        <v>0.0</v>
      </c>
      <c r="EI5" s="6">
        <v>-3.0</v>
      </c>
      <c r="EJ5" s="6">
        <v>0.333333</v>
      </c>
      <c r="EK5" s="6">
        <v>3.333333</v>
      </c>
      <c r="EL5" s="6">
        <v>0.0</v>
      </c>
      <c r="EM5" s="6">
        <v>-0.21333</v>
      </c>
      <c r="EN5" s="6">
        <v>0.58</v>
      </c>
      <c r="EO5" s="6">
        <v>0.666667</v>
      </c>
      <c r="EP5" s="6">
        <v>3.3489</v>
      </c>
      <c r="EQ5" s="6">
        <v>34.8432</v>
      </c>
      <c r="ER5" s="6">
        <v>56.1078</v>
      </c>
      <c r="ES5" s="6">
        <v>123.2322</v>
      </c>
      <c r="ET5" s="6">
        <v>676.0</v>
      </c>
      <c r="EU5" s="6">
        <v>1144.0</v>
      </c>
      <c r="EV5" s="6">
        <v>2392.0</v>
      </c>
      <c r="EW5" s="6">
        <v>3016.0</v>
      </c>
      <c r="EX5" s="6">
        <v>1.0</v>
      </c>
      <c r="EY5" s="6">
        <v>6.0</v>
      </c>
      <c r="EZ5" s="6">
        <v>12.0</v>
      </c>
      <c r="FA5" s="6">
        <v>26.0</v>
      </c>
      <c r="FB5" s="6">
        <v>36.0</v>
      </c>
      <c r="FC5" s="6">
        <v>108.0</v>
      </c>
      <c r="FD5" s="6">
        <v>264.0</v>
      </c>
      <c r="FE5" s="6">
        <v>336.0</v>
      </c>
      <c r="FF5" s="6">
        <v>1.5625</v>
      </c>
      <c r="FG5" s="6">
        <v>5.575</v>
      </c>
      <c r="FH5" s="6">
        <v>12.175</v>
      </c>
      <c r="FI5" s="6">
        <v>19.775</v>
      </c>
      <c r="FJ5" s="6">
        <v>0.0</v>
      </c>
      <c r="FK5" s="6">
        <v>-8.06</v>
      </c>
      <c r="FL5" s="6">
        <v>-8.7</v>
      </c>
      <c r="FM5" s="6">
        <v>-19.76</v>
      </c>
      <c r="FN5" s="6">
        <v>0.0</v>
      </c>
      <c r="FO5" s="6">
        <v>112.0</v>
      </c>
      <c r="FP5" s="6">
        <v>220.0</v>
      </c>
      <c r="FQ5" s="6">
        <v>560.0</v>
      </c>
      <c r="FR5" s="6">
        <v>0.0</v>
      </c>
      <c r="FS5" s="6">
        <v>0.0</v>
      </c>
      <c r="FT5" s="6">
        <v>0.0</v>
      </c>
      <c r="FU5" s="6">
        <v>0.0</v>
      </c>
      <c r="FV5" s="6">
        <v>0.0</v>
      </c>
      <c r="FW5" s="6">
        <v>18.0</v>
      </c>
      <c r="FX5" s="6">
        <v>28.0</v>
      </c>
      <c r="FY5" s="6">
        <v>100.0</v>
      </c>
      <c r="FZ5" s="6">
        <v>0.0</v>
      </c>
      <c r="GA5" s="6">
        <v>3.04</v>
      </c>
      <c r="GB5" s="6">
        <v>5.26</v>
      </c>
      <c r="GC5" s="6">
        <v>16.68</v>
      </c>
      <c r="GD5" s="6">
        <v>-18.14393549</v>
      </c>
      <c r="GE5" s="1" t="s">
        <v>1351</v>
      </c>
      <c r="GF5" s="1" t="s">
        <v>1362</v>
      </c>
    </row>
    <row r="6">
      <c r="A6" s="1" t="s">
        <v>29</v>
      </c>
      <c r="B6" s="6">
        <v>4.0</v>
      </c>
      <c r="C6" s="6">
        <v>0.0</v>
      </c>
      <c r="D6" s="6">
        <v>2.0</v>
      </c>
      <c r="E6" s="6">
        <v>0.0</v>
      </c>
      <c r="F6" s="6">
        <v>544.5993</v>
      </c>
      <c r="G6" s="6">
        <v>1107.194</v>
      </c>
      <c r="H6" s="6">
        <v>2387.236</v>
      </c>
      <c r="I6" s="6">
        <v>3328.654</v>
      </c>
      <c r="J6" s="6">
        <v>3276.0</v>
      </c>
      <c r="K6" s="6">
        <v>7664.0</v>
      </c>
      <c r="L6" s="6">
        <v>14476.0</v>
      </c>
      <c r="M6" s="6">
        <v>18154.0</v>
      </c>
      <c r="N6" s="6">
        <v>75.0</v>
      </c>
      <c r="O6" s="6">
        <v>162.0</v>
      </c>
      <c r="P6" s="6">
        <v>326.0</v>
      </c>
      <c r="Q6" s="6">
        <v>480.0</v>
      </c>
      <c r="R6" s="6">
        <v>488.0</v>
      </c>
      <c r="S6" s="6">
        <v>1356.0</v>
      </c>
      <c r="T6" s="6">
        <v>2390.0</v>
      </c>
      <c r="U6" s="6">
        <v>3342.0</v>
      </c>
      <c r="V6" s="6">
        <v>31.5177</v>
      </c>
      <c r="W6" s="6">
        <v>83.0866</v>
      </c>
      <c r="X6" s="6">
        <v>153.3182</v>
      </c>
      <c r="Y6" s="6">
        <v>217.8108</v>
      </c>
      <c r="Z6" s="6">
        <v>348.8886</v>
      </c>
      <c r="AA6" s="6">
        <v>782.901</v>
      </c>
      <c r="AB6" s="6">
        <v>1412.56</v>
      </c>
      <c r="AC6" s="6">
        <v>1766.937</v>
      </c>
      <c r="AD6" s="6">
        <v>1146.0</v>
      </c>
      <c r="AE6" s="6">
        <v>2808.0</v>
      </c>
      <c r="AF6" s="6">
        <v>4036.0</v>
      </c>
      <c r="AG6" s="6">
        <v>4208.0</v>
      </c>
      <c r="AH6" s="6">
        <v>58.0</v>
      </c>
      <c r="AI6" s="6">
        <v>122.0</v>
      </c>
      <c r="AJ6" s="6">
        <v>224.0</v>
      </c>
      <c r="AK6" s="6">
        <v>290.0</v>
      </c>
      <c r="AL6" s="6">
        <v>346.0</v>
      </c>
      <c r="AM6" s="6">
        <v>892.0</v>
      </c>
      <c r="AN6" s="6">
        <v>1328.0</v>
      </c>
      <c r="AO6" s="6">
        <v>1508.0</v>
      </c>
      <c r="AP6" s="6">
        <v>20.4666</v>
      </c>
      <c r="AQ6" s="6">
        <v>53.2994</v>
      </c>
      <c r="AR6" s="6">
        <v>84.5128</v>
      </c>
      <c r="AS6" s="6">
        <v>99.4546</v>
      </c>
      <c r="AT6" s="6">
        <v>180.4168</v>
      </c>
      <c r="AU6" s="6">
        <v>345.8358</v>
      </c>
      <c r="AV6" s="6">
        <v>657.7109</v>
      </c>
      <c r="AW6" s="6">
        <v>753.2733</v>
      </c>
      <c r="AX6" s="6">
        <v>866.6667</v>
      </c>
      <c r="AY6" s="6">
        <v>1792.0</v>
      </c>
      <c r="AZ6" s="6">
        <v>2693.333</v>
      </c>
      <c r="BA6" s="6">
        <v>2266.667</v>
      </c>
      <c r="BB6" s="6">
        <v>24.66667</v>
      </c>
      <c r="BC6" s="6">
        <v>50.0</v>
      </c>
      <c r="BD6" s="6">
        <v>90.66667</v>
      </c>
      <c r="BE6" s="6">
        <v>108.6667</v>
      </c>
      <c r="BF6" s="6">
        <v>140.6667</v>
      </c>
      <c r="BG6" s="6">
        <v>350.6667</v>
      </c>
      <c r="BH6" s="6">
        <v>482.6667</v>
      </c>
      <c r="BI6" s="6">
        <v>514.6667</v>
      </c>
      <c r="BJ6" s="6">
        <v>9.985067</v>
      </c>
      <c r="BK6" s="6">
        <v>23.97887</v>
      </c>
      <c r="BL6" s="6">
        <v>37.46413</v>
      </c>
      <c r="BM6" s="6">
        <v>39.37113</v>
      </c>
      <c r="BN6" s="6">
        <v>9.2416</v>
      </c>
      <c r="BO6" s="6">
        <v>15.504</v>
      </c>
      <c r="BP6" s="6">
        <v>29.944</v>
      </c>
      <c r="BQ6" s="6">
        <v>43.7456</v>
      </c>
      <c r="BR6" s="6">
        <v>49.0</v>
      </c>
      <c r="BS6" s="6">
        <v>84.0</v>
      </c>
      <c r="BT6" s="6">
        <v>133.0</v>
      </c>
      <c r="BU6" s="6">
        <v>119.0</v>
      </c>
      <c r="BV6" s="6">
        <v>1.0</v>
      </c>
      <c r="BW6" s="6">
        <v>2.0</v>
      </c>
      <c r="BX6" s="6">
        <v>4.0</v>
      </c>
      <c r="BY6" s="6">
        <v>6.0</v>
      </c>
      <c r="BZ6" s="6">
        <v>4.0</v>
      </c>
      <c r="CA6" s="6">
        <v>12.0</v>
      </c>
      <c r="CB6" s="6">
        <v>22.0</v>
      </c>
      <c r="CC6" s="6">
        <v>20.0</v>
      </c>
      <c r="CD6" s="6">
        <v>0.5625</v>
      </c>
      <c r="CE6" s="6">
        <v>1.155</v>
      </c>
      <c r="CF6" s="6">
        <v>2.01</v>
      </c>
      <c r="CG6" s="6">
        <v>2.25</v>
      </c>
      <c r="CH6" s="6">
        <v>10.9696</v>
      </c>
      <c r="CI6" s="6">
        <v>13.6688</v>
      </c>
      <c r="CJ6" s="6">
        <v>43.1088</v>
      </c>
      <c r="CK6" s="6">
        <v>49.85813</v>
      </c>
      <c r="CL6" s="6">
        <v>59.0</v>
      </c>
      <c r="CM6" s="6">
        <v>127.3333</v>
      </c>
      <c r="CN6" s="6">
        <v>185.0</v>
      </c>
      <c r="CO6" s="6">
        <v>216.3333</v>
      </c>
      <c r="CP6" s="6">
        <v>1.0</v>
      </c>
      <c r="CQ6" s="6">
        <v>1.666667</v>
      </c>
      <c r="CR6" s="6">
        <v>5.0</v>
      </c>
      <c r="CS6" s="6">
        <v>5.0</v>
      </c>
      <c r="CT6" s="6">
        <v>3.666667</v>
      </c>
      <c r="CU6" s="6">
        <v>14.66667</v>
      </c>
      <c r="CV6" s="6">
        <v>24.0</v>
      </c>
      <c r="CW6" s="6">
        <v>19.0</v>
      </c>
      <c r="CX6" s="6">
        <v>0.542767</v>
      </c>
      <c r="CY6" s="6">
        <v>1.0739</v>
      </c>
      <c r="CZ6" s="6">
        <v>2.317767</v>
      </c>
      <c r="DA6" s="6">
        <v>2.2591</v>
      </c>
      <c r="DB6" s="6">
        <v>0.0</v>
      </c>
      <c r="DC6" s="6">
        <v>0.98</v>
      </c>
      <c r="DD6" s="6">
        <v>2.31</v>
      </c>
      <c r="DE6" s="6">
        <v>3.85</v>
      </c>
      <c r="DF6" s="6">
        <v>0.0</v>
      </c>
      <c r="DG6" s="6">
        <v>2.0</v>
      </c>
      <c r="DH6" s="6">
        <v>9.0</v>
      </c>
      <c r="DI6" s="6">
        <v>25.0</v>
      </c>
      <c r="DJ6" s="6">
        <v>0.0</v>
      </c>
      <c r="DK6" s="6">
        <v>0.0</v>
      </c>
      <c r="DL6" s="6">
        <v>0.0</v>
      </c>
      <c r="DM6" s="6">
        <v>0.0</v>
      </c>
      <c r="DN6" s="6">
        <v>0.0</v>
      </c>
      <c r="DO6" s="6">
        <v>-2.0</v>
      </c>
      <c r="DP6" s="6">
        <v>-3.0</v>
      </c>
      <c r="DQ6" s="6">
        <v>2.0</v>
      </c>
      <c r="DR6" s="6">
        <v>0.0</v>
      </c>
      <c r="DS6" s="6">
        <v>-0.04</v>
      </c>
      <c r="DT6" s="6">
        <v>0.32</v>
      </c>
      <c r="DU6" s="6">
        <v>1.5</v>
      </c>
      <c r="DV6" s="6">
        <v>0.0</v>
      </c>
      <c r="DW6" s="6">
        <v>1.063333</v>
      </c>
      <c r="DX6" s="6">
        <v>2.646667</v>
      </c>
      <c r="DY6" s="6">
        <v>0.646667</v>
      </c>
      <c r="DZ6" s="6">
        <v>0.0</v>
      </c>
      <c r="EA6" s="6">
        <v>-4.33333</v>
      </c>
      <c r="EB6" s="6">
        <v>12.66667</v>
      </c>
      <c r="EC6" s="6">
        <v>8.666667</v>
      </c>
      <c r="ED6" s="6">
        <v>0.0</v>
      </c>
      <c r="EE6" s="6">
        <v>0.0</v>
      </c>
      <c r="EF6" s="6">
        <v>0.0</v>
      </c>
      <c r="EG6" s="6">
        <v>0.0</v>
      </c>
      <c r="EH6" s="6">
        <v>0.0</v>
      </c>
      <c r="EI6" s="6">
        <v>-3.0</v>
      </c>
      <c r="EJ6" s="6">
        <v>0.333333</v>
      </c>
      <c r="EK6" s="6">
        <v>3.333333</v>
      </c>
      <c r="EL6" s="6">
        <v>0.0</v>
      </c>
      <c r="EM6" s="6">
        <v>-0.21333</v>
      </c>
      <c r="EN6" s="6">
        <v>0.58</v>
      </c>
      <c r="EO6" s="6">
        <v>0.66</v>
      </c>
      <c r="EP6" s="6">
        <v>3.3489</v>
      </c>
      <c r="EQ6" s="6">
        <v>34.8432</v>
      </c>
      <c r="ER6" s="6">
        <v>56.1078</v>
      </c>
      <c r="ES6" s="6">
        <v>120.1578</v>
      </c>
      <c r="ET6" s="6">
        <v>676.0</v>
      </c>
      <c r="EU6" s="6">
        <v>1144.0</v>
      </c>
      <c r="EV6" s="6">
        <v>2392.0</v>
      </c>
      <c r="EW6" s="6">
        <v>2704.0</v>
      </c>
      <c r="EX6" s="6">
        <v>1.0</v>
      </c>
      <c r="EY6" s="6">
        <v>6.0</v>
      </c>
      <c r="EZ6" s="6">
        <v>12.0</v>
      </c>
      <c r="FA6" s="6">
        <v>26.0</v>
      </c>
      <c r="FB6" s="6">
        <v>36.0</v>
      </c>
      <c r="FC6" s="6">
        <v>108.0</v>
      </c>
      <c r="FD6" s="6">
        <v>264.0</v>
      </c>
      <c r="FE6" s="6">
        <v>312.0</v>
      </c>
      <c r="FF6" s="6">
        <v>1.5625</v>
      </c>
      <c r="FG6" s="6">
        <v>5.575</v>
      </c>
      <c r="FH6" s="6">
        <v>12.175</v>
      </c>
      <c r="FI6" s="6">
        <v>18.825</v>
      </c>
      <c r="FJ6" s="6">
        <v>0.0</v>
      </c>
      <c r="FK6" s="6">
        <v>-8.06</v>
      </c>
      <c r="FL6" s="6">
        <v>-8.7</v>
      </c>
      <c r="FM6" s="6">
        <v>-18.08</v>
      </c>
      <c r="FN6" s="6">
        <v>0.0</v>
      </c>
      <c r="FO6" s="6">
        <v>112.0</v>
      </c>
      <c r="FP6" s="6">
        <v>220.0</v>
      </c>
      <c r="FQ6" s="6">
        <v>572.0</v>
      </c>
      <c r="FR6" s="6">
        <v>0.0</v>
      </c>
      <c r="FS6" s="6">
        <v>0.0</v>
      </c>
      <c r="FT6" s="6">
        <v>0.0</v>
      </c>
      <c r="FU6" s="6">
        <v>0.0</v>
      </c>
      <c r="FV6" s="6">
        <v>0.0</v>
      </c>
      <c r="FW6" s="6">
        <v>18.0</v>
      </c>
      <c r="FX6" s="6">
        <v>28.0</v>
      </c>
      <c r="FY6" s="6">
        <v>104.0</v>
      </c>
      <c r="FZ6" s="6">
        <v>0.0</v>
      </c>
      <c r="GA6" s="6">
        <v>3.04</v>
      </c>
      <c r="GB6" s="6">
        <v>5.26</v>
      </c>
      <c r="GC6" s="6">
        <v>17.44</v>
      </c>
      <c r="GD6" s="6">
        <v>-19.93796657</v>
      </c>
      <c r="GE6" s="1" t="s">
        <v>1351</v>
      </c>
      <c r="GF6" s="1" t="s">
        <v>1363</v>
      </c>
    </row>
    <row r="7">
      <c r="A7" s="1" t="s">
        <v>31</v>
      </c>
      <c r="B7" s="6">
        <v>2.0</v>
      </c>
      <c r="C7" s="6">
        <v>0.0</v>
      </c>
      <c r="D7" s="6">
        <v>1.666667</v>
      </c>
      <c r="E7" s="6">
        <v>0.0</v>
      </c>
      <c r="F7" s="6">
        <v>420.3646</v>
      </c>
      <c r="G7" s="6">
        <v>800.6328</v>
      </c>
      <c r="H7" s="6">
        <v>1823.685</v>
      </c>
      <c r="I7" s="6">
        <v>2568.404</v>
      </c>
      <c r="J7" s="6">
        <v>2746.0</v>
      </c>
      <c r="K7" s="6">
        <v>6272.0</v>
      </c>
      <c r="L7" s="6">
        <v>12186.0</v>
      </c>
      <c r="M7" s="6">
        <v>14126.0</v>
      </c>
      <c r="N7" s="6">
        <v>56.0</v>
      </c>
      <c r="O7" s="6">
        <v>116.0</v>
      </c>
      <c r="P7" s="6">
        <v>242.0</v>
      </c>
      <c r="Q7" s="6">
        <v>362.0</v>
      </c>
      <c r="R7" s="6">
        <v>358.0</v>
      </c>
      <c r="S7" s="6">
        <v>992.0</v>
      </c>
      <c r="T7" s="6">
        <v>1768.0</v>
      </c>
      <c r="U7" s="6">
        <v>2480.0</v>
      </c>
      <c r="V7" s="6">
        <v>23.1086</v>
      </c>
      <c r="W7" s="6">
        <v>59.7556</v>
      </c>
      <c r="X7" s="6">
        <v>112.693</v>
      </c>
      <c r="Y7" s="6">
        <v>166.353</v>
      </c>
      <c r="Z7" s="6">
        <v>112.327</v>
      </c>
      <c r="AA7" s="6">
        <v>238.17</v>
      </c>
      <c r="AB7" s="6">
        <v>424.5045</v>
      </c>
      <c r="AC7" s="6">
        <v>499.7748</v>
      </c>
      <c r="AD7" s="6">
        <v>308.0</v>
      </c>
      <c r="AE7" s="6">
        <v>708.0</v>
      </c>
      <c r="AF7" s="6">
        <v>873.0</v>
      </c>
      <c r="AG7" s="6">
        <v>948.0</v>
      </c>
      <c r="AH7" s="6">
        <v>19.5</v>
      </c>
      <c r="AI7" s="6">
        <v>38.0</v>
      </c>
      <c r="AJ7" s="6">
        <v>70.0</v>
      </c>
      <c r="AK7" s="6">
        <v>84.0</v>
      </c>
      <c r="AL7" s="6">
        <v>108.0</v>
      </c>
      <c r="AM7" s="6">
        <v>262.0</v>
      </c>
      <c r="AN7" s="6">
        <v>355.0</v>
      </c>
      <c r="AO7" s="6">
        <v>438.0</v>
      </c>
      <c r="AP7" s="6">
        <v>6.02875</v>
      </c>
      <c r="AQ7" s="6">
        <v>14.9842</v>
      </c>
      <c r="AR7" s="6">
        <v>21.9438</v>
      </c>
      <c r="AS7" s="6">
        <v>26.5734</v>
      </c>
      <c r="AT7" s="6">
        <v>126.7497</v>
      </c>
      <c r="AU7" s="6">
        <v>222.9258</v>
      </c>
      <c r="AV7" s="6">
        <v>443.7926</v>
      </c>
      <c r="AW7" s="6">
        <v>484.1016</v>
      </c>
      <c r="AX7" s="6">
        <v>648.6667</v>
      </c>
      <c r="AY7" s="6">
        <v>1264.0</v>
      </c>
      <c r="AZ7" s="6">
        <v>1888.0</v>
      </c>
      <c r="BA7" s="6">
        <v>1482.0</v>
      </c>
      <c r="BB7" s="6">
        <v>16.33333</v>
      </c>
      <c r="BC7" s="6">
        <v>31.33333</v>
      </c>
      <c r="BD7" s="6">
        <v>58.0</v>
      </c>
      <c r="BE7" s="6">
        <v>66.0</v>
      </c>
      <c r="BF7" s="6">
        <v>89.33333</v>
      </c>
      <c r="BG7" s="6">
        <v>213.3333</v>
      </c>
      <c r="BH7" s="6">
        <v>268.0</v>
      </c>
      <c r="BI7" s="6">
        <v>302.0</v>
      </c>
      <c r="BJ7" s="6">
        <v>6.462367</v>
      </c>
      <c r="BK7" s="6">
        <v>14.8518</v>
      </c>
      <c r="BL7" s="6">
        <v>22.6938</v>
      </c>
      <c r="BM7" s="6">
        <v>23.3802</v>
      </c>
      <c r="BN7" s="6">
        <v>9.2416</v>
      </c>
      <c r="BO7" s="6">
        <v>15.504</v>
      </c>
      <c r="BP7" s="6">
        <v>35.036</v>
      </c>
      <c r="BQ7" s="6">
        <v>32.6496</v>
      </c>
      <c r="BR7" s="6">
        <v>49.0</v>
      </c>
      <c r="BS7" s="6">
        <v>84.0</v>
      </c>
      <c r="BT7" s="6">
        <v>87.5</v>
      </c>
      <c r="BU7" s="6">
        <v>73.5</v>
      </c>
      <c r="BV7" s="6">
        <v>1.0</v>
      </c>
      <c r="BW7" s="6">
        <v>2.0</v>
      </c>
      <c r="BX7" s="6">
        <v>5.0</v>
      </c>
      <c r="BY7" s="6">
        <v>4.5</v>
      </c>
      <c r="BZ7" s="6">
        <v>5.0</v>
      </c>
      <c r="CA7" s="6">
        <v>19.0</v>
      </c>
      <c r="CB7" s="6">
        <v>24.5</v>
      </c>
      <c r="CC7" s="6">
        <v>16.5</v>
      </c>
      <c r="CD7" s="6">
        <v>0.5625</v>
      </c>
      <c r="CE7" s="6">
        <v>1.155</v>
      </c>
      <c r="CF7" s="6">
        <v>1.8375</v>
      </c>
      <c r="CG7" s="6">
        <v>1.53375</v>
      </c>
      <c r="CH7" s="6">
        <v>10.9696</v>
      </c>
      <c r="CI7" s="6">
        <v>13.6688</v>
      </c>
      <c r="CJ7" s="6">
        <v>42.39947</v>
      </c>
      <c r="CK7" s="6">
        <v>42.4608</v>
      </c>
      <c r="CL7" s="6">
        <v>59.0</v>
      </c>
      <c r="CM7" s="6">
        <v>127.3333</v>
      </c>
      <c r="CN7" s="6">
        <v>161.6667</v>
      </c>
      <c r="CO7" s="6">
        <v>186.0</v>
      </c>
      <c r="CP7" s="6">
        <v>1.0</v>
      </c>
      <c r="CQ7" s="6">
        <v>1.666667</v>
      </c>
      <c r="CR7" s="6">
        <v>5.0</v>
      </c>
      <c r="CS7" s="6">
        <v>4.0</v>
      </c>
      <c r="CT7" s="6">
        <v>3.666667</v>
      </c>
      <c r="CU7" s="6">
        <v>14.66667</v>
      </c>
      <c r="CV7" s="6">
        <v>19.0</v>
      </c>
      <c r="CW7" s="6">
        <v>12.0</v>
      </c>
      <c r="CX7" s="6">
        <v>0.542767</v>
      </c>
      <c r="CY7" s="6">
        <v>1.0739</v>
      </c>
      <c r="CZ7" s="6">
        <v>2.117767</v>
      </c>
      <c r="DA7" s="6">
        <v>1.7816</v>
      </c>
      <c r="DB7" s="6">
        <v>0.0</v>
      </c>
      <c r="DC7" s="6">
        <v>0.98</v>
      </c>
      <c r="DD7" s="6">
        <v>3.675</v>
      </c>
      <c r="DE7" s="6">
        <v>2.94</v>
      </c>
      <c r="DF7" s="6">
        <v>0.0</v>
      </c>
      <c r="DG7" s="6">
        <v>2.0</v>
      </c>
      <c r="DH7" s="6">
        <v>22.5</v>
      </c>
      <c r="DI7" s="6">
        <v>21.0</v>
      </c>
      <c r="DJ7" s="6">
        <v>0.0</v>
      </c>
      <c r="DK7" s="6">
        <v>0.0</v>
      </c>
      <c r="DL7" s="6">
        <v>0.0</v>
      </c>
      <c r="DM7" s="6">
        <v>0.0</v>
      </c>
      <c r="DN7" s="6">
        <v>0.0</v>
      </c>
      <c r="DO7" s="6">
        <v>-2.0</v>
      </c>
      <c r="DP7" s="6">
        <v>4.5</v>
      </c>
      <c r="DQ7" s="6">
        <v>4.0</v>
      </c>
      <c r="DR7" s="6">
        <v>0.0</v>
      </c>
      <c r="DS7" s="6">
        <v>-0.04</v>
      </c>
      <c r="DT7" s="6">
        <v>1.3</v>
      </c>
      <c r="DU7" s="6">
        <v>1.33</v>
      </c>
      <c r="DV7" s="6">
        <v>0.0</v>
      </c>
      <c r="DW7" s="6">
        <v>1.063333</v>
      </c>
      <c r="DX7" s="6">
        <v>2.88</v>
      </c>
      <c r="DY7" s="6">
        <v>0.04</v>
      </c>
      <c r="DZ7" s="6">
        <v>0.0</v>
      </c>
      <c r="EA7" s="6">
        <v>-4.33333</v>
      </c>
      <c r="EB7" s="6">
        <v>16.0</v>
      </c>
      <c r="EC7" s="6">
        <v>6.0</v>
      </c>
      <c r="ED7" s="6">
        <v>0.0</v>
      </c>
      <c r="EE7" s="6">
        <v>0.0</v>
      </c>
      <c r="EF7" s="6">
        <v>0.0</v>
      </c>
      <c r="EG7" s="6">
        <v>0.0</v>
      </c>
      <c r="EH7" s="6">
        <v>0.0</v>
      </c>
      <c r="EI7" s="6">
        <v>-3.0</v>
      </c>
      <c r="EJ7" s="6">
        <v>2.0</v>
      </c>
      <c r="EK7" s="6">
        <v>2.666667</v>
      </c>
      <c r="EL7" s="6">
        <v>0.0</v>
      </c>
      <c r="EM7" s="6">
        <v>-0.21333</v>
      </c>
      <c r="EN7" s="6">
        <v>0.846667</v>
      </c>
      <c r="EO7" s="6">
        <v>0.546667</v>
      </c>
      <c r="EP7" s="6">
        <v>3.3489</v>
      </c>
      <c r="EQ7" s="6">
        <v>34.8432</v>
      </c>
      <c r="ER7" s="6">
        <v>56.1078</v>
      </c>
      <c r="ES7" s="6">
        <v>123.7263</v>
      </c>
      <c r="ET7" s="6">
        <v>676.0</v>
      </c>
      <c r="EU7" s="6">
        <v>1144.0</v>
      </c>
      <c r="EV7" s="6">
        <v>2392.0</v>
      </c>
      <c r="EW7" s="6">
        <v>1846.0</v>
      </c>
      <c r="EX7" s="6">
        <v>1.0</v>
      </c>
      <c r="EY7" s="6">
        <v>6.0</v>
      </c>
      <c r="EZ7" s="6">
        <v>12.0</v>
      </c>
      <c r="FA7" s="6">
        <v>28.0</v>
      </c>
      <c r="FB7" s="6">
        <v>36.0</v>
      </c>
      <c r="FC7" s="6">
        <v>108.0</v>
      </c>
      <c r="FD7" s="6">
        <v>276.0</v>
      </c>
      <c r="FE7" s="6">
        <v>222.0</v>
      </c>
      <c r="FF7" s="6">
        <v>1.5625</v>
      </c>
      <c r="FG7" s="6">
        <v>5.575</v>
      </c>
      <c r="FH7" s="6">
        <v>12.175</v>
      </c>
      <c r="FI7" s="6">
        <v>16.25</v>
      </c>
      <c r="FJ7" s="6">
        <v>0.0</v>
      </c>
      <c r="FK7" s="6">
        <v>-8.06</v>
      </c>
      <c r="FL7" s="6">
        <v>-8.7</v>
      </c>
      <c r="FM7" s="6">
        <v>-16.37</v>
      </c>
      <c r="FN7" s="6">
        <v>0.0</v>
      </c>
      <c r="FO7" s="6">
        <v>112.0</v>
      </c>
      <c r="FP7" s="6">
        <v>220.0</v>
      </c>
      <c r="FQ7" s="6">
        <v>657.0</v>
      </c>
      <c r="FR7" s="6">
        <v>0.0</v>
      </c>
      <c r="FS7" s="6">
        <v>0.0</v>
      </c>
      <c r="FT7" s="6">
        <v>0.0</v>
      </c>
      <c r="FU7" s="6">
        <v>0.0</v>
      </c>
      <c r="FV7" s="6">
        <v>0.0</v>
      </c>
      <c r="FW7" s="6">
        <v>18.0</v>
      </c>
      <c r="FX7" s="6">
        <v>26.0</v>
      </c>
      <c r="FY7" s="6">
        <v>131.0</v>
      </c>
      <c r="FZ7" s="6">
        <v>0.0</v>
      </c>
      <c r="GA7" s="6">
        <v>3.04</v>
      </c>
      <c r="GB7" s="6">
        <v>5.26</v>
      </c>
      <c r="GC7" s="6">
        <v>22.0</v>
      </c>
      <c r="GD7" s="6">
        <v>-15.5103054</v>
      </c>
      <c r="GE7" s="1" t="s">
        <v>1352</v>
      </c>
      <c r="GF7" s="1" t="s">
        <v>1364</v>
      </c>
    </row>
    <row r="8">
      <c r="A8" s="1" t="s">
        <v>33</v>
      </c>
      <c r="B8" s="6">
        <v>2.0</v>
      </c>
      <c r="C8" s="6">
        <v>0.0</v>
      </c>
      <c r="D8" s="6">
        <v>1.666667</v>
      </c>
      <c r="E8" s="6">
        <v>0.0</v>
      </c>
      <c r="F8" s="6">
        <v>405.1116</v>
      </c>
      <c r="G8" s="6">
        <v>770.1998</v>
      </c>
      <c r="H8" s="6">
        <v>1774.732</v>
      </c>
      <c r="I8" s="6">
        <v>2600.631</v>
      </c>
      <c r="J8" s="6">
        <v>2688.0</v>
      </c>
      <c r="K8" s="6">
        <v>6164.0</v>
      </c>
      <c r="L8" s="6">
        <v>11928.0</v>
      </c>
      <c r="M8" s="6">
        <v>13648.0</v>
      </c>
      <c r="N8" s="6">
        <v>53.0</v>
      </c>
      <c r="O8" s="6">
        <v>110.0</v>
      </c>
      <c r="P8" s="6">
        <v>232.0</v>
      </c>
      <c r="Q8" s="6">
        <v>364.0</v>
      </c>
      <c r="R8" s="6">
        <v>342.0</v>
      </c>
      <c r="S8" s="6">
        <v>968.0</v>
      </c>
      <c r="T8" s="6">
        <v>1768.0</v>
      </c>
      <c r="U8" s="6">
        <v>2508.0</v>
      </c>
      <c r="V8" s="6">
        <v>21.7563</v>
      </c>
      <c r="W8" s="6">
        <v>56.7358</v>
      </c>
      <c r="X8" s="6">
        <v>109.0576</v>
      </c>
      <c r="Y8" s="6">
        <v>162.1816</v>
      </c>
      <c r="Z8" s="6">
        <v>104.7005</v>
      </c>
      <c r="AA8" s="6">
        <v>222.2215</v>
      </c>
      <c r="AB8" s="6">
        <v>390.2425</v>
      </c>
      <c r="AC8" s="6">
        <v>479.7108</v>
      </c>
      <c r="AD8" s="6">
        <v>279.0</v>
      </c>
      <c r="AE8" s="6">
        <v>628.0</v>
      </c>
      <c r="AF8" s="6">
        <v>811.0</v>
      </c>
      <c r="AG8" s="6">
        <v>927.0</v>
      </c>
      <c r="AH8" s="6">
        <v>18.0</v>
      </c>
      <c r="AI8" s="6">
        <v>35.0</v>
      </c>
      <c r="AJ8" s="6">
        <v>64.0</v>
      </c>
      <c r="AK8" s="6">
        <v>81.0</v>
      </c>
      <c r="AL8" s="6">
        <v>99.0</v>
      </c>
      <c r="AM8" s="6">
        <v>244.0</v>
      </c>
      <c r="AN8" s="6">
        <v>343.0</v>
      </c>
      <c r="AO8" s="6">
        <v>435.0</v>
      </c>
      <c r="AP8" s="6">
        <v>5.3526</v>
      </c>
      <c r="AQ8" s="6">
        <v>13.4993</v>
      </c>
      <c r="AR8" s="6">
        <v>20.2378</v>
      </c>
      <c r="AS8" s="6">
        <v>25.7409</v>
      </c>
      <c r="AT8" s="6">
        <v>126.7497</v>
      </c>
      <c r="AU8" s="6">
        <v>222.9258</v>
      </c>
      <c r="AV8" s="6">
        <v>443.7926</v>
      </c>
      <c r="AW8" s="6">
        <v>484.1016</v>
      </c>
      <c r="AX8" s="6">
        <v>648.6667</v>
      </c>
      <c r="AY8" s="6">
        <v>1264.0</v>
      </c>
      <c r="AZ8" s="6">
        <v>1888.0</v>
      </c>
      <c r="BA8" s="6">
        <v>1482.0</v>
      </c>
      <c r="BB8" s="6">
        <v>16.33333</v>
      </c>
      <c r="BC8" s="6">
        <v>31.33333</v>
      </c>
      <c r="BD8" s="6">
        <v>58.0</v>
      </c>
      <c r="BE8" s="6">
        <v>66.0</v>
      </c>
      <c r="BF8" s="6">
        <v>89.33333</v>
      </c>
      <c r="BG8" s="6">
        <v>213.3333</v>
      </c>
      <c r="BH8" s="6">
        <v>268.0</v>
      </c>
      <c r="BI8" s="6">
        <v>302.0</v>
      </c>
      <c r="BJ8" s="6">
        <v>6.462367</v>
      </c>
      <c r="BK8" s="6">
        <v>14.8518</v>
      </c>
      <c r="BL8" s="6">
        <v>22.6938</v>
      </c>
      <c r="BM8" s="6">
        <v>23.3802</v>
      </c>
      <c r="BN8" s="6">
        <v>10.5376</v>
      </c>
      <c r="BO8" s="6">
        <v>19.196</v>
      </c>
      <c r="BP8" s="6">
        <v>31.16</v>
      </c>
      <c r="BQ8" s="6">
        <v>22.6176</v>
      </c>
      <c r="BR8" s="6">
        <v>56.5</v>
      </c>
      <c r="BS8" s="6">
        <v>71.0</v>
      </c>
      <c r="BT8" s="6">
        <v>66.5</v>
      </c>
      <c r="BU8" s="6">
        <v>63.0</v>
      </c>
      <c r="BV8" s="6">
        <v>1.0</v>
      </c>
      <c r="BW8" s="6">
        <v>2.5</v>
      </c>
      <c r="BX8" s="6">
        <v>4.5</v>
      </c>
      <c r="BY8" s="6">
        <v>3.0</v>
      </c>
      <c r="BZ8" s="6">
        <v>6.5</v>
      </c>
      <c r="CA8" s="6">
        <v>20.0</v>
      </c>
      <c r="CB8" s="6">
        <v>22.5</v>
      </c>
      <c r="CC8" s="6">
        <v>15.0</v>
      </c>
      <c r="CD8" s="6">
        <v>0.5477</v>
      </c>
      <c r="CE8" s="6">
        <v>1.13635</v>
      </c>
      <c r="CF8" s="6">
        <v>1.54875</v>
      </c>
      <c r="CG8" s="6">
        <v>1.1175</v>
      </c>
      <c r="CH8" s="6">
        <v>10.9696</v>
      </c>
      <c r="CI8" s="6">
        <v>13.6688</v>
      </c>
      <c r="CJ8" s="6">
        <v>42.39947</v>
      </c>
      <c r="CK8" s="6">
        <v>42.4608</v>
      </c>
      <c r="CL8" s="6">
        <v>59.0</v>
      </c>
      <c r="CM8" s="6">
        <v>127.3333</v>
      </c>
      <c r="CN8" s="6">
        <v>161.6667</v>
      </c>
      <c r="CO8" s="6">
        <v>186.0</v>
      </c>
      <c r="CP8" s="6">
        <v>1.0</v>
      </c>
      <c r="CQ8" s="6">
        <v>1.666667</v>
      </c>
      <c r="CR8" s="6">
        <v>5.0</v>
      </c>
      <c r="CS8" s="6">
        <v>4.0</v>
      </c>
      <c r="CT8" s="6">
        <v>3.666667</v>
      </c>
      <c r="CU8" s="6">
        <v>14.66667</v>
      </c>
      <c r="CV8" s="6">
        <v>19.0</v>
      </c>
      <c r="CW8" s="6">
        <v>12.0</v>
      </c>
      <c r="CX8" s="6">
        <v>0.542767</v>
      </c>
      <c r="CY8" s="6">
        <v>1.0739</v>
      </c>
      <c r="CZ8" s="6">
        <v>2.117767</v>
      </c>
      <c r="DA8" s="6">
        <v>1.7816</v>
      </c>
      <c r="DB8" s="6">
        <v>0.0</v>
      </c>
      <c r="DC8" s="6">
        <v>1.975</v>
      </c>
      <c r="DD8" s="6">
        <v>3.43</v>
      </c>
      <c r="DE8" s="6">
        <v>1.68</v>
      </c>
      <c r="DF8" s="6">
        <v>0.0</v>
      </c>
      <c r="DG8" s="6">
        <v>8.5</v>
      </c>
      <c r="DH8" s="6">
        <v>22.0</v>
      </c>
      <c r="DI8" s="6">
        <v>12.0</v>
      </c>
      <c r="DJ8" s="6">
        <v>0.0</v>
      </c>
      <c r="DK8" s="6">
        <v>0.0</v>
      </c>
      <c r="DL8" s="6">
        <v>0.0</v>
      </c>
      <c r="DM8" s="6">
        <v>0.0</v>
      </c>
      <c r="DN8" s="6">
        <v>0.0</v>
      </c>
      <c r="DO8" s="6">
        <v>-0.5</v>
      </c>
      <c r="DP8" s="6">
        <v>6.0</v>
      </c>
      <c r="DQ8" s="6">
        <v>4.0</v>
      </c>
      <c r="DR8" s="6">
        <v>0.0</v>
      </c>
      <c r="DS8" s="6">
        <v>0.33</v>
      </c>
      <c r="DT8" s="6">
        <v>1.31</v>
      </c>
      <c r="DU8" s="6">
        <v>0.76</v>
      </c>
      <c r="DV8" s="6">
        <v>0.0</v>
      </c>
      <c r="DW8" s="6">
        <v>1.063333</v>
      </c>
      <c r="DX8" s="6">
        <v>2.88</v>
      </c>
      <c r="DY8" s="6">
        <v>0.04</v>
      </c>
      <c r="DZ8" s="6">
        <v>0.0</v>
      </c>
      <c r="EA8" s="6">
        <v>-4.33333</v>
      </c>
      <c r="EB8" s="6">
        <v>16.0</v>
      </c>
      <c r="EC8" s="6">
        <v>6.0</v>
      </c>
      <c r="ED8" s="6">
        <v>0.0</v>
      </c>
      <c r="EE8" s="6">
        <v>0.0</v>
      </c>
      <c r="EF8" s="6">
        <v>0.0</v>
      </c>
      <c r="EG8" s="6">
        <v>0.0</v>
      </c>
      <c r="EH8" s="6">
        <v>0.0</v>
      </c>
      <c r="EI8" s="6">
        <v>-3.0</v>
      </c>
      <c r="EJ8" s="6">
        <v>2.0</v>
      </c>
      <c r="EK8" s="6">
        <v>2.666667</v>
      </c>
      <c r="EL8" s="6">
        <v>0.0</v>
      </c>
      <c r="EM8" s="6">
        <v>-0.21333</v>
      </c>
      <c r="EN8" s="6">
        <v>0.846667</v>
      </c>
      <c r="EO8" s="6">
        <v>0.546667</v>
      </c>
      <c r="EP8" s="6">
        <v>3.3489</v>
      </c>
      <c r="EQ8" s="6">
        <v>35.5752</v>
      </c>
      <c r="ER8" s="6">
        <v>59.4933</v>
      </c>
      <c r="ES8" s="6">
        <v>119.0598</v>
      </c>
      <c r="ET8" s="6">
        <v>676.0</v>
      </c>
      <c r="EU8" s="6">
        <v>1170.0</v>
      </c>
      <c r="EV8" s="6">
        <v>2288.0</v>
      </c>
      <c r="EW8" s="6">
        <v>1690.0</v>
      </c>
      <c r="EX8" s="6">
        <v>1.0</v>
      </c>
      <c r="EY8" s="6">
        <v>6.0</v>
      </c>
      <c r="EZ8" s="6">
        <v>13.0</v>
      </c>
      <c r="FA8" s="6">
        <v>27.0</v>
      </c>
      <c r="FB8" s="6">
        <v>36.0</v>
      </c>
      <c r="FC8" s="6">
        <v>114.0</v>
      </c>
      <c r="FD8" s="6">
        <v>276.0</v>
      </c>
      <c r="FE8" s="6">
        <v>198.0</v>
      </c>
      <c r="FF8" s="6">
        <v>1.5625</v>
      </c>
      <c r="FG8" s="6">
        <v>5.55</v>
      </c>
      <c r="FH8" s="6">
        <v>12.1375</v>
      </c>
      <c r="FI8" s="6">
        <v>15.2875</v>
      </c>
      <c r="FJ8" s="6">
        <v>0.0</v>
      </c>
      <c r="FK8" s="6">
        <v>-8.46</v>
      </c>
      <c r="FL8" s="6">
        <v>-8.72</v>
      </c>
      <c r="FM8" s="6">
        <v>-15.65</v>
      </c>
      <c r="FN8" s="6">
        <v>0.0</v>
      </c>
      <c r="FO8" s="6">
        <v>111.0</v>
      </c>
      <c r="FP8" s="6">
        <v>250.0</v>
      </c>
      <c r="FQ8" s="6">
        <v>637.0</v>
      </c>
      <c r="FR8" s="6">
        <v>0.0</v>
      </c>
      <c r="FS8" s="6">
        <v>0.0</v>
      </c>
      <c r="FT8" s="6">
        <v>0.0</v>
      </c>
      <c r="FU8" s="6">
        <v>0.0</v>
      </c>
      <c r="FV8" s="6">
        <v>0.0</v>
      </c>
      <c r="FW8" s="6">
        <v>17.0</v>
      </c>
      <c r="FX8" s="6">
        <v>32.0</v>
      </c>
      <c r="FY8" s="6">
        <v>129.0</v>
      </c>
      <c r="FZ8" s="6">
        <v>0.0</v>
      </c>
      <c r="GA8" s="6">
        <v>3.06</v>
      </c>
      <c r="GB8" s="6">
        <v>6.54</v>
      </c>
      <c r="GC8" s="6">
        <v>21.52</v>
      </c>
      <c r="GD8" s="6">
        <v>-17.00627255</v>
      </c>
      <c r="GE8" s="1" t="s">
        <v>1352</v>
      </c>
      <c r="GF8" s="1" t="s">
        <v>1365</v>
      </c>
    </row>
    <row r="9">
      <c r="A9" s="1" t="s">
        <v>36</v>
      </c>
      <c r="B9" s="6">
        <v>4.0</v>
      </c>
      <c r="C9" s="6">
        <v>0.0</v>
      </c>
      <c r="D9" s="6">
        <v>2.0</v>
      </c>
      <c r="E9" s="6">
        <v>0.0</v>
      </c>
      <c r="F9" s="6">
        <v>614.9971</v>
      </c>
      <c r="G9" s="6">
        <v>1299.413</v>
      </c>
      <c r="H9" s="6">
        <v>2756.058</v>
      </c>
      <c r="I9" s="6">
        <v>3951.514</v>
      </c>
      <c r="J9" s="6">
        <v>3514.0</v>
      </c>
      <c r="K9" s="6">
        <v>8432.0</v>
      </c>
      <c r="L9" s="6">
        <v>15960.0</v>
      </c>
      <c r="M9" s="6">
        <v>20682.0</v>
      </c>
      <c r="N9" s="6">
        <v>89.0</v>
      </c>
      <c r="O9" s="6">
        <v>196.0</v>
      </c>
      <c r="P9" s="6">
        <v>394.0</v>
      </c>
      <c r="Q9" s="6">
        <v>588.0</v>
      </c>
      <c r="R9" s="6">
        <v>590.0</v>
      </c>
      <c r="S9" s="6">
        <v>1652.0</v>
      </c>
      <c r="T9" s="6">
        <v>2874.0</v>
      </c>
      <c r="U9" s="6">
        <v>3990.0</v>
      </c>
      <c r="V9" s="6">
        <v>37.2023</v>
      </c>
      <c r="W9" s="6">
        <v>99.7956</v>
      </c>
      <c r="X9" s="6">
        <v>184.841</v>
      </c>
      <c r="Y9" s="6">
        <v>261.8256</v>
      </c>
      <c r="Z9" s="6">
        <v>419.2864</v>
      </c>
      <c r="AA9" s="6">
        <v>975.12</v>
      </c>
      <c r="AB9" s="6">
        <v>1781.382</v>
      </c>
      <c r="AC9" s="6">
        <v>2403.339</v>
      </c>
      <c r="AD9" s="6">
        <v>1384.0</v>
      </c>
      <c r="AE9" s="6">
        <v>3576.0</v>
      </c>
      <c r="AF9" s="6">
        <v>5520.0</v>
      </c>
      <c r="AG9" s="6">
        <v>6320.0</v>
      </c>
      <c r="AH9" s="6">
        <v>72.0</v>
      </c>
      <c r="AI9" s="6">
        <v>156.0</v>
      </c>
      <c r="AJ9" s="6">
        <v>292.0</v>
      </c>
      <c r="AK9" s="6">
        <v>402.0</v>
      </c>
      <c r="AL9" s="6">
        <v>448.0</v>
      </c>
      <c r="AM9" s="6">
        <v>1192.0</v>
      </c>
      <c r="AN9" s="6">
        <v>1836.0</v>
      </c>
      <c r="AO9" s="6">
        <v>2104.0</v>
      </c>
      <c r="AP9" s="6">
        <v>26.1512</v>
      </c>
      <c r="AQ9" s="6">
        <v>70.0084</v>
      </c>
      <c r="AR9" s="6">
        <v>116.0356</v>
      </c>
      <c r="AS9" s="6">
        <v>143.3194</v>
      </c>
      <c r="AT9" s="6">
        <v>203.8827</v>
      </c>
      <c r="AU9" s="6">
        <v>409.9088</v>
      </c>
      <c r="AV9" s="6">
        <v>780.6516</v>
      </c>
      <c r="AW9" s="6">
        <v>965.4073</v>
      </c>
      <c r="AX9" s="6">
        <v>946.0</v>
      </c>
      <c r="AY9" s="6">
        <v>2048.0</v>
      </c>
      <c r="AZ9" s="6">
        <v>3188.0</v>
      </c>
      <c r="BA9" s="6">
        <v>2970.667</v>
      </c>
      <c r="BB9" s="6">
        <v>29.33333</v>
      </c>
      <c r="BC9" s="6">
        <v>61.33333</v>
      </c>
      <c r="BD9" s="6">
        <v>113.3333</v>
      </c>
      <c r="BE9" s="6">
        <v>146.0</v>
      </c>
      <c r="BF9" s="6">
        <v>174.6667</v>
      </c>
      <c r="BG9" s="6">
        <v>450.6667</v>
      </c>
      <c r="BH9" s="6">
        <v>652.0</v>
      </c>
      <c r="BI9" s="6">
        <v>713.3333</v>
      </c>
      <c r="BJ9" s="6">
        <v>11.87993</v>
      </c>
      <c r="BK9" s="6">
        <v>29.54853</v>
      </c>
      <c r="BL9" s="6">
        <v>47.97173</v>
      </c>
      <c r="BM9" s="6">
        <v>53.99273</v>
      </c>
      <c r="BN9" s="6">
        <v>9.2416</v>
      </c>
      <c r="BO9" s="6">
        <v>19.38</v>
      </c>
      <c r="BP9" s="6">
        <v>44.384</v>
      </c>
      <c r="BQ9" s="6">
        <v>68.8104</v>
      </c>
      <c r="BR9" s="6">
        <v>49.0</v>
      </c>
      <c r="BS9" s="6">
        <v>105.0</v>
      </c>
      <c r="BT9" s="6">
        <v>182.0</v>
      </c>
      <c r="BU9" s="6">
        <v>283.5</v>
      </c>
      <c r="BV9" s="6">
        <v>1.0</v>
      </c>
      <c r="BW9" s="6">
        <v>2.5</v>
      </c>
      <c r="BX9" s="6">
        <v>6.0</v>
      </c>
      <c r="BY9" s="6">
        <v>9.0</v>
      </c>
      <c r="BZ9" s="6">
        <v>6.5</v>
      </c>
      <c r="CA9" s="6">
        <v>22.5</v>
      </c>
      <c r="CB9" s="6">
        <v>40.0</v>
      </c>
      <c r="CC9" s="6">
        <v>56.5</v>
      </c>
      <c r="CD9" s="6">
        <v>0.5625</v>
      </c>
      <c r="CE9" s="6">
        <v>1.44375</v>
      </c>
      <c r="CF9" s="6">
        <v>2.865</v>
      </c>
      <c r="CG9" s="6">
        <v>4.275</v>
      </c>
      <c r="CH9" s="6">
        <v>10.9696</v>
      </c>
      <c r="CI9" s="6">
        <v>12.3768</v>
      </c>
      <c r="CJ9" s="6">
        <v>36.4208</v>
      </c>
      <c r="CK9" s="6">
        <v>50.3192</v>
      </c>
      <c r="CL9" s="6">
        <v>59.0</v>
      </c>
      <c r="CM9" s="6">
        <v>120.3333</v>
      </c>
      <c r="CN9" s="6">
        <v>178.0</v>
      </c>
      <c r="CO9" s="6">
        <v>238.5</v>
      </c>
      <c r="CP9" s="6">
        <v>1.0</v>
      </c>
      <c r="CQ9" s="6">
        <v>1.5</v>
      </c>
      <c r="CR9" s="6">
        <v>4.0</v>
      </c>
      <c r="CS9" s="6">
        <v>5.0</v>
      </c>
      <c r="CT9" s="6">
        <v>2.833333</v>
      </c>
      <c r="CU9" s="6">
        <v>10.16667</v>
      </c>
      <c r="CV9" s="6">
        <v>17.33333</v>
      </c>
      <c r="CW9" s="6">
        <v>20.83333</v>
      </c>
      <c r="CX9" s="6">
        <v>0.542767</v>
      </c>
      <c r="CY9" s="6">
        <v>0.97765</v>
      </c>
      <c r="CZ9" s="6">
        <v>2.040267</v>
      </c>
      <c r="DA9" s="6">
        <v>2.4616</v>
      </c>
      <c r="DB9" s="6">
        <v>0.0</v>
      </c>
      <c r="DC9" s="6">
        <v>1.225</v>
      </c>
      <c r="DD9" s="6">
        <v>3.64</v>
      </c>
      <c r="DE9" s="6">
        <v>4.725</v>
      </c>
      <c r="DF9" s="6">
        <v>0.0</v>
      </c>
      <c r="DG9" s="6">
        <v>2.5</v>
      </c>
      <c r="DH9" s="6">
        <v>16.0</v>
      </c>
      <c r="DI9" s="6">
        <v>22.5</v>
      </c>
      <c r="DJ9" s="6">
        <v>0.0</v>
      </c>
      <c r="DK9" s="6">
        <v>0.0</v>
      </c>
      <c r="DL9" s="6">
        <v>0.0</v>
      </c>
      <c r="DM9" s="6">
        <v>0.0</v>
      </c>
      <c r="DN9" s="6">
        <v>0.0</v>
      </c>
      <c r="DO9" s="6">
        <v>-2.0</v>
      </c>
      <c r="DP9" s="6">
        <v>0.5</v>
      </c>
      <c r="DQ9" s="6">
        <v>0.5</v>
      </c>
      <c r="DR9" s="6">
        <v>0.0</v>
      </c>
      <c r="DS9" s="6">
        <v>-0.05</v>
      </c>
      <c r="DT9" s="6">
        <v>0.68</v>
      </c>
      <c r="DU9" s="6">
        <v>1.05</v>
      </c>
      <c r="DV9" s="6">
        <v>0.0</v>
      </c>
      <c r="DW9" s="6">
        <v>0.981667</v>
      </c>
      <c r="DX9" s="6">
        <v>1.806667</v>
      </c>
      <c r="DY9" s="6">
        <v>0.495</v>
      </c>
      <c r="DZ9" s="6">
        <v>0.0</v>
      </c>
      <c r="EA9" s="6">
        <v>-4.5</v>
      </c>
      <c r="EB9" s="6">
        <v>6.666667</v>
      </c>
      <c r="EC9" s="6">
        <v>5.5</v>
      </c>
      <c r="ED9" s="6">
        <v>0.0</v>
      </c>
      <c r="EE9" s="6">
        <v>0.0</v>
      </c>
      <c r="EF9" s="6">
        <v>0.0</v>
      </c>
      <c r="EG9" s="6">
        <v>0.0</v>
      </c>
      <c r="EH9" s="6">
        <v>0.0</v>
      </c>
      <c r="EI9" s="6">
        <v>-2.66667</v>
      </c>
      <c r="EJ9" s="6">
        <v>-1.83333</v>
      </c>
      <c r="EK9" s="6">
        <v>0.166667</v>
      </c>
      <c r="EL9" s="6">
        <v>0.0</v>
      </c>
      <c r="EM9" s="6">
        <v>-0.21</v>
      </c>
      <c r="EN9" s="6">
        <v>0.2</v>
      </c>
      <c r="EO9" s="6">
        <v>0.39</v>
      </c>
      <c r="EP9" s="6">
        <v>3.3489</v>
      </c>
      <c r="EQ9" s="6">
        <v>34.8432</v>
      </c>
      <c r="ER9" s="6">
        <v>56.1078</v>
      </c>
      <c r="ES9" s="6">
        <v>113.3868</v>
      </c>
      <c r="ET9" s="6">
        <v>676.0</v>
      </c>
      <c r="EU9" s="6">
        <v>1144.0</v>
      </c>
      <c r="EV9" s="6">
        <v>2392.0</v>
      </c>
      <c r="EW9" s="6">
        <v>2912.0</v>
      </c>
      <c r="EX9" s="6">
        <v>1.0</v>
      </c>
      <c r="EY9" s="6">
        <v>6.0</v>
      </c>
      <c r="EZ9" s="6">
        <v>12.0</v>
      </c>
      <c r="FA9" s="6">
        <v>24.0</v>
      </c>
      <c r="FB9" s="6">
        <v>36.0</v>
      </c>
      <c r="FC9" s="6">
        <v>108.0</v>
      </c>
      <c r="FD9" s="6">
        <v>252.0</v>
      </c>
      <c r="FE9" s="6">
        <v>324.0</v>
      </c>
      <c r="FF9" s="6">
        <v>1.5625</v>
      </c>
      <c r="FG9" s="6">
        <v>5.575</v>
      </c>
      <c r="FH9" s="6">
        <v>12.175</v>
      </c>
      <c r="FI9" s="6">
        <v>18.9</v>
      </c>
      <c r="FJ9" s="6">
        <v>0.0</v>
      </c>
      <c r="FK9" s="6">
        <v>-8.06</v>
      </c>
      <c r="FL9" s="6">
        <v>-8.7</v>
      </c>
      <c r="FM9" s="6">
        <v>-18.04</v>
      </c>
      <c r="FN9" s="6">
        <v>0.0</v>
      </c>
      <c r="FO9" s="6">
        <v>112.0</v>
      </c>
      <c r="FP9" s="6">
        <v>220.0</v>
      </c>
      <c r="FQ9" s="6">
        <v>512.0</v>
      </c>
      <c r="FR9" s="6">
        <v>0.0</v>
      </c>
      <c r="FS9" s="6">
        <v>0.0</v>
      </c>
      <c r="FT9" s="6">
        <v>0.0</v>
      </c>
      <c r="FU9" s="6">
        <v>0.0</v>
      </c>
      <c r="FV9" s="6">
        <v>0.0</v>
      </c>
      <c r="FW9" s="6">
        <v>18.0</v>
      </c>
      <c r="FX9" s="6">
        <v>30.0</v>
      </c>
      <c r="FY9" s="6">
        <v>90.0</v>
      </c>
      <c r="FZ9" s="6">
        <v>0.0</v>
      </c>
      <c r="GA9" s="6">
        <v>3.04</v>
      </c>
      <c r="GB9" s="6">
        <v>5.26</v>
      </c>
      <c r="GC9" s="6">
        <v>14.88</v>
      </c>
      <c r="GD9" s="6">
        <v>-13.2092519</v>
      </c>
      <c r="GE9" s="1" t="s">
        <v>1351</v>
      </c>
      <c r="GF9" s="1" t="s">
        <v>1366</v>
      </c>
    </row>
    <row r="10">
      <c r="A10" s="1" t="s">
        <v>40</v>
      </c>
      <c r="B10" s="6">
        <v>4.0</v>
      </c>
      <c r="C10" s="6">
        <v>0.0</v>
      </c>
      <c r="D10" s="6">
        <v>2.0</v>
      </c>
      <c r="E10" s="6">
        <v>0.0</v>
      </c>
      <c r="F10" s="6">
        <v>647.3621</v>
      </c>
      <c r="G10" s="6">
        <v>1370.303</v>
      </c>
      <c r="H10" s="6">
        <v>2891.188</v>
      </c>
      <c r="I10" s="6">
        <v>4196.744</v>
      </c>
      <c r="J10" s="6">
        <v>3590.0</v>
      </c>
      <c r="K10" s="6">
        <v>8624.0</v>
      </c>
      <c r="L10" s="6">
        <v>16204.0</v>
      </c>
      <c r="M10" s="6">
        <v>21226.0</v>
      </c>
      <c r="N10" s="6">
        <v>95.0</v>
      </c>
      <c r="O10" s="6">
        <v>208.0</v>
      </c>
      <c r="P10" s="6">
        <v>418.0</v>
      </c>
      <c r="Q10" s="6">
        <v>632.0</v>
      </c>
      <c r="R10" s="6">
        <v>626.0</v>
      </c>
      <c r="S10" s="6">
        <v>1748.0</v>
      </c>
      <c r="T10" s="6">
        <v>3006.0</v>
      </c>
      <c r="U10" s="6">
        <v>4230.0</v>
      </c>
      <c r="V10" s="6">
        <v>38.9357</v>
      </c>
      <c r="W10" s="6">
        <v>104.4464</v>
      </c>
      <c r="X10" s="6">
        <v>192.3186</v>
      </c>
      <c r="Y10" s="6">
        <v>275.6892</v>
      </c>
      <c r="Z10" s="6">
        <v>451.6514</v>
      </c>
      <c r="AA10" s="6">
        <v>1046.01</v>
      </c>
      <c r="AB10" s="6">
        <v>1916.512</v>
      </c>
      <c r="AC10" s="6">
        <v>2648.569</v>
      </c>
      <c r="AD10" s="6">
        <v>1460.0</v>
      </c>
      <c r="AE10" s="6">
        <v>3768.0</v>
      </c>
      <c r="AF10" s="6">
        <v>5764.0</v>
      </c>
      <c r="AG10" s="6">
        <v>6864.0</v>
      </c>
      <c r="AH10" s="6">
        <v>78.0</v>
      </c>
      <c r="AI10" s="6">
        <v>168.0</v>
      </c>
      <c r="AJ10" s="6">
        <v>316.0</v>
      </c>
      <c r="AK10" s="6">
        <v>446.0</v>
      </c>
      <c r="AL10" s="6">
        <v>484.0</v>
      </c>
      <c r="AM10" s="6">
        <v>1288.0</v>
      </c>
      <c r="AN10" s="6">
        <v>1968.0</v>
      </c>
      <c r="AO10" s="6">
        <v>2344.0</v>
      </c>
      <c r="AP10" s="6">
        <v>27.8846</v>
      </c>
      <c r="AQ10" s="6">
        <v>74.6592</v>
      </c>
      <c r="AR10" s="6">
        <v>123.5132</v>
      </c>
      <c r="AS10" s="6">
        <v>157.183</v>
      </c>
      <c r="AT10" s="6">
        <v>214.6711</v>
      </c>
      <c r="AU10" s="6">
        <v>433.5388</v>
      </c>
      <c r="AV10" s="6">
        <v>825.6949</v>
      </c>
      <c r="AW10" s="6">
        <v>1047.151</v>
      </c>
      <c r="AX10" s="6">
        <v>971.3333</v>
      </c>
      <c r="AY10" s="6">
        <v>2112.0</v>
      </c>
      <c r="AZ10" s="6">
        <v>3269.333</v>
      </c>
      <c r="BA10" s="6">
        <v>3152.0</v>
      </c>
      <c r="BB10" s="6">
        <v>31.33333</v>
      </c>
      <c r="BC10" s="6">
        <v>65.33333</v>
      </c>
      <c r="BD10" s="6">
        <v>121.3333</v>
      </c>
      <c r="BE10" s="6">
        <v>160.6667</v>
      </c>
      <c r="BF10" s="6">
        <v>186.6667</v>
      </c>
      <c r="BG10" s="6">
        <v>482.6667</v>
      </c>
      <c r="BH10" s="6">
        <v>696.0</v>
      </c>
      <c r="BI10" s="6">
        <v>793.3333</v>
      </c>
      <c r="BJ10" s="6">
        <v>12.45773</v>
      </c>
      <c r="BK10" s="6">
        <v>31.0988</v>
      </c>
      <c r="BL10" s="6">
        <v>50.46427</v>
      </c>
      <c r="BM10" s="6">
        <v>58.61393</v>
      </c>
      <c r="BN10" s="6">
        <v>9.2416</v>
      </c>
      <c r="BO10" s="6">
        <v>15.504</v>
      </c>
      <c r="BP10" s="6">
        <v>31.008</v>
      </c>
      <c r="BQ10" s="6">
        <v>61.3776</v>
      </c>
      <c r="BR10" s="6">
        <v>49.0</v>
      </c>
      <c r="BS10" s="6">
        <v>84.0</v>
      </c>
      <c r="BT10" s="6">
        <v>168.0</v>
      </c>
      <c r="BU10" s="6">
        <v>273.0</v>
      </c>
      <c r="BV10" s="6">
        <v>1.0</v>
      </c>
      <c r="BW10" s="6">
        <v>2.0</v>
      </c>
      <c r="BX10" s="6">
        <v>4.0</v>
      </c>
      <c r="BY10" s="6">
        <v>8.0</v>
      </c>
      <c r="BZ10" s="6">
        <v>4.0</v>
      </c>
      <c r="CA10" s="6">
        <v>12.0</v>
      </c>
      <c r="CB10" s="6">
        <v>26.0</v>
      </c>
      <c r="CC10" s="6">
        <v>44.0</v>
      </c>
      <c r="CD10" s="6">
        <v>0.5625</v>
      </c>
      <c r="CE10" s="6">
        <v>1.155</v>
      </c>
      <c r="CF10" s="6">
        <v>2.31</v>
      </c>
      <c r="CG10" s="6">
        <v>4.005</v>
      </c>
      <c r="CH10" s="6">
        <v>10.9696</v>
      </c>
      <c r="CI10" s="6">
        <v>13.6688</v>
      </c>
      <c r="CJ10" s="6">
        <v>40.87947</v>
      </c>
      <c r="CK10" s="6">
        <v>52.7968</v>
      </c>
      <c r="CL10" s="6">
        <v>59.0</v>
      </c>
      <c r="CM10" s="6">
        <v>127.3333</v>
      </c>
      <c r="CN10" s="6">
        <v>182.6667</v>
      </c>
      <c r="CO10" s="6">
        <v>242.0</v>
      </c>
      <c r="CP10" s="6">
        <v>1.0</v>
      </c>
      <c r="CQ10" s="6">
        <v>1.666667</v>
      </c>
      <c r="CR10" s="6">
        <v>4.666667</v>
      </c>
      <c r="CS10" s="6">
        <v>5.333333</v>
      </c>
      <c r="CT10" s="6">
        <v>3.666667</v>
      </c>
      <c r="CU10" s="6">
        <v>13.66667</v>
      </c>
      <c r="CV10" s="6">
        <v>22.0</v>
      </c>
      <c r="CW10" s="6">
        <v>25.0</v>
      </c>
      <c r="CX10" s="6">
        <v>0.542767</v>
      </c>
      <c r="CY10" s="6">
        <v>1.0739</v>
      </c>
      <c r="CZ10" s="6">
        <v>2.225267</v>
      </c>
      <c r="DA10" s="6">
        <v>2.5516</v>
      </c>
      <c r="DB10" s="6">
        <v>0.0</v>
      </c>
      <c r="DC10" s="6">
        <v>0.98</v>
      </c>
      <c r="DD10" s="6">
        <v>1.96</v>
      </c>
      <c r="DE10" s="6">
        <v>4.13</v>
      </c>
      <c r="DF10" s="6">
        <v>0.0</v>
      </c>
      <c r="DG10" s="6">
        <v>2.0</v>
      </c>
      <c r="DH10" s="6">
        <v>4.0</v>
      </c>
      <c r="DI10" s="6">
        <v>17.0</v>
      </c>
      <c r="DJ10" s="6">
        <v>0.0</v>
      </c>
      <c r="DK10" s="6">
        <v>0.0</v>
      </c>
      <c r="DL10" s="6">
        <v>0.0</v>
      </c>
      <c r="DM10" s="6">
        <v>0.0</v>
      </c>
      <c r="DN10" s="6">
        <v>0.0</v>
      </c>
      <c r="DO10" s="6">
        <v>-2.0</v>
      </c>
      <c r="DP10" s="6">
        <v>-5.0</v>
      </c>
      <c r="DQ10" s="6">
        <v>-6.0</v>
      </c>
      <c r="DR10" s="6">
        <v>0.0</v>
      </c>
      <c r="DS10" s="6">
        <v>-0.04</v>
      </c>
      <c r="DT10" s="6">
        <v>-0.08</v>
      </c>
      <c r="DU10" s="6">
        <v>0.66</v>
      </c>
      <c r="DV10" s="6">
        <v>0.0</v>
      </c>
      <c r="DW10" s="6">
        <v>1.063333</v>
      </c>
      <c r="DX10" s="6">
        <v>2.366667</v>
      </c>
      <c r="DY10" s="6">
        <v>0.693333</v>
      </c>
      <c r="DZ10" s="6">
        <v>0.0</v>
      </c>
      <c r="EA10" s="6">
        <v>-4.33333</v>
      </c>
      <c r="EB10" s="6">
        <v>10.66667</v>
      </c>
      <c r="EC10" s="6">
        <v>7.333333</v>
      </c>
      <c r="ED10" s="6">
        <v>0.0</v>
      </c>
      <c r="EE10" s="6">
        <v>0.0</v>
      </c>
      <c r="EF10" s="6">
        <v>0.0</v>
      </c>
      <c r="EG10" s="6">
        <v>0.0</v>
      </c>
      <c r="EH10" s="6">
        <v>0.0</v>
      </c>
      <c r="EI10" s="6">
        <v>-2.66667</v>
      </c>
      <c r="EJ10" s="6">
        <v>0.0</v>
      </c>
      <c r="EK10" s="6">
        <v>2.333333</v>
      </c>
      <c r="EL10" s="6">
        <v>0.0</v>
      </c>
      <c r="EM10" s="6">
        <v>-0.21333</v>
      </c>
      <c r="EN10" s="6">
        <v>0.453333</v>
      </c>
      <c r="EO10" s="6">
        <v>0.52</v>
      </c>
      <c r="EP10" s="6">
        <v>3.3489</v>
      </c>
      <c r="EQ10" s="6">
        <v>34.8432</v>
      </c>
      <c r="ER10" s="6">
        <v>56.1078</v>
      </c>
      <c r="ES10" s="6">
        <v>113.3868</v>
      </c>
      <c r="ET10" s="6">
        <v>676.0</v>
      </c>
      <c r="EU10" s="6">
        <v>1144.0</v>
      </c>
      <c r="EV10" s="6">
        <v>2392.0</v>
      </c>
      <c r="EW10" s="6">
        <v>2912.0</v>
      </c>
      <c r="EX10" s="6">
        <v>1.0</v>
      </c>
      <c r="EY10" s="6">
        <v>6.0</v>
      </c>
      <c r="EZ10" s="6">
        <v>12.0</v>
      </c>
      <c r="FA10" s="6">
        <v>24.0</v>
      </c>
      <c r="FB10" s="6">
        <v>36.0</v>
      </c>
      <c r="FC10" s="6">
        <v>108.0</v>
      </c>
      <c r="FD10" s="6">
        <v>252.0</v>
      </c>
      <c r="FE10" s="6">
        <v>324.0</v>
      </c>
      <c r="FF10" s="6">
        <v>1.5625</v>
      </c>
      <c r="FG10" s="6">
        <v>5.575</v>
      </c>
      <c r="FH10" s="6">
        <v>12.175</v>
      </c>
      <c r="FI10" s="6">
        <v>18.9</v>
      </c>
      <c r="FJ10" s="6">
        <v>0.0</v>
      </c>
      <c r="FK10" s="6">
        <v>-8.06</v>
      </c>
      <c r="FL10" s="6">
        <v>-8.7</v>
      </c>
      <c r="FM10" s="6">
        <v>-18.04</v>
      </c>
      <c r="FN10" s="6">
        <v>0.0</v>
      </c>
      <c r="FO10" s="6">
        <v>112.0</v>
      </c>
      <c r="FP10" s="6">
        <v>220.0</v>
      </c>
      <c r="FQ10" s="6">
        <v>512.0</v>
      </c>
      <c r="FR10" s="6">
        <v>0.0</v>
      </c>
      <c r="FS10" s="6">
        <v>0.0</v>
      </c>
      <c r="FT10" s="6">
        <v>0.0</v>
      </c>
      <c r="FU10" s="6">
        <v>0.0</v>
      </c>
      <c r="FV10" s="6">
        <v>0.0</v>
      </c>
      <c r="FW10" s="6">
        <v>18.0</v>
      </c>
      <c r="FX10" s="6">
        <v>30.0</v>
      </c>
      <c r="FY10" s="6">
        <v>90.0</v>
      </c>
      <c r="FZ10" s="6">
        <v>0.0</v>
      </c>
      <c r="GA10" s="6">
        <v>3.04</v>
      </c>
      <c r="GB10" s="6">
        <v>5.26</v>
      </c>
      <c r="GC10" s="6">
        <v>14.88</v>
      </c>
      <c r="GD10" s="6">
        <v>-12.62818412</v>
      </c>
      <c r="GE10" s="1" t="s">
        <v>1351</v>
      </c>
      <c r="GF10" s="1" t="s">
        <v>1367</v>
      </c>
    </row>
    <row r="11">
      <c r="A11" s="1" t="s">
        <v>44</v>
      </c>
      <c r="B11" s="6">
        <v>4.0</v>
      </c>
      <c r="C11" s="6">
        <v>0.0</v>
      </c>
      <c r="D11" s="6">
        <v>2.0</v>
      </c>
      <c r="E11" s="6">
        <v>0.0</v>
      </c>
      <c r="F11" s="6">
        <v>472.5321</v>
      </c>
      <c r="G11" s="6">
        <v>948.3288</v>
      </c>
      <c r="H11" s="6">
        <v>1987.108</v>
      </c>
      <c r="I11" s="6">
        <v>2716.615</v>
      </c>
      <c r="J11" s="6">
        <v>3138.0</v>
      </c>
      <c r="K11" s="6">
        <v>7292.0</v>
      </c>
      <c r="L11" s="6">
        <v>13522.0</v>
      </c>
      <c r="M11" s="6">
        <v>16488.0</v>
      </c>
      <c r="N11" s="6">
        <v>63.0</v>
      </c>
      <c r="O11" s="6">
        <v>138.0</v>
      </c>
      <c r="P11" s="6">
        <v>262.0</v>
      </c>
      <c r="Q11" s="6">
        <v>378.0</v>
      </c>
      <c r="R11" s="6">
        <v>400.0</v>
      </c>
      <c r="S11" s="6">
        <v>1094.0</v>
      </c>
      <c r="T11" s="6">
        <v>1876.0</v>
      </c>
      <c r="U11" s="6">
        <v>2534.0</v>
      </c>
      <c r="V11" s="6">
        <v>29.0829</v>
      </c>
      <c r="W11" s="6">
        <v>75.2942</v>
      </c>
      <c r="X11" s="6">
        <v>135.0354</v>
      </c>
      <c r="Y11" s="6">
        <v>184.8866</v>
      </c>
      <c r="Z11" s="6">
        <v>276.8214</v>
      </c>
      <c r="AA11" s="6">
        <v>624.036</v>
      </c>
      <c r="AB11" s="6">
        <v>1021.765</v>
      </c>
      <c r="AC11" s="6">
        <v>1278.039</v>
      </c>
      <c r="AD11" s="6">
        <v>1008.0</v>
      </c>
      <c r="AE11" s="6">
        <v>2436.0</v>
      </c>
      <c r="AF11" s="6">
        <v>3394.0</v>
      </c>
      <c r="AG11" s="6">
        <v>3506.0</v>
      </c>
      <c r="AH11" s="6">
        <v>46.0</v>
      </c>
      <c r="AI11" s="6">
        <v>98.0</v>
      </c>
      <c r="AJ11" s="6">
        <v>162.0</v>
      </c>
      <c r="AK11" s="6">
        <v>208.0</v>
      </c>
      <c r="AL11" s="6">
        <v>260.0</v>
      </c>
      <c r="AM11" s="6">
        <v>654.0</v>
      </c>
      <c r="AN11" s="6">
        <v>938.0</v>
      </c>
      <c r="AO11" s="6">
        <v>1046.0</v>
      </c>
      <c r="AP11" s="6">
        <v>18.0318</v>
      </c>
      <c r="AQ11" s="6">
        <v>45.507</v>
      </c>
      <c r="AR11" s="6">
        <v>68.155</v>
      </c>
      <c r="AS11" s="6">
        <v>77.8688</v>
      </c>
      <c r="AT11" s="6">
        <v>156.3944</v>
      </c>
      <c r="AU11" s="6">
        <v>292.8808</v>
      </c>
      <c r="AV11" s="6">
        <v>527.4459</v>
      </c>
      <c r="AW11" s="6">
        <v>590.3073</v>
      </c>
      <c r="AX11" s="6">
        <v>820.6667</v>
      </c>
      <c r="AY11" s="6">
        <v>1668.0</v>
      </c>
      <c r="AZ11" s="6">
        <v>2479.333</v>
      </c>
      <c r="BA11" s="6">
        <v>2032.667</v>
      </c>
      <c r="BB11" s="6">
        <v>20.66667</v>
      </c>
      <c r="BC11" s="6">
        <v>42.0</v>
      </c>
      <c r="BD11" s="6">
        <v>70.0</v>
      </c>
      <c r="BE11" s="6">
        <v>81.33333</v>
      </c>
      <c r="BF11" s="6">
        <v>112.0</v>
      </c>
      <c r="BG11" s="6">
        <v>271.3333</v>
      </c>
      <c r="BH11" s="6">
        <v>352.6667</v>
      </c>
      <c r="BI11" s="6">
        <v>360.6667</v>
      </c>
      <c r="BJ11" s="6">
        <v>9.173467</v>
      </c>
      <c r="BK11" s="6">
        <v>21.3814</v>
      </c>
      <c r="BL11" s="6">
        <v>32.01153</v>
      </c>
      <c r="BM11" s="6">
        <v>32.17587</v>
      </c>
      <c r="BN11" s="6">
        <v>9.2416</v>
      </c>
      <c r="BO11" s="6">
        <v>15.504</v>
      </c>
      <c r="BP11" s="6">
        <v>30.476</v>
      </c>
      <c r="BQ11" s="6">
        <v>51.4976</v>
      </c>
      <c r="BR11" s="6">
        <v>49.0</v>
      </c>
      <c r="BS11" s="6">
        <v>84.0</v>
      </c>
      <c r="BT11" s="6">
        <v>150.5</v>
      </c>
      <c r="BU11" s="6">
        <v>161.0</v>
      </c>
      <c r="BV11" s="6">
        <v>1.0</v>
      </c>
      <c r="BW11" s="6">
        <v>2.0</v>
      </c>
      <c r="BX11" s="6">
        <v>4.0</v>
      </c>
      <c r="BY11" s="6">
        <v>7.0</v>
      </c>
      <c r="BZ11" s="6">
        <v>4.0</v>
      </c>
      <c r="CA11" s="6">
        <v>12.0</v>
      </c>
      <c r="CB11" s="6">
        <v>24.0</v>
      </c>
      <c r="CC11" s="6">
        <v>26.0</v>
      </c>
      <c r="CD11" s="6">
        <v>0.5625</v>
      </c>
      <c r="CE11" s="6">
        <v>1.155</v>
      </c>
      <c r="CF11" s="6">
        <v>2.16</v>
      </c>
      <c r="CG11" s="6">
        <v>2.8275</v>
      </c>
      <c r="CH11" s="6">
        <v>10.9696</v>
      </c>
      <c r="CI11" s="6">
        <v>12.3768</v>
      </c>
      <c r="CJ11" s="6">
        <v>37.1808</v>
      </c>
      <c r="CK11" s="6">
        <v>43.17013</v>
      </c>
      <c r="CL11" s="6">
        <v>59.0</v>
      </c>
      <c r="CM11" s="6">
        <v>120.3333</v>
      </c>
      <c r="CN11" s="6">
        <v>167.5</v>
      </c>
      <c r="CO11" s="6">
        <v>209.3333</v>
      </c>
      <c r="CP11" s="6">
        <v>1.0</v>
      </c>
      <c r="CQ11" s="6">
        <v>1.5</v>
      </c>
      <c r="CR11" s="6">
        <v>4.166667</v>
      </c>
      <c r="CS11" s="6">
        <v>4.0</v>
      </c>
      <c r="CT11" s="6">
        <v>2.833333</v>
      </c>
      <c r="CU11" s="6">
        <v>10.66667</v>
      </c>
      <c r="CV11" s="6">
        <v>15.16667</v>
      </c>
      <c r="CW11" s="6">
        <v>12.83333</v>
      </c>
      <c r="CX11" s="6">
        <v>0.542767</v>
      </c>
      <c r="CY11" s="6">
        <v>0.97765</v>
      </c>
      <c r="CZ11" s="6">
        <v>1.986517</v>
      </c>
      <c r="DA11" s="6">
        <v>1.9816</v>
      </c>
      <c r="DB11" s="6">
        <v>0.0</v>
      </c>
      <c r="DC11" s="6">
        <v>0.98</v>
      </c>
      <c r="DD11" s="6">
        <v>2.135</v>
      </c>
      <c r="DE11" s="6">
        <v>4.34</v>
      </c>
      <c r="DF11" s="6">
        <v>0.0</v>
      </c>
      <c r="DG11" s="6">
        <v>2.0</v>
      </c>
      <c r="DH11" s="6">
        <v>6.5</v>
      </c>
      <c r="DI11" s="6">
        <v>26.0</v>
      </c>
      <c r="DJ11" s="6">
        <v>0.0</v>
      </c>
      <c r="DK11" s="6">
        <v>0.0</v>
      </c>
      <c r="DL11" s="6">
        <v>0.0</v>
      </c>
      <c r="DM11" s="6">
        <v>0.0</v>
      </c>
      <c r="DN11" s="6">
        <v>0.0</v>
      </c>
      <c r="DO11" s="6">
        <v>-2.0</v>
      </c>
      <c r="DP11" s="6">
        <v>-4.0</v>
      </c>
      <c r="DQ11" s="6">
        <v>1.0</v>
      </c>
      <c r="DR11" s="6">
        <v>0.0</v>
      </c>
      <c r="DS11" s="6">
        <v>-0.04</v>
      </c>
      <c r="DT11" s="6">
        <v>0.12</v>
      </c>
      <c r="DU11" s="6">
        <v>1.48</v>
      </c>
      <c r="DV11" s="6">
        <v>0.0</v>
      </c>
      <c r="DW11" s="6">
        <v>0.981667</v>
      </c>
      <c r="DX11" s="6">
        <v>2.063333</v>
      </c>
      <c r="DY11" s="6">
        <v>-0.19333</v>
      </c>
      <c r="DZ11" s="6">
        <v>0.0</v>
      </c>
      <c r="EA11" s="6">
        <v>-4.5</v>
      </c>
      <c r="EB11" s="6">
        <v>9.333333</v>
      </c>
      <c r="EC11" s="6">
        <v>2.666667</v>
      </c>
      <c r="ED11" s="6">
        <v>0.0</v>
      </c>
      <c r="EE11" s="6">
        <v>0.0</v>
      </c>
      <c r="EF11" s="6">
        <v>0.0</v>
      </c>
      <c r="EG11" s="6">
        <v>0.0</v>
      </c>
      <c r="EH11" s="6">
        <v>0.0</v>
      </c>
      <c r="EI11" s="6">
        <v>-2.83333</v>
      </c>
      <c r="EJ11" s="6">
        <v>-0.5</v>
      </c>
      <c r="EK11" s="6">
        <v>0.833333</v>
      </c>
      <c r="EL11" s="6">
        <v>0.0</v>
      </c>
      <c r="EM11" s="6">
        <v>-0.21</v>
      </c>
      <c r="EN11" s="6">
        <v>0.396667</v>
      </c>
      <c r="EO11" s="6">
        <v>0.28</v>
      </c>
      <c r="EP11" s="6">
        <v>3.3489</v>
      </c>
      <c r="EQ11" s="6">
        <v>34.8432</v>
      </c>
      <c r="ER11" s="6">
        <v>51.4413</v>
      </c>
      <c r="ES11" s="6">
        <v>99.3873</v>
      </c>
      <c r="ET11" s="6">
        <v>676.0</v>
      </c>
      <c r="EU11" s="6">
        <v>1144.0</v>
      </c>
      <c r="EV11" s="6">
        <v>2236.0</v>
      </c>
      <c r="EW11" s="6">
        <v>2444.0</v>
      </c>
      <c r="EX11" s="6">
        <v>1.0</v>
      </c>
      <c r="EY11" s="6">
        <v>6.0</v>
      </c>
      <c r="EZ11" s="6">
        <v>11.0</v>
      </c>
      <c r="FA11" s="6">
        <v>21.0</v>
      </c>
      <c r="FB11" s="6">
        <v>36.0</v>
      </c>
      <c r="FC11" s="6">
        <v>102.0</v>
      </c>
      <c r="FD11" s="6">
        <v>228.0</v>
      </c>
      <c r="FE11" s="6">
        <v>246.0</v>
      </c>
      <c r="FF11" s="6">
        <v>1.5625</v>
      </c>
      <c r="FG11" s="6">
        <v>5.575</v>
      </c>
      <c r="FH11" s="6">
        <v>11.2125</v>
      </c>
      <c r="FI11" s="6">
        <v>16.0125</v>
      </c>
      <c r="FJ11" s="6">
        <v>0.0</v>
      </c>
      <c r="FK11" s="6">
        <v>-8.06</v>
      </c>
      <c r="FL11" s="6">
        <v>-7.98</v>
      </c>
      <c r="FM11" s="6">
        <v>-15.88</v>
      </c>
      <c r="FN11" s="6">
        <v>0.0</v>
      </c>
      <c r="FO11" s="6">
        <v>112.0</v>
      </c>
      <c r="FP11" s="6">
        <v>200.0</v>
      </c>
      <c r="FQ11" s="6">
        <v>452.0</v>
      </c>
      <c r="FR11" s="6">
        <v>0.0</v>
      </c>
      <c r="FS11" s="6">
        <v>0.0</v>
      </c>
      <c r="FT11" s="6">
        <v>0.0</v>
      </c>
      <c r="FU11" s="6">
        <v>0.0</v>
      </c>
      <c r="FV11" s="6">
        <v>0.0</v>
      </c>
      <c r="FW11" s="6">
        <v>19.0</v>
      </c>
      <c r="FX11" s="6">
        <v>28.0</v>
      </c>
      <c r="FY11" s="6">
        <v>85.0</v>
      </c>
      <c r="FZ11" s="6">
        <v>0.0</v>
      </c>
      <c r="GA11" s="6">
        <v>3.04</v>
      </c>
      <c r="GB11" s="6">
        <v>4.78</v>
      </c>
      <c r="GC11" s="6">
        <v>13.44</v>
      </c>
      <c r="GD11" s="6">
        <v>-18.67731304</v>
      </c>
      <c r="GE11" s="1" t="s">
        <v>1350</v>
      </c>
      <c r="GF11" s="1" t="s">
        <v>1368</v>
      </c>
    </row>
    <row r="12">
      <c r="A12" s="1" t="s">
        <v>48</v>
      </c>
      <c r="B12" s="6">
        <v>4.0</v>
      </c>
      <c r="C12" s="6">
        <v>0.0</v>
      </c>
      <c r="D12" s="6">
        <v>2.0</v>
      </c>
      <c r="E12" s="6">
        <v>0.0</v>
      </c>
      <c r="F12" s="6">
        <v>472.5321</v>
      </c>
      <c r="G12" s="6">
        <v>948.3288</v>
      </c>
      <c r="H12" s="6">
        <v>1987.108</v>
      </c>
      <c r="I12" s="6">
        <v>2716.615</v>
      </c>
      <c r="J12" s="6">
        <v>3138.0</v>
      </c>
      <c r="K12" s="6">
        <v>7292.0</v>
      </c>
      <c r="L12" s="6">
        <v>13522.0</v>
      </c>
      <c r="M12" s="6">
        <v>16488.0</v>
      </c>
      <c r="N12" s="6">
        <v>63.0</v>
      </c>
      <c r="O12" s="6">
        <v>138.0</v>
      </c>
      <c r="P12" s="6">
        <v>262.0</v>
      </c>
      <c r="Q12" s="6">
        <v>378.0</v>
      </c>
      <c r="R12" s="6">
        <v>400.0</v>
      </c>
      <c r="S12" s="6">
        <v>1094.0</v>
      </c>
      <c r="T12" s="6">
        <v>1876.0</v>
      </c>
      <c r="U12" s="6">
        <v>2534.0</v>
      </c>
      <c r="V12" s="6">
        <v>29.0829</v>
      </c>
      <c r="W12" s="6">
        <v>75.2942</v>
      </c>
      <c r="X12" s="6">
        <v>135.0354</v>
      </c>
      <c r="Y12" s="6">
        <v>184.8866</v>
      </c>
      <c r="Z12" s="6">
        <v>276.8214</v>
      </c>
      <c r="AA12" s="6">
        <v>624.036</v>
      </c>
      <c r="AB12" s="6">
        <v>1021.765</v>
      </c>
      <c r="AC12" s="6">
        <v>1278.039</v>
      </c>
      <c r="AD12" s="6">
        <v>1008.0</v>
      </c>
      <c r="AE12" s="6">
        <v>2436.0</v>
      </c>
      <c r="AF12" s="6">
        <v>3394.0</v>
      </c>
      <c r="AG12" s="6">
        <v>3506.0</v>
      </c>
      <c r="AH12" s="6">
        <v>46.0</v>
      </c>
      <c r="AI12" s="6">
        <v>98.0</v>
      </c>
      <c r="AJ12" s="6">
        <v>162.0</v>
      </c>
      <c r="AK12" s="6">
        <v>208.0</v>
      </c>
      <c r="AL12" s="6">
        <v>260.0</v>
      </c>
      <c r="AM12" s="6">
        <v>654.0</v>
      </c>
      <c r="AN12" s="6">
        <v>938.0</v>
      </c>
      <c r="AO12" s="6">
        <v>1046.0</v>
      </c>
      <c r="AP12" s="6">
        <v>18.0318</v>
      </c>
      <c r="AQ12" s="6">
        <v>45.507</v>
      </c>
      <c r="AR12" s="6">
        <v>68.155</v>
      </c>
      <c r="AS12" s="6">
        <v>77.8688</v>
      </c>
      <c r="AT12" s="6">
        <v>156.3944</v>
      </c>
      <c r="AU12" s="6">
        <v>292.8808</v>
      </c>
      <c r="AV12" s="6">
        <v>527.4459</v>
      </c>
      <c r="AW12" s="6">
        <v>590.3073</v>
      </c>
      <c r="AX12" s="6">
        <v>820.6667</v>
      </c>
      <c r="AY12" s="6">
        <v>1668.0</v>
      </c>
      <c r="AZ12" s="6">
        <v>2479.333</v>
      </c>
      <c r="BA12" s="6">
        <v>2032.667</v>
      </c>
      <c r="BB12" s="6">
        <v>20.66667</v>
      </c>
      <c r="BC12" s="6">
        <v>42.0</v>
      </c>
      <c r="BD12" s="6">
        <v>70.0</v>
      </c>
      <c r="BE12" s="6">
        <v>81.33333</v>
      </c>
      <c r="BF12" s="6">
        <v>112.0</v>
      </c>
      <c r="BG12" s="6">
        <v>271.3333</v>
      </c>
      <c r="BH12" s="6">
        <v>352.6667</v>
      </c>
      <c r="BI12" s="6">
        <v>360.6667</v>
      </c>
      <c r="BJ12" s="6">
        <v>9.173467</v>
      </c>
      <c r="BK12" s="6">
        <v>21.3814</v>
      </c>
      <c r="BL12" s="6">
        <v>32.01153</v>
      </c>
      <c r="BM12" s="6">
        <v>32.17587</v>
      </c>
      <c r="BN12" s="6">
        <v>9.2416</v>
      </c>
      <c r="BO12" s="6">
        <v>15.504</v>
      </c>
      <c r="BP12" s="6">
        <v>30.476</v>
      </c>
      <c r="BQ12" s="6">
        <v>51.4976</v>
      </c>
      <c r="BR12" s="6">
        <v>49.0</v>
      </c>
      <c r="BS12" s="6">
        <v>84.0</v>
      </c>
      <c r="BT12" s="6">
        <v>150.5</v>
      </c>
      <c r="BU12" s="6">
        <v>161.0</v>
      </c>
      <c r="BV12" s="6">
        <v>1.0</v>
      </c>
      <c r="BW12" s="6">
        <v>2.0</v>
      </c>
      <c r="BX12" s="6">
        <v>4.0</v>
      </c>
      <c r="BY12" s="6">
        <v>7.0</v>
      </c>
      <c r="BZ12" s="6">
        <v>4.0</v>
      </c>
      <c r="CA12" s="6">
        <v>12.0</v>
      </c>
      <c r="CB12" s="6">
        <v>24.0</v>
      </c>
      <c r="CC12" s="6">
        <v>26.0</v>
      </c>
      <c r="CD12" s="6">
        <v>0.5625</v>
      </c>
      <c r="CE12" s="6">
        <v>1.155</v>
      </c>
      <c r="CF12" s="6">
        <v>2.16</v>
      </c>
      <c r="CG12" s="6">
        <v>2.8275</v>
      </c>
      <c r="CH12" s="6">
        <v>10.9696</v>
      </c>
      <c r="CI12" s="6">
        <v>12.3768</v>
      </c>
      <c r="CJ12" s="6">
        <v>37.1808</v>
      </c>
      <c r="CK12" s="6">
        <v>43.17013</v>
      </c>
      <c r="CL12" s="6">
        <v>59.0</v>
      </c>
      <c r="CM12" s="6">
        <v>120.3333</v>
      </c>
      <c r="CN12" s="6">
        <v>167.5</v>
      </c>
      <c r="CO12" s="6">
        <v>209.3333</v>
      </c>
      <c r="CP12" s="6">
        <v>1.0</v>
      </c>
      <c r="CQ12" s="6">
        <v>1.5</v>
      </c>
      <c r="CR12" s="6">
        <v>4.166667</v>
      </c>
      <c r="CS12" s="6">
        <v>4.0</v>
      </c>
      <c r="CT12" s="6">
        <v>2.833333</v>
      </c>
      <c r="CU12" s="6">
        <v>10.66667</v>
      </c>
      <c r="CV12" s="6">
        <v>15.16667</v>
      </c>
      <c r="CW12" s="6">
        <v>12.83333</v>
      </c>
      <c r="CX12" s="6">
        <v>0.542767</v>
      </c>
      <c r="CY12" s="6">
        <v>0.97765</v>
      </c>
      <c r="CZ12" s="6">
        <v>1.986517</v>
      </c>
      <c r="DA12" s="6">
        <v>1.9816</v>
      </c>
      <c r="DB12" s="6">
        <v>0.0</v>
      </c>
      <c r="DC12" s="6">
        <v>0.98</v>
      </c>
      <c r="DD12" s="6">
        <v>2.135</v>
      </c>
      <c r="DE12" s="6">
        <v>4.34</v>
      </c>
      <c r="DF12" s="6">
        <v>0.0</v>
      </c>
      <c r="DG12" s="6">
        <v>2.0</v>
      </c>
      <c r="DH12" s="6">
        <v>6.5</v>
      </c>
      <c r="DI12" s="6">
        <v>26.0</v>
      </c>
      <c r="DJ12" s="6">
        <v>0.0</v>
      </c>
      <c r="DK12" s="6">
        <v>0.0</v>
      </c>
      <c r="DL12" s="6">
        <v>0.0</v>
      </c>
      <c r="DM12" s="6">
        <v>0.0</v>
      </c>
      <c r="DN12" s="6">
        <v>0.0</v>
      </c>
      <c r="DO12" s="6">
        <v>-2.0</v>
      </c>
      <c r="DP12" s="6">
        <v>-4.0</v>
      </c>
      <c r="DQ12" s="6">
        <v>1.0</v>
      </c>
      <c r="DR12" s="6">
        <v>0.0</v>
      </c>
      <c r="DS12" s="6">
        <v>-0.04</v>
      </c>
      <c r="DT12" s="6">
        <v>0.12</v>
      </c>
      <c r="DU12" s="6">
        <v>1.48</v>
      </c>
      <c r="DV12" s="6">
        <v>0.0</v>
      </c>
      <c r="DW12" s="6">
        <v>0.981667</v>
      </c>
      <c r="DX12" s="6">
        <v>2.063333</v>
      </c>
      <c r="DY12" s="6">
        <v>-0.19333</v>
      </c>
      <c r="DZ12" s="6">
        <v>0.0</v>
      </c>
      <c r="EA12" s="6">
        <v>-4.5</v>
      </c>
      <c r="EB12" s="6">
        <v>9.333333</v>
      </c>
      <c r="EC12" s="6">
        <v>2.666667</v>
      </c>
      <c r="ED12" s="6">
        <v>0.0</v>
      </c>
      <c r="EE12" s="6">
        <v>0.0</v>
      </c>
      <c r="EF12" s="6">
        <v>0.0</v>
      </c>
      <c r="EG12" s="6">
        <v>0.0</v>
      </c>
      <c r="EH12" s="6">
        <v>0.0</v>
      </c>
      <c r="EI12" s="6">
        <v>-2.83333</v>
      </c>
      <c r="EJ12" s="6">
        <v>-0.5</v>
      </c>
      <c r="EK12" s="6">
        <v>0.833333</v>
      </c>
      <c r="EL12" s="6">
        <v>0.0</v>
      </c>
      <c r="EM12" s="6">
        <v>-0.21</v>
      </c>
      <c r="EN12" s="6">
        <v>0.396667</v>
      </c>
      <c r="EO12" s="6">
        <v>0.28</v>
      </c>
      <c r="EP12" s="6">
        <v>3.3489</v>
      </c>
      <c r="EQ12" s="6">
        <v>34.8432</v>
      </c>
      <c r="ER12" s="6">
        <v>51.4413</v>
      </c>
      <c r="ES12" s="6">
        <v>99.3873</v>
      </c>
      <c r="ET12" s="6">
        <v>676.0</v>
      </c>
      <c r="EU12" s="6">
        <v>1144.0</v>
      </c>
      <c r="EV12" s="6">
        <v>2236.0</v>
      </c>
      <c r="EW12" s="6">
        <v>2444.0</v>
      </c>
      <c r="EX12" s="6">
        <v>1.0</v>
      </c>
      <c r="EY12" s="6">
        <v>6.0</v>
      </c>
      <c r="EZ12" s="6">
        <v>11.0</v>
      </c>
      <c r="FA12" s="6">
        <v>21.0</v>
      </c>
      <c r="FB12" s="6">
        <v>36.0</v>
      </c>
      <c r="FC12" s="6">
        <v>102.0</v>
      </c>
      <c r="FD12" s="6">
        <v>228.0</v>
      </c>
      <c r="FE12" s="6">
        <v>246.0</v>
      </c>
      <c r="FF12" s="6">
        <v>1.5625</v>
      </c>
      <c r="FG12" s="6">
        <v>5.575</v>
      </c>
      <c r="FH12" s="6">
        <v>11.2125</v>
      </c>
      <c r="FI12" s="6">
        <v>16.0125</v>
      </c>
      <c r="FJ12" s="6">
        <v>0.0</v>
      </c>
      <c r="FK12" s="6">
        <v>-8.06</v>
      </c>
      <c r="FL12" s="6">
        <v>-7.98</v>
      </c>
      <c r="FM12" s="6">
        <v>-15.88</v>
      </c>
      <c r="FN12" s="6">
        <v>0.0</v>
      </c>
      <c r="FO12" s="6">
        <v>112.0</v>
      </c>
      <c r="FP12" s="6">
        <v>200.0</v>
      </c>
      <c r="FQ12" s="6">
        <v>452.0</v>
      </c>
      <c r="FR12" s="6">
        <v>0.0</v>
      </c>
      <c r="FS12" s="6">
        <v>0.0</v>
      </c>
      <c r="FT12" s="6">
        <v>0.0</v>
      </c>
      <c r="FU12" s="6">
        <v>0.0</v>
      </c>
      <c r="FV12" s="6">
        <v>0.0</v>
      </c>
      <c r="FW12" s="6">
        <v>19.0</v>
      </c>
      <c r="FX12" s="6">
        <v>28.0</v>
      </c>
      <c r="FY12" s="6">
        <v>85.0</v>
      </c>
      <c r="FZ12" s="6">
        <v>0.0</v>
      </c>
      <c r="GA12" s="6">
        <v>3.04</v>
      </c>
      <c r="GB12" s="6">
        <v>4.78</v>
      </c>
      <c r="GC12" s="6">
        <v>13.44</v>
      </c>
      <c r="GD12" s="6">
        <v>-22.98449364</v>
      </c>
      <c r="GE12" s="1" t="s">
        <v>1353</v>
      </c>
      <c r="GF12" s="1" t="s">
        <v>1369</v>
      </c>
    </row>
    <row r="13">
      <c r="A13" s="1" t="s">
        <v>229</v>
      </c>
      <c r="B13" s="6">
        <v>4.0</v>
      </c>
      <c r="C13" s="6">
        <v>0.0</v>
      </c>
      <c r="D13" s="6">
        <v>2.0</v>
      </c>
      <c r="E13" s="6">
        <v>0.0</v>
      </c>
      <c r="F13" s="6">
        <v>472.5321</v>
      </c>
      <c r="G13" s="6">
        <v>948.3288</v>
      </c>
      <c r="H13" s="6">
        <v>1987.108</v>
      </c>
      <c r="I13" s="6">
        <v>2716.615</v>
      </c>
      <c r="J13" s="6">
        <v>3138.0</v>
      </c>
      <c r="K13" s="6">
        <v>7292.0</v>
      </c>
      <c r="L13" s="6">
        <v>13522.0</v>
      </c>
      <c r="M13" s="6">
        <v>16488.0</v>
      </c>
      <c r="N13" s="6">
        <v>63.0</v>
      </c>
      <c r="O13" s="6">
        <v>138.0</v>
      </c>
      <c r="P13" s="6">
        <v>262.0</v>
      </c>
      <c r="Q13" s="6">
        <v>378.0</v>
      </c>
      <c r="R13" s="6">
        <v>400.0</v>
      </c>
      <c r="S13" s="6">
        <v>1094.0</v>
      </c>
      <c r="T13" s="6">
        <v>1876.0</v>
      </c>
      <c r="U13" s="6">
        <v>2534.0</v>
      </c>
      <c r="V13" s="6">
        <v>29.0829</v>
      </c>
      <c r="W13" s="6">
        <v>75.2942</v>
      </c>
      <c r="X13" s="6">
        <v>135.0354</v>
      </c>
      <c r="Y13" s="6">
        <v>184.8866</v>
      </c>
      <c r="Z13" s="6">
        <v>276.8214</v>
      </c>
      <c r="AA13" s="6">
        <v>624.036</v>
      </c>
      <c r="AB13" s="6">
        <v>1021.765</v>
      </c>
      <c r="AC13" s="6">
        <v>1278.039</v>
      </c>
      <c r="AD13" s="6">
        <v>1008.0</v>
      </c>
      <c r="AE13" s="6">
        <v>2436.0</v>
      </c>
      <c r="AF13" s="6">
        <v>3394.0</v>
      </c>
      <c r="AG13" s="6">
        <v>3506.0</v>
      </c>
      <c r="AH13" s="6">
        <v>46.0</v>
      </c>
      <c r="AI13" s="6">
        <v>98.0</v>
      </c>
      <c r="AJ13" s="6">
        <v>162.0</v>
      </c>
      <c r="AK13" s="6">
        <v>208.0</v>
      </c>
      <c r="AL13" s="6">
        <v>260.0</v>
      </c>
      <c r="AM13" s="6">
        <v>654.0</v>
      </c>
      <c r="AN13" s="6">
        <v>938.0</v>
      </c>
      <c r="AO13" s="6">
        <v>1046.0</v>
      </c>
      <c r="AP13" s="6">
        <v>18.0318</v>
      </c>
      <c r="AQ13" s="6">
        <v>45.507</v>
      </c>
      <c r="AR13" s="6">
        <v>68.155</v>
      </c>
      <c r="AS13" s="6">
        <v>77.8688</v>
      </c>
      <c r="AT13" s="6">
        <v>156.3944</v>
      </c>
      <c r="AU13" s="6">
        <v>292.8808</v>
      </c>
      <c r="AV13" s="6">
        <v>527.4459</v>
      </c>
      <c r="AW13" s="6">
        <v>590.3073</v>
      </c>
      <c r="AX13" s="6">
        <v>820.6667</v>
      </c>
      <c r="AY13" s="6">
        <v>1668.0</v>
      </c>
      <c r="AZ13" s="6">
        <v>2479.333</v>
      </c>
      <c r="BA13" s="6">
        <v>2032.667</v>
      </c>
      <c r="BB13" s="6">
        <v>20.66667</v>
      </c>
      <c r="BC13" s="6">
        <v>42.0</v>
      </c>
      <c r="BD13" s="6">
        <v>70.0</v>
      </c>
      <c r="BE13" s="6">
        <v>81.33333</v>
      </c>
      <c r="BF13" s="6">
        <v>112.0</v>
      </c>
      <c r="BG13" s="6">
        <v>271.3333</v>
      </c>
      <c r="BH13" s="6">
        <v>352.6667</v>
      </c>
      <c r="BI13" s="6">
        <v>360.6667</v>
      </c>
      <c r="BJ13" s="6">
        <v>9.173467</v>
      </c>
      <c r="BK13" s="6">
        <v>21.3814</v>
      </c>
      <c r="BL13" s="6">
        <v>32.01153</v>
      </c>
      <c r="BM13" s="6">
        <v>32.17587</v>
      </c>
      <c r="BN13" s="6">
        <v>9.2416</v>
      </c>
      <c r="BO13" s="6">
        <v>15.504</v>
      </c>
      <c r="BP13" s="6">
        <v>30.476</v>
      </c>
      <c r="BQ13" s="6">
        <v>51.4976</v>
      </c>
      <c r="BR13" s="6">
        <v>49.0</v>
      </c>
      <c r="BS13" s="6">
        <v>84.0</v>
      </c>
      <c r="BT13" s="6">
        <v>150.5</v>
      </c>
      <c r="BU13" s="6">
        <v>161.0</v>
      </c>
      <c r="BV13" s="6">
        <v>1.0</v>
      </c>
      <c r="BW13" s="6">
        <v>2.0</v>
      </c>
      <c r="BX13" s="6">
        <v>4.0</v>
      </c>
      <c r="BY13" s="6">
        <v>7.0</v>
      </c>
      <c r="BZ13" s="6">
        <v>4.0</v>
      </c>
      <c r="CA13" s="6">
        <v>12.0</v>
      </c>
      <c r="CB13" s="6">
        <v>24.0</v>
      </c>
      <c r="CC13" s="6">
        <v>26.0</v>
      </c>
      <c r="CD13" s="6">
        <v>0.5625</v>
      </c>
      <c r="CE13" s="6">
        <v>1.155</v>
      </c>
      <c r="CF13" s="6">
        <v>2.16</v>
      </c>
      <c r="CG13" s="6">
        <v>2.8275</v>
      </c>
      <c r="CH13" s="6">
        <v>10.9696</v>
      </c>
      <c r="CI13" s="6">
        <v>12.3768</v>
      </c>
      <c r="CJ13" s="6">
        <v>37.1808</v>
      </c>
      <c r="CK13" s="6">
        <v>43.17013</v>
      </c>
      <c r="CL13" s="6">
        <v>59.0</v>
      </c>
      <c r="CM13" s="6">
        <v>120.3333</v>
      </c>
      <c r="CN13" s="6">
        <v>167.5</v>
      </c>
      <c r="CO13" s="6">
        <v>209.3333</v>
      </c>
      <c r="CP13" s="6">
        <v>1.0</v>
      </c>
      <c r="CQ13" s="6">
        <v>1.5</v>
      </c>
      <c r="CR13" s="6">
        <v>4.166667</v>
      </c>
      <c r="CS13" s="6">
        <v>4.0</v>
      </c>
      <c r="CT13" s="6">
        <v>2.833333</v>
      </c>
      <c r="CU13" s="6">
        <v>10.66667</v>
      </c>
      <c r="CV13" s="6">
        <v>15.16667</v>
      </c>
      <c r="CW13" s="6">
        <v>12.83333</v>
      </c>
      <c r="CX13" s="6">
        <v>0.542767</v>
      </c>
      <c r="CY13" s="6">
        <v>0.97765</v>
      </c>
      <c r="CZ13" s="6">
        <v>1.986517</v>
      </c>
      <c r="DA13" s="6">
        <v>1.9816</v>
      </c>
      <c r="DB13" s="6">
        <v>0.0</v>
      </c>
      <c r="DC13" s="6">
        <v>0.98</v>
      </c>
      <c r="DD13" s="6">
        <v>2.135</v>
      </c>
      <c r="DE13" s="6">
        <v>4.34</v>
      </c>
      <c r="DF13" s="6">
        <v>0.0</v>
      </c>
      <c r="DG13" s="6">
        <v>2.0</v>
      </c>
      <c r="DH13" s="6">
        <v>6.5</v>
      </c>
      <c r="DI13" s="6">
        <v>26.0</v>
      </c>
      <c r="DJ13" s="6">
        <v>0.0</v>
      </c>
      <c r="DK13" s="6">
        <v>0.0</v>
      </c>
      <c r="DL13" s="6">
        <v>0.0</v>
      </c>
      <c r="DM13" s="6">
        <v>0.0</v>
      </c>
      <c r="DN13" s="6">
        <v>0.0</v>
      </c>
      <c r="DO13" s="6">
        <v>-2.0</v>
      </c>
      <c r="DP13" s="6">
        <v>-4.0</v>
      </c>
      <c r="DQ13" s="6">
        <v>1.0</v>
      </c>
      <c r="DR13" s="6">
        <v>0.0</v>
      </c>
      <c r="DS13" s="6">
        <v>-0.04</v>
      </c>
      <c r="DT13" s="6">
        <v>0.12</v>
      </c>
      <c r="DU13" s="6">
        <v>1.48</v>
      </c>
      <c r="DV13" s="6">
        <v>0.0</v>
      </c>
      <c r="DW13" s="6">
        <v>0.981667</v>
      </c>
      <c r="DX13" s="6">
        <v>2.063333</v>
      </c>
      <c r="DY13" s="6">
        <v>-0.19333</v>
      </c>
      <c r="DZ13" s="6">
        <v>0.0</v>
      </c>
      <c r="EA13" s="6">
        <v>-4.5</v>
      </c>
      <c r="EB13" s="6">
        <v>9.333333</v>
      </c>
      <c r="EC13" s="6">
        <v>2.666667</v>
      </c>
      <c r="ED13" s="6">
        <v>0.0</v>
      </c>
      <c r="EE13" s="6">
        <v>0.0</v>
      </c>
      <c r="EF13" s="6">
        <v>0.0</v>
      </c>
      <c r="EG13" s="6">
        <v>0.0</v>
      </c>
      <c r="EH13" s="6">
        <v>0.0</v>
      </c>
      <c r="EI13" s="6">
        <v>-2.83333</v>
      </c>
      <c r="EJ13" s="6">
        <v>-0.5</v>
      </c>
      <c r="EK13" s="6">
        <v>0.833333</v>
      </c>
      <c r="EL13" s="6">
        <v>0.0</v>
      </c>
      <c r="EM13" s="6">
        <v>-0.21</v>
      </c>
      <c r="EN13" s="6">
        <v>0.396667</v>
      </c>
      <c r="EO13" s="6">
        <v>0.28</v>
      </c>
      <c r="EP13" s="6">
        <v>3.3489</v>
      </c>
      <c r="EQ13" s="6">
        <v>34.8432</v>
      </c>
      <c r="ER13" s="6">
        <v>51.4413</v>
      </c>
      <c r="ES13" s="6">
        <v>99.3873</v>
      </c>
      <c r="ET13" s="6">
        <v>676.0</v>
      </c>
      <c r="EU13" s="6">
        <v>1144.0</v>
      </c>
      <c r="EV13" s="6">
        <v>2236.0</v>
      </c>
      <c r="EW13" s="6">
        <v>2444.0</v>
      </c>
      <c r="EX13" s="6">
        <v>1.0</v>
      </c>
      <c r="EY13" s="6">
        <v>6.0</v>
      </c>
      <c r="EZ13" s="6">
        <v>11.0</v>
      </c>
      <c r="FA13" s="6">
        <v>21.0</v>
      </c>
      <c r="FB13" s="6">
        <v>36.0</v>
      </c>
      <c r="FC13" s="6">
        <v>102.0</v>
      </c>
      <c r="FD13" s="6">
        <v>228.0</v>
      </c>
      <c r="FE13" s="6">
        <v>246.0</v>
      </c>
      <c r="FF13" s="6">
        <v>1.5625</v>
      </c>
      <c r="FG13" s="6">
        <v>5.575</v>
      </c>
      <c r="FH13" s="6">
        <v>11.2125</v>
      </c>
      <c r="FI13" s="6">
        <v>16.0125</v>
      </c>
      <c r="FJ13" s="6">
        <v>0.0</v>
      </c>
      <c r="FK13" s="6">
        <v>-8.06</v>
      </c>
      <c r="FL13" s="6">
        <v>-7.98</v>
      </c>
      <c r="FM13" s="6">
        <v>-15.88</v>
      </c>
      <c r="FN13" s="6">
        <v>0.0</v>
      </c>
      <c r="FO13" s="6">
        <v>112.0</v>
      </c>
      <c r="FP13" s="6">
        <v>200.0</v>
      </c>
      <c r="FQ13" s="6">
        <v>452.0</v>
      </c>
      <c r="FR13" s="6">
        <v>0.0</v>
      </c>
      <c r="FS13" s="6">
        <v>0.0</v>
      </c>
      <c r="FT13" s="6">
        <v>0.0</v>
      </c>
      <c r="FU13" s="6">
        <v>0.0</v>
      </c>
      <c r="FV13" s="6">
        <v>0.0</v>
      </c>
      <c r="FW13" s="6">
        <v>19.0</v>
      </c>
      <c r="FX13" s="6">
        <v>28.0</v>
      </c>
      <c r="FY13" s="6">
        <v>85.0</v>
      </c>
      <c r="FZ13" s="6">
        <v>0.0</v>
      </c>
      <c r="GA13" s="6">
        <v>3.04</v>
      </c>
      <c r="GB13" s="6">
        <v>4.78</v>
      </c>
      <c r="GC13" s="6">
        <v>13.44</v>
      </c>
      <c r="GD13" s="6">
        <v>-16.02046534</v>
      </c>
      <c r="GE13" s="1" t="s">
        <v>1351</v>
      </c>
      <c r="GF13" s="1" t="s">
        <v>1370</v>
      </c>
    </row>
    <row r="14">
      <c r="A14" s="1" t="s">
        <v>56</v>
      </c>
      <c r="B14" s="6">
        <v>4.0</v>
      </c>
      <c r="C14" s="6">
        <v>0.0</v>
      </c>
      <c r="D14" s="6">
        <v>2.0</v>
      </c>
      <c r="E14" s="6">
        <v>0.0</v>
      </c>
      <c r="F14" s="6">
        <v>472.5321</v>
      </c>
      <c r="G14" s="6">
        <v>948.3288</v>
      </c>
      <c r="H14" s="6">
        <v>1987.108</v>
      </c>
      <c r="I14" s="6">
        <v>2716.615</v>
      </c>
      <c r="J14" s="6">
        <v>3138.0</v>
      </c>
      <c r="K14" s="6">
        <v>7292.0</v>
      </c>
      <c r="L14" s="6">
        <v>13522.0</v>
      </c>
      <c r="M14" s="6">
        <v>16488.0</v>
      </c>
      <c r="N14" s="6">
        <v>63.0</v>
      </c>
      <c r="O14" s="6">
        <v>138.0</v>
      </c>
      <c r="P14" s="6">
        <v>262.0</v>
      </c>
      <c r="Q14" s="6">
        <v>378.0</v>
      </c>
      <c r="R14" s="6">
        <v>400.0</v>
      </c>
      <c r="S14" s="6">
        <v>1094.0</v>
      </c>
      <c r="T14" s="6">
        <v>1876.0</v>
      </c>
      <c r="U14" s="6">
        <v>2534.0</v>
      </c>
      <c r="V14" s="6">
        <v>29.0829</v>
      </c>
      <c r="W14" s="6">
        <v>75.2942</v>
      </c>
      <c r="X14" s="6">
        <v>135.0354</v>
      </c>
      <c r="Y14" s="6">
        <v>184.8866</v>
      </c>
      <c r="Z14" s="6">
        <v>276.8214</v>
      </c>
      <c r="AA14" s="6">
        <v>624.036</v>
      </c>
      <c r="AB14" s="6">
        <v>1021.765</v>
      </c>
      <c r="AC14" s="6">
        <v>1278.039</v>
      </c>
      <c r="AD14" s="6">
        <v>1008.0</v>
      </c>
      <c r="AE14" s="6">
        <v>2436.0</v>
      </c>
      <c r="AF14" s="6">
        <v>3394.0</v>
      </c>
      <c r="AG14" s="6">
        <v>3506.0</v>
      </c>
      <c r="AH14" s="6">
        <v>46.0</v>
      </c>
      <c r="AI14" s="6">
        <v>98.0</v>
      </c>
      <c r="AJ14" s="6">
        <v>162.0</v>
      </c>
      <c r="AK14" s="6">
        <v>208.0</v>
      </c>
      <c r="AL14" s="6">
        <v>260.0</v>
      </c>
      <c r="AM14" s="6">
        <v>654.0</v>
      </c>
      <c r="AN14" s="6">
        <v>938.0</v>
      </c>
      <c r="AO14" s="6">
        <v>1046.0</v>
      </c>
      <c r="AP14" s="6">
        <v>18.0318</v>
      </c>
      <c r="AQ14" s="6">
        <v>45.507</v>
      </c>
      <c r="AR14" s="6">
        <v>68.155</v>
      </c>
      <c r="AS14" s="6">
        <v>77.8688</v>
      </c>
      <c r="AT14" s="6">
        <v>156.3944</v>
      </c>
      <c r="AU14" s="6">
        <v>292.8808</v>
      </c>
      <c r="AV14" s="6">
        <v>527.4459</v>
      </c>
      <c r="AW14" s="6">
        <v>590.3073</v>
      </c>
      <c r="AX14" s="6">
        <v>820.6667</v>
      </c>
      <c r="AY14" s="6">
        <v>1668.0</v>
      </c>
      <c r="AZ14" s="6">
        <v>2479.333</v>
      </c>
      <c r="BA14" s="6">
        <v>2032.667</v>
      </c>
      <c r="BB14" s="6">
        <v>20.66667</v>
      </c>
      <c r="BC14" s="6">
        <v>42.0</v>
      </c>
      <c r="BD14" s="6">
        <v>70.0</v>
      </c>
      <c r="BE14" s="6">
        <v>81.33333</v>
      </c>
      <c r="BF14" s="6">
        <v>112.0</v>
      </c>
      <c r="BG14" s="6">
        <v>271.3333</v>
      </c>
      <c r="BH14" s="6">
        <v>352.6667</v>
      </c>
      <c r="BI14" s="6">
        <v>360.6667</v>
      </c>
      <c r="BJ14" s="6">
        <v>9.173467</v>
      </c>
      <c r="BK14" s="6">
        <v>21.3814</v>
      </c>
      <c r="BL14" s="6">
        <v>32.01153</v>
      </c>
      <c r="BM14" s="6">
        <v>32.17587</v>
      </c>
      <c r="BN14" s="6">
        <v>9.2416</v>
      </c>
      <c r="BO14" s="6">
        <v>15.504</v>
      </c>
      <c r="BP14" s="6">
        <v>30.476</v>
      </c>
      <c r="BQ14" s="6">
        <v>51.4976</v>
      </c>
      <c r="BR14" s="6">
        <v>49.0</v>
      </c>
      <c r="BS14" s="6">
        <v>84.0</v>
      </c>
      <c r="BT14" s="6">
        <v>150.5</v>
      </c>
      <c r="BU14" s="6">
        <v>161.0</v>
      </c>
      <c r="BV14" s="6">
        <v>1.0</v>
      </c>
      <c r="BW14" s="6">
        <v>2.0</v>
      </c>
      <c r="BX14" s="6">
        <v>4.0</v>
      </c>
      <c r="BY14" s="6">
        <v>7.0</v>
      </c>
      <c r="BZ14" s="6">
        <v>4.0</v>
      </c>
      <c r="CA14" s="6">
        <v>12.0</v>
      </c>
      <c r="CB14" s="6">
        <v>24.0</v>
      </c>
      <c r="CC14" s="6">
        <v>26.0</v>
      </c>
      <c r="CD14" s="6">
        <v>0.5625</v>
      </c>
      <c r="CE14" s="6">
        <v>1.155</v>
      </c>
      <c r="CF14" s="6">
        <v>2.16</v>
      </c>
      <c r="CG14" s="6">
        <v>2.8275</v>
      </c>
      <c r="CH14" s="6">
        <v>10.9696</v>
      </c>
      <c r="CI14" s="6">
        <v>12.3768</v>
      </c>
      <c r="CJ14" s="6">
        <v>37.1808</v>
      </c>
      <c r="CK14" s="6">
        <v>43.17013</v>
      </c>
      <c r="CL14" s="6">
        <v>59.0</v>
      </c>
      <c r="CM14" s="6">
        <v>120.3333</v>
      </c>
      <c r="CN14" s="6">
        <v>167.5</v>
      </c>
      <c r="CO14" s="6">
        <v>209.3333</v>
      </c>
      <c r="CP14" s="6">
        <v>1.0</v>
      </c>
      <c r="CQ14" s="6">
        <v>1.5</v>
      </c>
      <c r="CR14" s="6">
        <v>4.166667</v>
      </c>
      <c r="CS14" s="6">
        <v>4.0</v>
      </c>
      <c r="CT14" s="6">
        <v>2.833333</v>
      </c>
      <c r="CU14" s="6">
        <v>10.66667</v>
      </c>
      <c r="CV14" s="6">
        <v>15.16667</v>
      </c>
      <c r="CW14" s="6">
        <v>12.83333</v>
      </c>
      <c r="CX14" s="6">
        <v>0.542767</v>
      </c>
      <c r="CY14" s="6">
        <v>0.97765</v>
      </c>
      <c r="CZ14" s="6">
        <v>1.986517</v>
      </c>
      <c r="DA14" s="6">
        <v>1.9816</v>
      </c>
      <c r="DB14" s="6">
        <v>0.0</v>
      </c>
      <c r="DC14" s="6">
        <v>0.98</v>
      </c>
      <c r="DD14" s="6">
        <v>2.135</v>
      </c>
      <c r="DE14" s="6">
        <v>4.34</v>
      </c>
      <c r="DF14" s="6">
        <v>0.0</v>
      </c>
      <c r="DG14" s="6">
        <v>2.0</v>
      </c>
      <c r="DH14" s="6">
        <v>6.5</v>
      </c>
      <c r="DI14" s="6">
        <v>26.0</v>
      </c>
      <c r="DJ14" s="6">
        <v>0.0</v>
      </c>
      <c r="DK14" s="6">
        <v>0.0</v>
      </c>
      <c r="DL14" s="6">
        <v>0.0</v>
      </c>
      <c r="DM14" s="6">
        <v>0.0</v>
      </c>
      <c r="DN14" s="6">
        <v>0.0</v>
      </c>
      <c r="DO14" s="6">
        <v>-2.0</v>
      </c>
      <c r="DP14" s="6">
        <v>-4.0</v>
      </c>
      <c r="DQ14" s="6">
        <v>1.0</v>
      </c>
      <c r="DR14" s="6">
        <v>0.0</v>
      </c>
      <c r="DS14" s="6">
        <v>-0.04</v>
      </c>
      <c r="DT14" s="6">
        <v>0.12</v>
      </c>
      <c r="DU14" s="6">
        <v>1.48</v>
      </c>
      <c r="DV14" s="6">
        <v>0.0</v>
      </c>
      <c r="DW14" s="6">
        <v>0.981667</v>
      </c>
      <c r="DX14" s="6">
        <v>2.063333</v>
      </c>
      <c r="DY14" s="6">
        <v>-0.19333</v>
      </c>
      <c r="DZ14" s="6">
        <v>0.0</v>
      </c>
      <c r="EA14" s="6">
        <v>-4.5</v>
      </c>
      <c r="EB14" s="6">
        <v>9.333333</v>
      </c>
      <c r="EC14" s="6">
        <v>2.666667</v>
      </c>
      <c r="ED14" s="6">
        <v>0.0</v>
      </c>
      <c r="EE14" s="6">
        <v>0.0</v>
      </c>
      <c r="EF14" s="6">
        <v>0.0</v>
      </c>
      <c r="EG14" s="6">
        <v>0.0</v>
      </c>
      <c r="EH14" s="6">
        <v>0.0</v>
      </c>
      <c r="EI14" s="6">
        <v>-2.83333</v>
      </c>
      <c r="EJ14" s="6">
        <v>-0.5</v>
      </c>
      <c r="EK14" s="6">
        <v>0.833333</v>
      </c>
      <c r="EL14" s="6">
        <v>0.0</v>
      </c>
      <c r="EM14" s="6">
        <v>-0.21</v>
      </c>
      <c r="EN14" s="6">
        <v>0.396667</v>
      </c>
      <c r="EO14" s="6">
        <v>0.28</v>
      </c>
      <c r="EP14" s="6">
        <v>3.3489</v>
      </c>
      <c r="EQ14" s="6">
        <v>34.8432</v>
      </c>
      <c r="ER14" s="6">
        <v>51.4413</v>
      </c>
      <c r="ES14" s="6">
        <v>99.3873</v>
      </c>
      <c r="ET14" s="6">
        <v>676.0</v>
      </c>
      <c r="EU14" s="6">
        <v>1144.0</v>
      </c>
      <c r="EV14" s="6">
        <v>2236.0</v>
      </c>
      <c r="EW14" s="6">
        <v>2444.0</v>
      </c>
      <c r="EX14" s="6">
        <v>1.0</v>
      </c>
      <c r="EY14" s="6">
        <v>6.0</v>
      </c>
      <c r="EZ14" s="6">
        <v>11.0</v>
      </c>
      <c r="FA14" s="6">
        <v>21.0</v>
      </c>
      <c r="FB14" s="6">
        <v>36.0</v>
      </c>
      <c r="FC14" s="6">
        <v>102.0</v>
      </c>
      <c r="FD14" s="6">
        <v>228.0</v>
      </c>
      <c r="FE14" s="6">
        <v>246.0</v>
      </c>
      <c r="FF14" s="6">
        <v>1.5625</v>
      </c>
      <c r="FG14" s="6">
        <v>5.575</v>
      </c>
      <c r="FH14" s="6">
        <v>11.2125</v>
      </c>
      <c r="FI14" s="6">
        <v>16.0125</v>
      </c>
      <c r="FJ14" s="6">
        <v>0.0</v>
      </c>
      <c r="FK14" s="6">
        <v>-8.06</v>
      </c>
      <c r="FL14" s="6">
        <v>-7.98</v>
      </c>
      <c r="FM14" s="6">
        <v>-15.88</v>
      </c>
      <c r="FN14" s="6">
        <v>0.0</v>
      </c>
      <c r="FO14" s="6">
        <v>112.0</v>
      </c>
      <c r="FP14" s="6">
        <v>200.0</v>
      </c>
      <c r="FQ14" s="6">
        <v>452.0</v>
      </c>
      <c r="FR14" s="6">
        <v>0.0</v>
      </c>
      <c r="FS14" s="6">
        <v>0.0</v>
      </c>
      <c r="FT14" s="6">
        <v>0.0</v>
      </c>
      <c r="FU14" s="6">
        <v>0.0</v>
      </c>
      <c r="FV14" s="6">
        <v>0.0</v>
      </c>
      <c r="FW14" s="6">
        <v>19.0</v>
      </c>
      <c r="FX14" s="6">
        <v>28.0</v>
      </c>
      <c r="FY14" s="6">
        <v>85.0</v>
      </c>
      <c r="FZ14" s="6">
        <v>0.0</v>
      </c>
      <c r="GA14" s="6">
        <v>3.04</v>
      </c>
      <c r="GB14" s="6">
        <v>4.78</v>
      </c>
      <c r="GC14" s="6">
        <v>13.44</v>
      </c>
      <c r="GD14" s="6">
        <v>2.678496555</v>
      </c>
      <c r="GE14" s="1" t="s">
        <v>1351</v>
      </c>
      <c r="GF14" s="1" t="s">
        <v>1371</v>
      </c>
    </row>
    <row r="15">
      <c r="A15" s="1" t="s">
        <v>58</v>
      </c>
      <c r="B15" s="6">
        <v>4.0</v>
      </c>
      <c r="C15" s="6">
        <v>0.0</v>
      </c>
      <c r="D15" s="6">
        <v>2.0</v>
      </c>
      <c r="E15" s="6">
        <v>0.0</v>
      </c>
      <c r="F15" s="6">
        <v>472.5321</v>
      </c>
      <c r="G15" s="6">
        <v>948.3288</v>
      </c>
      <c r="H15" s="6">
        <v>1987.108</v>
      </c>
      <c r="I15" s="6">
        <v>2716.615</v>
      </c>
      <c r="J15" s="6">
        <v>3138.0</v>
      </c>
      <c r="K15" s="6">
        <v>7292.0</v>
      </c>
      <c r="L15" s="6">
        <v>13522.0</v>
      </c>
      <c r="M15" s="6">
        <v>16488.0</v>
      </c>
      <c r="N15" s="6">
        <v>63.0</v>
      </c>
      <c r="O15" s="6">
        <v>138.0</v>
      </c>
      <c r="P15" s="6">
        <v>262.0</v>
      </c>
      <c r="Q15" s="6">
        <v>378.0</v>
      </c>
      <c r="R15" s="6">
        <v>400.0</v>
      </c>
      <c r="S15" s="6">
        <v>1094.0</v>
      </c>
      <c r="T15" s="6">
        <v>1876.0</v>
      </c>
      <c r="U15" s="6">
        <v>2534.0</v>
      </c>
      <c r="V15" s="6">
        <v>29.0829</v>
      </c>
      <c r="W15" s="6">
        <v>75.2942</v>
      </c>
      <c r="X15" s="6">
        <v>135.0354</v>
      </c>
      <c r="Y15" s="6">
        <v>184.8866</v>
      </c>
      <c r="Z15" s="6">
        <v>276.8214</v>
      </c>
      <c r="AA15" s="6">
        <v>624.036</v>
      </c>
      <c r="AB15" s="6">
        <v>1021.765</v>
      </c>
      <c r="AC15" s="6">
        <v>1278.039</v>
      </c>
      <c r="AD15" s="6">
        <v>1008.0</v>
      </c>
      <c r="AE15" s="6">
        <v>2436.0</v>
      </c>
      <c r="AF15" s="6">
        <v>3394.0</v>
      </c>
      <c r="AG15" s="6">
        <v>3506.0</v>
      </c>
      <c r="AH15" s="6">
        <v>46.0</v>
      </c>
      <c r="AI15" s="6">
        <v>98.0</v>
      </c>
      <c r="AJ15" s="6">
        <v>162.0</v>
      </c>
      <c r="AK15" s="6">
        <v>208.0</v>
      </c>
      <c r="AL15" s="6">
        <v>260.0</v>
      </c>
      <c r="AM15" s="6">
        <v>654.0</v>
      </c>
      <c r="AN15" s="6">
        <v>938.0</v>
      </c>
      <c r="AO15" s="6">
        <v>1046.0</v>
      </c>
      <c r="AP15" s="6">
        <v>18.0318</v>
      </c>
      <c r="AQ15" s="6">
        <v>45.507</v>
      </c>
      <c r="AR15" s="6">
        <v>68.155</v>
      </c>
      <c r="AS15" s="6">
        <v>77.8688</v>
      </c>
      <c r="AT15" s="6">
        <v>156.3944</v>
      </c>
      <c r="AU15" s="6">
        <v>292.8808</v>
      </c>
      <c r="AV15" s="6">
        <v>527.4459</v>
      </c>
      <c r="AW15" s="6">
        <v>590.3073</v>
      </c>
      <c r="AX15" s="6">
        <v>820.6667</v>
      </c>
      <c r="AY15" s="6">
        <v>1668.0</v>
      </c>
      <c r="AZ15" s="6">
        <v>2479.333</v>
      </c>
      <c r="BA15" s="6">
        <v>2032.667</v>
      </c>
      <c r="BB15" s="6">
        <v>20.66667</v>
      </c>
      <c r="BC15" s="6">
        <v>42.0</v>
      </c>
      <c r="BD15" s="6">
        <v>70.0</v>
      </c>
      <c r="BE15" s="6">
        <v>81.33333</v>
      </c>
      <c r="BF15" s="6">
        <v>112.0</v>
      </c>
      <c r="BG15" s="6">
        <v>271.3333</v>
      </c>
      <c r="BH15" s="6">
        <v>352.6667</v>
      </c>
      <c r="BI15" s="6">
        <v>360.6667</v>
      </c>
      <c r="BJ15" s="6">
        <v>9.173467</v>
      </c>
      <c r="BK15" s="6">
        <v>21.3814</v>
      </c>
      <c r="BL15" s="6">
        <v>32.01153</v>
      </c>
      <c r="BM15" s="6">
        <v>32.17587</v>
      </c>
      <c r="BN15" s="6">
        <v>9.2416</v>
      </c>
      <c r="BO15" s="6">
        <v>15.504</v>
      </c>
      <c r="BP15" s="6">
        <v>30.476</v>
      </c>
      <c r="BQ15" s="6">
        <v>51.4976</v>
      </c>
      <c r="BR15" s="6">
        <v>49.0</v>
      </c>
      <c r="BS15" s="6">
        <v>84.0</v>
      </c>
      <c r="BT15" s="6">
        <v>150.5</v>
      </c>
      <c r="BU15" s="6">
        <v>161.0</v>
      </c>
      <c r="BV15" s="6">
        <v>1.0</v>
      </c>
      <c r="BW15" s="6">
        <v>2.0</v>
      </c>
      <c r="BX15" s="6">
        <v>4.0</v>
      </c>
      <c r="BY15" s="6">
        <v>7.0</v>
      </c>
      <c r="BZ15" s="6">
        <v>4.0</v>
      </c>
      <c r="CA15" s="6">
        <v>12.0</v>
      </c>
      <c r="CB15" s="6">
        <v>24.0</v>
      </c>
      <c r="CC15" s="6">
        <v>26.0</v>
      </c>
      <c r="CD15" s="6">
        <v>0.5625</v>
      </c>
      <c r="CE15" s="6">
        <v>1.155</v>
      </c>
      <c r="CF15" s="6">
        <v>2.16</v>
      </c>
      <c r="CG15" s="6">
        <v>2.8275</v>
      </c>
      <c r="CH15" s="6">
        <v>10.9696</v>
      </c>
      <c r="CI15" s="6">
        <v>12.3768</v>
      </c>
      <c r="CJ15" s="6">
        <v>37.1808</v>
      </c>
      <c r="CK15" s="6">
        <v>43.17013</v>
      </c>
      <c r="CL15" s="6">
        <v>59.0</v>
      </c>
      <c r="CM15" s="6">
        <v>120.3333</v>
      </c>
      <c r="CN15" s="6">
        <v>167.5</v>
      </c>
      <c r="CO15" s="6">
        <v>209.3333</v>
      </c>
      <c r="CP15" s="6">
        <v>1.0</v>
      </c>
      <c r="CQ15" s="6">
        <v>1.5</v>
      </c>
      <c r="CR15" s="6">
        <v>4.166667</v>
      </c>
      <c r="CS15" s="6">
        <v>4.0</v>
      </c>
      <c r="CT15" s="6">
        <v>2.833333</v>
      </c>
      <c r="CU15" s="6">
        <v>10.66667</v>
      </c>
      <c r="CV15" s="6">
        <v>15.16667</v>
      </c>
      <c r="CW15" s="6">
        <v>12.83333</v>
      </c>
      <c r="CX15" s="6">
        <v>0.542767</v>
      </c>
      <c r="CY15" s="6">
        <v>0.97765</v>
      </c>
      <c r="CZ15" s="6">
        <v>1.986517</v>
      </c>
      <c r="DA15" s="6">
        <v>1.9816</v>
      </c>
      <c r="DB15" s="6">
        <v>0.0</v>
      </c>
      <c r="DC15" s="6">
        <v>0.98</v>
      </c>
      <c r="DD15" s="6">
        <v>2.135</v>
      </c>
      <c r="DE15" s="6">
        <v>4.34</v>
      </c>
      <c r="DF15" s="6">
        <v>0.0</v>
      </c>
      <c r="DG15" s="6">
        <v>2.0</v>
      </c>
      <c r="DH15" s="6">
        <v>6.5</v>
      </c>
      <c r="DI15" s="6">
        <v>26.0</v>
      </c>
      <c r="DJ15" s="6">
        <v>0.0</v>
      </c>
      <c r="DK15" s="6">
        <v>0.0</v>
      </c>
      <c r="DL15" s="6">
        <v>0.0</v>
      </c>
      <c r="DM15" s="6">
        <v>0.0</v>
      </c>
      <c r="DN15" s="6">
        <v>0.0</v>
      </c>
      <c r="DO15" s="6">
        <v>-2.0</v>
      </c>
      <c r="DP15" s="6">
        <v>-4.0</v>
      </c>
      <c r="DQ15" s="6">
        <v>1.0</v>
      </c>
      <c r="DR15" s="6">
        <v>0.0</v>
      </c>
      <c r="DS15" s="6">
        <v>-0.04</v>
      </c>
      <c r="DT15" s="6">
        <v>0.12</v>
      </c>
      <c r="DU15" s="6">
        <v>1.48</v>
      </c>
      <c r="DV15" s="6">
        <v>0.0</v>
      </c>
      <c r="DW15" s="6">
        <v>0.981667</v>
      </c>
      <c r="DX15" s="6">
        <v>2.063333</v>
      </c>
      <c r="DY15" s="6">
        <v>-0.19333</v>
      </c>
      <c r="DZ15" s="6">
        <v>0.0</v>
      </c>
      <c r="EA15" s="6">
        <v>-4.5</v>
      </c>
      <c r="EB15" s="6">
        <v>9.333333</v>
      </c>
      <c r="EC15" s="6">
        <v>2.666667</v>
      </c>
      <c r="ED15" s="6">
        <v>0.0</v>
      </c>
      <c r="EE15" s="6">
        <v>0.0</v>
      </c>
      <c r="EF15" s="6">
        <v>0.0</v>
      </c>
      <c r="EG15" s="6">
        <v>0.0</v>
      </c>
      <c r="EH15" s="6">
        <v>0.0</v>
      </c>
      <c r="EI15" s="6">
        <v>-2.83333</v>
      </c>
      <c r="EJ15" s="6">
        <v>-0.5</v>
      </c>
      <c r="EK15" s="6">
        <v>0.833333</v>
      </c>
      <c r="EL15" s="6">
        <v>0.0</v>
      </c>
      <c r="EM15" s="6">
        <v>-0.21</v>
      </c>
      <c r="EN15" s="6">
        <v>0.396667</v>
      </c>
      <c r="EO15" s="6">
        <v>0.28</v>
      </c>
      <c r="EP15" s="6">
        <v>3.3489</v>
      </c>
      <c r="EQ15" s="6">
        <v>34.8432</v>
      </c>
      <c r="ER15" s="6">
        <v>51.4413</v>
      </c>
      <c r="ES15" s="6">
        <v>99.3873</v>
      </c>
      <c r="ET15" s="6">
        <v>676.0</v>
      </c>
      <c r="EU15" s="6">
        <v>1144.0</v>
      </c>
      <c r="EV15" s="6">
        <v>2236.0</v>
      </c>
      <c r="EW15" s="6">
        <v>2444.0</v>
      </c>
      <c r="EX15" s="6">
        <v>1.0</v>
      </c>
      <c r="EY15" s="6">
        <v>6.0</v>
      </c>
      <c r="EZ15" s="6">
        <v>11.0</v>
      </c>
      <c r="FA15" s="6">
        <v>21.0</v>
      </c>
      <c r="FB15" s="6">
        <v>36.0</v>
      </c>
      <c r="FC15" s="6">
        <v>102.0</v>
      </c>
      <c r="FD15" s="6">
        <v>228.0</v>
      </c>
      <c r="FE15" s="6">
        <v>246.0</v>
      </c>
      <c r="FF15" s="6">
        <v>1.5625</v>
      </c>
      <c r="FG15" s="6">
        <v>5.575</v>
      </c>
      <c r="FH15" s="6">
        <v>11.2125</v>
      </c>
      <c r="FI15" s="6">
        <v>16.0125</v>
      </c>
      <c r="FJ15" s="6">
        <v>0.0</v>
      </c>
      <c r="FK15" s="6">
        <v>-8.06</v>
      </c>
      <c r="FL15" s="6">
        <v>-7.98</v>
      </c>
      <c r="FM15" s="6">
        <v>-15.88</v>
      </c>
      <c r="FN15" s="6">
        <v>0.0</v>
      </c>
      <c r="FO15" s="6">
        <v>112.0</v>
      </c>
      <c r="FP15" s="6">
        <v>200.0</v>
      </c>
      <c r="FQ15" s="6">
        <v>452.0</v>
      </c>
      <c r="FR15" s="6">
        <v>0.0</v>
      </c>
      <c r="FS15" s="6">
        <v>0.0</v>
      </c>
      <c r="FT15" s="6">
        <v>0.0</v>
      </c>
      <c r="FU15" s="6">
        <v>0.0</v>
      </c>
      <c r="FV15" s="6">
        <v>0.0</v>
      </c>
      <c r="FW15" s="6">
        <v>19.0</v>
      </c>
      <c r="FX15" s="6">
        <v>28.0</v>
      </c>
      <c r="FY15" s="6">
        <v>85.0</v>
      </c>
      <c r="FZ15" s="6">
        <v>0.0</v>
      </c>
      <c r="GA15" s="6">
        <v>3.04</v>
      </c>
      <c r="GB15" s="6">
        <v>4.78</v>
      </c>
      <c r="GC15" s="6">
        <v>13.44</v>
      </c>
      <c r="GD15" s="6">
        <v>-14.31365718</v>
      </c>
      <c r="GE15" s="1" t="s">
        <v>1351</v>
      </c>
      <c r="GF15" s="1" t="s">
        <v>1372</v>
      </c>
    </row>
    <row r="16">
      <c r="A16" s="1" t="s">
        <v>60</v>
      </c>
      <c r="B16" s="6">
        <v>4.0</v>
      </c>
      <c r="C16" s="6">
        <v>0.0</v>
      </c>
      <c r="D16" s="6">
        <v>2.0</v>
      </c>
      <c r="E16" s="6">
        <v>0.0</v>
      </c>
      <c r="F16" s="6">
        <v>472.5321</v>
      </c>
      <c r="G16" s="6">
        <v>948.3288</v>
      </c>
      <c r="H16" s="6">
        <v>1987.108</v>
      </c>
      <c r="I16" s="6">
        <v>2716.615</v>
      </c>
      <c r="J16" s="6">
        <v>3138.0</v>
      </c>
      <c r="K16" s="6">
        <v>7292.0</v>
      </c>
      <c r="L16" s="6">
        <v>13522.0</v>
      </c>
      <c r="M16" s="6">
        <v>16488.0</v>
      </c>
      <c r="N16" s="6">
        <v>63.0</v>
      </c>
      <c r="O16" s="6">
        <v>138.0</v>
      </c>
      <c r="P16" s="6">
        <v>262.0</v>
      </c>
      <c r="Q16" s="6">
        <v>378.0</v>
      </c>
      <c r="R16" s="6">
        <v>400.0</v>
      </c>
      <c r="S16" s="6">
        <v>1094.0</v>
      </c>
      <c r="T16" s="6">
        <v>1876.0</v>
      </c>
      <c r="U16" s="6">
        <v>2534.0</v>
      </c>
      <c r="V16" s="6">
        <v>29.0829</v>
      </c>
      <c r="W16" s="6">
        <v>75.2942</v>
      </c>
      <c r="X16" s="6">
        <v>135.0354</v>
      </c>
      <c r="Y16" s="6">
        <v>184.8866</v>
      </c>
      <c r="Z16" s="6">
        <v>276.8214</v>
      </c>
      <c r="AA16" s="6">
        <v>624.036</v>
      </c>
      <c r="AB16" s="6">
        <v>1021.765</v>
      </c>
      <c r="AC16" s="6">
        <v>1278.039</v>
      </c>
      <c r="AD16" s="6">
        <v>1008.0</v>
      </c>
      <c r="AE16" s="6">
        <v>2436.0</v>
      </c>
      <c r="AF16" s="6">
        <v>3394.0</v>
      </c>
      <c r="AG16" s="6">
        <v>3506.0</v>
      </c>
      <c r="AH16" s="6">
        <v>46.0</v>
      </c>
      <c r="AI16" s="6">
        <v>98.0</v>
      </c>
      <c r="AJ16" s="6">
        <v>162.0</v>
      </c>
      <c r="AK16" s="6">
        <v>208.0</v>
      </c>
      <c r="AL16" s="6">
        <v>260.0</v>
      </c>
      <c r="AM16" s="6">
        <v>654.0</v>
      </c>
      <c r="AN16" s="6">
        <v>938.0</v>
      </c>
      <c r="AO16" s="6">
        <v>1046.0</v>
      </c>
      <c r="AP16" s="6">
        <v>18.0318</v>
      </c>
      <c r="AQ16" s="6">
        <v>45.507</v>
      </c>
      <c r="AR16" s="6">
        <v>68.155</v>
      </c>
      <c r="AS16" s="6">
        <v>77.8688</v>
      </c>
      <c r="AT16" s="6">
        <v>156.3944</v>
      </c>
      <c r="AU16" s="6">
        <v>292.8808</v>
      </c>
      <c r="AV16" s="6">
        <v>527.4459</v>
      </c>
      <c r="AW16" s="6">
        <v>590.3073</v>
      </c>
      <c r="AX16" s="6">
        <v>820.6667</v>
      </c>
      <c r="AY16" s="6">
        <v>1668.0</v>
      </c>
      <c r="AZ16" s="6">
        <v>2479.333</v>
      </c>
      <c r="BA16" s="6">
        <v>2032.667</v>
      </c>
      <c r="BB16" s="6">
        <v>20.66667</v>
      </c>
      <c r="BC16" s="6">
        <v>42.0</v>
      </c>
      <c r="BD16" s="6">
        <v>70.0</v>
      </c>
      <c r="BE16" s="6">
        <v>81.33333</v>
      </c>
      <c r="BF16" s="6">
        <v>112.0</v>
      </c>
      <c r="BG16" s="6">
        <v>271.3333</v>
      </c>
      <c r="BH16" s="6">
        <v>352.6667</v>
      </c>
      <c r="BI16" s="6">
        <v>360.6667</v>
      </c>
      <c r="BJ16" s="6">
        <v>9.173467</v>
      </c>
      <c r="BK16" s="6">
        <v>21.3814</v>
      </c>
      <c r="BL16" s="6">
        <v>32.01153</v>
      </c>
      <c r="BM16" s="6">
        <v>32.17587</v>
      </c>
      <c r="BN16" s="6">
        <v>9.2416</v>
      </c>
      <c r="BO16" s="6">
        <v>15.504</v>
      </c>
      <c r="BP16" s="6">
        <v>30.476</v>
      </c>
      <c r="BQ16" s="6">
        <v>51.4976</v>
      </c>
      <c r="BR16" s="6">
        <v>49.0</v>
      </c>
      <c r="BS16" s="6">
        <v>84.0</v>
      </c>
      <c r="BT16" s="6">
        <v>150.5</v>
      </c>
      <c r="BU16" s="6">
        <v>161.0</v>
      </c>
      <c r="BV16" s="6">
        <v>1.0</v>
      </c>
      <c r="BW16" s="6">
        <v>2.0</v>
      </c>
      <c r="BX16" s="6">
        <v>4.0</v>
      </c>
      <c r="BY16" s="6">
        <v>7.0</v>
      </c>
      <c r="BZ16" s="6">
        <v>4.0</v>
      </c>
      <c r="CA16" s="6">
        <v>12.0</v>
      </c>
      <c r="CB16" s="6">
        <v>24.0</v>
      </c>
      <c r="CC16" s="6">
        <v>26.0</v>
      </c>
      <c r="CD16" s="6">
        <v>0.5625</v>
      </c>
      <c r="CE16" s="6">
        <v>1.155</v>
      </c>
      <c r="CF16" s="6">
        <v>2.16</v>
      </c>
      <c r="CG16" s="6">
        <v>2.8275</v>
      </c>
      <c r="CH16" s="6">
        <v>10.9696</v>
      </c>
      <c r="CI16" s="6">
        <v>12.3768</v>
      </c>
      <c r="CJ16" s="6">
        <v>37.1808</v>
      </c>
      <c r="CK16" s="6">
        <v>43.17013</v>
      </c>
      <c r="CL16" s="6">
        <v>59.0</v>
      </c>
      <c r="CM16" s="6">
        <v>120.3333</v>
      </c>
      <c r="CN16" s="6">
        <v>167.5</v>
      </c>
      <c r="CO16" s="6">
        <v>209.3333</v>
      </c>
      <c r="CP16" s="6">
        <v>1.0</v>
      </c>
      <c r="CQ16" s="6">
        <v>1.5</v>
      </c>
      <c r="CR16" s="6">
        <v>4.166667</v>
      </c>
      <c r="CS16" s="6">
        <v>4.0</v>
      </c>
      <c r="CT16" s="6">
        <v>2.833333</v>
      </c>
      <c r="CU16" s="6">
        <v>10.66667</v>
      </c>
      <c r="CV16" s="6">
        <v>15.16667</v>
      </c>
      <c r="CW16" s="6">
        <v>12.83333</v>
      </c>
      <c r="CX16" s="6">
        <v>0.542767</v>
      </c>
      <c r="CY16" s="6">
        <v>0.97765</v>
      </c>
      <c r="CZ16" s="6">
        <v>1.986517</v>
      </c>
      <c r="DA16" s="6">
        <v>1.9816</v>
      </c>
      <c r="DB16" s="6">
        <v>0.0</v>
      </c>
      <c r="DC16" s="6">
        <v>0.98</v>
      </c>
      <c r="DD16" s="6">
        <v>2.135</v>
      </c>
      <c r="DE16" s="6">
        <v>4.34</v>
      </c>
      <c r="DF16" s="6">
        <v>0.0</v>
      </c>
      <c r="DG16" s="6">
        <v>2.0</v>
      </c>
      <c r="DH16" s="6">
        <v>6.5</v>
      </c>
      <c r="DI16" s="6">
        <v>26.0</v>
      </c>
      <c r="DJ16" s="6">
        <v>0.0</v>
      </c>
      <c r="DK16" s="6">
        <v>0.0</v>
      </c>
      <c r="DL16" s="6">
        <v>0.0</v>
      </c>
      <c r="DM16" s="6">
        <v>0.0</v>
      </c>
      <c r="DN16" s="6">
        <v>0.0</v>
      </c>
      <c r="DO16" s="6">
        <v>-2.0</v>
      </c>
      <c r="DP16" s="6">
        <v>-4.0</v>
      </c>
      <c r="DQ16" s="6">
        <v>1.0</v>
      </c>
      <c r="DR16" s="6">
        <v>0.0</v>
      </c>
      <c r="DS16" s="6">
        <v>-0.04</v>
      </c>
      <c r="DT16" s="6">
        <v>0.12</v>
      </c>
      <c r="DU16" s="6">
        <v>1.48</v>
      </c>
      <c r="DV16" s="6">
        <v>0.0</v>
      </c>
      <c r="DW16" s="6">
        <v>0.981667</v>
      </c>
      <c r="DX16" s="6">
        <v>2.063333</v>
      </c>
      <c r="DY16" s="6">
        <v>-0.19333</v>
      </c>
      <c r="DZ16" s="6">
        <v>0.0</v>
      </c>
      <c r="EA16" s="6">
        <v>-4.5</v>
      </c>
      <c r="EB16" s="6">
        <v>9.333333</v>
      </c>
      <c r="EC16" s="6">
        <v>2.666667</v>
      </c>
      <c r="ED16" s="6">
        <v>0.0</v>
      </c>
      <c r="EE16" s="6">
        <v>0.0</v>
      </c>
      <c r="EF16" s="6">
        <v>0.0</v>
      </c>
      <c r="EG16" s="6">
        <v>0.0</v>
      </c>
      <c r="EH16" s="6">
        <v>0.0</v>
      </c>
      <c r="EI16" s="6">
        <v>-2.83333</v>
      </c>
      <c r="EJ16" s="6">
        <v>-0.5</v>
      </c>
      <c r="EK16" s="6">
        <v>0.833333</v>
      </c>
      <c r="EL16" s="6">
        <v>0.0</v>
      </c>
      <c r="EM16" s="6">
        <v>-0.21</v>
      </c>
      <c r="EN16" s="6">
        <v>0.396667</v>
      </c>
      <c r="EO16" s="6">
        <v>0.28</v>
      </c>
      <c r="EP16" s="6">
        <v>3.3489</v>
      </c>
      <c r="EQ16" s="6">
        <v>34.8432</v>
      </c>
      <c r="ER16" s="6">
        <v>51.4413</v>
      </c>
      <c r="ES16" s="6">
        <v>99.3873</v>
      </c>
      <c r="ET16" s="6">
        <v>676.0</v>
      </c>
      <c r="EU16" s="6">
        <v>1144.0</v>
      </c>
      <c r="EV16" s="6">
        <v>2236.0</v>
      </c>
      <c r="EW16" s="6">
        <v>2444.0</v>
      </c>
      <c r="EX16" s="6">
        <v>1.0</v>
      </c>
      <c r="EY16" s="6">
        <v>6.0</v>
      </c>
      <c r="EZ16" s="6">
        <v>11.0</v>
      </c>
      <c r="FA16" s="6">
        <v>21.0</v>
      </c>
      <c r="FB16" s="6">
        <v>36.0</v>
      </c>
      <c r="FC16" s="6">
        <v>102.0</v>
      </c>
      <c r="FD16" s="6">
        <v>228.0</v>
      </c>
      <c r="FE16" s="6">
        <v>246.0</v>
      </c>
      <c r="FF16" s="6">
        <v>1.5625</v>
      </c>
      <c r="FG16" s="6">
        <v>5.575</v>
      </c>
      <c r="FH16" s="6">
        <v>11.2125</v>
      </c>
      <c r="FI16" s="6">
        <v>16.0125</v>
      </c>
      <c r="FJ16" s="6">
        <v>0.0</v>
      </c>
      <c r="FK16" s="6">
        <v>-8.06</v>
      </c>
      <c r="FL16" s="6">
        <v>-7.98</v>
      </c>
      <c r="FM16" s="6">
        <v>-15.88</v>
      </c>
      <c r="FN16" s="6">
        <v>0.0</v>
      </c>
      <c r="FO16" s="6">
        <v>112.0</v>
      </c>
      <c r="FP16" s="6">
        <v>200.0</v>
      </c>
      <c r="FQ16" s="6">
        <v>452.0</v>
      </c>
      <c r="FR16" s="6">
        <v>0.0</v>
      </c>
      <c r="FS16" s="6">
        <v>0.0</v>
      </c>
      <c r="FT16" s="6">
        <v>0.0</v>
      </c>
      <c r="FU16" s="6">
        <v>0.0</v>
      </c>
      <c r="FV16" s="6">
        <v>0.0</v>
      </c>
      <c r="FW16" s="6">
        <v>19.0</v>
      </c>
      <c r="FX16" s="6">
        <v>28.0</v>
      </c>
      <c r="FY16" s="6">
        <v>85.0</v>
      </c>
      <c r="FZ16" s="6">
        <v>0.0</v>
      </c>
      <c r="GA16" s="6">
        <v>3.04</v>
      </c>
      <c r="GB16" s="6">
        <v>4.78</v>
      </c>
      <c r="GC16" s="6">
        <v>13.44</v>
      </c>
      <c r="GD16" s="6">
        <v>-22.56469413</v>
      </c>
      <c r="GE16" s="1" t="s">
        <v>1351</v>
      </c>
      <c r="GF16" s="1" t="s">
        <v>1373</v>
      </c>
    </row>
    <row r="18">
      <c r="A18" s="1" t="s">
        <v>65</v>
      </c>
      <c r="B18" s="6">
        <v>4.0</v>
      </c>
      <c r="C18" s="6">
        <v>0.0</v>
      </c>
      <c r="D18" s="6">
        <v>2.0</v>
      </c>
      <c r="E18" s="6">
        <v>0.0</v>
      </c>
      <c r="F18" s="6">
        <v>456.0546</v>
      </c>
      <c r="G18" s="6">
        <v>903.6018</v>
      </c>
      <c r="H18" s="6">
        <v>2030.088</v>
      </c>
      <c r="I18" s="6">
        <v>2938.502</v>
      </c>
      <c r="J18" s="6">
        <v>2892.0</v>
      </c>
      <c r="K18" s="6">
        <v>6740.0</v>
      </c>
      <c r="L18" s="6">
        <v>13344.0</v>
      </c>
      <c r="M18" s="6">
        <v>15886.0</v>
      </c>
      <c r="N18" s="6">
        <v>62.0</v>
      </c>
      <c r="O18" s="6">
        <v>132.0</v>
      </c>
      <c r="P18" s="6">
        <v>274.0</v>
      </c>
      <c r="Q18" s="6">
        <v>420.0</v>
      </c>
      <c r="R18" s="6">
        <v>406.0</v>
      </c>
      <c r="S18" s="6">
        <v>1146.0</v>
      </c>
      <c r="T18" s="6">
        <v>2102.0</v>
      </c>
      <c r="U18" s="6">
        <v>3018.0</v>
      </c>
      <c r="V18" s="6">
        <v>25.754</v>
      </c>
      <c r="W18" s="6">
        <v>67.9792</v>
      </c>
      <c r="X18" s="6">
        <v>129.8086</v>
      </c>
      <c r="Y18" s="6">
        <v>192.3736</v>
      </c>
      <c r="Z18" s="6">
        <v>260.3439</v>
      </c>
      <c r="AA18" s="6">
        <v>579.309</v>
      </c>
      <c r="AB18" s="6">
        <v>1046.079</v>
      </c>
      <c r="AC18" s="6">
        <v>1326.925</v>
      </c>
      <c r="AD18" s="6">
        <v>762.0</v>
      </c>
      <c r="AE18" s="6">
        <v>1884.0</v>
      </c>
      <c r="AF18" s="6">
        <v>2592.0</v>
      </c>
      <c r="AG18" s="6">
        <v>2906.0</v>
      </c>
      <c r="AH18" s="6">
        <v>45.0</v>
      </c>
      <c r="AI18" s="6">
        <v>92.0</v>
      </c>
      <c r="AJ18" s="6">
        <v>170.0</v>
      </c>
      <c r="AK18" s="6">
        <v>220.0</v>
      </c>
      <c r="AL18" s="6">
        <v>262.0</v>
      </c>
      <c r="AM18" s="6">
        <v>658.0</v>
      </c>
      <c r="AN18" s="6">
        <v>940.0</v>
      </c>
      <c r="AO18" s="6">
        <v>1178.0</v>
      </c>
      <c r="AP18" s="6">
        <v>14.7029</v>
      </c>
      <c r="AQ18" s="6">
        <v>38.192</v>
      </c>
      <c r="AR18" s="6">
        <v>59.0782</v>
      </c>
      <c r="AS18" s="6">
        <v>73.964</v>
      </c>
      <c r="AT18" s="6">
        <v>150.9019</v>
      </c>
      <c r="AU18" s="6">
        <v>277.9718</v>
      </c>
      <c r="AV18" s="6">
        <v>535.5506</v>
      </c>
      <c r="AW18" s="6">
        <v>606.6027</v>
      </c>
      <c r="AX18" s="6">
        <v>738.6667</v>
      </c>
      <c r="AY18" s="6">
        <v>1484.0</v>
      </c>
      <c r="AZ18" s="6">
        <v>2212.0</v>
      </c>
      <c r="BA18" s="6">
        <v>1832.667</v>
      </c>
      <c r="BB18" s="6">
        <v>20.33333</v>
      </c>
      <c r="BC18" s="6">
        <v>40.0</v>
      </c>
      <c r="BD18" s="6">
        <v>72.66667</v>
      </c>
      <c r="BE18" s="6">
        <v>85.33333</v>
      </c>
      <c r="BF18" s="6">
        <v>112.6667</v>
      </c>
      <c r="BG18" s="6">
        <v>272.6667</v>
      </c>
      <c r="BH18" s="6">
        <v>353.3333</v>
      </c>
      <c r="BI18" s="6">
        <v>404.6667</v>
      </c>
      <c r="BJ18" s="6">
        <v>8.063833</v>
      </c>
      <c r="BK18" s="6">
        <v>18.94307</v>
      </c>
      <c r="BL18" s="6">
        <v>28.98593</v>
      </c>
      <c r="BM18" s="6">
        <v>30.87427</v>
      </c>
      <c r="BN18" s="6">
        <v>9.2416</v>
      </c>
      <c r="BO18" s="6">
        <v>19.38</v>
      </c>
      <c r="BP18" s="6">
        <v>46.664</v>
      </c>
      <c r="BQ18" s="6">
        <v>54.5224</v>
      </c>
      <c r="BR18" s="6">
        <v>49.0</v>
      </c>
      <c r="BS18" s="6">
        <v>105.0</v>
      </c>
      <c r="BT18" s="6">
        <v>150.5</v>
      </c>
      <c r="BU18" s="6">
        <v>133.0</v>
      </c>
      <c r="BV18" s="6">
        <v>1.0</v>
      </c>
      <c r="BW18" s="6">
        <v>2.5</v>
      </c>
      <c r="BX18" s="6">
        <v>6.5</v>
      </c>
      <c r="BY18" s="6">
        <v>7.5</v>
      </c>
      <c r="BZ18" s="6">
        <v>6.5</v>
      </c>
      <c r="CA18" s="6">
        <v>24.0</v>
      </c>
      <c r="CB18" s="6">
        <v>36.5</v>
      </c>
      <c r="CC18" s="6">
        <v>28.0</v>
      </c>
      <c r="CD18" s="6">
        <v>0.5625</v>
      </c>
      <c r="CE18" s="6">
        <v>1.44375</v>
      </c>
      <c r="CF18" s="6">
        <v>2.70375</v>
      </c>
      <c r="CG18" s="6">
        <v>2.65875</v>
      </c>
      <c r="CH18" s="6">
        <v>10.9696</v>
      </c>
      <c r="CI18" s="6">
        <v>13.6688</v>
      </c>
      <c r="CJ18" s="6">
        <v>42.5768</v>
      </c>
      <c r="CK18" s="6">
        <v>45.29307</v>
      </c>
      <c r="CL18" s="6">
        <v>59.0</v>
      </c>
      <c r="CM18" s="6">
        <v>127.3333</v>
      </c>
      <c r="CN18" s="6">
        <v>167.5</v>
      </c>
      <c r="CO18" s="6">
        <v>201.1667</v>
      </c>
      <c r="CP18" s="6">
        <v>1.0</v>
      </c>
      <c r="CQ18" s="6">
        <v>1.666667</v>
      </c>
      <c r="CR18" s="6">
        <v>5.0</v>
      </c>
      <c r="CS18" s="6">
        <v>4.333333</v>
      </c>
      <c r="CT18" s="6">
        <v>3.666667</v>
      </c>
      <c r="CU18" s="6">
        <v>14.66667</v>
      </c>
      <c r="CV18" s="6">
        <v>20.0</v>
      </c>
      <c r="CW18" s="6">
        <v>14.5</v>
      </c>
      <c r="CX18" s="6">
        <v>0.542767</v>
      </c>
      <c r="CY18" s="6">
        <v>1.0739</v>
      </c>
      <c r="CZ18" s="6">
        <v>2.167767</v>
      </c>
      <c r="DA18" s="6">
        <v>1.9716</v>
      </c>
      <c r="DB18" s="6">
        <v>0.0</v>
      </c>
      <c r="DC18" s="6">
        <v>1.225</v>
      </c>
      <c r="DD18" s="6">
        <v>4.41</v>
      </c>
      <c r="DE18" s="6">
        <v>4.865</v>
      </c>
      <c r="DF18" s="6">
        <v>0.0</v>
      </c>
      <c r="DG18" s="6">
        <v>2.5</v>
      </c>
      <c r="DH18" s="6">
        <v>24.0</v>
      </c>
      <c r="DI18" s="6">
        <v>33.5</v>
      </c>
      <c r="DJ18" s="6">
        <v>0.0</v>
      </c>
      <c r="DK18" s="6">
        <v>0.0</v>
      </c>
      <c r="DL18" s="6">
        <v>0.0</v>
      </c>
      <c r="DM18" s="6">
        <v>0.0</v>
      </c>
      <c r="DN18" s="6">
        <v>0.0</v>
      </c>
      <c r="DO18" s="6">
        <v>-2.5</v>
      </c>
      <c r="DP18" s="6">
        <v>3.0</v>
      </c>
      <c r="DQ18" s="6">
        <v>6.5</v>
      </c>
      <c r="DR18" s="6">
        <v>0.0</v>
      </c>
      <c r="DS18" s="6">
        <v>-0.05</v>
      </c>
      <c r="DT18" s="6">
        <v>1.27</v>
      </c>
      <c r="DU18" s="6">
        <v>2.08</v>
      </c>
      <c r="DV18" s="6">
        <v>0.0</v>
      </c>
      <c r="DW18" s="6">
        <v>1.063333</v>
      </c>
      <c r="DX18" s="6">
        <v>2.821667</v>
      </c>
      <c r="DY18" s="6">
        <v>0.121667</v>
      </c>
      <c r="DZ18" s="6">
        <v>0.0</v>
      </c>
      <c r="EA18" s="6">
        <v>-4.33333</v>
      </c>
      <c r="EB18" s="6">
        <v>15.16667</v>
      </c>
      <c r="EC18" s="6">
        <v>6.166667</v>
      </c>
      <c r="ED18" s="6">
        <v>0.0</v>
      </c>
      <c r="EE18" s="6">
        <v>0.0</v>
      </c>
      <c r="EF18" s="6">
        <v>0.0</v>
      </c>
      <c r="EG18" s="6">
        <v>0.0</v>
      </c>
      <c r="EH18" s="6">
        <v>0.0</v>
      </c>
      <c r="EI18" s="6">
        <v>-3.0</v>
      </c>
      <c r="EJ18" s="6">
        <v>1.666667</v>
      </c>
      <c r="EK18" s="6">
        <v>2.833333</v>
      </c>
      <c r="EL18" s="6">
        <v>0.0</v>
      </c>
      <c r="EM18" s="6">
        <v>-0.21333</v>
      </c>
      <c r="EN18" s="6">
        <v>0.78</v>
      </c>
      <c r="EO18" s="6">
        <v>0.543333</v>
      </c>
      <c r="EP18" s="6">
        <v>3.3489</v>
      </c>
      <c r="EQ18" s="6">
        <v>34.8432</v>
      </c>
      <c r="ER18" s="6">
        <v>60.7743</v>
      </c>
      <c r="ES18" s="6">
        <v>129.0333</v>
      </c>
      <c r="ET18" s="6">
        <v>676.0</v>
      </c>
      <c r="EU18" s="6">
        <v>1144.0</v>
      </c>
      <c r="EV18" s="6">
        <v>2548.0</v>
      </c>
      <c r="EW18" s="6">
        <v>2132.0</v>
      </c>
      <c r="EX18" s="6">
        <v>1.0</v>
      </c>
      <c r="EY18" s="6">
        <v>6.0</v>
      </c>
      <c r="EZ18" s="6">
        <v>13.0</v>
      </c>
      <c r="FA18" s="6">
        <v>29.0</v>
      </c>
      <c r="FB18" s="6">
        <v>36.0</v>
      </c>
      <c r="FC18" s="6">
        <v>114.0</v>
      </c>
      <c r="FD18" s="6">
        <v>300.0</v>
      </c>
      <c r="FE18" s="6">
        <v>252.0</v>
      </c>
      <c r="FF18" s="6">
        <v>1.5625</v>
      </c>
      <c r="FG18" s="6">
        <v>5.575</v>
      </c>
      <c r="FH18" s="6">
        <v>13.1375</v>
      </c>
      <c r="FI18" s="6">
        <v>17.7125</v>
      </c>
      <c r="FJ18" s="6">
        <v>0.0</v>
      </c>
      <c r="FK18" s="6">
        <v>-8.06</v>
      </c>
      <c r="FL18" s="6">
        <v>-9.42</v>
      </c>
      <c r="FM18" s="6">
        <v>-17.44</v>
      </c>
      <c r="FN18" s="6">
        <v>0.0</v>
      </c>
      <c r="FO18" s="6">
        <v>112.0</v>
      </c>
      <c r="FP18" s="6">
        <v>240.0</v>
      </c>
      <c r="FQ18" s="6">
        <v>672.0</v>
      </c>
      <c r="FR18" s="6">
        <v>0.0</v>
      </c>
      <c r="FS18" s="6">
        <v>0.0</v>
      </c>
      <c r="FT18" s="6">
        <v>0.0</v>
      </c>
      <c r="FU18" s="6">
        <v>0.0</v>
      </c>
      <c r="FV18" s="6">
        <v>0.0</v>
      </c>
      <c r="FW18" s="6">
        <v>17.0</v>
      </c>
      <c r="FX18" s="6">
        <v>28.0</v>
      </c>
      <c r="FY18" s="6">
        <v>132.0</v>
      </c>
      <c r="FZ18" s="6">
        <v>0.0</v>
      </c>
      <c r="GA18" s="6">
        <v>3.04</v>
      </c>
      <c r="GB18" s="6">
        <v>5.74</v>
      </c>
      <c r="GC18" s="6">
        <v>22.08</v>
      </c>
      <c r="GD18" s="6">
        <v>-20.68908766</v>
      </c>
      <c r="GE18" s="1" t="s">
        <v>1350</v>
      </c>
      <c r="GF18" s="1" t="s">
        <v>1374</v>
      </c>
    </row>
    <row r="19">
      <c r="A19" s="1" t="s">
        <v>67</v>
      </c>
      <c r="B19" s="6">
        <v>4.0</v>
      </c>
      <c r="C19" s="6">
        <v>0.0</v>
      </c>
      <c r="D19" s="6">
        <v>2.0</v>
      </c>
      <c r="E19" s="6">
        <v>0.0</v>
      </c>
      <c r="F19" s="6">
        <v>543.9121</v>
      </c>
      <c r="G19" s="6">
        <v>1123.259</v>
      </c>
      <c r="H19" s="6">
        <v>2285.634</v>
      </c>
      <c r="I19" s="6">
        <v>3139.703</v>
      </c>
      <c r="J19" s="6">
        <v>3430.0</v>
      </c>
      <c r="K19" s="6">
        <v>8060.0</v>
      </c>
      <c r="L19" s="6">
        <v>14790.0</v>
      </c>
      <c r="M19" s="6">
        <v>18524.0</v>
      </c>
      <c r="N19" s="6">
        <v>75.0</v>
      </c>
      <c r="O19" s="6">
        <v>166.0</v>
      </c>
      <c r="P19" s="6">
        <v>310.0</v>
      </c>
      <c r="Q19" s="6">
        <v>446.0</v>
      </c>
      <c r="R19" s="6">
        <v>476.0</v>
      </c>
      <c r="S19" s="6">
        <v>1298.0</v>
      </c>
      <c r="T19" s="6">
        <v>2212.0</v>
      </c>
      <c r="U19" s="6">
        <v>2994.0</v>
      </c>
      <c r="V19" s="6">
        <v>34.3737</v>
      </c>
      <c r="W19" s="6">
        <v>89.4314</v>
      </c>
      <c r="X19" s="6">
        <v>158.5346</v>
      </c>
      <c r="Y19" s="6">
        <v>216.6326</v>
      </c>
      <c r="Z19" s="6">
        <v>348.2014</v>
      </c>
      <c r="AA19" s="6">
        <v>798.966</v>
      </c>
      <c r="AB19" s="6">
        <v>1320.291</v>
      </c>
      <c r="AC19" s="6">
        <v>1698.565</v>
      </c>
      <c r="AD19" s="6">
        <v>1300.0</v>
      </c>
      <c r="AE19" s="6">
        <v>3204.0</v>
      </c>
      <c r="AF19" s="6">
        <v>4662.0</v>
      </c>
      <c r="AG19" s="6">
        <v>5022.0</v>
      </c>
      <c r="AH19" s="6">
        <v>58.0</v>
      </c>
      <c r="AI19" s="6">
        <v>126.0</v>
      </c>
      <c r="AJ19" s="6">
        <v>210.0</v>
      </c>
      <c r="AK19" s="6">
        <v>276.0</v>
      </c>
      <c r="AL19" s="6">
        <v>336.0</v>
      </c>
      <c r="AM19" s="6">
        <v>858.0</v>
      </c>
      <c r="AN19" s="6">
        <v>1266.0</v>
      </c>
      <c r="AO19" s="6">
        <v>1434.0</v>
      </c>
      <c r="AP19" s="6">
        <v>23.3226</v>
      </c>
      <c r="AQ19" s="6">
        <v>59.6442</v>
      </c>
      <c r="AR19" s="6">
        <v>91.6542</v>
      </c>
      <c r="AS19" s="6">
        <v>107.6148</v>
      </c>
      <c r="AT19" s="6">
        <v>180.1877</v>
      </c>
      <c r="AU19" s="6">
        <v>351.1908</v>
      </c>
      <c r="AV19" s="6">
        <v>626.9546</v>
      </c>
      <c r="AW19" s="6">
        <v>730.4826</v>
      </c>
      <c r="AX19" s="6">
        <v>918.0</v>
      </c>
      <c r="AY19" s="6">
        <v>1924.0</v>
      </c>
      <c r="AZ19" s="6">
        <v>2902.0</v>
      </c>
      <c r="BA19" s="6">
        <v>2538.0</v>
      </c>
      <c r="BB19" s="6">
        <v>24.66667</v>
      </c>
      <c r="BC19" s="6">
        <v>51.33333</v>
      </c>
      <c r="BD19" s="6">
        <v>86.0</v>
      </c>
      <c r="BE19" s="6">
        <v>104.0</v>
      </c>
      <c r="BF19" s="6">
        <v>137.3333</v>
      </c>
      <c r="BG19" s="6">
        <v>339.3333</v>
      </c>
      <c r="BH19" s="6">
        <v>462.0</v>
      </c>
      <c r="BI19" s="6">
        <v>490.0</v>
      </c>
      <c r="BJ19" s="6">
        <v>10.93707</v>
      </c>
      <c r="BK19" s="6">
        <v>26.0938</v>
      </c>
      <c r="BL19" s="6">
        <v>39.8446</v>
      </c>
      <c r="BM19" s="6">
        <v>42.0912</v>
      </c>
      <c r="BN19" s="6">
        <v>9.2416</v>
      </c>
      <c r="BO19" s="6">
        <v>15.504</v>
      </c>
      <c r="BP19" s="6">
        <v>31.008</v>
      </c>
      <c r="BQ19" s="6">
        <v>59.2496</v>
      </c>
      <c r="BR19" s="6">
        <v>49.0</v>
      </c>
      <c r="BS19" s="6">
        <v>84.0</v>
      </c>
      <c r="BT19" s="6">
        <v>168.0</v>
      </c>
      <c r="BU19" s="6">
        <v>203.0</v>
      </c>
      <c r="BV19" s="6">
        <v>1.0</v>
      </c>
      <c r="BW19" s="6">
        <v>2.0</v>
      </c>
      <c r="BX19" s="6">
        <v>4.0</v>
      </c>
      <c r="BY19" s="6">
        <v>8.0</v>
      </c>
      <c r="BZ19" s="6">
        <v>4.0</v>
      </c>
      <c r="CA19" s="6">
        <v>12.0</v>
      </c>
      <c r="CB19" s="6">
        <v>26.0</v>
      </c>
      <c r="CC19" s="6">
        <v>32.0</v>
      </c>
      <c r="CD19" s="6">
        <v>0.5625</v>
      </c>
      <c r="CE19" s="6">
        <v>1.155</v>
      </c>
      <c r="CF19" s="6">
        <v>2.31</v>
      </c>
      <c r="CG19" s="6">
        <v>3.405</v>
      </c>
      <c r="CH19" s="6">
        <v>10.9696</v>
      </c>
      <c r="CI19" s="6">
        <v>12.3768</v>
      </c>
      <c r="CJ19" s="6">
        <v>37.35813</v>
      </c>
      <c r="CK19" s="6">
        <v>45.75413</v>
      </c>
      <c r="CL19" s="6">
        <v>59.0</v>
      </c>
      <c r="CM19" s="6">
        <v>120.3333</v>
      </c>
      <c r="CN19" s="6">
        <v>173.3333</v>
      </c>
      <c r="CO19" s="6">
        <v>223.3333</v>
      </c>
      <c r="CP19" s="6">
        <v>1.0</v>
      </c>
      <c r="CQ19" s="6">
        <v>1.5</v>
      </c>
      <c r="CR19" s="6">
        <v>4.166667</v>
      </c>
      <c r="CS19" s="6">
        <v>4.333333</v>
      </c>
      <c r="CT19" s="6">
        <v>2.833333</v>
      </c>
      <c r="CU19" s="6">
        <v>10.66667</v>
      </c>
      <c r="CV19" s="6">
        <v>15.83333</v>
      </c>
      <c r="CW19" s="6">
        <v>14.83333</v>
      </c>
      <c r="CX19" s="6">
        <v>0.542767</v>
      </c>
      <c r="CY19" s="6">
        <v>0.97765</v>
      </c>
      <c r="CZ19" s="6">
        <v>2.036517</v>
      </c>
      <c r="DA19" s="6">
        <v>2.1741</v>
      </c>
      <c r="DB19" s="6">
        <v>0.0</v>
      </c>
      <c r="DC19" s="6">
        <v>0.98</v>
      </c>
      <c r="DD19" s="6">
        <v>1.96</v>
      </c>
      <c r="DE19" s="6">
        <v>4.83</v>
      </c>
      <c r="DF19" s="6">
        <v>0.0</v>
      </c>
      <c r="DG19" s="6">
        <v>2.0</v>
      </c>
      <c r="DH19" s="6">
        <v>4.0</v>
      </c>
      <c r="DI19" s="6">
        <v>27.0</v>
      </c>
      <c r="DJ19" s="6">
        <v>0.0</v>
      </c>
      <c r="DK19" s="6">
        <v>0.0</v>
      </c>
      <c r="DL19" s="6">
        <v>0.0</v>
      </c>
      <c r="DM19" s="6">
        <v>0.0</v>
      </c>
      <c r="DN19" s="6">
        <v>0.0</v>
      </c>
      <c r="DO19" s="6">
        <v>-2.0</v>
      </c>
      <c r="DP19" s="6">
        <v>-5.0</v>
      </c>
      <c r="DQ19" s="6">
        <v>0.0</v>
      </c>
      <c r="DR19" s="6">
        <v>0.0</v>
      </c>
      <c r="DS19" s="6">
        <v>-0.04</v>
      </c>
      <c r="DT19" s="6">
        <v>-0.08</v>
      </c>
      <c r="DU19" s="6">
        <v>1.46</v>
      </c>
      <c r="DV19" s="6">
        <v>0.0</v>
      </c>
      <c r="DW19" s="6">
        <v>0.981667</v>
      </c>
      <c r="DX19" s="6">
        <v>2.005</v>
      </c>
      <c r="DY19" s="6">
        <v>-0.03</v>
      </c>
      <c r="DZ19" s="6">
        <v>0.0</v>
      </c>
      <c r="EA19" s="6">
        <v>-4.5</v>
      </c>
      <c r="EB19" s="6">
        <v>8.5</v>
      </c>
      <c r="EC19" s="6">
        <v>3.0</v>
      </c>
      <c r="ED19" s="6">
        <v>0.0</v>
      </c>
      <c r="EE19" s="6">
        <v>0.0</v>
      </c>
      <c r="EF19" s="6">
        <v>0.0</v>
      </c>
      <c r="EG19" s="6">
        <v>0.0</v>
      </c>
      <c r="EH19" s="6">
        <v>0.0</v>
      </c>
      <c r="EI19" s="6">
        <v>-2.83333</v>
      </c>
      <c r="EJ19" s="6">
        <v>-0.83333</v>
      </c>
      <c r="EK19" s="6">
        <v>0.5</v>
      </c>
      <c r="EL19" s="6">
        <v>0.0</v>
      </c>
      <c r="EM19" s="6">
        <v>-0.21</v>
      </c>
      <c r="EN19" s="6">
        <v>0.33</v>
      </c>
      <c r="EO19" s="6">
        <v>0.273333</v>
      </c>
      <c r="EP19" s="6">
        <v>3.3489</v>
      </c>
      <c r="EQ19" s="6">
        <v>34.8432</v>
      </c>
      <c r="ER19" s="6">
        <v>51.4413</v>
      </c>
      <c r="ES19" s="6">
        <v>100.6683</v>
      </c>
      <c r="ET19" s="6">
        <v>676.0</v>
      </c>
      <c r="EU19" s="6">
        <v>1144.0</v>
      </c>
      <c r="EV19" s="6">
        <v>2236.0</v>
      </c>
      <c r="EW19" s="6">
        <v>2704.0</v>
      </c>
      <c r="EX19" s="6">
        <v>1.0</v>
      </c>
      <c r="EY19" s="6">
        <v>6.0</v>
      </c>
      <c r="EZ19" s="6">
        <v>11.0</v>
      </c>
      <c r="FA19" s="6">
        <v>21.0</v>
      </c>
      <c r="FB19" s="6">
        <v>36.0</v>
      </c>
      <c r="FC19" s="6">
        <v>102.0</v>
      </c>
      <c r="FD19" s="6">
        <v>228.0</v>
      </c>
      <c r="FE19" s="6">
        <v>270.0</v>
      </c>
      <c r="FF19" s="6">
        <v>1.5625</v>
      </c>
      <c r="FG19" s="6">
        <v>5.575</v>
      </c>
      <c r="FH19" s="6">
        <v>11.2125</v>
      </c>
      <c r="FI19" s="6">
        <v>17.0125</v>
      </c>
      <c r="FJ19" s="6">
        <v>0.0</v>
      </c>
      <c r="FK19" s="6">
        <v>-8.06</v>
      </c>
      <c r="FL19" s="6">
        <v>-7.98</v>
      </c>
      <c r="FM19" s="6">
        <v>-16.58</v>
      </c>
      <c r="FN19" s="6">
        <v>0.0</v>
      </c>
      <c r="FO19" s="6">
        <v>112.0</v>
      </c>
      <c r="FP19" s="6">
        <v>200.0</v>
      </c>
      <c r="FQ19" s="6">
        <v>442.0</v>
      </c>
      <c r="FR19" s="6">
        <v>0.0</v>
      </c>
      <c r="FS19" s="6">
        <v>0.0</v>
      </c>
      <c r="FT19" s="6">
        <v>0.0</v>
      </c>
      <c r="FU19" s="6">
        <v>0.0</v>
      </c>
      <c r="FV19" s="6">
        <v>0.0</v>
      </c>
      <c r="FW19" s="6">
        <v>19.0</v>
      </c>
      <c r="FX19" s="6">
        <v>28.0</v>
      </c>
      <c r="FY19" s="6">
        <v>81.0</v>
      </c>
      <c r="FZ19" s="6">
        <v>0.0</v>
      </c>
      <c r="GA19" s="6">
        <v>3.04</v>
      </c>
      <c r="GB19" s="6">
        <v>4.78</v>
      </c>
      <c r="GC19" s="6">
        <v>12.64</v>
      </c>
      <c r="GD19" s="6">
        <v>-15.97214761</v>
      </c>
      <c r="GE19" s="1" t="s">
        <v>1353</v>
      </c>
      <c r="GF19" s="1" t="s">
        <v>1375</v>
      </c>
    </row>
    <row r="20">
      <c r="A20" s="1" t="s">
        <v>69</v>
      </c>
      <c r="B20" s="6">
        <v>4.0</v>
      </c>
      <c r="C20" s="6">
        <v>0.0</v>
      </c>
      <c r="D20" s="6">
        <v>2.0</v>
      </c>
      <c r="E20" s="6">
        <v>0.0</v>
      </c>
      <c r="F20" s="6">
        <v>439.8721</v>
      </c>
      <c r="G20" s="6">
        <v>868.1568</v>
      </c>
      <c r="H20" s="6">
        <v>1962.18</v>
      </c>
      <c r="I20" s="6">
        <v>2832.335</v>
      </c>
      <c r="J20" s="6">
        <v>2854.0</v>
      </c>
      <c r="K20" s="6">
        <v>6644.0</v>
      </c>
      <c r="L20" s="6">
        <v>13212.0</v>
      </c>
      <c r="M20" s="6">
        <v>15500.0</v>
      </c>
      <c r="N20" s="6">
        <v>59.0</v>
      </c>
      <c r="O20" s="6">
        <v>126.0</v>
      </c>
      <c r="P20" s="6">
        <v>262.0</v>
      </c>
      <c r="Q20" s="6">
        <v>402.0</v>
      </c>
      <c r="R20" s="6">
        <v>388.0</v>
      </c>
      <c r="S20" s="6">
        <v>1098.0</v>
      </c>
      <c r="T20" s="6">
        <v>2030.0</v>
      </c>
      <c r="U20" s="6">
        <v>2906.0</v>
      </c>
      <c r="V20" s="6">
        <v>24.8873</v>
      </c>
      <c r="W20" s="6">
        <v>65.6538</v>
      </c>
      <c r="X20" s="6">
        <v>126.0858</v>
      </c>
      <c r="Y20" s="6">
        <v>186.8566</v>
      </c>
      <c r="Z20" s="6">
        <v>244.1614</v>
      </c>
      <c r="AA20" s="6">
        <v>543.864</v>
      </c>
      <c r="AB20" s="6">
        <v>978.171</v>
      </c>
      <c r="AC20" s="6">
        <v>1222.039</v>
      </c>
      <c r="AD20" s="6">
        <v>724.0</v>
      </c>
      <c r="AE20" s="6">
        <v>1788.0</v>
      </c>
      <c r="AF20" s="6">
        <v>2460.0</v>
      </c>
      <c r="AG20" s="6">
        <v>2780.0</v>
      </c>
      <c r="AH20" s="6">
        <v>42.0</v>
      </c>
      <c r="AI20" s="6">
        <v>86.0</v>
      </c>
      <c r="AJ20" s="6">
        <v>158.0</v>
      </c>
      <c r="AK20" s="6">
        <v>202.0</v>
      </c>
      <c r="AL20" s="6">
        <v>244.0</v>
      </c>
      <c r="AM20" s="6">
        <v>610.0</v>
      </c>
      <c r="AN20" s="6">
        <v>876.0</v>
      </c>
      <c r="AO20" s="6">
        <v>1084.0</v>
      </c>
      <c r="AP20" s="6">
        <v>13.8362</v>
      </c>
      <c r="AQ20" s="6">
        <v>35.8666</v>
      </c>
      <c r="AR20" s="6">
        <v>55.3554</v>
      </c>
      <c r="AS20" s="6">
        <v>69.447</v>
      </c>
      <c r="AT20" s="6">
        <v>145.5077</v>
      </c>
      <c r="AU20" s="6">
        <v>266.1568</v>
      </c>
      <c r="AV20" s="6">
        <v>512.9146</v>
      </c>
      <c r="AW20" s="6">
        <v>571.6407</v>
      </c>
      <c r="AX20" s="6">
        <v>726.0</v>
      </c>
      <c r="AY20" s="6">
        <v>1452.0</v>
      </c>
      <c r="AZ20" s="6">
        <v>2168.0</v>
      </c>
      <c r="BA20" s="6">
        <v>1790.667</v>
      </c>
      <c r="BB20" s="6">
        <v>19.33333</v>
      </c>
      <c r="BC20" s="6">
        <v>38.0</v>
      </c>
      <c r="BD20" s="6">
        <v>68.66667</v>
      </c>
      <c r="BE20" s="6">
        <v>79.33333</v>
      </c>
      <c r="BF20" s="6">
        <v>106.6667</v>
      </c>
      <c r="BG20" s="6">
        <v>256.6667</v>
      </c>
      <c r="BH20" s="6">
        <v>332.0</v>
      </c>
      <c r="BI20" s="6">
        <v>373.3333</v>
      </c>
      <c r="BJ20" s="6">
        <v>7.774933</v>
      </c>
      <c r="BK20" s="6">
        <v>18.16793</v>
      </c>
      <c r="BL20" s="6">
        <v>27.745</v>
      </c>
      <c r="BM20" s="6">
        <v>29.3686</v>
      </c>
      <c r="BN20" s="6">
        <v>9.2416</v>
      </c>
      <c r="BO20" s="6">
        <v>23.256</v>
      </c>
      <c r="BP20" s="6">
        <v>62.32</v>
      </c>
      <c r="BQ20" s="6">
        <v>39.6112</v>
      </c>
      <c r="BR20" s="6">
        <v>49.0</v>
      </c>
      <c r="BS20" s="6">
        <v>126.0</v>
      </c>
      <c r="BT20" s="6">
        <v>133.0</v>
      </c>
      <c r="BU20" s="6">
        <v>154.0</v>
      </c>
      <c r="BV20" s="6">
        <v>1.0</v>
      </c>
      <c r="BW20" s="6">
        <v>3.0</v>
      </c>
      <c r="BX20" s="6">
        <v>9.0</v>
      </c>
      <c r="BY20" s="6">
        <v>5.0</v>
      </c>
      <c r="BZ20" s="6">
        <v>9.0</v>
      </c>
      <c r="CA20" s="6">
        <v>36.0</v>
      </c>
      <c r="CB20" s="6">
        <v>42.0</v>
      </c>
      <c r="CC20" s="6">
        <v>30.0</v>
      </c>
      <c r="CD20" s="6">
        <v>0.5625</v>
      </c>
      <c r="CE20" s="6">
        <v>1.7325</v>
      </c>
      <c r="CF20" s="6">
        <v>3.0975</v>
      </c>
      <c r="CG20" s="6">
        <v>2.2575</v>
      </c>
      <c r="CH20" s="6">
        <v>10.9696</v>
      </c>
      <c r="CI20" s="6">
        <v>12.3768</v>
      </c>
      <c r="CJ20" s="6">
        <v>37.1808</v>
      </c>
      <c r="CK20" s="6">
        <v>45.98213</v>
      </c>
      <c r="CL20" s="6">
        <v>59.0</v>
      </c>
      <c r="CM20" s="6">
        <v>120.3333</v>
      </c>
      <c r="CN20" s="6">
        <v>167.5</v>
      </c>
      <c r="CO20" s="6">
        <v>195.3333</v>
      </c>
      <c r="CP20" s="6">
        <v>1.0</v>
      </c>
      <c r="CQ20" s="6">
        <v>1.5</v>
      </c>
      <c r="CR20" s="6">
        <v>4.166667</v>
      </c>
      <c r="CS20" s="6">
        <v>4.5</v>
      </c>
      <c r="CT20" s="6">
        <v>2.833333</v>
      </c>
      <c r="CU20" s="6">
        <v>10.66667</v>
      </c>
      <c r="CV20" s="6">
        <v>16.16667</v>
      </c>
      <c r="CW20" s="6">
        <v>12.0</v>
      </c>
      <c r="CX20" s="6">
        <v>0.542767</v>
      </c>
      <c r="CY20" s="6">
        <v>0.97765</v>
      </c>
      <c r="CZ20" s="6">
        <v>1.986517</v>
      </c>
      <c r="DA20" s="6">
        <v>1.97035</v>
      </c>
      <c r="DB20" s="6">
        <v>0.0</v>
      </c>
      <c r="DC20" s="6">
        <v>1.47</v>
      </c>
      <c r="DD20" s="6">
        <v>6.86</v>
      </c>
      <c r="DE20" s="6">
        <v>2.17</v>
      </c>
      <c r="DF20" s="6">
        <v>0.0</v>
      </c>
      <c r="DG20" s="6">
        <v>3.0</v>
      </c>
      <c r="DH20" s="6">
        <v>44.0</v>
      </c>
      <c r="DI20" s="6">
        <v>13.0</v>
      </c>
      <c r="DJ20" s="6">
        <v>0.0</v>
      </c>
      <c r="DK20" s="6">
        <v>0.0</v>
      </c>
      <c r="DL20" s="6">
        <v>0.0</v>
      </c>
      <c r="DM20" s="6">
        <v>0.0</v>
      </c>
      <c r="DN20" s="6">
        <v>0.0</v>
      </c>
      <c r="DO20" s="6">
        <v>-3.0</v>
      </c>
      <c r="DP20" s="6">
        <v>13.0</v>
      </c>
      <c r="DQ20" s="6">
        <v>5.0</v>
      </c>
      <c r="DR20" s="6">
        <v>0.0</v>
      </c>
      <c r="DS20" s="6">
        <v>-0.06</v>
      </c>
      <c r="DT20" s="6">
        <v>2.62</v>
      </c>
      <c r="DU20" s="6">
        <v>0.74</v>
      </c>
      <c r="DV20" s="6">
        <v>0.0</v>
      </c>
      <c r="DW20" s="6">
        <v>0.981667</v>
      </c>
      <c r="DX20" s="6">
        <v>2.063333</v>
      </c>
      <c r="DY20" s="6">
        <v>0.401667</v>
      </c>
      <c r="DZ20" s="6">
        <v>0.0</v>
      </c>
      <c r="EA20" s="6">
        <v>-4.5</v>
      </c>
      <c r="EB20" s="6">
        <v>9.333333</v>
      </c>
      <c r="EC20" s="6">
        <v>8.166667</v>
      </c>
      <c r="ED20" s="6">
        <v>0.0</v>
      </c>
      <c r="EE20" s="6">
        <v>0.0</v>
      </c>
      <c r="EF20" s="6">
        <v>0.0</v>
      </c>
      <c r="EG20" s="6">
        <v>0.0</v>
      </c>
      <c r="EH20" s="6">
        <v>0.0</v>
      </c>
      <c r="EI20" s="6">
        <v>-2.83333</v>
      </c>
      <c r="EJ20" s="6">
        <v>-1.0</v>
      </c>
      <c r="EK20" s="6">
        <v>1.833333</v>
      </c>
      <c r="EL20" s="6">
        <v>0.0</v>
      </c>
      <c r="EM20" s="6">
        <v>-0.21</v>
      </c>
      <c r="EN20" s="6">
        <v>0.396667</v>
      </c>
      <c r="EO20" s="6">
        <v>0.67</v>
      </c>
      <c r="EP20" s="6">
        <v>3.3489</v>
      </c>
      <c r="EQ20" s="6">
        <v>34.8432</v>
      </c>
      <c r="ER20" s="6">
        <v>60.7743</v>
      </c>
      <c r="ES20" s="6">
        <v>128.3928</v>
      </c>
      <c r="ET20" s="6">
        <v>676.0</v>
      </c>
      <c r="EU20" s="6">
        <v>1144.0</v>
      </c>
      <c r="EV20" s="6">
        <v>2548.0</v>
      </c>
      <c r="EW20" s="6">
        <v>2002.0</v>
      </c>
      <c r="EX20" s="6">
        <v>1.0</v>
      </c>
      <c r="EY20" s="6">
        <v>6.0</v>
      </c>
      <c r="EZ20" s="6">
        <v>13.0</v>
      </c>
      <c r="FA20" s="6">
        <v>29.0</v>
      </c>
      <c r="FB20" s="6">
        <v>36.0</v>
      </c>
      <c r="FC20" s="6">
        <v>114.0</v>
      </c>
      <c r="FD20" s="6">
        <v>300.0</v>
      </c>
      <c r="FE20" s="6">
        <v>234.0</v>
      </c>
      <c r="FF20" s="6">
        <v>1.5625</v>
      </c>
      <c r="FG20" s="6">
        <v>5.575</v>
      </c>
      <c r="FH20" s="6">
        <v>13.1375</v>
      </c>
      <c r="FI20" s="6">
        <v>17.2125</v>
      </c>
      <c r="FJ20" s="6">
        <v>0.0</v>
      </c>
      <c r="FK20" s="6">
        <v>-8.06</v>
      </c>
      <c r="FL20" s="6">
        <v>-9.42</v>
      </c>
      <c r="FM20" s="6">
        <v>-17.09</v>
      </c>
      <c r="FN20" s="6">
        <v>0.0</v>
      </c>
      <c r="FO20" s="6">
        <v>112.0</v>
      </c>
      <c r="FP20" s="6">
        <v>240.0</v>
      </c>
      <c r="FQ20" s="6">
        <v>677.0</v>
      </c>
      <c r="FR20" s="6">
        <v>0.0</v>
      </c>
      <c r="FS20" s="6">
        <v>0.0</v>
      </c>
      <c r="FT20" s="6">
        <v>0.0</v>
      </c>
      <c r="FU20" s="6">
        <v>0.0</v>
      </c>
      <c r="FV20" s="6">
        <v>0.0</v>
      </c>
      <c r="FW20" s="6">
        <v>17.0</v>
      </c>
      <c r="FX20" s="6">
        <v>28.0</v>
      </c>
      <c r="FY20" s="6">
        <v>135.0</v>
      </c>
      <c r="FZ20" s="6">
        <v>0.0</v>
      </c>
      <c r="GA20" s="6">
        <v>3.04</v>
      </c>
      <c r="GB20" s="6">
        <v>5.74</v>
      </c>
      <c r="GC20" s="6">
        <v>22.48</v>
      </c>
      <c r="GD20" s="6">
        <v>-15.79205425</v>
      </c>
      <c r="GE20" s="1" t="s">
        <v>1354</v>
      </c>
      <c r="GF20" s="1" t="s">
        <v>1376</v>
      </c>
    </row>
    <row r="21">
      <c r="A21" s="1" t="s">
        <v>71</v>
      </c>
      <c r="B21" s="6">
        <v>4.0</v>
      </c>
      <c r="C21" s="6">
        <v>0.0</v>
      </c>
      <c r="D21" s="6">
        <v>2.0</v>
      </c>
      <c r="E21" s="6">
        <v>0.0</v>
      </c>
      <c r="F21" s="6">
        <v>488.5671</v>
      </c>
      <c r="G21" s="6">
        <v>992.1378</v>
      </c>
      <c r="H21" s="6">
        <v>2187.034</v>
      </c>
      <c r="I21" s="6">
        <v>3162.194</v>
      </c>
      <c r="J21" s="6">
        <v>3072.0</v>
      </c>
      <c r="K21" s="6">
        <v>7232.0</v>
      </c>
      <c r="L21" s="6">
        <v>13888.0</v>
      </c>
      <c r="M21" s="6">
        <v>17402.0</v>
      </c>
      <c r="N21" s="6">
        <v>67.0</v>
      </c>
      <c r="O21" s="6">
        <v>146.0</v>
      </c>
      <c r="P21" s="6">
        <v>298.0</v>
      </c>
      <c r="Q21" s="6">
        <v>460.0</v>
      </c>
      <c r="R21" s="6">
        <v>444.0</v>
      </c>
      <c r="S21" s="6">
        <v>1264.0</v>
      </c>
      <c r="T21" s="6">
        <v>2282.0</v>
      </c>
      <c r="U21" s="6">
        <v>3178.0</v>
      </c>
      <c r="V21" s="6">
        <v>28.7185</v>
      </c>
      <c r="W21" s="6">
        <v>76.3106</v>
      </c>
      <c r="X21" s="6">
        <v>143.845</v>
      </c>
      <c r="Y21" s="6">
        <v>206.3656</v>
      </c>
      <c r="Z21" s="6">
        <v>292.8564</v>
      </c>
      <c r="AA21" s="6">
        <v>667.845</v>
      </c>
      <c r="AB21" s="6">
        <v>1212.358</v>
      </c>
      <c r="AC21" s="6">
        <v>1600.477</v>
      </c>
      <c r="AD21" s="6">
        <v>942.0</v>
      </c>
      <c r="AE21" s="6">
        <v>2376.0</v>
      </c>
      <c r="AF21" s="6">
        <v>3448.0</v>
      </c>
      <c r="AG21" s="6">
        <v>3456.0</v>
      </c>
      <c r="AH21" s="6">
        <v>50.0</v>
      </c>
      <c r="AI21" s="6">
        <v>106.0</v>
      </c>
      <c r="AJ21" s="6">
        <v>196.0</v>
      </c>
      <c r="AK21" s="6">
        <v>270.0</v>
      </c>
      <c r="AL21" s="6">
        <v>302.0</v>
      </c>
      <c r="AM21" s="6">
        <v>800.0</v>
      </c>
      <c r="AN21" s="6">
        <v>1220.0</v>
      </c>
      <c r="AO21" s="6">
        <v>1344.0</v>
      </c>
      <c r="AP21" s="6">
        <v>17.6674</v>
      </c>
      <c r="AQ21" s="6">
        <v>46.5234</v>
      </c>
      <c r="AR21" s="6">
        <v>75.0396</v>
      </c>
      <c r="AS21" s="6">
        <v>88.0094</v>
      </c>
      <c r="AT21" s="6">
        <v>161.7394</v>
      </c>
      <c r="AU21" s="6">
        <v>307.4838</v>
      </c>
      <c r="AV21" s="6">
        <v>590.9769</v>
      </c>
      <c r="AW21" s="6">
        <v>697.7866</v>
      </c>
      <c r="AX21" s="6">
        <v>798.6667</v>
      </c>
      <c r="AY21" s="6">
        <v>1648.0</v>
      </c>
      <c r="AZ21" s="6">
        <v>2497.333</v>
      </c>
      <c r="BA21" s="6">
        <v>2016.0</v>
      </c>
      <c r="BB21" s="6">
        <v>22.0</v>
      </c>
      <c r="BC21" s="6">
        <v>44.66667</v>
      </c>
      <c r="BD21" s="6">
        <v>81.33333</v>
      </c>
      <c r="BE21" s="6">
        <v>102.0</v>
      </c>
      <c r="BF21" s="6">
        <v>126.0</v>
      </c>
      <c r="BG21" s="6">
        <v>320.0</v>
      </c>
      <c r="BH21" s="6">
        <v>446.6667</v>
      </c>
      <c r="BI21" s="6">
        <v>460.0</v>
      </c>
      <c r="BJ21" s="6">
        <v>9.052</v>
      </c>
      <c r="BK21" s="6">
        <v>21.7202</v>
      </c>
      <c r="BL21" s="6">
        <v>34.3064</v>
      </c>
      <c r="BM21" s="6">
        <v>35.55607</v>
      </c>
      <c r="BN21" s="6">
        <v>9.2416</v>
      </c>
      <c r="BO21" s="6">
        <v>19.38</v>
      </c>
      <c r="BP21" s="6">
        <v>47.196</v>
      </c>
      <c r="BQ21" s="6">
        <v>55.5864</v>
      </c>
      <c r="BR21" s="6">
        <v>49.0</v>
      </c>
      <c r="BS21" s="6">
        <v>105.0</v>
      </c>
      <c r="BT21" s="6">
        <v>168.0</v>
      </c>
      <c r="BU21" s="6">
        <v>168.0</v>
      </c>
      <c r="BV21" s="6">
        <v>1.0</v>
      </c>
      <c r="BW21" s="6">
        <v>2.5</v>
      </c>
      <c r="BX21" s="6">
        <v>6.5</v>
      </c>
      <c r="BY21" s="6">
        <v>7.5</v>
      </c>
      <c r="BZ21" s="6">
        <v>6.5</v>
      </c>
      <c r="CA21" s="6">
        <v>24.0</v>
      </c>
      <c r="CB21" s="6">
        <v>41.0</v>
      </c>
      <c r="CC21" s="6">
        <v>35.5</v>
      </c>
      <c r="CD21" s="6">
        <v>0.5625</v>
      </c>
      <c r="CE21" s="6">
        <v>1.44375</v>
      </c>
      <c r="CF21" s="6">
        <v>2.85375</v>
      </c>
      <c r="CG21" s="6">
        <v>2.95875</v>
      </c>
      <c r="CH21" s="6">
        <v>10.9696</v>
      </c>
      <c r="CI21" s="6">
        <v>12.3768</v>
      </c>
      <c r="CJ21" s="6">
        <v>37.35813</v>
      </c>
      <c r="CK21" s="6">
        <v>45.9112</v>
      </c>
      <c r="CL21" s="6">
        <v>59.0</v>
      </c>
      <c r="CM21" s="6">
        <v>120.3333</v>
      </c>
      <c r="CN21" s="6">
        <v>173.3333</v>
      </c>
      <c r="CO21" s="6">
        <v>200.0</v>
      </c>
      <c r="CP21" s="6">
        <v>1.0</v>
      </c>
      <c r="CQ21" s="6">
        <v>1.5</v>
      </c>
      <c r="CR21" s="6">
        <v>4.166667</v>
      </c>
      <c r="CS21" s="6">
        <v>4.5</v>
      </c>
      <c r="CT21" s="6">
        <v>2.833333</v>
      </c>
      <c r="CU21" s="6">
        <v>10.66667</v>
      </c>
      <c r="CV21" s="6">
        <v>17.66667</v>
      </c>
      <c r="CW21" s="6">
        <v>13.83333</v>
      </c>
      <c r="CX21" s="6">
        <v>0.542767</v>
      </c>
      <c r="CY21" s="6">
        <v>0.97765</v>
      </c>
      <c r="CZ21" s="6">
        <v>2.036517</v>
      </c>
      <c r="DA21" s="6">
        <v>2.02285</v>
      </c>
      <c r="DB21" s="6">
        <v>0.0</v>
      </c>
      <c r="DC21" s="6">
        <v>1.225</v>
      </c>
      <c r="DD21" s="6">
        <v>4.235</v>
      </c>
      <c r="DE21" s="6">
        <v>4.515</v>
      </c>
      <c r="DF21" s="6">
        <v>0.0</v>
      </c>
      <c r="DG21" s="6">
        <v>2.5</v>
      </c>
      <c r="DH21" s="6">
        <v>21.5</v>
      </c>
      <c r="DI21" s="6">
        <v>28.5</v>
      </c>
      <c r="DJ21" s="6">
        <v>0.0</v>
      </c>
      <c r="DK21" s="6">
        <v>0.0</v>
      </c>
      <c r="DL21" s="6">
        <v>0.0</v>
      </c>
      <c r="DM21" s="6">
        <v>0.0</v>
      </c>
      <c r="DN21" s="6">
        <v>0.0</v>
      </c>
      <c r="DO21" s="6">
        <v>-2.5</v>
      </c>
      <c r="DP21" s="6">
        <v>2.0</v>
      </c>
      <c r="DQ21" s="6">
        <v>6.0</v>
      </c>
      <c r="DR21" s="6">
        <v>0.0</v>
      </c>
      <c r="DS21" s="6">
        <v>-0.05</v>
      </c>
      <c r="DT21" s="6">
        <v>1.07</v>
      </c>
      <c r="DU21" s="6">
        <v>1.68</v>
      </c>
      <c r="DV21" s="6">
        <v>0.0</v>
      </c>
      <c r="DW21" s="6">
        <v>0.981667</v>
      </c>
      <c r="DX21" s="6">
        <v>2.005</v>
      </c>
      <c r="DY21" s="6">
        <v>0.425</v>
      </c>
      <c r="DZ21" s="6">
        <v>0.0</v>
      </c>
      <c r="EA21" s="6">
        <v>-4.5</v>
      </c>
      <c r="EB21" s="6">
        <v>8.5</v>
      </c>
      <c r="EC21" s="6">
        <v>7.5</v>
      </c>
      <c r="ED21" s="6">
        <v>0.0</v>
      </c>
      <c r="EE21" s="6">
        <v>0.0</v>
      </c>
      <c r="EF21" s="6">
        <v>0.0</v>
      </c>
      <c r="EG21" s="6">
        <v>0.0</v>
      </c>
      <c r="EH21" s="6">
        <v>0.0</v>
      </c>
      <c r="EI21" s="6">
        <v>-2.83333</v>
      </c>
      <c r="EJ21" s="6">
        <v>-1.33333</v>
      </c>
      <c r="EK21" s="6">
        <v>2.0</v>
      </c>
      <c r="EL21" s="6">
        <v>0.0</v>
      </c>
      <c r="EM21" s="6">
        <v>-0.21</v>
      </c>
      <c r="EN21" s="6">
        <v>0.33</v>
      </c>
      <c r="EO21" s="6">
        <v>0.6</v>
      </c>
      <c r="EP21" s="6">
        <v>3.3489</v>
      </c>
      <c r="EQ21" s="6">
        <v>34.8432</v>
      </c>
      <c r="ER21" s="6">
        <v>56.1078</v>
      </c>
      <c r="ES21" s="6">
        <v>120.1578</v>
      </c>
      <c r="ET21" s="6">
        <v>676.0</v>
      </c>
      <c r="EU21" s="6">
        <v>1144.0</v>
      </c>
      <c r="EV21" s="6">
        <v>2392.0</v>
      </c>
      <c r="EW21" s="6">
        <v>2704.0</v>
      </c>
      <c r="EX21" s="6">
        <v>1.0</v>
      </c>
      <c r="EY21" s="6">
        <v>6.0</v>
      </c>
      <c r="EZ21" s="6">
        <v>12.0</v>
      </c>
      <c r="FA21" s="6">
        <v>26.0</v>
      </c>
      <c r="FB21" s="6">
        <v>36.0</v>
      </c>
      <c r="FC21" s="6">
        <v>108.0</v>
      </c>
      <c r="FD21" s="6">
        <v>264.0</v>
      </c>
      <c r="FE21" s="6">
        <v>312.0</v>
      </c>
      <c r="FF21" s="6">
        <v>1.5625</v>
      </c>
      <c r="FG21" s="6">
        <v>5.575</v>
      </c>
      <c r="FH21" s="6">
        <v>12.175</v>
      </c>
      <c r="FI21" s="6">
        <v>18.825</v>
      </c>
      <c r="FJ21" s="6">
        <v>0.0</v>
      </c>
      <c r="FK21" s="6">
        <v>-8.06</v>
      </c>
      <c r="FL21" s="6">
        <v>-8.7</v>
      </c>
      <c r="FM21" s="6">
        <v>-18.08</v>
      </c>
      <c r="FN21" s="6">
        <v>0.0</v>
      </c>
      <c r="FO21" s="6">
        <v>112.0</v>
      </c>
      <c r="FP21" s="6">
        <v>220.0</v>
      </c>
      <c r="FQ21" s="6">
        <v>572.0</v>
      </c>
      <c r="FR21" s="6">
        <v>0.0</v>
      </c>
      <c r="FS21" s="6">
        <v>0.0</v>
      </c>
      <c r="FT21" s="6">
        <v>0.0</v>
      </c>
      <c r="FU21" s="6">
        <v>0.0</v>
      </c>
      <c r="FV21" s="6">
        <v>0.0</v>
      </c>
      <c r="FW21" s="6">
        <v>18.0</v>
      </c>
      <c r="FX21" s="6">
        <v>28.0</v>
      </c>
      <c r="FY21" s="6">
        <v>104.0</v>
      </c>
      <c r="FZ21" s="6">
        <v>0.0</v>
      </c>
      <c r="GA21" s="6">
        <v>3.04</v>
      </c>
      <c r="GB21" s="6">
        <v>5.26</v>
      </c>
      <c r="GC21" s="6">
        <v>17.44</v>
      </c>
      <c r="GD21" s="6">
        <v>-17.12926314</v>
      </c>
      <c r="GE21" s="1" t="s">
        <v>1351</v>
      </c>
      <c r="GF21" s="1" t="s">
        <v>1377</v>
      </c>
    </row>
    <row r="22">
      <c r="A22" s="1" t="s">
        <v>74</v>
      </c>
      <c r="B22" s="6">
        <v>4.0</v>
      </c>
      <c r="C22" s="6">
        <v>0.0</v>
      </c>
      <c r="D22" s="6">
        <v>2.0</v>
      </c>
      <c r="E22" s="6">
        <v>0.0</v>
      </c>
      <c r="F22" s="6">
        <v>520.9321</v>
      </c>
      <c r="G22" s="6">
        <v>1063.028</v>
      </c>
      <c r="H22" s="6">
        <v>2320.26</v>
      </c>
      <c r="I22" s="6">
        <v>3322.552</v>
      </c>
      <c r="J22" s="6">
        <v>3148.0</v>
      </c>
      <c r="K22" s="6">
        <v>7424.0</v>
      </c>
      <c r="L22" s="6">
        <v>14232.0</v>
      </c>
      <c r="M22" s="6">
        <v>18338.0</v>
      </c>
      <c r="N22" s="6">
        <v>73.0</v>
      </c>
      <c r="O22" s="6">
        <v>158.0</v>
      </c>
      <c r="P22" s="6">
        <v>322.0</v>
      </c>
      <c r="Q22" s="6">
        <v>484.0</v>
      </c>
      <c r="R22" s="6">
        <v>480.0</v>
      </c>
      <c r="S22" s="6">
        <v>1348.0</v>
      </c>
      <c r="T22" s="6">
        <v>2402.0</v>
      </c>
      <c r="U22" s="6">
        <v>3406.0</v>
      </c>
      <c r="V22" s="6">
        <v>30.4519</v>
      </c>
      <c r="W22" s="6">
        <v>80.9614</v>
      </c>
      <c r="X22" s="6">
        <v>151.3386</v>
      </c>
      <c r="Y22" s="6">
        <v>218.1704</v>
      </c>
      <c r="Z22" s="6">
        <v>325.2214</v>
      </c>
      <c r="AA22" s="6">
        <v>738.735</v>
      </c>
      <c r="AB22" s="6">
        <v>1345.584</v>
      </c>
      <c r="AC22" s="6">
        <v>1758.273</v>
      </c>
      <c r="AD22" s="6">
        <v>1018.0</v>
      </c>
      <c r="AE22" s="6">
        <v>2568.0</v>
      </c>
      <c r="AF22" s="6">
        <v>3792.0</v>
      </c>
      <c r="AG22" s="6">
        <v>3872.0</v>
      </c>
      <c r="AH22" s="6">
        <v>56.0</v>
      </c>
      <c r="AI22" s="6">
        <v>118.0</v>
      </c>
      <c r="AJ22" s="6">
        <v>220.0</v>
      </c>
      <c r="AK22" s="6">
        <v>294.0</v>
      </c>
      <c r="AL22" s="6">
        <v>338.0</v>
      </c>
      <c r="AM22" s="6">
        <v>884.0</v>
      </c>
      <c r="AN22" s="6">
        <v>1328.0</v>
      </c>
      <c r="AO22" s="6">
        <v>1488.0</v>
      </c>
      <c r="AP22" s="6">
        <v>19.4008</v>
      </c>
      <c r="AQ22" s="6">
        <v>51.1742</v>
      </c>
      <c r="AR22" s="6">
        <v>82.5332</v>
      </c>
      <c r="AS22" s="6">
        <v>97.8142</v>
      </c>
      <c r="AT22" s="6">
        <v>172.5277</v>
      </c>
      <c r="AU22" s="6">
        <v>331.1138</v>
      </c>
      <c r="AV22" s="6">
        <v>635.3856</v>
      </c>
      <c r="AW22" s="6">
        <v>750.3853</v>
      </c>
      <c r="AX22" s="6">
        <v>824.0</v>
      </c>
      <c r="AY22" s="6">
        <v>1712.0</v>
      </c>
      <c r="AZ22" s="6">
        <v>2612.0</v>
      </c>
      <c r="BA22" s="6">
        <v>2154.667</v>
      </c>
      <c r="BB22" s="6">
        <v>24.0</v>
      </c>
      <c r="BC22" s="6">
        <v>48.66667</v>
      </c>
      <c r="BD22" s="6">
        <v>89.33333</v>
      </c>
      <c r="BE22" s="6">
        <v>110.0</v>
      </c>
      <c r="BF22" s="6">
        <v>138.0</v>
      </c>
      <c r="BG22" s="6">
        <v>348.0</v>
      </c>
      <c r="BH22" s="6">
        <v>482.6667</v>
      </c>
      <c r="BI22" s="6">
        <v>508.0</v>
      </c>
      <c r="BJ22" s="6">
        <v>9.6298</v>
      </c>
      <c r="BK22" s="6">
        <v>23.27047</v>
      </c>
      <c r="BL22" s="6">
        <v>36.80427</v>
      </c>
      <c r="BM22" s="6">
        <v>38.82433</v>
      </c>
      <c r="BN22" s="6">
        <v>9.2416</v>
      </c>
      <c r="BO22" s="6">
        <v>15.504</v>
      </c>
      <c r="BP22" s="6">
        <v>31.008</v>
      </c>
      <c r="BQ22" s="6">
        <v>63.8096</v>
      </c>
      <c r="BR22" s="6">
        <v>49.0</v>
      </c>
      <c r="BS22" s="6">
        <v>84.0</v>
      </c>
      <c r="BT22" s="6">
        <v>168.0</v>
      </c>
      <c r="BU22" s="6">
        <v>140.0</v>
      </c>
      <c r="BV22" s="6">
        <v>1.0</v>
      </c>
      <c r="BW22" s="6">
        <v>2.0</v>
      </c>
      <c r="BX22" s="6">
        <v>4.0</v>
      </c>
      <c r="BY22" s="6">
        <v>9.0</v>
      </c>
      <c r="BZ22" s="6">
        <v>4.0</v>
      </c>
      <c r="CA22" s="6">
        <v>12.0</v>
      </c>
      <c r="CB22" s="6">
        <v>28.0</v>
      </c>
      <c r="CC22" s="6">
        <v>26.0</v>
      </c>
      <c r="CD22" s="6">
        <v>0.5625</v>
      </c>
      <c r="CE22" s="6">
        <v>1.155</v>
      </c>
      <c r="CF22" s="6">
        <v>2.31</v>
      </c>
      <c r="CG22" s="6">
        <v>3.0825</v>
      </c>
      <c r="CH22" s="6">
        <v>10.9696</v>
      </c>
      <c r="CI22" s="6">
        <v>13.6688</v>
      </c>
      <c r="CJ22" s="6">
        <v>43.1088</v>
      </c>
      <c r="CK22" s="6">
        <v>49.85813</v>
      </c>
      <c r="CL22" s="6">
        <v>59.0</v>
      </c>
      <c r="CM22" s="6">
        <v>127.3333</v>
      </c>
      <c r="CN22" s="6">
        <v>185.0</v>
      </c>
      <c r="CO22" s="6">
        <v>216.3333</v>
      </c>
      <c r="CP22" s="6">
        <v>1.0</v>
      </c>
      <c r="CQ22" s="6">
        <v>1.666667</v>
      </c>
      <c r="CR22" s="6">
        <v>5.0</v>
      </c>
      <c r="CS22" s="6">
        <v>5.0</v>
      </c>
      <c r="CT22" s="6">
        <v>3.666667</v>
      </c>
      <c r="CU22" s="6">
        <v>14.66667</v>
      </c>
      <c r="CV22" s="6">
        <v>24.0</v>
      </c>
      <c r="CW22" s="6">
        <v>19.0</v>
      </c>
      <c r="CX22" s="6">
        <v>0.542767</v>
      </c>
      <c r="CY22" s="6">
        <v>1.0739</v>
      </c>
      <c r="CZ22" s="6">
        <v>2.317767</v>
      </c>
      <c r="DA22" s="6">
        <v>2.2591</v>
      </c>
      <c r="DB22" s="6">
        <v>0.0</v>
      </c>
      <c r="DC22" s="6">
        <v>0.98</v>
      </c>
      <c r="DD22" s="6">
        <v>1.96</v>
      </c>
      <c r="DE22" s="6">
        <v>6.37</v>
      </c>
      <c r="DF22" s="6">
        <v>0.0</v>
      </c>
      <c r="DG22" s="6">
        <v>2.0</v>
      </c>
      <c r="DH22" s="6">
        <v>4.0</v>
      </c>
      <c r="DI22" s="6">
        <v>43.0</v>
      </c>
      <c r="DJ22" s="6">
        <v>0.0</v>
      </c>
      <c r="DK22" s="6">
        <v>0.0</v>
      </c>
      <c r="DL22" s="6">
        <v>0.0</v>
      </c>
      <c r="DM22" s="6">
        <v>0.0</v>
      </c>
      <c r="DN22" s="6">
        <v>0.0</v>
      </c>
      <c r="DO22" s="6">
        <v>-2.0</v>
      </c>
      <c r="DP22" s="6">
        <v>-6.0</v>
      </c>
      <c r="DQ22" s="6">
        <v>5.0</v>
      </c>
      <c r="DR22" s="6">
        <v>0.0</v>
      </c>
      <c r="DS22" s="6">
        <v>-0.04</v>
      </c>
      <c r="DT22" s="6">
        <v>-0.08</v>
      </c>
      <c r="DU22" s="6">
        <v>2.64</v>
      </c>
      <c r="DV22" s="6">
        <v>0.0</v>
      </c>
      <c r="DW22" s="6">
        <v>1.063333</v>
      </c>
      <c r="DX22" s="6">
        <v>2.646667</v>
      </c>
      <c r="DY22" s="6">
        <v>0.646667</v>
      </c>
      <c r="DZ22" s="6">
        <v>0.0</v>
      </c>
      <c r="EA22" s="6">
        <v>-4.33333</v>
      </c>
      <c r="EB22" s="6">
        <v>12.66667</v>
      </c>
      <c r="EC22" s="6">
        <v>8.666667</v>
      </c>
      <c r="ED22" s="6">
        <v>0.0</v>
      </c>
      <c r="EE22" s="6">
        <v>0.0</v>
      </c>
      <c r="EF22" s="6">
        <v>0.0</v>
      </c>
      <c r="EG22" s="6">
        <v>0.0</v>
      </c>
      <c r="EH22" s="6">
        <v>0.0</v>
      </c>
      <c r="EI22" s="6">
        <v>-3.0</v>
      </c>
      <c r="EJ22" s="6">
        <v>0.333333</v>
      </c>
      <c r="EK22" s="6">
        <v>3.333333</v>
      </c>
      <c r="EL22" s="6">
        <v>0.0</v>
      </c>
      <c r="EM22" s="6">
        <v>-0.21333</v>
      </c>
      <c r="EN22" s="6">
        <v>0.58</v>
      </c>
      <c r="EO22" s="6">
        <v>0.66</v>
      </c>
      <c r="EP22" s="6">
        <v>3.3489</v>
      </c>
      <c r="EQ22" s="6">
        <v>34.8432</v>
      </c>
      <c r="ER22" s="6">
        <v>56.1078</v>
      </c>
      <c r="ES22" s="6">
        <v>121.4388</v>
      </c>
      <c r="ET22" s="6">
        <v>676.0</v>
      </c>
      <c r="EU22" s="6">
        <v>1144.0</v>
      </c>
      <c r="EV22" s="6">
        <v>2392.0</v>
      </c>
      <c r="EW22" s="6">
        <v>2964.0</v>
      </c>
      <c r="EX22" s="6">
        <v>1.0</v>
      </c>
      <c r="EY22" s="6">
        <v>6.0</v>
      </c>
      <c r="EZ22" s="6">
        <v>12.0</v>
      </c>
      <c r="FA22" s="6">
        <v>26.0</v>
      </c>
      <c r="FB22" s="6">
        <v>36.0</v>
      </c>
      <c r="FC22" s="6">
        <v>108.0</v>
      </c>
      <c r="FD22" s="6">
        <v>264.0</v>
      </c>
      <c r="FE22" s="6">
        <v>348.0</v>
      </c>
      <c r="FF22" s="6">
        <v>1.5625</v>
      </c>
      <c r="FG22" s="6">
        <v>5.575</v>
      </c>
      <c r="FH22" s="6">
        <v>12.175</v>
      </c>
      <c r="FI22" s="6">
        <v>19.825</v>
      </c>
      <c r="FJ22" s="6">
        <v>0.0</v>
      </c>
      <c r="FK22" s="6">
        <v>-8.06</v>
      </c>
      <c r="FL22" s="6">
        <v>-8.7</v>
      </c>
      <c r="FM22" s="6">
        <v>-18.78</v>
      </c>
      <c r="FN22" s="6">
        <v>0.0</v>
      </c>
      <c r="FO22" s="6">
        <v>112.0</v>
      </c>
      <c r="FP22" s="6">
        <v>220.0</v>
      </c>
      <c r="FQ22" s="6">
        <v>562.0</v>
      </c>
      <c r="FR22" s="6">
        <v>0.0</v>
      </c>
      <c r="FS22" s="6">
        <v>0.0</v>
      </c>
      <c r="FT22" s="6">
        <v>0.0</v>
      </c>
      <c r="FU22" s="6">
        <v>0.0</v>
      </c>
      <c r="FV22" s="6">
        <v>0.0</v>
      </c>
      <c r="FW22" s="6">
        <v>18.0</v>
      </c>
      <c r="FX22" s="6">
        <v>28.0</v>
      </c>
      <c r="FY22" s="6">
        <v>98.0</v>
      </c>
      <c r="FZ22" s="6">
        <v>0.0</v>
      </c>
      <c r="GA22" s="6">
        <v>3.04</v>
      </c>
      <c r="GB22" s="6">
        <v>5.26</v>
      </c>
      <c r="GC22" s="6">
        <v>16.64</v>
      </c>
      <c r="GD22" s="6">
        <v>-14.39962509</v>
      </c>
      <c r="GE22" s="1" t="s">
        <v>1351</v>
      </c>
      <c r="GF22" s="1" t="s">
        <v>1378</v>
      </c>
    </row>
    <row r="23">
      <c r="A23" s="1" t="s">
        <v>76</v>
      </c>
      <c r="B23" s="6">
        <v>4.0</v>
      </c>
      <c r="C23" s="6">
        <v>0.0</v>
      </c>
      <c r="D23" s="6">
        <v>2.0</v>
      </c>
      <c r="E23" s="6">
        <v>0.0</v>
      </c>
      <c r="F23" s="6">
        <v>395.9817</v>
      </c>
      <c r="G23" s="6">
        <v>758.1486</v>
      </c>
      <c r="H23" s="6">
        <v>1631.838</v>
      </c>
      <c r="I23" s="6">
        <v>2126.588</v>
      </c>
      <c r="J23" s="6">
        <v>3260.0</v>
      </c>
      <c r="K23" s="6">
        <v>7880.0</v>
      </c>
      <c r="L23" s="6">
        <v>14002.0</v>
      </c>
      <c r="M23" s="6">
        <v>16004.0</v>
      </c>
      <c r="N23" s="6">
        <v>51.0</v>
      </c>
      <c r="O23" s="6">
        <v>110.0</v>
      </c>
      <c r="P23" s="6">
        <v>214.0</v>
      </c>
      <c r="Q23" s="6">
        <v>292.0</v>
      </c>
      <c r="R23" s="6">
        <v>324.0</v>
      </c>
      <c r="S23" s="6">
        <v>872.0</v>
      </c>
      <c r="T23" s="6">
        <v>1456.0</v>
      </c>
      <c r="U23" s="6">
        <v>1896.0</v>
      </c>
      <c r="V23" s="6">
        <v>24.7479</v>
      </c>
      <c r="W23" s="6">
        <v>64.201</v>
      </c>
      <c r="X23" s="6">
        <v>117.33</v>
      </c>
      <c r="Y23" s="6">
        <v>150.9772</v>
      </c>
      <c r="Z23" s="6">
        <v>200.271</v>
      </c>
      <c r="AA23" s="6">
        <v>437.223</v>
      </c>
      <c r="AB23" s="6">
        <v>704.844</v>
      </c>
      <c r="AC23" s="6">
        <v>799.0056</v>
      </c>
      <c r="AD23" s="6">
        <v>1130.0</v>
      </c>
      <c r="AE23" s="6">
        <v>2088.0</v>
      </c>
      <c r="AF23" s="6">
        <v>2692.0</v>
      </c>
      <c r="AG23" s="6">
        <v>2948.0</v>
      </c>
      <c r="AH23" s="6">
        <v>34.0</v>
      </c>
      <c r="AI23" s="6">
        <v>70.0</v>
      </c>
      <c r="AJ23" s="6">
        <v>116.0</v>
      </c>
      <c r="AK23" s="6">
        <v>134.0</v>
      </c>
      <c r="AL23" s="6">
        <v>186.0</v>
      </c>
      <c r="AM23" s="6">
        <v>448.0</v>
      </c>
      <c r="AN23" s="6">
        <v>580.0</v>
      </c>
      <c r="AO23" s="6">
        <v>596.0</v>
      </c>
      <c r="AP23" s="6">
        <v>13.6968</v>
      </c>
      <c r="AQ23" s="6">
        <v>33.0638</v>
      </c>
      <c r="AR23" s="6">
        <v>48.222</v>
      </c>
      <c r="AS23" s="6">
        <v>49.834</v>
      </c>
      <c r="AT23" s="6">
        <v>130.8776</v>
      </c>
      <c r="AU23" s="6">
        <v>230.6098</v>
      </c>
      <c r="AV23" s="6">
        <v>421.8056</v>
      </c>
      <c r="AW23" s="6">
        <v>430.6296</v>
      </c>
      <c r="AX23" s="6">
        <v>861.3333</v>
      </c>
      <c r="AY23" s="6">
        <v>1552.0</v>
      </c>
      <c r="AZ23" s="6">
        <v>2245.333</v>
      </c>
      <c r="BA23" s="6">
        <v>1846.667</v>
      </c>
      <c r="BB23" s="6">
        <v>16.66667</v>
      </c>
      <c r="BC23" s="6">
        <v>32.66667</v>
      </c>
      <c r="BD23" s="6">
        <v>54.66667</v>
      </c>
      <c r="BE23" s="6">
        <v>56.66667</v>
      </c>
      <c r="BF23" s="6">
        <v>87.33333</v>
      </c>
      <c r="BG23" s="6">
        <v>202.6667</v>
      </c>
      <c r="BH23" s="6">
        <v>233.3333</v>
      </c>
      <c r="BI23" s="6">
        <v>210.6667</v>
      </c>
      <c r="BJ23" s="6">
        <v>7.728467</v>
      </c>
      <c r="BK23" s="6">
        <v>17.23367</v>
      </c>
      <c r="BL23" s="6">
        <v>25.3672</v>
      </c>
      <c r="BM23" s="6">
        <v>22.83093</v>
      </c>
      <c r="BN23" s="6">
        <v>9.2416</v>
      </c>
      <c r="BO23" s="6">
        <v>15.504</v>
      </c>
      <c r="BP23" s="6">
        <v>29.944</v>
      </c>
      <c r="BQ23" s="6">
        <v>42.3472</v>
      </c>
      <c r="BR23" s="6">
        <v>49.0</v>
      </c>
      <c r="BS23" s="6">
        <v>84.0</v>
      </c>
      <c r="BT23" s="6">
        <v>133.0</v>
      </c>
      <c r="BU23" s="6">
        <v>182.0</v>
      </c>
      <c r="BV23" s="6">
        <v>1.0</v>
      </c>
      <c r="BW23" s="6">
        <v>2.0</v>
      </c>
      <c r="BX23" s="6">
        <v>4.0</v>
      </c>
      <c r="BY23" s="6">
        <v>6.0</v>
      </c>
      <c r="BZ23" s="6">
        <v>4.0</v>
      </c>
      <c r="CA23" s="6">
        <v>12.0</v>
      </c>
      <c r="CB23" s="6">
        <v>22.0</v>
      </c>
      <c r="CC23" s="6">
        <v>18.0</v>
      </c>
      <c r="CD23" s="6">
        <v>0.5625</v>
      </c>
      <c r="CE23" s="6">
        <v>1.155</v>
      </c>
      <c r="CF23" s="6">
        <v>2.01</v>
      </c>
      <c r="CG23" s="6">
        <v>2.4525</v>
      </c>
      <c r="CH23" s="6">
        <v>10.10787</v>
      </c>
      <c r="CI23" s="6">
        <v>10.3028</v>
      </c>
      <c r="CJ23" s="6">
        <v>33.58013</v>
      </c>
      <c r="CK23" s="6">
        <v>38.1926</v>
      </c>
      <c r="CL23" s="6">
        <v>128.0</v>
      </c>
      <c r="CM23" s="6">
        <v>149.3333</v>
      </c>
      <c r="CN23" s="6">
        <v>202.6667</v>
      </c>
      <c r="CO23" s="6">
        <v>309.3333</v>
      </c>
      <c r="CP23" s="6">
        <v>1.0</v>
      </c>
      <c r="CQ23" s="6">
        <v>1.333333</v>
      </c>
      <c r="CR23" s="6">
        <v>4.0</v>
      </c>
      <c r="CS23" s="6">
        <v>3.666667</v>
      </c>
      <c r="CT23" s="6">
        <v>2.0</v>
      </c>
      <c r="CU23" s="6">
        <v>8.0</v>
      </c>
      <c r="CV23" s="6">
        <v>11.33333</v>
      </c>
      <c r="CW23" s="6">
        <v>8.0</v>
      </c>
      <c r="CX23" s="6">
        <v>0.702067</v>
      </c>
      <c r="CY23" s="6">
        <v>1.02</v>
      </c>
      <c r="CZ23" s="6">
        <v>2.112067</v>
      </c>
      <c r="DA23" s="6">
        <v>2.1518</v>
      </c>
      <c r="DB23" s="6">
        <v>0.0</v>
      </c>
      <c r="DC23" s="6">
        <v>0.98</v>
      </c>
      <c r="DD23" s="6">
        <v>2.31</v>
      </c>
      <c r="DE23" s="6">
        <v>4.31</v>
      </c>
      <c r="DF23" s="6">
        <v>0.0</v>
      </c>
      <c r="DG23" s="6">
        <v>2.0</v>
      </c>
      <c r="DH23" s="6">
        <v>9.0</v>
      </c>
      <c r="DI23" s="6">
        <v>16.0</v>
      </c>
      <c r="DJ23" s="6">
        <v>0.0</v>
      </c>
      <c r="DK23" s="6">
        <v>0.0</v>
      </c>
      <c r="DL23" s="6">
        <v>0.0</v>
      </c>
      <c r="DM23" s="6">
        <v>0.0</v>
      </c>
      <c r="DN23" s="6">
        <v>0.0</v>
      </c>
      <c r="DO23" s="6">
        <v>-2.0</v>
      </c>
      <c r="DP23" s="6">
        <v>-3.0</v>
      </c>
      <c r="DQ23" s="6">
        <v>3.0</v>
      </c>
      <c r="DR23" s="6">
        <v>0.0</v>
      </c>
      <c r="DS23" s="6">
        <v>-0.04</v>
      </c>
      <c r="DT23" s="6">
        <v>0.32</v>
      </c>
      <c r="DU23" s="6">
        <v>1.23</v>
      </c>
      <c r="DV23" s="6">
        <v>0.0</v>
      </c>
      <c r="DW23" s="6">
        <v>0.593333</v>
      </c>
      <c r="DX23" s="6">
        <v>1.12</v>
      </c>
      <c r="DY23" s="6">
        <v>-0.97</v>
      </c>
      <c r="DZ23" s="6">
        <v>0.0</v>
      </c>
      <c r="EA23" s="6">
        <v>1.333333</v>
      </c>
      <c r="EB23" s="6">
        <v>28.0</v>
      </c>
      <c r="EC23" s="6">
        <v>14.33333</v>
      </c>
      <c r="ED23" s="6">
        <v>0.0</v>
      </c>
      <c r="EE23" s="6">
        <v>0.0</v>
      </c>
      <c r="EF23" s="6">
        <v>0.0</v>
      </c>
      <c r="EG23" s="6">
        <v>0.0</v>
      </c>
      <c r="EH23" s="6">
        <v>0.0</v>
      </c>
      <c r="EI23" s="6">
        <v>-3.33333</v>
      </c>
      <c r="EJ23" s="6">
        <v>-1.66667</v>
      </c>
      <c r="EK23" s="6">
        <v>0.333333</v>
      </c>
      <c r="EL23" s="6">
        <v>0.0</v>
      </c>
      <c r="EM23" s="6">
        <v>-0.02667</v>
      </c>
      <c r="EN23" s="6">
        <v>1.006667</v>
      </c>
      <c r="EO23" s="6">
        <v>0.646667</v>
      </c>
      <c r="EP23" s="6">
        <v>3.3489</v>
      </c>
      <c r="EQ23" s="6">
        <v>33.1596</v>
      </c>
      <c r="ER23" s="6">
        <v>46.7748</v>
      </c>
      <c r="ES23" s="6">
        <v>93.4398</v>
      </c>
      <c r="ET23" s="6">
        <v>676.0</v>
      </c>
      <c r="EU23" s="6">
        <v>1612.0</v>
      </c>
      <c r="EV23" s="6">
        <v>2080.0</v>
      </c>
      <c r="EW23" s="6">
        <v>2028.0</v>
      </c>
      <c r="EX23" s="6">
        <v>1.0</v>
      </c>
      <c r="EY23" s="6">
        <v>6.0</v>
      </c>
      <c r="EZ23" s="6">
        <v>10.0</v>
      </c>
      <c r="FA23" s="6">
        <v>20.0</v>
      </c>
      <c r="FB23" s="6">
        <v>36.0</v>
      </c>
      <c r="FC23" s="6">
        <v>96.0</v>
      </c>
      <c r="FD23" s="6">
        <v>216.0</v>
      </c>
      <c r="FE23" s="6">
        <v>204.0</v>
      </c>
      <c r="FF23" s="6">
        <v>1.5625</v>
      </c>
      <c r="FG23" s="6">
        <v>6.25</v>
      </c>
      <c r="FH23" s="6">
        <v>10.25</v>
      </c>
      <c r="FI23" s="6">
        <v>14.05</v>
      </c>
      <c r="FJ23" s="6">
        <v>0.0</v>
      </c>
      <c r="FK23" s="6">
        <v>-7.14</v>
      </c>
      <c r="FL23" s="6">
        <v>-7.26</v>
      </c>
      <c r="FM23" s="6">
        <v>-14.46</v>
      </c>
      <c r="FN23" s="6">
        <v>0.0</v>
      </c>
      <c r="FO23" s="6">
        <v>94.0</v>
      </c>
      <c r="FP23" s="6">
        <v>180.0</v>
      </c>
      <c r="FQ23" s="6">
        <v>442.0</v>
      </c>
      <c r="FR23" s="6">
        <v>0.0</v>
      </c>
      <c r="FS23" s="6">
        <v>0.0</v>
      </c>
      <c r="FT23" s="6">
        <v>0.0</v>
      </c>
      <c r="FU23" s="6">
        <v>0.0</v>
      </c>
      <c r="FV23" s="6">
        <v>0.0</v>
      </c>
      <c r="FW23" s="6">
        <v>20.0</v>
      </c>
      <c r="FX23" s="6">
        <v>24.0</v>
      </c>
      <c r="FY23" s="6">
        <v>86.0</v>
      </c>
      <c r="FZ23" s="6">
        <v>0.0</v>
      </c>
      <c r="GA23" s="6">
        <v>2.5</v>
      </c>
      <c r="GB23" s="6">
        <v>4.3</v>
      </c>
      <c r="GC23" s="6">
        <v>13.76</v>
      </c>
      <c r="GD23" s="6">
        <v>-13.61963886</v>
      </c>
      <c r="GE23" s="1" t="s">
        <v>1351</v>
      </c>
      <c r="GF23" s="1" t="s">
        <v>1379</v>
      </c>
    </row>
    <row r="24">
      <c r="A24" s="1" t="s">
        <v>78</v>
      </c>
      <c r="B24" s="6">
        <v>4.0</v>
      </c>
      <c r="C24" s="6">
        <v>0.0</v>
      </c>
      <c r="D24" s="6">
        <v>2.0</v>
      </c>
      <c r="E24" s="6">
        <v>0.0</v>
      </c>
      <c r="F24" s="6">
        <v>530.6121</v>
      </c>
      <c r="G24" s="6">
        <v>1072.463</v>
      </c>
      <c r="H24" s="6">
        <v>2312.196</v>
      </c>
      <c r="I24" s="6">
        <v>3329.641</v>
      </c>
      <c r="J24" s="6">
        <v>3150.0</v>
      </c>
      <c r="K24" s="6">
        <v>7376.0</v>
      </c>
      <c r="L24" s="6">
        <v>14292.0</v>
      </c>
      <c r="M24" s="6">
        <v>18588.0</v>
      </c>
      <c r="N24" s="6">
        <v>75.0</v>
      </c>
      <c r="O24" s="6">
        <v>160.0</v>
      </c>
      <c r="P24" s="6">
        <v>322.0</v>
      </c>
      <c r="Q24" s="6">
        <v>476.0</v>
      </c>
      <c r="R24" s="6">
        <v>482.0</v>
      </c>
      <c r="S24" s="6">
        <v>1332.0</v>
      </c>
      <c r="T24" s="6">
        <v>2390.0</v>
      </c>
      <c r="U24" s="6">
        <v>3556.0</v>
      </c>
      <c r="V24" s="6">
        <v>30.7257</v>
      </c>
      <c r="W24" s="6">
        <v>80.9152</v>
      </c>
      <c r="X24" s="6">
        <v>150.1706</v>
      </c>
      <c r="Y24" s="6">
        <v>223.2176</v>
      </c>
      <c r="Z24" s="6">
        <v>334.9014</v>
      </c>
      <c r="AA24" s="6">
        <v>748.17</v>
      </c>
      <c r="AB24" s="6">
        <v>1337.52</v>
      </c>
      <c r="AC24" s="6">
        <v>1830.957</v>
      </c>
      <c r="AD24" s="6">
        <v>1020.0</v>
      </c>
      <c r="AE24" s="6">
        <v>2520.0</v>
      </c>
      <c r="AF24" s="6">
        <v>3852.0</v>
      </c>
      <c r="AG24" s="6">
        <v>4492.0</v>
      </c>
      <c r="AH24" s="6">
        <v>58.0</v>
      </c>
      <c r="AI24" s="6">
        <v>120.0</v>
      </c>
      <c r="AJ24" s="6">
        <v>220.0</v>
      </c>
      <c r="AK24" s="6">
        <v>296.0</v>
      </c>
      <c r="AL24" s="6">
        <v>340.0</v>
      </c>
      <c r="AM24" s="6">
        <v>868.0</v>
      </c>
      <c r="AN24" s="6">
        <v>1308.0</v>
      </c>
      <c r="AO24" s="6">
        <v>1692.0</v>
      </c>
      <c r="AP24" s="6">
        <v>19.6746</v>
      </c>
      <c r="AQ24" s="6">
        <v>51.128</v>
      </c>
      <c r="AR24" s="6">
        <v>81.3652</v>
      </c>
      <c r="AS24" s="6">
        <v>108.1464</v>
      </c>
      <c r="AT24" s="6">
        <v>175.7544</v>
      </c>
      <c r="AU24" s="6">
        <v>334.2588</v>
      </c>
      <c r="AV24" s="6">
        <v>632.6976</v>
      </c>
      <c r="AW24" s="6">
        <v>774.6133</v>
      </c>
      <c r="AX24" s="6">
        <v>824.6667</v>
      </c>
      <c r="AY24" s="6">
        <v>1696.0</v>
      </c>
      <c r="AZ24" s="6">
        <v>2632.0</v>
      </c>
      <c r="BA24" s="6">
        <v>2361.333</v>
      </c>
      <c r="BB24" s="6">
        <v>24.66667</v>
      </c>
      <c r="BC24" s="6">
        <v>49.33333</v>
      </c>
      <c r="BD24" s="6">
        <v>89.33333</v>
      </c>
      <c r="BE24" s="6">
        <v>110.6667</v>
      </c>
      <c r="BF24" s="6">
        <v>138.6667</v>
      </c>
      <c r="BG24" s="6">
        <v>342.6667</v>
      </c>
      <c r="BH24" s="6">
        <v>476.0</v>
      </c>
      <c r="BI24" s="6">
        <v>576.0</v>
      </c>
      <c r="BJ24" s="6">
        <v>9.721067</v>
      </c>
      <c r="BK24" s="6">
        <v>23.25507</v>
      </c>
      <c r="BL24" s="6">
        <v>36.41493</v>
      </c>
      <c r="BM24" s="6">
        <v>42.2684</v>
      </c>
      <c r="BN24" s="6">
        <v>9.2416</v>
      </c>
      <c r="BO24" s="6">
        <v>23.256</v>
      </c>
      <c r="BP24" s="6">
        <v>65.512</v>
      </c>
      <c r="BQ24" s="6">
        <v>94.1792</v>
      </c>
      <c r="BR24" s="6">
        <v>49.0</v>
      </c>
      <c r="BS24" s="6">
        <v>126.0</v>
      </c>
      <c r="BT24" s="6">
        <v>238.0</v>
      </c>
      <c r="BU24" s="6">
        <v>245.0</v>
      </c>
      <c r="BV24" s="6">
        <v>1.0</v>
      </c>
      <c r="BW24" s="6">
        <v>3.0</v>
      </c>
      <c r="BX24" s="6">
        <v>9.0</v>
      </c>
      <c r="BY24" s="6">
        <v>13.0</v>
      </c>
      <c r="BZ24" s="6">
        <v>9.0</v>
      </c>
      <c r="CA24" s="6">
        <v>36.0</v>
      </c>
      <c r="CB24" s="6">
        <v>66.0</v>
      </c>
      <c r="CC24" s="6">
        <v>57.0</v>
      </c>
      <c r="CD24" s="6">
        <v>0.5625</v>
      </c>
      <c r="CE24" s="6">
        <v>1.7325</v>
      </c>
      <c r="CF24" s="6">
        <v>3.9975</v>
      </c>
      <c r="CG24" s="6">
        <v>4.7775</v>
      </c>
      <c r="CH24" s="6">
        <v>10.9696</v>
      </c>
      <c r="CI24" s="6">
        <v>11.0848</v>
      </c>
      <c r="CJ24" s="6">
        <v>31.96213</v>
      </c>
      <c r="CK24" s="6">
        <v>49.50347</v>
      </c>
      <c r="CL24" s="6">
        <v>59.0</v>
      </c>
      <c r="CM24" s="6">
        <v>113.3333</v>
      </c>
      <c r="CN24" s="6">
        <v>173.3333</v>
      </c>
      <c r="CO24" s="6">
        <v>204.6667</v>
      </c>
      <c r="CP24" s="6">
        <v>1.0</v>
      </c>
      <c r="CQ24" s="6">
        <v>1.333333</v>
      </c>
      <c r="CR24" s="6">
        <v>3.333333</v>
      </c>
      <c r="CS24" s="6">
        <v>5.0</v>
      </c>
      <c r="CT24" s="6">
        <v>2.0</v>
      </c>
      <c r="CU24" s="6">
        <v>6.666667</v>
      </c>
      <c r="CV24" s="6">
        <v>13.33333</v>
      </c>
      <c r="CW24" s="6">
        <v>12.0</v>
      </c>
      <c r="CX24" s="6">
        <v>0.542767</v>
      </c>
      <c r="CY24" s="6">
        <v>0.8814</v>
      </c>
      <c r="CZ24" s="6">
        <v>1.855267</v>
      </c>
      <c r="DA24" s="6">
        <v>2.1591</v>
      </c>
      <c r="DB24" s="6">
        <v>0.0</v>
      </c>
      <c r="DC24" s="6">
        <v>1.47</v>
      </c>
      <c r="DD24" s="6">
        <v>5.81</v>
      </c>
      <c r="DE24" s="6">
        <v>8.54</v>
      </c>
      <c r="DF24" s="6">
        <v>0.0</v>
      </c>
      <c r="DG24" s="6">
        <v>3.0</v>
      </c>
      <c r="DH24" s="6">
        <v>29.0</v>
      </c>
      <c r="DI24" s="6">
        <v>56.0</v>
      </c>
      <c r="DJ24" s="6">
        <v>0.0</v>
      </c>
      <c r="DK24" s="6">
        <v>0.0</v>
      </c>
      <c r="DL24" s="6">
        <v>0.0</v>
      </c>
      <c r="DM24" s="6">
        <v>0.0</v>
      </c>
      <c r="DN24" s="6">
        <v>0.0</v>
      </c>
      <c r="DO24" s="6">
        <v>-3.0</v>
      </c>
      <c r="DP24" s="6">
        <v>5.0</v>
      </c>
      <c r="DQ24" s="6">
        <v>20.0</v>
      </c>
      <c r="DR24" s="6">
        <v>0.0</v>
      </c>
      <c r="DS24" s="6">
        <v>-0.06</v>
      </c>
      <c r="DT24" s="6">
        <v>1.42</v>
      </c>
      <c r="DU24" s="6">
        <v>3.38</v>
      </c>
      <c r="DV24" s="6">
        <v>0.0</v>
      </c>
      <c r="DW24" s="6">
        <v>0.9</v>
      </c>
      <c r="DX24" s="6">
        <v>1.246667</v>
      </c>
      <c r="DY24" s="6">
        <v>0.763333</v>
      </c>
      <c r="DZ24" s="6">
        <v>0.0</v>
      </c>
      <c r="EA24" s="6">
        <v>-4.66667</v>
      </c>
      <c r="EB24" s="6">
        <v>2.666667</v>
      </c>
      <c r="EC24" s="6">
        <v>10.33333</v>
      </c>
      <c r="ED24" s="6">
        <v>0.0</v>
      </c>
      <c r="EE24" s="6">
        <v>0.0</v>
      </c>
      <c r="EF24" s="6">
        <v>0.0</v>
      </c>
      <c r="EG24" s="6">
        <v>0.0</v>
      </c>
      <c r="EH24" s="6">
        <v>0.0</v>
      </c>
      <c r="EI24" s="6">
        <v>-2.66667</v>
      </c>
      <c r="EJ24" s="6">
        <v>-4.0</v>
      </c>
      <c r="EK24" s="6">
        <v>1.0</v>
      </c>
      <c r="EL24" s="6">
        <v>0.0</v>
      </c>
      <c r="EM24" s="6">
        <v>-0.20667</v>
      </c>
      <c r="EN24" s="6">
        <v>-0.05333</v>
      </c>
      <c r="EO24" s="6">
        <v>0.793333</v>
      </c>
      <c r="EP24" s="6">
        <v>3.3489</v>
      </c>
      <c r="EQ24" s="6">
        <v>34.8432</v>
      </c>
      <c r="ER24" s="6">
        <v>56.1078</v>
      </c>
      <c r="ES24" s="6">
        <v>113.3868</v>
      </c>
      <c r="ET24" s="6">
        <v>676.0</v>
      </c>
      <c r="EU24" s="6">
        <v>1144.0</v>
      </c>
      <c r="EV24" s="6">
        <v>2392.0</v>
      </c>
      <c r="EW24" s="6">
        <v>2912.0</v>
      </c>
      <c r="EX24" s="6">
        <v>1.0</v>
      </c>
      <c r="EY24" s="6">
        <v>6.0</v>
      </c>
      <c r="EZ24" s="6">
        <v>12.0</v>
      </c>
      <c r="FA24" s="6">
        <v>24.0</v>
      </c>
      <c r="FB24" s="6">
        <v>36.0</v>
      </c>
      <c r="FC24" s="6">
        <v>108.0</v>
      </c>
      <c r="FD24" s="6">
        <v>264.0</v>
      </c>
      <c r="FE24" s="6">
        <v>336.0</v>
      </c>
      <c r="FF24" s="6">
        <v>1.5625</v>
      </c>
      <c r="FG24" s="6">
        <v>5.575</v>
      </c>
      <c r="FH24" s="6">
        <v>12.175</v>
      </c>
      <c r="FI24" s="6">
        <v>18.9</v>
      </c>
      <c r="FJ24" s="6">
        <v>0.0</v>
      </c>
      <c r="FK24" s="6">
        <v>-8.06</v>
      </c>
      <c r="FL24" s="6">
        <v>-8.7</v>
      </c>
      <c r="FM24" s="6">
        <v>-18.04</v>
      </c>
      <c r="FN24" s="6">
        <v>0.0</v>
      </c>
      <c r="FO24" s="6">
        <v>112.0</v>
      </c>
      <c r="FP24" s="6">
        <v>220.0</v>
      </c>
      <c r="FQ24" s="6">
        <v>512.0</v>
      </c>
      <c r="FR24" s="6">
        <v>0.0</v>
      </c>
      <c r="FS24" s="6">
        <v>0.0</v>
      </c>
      <c r="FT24" s="6">
        <v>0.0</v>
      </c>
      <c r="FU24" s="6">
        <v>0.0</v>
      </c>
      <c r="FV24" s="6">
        <v>0.0</v>
      </c>
      <c r="FW24" s="6">
        <v>18.0</v>
      </c>
      <c r="FX24" s="6">
        <v>28.0</v>
      </c>
      <c r="FY24" s="6">
        <v>88.0</v>
      </c>
      <c r="FZ24" s="6">
        <v>0.0</v>
      </c>
      <c r="GA24" s="6">
        <v>3.04</v>
      </c>
      <c r="GB24" s="6">
        <v>5.26</v>
      </c>
      <c r="GC24" s="6">
        <v>14.88</v>
      </c>
      <c r="GD24" s="6">
        <v>-21.18042251</v>
      </c>
      <c r="GE24" s="1" t="s">
        <v>1354</v>
      </c>
      <c r="GF24" s="1" t="s">
        <v>1380</v>
      </c>
    </row>
    <row r="25">
      <c r="A25" s="1" t="s">
        <v>80</v>
      </c>
      <c r="B25" s="6">
        <v>4.0</v>
      </c>
      <c r="C25" s="6">
        <v>0.0</v>
      </c>
      <c r="D25" s="6">
        <v>2.0</v>
      </c>
      <c r="E25" s="6">
        <v>0.0</v>
      </c>
      <c r="F25" s="6">
        <v>413.8621</v>
      </c>
      <c r="G25" s="6">
        <v>804.2588</v>
      </c>
      <c r="H25" s="6">
        <v>1860.136</v>
      </c>
      <c r="I25" s="6">
        <v>2807.081</v>
      </c>
      <c r="J25" s="6">
        <v>2710.0</v>
      </c>
      <c r="K25" s="6">
        <v>6256.0</v>
      </c>
      <c r="L25" s="6">
        <v>11756.0</v>
      </c>
      <c r="M25" s="6">
        <v>13416.0</v>
      </c>
      <c r="N25" s="6">
        <v>55.0</v>
      </c>
      <c r="O25" s="6">
        <v>116.0</v>
      </c>
      <c r="P25" s="6">
        <v>250.0</v>
      </c>
      <c r="Q25" s="6">
        <v>408.0</v>
      </c>
      <c r="R25" s="6">
        <v>366.0</v>
      </c>
      <c r="S25" s="6">
        <v>1056.0</v>
      </c>
      <c r="T25" s="6">
        <v>1852.0</v>
      </c>
      <c r="U25" s="6">
        <v>2512.0</v>
      </c>
      <c r="V25" s="6">
        <v>22.5157</v>
      </c>
      <c r="W25" s="6">
        <v>59.758</v>
      </c>
      <c r="X25" s="6">
        <v>114.8618</v>
      </c>
      <c r="Y25" s="6">
        <v>163.298</v>
      </c>
      <c r="Z25" s="6">
        <v>218.1514</v>
      </c>
      <c r="AA25" s="6">
        <v>479.966</v>
      </c>
      <c r="AB25" s="6">
        <v>871.918</v>
      </c>
      <c r="AC25" s="6">
        <v>1163.278</v>
      </c>
      <c r="AD25" s="6">
        <v>580.0</v>
      </c>
      <c r="AE25" s="6">
        <v>1400.0</v>
      </c>
      <c r="AF25" s="6">
        <v>1732.0</v>
      </c>
      <c r="AG25" s="6">
        <v>1796.0</v>
      </c>
      <c r="AH25" s="6">
        <v>38.0</v>
      </c>
      <c r="AI25" s="6">
        <v>76.0</v>
      </c>
      <c r="AJ25" s="6">
        <v>144.0</v>
      </c>
      <c r="AK25" s="6">
        <v>204.0</v>
      </c>
      <c r="AL25" s="6">
        <v>220.0</v>
      </c>
      <c r="AM25" s="6">
        <v>568.0</v>
      </c>
      <c r="AN25" s="6">
        <v>756.0</v>
      </c>
      <c r="AO25" s="6">
        <v>820.0</v>
      </c>
      <c r="AP25" s="6">
        <v>11.4646</v>
      </c>
      <c r="AQ25" s="6">
        <v>29.9708</v>
      </c>
      <c r="AR25" s="6">
        <v>46.2064</v>
      </c>
      <c r="AS25" s="6">
        <v>54.422</v>
      </c>
      <c r="AT25" s="6">
        <v>136.8377</v>
      </c>
      <c r="AU25" s="6">
        <v>244.8575</v>
      </c>
      <c r="AV25" s="6">
        <v>477.4969</v>
      </c>
      <c r="AW25" s="6">
        <v>552.0539</v>
      </c>
      <c r="AX25" s="6">
        <v>678.0</v>
      </c>
      <c r="AY25" s="6">
        <v>1322.667</v>
      </c>
      <c r="AZ25" s="6">
        <v>1925.333</v>
      </c>
      <c r="BA25" s="6">
        <v>1462.667</v>
      </c>
      <c r="BB25" s="6">
        <v>18.0</v>
      </c>
      <c r="BC25" s="6">
        <v>34.66667</v>
      </c>
      <c r="BD25" s="6">
        <v>64.0</v>
      </c>
      <c r="BE25" s="6">
        <v>80.0</v>
      </c>
      <c r="BF25" s="6">
        <v>98.66667</v>
      </c>
      <c r="BG25" s="6">
        <v>242.6667</v>
      </c>
      <c r="BH25" s="6">
        <v>292.0</v>
      </c>
      <c r="BI25" s="6">
        <v>285.3333</v>
      </c>
      <c r="BJ25" s="6">
        <v>6.9844</v>
      </c>
      <c r="BK25" s="6">
        <v>16.20267</v>
      </c>
      <c r="BL25" s="6">
        <v>24.69533</v>
      </c>
      <c r="BM25" s="6">
        <v>24.36027</v>
      </c>
      <c r="BN25" s="6">
        <v>9.2416</v>
      </c>
      <c r="BO25" s="6">
        <v>22.192</v>
      </c>
      <c r="BP25" s="6">
        <v>42.256</v>
      </c>
      <c r="BQ25" s="6">
        <v>43.7456</v>
      </c>
      <c r="BR25" s="6">
        <v>49.0</v>
      </c>
      <c r="BS25" s="6">
        <v>91.0</v>
      </c>
      <c r="BT25" s="6">
        <v>112.0</v>
      </c>
      <c r="BU25" s="6">
        <v>119.0</v>
      </c>
      <c r="BV25" s="6">
        <v>1.0</v>
      </c>
      <c r="BW25" s="6">
        <v>3.0</v>
      </c>
      <c r="BX25" s="6">
        <v>6.0</v>
      </c>
      <c r="BY25" s="6">
        <v>6.0</v>
      </c>
      <c r="BZ25" s="6">
        <v>9.0</v>
      </c>
      <c r="CA25" s="6">
        <v>27.0</v>
      </c>
      <c r="CB25" s="6">
        <v>36.0</v>
      </c>
      <c r="CC25" s="6">
        <v>33.0</v>
      </c>
      <c r="CD25" s="6">
        <v>0.5625</v>
      </c>
      <c r="CE25" s="6">
        <v>1.4325</v>
      </c>
      <c r="CF25" s="6">
        <v>2.265</v>
      </c>
      <c r="CG25" s="6">
        <v>2.25</v>
      </c>
      <c r="CH25" s="6">
        <v>10.9696</v>
      </c>
      <c r="CI25" s="6">
        <v>13.31413</v>
      </c>
      <c r="CJ25" s="6">
        <v>35.71147</v>
      </c>
      <c r="CK25" s="6">
        <v>41.96427</v>
      </c>
      <c r="CL25" s="6">
        <v>59.0</v>
      </c>
      <c r="CM25" s="6">
        <v>115.6667</v>
      </c>
      <c r="CN25" s="6">
        <v>154.6667</v>
      </c>
      <c r="CO25" s="6">
        <v>183.6667</v>
      </c>
      <c r="CP25" s="6">
        <v>1.0</v>
      </c>
      <c r="CQ25" s="6">
        <v>1.666667</v>
      </c>
      <c r="CR25" s="6">
        <v>4.0</v>
      </c>
      <c r="CS25" s="6">
        <v>4.0</v>
      </c>
      <c r="CT25" s="6">
        <v>3.666667</v>
      </c>
      <c r="CU25" s="6">
        <v>11.66667</v>
      </c>
      <c r="CV25" s="6">
        <v>16.0</v>
      </c>
      <c r="CW25" s="6">
        <v>13.0</v>
      </c>
      <c r="CX25" s="6">
        <v>0.542767</v>
      </c>
      <c r="CY25" s="6">
        <v>0.9739</v>
      </c>
      <c r="CZ25" s="6">
        <v>1.840267</v>
      </c>
      <c r="DA25" s="6">
        <v>1.7866</v>
      </c>
      <c r="DB25" s="6">
        <v>0.0</v>
      </c>
      <c r="DC25" s="6">
        <v>1.82</v>
      </c>
      <c r="DD25" s="6">
        <v>4.34</v>
      </c>
      <c r="DE25" s="6">
        <v>3.85</v>
      </c>
      <c r="DF25" s="6">
        <v>0.0</v>
      </c>
      <c r="DG25" s="6">
        <v>8.0</v>
      </c>
      <c r="DH25" s="6">
        <v>26.0</v>
      </c>
      <c r="DI25" s="6">
        <v>25.0</v>
      </c>
      <c r="DJ25" s="6">
        <v>0.0</v>
      </c>
      <c r="DK25" s="6">
        <v>0.0</v>
      </c>
      <c r="DL25" s="6">
        <v>0.0</v>
      </c>
      <c r="DM25" s="6">
        <v>0.0</v>
      </c>
      <c r="DN25" s="6">
        <v>0.0</v>
      </c>
      <c r="DO25" s="6">
        <v>0.0</v>
      </c>
      <c r="DP25" s="6">
        <v>6.0</v>
      </c>
      <c r="DQ25" s="6">
        <v>7.0</v>
      </c>
      <c r="DR25" s="6">
        <v>0.0</v>
      </c>
      <c r="DS25" s="6">
        <v>0.34</v>
      </c>
      <c r="DT25" s="6">
        <v>1.48</v>
      </c>
      <c r="DU25" s="6">
        <v>1.5</v>
      </c>
      <c r="DV25" s="6">
        <v>0.0</v>
      </c>
      <c r="DW25" s="6">
        <v>1.18</v>
      </c>
      <c r="DX25" s="6">
        <v>2.04</v>
      </c>
      <c r="DY25" s="6">
        <v>0.203333</v>
      </c>
      <c r="DZ25" s="6">
        <v>0.0</v>
      </c>
      <c r="EA25" s="6">
        <v>-2.66667</v>
      </c>
      <c r="EB25" s="6">
        <v>10.0</v>
      </c>
      <c r="EC25" s="6">
        <v>6.333333</v>
      </c>
      <c r="ED25" s="6">
        <v>0.0</v>
      </c>
      <c r="EE25" s="6">
        <v>0.0</v>
      </c>
      <c r="EF25" s="6">
        <v>0.0</v>
      </c>
      <c r="EG25" s="6">
        <v>0.0</v>
      </c>
      <c r="EH25" s="6">
        <v>0.0</v>
      </c>
      <c r="EI25" s="6">
        <v>-2.0</v>
      </c>
      <c r="EJ25" s="6">
        <v>0.0</v>
      </c>
      <c r="EK25" s="6">
        <v>2.333333</v>
      </c>
      <c r="EL25" s="6">
        <v>0.0</v>
      </c>
      <c r="EM25" s="6">
        <v>-0.08</v>
      </c>
      <c r="EN25" s="6">
        <v>0.466667</v>
      </c>
      <c r="EO25" s="6">
        <v>0.54</v>
      </c>
      <c r="EP25" s="6">
        <v>3.3489</v>
      </c>
      <c r="EQ25" s="6">
        <v>34.8432</v>
      </c>
      <c r="ER25" s="6">
        <v>62.8788</v>
      </c>
      <c r="ES25" s="6">
        <v>108.2628</v>
      </c>
      <c r="ET25" s="6">
        <v>676.0</v>
      </c>
      <c r="EU25" s="6">
        <v>1144.0</v>
      </c>
      <c r="EV25" s="6">
        <v>2184.0</v>
      </c>
      <c r="EW25" s="6">
        <v>1872.0</v>
      </c>
      <c r="EX25" s="6">
        <v>1.0</v>
      </c>
      <c r="EY25" s="6">
        <v>6.0</v>
      </c>
      <c r="EZ25" s="6">
        <v>14.0</v>
      </c>
      <c r="FA25" s="6">
        <v>24.0</v>
      </c>
      <c r="FB25" s="6">
        <v>36.0</v>
      </c>
      <c r="FC25" s="6">
        <v>120.0</v>
      </c>
      <c r="FD25" s="6">
        <v>264.0</v>
      </c>
      <c r="FE25" s="6">
        <v>216.0</v>
      </c>
      <c r="FF25" s="6">
        <v>1.5625</v>
      </c>
      <c r="FG25" s="6">
        <v>5.575</v>
      </c>
      <c r="FH25" s="6">
        <v>12.1</v>
      </c>
      <c r="FI25" s="6">
        <v>14.9</v>
      </c>
      <c r="FJ25" s="6">
        <v>0.0</v>
      </c>
      <c r="FK25" s="6">
        <v>-8.06</v>
      </c>
      <c r="FL25" s="6">
        <v>-8.74</v>
      </c>
      <c r="FM25" s="6">
        <v>-15.24</v>
      </c>
      <c r="FN25" s="6">
        <v>0.0</v>
      </c>
      <c r="FO25" s="6">
        <v>112.0</v>
      </c>
      <c r="FP25" s="6">
        <v>280.0</v>
      </c>
      <c r="FQ25" s="6">
        <v>552.0</v>
      </c>
      <c r="FR25" s="6">
        <v>0.0</v>
      </c>
      <c r="FS25" s="6">
        <v>0.0</v>
      </c>
      <c r="FT25" s="6">
        <v>0.0</v>
      </c>
      <c r="FU25" s="6">
        <v>0.0</v>
      </c>
      <c r="FV25" s="6">
        <v>0.0</v>
      </c>
      <c r="FW25" s="6">
        <v>16.0</v>
      </c>
      <c r="FX25" s="6">
        <v>40.0</v>
      </c>
      <c r="FY25" s="6">
        <v>108.0</v>
      </c>
      <c r="FZ25" s="6">
        <v>0.0</v>
      </c>
      <c r="GA25" s="6">
        <v>3.04</v>
      </c>
      <c r="GB25" s="6">
        <v>7.82</v>
      </c>
      <c r="GC25" s="6">
        <v>18.08</v>
      </c>
      <c r="GD25" s="6">
        <v>-19.89843388</v>
      </c>
      <c r="GE25" s="1" t="s">
        <v>1354</v>
      </c>
      <c r="GF25" s="1" t="s">
        <v>1381</v>
      </c>
    </row>
    <row r="26">
      <c r="A26" s="89" t="s">
        <v>82</v>
      </c>
      <c r="B26" s="90">
        <v>3.0</v>
      </c>
      <c r="C26" s="90">
        <v>0.0</v>
      </c>
      <c r="D26" s="90">
        <v>5.0</v>
      </c>
      <c r="E26" s="90">
        <v>0.0</v>
      </c>
      <c r="F26" s="90">
        <v>407.5448</v>
      </c>
      <c r="G26" s="90">
        <v>874.9836</v>
      </c>
      <c r="H26" s="90">
        <v>1811.137</v>
      </c>
      <c r="I26" s="90">
        <v>2562.196</v>
      </c>
      <c r="J26" s="90">
        <v>2479.0</v>
      </c>
      <c r="K26" s="90">
        <v>6104.0</v>
      </c>
      <c r="L26" s="90">
        <v>11290.0</v>
      </c>
      <c r="M26" s="90">
        <v>13668.0</v>
      </c>
      <c r="N26" s="90">
        <v>60.0</v>
      </c>
      <c r="O26" s="90">
        <v>132.0</v>
      </c>
      <c r="P26" s="90">
        <v>254.0</v>
      </c>
      <c r="Q26" s="90">
        <v>376.0</v>
      </c>
      <c r="R26" s="90">
        <v>386.0</v>
      </c>
      <c r="S26" s="90">
        <v>1074.0</v>
      </c>
      <c r="T26" s="90">
        <v>1922.0</v>
      </c>
      <c r="U26" s="90">
        <v>2650.0</v>
      </c>
      <c r="V26" s="90">
        <v>25.4191</v>
      </c>
      <c r="W26" s="90">
        <v>68.1316</v>
      </c>
      <c r="X26" s="90">
        <v>124.0226</v>
      </c>
      <c r="Y26" s="90">
        <v>175.0006</v>
      </c>
      <c r="Z26" s="90">
        <v>202.098</v>
      </c>
      <c r="AA26" s="90">
        <v>402.6486</v>
      </c>
      <c r="AB26" s="90">
        <v>698.5717</v>
      </c>
      <c r="AC26" s="90">
        <v>797.0742</v>
      </c>
      <c r="AD26" s="90">
        <v>901.5</v>
      </c>
      <c r="AE26" s="90">
        <v>1908.0</v>
      </c>
      <c r="AF26" s="90">
        <v>2707.0</v>
      </c>
      <c r="AG26" s="90">
        <v>2397.0</v>
      </c>
      <c r="AH26" s="90">
        <v>29.5</v>
      </c>
      <c r="AI26" s="90">
        <v>60.0</v>
      </c>
      <c r="AJ26" s="90">
        <v>100.0</v>
      </c>
      <c r="AK26" s="90">
        <v>118.0</v>
      </c>
      <c r="AL26" s="90">
        <v>160.0</v>
      </c>
      <c r="AM26" s="90">
        <v>387.0</v>
      </c>
      <c r="AN26" s="90">
        <v>508.0</v>
      </c>
      <c r="AO26" s="90">
        <v>542.0</v>
      </c>
      <c r="AP26" s="90">
        <v>11.9283</v>
      </c>
      <c r="AQ26" s="90">
        <v>28.4908</v>
      </c>
      <c r="AR26" s="90">
        <v>41.8609</v>
      </c>
      <c r="AS26" s="90">
        <v>44.0058</v>
      </c>
      <c r="AT26" s="90">
        <v>308.015</v>
      </c>
      <c r="AU26" s="90">
        <v>677.994</v>
      </c>
      <c r="AV26" s="90">
        <v>1116.857</v>
      </c>
      <c r="AW26" s="90">
        <v>1347.707</v>
      </c>
      <c r="AX26" s="90">
        <v>1076.0</v>
      </c>
      <c r="AY26" s="90">
        <v>2532.0</v>
      </c>
      <c r="AZ26" s="90">
        <v>3392.0</v>
      </c>
      <c r="BA26" s="90">
        <v>3498.0</v>
      </c>
      <c r="BB26" s="90">
        <v>51.0</v>
      </c>
      <c r="BC26" s="90">
        <v>106.0</v>
      </c>
      <c r="BD26" s="90">
        <v>176.0</v>
      </c>
      <c r="BE26" s="90">
        <v>218.0</v>
      </c>
      <c r="BF26" s="90">
        <v>282.0</v>
      </c>
      <c r="BG26" s="90">
        <v>694.0</v>
      </c>
      <c r="BH26" s="90">
        <v>956.0</v>
      </c>
      <c r="BI26" s="90">
        <v>1066.0</v>
      </c>
      <c r="BJ26" s="90">
        <v>19.1123</v>
      </c>
      <c r="BK26" s="90">
        <v>47.663</v>
      </c>
      <c r="BL26" s="90">
        <v>69.782</v>
      </c>
      <c r="BM26" s="90">
        <v>78.6822</v>
      </c>
      <c r="BN26" s="90">
        <v>10.5376</v>
      </c>
      <c r="BO26" s="90">
        <v>12.1896</v>
      </c>
      <c r="BP26" s="90">
        <v>31.1916</v>
      </c>
      <c r="BQ26" s="90">
        <v>42.4096</v>
      </c>
      <c r="BR26" s="90">
        <v>56.5</v>
      </c>
      <c r="BS26" s="90">
        <v>106.0</v>
      </c>
      <c r="BT26" s="90">
        <v>154.5</v>
      </c>
      <c r="BU26" s="90">
        <v>167.5</v>
      </c>
      <c r="BV26" s="90">
        <v>1.0</v>
      </c>
      <c r="BW26" s="90">
        <v>1.5</v>
      </c>
      <c r="BX26" s="90">
        <v>3.5</v>
      </c>
      <c r="BY26" s="90">
        <v>4.5</v>
      </c>
      <c r="BZ26" s="90">
        <v>2.5</v>
      </c>
      <c r="CA26" s="90">
        <v>8.0</v>
      </c>
      <c r="CB26" s="90">
        <v>14.0</v>
      </c>
      <c r="CC26" s="90">
        <v>11.5</v>
      </c>
      <c r="CD26" s="90">
        <v>0.5477</v>
      </c>
      <c r="CE26" s="90">
        <v>0.9498</v>
      </c>
      <c r="CF26" s="90">
        <v>1.81895</v>
      </c>
      <c r="CG26" s="90">
        <v>1.90245</v>
      </c>
      <c r="CH26" s="90">
        <v>9.8896</v>
      </c>
      <c r="CI26" s="90">
        <v>17.952</v>
      </c>
      <c r="CJ26" s="90">
        <v>43.038</v>
      </c>
      <c r="CK26" s="90">
        <v>49.4688</v>
      </c>
      <c r="CL26" s="90">
        <v>52.75</v>
      </c>
      <c r="CM26" s="90">
        <v>97.5</v>
      </c>
      <c r="CN26" s="90">
        <v>149.25</v>
      </c>
      <c r="CO26" s="90">
        <v>185.25</v>
      </c>
      <c r="CP26" s="90">
        <v>1.0</v>
      </c>
      <c r="CQ26" s="90">
        <v>2.25</v>
      </c>
      <c r="CR26" s="90">
        <v>5.75</v>
      </c>
      <c r="CS26" s="90">
        <v>6.25</v>
      </c>
      <c r="CT26" s="90">
        <v>5.25</v>
      </c>
      <c r="CU26" s="90">
        <v>19.0</v>
      </c>
      <c r="CV26" s="90">
        <v>28.75</v>
      </c>
      <c r="CW26" s="90">
        <v>27.75</v>
      </c>
      <c r="CX26" s="90">
        <v>0.5551</v>
      </c>
      <c r="CY26" s="90">
        <v>1.291675</v>
      </c>
      <c r="CZ26" s="90">
        <v>2.480525</v>
      </c>
      <c r="DA26" s="90">
        <v>2.741075</v>
      </c>
      <c r="DB26" s="90">
        <v>0.0</v>
      </c>
      <c r="DC26" s="90">
        <v>0.92</v>
      </c>
      <c r="DD26" s="90">
        <v>1.6</v>
      </c>
      <c r="DE26" s="90">
        <v>1.115</v>
      </c>
      <c r="DF26" s="90">
        <v>0.0</v>
      </c>
      <c r="DG26" s="90">
        <v>-3.0</v>
      </c>
      <c r="DH26" s="90">
        <v>5.5</v>
      </c>
      <c r="DI26" s="90">
        <v>11.0</v>
      </c>
      <c r="DJ26" s="90">
        <v>0.0</v>
      </c>
      <c r="DK26" s="90">
        <v>0.0</v>
      </c>
      <c r="DL26" s="90">
        <v>0.0</v>
      </c>
      <c r="DM26" s="90">
        <v>0.0</v>
      </c>
      <c r="DN26" s="90">
        <v>0.0</v>
      </c>
      <c r="DO26" s="90">
        <v>-2.5</v>
      </c>
      <c r="DP26" s="90">
        <v>-3.0</v>
      </c>
      <c r="DQ26" s="90">
        <v>1.0</v>
      </c>
      <c r="DR26" s="90">
        <v>0.0</v>
      </c>
      <c r="DS26" s="90">
        <v>-0.165</v>
      </c>
      <c r="DT26" s="90">
        <v>0.14</v>
      </c>
      <c r="DU26" s="90">
        <v>0.78</v>
      </c>
      <c r="DV26" s="90">
        <v>0.0</v>
      </c>
      <c r="DW26" s="90">
        <v>1.3025</v>
      </c>
      <c r="DX26" s="90">
        <v>4.38</v>
      </c>
      <c r="DY26" s="90">
        <v>3.4675</v>
      </c>
      <c r="DZ26" s="90">
        <v>0.0</v>
      </c>
      <c r="EA26" s="90">
        <v>2.75</v>
      </c>
      <c r="EB26" s="90">
        <v>21.0</v>
      </c>
      <c r="EC26" s="90">
        <v>19.0</v>
      </c>
      <c r="ED26" s="90">
        <v>0.0</v>
      </c>
      <c r="EE26" s="90">
        <v>0.0</v>
      </c>
      <c r="EF26" s="90">
        <v>0.0</v>
      </c>
      <c r="EG26" s="90">
        <v>0.0</v>
      </c>
      <c r="EH26" s="90">
        <v>0.0</v>
      </c>
      <c r="EI26" s="90">
        <v>-2.75</v>
      </c>
      <c r="EJ26" s="90">
        <v>1.25</v>
      </c>
      <c r="EK26" s="90">
        <v>2.0</v>
      </c>
      <c r="EL26" s="90">
        <v>0.0</v>
      </c>
      <c r="EM26" s="90">
        <v>-0.055</v>
      </c>
      <c r="EN26" s="90">
        <v>0.955</v>
      </c>
      <c r="EO26" s="90">
        <v>0.995</v>
      </c>
      <c r="EP26" s="90">
        <v>3.3489</v>
      </c>
      <c r="EQ26" s="90">
        <v>34.8432</v>
      </c>
      <c r="ER26" s="90">
        <v>56.0529</v>
      </c>
      <c r="ES26" s="90">
        <v>98.2344</v>
      </c>
      <c r="ET26" s="90">
        <v>676.0</v>
      </c>
      <c r="EU26" s="90">
        <v>1144.0</v>
      </c>
      <c r="EV26" s="90">
        <v>2132.0</v>
      </c>
      <c r="EW26" s="90">
        <v>1976.0</v>
      </c>
      <c r="EX26" s="90">
        <v>1.0</v>
      </c>
      <c r="EY26" s="90">
        <v>6.0</v>
      </c>
      <c r="EZ26" s="90">
        <v>12.0</v>
      </c>
      <c r="FA26" s="90">
        <v>22.0</v>
      </c>
      <c r="FB26" s="90">
        <v>36.0</v>
      </c>
      <c r="FC26" s="90">
        <v>108.0</v>
      </c>
      <c r="FD26" s="90">
        <v>252.0</v>
      </c>
      <c r="FE26" s="90">
        <v>234.0</v>
      </c>
      <c r="FF26" s="90">
        <v>1.5625</v>
      </c>
      <c r="FG26" s="90">
        <v>5.575</v>
      </c>
      <c r="FH26" s="90">
        <v>11.8625</v>
      </c>
      <c r="FI26" s="90">
        <v>15.075</v>
      </c>
      <c r="FJ26" s="90">
        <v>0.0</v>
      </c>
      <c r="FK26" s="90">
        <v>-8.06</v>
      </c>
      <c r="FL26" s="90">
        <v>-8.67</v>
      </c>
      <c r="FM26" s="90">
        <v>-13.42</v>
      </c>
      <c r="FN26" s="90">
        <v>0.0</v>
      </c>
      <c r="FO26" s="90">
        <v>112.0</v>
      </c>
      <c r="FP26" s="90">
        <v>230.0</v>
      </c>
      <c r="FQ26" s="90">
        <v>496.0</v>
      </c>
      <c r="FR26" s="90">
        <v>0.0</v>
      </c>
      <c r="FS26" s="90">
        <v>0.0</v>
      </c>
      <c r="FT26" s="90">
        <v>0.0</v>
      </c>
      <c r="FU26" s="90">
        <v>0.0</v>
      </c>
      <c r="FV26" s="90">
        <v>0.0</v>
      </c>
      <c r="FW26" s="90">
        <v>18.0</v>
      </c>
      <c r="FX26" s="90">
        <v>30.0</v>
      </c>
      <c r="FY26" s="90">
        <v>93.0</v>
      </c>
      <c r="FZ26" s="90">
        <v>0.0</v>
      </c>
      <c r="GA26" s="90">
        <v>3.04</v>
      </c>
      <c r="GB26" s="90">
        <v>5.51</v>
      </c>
      <c r="GC26" s="90">
        <v>15.44</v>
      </c>
      <c r="GD26" s="90">
        <v>-16.43323681</v>
      </c>
      <c r="GE26" s="89" t="s">
        <v>1355</v>
      </c>
      <c r="GF26" s="89" t="s">
        <v>1382</v>
      </c>
    </row>
    <row r="27">
      <c r="A27" s="1" t="s">
        <v>84</v>
      </c>
      <c r="B27" s="6">
        <v>4.0</v>
      </c>
      <c r="C27" s="6">
        <v>0.0</v>
      </c>
      <c r="D27" s="6">
        <v>2.0</v>
      </c>
      <c r="E27" s="6">
        <v>0.0</v>
      </c>
      <c r="F27" s="6">
        <v>514.5771</v>
      </c>
      <c r="G27" s="6">
        <v>1031.153</v>
      </c>
      <c r="H27" s="6">
        <v>2144.695</v>
      </c>
      <c r="I27" s="6">
        <v>3018.575</v>
      </c>
      <c r="J27" s="6">
        <v>3216.0</v>
      </c>
      <c r="K27" s="6">
        <v>7448.0</v>
      </c>
      <c r="L27" s="6">
        <v>13930.0</v>
      </c>
      <c r="M27" s="6">
        <v>16832.0</v>
      </c>
      <c r="N27" s="6">
        <v>71.0</v>
      </c>
      <c r="O27" s="6">
        <v>152.0</v>
      </c>
      <c r="P27" s="6">
        <v>290.0</v>
      </c>
      <c r="Q27" s="6">
        <v>432.0</v>
      </c>
      <c r="R27" s="6">
        <v>442.0</v>
      </c>
      <c r="S27" s="6">
        <v>1212.0</v>
      </c>
      <c r="T27" s="6">
        <v>2106.0</v>
      </c>
      <c r="U27" s="6">
        <v>2928.0</v>
      </c>
      <c r="V27" s="6">
        <v>31.0901</v>
      </c>
      <c r="W27" s="6">
        <v>79.868</v>
      </c>
      <c r="X27" s="6">
        <v>142.8458</v>
      </c>
      <c r="Y27" s="6">
        <v>202.3812</v>
      </c>
      <c r="Z27" s="6">
        <v>318.8664</v>
      </c>
      <c r="AA27" s="6">
        <v>706.86</v>
      </c>
      <c r="AB27" s="6">
        <v>1170.019</v>
      </c>
      <c r="AC27" s="6">
        <v>1460.701</v>
      </c>
      <c r="AD27" s="6">
        <v>1086.0</v>
      </c>
      <c r="AE27" s="6">
        <v>2592.0</v>
      </c>
      <c r="AF27" s="6">
        <v>3490.0</v>
      </c>
      <c r="AG27" s="6">
        <v>3666.0</v>
      </c>
      <c r="AH27" s="6">
        <v>54.0</v>
      </c>
      <c r="AI27" s="6">
        <v>112.0</v>
      </c>
      <c r="AJ27" s="6">
        <v>188.0</v>
      </c>
      <c r="AK27" s="6">
        <v>242.0</v>
      </c>
      <c r="AL27" s="6">
        <v>300.0</v>
      </c>
      <c r="AM27" s="6">
        <v>748.0</v>
      </c>
      <c r="AN27" s="6">
        <v>1064.0</v>
      </c>
      <c r="AO27" s="6">
        <v>1230.0</v>
      </c>
      <c r="AP27" s="6">
        <v>20.039</v>
      </c>
      <c r="AQ27" s="6">
        <v>50.0808</v>
      </c>
      <c r="AR27" s="6">
        <v>74.0404</v>
      </c>
      <c r="AS27" s="6">
        <v>87.025</v>
      </c>
      <c r="AT27" s="6">
        <v>170.4094</v>
      </c>
      <c r="AU27" s="6">
        <v>320.4888</v>
      </c>
      <c r="AV27" s="6">
        <v>576.8639</v>
      </c>
      <c r="AW27" s="6">
        <v>651.1946</v>
      </c>
      <c r="AX27" s="6">
        <v>846.6667</v>
      </c>
      <c r="AY27" s="6">
        <v>1720.0</v>
      </c>
      <c r="AZ27" s="6">
        <v>2511.333</v>
      </c>
      <c r="BA27" s="6">
        <v>2086.0</v>
      </c>
      <c r="BB27" s="6">
        <v>23.33333</v>
      </c>
      <c r="BC27" s="6">
        <v>46.66667</v>
      </c>
      <c r="BD27" s="6">
        <v>78.66667</v>
      </c>
      <c r="BE27" s="6">
        <v>92.66667</v>
      </c>
      <c r="BF27" s="6">
        <v>125.3333</v>
      </c>
      <c r="BG27" s="6">
        <v>302.6667</v>
      </c>
      <c r="BH27" s="6">
        <v>394.6667</v>
      </c>
      <c r="BI27" s="6">
        <v>422.0</v>
      </c>
      <c r="BJ27" s="6">
        <v>9.842533</v>
      </c>
      <c r="BK27" s="6">
        <v>22.906</v>
      </c>
      <c r="BL27" s="6">
        <v>33.97333</v>
      </c>
      <c r="BM27" s="6">
        <v>35.22793</v>
      </c>
      <c r="BN27" s="6">
        <v>9.2416</v>
      </c>
      <c r="BO27" s="6">
        <v>15.504</v>
      </c>
      <c r="BP27" s="6">
        <v>29.944</v>
      </c>
      <c r="BQ27" s="6">
        <v>43.7456</v>
      </c>
      <c r="BR27" s="6">
        <v>49.0</v>
      </c>
      <c r="BS27" s="6">
        <v>84.0</v>
      </c>
      <c r="BT27" s="6">
        <v>133.0</v>
      </c>
      <c r="BU27" s="6">
        <v>119.0</v>
      </c>
      <c r="BV27" s="6">
        <v>1.0</v>
      </c>
      <c r="BW27" s="6">
        <v>2.0</v>
      </c>
      <c r="BX27" s="6">
        <v>4.0</v>
      </c>
      <c r="BY27" s="6">
        <v>6.0</v>
      </c>
      <c r="BZ27" s="6">
        <v>4.0</v>
      </c>
      <c r="CA27" s="6">
        <v>12.0</v>
      </c>
      <c r="CB27" s="6">
        <v>22.0</v>
      </c>
      <c r="CC27" s="6">
        <v>20.0</v>
      </c>
      <c r="CD27" s="6">
        <v>0.5625</v>
      </c>
      <c r="CE27" s="6">
        <v>1.155</v>
      </c>
      <c r="CF27" s="6">
        <v>2.01</v>
      </c>
      <c r="CG27" s="6">
        <v>2.25</v>
      </c>
      <c r="CH27" s="6">
        <v>10.9696</v>
      </c>
      <c r="CI27" s="6">
        <v>13.6688</v>
      </c>
      <c r="CJ27" s="6">
        <v>42.5768</v>
      </c>
      <c r="CK27" s="6">
        <v>43.17013</v>
      </c>
      <c r="CL27" s="6">
        <v>59.0</v>
      </c>
      <c r="CM27" s="6">
        <v>127.3333</v>
      </c>
      <c r="CN27" s="6">
        <v>167.5</v>
      </c>
      <c r="CO27" s="6">
        <v>209.3333</v>
      </c>
      <c r="CP27" s="6">
        <v>1.0</v>
      </c>
      <c r="CQ27" s="6">
        <v>1.666667</v>
      </c>
      <c r="CR27" s="6">
        <v>5.0</v>
      </c>
      <c r="CS27" s="6">
        <v>4.0</v>
      </c>
      <c r="CT27" s="6">
        <v>3.666667</v>
      </c>
      <c r="CU27" s="6">
        <v>14.66667</v>
      </c>
      <c r="CV27" s="6">
        <v>19.0</v>
      </c>
      <c r="CW27" s="6">
        <v>15.0</v>
      </c>
      <c r="CX27" s="6">
        <v>0.542767</v>
      </c>
      <c r="CY27" s="6">
        <v>1.0739</v>
      </c>
      <c r="CZ27" s="6">
        <v>2.167767</v>
      </c>
      <c r="DA27" s="6">
        <v>1.9816</v>
      </c>
      <c r="DB27" s="6">
        <v>0.0</v>
      </c>
      <c r="DC27" s="6">
        <v>0.98</v>
      </c>
      <c r="DD27" s="6">
        <v>2.31</v>
      </c>
      <c r="DE27" s="6">
        <v>3.85</v>
      </c>
      <c r="DF27" s="6">
        <v>0.0</v>
      </c>
      <c r="DG27" s="6">
        <v>2.0</v>
      </c>
      <c r="DH27" s="6">
        <v>9.0</v>
      </c>
      <c r="DI27" s="6">
        <v>25.0</v>
      </c>
      <c r="DJ27" s="6">
        <v>0.0</v>
      </c>
      <c r="DK27" s="6">
        <v>0.0</v>
      </c>
      <c r="DL27" s="6">
        <v>0.0</v>
      </c>
      <c r="DM27" s="6">
        <v>0.0</v>
      </c>
      <c r="DN27" s="6">
        <v>0.0</v>
      </c>
      <c r="DO27" s="6">
        <v>-2.0</v>
      </c>
      <c r="DP27" s="6">
        <v>-3.0</v>
      </c>
      <c r="DQ27" s="6">
        <v>2.0</v>
      </c>
      <c r="DR27" s="6">
        <v>0.0</v>
      </c>
      <c r="DS27" s="6">
        <v>-0.04</v>
      </c>
      <c r="DT27" s="6">
        <v>0.32</v>
      </c>
      <c r="DU27" s="6">
        <v>1.5</v>
      </c>
      <c r="DV27" s="6">
        <v>0.0</v>
      </c>
      <c r="DW27" s="6">
        <v>1.063333</v>
      </c>
      <c r="DX27" s="6">
        <v>2.821667</v>
      </c>
      <c r="DY27" s="6">
        <v>-0.19333</v>
      </c>
      <c r="DZ27" s="6">
        <v>0.0</v>
      </c>
      <c r="EA27" s="6">
        <v>-4.33333</v>
      </c>
      <c r="EB27" s="6">
        <v>15.16667</v>
      </c>
      <c r="EC27" s="6">
        <v>2.666667</v>
      </c>
      <c r="ED27" s="6">
        <v>0.0</v>
      </c>
      <c r="EE27" s="6">
        <v>0.0</v>
      </c>
      <c r="EF27" s="6">
        <v>0.0</v>
      </c>
      <c r="EG27" s="6">
        <v>0.0</v>
      </c>
      <c r="EH27" s="6">
        <v>0.0</v>
      </c>
      <c r="EI27" s="6">
        <v>-3.0</v>
      </c>
      <c r="EJ27" s="6">
        <v>2.0</v>
      </c>
      <c r="EK27" s="6">
        <v>1.666667</v>
      </c>
      <c r="EL27" s="6">
        <v>0.0</v>
      </c>
      <c r="EM27" s="6">
        <v>-0.21333</v>
      </c>
      <c r="EN27" s="6">
        <v>0.78</v>
      </c>
      <c r="EO27" s="6">
        <v>0.28</v>
      </c>
      <c r="EP27" s="6">
        <v>3.3489</v>
      </c>
      <c r="EQ27" s="6">
        <v>34.8432</v>
      </c>
      <c r="ER27" s="6">
        <v>56.1078</v>
      </c>
      <c r="ES27" s="6">
        <v>118.2363</v>
      </c>
      <c r="ET27" s="6">
        <v>676.0</v>
      </c>
      <c r="EU27" s="6">
        <v>1144.0</v>
      </c>
      <c r="EV27" s="6">
        <v>2392.0</v>
      </c>
      <c r="EW27" s="6">
        <v>2314.0</v>
      </c>
      <c r="EX27" s="6">
        <v>1.0</v>
      </c>
      <c r="EY27" s="6">
        <v>6.0</v>
      </c>
      <c r="EZ27" s="6">
        <v>12.0</v>
      </c>
      <c r="FA27" s="6">
        <v>26.0</v>
      </c>
      <c r="FB27" s="6">
        <v>36.0</v>
      </c>
      <c r="FC27" s="6">
        <v>108.0</v>
      </c>
      <c r="FD27" s="6">
        <v>264.0</v>
      </c>
      <c r="FE27" s="6">
        <v>252.0</v>
      </c>
      <c r="FF27" s="6">
        <v>1.5625</v>
      </c>
      <c r="FG27" s="6">
        <v>5.575</v>
      </c>
      <c r="FH27" s="6">
        <v>12.175</v>
      </c>
      <c r="FI27" s="6">
        <v>17.325</v>
      </c>
      <c r="FJ27" s="6">
        <v>0.0</v>
      </c>
      <c r="FK27" s="6">
        <v>-8.06</v>
      </c>
      <c r="FL27" s="6">
        <v>-8.7</v>
      </c>
      <c r="FM27" s="6">
        <v>-17.03</v>
      </c>
      <c r="FN27" s="6">
        <v>0.0</v>
      </c>
      <c r="FO27" s="6">
        <v>112.0</v>
      </c>
      <c r="FP27" s="6">
        <v>220.0</v>
      </c>
      <c r="FQ27" s="6">
        <v>587.0</v>
      </c>
      <c r="FR27" s="6">
        <v>0.0</v>
      </c>
      <c r="FS27" s="6">
        <v>0.0</v>
      </c>
      <c r="FT27" s="6">
        <v>0.0</v>
      </c>
      <c r="FU27" s="6">
        <v>0.0</v>
      </c>
      <c r="FV27" s="6">
        <v>0.0</v>
      </c>
      <c r="FW27" s="6">
        <v>18.0</v>
      </c>
      <c r="FX27" s="6">
        <v>28.0</v>
      </c>
      <c r="FY27" s="6">
        <v>114.0</v>
      </c>
      <c r="FZ27" s="6">
        <v>0.0</v>
      </c>
      <c r="GA27" s="6">
        <v>3.04</v>
      </c>
      <c r="GB27" s="6">
        <v>5.26</v>
      </c>
      <c r="GC27" s="6">
        <v>18.64</v>
      </c>
      <c r="GD27" s="6">
        <v>-13.68427167</v>
      </c>
      <c r="GE27" s="1" t="s">
        <v>1351</v>
      </c>
      <c r="GF27" s="1" t="s">
        <v>1383</v>
      </c>
    </row>
    <row r="28">
      <c r="A28" s="1" t="s">
        <v>86</v>
      </c>
      <c r="B28" s="6">
        <v>4.0</v>
      </c>
      <c r="C28" s="6">
        <v>0.0</v>
      </c>
      <c r="D28" s="6">
        <v>2.0</v>
      </c>
      <c r="E28" s="6">
        <v>0.0</v>
      </c>
      <c r="F28" s="6">
        <v>524.2571</v>
      </c>
      <c r="G28" s="6">
        <v>1053.593</v>
      </c>
      <c r="H28" s="6">
        <v>2188.035</v>
      </c>
      <c r="I28" s="6">
        <v>3071.595</v>
      </c>
      <c r="J28" s="6">
        <v>3218.0</v>
      </c>
      <c r="K28" s="6">
        <v>7472.0</v>
      </c>
      <c r="L28" s="6">
        <v>13968.0</v>
      </c>
      <c r="M28" s="6">
        <v>16872.0</v>
      </c>
      <c r="N28" s="6">
        <v>73.0</v>
      </c>
      <c r="O28" s="6">
        <v>156.0</v>
      </c>
      <c r="P28" s="6">
        <v>298.0</v>
      </c>
      <c r="Q28" s="6">
        <v>442.0</v>
      </c>
      <c r="R28" s="6">
        <v>454.0</v>
      </c>
      <c r="S28" s="6">
        <v>1242.0</v>
      </c>
      <c r="T28" s="6">
        <v>2146.0</v>
      </c>
      <c r="U28" s="6">
        <v>2978.0</v>
      </c>
      <c r="V28" s="6">
        <v>31.3639</v>
      </c>
      <c r="W28" s="6">
        <v>81.0076</v>
      </c>
      <c r="X28" s="6">
        <v>144.829</v>
      </c>
      <c r="Y28" s="6">
        <v>204.6382</v>
      </c>
      <c r="Z28" s="6">
        <v>328.5464</v>
      </c>
      <c r="AA28" s="6">
        <v>729.3</v>
      </c>
      <c r="AB28" s="6">
        <v>1213.359</v>
      </c>
      <c r="AC28" s="6">
        <v>1513.721</v>
      </c>
      <c r="AD28" s="6">
        <v>1088.0</v>
      </c>
      <c r="AE28" s="6">
        <v>2616.0</v>
      </c>
      <c r="AF28" s="6">
        <v>3528.0</v>
      </c>
      <c r="AG28" s="6">
        <v>3706.0</v>
      </c>
      <c r="AH28" s="6">
        <v>56.0</v>
      </c>
      <c r="AI28" s="6">
        <v>116.0</v>
      </c>
      <c r="AJ28" s="6">
        <v>196.0</v>
      </c>
      <c r="AK28" s="6">
        <v>252.0</v>
      </c>
      <c r="AL28" s="6">
        <v>312.0</v>
      </c>
      <c r="AM28" s="6">
        <v>778.0</v>
      </c>
      <c r="AN28" s="6">
        <v>1104.0</v>
      </c>
      <c r="AO28" s="6">
        <v>1280.0</v>
      </c>
      <c r="AP28" s="6">
        <v>20.3128</v>
      </c>
      <c r="AQ28" s="6">
        <v>51.2204</v>
      </c>
      <c r="AR28" s="6">
        <v>76.0236</v>
      </c>
      <c r="AS28" s="6">
        <v>89.282</v>
      </c>
      <c r="AT28" s="6">
        <v>173.6361</v>
      </c>
      <c r="AU28" s="6">
        <v>327.9688</v>
      </c>
      <c r="AV28" s="6">
        <v>591.3106</v>
      </c>
      <c r="AW28" s="6">
        <v>668.8679</v>
      </c>
      <c r="AX28" s="6">
        <v>847.3333</v>
      </c>
      <c r="AY28" s="6">
        <v>1728.0</v>
      </c>
      <c r="AZ28" s="6">
        <v>2524.0</v>
      </c>
      <c r="BA28" s="6">
        <v>2099.333</v>
      </c>
      <c r="BB28" s="6">
        <v>24.0</v>
      </c>
      <c r="BC28" s="6">
        <v>48.0</v>
      </c>
      <c r="BD28" s="6">
        <v>81.33333</v>
      </c>
      <c r="BE28" s="6">
        <v>96.0</v>
      </c>
      <c r="BF28" s="6">
        <v>129.3333</v>
      </c>
      <c r="BG28" s="6">
        <v>312.6667</v>
      </c>
      <c r="BH28" s="6">
        <v>408.0</v>
      </c>
      <c r="BI28" s="6">
        <v>438.6667</v>
      </c>
      <c r="BJ28" s="6">
        <v>9.9338</v>
      </c>
      <c r="BK28" s="6">
        <v>23.28587</v>
      </c>
      <c r="BL28" s="6">
        <v>34.6344</v>
      </c>
      <c r="BM28" s="6">
        <v>35.98027</v>
      </c>
      <c r="BN28" s="6">
        <v>9.2416</v>
      </c>
      <c r="BO28" s="6">
        <v>15.504</v>
      </c>
      <c r="BP28" s="6">
        <v>29.944</v>
      </c>
      <c r="BQ28" s="6">
        <v>43.7456</v>
      </c>
      <c r="BR28" s="6">
        <v>49.0</v>
      </c>
      <c r="BS28" s="6">
        <v>84.0</v>
      </c>
      <c r="BT28" s="6">
        <v>133.0</v>
      </c>
      <c r="BU28" s="6">
        <v>119.0</v>
      </c>
      <c r="BV28" s="6">
        <v>1.0</v>
      </c>
      <c r="BW28" s="6">
        <v>2.0</v>
      </c>
      <c r="BX28" s="6">
        <v>4.0</v>
      </c>
      <c r="BY28" s="6">
        <v>6.0</v>
      </c>
      <c r="BZ28" s="6">
        <v>4.0</v>
      </c>
      <c r="CA28" s="6">
        <v>12.0</v>
      </c>
      <c r="CB28" s="6">
        <v>22.0</v>
      </c>
      <c r="CC28" s="6">
        <v>20.0</v>
      </c>
      <c r="CD28" s="6">
        <v>0.5625</v>
      </c>
      <c r="CE28" s="6">
        <v>1.155</v>
      </c>
      <c r="CF28" s="6">
        <v>2.01</v>
      </c>
      <c r="CG28" s="6">
        <v>2.25</v>
      </c>
      <c r="CH28" s="6">
        <v>10.9696</v>
      </c>
      <c r="CI28" s="6">
        <v>13.6688</v>
      </c>
      <c r="CJ28" s="6">
        <v>42.5768</v>
      </c>
      <c r="CK28" s="6">
        <v>43.17013</v>
      </c>
      <c r="CL28" s="6">
        <v>59.0</v>
      </c>
      <c r="CM28" s="6">
        <v>127.3333</v>
      </c>
      <c r="CN28" s="6">
        <v>167.5</v>
      </c>
      <c r="CO28" s="6">
        <v>209.3333</v>
      </c>
      <c r="CP28" s="6">
        <v>1.0</v>
      </c>
      <c r="CQ28" s="6">
        <v>1.666667</v>
      </c>
      <c r="CR28" s="6">
        <v>5.0</v>
      </c>
      <c r="CS28" s="6">
        <v>4.0</v>
      </c>
      <c r="CT28" s="6">
        <v>3.666667</v>
      </c>
      <c r="CU28" s="6">
        <v>14.66667</v>
      </c>
      <c r="CV28" s="6">
        <v>19.0</v>
      </c>
      <c r="CW28" s="6">
        <v>15.0</v>
      </c>
      <c r="CX28" s="6">
        <v>0.542767</v>
      </c>
      <c r="CY28" s="6">
        <v>1.0739</v>
      </c>
      <c r="CZ28" s="6">
        <v>2.167767</v>
      </c>
      <c r="DA28" s="6">
        <v>1.9816</v>
      </c>
      <c r="DB28" s="6">
        <v>0.0</v>
      </c>
      <c r="DC28" s="6">
        <v>0.98</v>
      </c>
      <c r="DD28" s="6">
        <v>2.31</v>
      </c>
      <c r="DE28" s="6">
        <v>3.85</v>
      </c>
      <c r="DF28" s="6">
        <v>0.0</v>
      </c>
      <c r="DG28" s="6">
        <v>2.0</v>
      </c>
      <c r="DH28" s="6">
        <v>9.0</v>
      </c>
      <c r="DI28" s="6">
        <v>25.0</v>
      </c>
      <c r="DJ28" s="6">
        <v>0.0</v>
      </c>
      <c r="DK28" s="6">
        <v>0.0</v>
      </c>
      <c r="DL28" s="6">
        <v>0.0</v>
      </c>
      <c r="DM28" s="6">
        <v>0.0</v>
      </c>
      <c r="DN28" s="6">
        <v>0.0</v>
      </c>
      <c r="DO28" s="6">
        <v>-2.0</v>
      </c>
      <c r="DP28" s="6">
        <v>-3.0</v>
      </c>
      <c r="DQ28" s="6">
        <v>2.0</v>
      </c>
      <c r="DR28" s="6">
        <v>0.0</v>
      </c>
      <c r="DS28" s="6">
        <v>-0.04</v>
      </c>
      <c r="DT28" s="6">
        <v>0.32</v>
      </c>
      <c r="DU28" s="6">
        <v>1.5</v>
      </c>
      <c r="DV28" s="6">
        <v>0.0</v>
      </c>
      <c r="DW28" s="6">
        <v>1.063333</v>
      </c>
      <c r="DX28" s="6">
        <v>2.821667</v>
      </c>
      <c r="DY28" s="6">
        <v>-0.19333</v>
      </c>
      <c r="DZ28" s="6">
        <v>0.0</v>
      </c>
      <c r="EA28" s="6">
        <v>-4.33333</v>
      </c>
      <c r="EB28" s="6">
        <v>15.16667</v>
      </c>
      <c r="EC28" s="6">
        <v>2.666667</v>
      </c>
      <c r="ED28" s="6">
        <v>0.0</v>
      </c>
      <c r="EE28" s="6">
        <v>0.0</v>
      </c>
      <c r="EF28" s="6">
        <v>0.0</v>
      </c>
      <c r="EG28" s="6">
        <v>0.0</v>
      </c>
      <c r="EH28" s="6">
        <v>0.0</v>
      </c>
      <c r="EI28" s="6">
        <v>-3.0</v>
      </c>
      <c r="EJ28" s="6">
        <v>2.0</v>
      </c>
      <c r="EK28" s="6">
        <v>1.666667</v>
      </c>
      <c r="EL28" s="6">
        <v>0.0</v>
      </c>
      <c r="EM28" s="6">
        <v>-0.21333</v>
      </c>
      <c r="EN28" s="6">
        <v>0.78</v>
      </c>
      <c r="EO28" s="6">
        <v>0.28</v>
      </c>
      <c r="EP28" s="6">
        <v>3.3489</v>
      </c>
      <c r="EQ28" s="6">
        <v>34.8432</v>
      </c>
      <c r="ER28" s="6">
        <v>56.1078</v>
      </c>
      <c r="ES28" s="6">
        <v>118.2363</v>
      </c>
      <c r="ET28" s="6">
        <v>676.0</v>
      </c>
      <c r="EU28" s="6">
        <v>1144.0</v>
      </c>
      <c r="EV28" s="6">
        <v>2392.0</v>
      </c>
      <c r="EW28" s="6">
        <v>2314.0</v>
      </c>
      <c r="EX28" s="6">
        <v>1.0</v>
      </c>
      <c r="EY28" s="6">
        <v>6.0</v>
      </c>
      <c r="EZ28" s="6">
        <v>12.0</v>
      </c>
      <c r="FA28" s="6">
        <v>26.0</v>
      </c>
      <c r="FB28" s="6">
        <v>36.0</v>
      </c>
      <c r="FC28" s="6">
        <v>108.0</v>
      </c>
      <c r="FD28" s="6">
        <v>264.0</v>
      </c>
      <c r="FE28" s="6">
        <v>252.0</v>
      </c>
      <c r="FF28" s="6">
        <v>1.5625</v>
      </c>
      <c r="FG28" s="6">
        <v>5.575</v>
      </c>
      <c r="FH28" s="6">
        <v>12.175</v>
      </c>
      <c r="FI28" s="6">
        <v>17.325</v>
      </c>
      <c r="FJ28" s="6">
        <v>0.0</v>
      </c>
      <c r="FK28" s="6">
        <v>-8.06</v>
      </c>
      <c r="FL28" s="6">
        <v>-8.7</v>
      </c>
      <c r="FM28" s="6">
        <v>-17.03</v>
      </c>
      <c r="FN28" s="6">
        <v>0.0</v>
      </c>
      <c r="FO28" s="6">
        <v>112.0</v>
      </c>
      <c r="FP28" s="6">
        <v>220.0</v>
      </c>
      <c r="FQ28" s="6">
        <v>587.0</v>
      </c>
      <c r="FR28" s="6">
        <v>0.0</v>
      </c>
      <c r="FS28" s="6">
        <v>0.0</v>
      </c>
      <c r="FT28" s="6">
        <v>0.0</v>
      </c>
      <c r="FU28" s="6">
        <v>0.0</v>
      </c>
      <c r="FV28" s="6">
        <v>0.0</v>
      </c>
      <c r="FW28" s="6">
        <v>18.0</v>
      </c>
      <c r="FX28" s="6">
        <v>28.0</v>
      </c>
      <c r="FY28" s="6">
        <v>114.0</v>
      </c>
      <c r="FZ28" s="6">
        <v>0.0</v>
      </c>
      <c r="GA28" s="6">
        <v>3.04</v>
      </c>
      <c r="GB28" s="6">
        <v>5.26</v>
      </c>
      <c r="GC28" s="6">
        <v>18.64</v>
      </c>
      <c r="GD28" s="6">
        <v>-17.23970367</v>
      </c>
      <c r="GE28" s="1" t="s">
        <v>1351</v>
      </c>
      <c r="GF28" s="1" t="s">
        <v>1384</v>
      </c>
    </row>
    <row r="29">
      <c r="A29" s="1" t="s">
        <v>88</v>
      </c>
      <c r="B29" s="6">
        <v>4.0</v>
      </c>
      <c r="C29" s="6">
        <v>0.0</v>
      </c>
      <c r="D29" s="6">
        <v>2.0</v>
      </c>
      <c r="E29" s="6">
        <v>0.0</v>
      </c>
      <c r="F29" s="6">
        <v>318.0135</v>
      </c>
      <c r="G29" s="6">
        <v>727.6674</v>
      </c>
      <c r="H29" s="6">
        <v>1408.821</v>
      </c>
      <c r="I29" s="6">
        <v>1999.41</v>
      </c>
      <c r="J29" s="6">
        <v>1786.0</v>
      </c>
      <c r="K29" s="6">
        <v>4620.0</v>
      </c>
      <c r="L29" s="6">
        <v>7914.0</v>
      </c>
      <c r="M29" s="6">
        <v>9618.0</v>
      </c>
      <c r="N29" s="6">
        <v>53.0</v>
      </c>
      <c r="O29" s="6">
        <v>116.0</v>
      </c>
      <c r="P29" s="6">
        <v>218.0</v>
      </c>
      <c r="Q29" s="6">
        <v>312.0</v>
      </c>
      <c r="R29" s="6">
        <v>334.0</v>
      </c>
      <c r="S29" s="6">
        <v>912.0</v>
      </c>
      <c r="T29" s="6">
        <v>1584.0</v>
      </c>
      <c r="U29" s="6">
        <v>2112.0</v>
      </c>
      <c r="V29" s="6">
        <v>21.2669</v>
      </c>
      <c r="W29" s="6">
        <v>57.7888</v>
      </c>
      <c r="X29" s="6">
        <v>101.827</v>
      </c>
      <c r="Y29" s="6">
        <v>143.2708</v>
      </c>
      <c r="Z29" s="6">
        <v>241.1314</v>
      </c>
      <c r="AA29" s="6">
        <v>536.571</v>
      </c>
      <c r="AB29" s="6">
        <v>872.502</v>
      </c>
      <c r="AC29" s="6">
        <v>1067.776</v>
      </c>
      <c r="AD29" s="6">
        <v>862.0</v>
      </c>
      <c r="AE29" s="6">
        <v>2052.0</v>
      </c>
      <c r="AF29" s="6">
        <v>2760.0</v>
      </c>
      <c r="AG29" s="6">
        <v>2748.0</v>
      </c>
      <c r="AH29" s="6">
        <v>40.0</v>
      </c>
      <c r="AI29" s="6">
        <v>84.0</v>
      </c>
      <c r="AJ29" s="6">
        <v>138.0</v>
      </c>
      <c r="AK29" s="6">
        <v>174.0</v>
      </c>
      <c r="AL29" s="6">
        <v>222.0</v>
      </c>
      <c r="AM29" s="6">
        <v>552.0</v>
      </c>
      <c r="AN29" s="6">
        <v>774.0</v>
      </c>
      <c r="AO29" s="6">
        <v>852.0</v>
      </c>
      <c r="AP29" s="6">
        <v>15.3864</v>
      </c>
      <c r="AQ29" s="6">
        <v>38.4384</v>
      </c>
      <c r="AR29" s="6">
        <v>56.4054</v>
      </c>
      <c r="AS29" s="6">
        <v>62.9958</v>
      </c>
      <c r="AT29" s="6">
        <v>104.8882</v>
      </c>
      <c r="AU29" s="6">
        <v>220.303</v>
      </c>
      <c r="AV29" s="6">
        <v>342.97</v>
      </c>
      <c r="AW29" s="6">
        <v>382.6772</v>
      </c>
      <c r="AX29" s="6">
        <v>370.0</v>
      </c>
      <c r="AY29" s="6">
        <v>812.0</v>
      </c>
      <c r="AZ29" s="6">
        <v>1004.0</v>
      </c>
      <c r="BA29" s="6">
        <v>944.0</v>
      </c>
      <c r="BB29" s="6">
        <v>17.33333</v>
      </c>
      <c r="BC29" s="6">
        <v>34.66667</v>
      </c>
      <c r="BD29" s="6">
        <v>55.33333</v>
      </c>
      <c r="BE29" s="6">
        <v>62.0</v>
      </c>
      <c r="BF29" s="6">
        <v>90.0</v>
      </c>
      <c r="BG29" s="6">
        <v>213.3333</v>
      </c>
      <c r="BH29" s="6">
        <v>275.3333</v>
      </c>
      <c r="BI29" s="6">
        <v>288.0</v>
      </c>
      <c r="BJ29" s="6">
        <v>6.568133</v>
      </c>
      <c r="BK29" s="6">
        <v>15.51293</v>
      </c>
      <c r="BL29" s="6">
        <v>21.259</v>
      </c>
      <c r="BM29" s="6">
        <v>22.1086</v>
      </c>
      <c r="BN29" s="6">
        <v>9.2416</v>
      </c>
      <c r="BO29" s="6">
        <v>15.504</v>
      </c>
      <c r="BP29" s="6">
        <v>29.944</v>
      </c>
      <c r="BQ29" s="6">
        <v>43.7456</v>
      </c>
      <c r="BR29" s="6">
        <v>49.0</v>
      </c>
      <c r="BS29" s="6">
        <v>84.0</v>
      </c>
      <c r="BT29" s="6">
        <v>133.0</v>
      </c>
      <c r="BU29" s="6">
        <v>119.0</v>
      </c>
      <c r="BV29" s="6">
        <v>1.0</v>
      </c>
      <c r="BW29" s="6">
        <v>2.0</v>
      </c>
      <c r="BX29" s="6">
        <v>4.0</v>
      </c>
      <c r="BY29" s="6">
        <v>6.0</v>
      </c>
      <c r="BZ29" s="6">
        <v>4.0</v>
      </c>
      <c r="CA29" s="6">
        <v>12.0</v>
      </c>
      <c r="CB29" s="6">
        <v>22.0</v>
      </c>
      <c r="CC29" s="6">
        <v>20.0</v>
      </c>
      <c r="CD29" s="6">
        <v>0.5625</v>
      </c>
      <c r="CE29" s="6">
        <v>1.155</v>
      </c>
      <c r="CF29" s="6">
        <v>2.01</v>
      </c>
      <c r="CG29" s="6">
        <v>2.25</v>
      </c>
      <c r="CH29" s="6">
        <v>9.2416</v>
      </c>
      <c r="CI29" s="6">
        <v>11.628</v>
      </c>
      <c r="CJ29" s="6">
        <v>20.72267</v>
      </c>
      <c r="CK29" s="6">
        <v>29.16373</v>
      </c>
      <c r="CL29" s="6">
        <v>49.0</v>
      </c>
      <c r="CM29" s="6">
        <v>63.0</v>
      </c>
      <c r="CN29" s="6">
        <v>78.16667</v>
      </c>
      <c r="CO29" s="6">
        <v>79.33333</v>
      </c>
      <c r="CP29" s="6">
        <v>1.0</v>
      </c>
      <c r="CQ29" s="6">
        <v>1.5</v>
      </c>
      <c r="CR29" s="6">
        <v>2.833333</v>
      </c>
      <c r="CS29" s="6">
        <v>4.0</v>
      </c>
      <c r="CT29" s="6">
        <v>2.833333</v>
      </c>
      <c r="CU29" s="6">
        <v>9.333333</v>
      </c>
      <c r="CV29" s="6">
        <v>13.83333</v>
      </c>
      <c r="CW29" s="6">
        <v>12.83333</v>
      </c>
      <c r="CX29" s="6">
        <v>0.5625</v>
      </c>
      <c r="CY29" s="6">
        <v>0.86625</v>
      </c>
      <c r="CZ29" s="6">
        <v>1.28625</v>
      </c>
      <c r="DA29" s="6">
        <v>1.5</v>
      </c>
      <c r="DB29" s="6">
        <v>0.0</v>
      </c>
      <c r="DC29" s="6">
        <v>0.98</v>
      </c>
      <c r="DD29" s="6">
        <v>2.31</v>
      </c>
      <c r="DE29" s="6">
        <v>3.85</v>
      </c>
      <c r="DF29" s="6">
        <v>0.0</v>
      </c>
      <c r="DG29" s="6">
        <v>2.0</v>
      </c>
      <c r="DH29" s="6">
        <v>9.0</v>
      </c>
      <c r="DI29" s="6">
        <v>25.0</v>
      </c>
      <c r="DJ29" s="6">
        <v>0.0</v>
      </c>
      <c r="DK29" s="6">
        <v>0.0</v>
      </c>
      <c r="DL29" s="6">
        <v>0.0</v>
      </c>
      <c r="DM29" s="6">
        <v>0.0</v>
      </c>
      <c r="DN29" s="6">
        <v>0.0</v>
      </c>
      <c r="DO29" s="6">
        <v>-2.0</v>
      </c>
      <c r="DP29" s="6">
        <v>-3.0</v>
      </c>
      <c r="DQ29" s="6">
        <v>2.0</v>
      </c>
      <c r="DR29" s="6">
        <v>0.0</v>
      </c>
      <c r="DS29" s="6">
        <v>-0.04</v>
      </c>
      <c r="DT29" s="6">
        <v>0.32</v>
      </c>
      <c r="DU29" s="6">
        <v>1.5</v>
      </c>
      <c r="DV29" s="6">
        <v>0.0</v>
      </c>
      <c r="DW29" s="6">
        <v>0.735</v>
      </c>
      <c r="DX29" s="6">
        <v>1.796667</v>
      </c>
      <c r="DY29" s="6">
        <v>2.566667</v>
      </c>
      <c r="DZ29" s="6">
        <v>0.0</v>
      </c>
      <c r="EA29" s="6">
        <v>1.5</v>
      </c>
      <c r="EB29" s="6">
        <v>8.666667</v>
      </c>
      <c r="EC29" s="6">
        <v>16.66667</v>
      </c>
      <c r="ED29" s="6">
        <v>0.0</v>
      </c>
      <c r="EE29" s="6">
        <v>0.0</v>
      </c>
      <c r="EF29" s="6">
        <v>0.0</v>
      </c>
      <c r="EG29" s="6">
        <v>0.0</v>
      </c>
      <c r="EH29" s="6">
        <v>0.0</v>
      </c>
      <c r="EI29" s="6">
        <v>-1.5</v>
      </c>
      <c r="EJ29" s="6">
        <v>-0.5</v>
      </c>
      <c r="EK29" s="6">
        <v>0.833333</v>
      </c>
      <c r="EL29" s="6">
        <v>0.0</v>
      </c>
      <c r="EM29" s="6">
        <v>-0.03</v>
      </c>
      <c r="EN29" s="6">
        <v>0.41</v>
      </c>
      <c r="EO29" s="6">
        <v>1.0</v>
      </c>
      <c r="EP29" s="6">
        <v>3.3489</v>
      </c>
      <c r="EQ29" s="6">
        <v>33.3792</v>
      </c>
      <c r="ER29" s="6">
        <v>51.3315</v>
      </c>
      <c r="ES29" s="6">
        <v>73.566</v>
      </c>
      <c r="ET29" s="6">
        <v>676.0</v>
      </c>
      <c r="EU29" s="6">
        <v>1092.0</v>
      </c>
      <c r="EV29" s="6">
        <v>1716.0</v>
      </c>
      <c r="EW29" s="6">
        <v>1482.0</v>
      </c>
      <c r="EX29" s="6">
        <v>1.0</v>
      </c>
      <c r="EY29" s="6">
        <v>6.0</v>
      </c>
      <c r="EZ29" s="6">
        <v>11.0</v>
      </c>
      <c r="FA29" s="6">
        <v>17.0</v>
      </c>
      <c r="FB29" s="6">
        <v>36.0</v>
      </c>
      <c r="FC29" s="6">
        <v>102.0</v>
      </c>
      <c r="FD29" s="6">
        <v>204.0</v>
      </c>
      <c r="FE29" s="6">
        <v>210.0</v>
      </c>
      <c r="FF29" s="6">
        <v>1.5625</v>
      </c>
      <c r="FG29" s="6">
        <v>5.625</v>
      </c>
      <c r="FH29" s="6">
        <v>10.5875</v>
      </c>
      <c r="FI29" s="6">
        <v>11.8625</v>
      </c>
      <c r="FJ29" s="6">
        <v>0.0</v>
      </c>
      <c r="FK29" s="6">
        <v>-7.26</v>
      </c>
      <c r="FL29" s="6">
        <v>-7.92</v>
      </c>
      <c r="FM29" s="6">
        <v>-9.09</v>
      </c>
      <c r="FN29" s="6">
        <v>0.0</v>
      </c>
      <c r="FO29" s="6">
        <v>114.0</v>
      </c>
      <c r="FP29" s="6">
        <v>220.0</v>
      </c>
      <c r="FQ29" s="6">
        <v>385.0</v>
      </c>
      <c r="FR29" s="6">
        <v>0.0</v>
      </c>
      <c r="FS29" s="6">
        <v>0.0</v>
      </c>
      <c r="FT29" s="6">
        <v>0.0</v>
      </c>
      <c r="FU29" s="6">
        <v>0.0</v>
      </c>
      <c r="FV29" s="6">
        <v>0.0</v>
      </c>
      <c r="FW29" s="6">
        <v>19.0</v>
      </c>
      <c r="FX29" s="6">
        <v>32.0</v>
      </c>
      <c r="FY29" s="6">
        <v>67.0</v>
      </c>
      <c r="FZ29" s="6">
        <v>0.0</v>
      </c>
      <c r="GA29" s="6">
        <v>3.0</v>
      </c>
      <c r="GB29" s="6">
        <v>5.28</v>
      </c>
      <c r="GC29" s="6">
        <v>11.76</v>
      </c>
      <c r="GD29" s="6">
        <v>-15.46449768</v>
      </c>
      <c r="GE29" s="1" t="s">
        <v>1353</v>
      </c>
      <c r="GF29" s="1" t="s">
        <v>1385</v>
      </c>
    </row>
    <row r="30">
      <c r="A30" s="1" t="s">
        <v>90</v>
      </c>
      <c r="B30" s="6">
        <v>4.0</v>
      </c>
      <c r="C30" s="6">
        <v>0.0</v>
      </c>
      <c r="D30" s="6">
        <v>2.0</v>
      </c>
      <c r="E30" s="6">
        <v>0.0</v>
      </c>
      <c r="F30" s="6">
        <v>543.7646</v>
      </c>
      <c r="G30" s="6">
        <v>1131.623</v>
      </c>
      <c r="H30" s="6">
        <v>2413.487</v>
      </c>
      <c r="I30" s="6">
        <v>3477.235</v>
      </c>
      <c r="J30" s="6">
        <v>3326.0</v>
      </c>
      <c r="K30" s="6">
        <v>7904.0</v>
      </c>
      <c r="L30" s="6">
        <v>15110.0</v>
      </c>
      <c r="M30" s="6">
        <v>19118.0</v>
      </c>
      <c r="N30" s="6">
        <v>76.0</v>
      </c>
      <c r="O30" s="6">
        <v>168.0</v>
      </c>
      <c r="P30" s="6">
        <v>334.0</v>
      </c>
      <c r="Q30" s="6">
        <v>506.0</v>
      </c>
      <c r="R30" s="6">
        <v>502.0</v>
      </c>
      <c r="S30" s="6">
        <v>1420.0</v>
      </c>
      <c r="T30" s="6">
        <v>2556.0</v>
      </c>
      <c r="U30" s="6">
        <v>3538.0</v>
      </c>
      <c r="V30" s="6">
        <v>33.1426</v>
      </c>
      <c r="W30" s="6">
        <v>88.1224</v>
      </c>
      <c r="X30" s="6">
        <v>164.307</v>
      </c>
      <c r="Y30" s="6">
        <v>233.9526</v>
      </c>
      <c r="Z30" s="6">
        <v>348.0539</v>
      </c>
      <c r="AA30" s="6">
        <v>807.33</v>
      </c>
      <c r="AB30" s="6">
        <v>1438.811</v>
      </c>
      <c r="AC30" s="6">
        <v>1931.622</v>
      </c>
      <c r="AD30" s="6">
        <v>1196.0</v>
      </c>
      <c r="AE30" s="6">
        <v>3048.0</v>
      </c>
      <c r="AF30" s="6">
        <v>4670.0</v>
      </c>
      <c r="AG30" s="6">
        <v>5276.0</v>
      </c>
      <c r="AH30" s="6">
        <v>59.0</v>
      </c>
      <c r="AI30" s="6">
        <v>128.0</v>
      </c>
      <c r="AJ30" s="6">
        <v>232.0</v>
      </c>
      <c r="AK30" s="6">
        <v>320.0</v>
      </c>
      <c r="AL30" s="6">
        <v>360.0</v>
      </c>
      <c r="AM30" s="6">
        <v>960.0</v>
      </c>
      <c r="AN30" s="6">
        <v>1530.0</v>
      </c>
      <c r="AO30" s="6">
        <v>1748.0</v>
      </c>
      <c r="AP30" s="6">
        <v>22.0915</v>
      </c>
      <c r="AQ30" s="6">
        <v>58.3352</v>
      </c>
      <c r="AR30" s="6">
        <v>95.5016</v>
      </c>
      <c r="AS30" s="6">
        <v>117.4464</v>
      </c>
      <c r="AT30" s="6">
        <v>180.1386</v>
      </c>
      <c r="AU30" s="6">
        <v>353.9788</v>
      </c>
      <c r="AV30" s="6">
        <v>666.4613</v>
      </c>
      <c r="AW30" s="6">
        <v>808.1683</v>
      </c>
      <c r="AX30" s="6">
        <v>883.3333</v>
      </c>
      <c r="AY30" s="6">
        <v>1872.0</v>
      </c>
      <c r="AZ30" s="6">
        <v>2904.667</v>
      </c>
      <c r="BA30" s="6">
        <v>2622.667</v>
      </c>
      <c r="BB30" s="6">
        <v>25.0</v>
      </c>
      <c r="BC30" s="6">
        <v>52.0</v>
      </c>
      <c r="BD30" s="6">
        <v>93.33333</v>
      </c>
      <c r="BE30" s="6">
        <v>118.6667</v>
      </c>
      <c r="BF30" s="6">
        <v>145.3333</v>
      </c>
      <c r="BG30" s="6">
        <v>373.3333</v>
      </c>
      <c r="BH30" s="6">
        <v>550.0</v>
      </c>
      <c r="BI30" s="6">
        <v>594.6667</v>
      </c>
      <c r="BJ30" s="6">
        <v>10.5267</v>
      </c>
      <c r="BK30" s="6">
        <v>25.65747</v>
      </c>
      <c r="BL30" s="6">
        <v>41.12707</v>
      </c>
      <c r="BM30" s="6">
        <v>45.3684</v>
      </c>
      <c r="BN30" s="6">
        <v>9.2416</v>
      </c>
      <c r="BO30" s="6">
        <v>15.504</v>
      </c>
      <c r="BP30" s="6">
        <v>29.944</v>
      </c>
      <c r="BQ30" s="6">
        <v>39.1856</v>
      </c>
      <c r="BR30" s="6">
        <v>49.0</v>
      </c>
      <c r="BS30" s="6">
        <v>84.0</v>
      </c>
      <c r="BT30" s="6">
        <v>133.0</v>
      </c>
      <c r="BU30" s="6">
        <v>182.0</v>
      </c>
      <c r="BV30" s="6">
        <v>1.0</v>
      </c>
      <c r="BW30" s="6">
        <v>2.0</v>
      </c>
      <c r="BX30" s="6">
        <v>4.0</v>
      </c>
      <c r="BY30" s="6">
        <v>5.0</v>
      </c>
      <c r="BZ30" s="6">
        <v>4.0</v>
      </c>
      <c r="CA30" s="6">
        <v>12.0</v>
      </c>
      <c r="CB30" s="6">
        <v>20.0</v>
      </c>
      <c r="CC30" s="6">
        <v>26.0</v>
      </c>
      <c r="CD30" s="6">
        <v>0.5625</v>
      </c>
      <c r="CE30" s="6">
        <v>1.155</v>
      </c>
      <c r="CF30" s="6">
        <v>2.01</v>
      </c>
      <c r="CG30" s="6">
        <v>2.5725</v>
      </c>
      <c r="CH30" s="6">
        <v>10.9696</v>
      </c>
      <c r="CI30" s="6">
        <v>13.6688</v>
      </c>
      <c r="CJ30" s="6">
        <v>40.87947</v>
      </c>
      <c r="CK30" s="6">
        <v>53.15147</v>
      </c>
      <c r="CL30" s="6">
        <v>59.0</v>
      </c>
      <c r="CM30" s="6">
        <v>127.3333</v>
      </c>
      <c r="CN30" s="6">
        <v>182.6667</v>
      </c>
      <c r="CO30" s="6">
        <v>253.6667</v>
      </c>
      <c r="CP30" s="6">
        <v>1.0</v>
      </c>
      <c r="CQ30" s="6">
        <v>1.666667</v>
      </c>
      <c r="CR30" s="6">
        <v>4.666667</v>
      </c>
      <c r="CS30" s="6">
        <v>5.333333</v>
      </c>
      <c r="CT30" s="6">
        <v>3.666667</v>
      </c>
      <c r="CU30" s="6">
        <v>13.66667</v>
      </c>
      <c r="CV30" s="6">
        <v>22.0</v>
      </c>
      <c r="CW30" s="6">
        <v>28.0</v>
      </c>
      <c r="CX30" s="6">
        <v>0.542767</v>
      </c>
      <c r="CY30" s="6">
        <v>1.0739</v>
      </c>
      <c r="CZ30" s="6">
        <v>2.225267</v>
      </c>
      <c r="DA30" s="6">
        <v>2.6516</v>
      </c>
      <c r="DB30" s="6">
        <v>0.0</v>
      </c>
      <c r="DC30" s="6">
        <v>0.98</v>
      </c>
      <c r="DD30" s="6">
        <v>2.31</v>
      </c>
      <c r="DE30" s="6">
        <v>2.31</v>
      </c>
      <c r="DF30" s="6">
        <v>0.0</v>
      </c>
      <c r="DG30" s="6">
        <v>2.0</v>
      </c>
      <c r="DH30" s="6">
        <v>9.0</v>
      </c>
      <c r="DI30" s="6">
        <v>9.0</v>
      </c>
      <c r="DJ30" s="6">
        <v>0.0</v>
      </c>
      <c r="DK30" s="6">
        <v>0.0</v>
      </c>
      <c r="DL30" s="6">
        <v>0.0</v>
      </c>
      <c r="DM30" s="6">
        <v>0.0</v>
      </c>
      <c r="DN30" s="6">
        <v>0.0</v>
      </c>
      <c r="DO30" s="6">
        <v>-2.0</v>
      </c>
      <c r="DP30" s="6">
        <v>-2.0</v>
      </c>
      <c r="DQ30" s="6">
        <v>-3.0</v>
      </c>
      <c r="DR30" s="6">
        <v>0.0</v>
      </c>
      <c r="DS30" s="6">
        <v>-0.04</v>
      </c>
      <c r="DT30" s="6">
        <v>0.32</v>
      </c>
      <c r="DU30" s="6">
        <v>0.32</v>
      </c>
      <c r="DV30" s="6">
        <v>0.0</v>
      </c>
      <c r="DW30" s="6">
        <v>1.063333</v>
      </c>
      <c r="DX30" s="6">
        <v>2.366667</v>
      </c>
      <c r="DY30" s="6">
        <v>0.576667</v>
      </c>
      <c r="DZ30" s="6">
        <v>0.0</v>
      </c>
      <c r="EA30" s="6">
        <v>-4.33333</v>
      </c>
      <c r="EB30" s="6">
        <v>10.66667</v>
      </c>
      <c r="EC30" s="6">
        <v>5.666667</v>
      </c>
      <c r="ED30" s="6">
        <v>0.0</v>
      </c>
      <c r="EE30" s="6">
        <v>0.0</v>
      </c>
      <c r="EF30" s="6">
        <v>0.0</v>
      </c>
      <c r="EG30" s="6">
        <v>0.0</v>
      </c>
      <c r="EH30" s="6">
        <v>0.0</v>
      </c>
      <c r="EI30" s="6">
        <v>-2.66667</v>
      </c>
      <c r="EJ30" s="6">
        <v>0.0</v>
      </c>
      <c r="EK30" s="6">
        <v>1.333333</v>
      </c>
      <c r="EL30" s="6">
        <v>0.0</v>
      </c>
      <c r="EM30" s="6">
        <v>-0.21333</v>
      </c>
      <c r="EN30" s="6">
        <v>0.453333</v>
      </c>
      <c r="EO30" s="6">
        <v>0.386667</v>
      </c>
      <c r="EP30" s="6">
        <v>3.3489</v>
      </c>
      <c r="EQ30" s="6">
        <v>34.8432</v>
      </c>
      <c r="ER30" s="6">
        <v>56.1078</v>
      </c>
      <c r="ES30" s="6">
        <v>112.1058</v>
      </c>
      <c r="ET30" s="6">
        <v>676.0</v>
      </c>
      <c r="EU30" s="6">
        <v>1144.0</v>
      </c>
      <c r="EV30" s="6">
        <v>2392.0</v>
      </c>
      <c r="EW30" s="6">
        <v>2652.0</v>
      </c>
      <c r="EX30" s="6">
        <v>1.0</v>
      </c>
      <c r="EY30" s="6">
        <v>6.0</v>
      </c>
      <c r="EZ30" s="6">
        <v>12.0</v>
      </c>
      <c r="FA30" s="6">
        <v>24.0</v>
      </c>
      <c r="FB30" s="6">
        <v>36.0</v>
      </c>
      <c r="FC30" s="6">
        <v>108.0</v>
      </c>
      <c r="FD30" s="6">
        <v>252.0</v>
      </c>
      <c r="FE30" s="6">
        <v>288.0</v>
      </c>
      <c r="FF30" s="6">
        <v>1.5625</v>
      </c>
      <c r="FG30" s="6">
        <v>5.575</v>
      </c>
      <c r="FH30" s="6">
        <v>12.175</v>
      </c>
      <c r="FI30" s="6">
        <v>17.9</v>
      </c>
      <c r="FJ30" s="6">
        <v>0.0</v>
      </c>
      <c r="FK30" s="6">
        <v>-8.06</v>
      </c>
      <c r="FL30" s="6">
        <v>-8.7</v>
      </c>
      <c r="FM30" s="6">
        <v>-17.34</v>
      </c>
      <c r="FN30" s="6">
        <v>0.0</v>
      </c>
      <c r="FO30" s="6">
        <v>112.0</v>
      </c>
      <c r="FP30" s="6">
        <v>220.0</v>
      </c>
      <c r="FQ30" s="6">
        <v>522.0</v>
      </c>
      <c r="FR30" s="6">
        <v>0.0</v>
      </c>
      <c r="FS30" s="6">
        <v>0.0</v>
      </c>
      <c r="FT30" s="6">
        <v>0.0</v>
      </c>
      <c r="FU30" s="6">
        <v>0.0</v>
      </c>
      <c r="FV30" s="6">
        <v>0.0</v>
      </c>
      <c r="FW30" s="6">
        <v>18.0</v>
      </c>
      <c r="FX30" s="6">
        <v>30.0</v>
      </c>
      <c r="FY30" s="6">
        <v>96.0</v>
      </c>
      <c r="FZ30" s="6">
        <v>0.0</v>
      </c>
      <c r="GA30" s="6">
        <v>3.04</v>
      </c>
      <c r="GB30" s="6">
        <v>5.26</v>
      </c>
      <c r="GC30" s="6">
        <v>15.68</v>
      </c>
      <c r="GD30" s="6">
        <v>-14.22643426</v>
      </c>
      <c r="GE30" s="1" t="s">
        <v>1351</v>
      </c>
      <c r="GF30" s="1" t="s">
        <v>1386</v>
      </c>
    </row>
    <row r="31">
      <c r="A31" s="1" t="s">
        <v>92</v>
      </c>
      <c r="B31" s="6">
        <v>4.0</v>
      </c>
      <c r="C31" s="6">
        <v>0.0</v>
      </c>
      <c r="D31" s="6">
        <v>2.0</v>
      </c>
      <c r="E31" s="6">
        <v>0.0</v>
      </c>
      <c r="F31" s="6">
        <v>591.6279</v>
      </c>
      <c r="G31" s="6">
        <v>1194.659</v>
      </c>
      <c r="H31" s="6">
        <v>2518.412</v>
      </c>
      <c r="I31" s="6">
        <v>3570.863</v>
      </c>
      <c r="J31" s="6">
        <v>3526.0</v>
      </c>
      <c r="K31" s="6">
        <v>8144.0</v>
      </c>
      <c r="L31" s="6">
        <v>15328.0</v>
      </c>
      <c r="M31" s="6">
        <v>20262.0</v>
      </c>
      <c r="N31" s="6">
        <v>81.0</v>
      </c>
      <c r="O31" s="6">
        <v>176.0</v>
      </c>
      <c r="P31" s="6">
        <v>346.0</v>
      </c>
      <c r="Q31" s="6">
        <v>512.0</v>
      </c>
      <c r="R31" s="6">
        <v>522.0</v>
      </c>
      <c r="S31" s="6">
        <v>1440.0</v>
      </c>
      <c r="T31" s="6">
        <v>2502.0</v>
      </c>
      <c r="U31" s="6">
        <v>3658.0</v>
      </c>
      <c r="V31" s="6">
        <v>35.0175</v>
      </c>
      <c r="W31" s="6">
        <v>91.4488</v>
      </c>
      <c r="X31" s="6">
        <v>167.0594</v>
      </c>
      <c r="Y31" s="6">
        <v>241.5204</v>
      </c>
      <c r="Z31" s="6">
        <v>395.9172</v>
      </c>
      <c r="AA31" s="6">
        <v>870.366</v>
      </c>
      <c r="AB31" s="6">
        <v>1543.736</v>
      </c>
      <c r="AC31" s="6">
        <v>2022.687</v>
      </c>
      <c r="AD31" s="6">
        <v>1396.0</v>
      </c>
      <c r="AE31" s="6">
        <v>3288.0</v>
      </c>
      <c r="AF31" s="6">
        <v>4888.0</v>
      </c>
      <c r="AG31" s="6">
        <v>5900.0</v>
      </c>
      <c r="AH31" s="6">
        <v>64.0</v>
      </c>
      <c r="AI31" s="6">
        <v>136.0</v>
      </c>
      <c r="AJ31" s="6">
        <v>244.0</v>
      </c>
      <c r="AK31" s="6">
        <v>326.0</v>
      </c>
      <c r="AL31" s="6">
        <v>380.0</v>
      </c>
      <c r="AM31" s="6">
        <v>980.0</v>
      </c>
      <c r="AN31" s="6">
        <v>1464.0</v>
      </c>
      <c r="AO31" s="6">
        <v>1796.0</v>
      </c>
      <c r="AP31" s="6">
        <v>23.9664</v>
      </c>
      <c r="AQ31" s="6">
        <v>61.6616</v>
      </c>
      <c r="AR31" s="6">
        <v>98.254</v>
      </c>
      <c r="AS31" s="6">
        <v>123.0142</v>
      </c>
      <c r="AT31" s="6">
        <v>196.093</v>
      </c>
      <c r="AU31" s="6">
        <v>374.9908</v>
      </c>
      <c r="AV31" s="6">
        <v>701.4363</v>
      </c>
      <c r="AW31" s="6">
        <v>838.5235</v>
      </c>
      <c r="AX31" s="6">
        <v>950.0</v>
      </c>
      <c r="AY31" s="6">
        <v>1952.0</v>
      </c>
      <c r="AZ31" s="6">
        <v>2977.333</v>
      </c>
      <c r="BA31" s="6">
        <v>2830.667</v>
      </c>
      <c r="BB31" s="6">
        <v>26.66667</v>
      </c>
      <c r="BC31" s="6">
        <v>54.66667</v>
      </c>
      <c r="BD31" s="6">
        <v>97.33333</v>
      </c>
      <c r="BE31" s="6">
        <v>120.6667</v>
      </c>
      <c r="BF31" s="6">
        <v>152.0</v>
      </c>
      <c r="BG31" s="6">
        <v>380.0</v>
      </c>
      <c r="BH31" s="6">
        <v>528.0</v>
      </c>
      <c r="BI31" s="6">
        <v>610.6667</v>
      </c>
      <c r="BJ31" s="6">
        <v>11.15167</v>
      </c>
      <c r="BK31" s="6">
        <v>26.76627</v>
      </c>
      <c r="BL31" s="6">
        <v>42.04453</v>
      </c>
      <c r="BM31" s="6">
        <v>47.22433</v>
      </c>
      <c r="BN31" s="6">
        <v>9.2416</v>
      </c>
      <c r="BO31" s="6">
        <v>15.504</v>
      </c>
      <c r="BP31" s="6">
        <v>31.008</v>
      </c>
      <c r="BQ31" s="6">
        <v>64.6608</v>
      </c>
      <c r="BR31" s="6">
        <v>49.0</v>
      </c>
      <c r="BS31" s="6">
        <v>84.0</v>
      </c>
      <c r="BT31" s="6">
        <v>168.0</v>
      </c>
      <c r="BU31" s="6">
        <v>259.0</v>
      </c>
      <c r="BV31" s="6">
        <v>1.0</v>
      </c>
      <c r="BW31" s="6">
        <v>2.0</v>
      </c>
      <c r="BX31" s="6">
        <v>4.0</v>
      </c>
      <c r="BY31" s="6">
        <v>8.0</v>
      </c>
      <c r="BZ31" s="6">
        <v>4.0</v>
      </c>
      <c r="CA31" s="6">
        <v>12.0</v>
      </c>
      <c r="CB31" s="6">
        <v>26.0</v>
      </c>
      <c r="CC31" s="6">
        <v>32.0</v>
      </c>
      <c r="CD31" s="6">
        <v>0.5625</v>
      </c>
      <c r="CE31" s="6">
        <v>1.155</v>
      </c>
      <c r="CF31" s="6">
        <v>2.31</v>
      </c>
      <c r="CG31" s="6">
        <v>3.66</v>
      </c>
      <c r="CH31" s="6">
        <v>10.9696</v>
      </c>
      <c r="CI31" s="6">
        <v>13.6688</v>
      </c>
      <c r="CJ31" s="6">
        <v>40.87947</v>
      </c>
      <c r="CK31" s="6">
        <v>52.7968</v>
      </c>
      <c r="CL31" s="6">
        <v>59.0</v>
      </c>
      <c r="CM31" s="6">
        <v>127.3333</v>
      </c>
      <c r="CN31" s="6">
        <v>182.6667</v>
      </c>
      <c r="CO31" s="6">
        <v>242.0</v>
      </c>
      <c r="CP31" s="6">
        <v>1.0</v>
      </c>
      <c r="CQ31" s="6">
        <v>1.666667</v>
      </c>
      <c r="CR31" s="6">
        <v>4.666667</v>
      </c>
      <c r="CS31" s="6">
        <v>5.333333</v>
      </c>
      <c r="CT31" s="6">
        <v>3.666667</v>
      </c>
      <c r="CU31" s="6">
        <v>13.66667</v>
      </c>
      <c r="CV31" s="6">
        <v>22.0</v>
      </c>
      <c r="CW31" s="6">
        <v>25.0</v>
      </c>
      <c r="CX31" s="6">
        <v>0.542767</v>
      </c>
      <c r="CY31" s="6">
        <v>1.0739</v>
      </c>
      <c r="CZ31" s="6">
        <v>2.225267</v>
      </c>
      <c r="DA31" s="6">
        <v>2.5516</v>
      </c>
      <c r="DB31" s="6">
        <v>0.0</v>
      </c>
      <c r="DC31" s="6">
        <v>0.98</v>
      </c>
      <c r="DD31" s="6">
        <v>1.96</v>
      </c>
      <c r="DE31" s="6">
        <v>3.05</v>
      </c>
      <c r="DF31" s="6">
        <v>0.0</v>
      </c>
      <c r="DG31" s="6">
        <v>2.0</v>
      </c>
      <c r="DH31" s="6">
        <v>4.0</v>
      </c>
      <c r="DI31" s="6">
        <v>19.0</v>
      </c>
      <c r="DJ31" s="6">
        <v>0.0</v>
      </c>
      <c r="DK31" s="6">
        <v>0.0</v>
      </c>
      <c r="DL31" s="6">
        <v>0.0</v>
      </c>
      <c r="DM31" s="6">
        <v>0.0</v>
      </c>
      <c r="DN31" s="6">
        <v>0.0</v>
      </c>
      <c r="DO31" s="6">
        <v>-2.0</v>
      </c>
      <c r="DP31" s="6">
        <v>-5.0</v>
      </c>
      <c r="DQ31" s="6">
        <v>0.0</v>
      </c>
      <c r="DR31" s="6">
        <v>0.0</v>
      </c>
      <c r="DS31" s="6">
        <v>-0.04</v>
      </c>
      <c r="DT31" s="6">
        <v>-0.08</v>
      </c>
      <c r="DU31" s="6">
        <v>1.12</v>
      </c>
      <c r="DV31" s="6">
        <v>0.0</v>
      </c>
      <c r="DW31" s="6">
        <v>1.063333</v>
      </c>
      <c r="DX31" s="6">
        <v>2.366667</v>
      </c>
      <c r="DY31" s="6">
        <v>0.693333</v>
      </c>
      <c r="DZ31" s="6">
        <v>0.0</v>
      </c>
      <c r="EA31" s="6">
        <v>-4.33333</v>
      </c>
      <c r="EB31" s="6">
        <v>10.66667</v>
      </c>
      <c r="EC31" s="6">
        <v>7.333333</v>
      </c>
      <c r="ED31" s="6">
        <v>0.0</v>
      </c>
      <c r="EE31" s="6">
        <v>0.0</v>
      </c>
      <c r="EF31" s="6">
        <v>0.0</v>
      </c>
      <c r="EG31" s="6">
        <v>0.0</v>
      </c>
      <c r="EH31" s="6">
        <v>0.0</v>
      </c>
      <c r="EI31" s="6">
        <v>-2.66667</v>
      </c>
      <c r="EJ31" s="6">
        <v>0.0</v>
      </c>
      <c r="EK31" s="6">
        <v>2.333333</v>
      </c>
      <c r="EL31" s="6">
        <v>0.0</v>
      </c>
      <c r="EM31" s="6">
        <v>-0.21333</v>
      </c>
      <c r="EN31" s="6">
        <v>0.453333</v>
      </c>
      <c r="EO31" s="6">
        <v>0.52</v>
      </c>
      <c r="EP31" s="6">
        <v>3.3489</v>
      </c>
      <c r="EQ31" s="6">
        <v>34.8432</v>
      </c>
      <c r="ER31" s="6">
        <v>56.1078</v>
      </c>
      <c r="ES31" s="6">
        <v>113.3868</v>
      </c>
      <c r="ET31" s="6">
        <v>676.0</v>
      </c>
      <c r="EU31" s="6">
        <v>1144.0</v>
      </c>
      <c r="EV31" s="6">
        <v>2392.0</v>
      </c>
      <c r="EW31" s="6">
        <v>2912.0</v>
      </c>
      <c r="EX31" s="6">
        <v>1.0</v>
      </c>
      <c r="EY31" s="6">
        <v>6.0</v>
      </c>
      <c r="EZ31" s="6">
        <v>12.0</v>
      </c>
      <c r="FA31" s="6">
        <v>24.0</v>
      </c>
      <c r="FB31" s="6">
        <v>36.0</v>
      </c>
      <c r="FC31" s="6">
        <v>108.0</v>
      </c>
      <c r="FD31" s="6">
        <v>252.0</v>
      </c>
      <c r="FE31" s="6">
        <v>324.0</v>
      </c>
      <c r="FF31" s="6">
        <v>1.5625</v>
      </c>
      <c r="FG31" s="6">
        <v>5.575</v>
      </c>
      <c r="FH31" s="6">
        <v>12.175</v>
      </c>
      <c r="FI31" s="6">
        <v>18.9</v>
      </c>
      <c r="FJ31" s="6">
        <v>0.0</v>
      </c>
      <c r="FK31" s="6">
        <v>-8.06</v>
      </c>
      <c r="FL31" s="6">
        <v>-8.7</v>
      </c>
      <c r="FM31" s="6">
        <v>-18.04</v>
      </c>
      <c r="FN31" s="6">
        <v>0.0</v>
      </c>
      <c r="FO31" s="6">
        <v>112.0</v>
      </c>
      <c r="FP31" s="6">
        <v>220.0</v>
      </c>
      <c r="FQ31" s="6">
        <v>512.0</v>
      </c>
      <c r="FR31" s="6">
        <v>0.0</v>
      </c>
      <c r="FS31" s="6">
        <v>0.0</v>
      </c>
      <c r="FT31" s="6">
        <v>0.0</v>
      </c>
      <c r="FU31" s="6">
        <v>0.0</v>
      </c>
      <c r="FV31" s="6">
        <v>0.0</v>
      </c>
      <c r="FW31" s="6">
        <v>18.0</v>
      </c>
      <c r="FX31" s="6">
        <v>30.0</v>
      </c>
      <c r="FY31" s="6">
        <v>90.0</v>
      </c>
      <c r="FZ31" s="6">
        <v>0.0</v>
      </c>
      <c r="GA31" s="6">
        <v>3.04</v>
      </c>
      <c r="GB31" s="6">
        <v>5.26</v>
      </c>
      <c r="GC31" s="6">
        <v>14.88</v>
      </c>
      <c r="GD31" s="6">
        <v>-13.2512946</v>
      </c>
      <c r="GE31" s="1" t="s">
        <v>1351</v>
      </c>
      <c r="GF31" s="1" t="s">
        <v>1387</v>
      </c>
    </row>
    <row r="32">
      <c r="A32" s="1" t="s">
        <v>96</v>
      </c>
      <c r="B32" s="6">
        <v>4.0</v>
      </c>
      <c r="C32" s="6">
        <v>0.0</v>
      </c>
      <c r="D32" s="6">
        <v>2.0</v>
      </c>
      <c r="E32" s="6">
        <v>0.0</v>
      </c>
      <c r="F32" s="6">
        <v>572.6571</v>
      </c>
      <c r="G32" s="6">
        <v>1152.788</v>
      </c>
      <c r="H32" s="6">
        <v>2438.128</v>
      </c>
      <c r="I32" s="6">
        <v>3498.817</v>
      </c>
      <c r="J32" s="6">
        <v>3228.0</v>
      </c>
      <c r="K32" s="6">
        <v>7520.0</v>
      </c>
      <c r="L32" s="6">
        <v>14236.0</v>
      </c>
      <c r="M32" s="6">
        <v>17484.0</v>
      </c>
      <c r="N32" s="6">
        <v>83.0</v>
      </c>
      <c r="O32" s="6">
        <v>174.0</v>
      </c>
      <c r="P32" s="6">
        <v>346.0</v>
      </c>
      <c r="Q32" s="6">
        <v>516.0</v>
      </c>
      <c r="R32" s="6">
        <v>520.0</v>
      </c>
      <c r="S32" s="6">
        <v>1424.0</v>
      </c>
      <c r="T32" s="6">
        <v>2474.0</v>
      </c>
      <c r="U32" s="6">
        <v>3456.0</v>
      </c>
      <c r="V32" s="6">
        <v>32.7329</v>
      </c>
      <c r="W32" s="6">
        <v>85.5198</v>
      </c>
      <c r="X32" s="6">
        <v>155.2802</v>
      </c>
      <c r="Y32" s="6">
        <v>225.9336</v>
      </c>
      <c r="Z32" s="6">
        <v>376.9464</v>
      </c>
      <c r="AA32" s="6">
        <v>828.495</v>
      </c>
      <c r="AB32" s="6">
        <v>1463.452</v>
      </c>
      <c r="AC32" s="6">
        <v>1939.662</v>
      </c>
      <c r="AD32" s="6">
        <v>1098.0</v>
      </c>
      <c r="AE32" s="6">
        <v>2664.0</v>
      </c>
      <c r="AF32" s="6">
        <v>3796.0</v>
      </c>
      <c r="AG32" s="6">
        <v>4058.0</v>
      </c>
      <c r="AH32" s="6">
        <v>66.0</v>
      </c>
      <c r="AI32" s="6">
        <v>134.0</v>
      </c>
      <c r="AJ32" s="6">
        <v>244.0</v>
      </c>
      <c r="AK32" s="6">
        <v>326.0</v>
      </c>
      <c r="AL32" s="6">
        <v>378.0</v>
      </c>
      <c r="AM32" s="6">
        <v>960.0</v>
      </c>
      <c r="AN32" s="6">
        <v>1424.0</v>
      </c>
      <c r="AO32" s="6">
        <v>1674.0</v>
      </c>
      <c r="AP32" s="6">
        <v>21.6818</v>
      </c>
      <c r="AQ32" s="6">
        <v>55.7326</v>
      </c>
      <c r="AR32" s="6">
        <v>86.4748</v>
      </c>
      <c r="AS32" s="6">
        <v>109.5774</v>
      </c>
      <c r="AT32" s="6">
        <v>189.7694</v>
      </c>
      <c r="AU32" s="6">
        <v>361.0338</v>
      </c>
      <c r="AV32" s="6">
        <v>674.6749</v>
      </c>
      <c r="AW32" s="6">
        <v>810.8483</v>
      </c>
      <c r="AX32" s="6">
        <v>850.6667</v>
      </c>
      <c r="AY32" s="6">
        <v>1744.0</v>
      </c>
      <c r="AZ32" s="6">
        <v>2613.333</v>
      </c>
      <c r="BA32" s="6">
        <v>2216.667</v>
      </c>
      <c r="BB32" s="6">
        <v>27.33333</v>
      </c>
      <c r="BC32" s="6">
        <v>54.0</v>
      </c>
      <c r="BD32" s="6">
        <v>97.33333</v>
      </c>
      <c r="BE32" s="6">
        <v>120.6667</v>
      </c>
      <c r="BF32" s="6">
        <v>151.3333</v>
      </c>
      <c r="BG32" s="6">
        <v>373.3333</v>
      </c>
      <c r="BH32" s="6">
        <v>514.6667</v>
      </c>
      <c r="BI32" s="6">
        <v>570.0</v>
      </c>
      <c r="BJ32" s="6">
        <v>10.39013</v>
      </c>
      <c r="BK32" s="6">
        <v>24.78993</v>
      </c>
      <c r="BL32" s="6">
        <v>38.11813</v>
      </c>
      <c r="BM32" s="6">
        <v>42.7454</v>
      </c>
      <c r="BN32" s="6">
        <v>9.2416</v>
      </c>
      <c r="BO32" s="6">
        <v>15.504</v>
      </c>
      <c r="BP32" s="6">
        <v>29.944</v>
      </c>
      <c r="BQ32" s="6">
        <v>43.7456</v>
      </c>
      <c r="BR32" s="6">
        <v>49.0</v>
      </c>
      <c r="BS32" s="6">
        <v>84.0</v>
      </c>
      <c r="BT32" s="6">
        <v>133.0</v>
      </c>
      <c r="BU32" s="6">
        <v>119.0</v>
      </c>
      <c r="BV32" s="6">
        <v>1.0</v>
      </c>
      <c r="BW32" s="6">
        <v>2.0</v>
      </c>
      <c r="BX32" s="6">
        <v>4.0</v>
      </c>
      <c r="BY32" s="6">
        <v>6.0</v>
      </c>
      <c r="BZ32" s="6">
        <v>4.0</v>
      </c>
      <c r="CA32" s="6">
        <v>12.0</v>
      </c>
      <c r="CB32" s="6">
        <v>22.0</v>
      </c>
      <c r="CC32" s="6">
        <v>20.0</v>
      </c>
      <c r="CD32" s="6">
        <v>0.5625</v>
      </c>
      <c r="CE32" s="6">
        <v>1.155</v>
      </c>
      <c r="CF32" s="6">
        <v>2.01</v>
      </c>
      <c r="CG32" s="6">
        <v>2.25</v>
      </c>
      <c r="CH32" s="6">
        <v>10.9696</v>
      </c>
      <c r="CI32" s="6">
        <v>13.6688</v>
      </c>
      <c r="CJ32" s="6">
        <v>42.75413</v>
      </c>
      <c r="CK32" s="6">
        <v>48.33813</v>
      </c>
      <c r="CL32" s="6">
        <v>59.0</v>
      </c>
      <c r="CM32" s="6">
        <v>127.3333</v>
      </c>
      <c r="CN32" s="6">
        <v>173.3333</v>
      </c>
      <c r="CO32" s="6">
        <v>237.3333</v>
      </c>
      <c r="CP32" s="6">
        <v>1.0</v>
      </c>
      <c r="CQ32" s="6">
        <v>1.666667</v>
      </c>
      <c r="CR32" s="6">
        <v>5.0</v>
      </c>
      <c r="CS32" s="6">
        <v>4.666667</v>
      </c>
      <c r="CT32" s="6">
        <v>3.666667</v>
      </c>
      <c r="CU32" s="6">
        <v>14.66667</v>
      </c>
      <c r="CV32" s="6">
        <v>21.0</v>
      </c>
      <c r="CW32" s="6">
        <v>24.0</v>
      </c>
      <c r="CX32" s="6">
        <v>0.542767</v>
      </c>
      <c r="CY32" s="6">
        <v>1.0739</v>
      </c>
      <c r="CZ32" s="6">
        <v>2.217767</v>
      </c>
      <c r="DA32" s="6">
        <v>2.3666</v>
      </c>
      <c r="DB32" s="6">
        <v>0.0</v>
      </c>
      <c r="DC32" s="6">
        <v>0.98</v>
      </c>
      <c r="DD32" s="6">
        <v>2.31</v>
      </c>
      <c r="DE32" s="6">
        <v>3.85</v>
      </c>
      <c r="DF32" s="6">
        <v>0.0</v>
      </c>
      <c r="DG32" s="6">
        <v>2.0</v>
      </c>
      <c r="DH32" s="6">
        <v>9.0</v>
      </c>
      <c r="DI32" s="6">
        <v>25.0</v>
      </c>
      <c r="DJ32" s="6">
        <v>0.0</v>
      </c>
      <c r="DK32" s="6">
        <v>0.0</v>
      </c>
      <c r="DL32" s="6">
        <v>0.0</v>
      </c>
      <c r="DM32" s="6">
        <v>0.0</v>
      </c>
      <c r="DN32" s="6">
        <v>0.0</v>
      </c>
      <c r="DO32" s="6">
        <v>-2.0</v>
      </c>
      <c r="DP32" s="6">
        <v>-3.0</v>
      </c>
      <c r="DQ32" s="6">
        <v>2.0</v>
      </c>
      <c r="DR32" s="6">
        <v>0.0</v>
      </c>
      <c r="DS32" s="6">
        <v>-0.04</v>
      </c>
      <c r="DT32" s="6">
        <v>0.32</v>
      </c>
      <c r="DU32" s="6">
        <v>1.5</v>
      </c>
      <c r="DV32" s="6">
        <v>0.0</v>
      </c>
      <c r="DW32" s="6">
        <v>1.063333</v>
      </c>
      <c r="DX32" s="6">
        <v>2.763333</v>
      </c>
      <c r="DY32" s="6">
        <v>0.133333</v>
      </c>
      <c r="DZ32" s="6">
        <v>0.0</v>
      </c>
      <c r="EA32" s="6">
        <v>-4.33333</v>
      </c>
      <c r="EB32" s="6">
        <v>14.33333</v>
      </c>
      <c r="EC32" s="6">
        <v>3.333333</v>
      </c>
      <c r="ED32" s="6">
        <v>0.0</v>
      </c>
      <c r="EE32" s="6">
        <v>0.0</v>
      </c>
      <c r="EF32" s="6">
        <v>0.0</v>
      </c>
      <c r="EG32" s="6">
        <v>0.0</v>
      </c>
      <c r="EH32" s="6">
        <v>0.0</v>
      </c>
      <c r="EI32" s="6">
        <v>-3.0</v>
      </c>
      <c r="EJ32" s="6">
        <v>1.333333</v>
      </c>
      <c r="EK32" s="6">
        <v>0.666667</v>
      </c>
      <c r="EL32" s="6">
        <v>0.0</v>
      </c>
      <c r="EM32" s="6">
        <v>-0.21333</v>
      </c>
      <c r="EN32" s="6">
        <v>0.713333</v>
      </c>
      <c r="EO32" s="6">
        <v>0.266667</v>
      </c>
      <c r="EP32" s="6">
        <v>3.3489</v>
      </c>
      <c r="EQ32" s="6">
        <v>34.8432</v>
      </c>
      <c r="ER32" s="6">
        <v>56.1078</v>
      </c>
      <c r="ES32" s="6">
        <v>118.8768</v>
      </c>
      <c r="ET32" s="6">
        <v>676.0</v>
      </c>
      <c r="EU32" s="6">
        <v>1144.0</v>
      </c>
      <c r="EV32" s="6">
        <v>2392.0</v>
      </c>
      <c r="EW32" s="6">
        <v>2444.0</v>
      </c>
      <c r="EX32" s="6">
        <v>1.0</v>
      </c>
      <c r="EY32" s="6">
        <v>6.0</v>
      </c>
      <c r="EZ32" s="6">
        <v>12.0</v>
      </c>
      <c r="FA32" s="6">
        <v>26.0</v>
      </c>
      <c r="FB32" s="6">
        <v>36.0</v>
      </c>
      <c r="FC32" s="6">
        <v>108.0</v>
      </c>
      <c r="FD32" s="6">
        <v>264.0</v>
      </c>
      <c r="FE32" s="6">
        <v>276.0</v>
      </c>
      <c r="FF32" s="6">
        <v>1.5625</v>
      </c>
      <c r="FG32" s="6">
        <v>5.575</v>
      </c>
      <c r="FH32" s="6">
        <v>12.175</v>
      </c>
      <c r="FI32" s="6">
        <v>17.825</v>
      </c>
      <c r="FJ32" s="6">
        <v>0.0</v>
      </c>
      <c r="FK32" s="6">
        <v>-8.06</v>
      </c>
      <c r="FL32" s="6">
        <v>-8.7</v>
      </c>
      <c r="FM32" s="6">
        <v>-17.38</v>
      </c>
      <c r="FN32" s="6">
        <v>0.0</v>
      </c>
      <c r="FO32" s="6">
        <v>112.0</v>
      </c>
      <c r="FP32" s="6">
        <v>220.0</v>
      </c>
      <c r="FQ32" s="6">
        <v>582.0</v>
      </c>
      <c r="FR32" s="6">
        <v>0.0</v>
      </c>
      <c r="FS32" s="6">
        <v>0.0</v>
      </c>
      <c r="FT32" s="6">
        <v>0.0</v>
      </c>
      <c r="FU32" s="6">
        <v>0.0</v>
      </c>
      <c r="FV32" s="6">
        <v>0.0</v>
      </c>
      <c r="FW32" s="6">
        <v>18.0</v>
      </c>
      <c r="FX32" s="6">
        <v>28.0</v>
      </c>
      <c r="FY32" s="6">
        <v>110.0</v>
      </c>
      <c r="FZ32" s="6">
        <v>0.0</v>
      </c>
      <c r="GA32" s="6">
        <v>3.04</v>
      </c>
      <c r="GB32" s="6">
        <v>5.26</v>
      </c>
      <c r="GC32" s="6">
        <v>18.24</v>
      </c>
      <c r="GD32" s="6">
        <v>-17.32755409</v>
      </c>
      <c r="GE32" s="1" t="s">
        <v>1351</v>
      </c>
      <c r="GF32" s="1" t="s">
        <v>1388</v>
      </c>
    </row>
    <row r="33">
      <c r="A33" s="1" t="s">
        <v>98</v>
      </c>
      <c r="B33" s="6">
        <v>4.0</v>
      </c>
      <c r="C33" s="6">
        <v>0.0</v>
      </c>
      <c r="D33" s="6">
        <v>2.0</v>
      </c>
      <c r="E33" s="6">
        <v>0.0</v>
      </c>
      <c r="F33" s="6">
        <v>415.4892</v>
      </c>
      <c r="G33" s="6">
        <v>823.1736</v>
      </c>
      <c r="H33" s="6">
        <v>1785.259</v>
      </c>
      <c r="I33" s="6">
        <v>2370.444</v>
      </c>
      <c r="J33" s="6">
        <v>3368.0</v>
      </c>
      <c r="K33" s="6">
        <v>8240.0</v>
      </c>
      <c r="L33" s="6">
        <v>14816.0</v>
      </c>
      <c r="M33" s="6">
        <v>17602.0</v>
      </c>
      <c r="N33" s="6">
        <v>54.0</v>
      </c>
      <c r="O33" s="6">
        <v>120.0</v>
      </c>
      <c r="P33" s="6">
        <v>238.0</v>
      </c>
      <c r="Q33" s="6">
        <v>330.0</v>
      </c>
      <c r="R33" s="6">
        <v>358.0</v>
      </c>
      <c r="S33" s="6">
        <v>980.0</v>
      </c>
      <c r="T33" s="6">
        <v>1678.0</v>
      </c>
      <c r="U33" s="6">
        <v>2236.0</v>
      </c>
      <c r="V33" s="6">
        <v>26.5266</v>
      </c>
      <c r="W33" s="6">
        <v>70.13</v>
      </c>
      <c r="X33" s="6">
        <v>130.6156</v>
      </c>
      <c r="Y33" s="6">
        <v>172.1302</v>
      </c>
      <c r="Z33" s="6">
        <v>219.7785</v>
      </c>
      <c r="AA33" s="6">
        <v>502.248</v>
      </c>
      <c r="AB33" s="6">
        <v>858.265</v>
      </c>
      <c r="AC33" s="6">
        <v>1085.811</v>
      </c>
      <c r="AD33" s="6">
        <v>1238.0</v>
      </c>
      <c r="AE33" s="6">
        <v>2448.0</v>
      </c>
      <c r="AF33" s="6">
        <v>3506.0</v>
      </c>
      <c r="AG33" s="6">
        <v>4092.0</v>
      </c>
      <c r="AH33" s="6">
        <v>37.0</v>
      </c>
      <c r="AI33" s="6">
        <v>80.0</v>
      </c>
      <c r="AJ33" s="6">
        <v>140.0</v>
      </c>
      <c r="AK33" s="6">
        <v>178.0</v>
      </c>
      <c r="AL33" s="6">
        <v>220.0</v>
      </c>
      <c r="AM33" s="6">
        <v>556.0</v>
      </c>
      <c r="AN33" s="6">
        <v>794.0</v>
      </c>
      <c r="AO33" s="6">
        <v>912.0</v>
      </c>
      <c r="AP33" s="6">
        <v>15.4755</v>
      </c>
      <c r="AQ33" s="6">
        <v>38.9928</v>
      </c>
      <c r="AR33" s="6">
        <v>61.5076</v>
      </c>
      <c r="AS33" s="6">
        <v>72.2662</v>
      </c>
      <c r="AT33" s="6">
        <v>137.3801</v>
      </c>
      <c r="AU33" s="6">
        <v>252.2848</v>
      </c>
      <c r="AV33" s="6">
        <v>472.9459</v>
      </c>
      <c r="AW33" s="6">
        <v>526.2314</v>
      </c>
      <c r="AX33" s="6">
        <v>897.3333</v>
      </c>
      <c r="AY33" s="6">
        <v>1672.0</v>
      </c>
      <c r="AZ33" s="6">
        <v>2516.667</v>
      </c>
      <c r="BA33" s="6">
        <v>2228.0</v>
      </c>
      <c r="BB33" s="6">
        <v>17.66667</v>
      </c>
      <c r="BC33" s="6">
        <v>36.0</v>
      </c>
      <c r="BD33" s="6">
        <v>62.66667</v>
      </c>
      <c r="BE33" s="6">
        <v>71.33333</v>
      </c>
      <c r="BF33" s="6">
        <v>98.66667</v>
      </c>
      <c r="BG33" s="6">
        <v>238.6667</v>
      </c>
      <c r="BH33" s="6">
        <v>304.6667</v>
      </c>
      <c r="BI33" s="6">
        <v>316.0</v>
      </c>
      <c r="BJ33" s="6">
        <v>8.321367</v>
      </c>
      <c r="BK33" s="6">
        <v>19.21</v>
      </c>
      <c r="BL33" s="6">
        <v>29.79573</v>
      </c>
      <c r="BM33" s="6">
        <v>30.30833</v>
      </c>
      <c r="BN33" s="6">
        <v>7.949</v>
      </c>
      <c r="BO33" s="6">
        <v>14.331</v>
      </c>
      <c r="BP33" s="6">
        <v>33.435</v>
      </c>
      <c r="BQ33" s="6">
        <v>46.379</v>
      </c>
      <c r="BR33" s="6">
        <v>152.5</v>
      </c>
      <c r="BS33" s="6">
        <v>138.0</v>
      </c>
      <c r="BT33" s="6">
        <v>212.0</v>
      </c>
      <c r="BU33" s="6">
        <v>322.0</v>
      </c>
      <c r="BV33" s="6">
        <v>1.0</v>
      </c>
      <c r="BW33" s="6">
        <v>2.0</v>
      </c>
      <c r="BX33" s="6">
        <v>5.0</v>
      </c>
      <c r="BY33" s="6">
        <v>6.5</v>
      </c>
      <c r="BZ33" s="6">
        <v>4.0</v>
      </c>
      <c r="CA33" s="6">
        <v>14.0</v>
      </c>
      <c r="CB33" s="6">
        <v>24.0</v>
      </c>
      <c r="CC33" s="6">
        <v>27.0</v>
      </c>
      <c r="CD33" s="6">
        <v>0.80145</v>
      </c>
      <c r="CE33" s="6">
        <v>1.3629</v>
      </c>
      <c r="CF33" s="6">
        <v>2.6952</v>
      </c>
      <c r="CG33" s="6">
        <v>3.49155</v>
      </c>
      <c r="CH33" s="6">
        <v>10.53873</v>
      </c>
      <c r="CI33" s="6">
        <v>10.6938</v>
      </c>
      <c r="CJ33" s="6">
        <v>32.77113</v>
      </c>
      <c r="CK33" s="6">
        <v>42.84207</v>
      </c>
      <c r="CL33" s="6">
        <v>93.5</v>
      </c>
      <c r="CM33" s="6">
        <v>131.3333</v>
      </c>
      <c r="CN33" s="6">
        <v>188.0</v>
      </c>
      <c r="CO33" s="6">
        <v>251.3333</v>
      </c>
      <c r="CP33" s="6">
        <v>1.0</v>
      </c>
      <c r="CQ33" s="6">
        <v>1.333333</v>
      </c>
      <c r="CR33" s="6">
        <v>3.666667</v>
      </c>
      <c r="CS33" s="6">
        <v>4.166667</v>
      </c>
      <c r="CT33" s="6">
        <v>2.0</v>
      </c>
      <c r="CU33" s="6">
        <v>7.333333</v>
      </c>
      <c r="CV33" s="6">
        <v>12.0</v>
      </c>
      <c r="CW33" s="6">
        <v>11.0</v>
      </c>
      <c r="CX33" s="6">
        <v>0.622417</v>
      </c>
      <c r="CY33" s="6">
        <v>0.9507</v>
      </c>
      <c r="CZ33" s="6">
        <v>1.983667</v>
      </c>
      <c r="DA33" s="6">
        <v>2.20045</v>
      </c>
      <c r="DB33" s="6">
        <v>0.0</v>
      </c>
      <c r="DC33" s="6">
        <v>0.52</v>
      </c>
      <c r="DD33" s="6">
        <v>1.77</v>
      </c>
      <c r="DE33" s="6">
        <v>2.405</v>
      </c>
      <c r="DF33" s="6">
        <v>0.0</v>
      </c>
      <c r="DG33" s="6">
        <v>11.0</v>
      </c>
      <c r="DH33" s="6">
        <v>42.0</v>
      </c>
      <c r="DI33" s="6">
        <v>35.5</v>
      </c>
      <c r="DJ33" s="6">
        <v>0.0</v>
      </c>
      <c r="DK33" s="6">
        <v>0.0</v>
      </c>
      <c r="DL33" s="6">
        <v>0.0</v>
      </c>
      <c r="DM33" s="6">
        <v>0.0</v>
      </c>
      <c r="DN33" s="6">
        <v>0.0</v>
      </c>
      <c r="DO33" s="6">
        <v>-3.0</v>
      </c>
      <c r="DP33" s="6">
        <v>-2.0</v>
      </c>
      <c r="DQ33" s="6">
        <v>-0.5</v>
      </c>
      <c r="DR33" s="6">
        <v>0.0</v>
      </c>
      <c r="DS33" s="6">
        <v>0.23</v>
      </c>
      <c r="DT33" s="6">
        <v>1.51</v>
      </c>
      <c r="DU33" s="6">
        <v>1.44</v>
      </c>
      <c r="DV33" s="6">
        <v>0.0</v>
      </c>
      <c r="DW33" s="6">
        <v>0.746667</v>
      </c>
      <c r="DX33" s="6">
        <v>1.183333</v>
      </c>
      <c r="DY33" s="6">
        <v>-0.27833</v>
      </c>
      <c r="DZ33" s="6">
        <v>0.0</v>
      </c>
      <c r="EA33" s="6">
        <v>-1.66667</v>
      </c>
      <c r="EB33" s="6">
        <v>15.33333</v>
      </c>
      <c r="EC33" s="6">
        <v>9.833333</v>
      </c>
      <c r="ED33" s="6">
        <v>0.0</v>
      </c>
      <c r="EE33" s="6">
        <v>0.0</v>
      </c>
      <c r="EF33" s="6">
        <v>0.0</v>
      </c>
      <c r="EG33" s="6">
        <v>0.0</v>
      </c>
      <c r="EH33" s="6">
        <v>0.0</v>
      </c>
      <c r="EI33" s="6">
        <v>-3.0</v>
      </c>
      <c r="EJ33" s="6">
        <v>-2.66667</v>
      </c>
      <c r="EK33" s="6">
        <v>-0.16667</v>
      </c>
      <c r="EL33" s="6">
        <v>0.0</v>
      </c>
      <c r="EM33" s="6">
        <v>-0.11667</v>
      </c>
      <c r="EN33" s="6">
        <v>0.476667</v>
      </c>
      <c r="EO33" s="6">
        <v>0.52</v>
      </c>
      <c r="EP33" s="6">
        <v>3.3489</v>
      </c>
      <c r="EQ33" s="6">
        <v>33.1596</v>
      </c>
      <c r="ER33" s="6">
        <v>46.7748</v>
      </c>
      <c r="ES33" s="6">
        <v>90.0543</v>
      </c>
      <c r="ET33" s="6">
        <v>676.0</v>
      </c>
      <c r="EU33" s="6">
        <v>1612.0</v>
      </c>
      <c r="EV33" s="6">
        <v>2080.0</v>
      </c>
      <c r="EW33" s="6">
        <v>2132.0</v>
      </c>
      <c r="EX33" s="6">
        <v>1.0</v>
      </c>
      <c r="EY33" s="6">
        <v>6.0</v>
      </c>
      <c r="EZ33" s="6">
        <v>10.0</v>
      </c>
      <c r="FA33" s="6">
        <v>19.0</v>
      </c>
      <c r="FB33" s="6">
        <v>36.0</v>
      </c>
      <c r="FC33" s="6">
        <v>96.0</v>
      </c>
      <c r="FD33" s="6">
        <v>216.0</v>
      </c>
      <c r="FE33" s="6">
        <v>216.0</v>
      </c>
      <c r="FF33" s="6">
        <v>1.5625</v>
      </c>
      <c r="FG33" s="6">
        <v>6.25</v>
      </c>
      <c r="FH33" s="6">
        <v>10.25</v>
      </c>
      <c r="FI33" s="6">
        <v>14.0875</v>
      </c>
      <c r="FJ33" s="6">
        <v>0.0</v>
      </c>
      <c r="FK33" s="6">
        <v>-7.14</v>
      </c>
      <c r="FL33" s="6">
        <v>-7.26</v>
      </c>
      <c r="FM33" s="6">
        <v>-14.44</v>
      </c>
      <c r="FN33" s="6">
        <v>0.0</v>
      </c>
      <c r="FO33" s="6">
        <v>94.0</v>
      </c>
      <c r="FP33" s="6">
        <v>180.0</v>
      </c>
      <c r="FQ33" s="6">
        <v>412.0</v>
      </c>
      <c r="FR33" s="6">
        <v>0.0</v>
      </c>
      <c r="FS33" s="6">
        <v>0.0</v>
      </c>
      <c r="FT33" s="6">
        <v>0.0</v>
      </c>
      <c r="FU33" s="6">
        <v>0.0</v>
      </c>
      <c r="FV33" s="6">
        <v>0.0</v>
      </c>
      <c r="FW33" s="6">
        <v>20.0</v>
      </c>
      <c r="FX33" s="6">
        <v>24.0</v>
      </c>
      <c r="FY33" s="6">
        <v>78.0</v>
      </c>
      <c r="FZ33" s="6">
        <v>0.0</v>
      </c>
      <c r="GA33" s="6">
        <v>2.5</v>
      </c>
      <c r="GB33" s="6">
        <v>4.3</v>
      </c>
      <c r="GC33" s="6">
        <v>12.48</v>
      </c>
      <c r="GD33" s="6">
        <v>0.208644748</v>
      </c>
      <c r="GE33" s="1" t="s">
        <v>1354</v>
      </c>
      <c r="GF33" s="1" t="s">
        <v>1389</v>
      </c>
    </row>
    <row r="34">
      <c r="A34" s="1" t="s">
        <v>101</v>
      </c>
      <c r="B34" s="6">
        <v>4.0</v>
      </c>
      <c r="C34" s="6">
        <v>0.0</v>
      </c>
      <c r="D34" s="6">
        <v>2.0</v>
      </c>
      <c r="E34" s="6">
        <v>0.0</v>
      </c>
      <c r="F34" s="6">
        <v>468.9121</v>
      </c>
      <c r="G34" s="6">
        <v>937.9758</v>
      </c>
      <c r="H34" s="6">
        <v>2166.628</v>
      </c>
      <c r="I34" s="6">
        <v>3308.957</v>
      </c>
      <c r="J34" s="6">
        <v>2860.0</v>
      </c>
      <c r="K34" s="6">
        <v>6728.0</v>
      </c>
      <c r="L34" s="6">
        <v>13648.0</v>
      </c>
      <c r="M34" s="6">
        <v>16480.0</v>
      </c>
      <c r="N34" s="6">
        <v>65.0</v>
      </c>
      <c r="O34" s="6">
        <v>138.0</v>
      </c>
      <c r="P34" s="6">
        <v>298.0</v>
      </c>
      <c r="Q34" s="6">
        <v>488.0</v>
      </c>
      <c r="R34" s="6">
        <v>436.0</v>
      </c>
      <c r="S34" s="6">
        <v>1264.0</v>
      </c>
      <c r="T34" s="6">
        <v>2380.0</v>
      </c>
      <c r="U34" s="6">
        <v>3568.0</v>
      </c>
      <c r="V34" s="6">
        <v>25.7087</v>
      </c>
      <c r="W34" s="6">
        <v>69.0418</v>
      </c>
      <c r="X34" s="6">
        <v>136.1194</v>
      </c>
      <c r="Y34" s="6">
        <v>211.2284</v>
      </c>
      <c r="Z34" s="6">
        <v>273.2014</v>
      </c>
      <c r="AA34" s="6">
        <v>613.683</v>
      </c>
      <c r="AB34" s="6">
        <v>1173.286</v>
      </c>
      <c r="AC34" s="6">
        <v>1589.326</v>
      </c>
      <c r="AD34" s="6">
        <v>730.0</v>
      </c>
      <c r="AE34" s="6">
        <v>1872.0</v>
      </c>
      <c r="AF34" s="6">
        <v>2584.0</v>
      </c>
      <c r="AG34" s="6">
        <v>3126.0</v>
      </c>
      <c r="AH34" s="6">
        <v>48.0</v>
      </c>
      <c r="AI34" s="6">
        <v>98.0</v>
      </c>
      <c r="AJ34" s="6">
        <v>192.0</v>
      </c>
      <c r="AK34" s="6">
        <v>270.0</v>
      </c>
      <c r="AL34" s="6">
        <v>290.0</v>
      </c>
      <c r="AM34" s="6">
        <v>752.0</v>
      </c>
      <c r="AN34" s="6">
        <v>1104.0</v>
      </c>
      <c r="AO34" s="6">
        <v>1446.0</v>
      </c>
      <c r="AP34" s="6">
        <v>14.6576</v>
      </c>
      <c r="AQ34" s="6">
        <v>39.2546</v>
      </c>
      <c r="AR34" s="6">
        <v>63.464</v>
      </c>
      <c r="AS34" s="6">
        <v>84.6654</v>
      </c>
      <c r="AT34" s="6">
        <v>155.1877</v>
      </c>
      <c r="AU34" s="6">
        <v>289.4298</v>
      </c>
      <c r="AV34" s="6">
        <v>577.9529</v>
      </c>
      <c r="AW34" s="6">
        <v>694.0696</v>
      </c>
      <c r="AX34" s="6">
        <v>728.0</v>
      </c>
      <c r="AY34" s="6">
        <v>1480.0</v>
      </c>
      <c r="AZ34" s="6">
        <v>2209.333</v>
      </c>
      <c r="BA34" s="6">
        <v>1906.0</v>
      </c>
      <c r="BB34" s="6">
        <v>21.33333</v>
      </c>
      <c r="BC34" s="6">
        <v>42.0</v>
      </c>
      <c r="BD34" s="6">
        <v>80.0</v>
      </c>
      <c r="BE34" s="6">
        <v>102.0</v>
      </c>
      <c r="BF34" s="6">
        <v>122.0</v>
      </c>
      <c r="BG34" s="6">
        <v>304.0</v>
      </c>
      <c r="BH34" s="6">
        <v>408.0</v>
      </c>
      <c r="BI34" s="6">
        <v>494.0</v>
      </c>
      <c r="BJ34" s="6">
        <v>8.048733</v>
      </c>
      <c r="BK34" s="6">
        <v>19.29727</v>
      </c>
      <c r="BL34" s="6">
        <v>30.44787</v>
      </c>
      <c r="BM34" s="6">
        <v>34.4414</v>
      </c>
      <c r="BN34" s="6">
        <v>9.2416</v>
      </c>
      <c r="BO34" s="6">
        <v>23.256</v>
      </c>
      <c r="BP34" s="6">
        <v>62.32</v>
      </c>
      <c r="BQ34" s="6">
        <v>43.7456</v>
      </c>
      <c r="BR34" s="6">
        <v>49.0</v>
      </c>
      <c r="BS34" s="6">
        <v>126.0</v>
      </c>
      <c r="BT34" s="6">
        <v>133.0</v>
      </c>
      <c r="BU34" s="6">
        <v>119.0</v>
      </c>
      <c r="BV34" s="6">
        <v>1.0</v>
      </c>
      <c r="BW34" s="6">
        <v>3.0</v>
      </c>
      <c r="BX34" s="6">
        <v>9.0</v>
      </c>
      <c r="BY34" s="6">
        <v>6.0</v>
      </c>
      <c r="BZ34" s="6">
        <v>9.0</v>
      </c>
      <c r="CA34" s="6">
        <v>36.0</v>
      </c>
      <c r="CB34" s="6">
        <v>45.0</v>
      </c>
      <c r="CC34" s="6">
        <v>33.0</v>
      </c>
      <c r="CD34" s="6">
        <v>0.5625</v>
      </c>
      <c r="CE34" s="6">
        <v>1.7325</v>
      </c>
      <c r="CF34" s="6">
        <v>3.0975</v>
      </c>
      <c r="CG34" s="6">
        <v>2.25</v>
      </c>
      <c r="CH34" s="6">
        <v>10.9696</v>
      </c>
      <c r="CI34" s="6">
        <v>13.6688</v>
      </c>
      <c r="CJ34" s="6">
        <v>42.75413</v>
      </c>
      <c r="CK34" s="6">
        <v>49.50347</v>
      </c>
      <c r="CL34" s="6">
        <v>59.0</v>
      </c>
      <c r="CM34" s="6">
        <v>127.3333</v>
      </c>
      <c r="CN34" s="6">
        <v>173.3333</v>
      </c>
      <c r="CO34" s="6">
        <v>204.6667</v>
      </c>
      <c r="CP34" s="6">
        <v>1.0</v>
      </c>
      <c r="CQ34" s="6">
        <v>1.666667</v>
      </c>
      <c r="CR34" s="6">
        <v>5.0</v>
      </c>
      <c r="CS34" s="6">
        <v>5.0</v>
      </c>
      <c r="CT34" s="6">
        <v>3.666667</v>
      </c>
      <c r="CU34" s="6">
        <v>14.66667</v>
      </c>
      <c r="CV34" s="6">
        <v>22.0</v>
      </c>
      <c r="CW34" s="6">
        <v>18.0</v>
      </c>
      <c r="CX34" s="6">
        <v>0.542767</v>
      </c>
      <c r="CY34" s="6">
        <v>1.0739</v>
      </c>
      <c r="CZ34" s="6">
        <v>2.217767</v>
      </c>
      <c r="DA34" s="6">
        <v>2.1591</v>
      </c>
      <c r="DB34" s="6">
        <v>0.0</v>
      </c>
      <c r="DC34" s="6">
        <v>1.47</v>
      </c>
      <c r="DD34" s="6">
        <v>6.86</v>
      </c>
      <c r="DE34" s="6">
        <v>3.85</v>
      </c>
      <c r="DF34" s="6">
        <v>0.0</v>
      </c>
      <c r="DG34" s="6">
        <v>3.0</v>
      </c>
      <c r="DH34" s="6">
        <v>44.0</v>
      </c>
      <c r="DI34" s="6">
        <v>25.0</v>
      </c>
      <c r="DJ34" s="6">
        <v>0.0</v>
      </c>
      <c r="DK34" s="6">
        <v>0.0</v>
      </c>
      <c r="DL34" s="6">
        <v>0.0</v>
      </c>
      <c r="DM34" s="6">
        <v>0.0</v>
      </c>
      <c r="DN34" s="6">
        <v>0.0</v>
      </c>
      <c r="DO34" s="6">
        <v>-3.0</v>
      </c>
      <c r="DP34" s="6">
        <v>12.0</v>
      </c>
      <c r="DQ34" s="6">
        <v>7.0</v>
      </c>
      <c r="DR34" s="6">
        <v>0.0</v>
      </c>
      <c r="DS34" s="6">
        <v>-0.06</v>
      </c>
      <c r="DT34" s="6">
        <v>2.62</v>
      </c>
      <c r="DU34" s="6">
        <v>1.5</v>
      </c>
      <c r="DV34" s="6">
        <v>0.0</v>
      </c>
      <c r="DW34" s="6">
        <v>1.063333</v>
      </c>
      <c r="DX34" s="6">
        <v>2.763333</v>
      </c>
      <c r="DY34" s="6">
        <v>0.763333</v>
      </c>
      <c r="DZ34" s="6">
        <v>0.0</v>
      </c>
      <c r="EA34" s="6">
        <v>-4.33333</v>
      </c>
      <c r="EB34" s="6">
        <v>14.33333</v>
      </c>
      <c r="EC34" s="6">
        <v>10.33333</v>
      </c>
      <c r="ED34" s="6">
        <v>0.0</v>
      </c>
      <c r="EE34" s="6">
        <v>0.0</v>
      </c>
      <c r="EF34" s="6">
        <v>0.0</v>
      </c>
      <c r="EG34" s="6">
        <v>0.0</v>
      </c>
      <c r="EH34" s="6">
        <v>0.0</v>
      </c>
      <c r="EI34" s="6">
        <v>-3.0</v>
      </c>
      <c r="EJ34" s="6">
        <v>1.0</v>
      </c>
      <c r="EK34" s="6">
        <v>3.666667</v>
      </c>
      <c r="EL34" s="6">
        <v>0.0</v>
      </c>
      <c r="EM34" s="6">
        <v>-0.21333</v>
      </c>
      <c r="EN34" s="6">
        <v>0.713333</v>
      </c>
      <c r="EO34" s="6">
        <v>0.793333</v>
      </c>
      <c r="EP34" s="6">
        <v>3.3489</v>
      </c>
      <c r="EQ34" s="6">
        <v>34.8432</v>
      </c>
      <c r="ER34" s="6">
        <v>65.4408</v>
      </c>
      <c r="ES34" s="6">
        <v>148.5228</v>
      </c>
      <c r="ET34" s="6">
        <v>676.0</v>
      </c>
      <c r="EU34" s="6">
        <v>1144.0</v>
      </c>
      <c r="EV34" s="6">
        <v>2704.0</v>
      </c>
      <c r="EW34" s="6">
        <v>2132.0</v>
      </c>
      <c r="EX34" s="6">
        <v>1.0</v>
      </c>
      <c r="EY34" s="6">
        <v>6.0</v>
      </c>
      <c r="EZ34" s="6">
        <v>14.0</v>
      </c>
      <c r="FA34" s="6">
        <v>34.0</v>
      </c>
      <c r="FB34" s="6">
        <v>36.0</v>
      </c>
      <c r="FC34" s="6">
        <v>120.0</v>
      </c>
      <c r="FD34" s="6">
        <v>336.0</v>
      </c>
      <c r="FE34" s="6">
        <v>276.0</v>
      </c>
      <c r="FF34" s="6">
        <v>1.5625</v>
      </c>
      <c r="FG34" s="6">
        <v>5.575</v>
      </c>
      <c r="FH34" s="6">
        <v>14.1</v>
      </c>
      <c r="FI34" s="6">
        <v>19.525</v>
      </c>
      <c r="FJ34" s="6">
        <v>0.0</v>
      </c>
      <c r="FK34" s="6">
        <v>-8.06</v>
      </c>
      <c r="FL34" s="6">
        <v>-10.14</v>
      </c>
      <c r="FM34" s="6">
        <v>-18.94</v>
      </c>
      <c r="FN34" s="6">
        <v>0.0</v>
      </c>
      <c r="FO34" s="6">
        <v>112.0</v>
      </c>
      <c r="FP34" s="6">
        <v>260.0</v>
      </c>
      <c r="FQ34" s="6">
        <v>802.0</v>
      </c>
      <c r="FR34" s="6">
        <v>0.0</v>
      </c>
      <c r="FS34" s="6">
        <v>0.0</v>
      </c>
      <c r="FT34" s="6">
        <v>0.0</v>
      </c>
      <c r="FU34" s="6">
        <v>0.0</v>
      </c>
      <c r="FV34" s="6">
        <v>0.0</v>
      </c>
      <c r="FW34" s="6">
        <v>16.0</v>
      </c>
      <c r="FX34" s="6">
        <v>28.0</v>
      </c>
      <c r="FY34" s="6">
        <v>158.0</v>
      </c>
      <c r="FZ34" s="6">
        <v>0.0</v>
      </c>
      <c r="GA34" s="6">
        <v>3.04</v>
      </c>
      <c r="GB34" s="6">
        <v>6.22</v>
      </c>
      <c r="GC34" s="6">
        <v>26.88</v>
      </c>
      <c r="GD34" s="6">
        <v>-20.74932795</v>
      </c>
      <c r="GE34" s="1" t="s">
        <v>1354</v>
      </c>
      <c r="GF34" s="1" t="s">
        <v>1390</v>
      </c>
    </row>
    <row r="35">
      <c r="A35" s="1" t="s">
        <v>103</v>
      </c>
      <c r="B35" s="6">
        <v>4.0</v>
      </c>
      <c r="C35" s="6">
        <v>0.0</v>
      </c>
      <c r="D35" s="6">
        <v>2.0</v>
      </c>
      <c r="E35" s="6">
        <v>0.0</v>
      </c>
      <c r="F35" s="6">
        <v>486.3187</v>
      </c>
      <c r="G35" s="6">
        <v>970.7688</v>
      </c>
      <c r="H35" s="6">
        <v>2149.394</v>
      </c>
      <c r="I35" s="6">
        <v>3060.943</v>
      </c>
      <c r="J35" s="6">
        <v>2980.0</v>
      </c>
      <c r="K35" s="6">
        <v>6956.0</v>
      </c>
      <c r="L35" s="6">
        <v>13628.0</v>
      </c>
      <c r="M35" s="6">
        <v>16018.0</v>
      </c>
      <c r="N35" s="6">
        <v>67.0</v>
      </c>
      <c r="O35" s="6">
        <v>142.0</v>
      </c>
      <c r="P35" s="6">
        <v>292.0</v>
      </c>
      <c r="Q35" s="6">
        <v>440.0</v>
      </c>
      <c r="R35" s="6">
        <v>434.0</v>
      </c>
      <c r="S35" s="6">
        <v>1212.0</v>
      </c>
      <c r="T35" s="6">
        <v>2194.0</v>
      </c>
      <c r="U35" s="6">
        <v>3116.0</v>
      </c>
      <c r="V35" s="6">
        <v>27.3201</v>
      </c>
      <c r="W35" s="6">
        <v>71.9678</v>
      </c>
      <c r="X35" s="6">
        <v>135.7624</v>
      </c>
      <c r="Y35" s="6">
        <v>199.7848</v>
      </c>
      <c r="Z35" s="6">
        <v>290.608</v>
      </c>
      <c r="AA35" s="6">
        <v>646.476</v>
      </c>
      <c r="AB35" s="6">
        <v>1165.385</v>
      </c>
      <c r="AC35" s="6">
        <v>1450.647</v>
      </c>
      <c r="AD35" s="6">
        <v>850.0</v>
      </c>
      <c r="AE35" s="6">
        <v>2100.0</v>
      </c>
      <c r="AF35" s="6">
        <v>2876.0</v>
      </c>
      <c r="AG35" s="6">
        <v>3298.0</v>
      </c>
      <c r="AH35" s="6">
        <v>50.0</v>
      </c>
      <c r="AI35" s="6">
        <v>102.0</v>
      </c>
      <c r="AJ35" s="6">
        <v>188.0</v>
      </c>
      <c r="AK35" s="6">
        <v>240.0</v>
      </c>
      <c r="AL35" s="6">
        <v>290.0</v>
      </c>
      <c r="AM35" s="6">
        <v>724.0</v>
      </c>
      <c r="AN35" s="6">
        <v>1038.0</v>
      </c>
      <c r="AO35" s="6">
        <v>1318.0</v>
      </c>
      <c r="AP35" s="6">
        <v>16.269</v>
      </c>
      <c r="AQ35" s="6">
        <v>42.1806</v>
      </c>
      <c r="AR35" s="6">
        <v>65.032</v>
      </c>
      <c r="AS35" s="6">
        <v>82.3752</v>
      </c>
      <c r="AT35" s="6">
        <v>160.9899</v>
      </c>
      <c r="AU35" s="6">
        <v>300.3608</v>
      </c>
      <c r="AV35" s="6">
        <v>575.3193</v>
      </c>
      <c r="AW35" s="6">
        <v>647.8433</v>
      </c>
      <c r="AX35" s="6">
        <v>768.0</v>
      </c>
      <c r="AY35" s="6">
        <v>1556.0</v>
      </c>
      <c r="AZ35" s="6">
        <v>2306.667</v>
      </c>
      <c r="BA35" s="6">
        <v>1963.333</v>
      </c>
      <c r="BB35" s="6">
        <v>22.0</v>
      </c>
      <c r="BC35" s="6">
        <v>43.33333</v>
      </c>
      <c r="BD35" s="6">
        <v>78.66667</v>
      </c>
      <c r="BE35" s="6">
        <v>92.0</v>
      </c>
      <c r="BF35" s="6">
        <v>122.0</v>
      </c>
      <c r="BG35" s="6">
        <v>294.6667</v>
      </c>
      <c r="BH35" s="6">
        <v>386.0</v>
      </c>
      <c r="BI35" s="6">
        <v>451.3333</v>
      </c>
      <c r="BJ35" s="6">
        <v>8.585867</v>
      </c>
      <c r="BK35" s="6">
        <v>20.2726</v>
      </c>
      <c r="BL35" s="6">
        <v>30.97053</v>
      </c>
      <c r="BM35" s="6">
        <v>33.678</v>
      </c>
      <c r="BN35" s="6">
        <v>9.2416</v>
      </c>
      <c r="BO35" s="6">
        <v>19.38</v>
      </c>
      <c r="BP35" s="6">
        <v>46.132</v>
      </c>
      <c r="BQ35" s="6">
        <v>44.4904</v>
      </c>
      <c r="BR35" s="6">
        <v>49.0</v>
      </c>
      <c r="BS35" s="6">
        <v>105.0</v>
      </c>
      <c r="BT35" s="6">
        <v>133.0</v>
      </c>
      <c r="BU35" s="6">
        <v>122.5</v>
      </c>
      <c r="BV35" s="6">
        <v>1.0</v>
      </c>
      <c r="BW35" s="6">
        <v>2.5</v>
      </c>
      <c r="BX35" s="6">
        <v>6.5</v>
      </c>
      <c r="BY35" s="6">
        <v>6.0</v>
      </c>
      <c r="BZ35" s="6">
        <v>6.5</v>
      </c>
      <c r="CA35" s="6">
        <v>24.0</v>
      </c>
      <c r="CB35" s="6">
        <v>33.5</v>
      </c>
      <c r="CC35" s="6">
        <v>25.0</v>
      </c>
      <c r="CD35" s="6">
        <v>0.5625</v>
      </c>
      <c r="CE35" s="6">
        <v>1.44375</v>
      </c>
      <c r="CF35" s="6">
        <v>2.55375</v>
      </c>
      <c r="CG35" s="6">
        <v>2.2425</v>
      </c>
      <c r="CH35" s="6">
        <v>10.9696</v>
      </c>
      <c r="CI35" s="6">
        <v>13.6688</v>
      </c>
      <c r="CJ35" s="6">
        <v>42.5768</v>
      </c>
      <c r="CK35" s="6">
        <v>45.29307</v>
      </c>
      <c r="CL35" s="6">
        <v>59.0</v>
      </c>
      <c r="CM35" s="6">
        <v>127.3333</v>
      </c>
      <c r="CN35" s="6">
        <v>167.5</v>
      </c>
      <c r="CO35" s="6">
        <v>201.1667</v>
      </c>
      <c r="CP35" s="6">
        <v>1.0</v>
      </c>
      <c r="CQ35" s="6">
        <v>1.666667</v>
      </c>
      <c r="CR35" s="6">
        <v>5.0</v>
      </c>
      <c r="CS35" s="6">
        <v>4.333333</v>
      </c>
      <c r="CT35" s="6">
        <v>3.666667</v>
      </c>
      <c r="CU35" s="6">
        <v>14.66667</v>
      </c>
      <c r="CV35" s="6">
        <v>20.0</v>
      </c>
      <c r="CW35" s="6">
        <v>14.5</v>
      </c>
      <c r="CX35" s="6">
        <v>0.542767</v>
      </c>
      <c r="CY35" s="6">
        <v>1.0739</v>
      </c>
      <c r="CZ35" s="6">
        <v>2.167767</v>
      </c>
      <c r="DA35" s="6">
        <v>1.9716</v>
      </c>
      <c r="DB35" s="6">
        <v>0.0</v>
      </c>
      <c r="DC35" s="6">
        <v>1.225</v>
      </c>
      <c r="DD35" s="6">
        <v>4.585</v>
      </c>
      <c r="DE35" s="6">
        <v>3.605</v>
      </c>
      <c r="DF35" s="6">
        <v>0.0</v>
      </c>
      <c r="DG35" s="6">
        <v>2.5</v>
      </c>
      <c r="DH35" s="6">
        <v>26.5</v>
      </c>
      <c r="DI35" s="6">
        <v>24.5</v>
      </c>
      <c r="DJ35" s="6">
        <v>0.0</v>
      </c>
      <c r="DK35" s="6">
        <v>0.0</v>
      </c>
      <c r="DL35" s="6">
        <v>0.0</v>
      </c>
      <c r="DM35" s="6">
        <v>0.0</v>
      </c>
      <c r="DN35" s="6">
        <v>0.0</v>
      </c>
      <c r="DO35" s="6">
        <v>-2.5</v>
      </c>
      <c r="DP35" s="6">
        <v>4.5</v>
      </c>
      <c r="DQ35" s="6">
        <v>5.0</v>
      </c>
      <c r="DR35" s="6">
        <v>0.0</v>
      </c>
      <c r="DS35" s="6">
        <v>-0.05</v>
      </c>
      <c r="DT35" s="6">
        <v>1.47</v>
      </c>
      <c r="DU35" s="6">
        <v>1.51</v>
      </c>
      <c r="DV35" s="6">
        <v>0.0</v>
      </c>
      <c r="DW35" s="6">
        <v>1.063333</v>
      </c>
      <c r="DX35" s="6">
        <v>2.821667</v>
      </c>
      <c r="DY35" s="6">
        <v>0.121667</v>
      </c>
      <c r="DZ35" s="6">
        <v>0.0</v>
      </c>
      <c r="EA35" s="6">
        <v>-4.33333</v>
      </c>
      <c r="EB35" s="6">
        <v>15.16667</v>
      </c>
      <c r="EC35" s="6">
        <v>6.166667</v>
      </c>
      <c r="ED35" s="6">
        <v>0.0</v>
      </c>
      <c r="EE35" s="6">
        <v>0.0</v>
      </c>
      <c r="EF35" s="6">
        <v>0.0</v>
      </c>
      <c r="EG35" s="6">
        <v>0.0</v>
      </c>
      <c r="EH35" s="6">
        <v>0.0</v>
      </c>
      <c r="EI35" s="6">
        <v>-3.0</v>
      </c>
      <c r="EJ35" s="6">
        <v>1.666667</v>
      </c>
      <c r="EK35" s="6">
        <v>2.833333</v>
      </c>
      <c r="EL35" s="6">
        <v>0.0</v>
      </c>
      <c r="EM35" s="6">
        <v>-0.21333</v>
      </c>
      <c r="EN35" s="6">
        <v>0.78</v>
      </c>
      <c r="EO35" s="6">
        <v>0.543333</v>
      </c>
      <c r="EP35" s="6">
        <v>3.3489</v>
      </c>
      <c r="EQ35" s="6">
        <v>34.8432</v>
      </c>
      <c r="ER35" s="6">
        <v>60.7743</v>
      </c>
      <c r="ES35" s="6">
        <v>128.3928</v>
      </c>
      <c r="ET35" s="6">
        <v>676.0</v>
      </c>
      <c r="EU35" s="6">
        <v>1144.0</v>
      </c>
      <c r="EV35" s="6">
        <v>2548.0</v>
      </c>
      <c r="EW35" s="6">
        <v>2002.0</v>
      </c>
      <c r="EX35" s="6">
        <v>1.0</v>
      </c>
      <c r="EY35" s="6">
        <v>6.0</v>
      </c>
      <c r="EZ35" s="6">
        <v>13.0</v>
      </c>
      <c r="FA35" s="6">
        <v>29.0</v>
      </c>
      <c r="FB35" s="6">
        <v>36.0</v>
      </c>
      <c r="FC35" s="6">
        <v>114.0</v>
      </c>
      <c r="FD35" s="6">
        <v>300.0</v>
      </c>
      <c r="FE35" s="6">
        <v>234.0</v>
      </c>
      <c r="FF35" s="6">
        <v>1.5625</v>
      </c>
      <c r="FG35" s="6">
        <v>5.575</v>
      </c>
      <c r="FH35" s="6">
        <v>13.1375</v>
      </c>
      <c r="FI35" s="6">
        <v>17.2125</v>
      </c>
      <c r="FJ35" s="6">
        <v>0.0</v>
      </c>
      <c r="FK35" s="6">
        <v>-8.06</v>
      </c>
      <c r="FL35" s="6">
        <v>-9.42</v>
      </c>
      <c r="FM35" s="6">
        <v>-17.09</v>
      </c>
      <c r="FN35" s="6">
        <v>0.0</v>
      </c>
      <c r="FO35" s="6">
        <v>112.0</v>
      </c>
      <c r="FP35" s="6">
        <v>240.0</v>
      </c>
      <c r="FQ35" s="6">
        <v>677.0</v>
      </c>
      <c r="FR35" s="6">
        <v>0.0</v>
      </c>
      <c r="FS35" s="6">
        <v>0.0</v>
      </c>
      <c r="FT35" s="6">
        <v>0.0</v>
      </c>
      <c r="FU35" s="6">
        <v>0.0</v>
      </c>
      <c r="FV35" s="6">
        <v>0.0</v>
      </c>
      <c r="FW35" s="6">
        <v>17.0</v>
      </c>
      <c r="FX35" s="6">
        <v>28.0</v>
      </c>
      <c r="FY35" s="6">
        <v>135.0</v>
      </c>
      <c r="FZ35" s="6">
        <v>0.0</v>
      </c>
      <c r="GA35" s="6">
        <v>3.04</v>
      </c>
      <c r="GB35" s="6">
        <v>5.74</v>
      </c>
      <c r="GC35" s="6">
        <v>22.48</v>
      </c>
      <c r="GD35" s="6">
        <v>-24.17925935</v>
      </c>
      <c r="GE35" s="1" t="s">
        <v>1350</v>
      </c>
      <c r="GF35" s="1" t="s">
        <v>1391</v>
      </c>
    </row>
    <row r="36">
      <c r="A36" s="1" t="s">
        <v>105</v>
      </c>
      <c r="B36" s="6">
        <v>4.0</v>
      </c>
      <c r="C36" s="6">
        <v>0.0</v>
      </c>
      <c r="D36" s="6">
        <v>2.0</v>
      </c>
      <c r="E36" s="6">
        <v>0.0</v>
      </c>
      <c r="F36" s="6">
        <v>500.2532</v>
      </c>
      <c r="G36" s="6">
        <v>996.5748</v>
      </c>
      <c r="H36" s="6">
        <v>2196.116</v>
      </c>
      <c r="I36" s="6">
        <v>3092.16</v>
      </c>
      <c r="J36" s="6">
        <v>3032.0</v>
      </c>
      <c r="K36" s="6">
        <v>7052.0</v>
      </c>
      <c r="L36" s="6">
        <v>13790.0</v>
      </c>
      <c r="M36" s="6">
        <v>16428.0</v>
      </c>
      <c r="N36" s="6">
        <v>69.0</v>
      </c>
      <c r="O36" s="6">
        <v>146.0</v>
      </c>
      <c r="P36" s="6">
        <v>300.0</v>
      </c>
      <c r="Q36" s="6">
        <v>442.0</v>
      </c>
      <c r="R36" s="6">
        <v>446.0</v>
      </c>
      <c r="S36" s="6">
        <v>1234.0</v>
      </c>
      <c r="T36" s="6">
        <v>2216.0</v>
      </c>
      <c r="U36" s="6">
        <v>3184.0</v>
      </c>
      <c r="V36" s="6">
        <v>28.0203</v>
      </c>
      <c r="W36" s="6">
        <v>73.6926</v>
      </c>
      <c r="X36" s="6">
        <v>138.324</v>
      </c>
      <c r="Y36" s="6">
        <v>203.5434</v>
      </c>
      <c r="Z36" s="6">
        <v>304.5425</v>
      </c>
      <c r="AA36" s="6">
        <v>672.282</v>
      </c>
      <c r="AB36" s="6">
        <v>1212.107</v>
      </c>
      <c r="AC36" s="6">
        <v>1481.864</v>
      </c>
      <c r="AD36" s="6">
        <v>902.0</v>
      </c>
      <c r="AE36" s="6">
        <v>2196.0</v>
      </c>
      <c r="AF36" s="6">
        <v>3038.0</v>
      </c>
      <c r="AG36" s="6">
        <v>3708.0</v>
      </c>
      <c r="AH36" s="6">
        <v>52.0</v>
      </c>
      <c r="AI36" s="6">
        <v>106.0</v>
      </c>
      <c r="AJ36" s="6">
        <v>196.0</v>
      </c>
      <c r="AK36" s="6">
        <v>242.0</v>
      </c>
      <c r="AL36" s="6">
        <v>302.0</v>
      </c>
      <c r="AM36" s="6">
        <v>746.0</v>
      </c>
      <c r="AN36" s="6">
        <v>1060.0</v>
      </c>
      <c r="AO36" s="6">
        <v>1374.0</v>
      </c>
      <c r="AP36" s="6">
        <v>16.9692</v>
      </c>
      <c r="AQ36" s="6">
        <v>43.9054</v>
      </c>
      <c r="AR36" s="6">
        <v>67.5936</v>
      </c>
      <c r="AS36" s="6">
        <v>86.1338</v>
      </c>
      <c r="AT36" s="6">
        <v>165.6348</v>
      </c>
      <c r="AU36" s="6">
        <v>308.9628</v>
      </c>
      <c r="AV36" s="6">
        <v>590.8933</v>
      </c>
      <c r="AW36" s="6">
        <v>658.249</v>
      </c>
      <c r="AX36" s="6">
        <v>785.3333</v>
      </c>
      <c r="AY36" s="6">
        <v>1588.0</v>
      </c>
      <c r="AZ36" s="6">
        <v>2360.667</v>
      </c>
      <c r="BA36" s="6">
        <v>2100.0</v>
      </c>
      <c r="BB36" s="6">
        <v>22.66667</v>
      </c>
      <c r="BC36" s="6">
        <v>44.66667</v>
      </c>
      <c r="BD36" s="6">
        <v>81.33333</v>
      </c>
      <c r="BE36" s="6">
        <v>92.66667</v>
      </c>
      <c r="BF36" s="6">
        <v>126.0</v>
      </c>
      <c r="BG36" s="6">
        <v>302.0</v>
      </c>
      <c r="BH36" s="6">
        <v>393.3333</v>
      </c>
      <c r="BI36" s="6">
        <v>470.0</v>
      </c>
      <c r="BJ36" s="6">
        <v>8.819267</v>
      </c>
      <c r="BK36" s="6">
        <v>20.84753</v>
      </c>
      <c r="BL36" s="6">
        <v>31.8244</v>
      </c>
      <c r="BM36" s="6">
        <v>34.93087</v>
      </c>
      <c r="BN36" s="6">
        <v>9.2416</v>
      </c>
      <c r="BO36" s="6">
        <v>19.38</v>
      </c>
      <c r="BP36" s="6">
        <v>46.132</v>
      </c>
      <c r="BQ36" s="6">
        <v>45.5544</v>
      </c>
      <c r="BR36" s="6">
        <v>49.0</v>
      </c>
      <c r="BS36" s="6">
        <v>105.0</v>
      </c>
      <c r="BT36" s="6">
        <v>133.0</v>
      </c>
      <c r="BU36" s="6">
        <v>157.5</v>
      </c>
      <c r="BV36" s="6">
        <v>1.0</v>
      </c>
      <c r="BW36" s="6">
        <v>2.5</v>
      </c>
      <c r="BX36" s="6">
        <v>6.5</v>
      </c>
      <c r="BY36" s="6">
        <v>6.0</v>
      </c>
      <c r="BZ36" s="6">
        <v>6.5</v>
      </c>
      <c r="CA36" s="6">
        <v>24.0</v>
      </c>
      <c r="CB36" s="6">
        <v>33.5</v>
      </c>
      <c r="CC36" s="6">
        <v>31.0</v>
      </c>
      <c r="CD36" s="6">
        <v>0.5625</v>
      </c>
      <c r="CE36" s="6">
        <v>1.44375</v>
      </c>
      <c r="CF36" s="6">
        <v>2.55375</v>
      </c>
      <c r="CG36" s="6">
        <v>2.5425</v>
      </c>
      <c r="CH36" s="6">
        <v>10.9696</v>
      </c>
      <c r="CI36" s="6">
        <v>13.6688</v>
      </c>
      <c r="CJ36" s="6">
        <v>42.5768</v>
      </c>
      <c r="CK36" s="6">
        <v>45.29307</v>
      </c>
      <c r="CL36" s="6">
        <v>59.0</v>
      </c>
      <c r="CM36" s="6">
        <v>127.3333</v>
      </c>
      <c r="CN36" s="6">
        <v>167.5</v>
      </c>
      <c r="CO36" s="6">
        <v>201.1667</v>
      </c>
      <c r="CP36" s="6">
        <v>1.0</v>
      </c>
      <c r="CQ36" s="6">
        <v>1.666667</v>
      </c>
      <c r="CR36" s="6">
        <v>5.0</v>
      </c>
      <c r="CS36" s="6">
        <v>4.333333</v>
      </c>
      <c r="CT36" s="6">
        <v>3.666667</v>
      </c>
      <c r="CU36" s="6">
        <v>14.66667</v>
      </c>
      <c r="CV36" s="6">
        <v>20.0</v>
      </c>
      <c r="CW36" s="6">
        <v>14.5</v>
      </c>
      <c r="CX36" s="6">
        <v>0.542767</v>
      </c>
      <c r="CY36" s="6">
        <v>1.0739</v>
      </c>
      <c r="CZ36" s="6">
        <v>2.167767</v>
      </c>
      <c r="DA36" s="6">
        <v>1.9716</v>
      </c>
      <c r="DB36" s="6">
        <v>0.0</v>
      </c>
      <c r="DC36" s="6">
        <v>1.225</v>
      </c>
      <c r="DD36" s="6">
        <v>4.585</v>
      </c>
      <c r="DE36" s="6">
        <v>3.255</v>
      </c>
      <c r="DF36" s="6">
        <v>0.0</v>
      </c>
      <c r="DG36" s="6">
        <v>2.5</v>
      </c>
      <c r="DH36" s="6">
        <v>26.5</v>
      </c>
      <c r="DI36" s="6">
        <v>19.5</v>
      </c>
      <c r="DJ36" s="6">
        <v>0.0</v>
      </c>
      <c r="DK36" s="6">
        <v>0.0</v>
      </c>
      <c r="DL36" s="6">
        <v>0.0</v>
      </c>
      <c r="DM36" s="6">
        <v>0.0</v>
      </c>
      <c r="DN36" s="6">
        <v>0.0</v>
      </c>
      <c r="DO36" s="6">
        <v>-2.5</v>
      </c>
      <c r="DP36" s="6">
        <v>4.5</v>
      </c>
      <c r="DQ36" s="6">
        <v>2.0</v>
      </c>
      <c r="DR36" s="6">
        <v>0.0</v>
      </c>
      <c r="DS36" s="6">
        <v>-0.05</v>
      </c>
      <c r="DT36" s="6">
        <v>1.47</v>
      </c>
      <c r="DU36" s="6">
        <v>1.11</v>
      </c>
      <c r="DV36" s="6">
        <v>0.0</v>
      </c>
      <c r="DW36" s="6">
        <v>1.063333</v>
      </c>
      <c r="DX36" s="6">
        <v>2.821667</v>
      </c>
      <c r="DY36" s="6">
        <v>0.121667</v>
      </c>
      <c r="DZ36" s="6">
        <v>0.0</v>
      </c>
      <c r="EA36" s="6">
        <v>-4.33333</v>
      </c>
      <c r="EB36" s="6">
        <v>15.16667</v>
      </c>
      <c r="EC36" s="6">
        <v>6.166667</v>
      </c>
      <c r="ED36" s="6">
        <v>0.0</v>
      </c>
      <c r="EE36" s="6">
        <v>0.0</v>
      </c>
      <c r="EF36" s="6">
        <v>0.0</v>
      </c>
      <c r="EG36" s="6">
        <v>0.0</v>
      </c>
      <c r="EH36" s="6">
        <v>0.0</v>
      </c>
      <c r="EI36" s="6">
        <v>-3.0</v>
      </c>
      <c r="EJ36" s="6">
        <v>1.666667</v>
      </c>
      <c r="EK36" s="6">
        <v>2.833333</v>
      </c>
      <c r="EL36" s="6">
        <v>0.0</v>
      </c>
      <c r="EM36" s="6">
        <v>-0.21333</v>
      </c>
      <c r="EN36" s="6">
        <v>0.78</v>
      </c>
      <c r="EO36" s="6">
        <v>0.543333</v>
      </c>
      <c r="EP36" s="6">
        <v>3.3489</v>
      </c>
      <c r="EQ36" s="6">
        <v>34.8432</v>
      </c>
      <c r="ER36" s="6">
        <v>60.7743</v>
      </c>
      <c r="ES36" s="6">
        <v>128.3928</v>
      </c>
      <c r="ET36" s="6">
        <v>676.0</v>
      </c>
      <c r="EU36" s="6">
        <v>1144.0</v>
      </c>
      <c r="EV36" s="6">
        <v>2548.0</v>
      </c>
      <c r="EW36" s="6">
        <v>2002.0</v>
      </c>
      <c r="EX36" s="6">
        <v>1.0</v>
      </c>
      <c r="EY36" s="6">
        <v>6.0</v>
      </c>
      <c r="EZ36" s="6">
        <v>13.0</v>
      </c>
      <c r="FA36" s="6">
        <v>29.0</v>
      </c>
      <c r="FB36" s="6">
        <v>36.0</v>
      </c>
      <c r="FC36" s="6">
        <v>114.0</v>
      </c>
      <c r="FD36" s="6">
        <v>300.0</v>
      </c>
      <c r="FE36" s="6">
        <v>234.0</v>
      </c>
      <c r="FF36" s="6">
        <v>1.5625</v>
      </c>
      <c r="FG36" s="6">
        <v>5.575</v>
      </c>
      <c r="FH36" s="6">
        <v>13.1375</v>
      </c>
      <c r="FI36" s="6">
        <v>17.2125</v>
      </c>
      <c r="FJ36" s="6">
        <v>0.0</v>
      </c>
      <c r="FK36" s="6">
        <v>-8.06</v>
      </c>
      <c r="FL36" s="6">
        <v>-9.42</v>
      </c>
      <c r="FM36" s="6">
        <v>-17.09</v>
      </c>
      <c r="FN36" s="6">
        <v>0.0</v>
      </c>
      <c r="FO36" s="6">
        <v>112.0</v>
      </c>
      <c r="FP36" s="6">
        <v>240.0</v>
      </c>
      <c r="FQ36" s="6">
        <v>677.0</v>
      </c>
      <c r="FR36" s="6">
        <v>0.0</v>
      </c>
      <c r="FS36" s="6">
        <v>0.0</v>
      </c>
      <c r="FT36" s="6">
        <v>0.0</v>
      </c>
      <c r="FU36" s="6">
        <v>0.0</v>
      </c>
      <c r="FV36" s="6">
        <v>0.0</v>
      </c>
      <c r="FW36" s="6">
        <v>17.0</v>
      </c>
      <c r="FX36" s="6">
        <v>28.0</v>
      </c>
      <c r="FY36" s="6">
        <v>135.0</v>
      </c>
      <c r="FZ36" s="6">
        <v>0.0</v>
      </c>
      <c r="GA36" s="6">
        <v>3.04</v>
      </c>
      <c r="GB36" s="6">
        <v>5.74</v>
      </c>
      <c r="GC36" s="6">
        <v>22.48</v>
      </c>
      <c r="GD36" s="6">
        <v>-17.38528437</v>
      </c>
      <c r="GE36" s="1" t="s">
        <v>1350</v>
      </c>
      <c r="GF36" s="1" t="s">
        <v>1392</v>
      </c>
    </row>
    <row r="37">
      <c r="A37" s="1" t="s">
        <v>107</v>
      </c>
      <c r="B37" s="6">
        <v>4.0</v>
      </c>
      <c r="C37" s="6">
        <v>0.0</v>
      </c>
      <c r="D37" s="6">
        <v>2.0</v>
      </c>
      <c r="E37" s="6">
        <v>0.0</v>
      </c>
      <c r="F37" s="6">
        <v>456.0546</v>
      </c>
      <c r="G37" s="6">
        <v>903.6018</v>
      </c>
      <c r="H37" s="6">
        <v>2029.745</v>
      </c>
      <c r="I37" s="6">
        <v>2932.293</v>
      </c>
      <c r="J37" s="6">
        <v>2892.0</v>
      </c>
      <c r="K37" s="6">
        <v>6740.0</v>
      </c>
      <c r="L37" s="6">
        <v>13334.0</v>
      </c>
      <c r="M37" s="6">
        <v>15630.0</v>
      </c>
      <c r="N37" s="6">
        <v>62.0</v>
      </c>
      <c r="O37" s="6">
        <v>132.0</v>
      </c>
      <c r="P37" s="6">
        <v>274.0</v>
      </c>
      <c r="Q37" s="6">
        <v>420.0</v>
      </c>
      <c r="R37" s="6">
        <v>406.0</v>
      </c>
      <c r="S37" s="6">
        <v>1146.0</v>
      </c>
      <c r="T37" s="6">
        <v>2102.0</v>
      </c>
      <c r="U37" s="6">
        <v>2988.0</v>
      </c>
      <c r="V37" s="6">
        <v>25.754</v>
      </c>
      <c r="W37" s="6">
        <v>67.9792</v>
      </c>
      <c r="X37" s="6">
        <v>129.8246</v>
      </c>
      <c r="Y37" s="6">
        <v>191.714</v>
      </c>
      <c r="Z37" s="6">
        <v>260.3439</v>
      </c>
      <c r="AA37" s="6">
        <v>579.309</v>
      </c>
      <c r="AB37" s="6">
        <v>1045.736</v>
      </c>
      <c r="AC37" s="6">
        <v>1321.997</v>
      </c>
      <c r="AD37" s="6">
        <v>762.0</v>
      </c>
      <c r="AE37" s="6">
        <v>1884.0</v>
      </c>
      <c r="AF37" s="6">
        <v>2582.0</v>
      </c>
      <c r="AG37" s="6">
        <v>2910.0</v>
      </c>
      <c r="AH37" s="6">
        <v>45.0</v>
      </c>
      <c r="AI37" s="6">
        <v>92.0</v>
      </c>
      <c r="AJ37" s="6">
        <v>170.0</v>
      </c>
      <c r="AK37" s="6">
        <v>220.0</v>
      </c>
      <c r="AL37" s="6">
        <v>262.0</v>
      </c>
      <c r="AM37" s="6">
        <v>658.0</v>
      </c>
      <c r="AN37" s="6">
        <v>946.0</v>
      </c>
      <c r="AO37" s="6">
        <v>1190.0</v>
      </c>
      <c r="AP37" s="6">
        <v>14.7029</v>
      </c>
      <c r="AQ37" s="6">
        <v>38.192</v>
      </c>
      <c r="AR37" s="6">
        <v>59.0942</v>
      </c>
      <c r="AS37" s="6">
        <v>74.3044</v>
      </c>
      <c r="AT37" s="6">
        <v>150.9019</v>
      </c>
      <c r="AU37" s="6">
        <v>277.9718</v>
      </c>
      <c r="AV37" s="6">
        <v>535.4363</v>
      </c>
      <c r="AW37" s="6">
        <v>604.96</v>
      </c>
      <c r="AX37" s="6">
        <v>738.6667</v>
      </c>
      <c r="AY37" s="6">
        <v>1484.0</v>
      </c>
      <c r="AZ37" s="6">
        <v>2208.667</v>
      </c>
      <c r="BA37" s="6">
        <v>1834.0</v>
      </c>
      <c r="BB37" s="6">
        <v>20.33333</v>
      </c>
      <c r="BC37" s="6">
        <v>40.0</v>
      </c>
      <c r="BD37" s="6">
        <v>72.66667</v>
      </c>
      <c r="BE37" s="6">
        <v>85.33333</v>
      </c>
      <c r="BF37" s="6">
        <v>112.6667</v>
      </c>
      <c r="BG37" s="6">
        <v>272.6667</v>
      </c>
      <c r="BH37" s="6">
        <v>355.3333</v>
      </c>
      <c r="BI37" s="6">
        <v>408.6667</v>
      </c>
      <c r="BJ37" s="6">
        <v>8.063833</v>
      </c>
      <c r="BK37" s="6">
        <v>18.94307</v>
      </c>
      <c r="BL37" s="6">
        <v>28.99127</v>
      </c>
      <c r="BM37" s="6">
        <v>30.98773</v>
      </c>
      <c r="BN37" s="6">
        <v>9.2416</v>
      </c>
      <c r="BO37" s="6">
        <v>19.38</v>
      </c>
      <c r="BP37" s="6">
        <v>46.132</v>
      </c>
      <c r="BQ37" s="6">
        <v>44.4904</v>
      </c>
      <c r="BR37" s="6">
        <v>49.0</v>
      </c>
      <c r="BS37" s="6">
        <v>105.0</v>
      </c>
      <c r="BT37" s="6">
        <v>133.0</v>
      </c>
      <c r="BU37" s="6">
        <v>122.5</v>
      </c>
      <c r="BV37" s="6">
        <v>1.0</v>
      </c>
      <c r="BW37" s="6">
        <v>2.5</v>
      </c>
      <c r="BX37" s="6">
        <v>6.5</v>
      </c>
      <c r="BY37" s="6">
        <v>6.0</v>
      </c>
      <c r="BZ37" s="6">
        <v>6.5</v>
      </c>
      <c r="CA37" s="6">
        <v>24.0</v>
      </c>
      <c r="CB37" s="6">
        <v>33.5</v>
      </c>
      <c r="CC37" s="6">
        <v>25.0</v>
      </c>
      <c r="CD37" s="6">
        <v>0.5625</v>
      </c>
      <c r="CE37" s="6">
        <v>1.44375</v>
      </c>
      <c r="CF37" s="6">
        <v>2.55375</v>
      </c>
      <c r="CG37" s="6">
        <v>2.2425</v>
      </c>
      <c r="CH37" s="6">
        <v>10.9696</v>
      </c>
      <c r="CI37" s="6">
        <v>13.6688</v>
      </c>
      <c r="CJ37" s="6">
        <v>42.5768</v>
      </c>
      <c r="CK37" s="6">
        <v>45.29307</v>
      </c>
      <c r="CL37" s="6">
        <v>59.0</v>
      </c>
      <c r="CM37" s="6">
        <v>127.3333</v>
      </c>
      <c r="CN37" s="6">
        <v>167.5</v>
      </c>
      <c r="CO37" s="6">
        <v>201.1667</v>
      </c>
      <c r="CP37" s="6">
        <v>1.0</v>
      </c>
      <c r="CQ37" s="6">
        <v>1.666667</v>
      </c>
      <c r="CR37" s="6">
        <v>5.0</v>
      </c>
      <c r="CS37" s="6">
        <v>4.333333</v>
      </c>
      <c r="CT37" s="6">
        <v>3.666667</v>
      </c>
      <c r="CU37" s="6">
        <v>14.66667</v>
      </c>
      <c r="CV37" s="6">
        <v>20.0</v>
      </c>
      <c r="CW37" s="6">
        <v>14.5</v>
      </c>
      <c r="CX37" s="6">
        <v>0.542767</v>
      </c>
      <c r="CY37" s="6">
        <v>1.0739</v>
      </c>
      <c r="CZ37" s="6">
        <v>2.167767</v>
      </c>
      <c r="DA37" s="6">
        <v>1.9716</v>
      </c>
      <c r="DB37" s="6">
        <v>0.0</v>
      </c>
      <c r="DC37" s="6">
        <v>1.225</v>
      </c>
      <c r="DD37" s="6">
        <v>4.585</v>
      </c>
      <c r="DE37" s="6">
        <v>3.605</v>
      </c>
      <c r="DF37" s="6">
        <v>0.0</v>
      </c>
      <c r="DG37" s="6">
        <v>2.5</v>
      </c>
      <c r="DH37" s="6">
        <v>26.5</v>
      </c>
      <c r="DI37" s="6">
        <v>24.5</v>
      </c>
      <c r="DJ37" s="6">
        <v>0.0</v>
      </c>
      <c r="DK37" s="6">
        <v>0.0</v>
      </c>
      <c r="DL37" s="6">
        <v>0.0</v>
      </c>
      <c r="DM37" s="6">
        <v>0.0</v>
      </c>
      <c r="DN37" s="6">
        <v>0.0</v>
      </c>
      <c r="DO37" s="6">
        <v>-2.5</v>
      </c>
      <c r="DP37" s="6">
        <v>4.5</v>
      </c>
      <c r="DQ37" s="6">
        <v>5.0</v>
      </c>
      <c r="DR37" s="6">
        <v>0.0</v>
      </c>
      <c r="DS37" s="6">
        <v>-0.05</v>
      </c>
      <c r="DT37" s="6">
        <v>1.47</v>
      </c>
      <c r="DU37" s="6">
        <v>1.51</v>
      </c>
      <c r="DV37" s="6">
        <v>0.0</v>
      </c>
      <c r="DW37" s="6">
        <v>1.063333</v>
      </c>
      <c r="DX37" s="6">
        <v>2.821667</v>
      </c>
      <c r="DY37" s="6">
        <v>0.121667</v>
      </c>
      <c r="DZ37" s="6">
        <v>0.0</v>
      </c>
      <c r="EA37" s="6">
        <v>-4.33333</v>
      </c>
      <c r="EB37" s="6">
        <v>15.16667</v>
      </c>
      <c r="EC37" s="6">
        <v>6.166667</v>
      </c>
      <c r="ED37" s="6">
        <v>0.0</v>
      </c>
      <c r="EE37" s="6">
        <v>0.0</v>
      </c>
      <c r="EF37" s="6">
        <v>0.0</v>
      </c>
      <c r="EG37" s="6">
        <v>0.0</v>
      </c>
      <c r="EH37" s="6">
        <v>0.0</v>
      </c>
      <c r="EI37" s="6">
        <v>-3.0</v>
      </c>
      <c r="EJ37" s="6">
        <v>1.666667</v>
      </c>
      <c r="EK37" s="6">
        <v>2.833333</v>
      </c>
      <c r="EL37" s="6">
        <v>0.0</v>
      </c>
      <c r="EM37" s="6">
        <v>-0.21333</v>
      </c>
      <c r="EN37" s="6">
        <v>0.78</v>
      </c>
      <c r="EO37" s="6">
        <v>0.543333</v>
      </c>
      <c r="EP37" s="6">
        <v>3.3489</v>
      </c>
      <c r="EQ37" s="6">
        <v>34.8432</v>
      </c>
      <c r="ER37" s="6">
        <v>60.7743</v>
      </c>
      <c r="ES37" s="6">
        <v>128.3928</v>
      </c>
      <c r="ET37" s="6">
        <v>676.0</v>
      </c>
      <c r="EU37" s="6">
        <v>1144.0</v>
      </c>
      <c r="EV37" s="6">
        <v>2548.0</v>
      </c>
      <c r="EW37" s="6">
        <v>2002.0</v>
      </c>
      <c r="EX37" s="6">
        <v>1.0</v>
      </c>
      <c r="EY37" s="6">
        <v>6.0</v>
      </c>
      <c r="EZ37" s="6">
        <v>13.0</v>
      </c>
      <c r="FA37" s="6">
        <v>29.0</v>
      </c>
      <c r="FB37" s="6">
        <v>36.0</v>
      </c>
      <c r="FC37" s="6">
        <v>114.0</v>
      </c>
      <c r="FD37" s="6">
        <v>300.0</v>
      </c>
      <c r="FE37" s="6">
        <v>234.0</v>
      </c>
      <c r="FF37" s="6">
        <v>1.5625</v>
      </c>
      <c r="FG37" s="6">
        <v>5.575</v>
      </c>
      <c r="FH37" s="6">
        <v>13.1375</v>
      </c>
      <c r="FI37" s="6">
        <v>17.2125</v>
      </c>
      <c r="FJ37" s="6">
        <v>0.0</v>
      </c>
      <c r="FK37" s="6">
        <v>-8.06</v>
      </c>
      <c r="FL37" s="6">
        <v>-9.42</v>
      </c>
      <c r="FM37" s="6">
        <v>-17.09</v>
      </c>
      <c r="FN37" s="6">
        <v>0.0</v>
      </c>
      <c r="FO37" s="6">
        <v>112.0</v>
      </c>
      <c r="FP37" s="6">
        <v>240.0</v>
      </c>
      <c r="FQ37" s="6">
        <v>677.0</v>
      </c>
      <c r="FR37" s="6">
        <v>0.0</v>
      </c>
      <c r="FS37" s="6">
        <v>0.0</v>
      </c>
      <c r="FT37" s="6">
        <v>0.0</v>
      </c>
      <c r="FU37" s="6">
        <v>0.0</v>
      </c>
      <c r="FV37" s="6">
        <v>0.0</v>
      </c>
      <c r="FW37" s="6">
        <v>17.0</v>
      </c>
      <c r="FX37" s="6">
        <v>28.0</v>
      </c>
      <c r="FY37" s="6">
        <v>135.0</v>
      </c>
      <c r="FZ37" s="6">
        <v>0.0</v>
      </c>
      <c r="GA37" s="6">
        <v>3.04</v>
      </c>
      <c r="GB37" s="6">
        <v>5.74</v>
      </c>
      <c r="GC37" s="6">
        <v>22.48</v>
      </c>
      <c r="GD37" s="6">
        <v>-23.34970038</v>
      </c>
      <c r="GE37" s="1" t="s">
        <v>1350</v>
      </c>
      <c r="GF37" s="1" t="s">
        <v>1393</v>
      </c>
    </row>
    <row r="38">
      <c r="A38" s="1" t="s">
        <v>109</v>
      </c>
      <c r="B38" s="6">
        <v>4.0</v>
      </c>
      <c r="C38" s="6">
        <v>0.0</v>
      </c>
      <c r="D38" s="6">
        <v>2.0</v>
      </c>
      <c r="E38" s="6">
        <v>0.0</v>
      </c>
      <c r="F38" s="6">
        <v>441.5346</v>
      </c>
      <c r="G38" s="6">
        <v>869.9418</v>
      </c>
      <c r="H38" s="6">
        <v>1967.045</v>
      </c>
      <c r="I38" s="6">
        <v>2864.973</v>
      </c>
      <c r="J38" s="6">
        <v>2889.0</v>
      </c>
      <c r="K38" s="6">
        <v>6704.0</v>
      </c>
      <c r="L38" s="6">
        <v>13292.0</v>
      </c>
      <c r="M38" s="6">
        <v>15558.0</v>
      </c>
      <c r="N38" s="6">
        <v>59.0</v>
      </c>
      <c r="O38" s="6">
        <v>126.0</v>
      </c>
      <c r="P38" s="6">
        <v>262.0</v>
      </c>
      <c r="Q38" s="6">
        <v>408.0</v>
      </c>
      <c r="R38" s="6">
        <v>388.0</v>
      </c>
      <c r="S38" s="6">
        <v>1104.0</v>
      </c>
      <c r="T38" s="6">
        <v>2042.0</v>
      </c>
      <c r="U38" s="6">
        <v>2904.0</v>
      </c>
      <c r="V38" s="6">
        <v>25.3433</v>
      </c>
      <c r="W38" s="6">
        <v>66.2698</v>
      </c>
      <c r="X38" s="6">
        <v>127.2938</v>
      </c>
      <c r="Y38" s="6">
        <v>188.2952</v>
      </c>
      <c r="Z38" s="6">
        <v>245.8239</v>
      </c>
      <c r="AA38" s="6">
        <v>545.649</v>
      </c>
      <c r="AB38" s="6">
        <v>983.036</v>
      </c>
      <c r="AC38" s="6">
        <v>1254.677</v>
      </c>
      <c r="AD38" s="6">
        <v>759.0</v>
      </c>
      <c r="AE38" s="6">
        <v>1848.0</v>
      </c>
      <c r="AF38" s="6">
        <v>2540.0</v>
      </c>
      <c r="AG38" s="6">
        <v>2838.0</v>
      </c>
      <c r="AH38" s="6">
        <v>42.0</v>
      </c>
      <c r="AI38" s="6">
        <v>86.0</v>
      </c>
      <c r="AJ38" s="6">
        <v>158.0</v>
      </c>
      <c r="AK38" s="6">
        <v>208.0</v>
      </c>
      <c r="AL38" s="6">
        <v>244.0</v>
      </c>
      <c r="AM38" s="6">
        <v>616.0</v>
      </c>
      <c r="AN38" s="6">
        <v>886.0</v>
      </c>
      <c r="AO38" s="6">
        <v>1106.0</v>
      </c>
      <c r="AP38" s="6">
        <v>14.2922</v>
      </c>
      <c r="AQ38" s="6">
        <v>36.4826</v>
      </c>
      <c r="AR38" s="6">
        <v>56.5634</v>
      </c>
      <c r="AS38" s="6">
        <v>70.8856</v>
      </c>
      <c r="AT38" s="6">
        <v>146.0619</v>
      </c>
      <c r="AU38" s="6">
        <v>266.7518</v>
      </c>
      <c r="AV38" s="6">
        <v>514.5363</v>
      </c>
      <c r="AW38" s="6">
        <v>582.52</v>
      </c>
      <c r="AX38" s="6">
        <v>737.6667</v>
      </c>
      <c r="AY38" s="6">
        <v>1472.0</v>
      </c>
      <c r="AZ38" s="6">
        <v>2194.667</v>
      </c>
      <c r="BA38" s="6">
        <v>1810.0</v>
      </c>
      <c r="BB38" s="6">
        <v>19.33333</v>
      </c>
      <c r="BC38" s="6">
        <v>38.0</v>
      </c>
      <c r="BD38" s="6">
        <v>68.66667</v>
      </c>
      <c r="BE38" s="6">
        <v>81.33333</v>
      </c>
      <c r="BF38" s="6">
        <v>106.6667</v>
      </c>
      <c r="BG38" s="6">
        <v>258.6667</v>
      </c>
      <c r="BH38" s="6">
        <v>335.3333</v>
      </c>
      <c r="BI38" s="6">
        <v>380.6667</v>
      </c>
      <c r="BJ38" s="6">
        <v>7.926933</v>
      </c>
      <c r="BK38" s="6">
        <v>18.37327</v>
      </c>
      <c r="BL38" s="6">
        <v>28.14767</v>
      </c>
      <c r="BM38" s="6">
        <v>29.84813</v>
      </c>
      <c r="BN38" s="6">
        <v>9.2416</v>
      </c>
      <c r="BO38" s="6">
        <v>19.38</v>
      </c>
      <c r="BP38" s="6">
        <v>46.132</v>
      </c>
      <c r="BQ38" s="6">
        <v>44.4904</v>
      </c>
      <c r="BR38" s="6">
        <v>49.0</v>
      </c>
      <c r="BS38" s="6">
        <v>105.0</v>
      </c>
      <c r="BT38" s="6">
        <v>133.0</v>
      </c>
      <c r="BU38" s="6">
        <v>122.5</v>
      </c>
      <c r="BV38" s="6">
        <v>1.0</v>
      </c>
      <c r="BW38" s="6">
        <v>2.5</v>
      </c>
      <c r="BX38" s="6">
        <v>6.5</v>
      </c>
      <c r="BY38" s="6">
        <v>6.0</v>
      </c>
      <c r="BZ38" s="6">
        <v>6.5</v>
      </c>
      <c r="CA38" s="6">
        <v>24.0</v>
      </c>
      <c r="CB38" s="6">
        <v>33.5</v>
      </c>
      <c r="CC38" s="6">
        <v>25.0</v>
      </c>
      <c r="CD38" s="6">
        <v>0.5625</v>
      </c>
      <c r="CE38" s="6">
        <v>1.44375</v>
      </c>
      <c r="CF38" s="6">
        <v>2.55375</v>
      </c>
      <c r="CG38" s="6">
        <v>2.2425</v>
      </c>
      <c r="CH38" s="6">
        <v>10.9696</v>
      </c>
      <c r="CI38" s="6">
        <v>13.6688</v>
      </c>
      <c r="CJ38" s="6">
        <v>42.5768</v>
      </c>
      <c r="CK38" s="6">
        <v>45.29307</v>
      </c>
      <c r="CL38" s="6">
        <v>59.0</v>
      </c>
      <c r="CM38" s="6">
        <v>127.3333</v>
      </c>
      <c r="CN38" s="6">
        <v>167.5</v>
      </c>
      <c r="CO38" s="6">
        <v>201.1667</v>
      </c>
      <c r="CP38" s="6">
        <v>1.0</v>
      </c>
      <c r="CQ38" s="6">
        <v>1.666667</v>
      </c>
      <c r="CR38" s="6">
        <v>5.0</v>
      </c>
      <c r="CS38" s="6">
        <v>4.333333</v>
      </c>
      <c r="CT38" s="6">
        <v>3.666667</v>
      </c>
      <c r="CU38" s="6">
        <v>14.66667</v>
      </c>
      <c r="CV38" s="6">
        <v>20.0</v>
      </c>
      <c r="CW38" s="6">
        <v>14.5</v>
      </c>
      <c r="CX38" s="6">
        <v>0.542767</v>
      </c>
      <c r="CY38" s="6">
        <v>1.0739</v>
      </c>
      <c r="CZ38" s="6">
        <v>2.167767</v>
      </c>
      <c r="DA38" s="6">
        <v>1.9716</v>
      </c>
      <c r="DB38" s="6">
        <v>0.0</v>
      </c>
      <c r="DC38" s="6">
        <v>1.225</v>
      </c>
      <c r="DD38" s="6">
        <v>4.585</v>
      </c>
      <c r="DE38" s="6">
        <v>3.605</v>
      </c>
      <c r="DF38" s="6">
        <v>0.0</v>
      </c>
      <c r="DG38" s="6">
        <v>2.5</v>
      </c>
      <c r="DH38" s="6">
        <v>26.5</v>
      </c>
      <c r="DI38" s="6">
        <v>24.5</v>
      </c>
      <c r="DJ38" s="6">
        <v>0.0</v>
      </c>
      <c r="DK38" s="6">
        <v>0.0</v>
      </c>
      <c r="DL38" s="6">
        <v>0.0</v>
      </c>
      <c r="DM38" s="6">
        <v>0.0</v>
      </c>
      <c r="DN38" s="6">
        <v>0.0</v>
      </c>
      <c r="DO38" s="6">
        <v>-2.5</v>
      </c>
      <c r="DP38" s="6">
        <v>4.5</v>
      </c>
      <c r="DQ38" s="6">
        <v>5.0</v>
      </c>
      <c r="DR38" s="6">
        <v>0.0</v>
      </c>
      <c r="DS38" s="6">
        <v>-0.05</v>
      </c>
      <c r="DT38" s="6">
        <v>1.47</v>
      </c>
      <c r="DU38" s="6">
        <v>1.51</v>
      </c>
      <c r="DV38" s="6">
        <v>0.0</v>
      </c>
      <c r="DW38" s="6">
        <v>1.063333</v>
      </c>
      <c r="DX38" s="6">
        <v>2.821667</v>
      </c>
      <c r="DY38" s="6">
        <v>0.121667</v>
      </c>
      <c r="DZ38" s="6">
        <v>0.0</v>
      </c>
      <c r="EA38" s="6">
        <v>-4.33333</v>
      </c>
      <c r="EB38" s="6">
        <v>15.16667</v>
      </c>
      <c r="EC38" s="6">
        <v>6.166667</v>
      </c>
      <c r="ED38" s="6">
        <v>0.0</v>
      </c>
      <c r="EE38" s="6">
        <v>0.0</v>
      </c>
      <c r="EF38" s="6">
        <v>0.0</v>
      </c>
      <c r="EG38" s="6">
        <v>0.0</v>
      </c>
      <c r="EH38" s="6">
        <v>0.0</v>
      </c>
      <c r="EI38" s="6">
        <v>-3.0</v>
      </c>
      <c r="EJ38" s="6">
        <v>1.666667</v>
      </c>
      <c r="EK38" s="6">
        <v>2.833333</v>
      </c>
      <c r="EL38" s="6">
        <v>0.0</v>
      </c>
      <c r="EM38" s="6">
        <v>-0.21333</v>
      </c>
      <c r="EN38" s="6">
        <v>0.78</v>
      </c>
      <c r="EO38" s="6">
        <v>0.543333</v>
      </c>
      <c r="EP38" s="6">
        <v>3.3489</v>
      </c>
      <c r="EQ38" s="6">
        <v>34.8432</v>
      </c>
      <c r="ER38" s="6">
        <v>60.7743</v>
      </c>
      <c r="ES38" s="6">
        <v>128.3928</v>
      </c>
      <c r="ET38" s="6">
        <v>676.0</v>
      </c>
      <c r="EU38" s="6">
        <v>1144.0</v>
      </c>
      <c r="EV38" s="6">
        <v>2548.0</v>
      </c>
      <c r="EW38" s="6">
        <v>2002.0</v>
      </c>
      <c r="EX38" s="6">
        <v>1.0</v>
      </c>
      <c r="EY38" s="6">
        <v>6.0</v>
      </c>
      <c r="EZ38" s="6">
        <v>13.0</v>
      </c>
      <c r="FA38" s="6">
        <v>29.0</v>
      </c>
      <c r="FB38" s="6">
        <v>36.0</v>
      </c>
      <c r="FC38" s="6">
        <v>114.0</v>
      </c>
      <c r="FD38" s="6">
        <v>300.0</v>
      </c>
      <c r="FE38" s="6">
        <v>234.0</v>
      </c>
      <c r="FF38" s="6">
        <v>1.5625</v>
      </c>
      <c r="FG38" s="6">
        <v>5.575</v>
      </c>
      <c r="FH38" s="6">
        <v>13.1375</v>
      </c>
      <c r="FI38" s="6">
        <v>17.2125</v>
      </c>
      <c r="FJ38" s="6">
        <v>0.0</v>
      </c>
      <c r="FK38" s="6">
        <v>-8.06</v>
      </c>
      <c r="FL38" s="6">
        <v>-9.42</v>
      </c>
      <c r="FM38" s="6">
        <v>-17.09</v>
      </c>
      <c r="FN38" s="6">
        <v>0.0</v>
      </c>
      <c r="FO38" s="6">
        <v>112.0</v>
      </c>
      <c r="FP38" s="6">
        <v>240.0</v>
      </c>
      <c r="FQ38" s="6">
        <v>677.0</v>
      </c>
      <c r="FR38" s="6">
        <v>0.0</v>
      </c>
      <c r="FS38" s="6">
        <v>0.0</v>
      </c>
      <c r="FT38" s="6">
        <v>0.0</v>
      </c>
      <c r="FU38" s="6">
        <v>0.0</v>
      </c>
      <c r="FV38" s="6">
        <v>0.0</v>
      </c>
      <c r="FW38" s="6">
        <v>17.0</v>
      </c>
      <c r="FX38" s="6">
        <v>28.0</v>
      </c>
      <c r="FY38" s="6">
        <v>135.0</v>
      </c>
      <c r="FZ38" s="6">
        <v>0.0</v>
      </c>
      <c r="GA38" s="6">
        <v>3.04</v>
      </c>
      <c r="GB38" s="6">
        <v>5.74</v>
      </c>
      <c r="GC38" s="6">
        <v>22.48</v>
      </c>
      <c r="GD38" s="6">
        <v>-32.80240557</v>
      </c>
      <c r="GE38" s="1" t="s">
        <v>1350</v>
      </c>
      <c r="GF38" s="1" t="s">
        <v>1394</v>
      </c>
    </row>
    <row r="39">
      <c r="A39" s="1" t="s">
        <v>111</v>
      </c>
      <c r="B39" s="6">
        <v>4.0</v>
      </c>
      <c r="C39" s="6">
        <v>0.0</v>
      </c>
      <c r="D39" s="6">
        <v>2.0</v>
      </c>
      <c r="E39" s="6">
        <v>0.0</v>
      </c>
      <c r="F39" s="6">
        <v>502.4068</v>
      </c>
      <c r="G39" s="6">
        <v>991.6788</v>
      </c>
      <c r="H39" s="6">
        <v>2181.442</v>
      </c>
      <c r="I39" s="6">
        <v>3104.631</v>
      </c>
      <c r="J39" s="6">
        <v>3094.0</v>
      </c>
      <c r="K39" s="6">
        <v>7124.0</v>
      </c>
      <c r="L39" s="6">
        <v>13880.0</v>
      </c>
      <c r="M39" s="6">
        <v>16266.0</v>
      </c>
      <c r="N39" s="6">
        <v>68.0</v>
      </c>
      <c r="O39" s="6">
        <v>144.0</v>
      </c>
      <c r="P39" s="6">
        <v>294.0</v>
      </c>
      <c r="Q39" s="6">
        <v>444.0</v>
      </c>
      <c r="R39" s="6">
        <v>438.0</v>
      </c>
      <c r="S39" s="6">
        <v>1222.0</v>
      </c>
      <c r="T39" s="6">
        <v>2184.0</v>
      </c>
      <c r="U39" s="6">
        <v>3064.0</v>
      </c>
      <c r="V39" s="6">
        <v>28.2794</v>
      </c>
      <c r="W39" s="6">
        <v>73.6772</v>
      </c>
      <c r="X39" s="6">
        <v>137.9426</v>
      </c>
      <c r="Y39" s="6">
        <v>200.6908</v>
      </c>
      <c r="Z39" s="6">
        <v>306.6961</v>
      </c>
      <c r="AA39" s="6">
        <v>667.386</v>
      </c>
      <c r="AB39" s="6">
        <v>1197.432</v>
      </c>
      <c r="AC39" s="6">
        <v>1494.335</v>
      </c>
      <c r="AD39" s="6">
        <v>964.0</v>
      </c>
      <c r="AE39" s="6">
        <v>2268.0</v>
      </c>
      <c r="AF39" s="6">
        <v>3128.0</v>
      </c>
      <c r="AG39" s="6">
        <v>3546.0</v>
      </c>
      <c r="AH39" s="6">
        <v>51.0</v>
      </c>
      <c r="AI39" s="6">
        <v>104.0</v>
      </c>
      <c r="AJ39" s="6">
        <v>190.0</v>
      </c>
      <c r="AK39" s="6">
        <v>244.0</v>
      </c>
      <c r="AL39" s="6">
        <v>294.0</v>
      </c>
      <c r="AM39" s="6">
        <v>734.0</v>
      </c>
      <c r="AN39" s="6">
        <v>1028.0</v>
      </c>
      <c r="AO39" s="6">
        <v>1266.0</v>
      </c>
      <c r="AP39" s="6">
        <v>17.2283</v>
      </c>
      <c r="AQ39" s="6">
        <v>43.89</v>
      </c>
      <c r="AR39" s="6">
        <v>67.2122</v>
      </c>
      <c r="AS39" s="6">
        <v>83.2812</v>
      </c>
      <c r="AT39" s="6">
        <v>166.3526</v>
      </c>
      <c r="AU39" s="6">
        <v>307.3308</v>
      </c>
      <c r="AV39" s="6">
        <v>586.0017</v>
      </c>
      <c r="AW39" s="6">
        <v>662.406</v>
      </c>
      <c r="AX39" s="6">
        <v>806.0</v>
      </c>
      <c r="AY39" s="6">
        <v>1612.0</v>
      </c>
      <c r="AZ39" s="6">
        <v>2390.667</v>
      </c>
      <c r="BA39" s="6">
        <v>2046.0</v>
      </c>
      <c r="BB39" s="6">
        <v>22.33333</v>
      </c>
      <c r="BC39" s="6">
        <v>44.0</v>
      </c>
      <c r="BD39" s="6">
        <v>79.33333</v>
      </c>
      <c r="BE39" s="6">
        <v>93.33333</v>
      </c>
      <c r="BF39" s="6">
        <v>123.3333</v>
      </c>
      <c r="BG39" s="6">
        <v>298.0</v>
      </c>
      <c r="BH39" s="6">
        <v>382.6667</v>
      </c>
      <c r="BI39" s="6">
        <v>434.0</v>
      </c>
      <c r="BJ39" s="6">
        <v>8.905633</v>
      </c>
      <c r="BK39" s="6">
        <v>20.8424</v>
      </c>
      <c r="BL39" s="6">
        <v>31.69727</v>
      </c>
      <c r="BM39" s="6">
        <v>33.98</v>
      </c>
      <c r="BN39" s="6">
        <v>9.2416</v>
      </c>
      <c r="BO39" s="6">
        <v>19.38</v>
      </c>
      <c r="BP39" s="6">
        <v>46.132</v>
      </c>
      <c r="BQ39" s="6">
        <v>44.4904</v>
      </c>
      <c r="BR39" s="6">
        <v>49.0</v>
      </c>
      <c r="BS39" s="6">
        <v>105.0</v>
      </c>
      <c r="BT39" s="6">
        <v>133.0</v>
      </c>
      <c r="BU39" s="6">
        <v>122.5</v>
      </c>
      <c r="BV39" s="6">
        <v>1.0</v>
      </c>
      <c r="BW39" s="6">
        <v>2.5</v>
      </c>
      <c r="BX39" s="6">
        <v>6.5</v>
      </c>
      <c r="BY39" s="6">
        <v>6.0</v>
      </c>
      <c r="BZ39" s="6">
        <v>6.5</v>
      </c>
      <c r="CA39" s="6">
        <v>24.0</v>
      </c>
      <c r="CB39" s="6">
        <v>33.5</v>
      </c>
      <c r="CC39" s="6">
        <v>25.0</v>
      </c>
      <c r="CD39" s="6">
        <v>0.5625</v>
      </c>
      <c r="CE39" s="6">
        <v>1.44375</v>
      </c>
      <c r="CF39" s="6">
        <v>2.55375</v>
      </c>
      <c r="CG39" s="6">
        <v>2.2425</v>
      </c>
      <c r="CH39" s="6">
        <v>10.9696</v>
      </c>
      <c r="CI39" s="6">
        <v>13.6688</v>
      </c>
      <c r="CJ39" s="6">
        <v>42.5768</v>
      </c>
      <c r="CK39" s="6">
        <v>45.29307</v>
      </c>
      <c r="CL39" s="6">
        <v>59.0</v>
      </c>
      <c r="CM39" s="6">
        <v>127.3333</v>
      </c>
      <c r="CN39" s="6">
        <v>167.5</v>
      </c>
      <c r="CO39" s="6">
        <v>201.1667</v>
      </c>
      <c r="CP39" s="6">
        <v>1.0</v>
      </c>
      <c r="CQ39" s="6">
        <v>1.666667</v>
      </c>
      <c r="CR39" s="6">
        <v>5.0</v>
      </c>
      <c r="CS39" s="6">
        <v>4.333333</v>
      </c>
      <c r="CT39" s="6">
        <v>3.666667</v>
      </c>
      <c r="CU39" s="6">
        <v>14.66667</v>
      </c>
      <c r="CV39" s="6">
        <v>20.0</v>
      </c>
      <c r="CW39" s="6">
        <v>14.5</v>
      </c>
      <c r="CX39" s="6">
        <v>0.542767</v>
      </c>
      <c r="CY39" s="6">
        <v>1.0739</v>
      </c>
      <c r="CZ39" s="6">
        <v>2.167767</v>
      </c>
      <c r="DA39" s="6">
        <v>1.9716</v>
      </c>
      <c r="DB39" s="6">
        <v>0.0</v>
      </c>
      <c r="DC39" s="6">
        <v>1.225</v>
      </c>
      <c r="DD39" s="6">
        <v>4.585</v>
      </c>
      <c r="DE39" s="6">
        <v>3.605</v>
      </c>
      <c r="DF39" s="6">
        <v>0.0</v>
      </c>
      <c r="DG39" s="6">
        <v>2.5</v>
      </c>
      <c r="DH39" s="6">
        <v>26.5</v>
      </c>
      <c r="DI39" s="6">
        <v>24.5</v>
      </c>
      <c r="DJ39" s="6">
        <v>0.0</v>
      </c>
      <c r="DK39" s="6">
        <v>0.0</v>
      </c>
      <c r="DL39" s="6">
        <v>0.0</v>
      </c>
      <c r="DM39" s="6">
        <v>0.0</v>
      </c>
      <c r="DN39" s="6">
        <v>0.0</v>
      </c>
      <c r="DO39" s="6">
        <v>-2.5</v>
      </c>
      <c r="DP39" s="6">
        <v>4.5</v>
      </c>
      <c r="DQ39" s="6">
        <v>5.0</v>
      </c>
      <c r="DR39" s="6">
        <v>0.0</v>
      </c>
      <c r="DS39" s="6">
        <v>-0.05</v>
      </c>
      <c r="DT39" s="6">
        <v>1.47</v>
      </c>
      <c r="DU39" s="6">
        <v>1.51</v>
      </c>
      <c r="DV39" s="6">
        <v>0.0</v>
      </c>
      <c r="DW39" s="6">
        <v>1.063333</v>
      </c>
      <c r="DX39" s="6">
        <v>2.821667</v>
      </c>
      <c r="DY39" s="6">
        <v>0.121667</v>
      </c>
      <c r="DZ39" s="6">
        <v>0.0</v>
      </c>
      <c r="EA39" s="6">
        <v>-4.33333</v>
      </c>
      <c r="EB39" s="6">
        <v>15.16667</v>
      </c>
      <c r="EC39" s="6">
        <v>6.166667</v>
      </c>
      <c r="ED39" s="6">
        <v>0.0</v>
      </c>
      <c r="EE39" s="6">
        <v>0.0</v>
      </c>
      <c r="EF39" s="6">
        <v>0.0</v>
      </c>
      <c r="EG39" s="6">
        <v>0.0</v>
      </c>
      <c r="EH39" s="6">
        <v>0.0</v>
      </c>
      <c r="EI39" s="6">
        <v>-3.0</v>
      </c>
      <c r="EJ39" s="6">
        <v>1.666667</v>
      </c>
      <c r="EK39" s="6">
        <v>2.833333</v>
      </c>
      <c r="EL39" s="6">
        <v>0.0</v>
      </c>
      <c r="EM39" s="6">
        <v>-0.21333</v>
      </c>
      <c r="EN39" s="6">
        <v>0.78</v>
      </c>
      <c r="EO39" s="6">
        <v>0.543333</v>
      </c>
      <c r="EP39" s="6">
        <v>3.3489</v>
      </c>
      <c r="EQ39" s="6">
        <v>34.8432</v>
      </c>
      <c r="ER39" s="6">
        <v>60.7743</v>
      </c>
      <c r="ES39" s="6">
        <v>128.3928</v>
      </c>
      <c r="ET39" s="6">
        <v>676.0</v>
      </c>
      <c r="EU39" s="6">
        <v>1144.0</v>
      </c>
      <c r="EV39" s="6">
        <v>2548.0</v>
      </c>
      <c r="EW39" s="6">
        <v>2002.0</v>
      </c>
      <c r="EX39" s="6">
        <v>1.0</v>
      </c>
      <c r="EY39" s="6">
        <v>6.0</v>
      </c>
      <c r="EZ39" s="6">
        <v>13.0</v>
      </c>
      <c r="FA39" s="6">
        <v>29.0</v>
      </c>
      <c r="FB39" s="6">
        <v>36.0</v>
      </c>
      <c r="FC39" s="6">
        <v>114.0</v>
      </c>
      <c r="FD39" s="6">
        <v>300.0</v>
      </c>
      <c r="FE39" s="6">
        <v>234.0</v>
      </c>
      <c r="FF39" s="6">
        <v>1.5625</v>
      </c>
      <c r="FG39" s="6">
        <v>5.575</v>
      </c>
      <c r="FH39" s="6">
        <v>13.1375</v>
      </c>
      <c r="FI39" s="6">
        <v>17.2125</v>
      </c>
      <c r="FJ39" s="6">
        <v>0.0</v>
      </c>
      <c r="FK39" s="6">
        <v>-8.06</v>
      </c>
      <c r="FL39" s="6">
        <v>-9.42</v>
      </c>
      <c r="FM39" s="6">
        <v>-17.09</v>
      </c>
      <c r="FN39" s="6">
        <v>0.0</v>
      </c>
      <c r="FO39" s="6">
        <v>112.0</v>
      </c>
      <c r="FP39" s="6">
        <v>240.0</v>
      </c>
      <c r="FQ39" s="6">
        <v>677.0</v>
      </c>
      <c r="FR39" s="6">
        <v>0.0</v>
      </c>
      <c r="FS39" s="6">
        <v>0.0</v>
      </c>
      <c r="FT39" s="6">
        <v>0.0</v>
      </c>
      <c r="FU39" s="6">
        <v>0.0</v>
      </c>
      <c r="FV39" s="6">
        <v>0.0</v>
      </c>
      <c r="FW39" s="6">
        <v>17.0</v>
      </c>
      <c r="FX39" s="6">
        <v>28.0</v>
      </c>
      <c r="FY39" s="6">
        <v>135.0</v>
      </c>
      <c r="FZ39" s="6">
        <v>0.0</v>
      </c>
      <c r="GA39" s="6">
        <v>3.04</v>
      </c>
      <c r="GB39" s="6">
        <v>5.74</v>
      </c>
      <c r="GC39" s="6">
        <v>22.48</v>
      </c>
      <c r="GD39" s="6">
        <v>-20.26866065</v>
      </c>
      <c r="GE39" s="1" t="s">
        <v>1350</v>
      </c>
      <c r="GF39" s="1" t="s">
        <v>1395</v>
      </c>
    </row>
    <row r="40">
      <c r="A40" s="1" t="s">
        <v>113</v>
      </c>
      <c r="B40" s="6">
        <v>4.0</v>
      </c>
      <c r="C40" s="6">
        <v>0.0</v>
      </c>
      <c r="D40" s="6">
        <v>2.0</v>
      </c>
      <c r="E40" s="6">
        <v>0.0</v>
      </c>
      <c r="F40" s="6">
        <v>467.9409</v>
      </c>
      <c r="G40" s="6">
        <v>914.2712</v>
      </c>
      <c r="H40" s="6">
        <v>2030.799</v>
      </c>
      <c r="I40" s="6">
        <v>2944.459</v>
      </c>
      <c r="J40" s="6">
        <v>3030.0</v>
      </c>
      <c r="K40" s="6">
        <v>6940.0</v>
      </c>
      <c r="L40" s="6">
        <v>13636.0</v>
      </c>
      <c r="M40" s="6">
        <v>15970.0</v>
      </c>
      <c r="N40" s="6">
        <v>61.0</v>
      </c>
      <c r="O40" s="6">
        <v>130.0</v>
      </c>
      <c r="P40" s="6">
        <v>268.0</v>
      </c>
      <c r="Q40" s="6">
        <v>416.0</v>
      </c>
      <c r="R40" s="6">
        <v>398.0</v>
      </c>
      <c r="S40" s="6">
        <v>1128.0</v>
      </c>
      <c r="T40" s="6">
        <v>2080.0</v>
      </c>
      <c r="U40" s="6">
        <v>2960.0</v>
      </c>
      <c r="V40" s="6">
        <v>26.3787</v>
      </c>
      <c r="W40" s="6">
        <v>68.429</v>
      </c>
      <c r="X40" s="6">
        <v>130.5464</v>
      </c>
      <c r="Y40" s="6">
        <v>192.7008</v>
      </c>
      <c r="Z40" s="6">
        <v>272.2302</v>
      </c>
      <c r="AA40" s="6">
        <v>589.9784</v>
      </c>
      <c r="AB40" s="6">
        <v>1046.789</v>
      </c>
      <c r="AC40" s="6">
        <v>1334.163</v>
      </c>
      <c r="AD40" s="6">
        <v>900.0</v>
      </c>
      <c r="AE40" s="6">
        <v>2084.0</v>
      </c>
      <c r="AF40" s="6">
        <v>2884.0</v>
      </c>
      <c r="AG40" s="6">
        <v>3250.0</v>
      </c>
      <c r="AH40" s="6">
        <v>44.0</v>
      </c>
      <c r="AI40" s="6">
        <v>90.0</v>
      </c>
      <c r="AJ40" s="6">
        <v>164.0</v>
      </c>
      <c r="AK40" s="6">
        <v>216.0</v>
      </c>
      <c r="AL40" s="6">
        <v>254.0</v>
      </c>
      <c r="AM40" s="6">
        <v>640.0</v>
      </c>
      <c r="AN40" s="6">
        <v>924.0</v>
      </c>
      <c r="AO40" s="6">
        <v>1162.0</v>
      </c>
      <c r="AP40" s="6">
        <v>15.3276</v>
      </c>
      <c r="AQ40" s="6">
        <v>38.6418</v>
      </c>
      <c r="AR40" s="6">
        <v>59.816</v>
      </c>
      <c r="AS40" s="6">
        <v>75.2912</v>
      </c>
      <c r="AT40" s="6">
        <v>154.864</v>
      </c>
      <c r="AU40" s="6">
        <v>281.5283</v>
      </c>
      <c r="AV40" s="6">
        <v>535.7873</v>
      </c>
      <c r="AW40" s="6">
        <v>609.0153</v>
      </c>
      <c r="AX40" s="6">
        <v>784.6667</v>
      </c>
      <c r="AY40" s="6">
        <v>1550.667</v>
      </c>
      <c r="AZ40" s="6">
        <v>2309.333</v>
      </c>
      <c r="BA40" s="6">
        <v>1947.333</v>
      </c>
      <c r="BB40" s="6">
        <v>20.0</v>
      </c>
      <c r="BC40" s="6">
        <v>39.33333</v>
      </c>
      <c r="BD40" s="6">
        <v>70.66667</v>
      </c>
      <c r="BE40" s="6">
        <v>84.0</v>
      </c>
      <c r="BF40" s="6">
        <v>110.0</v>
      </c>
      <c r="BG40" s="6">
        <v>266.6667</v>
      </c>
      <c r="BH40" s="6">
        <v>348.0</v>
      </c>
      <c r="BI40" s="6">
        <v>399.3333</v>
      </c>
      <c r="BJ40" s="6">
        <v>8.272067</v>
      </c>
      <c r="BK40" s="6">
        <v>19.093</v>
      </c>
      <c r="BL40" s="6">
        <v>29.23187</v>
      </c>
      <c r="BM40" s="6">
        <v>31.31667</v>
      </c>
      <c r="BN40" s="6">
        <v>9.2416</v>
      </c>
      <c r="BO40" s="6">
        <v>19.38</v>
      </c>
      <c r="BP40" s="6">
        <v>46.132</v>
      </c>
      <c r="BQ40" s="6">
        <v>44.4904</v>
      </c>
      <c r="BR40" s="6">
        <v>49.0</v>
      </c>
      <c r="BS40" s="6">
        <v>105.0</v>
      </c>
      <c r="BT40" s="6">
        <v>133.0</v>
      </c>
      <c r="BU40" s="6">
        <v>122.5</v>
      </c>
      <c r="BV40" s="6">
        <v>1.0</v>
      </c>
      <c r="BW40" s="6">
        <v>2.5</v>
      </c>
      <c r="BX40" s="6">
        <v>6.5</v>
      </c>
      <c r="BY40" s="6">
        <v>6.0</v>
      </c>
      <c r="BZ40" s="6">
        <v>6.5</v>
      </c>
      <c r="CA40" s="6">
        <v>24.0</v>
      </c>
      <c r="CB40" s="6">
        <v>33.5</v>
      </c>
      <c r="CC40" s="6">
        <v>25.0</v>
      </c>
      <c r="CD40" s="6">
        <v>0.5625</v>
      </c>
      <c r="CE40" s="6">
        <v>1.44375</v>
      </c>
      <c r="CF40" s="6">
        <v>2.55375</v>
      </c>
      <c r="CG40" s="6">
        <v>2.2425</v>
      </c>
      <c r="CH40" s="6">
        <v>10.9696</v>
      </c>
      <c r="CI40" s="6">
        <v>13.6688</v>
      </c>
      <c r="CJ40" s="6">
        <v>42.5768</v>
      </c>
      <c r="CK40" s="6">
        <v>45.29307</v>
      </c>
      <c r="CL40" s="6">
        <v>59.0</v>
      </c>
      <c r="CM40" s="6">
        <v>127.3333</v>
      </c>
      <c r="CN40" s="6">
        <v>167.5</v>
      </c>
      <c r="CO40" s="6">
        <v>201.1667</v>
      </c>
      <c r="CP40" s="6">
        <v>1.0</v>
      </c>
      <c r="CQ40" s="6">
        <v>1.666667</v>
      </c>
      <c r="CR40" s="6">
        <v>5.0</v>
      </c>
      <c r="CS40" s="6">
        <v>4.333333</v>
      </c>
      <c r="CT40" s="6">
        <v>3.666667</v>
      </c>
      <c r="CU40" s="6">
        <v>14.66667</v>
      </c>
      <c r="CV40" s="6">
        <v>20.0</v>
      </c>
      <c r="CW40" s="6">
        <v>14.5</v>
      </c>
      <c r="CX40" s="6">
        <v>0.542767</v>
      </c>
      <c r="CY40" s="6">
        <v>1.0739</v>
      </c>
      <c r="CZ40" s="6">
        <v>2.167767</v>
      </c>
      <c r="DA40" s="6">
        <v>1.9716</v>
      </c>
      <c r="DB40" s="6">
        <v>0.0</v>
      </c>
      <c r="DC40" s="6">
        <v>1.225</v>
      </c>
      <c r="DD40" s="6">
        <v>4.585</v>
      </c>
      <c r="DE40" s="6">
        <v>3.605</v>
      </c>
      <c r="DF40" s="6">
        <v>0.0</v>
      </c>
      <c r="DG40" s="6">
        <v>2.5</v>
      </c>
      <c r="DH40" s="6">
        <v>26.5</v>
      </c>
      <c r="DI40" s="6">
        <v>24.5</v>
      </c>
      <c r="DJ40" s="6">
        <v>0.0</v>
      </c>
      <c r="DK40" s="6">
        <v>0.0</v>
      </c>
      <c r="DL40" s="6">
        <v>0.0</v>
      </c>
      <c r="DM40" s="6">
        <v>0.0</v>
      </c>
      <c r="DN40" s="6">
        <v>0.0</v>
      </c>
      <c r="DO40" s="6">
        <v>-2.5</v>
      </c>
      <c r="DP40" s="6">
        <v>4.5</v>
      </c>
      <c r="DQ40" s="6">
        <v>5.0</v>
      </c>
      <c r="DR40" s="6">
        <v>0.0</v>
      </c>
      <c r="DS40" s="6">
        <v>-0.05</v>
      </c>
      <c r="DT40" s="6">
        <v>1.47</v>
      </c>
      <c r="DU40" s="6">
        <v>1.51</v>
      </c>
      <c r="DV40" s="6">
        <v>0.0</v>
      </c>
      <c r="DW40" s="6">
        <v>1.063333</v>
      </c>
      <c r="DX40" s="6">
        <v>2.821667</v>
      </c>
      <c r="DY40" s="6">
        <v>0.121667</v>
      </c>
      <c r="DZ40" s="6">
        <v>0.0</v>
      </c>
      <c r="EA40" s="6">
        <v>-4.33333</v>
      </c>
      <c r="EB40" s="6">
        <v>15.16667</v>
      </c>
      <c r="EC40" s="6">
        <v>6.166667</v>
      </c>
      <c r="ED40" s="6">
        <v>0.0</v>
      </c>
      <c r="EE40" s="6">
        <v>0.0</v>
      </c>
      <c r="EF40" s="6">
        <v>0.0</v>
      </c>
      <c r="EG40" s="6">
        <v>0.0</v>
      </c>
      <c r="EH40" s="6">
        <v>0.0</v>
      </c>
      <c r="EI40" s="6">
        <v>-3.0</v>
      </c>
      <c r="EJ40" s="6">
        <v>1.666667</v>
      </c>
      <c r="EK40" s="6">
        <v>2.833333</v>
      </c>
      <c r="EL40" s="6">
        <v>0.0</v>
      </c>
      <c r="EM40" s="6">
        <v>-0.21333</v>
      </c>
      <c r="EN40" s="6">
        <v>0.78</v>
      </c>
      <c r="EO40" s="6">
        <v>0.543333</v>
      </c>
      <c r="EP40" s="6">
        <v>3.3489</v>
      </c>
      <c r="EQ40" s="6">
        <v>34.8432</v>
      </c>
      <c r="ER40" s="6">
        <v>60.7743</v>
      </c>
      <c r="ES40" s="6">
        <v>128.3928</v>
      </c>
      <c r="ET40" s="6">
        <v>676.0</v>
      </c>
      <c r="EU40" s="6">
        <v>1144.0</v>
      </c>
      <c r="EV40" s="6">
        <v>2548.0</v>
      </c>
      <c r="EW40" s="6">
        <v>2002.0</v>
      </c>
      <c r="EX40" s="6">
        <v>1.0</v>
      </c>
      <c r="EY40" s="6">
        <v>6.0</v>
      </c>
      <c r="EZ40" s="6">
        <v>13.0</v>
      </c>
      <c r="FA40" s="6">
        <v>29.0</v>
      </c>
      <c r="FB40" s="6">
        <v>36.0</v>
      </c>
      <c r="FC40" s="6">
        <v>114.0</v>
      </c>
      <c r="FD40" s="6">
        <v>300.0</v>
      </c>
      <c r="FE40" s="6">
        <v>234.0</v>
      </c>
      <c r="FF40" s="6">
        <v>1.5625</v>
      </c>
      <c r="FG40" s="6">
        <v>5.575</v>
      </c>
      <c r="FH40" s="6">
        <v>13.1375</v>
      </c>
      <c r="FI40" s="6">
        <v>17.2125</v>
      </c>
      <c r="FJ40" s="6">
        <v>0.0</v>
      </c>
      <c r="FK40" s="6">
        <v>-8.06</v>
      </c>
      <c r="FL40" s="6">
        <v>-9.42</v>
      </c>
      <c r="FM40" s="6">
        <v>-17.09</v>
      </c>
      <c r="FN40" s="6">
        <v>0.0</v>
      </c>
      <c r="FO40" s="6">
        <v>112.0</v>
      </c>
      <c r="FP40" s="6">
        <v>240.0</v>
      </c>
      <c r="FQ40" s="6">
        <v>677.0</v>
      </c>
      <c r="FR40" s="6">
        <v>0.0</v>
      </c>
      <c r="FS40" s="6">
        <v>0.0</v>
      </c>
      <c r="FT40" s="6">
        <v>0.0</v>
      </c>
      <c r="FU40" s="6">
        <v>0.0</v>
      </c>
      <c r="FV40" s="6">
        <v>0.0</v>
      </c>
      <c r="FW40" s="6">
        <v>17.0</v>
      </c>
      <c r="FX40" s="6">
        <v>28.0</v>
      </c>
      <c r="FY40" s="6">
        <v>135.0</v>
      </c>
      <c r="FZ40" s="6">
        <v>0.0</v>
      </c>
      <c r="GA40" s="6">
        <v>3.04</v>
      </c>
      <c r="GB40" s="6">
        <v>5.74</v>
      </c>
      <c r="GC40" s="6">
        <v>22.48</v>
      </c>
      <c r="GD40" s="6">
        <v>-19.45980928</v>
      </c>
      <c r="GE40" s="1" t="s">
        <v>1350</v>
      </c>
      <c r="GF40" s="1" t="s">
        <v>1396</v>
      </c>
    </row>
    <row r="42">
      <c r="A42" s="1" t="s">
        <v>118</v>
      </c>
      <c r="B42" s="6">
        <v>4.0</v>
      </c>
      <c r="C42" s="6">
        <v>0.0</v>
      </c>
      <c r="D42" s="6">
        <v>2.0</v>
      </c>
      <c r="E42" s="6">
        <v>0.0</v>
      </c>
      <c r="F42" s="6">
        <v>445.0177</v>
      </c>
      <c r="G42" s="6">
        <v>873.0528</v>
      </c>
      <c r="H42" s="6">
        <v>1974.208</v>
      </c>
      <c r="I42" s="6">
        <v>2875.852</v>
      </c>
      <c r="J42" s="6">
        <v>3142.0</v>
      </c>
      <c r="K42" s="6">
        <v>6836.0</v>
      </c>
      <c r="L42" s="6">
        <v>13588.0</v>
      </c>
      <c r="M42" s="6">
        <v>16666.0</v>
      </c>
      <c r="N42" s="6">
        <v>59.0</v>
      </c>
      <c r="O42" s="6">
        <v>126.0</v>
      </c>
      <c r="P42" s="6">
        <v>262.0</v>
      </c>
      <c r="Q42" s="6">
        <v>408.0</v>
      </c>
      <c r="R42" s="6">
        <v>388.0</v>
      </c>
      <c r="S42" s="6">
        <v>1104.0</v>
      </c>
      <c r="T42" s="6">
        <v>2042.0</v>
      </c>
      <c r="U42" s="6">
        <v>2904.0</v>
      </c>
      <c r="V42" s="6">
        <v>25.7305</v>
      </c>
      <c r="W42" s="6">
        <v>66.6086</v>
      </c>
      <c r="X42" s="6">
        <v>127.9466</v>
      </c>
      <c r="Y42" s="6">
        <v>190.3896</v>
      </c>
      <c r="Z42" s="6">
        <v>249.307</v>
      </c>
      <c r="AA42" s="6">
        <v>548.76</v>
      </c>
      <c r="AB42" s="6">
        <v>990.1988</v>
      </c>
      <c r="AC42" s="6">
        <v>1262.043</v>
      </c>
      <c r="AD42" s="6">
        <v>1012.0</v>
      </c>
      <c r="AE42" s="6">
        <v>1980.0</v>
      </c>
      <c r="AF42" s="6">
        <v>2836.0</v>
      </c>
      <c r="AG42" s="6">
        <v>3114.0</v>
      </c>
      <c r="AH42" s="6">
        <v>42.0</v>
      </c>
      <c r="AI42" s="6">
        <v>86.0</v>
      </c>
      <c r="AJ42" s="6">
        <v>158.0</v>
      </c>
      <c r="AK42" s="6">
        <v>208.0</v>
      </c>
      <c r="AL42" s="6">
        <v>244.0</v>
      </c>
      <c r="AM42" s="6">
        <v>616.0</v>
      </c>
      <c r="AN42" s="6">
        <v>886.0</v>
      </c>
      <c r="AO42" s="6">
        <v>1106.0</v>
      </c>
      <c r="AP42" s="6">
        <v>14.6794</v>
      </c>
      <c r="AQ42" s="6">
        <v>36.8214</v>
      </c>
      <c r="AR42" s="6">
        <v>57.2162</v>
      </c>
      <c r="AS42" s="6">
        <v>71.43</v>
      </c>
      <c r="AT42" s="6">
        <v>147.2229</v>
      </c>
      <c r="AU42" s="6">
        <v>267.7888</v>
      </c>
      <c r="AV42" s="6">
        <v>516.9239</v>
      </c>
      <c r="AW42" s="6">
        <v>584.9753</v>
      </c>
      <c r="AX42" s="6">
        <v>822.0</v>
      </c>
      <c r="AY42" s="6">
        <v>1516.0</v>
      </c>
      <c r="AZ42" s="6">
        <v>2293.333</v>
      </c>
      <c r="BA42" s="6">
        <v>1902.0</v>
      </c>
      <c r="BB42" s="6">
        <v>19.33333</v>
      </c>
      <c r="BC42" s="6">
        <v>38.0</v>
      </c>
      <c r="BD42" s="6">
        <v>68.66667</v>
      </c>
      <c r="BE42" s="6">
        <v>81.33333</v>
      </c>
      <c r="BF42" s="6">
        <v>106.6667</v>
      </c>
      <c r="BG42" s="6">
        <v>258.6667</v>
      </c>
      <c r="BH42" s="6">
        <v>335.3333</v>
      </c>
      <c r="BI42" s="6">
        <v>380.6667</v>
      </c>
      <c r="BJ42" s="6">
        <v>8.056</v>
      </c>
      <c r="BK42" s="6">
        <v>18.4862</v>
      </c>
      <c r="BL42" s="6">
        <v>28.36527</v>
      </c>
      <c r="BM42" s="6">
        <v>30.0296</v>
      </c>
      <c r="BN42" s="6">
        <v>9.2416</v>
      </c>
      <c r="BO42" s="6">
        <v>19.38</v>
      </c>
      <c r="BP42" s="6">
        <v>47.5912</v>
      </c>
      <c r="BQ42" s="6">
        <v>44.4904</v>
      </c>
      <c r="BR42" s="6">
        <v>49.0</v>
      </c>
      <c r="BS42" s="6">
        <v>105.0</v>
      </c>
      <c r="BT42" s="6">
        <v>189.0</v>
      </c>
      <c r="BU42" s="6">
        <v>122.5</v>
      </c>
      <c r="BV42" s="6">
        <v>1.0</v>
      </c>
      <c r="BW42" s="6">
        <v>2.5</v>
      </c>
      <c r="BX42" s="6">
        <v>6.5</v>
      </c>
      <c r="BY42" s="6">
        <v>6.0</v>
      </c>
      <c r="BZ42" s="6">
        <v>6.5</v>
      </c>
      <c r="CA42" s="6">
        <v>24.0</v>
      </c>
      <c r="CB42" s="6">
        <v>33.5</v>
      </c>
      <c r="CC42" s="6">
        <v>25.0</v>
      </c>
      <c r="CD42" s="6">
        <v>0.5625</v>
      </c>
      <c r="CE42" s="6">
        <v>1.44375</v>
      </c>
      <c r="CF42" s="6">
        <v>2.78625</v>
      </c>
      <c r="CG42" s="6">
        <v>2.2425</v>
      </c>
      <c r="CH42" s="6">
        <v>10.9696</v>
      </c>
      <c r="CI42" s="6">
        <v>13.6688</v>
      </c>
      <c r="CJ42" s="6">
        <v>42.5768</v>
      </c>
      <c r="CK42" s="6">
        <v>45.29307</v>
      </c>
      <c r="CL42" s="6">
        <v>59.0</v>
      </c>
      <c r="CM42" s="6">
        <v>127.3333</v>
      </c>
      <c r="CN42" s="6">
        <v>167.5</v>
      </c>
      <c r="CO42" s="6">
        <v>201.1667</v>
      </c>
      <c r="CP42" s="6">
        <v>1.0</v>
      </c>
      <c r="CQ42" s="6">
        <v>1.666667</v>
      </c>
      <c r="CR42" s="6">
        <v>5.0</v>
      </c>
      <c r="CS42" s="6">
        <v>4.333333</v>
      </c>
      <c r="CT42" s="6">
        <v>3.666667</v>
      </c>
      <c r="CU42" s="6">
        <v>14.66667</v>
      </c>
      <c r="CV42" s="6">
        <v>20.0</v>
      </c>
      <c r="CW42" s="6">
        <v>14.5</v>
      </c>
      <c r="CX42" s="6">
        <v>0.542767</v>
      </c>
      <c r="CY42" s="6">
        <v>1.0739</v>
      </c>
      <c r="CZ42" s="6">
        <v>2.167767</v>
      </c>
      <c r="DA42" s="6">
        <v>1.9716</v>
      </c>
      <c r="DB42" s="6">
        <v>0.0</v>
      </c>
      <c r="DC42" s="6">
        <v>1.225</v>
      </c>
      <c r="DD42" s="6">
        <v>4.105</v>
      </c>
      <c r="DE42" s="6">
        <v>3.605</v>
      </c>
      <c r="DF42" s="6">
        <v>0.0</v>
      </c>
      <c r="DG42" s="6">
        <v>2.5</v>
      </c>
      <c r="DH42" s="6">
        <v>18.5</v>
      </c>
      <c r="DI42" s="6">
        <v>24.5</v>
      </c>
      <c r="DJ42" s="6">
        <v>0.0</v>
      </c>
      <c r="DK42" s="6">
        <v>0.0</v>
      </c>
      <c r="DL42" s="6">
        <v>0.0</v>
      </c>
      <c r="DM42" s="6">
        <v>0.0</v>
      </c>
      <c r="DN42" s="6">
        <v>0.0</v>
      </c>
      <c r="DO42" s="6">
        <v>-2.5</v>
      </c>
      <c r="DP42" s="6">
        <v>4.5</v>
      </c>
      <c r="DQ42" s="6">
        <v>5.0</v>
      </c>
      <c r="DR42" s="6">
        <v>0.0</v>
      </c>
      <c r="DS42" s="6">
        <v>-0.05</v>
      </c>
      <c r="DT42" s="6">
        <v>1.16</v>
      </c>
      <c r="DU42" s="6">
        <v>1.51</v>
      </c>
      <c r="DV42" s="6">
        <v>0.0</v>
      </c>
      <c r="DW42" s="6">
        <v>1.063333</v>
      </c>
      <c r="DX42" s="6">
        <v>2.821667</v>
      </c>
      <c r="DY42" s="6">
        <v>0.121667</v>
      </c>
      <c r="DZ42" s="6">
        <v>0.0</v>
      </c>
      <c r="EA42" s="6">
        <v>-4.33333</v>
      </c>
      <c r="EB42" s="6">
        <v>15.16667</v>
      </c>
      <c r="EC42" s="6">
        <v>6.166667</v>
      </c>
      <c r="ED42" s="6">
        <v>0.0</v>
      </c>
      <c r="EE42" s="6">
        <v>0.0</v>
      </c>
      <c r="EF42" s="6">
        <v>0.0</v>
      </c>
      <c r="EG42" s="6">
        <v>0.0</v>
      </c>
      <c r="EH42" s="6">
        <v>0.0</v>
      </c>
      <c r="EI42" s="6">
        <v>-3.0</v>
      </c>
      <c r="EJ42" s="6">
        <v>1.666667</v>
      </c>
      <c r="EK42" s="6">
        <v>2.833333</v>
      </c>
      <c r="EL42" s="6">
        <v>0.0</v>
      </c>
      <c r="EM42" s="6">
        <v>-0.21333</v>
      </c>
      <c r="EN42" s="6">
        <v>0.78</v>
      </c>
      <c r="EO42" s="6">
        <v>0.543333</v>
      </c>
      <c r="EP42" s="6">
        <v>3.3489</v>
      </c>
      <c r="EQ42" s="6">
        <v>34.8432</v>
      </c>
      <c r="ER42" s="6">
        <v>60.7743</v>
      </c>
      <c r="ES42" s="6">
        <v>130.1496</v>
      </c>
      <c r="ET42" s="6">
        <v>676.0</v>
      </c>
      <c r="EU42" s="6">
        <v>1144.0</v>
      </c>
      <c r="EV42" s="6">
        <v>2548.0</v>
      </c>
      <c r="EW42" s="6">
        <v>2418.0</v>
      </c>
      <c r="EX42" s="6">
        <v>1.0</v>
      </c>
      <c r="EY42" s="6">
        <v>6.0</v>
      </c>
      <c r="EZ42" s="6">
        <v>13.0</v>
      </c>
      <c r="FA42" s="6">
        <v>29.0</v>
      </c>
      <c r="FB42" s="6">
        <v>36.0</v>
      </c>
      <c r="FC42" s="6">
        <v>114.0</v>
      </c>
      <c r="FD42" s="6">
        <v>300.0</v>
      </c>
      <c r="FE42" s="6">
        <v>234.0</v>
      </c>
      <c r="FF42" s="6">
        <v>1.5625</v>
      </c>
      <c r="FG42" s="6">
        <v>5.575</v>
      </c>
      <c r="FH42" s="6">
        <v>13.1375</v>
      </c>
      <c r="FI42" s="6">
        <v>17.9875</v>
      </c>
      <c r="FJ42" s="6">
        <v>0.0</v>
      </c>
      <c r="FK42" s="6">
        <v>-8.06</v>
      </c>
      <c r="FL42" s="6">
        <v>-9.42</v>
      </c>
      <c r="FM42" s="6">
        <v>-18.05</v>
      </c>
      <c r="FN42" s="6">
        <v>0.0</v>
      </c>
      <c r="FO42" s="6">
        <v>112.0</v>
      </c>
      <c r="FP42" s="6">
        <v>240.0</v>
      </c>
      <c r="FQ42" s="6">
        <v>661.0</v>
      </c>
      <c r="FR42" s="6">
        <v>0.0</v>
      </c>
      <c r="FS42" s="6">
        <v>0.0</v>
      </c>
      <c r="FT42" s="6">
        <v>0.0</v>
      </c>
      <c r="FU42" s="6">
        <v>0.0</v>
      </c>
      <c r="FV42" s="6">
        <v>0.0</v>
      </c>
      <c r="FW42" s="6">
        <v>17.0</v>
      </c>
      <c r="FX42" s="6">
        <v>28.0</v>
      </c>
      <c r="FY42" s="6">
        <v>135.0</v>
      </c>
      <c r="FZ42" s="6">
        <v>0.0</v>
      </c>
      <c r="GA42" s="6">
        <v>3.04</v>
      </c>
      <c r="GB42" s="6">
        <v>5.74</v>
      </c>
      <c r="GC42" s="6">
        <v>21.86</v>
      </c>
      <c r="GD42" s="6">
        <v>-17.2250201</v>
      </c>
      <c r="GE42" s="1" t="s">
        <v>1350</v>
      </c>
      <c r="GF42" s="1" t="s">
        <v>1377</v>
      </c>
    </row>
    <row r="43">
      <c r="A43" s="1" t="s">
        <v>120</v>
      </c>
      <c r="B43" s="6">
        <v>4.0</v>
      </c>
      <c r="C43" s="6">
        <v>0.0</v>
      </c>
      <c r="D43" s="6">
        <v>2.0</v>
      </c>
      <c r="E43" s="6">
        <v>0.0</v>
      </c>
      <c r="F43" s="6">
        <v>472.2371</v>
      </c>
      <c r="G43" s="6">
        <v>939.0468</v>
      </c>
      <c r="H43" s="6">
        <v>2096.358</v>
      </c>
      <c r="I43" s="6">
        <v>3012.472</v>
      </c>
      <c r="J43" s="6">
        <v>2930.0</v>
      </c>
      <c r="K43" s="6">
        <v>6836.0</v>
      </c>
      <c r="L43" s="6">
        <v>13506.0</v>
      </c>
      <c r="M43" s="6">
        <v>16098.0</v>
      </c>
      <c r="N43" s="6">
        <v>65.0</v>
      </c>
      <c r="O43" s="6">
        <v>138.0</v>
      </c>
      <c r="P43" s="6">
        <v>286.0</v>
      </c>
      <c r="Q43" s="6">
        <v>432.0</v>
      </c>
      <c r="R43" s="6">
        <v>424.0</v>
      </c>
      <c r="S43" s="6">
        <v>1188.0</v>
      </c>
      <c r="T43" s="6">
        <v>2162.0</v>
      </c>
      <c r="U43" s="6">
        <v>3102.0</v>
      </c>
      <c r="V43" s="6">
        <v>26.6207</v>
      </c>
      <c r="W43" s="6">
        <v>70.3046</v>
      </c>
      <c r="X43" s="6">
        <v>133.5714</v>
      </c>
      <c r="Y43" s="6">
        <v>197.6164</v>
      </c>
      <c r="Z43" s="6">
        <v>276.5264</v>
      </c>
      <c r="AA43" s="6">
        <v>614.754</v>
      </c>
      <c r="AB43" s="6">
        <v>1112.349</v>
      </c>
      <c r="AC43" s="6">
        <v>1400.895</v>
      </c>
      <c r="AD43" s="6">
        <v>800.0</v>
      </c>
      <c r="AE43" s="6">
        <v>1980.0</v>
      </c>
      <c r="AF43" s="6">
        <v>2754.0</v>
      </c>
      <c r="AG43" s="6">
        <v>3118.0</v>
      </c>
      <c r="AH43" s="6">
        <v>48.0</v>
      </c>
      <c r="AI43" s="6">
        <v>98.0</v>
      </c>
      <c r="AJ43" s="6">
        <v>182.0</v>
      </c>
      <c r="AK43" s="6">
        <v>232.0</v>
      </c>
      <c r="AL43" s="6">
        <v>280.0</v>
      </c>
      <c r="AM43" s="6">
        <v>700.0</v>
      </c>
      <c r="AN43" s="6">
        <v>1000.0</v>
      </c>
      <c r="AO43" s="6">
        <v>1262.0</v>
      </c>
      <c r="AP43" s="6">
        <v>15.5696</v>
      </c>
      <c r="AQ43" s="6">
        <v>40.5174</v>
      </c>
      <c r="AR43" s="6">
        <v>62.841</v>
      </c>
      <c r="AS43" s="6">
        <v>79.2068</v>
      </c>
      <c r="AT43" s="6">
        <v>156.2961</v>
      </c>
      <c r="AU43" s="6">
        <v>289.7868</v>
      </c>
      <c r="AV43" s="6">
        <v>557.6406</v>
      </c>
      <c r="AW43" s="6">
        <v>631.2593</v>
      </c>
      <c r="AX43" s="6">
        <v>751.3333</v>
      </c>
      <c r="AY43" s="6">
        <v>1516.0</v>
      </c>
      <c r="AZ43" s="6">
        <v>2266.0</v>
      </c>
      <c r="BA43" s="6">
        <v>1903.333</v>
      </c>
      <c r="BB43" s="6">
        <v>21.33333</v>
      </c>
      <c r="BC43" s="6">
        <v>42.0</v>
      </c>
      <c r="BD43" s="6">
        <v>76.66667</v>
      </c>
      <c r="BE43" s="6">
        <v>89.33333</v>
      </c>
      <c r="BF43" s="6">
        <v>118.6667</v>
      </c>
      <c r="BG43" s="6">
        <v>286.6667</v>
      </c>
      <c r="BH43" s="6">
        <v>373.3333</v>
      </c>
      <c r="BI43" s="6">
        <v>432.6667</v>
      </c>
      <c r="BJ43" s="6">
        <v>8.352733</v>
      </c>
      <c r="BK43" s="6">
        <v>19.7182</v>
      </c>
      <c r="BL43" s="6">
        <v>30.2402</v>
      </c>
      <c r="BM43" s="6">
        <v>32.62187</v>
      </c>
      <c r="BN43" s="6">
        <v>9.2416</v>
      </c>
      <c r="BO43" s="6">
        <v>19.38</v>
      </c>
      <c r="BP43" s="6">
        <v>46.664</v>
      </c>
      <c r="BQ43" s="6">
        <v>54.5224</v>
      </c>
      <c r="BR43" s="6">
        <v>49.0</v>
      </c>
      <c r="BS43" s="6">
        <v>105.0</v>
      </c>
      <c r="BT43" s="6">
        <v>150.5</v>
      </c>
      <c r="BU43" s="6">
        <v>133.0</v>
      </c>
      <c r="BV43" s="6">
        <v>1.0</v>
      </c>
      <c r="BW43" s="6">
        <v>2.5</v>
      </c>
      <c r="BX43" s="6">
        <v>6.5</v>
      </c>
      <c r="BY43" s="6">
        <v>7.5</v>
      </c>
      <c r="BZ43" s="6">
        <v>6.5</v>
      </c>
      <c r="CA43" s="6">
        <v>24.0</v>
      </c>
      <c r="CB43" s="6">
        <v>36.5</v>
      </c>
      <c r="CC43" s="6">
        <v>28.0</v>
      </c>
      <c r="CD43" s="6">
        <v>0.5625</v>
      </c>
      <c r="CE43" s="6">
        <v>1.44375</v>
      </c>
      <c r="CF43" s="6">
        <v>2.70375</v>
      </c>
      <c r="CG43" s="6">
        <v>2.65875</v>
      </c>
      <c r="CH43" s="6">
        <v>10.9696</v>
      </c>
      <c r="CI43" s="6">
        <v>13.6688</v>
      </c>
      <c r="CJ43" s="6">
        <v>42.5768</v>
      </c>
      <c r="CK43" s="6">
        <v>45.29307</v>
      </c>
      <c r="CL43" s="6">
        <v>59.0</v>
      </c>
      <c r="CM43" s="6">
        <v>127.3333</v>
      </c>
      <c r="CN43" s="6">
        <v>167.5</v>
      </c>
      <c r="CO43" s="6">
        <v>201.1667</v>
      </c>
      <c r="CP43" s="6">
        <v>1.0</v>
      </c>
      <c r="CQ43" s="6">
        <v>1.666667</v>
      </c>
      <c r="CR43" s="6">
        <v>5.0</v>
      </c>
      <c r="CS43" s="6">
        <v>4.333333</v>
      </c>
      <c r="CT43" s="6">
        <v>3.666667</v>
      </c>
      <c r="CU43" s="6">
        <v>14.66667</v>
      </c>
      <c r="CV43" s="6">
        <v>20.0</v>
      </c>
      <c r="CW43" s="6">
        <v>14.5</v>
      </c>
      <c r="CX43" s="6">
        <v>0.542767</v>
      </c>
      <c r="CY43" s="6">
        <v>1.0739</v>
      </c>
      <c r="CZ43" s="6">
        <v>2.167767</v>
      </c>
      <c r="DA43" s="6">
        <v>1.9716</v>
      </c>
      <c r="DB43" s="6">
        <v>0.0</v>
      </c>
      <c r="DC43" s="6">
        <v>1.225</v>
      </c>
      <c r="DD43" s="6">
        <v>4.41</v>
      </c>
      <c r="DE43" s="6">
        <v>4.865</v>
      </c>
      <c r="DF43" s="6">
        <v>0.0</v>
      </c>
      <c r="DG43" s="6">
        <v>2.5</v>
      </c>
      <c r="DH43" s="6">
        <v>24.0</v>
      </c>
      <c r="DI43" s="6">
        <v>33.5</v>
      </c>
      <c r="DJ43" s="6">
        <v>0.0</v>
      </c>
      <c r="DK43" s="6">
        <v>0.0</v>
      </c>
      <c r="DL43" s="6">
        <v>0.0</v>
      </c>
      <c r="DM43" s="6">
        <v>0.0</v>
      </c>
      <c r="DN43" s="6">
        <v>0.0</v>
      </c>
      <c r="DO43" s="6">
        <v>-2.5</v>
      </c>
      <c r="DP43" s="6">
        <v>3.0</v>
      </c>
      <c r="DQ43" s="6">
        <v>6.5</v>
      </c>
      <c r="DR43" s="6">
        <v>0.0</v>
      </c>
      <c r="DS43" s="6">
        <v>-0.05</v>
      </c>
      <c r="DT43" s="6">
        <v>1.27</v>
      </c>
      <c r="DU43" s="6">
        <v>2.08</v>
      </c>
      <c r="DV43" s="6">
        <v>0.0</v>
      </c>
      <c r="DW43" s="6">
        <v>1.063333</v>
      </c>
      <c r="DX43" s="6">
        <v>2.821667</v>
      </c>
      <c r="DY43" s="6">
        <v>0.121667</v>
      </c>
      <c r="DZ43" s="6">
        <v>0.0</v>
      </c>
      <c r="EA43" s="6">
        <v>-4.33333</v>
      </c>
      <c r="EB43" s="6">
        <v>15.16667</v>
      </c>
      <c r="EC43" s="6">
        <v>6.166667</v>
      </c>
      <c r="ED43" s="6">
        <v>0.0</v>
      </c>
      <c r="EE43" s="6">
        <v>0.0</v>
      </c>
      <c r="EF43" s="6">
        <v>0.0</v>
      </c>
      <c r="EG43" s="6">
        <v>0.0</v>
      </c>
      <c r="EH43" s="6">
        <v>0.0</v>
      </c>
      <c r="EI43" s="6">
        <v>-3.0</v>
      </c>
      <c r="EJ43" s="6">
        <v>1.666667</v>
      </c>
      <c r="EK43" s="6">
        <v>2.833333</v>
      </c>
      <c r="EL43" s="6">
        <v>0.0</v>
      </c>
      <c r="EM43" s="6">
        <v>-0.21333</v>
      </c>
      <c r="EN43" s="6">
        <v>0.78</v>
      </c>
      <c r="EO43" s="6">
        <v>0.543333</v>
      </c>
      <c r="EP43" s="6">
        <v>3.3489</v>
      </c>
      <c r="EQ43" s="6">
        <v>34.8432</v>
      </c>
      <c r="ER43" s="6">
        <v>60.7743</v>
      </c>
      <c r="ES43" s="6">
        <v>129.0333</v>
      </c>
      <c r="ET43" s="6">
        <v>676.0</v>
      </c>
      <c r="EU43" s="6">
        <v>1144.0</v>
      </c>
      <c r="EV43" s="6">
        <v>2548.0</v>
      </c>
      <c r="EW43" s="6">
        <v>2132.0</v>
      </c>
      <c r="EX43" s="6">
        <v>1.0</v>
      </c>
      <c r="EY43" s="6">
        <v>6.0</v>
      </c>
      <c r="EZ43" s="6">
        <v>13.0</v>
      </c>
      <c r="FA43" s="6">
        <v>29.0</v>
      </c>
      <c r="FB43" s="6">
        <v>36.0</v>
      </c>
      <c r="FC43" s="6">
        <v>114.0</v>
      </c>
      <c r="FD43" s="6">
        <v>300.0</v>
      </c>
      <c r="FE43" s="6">
        <v>252.0</v>
      </c>
      <c r="FF43" s="6">
        <v>1.5625</v>
      </c>
      <c r="FG43" s="6">
        <v>5.575</v>
      </c>
      <c r="FH43" s="6">
        <v>13.1375</v>
      </c>
      <c r="FI43" s="6">
        <v>17.7125</v>
      </c>
      <c r="FJ43" s="6">
        <v>0.0</v>
      </c>
      <c r="FK43" s="6">
        <v>-8.06</v>
      </c>
      <c r="FL43" s="6">
        <v>-9.42</v>
      </c>
      <c r="FM43" s="6">
        <v>-17.44</v>
      </c>
      <c r="FN43" s="6">
        <v>0.0</v>
      </c>
      <c r="FO43" s="6">
        <v>112.0</v>
      </c>
      <c r="FP43" s="6">
        <v>240.0</v>
      </c>
      <c r="FQ43" s="6">
        <v>672.0</v>
      </c>
      <c r="FR43" s="6">
        <v>0.0</v>
      </c>
      <c r="FS43" s="6">
        <v>0.0</v>
      </c>
      <c r="FT43" s="6">
        <v>0.0</v>
      </c>
      <c r="FU43" s="6">
        <v>0.0</v>
      </c>
      <c r="FV43" s="6">
        <v>0.0</v>
      </c>
      <c r="FW43" s="6">
        <v>17.0</v>
      </c>
      <c r="FX43" s="6">
        <v>28.0</v>
      </c>
      <c r="FY43" s="6">
        <v>132.0</v>
      </c>
      <c r="FZ43" s="6">
        <v>0.0</v>
      </c>
      <c r="GA43" s="6">
        <v>3.04</v>
      </c>
      <c r="GB43" s="6">
        <v>5.74</v>
      </c>
      <c r="GC43" s="6">
        <v>22.08</v>
      </c>
      <c r="GD43" s="6">
        <v>-20.79325316</v>
      </c>
      <c r="GE43" s="1" t="s">
        <v>1350</v>
      </c>
      <c r="GF43" s="1" t="s">
        <v>1397</v>
      </c>
    </row>
    <row r="44">
      <c r="A44" s="1" t="s">
        <v>122</v>
      </c>
      <c r="B44" s="6">
        <v>4.0</v>
      </c>
      <c r="C44" s="6">
        <v>0.0</v>
      </c>
      <c r="D44" s="6">
        <v>2.0</v>
      </c>
      <c r="E44" s="6">
        <v>0.0</v>
      </c>
      <c r="F44" s="6">
        <v>509.2987</v>
      </c>
      <c r="G44" s="6">
        <v>1025.659</v>
      </c>
      <c r="H44" s="6">
        <v>2096.378</v>
      </c>
      <c r="I44" s="6">
        <v>2806.608</v>
      </c>
      <c r="J44" s="6">
        <v>3262.0</v>
      </c>
      <c r="K44" s="6">
        <v>7558.0</v>
      </c>
      <c r="L44" s="6">
        <v>13692.0</v>
      </c>
      <c r="M44" s="6">
        <v>17686.0</v>
      </c>
      <c r="N44" s="6">
        <v>69.0</v>
      </c>
      <c r="O44" s="6">
        <v>150.0</v>
      </c>
      <c r="P44" s="6">
        <v>280.0</v>
      </c>
      <c r="Q44" s="6">
        <v>390.0</v>
      </c>
      <c r="R44" s="6">
        <v>430.0</v>
      </c>
      <c r="S44" s="6">
        <v>1150.0</v>
      </c>
      <c r="T44" s="6">
        <v>1870.0</v>
      </c>
      <c r="U44" s="6">
        <v>2596.0</v>
      </c>
      <c r="V44" s="6">
        <v>31.2419</v>
      </c>
      <c r="W44" s="6">
        <v>80.5154</v>
      </c>
      <c r="X44" s="6">
        <v>141.2572</v>
      </c>
      <c r="Y44" s="6">
        <v>192.7042</v>
      </c>
      <c r="Z44" s="6">
        <v>313.588</v>
      </c>
      <c r="AA44" s="6">
        <v>701.366</v>
      </c>
      <c r="AB44" s="6">
        <v>1140.367</v>
      </c>
      <c r="AC44" s="6">
        <v>1462.193</v>
      </c>
      <c r="AD44" s="6">
        <v>1132.0</v>
      </c>
      <c r="AE44" s="6">
        <v>2702.0</v>
      </c>
      <c r="AF44" s="6">
        <v>3876.0</v>
      </c>
      <c r="AG44" s="6">
        <v>4444.0</v>
      </c>
      <c r="AH44" s="6">
        <v>52.0</v>
      </c>
      <c r="AI44" s="6">
        <v>110.0</v>
      </c>
      <c r="AJ44" s="6">
        <v>182.0</v>
      </c>
      <c r="AK44" s="6">
        <v>236.0</v>
      </c>
      <c r="AL44" s="6">
        <v>292.0</v>
      </c>
      <c r="AM44" s="6">
        <v>734.0</v>
      </c>
      <c r="AN44" s="6">
        <v>1036.0</v>
      </c>
      <c r="AO44" s="6">
        <v>1190.0</v>
      </c>
      <c r="AP44" s="6">
        <v>20.1908</v>
      </c>
      <c r="AQ44" s="6">
        <v>50.7282</v>
      </c>
      <c r="AR44" s="6">
        <v>76.3018</v>
      </c>
      <c r="AS44" s="6">
        <v>91.2848</v>
      </c>
      <c r="AT44" s="6">
        <v>168.6499</v>
      </c>
      <c r="AU44" s="6">
        <v>318.6575</v>
      </c>
      <c r="AV44" s="6">
        <v>566.98</v>
      </c>
      <c r="AW44" s="6">
        <v>651.6921</v>
      </c>
      <c r="AX44" s="6">
        <v>862.0</v>
      </c>
      <c r="AY44" s="6">
        <v>1756.667</v>
      </c>
      <c r="AZ44" s="6">
        <v>2640.0</v>
      </c>
      <c r="BA44" s="6">
        <v>2345.333</v>
      </c>
      <c r="BB44" s="6">
        <v>22.66667</v>
      </c>
      <c r="BC44" s="6">
        <v>46.0</v>
      </c>
      <c r="BD44" s="6">
        <v>76.66667</v>
      </c>
      <c r="BE44" s="6">
        <v>90.66667</v>
      </c>
      <c r="BF44" s="6">
        <v>122.6667</v>
      </c>
      <c r="BG44" s="6">
        <v>298.0</v>
      </c>
      <c r="BH44" s="6">
        <v>385.3333</v>
      </c>
      <c r="BI44" s="6">
        <v>408.6667</v>
      </c>
      <c r="BJ44" s="6">
        <v>9.893133</v>
      </c>
      <c r="BK44" s="6">
        <v>23.1218</v>
      </c>
      <c r="BL44" s="6">
        <v>34.72713</v>
      </c>
      <c r="BM44" s="6">
        <v>36.64787</v>
      </c>
      <c r="BN44" s="6">
        <v>9.2416</v>
      </c>
      <c r="BO44" s="6">
        <v>15.504</v>
      </c>
      <c r="BP44" s="6">
        <v>31.2208</v>
      </c>
      <c r="BQ44" s="6">
        <v>48.4728</v>
      </c>
      <c r="BR44" s="6">
        <v>49.0</v>
      </c>
      <c r="BS44" s="6">
        <v>84.0</v>
      </c>
      <c r="BT44" s="6">
        <v>154.0</v>
      </c>
      <c r="BU44" s="6">
        <v>189.0</v>
      </c>
      <c r="BV44" s="6">
        <v>1.0</v>
      </c>
      <c r="BW44" s="6">
        <v>2.0</v>
      </c>
      <c r="BX44" s="6">
        <v>4.0</v>
      </c>
      <c r="BY44" s="6">
        <v>6.5</v>
      </c>
      <c r="BZ44" s="6">
        <v>4.0</v>
      </c>
      <c r="CA44" s="6">
        <v>12.0</v>
      </c>
      <c r="CB44" s="6">
        <v>23.0</v>
      </c>
      <c r="CC44" s="6">
        <v>30.0</v>
      </c>
      <c r="CD44" s="6">
        <v>0.5625</v>
      </c>
      <c r="CE44" s="6">
        <v>1.155</v>
      </c>
      <c r="CF44" s="6">
        <v>2.1525</v>
      </c>
      <c r="CG44" s="6">
        <v>2.99625</v>
      </c>
      <c r="CH44" s="6">
        <v>10.9696</v>
      </c>
      <c r="CI44" s="6">
        <v>11.0848</v>
      </c>
      <c r="CJ44" s="6">
        <v>31.7848</v>
      </c>
      <c r="CK44" s="6">
        <v>45.00933</v>
      </c>
      <c r="CL44" s="6">
        <v>59.0</v>
      </c>
      <c r="CM44" s="6">
        <v>113.3333</v>
      </c>
      <c r="CN44" s="6">
        <v>167.5</v>
      </c>
      <c r="CO44" s="6">
        <v>219.8333</v>
      </c>
      <c r="CP44" s="6">
        <v>1.0</v>
      </c>
      <c r="CQ44" s="6">
        <v>1.333333</v>
      </c>
      <c r="CR44" s="6">
        <v>3.333333</v>
      </c>
      <c r="CS44" s="6">
        <v>4.333333</v>
      </c>
      <c r="CT44" s="6">
        <v>2.0</v>
      </c>
      <c r="CU44" s="6">
        <v>6.666667</v>
      </c>
      <c r="CV44" s="6">
        <v>12.0</v>
      </c>
      <c r="CW44" s="6">
        <v>13.66667</v>
      </c>
      <c r="CX44" s="6">
        <v>0.542767</v>
      </c>
      <c r="CY44" s="6">
        <v>0.8814</v>
      </c>
      <c r="CZ44" s="6">
        <v>1.805267</v>
      </c>
      <c r="DA44" s="6">
        <v>2.1816</v>
      </c>
      <c r="DB44" s="6">
        <v>0.0</v>
      </c>
      <c r="DC44" s="6">
        <v>0.98</v>
      </c>
      <c r="DD44" s="6">
        <v>1.89</v>
      </c>
      <c r="DE44" s="6">
        <v>3.815</v>
      </c>
      <c r="DF44" s="6">
        <v>0.0</v>
      </c>
      <c r="DG44" s="6">
        <v>2.0</v>
      </c>
      <c r="DH44" s="6">
        <v>6.0</v>
      </c>
      <c r="DI44" s="6">
        <v>18.5</v>
      </c>
      <c r="DJ44" s="6">
        <v>0.0</v>
      </c>
      <c r="DK44" s="6">
        <v>0.0</v>
      </c>
      <c r="DL44" s="6">
        <v>0.0</v>
      </c>
      <c r="DM44" s="6">
        <v>0.0</v>
      </c>
      <c r="DN44" s="6">
        <v>0.0</v>
      </c>
      <c r="DO44" s="6">
        <v>-2.0</v>
      </c>
      <c r="DP44" s="6">
        <v>-3.5</v>
      </c>
      <c r="DQ44" s="6">
        <v>-2.0</v>
      </c>
      <c r="DR44" s="6">
        <v>0.0</v>
      </c>
      <c r="DS44" s="6">
        <v>-0.04</v>
      </c>
      <c r="DT44" s="6">
        <v>0.13</v>
      </c>
      <c r="DU44" s="6">
        <v>0.88</v>
      </c>
      <c r="DV44" s="6">
        <v>0.0</v>
      </c>
      <c r="DW44" s="6">
        <v>0.9</v>
      </c>
      <c r="DX44" s="6">
        <v>1.305</v>
      </c>
      <c r="DY44" s="6">
        <v>0.215</v>
      </c>
      <c r="DZ44" s="6">
        <v>0.0</v>
      </c>
      <c r="EA44" s="6">
        <v>-4.66667</v>
      </c>
      <c r="EB44" s="6">
        <v>3.5</v>
      </c>
      <c r="EC44" s="6">
        <v>3.5</v>
      </c>
      <c r="ED44" s="6">
        <v>0.0</v>
      </c>
      <c r="EE44" s="6">
        <v>0.0</v>
      </c>
      <c r="EF44" s="6">
        <v>0.0</v>
      </c>
      <c r="EG44" s="6">
        <v>0.0</v>
      </c>
      <c r="EH44" s="6">
        <v>0.0</v>
      </c>
      <c r="EI44" s="6">
        <v>-2.66667</v>
      </c>
      <c r="EJ44" s="6">
        <v>-3.33333</v>
      </c>
      <c r="EK44" s="6">
        <v>-1.16667</v>
      </c>
      <c r="EL44" s="6">
        <v>0.0</v>
      </c>
      <c r="EM44" s="6">
        <v>-0.20667</v>
      </c>
      <c r="EN44" s="6">
        <v>0.013333</v>
      </c>
      <c r="EO44" s="6">
        <v>0.263333</v>
      </c>
      <c r="EP44" s="6">
        <v>3.3489</v>
      </c>
      <c r="EQ44" s="6">
        <v>34.8432</v>
      </c>
      <c r="ER44" s="6">
        <v>46.7748</v>
      </c>
      <c r="ES44" s="6">
        <v>90.1275</v>
      </c>
      <c r="ET44" s="6">
        <v>676.0</v>
      </c>
      <c r="EU44" s="6">
        <v>1144.0</v>
      </c>
      <c r="EV44" s="6">
        <v>2080.0</v>
      </c>
      <c r="EW44" s="6">
        <v>2782.0</v>
      </c>
      <c r="EX44" s="6">
        <v>1.0</v>
      </c>
      <c r="EY44" s="6">
        <v>6.0</v>
      </c>
      <c r="EZ44" s="6">
        <v>10.0</v>
      </c>
      <c r="FA44" s="6">
        <v>18.0</v>
      </c>
      <c r="FB44" s="6">
        <v>36.0</v>
      </c>
      <c r="FC44" s="6">
        <v>96.0</v>
      </c>
      <c r="FD44" s="6">
        <v>192.0</v>
      </c>
      <c r="FE44" s="6">
        <v>270.0</v>
      </c>
      <c r="FF44" s="6">
        <v>1.5625</v>
      </c>
      <c r="FG44" s="6">
        <v>5.575</v>
      </c>
      <c r="FH44" s="6">
        <v>10.25</v>
      </c>
      <c r="FI44" s="6">
        <v>16.1</v>
      </c>
      <c r="FJ44" s="6">
        <v>0.0</v>
      </c>
      <c r="FK44" s="6">
        <v>-8.06</v>
      </c>
      <c r="FL44" s="6">
        <v>-7.26</v>
      </c>
      <c r="FM44" s="6">
        <v>-16.31</v>
      </c>
      <c r="FN44" s="6">
        <v>0.0</v>
      </c>
      <c r="FO44" s="6">
        <v>112.0</v>
      </c>
      <c r="FP44" s="6">
        <v>180.0</v>
      </c>
      <c r="FQ44" s="6">
        <v>361.0</v>
      </c>
      <c r="FR44" s="6">
        <v>0.0</v>
      </c>
      <c r="FS44" s="6">
        <v>0.0</v>
      </c>
      <c r="FT44" s="6">
        <v>0.0</v>
      </c>
      <c r="FU44" s="6">
        <v>0.0</v>
      </c>
      <c r="FV44" s="6">
        <v>0.0</v>
      </c>
      <c r="FW44" s="6">
        <v>20.0</v>
      </c>
      <c r="FX44" s="6">
        <v>28.0</v>
      </c>
      <c r="FY44" s="6">
        <v>63.0</v>
      </c>
      <c r="FZ44" s="6">
        <v>0.0</v>
      </c>
      <c r="GA44" s="6">
        <v>3.04</v>
      </c>
      <c r="GB44" s="6">
        <v>4.3</v>
      </c>
      <c r="GC44" s="6">
        <v>9.62</v>
      </c>
      <c r="GD44" s="6">
        <v>-13.88758264</v>
      </c>
      <c r="GE44" s="1" t="s">
        <v>1353</v>
      </c>
      <c r="GF44" s="1" t="s">
        <v>1398</v>
      </c>
    </row>
    <row r="45">
      <c r="A45" s="1" t="s">
        <v>125</v>
      </c>
      <c r="B45" s="6">
        <v>4.0</v>
      </c>
      <c r="C45" s="6">
        <v>0.0</v>
      </c>
      <c r="D45" s="6">
        <v>2.0</v>
      </c>
      <c r="E45" s="6">
        <v>0.0</v>
      </c>
      <c r="F45" s="6">
        <v>540.5871</v>
      </c>
      <c r="G45" s="6">
        <v>1122.188</v>
      </c>
      <c r="H45" s="6">
        <v>2356.394</v>
      </c>
      <c r="I45" s="6">
        <v>3346.842</v>
      </c>
      <c r="J45" s="6">
        <v>3360.0</v>
      </c>
      <c r="K45" s="6">
        <v>7952.0</v>
      </c>
      <c r="L45" s="6">
        <v>15032.0</v>
      </c>
      <c r="M45" s="6">
        <v>18918.0</v>
      </c>
      <c r="N45" s="6">
        <v>75.0</v>
      </c>
      <c r="O45" s="6">
        <v>166.0</v>
      </c>
      <c r="P45" s="6">
        <v>322.0</v>
      </c>
      <c r="Q45" s="6">
        <v>484.0</v>
      </c>
      <c r="R45" s="6">
        <v>488.0</v>
      </c>
      <c r="S45" s="6">
        <v>1368.0</v>
      </c>
      <c r="T45" s="6">
        <v>2462.0</v>
      </c>
      <c r="U45" s="6">
        <v>3456.0</v>
      </c>
      <c r="V45" s="6">
        <v>33.4617</v>
      </c>
      <c r="W45" s="6">
        <v>88.1686</v>
      </c>
      <c r="X45" s="6">
        <v>161.7226</v>
      </c>
      <c r="Y45" s="6">
        <v>229.6624</v>
      </c>
      <c r="Z45" s="6">
        <v>344.8764</v>
      </c>
      <c r="AA45" s="6">
        <v>797.895</v>
      </c>
      <c r="AB45" s="6">
        <v>1381.718</v>
      </c>
      <c r="AC45" s="6">
        <v>1785.125</v>
      </c>
      <c r="AD45" s="6">
        <v>1230.0</v>
      </c>
      <c r="AE45" s="6">
        <v>3096.0</v>
      </c>
      <c r="AF45" s="6">
        <v>4592.0</v>
      </c>
      <c r="AG45" s="6">
        <v>4972.0</v>
      </c>
      <c r="AH45" s="6">
        <v>58.0</v>
      </c>
      <c r="AI45" s="6">
        <v>126.0</v>
      </c>
      <c r="AJ45" s="6">
        <v>220.0</v>
      </c>
      <c r="AK45" s="6">
        <v>294.0</v>
      </c>
      <c r="AL45" s="6">
        <v>346.0</v>
      </c>
      <c r="AM45" s="6">
        <v>904.0</v>
      </c>
      <c r="AN45" s="6">
        <v>1408.0</v>
      </c>
      <c r="AO45" s="6">
        <v>1666.0</v>
      </c>
      <c r="AP45" s="6">
        <v>22.4106</v>
      </c>
      <c r="AQ45" s="6">
        <v>58.3814</v>
      </c>
      <c r="AR45" s="6">
        <v>92.9172</v>
      </c>
      <c r="AS45" s="6">
        <v>111.3062</v>
      </c>
      <c r="AT45" s="6">
        <v>179.0794</v>
      </c>
      <c r="AU45" s="6">
        <v>350.8338</v>
      </c>
      <c r="AV45" s="6">
        <v>647.4303</v>
      </c>
      <c r="AW45" s="6">
        <v>759.3359</v>
      </c>
      <c r="AX45" s="6">
        <v>894.6667</v>
      </c>
      <c r="AY45" s="6">
        <v>1888.0</v>
      </c>
      <c r="AZ45" s="6">
        <v>2878.667</v>
      </c>
      <c r="BA45" s="6">
        <v>2521.333</v>
      </c>
      <c r="BB45" s="6">
        <v>24.66667</v>
      </c>
      <c r="BC45" s="6">
        <v>51.33333</v>
      </c>
      <c r="BD45" s="6">
        <v>89.33333</v>
      </c>
      <c r="BE45" s="6">
        <v>110.0</v>
      </c>
      <c r="BF45" s="6">
        <v>140.6667</v>
      </c>
      <c r="BG45" s="6">
        <v>354.6667</v>
      </c>
      <c r="BH45" s="6">
        <v>509.3333</v>
      </c>
      <c r="BI45" s="6">
        <v>567.3333</v>
      </c>
      <c r="BJ45" s="6">
        <v>10.63307</v>
      </c>
      <c r="BK45" s="6">
        <v>25.67287</v>
      </c>
      <c r="BL45" s="6">
        <v>40.2656</v>
      </c>
      <c r="BM45" s="6">
        <v>43.32167</v>
      </c>
      <c r="BN45" s="6">
        <v>9.2416</v>
      </c>
      <c r="BO45" s="6">
        <v>15.504</v>
      </c>
      <c r="BP45" s="6">
        <v>29.944</v>
      </c>
      <c r="BQ45" s="6">
        <v>43.7456</v>
      </c>
      <c r="BR45" s="6">
        <v>49.0</v>
      </c>
      <c r="BS45" s="6">
        <v>84.0</v>
      </c>
      <c r="BT45" s="6">
        <v>133.0</v>
      </c>
      <c r="BU45" s="6">
        <v>119.0</v>
      </c>
      <c r="BV45" s="6">
        <v>1.0</v>
      </c>
      <c r="BW45" s="6">
        <v>2.0</v>
      </c>
      <c r="BX45" s="6">
        <v>4.0</v>
      </c>
      <c r="BY45" s="6">
        <v>6.0</v>
      </c>
      <c r="BZ45" s="6">
        <v>4.0</v>
      </c>
      <c r="CA45" s="6">
        <v>12.0</v>
      </c>
      <c r="CB45" s="6">
        <v>22.0</v>
      </c>
      <c r="CC45" s="6">
        <v>20.0</v>
      </c>
      <c r="CD45" s="6">
        <v>0.5625</v>
      </c>
      <c r="CE45" s="6">
        <v>1.155</v>
      </c>
      <c r="CF45" s="6">
        <v>2.01</v>
      </c>
      <c r="CG45" s="6">
        <v>2.25</v>
      </c>
      <c r="CH45" s="6">
        <v>10.9696</v>
      </c>
      <c r="CI45" s="6">
        <v>13.6688</v>
      </c>
      <c r="CJ45" s="6">
        <v>43.1088</v>
      </c>
      <c r="CK45" s="6">
        <v>46.1088</v>
      </c>
      <c r="CL45" s="6">
        <v>59.0</v>
      </c>
      <c r="CM45" s="6">
        <v>127.3333</v>
      </c>
      <c r="CN45" s="6">
        <v>185.0</v>
      </c>
      <c r="CO45" s="6">
        <v>235.0</v>
      </c>
      <c r="CP45" s="6">
        <v>1.0</v>
      </c>
      <c r="CQ45" s="6">
        <v>1.666667</v>
      </c>
      <c r="CR45" s="6">
        <v>5.0</v>
      </c>
      <c r="CS45" s="6">
        <v>4.333333</v>
      </c>
      <c r="CT45" s="6">
        <v>3.666667</v>
      </c>
      <c r="CU45" s="6">
        <v>14.66667</v>
      </c>
      <c r="CV45" s="6">
        <v>22.0</v>
      </c>
      <c r="CW45" s="6">
        <v>20.0</v>
      </c>
      <c r="CX45" s="6">
        <v>0.542767</v>
      </c>
      <c r="CY45" s="6">
        <v>1.0739</v>
      </c>
      <c r="CZ45" s="6">
        <v>2.317767</v>
      </c>
      <c r="DA45" s="6">
        <v>2.2741</v>
      </c>
      <c r="DB45" s="6">
        <v>0.0</v>
      </c>
      <c r="DC45" s="6">
        <v>0.98</v>
      </c>
      <c r="DD45" s="6">
        <v>2.31</v>
      </c>
      <c r="DE45" s="6">
        <v>3.85</v>
      </c>
      <c r="DF45" s="6">
        <v>0.0</v>
      </c>
      <c r="DG45" s="6">
        <v>2.0</v>
      </c>
      <c r="DH45" s="6">
        <v>9.0</v>
      </c>
      <c r="DI45" s="6">
        <v>25.0</v>
      </c>
      <c r="DJ45" s="6">
        <v>0.0</v>
      </c>
      <c r="DK45" s="6">
        <v>0.0</v>
      </c>
      <c r="DL45" s="6">
        <v>0.0</v>
      </c>
      <c r="DM45" s="6">
        <v>0.0</v>
      </c>
      <c r="DN45" s="6">
        <v>0.0</v>
      </c>
      <c r="DO45" s="6">
        <v>-2.0</v>
      </c>
      <c r="DP45" s="6">
        <v>-3.0</v>
      </c>
      <c r="DQ45" s="6">
        <v>2.0</v>
      </c>
      <c r="DR45" s="6">
        <v>0.0</v>
      </c>
      <c r="DS45" s="6">
        <v>-0.04</v>
      </c>
      <c r="DT45" s="6">
        <v>0.32</v>
      </c>
      <c r="DU45" s="6">
        <v>1.5</v>
      </c>
      <c r="DV45" s="6">
        <v>0.0</v>
      </c>
      <c r="DW45" s="6">
        <v>1.063333</v>
      </c>
      <c r="DX45" s="6">
        <v>2.646667</v>
      </c>
      <c r="DY45" s="6">
        <v>-0.14667</v>
      </c>
      <c r="DZ45" s="6">
        <v>0.0</v>
      </c>
      <c r="EA45" s="6">
        <v>-4.33333</v>
      </c>
      <c r="EB45" s="6">
        <v>12.66667</v>
      </c>
      <c r="EC45" s="6">
        <v>1.333333</v>
      </c>
      <c r="ED45" s="6">
        <v>0.0</v>
      </c>
      <c r="EE45" s="6">
        <v>0.0</v>
      </c>
      <c r="EF45" s="6">
        <v>0.0</v>
      </c>
      <c r="EG45" s="6">
        <v>0.0</v>
      </c>
      <c r="EH45" s="6">
        <v>0.0</v>
      </c>
      <c r="EI45" s="6">
        <v>-3.0</v>
      </c>
      <c r="EJ45" s="6">
        <v>1.0</v>
      </c>
      <c r="EK45" s="6">
        <v>1.0</v>
      </c>
      <c r="EL45" s="6">
        <v>0.0</v>
      </c>
      <c r="EM45" s="6">
        <v>-0.21333</v>
      </c>
      <c r="EN45" s="6">
        <v>0.58</v>
      </c>
      <c r="EO45" s="6">
        <v>0.14</v>
      </c>
      <c r="EP45" s="6">
        <v>3.3489</v>
      </c>
      <c r="EQ45" s="6">
        <v>34.8432</v>
      </c>
      <c r="ER45" s="6">
        <v>56.1078</v>
      </c>
      <c r="ES45" s="6">
        <v>120.1578</v>
      </c>
      <c r="ET45" s="6">
        <v>676.0</v>
      </c>
      <c r="EU45" s="6">
        <v>1144.0</v>
      </c>
      <c r="EV45" s="6">
        <v>2392.0</v>
      </c>
      <c r="EW45" s="6">
        <v>2704.0</v>
      </c>
      <c r="EX45" s="6">
        <v>1.0</v>
      </c>
      <c r="EY45" s="6">
        <v>6.0</v>
      </c>
      <c r="EZ45" s="6">
        <v>12.0</v>
      </c>
      <c r="FA45" s="6">
        <v>26.0</v>
      </c>
      <c r="FB45" s="6">
        <v>36.0</v>
      </c>
      <c r="FC45" s="6">
        <v>108.0</v>
      </c>
      <c r="FD45" s="6">
        <v>264.0</v>
      </c>
      <c r="FE45" s="6">
        <v>288.0</v>
      </c>
      <c r="FF45" s="6">
        <v>1.5625</v>
      </c>
      <c r="FG45" s="6">
        <v>5.575</v>
      </c>
      <c r="FH45" s="6">
        <v>12.175</v>
      </c>
      <c r="FI45" s="6">
        <v>18.825</v>
      </c>
      <c r="FJ45" s="6">
        <v>0.0</v>
      </c>
      <c r="FK45" s="6">
        <v>-8.06</v>
      </c>
      <c r="FL45" s="6">
        <v>-8.7</v>
      </c>
      <c r="FM45" s="6">
        <v>-18.08</v>
      </c>
      <c r="FN45" s="6">
        <v>0.0</v>
      </c>
      <c r="FO45" s="6">
        <v>112.0</v>
      </c>
      <c r="FP45" s="6">
        <v>220.0</v>
      </c>
      <c r="FQ45" s="6">
        <v>572.0</v>
      </c>
      <c r="FR45" s="6">
        <v>0.0</v>
      </c>
      <c r="FS45" s="6">
        <v>0.0</v>
      </c>
      <c r="FT45" s="6">
        <v>0.0</v>
      </c>
      <c r="FU45" s="6">
        <v>0.0</v>
      </c>
      <c r="FV45" s="6">
        <v>0.0</v>
      </c>
      <c r="FW45" s="6">
        <v>18.0</v>
      </c>
      <c r="FX45" s="6">
        <v>28.0</v>
      </c>
      <c r="FY45" s="6">
        <v>108.0</v>
      </c>
      <c r="FZ45" s="6">
        <v>0.0</v>
      </c>
      <c r="GA45" s="6">
        <v>3.04</v>
      </c>
      <c r="GB45" s="6">
        <v>5.26</v>
      </c>
      <c r="GC45" s="6">
        <v>17.44</v>
      </c>
      <c r="GD45" s="6">
        <v>-16.9742699</v>
      </c>
      <c r="GE45" s="1" t="s">
        <v>1351</v>
      </c>
      <c r="GF45" s="1" t="s">
        <v>1399</v>
      </c>
    </row>
    <row r="46">
      <c r="A46" s="1" t="s">
        <v>127</v>
      </c>
      <c r="B46" s="6">
        <v>4.0</v>
      </c>
      <c r="C46" s="6">
        <v>0.0</v>
      </c>
      <c r="D46" s="6">
        <v>2.0</v>
      </c>
      <c r="E46" s="6">
        <v>0.0</v>
      </c>
      <c r="F46" s="6">
        <v>436.8421</v>
      </c>
      <c r="G46" s="6">
        <v>860.8638</v>
      </c>
      <c r="H46" s="6">
        <v>1837.845</v>
      </c>
      <c r="I46" s="6">
        <v>2505.071</v>
      </c>
      <c r="J46" s="6">
        <v>2992.0</v>
      </c>
      <c r="K46" s="6">
        <v>6908.0</v>
      </c>
      <c r="L46" s="6">
        <v>12888.0</v>
      </c>
      <c r="M46" s="6">
        <v>15470.0</v>
      </c>
      <c r="N46" s="6">
        <v>57.0</v>
      </c>
      <c r="O46" s="6">
        <v>124.0</v>
      </c>
      <c r="P46" s="6">
        <v>238.0</v>
      </c>
      <c r="Q46" s="6">
        <v>344.0</v>
      </c>
      <c r="R46" s="6">
        <v>362.0</v>
      </c>
      <c r="S46" s="6">
        <v>992.0</v>
      </c>
      <c r="T46" s="6">
        <v>1708.0</v>
      </c>
      <c r="U46" s="6">
        <v>2304.0</v>
      </c>
      <c r="V46" s="6">
        <v>26.4375</v>
      </c>
      <c r="W46" s="6">
        <v>68.2256</v>
      </c>
      <c r="X46" s="6">
        <v>123.2858</v>
      </c>
      <c r="Y46" s="6">
        <v>169.0136</v>
      </c>
      <c r="Z46" s="6">
        <v>241.1314</v>
      </c>
      <c r="AA46" s="6">
        <v>536.571</v>
      </c>
      <c r="AB46" s="6">
        <v>872.502</v>
      </c>
      <c r="AC46" s="6">
        <v>1067.776</v>
      </c>
      <c r="AD46" s="6">
        <v>862.0</v>
      </c>
      <c r="AE46" s="6">
        <v>2052.0</v>
      </c>
      <c r="AF46" s="6">
        <v>2760.0</v>
      </c>
      <c r="AG46" s="6">
        <v>2748.0</v>
      </c>
      <c r="AH46" s="6">
        <v>40.0</v>
      </c>
      <c r="AI46" s="6">
        <v>84.0</v>
      </c>
      <c r="AJ46" s="6">
        <v>138.0</v>
      </c>
      <c r="AK46" s="6">
        <v>174.0</v>
      </c>
      <c r="AL46" s="6">
        <v>222.0</v>
      </c>
      <c r="AM46" s="6">
        <v>552.0</v>
      </c>
      <c r="AN46" s="6">
        <v>774.0</v>
      </c>
      <c r="AO46" s="6">
        <v>852.0</v>
      </c>
      <c r="AP46" s="6">
        <v>15.3864</v>
      </c>
      <c r="AQ46" s="6">
        <v>38.4384</v>
      </c>
      <c r="AR46" s="6">
        <v>56.4054</v>
      </c>
      <c r="AS46" s="6">
        <v>62.9958</v>
      </c>
      <c r="AT46" s="6">
        <v>144.4977</v>
      </c>
      <c r="AU46" s="6">
        <v>263.7258</v>
      </c>
      <c r="AV46" s="6">
        <v>477.6916</v>
      </c>
      <c r="AW46" s="6">
        <v>520.2196</v>
      </c>
      <c r="AX46" s="6">
        <v>772.0</v>
      </c>
      <c r="AY46" s="6">
        <v>1540.0</v>
      </c>
      <c r="AZ46" s="6">
        <v>2268.0</v>
      </c>
      <c r="BA46" s="6">
        <v>1780.0</v>
      </c>
      <c r="BB46" s="6">
        <v>18.66667</v>
      </c>
      <c r="BC46" s="6">
        <v>37.33333</v>
      </c>
      <c r="BD46" s="6">
        <v>62.0</v>
      </c>
      <c r="BE46" s="6">
        <v>70.0</v>
      </c>
      <c r="BF46" s="6">
        <v>99.33333</v>
      </c>
      <c r="BG46" s="6">
        <v>237.3333</v>
      </c>
      <c r="BH46" s="6">
        <v>298.0</v>
      </c>
      <c r="BI46" s="6">
        <v>296.0</v>
      </c>
      <c r="BJ46" s="6">
        <v>8.291667</v>
      </c>
      <c r="BK46" s="6">
        <v>19.0252</v>
      </c>
      <c r="BL46" s="6">
        <v>28.095</v>
      </c>
      <c r="BM46" s="6">
        <v>27.2182</v>
      </c>
      <c r="BN46" s="6">
        <v>9.2416</v>
      </c>
      <c r="BO46" s="6">
        <v>15.504</v>
      </c>
      <c r="BP46" s="6">
        <v>29.944</v>
      </c>
      <c r="BQ46" s="6">
        <v>43.7456</v>
      </c>
      <c r="BR46" s="6">
        <v>49.0</v>
      </c>
      <c r="BS46" s="6">
        <v>84.0</v>
      </c>
      <c r="BT46" s="6">
        <v>133.0</v>
      </c>
      <c r="BU46" s="6">
        <v>119.0</v>
      </c>
      <c r="BV46" s="6">
        <v>1.0</v>
      </c>
      <c r="BW46" s="6">
        <v>2.0</v>
      </c>
      <c r="BX46" s="6">
        <v>4.0</v>
      </c>
      <c r="BY46" s="6">
        <v>6.0</v>
      </c>
      <c r="BZ46" s="6">
        <v>4.0</v>
      </c>
      <c r="CA46" s="6">
        <v>12.0</v>
      </c>
      <c r="CB46" s="6">
        <v>22.0</v>
      </c>
      <c r="CC46" s="6">
        <v>20.0</v>
      </c>
      <c r="CD46" s="6">
        <v>0.5625</v>
      </c>
      <c r="CE46" s="6">
        <v>1.155</v>
      </c>
      <c r="CF46" s="6">
        <v>2.01</v>
      </c>
      <c r="CG46" s="6">
        <v>2.25</v>
      </c>
      <c r="CH46" s="6">
        <v>10.9696</v>
      </c>
      <c r="CI46" s="6">
        <v>12.3768</v>
      </c>
      <c r="CJ46" s="6">
        <v>37.1808</v>
      </c>
      <c r="CK46" s="6">
        <v>43.17013</v>
      </c>
      <c r="CL46" s="6">
        <v>59.0</v>
      </c>
      <c r="CM46" s="6">
        <v>120.3333</v>
      </c>
      <c r="CN46" s="6">
        <v>167.5</v>
      </c>
      <c r="CO46" s="6">
        <v>209.3333</v>
      </c>
      <c r="CP46" s="6">
        <v>1.0</v>
      </c>
      <c r="CQ46" s="6">
        <v>1.5</v>
      </c>
      <c r="CR46" s="6">
        <v>4.166667</v>
      </c>
      <c r="CS46" s="6">
        <v>4.0</v>
      </c>
      <c r="CT46" s="6">
        <v>2.833333</v>
      </c>
      <c r="CU46" s="6">
        <v>10.66667</v>
      </c>
      <c r="CV46" s="6">
        <v>15.16667</v>
      </c>
      <c r="CW46" s="6">
        <v>12.83333</v>
      </c>
      <c r="CX46" s="6">
        <v>0.542767</v>
      </c>
      <c r="CY46" s="6">
        <v>0.97765</v>
      </c>
      <c r="CZ46" s="6">
        <v>1.986517</v>
      </c>
      <c r="DA46" s="6">
        <v>1.9816</v>
      </c>
      <c r="DB46" s="6">
        <v>0.0</v>
      </c>
      <c r="DC46" s="6">
        <v>0.98</v>
      </c>
      <c r="DD46" s="6">
        <v>2.31</v>
      </c>
      <c r="DE46" s="6">
        <v>3.85</v>
      </c>
      <c r="DF46" s="6">
        <v>0.0</v>
      </c>
      <c r="DG46" s="6">
        <v>2.0</v>
      </c>
      <c r="DH46" s="6">
        <v>9.0</v>
      </c>
      <c r="DI46" s="6">
        <v>25.0</v>
      </c>
      <c r="DJ46" s="6">
        <v>0.0</v>
      </c>
      <c r="DK46" s="6">
        <v>0.0</v>
      </c>
      <c r="DL46" s="6">
        <v>0.0</v>
      </c>
      <c r="DM46" s="6">
        <v>0.0</v>
      </c>
      <c r="DN46" s="6">
        <v>0.0</v>
      </c>
      <c r="DO46" s="6">
        <v>-2.0</v>
      </c>
      <c r="DP46" s="6">
        <v>-3.0</v>
      </c>
      <c r="DQ46" s="6">
        <v>2.0</v>
      </c>
      <c r="DR46" s="6">
        <v>0.0</v>
      </c>
      <c r="DS46" s="6">
        <v>-0.04</v>
      </c>
      <c r="DT46" s="6">
        <v>0.32</v>
      </c>
      <c r="DU46" s="6">
        <v>1.5</v>
      </c>
      <c r="DV46" s="6">
        <v>0.0</v>
      </c>
      <c r="DW46" s="6">
        <v>0.981667</v>
      </c>
      <c r="DX46" s="6">
        <v>2.063333</v>
      </c>
      <c r="DY46" s="6">
        <v>-0.19333</v>
      </c>
      <c r="DZ46" s="6">
        <v>0.0</v>
      </c>
      <c r="EA46" s="6">
        <v>-4.5</v>
      </c>
      <c r="EB46" s="6">
        <v>9.333333</v>
      </c>
      <c r="EC46" s="6">
        <v>2.666667</v>
      </c>
      <c r="ED46" s="6">
        <v>0.0</v>
      </c>
      <c r="EE46" s="6">
        <v>0.0</v>
      </c>
      <c r="EF46" s="6">
        <v>0.0</v>
      </c>
      <c r="EG46" s="6">
        <v>0.0</v>
      </c>
      <c r="EH46" s="6">
        <v>0.0</v>
      </c>
      <c r="EI46" s="6">
        <v>-2.83333</v>
      </c>
      <c r="EJ46" s="6">
        <v>-0.5</v>
      </c>
      <c r="EK46" s="6">
        <v>0.833333</v>
      </c>
      <c r="EL46" s="6">
        <v>0.0</v>
      </c>
      <c r="EM46" s="6">
        <v>-0.21</v>
      </c>
      <c r="EN46" s="6">
        <v>0.396667</v>
      </c>
      <c r="EO46" s="6">
        <v>0.28</v>
      </c>
      <c r="EP46" s="6">
        <v>3.3489</v>
      </c>
      <c r="EQ46" s="6">
        <v>34.8432</v>
      </c>
      <c r="ER46" s="6">
        <v>51.4413</v>
      </c>
      <c r="ES46" s="6">
        <v>98.7468</v>
      </c>
      <c r="ET46" s="6">
        <v>676.0</v>
      </c>
      <c r="EU46" s="6">
        <v>1144.0</v>
      </c>
      <c r="EV46" s="6">
        <v>2236.0</v>
      </c>
      <c r="EW46" s="6">
        <v>2314.0</v>
      </c>
      <c r="EX46" s="6">
        <v>1.0</v>
      </c>
      <c r="EY46" s="6">
        <v>6.0</v>
      </c>
      <c r="EZ46" s="6">
        <v>11.0</v>
      </c>
      <c r="FA46" s="6">
        <v>21.0</v>
      </c>
      <c r="FB46" s="6">
        <v>36.0</v>
      </c>
      <c r="FC46" s="6">
        <v>102.0</v>
      </c>
      <c r="FD46" s="6">
        <v>228.0</v>
      </c>
      <c r="FE46" s="6">
        <v>234.0</v>
      </c>
      <c r="FF46" s="6">
        <v>1.5625</v>
      </c>
      <c r="FG46" s="6">
        <v>5.575</v>
      </c>
      <c r="FH46" s="6">
        <v>11.2125</v>
      </c>
      <c r="FI46" s="6">
        <v>15.5125</v>
      </c>
      <c r="FJ46" s="6">
        <v>0.0</v>
      </c>
      <c r="FK46" s="6">
        <v>-8.06</v>
      </c>
      <c r="FL46" s="6">
        <v>-7.98</v>
      </c>
      <c r="FM46" s="6">
        <v>-15.53</v>
      </c>
      <c r="FN46" s="6">
        <v>0.0</v>
      </c>
      <c r="FO46" s="6">
        <v>112.0</v>
      </c>
      <c r="FP46" s="6">
        <v>200.0</v>
      </c>
      <c r="FQ46" s="6">
        <v>457.0</v>
      </c>
      <c r="FR46" s="6">
        <v>0.0</v>
      </c>
      <c r="FS46" s="6">
        <v>0.0</v>
      </c>
      <c r="FT46" s="6">
        <v>0.0</v>
      </c>
      <c r="FU46" s="6">
        <v>0.0</v>
      </c>
      <c r="FV46" s="6">
        <v>0.0</v>
      </c>
      <c r="FW46" s="6">
        <v>19.0</v>
      </c>
      <c r="FX46" s="6">
        <v>28.0</v>
      </c>
      <c r="FY46" s="6">
        <v>87.0</v>
      </c>
      <c r="FZ46" s="6">
        <v>0.0</v>
      </c>
      <c r="GA46" s="6">
        <v>3.04</v>
      </c>
      <c r="GB46" s="6">
        <v>4.78</v>
      </c>
      <c r="GC46" s="6">
        <v>13.84</v>
      </c>
      <c r="GD46" s="6">
        <v>-15.4670077</v>
      </c>
      <c r="GE46" s="1" t="s">
        <v>1353</v>
      </c>
      <c r="GF46" s="1" t="s">
        <v>1400</v>
      </c>
    </row>
    <row r="47">
      <c r="A47" s="1" t="s">
        <v>129</v>
      </c>
      <c r="B47" s="6">
        <v>4.0</v>
      </c>
      <c r="C47" s="6">
        <v>0.0</v>
      </c>
      <c r="D47" s="6">
        <v>2.0</v>
      </c>
      <c r="E47" s="6">
        <v>0.0</v>
      </c>
      <c r="F47" s="6">
        <v>436.8421</v>
      </c>
      <c r="G47" s="6">
        <v>860.8638</v>
      </c>
      <c r="H47" s="6">
        <v>1837.845</v>
      </c>
      <c r="I47" s="6">
        <v>2505.071</v>
      </c>
      <c r="J47" s="6">
        <v>2992.0</v>
      </c>
      <c r="K47" s="6">
        <v>6908.0</v>
      </c>
      <c r="L47" s="6">
        <v>12888.0</v>
      </c>
      <c r="M47" s="6">
        <v>15470.0</v>
      </c>
      <c r="N47" s="6">
        <v>57.0</v>
      </c>
      <c r="O47" s="6">
        <v>124.0</v>
      </c>
      <c r="P47" s="6">
        <v>238.0</v>
      </c>
      <c r="Q47" s="6">
        <v>344.0</v>
      </c>
      <c r="R47" s="6">
        <v>362.0</v>
      </c>
      <c r="S47" s="6">
        <v>992.0</v>
      </c>
      <c r="T47" s="6">
        <v>1708.0</v>
      </c>
      <c r="U47" s="6">
        <v>2304.0</v>
      </c>
      <c r="V47" s="6">
        <v>26.4375</v>
      </c>
      <c r="W47" s="6">
        <v>68.2256</v>
      </c>
      <c r="X47" s="6">
        <v>123.2858</v>
      </c>
      <c r="Y47" s="6">
        <v>169.0136</v>
      </c>
      <c r="Z47" s="6">
        <v>241.1314</v>
      </c>
      <c r="AA47" s="6">
        <v>536.571</v>
      </c>
      <c r="AB47" s="6">
        <v>872.502</v>
      </c>
      <c r="AC47" s="6">
        <v>1067.776</v>
      </c>
      <c r="AD47" s="6">
        <v>862.0</v>
      </c>
      <c r="AE47" s="6">
        <v>2052.0</v>
      </c>
      <c r="AF47" s="6">
        <v>2760.0</v>
      </c>
      <c r="AG47" s="6">
        <v>2748.0</v>
      </c>
      <c r="AH47" s="6">
        <v>40.0</v>
      </c>
      <c r="AI47" s="6">
        <v>84.0</v>
      </c>
      <c r="AJ47" s="6">
        <v>138.0</v>
      </c>
      <c r="AK47" s="6">
        <v>174.0</v>
      </c>
      <c r="AL47" s="6">
        <v>222.0</v>
      </c>
      <c r="AM47" s="6">
        <v>552.0</v>
      </c>
      <c r="AN47" s="6">
        <v>774.0</v>
      </c>
      <c r="AO47" s="6">
        <v>852.0</v>
      </c>
      <c r="AP47" s="6">
        <v>15.3864</v>
      </c>
      <c r="AQ47" s="6">
        <v>38.4384</v>
      </c>
      <c r="AR47" s="6">
        <v>56.4054</v>
      </c>
      <c r="AS47" s="6">
        <v>62.9958</v>
      </c>
      <c r="AT47" s="6">
        <v>144.4977</v>
      </c>
      <c r="AU47" s="6">
        <v>263.7258</v>
      </c>
      <c r="AV47" s="6">
        <v>477.6916</v>
      </c>
      <c r="AW47" s="6">
        <v>520.2196</v>
      </c>
      <c r="AX47" s="6">
        <v>772.0</v>
      </c>
      <c r="AY47" s="6">
        <v>1540.0</v>
      </c>
      <c r="AZ47" s="6">
        <v>2268.0</v>
      </c>
      <c r="BA47" s="6">
        <v>1780.0</v>
      </c>
      <c r="BB47" s="6">
        <v>18.66667</v>
      </c>
      <c r="BC47" s="6">
        <v>37.33333</v>
      </c>
      <c r="BD47" s="6">
        <v>62.0</v>
      </c>
      <c r="BE47" s="6">
        <v>70.0</v>
      </c>
      <c r="BF47" s="6">
        <v>99.33333</v>
      </c>
      <c r="BG47" s="6">
        <v>237.3333</v>
      </c>
      <c r="BH47" s="6">
        <v>298.0</v>
      </c>
      <c r="BI47" s="6">
        <v>296.0</v>
      </c>
      <c r="BJ47" s="6">
        <v>8.291667</v>
      </c>
      <c r="BK47" s="6">
        <v>19.0252</v>
      </c>
      <c r="BL47" s="6">
        <v>28.095</v>
      </c>
      <c r="BM47" s="6">
        <v>27.2182</v>
      </c>
      <c r="BN47" s="6">
        <v>9.2416</v>
      </c>
      <c r="BO47" s="6">
        <v>15.504</v>
      </c>
      <c r="BP47" s="6">
        <v>29.944</v>
      </c>
      <c r="BQ47" s="6">
        <v>43.7456</v>
      </c>
      <c r="BR47" s="6">
        <v>49.0</v>
      </c>
      <c r="BS47" s="6">
        <v>84.0</v>
      </c>
      <c r="BT47" s="6">
        <v>133.0</v>
      </c>
      <c r="BU47" s="6">
        <v>119.0</v>
      </c>
      <c r="BV47" s="6">
        <v>1.0</v>
      </c>
      <c r="BW47" s="6">
        <v>2.0</v>
      </c>
      <c r="BX47" s="6">
        <v>4.0</v>
      </c>
      <c r="BY47" s="6">
        <v>6.0</v>
      </c>
      <c r="BZ47" s="6">
        <v>4.0</v>
      </c>
      <c r="CA47" s="6">
        <v>12.0</v>
      </c>
      <c r="CB47" s="6">
        <v>22.0</v>
      </c>
      <c r="CC47" s="6">
        <v>20.0</v>
      </c>
      <c r="CD47" s="6">
        <v>0.5625</v>
      </c>
      <c r="CE47" s="6">
        <v>1.155</v>
      </c>
      <c r="CF47" s="6">
        <v>2.01</v>
      </c>
      <c r="CG47" s="6">
        <v>2.25</v>
      </c>
      <c r="CH47" s="6">
        <v>10.9696</v>
      </c>
      <c r="CI47" s="6">
        <v>12.3768</v>
      </c>
      <c r="CJ47" s="6">
        <v>37.1808</v>
      </c>
      <c r="CK47" s="6">
        <v>43.17013</v>
      </c>
      <c r="CL47" s="6">
        <v>59.0</v>
      </c>
      <c r="CM47" s="6">
        <v>120.3333</v>
      </c>
      <c r="CN47" s="6">
        <v>167.5</v>
      </c>
      <c r="CO47" s="6">
        <v>209.3333</v>
      </c>
      <c r="CP47" s="6">
        <v>1.0</v>
      </c>
      <c r="CQ47" s="6">
        <v>1.5</v>
      </c>
      <c r="CR47" s="6">
        <v>4.166667</v>
      </c>
      <c r="CS47" s="6">
        <v>4.0</v>
      </c>
      <c r="CT47" s="6">
        <v>2.833333</v>
      </c>
      <c r="CU47" s="6">
        <v>10.66667</v>
      </c>
      <c r="CV47" s="6">
        <v>15.16667</v>
      </c>
      <c r="CW47" s="6">
        <v>12.83333</v>
      </c>
      <c r="CX47" s="6">
        <v>0.542767</v>
      </c>
      <c r="CY47" s="6">
        <v>0.97765</v>
      </c>
      <c r="CZ47" s="6">
        <v>1.986517</v>
      </c>
      <c r="DA47" s="6">
        <v>1.9816</v>
      </c>
      <c r="DB47" s="6">
        <v>0.0</v>
      </c>
      <c r="DC47" s="6">
        <v>0.98</v>
      </c>
      <c r="DD47" s="6">
        <v>2.31</v>
      </c>
      <c r="DE47" s="6">
        <v>3.85</v>
      </c>
      <c r="DF47" s="6">
        <v>0.0</v>
      </c>
      <c r="DG47" s="6">
        <v>2.0</v>
      </c>
      <c r="DH47" s="6">
        <v>9.0</v>
      </c>
      <c r="DI47" s="6">
        <v>25.0</v>
      </c>
      <c r="DJ47" s="6">
        <v>0.0</v>
      </c>
      <c r="DK47" s="6">
        <v>0.0</v>
      </c>
      <c r="DL47" s="6">
        <v>0.0</v>
      </c>
      <c r="DM47" s="6">
        <v>0.0</v>
      </c>
      <c r="DN47" s="6">
        <v>0.0</v>
      </c>
      <c r="DO47" s="6">
        <v>-2.0</v>
      </c>
      <c r="DP47" s="6">
        <v>-3.0</v>
      </c>
      <c r="DQ47" s="6">
        <v>2.0</v>
      </c>
      <c r="DR47" s="6">
        <v>0.0</v>
      </c>
      <c r="DS47" s="6">
        <v>-0.04</v>
      </c>
      <c r="DT47" s="6">
        <v>0.32</v>
      </c>
      <c r="DU47" s="6">
        <v>1.5</v>
      </c>
      <c r="DV47" s="6">
        <v>0.0</v>
      </c>
      <c r="DW47" s="6">
        <v>0.981667</v>
      </c>
      <c r="DX47" s="6">
        <v>2.063333</v>
      </c>
      <c r="DY47" s="6">
        <v>-0.19333</v>
      </c>
      <c r="DZ47" s="6">
        <v>0.0</v>
      </c>
      <c r="EA47" s="6">
        <v>-4.5</v>
      </c>
      <c r="EB47" s="6">
        <v>9.333333</v>
      </c>
      <c r="EC47" s="6">
        <v>2.666667</v>
      </c>
      <c r="ED47" s="6">
        <v>0.0</v>
      </c>
      <c r="EE47" s="6">
        <v>0.0</v>
      </c>
      <c r="EF47" s="6">
        <v>0.0</v>
      </c>
      <c r="EG47" s="6">
        <v>0.0</v>
      </c>
      <c r="EH47" s="6">
        <v>0.0</v>
      </c>
      <c r="EI47" s="6">
        <v>-2.83333</v>
      </c>
      <c r="EJ47" s="6">
        <v>-0.5</v>
      </c>
      <c r="EK47" s="6">
        <v>0.833333</v>
      </c>
      <c r="EL47" s="6">
        <v>0.0</v>
      </c>
      <c r="EM47" s="6">
        <v>-0.21</v>
      </c>
      <c r="EN47" s="6">
        <v>0.396667</v>
      </c>
      <c r="EO47" s="6">
        <v>0.28</v>
      </c>
      <c r="EP47" s="6">
        <v>3.3489</v>
      </c>
      <c r="EQ47" s="6">
        <v>34.8432</v>
      </c>
      <c r="ER47" s="6">
        <v>51.4413</v>
      </c>
      <c r="ES47" s="6">
        <v>98.7468</v>
      </c>
      <c r="ET47" s="6">
        <v>676.0</v>
      </c>
      <c r="EU47" s="6">
        <v>1144.0</v>
      </c>
      <c r="EV47" s="6">
        <v>2236.0</v>
      </c>
      <c r="EW47" s="6">
        <v>2314.0</v>
      </c>
      <c r="EX47" s="6">
        <v>1.0</v>
      </c>
      <c r="EY47" s="6">
        <v>6.0</v>
      </c>
      <c r="EZ47" s="6">
        <v>11.0</v>
      </c>
      <c r="FA47" s="6">
        <v>21.0</v>
      </c>
      <c r="FB47" s="6">
        <v>36.0</v>
      </c>
      <c r="FC47" s="6">
        <v>102.0</v>
      </c>
      <c r="FD47" s="6">
        <v>228.0</v>
      </c>
      <c r="FE47" s="6">
        <v>234.0</v>
      </c>
      <c r="FF47" s="6">
        <v>1.5625</v>
      </c>
      <c r="FG47" s="6">
        <v>5.575</v>
      </c>
      <c r="FH47" s="6">
        <v>11.2125</v>
      </c>
      <c r="FI47" s="6">
        <v>15.5125</v>
      </c>
      <c r="FJ47" s="6">
        <v>0.0</v>
      </c>
      <c r="FK47" s="6">
        <v>-8.06</v>
      </c>
      <c r="FL47" s="6">
        <v>-7.98</v>
      </c>
      <c r="FM47" s="6">
        <v>-15.53</v>
      </c>
      <c r="FN47" s="6">
        <v>0.0</v>
      </c>
      <c r="FO47" s="6">
        <v>112.0</v>
      </c>
      <c r="FP47" s="6">
        <v>200.0</v>
      </c>
      <c r="FQ47" s="6">
        <v>457.0</v>
      </c>
      <c r="FR47" s="6">
        <v>0.0</v>
      </c>
      <c r="FS47" s="6">
        <v>0.0</v>
      </c>
      <c r="FT47" s="6">
        <v>0.0</v>
      </c>
      <c r="FU47" s="6">
        <v>0.0</v>
      </c>
      <c r="FV47" s="6">
        <v>0.0</v>
      </c>
      <c r="FW47" s="6">
        <v>19.0</v>
      </c>
      <c r="FX47" s="6">
        <v>28.0</v>
      </c>
      <c r="FY47" s="6">
        <v>87.0</v>
      </c>
      <c r="FZ47" s="6">
        <v>0.0</v>
      </c>
      <c r="GA47" s="6">
        <v>3.04</v>
      </c>
      <c r="GB47" s="6">
        <v>4.78</v>
      </c>
      <c r="GC47" s="6">
        <v>13.84</v>
      </c>
      <c r="GD47" s="6">
        <v>-20.90494869</v>
      </c>
      <c r="GE47" s="1" t="s">
        <v>1350</v>
      </c>
      <c r="GF47" s="1" t="s">
        <v>1401</v>
      </c>
    </row>
    <row r="48">
      <c r="A48" s="1" t="s">
        <v>131</v>
      </c>
      <c r="B48" s="6">
        <v>4.0</v>
      </c>
      <c r="C48" s="6">
        <v>0.0</v>
      </c>
      <c r="D48" s="6">
        <v>2.0</v>
      </c>
      <c r="E48" s="6">
        <v>0.0</v>
      </c>
      <c r="F48" s="6">
        <v>467.8882</v>
      </c>
      <c r="G48" s="6">
        <v>925.6848</v>
      </c>
      <c r="H48" s="6">
        <v>2062.281</v>
      </c>
      <c r="I48" s="6">
        <v>2915.565</v>
      </c>
      <c r="J48" s="6">
        <v>2956.0</v>
      </c>
      <c r="K48" s="6">
        <v>6860.0</v>
      </c>
      <c r="L48" s="6">
        <v>13506.0</v>
      </c>
      <c r="M48" s="6">
        <v>15876.0</v>
      </c>
      <c r="N48" s="6">
        <v>63.0</v>
      </c>
      <c r="O48" s="6">
        <v>134.0</v>
      </c>
      <c r="P48" s="6">
        <v>276.0</v>
      </c>
      <c r="Q48" s="6">
        <v>412.0</v>
      </c>
      <c r="R48" s="6">
        <v>410.0</v>
      </c>
      <c r="S48" s="6">
        <v>1144.0</v>
      </c>
      <c r="T48" s="6">
        <v>2084.0</v>
      </c>
      <c r="U48" s="6">
        <v>2988.0</v>
      </c>
      <c r="V48" s="6">
        <v>26.2869</v>
      </c>
      <c r="W48" s="6">
        <v>69.0418</v>
      </c>
      <c r="X48" s="6">
        <v>130.8224</v>
      </c>
      <c r="Y48" s="6">
        <v>192.5792</v>
      </c>
      <c r="Z48" s="6">
        <v>272.1775</v>
      </c>
      <c r="AA48" s="6">
        <v>601.392</v>
      </c>
      <c r="AB48" s="6">
        <v>1078.272</v>
      </c>
      <c r="AC48" s="6">
        <v>1305.269</v>
      </c>
      <c r="AD48" s="6">
        <v>826.0</v>
      </c>
      <c r="AE48" s="6">
        <v>2004.0</v>
      </c>
      <c r="AF48" s="6">
        <v>2754.0</v>
      </c>
      <c r="AG48" s="6">
        <v>3156.0</v>
      </c>
      <c r="AH48" s="6">
        <v>46.0</v>
      </c>
      <c r="AI48" s="6">
        <v>94.0</v>
      </c>
      <c r="AJ48" s="6">
        <v>172.0</v>
      </c>
      <c r="AK48" s="6">
        <v>212.0</v>
      </c>
      <c r="AL48" s="6">
        <v>266.0</v>
      </c>
      <c r="AM48" s="6">
        <v>656.0</v>
      </c>
      <c r="AN48" s="6">
        <v>930.0</v>
      </c>
      <c r="AO48" s="6">
        <v>1166.0</v>
      </c>
      <c r="AP48" s="6">
        <v>15.2358</v>
      </c>
      <c r="AQ48" s="6">
        <v>39.2546</v>
      </c>
      <c r="AR48" s="6">
        <v>60.092</v>
      </c>
      <c r="AS48" s="6">
        <v>75.1696</v>
      </c>
      <c r="AT48" s="6">
        <v>154.8464</v>
      </c>
      <c r="AU48" s="6">
        <v>285.3328</v>
      </c>
      <c r="AV48" s="6">
        <v>546.2816</v>
      </c>
      <c r="AW48" s="6">
        <v>599.384</v>
      </c>
      <c r="AX48" s="6">
        <v>760.0</v>
      </c>
      <c r="AY48" s="6">
        <v>1524.0</v>
      </c>
      <c r="AZ48" s="6">
        <v>2266.0</v>
      </c>
      <c r="BA48" s="6">
        <v>1916.0</v>
      </c>
      <c r="BB48" s="6">
        <v>20.66667</v>
      </c>
      <c r="BC48" s="6">
        <v>40.66667</v>
      </c>
      <c r="BD48" s="6">
        <v>73.33333</v>
      </c>
      <c r="BE48" s="6">
        <v>82.66667</v>
      </c>
      <c r="BF48" s="6">
        <v>114.0</v>
      </c>
      <c r="BG48" s="6">
        <v>272.0</v>
      </c>
      <c r="BH48" s="6">
        <v>350.0</v>
      </c>
      <c r="BI48" s="6">
        <v>400.6667</v>
      </c>
      <c r="BJ48" s="6">
        <v>8.241467</v>
      </c>
      <c r="BK48" s="6">
        <v>19.29727</v>
      </c>
      <c r="BL48" s="6">
        <v>29.32387</v>
      </c>
      <c r="BM48" s="6">
        <v>31.27613</v>
      </c>
      <c r="BN48" s="6">
        <v>9.2416</v>
      </c>
      <c r="BO48" s="6">
        <v>23.256</v>
      </c>
      <c r="BP48" s="6">
        <v>62.32</v>
      </c>
      <c r="BQ48" s="6">
        <v>39.6112</v>
      </c>
      <c r="BR48" s="6">
        <v>49.0</v>
      </c>
      <c r="BS48" s="6">
        <v>126.0</v>
      </c>
      <c r="BT48" s="6">
        <v>133.0</v>
      </c>
      <c r="BU48" s="6">
        <v>154.0</v>
      </c>
      <c r="BV48" s="6">
        <v>1.0</v>
      </c>
      <c r="BW48" s="6">
        <v>3.0</v>
      </c>
      <c r="BX48" s="6">
        <v>9.0</v>
      </c>
      <c r="BY48" s="6">
        <v>5.0</v>
      </c>
      <c r="BZ48" s="6">
        <v>9.0</v>
      </c>
      <c r="CA48" s="6">
        <v>36.0</v>
      </c>
      <c r="CB48" s="6">
        <v>42.0</v>
      </c>
      <c r="CC48" s="6">
        <v>30.0</v>
      </c>
      <c r="CD48" s="6">
        <v>0.5625</v>
      </c>
      <c r="CE48" s="6">
        <v>1.7325</v>
      </c>
      <c r="CF48" s="6">
        <v>3.0975</v>
      </c>
      <c r="CG48" s="6">
        <v>2.2575</v>
      </c>
      <c r="CH48" s="6">
        <v>10.9696</v>
      </c>
      <c r="CI48" s="6">
        <v>12.3768</v>
      </c>
      <c r="CJ48" s="6">
        <v>37.1808</v>
      </c>
      <c r="CK48" s="6">
        <v>45.98213</v>
      </c>
      <c r="CL48" s="6">
        <v>59.0</v>
      </c>
      <c r="CM48" s="6">
        <v>120.3333</v>
      </c>
      <c r="CN48" s="6">
        <v>167.5</v>
      </c>
      <c r="CO48" s="6">
        <v>195.3333</v>
      </c>
      <c r="CP48" s="6">
        <v>1.0</v>
      </c>
      <c r="CQ48" s="6">
        <v>1.5</v>
      </c>
      <c r="CR48" s="6">
        <v>4.166667</v>
      </c>
      <c r="CS48" s="6">
        <v>4.5</v>
      </c>
      <c r="CT48" s="6">
        <v>2.833333</v>
      </c>
      <c r="CU48" s="6">
        <v>10.66667</v>
      </c>
      <c r="CV48" s="6">
        <v>16.16667</v>
      </c>
      <c r="CW48" s="6">
        <v>12.0</v>
      </c>
      <c r="CX48" s="6">
        <v>0.542767</v>
      </c>
      <c r="CY48" s="6">
        <v>0.97765</v>
      </c>
      <c r="CZ48" s="6">
        <v>1.986517</v>
      </c>
      <c r="DA48" s="6">
        <v>1.97035</v>
      </c>
      <c r="DB48" s="6">
        <v>0.0</v>
      </c>
      <c r="DC48" s="6">
        <v>1.47</v>
      </c>
      <c r="DD48" s="6">
        <v>6.86</v>
      </c>
      <c r="DE48" s="6">
        <v>2.17</v>
      </c>
      <c r="DF48" s="6">
        <v>0.0</v>
      </c>
      <c r="DG48" s="6">
        <v>3.0</v>
      </c>
      <c r="DH48" s="6">
        <v>44.0</v>
      </c>
      <c r="DI48" s="6">
        <v>13.0</v>
      </c>
      <c r="DJ48" s="6">
        <v>0.0</v>
      </c>
      <c r="DK48" s="6">
        <v>0.0</v>
      </c>
      <c r="DL48" s="6">
        <v>0.0</v>
      </c>
      <c r="DM48" s="6">
        <v>0.0</v>
      </c>
      <c r="DN48" s="6">
        <v>0.0</v>
      </c>
      <c r="DO48" s="6">
        <v>-3.0</v>
      </c>
      <c r="DP48" s="6">
        <v>13.0</v>
      </c>
      <c r="DQ48" s="6">
        <v>5.0</v>
      </c>
      <c r="DR48" s="6">
        <v>0.0</v>
      </c>
      <c r="DS48" s="6">
        <v>-0.06</v>
      </c>
      <c r="DT48" s="6">
        <v>2.62</v>
      </c>
      <c r="DU48" s="6">
        <v>0.74</v>
      </c>
      <c r="DV48" s="6">
        <v>0.0</v>
      </c>
      <c r="DW48" s="6">
        <v>0.981667</v>
      </c>
      <c r="DX48" s="6">
        <v>2.063333</v>
      </c>
      <c r="DY48" s="6">
        <v>0.401667</v>
      </c>
      <c r="DZ48" s="6">
        <v>0.0</v>
      </c>
      <c r="EA48" s="6">
        <v>-4.5</v>
      </c>
      <c r="EB48" s="6">
        <v>9.333333</v>
      </c>
      <c r="EC48" s="6">
        <v>8.166667</v>
      </c>
      <c r="ED48" s="6">
        <v>0.0</v>
      </c>
      <c r="EE48" s="6">
        <v>0.0</v>
      </c>
      <c r="EF48" s="6">
        <v>0.0</v>
      </c>
      <c r="EG48" s="6">
        <v>0.0</v>
      </c>
      <c r="EH48" s="6">
        <v>0.0</v>
      </c>
      <c r="EI48" s="6">
        <v>-2.83333</v>
      </c>
      <c r="EJ48" s="6">
        <v>-1.0</v>
      </c>
      <c r="EK48" s="6">
        <v>1.833333</v>
      </c>
      <c r="EL48" s="6">
        <v>0.0</v>
      </c>
      <c r="EM48" s="6">
        <v>-0.21</v>
      </c>
      <c r="EN48" s="6">
        <v>0.396667</v>
      </c>
      <c r="EO48" s="6">
        <v>0.67</v>
      </c>
      <c r="EP48" s="6">
        <v>3.3489</v>
      </c>
      <c r="EQ48" s="6">
        <v>34.8432</v>
      </c>
      <c r="ER48" s="6">
        <v>60.7743</v>
      </c>
      <c r="ES48" s="6">
        <v>128.3928</v>
      </c>
      <c r="ET48" s="6">
        <v>676.0</v>
      </c>
      <c r="EU48" s="6">
        <v>1144.0</v>
      </c>
      <c r="EV48" s="6">
        <v>2548.0</v>
      </c>
      <c r="EW48" s="6">
        <v>2002.0</v>
      </c>
      <c r="EX48" s="6">
        <v>1.0</v>
      </c>
      <c r="EY48" s="6">
        <v>6.0</v>
      </c>
      <c r="EZ48" s="6">
        <v>13.0</v>
      </c>
      <c r="FA48" s="6">
        <v>29.0</v>
      </c>
      <c r="FB48" s="6">
        <v>36.0</v>
      </c>
      <c r="FC48" s="6">
        <v>114.0</v>
      </c>
      <c r="FD48" s="6">
        <v>300.0</v>
      </c>
      <c r="FE48" s="6">
        <v>234.0</v>
      </c>
      <c r="FF48" s="6">
        <v>1.5625</v>
      </c>
      <c r="FG48" s="6">
        <v>5.575</v>
      </c>
      <c r="FH48" s="6">
        <v>13.1375</v>
      </c>
      <c r="FI48" s="6">
        <v>17.2125</v>
      </c>
      <c r="FJ48" s="6">
        <v>0.0</v>
      </c>
      <c r="FK48" s="6">
        <v>-8.06</v>
      </c>
      <c r="FL48" s="6">
        <v>-9.42</v>
      </c>
      <c r="FM48" s="6">
        <v>-17.09</v>
      </c>
      <c r="FN48" s="6">
        <v>0.0</v>
      </c>
      <c r="FO48" s="6">
        <v>112.0</v>
      </c>
      <c r="FP48" s="6">
        <v>240.0</v>
      </c>
      <c r="FQ48" s="6">
        <v>677.0</v>
      </c>
      <c r="FR48" s="6">
        <v>0.0</v>
      </c>
      <c r="FS48" s="6">
        <v>0.0</v>
      </c>
      <c r="FT48" s="6">
        <v>0.0</v>
      </c>
      <c r="FU48" s="6">
        <v>0.0</v>
      </c>
      <c r="FV48" s="6">
        <v>0.0</v>
      </c>
      <c r="FW48" s="6">
        <v>17.0</v>
      </c>
      <c r="FX48" s="6">
        <v>28.0</v>
      </c>
      <c r="FY48" s="6">
        <v>135.0</v>
      </c>
      <c r="FZ48" s="6">
        <v>0.0</v>
      </c>
      <c r="GA48" s="6">
        <v>3.04</v>
      </c>
      <c r="GB48" s="6">
        <v>5.74</v>
      </c>
      <c r="GC48" s="6">
        <v>22.48</v>
      </c>
      <c r="GD48" s="6">
        <v>-21.12018222</v>
      </c>
      <c r="GE48" s="1" t="s">
        <v>1350</v>
      </c>
      <c r="GF48" s="1" t="s">
        <v>1402</v>
      </c>
    </row>
    <row r="49">
      <c r="A49" s="1" t="s">
        <v>133</v>
      </c>
      <c r="B49" s="6">
        <v>4.0</v>
      </c>
      <c r="C49" s="6">
        <v>0.0</v>
      </c>
      <c r="D49" s="6">
        <v>2.0</v>
      </c>
      <c r="E49" s="6">
        <v>0.0</v>
      </c>
      <c r="F49" s="6">
        <v>530.6121</v>
      </c>
      <c r="G49" s="6">
        <v>1072.463</v>
      </c>
      <c r="H49" s="6">
        <v>2309.158</v>
      </c>
      <c r="I49" s="6">
        <v>3291.922</v>
      </c>
      <c r="J49" s="6">
        <v>3150.0</v>
      </c>
      <c r="K49" s="6">
        <v>7376.0</v>
      </c>
      <c r="L49" s="6">
        <v>14032.0</v>
      </c>
      <c r="M49" s="6">
        <v>17478.0</v>
      </c>
      <c r="N49" s="6">
        <v>75.0</v>
      </c>
      <c r="O49" s="6">
        <v>160.0</v>
      </c>
      <c r="P49" s="6">
        <v>322.0</v>
      </c>
      <c r="Q49" s="6">
        <v>480.0</v>
      </c>
      <c r="R49" s="6">
        <v>482.0</v>
      </c>
      <c r="S49" s="6">
        <v>1332.0</v>
      </c>
      <c r="T49" s="6">
        <v>2330.0</v>
      </c>
      <c r="U49" s="6">
        <v>3330.0</v>
      </c>
      <c r="V49" s="6">
        <v>30.7257</v>
      </c>
      <c r="W49" s="6">
        <v>80.9152</v>
      </c>
      <c r="X49" s="6">
        <v>148.9866</v>
      </c>
      <c r="Y49" s="6">
        <v>216.0932</v>
      </c>
      <c r="Z49" s="6">
        <v>334.9014</v>
      </c>
      <c r="AA49" s="6">
        <v>748.17</v>
      </c>
      <c r="AB49" s="6">
        <v>1334.482</v>
      </c>
      <c r="AC49" s="6">
        <v>1732.767</v>
      </c>
      <c r="AD49" s="6">
        <v>1020.0</v>
      </c>
      <c r="AE49" s="6">
        <v>2520.0</v>
      </c>
      <c r="AF49" s="6">
        <v>3592.0</v>
      </c>
      <c r="AG49" s="6">
        <v>4052.0</v>
      </c>
      <c r="AH49" s="6">
        <v>58.0</v>
      </c>
      <c r="AI49" s="6">
        <v>120.0</v>
      </c>
      <c r="AJ49" s="6">
        <v>220.0</v>
      </c>
      <c r="AK49" s="6">
        <v>290.0</v>
      </c>
      <c r="AL49" s="6">
        <v>340.0</v>
      </c>
      <c r="AM49" s="6">
        <v>868.0</v>
      </c>
      <c r="AN49" s="6">
        <v>1280.0</v>
      </c>
      <c r="AO49" s="6">
        <v>1548.0</v>
      </c>
      <c r="AP49" s="6">
        <v>19.6746</v>
      </c>
      <c r="AQ49" s="6">
        <v>51.128</v>
      </c>
      <c r="AR49" s="6">
        <v>80.1812</v>
      </c>
      <c r="AS49" s="6">
        <v>99.737</v>
      </c>
      <c r="AT49" s="6">
        <v>175.7544</v>
      </c>
      <c r="AU49" s="6">
        <v>334.2588</v>
      </c>
      <c r="AV49" s="6">
        <v>631.6849</v>
      </c>
      <c r="AW49" s="6">
        <v>741.8833</v>
      </c>
      <c r="AX49" s="6">
        <v>824.6667</v>
      </c>
      <c r="AY49" s="6">
        <v>1696.0</v>
      </c>
      <c r="AZ49" s="6">
        <v>2545.333</v>
      </c>
      <c r="BA49" s="6">
        <v>2214.667</v>
      </c>
      <c r="BB49" s="6">
        <v>24.66667</v>
      </c>
      <c r="BC49" s="6">
        <v>49.33333</v>
      </c>
      <c r="BD49" s="6">
        <v>89.33333</v>
      </c>
      <c r="BE49" s="6">
        <v>108.6667</v>
      </c>
      <c r="BF49" s="6">
        <v>138.6667</v>
      </c>
      <c r="BG49" s="6">
        <v>342.6667</v>
      </c>
      <c r="BH49" s="6">
        <v>466.6667</v>
      </c>
      <c r="BI49" s="6">
        <v>528.0</v>
      </c>
      <c r="BJ49" s="6">
        <v>9.721067</v>
      </c>
      <c r="BK49" s="6">
        <v>23.25507</v>
      </c>
      <c r="BL49" s="6">
        <v>36.02027</v>
      </c>
      <c r="BM49" s="6">
        <v>39.46527</v>
      </c>
      <c r="BN49" s="6">
        <v>9.2416</v>
      </c>
      <c r="BO49" s="6">
        <v>19.38</v>
      </c>
      <c r="BP49" s="6">
        <v>46.664</v>
      </c>
      <c r="BQ49" s="6">
        <v>53.3064</v>
      </c>
      <c r="BR49" s="6">
        <v>49.0</v>
      </c>
      <c r="BS49" s="6">
        <v>105.0</v>
      </c>
      <c r="BT49" s="6">
        <v>150.5</v>
      </c>
      <c r="BU49" s="6">
        <v>199.5</v>
      </c>
      <c r="BV49" s="6">
        <v>1.0</v>
      </c>
      <c r="BW49" s="6">
        <v>2.5</v>
      </c>
      <c r="BX49" s="6">
        <v>6.5</v>
      </c>
      <c r="BY49" s="6">
        <v>7.0</v>
      </c>
      <c r="BZ49" s="6">
        <v>6.5</v>
      </c>
      <c r="CA49" s="6">
        <v>24.0</v>
      </c>
      <c r="CB49" s="6">
        <v>36.5</v>
      </c>
      <c r="CC49" s="6">
        <v>41.5</v>
      </c>
      <c r="CD49" s="6">
        <v>0.5625</v>
      </c>
      <c r="CE49" s="6">
        <v>1.44375</v>
      </c>
      <c r="CF49" s="6">
        <v>2.70375</v>
      </c>
      <c r="CG49" s="6">
        <v>3.12</v>
      </c>
      <c r="CH49" s="6">
        <v>10.9696</v>
      </c>
      <c r="CI49" s="6">
        <v>12.3768</v>
      </c>
      <c r="CJ49" s="6">
        <v>37.1808</v>
      </c>
      <c r="CK49" s="6">
        <v>45.1512</v>
      </c>
      <c r="CL49" s="6">
        <v>59.0</v>
      </c>
      <c r="CM49" s="6">
        <v>120.3333</v>
      </c>
      <c r="CN49" s="6">
        <v>167.5</v>
      </c>
      <c r="CO49" s="6">
        <v>210.5</v>
      </c>
      <c r="CP49" s="6">
        <v>1.0</v>
      </c>
      <c r="CQ49" s="6">
        <v>1.5</v>
      </c>
      <c r="CR49" s="6">
        <v>4.166667</v>
      </c>
      <c r="CS49" s="6">
        <v>4.333333</v>
      </c>
      <c r="CT49" s="6">
        <v>2.833333</v>
      </c>
      <c r="CU49" s="6">
        <v>10.66667</v>
      </c>
      <c r="CV49" s="6">
        <v>16.16667</v>
      </c>
      <c r="CW49" s="6">
        <v>15.83333</v>
      </c>
      <c r="CX49" s="6">
        <v>0.542767</v>
      </c>
      <c r="CY49" s="6">
        <v>0.97765</v>
      </c>
      <c r="CZ49" s="6">
        <v>1.986517</v>
      </c>
      <c r="DA49" s="6">
        <v>2.0766</v>
      </c>
      <c r="DB49" s="6">
        <v>0.0</v>
      </c>
      <c r="DC49" s="6">
        <v>1.225</v>
      </c>
      <c r="DD49" s="6">
        <v>4.41</v>
      </c>
      <c r="DE49" s="6">
        <v>3.745</v>
      </c>
      <c r="DF49" s="6">
        <v>0.0</v>
      </c>
      <c r="DG49" s="6">
        <v>2.5</v>
      </c>
      <c r="DH49" s="6">
        <v>24.0</v>
      </c>
      <c r="DI49" s="6">
        <v>20.5</v>
      </c>
      <c r="DJ49" s="6">
        <v>0.0</v>
      </c>
      <c r="DK49" s="6">
        <v>0.0</v>
      </c>
      <c r="DL49" s="6">
        <v>0.0</v>
      </c>
      <c r="DM49" s="6">
        <v>0.0</v>
      </c>
      <c r="DN49" s="6">
        <v>0.0</v>
      </c>
      <c r="DO49" s="6">
        <v>-2.5</v>
      </c>
      <c r="DP49" s="6">
        <v>3.5</v>
      </c>
      <c r="DQ49" s="6">
        <v>2.0</v>
      </c>
      <c r="DR49" s="6">
        <v>0.0</v>
      </c>
      <c r="DS49" s="6">
        <v>-0.05</v>
      </c>
      <c r="DT49" s="6">
        <v>1.27</v>
      </c>
      <c r="DU49" s="6">
        <v>1.09</v>
      </c>
      <c r="DV49" s="6">
        <v>0.0</v>
      </c>
      <c r="DW49" s="6">
        <v>0.981667</v>
      </c>
      <c r="DX49" s="6">
        <v>2.063333</v>
      </c>
      <c r="DY49" s="6">
        <v>0.168333</v>
      </c>
      <c r="DZ49" s="6">
        <v>0.0</v>
      </c>
      <c r="EA49" s="6">
        <v>-4.5</v>
      </c>
      <c r="EB49" s="6">
        <v>9.333333</v>
      </c>
      <c r="EC49" s="6">
        <v>4.833333</v>
      </c>
      <c r="ED49" s="6">
        <v>0.0</v>
      </c>
      <c r="EE49" s="6">
        <v>0.0</v>
      </c>
      <c r="EF49" s="6">
        <v>0.0</v>
      </c>
      <c r="EG49" s="6">
        <v>0.0</v>
      </c>
      <c r="EH49" s="6">
        <v>0.0</v>
      </c>
      <c r="EI49" s="6">
        <v>-2.83333</v>
      </c>
      <c r="EJ49" s="6">
        <v>-0.83333</v>
      </c>
      <c r="EK49" s="6">
        <v>0.666667</v>
      </c>
      <c r="EL49" s="6">
        <v>0.0</v>
      </c>
      <c r="EM49" s="6">
        <v>-0.21</v>
      </c>
      <c r="EN49" s="6">
        <v>0.396667</v>
      </c>
      <c r="EO49" s="6">
        <v>0.403333</v>
      </c>
      <c r="EP49" s="6">
        <v>3.3489</v>
      </c>
      <c r="EQ49" s="6">
        <v>34.8432</v>
      </c>
      <c r="ER49" s="6">
        <v>56.1078</v>
      </c>
      <c r="ES49" s="6">
        <v>118.8768</v>
      </c>
      <c r="ET49" s="6">
        <v>676.0</v>
      </c>
      <c r="EU49" s="6">
        <v>1144.0</v>
      </c>
      <c r="EV49" s="6">
        <v>2392.0</v>
      </c>
      <c r="EW49" s="6">
        <v>2444.0</v>
      </c>
      <c r="EX49" s="6">
        <v>1.0</v>
      </c>
      <c r="EY49" s="6">
        <v>6.0</v>
      </c>
      <c r="EZ49" s="6">
        <v>12.0</v>
      </c>
      <c r="FA49" s="6">
        <v>26.0</v>
      </c>
      <c r="FB49" s="6">
        <v>36.0</v>
      </c>
      <c r="FC49" s="6">
        <v>108.0</v>
      </c>
      <c r="FD49" s="6">
        <v>264.0</v>
      </c>
      <c r="FE49" s="6">
        <v>276.0</v>
      </c>
      <c r="FF49" s="6">
        <v>1.5625</v>
      </c>
      <c r="FG49" s="6">
        <v>5.575</v>
      </c>
      <c r="FH49" s="6">
        <v>12.175</v>
      </c>
      <c r="FI49" s="6">
        <v>17.825</v>
      </c>
      <c r="FJ49" s="6">
        <v>0.0</v>
      </c>
      <c r="FK49" s="6">
        <v>-8.06</v>
      </c>
      <c r="FL49" s="6">
        <v>-8.7</v>
      </c>
      <c r="FM49" s="6">
        <v>-17.38</v>
      </c>
      <c r="FN49" s="6">
        <v>0.0</v>
      </c>
      <c r="FO49" s="6">
        <v>112.0</v>
      </c>
      <c r="FP49" s="6">
        <v>220.0</v>
      </c>
      <c r="FQ49" s="6">
        <v>582.0</v>
      </c>
      <c r="FR49" s="6">
        <v>0.0</v>
      </c>
      <c r="FS49" s="6">
        <v>0.0</v>
      </c>
      <c r="FT49" s="6">
        <v>0.0</v>
      </c>
      <c r="FU49" s="6">
        <v>0.0</v>
      </c>
      <c r="FV49" s="6">
        <v>0.0</v>
      </c>
      <c r="FW49" s="6">
        <v>18.0</v>
      </c>
      <c r="FX49" s="6">
        <v>28.0</v>
      </c>
      <c r="FY49" s="6">
        <v>110.0</v>
      </c>
      <c r="FZ49" s="6">
        <v>0.0</v>
      </c>
      <c r="GA49" s="6">
        <v>3.04</v>
      </c>
      <c r="GB49" s="6">
        <v>5.26</v>
      </c>
      <c r="GC49" s="6">
        <v>18.24</v>
      </c>
      <c r="GD49" s="6">
        <v>-17.90485685</v>
      </c>
      <c r="GE49" s="1" t="s">
        <v>1351</v>
      </c>
      <c r="GF49" s="1" t="s">
        <v>1403</v>
      </c>
    </row>
    <row r="50">
      <c r="A50" s="1" t="s">
        <v>136</v>
      </c>
      <c r="B50" s="6">
        <v>4.0</v>
      </c>
      <c r="C50" s="6">
        <v>0.0</v>
      </c>
      <c r="D50" s="6">
        <v>2.0</v>
      </c>
      <c r="E50" s="6">
        <v>0.0</v>
      </c>
      <c r="F50" s="6">
        <v>507.9271</v>
      </c>
      <c r="G50" s="6">
        <v>1011.008</v>
      </c>
      <c r="H50" s="6">
        <v>2167.574</v>
      </c>
      <c r="I50" s="6">
        <v>3086.287</v>
      </c>
      <c r="J50" s="6">
        <v>3076.0</v>
      </c>
      <c r="K50" s="6">
        <v>7136.0</v>
      </c>
      <c r="L50" s="6">
        <v>13568.0</v>
      </c>
      <c r="M50" s="6">
        <v>17284.0</v>
      </c>
      <c r="N50" s="6">
        <v>71.0</v>
      </c>
      <c r="O50" s="6">
        <v>150.0</v>
      </c>
      <c r="P50" s="6">
        <v>298.0</v>
      </c>
      <c r="Q50" s="6">
        <v>444.0</v>
      </c>
      <c r="R50" s="6">
        <v>448.0</v>
      </c>
      <c r="S50" s="6">
        <v>1232.0</v>
      </c>
      <c r="T50" s="6">
        <v>2138.0</v>
      </c>
      <c r="U50" s="6">
        <v>3120.0</v>
      </c>
      <c r="V50" s="6">
        <v>29.2661</v>
      </c>
      <c r="W50" s="6">
        <v>76.2182</v>
      </c>
      <c r="X50" s="6">
        <v>139.013</v>
      </c>
      <c r="Y50" s="6">
        <v>202.644</v>
      </c>
      <c r="Z50" s="6">
        <v>312.2164</v>
      </c>
      <c r="AA50" s="6">
        <v>686.715</v>
      </c>
      <c r="AB50" s="6">
        <v>1192.898</v>
      </c>
      <c r="AC50" s="6">
        <v>1524.57</v>
      </c>
      <c r="AD50" s="6">
        <v>946.0</v>
      </c>
      <c r="AE50" s="6">
        <v>2280.0</v>
      </c>
      <c r="AF50" s="6">
        <v>3128.0</v>
      </c>
      <c r="AG50" s="6">
        <v>3338.0</v>
      </c>
      <c r="AH50" s="6">
        <v>54.0</v>
      </c>
      <c r="AI50" s="6">
        <v>110.0</v>
      </c>
      <c r="AJ50" s="6">
        <v>196.0</v>
      </c>
      <c r="AK50" s="6">
        <v>254.0</v>
      </c>
      <c r="AL50" s="6">
        <v>306.0</v>
      </c>
      <c r="AM50" s="6">
        <v>768.0</v>
      </c>
      <c r="AN50" s="6">
        <v>1076.0</v>
      </c>
      <c r="AO50" s="6">
        <v>1290.0</v>
      </c>
      <c r="AP50" s="6">
        <v>18.215</v>
      </c>
      <c r="AQ50" s="6">
        <v>46.431</v>
      </c>
      <c r="AR50" s="6">
        <v>70.2076</v>
      </c>
      <c r="AS50" s="6">
        <v>84.2878</v>
      </c>
      <c r="AT50" s="6">
        <v>168.1927</v>
      </c>
      <c r="AU50" s="6">
        <v>313.7738</v>
      </c>
      <c r="AV50" s="6">
        <v>584.4903</v>
      </c>
      <c r="AW50" s="6">
        <v>672.4843</v>
      </c>
      <c r="AX50" s="6">
        <v>800.0</v>
      </c>
      <c r="AY50" s="6">
        <v>1616.0</v>
      </c>
      <c r="AZ50" s="6">
        <v>2390.667</v>
      </c>
      <c r="BA50" s="6">
        <v>1976.667</v>
      </c>
      <c r="BB50" s="6">
        <v>23.33333</v>
      </c>
      <c r="BC50" s="6">
        <v>46.0</v>
      </c>
      <c r="BD50" s="6">
        <v>81.33333</v>
      </c>
      <c r="BE50" s="6">
        <v>96.66667</v>
      </c>
      <c r="BF50" s="6">
        <v>127.3333</v>
      </c>
      <c r="BG50" s="6">
        <v>309.3333</v>
      </c>
      <c r="BH50" s="6">
        <v>398.6667</v>
      </c>
      <c r="BI50" s="6">
        <v>442.0</v>
      </c>
      <c r="BJ50" s="6">
        <v>9.234533</v>
      </c>
      <c r="BK50" s="6">
        <v>21.6894</v>
      </c>
      <c r="BL50" s="6">
        <v>32.69573</v>
      </c>
      <c r="BM50" s="6">
        <v>34.31553</v>
      </c>
      <c r="BN50" s="6">
        <v>9.2416</v>
      </c>
      <c r="BO50" s="6">
        <v>15.504</v>
      </c>
      <c r="BP50" s="6">
        <v>29.944</v>
      </c>
      <c r="BQ50" s="6">
        <v>43.7456</v>
      </c>
      <c r="BR50" s="6">
        <v>49.0</v>
      </c>
      <c r="BS50" s="6">
        <v>84.0</v>
      </c>
      <c r="BT50" s="6">
        <v>133.0</v>
      </c>
      <c r="BU50" s="6">
        <v>119.0</v>
      </c>
      <c r="BV50" s="6">
        <v>1.0</v>
      </c>
      <c r="BW50" s="6">
        <v>2.0</v>
      </c>
      <c r="BX50" s="6">
        <v>4.0</v>
      </c>
      <c r="BY50" s="6">
        <v>6.0</v>
      </c>
      <c r="BZ50" s="6">
        <v>4.0</v>
      </c>
      <c r="CA50" s="6">
        <v>12.0</v>
      </c>
      <c r="CB50" s="6">
        <v>22.0</v>
      </c>
      <c r="CC50" s="6">
        <v>20.0</v>
      </c>
      <c r="CD50" s="6">
        <v>0.5625</v>
      </c>
      <c r="CE50" s="6">
        <v>1.155</v>
      </c>
      <c r="CF50" s="6">
        <v>2.01</v>
      </c>
      <c r="CG50" s="6">
        <v>2.25</v>
      </c>
      <c r="CH50" s="6">
        <v>10.9696</v>
      </c>
      <c r="CI50" s="6">
        <v>13.6688</v>
      </c>
      <c r="CJ50" s="6">
        <v>43.1088</v>
      </c>
      <c r="CK50" s="6">
        <v>53.96213</v>
      </c>
      <c r="CL50" s="6">
        <v>59.0</v>
      </c>
      <c r="CM50" s="6">
        <v>127.3333</v>
      </c>
      <c r="CN50" s="6">
        <v>185.0</v>
      </c>
      <c r="CO50" s="6">
        <v>209.3333</v>
      </c>
      <c r="CP50" s="6">
        <v>1.0</v>
      </c>
      <c r="CQ50" s="6">
        <v>1.666667</v>
      </c>
      <c r="CR50" s="6">
        <v>5.0</v>
      </c>
      <c r="CS50" s="6">
        <v>5.666667</v>
      </c>
      <c r="CT50" s="6">
        <v>3.666667</v>
      </c>
      <c r="CU50" s="6">
        <v>14.66667</v>
      </c>
      <c r="CV50" s="6">
        <v>24.0</v>
      </c>
      <c r="CW50" s="6">
        <v>18.0</v>
      </c>
      <c r="CX50" s="6">
        <v>0.542767</v>
      </c>
      <c r="CY50" s="6">
        <v>1.0739</v>
      </c>
      <c r="CZ50" s="6">
        <v>2.317767</v>
      </c>
      <c r="DA50" s="6">
        <v>2.3441</v>
      </c>
      <c r="DB50" s="6">
        <v>0.0</v>
      </c>
      <c r="DC50" s="6">
        <v>0.98</v>
      </c>
      <c r="DD50" s="6">
        <v>2.31</v>
      </c>
      <c r="DE50" s="6">
        <v>3.85</v>
      </c>
      <c r="DF50" s="6">
        <v>0.0</v>
      </c>
      <c r="DG50" s="6">
        <v>2.0</v>
      </c>
      <c r="DH50" s="6">
        <v>9.0</v>
      </c>
      <c r="DI50" s="6">
        <v>25.0</v>
      </c>
      <c r="DJ50" s="6">
        <v>0.0</v>
      </c>
      <c r="DK50" s="6">
        <v>0.0</v>
      </c>
      <c r="DL50" s="6">
        <v>0.0</v>
      </c>
      <c r="DM50" s="6">
        <v>0.0</v>
      </c>
      <c r="DN50" s="6">
        <v>0.0</v>
      </c>
      <c r="DO50" s="6">
        <v>-2.0</v>
      </c>
      <c r="DP50" s="6">
        <v>-3.0</v>
      </c>
      <c r="DQ50" s="6">
        <v>2.0</v>
      </c>
      <c r="DR50" s="6">
        <v>0.0</v>
      </c>
      <c r="DS50" s="6">
        <v>-0.04</v>
      </c>
      <c r="DT50" s="6">
        <v>0.32</v>
      </c>
      <c r="DU50" s="6">
        <v>1.5</v>
      </c>
      <c r="DV50" s="6">
        <v>0.0</v>
      </c>
      <c r="DW50" s="6">
        <v>1.063333</v>
      </c>
      <c r="DX50" s="6">
        <v>2.646667</v>
      </c>
      <c r="DY50" s="6">
        <v>1.323333</v>
      </c>
      <c r="DZ50" s="6">
        <v>0.0</v>
      </c>
      <c r="EA50" s="6">
        <v>-4.33333</v>
      </c>
      <c r="EB50" s="6">
        <v>12.66667</v>
      </c>
      <c r="EC50" s="6">
        <v>14.33333</v>
      </c>
      <c r="ED50" s="6">
        <v>0.0</v>
      </c>
      <c r="EE50" s="6">
        <v>0.0</v>
      </c>
      <c r="EF50" s="6">
        <v>0.0</v>
      </c>
      <c r="EG50" s="6">
        <v>0.0</v>
      </c>
      <c r="EH50" s="6">
        <v>0.0</v>
      </c>
      <c r="EI50" s="6">
        <v>-3.0</v>
      </c>
      <c r="EJ50" s="6">
        <v>0.333333</v>
      </c>
      <c r="EK50" s="6">
        <v>5.666667</v>
      </c>
      <c r="EL50" s="6">
        <v>0.0</v>
      </c>
      <c r="EM50" s="6">
        <v>-0.21333</v>
      </c>
      <c r="EN50" s="6">
        <v>0.58</v>
      </c>
      <c r="EO50" s="6">
        <v>1.046667</v>
      </c>
      <c r="EP50" s="6">
        <v>3.3489</v>
      </c>
      <c r="EQ50" s="6">
        <v>34.8432</v>
      </c>
      <c r="ER50" s="6">
        <v>56.1078</v>
      </c>
      <c r="ES50" s="6">
        <v>120.1578</v>
      </c>
      <c r="ET50" s="6">
        <v>676.0</v>
      </c>
      <c r="EU50" s="6">
        <v>1144.0</v>
      </c>
      <c r="EV50" s="6">
        <v>2392.0</v>
      </c>
      <c r="EW50" s="6">
        <v>2704.0</v>
      </c>
      <c r="EX50" s="6">
        <v>1.0</v>
      </c>
      <c r="EY50" s="6">
        <v>6.0</v>
      </c>
      <c r="EZ50" s="6">
        <v>12.0</v>
      </c>
      <c r="FA50" s="6">
        <v>26.0</v>
      </c>
      <c r="FB50" s="6">
        <v>36.0</v>
      </c>
      <c r="FC50" s="6">
        <v>108.0</v>
      </c>
      <c r="FD50" s="6">
        <v>264.0</v>
      </c>
      <c r="FE50" s="6">
        <v>312.0</v>
      </c>
      <c r="FF50" s="6">
        <v>1.5625</v>
      </c>
      <c r="FG50" s="6">
        <v>5.575</v>
      </c>
      <c r="FH50" s="6">
        <v>12.175</v>
      </c>
      <c r="FI50" s="6">
        <v>18.825</v>
      </c>
      <c r="FJ50" s="6">
        <v>0.0</v>
      </c>
      <c r="FK50" s="6">
        <v>-8.06</v>
      </c>
      <c r="FL50" s="6">
        <v>-8.7</v>
      </c>
      <c r="FM50" s="6">
        <v>-18.08</v>
      </c>
      <c r="FN50" s="6">
        <v>0.0</v>
      </c>
      <c r="FO50" s="6">
        <v>112.0</v>
      </c>
      <c r="FP50" s="6">
        <v>220.0</v>
      </c>
      <c r="FQ50" s="6">
        <v>572.0</v>
      </c>
      <c r="FR50" s="6">
        <v>0.0</v>
      </c>
      <c r="FS50" s="6">
        <v>0.0</v>
      </c>
      <c r="FT50" s="6">
        <v>0.0</v>
      </c>
      <c r="FU50" s="6">
        <v>0.0</v>
      </c>
      <c r="FV50" s="6">
        <v>0.0</v>
      </c>
      <c r="FW50" s="6">
        <v>18.0</v>
      </c>
      <c r="FX50" s="6">
        <v>28.0</v>
      </c>
      <c r="FY50" s="6">
        <v>104.0</v>
      </c>
      <c r="FZ50" s="6">
        <v>0.0</v>
      </c>
      <c r="GA50" s="6">
        <v>3.04</v>
      </c>
      <c r="GB50" s="6">
        <v>5.26</v>
      </c>
      <c r="GC50" s="6">
        <v>17.44</v>
      </c>
      <c r="GD50" s="6">
        <v>-14.6725889</v>
      </c>
      <c r="GE50" s="1" t="s">
        <v>1351</v>
      </c>
      <c r="GF50" s="1" t="s">
        <v>1404</v>
      </c>
    </row>
    <row r="51">
      <c r="A51" s="1" t="s">
        <v>138</v>
      </c>
      <c r="B51" s="6">
        <v>4.0</v>
      </c>
      <c r="C51" s="6">
        <v>0.0</v>
      </c>
      <c r="D51" s="6">
        <v>2.0</v>
      </c>
      <c r="E51" s="6">
        <v>0.0</v>
      </c>
      <c r="F51" s="6">
        <v>436.8421</v>
      </c>
      <c r="G51" s="6">
        <v>860.8638</v>
      </c>
      <c r="H51" s="6">
        <v>1836.55</v>
      </c>
      <c r="I51" s="6">
        <v>2485.928</v>
      </c>
      <c r="J51" s="6">
        <v>2992.0</v>
      </c>
      <c r="K51" s="6">
        <v>6908.0</v>
      </c>
      <c r="L51" s="6">
        <v>12928.0</v>
      </c>
      <c r="M51" s="6">
        <v>15584.0</v>
      </c>
      <c r="N51" s="6">
        <v>57.0</v>
      </c>
      <c r="O51" s="6">
        <v>124.0</v>
      </c>
      <c r="P51" s="6">
        <v>238.0</v>
      </c>
      <c r="Q51" s="6">
        <v>340.0</v>
      </c>
      <c r="R51" s="6">
        <v>362.0</v>
      </c>
      <c r="S51" s="6">
        <v>988.0</v>
      </c>
      <c r="T51" s="6">
        <v>1696.0</v>
      </c>
      <c r="U51" s="6">
        <v>2304.0</v>
      </c>
      <c r="V51" s="6">
        <v>26.4375</v>
      </c>
      <c r="W51" s="6">
        <v>68.2256</v>
      </c>
      <c r="X51" s="6">
        <v>123.3098</v>
      </c>
      <c r="Y51" s="6">
        <v>169.4008</v>
      </c>
      <c r="Z51" s="6">
        <v>241.1314</v>
      </c>
      <c r="AA51" s="6">
        <v>536.571</v>
      </c>
      <c r="AB51" s="6">
        <v>871.207</v>
      </c>
      <c r="AC51" s="6">
        <v>1048.633</v>
      </c>
      <c r="AD51" s="6">
        <v>862.0</v>
      </c>
      <c r="AE51" s="6">
        <v>2052.0</v>
      </c>
      <c r="AF51" s="6">
        <v>2800.0</v>
      </c>
      <c r="AG51" s="6">
        <v>2862.0</v>
      </c>
      <c r="AH51" s="6">
        <v>40.0</v>
      </c>
      <c r="AI51" s="6">
        <v>84.0</v>
      </c>
      <c r="AJ51" s="6">
        <v>138.0</v>
      </c>
      <c r="AK51" s="6">
        <v>170.0</v>
      </c>
      <c r="AL51" s="6">
        <v>222.0</v>
      </c>
      <c r="AM51" s="6">
        <v>548.0</v>
      </c>
      <c r="AN51" s="6">
        <v>764.0</v>
      </c>
      <c r="AO51" s="6">
        <v>834.0</v>
      </c>
      <c r="AP51" s="6">
        <v>15.3864</v>
      </c>
      <c r="AQ51" s="6">
        <v>38.4384</v>
      </c>
      <c r="AR51" s="6">
        <v>56.4294</v>
      </c>
      <c r="AS51" s="6">
        <v>63.383</v>
      </c>
      <c r="AT51" s="6">
        <v>144.4977</v>
      </c>
      <c r="AU51" s="6">
        <v>263.7258</v>
      </c>
      <c r="AV51" s="6">
        <v>477.2599</v>
      </c>
      <c r="AW51" s="6">
        <v>513.8386</v>
      </c>
      <c r="AX51" s="6">
        <v>772.0</v>
      </c>
      <c r="AY51" s="6">
        <v>1540.0</v>
      </c>
      <c r="AZ51" s="6">
        <v>2281.333</v>
      </c>
      <c r="BA51" s="6">
        <v>1818.0</v>
      </c>
      <c r="BB51" s="6">
        <v>18.66667</v>
      </c>
      <c r="BC51" s="6">
        <v>37.33333</v>
      </c>
      <c r="BD51" s="6">
        <v>62.0</v>
      </c>
      <c r="BE51" s="6">
        <v>68.66667</v>
      </c>
      <c r="BF51" s="6">
        <v>99.33333</v>
      </c>
      <c r="BG51" s="6">
        <v>236.0</v>
      </c>
      <c r="BH51" s="6">
        <v>294.6667</v>
      </c>
      <c r="BI51" s="6">
        <v>290.0</v>
      </c>
      <c r="BJ51" s="6">
        <v>8.291667</v>
      </c>
      <c r="BK51" s="6">
        <v>19.0252</v>
      </c>
      <c r="BL51" s="6">
        <v>28.103</v>
      </c>
      <c r="BM51" s="6">
        <v>27.34727</v>
      </c>
      <c r="BN51" s="6">
        <v>9.2416</v>
      </c>
      <c r="BO51" s="6">
        <v>19.38</v>
      </c>
      <c r="BP51" s="6">
        <v>46.132</v>
      </c>
      <c r="BQ51" s="6">
        <v>36.0544</v>
      </c>
      <c r="BR51" s="6">
        <v>49.0</v>
      </c>
      <c r="BS51" s="6">
        <v>105.0</v>
      </c>
      <c r="BT51" s="6">
        <v>133.0</v>
      </c>
      <c r="BU51" s="6">
        <v>164.5</v>
      </c>
      <c r="BV51" s="6">
        <v>1.0</v>
      </c>
      <c r="BW51" s="6">
        <v>2.5</v>
      </c>
      <c r="BX51" s="6">
        <v>6.5</v>
      </c>
      <c r="BY51" s="6">
        <v>4.5</v>
      </c>
      <c r="BZ51" s="6">
        <v>6.5</v>
      </c>
      <c r="CA51" s="6">
        <v>24.0</v>
      </c>
      <c r="CB51" s="6">
        <v>29.5</v>
      </c>
      <c r="CC51" s="6">
        <v>25.0</v>
      </c>
      <c r="CD51" s="6">
        <v>0.5625</v>
      </c>
      <c r="CE51" s="6">
        <v>1.44375</v>
      </c>
      <c r="CF51" s="6">
        <v>2.55375</v>
      </c>
      <c r="CG51" s="6">
        <v>2.27625</v>
      </c>
      <c r="CH51" s="6">
        <v>10.9696</v>
      </c>
      <c r="CI51" s="6">
        <v>11.0848</v>
      </c>
      <c r="CJ51" s="6">
        <v>31.7848</v>
      </c>
      <c r="CK51" s="6">
        <v>44.79653</v>
      </c>
      <c r="CL51" s="6">
        <v>59.0</v>
      </c>
      <c r="CM51" s="6">
        <v>113.3333</v>
      </c>
      <c r="CN51" s="6">
        <v>167.5</v>
      </c>
      <c r="CO51" s="6">
        <v>198.8333</v>
      </c>
      <c r="CP51" s="6">
        <v>1.0</v>
      </c>
      <c r="CQ51" s="6">
        <v>1.333333</v>
      </c>
      <c r="CR51" s="6">
        <v>3.333333</v>
      </c>
      <c r="CS51" s="6">
        <v>4.333333</v>
      </c>
      <c r="CT51" s="6">
        <v>2.0</v>
      </c>
      <c r="CU51" s="6">
        <v>6.666667</v>
      </c>
      <c r="CV51" s="6">
        <v>12.0</v>
      </c>
      <c r="CW51" s="6">
        <v>10.33333</v>
      </c>
      <c r="CX51" s="6">
        <v>0.542767</v>
      </c>
      <c r="CY51" s="6">
        <v>0.8814</v>
      </c>
      <c r="CZ51" s="6">
        <v>1.805267</v>
      </c>
      <c r="DA51" s="6">
        <v>1.9766</v>
      </c>
      <c r="DB51" s="6">
        <v>0.0</v>
      </c>
      <c r="DC51" s="6">
        <v>1.225</v>
      </c>
      <c r="DD51" s="6">
        <v>4.585</v>
      </c>
      <c r="DE51" s="6">
        <v>1.82</v>
      </c>
      <c r="DF51" s="6">
        <v>0.0</v>
      </c>
      <c r="DG51" s="6">
        <v>2.5</v>
      </c>
      <c r="DH51" s="6">
        <v>26.5</v>
      </c>
      <c r="DI51" s="6">
        <v>8.0</v>
      </c>
      <c r="DJ51" s="6">
        <v>0.0</v>
      </c>
      <c r="DK51" s="6">
        <v>0.0</v>
      </c>
      <c r="DL51" s="6">
        <v>0.0</v>
      </c>
      <c r="DM51" s="6">
        <v>0.0</v>
      </c>
      <c r="DN51" s="6">
        <v>0.0</v>
      </c>
      <c r="DO51" s="6">
        <v>-2.5</v>
      </c>
      <c r="DP51" s="6">
        <v>6.0</v>
      </c>
      <c r="DQ51" s="6">
        <v>1.0</v>
      </c>
      <c r="DR51" s="6">
        <v>0.0</v>
      </c>
      <c r="DS51" s="6">
        <v>-0.05</v>
      </c>
      <c r="DT51" s="6">
        <v>1.47</v>
      </c>
      <c r="DU51" s="6">
        <v>0.34</v>
      </c>
      <c r="DV51" s="6">
        <v>0.0</v>
      </c>
      <c r="DW51" s="6">
        <v>0.9</v>
      </c>
      <c r="DX51" s="6">
        <v>1.305</v>
      </c>
      <c r="DY51" s="6">
        <v>0.285</v>
      </c>
      <c r="DZ51" s="6">
        <v>0.0</v>
      </c>
      <c r="EA51" s="6">
        <v>-4.66667</v>
      </c>
      <c r="EB51" s="6">
        <v>3.5</v>
      </c>
      <c r="EC51" s="6">
        <v>6.5</v>
      </c>
      <c r="ED51" s="6">
        <v>0.0</v>
      </c>
      <c r="EE51" s="6">
        <v>0.0</v>
      </c>
      <c r="EF51" s="6">
        <v>0.0</v>
      </c>
      <c r="EG51" s="6">
        <v>0.0</v>
      </c>
      <c r="EH51" s="6">
        <v>0.0</v>
      </c>
      <c r="EI51" s="6">
        <v>-2.66667</v>
      </c>
      <c r="EJ51" s="6">
        <v>-3.33333</v>
      </c>
      <c r="EK51" s="6">
        <v>0.5</v>
      </c>
      <c r="EL51" s="6">
        <v>0.0</v>
      </c>
      <c r="EM51" s="6">
        <v>-0.20667</v>
      </c>
      <c r="EN51" s="6">
        <v>0.013333</v>
      </c>
      <c r="EO51" s="6">
        <v>0.536667</v>
      </c>
      <c r="EP51" s="6">
        <v>3.3489</v>
      </c>
      <c r="EQ51" s="6">
        <v>34.8432</v>
      </c>
      <c r="ER51" s="6">
        <v>51.4413</v>
      </c>
      <c r="ES51" s="6">
        <v>98.7468</v>
      </c>
      <c r="ET51" s="6">
        <v>676.0</v>
      </c>
      <c r="EU51" s="6">
        <v>1144.0</v>
      </c>
      <c r="EV51" s="6">
        <v>2236.0</v>
      </c>
      <c r="EW51" s="6">
        <v>2314.0</v>
      </c>
      <c r="EX51" s="6">
        <v>1.0</v>
      </c>
      <c r="EY51" s="6">
        <v>6.0</v>
      </c>
      <c r="EZ51" s="6">
        <v>11.0</v>
      </c>
      <c r="FA51" s="6">
        <v>21.0</v>
      </c>
      <c r="FB51" s="6">
        <v>36.0</v>
      </c>
      <c r="FC51" s="6">
        <v>102.0</v>
      </c>
      <c r="FD51" s="6">
        <v>228.0</v>
      </c>
      <c r="FE51" s="6">
        <v>234.0</v>
      </c>
      <c r="FF51" s="6">
        <v>1.5625</v>
      </c>
      <c r="FG51" s="6">
        <v>5.575</v>
      </c>
      <c r="FH51" s="6">
        <v>11.2125</v>
      </c>
      <c r="FI51" s="6">
        <v>15.5125</v>
      </c>
      <c r="FJ51" s="6">
        <v>0.0</v>
      </c>
      <c r="FK51" s="6">
        <v>-8.06</v>
      </c>
      <c r="FL51" s="6">
        <v>-7.98</v>
      </c>
      <c r="FM51" s="6">
        <v>-15.53</v>
      </c>
      <c r="FN51" s="6">
        <v>0.0</v>
      </c>
      <c r="FO51" s="6">
        <v>112.0</v>
      </c>
      <c r="FP51" s="6">
        <v>200.0</v>
      </c>
      <c r="FQ51" s="6">
        <v>457.0</v>
      </c>
      <c r="FR51" s="6">
        <v>0.0</v>
      </c>
      <c r="FS51" s="6">
        <v>0.0</v>
      </c>
      <c r="FT51" s="6">
        <v>0.0</v>
      </c>
      <c r="FU51" s="6">
        <v>0.0</v>
      </c>
      <c r="FV51" s="6">
        <v>0.0</v>
      </c>
      <c r="FW51" s="6">
        <v>19.0</v>
      </c>
      <c r="FX51" s="6">
        <v>28.0</v>
      </c>
      <c r="FY51" s="6">
        <v>87.0</v>
      </c>
      <c r="FZ51" s="6">
        <v>0.0</v>
      </c>
      <c r="GA51" s="6">
        <v>3.04</v>
      </c>
      <c r="GB51" s="6">
        <v>4.78</v>
      </c>
      <c r="GC51" s="6">
        <v>13.84</v>
      </c>
      <c r="GD51" s="6">
        <v>-13.53869098</v>
      </c>
      <c r="GE51" s="1" t="s">
        <v>1351</v>
      </c>
      <c r="GF51" s="1" t="s">
        <v>1405</v>
      </c>
    </row>
    <row r="52">
      <c r="A52" s="1" t="s">
        <v>140</v>
      </c>
      <c r="B52" s="6">
        <v>2.0</v>
      </c>
      <c r="C52" s="6">
        <v>0.0</v>
      </c>
      <c r="D52" s="6">
        <v>1.5</v>
      </c>
      <c r="E52" s="6">
        <v>0.0</v>
      </c>
      <c r="F52" s="6">
        <v>507.5379</v>
      </c>
      <c r="G52" s="6">
        <v>976.9908</v>
      </c>
      <c r="H52" s="6">
        <v>1947.914</v>
      </c>
      <c r="I52" s="6">
        <v>2573.952</v>
      </c>
      <c r="J52" s="6">
        <v>3370.0</v>
      </c>
      <c r="K52" s="6">
        <v>7544.0</v>
      </c>
      <c r="L52" s="6">
        <v>13424.0</v>
      </c>
      <c r="M52" s="6">
        <v>16480.0</v>
      </c>
      <c r="N52" s="6">
        <v>65.0</v>
      </c>
      <c r="O52" s="6">
        <v>140.0</v>
      </c>
      <c r="P52" s="6">
        <v>250.0</v>
      </c>
      <c r="Q52" s="6">
        <v>344.0</v>
      </c>
      <c r="R52" s="6">
        <v>390.0</v>
      </c>
      <c r="S52" s="6">
        <v>1028.0</v>
      </c>
      <c r="T52" s="6">
        <v>1628.0</v>
      </c>
      <c r="U52" s="6">
        <v>2124.0</v>
      </c>
      <c r="V52" s="6">
        <v>31.0031</v>
      </c>
      <c r="W52" s="6">
        <v>77.558</v>
      </c>
      <c r="X52" s="6">
        <v>132.1018</v>
      </c>
      <c r="Y52" s="6">
        <v>172.8236</v>
      </c>
      <c r="Z52" s="6">
        <v>155.9136</v>
      </c>
      <c r="AA52" s="6">
        <v>326.349</v>
      </c>
      <c r="AB52" s="6">
        <v>495.952</v>
      </c>
      <c r="AC52" s="6">
        <v>595.1796</v>
      </c>
      <c r="AD52" s="6">
        <v>620.0</v>
      </c>
      <c r="AE52" s="6">
        <v>1344.0</v>
      </c>
      <c r="AF52" s="6">
        <v>1804.0</v>
      </c>
      <c r="AG52" s="6">
        <v>1786.0</v>
      </c>
      <c r="AH52" s="6">
        <v>24.0</v>
      </c>
      <c r="AI52" s="6">
        <v>50.0</v>
      </c>
      <c r="AJ52" s="6">
        <v>76.0</v>
      </c>
      <c r="AK52" s="6">
        <v>92.0</v>
      </c>
      <c r="AL52" s="6">
        <v>126.0</v>
      </c>
      <c r="AM52" s="6">
        <v>306.0</v>
      </c>
      <c r="AN52" s="6">
        <v>404.0</v>
      </c>
      <c r="AO52" s="6">
        <v>384.0</v>
      </c>
      <c r="AP52" s="6">
        <v>9.976</v>
      </c>
      <c r="AQ52" s="6">
        <v>23.8854</v>
      </c>
      <c r="AR52" s="6">
        <v>33.5732</v>
      </c>
      <c r="AS52" s="6">
        <v>34.9296</v>
      </c>
      <c r="AT52" s="6">
        <v>126.0473</v>
      </c>
      <c r="AU52" s="6">
        <v>226.8261</v>
      </c>
      <c r="AV52" s="6">
        <v>388.1192</v>
      </c>
      <c r="AW52" s="6">
        <v>420.8106</v>
      </c>
      <c r="AX52" s="6">
        <v>673.5</v>
      </c>
      <c r="AY52" s="6">
        <v>1314.0</v>
      </c>
      <c r="AZ52" s="6">
        <v>1913.0</v>
      </c>
      <c r="BA52" s="6">
        <v>1541.0</v>
      </c>
      <c r="BB52" s="6">
        <v>16.0</v>
      </c>
      <c r="BC52" s="6">
        <v>32.0</v>
      </c>
      <c r="BD52" s="6">
        <v>50.0</v>
      </c>
      <c r="BE52" s="6">
        <v>55.0</v>
      </c>
      <c r="BF52" s="6">
        <v>82.0</v>
      </c>
      <c r="BG52" s="6">
        <v>193.0</v>
      </c>
      <c r="BH52" s="6">
        <v>232.0</v>
      </c>
      <c r="BI52" s="6">
        <v>201.0</v>
      </c>
      <c r="BJ52" s="6">
        <v>7.36015</v>
      </c>
      <c r="BK52" s="6">
        <v>16.602</v>
      </c>
      <c r="BL52" s="6">
        <v>23.7565</v>
      </c>
      <c r="BM52" s="6">
        <v>22.1295</v>
      </c>
      <c r="BN52" s="6">
        <v>9.2416</v>
      </c>
      <c r="BO52" s="6">
        <v>15.504</v>
      </c>
      <c r="BP52" s="6">
        <v>29.944</v>
      </c>
      <c r="BQ52" s="6">
        <v>37.0576</v>
      </c>
      <c r="BR52" s="6">
        <v>49.0</v>
      </c>
      <c r="BS52" s="6">
        <v>84.0</v>
      </c>
      <c r="BT52" s="6">
        <v>133.0</v>
      </c>
      <c r="BU52" s="6">
        <v>112.0</v>
      </c>
      <c r="BV52" s="6">
        <v>1.0</v>
      </c>
      <c r="BW52" s="6">
        <v>2.0</v>
      </c>
      <c r="BX52" s="6">
        <v>4.0</v>
      </c>
      <c r="BY52" s="6">
        <v>5.0</v>
      </c>
      <c r="BZ52" s="6">
        <v>4.0</v>
      </c>
      <c r="CA52" s="6">
        <v>12.0</v>
      </c>
      <c r="CB52" s="6">
        <v>20.0</v>
      </c>
      <c r="CC52" s="6">
        <v>16.0</v>
      </c>
      <c r="CD52" s="6">
        <v>0.5625</v>
      </c>
      <c r="CE52" s="6">
        <v>1.155</v>
      </c>
      <c r="CF52" s="6">
        <v>2.01</v>
      </c>
      <c r="CG52" s="6">
        <v>1.9725</v>
      </c>
      <c r="CH52" s="6">
        <v>10.5376</v>
      </c>
      <c r="CI52" s="6">
        <v>12.1896</v>
      </c>
      <c r="CJ52" s="6">
        <v>31.1916</v>
      </c>
      <c r="CK52" s="6">
        <v>46.1792</v>
      </c>
      <c r="CL52" s="6">
        <v>56.5</v>
      </c>
      <c r="CM52" s="6">
        <v>106.0</v>
      </c>
      <c r="CN52" s="6">
        <v>154.5</v>
      </c>
      <c r="CO52" s="6">
        <v>230.5</v>
      </c>
      <c r="CP52" s="6">
        <v>1.0</v>
      </c>
      <c r="CQ52" s="6">
        <v>1.5</v>
      </c>
      <c r="CR52" s="6">
        <v>3.5</v>
      </c>
      <c r="CS52" s="6">
        <v>4.5</v>
      </c>
      <c r="CT52" s="6">
        <v>2.5</v>
      </c>
      <c r="CU52" s="6">
        <v>8.0</v>
      </c>
      <c r="CV52" s="6">
        <v>13.0</v>
      </c>
      <c r="CW52" s="6">
        <v>14.5</v>
      </c>
      <c r="CX52" s="6">
        <v>0.5477</v>
      </c>
      <c r="CY52" s="6">
        <v>0.9498</v>
      </c>
      <c r="CZ52" s="6">
        <v>1.81895</v>
      </c>
      <c r="DA52" s="6">
        <v>2.32995</v>
      </c>
      <c r="DB52" s="6">
        <v>0.0</v>
      </c>
      <c r="DC52" s="6">
        <v>0.98</v>
      </c>
      <c r="DD52" s="6">
        <v>2.31</v>
      </c>
      <c r="DE52" s="6">
        <v>3.01</v>
      </c>
      <c r="DF52" s="6">
        <v>0.0</v>
      </c>
      <c r="DG52" s="6">
        <v>2.0</v>
      </c>
      <c r="DH52" s="6">
        <v>9.0</v>
      </c>
      <c r="DI52" s="6">
        <v>19.0</v>
      </c>
      <c r="DJ52" s="6">
        <v>0.0</v>
      </c>
      <c r="DK52" s="6">
        <v>0.0</v>
      </c>
      <c r="DL52" s="6">
        <v>0.0</v>
      </c>
      <c r="DM52" s="6">
        <v>0.0</v>
      </c>
      <c r="DN52" s="6">
        <v>0.0</v>
      </c>
      <c r="DO52" s="6">
        <v>-2.0</v>
      </c>
      <c r="DP52" s="6">
        <v>-2.0</v>
      </c>
      <c r="DQ52" s="6">
        <v>2.0</v>
      </c>
      <c r="DR52" s="6">
        <v>0.0</v>
      </c>
      <c r="DS52" s="6">
        <v>-0.04</v>
      </c>
      <c r="DT52" s="6">
        <v>0.32</v>
      </c>
      <c r="DU52" s="6">
        <v>1.12</v>
      </c>
      <c r="DV52" s="6">
        <v>0.0</v>
      </c>
      <c r="DW52" s="6">
        <v>0.92</v>
      </c>
      <c r="DX52" s="6">
        <v>1.6</v>
      </c>
      <c r="DY52" s="6">
        <v>-0.125</v>
      </c>
      <c r="DZ52" s="6">
        <v>0.0</v>
      </c>
      <c r="EA52" s="6">
        <v>-3.0</v>
      </c>
      <c r="EB52" s="6">
        <v>5.5</v>
      </c>
      <c r="EC52" s="6">
        <v>2.0</v>
      </c>
      <c r="ED52" s="6">
        <v>0.0</v>
      </c>
      <c r="EE52" s="6">
        <v>0.0</v>
      </c>
      <c r="EF52" s="6">
        <v>0.0</v>
      </c>
      <c r="EG52" s="6">
        <v>0.0</v>
      </c>
      <c r="EH52" s="6">
        <v>0.0</v>
      </c>
      <c r="EI52" s="6">
        <v>-2.5</v>
      </c>
      <c r="EJ52" s="6">
        <v>-2.5</v>
      </c>
      <c r="EK52" s="6">
        <v>-0.5</v>
      </c>
      <c r="EL52" s="6">
        <v>0.0</v>
      </c>
      <c r="EM52" s="6">
        <v>-0.165</v>
      </c>
      <c r="EN52" s="6">
        <v>0.14</v>
      </c>
      <c r="EO52" s="6">
        <v>0.21</v>
      </c>
      <c r="EP52" s="6">
        <v>3.3489</v>
      </c>
      <c r="EQ52" s="6">
        <v>34.8432</v>
      </c>
      <c r="ER52" s="6">
        <v>46.7748</v>
      </c>
      <c r="ES52" s="6">
        <v>87.9498</v>
      </c>
      <c r="ET52" s="6">
        <v>676.0</v>
      </c>
      <c r="EU52" s="6">
        <v>1144.0</v>
      </c>
      <c r="EV52" s="6">
        <v>2080.0</v>
      </c>
      <c r="EW52" s="6">
        <v>2496.0</v>
      </c>
      <c r="EX52" s="6">
        <v>1.0</v>
      </c>
      <c r="EY52" s="6">
        <v>6.0</v>
      </c>
      <c r="EZ52" s="6">
        <v>10.0</v>
      </c>
      <c r="FA52" s="6">
        <v>18.0</v>
      </c>
      <c r="FB52" s="6">
        <v>36.0</v>
      </c>
      <c r="FC52" s="6">
        <v>96.0</v>
      </c>
      <c r="FD52" s="6">
        <v>192.0</v>
      </c>
      <c r="FE52" s="6">
        <v>240.0</v>
      </c>
      <c r="FF52" s="6">
        <v>1.5625</v>
      </c>
      <c r="FG52" s="6">
        <v>5.575</v>
      </c>
      <c r="FH52" s="6">
        <v>10.25</v>
      </c>
      <c r="FI52" s="6">
        <v>15.125</v>
      </c>
      <c r="FJ52" s="6">
        <v>0.0</v>
      </c>
      <c r="FK52" s="6">
        <v>-8.06</v>
      </c>
      <c r="FL52" s="6">
        <v>-7.26</v>
      </c>
      <c r="FM52" s="6">
        <v>-15.12</v>
      </c>
      <c r="FN52" s="6">
        <v>0.0</v>
      </c>
      <c r="FO52" s="6">
        <v>112.0</v>
      </c>
      <c r="FP52" s="6">
        <v>180.0</v>
      </c>
      <c r="FQ52" s="6">
        <v>372.0</v>
      </c>
      <c r="FR52" s="6">
        <v>0.0</v>
      </c>
      <c r="FS52" s="6">
        <v>0.0</v>
      </c>
      <c r="FT52" s="6">
        <v>0.0</v>
      </c>
      <c r="FU52" s="6">
        <v>0.0</v>
      </c>
      <c r="FV52" s="6">
        <v>0.0</v>
      </c>
      <c r="FW52" s="6">
        <v>20.0</v>
      </c>
      <c r="FX52" s="6">
        <v>28.0</v>
      </c>
      <c r="FY52" s="6">
        <v>68.0</v>
      </c>
      <c r="FZ52" s="6">
        <v>0.0</v>
      </c>
      <c r="GA52" s="6">
        <v>3.04</v>
      </c>
      <c r="GB52" s="6">
        <v>4.3</v>
      </c>
      <c r="GC52" s="6">
        <v>10.4</v>
      </c>
      <c r="GD52" s="6">
        <v>-11.27466015</v>
      </c>
      <c r="GE52" s="1" t="s">
        <v>1356</v>
      </c>
      <c r="GF52" s="1" t="s">
        <v>1406</v>
      </c>
    </row>
    <row r="53">
      <c r="A53" s="1" t="s">
        <v>143</v>
      </c>
      <c r="B53" s="6">
        <v>4.0</v>
      </c>
      <c r="C53" s="6">
        <v>0.0</v>
      </c>
      <c r="D53" s="6">
        <v>2.0</v>
      </c>
      <c r="E53" s="6">
        <v>0.0</v>
      </c>
      <c r="F53" s="6">
        <v>537.2621</v>
      </c>
      <c r="G53" s="6">
        <v>1105.613</v>
      </c>
      <c r="H53" s="6">
        <v>2335.702</v>
      </c>
      <c r="I53" s="6">
        <v>3370.704</v>
      </c>
      <c r="J53" s="6">
        <v>3290.0</v>
      </c>
      <c r="K53" s="6">
        <v>7760.0</v>
      </c>
      <c r="L53" s="6">
        <v>14728.0</v>
      </c>
      <c r="M53" s="6">
        <v>18910.0</v>
      </c>
      <c r="N53" s="6">
        <v>75.0</v>
      </c>
      <c r="O53" s="6">
        <v>164.0</v>
      </c>
      <c r="P53" s="6">
        <v>322.0</v>
      </c>
      <c r="Q53" s="6">
        <v>488.0</v>
      </c>
      <c r="R53" s="6">
        <v>486.0</v>
      </c>
      <c r="S53" s="6">
        <v>1356.0</v>
      </c>
      <c r="T53" s="6">
        <v>2382.0</v>
      </c>
      <c r="U53" s="6">
        <v>3430.0</v>
      </c>
      <c r="V53" s="6">
        <v>32.5497</v>
      </c>
      <c r="W53" s="6">
        <v>85.7508</v>
      </c>
      <c r="X53" s="6">
        <v>157.5122</v>
      </c>
      <c r="Y53" s="6">
        <v>227.6484</v>
      </c>
      <c r="Z53" s="6">
        <v>341.5514</v>
      </c>
      <c r="AA53" s="6">
        <v>781.32</v>
      </c>
      <c r="AB53" s="6">
        <v>1361.026</v>
      </c>
      <c r="AC53" s="6">
        <v>1825.091</v>
      </c>
      <c r="AD53" s="6">
        <v>1160.0</v>
      </c>
      <c r="AE53" s="6">
        <v>2904.0</v>
      </c>
      <c r="AF53" s="6">
        <v>4288.0</v>
      </c>
      <c r="AG53" s="6">
        <v>5068.0</v>
      </c>
      <c r="AH53" s="6">
        <v>58.0</v>
      </c>
      <c r="AI53" s="6">
        <v>124.0</v>
      </c>
      <c r="AJ53" s="6">
        <v>220.0</v>
      </c>
      <c r="AK53" s="6">
        <v>302.0</v>
      </c>
      <c r="AL53" s="6">
        <v>344.0</v>
      </c>
      <c r="AM53" s="6">
        <v>896.0</v>
      </c>
      <c r="AN53" s="6">
        <v>1356.0</v>
      </c>
      <c r="AO53" s="6">
        <v>1652.0</v>
      </c>
      <c r="AP53" s="6">
        <v>21.4986</v>
      </c>
      <c r="AQ53" s="6">
        <v>55.9636</v>
      </c>
      <c r="AR53" s="6">
        <v>88.7068</v>
      </c>
      <c r="AS53" s="6">
        <v>111.1422</v>
      </c>
      <c r="AT53" s="6">
        <v>177.9711</v>
      </c>
      <c r="AU53" s="6">
        <v>345.3088</v>
      </c>
      <c r="AV53" s="6">
        <v>640.5329</v>
      </c>
      <c r="AW53" s="6">
        <v>772.6579</v>
      </c>
      <c r="AX53" s="6">
        <v>871.3333</v>
      </c>
      <c r="AY53" s="6">
        <v>1824.0</v>
      </c>
      <c r="AZ53" s="6">
        <v>2777.333</v>
      </c>
      <c r="BA53" s="6">
        <v>2553.333</v>
      </c>
      <c r="BB53" s="6">
        <v>24.66667</v>
      </c>
      <c r="BC53" s="6">
        <v>50.66667</v>
      </c>
      <c r="BD53" s="6">
        <v>89.33333</v>
      </c>
      <c r="BE53" s="6">
        <v>112.6667</v>
      </c>
      <c r="BF53" s="6">
        <v>140.0</v>
      </c>
      <c r="BG53" s="6">
        <v>352.0</v>
      </c>
      <c r="BH53" s="6">
        <v>492.0</v>
      </c>
      <c r="BI53" s="6">
        <v>562.6667</v>
      </c>
      <c r="BJ53" s="6">
        <v>10.32907</v>
      </c>
      <c r="BK53" s="6">
        <v>24.86693</v>
      </c>
      <c r="BL53" s="6">
        <v>38.86213</v>
      </c>
      <c r="BM53" s="6">
        <v>43.267</v>
      </c>
      <c r="BN53" s="6">
        <v>9.2416</v>
      </c>
      <c r="BO53" s="6">
        <v>19.38</v>
      </c>
      <c r="BP53" s="6">
        <v>43.852</v>
      </c>
      <c r="BQ53" s="6">
        <v>57.7144</v>
      </c>
      <c r="BR53" s="6">
        <v>49.0</v>
      </c>
      <c r="BS53" s="6">
        <v>105.0</v>
      </c>
      <c r="BT53" s="6">
        <v>164.5</v>
      </c>
      <c r="BU53" s="6">
        <v>238.0</v>
      </c>
      <c r="BV53" s="6">
        <v>1.0</v>
      </c>
      <c r="BW53" s="6">
        <v>2.5</v>
      </c>
      <c r="BX53" s="6">
        <v>6.0</v>
      </c>
      <c r="BY53" s="6">
        <v>7.5</v>
      </c>
      <c r="BZ53" s="6">
        <v>6.5</v>
      </c>
      <c r="CA53" s="6">
        <v>22.5</v>
      </c>
      <c r="CB53" s="6">
        <v>37.0</v>
      </c>
      <c r="CC53" s="6">
        <v>47.5</v>
      </c>
      <c r="CD53" s="6">
        <v>0.5625</v>
      </c>
      <c r="CE53" s="6">
        <v>1.44375</v>
      </c>
      <c r="CF53" s="6">
        <v>2.715</v>
      </c>
      <c r="CG53" s="6">
        <v>3.55875</v>
      </c>
      <c r="CH53" s="6">
        <v>10.9696</v>
      </c>
      <c r="CI53" s="6">
        <v>12.3768</v>
      </c>
      <c r="CJ53" s="6">
        <v>36.24347</v>
      </c>
      <c r="CK53" s="6">
        <v>46.62053</v>
      </c>
      <c r="CL53" s="6">
        <v>59.0</v>
      </c>
      <c r="CM53" s="6">
        <v>120.3333</v>
      </c>
      <c r="CN53" s="6">
        <v>172.1667</v>
      </c>
      <c r="CO53" s="6">
        <v>223.3333</v>
      </c>
      <c r="CP53" s="6">
        <v>1.0</v>
      </c>
      <c r="CQ53" s="6">
        <v>1.5</v>
      </c>
      <c r="CR53" s="6">
        <v>4.0</v>
      </c>
      <c r="CS53" s="6">
        <v>4.5</v>
      </c>
      <c r="CT53" s="6">
        <v>2.833333</v>
      </c>
      <c r="CU53" s="6">
        <v>10.16667</v>
      </c>
      <c r="CV53" s="6">
        <v>16.33333</v>
      </c>
      <c r="CW53" s="6">
        <v>17.83333</v>
      </c>
      <c r="CX53" s="6">
        <v>0.542767</v>
      </c>
      <c r="CY53" s="6">
        <v>0.97765</v>
      </c>
      <c r="CZ53" s="6">
        <v>1.990267</v>
      </c>
      <c r="DA53" s="6">
        <v>2.22285</v>
      </c>
      <c r="DB53" s="6">
        <v>0.0</v>
      </c>
      <c r="DC53" s="6">
        <v>1.225</v>
      </c>
      <c r="DD53" s="6">
        <v>3.815</v>
      </c>
      <c r="DE53" s="6">
        <v>3.815</v>
      </c>
      <c r="DF53" s="6">
        <v>0.0</v>
      </c>
      <c r="DG53" s="6">
        <v>2.5</v>
      </c>
      <c r="DH53" s="6">
        <v>18.5</v>
      </c>
      <c r="DI53" s="6">
        <v>18.5</v>
      </c>
      <c r="DJ53" s="6">
        <v>0.0</v>
      </c>
      <c r="DK53" s="6">
        <v>0.0</v>
      </c>
      <c r="DL53" s="6">
        <v>0.0</v>
      </c>
      <c r="DM53" s="6">
        <v>0.0</v>
      </c>
      <c r="DN53" s="6">
        <v>0.0</v>
      </c>
      <c r="DO53" s="6">
        <v>-2.0</v>
      </c>
      <c r="DP53" s="6">
        <v>2.0</v>
      </c>
      <c r="DQ53" s="6">
        <v>2.0</v>
      </c>
      <c r="DR53" s="6">
        <v>0.0</v>
      </c>
      <c r="DS53" s="6">
        <v>-0.05</v>
      </c>
      <c r="DT53" s="6">
        <v>0.88</v>
      </c>
      <c r="DU53" s="6">
        <v>0.88</v>
      </c>
      <c r="DV53" s="6">
        <v>0.0</v>
      </c>
      <c r="DW53" s="6">
        <v>0.981667</v>
      </c>
      <c r="DX53" s="6">
        <v>1.865</v>
      </c>
      <c r="DY53" s="6">
        <v>0.191667</v>
      </c>
      <c r="DZ53" s="6">
        <v>0.0</v>
      </c>
      <c r="EA53" s="6">
        <v>-4.5</v>
      </c>
      <c r="EB53" s="6">
        <v>7.5</v>
      </c>
      <c r="EC53" s="6">
        <v>4.166667</v>
      </c>
      <c r="ED53" s="6">
        <v>0.0</v>
      </c>
      <c r="EE53" s="6">
        <v>0.0</v>
      </c>
      <c r="EF53" s="6">
        <v>0.0</v>
      </c>
      <c r="EG53" s="6">
        <v>0.0</v>
      </c>
      <c r="EH53" s="6">
        <v>0.0</v>
      </c>
      <c r="EI53" s="6">
        <v>-2.66667</v>
      </c>
      <c r="EJ53" s="6">
        <v>-1.33333</v>
      </c>
      <c r="EK53" s="6">
        <v>0.666667</v>
      </c>
      <c r="EL53" s="6">
        <v>0.0</v>
      </c>
      <c r="EM53" s="6">
        <v>-0.21</v>
      </c>
      <c r="EN53" s="6">
        <v>0.266667</v>
      </c>
      <c r="EO53" s="6">
        <v>0.333333</v>
      </c>
      <c r="EP53" s="6">
        <v>3.3489</v>
      </c>
      <c r="EQ53" s="6">
        <v>34.8432</v>
      </c>
      <c r="ER53" s="6">
        <v>56.1078</v>
      </c>
      <c r="ES53" s="6">
        <v>112.1058</v>
      </c>
      <c r="ET53" s="6">
        <v>676.0</v>
      </c>
      <c r="EU53" s="6">
        <v>1144.0</v>
      </c>
      <c r="EV53" s="6">
        <v>2392.0</v>
      </c>
      <c r="EW53" s="6">
        <v>2652.0</v>
      </c>
      <c r="EX53" s="6">
        <v>1.0</v>
      </c>
      <c r="EY53" s="6">
        <v>6.0</v>
      </c>
      <c r="EZ53" s="6">
        <v>12.0</v>
      </c>
      <c r="FA53" s="6">
        <v>24.0</v>
      </c>
      <c r="FB53" s="6">
        <v>36.0</v>
      </c>
      <c r="FC53" s="6">
        <v>108.0</v>
      </c>
      <c r="FD53" s="6">
        <v>252.0</v>
      </c>
      <c r="FE53" s="6">
        <v>288.0</v>
      </c>
      <c r="FF53" s="6">
        <v>1.5625</v>
      </c>
      <c r="FG53" s="6">
        <v>5.575</v>
      </c>
      <c r="FH53" s="6">
        <v>12.175</v>
      </c>
      <c r="FI53" s="6">
        <v>17.9</v>
      </c>
      <c r="FJ53" s="6">
        <v>0.0</v>
      </c>
      <c r="FK53" s="6">
        <v>-8.06</v>
      </c>
      <c r="FL53" s="6">
        <v>-8.7</v>
      </c>
      <c r="FM53" s="6">
        <v>-17.34</v>
      </c>
      <c r="FN53" s="6">
        <v>0.0</v>
      </c>
      <c r="FO53" s="6">
        <v>112.0</v>
      </c>
      <c r="FP53" s="6">
        <v>220.0</v>
      </c>
      <c r="FQ53" s="6">
        <v>522.0</v>
      </c>
      <c r="FR53" s="6">
        <v>0.0</v>
      </c>
      <c r="FS53" s="6">
        <v>0.0</v>
      </c>
      <c r="FT53" s="6">
        <v>0.0</v>
      </c>
      <c r="FU53" s="6">
        <v>0.0</v>
      </c>
      <c r="FV53" s="6">
        <v>0.0</v>
      </c>
      <c r="FW53" s="6">
        <v>18.0</v>
      </c>
      <c r="FX53" s="6">
        <v>30.0</v>
      </c>
      <c r="FY53" s="6">
        <v>96.0</v>
      </c>
      <c r="FZ53" s="6">
        <v>0.0</v>
      </c>
      <c r="GA53" s="6">
        <v>3.04</v>
      </c>
      <c r="GB53" s="6">
        <v>5.26</v>
      </c>
      <c r="GC53" s="6">
        <v>15.68</v>
      </c>
      <c r="GD53" s="6">
        <v>-16.12714085</v>
      </c>
      <c r="GE53" s="1" t="s">
        <v>1351</v>
      </c>
      <c r="GF53" s="1" t="s">
        <v>1382</v>
      </c>
    </row>
    <row r="54">
      <c r="A54" s="1" t="s">
        <v>145</v>
      </c>
      <c r="B54" s="6">
        <v>4.0</v>
      </c>
      <c r="C54" s="6">
        <v>0.0</v>
      </c>
      <c r="D54" s="6">
        <v>2.0</v>
      </c>
      <c r="E54" s="6">
        <v>0.0</v>
      </c>
      <c r="F54" s="6">
        <v>537.2621</v>
      </c>
      <c r="G54" s="6">
        <v>1105.613</v>
      </c>
      <c r="H54" s="6">
        <v>2335.702</v>
      </c>
      <c r="I54" s="6">
        <v>3370.704</v>
      </c>
      <c r="J54" s="6">
        <v>3290.0</v>
      </c>
      <c r="K54" s="6">
        <v>7760.0</v>
      </c>
      <c r="L54" s="6">
        <v>14728.0</v>
      </c>
      <c r="M54" s="6">
        <v>18910.0</v>
      </c>
      <c r="N54" s="6">
        <v>75.0</v>
      </c>
      <c r="O54" s="6">
        <v>164.0</v>
      </c>
      <c r="P54" s="6">
        <v>322.0</v>
      </c>
      <c r="Q54" s="6">
        <v>488.0</v>
      </c>
      <c r="R54" s="6">
        <v>486.0</v>
      </c>
      <c r="S54" s="6">
        <v>1356.0</v>
      </c>
      <c r="T54" s="6">
        <v>2382.0</v>
      </c>
      <c r="U54" s="6">
        <v>3430.0</v>
      </c>
      <c r="V54" s="6">
        <v>32.5497</v>
      </c>
      <c r="W54" s="6">
        <v>85.7508</v>
      </c>
      <c r="X54" s="6">
        <v>157.5122</v>
      </c>
      <c r="Y54" s="6">
        <v>227.6484</v>
      </c>
      <c r="Z54" s="6">
        <v>341.5514</v>
      </c>
      <c r="AA54" s="6">
        <v>781.32</v>
      </c>
      <c r="AB54" s="6">
        <v>1361.026</v>
      </c>
      <c r="AC54" s="6">
        <v>1825.091</v>
      </c>
      <c r="AD54" s="6">
        <v>1160.0</v>
      </c>
      <c r="AE54" s="6">
        <v>2904.0</v>
      </c>
      <c r="AF54" s="6">
        <v>4288.0</v>
      </c>
      <c r="AG54" s="6">
        <v>5068.0</v>
      </c>
      <c r="AH54" s="6">
        <v>58.0</v>
      </c>
      <c r="AI54" s="6">
        <v>124.0</v>
      </c>
      <c r="AJ54" s="6">
        <v>220.0</v>
      </c>
      <c r="AK54" s="6">
        <v>302.0</v>
      </c>
      <c r="AL54" s="6">
        <v>344.0</v>
      </c>
      <c r="AM54" s="6">
        <v>896.0</v>
      </c>
      <c r="AN54" s="6">
        <v>1356.0</v>
      </c>
      <c r="AO54" s="6">
        <v>1652.0</v>
      </c>
      <c r="AP54" s="6">
        <v>21.4986</v>
      </c>
      <c r="AQ54" s="6">
        <v>55.9636</v>
      </c>
      <c r="AR54" s="6">
        <v>88.7068</v>
      </c>
      <c r="AS54" s="6">
        <v>111.1422</v>
      </c>
      <c r="AT54" s="6">
        <v>177.9711</v>
      </c>
      <c r="AU54" s="6">
        <v>345.3088</v>
      </c>
      <c r="AV54" s="6">
        <v>640.5329</v>
      </c>
      <c r="AW54" s="6">
        <v>772.6579</v>
      </c>
      <c r="AX54" s="6">
        <v>871.3333</v>
      </c>
      <c r="AY54" s="6">
        <v>1824.0</v>
      </c>
      <c r="AZ54" s="6">
        <v>2777.333</v>
      </c>
      <c r="BA54" s="6">
        <v>2553.333</v>
      </c>
      <c r="BB54" s="6">
        <v>24.66667</v>
      </c>
      <c r="BC54" s="6">
        <v>50.66667</v>
      </c>
      <c r="BD54" s="6">
        <v>89.33333</v>
      </c>
      <c r="BE54" s="6">
        <v>112.6667</v>
      </c>
      <c r="BF54" s="6">
        <v>140.0</v>
      </c>
      <c r="BG54" s="6">
        <v>352.0</v>
      </c>
      <c r="BH54" s="6">
        <v>492.0</v>
      </c>
      <c r="BI54" s="6">
        <v>562.6667</v>
      </c>
      <c r="BJ54" s="6">
        <v>10.32907</v>
      </c>
      <c r="BK54" s="6">
        <v>24.86693</v>
      </c>
      <c r="BL54" s="6">
        <v>38.86213</v>
      </c>
      <c r="BM54" s="6">
        <v>43.267</v>
      </c>
      <c r="BN54" s="6">
        <v>9.2416</v>
      </c>
      <c r="BO54" s="6">
        <v>19.38</v>
      </c>
      <c r="BP54" s="6">
        <v>43.852</v>
      </c>
      <c r="BQ54" s="6">
        <v>57.7144</v>
      </c>
      <c r="BR54" s="6">
        <v>49.0</v>
      </c>
      <c r="BS54" s="6">
        <v>105.0</v>
      </c>
      <c r="BT54" s="6">
        <v>164.5</v>
      </c>
      <c r="BU54" s="6">
        <v>238.0</v>
      </c>
      <c r="BV54" s="6">
        <v>1.0</v>
      </c>
      <c r="BW54" s="6">
        <v>2.5</v>
      </c>
      <c r="BX54" s="6">
        <v>6.0</v>
      </c>
      <c r="BY54" s="6">
        <v>7.5</v>
      </c>
      <c r="BZ54" s="6">
        <v>6.5</v>
      </c>
      <c r="CA54" s="6">
        <v>22.5</v>
      </c>
      <c r="CB54" s="6">
        <v>37.0</v>
      </c>
      <c r="CC54" s="6">
        <v>47.5</v>
      </c>
      <c r="CD54" s="6">
        <v>0.5625</v>
      </c>
      <c r="CE54" s="6">
        <v>1.44375</v>
      </c>
      <c r="CF54" s="6">
        <v>2.715</v>
      </c>
      <c r="CG54" s="6">
        <v>3.55875</v>
      </c>
      <c r="CH54" s="6">
        <v>10.9696</v>
      </c>
      <c r="CI54" s="6">
        <v>12.3768</v>
      </c>
      <c r="CJ54" s="6">
        <v>36.24347</v>
      </c>
      <c r="CK54" s="6">
        <v>46.62053</v>
      </c>
      <c r="CL54" s="6">
        <v>59.0</v>
      </c>
      <c r="CM54" s="6">
        <v>120.3333</v>
      </c>
      <c r="CN54" s="6">
        <v>172.1667</v>
      </c>
      <c r="CO54" s="6">
        <v>223.3333</v>
      </c>
      <c r="CP54" s="6">
        <v>1.0</v>
      </c>
      <c r="CQ54" s="6">
        <v>1.5</v>
      </c>
      <c r="CR54" s="6">
        <v>4.0</v>
      </c>
      <c r="CS54" s="6">
        <v>4.5</v>
      </c>
      <c r="CT54" s="6">
        <v>2.833333</v>
      </c>
      <c r="CU54" s="6">
        <v>10.16667</v>
      </c>
      <c r="CV54" s="6">
        <v>16.33333</v>
      </c>
      <c r="CW54" s="6">
        <v>17.83333</v>
      </c>
      <c r="CX54" s="6">
        <v>0.542767</v>
      </c>
      <c r="CY54" s="6">
        <v>0.97765</v>
      </c>
      <c r="CZ54" s="6">
        <v>1.990267</v>
      </c>
      <c r="DA54" s="6">
        <v>2.22285</v>
      </c>
      <c r="DB54" s="6">
        <v>0.0</v>
      </c>
      <c r="DC54" s="6">
        <v>1.225</v>
      </c>
      <c r="DD54" s="6">
        <v>3.815</v>
      </c>
      <c r="DE54" s="6">
        <v>3.815</v>
      </c>
      <c r="DF54" s="6">
        <v>0.0</v>
      </c>
      <c r="DG54" s="6">
        <v>2.5</v>
      </c>
      <c r="DH54" s="6">
        <v>18.5</v>
      </c>
      <c r="DI54" s="6">
        <v>18.5</v>
      </c>
      <c r="DJ54" s="6">
        <v>0.0</v>
      </c>
      <c r="DK54" s="6">
        <v>0.0</v>
      </c>
      <c r="DL54" s="6">
        <v>0.0</v>
      </c>
      <c r="DM54" s="6">
        <v>0.0</v>
      </c>
      <c r="DN54" s="6">
        <v>0.0</v>
      </c>
      <c r="DO54" s="6">
        <v>-2.0</v>
      </c>
      <c r="DP54" s="6">
        <v>2.0</v>
      </c>
      <c r="DQ54" s="6">
        <v>2.0</v>
      </c>
      <c r="DR54" s="6">
        <v>0.0</v>
      </c>
      <c r="DS54" s="6">
        <v>-0.05</v>
      </c>
      <c r="DT54" s="6">
        <v>0.88</v>
      </c>
      <c r="DU54" s="6">
        <v>0.88</v>
      </c>
      <c r="DV54" s="6">
        <v>0.0</v>
      </c>
      <c r="DW54" s="6">
        <v>0.981667</v>
      </c>
      <c r="DX54" s="6">
        <v>1.865</v>
      </c>
      <c r="DY54" s="6">
        <v>0.191667</v>
      </c>
      <c r="DZ54" s="6">
        <v>0.0</v>
      </c>
      <c r="EA54" s="6">
        <v>-4.5</v>
      </c>
      <c r="EB54" s="6">
        <v>7.5</v>
      </c>
      <c r="EC54" s="6">
        <v>4.166667</v>
      </c>
      <c r="ED54" s="6">
        <v>0.0</v>
      </c>
      <c r="EE54" s="6">
        <v>0.0</v>
      </c>
      <c r="EF54" s="6">
        <v>0.0</v>
      </c>
      <c r="EG54" s="6">
        <v>0.0</v>
      </c>
      <c r="EH54" s="6">
        <v>0.0</v>
      </c>
      <c r="EI54" s="6">
        <v>-2.66667</v>
      </c>
      <c r="EJ54" s="6">
        <v>-1.33333</v>
      </c>
      <c r="EK54" s="6">
        <v>0.666667</v>
      </c>
      <c r="EL54" s="6">
        <v>0.0</v>
      </c>
      <c r="EM54" s="6">
        <v>-0.21</v>
      </c>
      <c r="EN54" s="6">
        <v>0.266667</v>
      </c>
      <c r="EO54" s="6">
        <v>0.333333</v>
      </c>
      <c r="EP54" s="6">
        <v>3.3489</v>
      </c>
      <c r="EQ54" s="6">
        <v>34.8432</v>
      </c>
      <c r="ER54" s="6">
        <v>56.1078</v>
      </c>
      <c r="ES54" s="6">
        <v>112.1058</v>
      </c>
      <c r="ET54" s="6">
        <v>676.0</v>
      </c>
      <c r="EU54" s="6">
        <v>1144.0</v>
      </c>
      <c r="EV54" s="6">
        <v>2392.0</v>
      </c>
      <c r="EW54" s="6">
        <v>2652.0</v>
      </c>
      <c r="EX54" s="6">
        <v>1.0</v>
      </c>
      <c r="EY54" s="6">
        <v>6.0</v>
      </c>
      <c r="EZ54" s="6">
        <v>12.0</v>
      </c>
      <c r="FA54" s="6">
        <v>24.0</v>
      </c>
      <c r="FB54" s="6">
        <v>36.0</v>
      </c>
      <c r="FC54" s="6">
        <v>108.0</v>
      </c>
      <c r="FD54" s="6">
        <v>252.0</v>
      </c>
      <c r="FE54" s="6">
        <v>288.0</v>
      </c>
      <c r="FF54" s="6">
        <v>1.5625</v>
      </c>
      <c r="FG54" s="6">
        <v>5.575</v>
      </c>
      <c r="FH54" s="6">
        <v>12.175</v>
      </c>
      <c r="FI54" s="6">
        <v>17.9</v>
      </c>
      <c r="FJ54" s="6">
        <v>0.0</v>
      </c>
      <c r="FK54" s="6">
        <v>-8.06</v>
      </c>
      <c r="FL54" s="6">
        <v>-8.7</v>
      </c>
      <c r="FM54" s="6">
        <v>-17.34</v>
      </c>
      <c r="FN54" s="6">
        <v>0.0</v>
      </c>
      <c r="FO54" s="6">
        <v>112.0</v>
      </c>
      <c r="FP54" s="6">
        <v>220.0</v>
      </c>
      <c r="FQ54" s="6">
        <v>522.0</v>
      </c>
      <c r="FR54" s="6">
        <v>0.0</v>
      </c>
      <c r="FS54" s="6">
        <v>0.0</v>
      </c>
      <c r="FT54" s="6">
        <v>0.0</v>
      </c>
      <c r="FU54" s="6">
        <v>0.0</v>
      </c>
      <c r="FV54" s="6">
        <v>0.0</v>
      </c>
      <c r="FW54" s="6">
        <v>18.0</v>
      </c>
      <c r="FX54" s="6">
        <v>30.0</v>
      </c>
      <c r="FY54" s="6">
        <v>96.0</v>
      </c>
      <c r="FZ54" s="6">
        <v>0.0</v>
      </c>
      <c r="GA54" s="6">
        <v>3.04</v>
      </c>
      <c r="GB54" s="6">
        <v>5.26</v>
      </c>
      <c r="GC54" s="6">
        <v>15.68</v>
      </c>
      <c r="GD54" s="6">
        <v>8.980509184</v>
      </c>
      <c r="GE54" s="1" t="s">
        <v>1351</v>
      </c>
      <c r="GF54" s="1" t="s">
        <v>1407</v>
      </c>
    </row>
    <row r="55">
      <c r="A55" s="1" t="s">
        <v>147</v>
      </c>
      <c r="B55" s="6">
        <v>4.0</v>
      </c>
      <c r="C55" s="6">
        <v>0.0</v>
      </c>
      <c r="D55" s="6">
        <v>2.0</v>
      </c>
      <c r="E55" s="6">
        <v>0.0</v>
      </c>
      <c r="F55" s="6">
        <v>570.726</v>
      </c>
      <c r="G55" s="6">
        <v>1281.97</v>
      </c>
      <c r="H55" s="6">
        <v>2292.329</v>
      </c>
      <c r="I55" s="6">
        <v>3145.693</v>
      </c>
      <c r="J55" s="6">
        <v>2566.0</v>
      </c>
      <c r="K55" s="6">
        <v>6400.0</v>
      </c>
      <c r="L55" s="6">
        <v>10414.0</v>
      </c>
      <c r="M55" s="6">
        <v>12760.0</v>
      </c>
      <c r="N55" s="6">
        <v>98.0</v>
      </c>
      <c r="O55" s="6">
        <v>208.0</v>
      </c>
      <c r="P55" s="6">
        <v>374.0</v>
      </c>
      <c r="Q55" s="6">
        <v>506.0</v>
      </c>
      <c r="R55" s="6">
        <v>582.0</v>
      </c>
      <c r="S55" s="6">
        <v>1512.0</v>
      </c>
      <c r="T55" s="6">
        <v>2344.0</v>
      </c>
      <c r="U55" s="6">
        <v>2938.0</v>
      </c>
      <c r="V55" s="6">
        <v>37.0034</v>
      </c>
      <c r="W55" s="6">
        <v>97.6208</v>
      </c>
      <c r="X55" s="6">
        <v>160.6838</v>
      </c>
      <c r="Y55" s="6">
        <v>215.3474</v>
      </c>
      <c r="Z55" s="6">
        <v>312.5114</v>
      </c>
      <c r="AA55" s="6">
        <v>695.997</v>
      </c>
      <c r="AB55" s="6">
        <v>1095.272</v>
      </c>
      <c r="AC55" s="6">
        <v>1331.664</v>
      </c>
      <c r="AD55" s="6">
        <v>1154.0</v>
      </c>
      <c r="AE55" s="6">
        <v>2736.0</v>
      </c>
      <c r="AF55" s="6">
        <v>3788.0</v>
      </c>
      <c r="AG55" s="6">
        <v>4144.0</v>
      </c>
      <c r="AH55" s="6">
        <v>52.0</v>
      </c>
      <c r="AI55" s="6">
        <v>110.0</v>
      </c>
      <c r="AJ55" s="6">
        <v>176.0</v>
      </c>
      <c r="AK55" s="6">
        <v>216.0</v>
      </c>
      <c r="AL55" s="6">
        <v>286.0</v>
      </c>
      <c r="AM55" s="6">
        <v>702.0</v>
      </c>
      <c r="AN55" s="6">
        <v>976.0</v>
      </c>
      <c r="AO55" s="6">
        <v>1104.0</v>
      </c>
      <c r="AP55" s="6">
        <v>20.6772</v>
      </c>
      <c r="AQ55" s="6">
        <v>51.4206</v>
      </c>
      <c r="AR55" s="6">
        <v>75.0416</v>
      </c>
      <c r="AS55" s="6">
        <v>86.3664</v>
      </c>
      <c r="AT55" s="6">
        <v>161.0465</v>
      </c>
      <c r="AU55" s="6">
        <v>346.001</v>
      </c>
      <c r="AV55" s="6">
        <v>556.1787</v>
      </c>
      <c r="AW55" s="6">
        <v>684.7941</v>
      </c>
      <c r="AX55" s="6">
        <v>543.3333</v>
      </c>
      <c r="AY55" s="6">
        <v>1240.0</v>
      </c>
      <c r="AZ55" s="6">
        <v>1706.667</v>
      </c>
      <c r="BA55" s="6">
        <v>1753.333</v>
      </c>
      <c r="BB55" s="6">
        <v>27.33333</v>
      </c>
      <c r="BC55" s="6">
        <v>55.33333</v>
      </c>
      <c r="BD55" s="6">
        <v>92.0</v>
      </c>
      <c r="BE55" s="6">
        <v>112.0</v>
      </c>
      <c r="BF55" s="6">
        <v>147.3333</v>
      </c>
      <c r="BG55" s="6">
        <v>359.3333</v>
      </c>
      <c r="BH55" s="6">
        <v>486.6667</v>
      </c>
      <c r="BI55" s="6">
        <v>504.0</v>
      </c>
      <c r="BJ55" s="6">
        <v>10.06513</v>
      </c>
      <c r="BK55" s="6">
        <v>24.4706</v>
      </c>
      <c r="BL55" s="6">
        <v>35.5476</v>
      </c>
      <c r="BM55" s="6">
        <v>41.328</v>
      </c>
      <c r="BN55" s="6">
        <v>9.2416</v>
      </c>
      <c r="BO55" s="6">
        <v>15.504</v>
      </c>
      <c r="BP55" s="6">
        <v>29.944</v>
      </c>
      <c r="BQ55" s="6">
        <v>41.9976</v>
      </c>
      <c r="BR55" s="6">
        <v>49.0</v>
      </c>
      <c r="BS55" s="6">
        <v>84.0</v>
      </c>
      <c r="BT55" s="6">
        <v>133.0</v>
      </c>
      <c r="BU55" s="6">
        <v>168.0</v>
      </c>
      <c r="BV55" s="6">
        <v>1.0</v>
      </c>
      <c r="BW55" s="6">
        <v>2.0</v>
      </c>
      <c r="BX55" s="6">
        <v>4.0</v>
      </c>
      <c r="BY55" s="6">
        <v>5.5</v>
      </c>
      <c r="BZ55" s="6">
        <v>4.0</v>
      </c>
      <c r="CA55" s="6">
        <v>12.0</v>
      </c>
      <c r="CB55" s="6">
        <v>20.0</v>
      </c>
      <c r="CC55" s="6">
        <v>23.0</v>
      </c>
      <c r="CD55" s="6">
        <v>0.5625</v>
      </c>
      <c r="CE55" s="6">
        <v>1.155</v>
      </c>
      <c r="CF55" s="6">
        <v>2.01</v>
      </c>
      <c r="CG55" s="6">
        <v>2.56125</v>
      </c>
      <c r="CH55" s="6">
        <v>7.415533</v>
      </c>
      <c r="CI55" s="6">
        <v>10.336</v>
      </c>
      <c r="CJ55" s="6">
        <v>14.31633</v>
      </c>
      <c r="CK55" s="6">
        <v>27.0042</v>
      </c>
      <c r="CL55" s="6">
        <v>40.33333</v>
      </c>
      <c r="CM55" s="6">
        <v>56.0</v>
      </c>
      <c r="CN55" s="6">
        <v>68.33333</v>
      </c>
      <c r="CO55" s="6">
        <v>128.0</v>
      </c>
      <c r="CP55" s="6">
        <v>1.0</v>
      </c>
      <c r="CQ55" s="6">
        <v>1.333333</v>
      </c>
      <c r="CR55" s="6">
        <v>2.0</v>
      </c>
      <c r="CS55" s="6">
        <v>3.833333</v>
      </c>
      <c r="CT55" s="6">
        <v>2.0</v>
      </c>
      <c r="CU55" s="6">
        <v>5.333333</v>
      </c>
      <c r="CV55" s="6">
        <v>9.333333</v>
      </c>
      <c r="CW55" s="6">
        <v>15.66667</v>
      </c>
      <c r="CX55" s="6">
        <v>0.582767</v>
      </c>
      <c r="CY55" s="6">
        <v>0.77</v>
      </c>
      <c r="CZ55" s="6">
        <v>1.065267</v>
      </c>
      <c r="DA55" s="6">
        <v>2.03955</v>
      </c>
      <c r="DB55" s="6">
        <v>0.0</v>
      </c>
      <c r="DC55" s="6">
        <v>0.98</v>
      </c>
      <c r="DD55" s="6">
        <v>2.31</v>
      </c>
      <c r="DE55" s="6">
        <v>2.905</v>
      </c>
      <c r="DF55" s="6">
        <v>0.0</v>
      </c>
      <c r="DG55" s="6">
        <v>2.0</v>
      </c>
      <c r="DH55" s="6">
        <v>9.0</v>
      </c>
      <c r="DI55" s="6">
        <v>14.5</v>
      </c>
      <c r="DJ55" s="6">
        <v>0.0</v>
      </c>
      <c r="DK55" s="6">
        <v>0.0</v>
      </c>
      <c r="DL55" s="6">
        <v>0.0</v>
      </c>
      <c r="DM55" s="6">
        <v>0.0</v>
      </c>
      <c r="DN55" s="6">
        <v>0.0</v>
      </c>
      <c r="DO55" s="6">
        <v>-2.0</v>
      </c>
      <c r="DP55" s="6">
        <v>-2.0</v>
      </c>
      <c r="DQ55" s="6">
        <v>-0.5</v>
      </c>
      <c r="DR55" s="6">
        <v>0.0</v>
      </c>
      <c r="DS55" s="6">
        <v>-0.04</v>
      </c>
      <c r="DT55" s="6">
        <v>0.32</v>
      </c>
      <c r="DU55" s="6">
        <v>0.71</v>
      </c>
      <c r="DV55" s="6">
        <v>0.0</v>
      </c>
      <c r="DW55" s="6">
        <v>0.0</v>
      </c>
      <c r="DX55" s="6">
        <v>0.77</v>
      </c>
      <c r="DY55" s="6">
        <v>0.968333</v>
      </c>
      <c r="DZ55" s="6">
        <v>0.0</v>
      </c>
      <c r="EA55" s="6">
        <v>0.0</v>
      </c>
      <c r="EB55" s="6">
        <v>3.0</v>
      </c>
      <c r="EC55" s="6">
        <v>4.833333</v>
      </c>
      <c r="ED55" s="6">
        <v>0.0</v>
      </c>
      <c r="EE55" s="6">
        <v>0.0</v>
      </c>
      <c r="EF55" s="6">
        <v>0.0</v>
      </c>
      <c r="EG55" s="6">
        <v>0.0</v>
      </c>
      <c r="EH55" s="6">
        <v>0.0</v>
      </c>
      <c r="EI55" s="6">
        <v>-1.33333</v>
      </c>
      <c r="EJ55" s="6">
        <v>-2.66667</v>
      </c>
      <c r="EK55" s="6">
        <v>-6.16667</v>
      </c>
      <c r="EL55" s="6">
        <v>0.0</v>
      </c>
      <c r="EM55" s="6">
        <v>0.0</v>
      </c>
      <c r="EN55" s="6">
        <v>0.106667</v>
      </c>
      <c r="EO55" s="6">
        <v>0.236667</v>
      </c>
      <c r="EP55" s="6">
        <v>3.3489</v>
      </c>
      <c r="EQ55" s="6">
        <v>31.5858</v>
      </c>
      <c r="ER55" s="6">
        <v>48.4584</v>
      </c>
      <c r="ES55" s="6">
        <v>62.769</v>
      </c>
      <c r="ET55" s="6">
        <v>676.0</v>
      </c>
      <c r="EU55" s="6">
        <v>1040.0</v>
      </c>
      <c r="EV55" s="6">
        <v>1612.0</v>
      </c>
      <c r="EW55" s="6">
        <v>1664.0</v>
      </c>
      <c r="EX55" s="6">
        <v>1.0</v>
      </c>
      <c r="EY55" s="6">
        <v>6.0</v>
      </c>
      <c r="EZ55" s="6">
        <v>10.0</v>
      </c>
      <c r="FA55" s="6">
        <v>14.0</v>
      </c>
      <c r="FB55" s="6">
        <v>36.0</v>
      </c>
      <c r="FC55" s="6">
        <v>96.0</v>
      </c>
      <c r="FD55" s="6">
        <v>168.0</v>
      </c>
      <c r="FE55" s="6">
        <v>216.0</v>
      </c>
      <c r="FF55" s="6">
        <v>1.5625</v>
      </c>
      <c r="FG55" s="6">
        <v>5.675</v>
      </c>
      <c r="FH55" s="6">
        <v>9.575</v>
      </c>
      <c r="FI55" s="6">
        <v>11.475</v>
      </c>
      <c r="FJ55" s="6">
        <v>0.0</v>
      </c>
      <c r="FK55" s="6">
        <v>-6.28</v>
      </c>
      <c r="FL55" s="6">
        <v>-8.18</v>
      </c>
      <c r="FM55" s="6">
        <v>-8.68</v>
      </c>
      <c r="FN55" s="6">
        <v>0.0</v>
      </c>
      <c r="FO55" s="6">
        <v>116.0</v>
      </c>
      <c r="FP55" s="6">
        <v>198.0</v>
      </c>
      <c r="FQ55" s="6">
        <v>300.0</v>
      </c>
      <c r="FR55" s="6">
        <v>0.0</v>
      </c>
      <c r="FS55" s="6">
        <v>0.0</v>
      </c>
      <c r="FT55" s="6">
        <v>0.0</v>
      </c>
      <c r="FU55" s="6">
        <v>0.0</v>
      </c>
      <c r="FV55" s="6">
        <v>0.0</v>
      </c>
      <c r="FW55" s="6">
        <v>20.0</v>
      </c>
      <c r="FX55" s="6">
        <v>32.0</v>
      </c>
      <c r="FY55" s="6">
        <v>48.0</v>
      </c>
      <c r="FZ55" s="6">
        <v>0.0</v>
      </c>
      <c r="GA55" s="6">
        <v>2.96</v>
      </c>
      <c r="GB55" s="6">
        <v>4.84</v>
      </c>
      <c r="GC55" s="6">
        <v>8.32</v>
      </c>
      <c r="GD55" s="6">
        <v>-11.42526087</v>
      </c>
      <c r="GE55" s="1" t="s">
        <v>1356</v>
      </c>
      <c r="GF55" s="1" t="s">
        <v>1408</v>
      </c>
    </row>
    <row r="56">
      <c r="A56" s="1" t="s">
        <v>150</v>
      </c>
      <c r="B56" s="6">
        <v>4.0</v>
      </c>
      <c r="C56" s="6">
        <v>0.0</v>
      </c>
      <c r="D56" s="6">
        <v>2.0</v>
      </c>
      <c r="E56" s="6">
        <v>0.0</v>
      </c>
      <c r="F56" s="6">
        <v>508.2221</v>
      </c>
      <c r="G56" s="6">
        <v>1020.29</v>
      </c>
      <c r="H56" s="6">
        <v>2051.282</v>
      </c>
      <c r="I56" s="6">
        <v>2715.257</v>
      </c>
      <c r="J56" s="6">
        <v>3284.0</v>
      </c>
      <c r="K56" s="6">
        <v>7592.0</v>
      </c>
      <c r="L56" s="6">
        <v>13604.0</v>
      </c>
      <c r="M56" s="6">
        <v>17052.0</v>
      </c>
      <c r="N56" s="6">
        <v>69.0</v>
      </c>
      <c r="O56" s="6">
        <v>150.0</v>
      </c>
      <c r="P56" s="6">
        <v>274.0</v>
      </c>
      <c r="Q56" s="6">
        <v>376.0</v>
      </c>
      <c r="R56" s="6">
        <v>424.0</v>
      </c>
      <c r="S56" s="6">
        <v>1118.0</v>
      </c>
      <c r="T56" s="6">
        <v>1796.0</v>
      </c>
      <c r="U56" s="6">
        <v>2468.0</v>
      </c>
      <c r="V56" s="6">
        <v>31.7283</v>
      </c>
      <c r="W56" s="6">
        <v>81.2078</v>
      </c>
      <c r="X56" s="6">
        <v>139.997</v>
      </c>
      <c r="Y56" s="6">
        <v>189.3308</v>
      </c>
      <c r="Z56" s="6">
        <v>312.5114</v>
      </c>
      <c r="AA56" s="6">
        <v>695.997</v>
      </c>
      <c r="AB56" s="6">
        <v>1095.272</v>
      </c>
      <c r="AC56" s="6">
        <v>1331.664</v>
      </c>
      <c r="AD56" s="6">
        <v>1154.0</v>
      </c>
      <c r="AE56" s="6">
        <v>2736.0</v>
      </c>
      <c r="AF56" s="6">
        <v>3788.0</v>
      </c>
      <c r="AG56" s="6">
        <v>4144.0</v>
      </c>
      <c r="AH56" s="6">
        <v>52.0</v>
      </c>
      <c r="AI56" s="6">
        <v>110.0</v>
      </c>
      <c r="AJ56" s="6">
        <v>176.0</v>
      </c>
      <c r="AK56" s="6">
        <v>216.0</v>
      </c>
      <c r="AL56" s="6">
        <v>286.0</v>
      </c>
      <c r="AM56" s="6">
        <v>702.0</v>
      </c>
      <c r="AN56" s="6">
        <v>976.0</v>
      </c>
      <c r="AO56" s="6">
        <v>1104.0</v>
      </c>
      <c r="AP56" s="6">
        <v>20.6772</v>
      </c>
      <c r="AQ56" s="6">
        <v>51.4206</v>
      </c>
      <c r="AR56" s="6">
        <v>75.0416</v>
      </c>
      <c r="AS56" s="6">
        <v>86.3664</v>
      </c>
      <c r="AT56" s="6">
        <v>168.2911</v>
      </c>
      <c r="AU56" s="6">
        <v>316.8678</v>
      </c>
      <c r="AV56" s="6">
        <v>551.9483</v>
      </c>
      <c r="AW56" s="6">
        <v>608.1825</v>
      </c>
      <c r="AX56" s="6">
        <v>869.3333</v>
      </c>
      <c r="AY56" s="6">
        <v>1768.0</v>
      </c>
      <c r="AZ56" s="6">
        <v>2610.667</v>
      </c>
      <c r="BA56" s="6">
        <v>2245.333</v>
      </c>
      <c r="BB56" s="6">
        <v>22.66667</v>
      </c>
      <c r="BC56" s="6">
        <v>46.0</v>
      </c>
      <c r="BD56" s="6">
        <v>74.66667</v>
      </c>
      <c r="BE56" s="6">
        <v>84.0</v>
      </c>
      <c r="BF56" s="6">
        <v>120.6667</v>
      </c>
      <c r="BG56" s="6">
        <v>287.3333</v>
      </c>
      <c r="BH56" s="6">
        <v>365.3333</v>
      </c>
      <c r="BI56" s="6">
        <v>380.0</v>
      </c>
      <c r="BJ56" s="6">
        <v>10.05527</v>
      </c>
      <c r="BK56" s="6">
        <v>23.3526</v>
      </c>
      <c r="BL56" s="6">
        <v>34.30707</v>
      </c>
      <c r="BM56" s="6">
        <v>35.0084</v>
      </c>
      <c r="BN56" s="6">
        <v>9.2416</v>
      </c>
      <c r="BO56" s="6">
        <v>15.504</v>
      </c>
      <c r="BP56" s="6">
        <v>29.944</v>
      </c>
      <c r="BQ56" s="6">
        <v>37.0576</v>
      </c>
      <c r="BR56" s="6">
        <v>49.0</v>
      </c>
      <c r="BS56" s="6">
        <v>84.0</v>
      </c>
      <c r="BT56" s="6">
        <v>133.0</v>
      </c>
      <c r="BU56" s="6">
        <v>112.0</v>
      </c>
      <c r="BV56" s="6">
        <v>1.0</v>
      </c>
      <c r="BW56" s="6">
        <v>2.0</v>
      </c>
      <c r="BX56" s="6">
        <v>4.0</v>
      </c>
      <c r="BY56" s="6">
        <v>5.0</v>
      </c>
      <c r="BZ56" s="6">
        <v>4.0</v>
      </c>
      <c r="CA56" s="6">
        <v>12.0</v>
      </c>
      <c r="CB56" s="6">
        <v>20.0</v>
      </c>
      <c r="CC56" s="6">
        <v>16.0</v>
      </c>
      <c r="CD56" s="6">
        <v>0.5625</v>
      </c>
      <c r="CE56" s="6">
        <v>1.155</v>
      </c>
      <c r="CF56" s="6">
        <v>2.01</v>
      </c>
      <c r="CG56" s="6">
        <v>1.9725</v>
      </c>
      <c r="CH56" s="6">
        <v>10.9696</v>
      </c>
      <c r="CI56" s="6">
        <v>11.0848</v>
      </c>
      <c r="CJ56" s="6">
        <v>31.60747</v>
      </c>
      <c r="CK56" s="6">
        <v>43.02827</v>
      </c>
      <c r="CL56" s="6">
        <v>59.0</v>
      </c>
      <c r="CM56" s="6">
        <v>113.3333</v>
      </c>
      <c r="CN56" s="6">
        <v>161.6667</v>
      </c>
      <c r="CO56" s="6">
        <v>218.6667</v>
      </c>
      <c r="CP56" s="6">
        <v>1.0</v>
      </c>
      <c r="CQ56" s="6">
        <v>1.333333</v>
      </c>
      <c r="CR56" s="6">
        <v>3.333333</v>
      </c>
      <c r="CS56" s="6">
        <v>4.0</v>
      </c>
      <c r="CT56" s="6">
        <v>2.0</v>
      </c>
      <c r="CU56" s="6">
        <v>6.666667</v>
      </c>
      <c r="CV56" s="6">
        <v>10.66667</v>
      </c>
      <c r="CW56" s="6">
        <v>12.0</v>
      </c>
      <c r="CX56" s="6">
        <v>0.542767</v>
      </c>
      <c r="CY56" s="6">
        <v>0.8814</v>
      </c>
      <c r="CZ56" s="6">
        <v>1.755267</v>
      </c>
      <c r="DA56" s="6">
        <v>2.0866</v>
      </c>
      <c r="DB56" s="6">
        <v>0.0</v>
      </c>
      <c r="DC56" s="6">
        <v>0.98</v>
      </c>
      <c r="DD56" s="6">
        <v>2.31</v>
      </c>
      <c r="DE56" s="6">
        <v>3.01</v>
      </c>
      <c r="DF56" s="6">
        <v>0.0</v>
      </c>
      <c r="DG56" s="6">
        <v>2.0</v>
      </c>
      <c r="DH56" s="6">
        <v>9.0</v>
      </c>
      <c r="DI56" s="6">
        <v>19.0</v>
      </c>
      <c r="DJ56" s="6">
        <v>0.0</v>
      </c>
      <c r="DK56" s="6">
        <v>0.0</v>
      </c>
      <c r="DL56" s="6">
        <v>0.0</v>
      </c>
      <c r="DM56" s="6">
        <v>0.0</v>
      </c>
      <c r="DN56" s="6">
        <v>0.0</v>
      </c>
      <c r="DO56" s="6">
        <v>-2.0</v>
      </c>
      <c r="DP56" s="6">
        <v>-2.0</v>
      </c>
      <c r="DQ56" s="6">
        <v>2.0</v>
      </c>
      <c r="DR56" s="6">
        <v>0.0</v>
      </c>
      <c r="DS56" s="6">
        <v>-0.04</v>
      </c>
      <c r="DT56" s="6">
        <v>0.32</v>
      </c>
      <c r="DU56" s="6">
        <v>1.12</v>
      </c>
      <c r="DV56" s="6">
        <v>0.0</v>
      </c>
      <c r="DW56" s="6">
        <v>0.9</v>
      </c>
      <c r="DX56" s="6">
        <v>1.363333</v>
      </c>
      <c r="DY56" s="6">
        <v>-0.14667</v>
      </c>
      <c r="DZ56" s="6">
        <v>0.0</v>
      </c>
      <c r="EA56" s="6">
        <v>-4.66667</v>
      </c>
      <c r="EB56" s="6">
        <v>4.333333</v>
      </c>
      <c r="EC56" s="6">
        <v>1.333333</v>
      </c>
      <c r="ED56" s="6">
        <v>0.0</v>
      </c>
      <c r="EE56" s="6">
        <v>0.0</v>
      </c>
      <c r="EF56" s="6">
        <v>0.0</v>
      </c>
      <c r="EG56" s="6">
        <v>0.0</v>
      </c>
      <c r="EH56" s="6">
        <v>0.0</v>
      </c>
      <c r="EI56" s="6">
        <v>-2.66667</v>
      </c>
      <c r="EJ56" s="6">
        <v>-2.66667</v>
      </c>
      <c r="EK56" s="6">
        <v>-1.0</v>
      </c>
      <c r="EL56" s="6">
        <v>0.0</v>
      </c>
      <c r="EM56" s="6">
        <v>-0.20667</v>
      </c>
      <c r="EN56" s="6">
        <v>0.08</v>
      </c>
      <c r="EO56" s="6">
        <v>0.14</v>
      </c>
      <c r="EP56" s="6">
        <v>3.3489</v>
      </c>
      <c r="EQ56" s="6">
        <v>34.8432</v>
      </c>
      <c r="ER56" s="6">
        <v>46.7748</v>
      </c>
      <c r="ES56" s="6">
        <v>87.9498</v>
      </c>
      <c r="ET56" s="6">
        <v>676.0</v>
      </c>
      <c r="EU56" s="6">
        <v>1144.0</v>
      </c>
      <c r="EV56" s="6">
        <v>2080.0</v>
      </c>
      <c r="EW56" s="6">
        <v>2496.0</v>
      </c>
      <c r="EX56" s="6">
        <v>1.0</v>
      </c>
      <c r="EY56" s="6">
        <v>6.0</v>
      </c>
      <c r="EZ56" s="6">
        <v>10.0</v>
      </c>
      <c r="FA56" s="6">
        <v>18.0</v>
      </c>
      <c r="FB56" s="6">
        <v>36.0</v>
      </c>
      <c r="FC56" s="6">
        <v>96.0</v>
      </c>
      <c r="FD56" s="6">
        <v>192.0</v>
      </c>
      <c r="FE56" s="6">
        <v>240.0</v>
      </c>
      <c r="FF56" s="6">
        <v>1.5625</v>
      </c>
      <c r="FG56" s="6">
        <v>5.575</v>
      </c>
      <c r="FH56" s="6">
        <v>10.25</v>
      </c>
      <c r="FI56" s="6">
        <v>15.125</v>
      </c>
      <c r="FJ56" s="6">
        <v>0.0</v>
      </c>
      <c r="FK56" s="6">
        <v>-8.06</v>
      </c>
      <c r="FL56" s="6">
        <v>-7.26</v>
      </c>
      <c r="FM56" s="6">
        <v>-15.12</v>
      </c>
      <c r="FN56" s="6">
        <v>0.0</v>
      </c>
      <c r="FO56" s="6">
        <v>112.0</v>
      </c>
      <c r="FP56" s="6">
        <v>180.0</v>
      </c>
      <c r="FQ56" s="6">
        <v>372.0</v>
      </c>
      <c r="FR56" s="6">
        <v>0.0</v>
      </c>
      <c r="FS56" s="6">
        <v>0.0</v>
      </c>
      <c r="FT56" s="6">
        <v>0.0</v>
      </c>
      <c r="FU56" s="6">
        <v>0.0</v>
      </c>
      <c r="FV56" s="6">
        <v>0.0</v>
      </c>
      <c r="FW56" s="6">
        <v>20.0</v>
      </c>
      <c r="FX56" s="6">
        <v>28.0</v>
      </c>
      <c r="FY56" s="6">
        <v>68.0</v>
      </c>
      <c r="FZ56" s="6">
        <v>0.0</v>
      </c>
      <c r="GA56" s="6">
        <v>3.04</v>
      </c>
      <c r="GB56" s="6">
        <v>4.3</v>
      </c>
      <c r="GC56" s="6">
        <v>10.4</v>
      </c>
      <c r="GD56" s="6">
        <v>-11.80239018</v>
      </c>
      <c r="GE56" s="1" t="s">
        <v>1351</v>
      </c>
      <c r="GF56" s="1" t="s">
        <v>1409</v>
      </c>
    </row>
    <row r="57">
      <c r="A57" s="1" t="s">
        <v>151</v>
      </c>
      <c r="B57" s="6">
        <v>4.0</v>
      </c>
      <c r="C57" s="6">
        <v>0.0</v>
      </c>
      <c r="D57" s="6">
        <v>2.0</v>
      </c>
      <c r="E57" s="6">
        <v>0.0</v>
      </c>
      <c r="F57" s="6">
        <v>421.4943</v>
      </c>
      <c r="G57" s="6">
        <v>818.2382</v>
      </c>
      <c r="H57" s="6">
        <v>1807.873</v>
      </c>
      <c r="I57" s="6">
        <v>2501.829</v>
      </c>
      <c r="J57" s="6">
        <v>2904.0</v>
      </c>
      <c r="K57" s="6">
        <v>6664.0</v>
      </c>
      <c r="L57" s="6">
        <v>13008.0</v>
      </c>
      <c r="M57" s="6">
        <v>15116.0</v>
      </c>
      <c r="N57" s="6">
        <v>53.0</v>
      </c>
      <c r="O57" s="6">
        <v>114.0</v>
      </c>
      <c r="P57" s="6">
        <v>230.0</v>
      </c>
      <c r="Q57" s="6">
        <v>332.0</v>
      </c>
      <c r="R57" s="6">
        <v>344.0</v>
      </c>
      <c r="S57" s="6">
        <v>956.0</v>
      </c>
      <c r="T57" s="6">
        <v>1702.0</v>
      </c>
      <c r="U57" s="6">
        <v>2300.0</v>
      </c>
      <c r="V57" s="6">
        <v>23.9459</v>
      </c>
      <c r="W57" s="6">
        <v>62.0226</v>
      </c>
      <c r="X57" s="6">
        <v>116.0758</v>
      </c>
      <c r="Y57" s="6">
        <v>161.6</v>
      </c>
      <c r="Z57" s="6">
        <v>225.7836</v>
      </c>
      <c r="AA57" s="6">
        <v>493.9454</v>
      </c>
      <c r="AB57" s="6">
        <v>826.682</v>
      </c>
      <c r="AC57" s="6">
        <v>904.3796</v>
      </c>
      <c r="AD57" s="6">
        <v>774.0</v>
      </c>
      <c r="AE57" s="6">
        <v>1808.0</v>
      </c>
      <c r="AF57" s="6">
        <v>2360.0</v>
      </c>
      <c r="AG57" s="6">
        <v>2018.0</v>
      </c>
      <c r="AH57" s="6">
        <v>36.0</v>
      </c>
      <c r="AI57" s="6">
        <v>74.0</v>
      </c>
      <c r="AJ57" s="6">
        <v>128.0</v>
      </c>
      <c r="AK57" s="6">
        <v>146.0</v>
      </c>
      <c r="AL57" s="6">
        <v>202.0</v>
      </c>
      <c r="AM57" s="6">
        <v>496.0</v>
      </c>
      <c r="AN57" s="6">
        <v>692.0</v>
      </c>
      <c r="AO57" s="6">
        <v>734.0</v>
      </c>
      <c r="AP57" s="6">
        <v>12.8948</v>
      </c>
      <c r="AQ57" s="6">
        <v>32.2354</v>
      </c>
      <c r="AR57" s="6">
        <v>47.4704</v>
      </c>
      <c r="AS57" s="6">
        <v>49.6874</v>
      </c>
      <c r="AT57" s="6">
        <v>139.3818</v>
      </c>
      <c r="AU57" s="6">
        <v>249.5173</v>
      </c>
      <c r="AV57" s="6">
        <v>462.4183</v>
      </c>
      <c r="AW57" s="6">
        <v>465.7543</v>
      </c>
      <c r="AX57" s="6">
        <v>742.6667</v>
      </c>
      <c r="AY57" s="6">
        <v>1458.667</v>
      </c>
      <c r="AZ57" s="6">
        <v>2134.667</v>
      </c>
      <c r="BA57" s="6">
        <v>1536.667</v>
      </c>
      <c r="BB57" s="6">
        <v>17.33333</v>
      </c>
      <c r="BC57" s="6">
        <v>34.0</v>
      </c>
      <c r="BD57" s="6">
        <v>58.66667</v>
      </c>
      <c r="BE57" s="6">
        <v>60.66667</v>
      </c>
      <c r="BF57" s="6">
        <v>92.66667</v>
      </c>
      <c r="BG57" s="6">
        <v>218.6667</v>
      </c>
      <c r="BH57" s="6">
        <v>270.6667</v>
      </c>
      <c r="BI57" s="6">
        <v>256.6667</v>
      </c>
      <c r="BJ57" s="6">
        <v>7.461133</v>
      </c>
      <c r="BK57" s="6">
        <v>16.95753</v>
      </c>
      <c r="BL57" s="6">
        <v>25.11667</v>
      </c>
      <c r="BM57" s="6">
        <v>22.78207</v>
      </c>
      <c r="BN57" s="6">
        <v>9.2416</v>
      </c>
      <c r="BO57" s="6">
        <v>18.2096</v>
      </c>
      <c r="BP57" s="6">
        <v>23.256</v>
      </c>
      <c r="BQ57" s="6">
        <v>35.9936</v>
      </c>
      <c r="BR57" s="6">
        <v>49.0</v>
      </c>
      <c r="BS57" s="6">
        <v>98.0</v>
      </c>
      <c r="BT57" s="6">
        <v>126.0</v>
      </c>
      <c r="BU57" s="6">
        <v>77.0</v>
      </c>
      <c r="BV57" s="6">
        <v>1.0</v>
      </c>
      <c r="BW57" s="6">
        <v>2.0</v>
      </c>
      <c r="BX57" s="6">
        <v>3.0</v>
      </c>
      <c r="BY57" s="6">
        <v>5.0</v>
      </c>
      <c r="BZ57" s="6">
        <v>4.0</v>
      </c>
      <c r="CA57" s="6">
        <v>10.0</v>
      </c>
      <c r="CB57" s="6">
        <v>20.0</v>
      </c>
      <c r="CC57" s="6">
        <v>14.0</v>
      </c>
      <c r="CD57" s="6">
        <v>0.5625</v>
      </c>
      <c r="CE57" s="6">
        <v>1.125</v>
      </c>
      <c r="CF57" s="6">
        <v>1.7325</v>
      </c>
      <c r="CG57" s="6">
        <v>1.6725</v>
      </c>
      <c r="CH57" s="6">
        <v>10.9696</v>
      </c>
      <c r="CI57" s="6">
        <v>13.6688</v>
      </c>
      <c r="CJ57" s="6">
        <v>42.39947</v>
      </c>
      <c r="CK57" s="6">
        <v>40.58613</v>
      </c>
      <c r="CL57" s="6">
        <v>59.0</v>
      </c>
      <c r="CM57" s="6">
        <v>127.3333</v>
      </c>
      <c r="CN57" s="6">
        <v>161.6667</v>
      </c>
      <c r="CO57" s="6">
        <v>195.3333</v>
      </c>
      <c r="CP57" s="6">
        <v>1.0</v>
      </c>
      <c r="CQ57" s="6">
        <v>1.666667</v>
      </c>
      <c r="CR57" s="6">
        <v>5.0</v>
      </c>
      <c r="CS57" s="6">
        <v>3.666667</v>
      </c>
      <c r="CT57" s="6">
        <v>3.666667</v>
      </c>
      <c r="CU57" s="6">
        <v>14.66667</v>
      </c>
      <c r="CV57" s="6">
        <v>18.0</v>
      </c>
      <c r="CW57" s="6">
        <v>12.0</v>
      </c>
      <c r="CX57" s="6">
        <v>0.542767</v>
      </c>
      <c r="CY57" s="6">
        <v>1.0739</v>
      </c>
      <c r="CZ57" s="6">
        <v>2.117767</v>
      </c>
      <c r="DA57" s="6">
        <v>1.7891</v>
      </c>
      <c r="DB57" s="6">
        <v>0.0</v>
      </c>
      <c r="DC57" s="6">
        <v>0.09</v>
      </c>
      <c r="DD57" s="6">
        <v>1.47</v>
      </c>
      <c r="DE57" s="6">
        <v>3.36</v>
      </c>
      <c r="DF57" s="6">
        <v>0.0</v>
      </c>
      <c r="DG57" s="6">
        <v>0.0</v>
      </c>
      <c r="DH57" s="6">
        <v>3.0</v>
      </c>
      <c r="DI57" s="6">
        <v>24.0</v>
      </c>
      <c r="DJ57" s="6">
        <v>0.0</v>
      </c>
      <c r="DK57" s="6">
        <v>0.0</v>
      </c>
      <c r="DL57" s="6">
        <v>0.0</v>
      </c>
      <c r="DM57" s="6">
        <v>0.0</v>
      </c>
      <c r="DN57" s="6">
        <v>0.0</v>
      </c>
      <c r="DO57" s="6">
        <v>-1.0</v>
      </c>
      <c r="DP57" s="6">
        <v>-4.0</v>
      </c>
      <c r="DQ57" s="6">
        <v>3.0</v>
      </c>
      <c r="DR57" s="6">
        <v>0.0</v>
      </c>
      <c r="DS57" s="6">
        <v>0.0</v>
      </c>
      <c r="DT57" s="6">
        <v>-0.06</v>
      </c>
      <c r="DU57" s="6">
        <v>1.52</v>
      </c>
      <c r="DV57" s="6">
        <v>0.0</v>
      </c>
      <c r="DW57" s="6">
        <v>1.063333</v>
      </c>
      <c r="DX57" s="6">
        <v>2.88</v>
      </c>
      <c r="DY57" s="6">
        <v>-0.35667</v>
      </c>
      <c r="DZ57" s="6">
        <v>0.0</v>
      </c>
      <c r="EA57" s="6">
        <v>-4.33333</v>
      </c>
      <c r="EB57" s="6">
        <v>16.0</v>
      </c>
      <c r="EC57" s="6">
        <v>2.333333</v>
      </c>
      <c r="ED57" s="6">
        <v>0.0</v>
      </c>
      <c r="EE57" s="6">
        <v>0.0</v>
      </c>
      <c r="EF57" s="6">
        <v>0.0</v>
      </c>
      <c r="EG57" s="6">
        <v>0.0</v>
      </c>
      <c r="EH57" s="6">
        <v>0.0</v>
      </c>
      <c r="EI57" s="6">
        <v>-3.0</v>
      </c>
      <c r="EJ57" s="6">
        <v>2.333333</v>
      </c>
      <c r="EK57" s="6">
        <v>1.666667</v>
      </c>
      <c r="EL57" s="6">
        <v>0.0</v>
      </c>
      <c r="EM57" s="6">
        <v>-0.21333</v>
      </c>
      <c r="EN57" s="6">
        <v>0.846667</v>
      </c>
      <c r="EO57" s="6">
        <v>0.286667</v>
      </c>
      <c r="EP57" s="6">
        <v>3.3489</v>
      </c>
      <c r="EQ57" s="6">
        <v>34.8432</v>
      </c>
      <c r="ER57" s="6">
        <v>59.3652</v>
      </c>
      <c r="ES57" s="6">
        <v>109.5438</v>
      </c>
      <c r="ET57" s="6">
        <v>676.0</v>
      </c>
      <c r="EU57" s="6">
        <v>1144.0</v>
      </c>
      <c r="EV57" s="6">
        <v>2496.0</v>
      </c>
      <c r="EW57" s="6">
        <v>2132.0</v>
      </c>
      <c r="EX57" s="6">
        <v>1.0</v>
      </c>
      <c r="EY57" s="6">
        <v>6.0</v>
      </c>
      <c r="EZ57" s="6">
        <v>12.0</v>
      </c>
      <c r="FA57" s="6">
        <v>24.0</v>
      </c>
      <c r="FB57" s="6">
        <v>36.0</v>
      </c>
      <c r="FC57" s="6">
        <v>108.0</v>
      </c>
      <c r="FD57" s="6">
        <v>252.0</v>
      </c>
      <c r="FE57" s="6">
        <v>228.0</v>
      </c>
      <c r="FF57" s="6">
        <v>1.5625</v>
      </c>
      <c r="FG57" s="6">
        <v>5.575</v>
      </c>
      <c r="FH57" s="6">
        <v>12.075</v>
      </c>
      <c r="FI57" s="6">
        <v>15.9</v>
      </c>
      <c r="FJ57" s="6">
        <v>0.0</v>
      </c>
      <c r="FK57" s="6">
        <v>-8.06</v>
      </c>
      <c r="FL57" s="6">
        <v>-10.48</v>
      </c>
      <c r="FM57" s="6">
        <v>-15.94</v>
      </c>
      <c r="FN57" s="6">
        <v>0.0</v>
      </c>
      <c r="FO57" s="6">
        <v>112.0</v>
      </c>
      <c r="FP57" s="6">
        <v>216.0</v>
      </c>
      <c r="FQ57" s="6">
        <v>542.0</v>
      </c>
      <c r="FR57" s="6">
        <v>0.0</v>
      </c>
      <c r="FS57" s="6">
        <v>0.0</v>
      </c>
      <c r="FT57" s="6">
        <v>0.0</v>
      </c>
      <c r="FU57" s="6">
        <v>0.0</v>
      </c>
      <c r="FV57" s="6">
        <v>0.0</v>
      </c>
      <c r="FW57" s="6">
        <v>18.0</v>
      </c>
      <c r="FX57" s="6">
        <v>30.0</v>
      </c>
      <c r="FY57" s="6">
        <v>106.0</v>
      </c>
      <c r="FZ57" s="6">
        <v>0.0</v>
      </c>
      <c r="GA57" s="6">
        <v>3.04</v>
      </c>
      <c r="GB57" s="6">
        <v>5.34</v>
      </c>
      <c r="GC57" s="6">
        <v>17.28</v>
      </c>
      <c r="GD57" s="6">
        <v>-11.61602178</v>
      </c>
      <c r="GE57" s="1" t="s">
        <v>1351</v>
      </c>
      <c r="GF57" s="1" t="s">
        <v>1410</v>
      </c>
    </row>
    <row r="58">
      <c r="A58" s="1" t="s">
        <v>153</v>
      </c>
      <c r="B58" s="6">
        <v>4.0</v>
      </c>
      <c r="C58" s="6">
        <v>0.0</v>
      </c>
      <c r="D58" s="6">
        <v>2.0</v>
      </c>
      <c r="E58" s="6">
        <v>0.0</v>
      </c>
      <c r="F58" s="6">
        <v>434.7412</v>
      </c>
      <c r="G58" s="6">
        <v>855.122</v>
      </c>
      <c r="H58" s="6">
        <v>1822.197</v>
      </c>
      <c r="I58" s="6">
        <v>2487.733</v>
      </c>
      <c r="J58" s="6">
        <v>3004.0</v>
      </c>
      <c r="K58" s="6">
        <v>6922.0</v>
      </c>
      <c r="L58" s="6">
        <v>12940.0</v>
      </c>
      <c r="M58" s="6">
        <v>15492.0</v>
      </c>
      <c r="N58" s="6">
        <v>56.0</v>
      </c>
      <c r="O58" s="6">
        <v>122.0</v>
      </c>
      <c r="P58" s="6">
        <v>234.0</v>
      </c>
      <c r="Q58" s="6">
        <v>336.0</v>
      </c>
      <c r="R58" s="6">
        <v>356.0</v>
      </c>
      <c r="S58" s="6">
        <v>974.0</v>
      </c>
      <c r="T58" s="6">
        <v>1670.0</v>
      </c>
      <c r="U58" s="6">
        <v>2234.0</v>
      </c>
      <c r="V58" s="6">
        <v>26.2702</v>
      </c>
      <c r="W58" s="6">
        <v>67.595</v>
      </c>
      <c r="X58" s="6">
        <v>122.0346</v>
      </c>
      <c r="Y58" s="6">
        <v>166.4504</v>
      </c>
      <c r="Z58" s="6">
        <v>239.0305</v>
      </c>
      <c r="AA58" s="6">
        <v>530.8292</v>
      </c>
      <c r="AB58" s="6">
        <v>855.06</v>
      </c>
      <c r="AC58" s="6">
        <v>1042.81</v>
      </c>
      <c r="AD58" s="6">
        <v>874.0</v>
      </c>
      <c r="AE58" s="6">
        <v>2066.0</v>
      </c>
      <c r="AF58" s="6">
        <v>2760.0</v>
      </c>
      <c r="AG58" s="6">
        <v>2748.0</v>
      </c>
      <c r="AH58" s="6">
        <v>39.0</v>
      </c>
      <c r="AI58" s="6">
        <v>82.0</v>
      </c>
      <c r="AJ58" s="6">
        <v>134.0</v>
      </c>
      <c r="AK58" s="6">
        <v>168.0</v>
      </c>
      <c r="AL58" s="6">
        <v>216.0</v>
      </c>
      <c r="AM58" s="6">
        <v>536.0</v>
      </c>
      <c r="AN58" s="6">
        <v>750.0</v>
      </c>
      <c r="AO58" s="6">
        <v>822.0</v>
      </c>
      <c r="AP58" s="6">
        <v>15.2191</v>
      </c>
      <c r="AQ58" s="6">
        <v>37.8078</v>
      </c>
      <c r="AR58" s="6">
        <v>55.2042</v>
      </c>
      <c r="AS58" s="6">
        <v>61.506</v>
      </c>
      <c r="AT58" s="6">
        <v>143.7974</v>
      </c>
      <c r="AU58" s="6">
        <v>261.8119</v>
      </c>
      <c r="AV58" s="6">
        <v>471.8776</v>
      </c>
      <c r="AW58" s="6">
        <v>511.8976</v>
      </c>
      <c r="AX58" s="6">
        <v>776.0</v>
      </c>
      <c r="AY58" s="6">
        <v>1544.667</v>
      </c>
      <c r="AZ58" s="6">
        <v>2268.0</v>
      </c>
      <c r="BA58" s="6">
        <v>1780.0</v>
      </c>
      <c r="BB58" s="6">
        <v>18.33333</v>
      </c>
      <c r="BC58" s="6">
        <v>36.66667</v>
      </c>
      <c r="BD58" s="6">
        <v>60.66667</v>
      </c>
      <c r="BE58" s="6">
        <v>68.0</v>
      </c>
      <c r="BF58" s="6">
        <v>97.33333</v>
      </c>
      <c r="BG58" s="6">
        <v>232.0</v>
      </c>
      <c r="BH58" s="6">
        <v>290.0</v>
      </c>
      <c r="BI58" s="6">
        <v>286.0</v>
      </c>
      <c r="BJ58" s="6">
        <v>8.2359</v>
      </c>
      <c r="BK58" s="6">
        <v>18.815</v>
      </c>
      <c r="BL58" s="6">
        <v>27.6946</v>
      </c>
      <c r="BM58" s="6">
        <v>26.7216</v>
      </c>
      <c r="BN58" s="6">
        <v>9.2416</v>
      </c>
      <c r="BO58" s="6">
        <v>16.2488</v>
      </c>
      <c r="BP58" s="6">
        <v>26.6</v>
      </c>
      <c r="BQ58" s="6">
        <v>43.7456</v>
      </c>
      <c r="BR58" s="6">
        <v>49.0</v>
      </c>
      <c r="BS58" s="6">
        <v>87.5</v>
      </c>
      <c r="BT58" s="6">
        <v>129.5</v>
      </c>
      <c r="BU58" s="6">
        <v>119.0</v>
      </c>
      <c r="BV58" s="6">
        <v>1.0</v>
      </c>
      <c r="BW58" s="6">
        <v>2.0</v>
      </c>
      <c r="BX58" s="6">
        <v>3.5</v>
      </c>
      <c r="BY58" s="6">
        <v>6.0</v>
      </c>
      <c r="BZ58" s="6">
        <v>4.0</v>
      </c>
      <c r="CA58" s="6">
        <v>11.0</v>
      </c>
      <c r="CB58" s="6">
        <v>21.0</v>
      </c>
      <c r="CC58" s="6">
        <v>20.0</v>
      </c>
      <c r="CD58" s="6">
        <v>0.5625</v>
      </c>
      <c r="CE58" s="6">
        <v>1.1475</v>
      </c>
      <c r="CF58" s="6">
        <v>1.87125</v>
      </c>
      <c r="CG58" s="6">
        <v>2.25</v>
      </c>
      <c r="CH58" s="6">
        <v>10.9696</v>
      </c>
      <c r="CI58" s="6">
        <v>12.3768</v>
      </c>
      <c r="CJ58" s="6">
        <v>37.1808</v>
      </c>
      <c r="CK58" s="6">
        <v>43.17013</v>
      </c>
      <c r="CL58" s="6">
        <v>59.0</v>
      </c>
      <c r="CM58" s="6">
        <v>120.3333</v>
      </c>
      <c r="CN58" s="6">
        <v>167.5</v>
      </c>
      <c r="CO58" s="6">
        <v>209.3333</v>
      </c>
      <c r="CP58" s="6">
        <v>1.0</v>
      </c>
      <c r="CQ58" s="6">
        <v>1.5</v>
      </c>
      <c r="CR58" s="6">
        <v>4.166667</v>
      </c>
      <c r="CS58" s="6">
        <v>4.0</v>
      </c>
      <c r="CT58" s="6">
        <v>2.833333</v>
      </c>
      <c r="CU58" s="6">
        <v>10.66667</v>
      </c>
      <c r="CV58" s="6">
        <v>15.16667</v>
      </c>
      <c r="CW58" s="6">
        <v>12.83333</v>
      </c>
      <c r="CX58" s="6">
        <v>0.542767</v>
      </c>
      <c r="CY58" s="6">
        <v>0.97765</v>
      </c>
      <c r="CZ58" s="6">
        <v>1.986517</v>
      </c>
      <c r="DA58" s="6">
        <v>1.9816</v>
      </c>
      <c r="DB58" s="6">
        <v>0.0</v>
      </c>
      <c r="DC58" s="6">
        <v>0.735</v>
      </c>
      <c r="DD58" s="6">
        <v>1.89</v>
      </c>
      <c r="DE58" s="6">
        <v>3.85</v>
      </c>
      <c r="DF58" s="6">
        <v>0.0</v>
      </c>
      <c r="DG58" s="6">
        <v>1.5</v>
      </c>
      <c r="DH58" s="6">
        <v>6.0</v>
      </c>
      <c r="DI58" s="6">
        <v>25.0</v>
      </c>
      <c r="DJ58" s="6">
        <v>0.0</v>
      </c>
      <c r="DK58" s="6">
        <v>0.0</v>
      </c>
      <c r="DL58" s="6">
        <v>0.0</v>
      </c>
      <c r="DM58" s="6">
        <v>0.0</v>
      </c>
      <c r="DN58" s="6">
        <v>0.0</v>
      </c>
      <c r="DO58" s="6">
        <v>-1.5</v>
      </c>
      <c r="DP58" s="6">
        <v>-3.5</v>
      </c>
      <c r="DQ58" s="6">
        <v>2.0</v>
      </c>
      <c r="DR58" s="6">
        <v>0.0</v>
      </c>
      <c r="DS58" s="6">
        <v>-0.03</v>
      </c>
      <c r="DT58" s="6">
        <v>0.13</v>
      </c>
      <c r="DU58" s="6">
        <v>1.5</v>
      </c>
      <c r="DV58" s="6">
        <v>0.0</v>
      </c>
      <c r="DW58" s="6">
        <v>0.981667</v>
      </c>
      <c r="DX58" s="6">
        <v>2.063333</v>
      </c>
      <c r="DY58" s="6">
        <v>-0.19333</v>
      </c>
      <c r="DZ58" s="6">
        <v>0.0</v>
      </c>
      <c r="EA58" s="6">
        <v>-4.5</v>
      </c>
      <c r="EB58" s="6">
        <v>9.333333</v>
      </c>
      <c r="EC58" s="6">
        <v>2.666667</v>
      </c>
      <c r="ED58" s="6">
        <v>0.0</v>
      </c>
      <c r="EE58" s="6">
        <v>0.0</v>
      </c>
      <c r="EF58" s="6">
        <v>0.0</v>
      </c>
      <c r="EG58" s="6">
        <v>0.0</v>
      </c>
      <c r="EH58" s="6">
        <v>0.0</v>
      </c>
      <c r="EI58" s="6">
        <v>-2.83333</v>
      </c>
      <c r="EJ58" s="6">
        <v>-0.5</v>
      </c>
      <c r="EK58" s="6">
        <v>0.833333</v>
      </c>
      <c r="EL58" s="6">
        <v>0.0</v>
      </c>
      <c r="EM58" s="6">
        <v>-0.21</v>
      </c>
      <c r="EN58" s="6">
        <v>0.396667</v>
      </c>
      <c r="EO58" s="6">
        <v>0.28</v>
      </c>
      <c r="EP58" s="6">
        <v>3.3489</v>
      </c>
      <c r="EQ58" s="6">
        <v>34.8432</v>
      </c>
      <c r="ER58" s="6">
        <v>52.338</v>
      </c>
      <c r="ES58" s="6">
        <v>94.7208</v>
      </c>
      <c r="ET58" s="6">
        <v>676.0</v>
      </c>
      <c r="EU58" s="6">
        <v>1144.0</v>
      </c>
      <c r="EV58" s="6">
        <v>2262.0</v>
      </c>
      <c r="EW58" s="6">
        <v>2288.0</v>
      </c>
      <c r="EX58" s="6">
        <v>1.0</v>
      </c>
      <c r="EY58" s="6">
        <v>6.0</v>
      </c>
      <c r="EZ58" s="6">
        <v>11.0</v>
      </c>
      <c r="FA58" s="6">
        <v>20.0</v>
      </c>
      <c r="FB58" s="6">
        <v>36.0</v>
      </c>
      <c r="FC58" s="6">
        <v>102.0</v>
      </c>
      <c r="FD58" s="6">
        <v>222.0</v>
      </c>
      <c r="FE58" s="6">
        <v>228.0</v>
      </c>
      <c r="FF58" s="6">
        <v>1.5625</v>
      </c>
      <c r="FG58" s="6">
        <v>5.575</v>
      </c>
      <c r="FH58" s="6">
        <v>11.1875</v>
      </c>
      <c r="FI58" s="6">
        <v>15.05</v>
      </c>
      <c r="FJ58" s="6">
        <v>0.0</v>
      </c>
      <c r="FK58" s="6">
        <v>-8.06</v>
      </c>
      <c r="FL58" s="6">
        <v>-8.47</v>
      </c>
      <c r="FM58" s="6">
        <v>-15.16</v>
      </c>
      <c r="FN58" s="6">
        <v>0.0</v>
      </c>
      <c r="FO58" s="6">
        <v>112.0</v>
      </c>
      <c r="FP58" s="6">
        <v>199.0</v>
      </c>
      <c r="FQ58" s="6">
        <v>432.0</v>
      </c>
      <c r="FR58" s="6">
        <v>0.0</v>
      </c>
      <c r="FS58" s="6">
        <v>0.0</v>
      </c>
      <c r="FT58" s="6">
        <v>0.0</v>
      </c>
      <c r="FU58" s="6">
        <v>0.0</v>
      </c>
      <c r="FV58" s="6">
        <v>0.0</v>
      </c>
      <c r="FW58" s="6">
        <v>19.0</v>
      </c>
      <c r="FX58" s="6">
        <v>29.0</v>
      </c>
      <c r="FY58" s="6">
        <v>82.0</v>
      </c>
      <c r="FZ58" s="6">
        <v>0.0</v>
      </c>
      <c r="GA58" s="6">
        <v>3.04</v>
      </c>
      <c r="GB58" s="6">
        <v>4.8</v>
      </c>
      <c r="GC58" s="6">
        <v>12.96</v>
      </c>
      <c r="GD58" s="6">
        <v>-16.00226775</v>
      </c>
      <c r="GE58" s="1" t="s">
        <v>1353</v>
      </c>
      <c r="GF58" s="1" t="s">
        <v>1411</v>
      </c>
    </row>
    <row r="59">
      <c r="A59" s="1" t="s">
        <v>155</v>
      </c>
      <c r="B59" s="6">
        <v>4.0</v>
      </c>
      <c r="C59" s="6">
        <v>0.0</v>
      </c>
      <c r="D59" s="6">
        <v>2.0</v>
      </c>
      <c r="E59" s="6">
        <v>0.0</v>
      </c>
      <c r="F59" s="6">
        <v>388.7563</v>
      </c>
      <c r="G59" s="6">
        <v>755.4468</v>
      </c>
      <c r="H59" s="6">
        <v>1666.052</v>
      </c>
      <c r="I59" s="6">
        <v>2149.745</v>
      </c>
      <c r="J59" s="6">
        <v>3538.0</v>
      </c>
      <c r="K59" s="6">
        <v>7340.0</v>
      </c>
      <c r="L59" s="6">
        <v>13728.0</v>
      </c>
      <c r="M59" s="6">
        <v>16748.0</v>
      </c>
      <c r="N59" s="6">
        <v>48.0</v>
      </c>
      <c r="O59" s="6">
        <v>106.0</v>
      </c>
      <c r="P59" s="6">
        <v>208.0</v>
      </c>
      <c r="Q59" s="6">
        <v>284.0</v>
      </c>
      <c r="R59" s="6">
        <v>314.0</v>
      </c>
      <c r="S59" s="6">
        <v>866.0</v>
      </c>
      <c r="T59" s="6">
        <v>1516.0</v>
      </c>
      <c r="U59" s="6">
        <v>1956.0</v>
      </c>
      <c r="V59" s="6">
        <v>25.1799</v>
      </c>
      <c r="W59" s="6">
        <v>63.5594</v>
      </c>
      <c r="X59" s="6">
        <v>116.8808</v>
      </c>
      <c r="Y59" s="6">
        <v>152.9534</v>
      </c>
      <c r="Z59" s="6">
        <v>193.0456</v>
      </c>
      <c r="AA59" s="6">
        <v>431.154</v>
      </c>
      <c r="AB59" s="6">
        <v>700.7082</v>
      </c>
      <c r="AC59" s="6">
        <v>712.1208</v>
      </c>
      <c r="AD59" s="6">
        <v>1408.0</v>
      </c>
      <c r="AE59" s="6">
        <v>2484.0</v>
      </c>
      <c r="AF59" s="6">
        <v>3600.0</v>
      </c>
      <c r="AG59" s="6">
        <v>2466.0</v>
      </c>
      <c r="AH59" s="6">
        <v>31.0</v>
      </c>
      <c r="AI59" s="6">
        <v>66.0</v>
      </c>
      <c r="AJ59" s="6">
        <v>108.0</v>
      </c>
      <c r="AK59" s="6">
        <v>114.0</v>
      </c>
      <c r="AL59" s="6">
        <v>174.0</v>
      </c>
      <c r="AM59" s="6">
        <v>426.0</v>
      </c>
      <c r="AN59" s="6">
        <v>588.0</v>
      </c>
      <c r="AO59" s="6">
        <v>570.0</v>
      </c>
      <c r="AP59" s="6">
        <v>14.1288</v>
      </c>
      <c r="AQ59" s="6">
        <v>33.7722</v>
      </c>
      <c r="AR59" s="6">
        <v>50.0004</v>
      </c>
      <c r="AS59" s="6">
        <v>45.0606</v>
      </c>
      <c r="AT59" s="6">
        <v>128.4691</v>
      </c>
      <c r="AU59" s="6">
        <v>228.5868</v>
      </c>
      <c r="AV59" s="6">
        <v>420.427</v>
      </c>
      <c r="AW59" s="6">
        <v>401.668</v>
      </c>
      <c r="AX59" s="6">
        <v>954.0</v>
      </c>
      <c r="AY59" s="6">
        <v>1684.0</v>
      </c>
      <c r="AZ59" s="6">
        <v>2548.0</v>
      </c>
      <c r="BA59" s="6">
        <v>1686.0</v>
      </c>
      <c r="BB59" s="6">
        <v>15.66667</v>
      </c>
      <c r="BC59" s="6">
        <v>31.33333</v>
      </c>
      <c r="BD59" s="6">
        <v>52.0</v>
      </c>
      <c r="BE59" s="6">
        <v>50.0</v>
      </c>
      <c r="BF59" s="6">
        <v>83.33333</v>
      </c>
      <c r="BG59" s="6">
        <v>195.3333</v>
      </c>
      <c r="BH59" s="6">
        <v>236.0</v>
      </c>
      <c r="BI59" s="6">
        <v>202.0</v>
      </c>
      <c r="BJ59" s="6">
        <v>7.872467</v>
      </c>
      <c r="BK59" s="6">
        <v>17.4698</v>
      </c>
      <c r="BL59" s="6">
        <v>25.96</v>
      </c>
      <c r="BM59" s="6">
        <v>21.2398</v>
      </c>
      <c r="BN59" s="6">
        <v>9.2416</v>
      </c>
      <c r="BO59" s="6">
        <v>15.504</v>
      </c>
      <c r="BP59" s="6">
        <v>30.0352</v>
      </c>
      <c r="BQ59" s="6">
        <v>29.3056</v>
      </c>
      <c r="BR59" s="6">
        <v>49.0</v>
      </c>
      <c r="BS59" s="6">
        <v>84.0</v>
      </c>
      <c r="BT59" s="6">
        <v>203.0</v>
      </c>
      <c r="BU59" s="6">
        <v>70.0</v>
      </c>
      <c r="BV59" s="6">
        <v>1.0</v>
      </c>
      <c r="BW59" s="6">
        <v>2.0</v>
      </c>
      <c r="BX59" s="6">
        <v>4.0</v>
      </c>
      <c r="BY59" s="6">
        <v>4.0</v>
      </c>
      <c r="BZ59" s="6">
        <v>4.0</v>
      </c>
      <c r="CA59" s="6">
        <v>12.0</v>
      </c>
      <c r="CB59" s="6">
        <v>20.0</v>
      </c>
      <c r="CC59" s="6">
        <v>12.0</v>
      </c>
      <c r="CD59" s="6">
        <v>0.5625</v>
      </c>
      <c r="CE59" s="6">
        <v>1.155</v>
      </c>
      <c r="CF59" s="6">
        <v>2.1975</v>
      </c>
      <c r="CG59" s="6">
        <v>1.395</v>
      </c>
      <c r="CH59" s="6">
        <v>10.9696</v>
      </c>
      <c r="CI59" s="6">
        <v>12.3768</v>
      </c>
      <c r="CJ59" s="6">
        <v>37.196</v>
      </c>
      <c r="CK59" s="6">
        <v>40.80907</v>
      </c>
      <c r="CL59" s="6">
        <v>59.0</v>
      </c>
      <c r="CM59" s="6">
        <v>120.3333</v>
      </c>
      <c r="CN59" s="6">
        <v>179.1667</v>
      </c>
      <c r="CO59" s="6">
        <v>236.1667</v>
      </c>
      <c r="CP59" s="6">
        <v>1.0</v>
      </c>
      <c r="CQ59" s="6">
        <v>1.5</v>
      </c>
      <c r="CR59" s="6">
        <v>4.166667</v>
      </c>
      <c r="CS59" s="6">
        <v>3.666667</v>
      </c>
      <c r="CT59" s="6">
        <v>2.833333</v>
      </c>
      <c r="CU59" s="6">
        <v>10.66667</v>
      </c>
      <c r="CV59" s="6">
        <v>14.83333</v>
      </c>
      <c r="CW59" s="6">
        <v>10.0</v>
      </c>
      <c r="CX59" s="6">
        <v>0.542767</v>
      </c>
      <c r="CY59" s="6">
        <v>0.97765</v>
      </c>
      <c r="CZ59" s="6">
        <v>2.017767</v>
      </c>
      <c r="DA59" s="6">
        <v>1.93285</v>
      </c>
      <c r="DB59" s="6">
        <v>0.0</v>
      </c>
      <c r="DC59" s="6">
        <v>0.98</v>
      </c>
      <c r="DD59" s="6">
        <v>2.28</v>
      </c>
      <c r="DE59" s="6">
        <v>2.52</v>
      </c>
      <c r="DF59" s="6">
        <v>0.0</v>
      </c>
      <c r="DG59" s="6">
        <v>2.0</v>
      </c>
      <c r="DH59" s="6">
        <v>-1.0</v>
      </c>
      <c r="DI59" s="6">
        <v>18.0</v>
      </c>
      <c r="DJ59" s="6">
        <v>0.0</v>
      </c>
      <c r="DK59" s="6">
        <v>0.0</v>
      </c>
      <c r="DL59" s="6">
        <v>0.0</v>
      </c>
      <c r="DM59" s="6">
        <v>0.0</v>
      </c>
      <c r="DN59" s="6">
        <v>0.0</v>
      </c>
      <c r="DO59" s="6">
        <v>-2.0</v>
      </c>
      <c r="DP59" s="6">
        <v>-2.0</v>
      </c>
      <c r="DQ59" s="6">
        <v>2.0</v>
      </c>
      <c r="DR59" s="6">
        <v>0.0</v>
      </c>
      <c r="DS59" s="6">
        <v>-0.04</v>
      </c>
      <c r="DT59" s="6">
        <v>0.07</v>
      </c>
      <c r="DU59" s="6">
        <v>1.14</v>
      </c>
      <c r="DV59" s="6">
        <v>0.0</v>
      </c>
      <c r="DW59" s="6">
        <v>0.981667</v>
      </c>
      <c r="DX59" s="6">
        <v>2.058333</v>
      </c>
      <c r="DY59" s="6">
        <v>-0.43</v>
      </c>
      <c r="DZ59" s="6">
        <v>0.0</v>
      </c>
      <c r="EA59" s="6">
        <v>-4.5</v>
      </c>
      <c r="EB59" s="6">
        <v>7.666667</v>
      </c>
      <c r="EC59" s="6">
        <v>-3.5</v>
      </c>
      <c r="ED59" s="6">
        <v>0.0</v>
      </c>
      <c r="EE59" s="6">
        <v>0.0</v>
      </c>
      <c r="EF59" s="6">
        <v>0.0</v>
      </c>
      <c r="EG59" s="6">
        <v>0.0</v>
      </c>
      <c r="EH59" s="6">
        <v>0.0</v>
      </c>
      <c r="EI59" s="6">
        <v>-2.83333</v>
      </c>
      <c r="EJ59" s="6">
        <v>-0.33333</v>
      </c>
      <c r="EK59" s="6">
        <v>1.333333</v>
      </c>
      <c r="EL59" s="6">
        <v>0.0</v>
      </c>
      <c r="EM59" s="6">
        <v>-0.21</v>
      </c>
      <c r="EN59" s="6">
        <v>0.355</v>
      </c>
      <c r="EO59" s="6">
        <v>0.095</v>
      </c>
      <c r="EP59" s="6">
        <v>3.3489</v>
      </c>
      <c r="EQ59" s="6">
        <v>34.8432</v>
      </c>
      <c r="ER59" s="6">
        <v>51.4413</v>
      </c>
      <c r="ES59" s="6">
        <v>98.9115</v>
      </c>
      <c r="ET59" s="6">
        <v>676.0</v>
      </c>
      <c r="EU59" s="6">
        <v>1144.0</v>
      </c>
      <c r="EV59" s="6">
        <v>2236.0</v>
      </c>
      <c r="EW59" s="6">
        <v>3094.0</v>
      </c>
      <c r="EX59" s="6">
        <v>1.0</v>
      </c>
      <c r="EY59" s="6">
        <v>6.0</v>
      </c>
      <c r="EZ59" s="6">
        <v>11.0</v>
      </c>
      <c r="FA59" s="6">
        <v>21.0</v>
      </c>
      <c r="FB59" s="6">
        <v>36.0</v>
      </c>
      <c r="FC59" s="6">
        <v>102.0</v>
      </c>
      <c r="FD59" s="6">
        <v>228.0</v>
      </c>
      <c r="FE59" s="6">
        <v>216.0</v>
      </c>
      <c r="FF59" s="6">
        <v>1.5625</v>
      </c>
      <c r="FG59" s="6">
        <v>5.575</v>
      </c>
      <c r="FH59" s="6">
        <v>11.2125</v>
      </c>
      <c r="FI59" s="6">
        <v>16.45</v>
      </c>
      <c r="FJ59" s="6">
        <v>0.0</v>
      </c>
      <c r="FK59" s="6">
        <v>-8.06</v>
      </c>
      <c r="FL59" s="6">
        <v>-7.98</v>
      </c>
      <c r="FM59" s="6">
        <v>-15.62</v>
      </c>
      <c r="FN59" s="6">
        <v>0.0</v>
      </c>
      <c r="FO59" s="6">
        <v>112.0</v>
      </c>
      <c r="FP59" s="6">
        <v>200.0</v>
      </c>
      <c r="FQ59" s="6">
        <v>427.0</v>
      </c>
      <c r="FR59" s="6">
        <v>0.0</v>
      </c>
      <c r="FS59" s="6">
        <v>0.0</v>
      </c>
      <c r="FT59" s="6">
        <v>0.0</v>
      </c>
      <c r="FU59" s="6">
        <v>0.0</v>
      </c>
      <c r="FV59" s="6">
        <v>0.0</v>
      </c>
      <c r="FW59" s="6">
        <v>19.0</v>
      </c>
      <c r="FX59" s="6">
        <v>28.0</v>
      </c>
      <c r="FY59" s="6">
        <v>90.0</v>
      </c>
      <c r="FZ59" s="6">
        <v>0.0</v>
      </c>
      <c r="GA59" s="6">
        <v>3.04</v>
      </c>
      <c r="GB59" s="6">
        <v>4.78</v>
      </c>
      <c r="GC59" s="6">
        <v>13.09</v>
      </c>
      <c r="GD59" s="6">
        <v>-15.45320263</v>
      </c>
      <c r="GE59" s="1" t="s">
        <v>1351</v>
      </c>
      <c r="GF59" s="1" t="s">
        <v>1412</v>
      </c>
    </row>
    <row r="60">
      <c r="A60" s="1" t="s">
        <v>157</v>
      </c>
      <c r="B60" s="6">
        <v>4.0</v>
      </c>
      <c r="C60" s="6">
        <v>0.0</v>
      </c>
      <c r="D60" s="6">
        <v>2.0</v>
      </c>
      <c r="E60" s="6">
        <v>0.0</v>
      </c>
      <c r="F60" s="6">
        <v>439.8721</v>
      </c>
      <c r="G60" s="6">
        <v>868.1568</v>
      </c>
      <c r="H60" s="6">
        <v>1963.475</v>
      </c>
      <c r="I60" s="6">
        <v>2858.323</v>
      </c>
      <c r="J60" s="6">
        <v>2854.0</v>
      </c>
      <c r="K60" s="6">
        <v>6644.0</v>
      </c>
      <c r="L60" s="6">
        <v>13172.0</v>
      </c>
      <c r="M60" s="6">
        <v>15418.0</v>
      </c>
      <c r="N60" s="6">
        <v>59.0</v>
      </c>
      <c r="O60" s="6">
        <v>126.0</v>
      </c>
      <c r="P60" s="6">
        <v>262.0</v>
      </c>
      <c r="Q60" s="6">
        <v>408.0</v>
      </c>
      <c r="R60" s="6">
        <v>388.0</v>
      </c>
      <c r="S60" s="6">
        <v>1104.0</v>
      </c>
      <c r="T60" s="6">
        <v>2042.0</v>
      </c>
      <c r="U60" s="6">
        <v>2904.0</v>
      </c>
      <c r="V60" s="6">
        <v>24.8873</v>
      </c>
      <c r="W60" s="6">
        <v>65.6538</v>
      </c>
      <c r="X60" s="6">
        <v>126.0618</v>
      </c>
      <c r="Y60" s="6">
        <v>186.4712</v>
      </c>
      <c r="Z60" s="6">
        <v>244.1614</v>
      </c>
      <c r="AA60" s="6">
        <v>543.864</v>
      </c>
      <c r="AB60" s="6">
        <v>979.466</v>
      </c>
      <c r="AC60" s="6">
        <v>1248.027</v>
      </c>
      <c r="AD60" s="6">
        <v>724.0</v>
      </c>
      <c r="AE60" s="6">
        <v>1788.0</v>
      </c>
      <c r="AF60" s="6">
        <v>2420.0</v>
      </c>
      <c r="AG60" s="6">
        <v>2698.0</v>
      </c>
      <c r="AH60" s="6">
        <v>42.0</v>
      </c>
      <c r="AI60" s="6">
        <v>86.0</v>
      </c>
      <c r="AJ60" s="6">
        <v>158.0</v>
      </c>
      <c r="AK60" s="6">
        <v>208.0</v>
      </c>
      <c r="AL60" s="6">
        <v>244.0</v>
      </c>
      <c r="AM60" s="6">
        <v>616.0</v>
      </c>
      <c r="AN60" s="6">
        <v>886.0</v>
      </c>
      <c r="AO60" s="6">
        <v>1106.0</v>
      </c>
      <c r="AP60" s="6">
        <v>13.8362</v>
      </c>
      <c r="AQ60" s="6">
        <v>35.8666</v>
      </c>
      <c r="AR60" s="6">
        <v>55.3314</v>
      </c>
      <c r="AS60" s="6">
        <v>69.0616</v>
      </c>
      <c r="AT60" s="6">
        <v>145.5077</v>
      </c>
      <c r="AU60" s="6">
        <v>266.1568</v>
      </c>
      <c r="AV60" s="6">
        <v>513.3463</v>
      </c>
      <c r="AW60" s="6">
        <v>580.3033</v>
      </c>
      <c r="AX60" s="6">
        <v>726.0</v>
      </c>
      <c r="AY60" s="6">
        <v>1452.0</v>
      </c>
      <c r="AZ60" s="6">
        <v>2154.667</v>
      </c>
      <c r="BA60" s="6">
        <v>1763.333</v>
      </c>
      <c r="BB60" s="6">
        <v>19.33333</v>
      </c>
      <c r="BC60" s="6">
        <v>38.0</v>
      </c>
      <c r="BD60" s="6">
        <v>68.66667</v>
      </c>
      <c r="BE60" s="6">
        <v>81.33333</v>
      </c>
      <c r="BF60" s="6">
        <v>106.6667</v>
      </c>
      <c r="BG60" s="6">
        <v>258.6667</v>
      </c>
      <c r="BH60" s="6">
        <v>335.3333</v>
      </c>
      <c r="BI60" s="6">
        <v>380.6667</v>
      </c>
      <c r="BJ60" s="6">
        <v>7.774933</v>
      </c>
      <c r="BK60" s="6">
        <v>18.16793</v>
      </c>
      <c r="BL60" s="6">
        <v>27.737</v>
      </c>
      <c r="BM60" s="6">
        <v>29.24013</v>
      </c>
      <c r="BN60" s="6">
        <v>9.2416</v>
      </c>
      <c r="BO60" s="6">
        <v>19.38</v>
      </c>
      <c r="BP60" s="6">
        <v>46.132</v>
      </c>
      <c r="BQ60" s="6">
        <v>44.4904</v>
      </c>
      <c r="BR60" s="6">
        <v>49.0</v>
      </c>
      <c r="BS60" s="6">
        <v>105.0</v>
      </c>
      <c r="BT60" s="6">
        <v>133.0</v>
      </c>
      <c r="BU60" s="6">
        <v>122.5</v>
      </c>
      <c r="BV60" s="6">
        <v>1.0</v>
      </c>
      <c r="BW60" s="6">
        <v>2.5</v>
      </c>
      <c r="BX60" s="6">
        <v>6.5</v>
      </c>
      <c r="BY60" s="6">
        <v>6.0</v>
      </c>
      <c r="BZ60" s="6">
        <v>6.5</v>
      </c>
      <c r="CA60" s="6">
        <v>24.0</v>
      </c>
      <c r="CB60" s="6">
        <v>33.5</v>
      </c>
      <c r="CC60" s="6">
        <v>25.0</v>
      </c>
      <c r="CD60" s="6">
        <v>0.5625</v>
      </c>
      <c r="CE60" s="6">
        <v>1.44375</v>
      </c>
      <c r="CF60" s="6">
        <v>2.55375</v>
      </c>
      <c r="CG60" s="6">
        <v>2.2425</v>
      </c>
      <c r="CH60" s="6">
        <v>10.9696</v>
      </c>
      <c r="CI60" s="6">
        <v>13.6688</v>
      </c>
      <c r="CJ60" s="6">
        <v>42.5768</v>
      </c>
      <c r="CK60" s="6">
        <v>45.29307</v>
      </c>
      <c r="CL60" s="6">
        <v>59.0</v>
      </c>
      <c r="CM60" s="6">
        <v>127.3333</v>
      </c>
      <c r="CN60" s="6">
        <v>167.5</v>
      </c>
      <c r="CO60" s="6">
        <v>201.1667</v>
      </c>
      <c r="CP60" s="6">
        <v>1.0</v>
      </c>
      <c r="CQ60" s="6">
        <v>1.666667</v>
      </c>
      <c r="CR60" s="6">
        <v>5.0</v>
      </c>
      <c r="CS60" s="6">
        <v>4.333333</v>
      </c>
      <c r="CT60" s="6">
        <v>3.666667</v>
      </c>
      <c r="CU60" s="6">
        <v>14.66667</v>
      </c>
      <c r="CV60" s="6">
        <v>20.0</v>
      </c>
      <c r="CW60" s="6">
        <v>14.5</v>
      </c>
      <c r="CX60" s="6">
        <v>0.542767</v>
      </c>
      <c r="CY60" s="6">
        <v>1.0739</v>
      </c>
      <c r="CZ60" s="6">
        <v>2.167767</v>
      </c>
      <c r="DA60" s="6">
        <v>1.9716</v>
      </c>
      <c r="DB60" s="6">
        <v>0.0</v>
      </c>
      <c r="DC60" s="6">
        <v>1.225</v>
      </c>
      <c r="DD60" s="6">
        <v>4.585</v>
      </c>
      <c r="DE60" s="6">
        <v>3.605</v>
      </c>
      <c r="DF60" s="6">
        <v>0.0</v>
      </c>
      <c r="DG60" s="6">
        <v>2.5</v>
      </c>
      <c r="DH60" s="6">
        <v>26.5</v>
      </c>
      <c r="DI60" s="6">
        <v>24.5</v>
      </c>
      <c r="DJ60" s="6">
        <v>0.0</v>
      </c>
      <c r="DK60" s="6">
        <v>0.0</v>
      </c>
      <c r="DL60" s="6">
        <v>0.0</v>
      </c>
      <c r="DM60" s="6">
        <v>0.0</v>
      </c>
      <c r="DN60" s="6">
        <v>0.0</v>
      </c>
      <c r="DO60" s="6">
        <v>-2.5</v>
      </c>
      <c r="DP60" s="6">
        <v>4.5</v>
      </c>
      <c r="DQ60" s="6">
        <v>5.0</v>
      </c>
      <c r="DR60" s="6">
        <v>0.0</v>
      </c>
      <c r="DS60" s="6">
        <v>-0.05</v>
      </c>
      <c r="DT60" s="6">
        <v>1.47</v>
      </c>
      <c r="DU60" s="6">
        <v>1.51</v>
      </c>
      <c r="DV60" s="6">
        <v>0.0</v>
      </c>
      <c r="DW60" s="6">
        <v>1.063333</v>
      </c>
      <c r="DX60" s="6">
        <v>2.821667</v>
      </c>
      <c r="DY60" s="6">
        <v>0.121667</v>
      </c>
      <c r="DZ60" s="6">
        <v>0.0</v>
      </c>
      <c r="EA60" s="6">
        <v>-4.33333</v>
      </c>
      <c r="EB60" s="6">
        <v>15.16667</v>
      </c>
      <c r="EC60" s="6">
        <v>6.166667</v>
      </c>
      <c r="ED60" s="6">
        <v>0.0</v>
      </c>
      <c r="EE60" s="6">
        <v>0.0</v>
      </c>
      <c r="EF60" s="6">
        <v>0.0</v>
      </c>
      <c r="EG60" s="6">
        <v>0.0</v>
      </c>
      <c r="EH60" s="6">
        <v>0.0</v>
      </c>
      <c r="EI60" s="6">
        <v>-3.0</v>
      </c>
      <c r="EJ60" s="6">
        <v>1.666667</v>
      </c>
      <c r="EK60" s="6">
        <v>2.833333</v>
      </c>
      <c r="EL60" s="6">
        <v>0.0</v>
      </c>
      <c r="EM60" s="6">
        <v>-0.21333</v>
      </c>
      <c r="EN60" s="6">
        <v>0.78</v>
      </c>
      <c r="EO60" s="6">
        <v>0.543333</v>
      </c>
      <c r="EP60" s="6">
        <v>3.3489</v>
      </c>
      <c r="EQ60" s="6">
        <v>34.8432</v>
      </c>
      <c r="ER60" s="6">
        <v>60.7743</v>
      </c>
      <c r="ES60" s="6">
        <v>128.3928</v>
      </c>
      <c r="ET60" s="6">
        <v>676.0</v>
      </c>
      <c r="EU60" s="6">
        <v>1144.0</v>
      </c>
      <c r="EV60" s="6">
        <v>2548.0</v>
      </c>
      <c r="EW60" s="6">
        <v>2002.0</v>
      </c>
      <c r="EX60" s="6">
        <v>1.0</v>
      </c>
      <c r="EY60" s="6">
        <v>6.0</v>
      </c>
      <c r="EZ60" s="6">
        <v>13.0</v>
      </c>
      <c r="FA60" s="6">
        <v>29.0</v>
      </c>
      <c r="FB60" s="6">
        <v>36.0</v>
      </c>
      <c r="FC60" s="6">
        <v>114.0</v>
      </c>
      <c r="FD60" s="6">
        <v>300.0</v>
      </c>
      <c r="FE60" s="6">
        <v>234.0</v>
      </c>
      <c r="FF60" s="6">
        <v>1.5625</v>
      </c>
      <c r="FG60" s="6">
        <v>5.575</v>
      </c>
      <c r="FH60" s="6">
        <v>13.1375</v>
      </c>
      <c r="FI60" s="6">
        <v>17.2125</v>
      </c>
      <c r="FJ60" s="6">
        <v>0.0</v>
      </c>
      <c r="FK60" s="6">
        <v>-8.06</v>
      </c>
      <c r="FL60" s="6">
        <v>-9.42</v>
      </c>
      <c r="FM60" s="6">
        <v>-17.09</v>
      </c>
      <c r="FN60" s="6">
        <v>0.0</v>
      </c>
      <c r="FO60" s="6">
        <v>112.0</v>
      </c>
      <c r="FP60" s="6">
        <v>240.0</v>
      </c>
      <c r="FQ60" s="6">
        <v>677.0</v>
      </c>
      <c r="FR60" s="6">
        <v>0.0</v>
      </c>
      <c r="FS60" s="6">
        <v>0.0</v>
      </c>
      <c r="FT60" s="6">
        <v>0.0</v>
      </c>
      <c r="FU60" s="6">
        <v>0.0</v>
      </c>
      <c r="FV60" s="6">
        <v>0.0</v>
      </c>
      <c r="FW60" s="6">
        <v>17.0</v>
      </c>
      <c r="FX60" s="6">
        <v>28.0</v>
      </c>
      <c r="FY60" s="6">
        <v>135.0</v>
      </c>
      <c r="FZ60" s="6">
        <v>0.0</v>
      </c>
      <c r="GA60" s="6">
        <v>3.04</v>
      </c>
      <c r="GB60" s="6">
        <v>5.74</v>
      </c>
      <c r="GC60" s="6">
        <v>22.48</v>
      </c>
      <c r="GD60" s="6">
        <v>-11.42902589</v>
      </c>
      <c r="GE60" s="1" t="s">
        <v>1353</v>
      </c>
      <c r="GF60" s="1" t="s">
        <v>1413</v>
      </c>
    </row>
    <row r="61">
      <c r="A61" s="1" t="s">
        <v>160</v>
      </c>
      <c r="B61" s="6">
        <v>4.0</v>
      </c>
      <c r="C61" s="6">
        <v>0.0</v>
      </c>
      <c r="D61" s="6">
        <v>2.0</v>
      </c>
      <c r="E61" s="6">
        <v>0.0</v>
      </c>
      <c r="F61" s="6">
        <v>683.3471</v>
      </c>
      <c r="G61" s="6">
        <v>1445.352</v>
      </c>
      <c r="H61" s="6">
        <v>2785.738</v>
      </c>
      <c r="I61" s="6">
        <v>3910.789</v>
      </c>
      <c r="J61" s="6">
        <v>3944.0</v>
      </c>
      <c r="K61" s="6">
        <v>9324.0</v>
      </c>
      <c r="L61" s="6">
        <v>16368.0</v>
      </c>
      <c r="M61" s="6">
        <v>20524.0</v>
      </c>
      <c r="N61" s="6">
        <v>99.0</v>
      </c>
      <c r="O61" s="6">
        <v>218.0</v>
      </c>
      <c r="P61" s="6">
        <v>394.0</v>
      </c>
      <c r="Q61" s="6">
        <v>576.0</v>
      </c>
      <c r="R61" s="6">
        <v>612.0</v>
      </c>
      <c r="S61" s="6">
        <v>1650.0</v>
      </c>
      <c r="T61" s="6">
        <v>2706.0</v>
      </c>
      <c r="U61" s="6">
        <v>3684.0</v>
      </c>
      <c r="V61" s="6">
        <v>44.0433</v>
      </c>
      <c r="W61" s="6">
        <v>114.1034</v>
      </c>
      <c r="X61" s="6">
        <v>195.7618</v>
      </c>
      <c r="Y61" s="6">
        <v>266.0164</v>
      </c>
      <c r="Z61" s="6">
        <v>487.6364</v>
      </c>
      <c r="AA61" s="6">
        <v>1121.059</v>
      </c>
      <c r="AB61" s="6">
        <v>1813.624</v>
      </c>
      <c r="AC61" s="6">
        <v>2370.292</v>
      </c>
      <c r="AD61" s="6">
        <v>1814.0</v>
      </c>
      <c r="AE61" s="6">
        <v>4468.0</v>
      </c>
      <c r="AF61" s="6">
        <v>6448.0</v>
      </c>
      <c r="AG61" s="6">
        <v>7364.0</v>
      </c>
      <c r="AH61" s="6">
        <v>82.0</v>
      </c>
      <c r="AI61" s="6">
        <v>178.0</v>
      </c>
      <c r="AJ61" s="6">
        <v>292.0</v>
      </c>
      <c r="AK61" s="6">
        <v>392.0</v>
      </c>
      <c r="AL61" s="6">
        <v>470.0</v>
      </c>
      <c r="AM61" s="6">
        <v>1202.0</v>
      </c>
      <c r="AN61" s="6">
        <v>1776.0</v>
      </c>
      <c r="AO61" s="6">
        <v>2100.0</v>
      </c>
      <c r="AP61" s="6">
        <v>32.9922</v>
      </c>
      <c r="AQ61" s="6">
        <v>84.3162</v>
      </c>
      <c r="AR61" s="6">
        <v>128.9564</v>
      </c>
      <c r="AS61" s="6">
        <v>155.7112</v>
      </c>
      <c r="AT61" s="6">
        <v>226.6661</v>
      </c>
      <c r="AU61" s="6">
        <v>458.5551</v>
      </c>
      <c r="AV61" s="6">
        <v>791.3989</v>
      </c>
      <c r="AW61" s="6">
        <v>954.3919</v>
      </c>
      <c r="AX61" s="6">
        <v>1089.333</v>
      </c>
      <c r="AY61" s="6">
        <v>2345.333</v>
      </c>
      <c r="AZ61" s="6">
        <v>3497.333</v>
      </c>
      <c r="BA61" s="6">
        <v>3318.667</v>
      </c>
      <c r="BB61" s="6">
        <v>32.66667</v>
      </c>
      <c r="BC61" s="6">
        <v>68.66667</v>
      </c>
      <c r="BD61" s="6">
        <v>113.3333</v>
      </c>
      <c r="BE61" s="6">
        <v>142.6667</v>
      </c>
      <c r="BF61" s="6">
        <v>182.0</v>
      </c>
      <c r="BG61" s="6">
        <v>454.0</v>
      </c>
      <c r="BH61" s="6">
        <v>632.0</v>
      </c>
      <c r="BI61" s="6">
        <v>712.0</v>
      </c>
      <c r="BJ61" s="6">
        <v>14.16027</v>
      </c>
      <c r="BK61" s="6">
        <v>34.3178</v>
      </c>
      <c r="BL61" s="6">
        <v>52.27867</v>
      </c>
      <c r="BM61" s="6">
        <v>58.12333</v>
      </c>
      <c r="BN61" s="6">
        <v>9.2416</v>
      </c>
      <c r="BO61" s="6">
        <v>15.504</v>
      </c>
      <c r="BP61" s="6">
        <v>29.944</v>
      </c>
      <c r="BQ61" s="6">
        <v>43.7456</v>
      </c>
      <c r="BR61" s="6">
        <v>49.0</v>
      </c>
      <c r="BS61" s="6">
        <v>84.0</v>
      </c>
      <c r="BT61" s="6">
        <v>133.0</v>
      </c>
      <c r="BU61" s="6">
        <v>119.0</v>
      </c>
      <c r="BV61" s="6">
        <v>1.0</v>
      </c>
      <c r="BW61" s="6">
        <v>2.0</v>
      </c>
      <c r="BX61" s="6">
        <v>4.0</v>
      </c>
      <c r="BY61" s="6">
        <v>6.0</v>
      </c>
      <c r="BZ61" s="6">
        <v>4.0</v>
      </c>
      <c r="CA61" s="6">
        <v>12.0</v>
      </c>
      <c r="CB61" s="6">
        <v>22.0</v>
      </c>
      <c r="CC61" s="6">
        <v>20.0</v>
      </c>
      <c r="CD61" s="6">
        <v>0.5625</v>
      </c>
      <c r="CE61" s="6">
        <v>1.155</v>
      </c>
      <c r="CF61" s="6">
        <v>2.01</v>
      </c>
      <c r="CG61" s="6">
        <v>2.25</v>
      </c>
      <c r="CH61" s="6">
        <v>10.9696</v>
      </c>
      <c r="CI61" s="6">
        <v>13.31413</v>
      </c>
      <c r="CJ61" s="6">
        <v>33.8368</v>
      </c>
      <c r="CK61" s="6">
        <v>43.38293</v>
      </c>
      <c r="CL61" s="6">
        <v>59.0</v>
      </c>
      <c r="CM61" s="6">
        <v>115.6667</v>
      </c>
      <c r="CN61" s="6">
        <v>164.0</v>
      </c>
      <c r="CO61" s="6">
        <v>230.3333</v>
      </c>
      <c r="CP61" s="6">
        <v>1.0</v>
      </c>
      <c r="CQ61" s="6">
        <v>1.666667</v>
      </c>
      <c r="CR61" s="6">
        <v>3.666667</v>
      </c>
      <c r="CS61" s="6">
        <v>4.0</v>
      </c>
      <c r="CT61" s="6">
        <v>3.666667</v>
      </c>
      <c r="CU61" s="6">
        <v>10.66667</v>
      </c>
      <c r="CV61" s="6">
        <v>15.0</v>
      </c>
      <c r="CW61" s="6">
        <v>19.0</v>
      </c>
      <c r="CX61" s="6">
        <v>0.542767</v>
      </c>
      <c r="CY61" s="6">
        <v>0.9739</v>
      </c>
      <c r="CZ61" s="6">
        <v>1.847767</v>
      </c>
      <c r="DA61" s="6">
        <v>2.1866</v>
      </c>
      <c r="DB61" s="6">
        <v>0.0</v>
      </c>
      <c r="DC61" s="6">
        <v>0.98</v>
      </c>
      <c r="DD61" s="6">
        <v>2.31</v>
      </c>
      <c r="DE61" s="6">
        <v>3.85</v>
      </c>
      <c r="DF61" s="6">
        <v>0.0</v>
      </c>
      <c r="DG61" s="6">
        <v>2.0</v>
      </c>
      <c r="DH61" s="6">
        <v>9.0</v>
      </c>
      <c r="DI61" s="6">
        <v>25.0</v>
      </c>
      <c r="DJ61" s="6">
        <v>0.0</v>
      </c>
      <c r="DK61" s="6">
        <v>0.0</v>
      </c>
      <c r="DL61" s="6">
        <v>0.0</v>
      </c>
      <c r="DM61" s="6">
        <v>0.0</v>
      </c>
      <c r="DN61" s="6">
        <v>0.0</v>
      </c>
      <c r="DO61" s="6">
        <v>-2.0</v>
      </c>
      <c r="DP61" s="6">
        <v>-3.0</v>
      </c>
      <c r="DQ61" s="6">
        <v>2.0</v>
      </c>
      <c r="DR61" s="6">
        <v>0.0</v>
      </c>
      <c r="DS61" s="6">
        <v>-0.04</v>
      </c>
      <c r="DT61" s="6">
        <v>0.32</v>
      </c>
      <c r="DU61" s="6">
        <v>1.5</v>
      </c>
      <c r="DV61" s="6">
        <v>0.0</v>
      </c>
      <c r="DW61" s="6">
        <v>1.18</v>
      </c>
      <c r="DX61" s="6">
        <v>1.643333</v>
      </c>
      <c r="DY61" s="6">
        <v>-0.26333</v>
      </c>
      <c r="DZ61" s="6">
        <v>0.0</v>
      </c>
      <c r="EA61" s="6">
        <v>-2.66667</v>
      </c>
      <c r="EB61" s="6">
        <v>6.333333</v>
      </c>
      <c r="EC61" s="6">
        <v>-0.33333</v>
      </c>
      <c r="ED61" s="6">
        <v>0.0</v>
      </c>
      <c r="EE61" s="6">
        <v>0.0</v>
      </c>
      <c r="EF61" s="6">
        <v>0.0</v>
      </c>
      <c r="EG61" s="6">
        <v>0.0</v>
      </c>
      <c r="EH61" s="6">
        <v>0.0</v>
      </c>
      <c r="EI61" s="6">
        <v>-1.66667</v>
      </c>
      <c r="EJ61" s="6">
        <v>-0.66667</v>
      </c>
      <c r="EK61" s="6">
        <v>0.333333</v>
      </c>
      <c r="EL61" s="6">
        <v>0.0</v>
      </c>
      <c r="EM61" s="6">
        <v>-0.08</v>
      </c>
      <c r="EN61" s="6">
        <v>0.206667</v>
      </c>
      <c r="EO61" s="6">
        <v>0.006667</v>
      </c>
      <c r="EP61" s="6">
        <v>3.3489</v>
      </c>
      <c r="EQ61" s="6">
        <v>34.8432</v>
      </c>
      <c r="ER61" s="6">
        <v>54.8268</v>
      </c>
      <c r="ES61" s="6">
        <v>96.0018</v>
      </c>
      <c r="ET61" s="6">
        <v>676.0</v>
      </c>
      <c r="EU61" s="6">
        <v>1144.0</v>
      </c>
      <c r="EV61" s="6">
        <v>2132.0</v>
      </c>
      <c r="EW61" s="6">
        <v>2548.0</v>
      </c>
      <c r="EX61" s="6">
        <v>1.0</v>
      </c>
      <c r="EY61" s="6">
        <v>6.0</v>
      </c>
      <c r="EZ61" s="6">
        <v>12.0</v>
      </c>
      <c r="FA61" s="6">
        <v>20.0</v>
      </c>
      <c r="FB61" s="6">
        <v>36.0</v>
      </c>
      <c r="FC61" s="6">
        <v>108.0</v>
      </c>
      <c r="FD61" s="6">
        <v>216.0</v>
      </c>
      <c r="FE61" s="6">
        <v>252.0</v>
      </c>
      <c r="FF61" s="6">
        <v>1.5625</v>
      </c>
      <c r="FG61" s="6">
        <v>5.575</v>
      </c>
      <c r="FH61" s="6">
        <v>11.175</v>
      </c>
      <c r="FI61" s="6">
        <v>16.05</v>
      </c>
      <c r="FJ61" s="6">
        <v>0.0</v>
      </c>
      <c r="FK61" s="6">
        <v>-8.06</v>
      </c>
      <c r="FL61" s="6">
        <v>-8.0</v>
      </c>
      <c r="FM61" s="6">
        <v>-15.86</v>
      </c>
      <c r="FN61" s="6">
        <v>0.0</v>
      </c>
      <c r="FO61" s="6">
        <v>112.0</v>
      </c>
      <c r="FP61" s="6">
        <v>230.0</v>
      </c>
      <c r="FQ61" s="6">
        <v>422.0</v>
      </c>
      <c r="FR61" s="6">
        <v>0.0</v>
      </c>
      <c r="FS61" s="6">
        <v>0.0</v>
      </c>
      <c r="FT61" s="6">
        <v>0.0</v>
      </c>
      <c r="FU61" s="6">
        <v>0.0</v>
      </c>
      <c r="FV61" s="6">
        <v>0.0</v>
      </c>
      <c r="FW61" s="6">
        <v>18.0</v>
      </c>
      <c r="FX61" s="6">
        <v>36.0</v>
      </c>
      <c r="FY61" s="6">
        <v>78.0</v>
      </c>
      <c r="FZ61" s="6">
        <v>0.0</v>
      </c>
      <c r="GA61" s="6">
        <v>3.04</v>
      </c>
      <c r="GB61" s="6">
        <v>6.06</v>
      </c>
      <c r="GC61" s="6">
        <v>12.16</v>
      </c>
      <c r="GD61" s="6">
        <v>-22.43480101</v>
      </c>
      <c r="GE61" s="1" t="s">
        <v>1350</v>
      </c>
      <c r="GF61" s="1" t="s">
        <v>1414</v>
      </c>
    </row>
    <row r="63">
      <c r="A63" s="1" t="s">
        <v>164</v>
      </c>
      <c r="B63" s="6">
        <v>4.0</v>
      </c>
      <c r="C63" s="6">
        <v>0.0</v>
      </c>
      <c r="D63" s="6">
        <v>2.0</v>
      </c>
      <c r="E63" s="6">
        <v>0.0</v>
      </c>
      <c r="F63" s="6">
        <v>686.0821</v>
      </c>
      <c r="G63" s="6">
        <v>1460.063</v>
      </c>
      <c r="H63" s="6">
        <v>3106.698</v>
      </c>
      <c r="I63" s="6">
        <v>4519.392</v>
      </c>
      <c r="J63" s="6">
        <v>3598.0</v>
      </c>
      <c r="K63" s="6">
        <v>8720.0</v>
      </c>
      <c r="L63" s="6">
        <v>16428.0</v>
      </c>
      <c r="M63" s="6">
        <v>20450.0</v>
      </c>
      <c r="N63" s="6">
        <v>103.0</v>
      </c>
      <c r="O63" s="6">
        <v>224.0</v>
      </c>
      <c r="P63" s="6">
        <v>458.0</v>
      </c>
      <c r="Q63" s="6">
        <v>692.0</v>
      </c>
      <c r="R63" s="6">
        <v>690.0</v>
      </c>
      <c r="S63" s="6">
        <v>1960.0</v>
      </c>
      <c r="T63" s="6">
        <v>3414.0</v>
      </c>
      <c r="U63" s="6">
        <v>4674.0</v>
      </c>
      <c r="V63" s="6">
        <v>40.0309</v>
      </c>
      <c r="W63" s="6">
        <v>109.0048</v>
      </c>
      <c r="X63" s="6">
        <v>202.021</v>
      </c>
      <c r="Y63" s="6">
        <v>292.012</v>
      </c>
      <c r="Z63" s="6">
        <v>490.3714</v>
      </c>
      <c r="AA63" s="6">
        <v>1135.77</v>
      </c>
      <c r="AB63" s="6">
        <v>2132.022</v>
      </c>
      <c r="AC63" s="6">
        <v>2960.237</v>
      </c>
      <c r="AD63" s="6">
        <v>1468.0</v>
      </c>
      <c r="AE63" s="6">
        <v>3864.0</v>
      </c>
      <c r="AF63" s="6">
        <v>5988.0</v>
      </c>
      <c r="AG63" s="6">
        <v>7024.0</v>
      </c>
      <c r="AH63" s="6">
        <v>86.0</v>
      </c>
      <c r="AI63" s="6">
        <v>184.0</v>
      </c>
      <c r="AJ63" s="6">
        <v>356.0</v>
      </c>
      <c r="AK63" s="6">
        <v>502.0</v>
      </c>
      <c r="AL63" s="6">
        <v>548.0</v>
      </c>
      <c r="AM63" s="6">
        <v>1496.0</v>
      </c>
      <c r="AN63" s="6">
        <v>2364.0</v>
      </c>
      <c r="AO63" s="6">
        <v>2892.0</v>
      </c>
      <c r="AP63" s="6">
        <v>28.9798</v>
      </c>
      <c r="AQ63" s="6">
        <v>79.2176</v>
      </c>
      <c r="AR63" s="6">
        <v>133.2156</v>
      </c>
      <c r="AS63" s="6">
        <v>175.6558</v>
      </c>
      <c r="AT63" s="6">
        <v>227.5777</v>
      </c>
      <c r="AU63" s="6">
        <v>463.4588</v>
      </c>
      <c r="AV63" s="6">
        <v>897.5316</v>
      </c>
      <c r="AW63" s="6">
        <v>1151.04</v>
      </c>
      <c r="AX63" s="6">
        <v>974.0</v>
      </c>
      <c r="AY63" s="6">
        <v>2144.0</v>
      </c>
      <c r="AZ63" s="6">
        <v>3344.0</v>
      </c>
      <c r="BA63" s="6">
        <v>3205.333</v>
      </c>
      <c r="BB63" s="6">
        <v>34.0</v>
      </c>
      <c r="BC63" s="6">
        <v>70.66667</v>
      </c>
      <c r="BD63" s="6">
        <v>134.6667</v>
      </c>
      <c r="BE63" s="6">
        <v>179.3333</v>
      </c>
      <c r="BF63" s="6">
        <v>208.0</v>
      </c>
      <c r="BG63" s="6">
        <v>552.0</v>
      </c>
      <c r="BH63" s="6">
        <v>828.0</v>
      </c>
      <c r="BI63" s="6">
        <v>976.0</v>
      </c>
      <c r="BJ63" s="6">
        <v>12.8228</v>
      </c>
      <c r="BK63" s="6">
        <v>32.61827</v>
      </c>
      <c r="BL63" s="6">
        <v>53.6984</v>
      </c>
      <c r="BM63" s="6">
        <v>64.77153</v>
      </c>
      <c r="BN63" s="6">
        <v>9.2416</v>
      </c>
      <c r="BO63" s="6">
        <v>15.504</v>
      </c>
      <c r="BP63" s="6">
        <v>29.944</v>
      </c>
      <c r="BQ63" s="6">
        <v>44.8096</v>
      </c>
      <c r="BR63" s="6">
        <v>49.0</v>
      </c>
      <c r="BS63" s="6">
        <v>84.0</v>
      </c>
      <c r="BT63" s="6">
        <v>133.0</v>
      </c>
      <c r="BU63" s="6">
        <v>154.0</v>
      </c>
      <c r="BV63" s="6">
        <v>1.0</v>
      </c>
      <c r="BW63" s="6">
        <v>2.0</v>
      </c>
      <c r="BX63" s="6">
        <v>4.0</v>
      </c>
      <c r="BY63" s="6">
        <v>6.0</v>
      </c>
      <c r="BZ63" s="6">
        <v>4.0</v>
      </c>
      <c r="CA63" s="6">
        <v>12.0</v>
      </c>
      <c r="CB63" s="6">
        <v>22.0</v>
      </c>
      <c r="CC63" s="6">
        <v>26.0</v>
      </c>
      <c r="CD63" s="6">
        <v>0.5625</v>
      </c>
      <c r="CE63" s="6">
        <v>1.155</v>
      </c>
      <c r="CF63" s="6">
        <v>2.01</v>
      </c>
      <c r="CG63" s="6">
        <v>2.55</v>
      </c>
      <c r="CH63" s="6">
        <v>10.9696</v>
      </c>
      <c r="CI63" s="6">
        <v>13.6688</v>
      </c>
      <c r="CJ63" s="6">
        <v>42.75413</v>
      </c>
      <c r="CK63" s="6">
        <v>47.98347</v>
      </c>
      <c r="CL63" s="6">
        <v>59.0</v>
      </c>
      <c r="CM63" s="6">
        <v>127.3333</v>
      </c>
      <c r="CN63" s="6">
        <v>173.3333</v>
      </c>
      <c r="CO63" s="6">
        <v>225.6667</v>
      </c>
      <c r="CP63" s="6">
        <v>1.0</v>
      </c>
      <c r="CQ63" s="6">
        <v>1.666667</v>
      </c>
      <c r="CR63" s="6">
        <v>5.0</v>
      </c>
      <c r="CS63" s="6">
        <v>4.666667</v>
      </c>
      <c r="CT63" s="6">
        <v>3.666667</v>
      </c>
      <c r="CU63" s="6">
        <v>14.66667</v>
      </c>
      <c r="CV63" s="6">
        <v>21.0</v>
      </c>
      <c r="CW63" s="6">
        <v>21.0</v>
      </c>
      <c r="CX63" s="6">
        <v>0.542767</v>
      </c>
      <c r="CY63" s="6">
        <v>1.0739</v>
      </c>
      <c r="CZ63" s="6">
        <v>2.217767</v>
      </c>
      <c r="DA63" s="6">
        <v>2.2666</v>
      </c>
      <c r="DB63" s="6">
        <v>0.0</v>
      </c>
      <c r="DC63" s="6">
        <v>0.98</v>
      </c>
      <c r="DD63" s="6">
        <v>2.31</v>
      </c>
      <c r="DE63" s="6">
        <v>3.5</v>
      </c>
      <c r="DF63" s="6">
        <v>0.0</v>
      </c>
      <c r="DG63" s="6">
        <v>2.0</v>
      </c>
      <c r="DH63" s="6">
        <v>9.0</v>
      </c>
      <c r="DI63" s="6">
        <v>20.0</v>
      </c>
      <c r="DJ63" s="6">
        <v>0.0</v>
      </c>
      <c r="DK63" s="6">
        <v>0.0</v>
      </c>
      <c r="DL63" s="6">
        <v>0.0</v>
      </c>
      <c r="DM63" s="6">
        <v>0.0</v>
      </c>
      <c r="DN63" s="6">
        <v>0.0</v>
      </c>
      <c r="DO63" s="6">
        <v>-2.0</v>
      </c>
      <c r="DP63" s="6">
        <v>-3.0</v>
      </c>
      <c r="DQ63" s="6">
        <v>-1.0</v>
      </c>
      <c r="DR63" s="6">
        <v>0.0</v>
      </c>
      <c r="DS63" s="6">
        <v>-0.04</v>
      </c>
      <c r="DT63" s="6">
        <v>0.32</v>
      </c>
      <c r="DU63" s="6">
        <v>1.1</v>
      </c>
      <c r="DV63" s="6">
        <v>0.0</v>
      </c>
      <c r="DW63" s="6">
        <v>1.063333</v>
      </c>
      <c r="DX63" s="6">
        <v>2.763333</v>
      </c>
      <c r="DY63" s="6">
        <v>0.25</v>
      </c>
      <c r="DZ63" s="6">
        <v>0.0</v>
      </c>
      <c r="EA63" s="6">
        <v>-4.33333</v>
      </c>
      <c r="EB63" s="6">
        <v>14.33333</v>
      </c>
      <c r="EC63" s="6">
        <v>5.0</v>
      </c>
      <c r="ED63" s="6">
        <v>0.0</v>
      </c>
      <c r="EE63" s="6">
        <v>0.0</v>
      </c>
      <c r="EF63" s="6">
        <v>0.0</v>
      </c>
      <c r="EG63" s="6">
        <v>0.0</v>
      </c>
      <c r="EH63" s="6">
        <v>0.0</v>
      </c>
      <c r="EI63" s="6">
        <v>-3.0</v>
      </c>
      <c r="EJ63" s="6">
        <v>1.333333</v>
      </c>
      <c r="EK63" s="6">
        <v>1.666667</v>
      </c>
      <c r="EL63" s="6">
        <v>0.0</v>
      </c>
      <c r="EM63" s="6">
        <v>-0.21333</v>
      </c>
      <c r="EN63" s="6">
        <v>0.713333</v>
      </c>
      <c r="EO63" s="6">
        <v>0.4</v>
      </c>
      <c r="EP63" s="6">
        <v>3.3489</v>
      </c>
      <c r="EQ63" s="6">
        <v>34.8432</v>
      </c>
      <c r="ER63" s="6">
        <v>56.1078</v>
      </c>
      <c r="ES63" s="6">
        <v>118.8768</v>
      </c>
      <c r="ET63" s="6">
        <v>676.0</v>
      </c>
      <c r="EU63" s="6">
        <v>1144.0</v>
      </c>
      <c r="EV63" s="6">
        <v>2392.0</v>
      </c>
      <c r="EW63" s="6">
        <v>2444.0</v>
      </c>
      <c r="EX63" s="6">
        <v>1.0</v>
      </c>
      <c r="EY63" s="6">
        <v>6.0</v>
      </c>
      <c r="EZ63" s="6">
        <v>12.0</v>
      </c>
      <c r="FA63" s="6">
        <v>26.0</v>
      </c>
      <c r="FB63" s="6">
        <v>36.0</v>
      </c>
      <c r="FC63" s="6">
        <v>108.0</v>
      </c>
      <c r="FD63" s="6">
        <v>264.0</v>
      </c>
      <c r="FE63" s="6">
        <v>276.0</v>
      </c>
      <c r="FF63" s="6">
        <v>1.5625</v>
      </c>
      <c r="FG63" s="6">
        <v>5.575</v>
      </c>
      <c r="FH63" s="6">
        <v>12.175</v>
      </c>
      <c r="FI63" s="6">
        <v>17.825</v>
      </c>
      <c r="FJ63" s="6">
        <v>0.0</v>
      </c>
      <c r="FK63" s="6">
        <v>-8.06</v>
      </c>
      <c r="FL63" s="6">
        <v>-8.7</v>
      </c>
      <c r="FM63" s="6">
        <v>-17.38</v>
      </c>
      <c r="FN63" s="6">
        <v>0.0</v>
      </c>
      <c r="FO63" s="6">
        <v>112.0</v>
      </c>
      <c r="FP63" s="6">
        <v>220.0</v>
      </c>
      <c r="FQ63" s="6">
        <v>582.0</v>
      </c>
      <c r="FR63" s="6">
        <v>0.0</v>
      </c>
      <c r="FS63" s="6">
        <v>0.0</v>
      </c>
      <c r="FT63" s="6">
        <v>0.0</v>
      </c>
      <c r="FU63" s="6">
        <v>0.0</v>
      </c>
      <c r="FV63" s="6">
        <v>0.0</v>
      </c>
      <c r="FW63" s="6">
        <v>18.0</v>
      </c>
      <c r="FX63" s="6">
        <v>28.0</v>
      </c>
      <c r="FY63" s="6">
        <v>110.0</v>
      </c>
      <c r="FZ63" s="6">
        <v>0.0</v>
      </c>
      <c r="GA63" s="6">
        <v>3.04</v>
      </c>
      <c r="GB63" s="6">
        <v>5.26</v>
      </c>
      <c r="GC63" s="6">
        <v>18.24</v>
      </c>
      <c r="GD63" s="6">
        <v>-20.37031614</v>
      </c>
      <c r="GE63" s="1" t="s">
        <v>1351</v>
      </c>
      <c r="GF63" s="1" t="s">
        <v>1415</v>
      </c>
    </row>
    <row r="65">
      <c r="A65" s="1" t="s">
        <v>168</v>
      </c>
      <c r="B65" s="6">
        <v>2.0</v>
      </c>
      <c r="C65" s="6">
        <v>0.0</v>
      </c>
      <c r="D65" s="6">
        <v>1.5</v>
      </c>
      <c r="E65" s="6">
        <v>0.0</v>
      </c>
      <c r="F65" s="6">
        <v>489.8443</v>
      </c>
      <c r="G65" s="6">
        <v>984.1308</v>
      </c>
      <c r="H65" s="6">
        <v>1990.635</v>
      </c>
      <c r="I65" s="6">
        <v>2550.16</v>
      </c>
      <c r="J65" s="6">
        <v>3334.0</v>
      </c>
      <c r="K65" s="6">
        <v>7688.0</v>
      </c>
      <c r="L65" s="6">
        <v>13884.0</v>
      </c>
      <c r="M65" s="6">
        <v>17388.0</v>
      </c>
      <c r="N65" s="6">
        <v>63.0</v>
      </c>
      <c r="O65" s="6">
        <v>140.0</v>
      </c>
      <c r="P65" s="6">
        <v>254.0</v>
      </c>
      <c r="Q65" s="6">
        <v>340.0</v>
      </c>
      <c r="R65" s="6">
        <v>394.0</v>
      </c>
      <c r="S65" s="6">
        <v>1052.0</v>
      </c>
      <c r="T65" s="6">
        <v>1712.0</v>
      </c>
      <c r="U65" s="6">
        <v>2212.0</v>
      </c>
      <c r="V65" s="6">
        <v>30.7869</v>
      </c>
      <c r="W65" s="6">
        <v>78.7284</v>
      </c>
      <c r="X65" s="6">
        <v>136.7854</v>
      </c>
      <c r="Y65" s="6">
        <v>176.0672</v>
      </c>
      <c r="Z65" s="6">
        <v>147.0668</v>
      </c>
      <c r="AA65" s="6">
        <v>329.919</v>
      </c>
      <c r="AB65" s="6">
        <v>517.3122</v>
      </c>
      <c r="AC65" s="6">
        <v>578.7454</v>
      </c>
      <c r="AD65" s="6">
        <v>602.0</v>
      </c>
      <c r="AE65" s="6">
        <v>1416.0</v>
      </c>
      <c r="AF65" s="6">
        <v>2034.0</v>
      </c>
      <c r="AG65" s="6">
        <v>1876.0</v>
      </c>
      <c r="AH65" s="6">
        <v>23.0</v>
      </c>
      <c r="AI65" s="6">
        <v>50.0</v>
      </c>
      <c r="AJ65" s="6">
        <v>78.0</v>
      </c>
      <c r="AK65" s="6">
        <v>90.0</v>
      </c>
      <c r="AL65" s="6">
        <v>128.0</v>
      </c>
      <c r="AM65" s="6">
        <v>318.0</v>
      </c>
      <c r="AN65" s="6">
        <v>444.0</v>
      </c>
      <c r="AO65" s="6">
        <v>416.0</v>
      </c>
      <c r="AP65" s="6">
        <v>9.8679</v>
      </c>
      <c r="AQ65" s="6">
        <v>24.4706</v>
      </c>
      <c r="AR65" s="6">
        <v>35.915</v>
      </c>
      <c r="AS65" s="6">
        <v>35.6514</v>
      </c>
      <c r="AT65" s="6">
        <v>121.6239</v>
      </c>
      <c r="AU65" s="6">
        <v>228.6111</v>
      </c>
      <c r="AV65" s="6">
        <v>398.7993</v>
      </c>
      <c r="AW65" s="6">
        <v>412.5935</v>
      </c>
      <c r="AX65" s="6">
        <v>664.5</v>
      </c>
      <c r="AY65" s="6">
        <v>1350.0</v>
      </c>
      <c r="AZ65" s="6">
        <v>2028.0</v>
      </c>
      <c r="BA65" s="6">
        <v>1586.0</v>
      </c>
      <c r="BB65" s="6">
        <v>15.5</v>
      </c>
      <c r="BC65" s="6">
        <v>32.0</v>
      </c>
      <c r="BD65" s="6">
        <v>51.0</v>
      </c>
      <c r="BE65" s="6">
        <v>54.0</v>
      </c>
      <c r="BF65" s="6">
        <v>83.0</v>
      </c>
      <c r="BG65" s="6">
        <v>199.0</v>
      </c>
      <c r="BH65" s="6">
        <v>252.0</v>
      </c>
      <c r="BI65" s="6">
        <v>217.0</v>
      </c>
      <c r="BJ65" s="6">
        <v>7.3061</v>
      </c>
      <c r="BK65" s="6">
        <v>16.8946</v>
      </c>
      <c r="BL65" s="6">
        <v>24.9274</v>
      </c>
      <c r="BM65" s="6">
        <v>22.4904</v>
      </c>
      <c r="BN65" s="6">
        <v>9.2416</v>
      </c>
      <c r="BO65" s="6">
        <v>15.504</v>
      </c>
      <c r="BP65" s="6">
        <v>33.7136</v>
      </c>
      <c r="BQ65" s="6">
        <v>39.1856</v>
      </c>
      <c r="BR65" s="6">
        <v>49.0</v>
      </c>
      <c r="BS65" s="6">
        <v>84.0</v>
      </c>
      <c r="BT65" s="6">
        <v>182.0</v>
      </c>
      <c r="BU65" s="6">
        <v>182.0</v>
      </c>
      <c r="BV65" s="6">
        <v>1.0</v>
      </c>
      <c r="BW65" s="6">
        <v>2.0</v>
      </c>
      <c r="BX65" s="6">
        <v>4.0</v>
      </c>
      <c r="BY65" s="6">
        <v>5.0</v>
      </c>
      <c r="BZ65" s="6">
        <v>4.0</v>
      </c>
      <c r="CA65" s="6">
        <v>12.0</v>
      </c>
      <c r="CB65" s="6">
        <v>22.0</v>
      </c>
      <c r="CC65" s="6">
        <v>24.0</v>
      </c>
      <c r="CD65" s="6">
        <v>0.5625</v>
      </c>
      <c r="CE65" s="6">
        <v>1.155</v>
      </c>
      <c r="CF65" s="6">
        <v>2.28</v>
      </c>
      <c r="CG65" s="6">
        <v>2.5725</v>
      </c>
      <c r="CH65" s="6">
        <v>10.5376</v>
      </c>
      <c r="CI65" s="6">
        <v>12.1896</v>
      </c>
      <c r="CJ65" s="6">
        <v>31.1916</v>
      </c>
      <c r="CK65" s="6">
        <v>40.9504</v>
      </c>
      <c r="CL65" s="6">
        <v>56.5</v>
      </c>
      <c r="CM65" s="6">
        <v>106.0</v>
      </c>
      <c r="CN65" s="6">
        <v>154.5</v>
      </c>
      <c r="CO65" s="6">
        <v>188.5</v>
      </c>
      <c r="CP65" s="6">
        <v>1.0</v>
      </c>
      <c r="CQ65" s="6">
        <v>1.5</v>
      </c>
      <c r="CR65" s="6">
        <v>3.5</v>
      </c>
      <c r="CS65" s="6">
        <v>4.0</v>
      </c>
      <c r="CT65" s="6">
        <v>2.5</v>
      </c>
      <c r="CU65" s="6">
        <v>8.0</v>
      </c>
      <c r="CV65" s="6">
        <v>13.0</v>
      </c>
      <c r="CW65" s="6">
        <v>10.5</v>
      </c>
      <c r="CX65" s="6">
        <v>0.5477</v>
      </c>
      <c r="CY65" s="6">
        <v>0.9498</v>
      </c>
      <c r="CZ65" s="6">
        <v>1.81895</v>
      </c>
      <c r="DA65" s="6">
        <v>1.8987</v>
      </c>
      <c r="DB65" s="6">
        <v>0.0</v>
      </c>
      <c r="DC65" s="6">
        <v>0.98</v>
      </c>
      <c r="DD65" s="6">
        <v>1.07</v>
      </c>
      <c r="DE65" s="6">
        <v>2.31</v>
      </c>
      <c r="DF65" s="6">
        <v>0.0</v>
      </c>
      <c r="DG65" s="6">
        <v>2.0</v>
      </c>
      <c r="DH65" s="6">
        <v>2.0</v>
      </c>
      <c r="DI65" s="6">
        <v>9.0</v>
      </c>
      <c r="DJ65" s="6">
        <v>0.0</v>
      </c>
      <c r="DK65" s="6">
        <v>0.0</v>
      </c>
      <c r="DL65" s="6">
        <v>0.0</v>
      </c>
      <c r="DM65" s="6">
        <v>0.0</v>
      </c>
      <c r="DN65" s="6">
        <v>0.0</v>
      </c>
      <c r="DO65" s="6">
        <v>-2.0</v>
      </c>
      <c r="DP65" s="6">
        <v>-3.0</v>
      </c>
      <c r="DQ65" s="6">
        <v>-2.0</v>
      </c>
      <c r="DR65" s="6">
        <v>0.0</v>
      </c>
      <c r="DS65" s="6">
        <v>-0.04</v>
      </c>
      <c r="DT65" s="6">
        <v>-0.04</v>
      </c>
      <c r="DU65" s="6">
        <v>0.32</v>
      </c>
      <c r="DV65" s="6">
        <v>0.0</v>
      </c>
      <c r="DW65" s="6">
        <v>0.92</v>
      </c>
      <c r="DX65" s="6">
        <v>1.6</v>
      </c>
      <c r="DY65" s="6">
        <v>0.075</v>
      </c>
      <c r="DZ65" s="6">
        <v>0.0</v>
      </c>
      <c r="EA65" s="6">
        <v>-3.0</v>
      </c>
      <c r="EB65" s="6">
        <v>5.5</v>
      </c>
      <c r="EC65" s="6">
        <v>4.5</v>
      </c>
      <c r="ED65" s="6">
        <v>0.0</v>
      </c>
      <c r="EE65" s="6">
        <v>0.0</v>
      </c>
      <c r="EF65" s="6">
        <v>0.0</v>
      </c>
      <c r="EG65" s="6">
        <v>0.0</v>
      </c>
      <c r="EH65" s="6">
        <v>0.0</v>
      </c>
      <c r="EI65" s="6">
        <v>-2.5</v>
      </c>
      <c r="EJ65" s="6">
        <v>-2.5</v>
      </c>
      <c r="EK65" s="6">
        <v>0.5</v>
      </c>
      <c r="EL65" s="6">
        <v>0.0</v>
      </c>
      <c r="EM65" s="6">
        <v>-0.165</v>
      </c>
      <c r="EN65" s="6">
        <v>0.14</v>
      </c>
      <c r="EO65" s="6">
        <v>0.41</v>
      </c>
      <c r="EP65" s="6">
        <v>3.3489</v>
      </c>
      <c r="EQ65" s="6">
        <v>34.8432</v>
      </c>
      <c r="ER65" s="6">
        <v>46.7748</v>
      </c>
      <c r="ES65" s="6">
        <v>92.4882</v>
      </c>
      <c r="ET65" s="6">
        <v>676.0</v>
      </c>
      <c r="EU65" s="6">
        <v>1144.0</v>
      </c>
      <c r="EV65" s="6">
        <v>2080.0</v>
      </c>
      <c r="EW65" s="6">
        <v>2860.0</v>
      </c>
      <c r="EX65" s="6">
        <v>1.0</v>
      </c>
      <c r="EY65" s="6">
        <v>6.0</v>
      </c>
      <c r="EZ65" s="6">
        <v>10.0</v>
      </c>
      <c r="FA65" s="6">
        <v>18.0</v>
      </c>
      <c r="FB65" s="6">
        <v>36.0</v>
      </c>
      <c r="FC65" s="6">
        <v>96.0</v>
      </c>
      <c r="FD65" s="6">
        <v>192.0</v>
      </c>
      <c r="FE65" s="6">
        <v>252.0</v>
      </c>
      <c r="FF65" s="6">
        <v>1.5625</v>
      </c>
      <c r="FG65" s="6">
        <v>5.575</v>
      </c>
      <c r="FH65" s="6">
        <v>10.25</v>
      </c>
      <c r="FI65" s="6">
        <v>16.025</v>
      </c>
      <c r="FJ65" s="6">
        <v>0.0</v>
      </c>
      <c r="FK65" s="6">
        <v>-8.06</v>
      </c>
      <c r="FL65" s="6">
        <v>-7.26</v>
      </c>
      <c r="FM65" s="6">
        <v>-17.6</v>
      </c>
      <c r="FN65" s="6">
        <v>0.0</v>
      </c>
      <c r="FO65" s="6">
        <v>112.0</v>
      </c>
      <c r="FP65" s="6">
        <v>180.0</v>
      </c>
      <c r="FQ65" s="6">
        <v>358.0</v>
      </c>
      <c r="FR65" s="6">
        <v>0.0</v>
      </c>
      <c r="FS65" s="6">
        <v>0.0</v>
      </c>
      <c r="FT65" s="6">
        <v>0.0</v>
      </c>
      <c r="FU65" s="6">
        <v>0.0</v>
      </c>
      <c r="FV65" s="6">
        <v>0.0</v>
      </c>
      <c r="FW65" s="6">
        <v>20.0</v>
      </c>
      <c r="FX65" s="6">
        <v>28.0</v>
      </c>
      <c r="FY65" s="6">
        <v>66.0</v>
      </c>
      <c r="FZ65" s="6">
        <v>0.0</v>
      </c>
      <c r="GA65" s="6">
        <v>3.04</v>
      </c>
      <c r="GB65" s="6">
        <v>4.3</v>
      </c>
      <c r="GC65" s="6">
        <v>9.68</v>
      </c>
      <c r="GD65" s="6">
        <v>-19.98063677</v>
      </c>
      <c r="GE65" s="1" t="s">
        <v>1351</v>
      </c>
      <c r="GF65" s="1" t="s">
        <v>1416</v>
      </c>
    </row>
    <row r="66">
      <c r="A66" s="1" t="s">
        <v>170</v>
      </c>
      <c r="B66" s="6">
        <v>1.0</v>
      </c>
      <c r="C66" s="6">
        <v>0.0</v>
      </c>
      <c r="D66" s="6">
        <v>2.0</v>
      </c>
      <c r="E66" s="6">
        <v>0.0</v>
      </c>
      <c r="F66" s="6">
        <v>473.3668</v>
      </c>
      <c r="G66" s="6">
        <v>918.9018</v>
      </c>
      <c r="H66" s="6">
        <v>1973.92</v>
      </c>
      <c r="I66" s="6">
        <v>2488.437</v>
      </c>
      <c r="J66" s="6">
        <v>3088.0</v>
      </c>
      <c r="K66" s="6">
        <v>7028.0</v>
      </c>
      <c r="L66" s="6">
        <v>12754.0</v>
      </c>
      <c r="M66" s="6">
        <v>16458.0</v>
      </c>
      <c r="N66" s="6">
        <v>62.0</v>
      </c>
      <c r="O66" s="6">
        <v>132.0</v>
      </c>
      <c r="P66" s="6">
        <v>258.0</v>
      </c>
      <c r="Q66" s="6">
        <v>332.0</v>
      </c>
      <c r="R66" s="6">
        <v>390.0</v>
      </c>
      <c r="S66" s="6">
        <v>1026.0</v>
      </c>
      <c r="T66" s="6">
        <v>1660.0</v>
      </c>
      <c r="U66" s="6">
        <v>2222.0</v>
      </c>
      <c r="V66" s="6">
        <v>27.458</v>
      </c>
      <c r="W66" s="6">
        <v>70.32</v>
      </c>
      <c r="X66" s="6">
        <v>124.7654</v>
      </c>
      <c r="Y66" s="6">
        <v>166.5116</v>
      </c>
      <c r="Z66" s="6">
        <v>66.47375</v>
      </c>
      <c r="AA66" s="6">
        <v>94.7361</v>
      </c>
      <c r="AB66" s="6">
        <v>179.2452</v>
      </c>
      <c r="AC66" s="6">
        <v>143.2848</v>
      </c>
      <c r="AD66" s="6">
        <v>425.5</v>
      </c>
      <c r="AE66" s="6">
        <v>738.0</v>
      </c>
      <c r="AF66" s="6">
        <v>1074.0</v>
      </c>
      <c r="AG66" s="6">
        <v>669.0</v>
      </c>
      <c r="AH66" s="6">
        <v>7.0</v>
      </c>
      <c r="AI66" s="6">
        <v>12.0</v>
      </c>
      <c r="AJ66" s="6">
        <v>19.0</v>
      </c>
      <c r="AK66" s="6">
        <v>12.0</v>
      </c>
      <c r="AL66" s="6">
        <v>31.0</v>
      </c>
      <c r="AM66" s="6">
        <v>62.0</v>
      </c>
      <c r="AN66" s="6">
        <v>43.0</v>
      </c>
      <c r="AO66" s="6">
        <v>12.0</v>
      </c>
      <c r="AP66" s="6">
        <v>3.45165</v>
      </c>
      <c r="AQ66" s="6">
        <v>6.6844</v>
      </c>
      <c r="AR66" s="6">
        <v>8.8128</v>
      </c>
      <c r="AS66" s="6">
        <v>5.4972</v>
      </c>
      <c r="AT66" s="6">
        <v>168.5352</v>
      </c>
      <c r="AU66" s="6">
        <v>329.8716</v>
      </c>
      <c r="AV66" s="6">
        <v>614.6624</v>
      </c>
      <c r="AW66" s="6">
        <v>695.2262</v>
      </c>
      <c r="AX66" s="6">
        <v>780.5</v>
      </c>
      <c r="AY66" s="6">
        <v>1632.0</v>
      </c>
      <c r="AZ66" s="6">
        <v>2573.0</v>
      </c>
      <c r="BA66" s="6">
        <v>2156.0</v>
      </c>
      <c r="BB66" s="6">
        <v>23.5</v>
      </c>
      <c r="BC66" s="6">
        <v>48.0</v>
      </c>
      <c r="BD66" s="6">
        <v>86.0</v>
      </c>
      <c r="BE66" s="6">
        <v>98.0</v>
      </c>
      <c r="BF66" s="6">
        <v>134.0</v>
      </c>
      <c r="BG66" s="6">
        <v>331.0</v>
      </c>
      <c r="BH66" s="6">
        <v>452.0</v>
      </c>
      <c r="BI66" s="6">
        <v>433.0</v>
      </c>
      <c r="BJ66" s="6">
        <v>9.4961</v>
      </c>
      <c r="BK66" s="6">
        <v>22.9006</v>
      </c>
      <c r="BL66" s="6">
        <v>35.9945</v>
      </c>
      <c r="BM66" s="6">
        <v>37.525</v>
      </c>
      <c r="BN66" s="6">
        <v>10.5376</v>
      </c>
      <c r="BO66" s="6">
        <v>8.3136</v>
      </c>
      <c r="BP66" s="6">
        <v>20.0956</v>
      </c>
      <c r="BQ66" s="6">
        <v>30.5688</v>
      </c>
      <c r="BR66" s="6">
        <v>56.5</v>
      </c>
      <c r="BS66" s="6">
        <v>85.0</v>
      </c>
      <c r="BT66" s="6">
        <v>109.0</v>
      </c>
      <c r="BU66" s="6">
        <v>118.5</v>
      </c>
      <c r="BV66" s="6">
        <v>1.0</v>
      </c>
      <c r="BW66" s="6">
        <v>1.0</v>
      </c>
      <c r="BX66" s="6">
        <v>2.0</v>
      </c>
      <c r="BY66" s="6">
        <v>3.0</v>
      </c>
      <c r="BZ66" s="6">
        <v>1.0</v>
      </c>
      <c r="CA66" s="6">
        <v>3.0</v>
      </c>
      <c r="CB66" s="6">
        <v>5.0</v>
      </c>
      <c r="CC66" s="6">
        <v>3.0</v>
      </c>
      <c r="CD66" s="6">
        <v>0.5477</v>
      </c>
      <c r="CE66" s="6">
        <v>0.66105</v>
      </c>
      <c r="CF66" s="6">
        <v>1.1027</v>
      </c>
      <c r="CG66" s="6">
        <v>1.1937</v>
      </c>
      <c r="CH66" s="6">
        <v>10.5376</v>
      </c>
      <c r="CI66" s="6">
        <v>12.1896</v>
      </c>
      <c r="CJ66" s="6">
        <v>35.20947</v>
      </c>
      <c r="CK66" s="6">
        <v>54.12373</v>
      </c>
      <c r="CL66" s="6">
        <v>56.5</v>
      </c>
      <c r="CM66" s="6">
        <v>106.0</v>
      </c>
      <c r="CN66" s="6">
        <v>190.6667</v>
      </c>
      <c r="CO66" s="6">
        <v>201.3333</v>
      </c>
      <c r="CP66" s="6">
        <v>1.0</v>
      </c>
      <c r="CQ66" s="6">
        <v>1.5</v>
      </c>
      <c r="CR66" s="6">
        <v>3.833333</v>
      </c>
      <c r="CS66" s="6">
        <v>6.0</v>
      </c>
      <c r="CT66" s="6">
        <v>2.5</v>
      </c>
      <c r="CU66" s="6">
        <v>8.666667</v>
      </c>
      <c r="CV66" s="6">
        <v>18.33333</v>
      </c>
      <c r="CW66" s="6">
        <v>14.5</v>
      </c>
      <c r="CX66" s="6">
        <v>0.5477</v>
      </c>
      <c r="CY66" s="6">
        <v>0.9498</v>
      </c>
      <c r="CZ66" s="6">
        <v>2.15145</v>
      </c>
      <c r="DA66" s="6">
        <v>2.4562</v>
      </c>
      <c r="DB66" s="6">
        <v>0.0</v>
      </c>
      <c r="DC66" s="6">
        <v>0.675</v>
      </c>
      <c r="DD66" s="6">
        <v>0.69</v>
      </c>
      <c r="DE66" s="6">
        <v>0.45</v>
      </c>
      <c r="DF66" s="6">
        <v>0.0</v>
      </c>
      <c r="DG66" s="6">
        <v>-3.5</v>
      </c>
      <c r="DH66" s="6">
        <v>1.5</v>
      </c>
      <c r="DI66" s="6">
        <v>7.5</v>
      </c>
      <c r="DJ66" s="6">
        <v>0.0</v>
      </c>
      <c r="DK66" s="6">
        <v>0.0</v>
      </c>
      <c r="DL66" s="6">
        <v>0.0</v>
      </c>
      <c r="DM66" s="6">
        <v>0.0</v>
      </c>
      <c r="DN66" s="6">
        <v>0.0</v>
      </c>
      <c r="DO66" s="6">
        <v>-2.0</v>
      </c>
      <c r="DP66" s="6">
        <v>-3.0</v>
      </c>
      <c r="DQ66" s="6">
        <v>0.0</v>
      </c>
      <c r="DR66" s="6">
        <v>0.0</v>
      </c>
      <c r="DS66" s="6">
        <v>-0.155</v>
      </c>
      <c r="DT66" s="6">
        <v>-0.03</v>
      </c>
      <c r="DU66" s="6">
        <v>0.6</v>
      </c>
      <c r="DV66" s="6">
        <v>0.0</v>
      </c>
      <c r="DW66" s="6">
        <v>0.92</v>
      </c>
      <c r="DX66" s="6">
        <v>1.291667</v>
      </c>
      <c r="DY66" s="6">
        <v>1.821667</v>
      </c>
      <c r="DZ66" s="6">
        <v>0.0</v>
      </c>
      <c r="EA66" s="6">
        <v>-3.0</v>
      </c>
      <c r="EB66" s="6">
        <v>2.666667</v>
      </c>
      <c r="EC66" s="6">
        <v>16.66667</v>
      </c>
      <c r="ED66" s="6">
        <v>0.0</v>
      </c>
      <c r="EE66" s="6">
        <v>0.0</v>
      </c>
      <c r="EF66" s="6">
        <v>0.0</v>
      </c>
      <c r="EG66" s="6">
        <v>0.0</v>
      </c>
      <c r="EH66" s="6">
        <v>0.0</v>
      </c>
      <c r="EI66" s="6">
        <v>-2.83333</v>
      </c>
      <c r="EJ66" s="6">
        <v>-4.5</v>
      </c>
      <c r="EK66" s="6">
        <v>2.5</v>
      </c>
      <c r="EL66" s="6">
        <v>0.0</v>
      </c>
      <c r="EM66" s="6">
        <v>-0.165</v>
      </c>
      <c r="EN66" s="6">
        <v>-0.05333</v>
      </c>
      <c r="EO66" s="6">
        <v>1.166667</v>
      </c>
      <c r="EP66" s="6">
        <v>3.3489</v>
      </c>
      <c r="EQ66" s="6">
        <v>34.8432</v>
      </c>
      <c r="ER66" s="6">
        <v>42.1083</v>
      </c>
      <c r="ES66" s="6">
        <v>89.1027</v>
      </c>
      <c r="ET66" s="6">
        <v>676.0</v>
      </c>
      <c r="EU66" s="6">
        <v>1144.0</v>
      </c>
      <c r="EV66" s="6">
        <v>1924.0</v>
      </c>
      <c r="EW66" s="6">
        <v>2964.0</v>
      </c>
      <c r="EX66" s="6">
        <v>1.0</v>
      </c>
      <c r="EY66" s="6">
        <v>6.0</v>
      </c>
      <c r="EZ66" s="6">
        <v>9.0</v>
      </c>
      <c r="FA66" s="6">
        <v>17.0</v>
      </c>
      <c r="FB66" s="6">
        <v>36.0</v>
      </c>
      <c r="FC66" s="6">
        <v>90.0</v>
      </c>
      <c r="FD66" s="6">
        <v>180.0</v>
      </c>
      <c r="FE66" s="6">
        <v>300.0</v>
      </c>
      <c r="FF66" s="6">
        <v>1.5625</v>
      </c>
      <c r="FG66" s="6">
        <v>5.575</v>
      </c>
      <c r="FH66" s="6">
        <v>9.2875</v>
      </c>
      <c r="FI66" s="6">
        <v>16.0625</v>
      </c>
      <c r="FJ66" s="6">
        <v>0.0</v>
      </c>
      <c r="FK66" s="6">
        <v>-8.06</v>
      </c>
      <c r="FL66" s="6">
        <v>-6.54</v>
      </c>
      <c r="FM66" s="6">
        <v>-17.58</v>
      </c>
      <c r="FN66" s="6">
        <v>0.0</v>
      </c>
      <c r="FO66" s="6">
        <v>112.0</v>
      </c>
      <c r="FP66" s="6">
        <v>160.0</v>
      </c>
      <c r="FQ66" s="6">
        <v>328.0</v>
      </c>
      <c r="FR66" s="6">
        <v>0.0</v>
      </c>
      <c r="FS66" s="6">
        <v>0.0</v>
      </c>
      <c r="FT66" s="6">
        <v>0.0</v>
      </c>
      <c r="FU66" s="6">
        <v>0.0</v>
      </c>
      <c r="FV66" s="6">
        <v>0.0</v>
      </c>
      <c r="FW66" s="6">
        <v>21.0</v>
      </c>
      <c r="FX66" s="6">
        <v>24.0</v>
      </c>
      <c r="FY66" s="6">
        <v>52.0</v>
      </c>
      <c r="FZ66" s="6">
        <v>0.0</v>
      </c>
      <c r="GA66" s="6">
        <v>3.04</v>
      </c>
      <c r="GB66" s="6">
        <v>3.82</v>
      </c>
      <c r="GC66" s="6">
        <v>8.4</v>
      </c>
      <c r="GD66" s="6">
        <v>-8.214328022</v>
      </c>
      <c r="GE66" s="1" t="s">
        <v>1356</v>
      </c>
      <c r="GF66" s="1" t="s">
        <v>1417</v>
      </c>
    </row>
    <row r="67">
      <c r="A67" s="1" t="s">
        <v>172</v>
      </c>
      <c r="B67" s="6">
        <v>4.0</v>
      </c>
      <c r="C67" s="6">
        <v>0.0</v>
      </c>
      <c r="D67" s="6">
        <v>2.0</v>
      </c>
      <c r="E67" s="6">
        <v>0.0</v>
      </c>
      <c r="F67" s="6">
        <v>416.4428</v>
      </c>
      <c r="G67" s="6">
        <v>895.8066</v>
      </c>
      <c r="H67" s="6">
        <v>1777.823</v>
      </c>
      <c r="I67" s="6">
        <v>2440.603</v>
      </c>
      <c r="J67" s="6">
        <v>2605.0</v>
      </c>
      <c r="K67" s="6">
        <v>6328.0</v>
      </c>
      <c r="L67" s="6">
        <v>11204.0</v>
      </c>
      <c r="M67" s="6">
        <v>14554.0</v>
      </c>
      <c r="N67" s="6">
        <v>61.0</v>
      </c>
      <c r="O67" s="6">
        <v>136.0</v>
      </c>
      <c r="P67" s="6">
        <v>252.0</v>
      </c>
      <c r="Q67" s="6">
        <v>354.0</v>
      </c>
      <c r="R67" s="6">
        <v>388.0</v>
      </c>
      <c r="S67" s="6">
        <v>1050.0</v>
      </c>
      <c r="T67" s="6">
        <v>1770.0</v>
      </c>
      <c r="U67" s="6">
        <v>2468.0</v>
      </c>
      <c r="V67" s="6">
        <v>27.4096</v>
      </c>
      <c r="W67" s="6">
        <v>72.5244</v>
      </c>
      <c r="X67" s="6">
        <v>127.9524</v>
      </c>
      <c r="Y67" s="6">
        <v>177.5144</v>
      </c>
      <c r="Z67" s="6">
        <v>280.1464</v>
      </c>
      <c r="AA67" s="6">
        <v>638.112</v>
      </c>
      <c r="AB67" s="6">
        <v>1036.485</v>
      </c>
      <c r="AC67" s="6">
        <v>1350.077</v>
      </c>
      <c r="AD67" s="6">
        <v>1078.0</v>
      </c>
      <c r="AE67" s="6">
        <v>2616.0</v>
      </c>
      <c r="AF67" s="6">
        <v>3876.0</v>
      </c>
      <c r="AG67" s="6">
        <v>4558.0</v>
      </c>
      <c r="AH67" s="6">
        <v>46.0</v>
      </c>
      <c r="AI67" s="6">
        <v>100.0</v>
      </c>
      <c r="AJ67" s="6">
        <v>164.0</v>
      </c>
      <c r="AK67" s="6">
        <v>216.0</v>
      </c>
      <c r="AL67" s="6">
        <v>264.0</v>
      </c>
      <c r="AM67" s="6">
        <v>674.0</v>
      </c>
      <c r="AN67" s="6">
        <v>1002.0</v>
      </c>
      <c r="AO67" s="6">
        <v>1180.0</v>
      </c>
      <c r="AP67" s="6">
        <v>18.9438</v>
      </c>
      <c r="AQ67" s="6">
        <v>47.9556</v>
      </c>
      <c r="AR67" s="6">
        <v>73.7268</v>
      </c>
      <c r="AS67" s="6">
        <v>89.9372</v>
      </c>
      <c r="AT67" s="6">
        <v>137.698</v>
      </c>
      <c r="AU67" s="6">
        <v>275.8614</v>
      </c>
      <c r="AV67" s="6">
        <v>464.9918</v>
      </c>
      <c r="AW67" s="6">
        <v>545.5489</v>
      </c>
      <c r="AX67" s="6">
        <v>643.0</v>
      </c>
      <c r="AY67" s="6">
        <v>1364.0</v>
      </c>
      <c r="AZ67" s="6">
        <v>2008.0</v>
      </c>
      <c r="BA67" s="6">
        <v>1965.333</v>
      </c>
      <c r="BB67" s="6">
        <v>20.0</v>
      </c>
      <c r="BC67" s="6">
        <v>41.33333</v>
      </c>
      <c r="BD67" s="6">
        <v>67.33333</v>
      </c>
      <c r="BE67" s="6">
        <v>80.0</v>
      </c>
      <c r="BF67" s="6">
        <v>108.6667</v>
      </c>
      <c r="BG67" s="6">
        <v>266.0</v>
      </c>
      <c r="BH67" s="6">
        <v>362.6667</v>
      </c>
      <c r="BI67" s="6">
        <v>401.3333</v>
      </c>
      <c r="BJ67" s="6">
        <v>8.6157</v>
      </c>
      <c r="BK67" s="6">
        <v>20.44147</v>
      </c>
      <c r="BL67" s="6">
        <v>30.4508</v>
      </c>
      <c r="BM67" s="6">
        <v>33.64387</v>
      </c>
      <c r="BN67" s="6">
        <v>9.2416</v>
      </c>
      <c r="BO67" s="6">
        <v>15.504</v>
      </c>
      <c r="BP67" s="6">
        <v>29.944</v>
      </c>
      <c r="BQ67" s="6">
        <v>41.7848</v>
      </c>
      <c r="BR67" s="6">
        <v>49.0</v>
      </c>
      <c r="BS67" s="6">
        <v>84.0</v>
      </c>
      <c r="BT67" s="6">
        <v>133.0</v>
      </c>
      <c r="BU67" s="6">
        <v>182.0</v>
      </c>
      <c r="BV67" s="6">
        <v>1.0</v>
      </c>
      <c r="BW67" s="6">
        <v>2.0</v>
      </c>
      <c r="BX67" s="6">
        <v>4.0</v>
      </c>
      <c r="BY67" s="6">
        <v>5.5</v>
      </c>
      <c r="BZ67" s="6">
        <v>4.0</v>
      </c>
      <c r="CA67" s="6">
        <v>12.0</v>
      </c>
      <c r="CB67" s="6">
        <v>21.0</v>
      </c>
      <c r="CC67" s="6">
        <v>27.0</v>
      </c>
      <c r="CD67" s="6">
        <v>0.5625</v>
      </c>
      <c r="CE67" s="6">
        <v>1.155</v>
      </c>
      <c r="CF67" s="6">
        <v>2.01</v>
      </c>
      <c r="CG67" s="6">
        <v>2.71875</v>
      </c>
      <c r="CH67" s="6">
        <v>10.1056</v>
      </c>
      <c r="CI67" s="6">
        <v>10.7104</v>
      </c>
      <c r="CJ67" s="6">
        <v>23.55573</v>
      </c>
      <c r="CK67" s="6">
        <v>38.18347</v>
      </c>
      <c r="CL67" s="6">
        <v>54.0</v>
      </c>
      <c r="CM67" s="6">
        <v>84.66667</v>
      </c>
      <c r="CN67" s="6">
        <v>122.8333</v>
      </c>
      <c r="CO67" s="6">
        <v>160.6667</v>
      </c>
      <c r="CP67" s="6">
        <v>1.0</v>
      </c>
      <c r="CQ67" s="6">
        <v>1.333333</v>
      </c>
      <c r="CR67" s="6">
        <v>2.666667</v>
      </c>
      <c r="CS67" s="6">
        <v>4.333333</v>
      </c>
      <c r="CT67" s="6">
        <v>2.0</v>
      </c>
      <c r="CU67" s="6">
        <v>6.0</v>
      </c>
      <c r="CV67" s="6">
        <v>11.33333</v>
      </c>
      <c r="CW67" s="6">
        <v>14.33333</v>
      </c>
      <c r="CX67" s="6">
        <v>0.552633</v>
      </c>
      <c r="CY67" s="6">
        <v>0.8257</v>
      </c>
      <c r="CZ67" s="6">
        <v>1.455133</v>
      </c>
      <c r="DA67" s="6">
        <v>1.9908</v>
      </c>
      <c r="DB67" s="6">
        <v>0.0</v>
      </c>
      <c r="DC67" s="6">
        <v>0.98</v>
      </c>
      <c r="DD67" s="6">
        <v>2.31</v>
      </c>
      <c r="DE67" s="6">
        <v>2.975</v>
      </c>
      <c r="DF67" s="6">
        <v>0.0</v>
      </c>
      <c r="DG67" s="6">
        <v>2.0</v>
      </c>
      <c r="DH67" s="6">
        <v>9.0</v>
      </c>
      <c r="DI67" s="6">
        <v>12.5</v>
      </c>
      <c r="DJ67" s="6">
        <v>0.0</v>
      </c>
      <c r="DK67" s="6">
        <v>0.0</v>
      </c>
      <c r="DL67" s="6">
        <v>0.0</v>
      </c>
      <c r="DM67" s="6">
        <v>0.0</v>
      </c>
      <c r="DN67" s="6">
        <v>0.0</v>
      </c>
      <c r="DO67" s="6">
        <v>-2.0</v>
      </c>
      <c r="DP67" s="6">
        <v>-2.5</v>
      </c>
      <c r="DQ67" s="6">
        <v>-2.5</v>
      </c>
      <c r="DR67" s="6">
        <v>0.0</v>
      </c>
      <c r="DS67" s="6">
        <v>-0.04</v>
      </c>
      <c r="DT67" s="6">
        <v>0.32</v>
      </c>
      <c r="DU67" s="6">
        <v>0.5</v>
      </c>
      <c r="DV67" s="6">
        <v>0.0</v>
      </c>
      <c r="DW67" s="6">
        <v>0.776667</v>
      </c>
      <c r="DX67" s="6">
        <v>1.171667</v>
      </c>
      <c r="DY67" s="6">
        <v>1.536667</v>
      </c>
      <c r="DZ67" s="6">
        <v>0.0</v>
      </c>
      <c r="EA67" s="6">
        <v>-1.66667</v>
      </c>
      <c r="EB67" s="6">
        <v>3.166667</v>
      </c>
      <c r="EC67" s="6">
        <v>9.666667</v>
      </c>
      <c r="ED67" s="6">
        <v>0.0</v>
      </c>
      <c r="EE67" s="6">
        <v>0.0</v>
      </c>
      <c r="EF67" s="6">
        <v>0.0</v>
      </c>
      <c r="EG67" s="6">
        <v>0.0</v>
      </c>
      <c r="EH67" s="6">
        <v>0.0</v>
      </c>
      <c r="EI67" s="6">
        <v>-2.0</v>
      </c>
      <c r="EJ67" s="6">
        <v>-3.33333</v>
      </c>
      <c r="EK67" s="6">
        <v>-1.5</v>
      </c>
      <c r="EL67" s="6">
        <v>0.0</v>
      </c>
      <c r="EM67" s="6">
        <v>-0.11667</v>
      </c>
      <c r="EN67" s="6">
        <v>0.02</v>
      </c>
      <c r="EO67" s="6">
        <v>0.556667</v>
      </c>
      <c r="EP67" s="6">
        <v>3.3489</v>
      </c>
      <c r="EQ67" s="6">
        <v>34.1112</v>
      </c>
      <c r="ER67" s="6">
        <v>46.7199</v>
      </c>
      <c r="ES67" s="6">
        <v>75.9999</v>
      </c>
      <c r="ET67" s="6">
        <v>676.0</v>
      </c>
      <c r="EU67" s="6">
        <v>1118.0</v>
      </c>
      <c r="EV67" s="6">
        <v>1820.0</v>
      </c>
      <c r="EW67" s="6">
        <v>2210.0</v>
      </c>
      <c r="EX67" s="6">
        <v>1.0</v>
      </c>
      <c r="EY67" s="6">
        <v>6.0</v>
      </c>
      <c r="EZ67" s="6">
        <v>10.0</v>
      </c>
      <c r="FA67" s="6">
        <v>16.0</v>
      </c>
      <c r="FB67" s="6">
        <v>36.0</v>
      </c>
      <c r="FC67" s="6">
        <v>96.0</v>
      </c>
      <c r="FD67" s="6">
        <v>180.0</v>
      </c>
      <c r="FE67" s="6">
        <v>246.0</v>
      </c>
      <c r="FF67" s="6">
        <v>1.5625</v>
      </c>
      <c r="FG67" s="6">
        <v>5.6</v>
      </c>
      <c r="FH67" s="6">
        <v>9.9375</v>
      </c>
      <c r="FI67" s="6">
        <v>13.8</v>
      </c>
      <c r="FJ67" s="6">
        <v>0.0</v>
      </c>
      <c r="FK67" s="6">
        <v>-7.66</v>
      </c>
      <c r="FL67" s="6">
        <v>-7.23</v>
      </c>
      <c r="FM67" s="6">
        <v>-12.25</v>
      </c>
      <c r="FN67" s="6">
        <v>0.0</v>
      </c>
      <c r="FO67" s="6">
        <v>113.0</v>
      </c>
      <c r="FP67" s="6">
        <v>190.0</v>
      </c>
      <c r="FQ67" s="6">
        <v>331.0</v>
      </c>
      <c r="FR67" s="6">
        <v>0.0</v>
      </c>
      <c r="FS67" s="6">
        <v>0.0</v>
      </c>
      <c r="FT67" s="6">
        <v>0.0</v>
      </c>
      <c r="FU67" s="6">
        <v>0.0</v>
      </c>
      <c r="FV67" s="6">
        <v>0.0</v>
      </c>
      <c r="FW67" s="6">
        <v>20.0</v>
      </c>
      <c r="FX67" s="6">
        <v>30.0</v>
      </c>
      <c r="FY67" s="6">
        <v>55.0</v>
      </c>
      <c r="FZ67" s="6">
        <v>0.0</v>
      </c>
      <c r="GA67" s="6">
        <v>3.02</v>
      </c>
      <c r="GB67" s="6">
        <v>4.55</v>
      </c>
      <c r="GC67" s="6">
        <v>8.96</v>
      </c>
      <c r="GD67" s="6">
        <v>-5.040417848</v>
      </c>
      <c r="GE67" s="1" t="s">
        <v>1357</v>
      </c>
      <c r="GF67" s="1" t="s">
        <v>1418</v>
      </c>
    </row>
    <row r="68">
      <c r="A68" s="1" t="s">
        <v>175</v>
      </c>
      <c r="B68" s="6">
        <v>4.0</v>
      </c>
      <c r="C68" s="6">
        <v>0.0</v>
      </c>
      <c r="D68" s="6">
        <v>2.0</v>
      </c>
      <c r="E68" s="6">
        <v>0.0</v>
      </c>
      <c r="F68" s="6">
        <v>454.0029</v>
      </c>
      <c r="G68" s="6">
        <v>867.7998</v>
      </c>
      <c r="H68" s="6">
        <v>1853.05</v>
      </c>
      <c r="I68" s="6">
        <v>2529.904</v>
      </c>
      <c r="J68" s="6">
        <v>3151.0</v>
      </c>
      <c r="K68" s="6">
        <v>7088.0</v>
      </c>
      <c r="L68" s="6">
        <v>13278.0</v>
      </c>
      <c r="M68" s="6">
        <v>16640.0</v>
      </c>
      <c r="N68" s="6">
        <v>56.0</v>
      </c>
      <c r="O68" s="6">
        <v>122.0</v>
      </c>
      <c r="P68" s="6">
        <v>234.0</v>
      </c>
      <c r="Q68" s="6">
        <v>336.0</v>
      </c>
      <c r="R68" s="6">
        <v>356.0</v>
      </c>
      <c r="S68" s="6">
        <v>974.0</v>
      </c>
      <c r="T68" s="6">
        <v>1670.0</v>
      </c>
      <c r="U68" s="6">
        <v>2234.0</v>
      </c>
      <c r="V68" s="6">
        <v>27.035</v>
      </c>
      <c r="W68" s="6">
        <v>68.703</v>
      </c>
      <c r="X68" s="6">
        <v>124.2282</v>
      </c>
      <c r="Y68" s="6">
        <v>170.9728</v>
      </c>
      <c r="Z68" s="6">
        <v>258.2922</v>
      </c>
      <c r="AA68" s="6">
        <v>543.507</v>
      </c>
      <c r="AB68" s="6">
        <v>887.7068</v>
      </c>
      <c r="AC68" s="6">
        <v>1087.632</v>
      </c>
      <c r="AD68" s="6">
        <v>1021.0</v>
      </c>
      <c r="AE68" s="6">
        <v>2232.0</v>
      </c>
      <c r="AF68" s="6">
        <v>3150.0</v>
      </c>
      <c r="AG68" s="6">
        <v>3138.0</v>
      </c>
      <c r="AH68" s="6">
        <v>39.0</v>
      </c>
      <c r="AI68" s="6">
        <v>82.0</v>
      </c>
      <c r="AJ68" s="6">
        <v>134.0</v>
      </c>
      <c r="AK68" s="6">
        <v>168.0</v>
      </c>
      <c r="AL68" s="6">
        <v>216.0</v>
      </c>
      <c r="AM68" s="6">
        <v>536.0</v>
      </c>
      <c r="AN68" s="6">
        <v>750.0</v>
      </c>
      <c r="AO68" s="6">
        <v>822.0</v>
      </c>
      <c r="AP68" s="6">
        <v>15.9839</v>
      </c>
      <c r="AQ68" s="6">
        <v>38.9158</v>
      </c>
      <c r="AR68" s="6">
        <v>57.3478</v>
      </c>
      <c r="AS68" s="6">
        <v>64.18</v>
      </c>
      <c r="AT68" s="6">
        <v>150.218</v>
      </c>
      <c r="AU68" s="6">
        <v>266.0378</v>
      </c>
      <c r="AV68" s="6">
        <v>482.7599</v>
      </c>
      <c r="AW68" s="6">
        <v>526.8383</v>
      </c>
      <c r="AX68" s="6">
        <v>825.0</v>
      </c>
      <c r="AY68" s="6">
        <v>1600.0</v>
      </c>
      <c r="AZ68" s="6">
        <v>2398.0</v>
      </c>
      <c r="BA68" s="6">
        <v>1910.0</v>
      </c>
      <c r="BB68" s="6">
        <v>18.33333</v>
      </c>
      <c r="BC68" s="6">
        <v>36.66667</v>
      </c>
      <c r="BD68" s="6">
        <v>60.66667</v>
      </c>
      <c r="BE68" s="6">
        <v>68.0</v>
      </c>
      <c r="BF68" s="6">
        <v>97.33333</v>
      </c>
      <c r="BG68" s="6">
        <v>232.0</v>
      </c>
      <c r="BH68" s="6">
        <v>290.0</v>
      </c>
      <c r="BI68" s="6">
        <v>286.0</v>
      </c>
      <c r="BJ68" s="6">
        <v>8.490833</v>
      </c>
      <c r="BK68" s="6">
        <v>19.18433</v>
      </c>
      <c r="BL68" s="6">
        <v>28.40913</v>
      </c>
      <c r="BM68" s="6">
        <v>27.61293</v>
      </c>
      <c r="BN68" s="6">
        <v>9.2416</v>
      </c>
      <c r="BO68" s="6">
        <v>15.504</v>
      </c>
      <c r="BP68" s="6">
        <v>35.3552</v>
      </c>
      <c r="BQ68" s="6">
        <v>43.7456</v>
      </c>
      <c r="BR68" s="6">
        <v>49.0</v>
      </c>
      <c r="BS68" s="6">
        <v>84.0</v>
      </c>
      <c r="BT68" s="6">
        <v>189.0</v>
      </c>
      <c r="BU68" s="6">
        <v>119.0</v>
      </c>
      <c r="BV68" s="6">
        <v>1.0</v>
      </c>
      <c r="BW68" s="6">
        <v>2.0</v>
      </c>
      <c r="BX68" s="6">
        <v>4.0</v>
      </c>
      <c r="BY68" s="6">
        <v>6.0</v>
      </c>
      <c r="BZ68" s="6">
        <v>4.0</v>
      </c>
      <c r="CA68" s="6">
        <v>12.0</v>
      </c>
      <c r="CB68" s="6">
        <v>22.0</v>
      </c>
      <c r="CC68" s="6">
        <v>20.0</v>
      </c>
      <c r="CD68" s="6">
        <v>0.5625</v>
      </c>
      <c r="CE68" s="6">
        <v>1.155</v>
      </c>
      <c r="CF68" s="6">
        <v>2.265</v>
      </c>
      <c r="CG68" s="6">
        <v>2.25</v>
      </c>
      <c r="CH68" s="6">
        <v>10.9696</v>
      </c>
      <c r="CI68" s="6">
        <v>12.3768</v>
      </c>
      <c r="CJ68" s="6">
        <v>36.06613</v>
      </c>
      <c r="CK68" s="6">
        <v>43.17013</v>
      </c>
      <c r="CL68" s="6">
        <v>59.0</v>
      </c>
      <c r="CM68" s="6">
        <v>120.3333</v>
      </c>
      <c r="CN68" s="6">
        <v>166.3333</v>
      </c>
      <c r="CO68" s="6">
        <v>209.3333</v>
      </c>
      <c r="CP68" s="6">
        <v>1.0</v>
      </c>
      <c r="CQ68" s="6">
        <v>1.5</v>
      </c>
      <c r="CR68" s="6">
        <v>4.0</v>
      </c>
      <c r="CS68" s="6">
        <v>4.0</v>
      </c>
      <c r="CT68" s="6">
        <v>2.833333</v>
      </c>
      <c r="CU68" s="6">
        <v>10.33333</v>
      </c>
      <c r="CV68" s="6">
        <v>14.83333</v>
      </c>
      <c r="CW68" s="6">
        <v>12.83333</v>
      </c>
      <c r="CX68" s="6">
        <v>0.542767</v>
      </c>
      <c r="CY68" s="6">
        <v>0.97765</v>
      </c>
      <c r="CZ68" s="6">
        <v>1.940267</v>
      </c>
      <c r="DA68" s="6">
        <v>1.9816</v>
      </c>
      <c r="DB68" s="6">
        <v>0.0</v>
      </c>
      <c r="DC68" s="6">
        <v>0.98</v>
      </c>
      <c r="DD68" s="6">
        <v>0.53</v>
      </c>
      <c r="DE68" s="6">
        <v>3.85</v>
      </c>
      <c r="DF68" s="6">
        <v>0.0</v>
      </c>
      <c r="DG68" s="6">
        <v>2.0</v>
      </c>
      <c r="DH68" s="6">
        <v>1.0</v>
      </c>
      <c r="DI68" s="6">
        <v>25.0</v>
      </c>
      <c r="DJ68" s="6">
        <v>0.0</v>
      </c>
      <c r="DK68" s="6">
        <v>0.0</v>
      </c>
      <c r="DL68" s="6">
        <v>0.0</v>
      </c>
      <c r="DM68" s="6">
        <v>0.0</v>
      </c>
      <c r="DN68" s="6">
        <v>0.0</v>
      </c>
      <c r="DO68" s="6">
        <v>-2.0</v>
      </c>
      <c r="DP68" s="6">
        <v>-3.0</v>
      </c>
      <c r="DQ68" s="6">
        <v>2.0</v>
      </c>
      <c r="DR68" s="6">
        <v>0.0</v>
      </c>
      <c r="DS68" s="6">
        <v>-0.04</v>
      </c>
      <c r="DT68" s="6">
        <v>-0.02</v>
      </c>
      <c r="DU68" s="6">
        <v>1.5</v>
      </c>
      <c r="DV68" s="6">
        <v>0.0</v>
      </c>
      <c r="DW68" s="6">
        <v>0.981667</v>
      </c>
      <c r="DX68" s="6">
        <v>1.923333</v>
      </c>
      <c r="DY68" s="6">
        <v>-0.19333</v>
      </c>
      <c r="DZ68" s="6">
        <v>0.0</v>
      </c>
      <c r="EA68" s="6">
        <v>-4.5</v>
      </c>
      <c r="EB68" s="6">
        <v>8.333333</v>
      </c>
      <c r="EC68" s="6">
        <v>2.666667</v>
      </c>
      <c r="ED68" s="6">
        <v>0.0</v>
      </c>
      <c r="EE68" s="6">
        <v>0.0</v>
      </c>
      <c r="EF68" s="6">
        <v>0.0</v>
      </c>
      <c r="EG68" s="6">
        <v>0.0</v>
      </c>
      <c r="EH68" s="6">
        <v>0.0</v>
      </c>
      <c r="EI68" s="6">
        <v>-2.66667</v>
      </c>
      <c r="EJ68" s="6">
        <v>-0.66667</v>
      </c>
      <c r="EK68" s="6">
        <v>0.833333</v>
      </c>
      <c r="EL68" s="6">
        <v>0.0</v>
      </c>
      <c r="EM68" s="6">
        <v>-0.21</v>
      </c>
      <c r="EN68" s="6">
        <v>0.333333</v>
      </c>
      <c r="EO68" s="6">
        <v>0.28</v>
      </c>
      <c r="EP68" s="6">
        <v>3.3489</v>
      </c>
      <c r="EQ68" s="6">
        <v>34.8432</v>
      </c>
      <c r="ER68" s="6">
        <v>51.4413</v>
      </c>
      <c r="ES68" s="6">
        <v>101.2356</v>
      </c>
      <c r="ET68" s="6">
        <v>676.0</v>
      </c>
      <c r="EU68" s="6">
        <v>1144.0</v>
      </c>
      <c r="EV68" s="6">
        <v>2236.0</v>
      </c>
      <c r="EW68" s="6">
        <v>2704.0</v>
      </c>
      <c r="EX68" s="6">
        <v>1.0</v>
      </c>
      <c r="EY68" s="6">
        <v>6.0</v>
      </c>
      <c r="EZ68" s="6">
        <v>11.0</v>
      </c>
      <c r="FA68" s="6">
        <v>20.0</v>
      </c>
      <c r="FB68" s="6">
        <v>36.0</v>
      </c>
      <c r="FC68" s="6">
        <v>102.0</v>
      </c>
      <c r="FD68" s="6">
        <v>222.0</v>
      </c>
      <c r="FE68" s="6">
        <v>228.0</v>
      </c>
      <c r="FF68" s="6">
        <v>1.5625</v>
      </c>
      <c r="FG68" s="6">
        <v>5.575</v>
      </c>
      <c r="FH68" s="6">
        <v>11.2125</v>
      </c>
      <c r="FI68" s="6">
        <v>15.9</v>
      </c>
      <c r="FJ68" s="6">
        <v>0.0</v>
      </c>
      <c r="FK68" s="6">
        <v>-8.06</v>
      </c>
      <c r="FL68" s="6">
        <v>-7.98</v>
      </c>
      <c r="FM68" s="6">
        <v>-18.72</v>
      </c>
      <c r="FN68" s="6">
        <v>0.0</v>
      </c>
      <c r="FO68" s="6">
        <v>112.0</v>
      </c>
      <c r="FP68" s="6">
        <v>200.0</v>
      </c>
      <c r="FQ68" s="6">
        <v>416.0</v>
      </c>
      <c r="FR68" s="6">
        <v>0.0</v>
      </c>
      <c r="FS68" s="6">
        <v>0.0</v>
      </c>
      <c r="FT68" s="6">
        <v>0.0</v>
      </c>
      <c r="FU68" s="6">
        <v>0.0</v>
      </c>
      <c r="FV68" s="6">
        <v>0.0</v>
      </c>
      <c r="FW68" s="6">
        <v>19.0</v>
      </c>
      <c r="FX68" s="6">
        <v>29.0</v>
      </c>
      <c r="FY68" s="6">
        <v>82.0</v>
      </c>
      <c r="FZ68" s="6">
        <v>0.0</v>
      </c>
      <c r="GA68" s="6">
        <v>3.04</v>
      </c>
      <c r="GB68" s="6">
        <v>4.78</v>
      </c>
      <c r="GC68" s="6">
        <v>12.28</v>
      </c>
      <c r="GD68" s="6">
        <v>-19.56585729</v>
      </c>
      <c r="GE68" s="1" t="s">
        <v>1353</v>
      </c>
      <c r="GF68" s="1" t="s">
        <v>1419</v>
      </c>
    </row>
    <row r="69">
      <c r="A69" s="89" t="s">
        <v>177</v>
      </c>
      <c r="B69" s="90">
        <v>4.0</v>
      </c>
      <c r="C69" s="90">
        <v>0.0</v>
      </c>
      <c r="D69" s="90">
        <v>2.0</v>
      </c>
      <c r="E69" s="90">
        <v>0.0</v>
      </c>
      <c r="F69" s="90">
        <v>443.0025</v>
      </c>
      <c r="G69" s="90">
        <v>858.7218</v>
      </c>
      <c r="H69" s="90">
        <v>1833.15</v>
      </c>
      <c r="I69" s="90">
        <v>2497.402</v>
      </c>
      <c r="J69" s="90">
        <v>3071.0</v>
      </c>
      <c r="K69" s="90">
        <v>6992.0</v>
      </c>
      <c r="L69" s="90">
        <v>13070.0</v>
      </c>
      <c r="M69" s="90">
        <v>16016.0</v>
      </c>
      <c r="N69" s="90">
        <v>56.0</v>
      </c>
      <c r="O69" s="90">
        <v>122.0</v>
      </c>
      <c r="P69" s="90">
        <v>234.0</v>
      </c>
      <c r="Q69" s="90">
        <v>336.0</v>
      </c>
      <c r="R69" s="90">
        <v>356.0</v>
      </c>
      <c r="S69" s="90">
        <v>974.0</v>
      </c>
      <c r="T69" s="90">
        <v>1670.0</v>
      </c>
      <c r="U69" s="90">
        <v>2234.0</v>
      </c>
      <c r="V69" s="90">
        <v>26.6678</v>
      </c>
      <c r="W69" s="90">
        <v>68.1794</v>
      </c>
      <c r="X69" s="90">
        <v>123.1946</v>
      </c>
      <c r="Y69" s="90">
        <v>168.824</v>
      </c>
      <c r="Z69" s="90">
        <v>247.2918</v>
      </c>
      <c r="AA69" s="90">
        <v>534.429</v>
      </c>
      <c r="AB69" s="90">
        <v>867.8064</v>
      </c>
      <c r="AC69" s="90">
        <v>1061.644</v>
      </c>
      <c r="AD69" s="90">
        <v>941.0</v>
      </c>
      <c r="AE69" s="90">
        <v>2136.0</v>
      </c>
      <c r="AF69" s="90">
        <v>2942.0</v>
      </c>
      <c r="AG69" s="90">
        <v>2930.0</v>
      </c>
      <c r="AH69" s="90">
        <v>39.0</v>
      </c>
      <c r="AI69" s="90">
        <v>82.0</v>
      </c>
      <c r="AJ69" s="90">
        <v>134.0</v>
      </c>
      <c r="AK69" s="90">
        <v>168.0</v>
      </c>
      <c r="AL69" s="90">
        <v>216.0</v>
      </c>
      <c r="AM69" s="90">
        <v>536.0</v>
      </c>
      <c r="AN69" s="90">
        <v>750.0</v>
      </c>
      <c r="AO69" s="90">
        <v>822.0</v>
      </c>
      <c r="AP69" s="90">
        <v>15.6167</v>
      </c>
      <c r="AQ69" s="90">
        <v>38.3922</v>
      </c>
      <c r="AR69" s="90">
        <v>56.3142</v>
      </c>
      <c r="AS69" s="90">
        <v>62.8812</v>
      </c>
      <c r="AT69" s="90">
        <v>146.5512</v>
      </c>
      <c r="AU69" s="90">
        <v>263.0118</v>
      </c>
      <c r="AV69" s="90">
        <v>476.1264</v>
      </c>
      <c r="AW69" s="90">
        <v>518.1756</v>
      </c>
      <c r="AX69" s="90">
        <v>798.3333</v>
      </c>
      <c r="AY69" s="90">
        <v>1568.0</v>
      </c>
      <c r="AZ69" s="90">
        <v>2328.667</v>
      </c>
      <c r="BA69" s="90">
        <v>1840.667</v>
      </c>
      <c r="BB69" s="90">
        <v>18.33333</v>
      </c>
      <c r="BC69" s="90">
        <v>36.66667</v>
      </c>
      <c r="BD69" s="90">
        <v>60.66667</v>
      </c>
      <c r="BE69" s="90">
        <v>68.0</v>
      </c>
      <c r="BF69" s="90">
        <v>97.33333</v>
      </c>
      <c r="BG69" s="90">
        <v>232.0</v>
      </c>
      <c r="BH69" s="90">
        <v>290.0</v>
      </c>
      <c r="BI69" s="90">
        <v>286.0</v>
      </c>
      <c r="BJ69" s="90">
        <v>8.368433</v>
      </c>
      <c r="BK69" s="90">
        <v>19.0098</v>
      </c>
      <c r="BL69" s="90">
        <v>28.0646</v>
      </c>
      <c r="BM69" s="90">
        <v>27.18</v>
      </c>
      <c r="BN69" s="90">
        <v>9.2416</v>
      </c>
      <c r="BO69" s="90">
        <v>15.504</v>
      </c>
      <c r="BP69" s="90">
        <v>29.3056</v>
      </c>
      <c r="BQ69" s="90">
        <v>43.7456</v>
      </c>
      <c r="BR69" s="90">
        <v>49.0</v>
      </c>
      <c r="BS69" s="90">
        <v>84.0</v>
      </c>
      <c r="BT69" s="90">
        <v>157.5</v>
      </c>
      <c r="BU69" s="90">
        <v>119.0</v>
      </c>
      <c r="BV69" s="90">
        <v>1.0</v>
      </c>
      <c r="BW69" s="90">
        <v>2.0</v>
      </c>
      <c r="BX69" s="90">
        <v>3.5</v>
      </c>
      <c r="BY69" s="90">
        <v>6.0</v>
      </c>
      <c r="BZ69" s="90">
        <v>4.0</v>
      </c>
      <c r="CA69" s="90">
        <v>11.0</v>
      </c>
      <c r="CB69" s="90">
        <v>21.0</v>
      </c>
      <c r="CC69" s="90">
        <v>20.0</v>
      </c>
      <c r="CD69" s="90">
        <v>0.5625</v>
      </c>
      <c r="CE69" s="90">
        <v>1.155</v>
      </c>
      <c r="CF69" s="90">
        <v>1.99875</v>
      </c>
      <c r="CG69" s="90">
        <v>2.25</v>
      </c>
      <c r="CH69" s="90">
        <v>10.9696</v>
      </c>
      <c r="CI69" s="90">
        <v>12.3768</v>
      </c>
      <c r="CJ69" s="90">
        <v>37.1808</v>
      </c>
      <c r="CK69" s="90">
        <v>43.17013</v>
      </c>
      <c r="CL69" s="90">
        <v>59.0</v>
      </c>
      <c r="CM69" s="90">
        <v>120.3333</v>
      </c>
      <c r="CN69" s="90">
        <v>167.5</v>
      </c>
      <c r="CO69" s="90">
        <v>209.3333</v>
      </c>
      <c r="CP69" s="90">
        <v>1.0</v>
      </c>
      <c r="CQ69" s="90">
        <v>1.5</v>
      </c>
      <c r="CR69" s="90">
        <v>4.166667</v>
      </c>
      <c r="CS69" s="90">
        <v>4.0</v>
      </c>
      <c r="CT69" s="90">
        <v>2.833333</v>
      </c>
      <c r="CU69" s="90">
        <v>10.66667</v>
      </c>
      <c r="CV69" s="90">
        <v>15.16667</v>
      </c>
      <c r="CW69" s="90">
        <v>12.83333</v>
      </c>
      <c r="CX69" s="90">
        <v>0.542767</v>
      </c>
      <c r="CY69" s="90">
        <v>0.97765</v>
      </c>
      <c r="CZ69" s="90">
        <v>1.986517</v>
      </c>
      <c r="DA69" s="90">
        <v>1.9816</v>
      </c>
      <c r="DB69" s="90">
        <v>0.0</v>
      </c>
      <c r="DC69" s="90">
        <v>0.98</v>
      </c>
      <c r="DD69" s="90">
        <v>1.0</v>
      </c>
      <c r="DE69" s="90">
        <v>3.85</v>
      </c>
      <c r="DF69" s="90">
        <v>0.0</v>
      </c>
      <c r="DG69" s="90">
        <v>2.0</v>
      </c>
      <c r="DH69" s="90">
        <v>2.0</v>
      </c>
      <c r="DI69" s="90">
        <v>25.0</v>
      </c>
      <c r="DJ69" s="90">
        <v>0.0</v>
      </c>
      <c r="DK69" s="90">
        <v>0.0</v>
      </c>
      <c r="DL69" s="90">
        <v>0.0</v>
      </c>
      <c r="DM69" s="90">
        <v>0.0</v>
      </c>
      <c r="DN69" s="90">
        <v>0.0</v>
      </c>
      <c r="DO69" s="90">
        <v>-1.5</v>
      </c>
      <c r="DP69" s="90">
        <v>-3.5</v>
      </c>
      <c r="DQ69" s="90">
        <v>2.0</v>
      </c>
      <c r="DR69" s="90">
        <v>0.0</v>
      </c>
      <c r="DS69" s="90">
        <v>-0.04</v>
      </c>
      <c r="DT69" s="90">
        <v>-0.04</v>
      </c>
      <c r="DU69" s="90">
        <v>1.5</v>
      </c>
      <c r="DV69" s="90">
        <v>0.0</v>
      </c>
      <c r="DW69" s="90">
        <v>0.981667</v>
      </c>
      <c r="DX69" s="90">
        <v>2.063333</v>
      </c>
      <c r="DY69" s="90">
        <v>-0.19333</v>
      </c>
      <c r="DZ69" s="90">
        <v>0.0</v>
      </c>
      <c r="EA69" s="90">
        <v>-4.5</v>
      </c>
      <c r="EB69" s="90">
        <v>9.333333</v>
      </c>
      <c r="EC69" s="90">
        <v>2.666667</v>
      </c>
      <c r="ED69" s="90">
        <v>0.0</v>
      </c>
      <c r="EE69" s="90">
        <v>0.0</v>
      </c>
      <c r="EF69" s="90">
        <v>0.0</v>
      </c>
      <c r="EG69" s="90">
        <v>0.0</v>
      </c>
      <c r="EH69" s="90">
        <v>0.0</v>
      </c>
      <c r="EI69" s="90">
        <v>-2.83333</v>
      </c>
      <c r="EJ69" s="90">
        <v>-0.5</v>
      </c>
      <c r="EK69" s="90">
        <v>0.833333</v>
      </c>
      <c r="EL69" s="90">
        <v>0.0</v>
      </c>
      <c r="EM69" s="90">
        <v>-0.21</v>
      </c>
      <c r="EN69" s="90">
        <v>0.396667</v>
      </c>
      <c r="EO69" s="90">
        <v>0.28</v>
      </c>
      <c r="EP69" s="90">
        <v>3.3489</v>
      </c>
      <c r="EQ69" s="90">
        <v>34.8432</v>
      </c>
      <c r="ER69" s="90">
        <v>51.4413</v>
      </c>
      <c r="ES69" s="90">
        <v>97.9782</v>
      </c>
      <c r="ET69" s="90">
        <v>676.0</v>
      </c>
      <c r="EU69" s="90">
        <v>1144.0</v>
      </c>
      <c r="EV69" s="90">
        <v>2236.0</v>
      </c>
      <c r="EW69" s="90">
        <v>2496.0</v>
      </c>
      <c r="EX69" s="90">
        <v>1.0</v>
      </c>
      <c r="EY69" s="90">
        <v>6.0</v>
      </c>
      <c r="EZ69" s="90">
        <v>11.0</v>
      </c>
      <c r="FA69" s="90">
        <v>20.0</v>
      </c>
      <c r="FB69" s="90">
        <v>36.0</v>
      </c>
      <c r="FC69" s="90">
        <v>102.0</v>
      </c>
      <c r="FD69" s="90">
        <v>222.0</v>
      </c>
      <c r="FE69" s="90">
        <v>228.0</v>
      </c>
      <c r="FF69" s="90">
        <v>1.5625</v>
      </c>
      <c r="FG69" s="90">
        <v>5.575</v>
      </c>
      <c r="FH69" s="90">
        <v>11.2125</v>
      </c>
      <c r="FI69" s="90">
        <v>15.475</v>
      </c>
      <c r="FJ69" s="90">
        <v>0.0</v>
      </c>
      <c r="FK69" s="90">
        <v>-8.06</v>
      </c>
      <c r="FL69" s="90">
        <v>-7.98</v>
      </c>
      <c r="FM69" s="90">
        <v>-16.94</v>
      </c>
      <c r="FN69" s="90">
        <v>0.0</v>
      </c>
      <c r="FO69" s="90">
        <v>112.0</v>
      </c>
      <c r="FP69" s="90">
        <v>200.0</v>
      </c>
      <c r="FQ69" s="90">
        <v>424.0</v>
      </c>
      <c r="FR69" s="90">
        <v>0.0</v>
      </c>
      <c r="FS69" s="90">
        <v>0.0</v>
      </c>
      <c r="FT69" s="90">
        <v>0.0</v>
      </c>
      <c r="FU69" s="90">
        <v>0.0</v>
      </c>
      <c r="FV69" s="90">
        <v>0.0</v>
      </c>
      <c r="FW69" s="90">
        <v>19.0</v>
      </c>
      <c r="FX69" s="90">
        <v>29.0</v>
      </c>
      <c r="FY69" s="90">
        <v>82.0</v>
      </c>
      <c r="FZ69" s="90">
        <v>0.0</v>
      </c>
      <c r="GA69" s="90">
        <v>3.04</v>
      </c>
      <c r="GB69" s="90">
        <v>4.78</v>
      </c>
      <c r="GC69" s="90">
        <v>12.62</v>
      </c>
      <c r="GD69" s="90">
        <v>-8.959174082</v>
      </c>
      <c r="GE69" s="89" t="s">
        <v>1350</v>
      </c>
      <c r="GF69" s="89" t="s">
        <v>1420</v>
      </c>
    </row>
    <row r="70">
      <c r="A70" s="1" t="s">
        <v>179</v>
      </c>
      <c r="B70" s="6">
        <v>4.0</v>
      </c>
      <c r="C70" s="6">
        <v>0.0</v>
      </c>
      <c r="D70" s="6">
        <v>2.0</v>
      </c>
      <c r="E70" s="6">
        <v>0.0</v>
      </c>
      <c r="F70" s="6">
        <v>498.2471</v>
      </c>
      <c r="G70" s="6">
        <v>1001.573</v>
      </c>
      <c r="H70" s="6">
        <v>2176.618</v>
      </c>
      <c r="I70" s="6">
        <v>3143.296</v>
      </c>
      <c r="J70" s="6">
        <v>3074.0</v>
      </c>
      <c r="K70" s="6">
        <v>7184.0</v>
      </c>
      <c r="L70" s="6">
        <v>13708.0</v>
      </c>
      <c r="M70" s="6">
        <v>17034.0</v>
      </c>
      <c r="N70" s="6">
        <v>69.0</v>
      </c>
      <c r="O70" s="6">
        <v>148.0</v>
      </c>
      <c r="P70" s="6">
        <v>298.0</v>
      </c>
      <c r="Q70" s="6">
        <v>456.0</v>
      </c>
      <c r="R70" s="6">
        <v>446.0</v>
      </c>
      <c r="S70" s="6">
        <v>1248.0</v>
      </c>
      <c r="T70" s="6">
        <v>2210.0</v>
      </c>
      <c r="U70" s="6">
        <v>3162.0</v>
      </c>
      <c r="V70" s="6">
        <v>28.9923</v>
      </c>
      <c r="W70" s="6">
        <v>76.2644</v>
      </c>
      <c r="X70" s="6">
        <v>141.461</v>
      </c>
      <c r="Y70" s="6">
        <v>205.6396</v>
      </c>
      <c r="Z70" s="6">
        <v>302.5364</v>
      </c>
      <c r="AA70" s="6">
        <v>677.28</v>
      </c>
      <c r="AB70" s="6">
        <v>1201.942</v>
      </c>
      <c r="AC70" s="6">
        <v>1584.141</v>
      </c>
      <c r="AD70" s="6">
        <v>944.0</v>
      </c>
      <c r="AE70" s="6">
        <v>2328.0</v>
      </c>
      <c r="AF70" s="6">
        <v>3268.0</v>
      </c>
      <c r="AG70" s="6">
        <v>3608.0</v>
      </c>
      <c r="AH70" s="6">
        <v>52.0</v>
      </c>
      <c r="AI70" s="6">
        <v>108.0</v>
      </c>
      <c r="AJ70" s="6">
        <v>196.0</v>
      </c>
      <c r="AK70" s="6">
        <v>266.0</v>
      </c>
      <c r="AL70" s="6">
        <v>304.0</v>
      </c>
      <c r="AM70" s="6">
        <v>784.0</v>
      </c>
      <c r="AN70" s="6">
        <v>1160.0</v>
      </c>
      <c r="AO70" s="6">
        <v>1392.0</v>
      </c>
      <c r="AP70" s="6">
        <v>17.9412</v>
      </c>
      <c r="AQ70" s="6">
        <v>46.4772</v>
      </c>
      <c r="AR70" s="6">
        <v>72.6556</v>
      </c>
      <c r="AS70" s="6">
        <v>89.2834</v>
      </c>
      <c r="AT70" s="6">
        <v>164.9661</v>
      </c>
      <c r="AU70" s="6">
        <v>310.6288</v>
      </c>
      <c r="AV70" s="6">
        <v>587.5049</v>
      </c>
      <c r="AW70" s="6">
        <v>692.3413</v>
      </c>
      <c r="AX70" s="6">
        <v>799.3333</v>
      </c>
      <c r="AY70" s="6">
        <v>1632.0</v>
      </c>
      <c r="AZ70" s="6">
        <v>2437.333</v>
      </c>
      <c r="BA70" s="6">
        <v>2066.667</v>
      </c>
      <c r="BB70" s="6">
        <v>22.66667</v>
      </c>
      <c r="BC70" s="6">
        <v>45.33333</v>
      </c>
      <c r="BD70" s="6">
        <v>81.33333</v>
      </c>
      <c r="BE70" s="6">
        <v>100.6667</v>
      </c>
      <c r="BF70" s="6">
        <v>126.6667</v>
      </c>
      <c r="BG70" s="6">
        <v>314.6667</v>
      </c>
      <c r="BH70" s="6">
        <v>426.6667</v>
      </c>
      <c r="BI70" s="6">
        <v>476.0</v>
      </c>
      <c r="BJ70" s="6">
        <v>9.143267</v>
      </c>
      <c r="BK70" s="6">
        <v>21.7048</v>
      </c>
      <c r="BL70" s="6">
        <v>33.51173</v>
      </c>
      <c r="BM70" s="6">
        <v>35.98073</v>
      </c>
      <c r="BN70" s="6">
        <v>9.2416</v>
      </c>
      <c r="BO70" s="6">
        <v>15.504</v>
      </c>
      <c r="BP70" s="6">
        <v>29.944</v>
      </c>
      <c r="BQ70" s="6">
        <v>43.7456</v>
      </c>
      <c r="BR70" s="6">
        <v>49.0</v>
      </c>
      <c r="BS70" s="6">
        <v>84.0</v>
      </c>
      <c r="BT70" s="6">
        <v>133.0</v>
      </c>
      <c r="BU70" s="6">
        <v>119.0</v>
      </c>
      <c r="BV70" s="6">
        <v>1.0</v>
      </c>
      <c r="BW70" s="6">
        <v>2.0</v>
      </c>
      <c r="BX70" s="6">
        <v>4.0</v>
      </c>
      <c r="BY70" s="6">
        <v>6.0</v>
      </c>
      <c r="BZ70" s="6">
        <v>4.0</v>
      </c>
      <c r="CA70" s="6">
        <v>12.0</v>
      </c>
      <c r="CB70" s="6">
        <v>22.0</v>
      </c>
      <c r="CC70" s="6">
        <v>20.0</v>
      </c>
      <c r="CD70" s="6">
        <v>0.5625</v>
      </c>
      <c r="CE70" s="6">
        <v>1.155</v>
      </c>
      <c r="CF70" s="6">
        <v>2.01</v>
      </c>
      <c r="CG70" s="6">
        <v>2.25</v>
      </c>
      <c r="CH70" s="6">
        <v>10.9696</v>
      </c>
      <c r="CI70" s="6">
        <v>13.6688</v>
      </c>
      <c r="CJ70" s="6">
        <v>42.75413</v>
      </c>
      <c r="CK70" s="6">
        <v>47.98347</v>
      </c>
      <c r="CL70" s="6">
        <v>59.0</v>
      </c>
      <c r="CM70" s="6">
        <v>127.3333</v>
      </c>
      <c r="CN70" s="6">
        <v>173.3333</v>
      </c>
      <c r="CO70" s="6">
        <v>225.6667</v>
      </c>
      <c r="CP70" s="6">
        <v>1.0</v>
      </c>
      <c r="CQ70" s="6">
        <v>1.666667</v>
      </c>
      <c r="CR70" s="6">
        <v>5.0</v>
      </c>
      <c r="CS70" s="6">
        <v>4.666667</v>
      </c>
      <c r="CT70" s="6">
        <v>3.666667</v>
      </c>
      <c r="CU70" s="6">
        <v>14.66667</v>
      </c>
      <c r="CV70" s="6">
        <v>21.0</v>
      </c>
      <c r="CW70" s="6">
        <v>21.0</v>
      </c>
      <c r="CX70" s="6">
        <v>0.542767</v>
      </c>
      <c r="CY70" s="6">
        <v>1.0739</v>
      </c>
      <c r="CZ70" s="6">
        <v>2.217767</v>
      </c>
      <c r="DA70" s="6">
        <v>2.2666</v>
      </c>
      <c r="DB70" s="6">
        <v>0.0</v>
      </c>
      <c r="DC70" s="6">
        <v>0.98</v>
      </c>
      <c r="DD70" s="6">
        <v>2.31</v>
      </c>
      <c r="DE70" s="6">
        <v>3.85</v>
      </c>
      <c r="DF70" s="6">
        <v>0.0</v>
      </c>
      <c r="DG70" s="6">
        <v>2.0</v>
      </c>
      <c r="DH70" s="6">
        <v>9.0</v>
      </c>
      <c r="DI70" s="6">
        <v>25.0</v>
      </c>
      <c r="DJ70" s="6">
        <v>0.0</v>
      </c>
      <c r="DK70" s="6">
        <v>0.0</v>
      </c>
      <c r="DL70" s="6">
        <v>0.0</v>
      </c>
      <c r="DM70" s="6">
        <v>0.0</v>
      </c>
      <c r="DN70" s="6">
        <v>0.0</v>
      </c>
      <c r="DO70" s="6">
        <v>-2.0</v>
      </c>
      <c r="DP70" s="6">
        <v>-3.0</v>
      </c>
      <c r="DQ70" s="6">
        <v>2.0</v>
      </c>
      <c r="DR70" s="6">
        <v>0.0</v>
      </c>
      <c r="DS70" s="6">
        <v>-0.04</v>
      </c>
      <c r="DT70" s="6">
        <v>0.32</v>
      </c>
      <c r="DU70" s="6">
        <v>1.5</v>
      </c>
      <c r="DV70" s="6">
        <v>0.0</v>
      </c>
      <c r="DW70" s="6">
        <v>1.063333</v>
      </c>
      <c r="DX70" s="6">
        <v>2.763333</v>
      </c>
      <c r="DY70" s="6">
        <v>0.25</v>
      </c>
      <c r="DZ70" s="6">
        <v>0.0</v>
      </c>
      <c r="EA70" s="6">
        <v>-4.33333</v>
      </c>
      <c r="EB70" s="6">
        <v>14.33333</v>
      </c>
      <c r="EC70" s="6">
        <v>5.0</v>
      </c>
      <c r="ED70" s="6">
        <v>0.0</v>
      </c>
      <c r="EE70" s="6">
        <v>0.0</v>
      </c>
      <c r="EF70" s="6">
        <v>0.0</v>
      </c>
      <c r="EG70" s="6">
        <v>0.0</v>
      </c>
      <c r="EH70" s="6">
        <v>0.0</v>
      </c>
      <c r="EI70" s="6">
        <v>-3.0</v>
      </c>
      <c r="EJ70" s="6">
        <v>1.333333</v>
      </c>
      <c r="EK70" s="6">
        <v>1.666667</v>
      </c>
      <c r="EL70" s="6">
        <v>0.0</v>
      </c>
      <c r="EM70" s="6">
        <v>-0.21333</v>
      </c>
      <c r="EN70" s="6">
        <v>0.713333</v>
      </c>
      <c r="EO70" s="6">
        <v>0.4</v>
      </c>
      <c r="EP70" s="6">
        <v>3.3489</v>
      </c>
      <c r="EQ70" s="6">
        <v>34.8432</v>
      </c>
      <c r="ER70" s="6">
        <v>56.1078</v>
      </c>
      <c r="ES70" s="6">
        <v>118.8768</v>
      </c>
      <c r="ET70" s="6">
        <v>676.0</v>
      </c>
      <c r="EU70" s="6">
        <v>1144.0</v>
      </c>
      <c r="EV70" s="6">
        <v>2392.0</v>
      </c>
      <c r="EW70" s="6">
        <v>2444.0</v>
      </c>
      <c r="EX70" s="6">
        <v>1.0</v>
      </c>
      <c r="EY70" s="6">
        <v>6.0</v>
      </c>
      <c r="EZ70" s="6">
        <v>12.0</v>
      </c>
      <c r="FA70" s="6">
        <v>26.0</v>
      </c>
      <c r="FB70" s="6">
        <v>36.0</v>
      </c>
      <c r="FC70" s="6">
        <v>108.0</v>
      </c>
      <c r="FD70" s="6">
        <v>264.0</v>
      </c>
      <c r="FE70" s="6">
        <v>276.0</v>
      </c>
      <c r="FF70" s="6">
        <v>1.5625</v>
      </c>
      <c r="FG70" s="6">
        <v>5.575</v>
      </c>
      <c r="FH70" s="6">
        <v>12.175</v>
      </c>
      <c r="FI70" s="6">
        <v>17.825</v>
      </c>
      <c r="FJ70" s="6">
        <v>0.0</v>
      </c>
      <c r="FK70" s="6">
        <v>-8.06</v>
      </c>
      <c r="FL70" s="6">
        <v>-8.7</v>
      </c>
      <c r="FM70" s="6">
        <v>-17.38</v>
      </c>
      <c r="FN70" s="6">
        <v>0.0</v>
      </c>
      <c r="FO70" s="6">
        <v>112.0</v>
      </c>
      <c r="FP70" s="6">
        <v>220.0</v>
      </c>
      <c r="FQ70" s="6">
        <v>582.0</v>
      </c>
      <c r="FR70" s="6">
        <v>0.0</v>
      </c>
      <c r="FS70" s="6">
        <v>0.0</v>
      </c>
      <c r="FT70" s="6">
        <v>0.0</v>
      </c>
      <c r="FU70" s="6">
        <v>0.0</v>
      </c>
      <c r="FV70" s="6">
        <v>0.0</v>
      </c>
      <c r="FW70" s="6">
        <v>18.0</v>
      </c>
      <c r="FX70" s="6">
        <v>28.0</v>
      </c>
      <c r="FY70" s="6">
        <v>110.0</v>
      </c>
      <c r="FZ70" s="6">
        <v>0.0</v>
      </c>
      <c r="GA70" s="6">
        <v>3.04</v>
      </c>
      <c r="GB70" s="6">
        <v>5.26</v>
      </c>
      <c r="GC70" s="6">
        <v>18.24</v>
      </c>
      <c r="GD70" s="6">
        <v>-11.87643553</v>
      </c>
      <c r="GE70" s="1" t="s">
        <v>1353</v>
      </c>
      <c r="GF70" s="1" t="s">
        <v>1421</v>
      </c>
    </row>
    <row r="71">
      <c r="A71" s="1" t="s">
        <v>181</v>
      </c>
      <c r="B71" s="6">
        <v>4.0</v>
      </c>
      <c r="C71" s="6">
        <v>0.0</v>
      </c>
      <c r="D71" s="6">
        <v>2.0</v>
      </c>
      <c r="E71" s="6">
        <v>0.0</v>
      </c>
      <c r="F71" s="6">
        <v>523.2332</v>
      </c>
      <c r="G71" s="6">
        <v>1054.307</v>
      </c>
      <c r="H71" s="6">
        <v>2158.099</v>
      </c>
      <c r="I71" s="6">
        <v>2890.095</v>
      </c>
      <c r="J71" s="6">
        <v>3314.0</v>
      </c>
      <c r="K71" s="6">
        <v>7676.0</v>
      </c>
      <c r="L71" s="6">
        <v>14008.0</v>
      </c>
      <c r="M71" s="6">
        <v>17060.0</v>
      </c>
      <c r="N71" s="6">
        <v>71.0</v>
      </c>
      <c r="O71" s="6">
        <v>154.0</v>
      </c>
      <c r="P71" s="6">
        <v>288.0</v>
      </c>
      <c r="Q71" s="6">
        <v>404.0</v>
      </c>
      <c r="R71" s="6">
        <v>442.0</v>
      </c>
      <c r="S71" s="6">
        <v>1188.0</v>
      </c>
      <c r="T71" s="6">
        <v>1990.0</v>
      </c>
      <c r="U71" s="6">
        <v>2680.0</v>
      </c>
      <c r="V71" s="6">
        <v>31.9421</v>
      </c>
      <c r="W71" s="6">
        <v>82.1934</v>
      </c>
      <c r="X71" s="6">
        <v>144.4228</v>
      </c>
      <c r="Y71" s="6">
        <v>195.8076</v>
      </c>
      <c r="Z71" s="6">
        <v>327.5225</v>
      </c>
      <c r="AA71" s="6">
        <v>730.014</v>
      </c>
      <c r="AB71" s="6">
        <v>1192.756</v>
      </c>
      <c r="AC71" s="6">
        <v>1451.519</v>
      </c>
      <c r="AD71" s="6">
        <v>1184.0</v>
      </c>
      <c r="AE71" s="6">
        <v>2820.0</v>
      </c>
      <c r="AF71" s="6">
        <v>3880.0</v>
      </c>
      <c r="AG71" s="6">
        <v>4078.0</v>
      </c>
      <c r="AH71" s="6">
        <v>54.0</v>
      </c>
      <c r="AI71" s="6">
        <v>114.0</v>
      </c>
      <c r="AJ71" s="6">
        <v>188.0</v>
      </c>
      <c r="AK71" s="6">
        <v>234.0</v>
      </c>
      <c r="AL71" s="6">
        <v>302.0</v>
      </c>
      <c r="AM71" s="6">
        <v>748.0</v>
      </c>
      <c r="AN71" s="6">
        <v>1052.0</v>
      </c>
      <c r="AO71" s="6">
        <v>1192.0</v>
      </c>
      <c r="AP71" s="6">
        <v>20.891</v>
      </c>
      <c r="AQ71" s="6">
        <v>52.4062</v>
      </c>
      <c r="AR71" s="6">
        <v>77.5424</v>
      </c>
      <c r="AS71" s="6">
        <v>88.7898</v>
      </c>
      <c r="AT71" s="6">
        <v>173.2948</v>
      </c>
      <c r="AU71" s="6">
        <v>328.2068</v>
      </c>
      <c r="AV71" s="6">
        <v>584.4429</v>
      </c>
      <c r="AW71" s="6">
        <v>648.1339</v>
      </c>
      <c r="AX71" s="6">
        <v>879.3333</v>
      </c>
      <c r="AY71" s="6">
        <v>1796.0</v>
      </c>
      <c r="AZ71" s="6">
        <v>2641.333</v>
      </c>
      <c r="BA71" s="6">
        <v>2223.333</v>
      </c>
      <c r="BB71" s="6">
        <v>23.33333</v>
      </c>
      <c r="BC71" s="6">
        <v>47.33333</v>
      </c>
      <c r="BD71" s="6">
        <v>78.66667</v>
      </c>
      <c r="BE71" s="6">
        <v>90.0</v>
      </c>
      <c r="BF71" s="6">
        <v>126.0</v>
      </c>
      <c r="BG71" s="6">
        <v>302.6667</v>
      </c>
      <c r="BH71" s="6">
        <v>390.6667</v>
      </c>
      <c r="BI71" s="6">
        <v>409.3333</v>
      </c>
      <c r="BJ71" s="6">
        <v>10.12653</v>
      </c>
      <c r="BK71" s="6">
        <v>23.68113</v>
      </c>
      <c r="BL71" s="6">
        <v>35.14067</v>
      </c>
      <c r="BM71" s="6">
        <v>35.8162</v>
      </c>
      <c r="BN71" s="6">
        <v>9.2416</v>
      </c>
      <c r="BO71" s="6">
        <v>15.504</v>
      </c>
      <c r="BP71" s="6">
        <v>30.476</v>
      </c>
      <c r="BQ71" s="6">
        <v>51.4976</v>
      </c>
      <c r="BR71" s="6">
        <v>49.0</v>
      </c>
      <c r="BS71" s="6">
        <v>84.0</v>
      </c>
      <c r="BT71" s="6">
        <v>150.5</v>
      </c>
      <c r="BU71" s="6">
        <v>161.0</v>
      </c>
      <c r="BV71" s="6">
        <v>1.0</v>
      </c>
      <c r="BW71" s="6">
        <v>2.0</v>
      </c>
      <c r="BX71" s="6">
        <v>4.0</v>
      </c>
      <c r="BY71" s="6">
        <v>7.0</v>
      </c>
      <c r="BZ71" s="6">
        <v>4.0</v>
      </c>
      <c r="CA71" s="6">
        <v>12.0</v>
      </c>
      <c r="CB71" s="6">
        <v>24.0</v>
      </c>
      <c r="CC71" s="6">
        <v>26.0</v>
      </c>
      <c r="CD71" s="6">
        <v>0.5625</v>
      </c>
      <c r="CE71" s="6">
        <v>1.155</v>
      </c>
      <c r="CF71" s="6">
        <v>2.16</v>
      </c>
      <c r="CG71" s="6">
        <v>2.8275</v>
      </c>
      <c r="CH71" s="6">
        <v>10.9696</v>
      </c>
      <c r="CI71" s="6">
        <v>12.3768</v>
      </c>
      <c r="CJ71" s="6">
        <v>37.1808</v>
      </c>
      <c r="CK71" s="6">
        <v>43.17013</v>
      </c>
      <c r="CL71" s="6">
        <v>59.0</v>
      </c>
      <c r="CM71" s="6">
        <v>120.3333</v>
      </c>
      <c r="CN71" s="6">
        <v>167.5</v>
      </c>
      <c r="CO71" s="6">
        <v>209.3333</v>
      </c>
      <c r="CP71" s="6">
        <v>1.0</v>
      </c>
      <c r="CQ71" s="6">
        <v>1.5</v>
      </c>
      <c r="CR71" s="6">
        <v>4.166667</v>
      </c>
      <c r="CS71" s="6">
        <v>4.0</v>
      </c>
      <c r="CT71" s="6">
        <v>2.833333</v>
      </c>
      <c r="CU71" s="6">
        <v>10.66667</v>
      </c>
      <c r="CV71" s="6">
        <v>15.16667</v>
      </c>
      <c r="CW71" s="6">
        <v>12.83333</v>
      </c>
      <c r="CX71" s="6">
        <v>0.542767</v>
      </c>
      <c r="CY71" s="6">
        <v>0.97765</v>
      </c>
      <c r="CZ71" s="6">
        <v>1.986517</v>
      </c>
      <c r="DA71" s="6">
        <v>1.9816</v>
      </c>
      <c r="DB71" s="6">
        <v>0.0</v>
      </c>
      <c r="DC71" s="6">
        <v>0.98</v>
      </c>
      <c r="DD71" s="6">
        <v>2.135</v>
      </c>
      <c r="DE71" s="6">
        <v>4.34</v>
      </c>
      <c r="DF71" s="6">
        <v>0.0</v>
      </c>
      <c r="DG71" s="6">
        <v>2.0</v>
      </c>
      <c r="DH71" s="6">
        <v>6.5</v>
      </c>
      <c r="DI71" s="6">
        <v>26.0</v>
      </c>
      <c r="DJ71" s="6">
        <v>0.0</v>
      </c>
      <c r="DK71" s="6">
        <v>0.0</v>
      </c>
      <c r="DL71" s="6">
        <v>0.0</v>
      </c>
      <c r="DM71" s="6">
        <v>0.0</v>
      </c>
      <c r="DN71" s="6">
        <v>0.0</v>
      </c>
      <c r="DO71" s="6">
        <v>-2.0</v>
      </c>
      <c r="DP71" s="6">
        <v>-4.0</v>
      </c>
      <c r="DQ71" s="6">
        <v>1.0</v>
      </c>
      <c r="DR71" s="6">
        <v>0.0</v>
      </c>
      <c r="DS71" s="6">
        <v>-0.04</v>
      </c>
      <c r="DT71" s="6">
        <v>0.12</v>
      </c>
      <c r="DU71" s="6">
        <v>1.48</v>
      </c>
      <c r="DV71" s="6">
        <v>0.0</v>
      </c>
      <c r="DW71" s="6">
        <v>0.981667</v>
      </c>
      <c r="DX71" s="6">
        <v>2.063333</v>
      </c>
      <c r="DY71" s="6">
        <v>-0.19333</v>
      </c>
      <c r="DZ71" s="6">
        <v>0.0</v>
      </c>
      <c r="EA71" s="6">
        <v>-4.5</v>
      </c>
      <c r="EB71" s="6">
        <v>9.333333</v>
      </c>
      <c r="EC71" s="6">
        <v>2.666667</v>
      </c>
      <c r="ED71" s="6">
        <v>0.0</v>
      </c>
      <c r="EE71" s="6">
        <v>0.0</v>
      </c>
      <c r="EF71" s="6">
        <v>0.0</v>
      </c>
      <c r="EG71" s="6">
        <v>0.0</v>
      </c>
      <c r="EH71" s="6">
        <v>0.0</v>
      </c>
      <c r="EI71" s="6">
        <v>-2.83333</v>
      </c>
      <c r="EJ71" s="6">
        <v>-0.5</v>
      </c>
      <c r="EK71" s="6">
        <v>0.833333</v>
      </c>
      <c r="EL71" s="6">
        <v>0.0</v>
      </c>
      <c r="EM71" s="6">
        <v>-0.21</v>
      </c>
      <c r="EN71" s="6">
        <v>0.396667</v>
      </c>
      <c r="EO71" s="6">
        <v>0.28</v>
      </c>
      <c r="EP71" s="6">
        <v>3.3489</v>
      </c>
      <c r="EQ71" s="6">
        <v>34.8432</v>
      </c>
      <c r="ER71" s="6">
        <v>51.4413</v>
      </c>
      <c r="ES71" s="6">
        <v>99.3873</v>
      </c>
      <c r="ET71" s="6">
        <v>676.0</v>
      </c>
      <c r="EU71" s="6">
        <v>1144.0</v>
      </c>
      <c r="EV71" s="6">
        <v>2236.0</v>
      </c>
      <c r="EW71" s="6">
        <v>2444.0</v>
      </c>
      <c r="EX71" s="6">
        <v>1.0</v>
      </c>
      <c r="EY71" s="6">
        <v>6.0</v>
      </c>
      <c r="EZ71" s="6">
        <v>11.0</v>
      </c>
      <c r="FA71" s="6">
        <v>21.0</v>
      </c>
      <c r="FB71" s="6">
        <v>36.0</v>
      </c>
      <c r="FC71" s="6">
        <v>102.0</v>
      </c>
      <c r="FD71" s="6">
        <v>228.0</v>
      </c>
      <c r="FE71" s="6">
        <v>246.0</v>
      </c>
      <c r="FF71" s="6">
        <v>1.5625</v>
      </c>
      <c r="FG71" s="6">
        <v>5.575</v>
      </c>
      <c r="FH71" s="6">
        <v>11.2125</v>
      </c>
      <c r="FI71" s="6">
        <v>16.0125</v>
      </c>
      <c r="FJ71" s="6">
        <v>0.0</v>
      </c>
      <c r="FK71" s="6">
        <v>-8.06</v>
      </c>
      <c r="FL71" s="6">
        <v>-7.98</v>
      </c>
      <c r="FM71" s="6">
        <v>-15.88</v>
      </c>
      <c r="FN71" s="6">
        <v>0.0</v>
      </c>
      <c r="FO71" s="6">
        <v>112.0</v>
      </c>
      <c r="FP71" s="6">
        <v>200.0</v>
      </c>
      <c r="FQ71" s="6">
        <v>452.0</v>
      </c>
      <c r="FR71" s="6">
        <v>0.0</v>
      </c>
      <c r="FS71" s="6">
        <v>0.0</v>
      </c>
      <c r="FT71" s="6">
        <v>0.0</v>
      </c>
      <c r="FU71" s="6">
        <v>0.0</v>
      </c>
      <c r="FV71" s="6">
        <v>0.0</v>
      </c>
      <c r="FW71" s="6">
        <v>19.0</v>
      </c>
      <c r="FX71" s="6">
        <v>28.0</v>
      </c>
      <c r="FY71" s="6">
        <v>85.0</v>
      </c>
      <c r="FZ71" s="6">
        <v>0.0</v>
      </c>
      <c r="GA71" s="6">
        <v>3.04</v>
      </c>
      <c r="GB71" s="6">
        <v>4.78</v>
      </c>
      <c r="GC71" s="6">
        <v>13.44</v>
      </c>
      <c r="GD71" s="6">
        <v>-12.86036023</v>
      </c>
      <c r="GE71" s="1" t="s">
        <v>1353</v>
      </c>
      <c r="GF71" s="1" t="s">
        <v>1422</v>
      </c>
    </row>
    <row r="72">
      <c r="A72" s="1" t="s">
        <v>184</v>
      </c>
      <c r="B72" s="6">
        <v>4.0</v>
      </c>
      <c r="C72" s="6">
        <v>0.0</v>
      </c>
      <c r="D72" s="6">
        <v>2.0</v>
      </c>
      <c r="E72" s="6">
        <v>0.0</v>
      </c>
      <c r="F72" s="6">
        <v>530.6121</v>
      </c>
      <c r="G72" s="6">
        <v>1072.463</v>
      </c>
      <c r="H72" s="6">
        <v>2309.844</v>
      </c>
      <c r="I72" s="6">
        <v>3303.654</v>
      </c>
      <c r="J72" s="6">
        <v>3150.0</v>
      </c>
      <c r="K72" s="6">
        <v>7376.0</v>
      </c>
      <c r="L72" s="6">
        <v>14052.0</v>
      </c>
      <c r="M72" s="6">
        <v>17970.0</v>
      </c>
      <c r="N72" s="6">
        <v>75.0</v>
      </c>
      <c r="O72" s="6">
        <v>160.0</v>
      </c>
      <c r="P72" s="6">
        <v>322.0</v>
      </c>
      <c r="Q72" s="6">
        <v>480.0</v>
      </c>
      <c r="R72" s="6">
        <v>482.0</v>
      </c>
      <c r="S72" s="6">
        <v>1332.0</v>
      </c>
      <c r="T72" s="6">
        <v>2330.0</v>
      </c>
      <c r="U72" s="6">
        <v>3390.0</v>
      </c>
      <c r="V72" s="6">
        <v>30.7257</v>
      </c>
      <c r="W72" s="6">
        <v>80.9152</v>
      </c>
      <c r="X72" s="6">
        <v>148.9546</v>
      </c>
      <c r="Y72" s="6">
        <v>217.4444</v>
      </c>
      <c r="Z72" s="6">
        <v>334.9014</v>
      </c>
      <c r="AA72" s="6">
        <v>748.17</v>
      </c>
      <c r="AB72" s="6">
        <v>1335.168</v>
      </c>
      <c r="AC72" s="6">
        <v>1741.937</v>
      </c>
      <c r="AD72" s="6">
        <v>1020.0</v>
      </c>
      <c r="AE72" s="6">
        <v>2520.0</v>
      </c>
      <c r="AF72" s="6">
        <v>3612.0</v>
      </c>
      <c r="AG72" s="6">
        <v>4024.0</v>
      </c>
      <c r="AH72" s="6">
        <v>58.0</v>
      </c>
      <c r="AI72" s="6">
        <v>120.0</v>
      </c>
      <c r="AJ72" s="6">
        <v>220.0</v>
      </c>
      <c r="AK72" s="6">
        <v>290.0</v>
      </c>
      <c r="AL72" s="6">
        <v>340.0</v>
      </c>
      <c r="AM72" s="6">
        <v>868.0</v>
      </c>
      <c r="AN72" s="6">
        <v>1268.0</v>
      </c>
      <c r="AO72" s="6">
        <v>1536.0</v>
      </c>
      <c r="AP72" s="6">
        <v>19.6746</v>
      </c>
      <c r="AQ72" s="6">
        <v>51.128</v>
      </c>
      <c r="AR72" s="6">
        <v>80.1492</v>
      </c>
      <c r="AS72" s="6">
        <v>99.0882</v>
      </c>
      <c r="AT72" s="6">
        <v>175.7544</v>
      </c>
      <c r="AU72" s="6">
        <v>334.2588</v>
      </c>
      <c r="AV72" s="6">
        <v>631.9136</v>
      </c>
      <c r="AW72" s="6">
        <v>744.9399</v>
      </c>
      <c r="AX72" s="6">
        <v>824.6667</v>
      </c>
      <c r="AY72" s="6">
        <v>1696.0</v>
      </c>
      <c r="AZ72" s="6">
        <v>2552.0</v>
      </c>
      <c r="BA72" s="6">
        <v>2205.333</v>
      </c>
      <c r="BB72" s="6">
        <v>24.66667</v>
      </c>
      <c r="BC72" s="6">
        <v>49.33333</v>
      </c>
      <c r="BD72" s="6">
        <v>89.33333</v>
      </c>
      <c r="BE72" s="6">
        <v>108.6667</v>
      </c>
      <c r="BF72" s="6">
        <v>138.6667</v>
      </c>
      <c r="BG72" s="6">
        <v>342.6667</v>
      </c>
      <c r="BH72" s="6">
        <v>462.6667</v>
      </c>
      <c r="BI72" s="6">
        <v>524.0</v>
      </c>
      <c r="BJ72" s="6">
        <v>9.721067</v>
      </c>
      <c r="BK72" s="6">
        <v>23.25507</v>
      </c>
      <c r="BL72" s="6">
        <v>36.0096</v>
      </c>
      <c r="BM72" s="6">
        <v>39.249</v>
      </c>
      <c r="BN72" s="6">
        <v>9.2416</v>
      </c>
      <c r="BO72" s="6">
        <v>19.38</v>
      </c>
      <c r="BP72" s="6">
        <v>47.196</v>
      </c>
      <c r="BQ72" s="6">
        <v>62.8064</v>
      </c>
      <c r="BR72" s="6">
        <v>49.0</v>
      </c>
      <c r="BS72" s="6">
        <v>105.0</v>
      </c>
      <c r="BT72" s="6">
        <v>168.0</v>
      </c>
      <c r="BU72" s="6">
        <v>192.5</v>
      </c>
      <c r="BV72" s="6">
        <v>1.0</v>
      </c>
      <c r="BW72" s="6">
        <v>2.5</v>
      </c>
      <c r="BX72" s="6">
        <v>6.5</v>
      </c>
      <c r="BY72" s="6">
        <v>8.5</v>
      </c>
      <c r="BZ72" s="6">
        <v>6.5</v>
      </c>
      <c r="CA72" s="6">
        <v>24.0</v>
      </c>
      <c r="CB72" s="6">
        <v>39.5</v>
      </c>
      <c r="CC72" s="6">
        <v>41.5</v>
      </c>
      <c r="CD72" s="6">
        <v>0.5625</v>
      </c>
      <c r="CE72" s="6">
        <v>1.44375</v>
      </c>
      <c r="CF72" s="6">
        <v>2.85375</v>
      </c>
      <c r="CG72" s="6">
        <v>3.38625</v>
      </c>
      <c r="CH72" s="6">
        <v>10.9696</v>
      </c>
      <c r="CI72" s="6">
        <v>12.3768</v>
      </c>
      <c r="CJ72" s="6">
        <v>37.35813</v>
      </c>
      <c r="CK72" s="6">
        <v>48.31787</v>
      </c>
      <c r="CL72" s="6">
        <v>59.0</v>
      </c>
      <c r="CM72" s="6">
        <v>120.3333</v>
      </c>
      <c r="CN72" s="6">
        <v>173.3333</v>
      </c>
      <c r="CO72" s="6">
        <v>208.1667</v>
      </c>
      <c r="CP72" s="6">
        <v>1.0</v>
      </c>
      <c r="CQ72" s="6">
        <v>1.5</v>
      </c>
      <c r="CR72" s="6">
        <v>4.166667</v>
      </c>
      <c r="CS72" s="6">
        <v>4.833333</v>
      </c>
      <c r="CT72" s="6">
        <v>2.833333</v>
      </c>
      <c r="CU72" s="6">
        <v>10.66667</v>
      </c>
      <c r="CV72" s="6">
        <v>17.16667</v>
      </c>
      <c r="CW72" s="6">
        <v>15.83333</v>
      </c>
      <c r="CX72" s="6">
        <v>0.542767</v>
      </c>
      <c r="CY72" s="6">
        <v>0.97765</v>
      </c>
      <c r="CZ72" s="6">
        <v>2.036517</v>
      </c>
      <c r="DA72" s="6">
        <v>2.16535</v>
      </c>
      <c r="DB72" s="6">
        <v>0.0</v>
      </c>
      <c r="DC72" s="6">
        <v>1.225</v>
      </c>
      <c r="DD72" s="6">
        <v>4.235</v>
      </c>
      <c r="DE72" s="6">
        <v>5.18</v>
      </c>
      <c r="DF72" s="6">
        <v>0.0</v>
      </c>
      <c r="DG72" s="6">
        <v>2.5</v>
      </c>
      <c r="DH72" s="6">
        <v>21.5</v>
      </c>
      <c r="DI72" s="6">
        <v>32.0</v>
      </c>
      <c r="DJ72" s="6">
        <v>0.0</v>
      </c>
      <c r="DK72" s="6">
        <v>0.0</v>
      </c>
      <c r="DL72" s="6">
        <v>0.0</v>
      </c>
      <c r="DM72" s="6">
        <v>0.0</v>
      </c>
      <c r="DN72" s="6">
        <v>0.0</v>
      </c>
      <c r="DO72" s="6">
        <v>-2.5</v>
      </c>
      <c r="DP72" s="6">
        <v>2.0</v>
      </c>
      <c r="DQ72" s="6">
        <v>5.0</v>
      </c>
      <c r="DR72" s="6">
        <v>0.0</v>
      </c>
      <c r="DS72" s="6">
        <v>-0.05</v>
      </c>
      <c r="DT72" s="6">
        <v>1.07</v>
      </c>
      <c r="DU72" s="6">
        <v>1.86</v>
      </c>
      <c r="DV72" s="6">
        <v>0.0</v>
      </c>
      <c r="DW72" s="6">
        <v>0.981667</v>
      </c>
      <c r="DX72" s="6">
        <v>2.005</v>
      </c>
      <c r="DY72" s="6">
        <v>0.646667</v>
      </c>
      <c r="DZ72" s="6">
        <v>0.0</v>
      </c>
      <c r="EA72" s="6">
        <v>-4.5</v>
      </c>
      <c r="EB72" s="6">
        <v>8.5</v>
      </c>
      <c r="EC72" s="6">
        <v>8.666667</v>
      </c>
      <c r="ED72" s="6">
        <v>0.0</v>
      </c>
      <c r="EE72" s="6">
        <v>0.0</v>
      </c>
      <c r="EF72" s="6">
        <v>0.0</v>
      </c>
      <c r="EG72" s="6">
        <v>0.0</v>
      </c>
      <c r="EH72" s="6">
        <v>0.0</v>
      </c>
      <c r="EI72" s="6">
        <v>-2.83333</v>
      </c>
      <c r="EJ72" s="6">
        <v>-1.33333</v>
      </c>
      <c r="EK72" s="6">
        <v>1.666667</v>
      </c>
      <c r="EL72" s="6">
        <v>0.0</v>
      </c>
      <c r="EM72" s="6">
        <v>-0.21</v>
      </c>
      <c r="EN72" s="6">
        <v>0.33</v>
      </c>
      <c r="EO72" s="6">
        <v>0.66</v>
      </c>
      <c r="EP72" s="6">
        <v>3.3489</v>
      </c>
      <c r="EQ72" s="6">
        <v>34.8432</v>
      </c>
      <c r="ER72" s="6">
        <v>56.1078</v>
      </c>
      <c r="ES72" s="6">
        <v>120.1578</v>
      </c>
      <c r="ET72" s="6">
        <v>676.0</v>
      </c>
      <c r="EU72" s="6">
        <v>1144.0</v>
      </c>
      <c r="EV72" s="6">
        <v>2392.0</v>
      </c>
      <c r="EW72" s="6">
        <v>2704.0</v>
      </c>
      <c r="EX72" s="6">
        <v>1.0</v>
      </c>
      <c r="EY72" s="6">
        <v>6.0</v>
      </c>
      <c r="EZ72" s="6">
        <v>12.0</v>
      </c>
      <c r="FA72" s="6">
        <v>26.0</v>
      </c>
      <c r="FB72" s="6">
        <v>36.0</v>
      </c>
      <c r="FC72" s="6">
        <v>108.0</v>
      </c>
      <c r="FD72" s="6">
        <v>264.0</v>
      </c>
      <c r="FE72" s="6">
        <v>312.0</v>
      </c>
      <c r="FF72" s="6">
        <v>1.5625</v>
      </c>
      <c r="FG72" s="6">
        <v>5.575</v>
      </c>
      <c r="FH72" s="6">
        <v>12.175</v>
      </c>
      <c r="FI72" s="6">
        <v>18.825</v>
      </c>
      <c r="FJ72" s="6">
        <v>0.0</v>
      </c>
      <c r="FK72" s="6">
        <v>-8.06</v>
      </c>
      <c r="FL72" s="6">
        <v>-8.7</v>
      </c>
      <c r="FM72" s="6">
        <v>-18.08</v>
      </c>
      <c r="FN72" s="6">
        <v>0.0</v>
      </c>
      <c r="FO72" s="6">
        <v>112.0</v>
      </c>
      <c r="FP72" s="6">
        <v>220.0</v>
      </c>
      <c r="FQ72" s="6">
        <v>572.0</v>
      </c>
      <c r="FR72" s="6">
        <v>0.0</v>
      </c>
      <c r="FS72" s="6">
        <v>0.0</v>
      </c>
      <c r="FT72" s="6">
        <v>0.0</v>
      </c>
      <c r="FU72" s="6">
        <v>0.0</v>
      </c>
      <c r="FV72" s="6">
        <v>0.0</v>
      </c>
      <c r="FW72" s="6">
        <v>18.0</v>
      </c>
      <c r="FX72" s="6">
        <v>28.0</v>
      </c>
      <c r="FY72" s="6">
        <v>104.0</v>
      </c>
      <c r="FZ72" s="6">
        <v>0.0</v>
      </c>
      <c r="GA72" s="6">
        <v>3.04</v>
      </c>
      <c r="GB72" s="6">
        <v>5.26</v>
      </c>
      <c r="GC72" s="6">
        <v>17.44</v>
      </c>
      <c r="GD72" s="6">
        <v>-18.22362837</v>
      </c>
      <c r="GE72" s="1" t="s">
        <v>1351</v>
      </c>
      <c r="GF72" s="1" t="s">
        <v>1423</v>
      </c>
    </row>
    <row r="73">
      <c r="A73" s="1" t="s">
        <v>186</v>
      </c>
      <c r="B73" s="6">
        <v>4.0</v>
      </c>
      <c r="C73" s="6">
        <v>0.0</v>
      </c>
      <c r="D73" s="6">
        <v>2.0</v>
      </c>
      <c r="E73" s="6">
        <v>0.0</v>
      </c>
      <c r="F73" s="6">
        <v>686.0821</v>
      </c>
      <c r="G73" s="6">
        <v>1460.063</v>
      </c>
      <c r="H73" s="6">
        <v>3106.698</v>
      </c>
      <c r="I73" s="6">
        <v>4519.392</v>
      </c>
      <c r="J73" s="6">
        <v>3598.0</v>
      </c>
      <c r="K73" s="6">
        <v>8720.0</v>
      </c>
      <c r="L73" s="6">
        <v>16428.0</v>
      </c>
      <c r="M73" s="6">
        <v>20450.0</v>
      </c>
      <c r="N73" s="6">
        <v>103.0</v>
      </c>
      <c r="O73" s="6">
        <v>224.0</v>
      </c>
      <c r="P73" s="6">
        <v>458.0</v>
      </c>
      <c r="Q73" s="6">
        <v>692.0</v>
      </c>
      <c r="R73" s="6">
        <v>690.0</v>
      </c>
      <c r="S73" s="6">
        <v>1960.0</v>
      </c>
      <c r="T73" s="6">
        <v>3414.0</v>
      </c>
      <c r="U73" s="6">
        <v>4674.0</v>
      </c>
      <c r="V73" s="6">
        <v>40.0309</v>
      </c>
      <c r="W73" s="6">
        <v>109.0048</v>
      </c>
      <c r="X73" s="6">
        <v>202.021</v>
      </c>
      <c r="Y73" s="6">
        <v>292.012</v>
      </c>
      <c r="Z73" s="6">
        <v>490.3714</v>
      </c>
      <c r="AA73" s="6">
        <v>1135.77</v>
      </c>
      <c r="AB73" s="6">
        <v>2132.022</v>
      </c>
      <c r="AC73" s="6">
        <v>2960.237</v>
      </c>
      <c r="AD73" s="6">
        <v>1468.0</v>
      </c>
      <c r="AE73" s="6">
        <v>3864.0</v>
      </c>
      <c r="AF73" s="6">
        <v>5988.0</v>
      </c>
      <c r="AG73" s="6">
        <v>7024.0</v>
      </c>
      <c r="AH73" s="6">
        <v>86.0</v>
      </c>
      <c r="AI73" s="6">
        <v>184.0</v>
      </c>
      <c r="AJ73" s="6">
        <v>356.0</v>
      </c>
      <c r="AK73" s="6">
        <v>502.0</v>
      </c>
      <c r="AL73" s="6">
        <v>548.0</v>
      </c>
      <c r="AM73" s="6">
        <v>1496.0</v>
      </c>
      <c r="AN73" s="6">
        <v>2364.0</v>
      </c>
      <c r="AO73" s="6">
        <v>2892.0</v>
      </c>
      <c r="AP73" s="6">
        <v>28.9798</v>
      </c>
      <c r="AQ73" s="6">
        <v>79.2176</v>
      </c>
      <c r="AR73" s="6">
        <v>133.2156</v>
      </c>
      <c r="AS73" s="6">
        <v>175.6558</v>
      </c>
      <c r="AT73" s="6">
        <v>227.5777</v>
      </c>
      <c r="AU73" s="6">
        <v>463.4588</v>
      </c>
      <c r="AV73" s="6">
        <v>897.5316</v>
      </c>
      <c r="AW73" s="6">
        <v>1151.04</v>
      </c>
      <c r="AX73" s="6">
        <v>974.0</v>
      </c>
      <c r="AY73" s="6">
        <v>2144.0</v>
      </c>
      <c r="AZ73" s="6">
        <v>3344.0</v>
      </c>
      <c r="BA73" s="6">
        <v>3205.333</v>
      </c>
      <c r="BB73" s="6">
        <v>34.0</v>
      </c>
      <c r="BC73" s="6">
        <v>70.66667</v>
      </c>
      <c r="BD73" s="6">
        <v>134.6667</v>
      </c>
      <c r="BE73" s="6">
        <v>179.3333</v>
      </c>
      <c r="BF73" s="6">
        <v>208.0</v>
      </c>
      <c r="BG73" s="6">
        <v>552.0</v>
      </c>
      <c r="BH73" s="6">
        <v>828.0</v>
      </c>
      <c r="BI73" s="6">
        <v>976.0</v>
      </c>
      <c r="BJ73" s="6">
        <v>12.8228</v>
      </c>
      <c r="BK73" s="6">
        <v>32.61827</v>
      </c>
      <c r="BL73" s="6">
        <v>53.6984</v>
      </c>
      <c r="BM73" s="6">
        <v>64.77153</v>
      </c>
      <c r="BN73" s="6">
        <v>9.2416</v>
      </c>
      <c r="BO73" s="6">
        <v>15.504</v>
      </c>
      <c r="BP73" s="6">
        <v>29.944</v>
      </c>
      <c r="BQ73" s="6">
        <v>44.8096</v>
      </c>
      <c r="BR73" s="6">
        <v>49.0</v>
      </c>
      <c r="BS73" s="6">
        <v>84.0</v>
      </c>
      <c r="BT73" s="6">
        <v>133.0</v>
      </c>
      <c r="BU73" s="6">
        <v>154.0</v>
      </c>
      <c r="BV73" s="6">
        <v>1.0</v>
      </c>
      <c r="BW73" s="6">
        <v>2.0</v>
      </c>
      <c r="BX73" s="6">
        <v>4.0</v>
      </c>
      <c r="BY73" s="6">
        <v>6.0</v>
      </c>
      <c r="BZ73" s="6">
        <v>4.0</v>
      </c>
      <c r="CA73" s="6">
        <v>12.0</v>
      </c>
      <c r="CB73" s="6">
        <v>22.0</v>
      </c>
      <c r="CC73" s="6">
        <v>26.0</v>
      </c>
      <c r="CD73" s="6">
        <v>0.5625</v>
      </c>
      <c r="CE73" s="6">
        <v>1.155</v>
      </c>
      <c r="CF73" s="6">
        <v>2.01</v>
      </c>
      <c r="CG73" s="6">
        <v>2.55</v>
      </c>
      <c r="CH73" s="6">
        <v>10.9696</v>
      </c>
      <c r="CI73" s="6">
        <v>13.6688</v>
      </c>
      <c r="CJ73" s="6">
        <v>42.75413</v>
      </c>
      <c r="CK73" s="6">
        <v>47.98347</v>
      </c>
      <c r="CL73" s="6">
        <v>59.0</v>
      </c>
      <c r="CM73" s="6">
        <v>127.3333</v>
      </c>
      <c r="CN73" s="6">
        <v>173.3333</v>
      </c>
      <c r="CO73" s="6">
        <v>225.6667</v>
      </c>
      <c r="CP73" s="6">
        <v>1.0</v>
      </c>
      <c r="CQ73" s="6">
        <v>1.666667</v>
      </c>
      <c r="CR73" s="6">
        <v>5.0</v>
      </c>
      <c r="CS73" s="6">
        <v>4.666667</v>
      </c>
      <c r="CT73" s="6">
        <v>3.666667</v>
      </c>
      <c r="CU73" s="6">
        <v>14.66667</v>
      </c>
      <c r="CV73" s="6">
        <v>21.0</v>
      </c>
      <c r="CW73" s="6">
        <v>21.0</v>
      </c>
      <c r="CX73" s="6">
        <v>0.542767</v>
      </c>
      <c r="CY73" s="6">
        <v>1.0739</v>
      </c>
      <c r="CZ73" s="6">
        <v>2.217767</v>
      </c>
      <c r="DA73" s="6">
        <v>2.2666</v>
      </c>
      <c r="DB73" s="6">
        <v>0.0</v>
      </c>
      <c r="DC73" s="6">
        <v>0.98</v>
      </c>
      <c r="DD73" s="6">
        <v>2.31</v>
      </c>
      <c r="DE73" s="6">
        <v>3.5</v>
      </c>
      <c r="DF73" s="6">
        <v>0.0</v>
      </c>
      <c r="DG73" s="6">
        <v>2.0</v>
      </c>
      <c r="DH73" s="6">
        <v>9.0</v>
      </c>
      <c r="DI73" s="6">
        <v>20.0</v>
      </c>
      <c r="DJ73" s="6">
        <v>0.0</v>
      </c>
      <c r="DK73" s="6">
        <v>0.0</v>
      </c>
      <c r="DL73" s="6">
        <v>0.0</v>
      </c>
      <c r="DM73" s="6">
        <v>0.0</v>
      </c>
      <c r="DN73" s="6">
        <v>0.0</v>
      </c>
      <c r="DO73" s="6">
        <v>-2.0</v>
      </c>
      <c r="DP73" s="6">
        <v>-3.0</v>
      </c>
      <c r="DQ73" s="6">
        <v>-1.0</v>
      </c>
      <c r="DR73" s="6">
        <v>0.0</v>
      </c>
      <c r="DS73" s="6">
        <v>-0.04</v>
      </c>
      <c r="DT73" s="6">
        <v>0.32</v>
      </c>
      <c r="DU73" s="6">
        <v>1.1</v>
      </c>
      <c r="DV73" s="6">
        <v>0.0</v>
      </c>
      <c r="DW73" s="6">
        <v>1.063333</v>
      </c>
      <c r="DX73" s="6">
        <v>2.763333</v>
      </c>
      <c r="DY73" s="6">
        <v>0.25</v>
      </c>
      <c r="DZ73" s="6">
        <v>0.0</v>
      </c>
      <c r="EA73" s="6">
        <v>-4.33333</v>
      </c>
      <c r="EB73" s="6">
        <v>14.33333</v>
      </c>
      <c r="EC73" s="6">
        <v>5.0</v>
      </c>
      <c r="ED73" s="6">
        <v>0.0</v>
      </c>
      <c r="EE73" s="6">
        <v>0.0</v>
      </c>
      <c r="EF73" s="6">
        <v>0.0</v>
      </c>
      <c r="EG73" s="6">
        <v>0.0</v>
      </c>
      <c r="EH73" s="6">
        <v>0.0</v>
      </c>
      <c r="EI73" s="6">
        <v>-3.0</v>
      </c>
      <c r="EJ73" s="6">
        <v>1.333333</v>
      </c>
      <c r="EK73" s="6">
        <v>1.666667</v>
      </c>
      <c r="EL73" s="6">
        <v>0.0</v>
      </c>
      <c r="EM73" s="6">
        <v>-0.21333</v>
      </c>
      <c r="EN73" s="6">
        <v>0.713333</v>
      </c>
      <c r="EO73" s="6">
        <v>0.4</v>
      </c>
      <c r="EP73" s="6">
        <v>3.3489</v>
      </c>
      <c r="EQ73" s="6">
        <v>34.8432</v>
      </c>
      <c r="ER73" s="6">
        <v>56.1078</v>
      </c>
      <c r="ES73" s="6">
        <v>118.8768</v>
      </c>
      <c r="ET73" s="6">
        <v>676.0</v>
      </c>
      <c r="EU73" s="6">
        <v>1144.0</v>
      </c>
      <c r="EV73" s="6">
        <v>2392.0</v>
      </c>
      <c r="EW73" s="6">
        <v>2444.0</v>
      </c>
      <c r="EX73" s="6">
        <v>1.0</v>
      </c>
      <c r="EY73" s="6">
        <v>6.0</v>
      </c>
      <c r="EZ73" s="6">
        <v>12.0</v>
      </c>
      <c r="FA73" s="6">
        <v>26.0</v>
      </c>
      <c r="FB73" s="6">
        <v>36.0</v>
      </c>
      <c r="FC73" s="6">
        <v>108.0</v>
      </c>
      <c r="FD73" s="6">
        <v>264.0</v>
      </c>
      <c r="FE73" s="6">
        <v>276.0</v>
      </c>
      <c r="FF73" s="6">
        <v>1.5625</v>
      </c>
      <c r="FG73" s="6">
        <v>5.575</v>
      </c>
      <c r="FH73" s="6">
        <v>12.175</v>
      </c>
      <c r="FI73" s="6">
        <v>17.825</v>
      </c>
      <c r="FJ73" s="6">
        <v>0.0</v>
      </c>
      <c r="FK73" s="6">
        <v>-8.06</v>
      </c>
      <c r="FL73" s="6">
        <v>-8.7</v>
      </c>
      <c r="FM73" s="6">
        <v>-17.38</v>
      </c>
      <c r="FN73" s="6">
        <v>0.0</v>
      </c>
      <c r="FO73" s="6">
        <v>112.0</v>
      </c>
      <c r="FP73" s="6">
        <v>220.0</v>
      </c>
      <c r="FQ73" s="6">
        <v>582.0</v>
      </c>
      <c r="FR73" s="6">
        <v>0.0</v>
      </c>
      <c r="FS73" s="6">
        <v>0.0</v>
      </c>
      <c r="FT73" s="6">
        <v>0.0</v>
      </c>
      <c r="FU73" s="6">
        <v>0.0</v>
      </c>
      <c r="FV73" s="6">
        <v>0.0</v>
      </c>
      <c r="FW73" s="6">
        <v>18.0</v>
      </c>
      <c r="FX73" s="6">
        <v>28.0</v>
      </c>
      <c r="FY73" s="6">
        <v>110.0</v>
      </c>
      <c r="FZ73" s="6">
        <v>0.0</v>
      </c>
      <c r="GA73" s="6">
        <v>3.04</v>
      </c>
      <c r="GB73" s="6">
        <v>5.26</v>
      </c>
      <c r="GC73" s="6">
        <v>18.24</v>
      </c>
      <c r="GD73" s="6">
        <v>-14.44104029</v>
      </c>
      <c r="GE73" s="1" t="s">
        <v>1351</v>
      </c>
      <c r="GF73" s="1" t="s">
        <v>1424</v>
      </c>
    </row>
    <row r="74">
      <c r="A74" s="1" t="s">
        <v>188</v>
      </c>
      <c r="B74" s="6">
        <v>4.0</v>
      </c>
      <c r="C74" s="6">
        <v>0.0</v>
      </c>
      <c r="D74" s="6">
        <v>2.0</v>
      </c>
      <c r="E74" s="6">
        <v>0.0</v>
      </c>
      <c r="F74" s="6">
        <v>570.8014</v>
      </c>
      <c r="G74" s="6">
        <v>1188.736</v>
      </c>
      <c r="H74" s="6">
        <v>2447.417</v>
      </c>
      <c r="I74" s="6">
        <v>3603.353</v>
      </c>
      <c r="J74" s="6">
        <v>3090.0</v>
      </c>
      <c r="K74" s="6">
        <v>7280.0</v>
      </c>
      <c r="L74" s="6">
        <v>13576.0</v>
      </c>
      <c r="M74" s="6">
        <v>18452.0</v>
      </c>
      <c r="N74" s="6">
        <v>83.0</v>
      </c>
      <c r="O74" s="6">
        <v>178.0</v>
      </c>
      <c r="P74" s="6">
        <v>350.0</v>
      </c>
      <c r="Q74" s="6">
        <v>526.0</v>
      </c>
      <c r="R74" s="6">
        <v>528.0</v>
      </c>
      <c r="S74" s="6">
        <v>1460.0</v>
      </c>
      <c r="T74" s="6">
        <v>2616.0</v>
      </c>
      <c r="U74" s="6">
        <v>3758.0</v>
      </c>
      <c r="V74" s="6">
        <v>33.6798</v>
      </c>
      <c r="W74" s="6">
        <v>88.167</v>
      </c>
      <c r="X74" s="6">
        <v>161.5102</v>
      </c>
      <c r="Y74" s="6">
        <v>246.8812</v>
      </c>
      <c r="Z74" s="6">
        <v>371.5319</v>
      </c>
      <c r="AA74" s="6">
        <v>803.658</v>
      </c>
      <c r="AB74" s="6">
        <v>1428.251</v>
      </c>
      <c r="AC74" s="6">
        <v>1908.486</v>
      </c>
      <c r="AD74" s="6">
        <v>1370.0</v>
      </c>
      <c r="AE74" s="6">
        <v>3120.0</v>
      </c>
      <c r="AF74" s="6">
        <v>4800.0</v>
      </c>
      <c r="AG74" s="6">
        <v>6628.0</v>
      </c>
      <c r="AH74" s="6">
        <v>58.0</v>
      </c>
      <c r="AI74" s="6">
        <v>122.0</v>
      </c>
      <c r="AJ74" s="6">
        <v>218.0</v>
      </c>
      <c r="AK74" s="6">
        <v>292.0</v>
      </c>
      <c r="AL74" s="6">
        <v>340.0</v>
      </c>
      <c r="AM74" s="6">
        <v>874.0</v>
      </c>
      <c r="AN74" s="6">
        <v>1364.0</v>
      </c>
      <c r="AO74" s="6">
        <v>1796.0</v>
      </c>
      <c r="AP74" s="6">
        <v>22.1106</v>
      </c>
      <c r="AQ74" s="6">
        <v>55.5786</v>
      </c>
      <c r="AR74" s="6">
        <v>89.2482</v>
      </c>
      <c r="AS74" s="6">
        <v>122.5996</v>
      </c>
      <c r="AT74" s="6">
        <v>189.1508</v>
      </c>
      <c r="AU74" s="6">
        <v>373.0164</v>
      </c>
      <c r="AV74" s="6">
        <v>677.8077</v>
      </c>
      <c r="AW74" s="6">
        <v>854.3773</v>
      </c>
      <c r="AX74" s="6">
        <v>804.6667</v>
      </c>
      <c r="AY74" s="6">
        <v>1664.0</v>
      </c>
      <c r="AZ74" s="6">
        <v>2566.667</v>
      </c>
      <c r="BA74" s="6">
        <v>2941.333</v>
      </c>
      <c r="BB74" s="6">
        <v>27.33333</v>
      </c>
      <c r="BC74" s="6">
        <v>55.33333</v>
      </c>
      <c r="BD74" s="6">
        <v>98.66667</v>
      </c>
      <c r="BE74" s="6">
        <v>125.3333</v>
      </c>
      <c r="BF74" s="6">
        <v>154.0</v>
      </c>
      <c r="BG74" s="6">
        <v>386.0</v>
      </c>
      <c r="BH74" s="6">
        <v>566.6667</v>
      </c>
      <c r="BI74" s="6">
        <v>686.6667</v>
      </c>
      <c r="BJ74" s="6">
        <v>10.70577</v>
      </c>
      <c r="BK74" s="6">
        <v>25.67233</v>
      </c>
      <c r="BL74" s="6">
        <v>40.40313</v>
      </c>
      <c r="BM74" s="6">
        <v>51.35293</v>
      </c>
      <c r="BN74" s="6">
        <v>9.2416</v>
      </c>
      <c r="BO74" s="6">
        <v>15.504</v>
      </c>
      <c r="BP74" s="6">
        <v>29.944</v>
      </c>
      <c r="BQ74" s="6">
        <v>44.8096</v>
      </c>
      <c r="BR74" s="6">
        <v>49.0</v>
      </c>
      <c r="BS74" s="6">
        <v>84.0</v>
      </c>
      <c r="BT74" s="6">
        <v>133.0</v>
      </c>
      <c r="BU74" s="6">
        <v>154.0</v>
      </c>
      <c r="BV74" s="6">
        <v>1.0</v>
      </c>
      <c r="BW74" s="6">
        <v>2.0</v>
      </c>
      <c r="BX74" s="6">
        <v>4.0</v>
      </c>
      <c r="BY74" s="6">
        <v>6.0</v>
      </c>
      <c r="BZ74" s="6">
        <v>4.0</v>
      </c>
      <c r="CA74" s="6">
        <v>12.0</v>
      </c>
      <c r="CB74" s="6">
        <v>22.0</v>
      </c>
      <c r="CC74" s="6">
        <v>26.0</v>
      </c>
      <c r="CD74" s="6">
        <v>0.5625</v>
      </c>
      <c r="CE74" s="6">
        <v>1.155</v>
      </c>
      <c r="CF74" s="6">
        <v>2.01</v>
      </c>
      <c r="CG74" s="6">
        <v>2.55</v>
      </c>
      <c r="CH74" s="6">
        <v>10.9696</v>
      </c>
      <c r="CI74" s="6">
        <v>13.6344</v>
      </c>
      <c r="CJ74" s="6">
        <v>38.8096</v>
      </c>
      <c r="CK74" s="6">
        <v>41.04773</v>
      </c>
      <c r="CL74" s="6">
        <v>59.0</v>
      </c>
      <c r="CM74" s="6">
        <v>100.6667</v>
      </c>
      <c r="CN74" s="6">
        <v>152.0</v>
      </c>
      <c r="CO74" s="6">
        <v>220.3333</v>
      </c>
      <c r="CP74" s="6">
        <v>1.0</v>
      </c>
      <c r="CQ74" s="6">
        <v>1.666667</v>
      </c>
      <c r="CR74" s="6">
        <v>4.666667</v>
      </c>
      <c r="CS74" s="6">
        <v>4.333333</v>
      </c>
      <c r="CT74" s="6">
        <v>3.666667</v>
      </c>
      <c r="CU74" s="6">
        <v>14.33333</v>
      </c>
      <c r="CV74" s="6">
        <v>20.66667</v>
      </c>
      <c r="CW74" s="6">
        <v>27.0</v>
      </c>
      <c r="CX74" s="6">
        <v>0.542767</v>
      </c>
      <c r="CY74" s="6">
        <v>1.013067</v>
      </c>
      <c r="CZ74" s="6">
        <v>2.040133</v>
      </c>
      <c r="DA74" s="6">
        <v>2.4229</v>
      </c>
      <c r="DB74" s="6">
        <v>0.0</v>
      </c>
      <c r="DC74" s="6">
        <v>0.98</v>
      </c>
      <c r="DD74" s="6">
        <v>2.31</v>
      </c>
      <c r="DE74" s="6">
        <v>3.5</v>
      </c>
      <c r="DF74" s="6">
        <v>0.0</v>
      </c>
      <c r="DG74" s="6">
        <v>2.0</v>
      </c>
      <c r="DH74" s="6">
        <v>9.0</v>
      </c>
      <c r="DI74" s="6">
        <v>20.0</v>
      </c>
      <c r="DJ74" s="6">
        <v>0.0</v>
      </c>
      <c r="DK74" s="6">
        <v>0.0</v>
      </c>
      <c r="DL74" s="6">
        <v>0.0</v>
      </c>
      <c r="DM74" s="6">
        <v>0.0</v>
      </c>
      <c r="DN74" s="6">
        <v>0.0</v>
      </c>
      <c r="DO74" s="6">
        <v>-2.0</v>
      </c>
      <c r="DP74" s="6">
        <v>-3.0</v>
      </c>
      <c r="DQ74" s="6">
        <v>-1.0</v>
      </c>
      <c r="DR74" s="6">
        <v>0.0</v>
      </c>
      <c r="DS74" s="6">
        <v>-0.04</v>
      </c>
      <c r="DT74" s="6">
        <v>0.32</v>
      </c>
      <c r="DU74" s="6">
        <v>1.1</v>
      </c>
      <c r="DV74" s="6">
        <v>0.0</v>
      </c>
      <c r="DW74" s="6">
        <v>1.073333</v>
      </c>
      <c r="DX74" s="6">
        <v>2.763333</v>
      </c>
      <c r="DY74" s="6">
        <v>1.33</v>
      </c>
      <c r="DZ74" s="6">
        <v>0.0</v>
      </c>
      <c r="EA74" s="6">
        <v>-1.0</v>
      </c>
      <c r="EB74" s="6">
        <v>14.33333</v>
      </c>
      <c r="EC74" s="6">
        <v>3.0</v>
      </c>
      <c r="ED74" s="6">
        <v>0.0</v>
      </c>
      <c r="EE74" s="6">
        <v>0.0</v>
      </c>
      <c r="EF74" s="6">
        <v>0.0</v>
      </c>
      <c r="EG74" s="6">
        <v>0.0</v>
      </c>
      <c r="EH74" s="6">
        <v>0.0</v>
      </c>
      <c r="EI74" s="6">
        <v>-2.66667</v>
      </c>
      <c r="EJ74" s="6">
        <v>1.333333</v>
      </c>
      <c r="EK74" s="6">
        <v>-3.33333</v>
      </c>
      <c r="EL74" s="6">
        <v>0.0</v>
      </c>
      <c r="EM74" s="6">
        <v>-0.13</v>
      </c>
      <c r="EN74" s="6">
        <v>0.713333</v>
      </c>
      <c r="EO74" s="6">
        <v>-0.06</v>
      </c>
      <c r="EP74" s="6">
        <v>3.3489</v>
      </c>
      <c r="EQ74" s="6">
        <v>34.8432</v>
      </c>
      <c r="ER74" s="6">
        <v>56.0529</v>
      </c>
      <c r="ES74" s="6">
        <v>112.5816</v>
      </c>
      <c r="ET74" s="6">
        <v>676.0</v>
      </c>
      <c r="EU74" s="6">
        <v>1144.0</v>
      </c>
      <c r="EV74" s="6">
        <v>2132.0</v>
      </c>
      <c r="EW74" s="6">
        <v>2236.0</v>
      </c>
      <c r="EX74" s="6">
        <v>1.0</v>
      </c>
      <c r="EY74" s="6">
        <v>6.0</v>
      </c>
      <c r="EZ74" s="6">
        <v>12.0</v>
      </c>
      <c r="FA74" s="6">
        <v>25.0</v>
      </c>
      <c r="FB74" s="6">
        <v>36.0</v>
      </c>
      <c r="FC74" s="6">
        <v>108.0</v>
      </c>
      <c r="FD74" s="6">
        <v>258.0</v>
      </c>
      <c r="FE74" s="6">
        <v>270.0</v>
      </c>
      <c r="FF74" s="6">
        <v>1.5625</v>
      </c>
      <c r="FG74" s="6">
        <v>5.575</v>
      </c>
      <c r="FH74" s="6">
        <v>11.8625</v>
      </c>
      <c r="FI74" s="6">
        <v>16.9125</v>
      </c>
      <c r="FJ74" s="6">
        <v>0.0</v>
      </c>
      <c r="FK74" s="6">
        <v>-8.06</v>
      </c>
      <c r="FL74" s="6">
        <v>-8.67</v>
      </c>
      <c r="FM74" s="6">
        <v>-15.77</v>
      </c>
      <c r="FN74" s="6">
        <v>0.0</v>
      </c>
      <c r="FO74" s="6">
        <v>112.0</v>
      </c>
      <c r="FP74" s="6">
        <v>230.0</v>
      </c>
      <c r="FQ74" s="6">
        <v>564.0</v>
      </c>
      <c r="FR74" s="6">
        <v>0.0</v>
      </c>
      <c r="FS74" s="6">
        <v>0.0</v>
      </c>
      <c r="FT74" s="6">
        <v>0.0</v>
      </c>
      <c r="FU74" s="6">
        <v>0.0</v>
      </c>
      <c r="FV74" s="6">
        <v>0.0</v>
      </c>
      <c r="FW74" s="6">
        <v>18.0</v>
      </c>
      <c r="FX74" s="6">
        <v>29.0</v>
      </c>
      <c r="FY74" s="6">
        <v>105.0</v>
      </c>
      <c r="FZ74" s="6">
        <v>0.0</v>
      </c>
      <c r="GA74" s="6">
        <v>3.04</v>
      </c>
      <c r="GB74" s="6">
        <v>5.51</v>
      </c>
      <c r="GC74" s="6">
        <v>17.72</v>
      </c>
      <c r="GD74" s="6">
        <v>-20.03397453</v>
      </c>
      <c r="GE74" s="1" t="s">
        <v>1351</v>
      </c>
      <c r="GF74" s="1" t="s">
        <v>1425</v>
      </c>
    </row>
    <row r="75">
      <c r="A75" s="1" t="s">
        <v>191</v>
      </c>
      <c r="B75" s="6">
        <v>4.0</v>
      </c>
      <c r="C75" s="6">
        <v>0.0</v>
      </c>
      <c r="D75" s="6">
        <v>2.0</v>
      </c>
      <c r="E75" s="6">
        <v>0.0</v>
      </c>
      <c r="F75" s="6">
        <v>614.9971</v>
      </c>
      <c r="G75" s="6">
        <v>1273.403</v>
      </c>
      <c r="H75" s="6">
        <v>2620.004</v>
      </c>
      <c r="I75" s="6">
        <v>3796.51</v>
      </c>
      <c r="J75" s="6">
        <v>3514.0</v>
      </c>
      <c r="K75" s="6">
        <v>8288.0</v>
      </c>
      <c r="L75" s="6">
        <v>15380.0</v>
      </c>
      <c r="M75" s="6">
        <v>19750.0</v>
      </c>
      <c r="N75" s="6">
        <v>89.0</v>
      </c>
      <c r="O75" s="6">
        <v>192.0</v>
      </c>
      <c r="P75" s="6">
        <v>370.0</v>
      </c>
      <c r="Q75" s="6">
        <v>564.0</v>
      </c>
      <c r="R75" s="6">
        <v>562.0</v>
      </c>
      <c r="S75" s="6">
        <v>1556.0</v>
      </c>
      <c r="T75" s="6">
        <v>2706.0</v>
      </c>
      <c r="U75" s="6">
        <v>3886.0</v>
      </c>
      <c r="V75" s="6">
        <v>37.2023</v>
      </c>
      <c r="W75" s="6">
        <v>97.424</v>
      </c>
      <c r="X75" s="6">
        <v>174.8538</v>
      </c>
      <c r="Y75" s="6">
        <v>251.9016</v>
      </c>
      <c r="Z75" s="6">
        <v>419.2864</v>
      </c>
      <c r="AA75" s="6">
        <v>949.11</v>
      </c>
      <c r="AB75" s="6">
        <v>1645.328</v>
      </c>
      <c r="AC75" s="6">
        <v>2234.793</v>
      </c>
      <c r="AD75" s="6">
        <v>1384.0</v>
      </c>
      <c r="AE75" s="6">
        <v>3432.0</v>
      </c>
      <c r="AF75" s="6">
        <v>4940.0</v>
      </c>
      <c r="AG75" s="6">
        <v>5804.0</v>
      </c>
      <c r="AH75" s="6">
        <v>72.0</v>
      </c>
      <c r="AI75" s="6">
        <v>152.0</v>
      </c>
      <c r="AJ75" s="6">
        <v>268.0</v>
      </c>
      <c r="AK75" s="6">
        <v>374.0</v>
      </c>
      <c r="AL75" s="6">
        <v>420.0</v>
      </c>
      <c r="AM75" s="6">
        <v>1092.0</v>
      </c>
      <c r="AN75" s="6">
        <v>1648.0</v>
      </c>
      <c r="AO75" s="6">
        <v>2036.0</v>
      </c>
      <c r="AP75" s="6">
        <v>26.1512</v>
      </c>
      <c r="AQ75" s="6">
        <v>67.6368</v>
      </c>
      <c r="AR75" s="6">
        <v>106.0484</v>
      </c>
      <c r="AS75" s="6">
        <v>133.5454</v>
      </c>
      <c r="AT75" s="6">
        <v>203.8827</v>
      </c>
      <c r="AU75" s="6">
        <v>401.2388</v>
      </c>
      <c r="AV75" s="6">
        <v>735.3003</v>
      </c>
      <c r="AW75" s="6">
        <v>909.2253</v>
      </c>
      <c r="AX75" s="6">
        <v>946.0</v>
      </c>
      <c r="AY75" s="6">
        <v>2000.0</v>
      </c>
      <c r="AZ75" s="6">
        <v>2994.667</v>
      </c>
      <c r="BA75" s="6">
        <v>2798.667</v>
      </c>
      <c r="BB75" s="6">
        <v>29.33333</v>
      </c>
      <c r="BC75" s="6">
        <v>60.0</v>
      </c>
      <c r="BD75" s="6">
        <v>105.3333</v>
      </c>
      <c r="BE75" s="6">
        <v>136.6667</v>
      </c>
      <c r="BF75" s="6">
        <v>165.3333</v>
      </c>
      <c r="BG75" s="6">
        <v>417.3333</v>
      </c>
      <c r="BH75" s="6">
        <v>589.3333</v>
      </c>
      <c r="BI75" s="6">
        <v>690.6667</v>
      </c>
      <c r="BJ75" s="6">
        <v>11.87993</v>
      </c>
      <c r="BK75" s="6">
        <v>28.758</v>
      </c>
      <c r="BL75" s="6">
        <v>44.64267</v>
      </c>
      <c r="BM75" s="6">
        <v>50.73473</v>
      </c>
      <c r="BN75" s="6">
        <v>9.2416</v>
      </c>
      <c r="BO75" s="6">
        <v>15.504</v>
      </c>
      <c r="BP75" s="6">
        <v>29.944</v>
      </c>
      <c r="BQ75" s="6">
        <v>44.8096</v>
      </c>
      <c r="BR75" s="6">
        <v>49.0</v>
      </c>
      <c r="BS75" s="6">
        <v>84.0</v>
      </c>
      <c r="BT75" s="6">
        <v>133.0</v>
      </c>
      <c r="BU75" s="6">
        <v>154.0</v>
      </c>
      <c r="BV75" s="6">
        <v>1.0</v>
      </c>
      <c r="BW75" s="6">
        <v>2.0</v>
      </c>
      <c r="BX75" s="6">
        <v>4.0</v>
      </c>
      <c r="BY75" s="6">
        <v>6.0</v>
      </c>
      <c r="BZ75" s="6">
        <v>4.0</v>
      </c>
      <c r="CA75" s="6">
        <v>12.0</v>
      </c>
      <c r="CB75" s="6">
        <v>22.0</v>
      </c>
      <c r="CC75" s="6">
        <v>24.0</v>
      </c>
      <c r="CD75" s="6">
        <v>0.5625</v>
      </c>
      <c r="CE75" s="6">
        <v>1.155</v>
      </c>
      <c r="CF75" s="6">
        <v>2.01</v>
      </c>
      <c r="CG75" s="6">
        <v>2.55</v>
      </c>
      <c r="CH75" s="6">
        <v>10.9696</v>
      </c>
      <c r="CI75" s="6">
        <v>13.6688</v>
      </c>
      <c r="CJ75" s="6">
        <v>43.1088</v>
      </c>
      <c r="CK75" s="6">
        <v>53.15147</v>
      </c>
      <c r="CL75" s="6">
        <v>59.0</v>
      </c>
      <c r="CM75" s="6">
        <v>127.3333</v>
      </c>
      <c r="CN75" s="6">
        <v>185.0</v>
      </c>
      <c r="CO75" s="6">
        <v>253.6667</v>
      </c>
      <c r="CP75" s="6">
        <v>1.0</v>
      </c>
      <c r="CQ75" s="6">
        <v>1.666667</v>
      </c>
      <c r="CR75" s="6">
        <v>5.0</v>
      </c>
      <c r="CS75" s="6">
        <v>5.333333</v>
      </c>
      <c r="CT75" s="6">
        <v>3.666667</v>
      </c>
      <c r="CU75" s="6">
        <v>14.66667</v>
      </c>
      <c r="CV75" s="6">
        <v>23.0</v>
      </c>
      <c r="CW75" s="6">
        <v>27.0</v>
      </c>
      <c r="CX75" s="6">
        <v>0.542767</v>
      </c>
      <c r="CY75" s="6">
        <v>1.0739</v>
      </c>
      <c r="CZ75" s="6">
        <v>2.317767</v>
      </c>
      <c r="DA75" s="6">
        <v>2.6516</v>
      </c>
      <c r="DB75" s="6">
        <v>0.0</v>
      </c>
      <c r="DC75" s="6">
        <v>0.98</v>
      </c>
      <c r="DD75" s="6">
        <v>2.31</v>
      </c>
      <c r="DE75" s="6">
        <v>3.5</v>
      </c>
      <c r="DF75" s="6">
        <v>0.0</v>
      </c>
      <c r="DG75" s="6">
        <v>2.0</v>
      </c>
      <c r="DH75" s="6">
        <v>9.0</v>
      </c>
      <c r="DI75" s="6">
        <v>20.0</v>
      </c>
      <c r="DJ75" s="6">
        <v>0.0</v>
      </c>
      <c r="DK75" s="6">
        <v>0.0</v>
      </c>
      <c r="DL75" s="6">
        <v>0.0</v>
      </c>
      <c r="DM75" s="6">
        <v>0.0</v>
      </c>
      <c r="DN75" s="6">
        <v>0.0</v>
      </c>
      <c r="DO75" s="6">
        <v>-2.0</v>
      </c>
      <c r="DP75" s="6">
        <v>-3.0</v>
      </c>
      <c r="DQ75" s="6">
        <v>0.0</v>
      </c>
      <c r="DR75" s="6">
        <v>0.0</v>
      </c>
      <c r="DS75" s="6">
        <v>-0.04</v>
      </c>
      <c r="DT75" s="6">
        <v>0.32</v>
      </c>
      <c r="DU75" s="6">
        <v>1.1</v>
      </c>
      <c r="DV75" s="6">
        <v>0.0</v>
      </c>
      <c r="DW75" s="6">
        <v>1.063333</v>
      </c>
      <c r="DX75" s="6">
        <v>2.646667</v>
      </c>
      <c r="DY75" s="6">
        <v>0.576667</v>
      </c>
      <c r="DZ75" s="6">
        <v>0.0</v>
      </c>
      <c r="EA75" s="6">
        <v>-4.33333</v>
      </c>
      <c r="EB75" s="6">
        <v>12.66667</v>
      </c>
      <c r="EC75" s="6">
        <v>5.666667</v>
      </c>
      <c r="ED75" s="6">
        <v>0.0</v>
      </c>
      <c r="EE75" s="6">
        <v>0.0</v>
      </c>
      <c r="EF75" s="6">
        <v>0.0</v>
      </c>
      <c r="EG75" s="6">
        <v>0.0</v>
      </c>
      <c r="EH75" s="6">
        <v>0.0</v>
      </c>
      <c r="EI75" s="6">
        <v>-3.0</v>
      </c>
      <c r="EJ75" s="6">
        <v>0.666667</v>
      </c>
      <c r="EK75" s="6">
        <v>1.666667</v>
      </c>
      <c r="EL75" s="6">
        <v>0.0</v>
      </c>
      <c r="EM75" s="6">
        <v>-0.21333</v>
      </c>
      <c r="EN75" s="6">
        <v>0.58</v>
      </c>
      <c r="EO75" s="6">
        <v>0.386667</v>
      </c>
      <c r="EP75" s="6">
        <v>3.3489</v>
      </c>
      <c r="EQ75" s="6">
        <v>34.8432</v>
      </c>
      <c r="ER75" s="6">
        <v>56.1078</v>
      </c>
      <c r="ES75" s="6">
        <v>120.1578</v>
      </c>
      <c r="ET75" s="6">
        <v>676.0</v>
      </c>
      <c r="EU75" s="6">
        <v>1144.0</v>
      </c>
      <c r="EV75" s="6">
        <v>2392.0</v>
      </c>
      <c r="EW75" s="6">
        <v>2704.0</v>
      </c>
      <c r="EX75" s="6">
        <v>1.0</v>
      </c>
      <c r="EY75" s="6">
        <v>6.0</v>
      </c>
      <c r="EZ75" s="6">
        <v>12.0</v>
      </c>
      <c r="FA75" s="6">
        <v>26.0</v>
      </c>
      <c r="FB75" s="6">
        <v>36.0</v>
      </c>
      <c r="FC75" s="6">
        <v>108.0</v>
      </c>
      <c r="FD75" s="6">
        <v>264.0</v>
      </c>
      <c r="FE75" s="6">
        <v>300.0</v>
      </c>
      <c r="FF75" s="6">
        <v>1.5625</v>
      </c>
      <c r="FG75" s="6">
        <v>5.575</v>
      </c>
      <c r="FH75" s="6">
        <v>12.175</v>
      </c>
      <c r="FI75" s="6">
        <v>18.825</v>
      </c>
      <c r="FJ75" s="6">
        <v>0.0</v>
      </c>
      <c r="FK75" s="6">
        <v>-8.06</v>
      </c>
      <c r="FL75" s="6">
        <v>-8.7</v>
      </c>
      <c r="FM75" s="6">
        <v>-18.08</v>
      </c>
      <c r="FN75" s="6">
        <v>0.0</v>
      </c>
      <c r="FO75" s="6">
        <v>112.0</v>
      </c>
      <c r="FP75" s="6">
        <v>220.0</v>
      </c>
      <c r="FQ75" s="6">
        <v>572.0</v>
      </c>
      <c r="FR75" s="6">
        <v>0.0</v>
      </c>
      <c r="FS75" s="6">
        <v>0.0</v>
      </c>
      <c r="FT75" s="6">
        <v>0.0</v>
      </c>
      <c r="FU75" s="6">
        <v>0.0</v>
      </c>
      <c r="FV75" s="6">
        <v>0.0</v>
      </c>
      <c r="FW75" s="6">
        <v>18.0</v>
      </c>
      <c r="FX75" s="6">
        <v>28.0</v>
      </c>
      <c r="FY75" s="6">
        <v>106.0</v>
      </c>
      <c r="FZ75" s="6">
        <v>0.0</v>
      </c>
      <c r="GA75" s="6">
        <v>3.04</v>
      </c>
      <c r="GB75" s="6">
        <v>5.26</v>
      </c>
      <c r="GC75" s="6">
        <v>17.44</v>
      </c>
      <c r="GD75" s="6">
        <v>-18.49157216</v>
      </c>
      <c r="GE75" s="1" t="s">
        <v>1350</v>
      </c>
      <c r="GF75" s="1" t="s">
        <v>1426</v>
      </c>
    </row>
    <row r="76">
      <c r="A76" s="1" t="s">
        <v>193</v>
      </c>
      <c r="B76" s="6">
        <v>4.0</v>
      </c>
      <c r="C76" s="6">
        <v>0.0</v>
      </c>
      <c r="D76" s="6">
        <v>2.0</v>
      </c>
      <c r="E76" s="6">
        <v>0.0</v>
      </c>
      <c r="F76" s="6">
        <v>584.7853</v>
      </c>
      <c r="G76" s="6">
        <v>1213.937</v>
      </c>
      <c r="H76" s="6">
        <v>2571.124</v>
      </c>
      <c r="I76" s="6">
        <v>3570.219</v>
      </c>
      <c r="J76" s="6">
        <v>3394.0</v>
      </c>
      <c r="K76" s="6">
        <v>8048.0</v>
      </c>
      <c r="L76" s="6">
        <v>15190.0</v>
      </c>
      <c r="M76" s="6">
        <v>19102.0</v>
      </c>
      <c r="N76" s="6">
        <v>83.0</v>
      </c>
      <c r="O76" s="6">
        <v>180.0</v>
      </c>
      <c r="P76" s="6">
        <v>358.0</v>
      </c>
      <c r="Q76" s="6">
        <v>520.0</v>
      </c>
      <c r="R76" s="6">
        <v>538.0</v>
      </c>
      <c r="S76" s="6">
        <v>1488.0</v>
      </c>
      <c r="T76" s="6">
        <v>2576.0</v>
      </c>
      <c r="U76" s="6">
        <v>3548.0</v>
      </c>
      <c r="V76" s="6">
        <v>34.4961</v>
      </c>
      <c r="W76" s="6">
        <v>91.3564</v>
      </c>
      <c r="X76" s="6">
        <v>167.1494</v>
      </c>
      <c r="Y76" s="6">
        <v>233.7964</v>
      </c>
      <c r="Z76" s="6">
        <v>389.0746</v>
      </c>
      <c r="AA76" s="6">
        <v>889.644</v>
      </c>
      <c r="AB76" s="6">
        <v>1596.447</v>
      </c>
      <c r="AC76" s="6">
        <v>2004.915</v>
      </c>
      <c r="AD76" s="6">
        <v>1264.0</v>
      </c>
      <c r="AE76" s="6">
        <v>3192.0</v>
      </c>
      <c r="AF76" s="6">
        <v>4750.0</v>
      </c>
      <c r="AG76" s="6">
        <v>5052.0</v>
      </c>
      <c r="AH76" s="6">
        <v>66.0</v>
      </c>
      <c r="AI76" s="6">
        <v>140.0</v>
      </c>
      <c r="AJ76" s="6">
        <v>256.0</v>
      </c>
      <c r="AK76" s="6">
        <v>330.0</v>
      </c>
      <c r="AL76" s="6">
        <v>396.0</v>
      </c>
      <c r="AM76" s="6">
        <v>1024.0</v>
      </c>
      <c r="AN76" s="6">
        <v>1518.0</v>
      </c>
      <c r="AO76" s="6">
        <v>1728.0</v>
      </c>
      <c r="AP76" s="6">
        <v>23.445</v>
      </c>
      <c r="AQ76" s="6">
        <v>61.5692</v>
      </c>
      <c r="AR76" s="6">
        <v>98.344</v>
      </c>
      <c r="AS76" s="6">
        <v>115.5402</v>
      </c>
      <c r="AT76" s="6">
        <v>193.8121</v>
      </c>
      <c r="AU76" s="6">
        <v>381.4168</v>
      </c>
      <c r="AV76" s="6">
        <v>719.0067</v>
      </c>
      <c r="AW76" s="6">
        <v>832.5994</v>
      </c>
      <c r="AX76" s="6">
        <v>906.0</v>
      </c>
      <c r="AY76" s="6">
        <v>1920.0</v>
      </c>
      <c r="AZ76" s="6">
        <v>2931.333</v>
      </c>
      <c r="BA76" s="6">
        <v>2548.0</v>
      </c>
      <c r="BB76" s="6">
        <v>27.33333</v>
      </c>
      <c r="BC76" s="6">
        <v>56.0</v>
      </c>
      <c r="BD76" s="6">
        <v>101.3333</v>
      </c>
      <c r="BE76" s="6">
        <v>122.0</v>
      </c>
      <c r="BF76" s="6">
        <v>157.3333</v>
      </c>
      <c r="BG76" s="6">
        <v>394.6667</v>
      </c>
      <c r="BH76" s="6">
        <v>546.0</v>
      </c>
      <c r="BI76" s="6">
        <v>588.0</v>
      </c>
      <c r="BJ76" s="6">
        <v>10.97787</v>
      </c>
      <c r="BK76" s="6">
        <v>26.73547</v>
      </c>
      <c r="BL76" s="6">
        <v>42.07453</v>
      </c>
      <c r="BM76" s="6">
        <v>44.733</v>
      </c>
      <c r="BN76" s="6">
        <v>9.2416</v>
      </c>
      <c r="BO76" s="6">
        <v>15.504</v>
      </c>
      <c r="BP76" s="6">
        <v>32.4976</v>
      </c>
      <c r="BQ76" s="6">
        <v>52.5616</v>
      </c>
      <c r="BR76" s="6">
        <v>49.0</v>
      </c>
      <c r="BS76" s="6">
        <v>84.0</v>
      </c>
      <c r="BT76" s="6">
        <v>175.0</v>
      </c>
      <c r="BU76" s="6">
        <v>196.0</v>
      </c>
      <c r="BV76" s="6">
        <v>1.0</v>
      </c>
      <c r="BW76" s="6">
        <v>2.0</v>
      </c>
      <c r="BX76" s="6">
        <v>4.0</v>
      </c>
      <c r="BY76" s="6">
        <v>7.0</v>
      </c>
      <c r="BZ76" s="6">
        <v>4.0</v>
      </c>
      <c r="CA76" s="6">
        <v>12.0</v>
      </c>
      <c r="CB76" s="6">
        <v>26.0</v>
      </c>
      <c r="CC76" s="6">
        <v>32.0</v>
      </c>
      <c r="CD76" s="6">
        <v>0.5625</v>
      </c>
      <c r="CE76" s="6">
        <v>1.155</v>
      </c>
      <c r="CF76" s="6">
        <v>2.295</v>
      </c>
      <c r="CG76" s="6">
        <v>3.1275</v>
      </c>
      <c r="CH76" s="6">
        <v>10.9696</v>
      </c>
      <c r="CI76" s="6">
        <v>13.6688</v>
      </c>
      <c r="CJ76" s="6">
        <v>42.75413</v>
      </c>
      <c r="CK76" s="6">
        <v>45.71867</v>
      </c>
      <c r="CL76" s="6">
        <v>59.0</v>
      </c>
      <c r="CM76" s="6">
        <v>127.3333</v>
      </c>
      <c r="CN76" s="6">
        <v>173.3333</v>
      </c>
      <c r="CO76" s="6">
        <v>208.1667</v>
      </c>
      <c r="CP76" s="6">
        <v>1.0</v>
      </c>
      <c r="CQ76" s="6">
        <v>1.666667</v>
      </c>
      <c r="CR76" s="6">
        <v>5.0</v>
      </c>
      <c r="CS76" s="6">
        <v>4.333333</v>
      </c>
      <c r="CT76" s="6">
        <v>3.666667</v>
      </c>
      <c r="CU76" s="6">
        <v>14.66667</v>
      </c>
      <c r="CV76" s="6">
        <v>21.0</v>
      </c>
      <c r="CW76" s="6">
        <v>15.5</v>
      </c>
      <c r="CX76" s="6">
        <v>0.542767</v>
      </c>
      <c r="CY76" s="6">
        <v>1.0739</v>
      </c>
      <c r="CZ76" s="6">
        <v>2.217767</v>
      </c>
      <c r="DA76" s="6">
        <v>2.0191</v>
      </c>
      <c r="DB76" s="6">
        <v>0.0</v>
      </c>
      <c r="DC76" s="6">
        <v>0.98</v>
      </c>
      <c r="DD76" s="6">
        <v>1.47</v>
      </c>
      <c r="DE76" s="6">
        <v>3.99</v>
      </c>
      <c r="DF76" s="6">
        <v>0.0</v>
      </c>
      <c r="DG76" s="6">
        <v>2.0</v>
      </c>
      <c r="DH76" s="6">
        <v>3.0</v>
      </c>
      <c r="DI76" s="6">
        <v>21.0</v>
      </c>
      <c r="DJ76" s="6">
        <v>0.0</v>
      </c>
      <c r="DK76" s="6">
        <v>0.0</v>
      </c>
      <c r="DL76" s="6">
        <v>0.0</v>
      </c>
      <c r="DM76" s="6">
        <v>0.0</v>
      </c>
      <c r="DN76" s="6">
        <v>0.0</v>
      </c>
      <c r="DO76" s="6">
        <v>-2.0</v>
      </c>
      <c r="DP76" s="6">
        <v>-5.0</v>
      </c>
      <c r="DQ76" s="6">
        <v>-2.0</v>
      </c>
      <c r="DR76" s="6">
        <v>0.0</v>
      </c>
      <c r="DS76" s="6">
        <v>-0.04</v>
      </c>
      <c r="DT76" s="6">
        <v>-0.06</v>
      </c>
      <c r="DU76" s="6">
        <v>1.08</v>
      </c>
      <c r="DV76" s="6">
        <v>0.0</v>
      </c>
      <c r="DW76" s="6">
        <v>1.063333</v>
      </c>
      <c r="DX76" s="6">
        <v>2.763333</v>
      </c>
      <c r="DY76" s="6">
        <v>-0.01833</v>
      </c>
      <c r="DZ76" s="6">
        <v>0.0</v>
      </c>
      <c r="EA76" s="6">
        <v>-4.33333</v>
      </c>
      <c r="EB76" s="6">
        <v>14.33333</v>
      </c>
      <c r="EC76" s="6">
        <v>5.166667</v>
      </c>
      <c r="ED76" s="6">
        <v>0.0</v>
      </c>
      <c r="EE76" s="6">
        <v>0.0</v>
      </c>
      <c r="EF76" s="6">
        <v>0.0</v>
      </c>
      <c r="EG76" s="6">
        <v>0.0</v>
      </c>
      <c r="EH76" s="6">
        <v>0.0</v>
      </c>
      <c r="EI76" s="6">
        <v>-3.0</v>
      </c>
      <c r="EJ76" s="6">
        <v>1.333333</v>
      </c>
      <c r="EK76" s="6">
        <v>2.5</v>
      </c>
      <c r="EL76" s="6">
        <v>0.0</v>
      </c>
      <c r="EM76" s="6">
        <v>-0.21333</v>
      </c>
      <c r="EN76" s="6">
        <v>0.713333</v>
      </c>
      <c r="EO76" s="6">
        <v>0.48</v>
      </c>
      <c r="EP76" s="6">
        <v>3.3489</v>
      </c>
      <c r="EQ76" s="6">
        <v>34.8432</v>
      </c>
      <c r="ER76" s="6">
        <v>56.1078</v>
      </c>
      <c r="ES76" s="6">
        <v>121.9512</v>
      </c>
      <c r="ET76" s="6">
        <v>676.0</v>
      </c>
      <c r="EU76" s="6">
        <v>1144.0</v>
      </c>
      <c r="EV76" s="6">
        <v>2392.0</v>
      </c>
      <c r="EW76" s="6">
        <v>2756.0</v>
      </c>
      <c r="EX76" s="6">
        <v>1.0</v>
      </c>
      <c r="EY76" s="6">
        <v>6.0</v>
      </c>
      <c r="EZ76" s="6">
        <v>12.0</v>
      </c>
      <c r="FA76" s="6">
        <v>26.0</v>
      </c>
      <c r="FB76" s="6">
        <v>36.0</v>
      </c>
      <c r="FC76" s="6">
        <v>108.0</v>
      </c>
      <c r="FD76" s="6">
        <v>264.0</v>
      </c>
      <c r="FE76" s="6">
        <v>300.0</v>
      </c>
      <c r="FF76" s="6">
        <v>1.5625</v>
      </c>
      <c r="FG76" s="6">
        <v>5.575</v>
      </c>
      <c r="FH76" s="6">
        <v>12.175</v>
      </c>
      <c r="FI76" s="6">
        <v>18.775</v>
      </c>
      <c r="FJ76" s="6">
        <v>0.0</v>
      </c>
      <c r="FK76" s="6">
        <v>-8.06</v>
      </c>
      <c r="FL76" s="6">
        <v>-8.7</v>
      </c>
      <c r="FM76" s="6">
        <v>-19.06</v>
      </c>
      <c r="FN76" s="6">
        <v>0.0</v>
      </c>
      <c r="FO76" s="6">
        <v>112.0</v>
      </c>
      <c r="FP76" s="6">
        <v>220.0</v>
      </c>
      <c r="FQ76" s="6">
        <v>570.0</v>
      </c>
      <c r="FR76" s="6">
        <v>0.0</v>
      </c>
      <c r="FS76" s="6">
        <v>0.0</v>
      </c>
      <c r="FT76" s="6">
        <v>0.0</v>
      </c>
      <c r="FU76" s="6">
        <v>0.0</v>
      </c>
      <c r="FV76" s="6">
        <v>0.0</v>
      </c>
      <c r="FW76" s="6">
        <v>18.0</v>
      </c>
      <c r="FX76" s="6">
        <v>28.0</v>
      </c>
      <c r="FY76" s="6">
        <v>106.0</v>
      </c>
      <c r="FZ76" s="6">
        <v>0.0</v>
      </c>
      <c r="GA76" s="6">
        <v>3.04</v>
      </c>
      <c r="GB76" s="6">
        <v>5.26</v>
      </c>
      <c r="GC76" s="6">
        <v>17.48</v>
      </c>
      <c r="GD76" s="6">
        <v>-12.45750331</v>
      </c>
      <c r="GE76" s="1" t="s">
        <v>1353</v>
      </c>
      <c r="GF76" s="1" t="s">
        <v>1427</v>
      </c>
    </row>
    <row r="77">
      <c r="A77" s="1" t="s">
        <v>195</v>
      </c>
      <c r="B77" s="6">
        <v>4.0</v>
      </c>
      <c r="C77" s="6">
        <v>0.0</v>
      </c>
      <c r="D77" s="6">
        <v>2.0</v>
      </c>
      <c r="E77" s="6">
        <v>0.0</v>
      </c>
      <c r="F77" s="6">
        <v>443.1971</v>
      </c>
      <c r="G77" s="6">
        <v>869.2278</v>
      </c>
      <c r="H77" s="6">
        <v>1895.452</v>
      </c>
      <c r="I77" s="6">
        <v>2655.571</v>
      </c>
      <c r="J77" s="6">
        <v>2924.0</v>
      </c>
      <c r="K77" s="6">
        <v>6752.0</v>
      </c>
      <c r="L77" s="6">
        <v>12940.0</v>
      </c>
      <c r="M77" s="6">
        <v>15428.0</v>
      </c>
      <c r="N77" s="6">
        <v>59.0</v>
      </c>
      <c r="O77" s="6">
        <v>126.0</v>
      </c>
      <c r="P77" s="6">
        <v>250.0</v>
      </c>
      <c r="Q77" s="6">
        <v>372.0</v>
      </c>
      <c r="R77" s="6">
        <v>376.0</v>
      </c>
      <c r="S77" s="6">
        <v>1040.0</v>
      </c>
      <c r="T77" s="6">
        <v>1838.0</v>
      </c>
      <c r="U77" s="6">
        <v>2568.0</v>
      </c>
      <c r="V77" s="6">
        <v>25.7993</v>
      </c>
      <c r="W77" s="6">
        <v>66.9166</v>
      </c>
      <c r="X77" s="6">
        <v>123.4818</v>
      </c>
      <c r="Y77" s="6">
        <v>176.9328</v>
      </c>
      <c r="Z77" s="6">
        <v>247.4864</v>
      </c>
      <c r="AA77" s="6">
        <v>544.935</v>
      </c>
      <c r="AB77" s="6">
        <v>920.776</v>
      </c>
      <c r="AC77" s="6">
        <v>1098.978</v>
      </c>
      <c r="AD77" s="6">
        <v>794.0</v>
      </c>
      <c r="AE77" s="6">
        <v>1896.0</v>
      </c>
      <c r="AF77" s="6">
        <v>2500.0</v>
      </c>
      <c r="AG77" s="6">
        <v>2522.0</v>
      </c>
      <c r="AH77" s="6">
        <v>42.0</v>
      </c>
      <c r="AI77" s="6">
        <v>86.0</v>
      </c>
      <c r="AJ77" s="6">
        <v>148.0</v>
      </c>
      <c r="AK77" s="6">
        <v>182.0</v>
      </c>
      <c r="AL77" s="6">
        <v>234.0</v>
      </c>
      <c r="AM77" s="6">
        <v>576.0</v>
      </c>
      <c r="AN77" s="6">
        <v>800.0</v>
      </c>
      <c r="AO77" s="6">
        <v>906.0</v>
      </c>
      <c r="AP77" s="6">
        <v>14.7482</v>
      </c>
      <c r="AQ77" s="6">
        <v>37.1294</v>
      </c>
      <c r="AR77" s="6">
        <v>54.6764</v>
      </c>
      <c r="AS77" s="6">
        <v>62.5766</v>
      </c>
      <c r="AT77" s="6">
        <v>146.6161</v>
      </c>
      <c r="AU77" s="6">
        <v>266.5138</v>
      </c>
      <c r="AV77" s="6">
        <v>493.7829</v>
      </c>
      <c r="AW77" s="6">
        <v>530.6203</v>
      </c>
      <c r="AX77" s="6">
        <v>749.3333</v>
      </c>
      <c r="AY77" s="6">
        <v>1488.0</v>
      </c>
      <c r="AZ77" s="6">
        <v>2181.333</v>
      </c>
      <c r="BA77" s="6">
        <v>1704.667</v>
      </c>
      <c r="BB77" s="6">
        <v>19.33333</v>
      </c>
      <c r="BC77" s="6">
        <v>38.0</v>
      </c>
      <c r="BD77" s="6">
        <v>65.33333</v>
      </c>
      <c r="BE77" s="6">
        <v>72.66667</v>
      </c>
      <c r="BF77" s="6">
        <v>103.3333</v>
      </c>
      <c r="BG77" s="6">
        <v>245.3333</v>
      </c>
      <c r="BH77" s="6">
        <v>306.6667</v>
      </c>
      <c r="BI77" s="6">
        <v>314.0</v>
      </c>
      <c r="BJ77" s="6">
        <v>8.078933</v>
      </c>
      <c r="BK77" s="6">
        <v>18.58887</v>
      </c>
      <c r="BL77" s="6">
        <v>27.51867</v>
      </c>
      <c r="BM77" s="6">
        <v>27.07847</v>
      </c>
      <c r="BN77" s="6">
        <v>9.2416</v>
      </c>
      <c r="BO77" s="6">
        <v>15.504</v>
      </c>
      <c r="BP77" s="6">
        <v>29.944</v>
      </c>
      <c r="BQ77" s="6">
        <v>43.7456</v>
      </c>
      <c r="BR77" s="6">
        <v>49.0</v>
      </c>
      <c r="BS77" s="6">
        <v>84.0</v>
      </c>
      <c r="BT77" s="6">
        <v>133.0</v>
      </c>
      <c r="BU77" s="6">
        <v>119.0</v>
      </c>
      <c r="BV77" s="6">
        <v>1.0</v>
      </c>
      <c r="BW77" s="6">
        <v>2.0</v>
      </c>
      <c r="BX77" s="6">
        <v>4.0</v>
      </c>
      <c r="BY77" s="6">
        <v>6.0</v>
      </c>
      <c r="BZ77" s="6">
        <v>4.0</v>
      </c>
      <c r="CA77" s="6">
        <v>12.0</v>
      </c>
      <c r="CB77" s="6">
        <v>22.0</v>
      </c>
      <c r="CC77" s="6">
        <v>20.0</v>
      </c>
      <c r="CD77" s="6">
        <v>0.5625</v>
      </c>
      <c r="CE77" s="6">
        <v>1.155</v>
      </c>
      <c r="CF77" s="6">
        <v>2.01</v>
      </c>
      <c r="CG77" s="6">
        <v>2.25</v>
      </c>
      <c r="CH77" s="6">
        <v>10.9696</v>
      </c>
      <c r="CI77" s="6">
        <v>13.6688</v>
      </c>
      <c r="CJ77" s="6">
        <v>42.39947</v>
      </c>
      <c r="CK77" s="6">
        <v>40.58613</v>
      </c>
      <c r="CL77" s="6">
        <v>59.0</v>
      </c>
      <c r="CM77" s="6">
        <v>127.3333</v>
      </c>
      <c r="CN77" s="6">
        <v>161.6667</v>
      </c>
      <c r="CO77" s="6">
        <v>195.3333</v>
      </c>
      <c r="CP77" s="6">
        <v>1.0</v>
      </c>
      <c r="CQ77" s="6">
        <v>1.666667</v>
      </c>
      <c r="CR77" s="6">
        <v>5.0</v>
      </c>
      <c r="CS77" s="6">
        <v>3.666667</v>
      </c>
      <c r="CT77" s="6">
        <v>3.666667</v>
      </c>
      <c r="CU77" s="6">
        <v>14.66667</v>
      </c>
      <c r="CV77" s="6">
        <v>18.0</v>
      </c>
      <c r="CW77" s="6">
        <v>12.0</v>
      </c>
      <c r="CX77" s="6">
        <v>0.542767</v>
      </c>
      <c r="CY77" s="6">
        <v>1.0739</v>
      </c>
      <c r="CZ77" s="6">
        <v>2.117767</v>
      </c>
      <c r="DA77" s="6">
        <v>1.7891</v>
      </c>
      <c r="DB77" s="6">
        <v>0.0</v>
      </c>
      <c r="DC77" s="6">
        <v>0.98</v>
      </c>
      <c r="DD77" s="6">
        <v>2.31</v>
      </c>
      <c r="DE77" s="6">
        <v>3.85</v>
      </c>
      <c r="DF77" s="6">
        <v>0.0</v>
      </c>
      <c r="DG77" s="6">
        <v>2.0</v>
      </c>
      <c r="DH77" s="6">
        <v>9.0</v>
      </c>
      <c r="DI77" s="6">
        <v>25.0</v>
      </c>
      <c r="DJ77" s="6">
        <v>0.0</v>
      </c>
      <c r="DK77" s="6">
        <v>0.0</v>
      </c>
      <c r="DL77" s="6">
        <v>0.0</v>
      </c>
      <c r="DM77" s="6">
        <v>0.0</v>
      </c>
      <c r="DN77" s="6">
        <v>0.0</v>
      </c>
      <c r="DO77" s="6">
        <v>-2.0</v>
      </c>
      <c r="DP77" s="6">
        <v>-3.0</v>
      </c>
      <c r="DQ77" s="6">
        <v>2.0</v>
      </c>
      <c r="DR77" s="6">
        <v>0.0</v>
      </c>
      <c r="DS77" s="6">
        <v>-0.04</v>
      </c>
      <c r="DT77" s="6">
        <v>0.32</v>
      </c>
      <c r="DU77" s="6">
        <v>1.5</v>
      </c>
      <c r="DV77" s="6">
        <v>0.0</v>
      </c>
      <c r="DW77" s="6">
        <v>1.063333</v>
      </c>
      <c r="DX77" s="6">
        <v>2.88</v>
      </c>
      <c r="DY77" s="6">
        <v>-0.35667</v>
      </c>
      <c r="DZ77" s="6">
        <v>0.0</v>
      </c>
      <c r="EA77" s="6">
        <v>-4.33333</v>
      </c>
      <c r="EB77" s="6">
        <v>16.0</v>
      </c>
      <c r="EC77" s="6">
        <v>2.333333</v>
      </c>
      <c r="ED77" s="6">
        <v>0.0</v>
      </c>
      <c r="EE77" s="6">
        <v>0.0</v>
      </c>
      <c r="EF77" s="6">
        <v>0.0</v>
      </c>
      <c r="EG77" s="6">
        <v>0.0</v>
      </c>
      <c r="EH77" s="6">
        <v>0.0</v>
      </c>
      <c r="EI77" s="6">
        <v>-3.0</v>
      </c>
      <c r="EJ77" s="6">
        <v>2.333333</v>
      </c>
      <c r="EK77" s="6">
        <v>1.666667</v>
      </c>
      <c r="EL77" s="6">
        <v>0.0</v>
      </c>
      <c r="EM77" s="6">
        <v>-0.21333</v>
      </c>
      <c r="EN77" s="6">
        <v>0.846667</v>
      </c>
      <c r="EO77" s="6">
        <v>0.286667</v>
      </c>
      <c r="EP77" s="6">
        <v>3.3489</v>
      </c>
      <c r="EQ77" s="6">
        <v>34.8432</v>
      </c>
      <c r="ER77" s="6">
        <v>56.1078</v>
      </c>
      <c r="ES77" s="6">
        <v>117.5958</v>
      </c>
      <c r="ET77" s="6">
        <v>676.0</v>
      </c>
      <c r="EU77" s="6">
        <v>1144.0</v>
      </c>
      <c r="EV77" s="6">
        <v>2392.0</v>
      </c>
      <c r="EW77" s="6">
        <v>2184.0</v>
      </c>
      <c r="EX77" s="6">
        <v>1.0</v>
      </c>
      <c r="EY77" s="6">
        <v>6.0</v>
      </c>
      <c r="EZ77" s="6">
        <v>12.0</v>
      </c>
      <c r="FA77" s="6">
        <v>26.0</v>
      </c>
      <c r="FB77" s="6">
        <v>36.0</v>
      </c>
      <c r="FC77" s="6">
        <v>108.0</v>
      </c>
      <c r="FD77" s="6">
        <v>264.0</v>
      </c>
      <c r="FE77" s="6">
        <v>240.0</v>
      </c>
      <c r="FF77" s="6">
        <v>1.5625</v>
      </c>
      <c r="FG77" s="6">
        <v>5.575</v>
      </c>
      <c r="FH77" s="6">
        <v>12.175</v>
      </c>
      <c r="FI77" s="6">
        <v>16.825</v>
      </c>
      <c r="FJ77" s="6">
        <v>0.0</v>
      </c>
      <c r="FK77" s="6">
        <v>-8.06</v>
      </c>
      <c r="FL77" s="6">
        <v>-8.7</v>
      </c>
      <c r="FM77" s="6">
        <v>-16.68</v>
      </c>
      <c r="FN77" s="6">
        <v>0.0</v>
      </c>
      <c r="FO77" s="6">
        <v>112.0</v>
      </c>
      <c r="FP77" s="6">
        <v>220.0</v>
      </c>
      <c r="FQ77" s="6">
        <v>592.0</v>
      </c>
      <c r="FR77" s="6">
        <v>0.0</v>
      </c>
      <c r="FS77" s="6">
        <v>0.0</v>
      </c>
      <c r="FT77" s="6">
        <v>0.0</v>
      </c>
      <c r="FU77" s="6">
        <v>0.0</v>
      </c>
      <c r="FV77" s="6">
        <v>0.0</v>
      </c>
      <c r="FW77" s="6">
        <v>18.0</v>
      </c>
      <c r="FX77" s="6">
        <v>28.0</v>
      </c>
      <c r="FY77" s="6">
        <v>116.0</v>
      </c>
      <c r="FZ77" s="6">
        <v>0.0</v>
      </c>
      <c r="GA77" s="6">
        <v>3.04</v>
      </c>
      <c r="GB77" s="6">
        <v>5.26</v>
      </c>
      <c r="GC77" s="6">
        <v>19.04</v>
      </c>
      <c r="GD77" s="6">
        <v>-18.50976974</v>
      </c>
      <c r="GE77" s="1" t="s">
        <v>1351</v>
      </c>
      <c r="GF77" s="1" t="s">
        <v>1428</v>
      </c>
    </row>
    <row r="78">
      <c r="A78" s="1" t="s">
        <v>197</v>
      </c>
      <c r="B78" s="6">
        <v>4.0</v>
      </c>
      <c r="C78" s="6">
        <v>0.0</v>
      </c>
      <c r="D78" s="6">
        <v>2.0</v>
      </c>
      <c r="E78" s="6">
        <v>0.0</v>
      </c>
      <c r="F78" s="6">
        <v>584.7853</v>
      </c>
      <c r="G78" s="6">
        <v>1213.937</v>
      </c>
      <c r="H78" s="6">
        <v>2571.124</v>
      </c>
      <c r="I78" s="6">
        <v>3570.219</v>
      </c>
      <c r="J78" s="6">
        <v>3394.0</v>
      </c>
      <c r="K78" s="6">
        <v>8048.0</v>
      </c>
      <c r="L78" s="6">
        <v>15190.0</v>
      </c>
      <c r="M78" s="6">
        <v>19102.0</v>
      </c>
      <c r="N78" s="6">
        <v>83.0</v>
      </c>
      <c r="O78" s="6">
        <v>180.0</v>
      </c>
      <c r="P78" s="6">
        <v>358.0</v>
      </c>
      <c r="Q78" s="6">
        <v>520.0</v>
      </c>
      <c r="R78" s="6">
        <v>538.0</v>
      </c>
      <c r="S78" s="6">
        <v>1488.0</v>
      </c>
      <c r="T78" s="6">
        <v>2576.0</v>
      </c>
      <c r="U78" s="6">
        <v>3548.0</v>
      </c>
      <c r="V78" s="6">
        <v>34.4961</v>
      </c>
      <c r="W78" s="6">
        <v>91.3564</v>
      </c>
      <c r="X78" s="6">
        <v>167.1494</v>
      </c>
      <c r="Y78" s="6">
        <v>233.7964</v>
      </c>
      <c r="Z78" s="6">
        <v>389.0746</v>
      </c>
      <c r="AA78" s="6">
        <v>889.644</v>
      </c>
      <c r="AB78" s="6">
        <v>1596.447</v>
      </c>
      <c r="AC78" s="6">
        <v>2004.915</v>
      </c>
      <c r="AD78" s="6">
        <v>1264.0</v>
      </c>
      <c r="AE78" s="6">
        <v>3192.0</v>
      </c>
      <c r="AF78" s="6">
        <v>4750.0</v>
      </c>
      <c r="AG78" s="6">
        <v>5052.0</v>
      </c>
      <c r="AH78" s="6">
        <v>66.0</v>
      </c>
      <c r="AI78" s="6">
        <v>140.0</v>
      </c>
      <c r="AJ78" s="6">
        <v>256.0</v>
      </c>
      <c r="AK78" s="6">
        <v>330.0</v>
      </c>
      <c r="AL78" s="6">
        <v>396.0</v>
      </c>
      <c r="AM78" s="6">
        <v>1024.0</v>
      </c>
      <c r="AN78" s="6">
        <v>1518.0</v>
      </c>
      <c r="AO78" s="6">
        <v>1728.0</v>
      </c>
      <c r="AP78" s="6">
        <v>23.445</v>
      </c>
      <c r="AQ78" s="6">
        <v>61.5692</v>
      </c>
      <c r="AR78" s="6">
        <v>98.344</v>
      </c>
      <c r="AS78" s="6">
        <v>115.5402</v>
      </c>
      <c r="AT78" s="6">
        <v>193.8121</v>
      </c>
      <c r="AU78" s="6">
        <v>381.4168</v>
      </c>
      <c r="AV78" s="6">
        <v>719.0067</v>
      </c>
      <c r="AW78" s="6">
        <v>832.5994</v>
      </c>
      <c r="AX78" s="6">
        <v>906.0</v>
      </c>
      <c r="AY78" s="6">
        <v>1920.0</v>
      </c>
      <c r="AZ78" s="6">
        <v>2931.333</v>
      </c>
      <c r="BA78" s="6">
        <v>2548.0</v>
      </c>
      <c r="BB78" s="6">
        <v>27.33333</v>
      </c>
      <c r="BC78" s="6">
        <v>56.0</v>
      </c>
      <c r="BD78" s="6">
        <v>101.3333</v>
      </c>
      <c r="BE78" s="6">
        <v>122.0</v>
      </c>
      <c r="BF78" s="6">
        <v>157.3333</v>
      </c>
      <c r="BG78" s="6">
        <v>394.6667</v>
      </c>
      <c r="BH78" s="6">
        <v>546.0</v>
      </c>
      <c r="BI78" s="6">
        <v>588.0</v>
      </c>
      <c r="BJ78" s="6">
        <v>10.97787</v>
      </c>
      <c r="BK78" s="6">
        <v>26.73547</v>
      </c>
      <c r="BL78" s="6">
        <v>42.07453</v>
      </c>
      <c r="BM78" s="6">
        <v>44.733</v>
      </c>
      <c r="BN78" s="6">
        <v>9.2416</v>
      </c>
      <c r="BO78" s="6">
        <v>15.504</v>
      </c>
      <c r="BP78" s="6">
        <v>32.4976</v>
      </c>
      <c r="BQ78" s="6">
        <v>52.5616</v>
      </c>
      <c r="BR78" s="6">
        <v>49.0</v>
      </c>
      <c r="BS78" s="6">
        <v>84.0</v>
      </c>
      <c r="BT78" s="6">
        <v>175.0</v>
      </c>
      <c r="BU78" s="6">
        <v>196.0</v>
      </c>
      <c r="BV78" s="6">
        <v>1.0</v>
      </c>
      <c r="BW78" s="6">
        <v>2.0</v>
      </c>
      <c r="BX78" s="6">
        <v>4.0</v>
      </c>
      <c r="BY78" s="6">
        <v>7.0</v>
      </c>
      <c r="BZ78" s="6">
        <v>4.0</v>
      </c>
      <c r="CA78" s="6">
        <v>12.0</v>
      </c>
      <c r="CB78" s="6">
        <v>26.0</v>
      </c>
      <c r="CC78" s="6">
        <v>32.0</v>
      </c>
      <c r="CD78" s="6">
        <v>0.5625</v>
      </c>
      <c r="CE78" s="6">
        <v>1.155</v>
      </c>
      <c r="CF78" s="6">
        <v>2.295</v>
      </c>
      <c r="CG78" s="6">
        <v>3.1275</v>
      </c>
      <c r="CH78" s="6">
        <v>10.9696</v>
      </c>
      <c r="CI78" s="6">
        <v>13.6688</v>
      </c>
      <c r="CJ78" s="6">
        <v>42.75413</v>
      </c>
      <c r="CK78" s="6">
        <v>45.71867</v>
      </c>
      <c r="CL78" s="6">
        <v>59.0</v>
      </c>
      <c r="CM78" s="6">
        <v>127.3333</v>
      </c>
      <c r="CN78" s="6">
        <v>173.3333</v>
      </c>
      <c r="CO78" s="6">
        <v>208.1667</v>
      </c>
      <c r="CP78" s="6">
        <v>1.0</v>
      </c>
      <c r="CQ78" s="6">
        <v>1.666667</v>
      </c>
      <c r="CR78" s="6">
        <v>5.0</v>
      </c>
      <c r="CS78" s="6">
        <v>4.333333</v>
      </c>
      <c r="CT78" s="6">
        <v>3.666667</v>
      </c>
      <c r="CU78" s="6">
        <v>14.66667</v>
      </c>
      <c r="CV78" s="6">
        <v>21.0</v>
      </c>
      <c r="CW78" s="6">
        <v>15.5</v>
      </c>
      <c r="CX78" s="6">
        <v>0.542767</v>
      </c>
      <c r="CY78" s="6">
        <v>1.0739</v>
      </c>
      <c r="CZ78" s="6">
        <v>2.217767</v>
      </c>
      <c r="DA78" s="6">
        <v>2.0191</v>
      </c>
      <c r="DB78" s="6">
        <v>0.0</v>
      </c>
      <c r="DC78" s="6">
        <v>0.98</v>
      </c>
      <c r="DD78" s="6">
        <v>1.47</v>
      </c>
      <c r="DE78" s="6">
        <v>3.99</v>
      </c>
      <c r="DF78" s="6">
        <v>0.0</v>
      </c>
      <c r="DG78" s="6">
        <v>2.0</v>
      </c>
      <c r="DH78" s="6">
        <v>3.0</v>
      </c>
      <c r="DI78" s="6">
        <v>21.0</v>
      </c>
      <c r="DJ78" s="6">
        <v>0.0</v>
      </c>
      <c r="DK78" s="6">
        <v>0.0</v>
      </c>
      <c r="DL78" s="6">
        <v>0.0</v>
      </c>
      <c r="DM78" s="6">
        <v>0.0</v>
      </c>
      <c r="DN78" s="6">
        <v>0.0</v>
      </c>
      <c r="DO78" s="6">
        <v>-2.0</v>
      </c>
      <c r="DP78" s="6">
        <v>-5.0</v>
      </c>
      <c r="DQ78" s="6">
        <v>-2.0</v>
      </c>
      <c r="DR78" s="6">
        <v>0.0</v>
      </c>
      <c r="DS78" s="6">
        <v>-0.04</v>
      </c>
      <c r="DT78" s="6">
        <v>-0.06</v>
      </c>
      <c r="DU78" s="6">
        <v>1.08</v>
      </c>
      <c r="DV78" s="6">
        <v>0.0</v>
      </c>
      <c r="DW78" s="6">
        <v>1.063333</v>
      </c>
      <c r="DX78" s="6">
        <v>2.763333</v>
      </c>
      <c r="DY78" s="6">
        <v>-0.01833</v>
      </c>
      <c r="DZ78" s="6">
        <v>0.0</v>
      </c>
      <c r="EA78" s="6">
        <v>-4.33333</v>
      </c>
      <c r="EB78" s="6">
        <v>14.33333</v>
      </c>
      <c r="EC78" s="6">
        <v>5.166667</v>
      </c>
      <c r="ED78" s="6">
        <v>0.0</v>
      </c>
      <c r="EE78" s="6">
        <v>0.0</v>
      </c>
      <c r="EF78" s="6">
        <v>0.0</v>
      </c>
      <c r="EG78" s="6">
        <v>0.0</v>
      </c>
      <c r="EH78" s="6">
        <v>0.0</v>
      </c>
      <c r="EI78" s="6">
        <v>-3.0</v>
      </c>
      <c r="EJ78" s="6">
        <v>1.333333</v>
      </c>
      <c r="EK78" s="6">
        <v>2.5</v>
      </c>
      <c r="EL78" s="6">
        <v>0.0</v>
      </c>
      <c r="EM78" s="6">
        <v>-0.21333</v>
      </c>
      <c r="EN78" s="6">
        <v>0.713333</v>
      </c>
      <c r="EO78" s="6">
        <v>0.48</v>
      </c>
      <c r="EP78" s="6">
        <v>3.3489</v>
      </c>
      <c r="EQ78" s="6">
        <v>34.8432</v>
      </c>
      <c r="ER78" s="6">
        <v>56.1078</v>
      </c>
      <c r="ES78" s="6">
        <v>121.9512</v>
      </c>
      <c r="ET78" s="6">
        <v>676.0</v>
      </c>
      <c r="EU78" s="6">
        <v>1144.0</v>
      </c>
      <c r="EV78" s="6">
        <v>2392.0</v>
      </c>
      <c r="EW78" s="6">
        <v>2756.0</v>
      </c>
      <c r="EX78" s="6">
        <v>1.0</v>
      </c>
      <c r="EY78" s="6">
        <v>6.0</v>
      </c>
      <c r="EZ78" s="6">
        <v>12.0</v>
      </c>
      <c r="FA78" s="6">
        <v>26.0</v>
      </c>
      <c r="FB78" s="6">
        <v>36.0</v>
      </c>
      <c r="FC78" s="6">
        <v>108.0</v>
      </c>
      <c r="FD78" s="6">
        <v>264.0</v>
      </c>
      <c r="FE78" s="6">
        <v>300.0</v>
      </c>
      <c r="FF78" s="6">
        <v>1.5625</v>
      </c>
      <c r="FG78" s="6">
        <v>5.575</v>
      </c>
      <c r="FH78" s="6">
        <v>12.175</v>
      </c>
      <c r="FI78" s="6">
        <v>18.775</v>
      </c>
      <c r="FJ78" s="6">
        <v>0.0</v>
      </c>
      <c r="FK78" s="6">
        <v>-8.06</v>
      </c>
      <c r="FL78" s="6">
        <v>-8.7</v>
      </c>
      <c r="FM78" s="6">
        <v>-19.06</v>
      </c>
      <c r="FN78" s="6">
        <v>0.0</v>
      </c>
      <c r="FO78" s="6">
        <v>112.0</v>
      </c>
      <c r="FP78" s="6">
        <v>220.0</v>
      </c>
      <c r="FQ78" s="6">
        <v>570.0</v>
      </c>
      <c r="FR78" s="6">
        <v>0.0</v>
      </c>
      <c r="FS78" s="6">
        <v>0.0</v>
      </c>
      <c r="FT78" s="6">
        <v>0.0</v>
      </c>
      <c r="FU78" s="6">
        <v>0.0</v>
      </c>
      <c r="FV78" s="6">
        <v>0.0</v>
      </c>
      <c r="FW78" s="6">
        <v>18.0</v>
      </c>
      <c r="FX78" s="6">
        <v>28.0</v>
      </c>
      <c r="FY78" s="6">
        <v>106.0</v>
      </c>
      <c r="FZ78" s="6">
        <v>0.0</v>
      </c>
      <c r="GA78" s="6">
        <v>3.04</v>
      </c>
      <c r="GB78" s="6">
        <v>5.26</v>
      </c>
      <c r="GC78" s="6">
        <v>17.48</v>
      </c>
      <c r="GD78" s="6">
        <v>-18.05357506</v>
      </c>
      <c r="GE78" s="1" t="s">
        <v>1351</v>
      </c>
      <c r="GF78" s="1" t="s">
        <v>1429</v>
      </c>
    </row>
    <row r="79">
      <c r="A79" s="1" t="s">
        <v>199</v>
      </c>
      <c r="B79" s="6">
        <v>4.0</v>
      </c>
      <c r="C79" s="6">
        <v>0.0</v>
      </c>
      <c r="D79" s="6">
        <v>2.0</v>
      </c>
      <c r="E79" s="6">
        <v>0.0</v>
      </c>
      <c r="F79" s="6">
        <v>465.8821</v>
      </c>
      <c r="G79" s="6">
        <v>930.6828</v>
      </c>
      <c r="H79" s="6">
        <v>2041.243</v>
      </c>
      <c r="I79" s="6">
        <v>2908.76</v>
      </c>
      <c r="J79" s="6">
        <v>2998.0</v>
      </c>
      <c r="K79" s="6">
        <v>6992.0</v>
      </c>
      <c r="L79" s="6">
        <v>13414.0</v>
      </c>
      <c r="M79" s="6">
        <v>16390.0</v>
      </c>
      <c r="N79" s="6">
        <v>63.0</v>
      </c>
      <c r="O79" s="6">
        <v>136.0</v>
      </c>
      <c r="P79" s="6">
        <v>274.0</v>
      </c>
      <c r="Q79" s="6">
        <v>416.0</v>
      </c>
      <c r="R79" s="6">
        <v>410.0</v>
      </c>
      <c r="S79" s="6">
        <v>1152.0</v>
      </c>
      <c r="T79" s="6">
        <v>2060.0</v>
      </c>
      <c r="U79" s="6">
        <v>2864.0</v>
      </c>
      <c r="V79" s="6">
        <v>27.2589</v>
      </c>
      <c r="W79" s="6">
        <v>71.6136</v>
      </c>
      <c r="X79" s="6">
        <v>133.6634</v>
      </c>
      <c r="Y79" s="6">
        <v>191.4892</v>
      </c>
      <c r="Z79" s="6">
        <v>270.1714</v>
      </c>
      <c r="AA79" s="6">
        <v>606.39</v>
      </c>
      <c r="AB79" s="6">
        <v>1066.567</v>
      </c>
      <c r="AC79" s="6">
        <v>1349.605</v>
      </c>
      <c r="AD79" s="6">
        <v>868.0</v>
      </c>
      <c r="AE79" s="6">
        <v>2136.0</v>
      </c>
      <c r="AF79" s="6">
        <v>2974.0</v>
      </c>
      <c r="AG79" s="6">
        <v>2964.0</v>
      </c>
      <c r="AH79" s="6">
        <v>46.0</v>
      </c>
      <c r="AI79" s="6">
        <v>96.0</v>
      </c>
      <c r="AJ79" s="6">
        <v>172.0</v>
      </c>
      <c r="AK79" s="6">
        <v>226.0</v>
      </c>
      <c r="AL79" s="6">
        <v>268.0</v>
      </c>
      <c r="AM79" s="6">
        <v>688.0</v>
      </c>
      <c r="AN79" s="6">
        <v>1010.0</v>
      </c>
      <c r="AO79" s="6">
        <v>1116.0</v>
      </c>
      <c r="AP79" s="6">
        <v>16.2078</v>
      </c>
      <c r="AQ79" s="6">
        <v>41.8264</v>
      </c>
      <c r="AR79" s="6">
        <v>64.858</v>
      </c>
      <c r="AS79" s="6">
        <v>75.133</v>
      </c>
      <c r="AT79" s="6">
        <v>154.1777</v>
      </c>
      <c r="AU79" s="6">
        <v>286.9988</v>
      </c>
      <c r="AV79" s="6">
        <v>542.3799</v>
      </c>
      <c r="AW79" s="6">
        <v>614.1626</v>
      </c>
      <c r="AX79" s="6">
        <v>774.0</v>
      </c>
      <c r="AY79" s="6">
        <v>1568.0</v>
      </c>
      <c r="AZ79" s="6">
        <v>2339.333</v>
      </c>
      <c r="BA79" s="6">
        <v>1852.0</v>
      </c>
      <c r="BB79" s="6">
        <v>20.66667</v>
      </c>
      <c r="BC79" s="6">
        <v>41.33333</v>
      </c>
      <c r="BD79" s="6">
        <v>73.33333</v>
      </c>
      <c r="BE79" s="6">
        <v>87.33333</v>
      </c>
      <c r="BF79" s="6">
        <v>114.6667</v>
      </c>
      <c r="BG79" s="6">
        <v>282.6667</v>
      </c>
      <c r="BH79" s="6">
        <v>376.6667</v>
      </c>
      <c r="BI79" s="6">
        <v>384.0</v>
      </c>
      <c r="BJ79" s="6">
        <v>8.565467</v>
      </c>
      <c r="BK79" s="6">
        <v>20.15453</v>
      </c>
      <c r="BL79" s="6">
        <v>30.91253</v>
      </c>
      <c r="BM79" s="6">
        <v>31.26393</v>
      </c>
      <c r="BN79" s="6">
        <v>9.2416</v>
      </c>
      <c r="BO79" s="6">
        <v>15.504</v>
      </c>
      <c r="BP79" s="6">
        <v>29.944</v>
      </c>
      <c r="BQ79" s="6">
        <v>43.7456</v>
      </c>
      <c r="BR79" s="6">
        <v>49.0</v>
      </c>
      <c r="BS79" s="6">
        <v>84.0</v>
      </c>
      <c r="BT79" s="6">
        <v>133.0</v>
      </c>
      <c r="BU79" s="6">
        <v>119.0</v>
      </c>
      <c r="BV79" s="6">
        <v>1.0</v>
      </c>
      <c r="BW79" s="6">
        <v>2.0</v>
      </c>
      <c r="BX79" s="6">
        <v>4.0</v>
      </c>
      <c r="BY79" s="6">
        <v>6.0</v>
      </c>
      <c r="BZ79" s="6">
        <v>4.0</v>
      </c>
      <c r="CA79" s="6">
        <v>12.0</v>
      </c>
      <c r="CB79" s="6">
        <v>22.0</v>
      </c>
      <c r="CC79" s="6">
        <v>20.0</v>
      </c>
      <c r="CD79" s="6">
        <v>0.5625</v>
      </c>
      <c r="CE79" s="6">
        <v>1.155</v>
      </c>
      <c r="CF79" s="6">
        <v>2.01</v>
      </c>
      <c r="CG79" s="6">
        <v>2.25</v>
      </c>
      <c r="CH79" s="6">
        <v>10.9696</v>
      </c>
      <c r="CI79" s="6">
        <v>13.6688</v>
      </c>
      <c r="CJ79" s="6">
        <v>42.75413</v>
      </c>
      <c r="CK79" s="6">
        <v>45.22213</v>
      </c>
      <c r="CL79" s="6">
        <v>59.0</v>
      </c>
      <c r="CM79" s="6">
        <v>127.3333</v>
      </c>
      <c r="CN79" s="6">
        <v>173.3333</v>
      </c>
      <c r="CO79" s="6">
        <v>205.8333</v>
      </c>
      <c r="CP79" s="6">
        <v>1.0</v>
      </c>
      <c r="CQ79" s="6">
        <v>1.666667</v>
      </c>
      <c r="CR79" s="6">
        <v>5.0</v>
      </c>
      <c r="CS79" s="6">
        <v>4.333333</v>
      </c>
      <c r="CT79" s="6">
        <v>3.666667</v>
      </c>
      <c r="CU79" s="6">
        <v>14.66667</v>
      </c>
      <c r="CV79" s="6">
        <v>21.0</v>
      </c>
      <c r="CW79" s="6">
        <v>15.5</v>
      </c>
      <c r="CX79" s="6">
        <v>0.542767</v>
      </c>
      <c r="CY79" s="6">
        <v>1.0739</v>
      </c>
      <c r="CZ79" s="6">
        <v>2.217767</v>
      </c>
      <c r="DA79" s="6">
        <v>2.0241</v>
      </c>
      <c r="DB79" s="6">
        <v>0.0</v>
      </c>
      <c r="DC79" s="6">
        <v>0.98</v>
      </c>
      <c r="DD79" s="6">
        <v>2.31</v>
      </c>
      <c r="DE79" s="6">
        <v>3.85</v>
      </c>
      <c r="DF79" s="6">
        <v>0.0</v>
      </c>
      <c r="DG79" s="6">
        <v>2.0</v>
      </c>
      <c r="DH79" s="6">
        <v>9.0</v>
      </c>
      <c r="DI79" s="6">
        <v>25.0</v>
      </c>
      <c r="DJ79" s="6">
        <v>0.0</v>
      </c>
      <c r="DK79" s="6">
        <v>0.0</v>
      </c>
      <c r="DL79" s="6">
        <v>0.0</v>
      </c>
      <c r="DM79" s="6">
        <v>0.0</v>
      </c>
      <c r="DN79" s="6">
        <v>0.0</v>
      </c>
      <c r="DO79" s="6">
        <v>-2.0</v>
      </c>
      <c r="DP79" s="6">
        <v>-3.0</v>
      </c>
      <c r="DQ79" s="6">
        <v>2.0</v>
      </c>
      <c r="DR79" s="6">
        <v>0.0</v>
      </c>
      <c r="DS79" s="6">
        <v>-0.04</v>
      </c>
      <c r="DT79" s="6">
        <v>0.32</v>
      </c>
      <c r="DU79" s="6">
        <v>1.5</v>
      </c>
      <c r="DV79" s="6">
        <v>0.0</v>
      </c>
      <c r="DW79" s="6">
        <v>1.063333</v>
      </c>
      <c r="DX79" s="6">
        <v>2.763333</v>
      </c>
      <c r="DY79" s="6">
        <v>0.145</v>
      </c>
      <c r="DZ79" s="6">
        <v>0.0</v>
      </c>
      <c r="EA79" s="6">
        <v>-4.33333</v>
      </c>
      <c r="EB79" s="6">
        <v>14.33333</v>
      </c>
      <c r="EC79" s="6">
        <v>5.5</v>
      </c>
      <c r="ED79" s="6">
        <v>0.0</v>
      </c>
      <c r="EE79" s="6">
        <v>0.0</v>
      </c>
      <c r="EF79" s="6">
        <v>0.0</v>
      </c>
      <c r="EG79" s="6">
        <v>0.0</v>
      </c>
      <c r="EH79" s="6">
        <v>0.0</v>
      </c>
      <c r="EI79" s="6">
        <v>-3.0</v>
      </c>
      <c r="EJ79" s="6">
        <v>1.333333</v>
      </c>
      <c r="EK79" s="6">
        <v>2.5</v>
      </c>
      <c r="EL79" s="6">
        <v>0.0</v>
      </c>
      <c r="EM79" s="6">
        <v>-0.21333</v>
      </c>
      <c r="EN79" s="6">
        <v>0.713333</v>
      </c>
      <c r="EO79" s="6">
        <v>0.473333</v>
      </c>
      <c r="EP79" s="6">
        <v>3.3489</v>
      </c>
      <c r="EQ79" s="6">
        <v>34.8432</v>
      </c>
      <c r="ER79" s="6">
        <v>56.1078</v>
      </c>
      <c r="ES79" s="6">
        <v>118.8768</v>
      </c>
      <c r="ET79" s="6">
        <v>676.0</v>
      </c>
      <c r="EU79" s="6">
        <v>1144.0</v>
      </c>
      <c r="EV79" s="6">
        <v>2392.0</v>
      </c>
      <c r="EW79" s="6">
        <v>2444.0</v>
      </c>
      <c r="EX79" s="6">
        <v>1.0</v>
      </c>
      <c r="EY79" s="6">
        <v>6.0</v>
      </c>
      <c r="EZ79" s="6">
        <v>12.0</v>
      </c>
      <c r="FA79" s="6">
        <v>26.0</v>
      </c>
      <c r="FB79" s="6">
        <v>36.0</v>
      </c>
      <c r="FC79" s="6">
        <v>108.0</v>
      </c>
      <c r="FD79" s="6">
        <v>264.0</v>
      </c>
      <c r="FE79" s="6">
        <v>276.0</v>
      </c>
      <c r="FF79" s="6">
        <v>1.5625</v>
      </c>
      <c r="FG79" s="6">
        <v>5.575</v>
      </c>
      <c r="FH79" s="6">
        <v>12.175</v>
      </c>
      <c r="FI79" s="6">
        <v>17.825</v>
      </c>
      <c r="FJ79" s="6">
        <v>0.0</v>
      </c>
      <c r="FK79" s="6">
        <v>-8.06</v>
      </c>
      <c r="FL79" s="6">
        <v>-8.7</v>
      </c>
      <c r="FM79" s="6">
        <v>-17.38</v>
      </c>
      <c r="FN79" s="6">
        <v>0.0</v>
      </c>
      <c r="FO79" s="6">
        <v>112.0</v>
      </c>
      <c r="FP79" s="6">
        <v>220.0</v>
      </c>
      <c r="FQ79" s="6">
        <v>582.0</v>
      </c>
      <c r="FR79" s="6">
        <v>0.0</v>
      </c>
      <c r="FS79" s="6">
        <v>0.0</v>
      </c>
      <c r="FT79" s="6">
        <v>0.0</v>
      </c>
      <c r="FU79" s="6">
        <v>0.0</v>
      </c>
      <c r="FV79" s="6">
        <v>0.0</v>
      </c>
      <c r="FW79" s="6">
        <v>18.0</v>
      </c>
      <c r="FX79" s="6">
        <v>28.0</v>
      </c>
      <c r="FY79" s="6">
        <v>110.0</v>
      </c>
      <c r="FZ79" s="6">
        <v>0.0</v>
      </c>
      <c r="GA79" s="6">
        <v>3.04</v>
      </c>
      <c r="GB79" s="6">
        <v>5.26</v>
      </c>
      <c r="GC79" s="6">
        <v>18.24</v>
      </c>
      <c r="GD79" s="6">
        <v>-18.33155889</v>
      </c>
      <c r="GE79" s="1" t="s">
        <v>1351</v>
      </c>
      <c r="GF79" s="1" t="s">
        <v>1430</v>
      </c>
    </row>
    <row r="80">
      <c r="A80" s="1" t="s">
        <v>201</v>
      </c>
      <c r="B80" s="6">
        <v>4.0</v>
      </c>
      <c r="C80" s="6">
        <v>0.0</v>
      </c>
      <c r="D80" s="6">
        <v>2.0</v>
      </c>
      <c r="E80" s="6">
        <v>0.0</v>
      </c>
      <c r="F80" s="6">
        <v>475.5621</v>
      </c>
      <c r="G80" s="6">
        <v>940.1178</v>
      </c>
      <c r="H80" s="6">
        <v>2027.992</v>
      </c>
      <c r="I80" s="6">
        <v>2804.197</v>
      </c>
      <c r="J80" s="6">
        <v>3000.0</v>
      </c>
      <c r="K80" s="6">
        <v>6944.0</v>
      </c>
      <c r="L80" s="6">
        <v>13264.0</v>
      </c>
      <c r="M80" s="6">
        <v>15872.0</v>
      </c>
      <c r="N80" s="6">
        <v>65.0</v>
      </c>
      <c r="O80" s="6">
        <v>138.0</v>
      </c>
      <c r="P80" s="6">
        <v>274.0</v>
      </c>
      <c r="Q80" s="6">
        <v>396.0</v>
      </c>
      <c r="R80" s="6">
        <v>412.0</v>
      </c>
      <c r="S80" s="6">
        <v>1124.0</v>
      </c>
      <c r="T80" s="6">
        <v>1958.0</v>
      </c>
      <c r="U80" s="6">
        <v>2736.0</v>
      </c>
      <c r="V80" s="6">
        <v>27.5327</v>
      </c>
      <c r="W80" s="6">
        <v>71.5674</v>
      </c>
      <c r="X80" s="6">
        <v>131.0074</v>
      </c>
      <c r="Y80" s="6">
        <v>187.3864</v>
      </c>
      <c r="Z80" s="6">
        <v>279.8514</v>
      </c>
      <c r="AA80" s="6">
        <v>615.825</v>
      </c>
      <c r="AB80" s="6">
        <v>1053.316</v>
      </c>
      <c r="AC80" s="6">
        <v>1247.604</v>
      </c>
      <c r="AD80" s="6">
        <v>870.0</v>
      </c>
      <c r="AE80" s="6">
        <v>2088.0</v>
      </c>
      <c r="AF80" s="6">
        <v>2824.0</v>
      </c>
      <c r="AG80" s="6">
        <v>2966.0</v>
      </c>
      <c r="AH80" s="6">
        <v>48.0</v>
      </c>
      <c r="AI80" s="6">
        <v>98.0</v>
      </c>
      <c r="AJ80" s="6">
        <v>172.0</v>
      </c>
      <c r="AK80" s="6">
        <v>206.0</v>
      </c>
      <c r="AL80" s="6">
        <v>270.0</v>
      </c>
      <c r="AM80" s="6">
        <v>660.0</v>
      </c>
      <c r="AN80" s="6">
        <v>920.0</v>
      </c>
      <c r="AO80" s="6">
        <v>1062.0</v>
      </c>
      <c r="AP80" s="6">
        <v>16.4816</v>
      </c>
      <c r="AQ80" s="6">
        <v>41.7802</v>
      </c>
      <c r="AR80" s="6">
        <v>62.202</v>
      </c>
      <c r="AS80" s="6">
        <v>73.0302</v>
      </c>
      <c r="AT80" s="6">
        <v>157.4044</v>
      </c>
      <c r="AU80" s="6">
        <v>290.1438</v>
      </c>
      <c r="AV80" s="6">
        <v>537.9629</v>
      </c>
      <c r="AW80" s="6">
        <v>580.1623</v>
      </c>
      <c r="AX80" s="6">
        <v>774.6667</v>
      </c>
      <c r="AY80" s="6">
        <v>1552.0</v>
      </c>
      <c r="AZ80" s="6">
        <v>2289.333</v>
      </c>
      <c r="BA80" s="6">
        <v>1852.667</v>
      </c>
      <c r="BB80" s="6">
        <v>21.33333</v>
      </c>
      <c r="BC80" s="6">
        <v>42.0</v>
      </c>
      <c r="BD80" s="6">
        <v>73.33333</v>
      </c>
      <c r="BE80" s="6">
        <v>80.66667</v>
      </c>
      <c r="BF80" s="6">
        <v>115.3333</v>
      </c>
      <c r="BG80" s="6">
        <v>273.3333</v>
      </c>
      <c r="BH80" s="6">
        <v>346.6667</v>
      </c>
      <c r="BI80" s="6">
        <v>366.0</v>
      </c>
      <c r="BJ80" s="6">
        <v>8.656733</v>
      </c>
      <c r="BK80" s="6">
        <v>20.13913</v>
      </c>
      <c r="BL80" s="6">
        <v>30.0272</v>
      </c>
      <c r="BM80" s="6">
        <v>30.563</v>
      </c>
      <c r="BN80" s="6">
        <v>9.2416</v>
      </c>
      <c r="BO80" s="6">
        <v>15.504</v>
      </c>
      <c r="BP80" s="6">
        <v>29.944</v>
      </c>
      <c r="BQ80" s="6">
        <v>44.8096</v>
      </c>
      <c r="BR80" s="6">
        <v>49.0</v>
      </c>
      <c r="BS80" s="6">
        <v>84.0</v>
      </c>
      <c r="BT80" s="6">
        <v>133.0</v>
      </c>
      <c r="BU80" s="6">
        <v>154.0</v>
      </c>
      <c r="BV80" s="6">
        <v>1.0</v>
      </c>
      <c r="BW80" s="6">
        <v>2.0</v>
      </c>
      <c r="BX80" s="6">
        <v>4.0</v>
      </c>
      <c r="BY80" s="6">
        <v>6.0</v>
      </c>
      <c r="BZ80" s="6">
        <v>4.0</v>
      </c>
      <c r="CA80" s="6">
        <v>12.0</v>
      </c>
      <c r="CB80" s="6">
        <v>22.0</v>
      </c>
      <c r="CC80" s="6">
        <v>26.0</v>
      </c>
      <c r="CD80" s="6">
        <v>0.5625</v>
      </c>
      <c r="CE80" s="6">
        <v>1.155</v>
      </c>
      <c r="CF80" s="6">
        <v>2.01</v>
      </c>
      <c r="CG80" s="6">
        <v>2.55</v>
      </c>
      <c r="CH80" s="6">
        <v>10.9696</v>
      </c>
      <c r="CI80" s="6">
        <v>13.6688</v>
      </c>
      <c r="CJ80" s="6">
        <v>42.39947</v>
      </c>
      <c r="CK80" s="6">
        <v>40.58613</v>
      </c>
      <c r="CL80" s="6">
        <v>59.0</v>
      </c>
      <c r="CM80" s="6">
        <v>127.3333</v>
      </c>
      <c r="CN80" s="6">
        <v>161.6667</v>
      </c>
      <c r="CO80" s="6">
        <v>195.3333</v>
      </c>
      <c r="CP80" s="6">
        <v>1.0</v>
      </c>
      <c r="CQ80" s="6">
        <v>1.666667</v>
      </c>
      <c r="CR80" s="6">
        <v>5.0</v>
      </c>
      <c r="CS80" s="6">
        <v>3.666667</v>
      </c>
      <c r="CT80" s="6">
        <v>3.666667</v>
      </c>
      <c r="CU80" s="6">
        <v>14.66667</v>
      </c>
      <c r="CV80" s="6">
        <v>18.0</v>
      </c>
      <c r="CW80" s="6">
        <v>12.0</v>
      </c>
      <c r="CX80" s="6">
        <v>0.542767</v>
      </c>
      <c r="CY80" s="6">
        <v>1.0739</v>
      </c>
      <c r="CZ80" s="6">
        <v>2.117767</v>
      </c>
      <c r="DA80" s="6">
        <v>1.7891</v>
      </c>
      <c r="DB80" s="6">
        <v>0.0</v>
      </c>
      <c r="DC80" s="6">
        <v>0.98</v>
      </c>
      <c r="DD80" s="6">
        <v>2.31</v>
      </c>
      <c r="DE80" s="6">
        <v>3.5</v>
      </c>
      <c r="DF80" s="6">
        <v>0.0</v>
      </c>
      <c r="DG80" s="6">
        <v>2.0</v>
      </c>
      <c r="DH80" s="6">
        <v>9.0</v>
      </c>
      <c r="DI80" s="6">
        <v>20.0</v>
      </c>
      <c r="DJ80" s="6">
        <v>0.0</v>
      </c>
      <c r="DK80" s="6">
        <v>0.0</v>
      </c>
      <c r="DL80" s="6">
        <v>0.0</v>
      </c>
      <c r="DM80" s="6">
        <v>0.0</v>
      </c>
      <c r="DN80" s="6">
        <v>0.0</v>
      </c>
      <c r="DO80" s="6">
        <v>-2.0</v>
      </c>
      <c r="DP80" s="6">
        <v>-3.0</v>
      </c>
      <c r="DQ80" s="6">
        <v>-1.0</v>
      </c>
      <c r="DR80" s="6">
        <v>0.0</v>
      </c>
      <c r="DS80" s="6">
        <v>-0.04</v>
      </c>
      <c r="DT80" s="6">
        <v>0.32</v>
      </c>
      <c r="DU80" s="6">
        <v>1.1</v>
      </c>
      <c r="DV80" s="6">
        <v>0.0</v>
      </c>
      <c r="DW80" s="6">
        <v>1.063333</v>
      </c>
      <c r="DX80" s="6">
        <v>2.88</v>
      </c>
      <c r="DY80" s="6">
        <v>-0.35667</v>
      </c>
      <c r="DZ80" s="6">
        <v>0.0</v>
      </c>
      <c r="EA80" s="6">
        <v>-4.33333</v>
      </c>
      <c r="EB80" s="6">
        <v>16.0</v>
      </c>
      <c r="EC80" s="6">
        <v>2.333333</v>
      </c>
      <c r="ED80" s="6">
        <v>0.0</v>
      </c>
      <c r="EE80" s="6">
        <v>0.0</v>
      </c>
      <c r="EF80" s="6">
        <v>0.0</v>
      </c>
      <c r="EG80" s="6">
        <v>0.0</v>
      </c>
      <c r="EH80" s="6">
        <v>0.0</v>
      </c>
      <c r="EI80" s="6">
        <v>-3.0</v>
      </c>
      <c r="EJ80" s="6">
        <v>2.333333</v>
      </c>
      <c r="EK80" s="6">
        <v>1.666667</v>
      </c>
      <c r="EL80" s="6">
        <v>0.0</v>
      </c>
      <c r="EM80" s="6">
        <v>-0.21333</v>
      </c>
      <c r="EN80" s="6">
        <v>0.846667</v>
      </c>
      <c r="EO80" s="6">
        <v>0.286667</v>
      </c>
      <c r="EP80" s="6">
        <v>3.3489</v>
      </c>
      <c r="EQ80" s="6">
        <v>34.8432</v>
      </c>
      <c r="ER80" s="6">
        <v>56.1078</v>
      </c>
      <c r="ES80" s="6">
        <v>117.5958</v>
      </c>
      <c r="ET80" s="6">
        <v>676.0</v>
      </c>
      <c r="EU80" s="6">
        <v>1144.0</v>
      </c>
      <c r="EV80" s="6">
        <v>2392.0</v>
      </c>
      <c r="EW80" s="6">
        <v>2184.0</v>
      </c>
      <c r="EX80" s="6">
        <v>1.0</v>
      </c>
      <c r="EY80" s="6">
        <v>6.0</v>
      </c>
      <c r="EZ80" s="6">
        <v>12.0</v>
      </c>
      <c r="FA80" s="6">
        <v>26.0</v>
      </c>
      <c r="FB80" s="6">
        <v>36.0</v>
      </c>
      <c r="FC80" s="6">
        <v>108.0</v>
      </c>
      <c r="FD80" s="6">
        <v>264.0</v>
      </c>
      <c r="FE80" s="6">
        <v>240.0</v>
      </c>
      <c r="FF80" s="6">
        <v>1.5625</v>
      </c>
      <c r="FG80" s="6">
        <v>5.575</v>
      </c>
      <c r="FH80" s="6">
        <v>12.175</v>
      </c>
      <c r="FI80" s="6">
        <v>16.825</v>
      </c>
      <c r="FJ80" s="6">
        <v>0.0</v>
      </c>
      <c r="FK80" s="6">
        <v>-8.06</v>
      </c>
      <c r="FL80" s="6">
        <v>-8.7</v>
      </c>
      <c r="FM80" s="6">
        <v>-16.68</v>
      </c>
      <c r="FN80" s="6">
        <v>0.0</v>
      </c>
      <c r="FO80" s="6">
        <v>112.0</v>
      </c>
      <c r="FP80" s="6">
        <v>220.0</v>
      </c>
      <c r="FQ80" s="6">
        <v>592.0</v>
      </c>
      <c r="FR80" s="6">
        <v>0.0</v>
      </c>
      <c r="FS80" s="6">
        <v>0.0</v>
      </c>
      <c r="FT80" s="6">
        <v>0.0</v>
      </c>
      <c r="FU80" s="6">
        <v>0.0</v>
      </c>
      <c r="FV80" s="6">
        <v>0.0</v>
      </c>
      <c r="FW80" s="6">
        <v>18.0</v>
      </c>
      <c r="FX80" s="6">
        <v>28.0</v>
      </c>
      <c r="FY80" s="6">
        <v>116.0</v>
      </c>
      <c r="FZ80" s="6">
        <v>0.0</v>
      </c>
      <c r="GA80" s="6">
        <v>3.04</v>
      </c>
      <c r="GB80" s="6">
        <v>5.26</v>
      </c>
      <c r="GC80" s="6">
        <v>19.04</v>
      </c>
      <c r="GD80" s="6">
        <v>-18.24810099</v>
      </c>
      <c r="GE80" s="1" t="s">
        <v>1351</v>
      </c>
      <c r="GF80" s="1" t="s">
        <v>1431</v>
      </c>
    </row>
    <row r="81">
      <c r="A81" s="1" t="s">
        <v>203</v>
      </c>
      <c r="B81" s="6">
        <v>4.0</v>
      </c>
      <c r="C81" s="6">
        <v>0.0</v>
      </c>
      <c r="D81" s="6">
        <v>2.0</v>
      </c>
      <c r="E81" s="6">
        <v>0.0</v>
      </c>
      <c r="F81" s="6">
        <v>475.5621</v>
      </c>
      <c r="G81" s="6">
        <v>940.1178</v>
      </c>
      <c r="H81" s="6">
        <v>2028.678</v>
      </c>
      <c r="I81" s="6">
        <v>2815.929</v>
      </c>
      <c r="J81" s="6">
        <v>3000.0</v>
      </c>
      <c r="K81" s="6">
        <v>6944.0</v>
      </c>
      <c r="L81" s="6">
        <v>13284.0</v>
      </c>
      <c r="M81" s="6">
        <v>16364.0</v>
      </c>
      <c r="N81" s="6">
        <v>65.0</v>
      </c>
      <c r="O81" s="6">
        <v>138.0</v>
      </c>
      <c r="P81" s="6">
        <v>274.0</v>
      </c>
      <c r="Q81" s="6">
        <v>396.0</v>
      </c>
      <c r="R81" s="6">
        <v>412.0</v>
      </c>
      <c r="S81" s="6">
        <v>1124.0</v>
      </c>
      <c r="T81" s="6">
        <v>1958.0</v>
      </c>
      <c r="U81" s="6">
        <v>2796.0</v>
      </c>
      <c r="V81" s="6">
        <v>27.5327</v>
      </c>
      <c r="W81" s="6">
        <v>71.5674</v>
      </c>
      <c r="X81" s="6">
        <v>130.9754</v>
      </c>
      <c r="Y81" s="6">
        <v>188.7376</v>
      </c>
      <c r="Z81" s="6">
        <v>279.8514</v>
      </c>
      <c r="AA81" s="6">
        <v>615.825</v>
      </c>
      <c r="AB81" s="6">
        <v>1054.002</v>
      </c>
      <c r="AC81" s="6">
        <v>1256.774</v>
      </c>
      <c r="AD81" s="6">
        <v>870.0</v>
      </c>
      <c r="AE81" s="6">
        <v>2088.0</v>
      </c>
      <c r="AF81" s="6">
        <v>2844.0</v>
      </c>
      <c r="AG81" s="6">
        <v>2938.0</v>
      </c>
      <c r="AH81" s="6">
        <v>48.0</v>
      </c>
      <c r="AI81" s="6">
        <v>98.0</v>
      </c>
      <c r="AJ81" s="6">
        <v>172.0</v>
      </c>
      <c r="AK81" s="6">
        <v>206.0</v>
      </c>
      <c r="AL81" s="6">
        <v>270.0</v>
      </c>
      <c r="AM81" s="6">
        <v>660.0</v>
      </c>
      <c r="AN81" s="6">
        <v>908.0</v>
      </c>
      <c r="AO81" s="6">
        <v>1050.0</v>
      </c>
      <c r="AP81" s="6">
        <v>16.4816</v>
      </c>
      <c r="AQ81" s="6">
        <v>41.7802</v>
      </c>
      <c r="AR81" s="6">
        <v>62.17</v>
      </c>
      <c r="AS81" s="6">
        <v>72.3814</v>
      </c>
      <c r="AT81" s="6">
        <v>157.4044</v>
      </c>
      <c r="AU81" s="6">
        <v>290.1438</v>
      </c>
      <c r="AV81" s="6">
        <v>538.1916</v>
      </c>
      <c r="AW81" s="6">
        <v>583.2189</v>
      </c>
      <c r="AX81" s="6">
        <v>774.6667</v>
      </c>
      <c r="AY81" s="6">
        <v>1552.0</v>
      </c>
      <c r="AZ81" s="6">
        <v>2296.0</v>
      </c>
      <c r="BA81" s="6">
        <v>1843.333</v>
      </c>
      <c r="BB81" s="6">
        <v>21.33333</v>
      </c>
      <c r="BC81" s="6">
        <v>42.0</v>
      </c>
      <c r="BD81" s="6">
        <v>73.33333</v>
      </c>
      <c r="BE81" s="6">
        <v>80.66667</v>
      </c>
      <c r="BF81" s="6">
        <v>115.3333</v>
      </c>
      <c r="BG81" s="6">
        <v>273.3333</v>
      </c>
      <c r="BH81" s="6">
        <v>342.6667</v>
      </c>
      <c r="BI81" s="6">
        <v>362.0</v>
      </c>
      <c r="BJ81" s="6">
        <v>8.656733</v>
      </c>
      <c r="BK81" s="6">
        <v>20.13913</v>
      </c>
      <c r="BL81" s="6">
        <v>30.01653</v>
      </c>
      <c r="BM81" s="6">
        <v>30.34673</v>
      </c>
      <c r="BN81" s="6">
        <v>9.2416</v>
      </c>
      <c r="BO81" s="6">
        <v>15.504</v>
      </c>
      <c r="BP81" s="6">
        <v>31.008</v>
      </c>
      <c r="BQ81" s="6">
        <v>63.8096</v>
      </c>
      <c r="BR81" s="6">
        <v>49.0</v>
      </c>
      <c r="BS81" s="6">
        <v>84.0</v>
      </c>
      <c r="BT81" s="6">
        <v>168.0</v>
      </c>
      <c r="BU81" s="6">
        <v>140.0</v>
      </c>
      <c r="BV81" s="6">
        <v>1.0</v>
      </c>
      <c r="BW81" s="6">
        <v>2.0</v>
      </c>
      <c r="BX81" s="6">
        <v>4.0</v>
      </c>
      <c r="BY81" s="6">
        <v>9.0</v>
      </c>
      <c r="BZ81" s="6">
        <v>4.0</v>
      </c>
      <c r="CA81" s="6">
        <v>12.0</v>
      </c>
      <c r="CB81" s="6">
        <v>28.0</v>
      </c>
      <c r="CC81" s="6">
        <v>26.0</v>
      </c>
      <c r="CD81" s="6">
        <v>0.5625</v>
      </c>
      <c r="CE81" s="6">
        <v>1.155</v>
      </c>
      <c r="CF81" s="6">
        <v>2.31</v>
      </c>
      <c r="CG81" s="6">
        <v>3.0825</v>
      </c>
      <c r="CH81" s="6">
        <v>10.9696</v>
      </c>
      <c r="CI81" s="6">
        <v>13.6688</v>
      </c>
      <c r="CJ81" s="6">
        <v>42.39947</v>
      </c>
      <c r="CK81" s="6">
        <v>40.58613</v>
      </c>
      <c r="CL81" s="6">
        <v>59.0</v>
      </c>
      <c r="CM81" s="6">
        <v>127.3333</v>
      </c>
      <c r="CN81" s="6">
        <v>161.6667</v>
      </c>
      <c r="CO81" s="6">
        <v>195.3333</v>
      </c>
      <c r="CP81" s="6">
        <v>1.0</v>
      </c>
      <c r="CQ81" s="6">
        <v>1.666667</v>
      </c>
      <c r="CR81" s="6">
        <v>5.0</v>
      </c>
      <c r="CS81" s="6">
        <v>3.666667</v>
      </c>
      <c r="CT81" s="6">
        <v>3.666667</v>
      </c>
      <c r="CU81" s="6">
        <v>14.66667</v>
      </c>
      <c r="CV81" s="6">
        <v>18.0</v>
      </c>
      <c r="CW81" s="6">
        <v>12.0</v>
      </c>
      <c r="CX81" s="6">
        <v>0.542767</v>
      </c>
      <c r="CY81" s="6">
        <v>1.0739</v>
      </c>
      <c r="CZ81" s="6">
        <v>2.117767</v>
      </c>
      <c r="DA81" s="6">
        <v>1.7891</v>
      </c>
      <c r="DB81" s="6">
        <v>0.0</v>
      </c>
      <c r="DC81" s="6">
        <v>0.98</v>
      </c>
      <c r="DD81" s="6">
        <v>1.96</v>
      </c>
      <c r="DE81" s="6">
        <v>6.37</v>
      </c>
      <c r="DF81" s="6">
        <v>0.0</v>
      </c>
      <c r="DG81" s="6">
        <v>2.0</v>
      </c>
      <c r="DH81" s="6">
        <v>4.0</v>
      </c>
      <c r="DI81" s="6">
        <v>43.0</v>
      </c>
      <c r="DJ81" s="6">
        <v>0.0</v>
      </c>
      <c r="DK81" s="6">
        <v>0.0</v>
      </c>
      <c r="DL81" s="6">
        <v>0.0</v>
      </c>
      <c r="DM81" s="6">
        <v>0.0</v>
      </c>
      <c r="DN81" s="6">
        <v>0.0</v>
      </c>
      <c r="DO81" s="6">
        <v>-2.0</v>
      </c>
      <c r="DP81" s="6">
        <v>-6.0</v>
      </c>
      <c r="DQ81" s="6">
        <v>5.0</v>
      </c>
      <c r="DR81" s="6">
        <v>0.0</v>
      </c>
      <c r="DS81" s="6">
        <v>-0.04</v>
      </c>
      <c r="DT81" s="6">
        <v>-0.08</v>
      </c>
      <c r="DU81" s="6">
        <v>2.64</v>
      </c>
      <c r="DV81" s="6">
        <v>0.0</v>
      </c>
      <c r="DW81" s="6">
        <v>1.063333</v>
      </c>
      <c r="DX81" s="6">
        <v>2.88</v>
      </c>
      <c r="DY81" s="6">
        <v>-0.35667</v>
      </c>
      <c r="DZ81" s="6">
        <v>0.0</v>
      </c>
      <c r="EA81" s="6">
        <v>-4.33333</v>
      </c>
      <c r="EB81" s="6">
        <v>16.0</v>
      </c>
      <c r="EC81" s="6">
        <v>2.333333</v>
      </c>
      <c r="ED81" s="6">
        <v>0.0</v>
      </c>
      <c r="EE81" s="6">
        <v>0.0</v>
      </c>
      <c r="EF81" s="6">
        <v>0.0</v>
      </c>
      <c r="EG81" s="6">
        <v>0.0</v>
      </c>
      <c r="EH81" s="6">
        <v>0.0</v>
      </c>
      <c r="EI81" s="6">
        <v>-3.0</v>
      </c>
      <c r="EJ81" s="6">
        <v>2.333333</v>
      </c>
      <c r="EK81" s="6">
        <v>1.666667</v>
      </c>
      <c r="EL81" s="6">
        <v>0.0</v>
      </c>
      <c r="EM81" s="6">
        <v>-0.21333</v>
      </c>
      <c r="EN81" s="6">
        <v>0.846667</v>
      </c>
      <c r="EO81" s="6">
        <v>0.286667</v>
      </c>
      <c r="EP81" s="6">
        <v>3.3489</v>
      </c>
      <c r="EQ81" s="6">
        <v>34.8432</v>
      </c>
      <c r="ER81" s="6">
        <v>56.1078</v>
      </c>
      <c r="ES81" s="6">
        <v>118.8768</v>
      </c>
      <c r="ET81" s="6">
        <v>676.0</v>
      </c>
      <c r="EU81" s="6">
        <v>1144.0</v>
      </c>
      <c r="EV81" s="6">
        <v>2392.0</v>
      </c>
      <c r="EW81" s="6">
        <v>2444.0</v>
      </c>
      <c r="EX81" s="6">
        <v>1.0</v>
      </c>
      <c r="EY81" s="6">
        <v>6.0</v>
      </c>
      <c r="EZ81" s="6">
        <v>12.0</v>
      </c>
      <c r="FA81" s="6">
        <v>26.0</v>
      </c>
      <c r="FB81" s="6">
        <v>36.0</v>
      </c>
      <c r="FC81" s="6">
        <v>108.0</v>
      </c>
      <c r="FD81" s="6">
        <v>264.0</v>
      </c>
      <c r="FE81" s="6">
        <v>276.0</v>
      </c>
      <c r="FF81" s="6">
        <v>1.5625</v>
      </c>
      <c r="FG81" s="6">
        <v>5.575</v>
      </c>
      <c r="FH81" s="6">
        <v>12.175</v>
      </c>
      <c r="FI81" s="6">
        <v>17.825</v>
      </c>
      <c r="FJ81" s="6">
        <v>0.0</v>
      </c>
      <c r="FK81" s="6">
        <v>-8.06</v>
      </c>
      <c r="FL81" s="6">
        <v>-8.7</v>
      </c>
      <c r="FM81" s="6">
        <v>-17.38</v>
      </c>
      <c r="FN81" s="6">
        <v>0.0</v>
      </c>
      <c r="FO81" s="6">
        <v>112.0</v>
      </c>
      <c r="FP81" s="6">
        <v>220.0</v>
      </c>
      <c r="FQ81" s="6">
        <v>582.0</v>
      </c>
      <c r="FR81" s="6">
        <v>0.0</v>
      </c>
      <c r="FS81" s="6">
        <v>0.0</v>
      </c>
      <c r="FT81" s="6">
        <v>0.0</v>
      </c>
      <c r="FU81" s="6">
        <v>0.0</v>
      </c>
      <c r="FV81" s="6">
        <v>0.0</v>
      </c>
      <c r="FW81" s="6">
        <v>18.0</v>
      </c>
      <c r="FX81" s="6">
        <v>28.0</v>
      </c>
      <c r="FY81" s="6">
        <v>110.0</v>
      </c>
      <c r="FZ81" s="6">
        <v>0.0</v>
      </c>
      <c r="GA81" s="6">
        <v>3.04</v>
      </c>
      <c r="GB81" s="6">
        <v>5.26</v>
      </c>
      <c r="GC81" s="6">
        <v>18.24</v>
      </c>
      <c r="GD81" s="6">
        <v>-13.6070888</v>
      </c>
      <c r="GE81" s="1" t="s">
        <v>1351</v>
      </c>
      <c r="GF81" s="1" t="s">
        <v>1432</v>
      </c>
    </row>
    <row r="83">
      <c r="A83" s="1" t="s">
        <v>207</v>
      </c>
      <c r="B83" s="6">
        <v>4.0</v>
      </c>
      <c r="C83" s="6">
        <v>0.0</v>
      </c>
      <c r="D83" s="6">
        <v>2.0</v>
      </c>
      <c r="E83" s="6">
        <v>0.0</v>
      </c>
      <c r="F83" s="6">
        <v>472.2371</v>
      </c>
      <c r="G83" s="6">
        <v>939.0468</v>
      </c>
      <c r="H83" s="6">
        <v>2097.31</v>
      </c>
      <c r="I83" s="6">
        <v>3080.217</v>
      </c>
      <c r="J83" s="6">
        <v>2930.0</v>
      </c>
      <c r="K83" s="6">
        <v>6836.0</v>
      </c>
      <c r="L83" s="6">
        <v>13456.0</v>
      </c>
      <c r="M83" s="6">
        <v>16572.0</v>
      </c>
      <c r="N83" s="6">
        <v>65.0</v>
      </c>
      <c r="O83" s="6">
        <v>138.0</v>
      </c>
      <c r="P83" s="6">
        <v>286.0</v>
      </c>
      <c r="Q83" s="6">
        <v>446.0</v>
      </c>
      <c r="R83" s="6">
        <v>424.0</v>
      </c>
      <c r="S83" s="6">
        <v>1194.0</v>
      </c>
      <c r="T83" s="6">
        <v>2162.0</v>
      </c>
      <c r="U83" s="6">
        <v>3210.0</v>
      </c>
      <c r="V83" s="6">
        <v>26.6207</v>
      </c>
      <c r="W83" s="6">
        <v>70.3046</v>
      </c>
      <c r="X83" s="6">
        <v>133.5634</v>
      </c>
      <c r="Y83" s="6">
        <v>202.0754</v>
      </c>
      <c r="Z83" s="6">
        <v>276.5264</v>
      </c>
      <c r="AA83" s="6">
        <v>614.754</v>
      </c>
      <c r="AB83" s="6">
        <v>1113.301</v>
      </c>
      <c r="AC83" s="6">
        <v>1414.288</v>
      </c>
      <c r="AD83" s="6">
        <v>800.0</v>
      </c>
      <c r="AE83" s="6">
        <v>1980.0</v>
      </c>
      <c r="AF83" s="6">
        <v>2704.0</v>
      </c>
      <c r="AG83" s="6">
        <v>3032.0</v>
      </c>
      <c r="AH83" s="6">
        <v>48.0</v>
      </c>
      <c r="AI83" s="6">
        <v>98.0</v>
      </c>
      <c r="AJ83" s="6">
        <v>182.0</v>
      </c>
      <c r="AK83" s="6">
        <v>238.0</v>
      </c>
      <c r="AL83" s="6">
        <v>280.0</v>
      </c>
      <c r="AM83" s="6">
        <v>706.0</v>
      </c>
      <c r="AN83" s="6">
        <v>1008.0</v>
      </c>
      <c r="AO83" s="6">
        <v>1224.0</v>
      </c>
      <c r="AP83" s="6">
        <v>15.5696</v>
      </c>
      <c r="AQ83" s="6">
        <v>40.5174</v>
      </c>
      <c r="AR83" s="6">
        <v>62.833</v>
      </c>
      <c r="AS83" s="6">
        <v>78.5658</v>
      </c>
      <c r="AT83" s="6">
        <v>156.2961</v>
      </c>
      <c r="AU83" s="6">
        <v>289.7868</v>
      </c>
      <c r="AV83" s="6">
        <v>557.9579</v>
      </c>
      <c r="AW83" s="6">
        <v>635.7239</v>
      </c>
      <c r="AX83" s="6">
        <v>751.3333</v>
      </c>
      <c r="AY83" s="6">
        <v>1516.0</v>
      </c>
      <c r="AZ83" s="6">
        <v>2249.333</v>
      </c>
      <c r="BA83" s="6">
        <v>1874.667</v>
      </c>
      <c r="BB83" s="6">
        <v>21.33333</v>
      </c>
      <c r="BC83" s="6">
        <v>42.0</v>
      </c>
      <c r="BD83" s="6">
        <v>76.66667</v>
      </c>
      <c r="BE83" s="6">
        <v>91.33333</v>
      </c>
      <c r="BF83" s="6">
        <v>118.6667</v>
      </c>
      <c r="BG83" s="6">
        <v>288.6667</v>
      </c>
      <c r="BH83" s="6">
        <v>376.0</v>
      </c>
      <c r="BI83" s="6">
        <v>420.0</v>
      </c>
      <c r="BJ83" s="6">
        <v>8.352733</v>
      </c>
      <c r="BK83" s="6">
        <v>19.7182</v>
      </c>
      <c r="BL83" s="6">
        <v>30.23753</v>
      </c>
      <c r="BM83" s="6">
        <v>32.4082</v>
      </c>
      <c r="BN83" s="6">
        <v>9.2416</v>
      </c>
      <c r="BO83" s="6">
        <v>23.256</v>
      </c>
      <c r="BP83" s="6">
        <v>62.32</v>
      </c>
      <c r="BQ83" s="6">
        <v>38.1216</v>
      </c>
      <c r="BR83" s="6">
        <v>49.0</v>
      </c>
      <c r="BS83" s="6">
        <v>126.0</v>
      </c>
      <c r="BT83" s="6">
        <v>133.0</v>
      </c>
      <c r="BU83" s="6">
        <v>147.0</v>
      </c>
      <c r="BV83" s="6">
        <v>1.0</v>
      </c>
      <c r="BW83" s="6">
        <v>3.0</v>
      </c>
      <c r="BX83" s="6">
        <v>9.0</v>
      </c>
      <c r="BY83" s="6">
        <v>5.0</v>
      </c>
      <c r="BZ83" s="6">
        <v>9.0</v>
      </c>
      <c r="CA83" s="6">
        <v>36.0</v>
      </c>
      <c r="CB83" s="6">
        <v>42.0</v>
      </c>
      <c r="CC83" s="6">
        <v>33.0</v>
      </c>
      <c r="CD83" s="6">
        <v>0.5625</v>
      </c>
      <c r="CE83" s="6">
        <v>1.7325</v>
      </c>
      <c r="CF83" s="6">
        <v>3.0975</v>
      </c>
      <c r="CG83" s="6">
        <v>2.2725</v>
      </c>
      <c r="CH83" s="6">
        <v>10.9696</v>
      </c>
      <c r="CI83" s="6">
        <v>12.3768</v>
      </c>
      <c r="CJ83" s="6">
        <v>37.1808</v>
      </c>
      <c r="CK83" s="6">
        <v>45.4856</v>
      </c>
      <c r="CL83" s="6">
        <v>59.0</v>
      </c>
      <c r="CM83" s="6">
        <v>120.3333</v>
      </c>
      <c r="CN83" s="6">
        <v>167.5</v>
      </c>
      <c r="CO83" s="6">
        <v>193.0</v>
      </c>
      <c r="CP83" s="6">
        <v>1.0</v>
      </c>
      <c r="CQ83" s="6">
        <v>1.5</v>
      </c>
      <c r="CR83" s="6">
        <v>4.166667</v>
      </c>
      <c r="CS83" s="6">
        <v>4.5</v>
      </c>
      <c r="CT83" s="6">
        <v>2.833333</v>
      </c>
      <c r="CU83" s="6">
        <v>10.66667</v>
      </c>
      <c r="CV83" s="6">
        <v>16.16667</v>
      </c>
      <c r="CW83" s="6">
        <v>13.0</v>
      </c>
      <c r="CX83" s="6">
        <v>0.542767</v>
      </c>
      <c r="CY83" s="6">
        <v>0.97765</v>
      </c>
      <c r="CZ83" s="6">
        <v>1.986517</v>
      </c>
      <c r="DA83" s="6">
        <v>1.97535</v>
      </c>
      <c r="DB83" s="6">
        <v>0.0</v>
      </c>
      <c r="DC83" s="6">
        <v>1.47</v>
      </c>
      <c r="DD83" s="6">
        <v>6.86</v>
      </c>
      <c r="DE83" s="6">
        <v>2.66</v>
      </c>
      <c r="DF83" s="6">
        <v>0.0</v>
      </c>
      <c r="DG83" s="6">
        <v>3.0</v>
      </c>
      <c r="DH83" s="6">
        <v>44.0</v>
      </c>
      <c r="DI83" s="6">
        <v>14.0</v>
      </c>
      <c r="DJ83" s="6">
        <v>0.0</v>
      </c>
      <c r="DK83" s="6">
        <v>0.0</v>
      </c>
      <c r="DL83" s="6">
        <v>0.0</v>
      </c>
      <c r="DM83" s="6">
        <v>0.0</v>
      </c>
      <c r="DN83" s="6">
        <v>0.0</v>
      </c>
      <c r="DO83" s="6">
        <v>-3.0</v>
      </c>
      <c r="DP83" s="6">
        <v>13.0</v>
      </c>
      <c r="DQ83" s="6">
        <v>4.0</v>
      </c>
      <c r="DR83" s="6">
        <v>0.0</v>
      </c>
      <c r="DS83" s="6">
        <v>-0.06</v>
      </c>
      <c r="DT83" s="6">
        <v>2.62</v>
      </c>
      <c r="DU83" s="6">
        <v>0.72</v>
      </c>
      <c r="DV83" s="6">
        <v>0.0</v>
      </c>
      <c r="DW83" s="6">
        <v>0.981667</v>
      </c>
      <c r="DX83" s="6">
        <v>2.063333</v>
      </c>
      <c r="DY83" s="6">
        <v>0.565</v>
      </c>
      <c r="DZ83" s="6">
        <v>0.0</v>
      </c>
      <c r="EA83" s="6">
        <v>-4.5</v>
      </c>
      <c r="EB83" s="6">
        <v>9.333333</v>
      </c>
      <c r="EC83" s="6">
        <v>8.5</v>
      </c>
      <c r="ED83" s="6">
        <v>0.0</v>
      </c>
      <c r="EE83" s="6">
        <v>0.0</v>
      </c>
      <c r="EF83" s="6">
        <v>0.0</v>
      </c>
      <c r="EG83" s="6">
        <v>0.0</v>
      </c>
      <c r="EH83" s="6">
        <v>0.0</v>
      </c>
      <c r="EI83" s="6">
        <v>-2.83333</v>
      </c>
      <c r="EJ83" s="6">
        <v>-1.0</v>
      </c>
      <c r="EK83" s="6">
        <v>1.5</v>
      </c>
      <c r="EL83" s="6">
        <v>0.0</v>
      </c>
      <c r="EM83" s="6">
        <v>-0.21</v>
      </c>
      <c r="EN83" s="6">
        <v>0.396667</v>
      </c>
      <c r="EO83" s="6">
        <v>0.663333</v>
      </c>
      <c r="EP83" s="6">
        <v>3.3489</v>
      </c>
      <c r="EQ83" s="6">
        <v>34.8432</v>
      </c>
      <c r="ER83" s="6">
        <v>60.7743</v>
      </c>
      <c r="ES83" s="6">
        <v>137.7258</v>
      </c>
      <c r="ET83" s="6">
        <v>676.0</v>
      </c>
      <c r="EU83" s="6">
        <v>1144.0</v>
      </c>
      <c r="EV83" s="6">
        <v>2548.0</v>
      </c>
      <c r="EW83" s="6">
        <v>2314.0</v>
      </c>
      <c r="EX83" s="6">
        <v>1.0</v>
      </c>
      <c r="EY83" s="6">
        <v>6.0</v>
      </c>
      <c r="EZ83" s="6">
        <v>13.0</v>
      </c>
      <c r="FA83" s="6">
        <v>31.0</v>
      </c>
      <c r="FB83" s="6">
        <v>36.0</v>
      </c>
      <c r="FC83" s="6">
        <v>114.0</v>
      </c>
      <c r="FD83" s="6">
        <v>300.0</v>
      </c>
      <c r="FE83" s="6">
        <v>282.0</v>
      </c>
      <c r="FF83" s="6">
        <v>1.5625</v>
      </c>
      <c r="FG83" s="6">
        <v>5.575</v>
      </c>
      <c r="FH83" s="6">
        <v>13.1375</v>
      </c>
      <c r="FI83" s="6">
        <v>19.1375</v>
      </c>
      <c r="FJ83" s="6">
        <v>0.0</v>
      </c>
      <c r="FK83" s="6">
        <v>-8.06</v>
      </c>
      <c r="FL83" s="6">
        <v>-9.42</v>
      </c>
      <c r="FM83" s="6">
        <v>-18.53</v>
      </c>
      <c r="FN83" s="6">
        <v>0.0</v>
      </c>
      <c r="FO83" s="6">
        <v>112.0</v>
      </c>
      <c r="FP83" s="6">
        <v>240.0</v>
      </c>
      <c r="FQ83" s="6">
        <v>717.0</v>
      </c>
      <c r="FR83" s="6">
        <v>0.0</v>
      </c>
      <c r="FS83" s="6">
        <v>0.0</v>
      </c>
      <c r="FT83" s="6">
        <v>0.0</v>
      </c>
      <c r="FU83" s="6">
        <v>0.0</v>
      </c>
      <c r="FV83" s="6">
        <v>0.0</v>
      </c>
      <c r="FW83" s="6">
        <v>17.0</v>
      </c>
      <c r="FX83" s="6">
        <v>28.0</v>
      </c>
      <c r="FY83" s="6">
        <v>139.0</v>
      </c>
      <c r="FZ83" s="6">
        <v>0.0</v>
      </c>
      <c r="GA83" s="6">
        <v>3.04</v>
      </c>
      <c r="GB83" s="6">
        <v>5.74</v>
      </c>
      <c r="GC83" s="6">
        <v>23.44</v>
      </c>
      <c r="GD83" s="6">
        <v>8.165382787</v>
      </c>
      <c r="GE83" s="1" t="s">
        <v>1354</v>
      </c>
      <c r="GF83" s="1" t="s">
        <v>1433</v>
      </c>
    </row>
    <row r="87">
      <c r="A87" s="1" t="s">
        <v>1309</v>
      </c>
      <c r="B87" s="6">
        <v>4.0</v>
      </c>
      <c r="C87" s="6">
        <v>0.0</v>
      </c>
      <c r="D87" s="6">
        <v>2.0</v>
      </c>
      <c r="E87" s="6">
        <v>0.0</v>
      </c>
      <c r="F87" s="6">
        <v>508.2221</v>
      </c>
      <c r="G87" s="6">
        <v>1020.29</v>
      </c>
      <c r="H87" s="6">
        <v>2051.282</v>
      </c>
      <c r="I87" s="6">
        <v>2715.257</v>
      </c>
      <c r="J87" s="6">
        <v>3284.0</v>
      </c>
      <c r="K87" s="6">
        <v>7592.0</v>
      </c>
      <c r="L87" s="6">
        <v>13604.0</v>
      </c>
      <c r="M87" s="6">
        <v>17052.0</v>
      </c>
      <c r="N87" s="6">
        <v>69.0</v>
      </c>
      <c r="O87" s="6">
        <v>150.0</v>
      </c>
      <c r="P87" s="6">
        <v>274.0</v>
      </c>
      <c r="Q87" s="6">
        <v>376.0</v>
      </c>
      <c r="R87" s="6">
        <v>424.0</v>
      </c>
      <c r="S87" s="6">
        <v>1118.0</v>
      </c>
      <c r="T87" s="6">
        <v>1796.0</v>
      </c>
      <c r="U87" s="6">
        <v>2468.0</v>
      </c>
      <c r="V87" s="6">
        <v>31.7283</v>
      </c>
      <c r="W87" s="6">
        <v>81.2078</v>
      </c>
      <c r="X87" s="6">
        <v>139.997</v>
      </c>
      <c r="Y87" s="6">
        <v>189.3308</v>
      </c>
      <c r="Z87" s="6">
        <v>312.5114</v>
      </c>
      <c r="AA87" s="6">
        <v>695.997</v>
      </c>
      <c r="AB87" s="6">
        <v>1095.272</v>
      </c>
      <c r="AC87" s="6">
        <v>1331.664</v>
      </c>
      <c r="AD87" s="6">
        <v>1154.0</v>
      </c>
      <c r="AE87" s="6">
        <v>2736.0</v>
      </c>
      <c r="AF87" s="6">
        <v>3788.0</v>
      </c>
      <c r="AG87" s="6">
        <v>4144.0</v>
      </c>
      <c r="AH87" s="6">
        <v>52.0</v>
      </c>
      <c r="AI87" s="6">
        <v>110.0</v>
      </c>
      <c r="AJ87" s="6">
        <v>176.0</v>
      </c>
      <c r="AK87" s="6">
        <v>216.0</v>
      </c>
      <c r="AL87" s="6">
        <v>286.0</v>
      </c>
      <c r="AM87" s="6">
        <v>702.0</v>
      </c>
      <c r="AN87" s="6">
        <v>976.0</v>
      </c>
      <c r="AO87" s="6">
        <v>1104.0</v>
      </c>
      <c r="AP87" s="6">
        <v>20.6772</v>
      </c>
      <c r="AQ87" s="6">
        <v>51.4206</v>
      </c>
      <c r="AR87" s="6">
        <v>75.0416</v>
      </c>
      <c r="AS87" s="6">
        <v>86.3664</v>
      </c>
      <c r="AT87" s="6">
        <v>168.2911</v>
      </c>
      <c r="AU87" s="6">
        <v>316.8678</v>
      </c>
      <c r="AV87" s="6">
        <v>551.9483</v>
      </c>
      <c r="AW87" s="6">
        <v>608.1825</v>
      </c>
      <c r="AX87" s="6">
        <v>869.3333</v>
      </c>
      <c r="AY87" s="6">
        <v>1768.0</v>
      </c>
      <c r="AZ87" s="6">
        <v>2610.667</v>
      </c>
      <c r="BA87" s="6">
        <v>2245.333</v>
      </c>
      <c r="BB87" s="6">
        <v>22.66667</v>
      </c>
      <c r="BC87" s="6">
        <v>46.0</v>
      </c>
      <c r="BD87" s="6">
        <v>74.66667</v>
      </c>
      <c r="BE87" s="6">
        <v>84.0</v>
      </c>
      <c r="BF87" s="6">
        <v>120.6667</v>
      </c>
      <c r="BG87" s="6">
        <v>287.3333</v>
      </c>
      <c r="BH87" s="6">
        <v>365.3333</v>
      </c>
      <c r="BI87" s="6">
        <v>380.0</v>
      </c>
      <c r="BJ87" s="6">
        <v>10.05527</v>
      </c>
      <c r="BK87" s="6">
        <v>23.3526</v>
      </c>
      <c r="BL87" s="6">
        <v>34.30707</v>
      </c>
      <c r="BM87" s="6">
        <v>35.0084</v>
      </c>
      <c r="BN87" s="6">
        <v>9.2416</v>
      </c>
      <c r="BO87" s="6">
        <v>15.504</v>
      </c>
      <c r="BP87" s="6">
        <v>29.944</v>
      </c>
      <c r="BQ87" s="6">
        <v>37.0576</v>
      </c>
      <c r="BR87" s="6">
        <v>49.0</v>
      </c>
      <c r="BS87" s="6">
        <v>84.0</v>
      </c>
      <c r="BT87" s="6">
        <v>133.0</v>
      </c>
      <c r="BU87" s="6">
        <v>112.0</v>
      </c>
      <c r="BV87" s="6">
        <v>1.0</v>
      </c>
      <c r="BW87" s="6">
        <v>2.0</v>
      </c>
      <c r="BX87" s="6">
        <v>4.0</v>
      </c>
      <c r="BY87" s="6">
        <v>5.0</v>
      </c>
      <c r="BZ87" s="6">
        <v>4.0</v>
      </c>
      <c r="CA87" s="6">
        <v>12.0</v>
      </c>
      <c r="CB87" s="6">
        <v>20.0</v>
      </c>
      <c r="CC87" s="6">
        <v>16.0</v>
      </c>
      <c r="CD87" s="6">
        <v>0.5625</v>
      </c>
      <c r="CE87" s="6">
        <v>1.155</v>
      </c>
      <c r="CF87" s="6">
        <v>2.01</v>
      </c>
      <c r="CG87" s="6">
        <v>1.9725</v>
      </c>
      <c r="CH87" s="6">
        <v>10.9696</v>
      </c>
      <c r="CI87" s="6">
        <v>11.0848</v>
      </c>
      <c r="CJ87" s="6">
        <v>31.60747</v>
      </c>
      <c r="CK87" s="6">
        <v>43.02827</v>
      </c>
      <c r="CL87" s="6">
        <v>59.0</v>
      </c>
      <c r="CM87" s="6">
        <v>113.3333</v>
      </c>
      <c r="CN87" s="6">
        <v>161.6667</v>
      </c>
      <c r="CO87" s="6">
        <v>218.6667</v>
      </c>
      <c r="CP87" s="6">
        <v>1.0</v>
      </c>
      <c r="CQ87" s="6">
        <v>1.333333</v>
      </c>
      <c r="CR87" s="6">
        <v>3.333333</v>
      </c>
      <c r="CS87" s="6">
        <v>4.0</v>
      </c>
      <c r="CT87" s="6">
        <v>2.0</v>
      </c>
      <c r="CU87" s="6">
        <v>6.666667</v>
      </c>
      <c r="CV87" s="6">
        <v>10.66667</v>
      </c>
      <c r="CW87" s="6">
        <v>12.0</v>
      </c>
      <c r="CX87" s="6">
        <v>0.542767</v>
      </c>
      <c r="CY87" s="6">
        <v>0.8814</v>
      </c>
      <c r="CZ87" s="6">
        <v>1.755267</v>
      </c>
      <c r="DA87" s="6">
        <v>2.0866</v>
      </c>
      <c r="DB87" s="6">
        <v>0.0</v>
      </c>
      <c r="DC87" s="6">
        <v>0.98</v>
      </c>
      <c r="DD87" s="6">
        <v>2.31</v>
      </c>
      <c r="DE87" s="6">
        <v>3.01</v>
      </c>
      <c r="DF87" s="6">
        <v>0.0</v>
      </c>
      <c r="DG87" s="6">
        <v>2.0</v>
      </c>
      <c r="DH87" s="6">
        <v>9.0</v>
      </c>
      <c r="DI87" s="6">
        <v>19.0</v>
      </c>
      <c r="DJ87" s="6">
        <v>0.0</v>
      </c>
      <c r="DK87" s="6">
        <v>0.0</v>
      </c>
      <c r="DL87" s="6">
        <v>0.0</v>
      </c>
      <c r="DM87" s="6">
        <v>0.0</v>
      </c>
      <c r="DN87" s="6">
        <v>0.0</v>
      </c>
      <c r="DO87" s="6">
        <v>-2.0</v>
      </c>
      <c r="DP87" s="6">
        <v>-2.0</v>
      </c>
      <c r="DQ87" s="6">
        <v>2.0</v>
      </c>
      <c r="DR87" s="6">
        <v>0.0</v>
      </c>
      <c r="DS87" s="6">
        <v>-0.04</v>
      </c>
      <c r="DT87" s="6">
        <v>0.32</v>
      </c>
      <c r="DU87" s="6">
        <v>1.12</v>
      </c>
      <c r="DV87" s="6">
        <v>0.0</v>
      </c>
      <c r="DW87" s="6">
        <v>0.9</v>
      </c>
      <c r="DX87" s="6">
        <v>1.363333</v>
      </c>
      <c r="DY87" s="6">
        <v>-0.14667</v>
      </c>
      <c r="DZ87" s="6">
        <v>0.0</v>
      </c>
      <c r="EA87" s="6">
        <v>-4.66667</v>
      </c>
      <c r="EB87" s="6">
        <v>4.333333</v>
      </c>
      <c r="EC87" s="6">
        <v>1.333333</v>
      </c>
      <c r="ED87" s="6">
        <v>0.0</v>
      </c>
      <c r="EE87" s="6">
        <v>0.0</v>
      </c>
      <c r="EF87" s="6">
        <v>0.0</v>
      </c>
      <c r="EG87" s="6">
        <v>0.0</v>
      </c>
      <c r="EH87" s="6">
        <v>0.0</v>
      </c>
      <c r="EI87" s="6">
        <v>-2.66667</v>
      </c>
      <c r="EJ87" s="6">
        <v>-2.66667</v>
      </c>
      <c r="EK87" s="6">
        <v>-1.0</v>
      </c>
      <c r="EL87" s="6">
        <v>0.0</v>
      </c>
      <c r="EM87" s="6">
        <v>-0.20667</v>
      </c>
      <c r="EN87" s="6">
        <v>0.08</v>
      </c>
      <c r="EO87" s="6">
        <v>0.14</v>
      </c>
      <c r="EP87" s="6">
        <v>3.3489</v>
      </c>
      <c r="EQ87" s="6">
        <v>34.8432</v>
      </c>
      <c r="ER87" s="6">
        <v>46.7748</v>
      </c>
      <c r="ES87" s="6">
        <v>87.9498</v>
      </c>
      <c r="ET87" s="6">
        <v>676.0</v>
      </c>
      <c r="EU87" s="6">
        <v>1144.0</v>
      </c>
      <c r="EV87" s="6">
        <v>2080.0</v>
      </c>
      <c r="EW87" s="6">
        <v>2496.0</v>
      </c>
      <c r="EX87" s="6">
        <v>1.0</v>
      </c>
      <c r="EY87" s="6">
        <v>6.0</v>
      </c>
      <c r="EZ87" s="6">
        <v>10.0</v>
      </c>
      <c r="FA87" s="6">
        <v>18.0</v>
      </c>
      <c r="FB87" s="6">
        <v>36.0</v>
      </c>
      <c r="FC87" s="6">
        <v>96.0</v>
      </c>
      <c r="FD87" s="6">
        <v>192.0</v>
      </c>
      <c r="FE87" s="6">
        <v>240.0</v>
      </c>
      <c r="FF87" s="6">
        <v>1.5625</v>
      </c>
      <c r="FG87" s="6">
        <v>5.575</v>
      </c>
      <c r="FH87" s="6">
        <v>10.25</v>
      </c>
      <c r="FI87" s="6">
        <v>15.125</v>
      </c>
      <c r="FJ87" s="6">
        <v>0.0</v>
      </c>
      <c r="FK87" s="6">
        <v>-8.06</v>
      </c>
      <c r="FL87" s="6">
        <v>-7.26</v>
      </c>
      <c r="FM87" s="6">
        <v>-15.12</v>
      </c>
      <c r="FN87" s="6">
        <v>0.0</v>
      </c>
      <c r="FO87" s="6">
        <v>112.0</v>
      </c>
      <c r="FP87" s="6">
        <v>180.0</v>
      </c>
      <c r="FQ87" s="6">
        <v>372.0</v>
      </c>
      <c r="FR87" s="6">
        <v>0.0</v>
      </c>
      <c r="FS87" s="6">
        <v>0.0</v>
      </c>
      <c r="FT87" s="6">
        <v>0.0</v>
      </c>
      <c r="FU87" s="6">
        <v>0.0</v>
      </c>
      <c r="FV87" s="6">
        <v>0.0</v>
      </c>
      <c r="FW87" s="6">
        <v>20.0</v>
      </c>
      <c r="FX87" s="6">
        <v>28.0</v>
      </c>
      <c r="FY87" s="6">
        <v>68.0</v>
      </c>
      <c r="FZ87" s="6">
        <v>0.0</v>
      </c>
      <c r="GA87" s="6">
        <v>3.04</v>
      </c>
      <c r="GB87" s="6">
        <v>4.3</v>
      </c>
      <c r="GC87" s="6">
        <v>10.4</v>
      </c>
      <c r="GD87" s="6">
        <v>-11.80490019</v>
      </c>
      <c r="GE87" s="1" t="s">
        <v>1351</v>
      </c>
      <c r="GF87" s="1" t="s">
        <v>1434</v>
      </c>
    </row>
    <row r="88">
      <c r="A88" s="1" t="s">
        <v>1435</v>
      </c>
      <c r="B88" s="6">
        <v>4.0</v>
      </c>
      <c r="C88" s="6">
        <v>0.0</v>
      </c>
      <c r="D88" s="6">
        <v>2.0</v>
      </c>
      <c r="E88" s="6">
        <v>0.0</v>
      </c>
      <c r="F88" s="6">
        <v>410.8321</v>
      </c>
      <c r="G88" s="6">
        <v>797.6518</v>
      </c>
      <c r="H88" s="6">
        <v>1747.414</v>
      </c>
      <c r="I88" s="6">
        <v>2430.759</v>
      </c>
      <c r="J88" s="6">
        <v>2848.0</v>
      </c>
      <c r="K88" s="6">
        <v>6540.0</v>
      </c>
      <c r="L88" s="6">
        <v>12084.0</v>
      </c>
      <c r="M88" s="6">
        <v>13912.0</v>
      </c>
      <c r="N88" s="6">
        <v>53.0</v>
      </c>
      <c r="O88" s="6">
        <v>114.0</v>
      </c>
      <c r="P88" s="6">
        <v>226.0</v>
      </c>
      <c r="Q88" s="6">
        <v>336.0</v>
      </c>
      <c r="R88" s="6">
        <v>340.0</v>
      </c>
      <c r="S88" s="6">
        <v>944.0</v>
      </c>
      <c r="T88" s="6">
        <v>1610.0</v>
      </c>
      <c r="U88" s="6">
        <v>2100.0</v>
      </c>
      <c r="V88" s="6">
        <v>24.0659</v>
      </c>
      <c r="W88" s="6">
        <v>62.2978</v>
      </c>
      <c r="X88" s="6">
        <v>114.045</v>
      </c>
      <c r="Y88" s="6">
        <v>153.7772</v>
      </c>
      <c r="Z88" s="6">
        <v>215.1214</v>
      </c>
      <c r="AA88" s="6">
        <v>473.359</v>
      </c>
      <c r="AB88" s="6">
        <v>775.3</v>
      </c>
      <c r="AC88" s="6">
        <v>944.8776</v>
      </c>
      <c r="AD88" s="6">
        <v>718.0</v>
      </c>
      <c r="AE88" s="6">
        <v>1684.0</v>
      </c>
      <c r="AF88" s="6">
        <v>2164.0</v>
      </c>
      <c r="AG88" s="6">
        <v>2058.0</v>
      </c>
      <c r="AH88" s="6">
        <v>36.0</v>
      </c>
      <c r="AI88" s="6">
        <v>74.0</v>
      </c>
      <c r="AJ88" s="6">
        <v>124.0</v>
      </c>
      <c r="AK88" s="6">
        <v>158.0</v>
      </c>
      <c r="AL88" s="6">
        <v>198.0</v>
      </c>
      <c r="AM88" s="6">
        <v>492.0</v>
      </c>
      <c r="AN88" s="6">
        <v>656.0</v>
      </c>
      <c r="AO88" s="6">
        <v>678.0</v>
      </c>
      <c r="AP88" s="6">
        <v>13.0148</v>
      </c>
      <c r="AQ88" s="6">
        <v>32.5106</v>
      </c>
      <c r="AR88" s="6">
        <v>47.2396</v>
      </c>
      <c r="AS88" s="6">
        <v>50.907</v>
      </c>
      <c r="AT88" s="6">
        <v>135.8277</v>
      </c>
      <c r="AU88" s="6">
        <v>242.6551</v>
      </c>
      <c r="AV88" s="6">
        <v>445.2909</v>
      </c>
      <c r="AW88" s="6">
        <v>479.2536</v>
      </c>
      <c r="AX88" s="6">
        <v>724.0</v>
      </c>
      <c r="AY88" s="6">
        <v>1417.333</v>
      </c>
      <c r="AZ88" s="6">
        <v>2069.333</v>
      </c>
      <c r="BA88" s="6">
        <v>1550.0</v>
      </c>
      <c r="BB88" s="6">
        <v>17.33333</v>
      </c>
      <c r="BC88" s="6">
        <v>34.0</v>
      </c>
      <c r="BD88" s="6">
        <v>57.33333</v>
      </c>
      <c r="BE88" s="6">
        <v>64.66667</v>
      </c>
      <c r="BF88" s="6">
        <v>91.33333</v>
      </c>
      <c r="BG88" s="6">
        <v>217.3333</v>
      </c>
      <c r="BH88" s="6">
        <v>258.6667</v>
      </c>
      <c r="BI88" s="6">
        <v>238.0</v>
      </c>
      <c r="BJ88" s="6">
        <v>7.501133</v>
      </c>
      <c r="BK88" s="6">
        <v>17.04927</v>
      </c>
      <c r="BL88" s="6">
        <v>25.03973</v>
      </c>
      <c r="BM88" s="6">
        <v>23.1886</v>
      </c>
      <c r="BN88" s="6">
        <v>9.2416</v>
      </c>
      <c r="BO88" s="6">
        <v>15.504</v>
      </c>
      <c r="BP88" s="6">
        <v>29.944</v>
      </c>
      <c r="BQ88" s="6">
        <v>43.7456</v>
      </c>
      <c r="BR88" s="6">
        <v>49.0</v>
      </c>
      <c r="BS88" s="6">
        <v>84.0</v>
      </c>
      <c r="BT88" s="6">
        <v>133.0</v>
      </c>
      <c r="BU88" s="6">
        <v>119.0</v>
      </c>
      <c r="BV88" s="6">
        <v>1.0</v>
      </c>
      <c r="BW88" s="6">
        <v>2.0</v>
      </c>
      <c r="BX88" s="6">
        <v>4.0</v>
      </c>
      <c r="BY88" s="6">
        <v>6.0</v>
      </c>
      <c r="BZ88" s="6">
        <v>4.0</v>
      </c>
      <c r="CA88" s="6">
        <v>12.0</v>
      </c>
      <c r="CB88" s="6">
        <v>22.0</v>
      </c>
      <c r="CC88" s="6">
        <v>20.0</v>
      </c>
      <c r="CD88" s="6">
        <v>0.5625</v>
      </c>
      <c r="CE88" s="6">
        <v>1.155</v>
      </c>
      <c r="CF88" s="6">
        <v>2.01</v>
      </c>
      <c r="CG88" s="6">
        <v>2.25</v>
      </c>
      <c r="CH88" s="6">
        <v>10.9696</v>
      </c>
      <c r="CI88" s="6">
        <v>13.31413</v>
      </c>
      <c r="CJ88" s="6">
        <v>35.71147</v>
      </c>
      <c r="CK88" s="6">
        <v>40.58613</v>
      </c>
      <c r="CL88" s="6">
        <v>59.0</v>
      </c>
      <c r="CM88" s="6">
        <v>115.6667</v>
      </c>
      <c r="CN88" s="6">
        <v>154.6667</v>
      </c>
      <c r="CO88" s="6">
        <v>195.3333</v>
      </c>
      <c r="CP88" s="6">
        <v>1.0</v>
      </c>
      <c r="CQ88" s="6">
        <v>1.666667</v>
      </c>
      <c r="CR88" s="6">
        <v>4.0</v>
      </c>
      <c r="CS88" s="6">
        <v>3.666667</v>
      </c>
      <c r="CT88" s="6">
        <v>3.666667</v>
      </c>
      <c r="CU88" s="6">
        <v>11.66667</v>
      </c>
      <c r="CV88" s="6">
        <v>15.0</v>
      </c>
      <c r="CW88" s="6">
        <v>12.0</v>
      </c>
      <c r="CX88" s="6">
        <v>0.542767</v>
      </c>
      <c r="CY88" s="6">
        <v>0.9739</v>
      </c>
      <c r="CZ88" s="6">
        <v>1.840267</v>
      </c>
      <c r="DA88" s="6">
        <v>1.7891</v>
      </c>
      <c r="DB88" s="6">
        <v>0.0</v>
      </c>
      <c r="DC88" s="6">
        <v>0.98</v>
      </c>
      <c r="DD88" s="6">
        <v>2.31</v>
      </c>
      <c r="DE88" s="6">
        <v>3.85</v>
      </c>
      <c r="DF88" s="6">
        <v>0.0</v>
      </c>
      <c r="DG88" s="6">
        <v>2.0</v>
      </c>
      <c r="DH88" s="6">
        <v>9.0</v>
      </c>
      <c r="DI88" s="6">
        <v>25.0</v>
      </c>
      <c r="DJ88" s="6">
        <v>0.0</v>
      </c>
      <c r="DK88" s="6">
        <v>0.0</v>
      </c>
      <c r="DL88" s="6">
        <v>0.0</v>
      </c>
      <c r="DM88" s="6">
        <v>0.0</v>
      </c>
      <c r="DN88" s="6">
        <v>0.0</v>
      </c>
      <c r="DO88" s="6">
        <v>-2.0</v>
      </c>
      <c r="DP88" s="6">
        <v>-3.0</v>
      </c>
      <c r="DQ88" s="6">
        <v>2.0</v>
      </c>
      <c r="DR88" s="6">
        <v>0.0</v>
      </c>
      <c r="DS88" s="6">
        <v>-0.04</v>
      </c>
      <c r="DT88" s="6">
        <v>0.32</v>
      </c>
      <c r="DU88" s="6">
        <v>1.5</v>
      </c>
      <c r="DV88" s="6">
        <v>0.0</v>
      </c>
      <c r="DW88" s="6">
        <v>1.18</v>
      </c>
      <c r="DX88" s="6">
        <v>2.04</v>
      </c>
      <c r="DY88" s="6">
        <v>-0.35667</v>
      </c>
      <c r="DZ88" s="6">
        <v>0.0</v>
      </c>
      <c r="EA88" s="6">
        <v>-2.66667</v>
      </c>
      <c r="EB88" s="6">
        <v>10.0</v>
      </c>
      <c r="EC88" s="6">
        <v>2.333333</v>
      </c>
      <c r="ED88" s="6">
        <v>0.0</v>
      </c>
      <c r="EE88" s="6">
        <v>0.0</v>
      </c>
      <c r="EF88" s="6">
        <v>0.0</v>
      </c>
      <c r="EG88" s="6">
        <v>0.0</v>
      </c>
      <c r="EH88" s="6">
        <v>0.0</v>
      </c>
      <c r="EI88" s="6">
        <v>-2.0</v>
      </c>
      <c r="EJ88" s="6">
        <v>0.333333</v>
      </c>
      <c r="EK88" s="6">
        <v>1.666667</v>
      </c>
      <c r="EL88" s="6">
        <v>0.0</v>
      </c>
      <c r="EM88" s="6">
        <v>-0.08</v>
      </c>
      <c r="EN88" s="6">
        <v>0.466667</v>
      </c>
      <c r="EO88" s="6">
        <v>0.286667</v>
      </c>
      <c r="EP88" s="6">
        <v>3.3489</v>
      </c>
      <c r="EQ88" s="6">
        <v>34.8432</v>
      </c>
      <c r="ER88" s="6">
        <v>54.8268</v>
      </c>
      <c r="ES88" s="6">
        <v>93.4398</v>
      </c>
      <c r="ET88" s="6">
        <v>676.0</v>
      </c>
      <c r="EU88" s="6">
        <v>1144.0</v>
      </c>
      <c r="EV88" s="6">
        <v>2132.0</v>
      </c>
      <c r="EW88" s="6">
        <v>2028.0</v>
      </c>
      <c r="EX88" s="6">
        <v>1.0</v>
      </c>
      <c r="EY88" s="6">
        <v>6.0</v>
      </c>
      <c r="EZ88" s="6">
        <v>12.0</v>
      </c>
      <c r="FA88" s="6">
        <v>20.0</v>
      </c>
      <c r="FB88" s="6">
        <v>36.0</v>
      </c>
      <c r="FC88" s="6">
        <v>108.0</v>
      </c>
      <c r="FD88" s="6">
        <v>228.0</v>
      </c>
      <c r="FE88" s="6">
        <v>204.0</v>
      </c>
      <c r="FF88" s="6">
        <v>1.5625</v>
      </c>
      <c r="FG88" s="6">
        <v>5.575</v>
      </c>
      <c r="FH88" s="6">
        <v>11.175</v>
      </c>
      <c r="FI88" s="6">
        <v>14.05</v>
      </c>
      <c r="FJ88" s="6">
        <v>0.0</v>
      </c>
      <c r="FK88" s="6">
        <v>-8.06</v>
      </c>
      <c r="FL88" s="6">
        <v>-8.0</v>
      </c>
      <c r="FM88" s="6">
        <v>-14.46</v>
      </c>
      <c r="FN88" s="6">
        <v>0.0</v>
      </c>
      <c r="FO88" s="6">
        <v>112.0</v>
      </c>
      <c r="FP88" s="6">
        <v>230.0</v>
      </c>
      <c r="FQ88" s="6">
        <v>442.0</v>
      </c>
      <c r="FR88" s="6">
        <v>0.0</v>
      </c>
      <c r="FS88" s="6">
        <v>0.0</v>
      </c>
      <c r="FT88" s="6">
        <v>0.0</v>
      </c>
      <c r="FU88" s="6">
        <v>0.0</v>
      </c>
      <c r="FV88" s="6">
        <v>0.0</v>
      </c>
      <c r="FW88" s="6">
        <v>18.0</v>
      </c>
      <c r="FX88" s="6">
        <v>34.0</v>
      </c>
      <c r="FY88" s="6">
        <v>86.0</v>
      </c>
      <c r="FZ88" s="6">
        <v>0.0</v>
      </c>
      <c r="GA88" s="6">
        <v>3.04</v>
      </c>
      <c r="GB88" s="6">
        <v>6.06</v>
      </c>
      <c r="GC88" s="6">
        <v>13.76</v>
      </c>
      <c r="GD88" s="6">
        <v>-14.88719492</v>
      </c>
      <c r="GE88" s="1" t="s">
        <v>1351</v>
      </c>
      <c r="GF88" s="1" t="s">
        <v>1436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1437</v>
      </c>
      <c r="B1" s="10" t="s">
        <v>1438</v>
      </c>
      <c r="C1" s="10" t="s">
        <v>1439</v>
      </c>
      <c r="D1" s="10" t="s">
        <v>1440</v>
      </c>
    </row>
    <row r="2">
      <c r="A2" s="10" t="s">
        <v>1441</v>
      </c>
      <c r="B2" s="7" t="str">
        <f>IFERROR(__xludf.DUMMYFUNCTION("SPLIT(A2,"" "")"),"CF")</f>
        <v>CF</v>
      </c>
      <c r="C2" s="7">
        <f>IFERROR(__xludf.DUMMYFUNCTION("""COMPUTED_VALUE"""),7.9578996)</f>
        <v>7.9578996</v>
      </c>
      <c r="D2" s="7">
        <f>IFERROR(__xludf.DUMMYFUNCTION("""COMPUTED_VALUE"""),0.125)</f>
        <v>0.125</v>
      </c>
    </row>
    <row r="3">
      <c r="A3" s="10" t="s">
        <v>1442</v>
      </c>
      <c r="B3" s="7" t="str">
        <f>IFERROR(__xludf.DUMMYFUNCTION("SPLIT(A3,"" "")"),"CN1CCNCCNCCC1F")</f>
        <v>CN1CCNCCNCCC1F</v>
      </c>
      <c r="C3" s="7">
        <f>IFERROR(__xludf.DUMMYFUNCTION("""COMPUTED_VALUE"""),7.9041142)</f>
        <v>7.9041142</v>
      </c>
      <c r="D3" s="7">
        <f>IFERROR(__xludf.DUMMYFUNCTION("""COMPUTED_VALUE"""),0.24)</f>
        <v>0.24</v>
      </c>
    </row>
    <row r="4">
      <c r="A4" s="10" t="s">
        <v>1443</v>
      </c>
      <c r="B4" s="7" t="str">
        <f>IFERROR(__xludf.DUMMYFUNCTION("SPLIT(A4,"" "")"),"CN1CCCNCCNCC1F")</f>
        <v>CN1CCCNCCNCC1F</v>
      </c>
      <c r="C4" s="7">
        <f>IFERROR(__xludf.DUMMYFUNCTION("""COMPUTED_VALUE"""),7.9019675)</f>
        <v>7.9019675</v>
      </c>
      <c r="D4" s="7">
        <f>IFERROR(__xludf.DUMMYFUNCTION("""COMPUTED_VALUE"""),0.32)</f>
        <v>0.32</v>
      </c>
    </row>
    <row r="5">
      <c r="A5" s="10" t="s">
        <v>1444</v>
      </c>
      <c r="B5" s="7" t="str">
        <f>IFERROR(__xludf.DUMMYFUNCTION("SPLIT(A5,"" "")"),"CNC1OCCOCCOCCOCCOCCOC1C")</f>
        <v>CNC1OCCOCCOCCOCCOCCOC1C</v>
      </c>
      <c r="C5" s="7">
        <f>IFERROR(__xludf.DUMMYFUNCTION("""COMPUTED_VALUE"""),7.9012413)</f>
        <v>7.9012413</v>
      </c>
      <c r="D5" s="7">
        <f>IFERROR(__xludf.DUMMYFUNCTION("""COMPUTED_VALUE"""),0.120689655172413)</f>
        <v>0.1206896552</v>
      </c>
    </row>
    <row r="6">
      <c r="A6" s="10" t="s">
        <v>1445</v>
      </c>
      <c r="B6" s="7" t="str">
        <f>IFERROR(__xludf.DUMMYFUNCTION("SPLIT(A6,"" "")"),"CNCC1CC2OCCOCCOCCOCCOCCOC12")</f>
        <v>CNCC1CC2OCCOCCOCCOCCOCCOC12</v>
      </c>
      <c r="C6" s="7">
        <f>IFERROR(__xludf.DUMMYFUNCTION("""COMPUTED_VALUE"""),7.900118)</f>
        <v>7.900118</v>
      </c>
      <c r="D6" s="7">
        <f>IFERROR(__xludf.DUMMYFUNCTION("""COMPUTED_VALUE"""),0.126984126984126)</f>
        <v>0.126984127</v>
      </c>
    </row>
    <row r="7">
      <c r="A7" s="10" t="s">
        <v>1446</v>
      </c>
      <c r="B7" s="7" t="str">
        <f>IFERROR(__xludf.DUMMYFUNCTION("SPLIT(A7,"" "")"),"CN(CCF)C1CCCCC1")</f>
        <v>CN(CCF)C1CCCCC1</v>
      </c>
      <c r="C7" s="7">
        <f>IFERROR(__xludf.DUMMYFUNCTION("""COMPUTED_VALUE"""),7.893903)</f>
        <v>7.893903</v>
      </c>
      <c r="D7" s="7">
        <f>IFERROR(__xludf.DUMMYFUNCTION("""COMPUTED_VALUE"""),0.24390243902439)</f>
        <v>0.243902439</v>
      </c>
    </row>
    <row r="8">
      <c r="A8" s="10" t="s">
        <v>1447</v>
      </c>
      <c r="B8" s="7" t="str">
        <f>IFERROR(__xludf.DUMMYFUNCTION("SPLIT(A8,"" "")"),"CNCF")</f>
        <v>CNCF</v>
      </c>
      <c r="C8" s="7">
        <f>IFERROR(__xludf.DUMMYFUNCTION("""COMPUTED_VALUE"""),7.8932667)</f>
        <v>7.8932667</v>
      </c>
      <c r="D8" s="7">
        <f>IFERROR(__xludf.DUMMYFUNCTION("""COMPUTED_VALUE"""),0.1)</f>
        <v>0.1</v>
      </c>
    </row>
    <row r="9">
      <c r="A9" s="10" t="s">
        <v>1448</v>
      </c>
      <c r="B9" s="7" t="str">
        <f>IFERROR(__xludf.DUMMYFUNCTION("SPLIT(A9,"" "")"),"CNC1COCCOCCOCCOCCOC(C)CO1")</f>
        <v>CNC1COCCOCCOCCOCCOC(C)CO1</v>
      </c>
      <c r="C9" s="7">
        <f>IFERROR(__xludf.DUMMYFUNCTION("""COMPUTED_VALUE"""),7.89128)</f>
        <v>7.89128</v>
      </c>
      <c r="D9" s="7">
        <f>IFERROR(__xludf.DUMMYFUNCTION("""COMPUTED_VALUE"""),0.131147540983606)</f>
        <v>0.131147541</v>
      </c>
    </row>
    <row r="10">
      <c r="A10" s="10" t="s">
        <v>1449</v>
      </c>
      <c r="B10" s="7" t="str">
        <f>IFERROR(__xludf.DUMMYFUNCTION("SPLIT(A10,"" "")"),"CNC1OCCOCCOCCOCCOCCOC1C(C)(C)C")</f>
        <v>CNC1OCCOCCOCCOCCOCCOC1C(C)(C)C</v>
      </c>
      <c r="C10" s="7">
        <f>IFERROR(__xludf.DUMMYFUNCTION("""COMPUTED_VALUE"""),7.8884406)</f>
        <v>7.8884406</v>
      </c>
      <c r="D10" s="7">
        <f>IFERROR(__xludf.DUMMYFUNCTION("""COMPUTED_VALUE"""),0.114754098360655)</f>
        <v>0.1147540984</v>
      </c>
    </row>
    <row r="11">
      <c r="A11" s="10" t="s">
        <v>1450</v>
      </c>
      <c r="B11" s="7" t="str">
        <f>IFERROR(__xludf.DUMMYFUNCTION("SPLIT(A11,"" "")"),"CN1CCNCCNCC1Cl")</f>
        <v>CN1CCNCCNCC1Cl</v>
      </c>
      <c r="C11" s="7">
        <f>IFERROR(__xludf.DUMMYFUNCTION("""COMPUTED_VALUE"""),7.887106)</f>
        <v>7.887106</v>
      </c>
      <c r="D11" s="7">
        <f>IFERROR(__xludf.DUMMYFUNCTION("""COMPUTED_VALUE"""),0.24)</f>
        <v>0.24</v>
      </c>
    </row>
    <row r="12">
      <c r="A12" s="10" t="s">
        <v>1451</v>
      </c>
      <c r="B12" s="7" t="str">
        <f>IFERROR(__xludf.DUMMYFUNCTION("SPLIT(A12,"" "")"),"CN1CCCNC(F)CNCC1")</f>
        <v>CN1CCCNC(F)CNCC1</v>
      </c>
      <c r="C12" s="7">
        <f>IFERROR(__xludf.DUMMYFUNCTION("""COMPUTED_VALUE"""),7.8870697)</f>
        <v>7.8870697</v>
      </c>
      <c r="D12" s="7">
        <f>IFERROR(__xludf.DUMMYFUNCTION("""COMPUTED_VALUE"""),0.28125)</f>
        <v>0.28125</v>
      </c>
    </row>
    <row r="13">
      <c r="A13" s="10" t="s">
        <v>1452</v>
      </c>
      <c r="B13" s="7" t="str">
        <f>IFERROR(__xludf.DUMMYFUNCTION("SPLIT(A13,"" "")"),"CN1CCN(C)CCN(C2(C)CC3OCCOCCOCCOCCOCCOC32)CC1")</f>
        <v>CN1CCN(C)CCN(C2(C)CC3OCCOCCOCCOCCOCCOC32)CC1</v>
      </c>
      <c r="C13" s="7">
        <f>IFERROR(__xludf.DUMMYFUNCTION("""COMPUTED_VALUE"""),7.886759)</f>
        <v>7.886759</v>
      </c>
      <c r="D13" s="7">
        <f>IFERROR(__xludf.DUMMYFUNCTION("""COMPUTED_VALUE"""),0.258064516129032)</f>
        <v>0.2580645161</v>
      </c>
    </row>
    <row r="14">
      <c r="A14" s="10" t="s">
        <v>1453</v>
      </c>
      <c r="B14" s="7" t="str">
        <f>IFERROR(__xludf.DUMMYFUNCTION("SPLIT(A14,"" "")"),"CN1CCNCCNC(F)CC1")</f>
        <v>CN1CCNCCNC(F)CC1</v>
      </c>
      <c r="C14" s="7">
        <f>IFERROR(__xludf.DUMMYFUNCTION("""COMPUTED_VALUE"""),7.8867207)</f>
        <v>7.8867207</v>
      </c>
      <c r="D14" s="7">
        <f>IFERROR(__xludf.DUMMYFUNCTION("""COMPUTED_VALUE"""),0.269230769230769)</f>
        <v>0.2692307692</v>
      </c>
    </row>
    <row r="15">
      <c r="A15" s="10" t="s">
        <v>1454</v>
      </c>
      <c r="B15" s="7" t="str">
        <f>IFERROR(__xludf.DUMMYFUNCTION("SPLIT(A15,"" "")"),"CNC1OCCOCCOCCOCCOCC(C)OC1N")</f>
        <v>CNC1OCCOCCOCCOCCOCC(C)OC1N</v>
      </c>
      <c r="C15" s="7">
        <f>IFERROR(__xludf.DUMMYFUNCTION("""COMPUTED_VALUE"""),7.882585)</f>
        <v>7.882585</v>
      </c>
      <c r="D15" s="7">
        <f>IFERROR(__xludf.DUMMYFUNCTION("""COMPUTED_VALUE"""),0.106060606060606)</f>
        <v>0.1060606061</v>
      </c>
    </row>
    <row r="16">
      <c r="A16" s="10" t="s">
        <v>1455</v>
      </c>
      <c r="B16" s="7" t="str">
        <f>IFERROR(__xludf.DUMMYFUNCTION("SPLIT(A16,"" "")"),"CN1CCN(C)CCN(C2CCCCC2N(C)CF)CC1")</f>
        <v>CN1CCN(C)CCN(C2CCCCC2N(C)CF)CC1</v>
      </c>
      <c r="C16" s="7">
        <f>IFERROR(__xludf.DUMMYFUNCTION("""COMPUTED_VALUE"""),7.8806195)</f>
        <v>7.8806195</v>
      </c>
      <c r="D16" s="7">
        <f>IFERROR(__xludf.DUMMYFUNCTION("""COMPUTED_VALUE"""),0.276595744680851)</f>
        <v>0.2765957447</v>
      </c>
    </row>
    <row r="17">
      <c r="A17" s="10" t="s">
        <v>1456</v>
      </c>
      <c r="B17" s="7" t="str">
        <f>IFERROR(__xludf.DUMMYFUNCTION("SPLIT(A17,"" "")"),"CNC1CCCC(N(C)C2CCCC(N(C)C3CCCC(N(C)C4CCCC(N(C)C5CCCC(N(C)C6CCCC(N(C)C7CCCC(N(C)C8CCCC(N(C)C9CCCC(N(C)C%10CCCC(N(C)C%11CCCC(N(C)C%12CCCC(N(C)C%13CCCC(N(C)C%14CCCC(N(C)C%15CCCC(N(C)C%16CCCC(N(C)C%17CCCC(N(C)C%18CCCC(N(C)C%19CCCC(N(C)C%20CCCC(N(C)CCN(C)C%21C"&amp;"CCC(N(C)Cc%22ncc(C)cc%22C)C%21)C%20)C%19)C%18)C%17)C%16)C%15)C%14)C%13)C%12)C%11)C%10)C9)C8)C7)C6)C5)C4)C3)C2)C1")</f>
        <v>CNC1CCCC(N(C)C2CCCC(N(C)C3CCCC(N(C)C4CCCC(N(C)C5CCCC(N(C)C6CCCC(N(C)C7CCCC(N(C)C8CCCC(N(C)C9CCCC(N(C)C%10CCCC(N(C)C%11CCCC(N(C)C%12CCCC(N(C)C%13CCCC(N(C)C%14CCCC(N(C)C%15CCCC(N(C)C%16CCCC(N(C)C%17CCCC(N(C)C%18CCCC(N(C)C%19CCCC(N(C)C%20CCCC(N(C)CCN(C)C%21CCCC(N(C)Cc%22ncc(C)cc%22C)C%21)C%20)C%19)C%18)C%17)C%16)C%15)C%14)C%13)C%12)C%11)C%10)C9)C8)C7)C6)C5)C4)C3)C2)C1</v>
      </c>
      <c r="C17" s="7">
        <f>IFERROR(__xludf.DUMMYFUNCTION("""COMPUTED_VALUE"""),7.8805137)</f>
        <v>7.8805137</v>
      </c>
      <c r="D17" s="7">
        <f>IFERROR(__xludf.DUMMYFUNCTION("""COMPUTED_VALUE"""),0.3)</f>
        <v>0.3</v>
      </c>
    </row>
    <row r="18">
      <c r="A18" s="10" t="s">
        <v>1457</v>
      </c>
      <c r="B18" s="7" t="str">
        <f>IFERROR(__xludf.DUMMYFUNCTION("SPLIT(A18,"" "")"),"CNC1OCCOCCOCC(C)OCCOCCOC1C")</f>
        <v>CNC1OCCOCCOCC(C)OCCOCCOC1C</v>
      </c>
      <c r="C18" s="7">
        <f>IFERROR(__xludf.DUMMYFUNCTION("""COMPUTED_VALUE"""),7.8770704)</f>
        <v>7.8770704</v>
      </c>
      <c r="D18" s="7">
        <f>IFERROR(__xludf.DUMMYFUNCTION("""COMPUTED_VALUE"""),0.126984126984126)</f>
        <v>0.126984127</v>
      </c>
    </row>
    <row r="19">
      <c r="A19" s="10" t="s">
        <v>1458</v>
      </c>
      <c r="B19" s="7" t="str">
        <f>IFERROR(__xludf.DUMMYFUNCTION("SPLIT(A19,"" "")"),"CNC1OCCOCCOCCOCCOC(C)COC1C")</f>
        <v>CNC1OCCOCCOCCOCCOC(C)COC1C</v>
      </c>
      <c r="C19" s="7">
        <f>IFERROR(__xludf.DUMMYFUNCTION("""COMPUTED_VALUE"""),7.876797)</f>
        <v>7.876797</v>
      </c>
      <c r="D19" s="7">
        <f>IFERROR(__xludf.DUMMYFUNCTION("""COMPUTED_VALUE"""),0.147540983606557)</f>
        <v>0.1475409836</v>
      </c>
    </row>
    <row r="20">
      <c r="A20" s="10" t="s">
        <v>1459</v>
      </c>
      <c r="B20" s="7" t="str">
        <f>IFERROR(__xludf.DUMMYFUNCTION("SPLIT(A20,"" "")"),"CNC1OC(C)COCCOCCOCCOCCOC1C")</f>
        <v>CNC1OC(C)COCCOCCOCCOCCOC1C</v>
      </c>
      <c r="C20" s="7">
        <f>IFERROR(__xludf.DUMMYFUNCTION("""COMPUTED_VALUE"""),7.876643)</f>
        <v>7.876643</v>
      </c>
      <c r="D20" s="7">
        <f>IFERROR(__xludf.DUMMYFUNCTION("""COMPUTED_VALUE"""),0.111111111111111)</f>
        <v>0.1111111111</v>
      </c>
    </row>
    <row r="21">
      <c r="A21" s="10" t="s">
        <v>1460</v>
      </c>
      <c r="B21" s="7" t="str">
        <f>IFERROR(__xludf.DUMMYFUNCTION("SPLIT(A21,"" "")"),"CN1CCN(C)CCN(C2CCCCC2N(C)C2C=CC=CN2)CC1")</f>
        <v>CN1CCN(C)CCN(C2CCCCC2N(C)C2C=CC=CN2)CC1</v>
      </c>
      <c r="C21" s="7">
        <f>IFERROR(__xludf.DUMMYFUNCTION("""COMPUTED_VALUE"""),7.8758287)</f>
        <v>7.8758287</v>
      </c>
      <c r="D21" s="7">
        <f>IFERROR(__xludf.DUMMYFUNCTION("""COMPUTED_VALUE"""),0.285714285714285)</f>
        <v>0.2857142857</v>
      </c>
    </row>
    <row r="22">
      <c r="A22" s="10" t="s">
        <v>1461</v>
      </c>
      <c r="B22" s="7" t="str">
        <f>IFERROR(__xludf.DUMMYFUNCTION("SPLIT(A22,"" "")"),"CNC1CCCCC1N1CCN(C)CCN(C)CC1")</f>
        <v>CNC1CCCCC1N1CCN(C)CCN(C)CC1</v>
      </c>
      <c r="C22" s="7">
        <f>IFERROR(__xludf.DUMMYFUNCTION("""COMPUTED_VALUE"""),7.875267)</f>
        <v>7.875267</v>
      </c>
      <c r="D22" s="7">
        <f>IFERROR(__xludf.DUMMYFUNCTION("""COMPUTED_VALUE"""),0.333333333333333)</f>
        <v>0.3333333333</v>
      </c>
    </row>
    <row r="23">
      <c r="A23" s="10" t="s">
        <v>1462</v>
      </c>
      <c r="B23" s="7" t="str">
        <f>IFERROR(__xludf.DUMMYFUNCTION("SPLIT(A23,"" "")"),"CC1C=CC(C)(C)C(C)(N(C)C2CCCCC2)C1Cl")</f>
        <v>CC1C=CC(C)(C)C(C)(N(C)C2CCCCC2)C1Cl</v>
      </c>
      <c r="C23" s="7">
        <f>IFERROR(__xludf.DUMMYFUNCTION("""COMPUTED_VALUE"""),7.8746076)</f>
        <v>7.8746076</v>
      </c>
      <c r="D23" s="7">
        <f>IFERROR(__xludf.DUMMYFUNCTION("""COMPUTED_VALUE"""),0.171875)</f>
        <v>0.171875</v>
      </c>
    </row>
    <row r="24">
      <c r="A24" s="10" t="s">
        <v>1463</v>
      </c>
      <c r="B24" s="7" t="str">
        <f>IFERROR(__xludf.DUMMYFUNCTION("SPLIT(A24,"" "")"),"CN1CCN(C)CCN(C2CCC(N(C)CF)CC2)CC1")</f>
        <v>CN1CCN(C)CCN(C2CCC(N(C)CF)CC2)CC1</v>
      </c>
      <c r="C24" s="7">
        <f>IFERROR(__xludf.DUMMYFUNCTION("""COMPUTED_VALUE"""),7.874234)</f>
        <v>7.874234</v>
      </c>
      <c r="D24" s="7">
        <f>IFERROR(__xludf.DUMMYFUNCTION("""COMPUTED_VALUE"""),0.285714285714285)</f>
        <v>0.2857142857</v>
      </c>
    </row>
    <row r="25">
      <c r="A25" s="10" t="s">
        <v>1464</v>
      </c>
      <c r="B25" s="7" t="str">
        <f>IFERROR(__xludf.DUMMYFUNCTION("SPLIT(A25,"" "")"),"CN(Cc1cccc(Cl)n1)C1CCCCC1N(C)C1CCC(N(C)C2CCCCC2N(C)C2CCCCC2N(C)C2CCCCC2N(C)C2C=CC=CN2)CC1")</f>
        <v>CN(Cc1cccc(Cl)n1)C1CCCCC1N(C)C1CCC(N(C)C2CCCCC2N(C)C2CCCCC2N(C)C2CCCCC2N(C)C2C=CC=CN2)CC1</v>
      </c>
      <c r="C25" s="7">
        <f>IFERROR(__xludf.DUMMYFUNCTION("""COMPUTED_VALUE"""),7.873117)</f>
        <v>7.873117</v>
      </c>
      <c r="D25" s="7">
        <f>IFERROR(__xludf.DUMMYFUNCTION("""COMPUTED_VALUE"""),0.464285714285714)</f>
        <v>0.4642857143</v>
      </c>
    </row>
    <row r="26">
      <c r="A26" s="10" t="s">
        <v>1465</v>
      </c>
      <c r="B26" s="7" t="str">
        <f>IFERROR(__xludf.DUMMYFUNCTION("SPLIT(A26,"" "")"),"CN1CCNCCN(O)CC1")</f>
        <v>CN1CCNCCN(O)CC1</v>
      </c>
      <c r="C26" s="7">
        <f>IFERROR(__xludf.DUMMYFUNCTION("""COMPUTED_VALUE"""),7.872891)</f>
        <v>7.872891</v>
      </c>
      <c r="D26" s="7">
        <f>IFERROR(__xludf.DUMMYFUNCTION("""COMPUTED_VALUE"""),0.4)</f>
        <v>0.4</v>
      </c>
    </row>
    <row r="27">
      <c r="A27" s="10" t="s">
        <v>1466</v>
      </c>
      <c r="B27" s="7" t="str">
        <f>IFERROR(__xludf.DUMMYFUNCTION("SPLIT(A27,"" "")"),"CC(C)N1CCCC1C1CCCN1")</f>
        <v>CC(C)N1CCCC1C1CCCN1</v>
      </c>
      <c r="C27" s="7">
        <f>IFERROR(__xludf.DUMMYFUNCTION("""COMPUTED_VALUE"""),7.8728247)</f>
        <v>7.8728247</v>
      </c>
      <c r="D27" s="7">
        <f>IFERROR(__xludf.DUMMYFUNCTION("""COMPUTED_VALUE"""),0.235294117647058)</f>
        <v>0.2352941176</v>
      </c>
    </row>
    <row r="28">
      <c r="A28" s="10" t="s">
        <v>1467</v>
      </c>
      <c r="B28" s="7" t="str">
        <f>IFERROR(__xludf.DUMMYFUNCTION("SPLIT(A28,"" "")"),"c1ccc2c(c1)OCCOCCOCCOCCOCCO2")</f>
        <v>c1ccc2c(c1)OCCOCCOCCOCCOCCO2</v>
      </c>
      <c r="C28" s="7">
        <f>IFERROR(__xludf.DUMMYFUNCTION("""COMPUTED_VALUE"""),7.872365)</f>
        <v>7.872365</v>
      </c>
      <c r="D28" s="7">
        <f>IFERROR(__xludf.DUMMYFUNCTION("""COMPUTED_VALUE"""),0.297872340425531)</f>
        <v>0.2978723404</v>
      </c>
    </row>
    <row r="29">
      <c r="A29" s="10" t="s">
        <v>1468</v>
      </c>
      <c r="B29" s="7" t="str">
        <f>IFERROR(__xludf.DUMMYFUNCTION("SPLIT(A29,"" "")"),"NC1COC2C=CC=CC2OCCOC=COCCOCCO1")</f>
        <v>NC1COC2C=CC=CC2OCCOC=COCCOCCO1</v>
      </c>
      <c r="C29" s="7">
        <f>IFERROR(__xludf.DUMMYFUNCTION("""COMPUTED_VALUE"""),7.872101)</f>
        <v>7.872101</v>
      </c>
      <c r="D29" s="7">
        <f>IFERROR(__xludf.DUMMYFUNCTION("""COMPUTED_VALUE"""),0.121212121212121)</f>
        <v>0.1212121212</v>
      </c>
    </row>
    <row r="30">
      <c r="A30" s="10" t="s">
        <v>1469</v>
      </c>
      <c r="B30" s="7" t="str">
        <f>IFERROR(__xludf.DUMMYFUNCTION("SPLIT(A30,"" "")"),"CN(Cc1ccccn1)C1C=CC2(C)OCCOCCOCCOCCOCCOC2C1")</f>
        <v>CN(Cc1ccccn1)C1C=CC2(C)OCCOCCOCCOCCOCCOC2C1</v>
      </c>
      <c r="C30" s="7">
        <f>IFERROR(__xludf.DUMMYFUNCTION("""COMPUTED_VALUE"""),7.8717475)</f>
        <v>7.8717475</v>
      </c>
      <c r="D30" s="7">
        <f>IFERROR(__xludf.DUMMYFUNCTION("""COMPUTED_VALUE"""),0.418181818181818)</f>
        <v>0.4181818182</v>
      </c>
    </row>
    <row r="31">
      <c r="A31" s="10" t="s">
        <v>1470</v>
      </c>
      <c r="B31" s="7" t="str">
        <f>IFERROR(__xludf.DUMMYFUNCTION("SPLIT(A31,"" "")"),"CC1C2OCCOCCOCCOCCOCCOC2C1N(C)Cc1ccccn1")</f>
        <v>CC1C2OCCOCCOCCOCCOCCOC2C1N(C)Cc1ccccn1</v>
      </c>
      <c r="C31" s="7">
        <f>IFERROR(__xludf.DUMMYFUNCTION("""COMPUTED_VALUE"""),7.8717346)</f>
        <v>7.8717346</v>
      </c>
      <c r="D31" s="7">
        <f>IFERROR(__xludf.DUMMYFUNCTION("""COMPUTED_VALUE"""),0.489361702127659)</f>
        <v>0.4893617021</v>
      </c>
    </row>
    <row r="32">
      <c r="A32" s="10" t="s">
        <v>1471</v>
      </c>
      <c r="B32" s="7" t="str">
        <f>IFERROR(__xludf.DUMMYFUNCTION("SPLIT(A32,"" "")"),"CN(C)C1CCCCC1N(C)C1(C)CCC1(C)C")</f>
        <v>CN(C)C1CCCCC1N(C)C1(C)CCC1(C)C</v>
      </c>
      <c r="C32" s="7">
        <f>IFERROR(__xludf.DUMMYFUNCTION("""COMPUTED_VALUE"""),7.8709497)</f>
        <v>7.8709497</v>
      </c>
      <c r="D32" s="7">
        <f>IFERROR(__xludf.DUMMYFUNCTION("""COMPUTED_VALUE"""),0.222222222222222)</f>
        <v>0.2222222222</v>
      </c>
    </row>
    <row r="33">
      <c r="A33" s="10" t="s">
        <v>1472</v>
      </c>
      <c r="B33" s="7" t="str">
        <f>IFERROR(__xludf.DUMMYFUNCTION("SPLIT(A33,"" "")"),"CN1CCN(C)CCN(C2CCC(N(C)C3C=CC=CN3)CC2)CC1")</f>
        <v>CN1CCN(C)CCN(C2CCC(N(C)C3C=CC=CN3)CC2)CC1</v>
      </c>
      <c r="C33" s="7">
        <f>IFERROR(__xludf.DUMMYFUNCTION("""COMPUTED_VALUE"""),7.8707075)</f>
        <v>7.8707075</v>
      </c>
      <c r="D33" s="7">
        <f>IFERROR(__xludf.DUMMYFUNCTION("""COMPUTED_VALUE"""),0.272727272727272)</f>
        <v>0.2727272727</v>
      </c>
    </row>
    <row r="34">
      <c r="A34" s="10" t="s">
        <v>1473</v>
      </c>
      <c r="B34" s="7" t="str">
        <f>IFERROR(__xludf.DUMMYFUNCTION("SPLIT(A34,"" "")"),"CN1CCN(C)CCN(CCF)CC1")</f>
        <v>CN1CCN(C)CCN(CCF)CC1</v>
      </c>
      <c r="C34" s="7">
        <f>IFERROR(__xludf.DUMMYFUNCTION("""COMPUTED_VALUE"""),7.870657)</f>
        <v>7.870657</v>
      </c>
      <c r="D34" s="7">
        <f>IFERROR(__xludf.DUMMYFUNCTION("""COMPUTED_VALUE"""),0.470588235294117)</f>
        <v>0.4705882353</v>
      </c>
    </row>
    <row r="35">
      <c r="A35" s="10" t="s">
        <v>1474</v>
      </c>
      <c r="B35" s="7" t="str">
        <f>IFERROR(__xludf.DUMMYFUNCTION("SPLIT(A35,"" "")"),"CN1CCN(C)CCN(CC2CCCN2C)CC1")</f>
        <v>CN1CCN(C)CCN(CC2CCCN2C)CC1</v>
      </c>
      <c r="C35" s="7">
        <f>IFERROR(__xludf.DUMMYFUNCTION("""COMPUTED_VALUE"""),7.8704677)</f>
        <v>7.8704677</v>
      </c>
      <c r="D35" s="7">
        <f>IFERROR(__xludf.DUMMYFUNCTION("""COMPUTED_VALUE"""),0.344827586206896)</f>
        <v>0.3448275862</v>
      </c>
    </row>
    <row r="36">
      <c r="A36" s="10" t="s">
        <v>1475</v>
      </c>
      <c r="B36" s="7" t="str">
        <f>IFERROR(__xludf.DUMMYFUNCTION("SPLIT(A36,"" "")"),"COC1COC(OC)COCCOCCOCCOC=CO1")</f>
        <v>COC1COC(OC)COCCOCCOCCOC=CO1</v>
      </c>
      <c r="C36" s="7">
        <f>IFERROR(__xludf.DUMMYFUNCTION("""COMPUTED_VALUE"""),7.8704586)</f>
        <v>7.8704586</v>
      </c>
      <c r="D36" s="7">
        <f>IFERROR(__xludf.DUMMYFUNCTION("""COMPUTED_VALUE"""),0.121212121212121)</f>
        <v>0.1212121212</v>
      </c>
    </row>
    <row r="37">
      <c r="A37" s="10" t="s">
        <v>1476</v>
      </c>
      <c r="B37" s="7" t="str">
        <f>IFERROR(__xludf.DUMMYFUNCTION("SPLIT(A37,"" "")"),"CCN1CCCC1CN1CCN(C)CCN(C)CC1")</f>
        <v>CCN1CCCC1CN1CCN(C)CCN(C)CC1</v>
      </c>
      <c r="C37" s="7">
        <f>IFERROR(__xludf.DUMMYFUNCTION("""COMPUTED_VALUE"""),7.870188)</f>
        <v>7.870188</v>
      </c>
      <c r="D37" s="7">
        <f>IFERROR(__xludf.DUMMYFUNCTION("""COMPUTED_VALUE"""),0.296296296296296)</f>
        <v>0.2962962963</v>
      </c>
    </row>
    <row r="38">
      <c r="A38" s="10" t="s">
        <v>1477</v>
      </c>
      <c r="B38" s="7" t="str">
        <f>IFERROR(__xludf.DUMMYFUNCTION("SPLIT(A38,"" "")"),"CNCCN(Cc1ccccn1)C(C)(N)C12CCC1OCCOCCOCCOCCOCCO2")</f>
        <v>CNCCN(Cc1ccccn1)C(C)(N)C12CCC1OCCOCCOCCOCCOCCO2</v>
      </c>
      <c r="C38" s="7">
        <f>IFERROR(__xludf.DUMMYFUNCTION("""COMPUTED_VALUE"""),7.87006)</f>
        <v>7.87006</v>
      </c>
      <c r="D38" s="7">
        <f>IFERROR(__xludf.DUMMYFUNCTION("""COMPUTED_VALUE"""),0.328125)</f>
        <v>0.328125</v>
      </c>
    </row>
    <row r="39">
      <c r="A39" s="10" t="s">
        <v>1478</v>
      </c>
      <c r="B39" s="7" t="str">
        <f>IFERROR(__xludf.DUMMYFUNCTION("SPLIT(A39,"" "")"),"CC(N)C(C)N(C)C1CCCCC1N(C)C(C)C")</f>
        <v>CC(N)C(C)N(C)C1CCCCC1N(C)C(C)C</v>
      </c>
      <c r="C39" s="7">
        <f>IFERROR(__xludf.DUMMYFUNCTION("""COMPUTED_VALUE"""),7.8697376)</f>
        <v>7.8697376</v>
      </c>
      <c r="D39" s="7">
        <f>IFERROR(__xludf.DUMMYFUNCTION("""COMPUTED_VALUE"""),0.288888888888888)</f>
        <v>0.2888888889</v>
      </c>
    </row>
    <row r="40">
      <c r="A40" s="10" t="s">
        <v>1479</v>
      </c>
      <c r="B40" s="7" t="str">
        <f>IFERROR(__xludf.DUMMYFUNCTION("SPLIT(A40,"" "")"),"CC(C)N1CCN(C)CCN(C2CCC(N3CCN(C)CCN(C)CC3)CC2)CC1")</f>
        <v>CC(C)N1CCN(C)CCN(C2CCC(N3CCN(C)CCN(C)CC3)CC2)CC1</v>
      </c>
      <c r="C40" s="7">
        <f>IFERROR(__xludf.DUMMYFUNCTION("""COMPUTED_VALUE"""),7.869416)</f>
        <v>7.869416</v>
      </c>
      <c r="D40" s="7">
        <f>IFERROR(__xludf.DUMMYFUNCTION("""COMPUTED_VALUE"""),0.347826086956521)</f>
        <v>0.347826087</v>
      </c>
    </row>
    <row r="41">
      <c r="A41" s="10" t="s">
        <v>1480</v>
      </c>
      <c r="B41" s="7" t="str">
        <f>IFERROR(__xludf.DUMMYFUNCTION("SPLIT(A41,"" "")"),"CC(C)N1CCN(C)CCN(CNCF)CC1")</f>
        <v>CC(C)N1CCN(C)CCN(CNCF)CC1</v>
      </c>
      <c r="C41" s="7">
        <f>IFERROR(__xludf.DUMMYFUNCTION("""COMPUTED_VALUE"""),7.868408)</f>
        <v>7.868408</v>
      </c>
      <c r="D41" s="7">
        <f>IFERROR(__xludf.DUMMYFUNCTION("""COMPUTED_VALUE"""),0.311111111111111)</f>
        <v>0.3111111111</v>
      </c>
    </row>
    <row r="42">
      <c r="A42" s="10" t="s">
        <v>1481</v>
      </c>
      <c r="B42" s="7" t="str">
        <f>IFERROR(__xludf.DUMMYFUNCTION("SPLIT(A42,"" "")"),"CC(C)N(C)C1CCC(N2CCN(C)CCN(C)CC2)CC1")</f>
        <v>CC(C)N(C)C1CCC(N2CCN(C)CCN(C)CC2)CC1</v>
      </c>
      <c r="C42" s="7">
        <f>IFERROR(__xludf.DUMMYFUNCTION("""COMPUTED_VALUE"""),7.8678513)</f>
        <v>7.8678513</v>
      </c>
      <c r="D42" s="7">
        <f>IFERROR(__xludf.DUMMYFUNCTION("""COMPUTED_VALUE"""),0.296296296296296)</f>
        <v>0.2962962963</v>
      </c>
    </row>
    <row r="43">
      <c r="A43" s="10" t="s">
        <v>1482</v>
      </c>
      <c r="B43" s="7" t="str">
        <f>IFERROR(__xludf.DUMMYFUNCTION("SPLIT(A43,"" "")"),"CNC1OCCOCCOCCOCCOCCOC1c1cc(CF)ccn1")</f>
        <v>CNC1OCCOCCOCCOCCOCCOC1c1cc(CF)ccn1</v>
      </c>
      <c r="C43" s="7">
        <f>IFERROR(__xludf.DUMMYFUNCTION("""COMPUTED_VALUE"""),7.86762)</f>
        <v>7.86762</v>
      </c>
      <c r="D43" s="7">
        <f>IFERROR(__xludf.DUMMYFUNCTION("""COMPUTED_VALUE"""),0.209677419354838)</f>
        <v>0.2096774194</v>
      </c>
    </row>
    <row r="44">
      <c r="A44" s="10" t="s">
        <v>1483</v>
      </c>
      <c r="B44" s="7" t="str">
        <f>IFERROR(__xludf.DUMMYFUNCTION("SPLIT(A44,"" "")"),"CN(CCN(C)C1(C)CC2OCCOCCOCCOCCOCCOC21)C1CCCC(N(C)Cc2ccccn2)C1")</f>
        <v>CN(CCN(C)C1(C)CC2OCCOCCOCCOCCOCCOC21)C1CCCC(N(C)Cc2ccccn2)C1</v>
      </c>
      <c r="C44" s="7">
        <f>IFERROR(__xludf.DUMMYFUNCTION("""COMPUTED_VALUE"""),7.8675337)</f>
        <v>7.8675337</v>
      </c>
      <c r="D44" s="7">
        <f>IFERROR(__xludf.DUMMYFUNCTION("""COMPUTED_VALUE"""),0.40983606557377)</f>
        <v>0.4098360656</v>
      </c>
    </row>
    <row r="45">
      <c r="A45" s="10" t="s">
        <v>1484</v>
      </c>
      <c r="B45" s="7" t="str">
        <f>IFERROR(__xludf.DUMMYFUNCTION("SPLIT(A45,"" "")"),"CNC1CCCCC1N(C)C(C)C")</f>
        <v>CNC1CCCCC1N(C)C(C)C</v>
      </c>
      <c r="C45" s="7">
        <f>IFERROR(__xludf.DUMMYFUNCTION("""COMPUTED_VALUE"""),7.8674426)</f>
        <v>7.8674426</v>
      </c>
      <c r="D45" s="7">
        <f>IFERROR(__xludf.DUMMYFUNCTION("""COMPUTED_VALUE"""),0.260869565217391)</f>
        <v>0.2608695652</v>
      </c>
    </row>
    <row r="46">
      <c r="A46" s="10" t="s">
        <v>1485</v>
      </c>
      <c r="B46" s="7" t="str">
        <f>IFERROR(__xludf.DUMMYFUNCTION("SPLIT(A46,"" "")"),"c1cnnc(CNC2CCCCC2)c1")</f>
        <v>c1cnnc(CNC2CCCCC2)c1</v>
      </c>
      <c r="C46" s="7">
        <f>IFERROR(__xludf.DUMMYFUNCTION("""COMPUTED_VALUE"""),7.867365)</f>
        <v>7.867365</v>
      </c>
      <c r="D46" s="7">
        <f>IFERROR(__xludf.DUMMYFUNCTION("""COMPUTED_VALUE"""),0.375)</f>
        <v>0.375</v>
      </c>
    </row>
    <row r="47">
      <c r="A47" s="10" t="s">
        <v>1486</v>
      </c>
      <c r="B47" s="7" t="str">
        <f>IFERROR(__xludf.DUMMYFUNCTION("SPLIT(A47,"" "")"),"CNCCN(Cc1ccccn1)C1COCCOCCOC(C)COCCOCCO1")</f>
        <v>CNCCN(Cc1ccccn1)C1COCCOCCOC(C)COCCOCCO1</v>
      </c>
      <c r="C47" s="7">
        <f>IFERROR(__xludf.DUMMYFUNCTION("""COMPUTED_VALUE"""),7.8673)</f>
        <v>7.8673</v>
      </c>
      <c r="D47" s="7">
        <f>IFERROR(__xludf.DUMMYFUNCTION("""COMPUTED_VALUE"""),0.338983050847457)</f>
        <v>0.3389830508</v>
      </c>
    </row>
    <row r="48">
      <c r="A48" s="10" t="s">
        <v>1487</v>
      </c>
      <c r="B48" s="7" t="str">
        <f>IFERROR(__xludf.DUMMYFUNCTION("SPLIT(A48,"" "")"),"CC(C)N(C)C1CCCC(N2CCN(C)CCN(C)CC2)C1")</f>
        <v>CC(C)N(C)C1CCCC(N2CCN(C)CCN(C)CC2)C1</v>
      </c>
      <c r="C48" s="7">
        <f>IFERROR(__xludf.DUMMYFUNCTION("""COMPUTED_VALUE"""),7.8672147)</f>
        <v>7.8672147</v>
      </c>
      <c r="D48" s="7">
        <f>IFERROR(__xludf.DUMMYFUNCTION("""COMPUTED_VALUE"""),0.266666666666666)</f>
        <v>0.2666666667</v>
      </c>
    </row>
    <row r="49">
      <c r="A49" s="10" t="s">
        <v>1488</v>
      </c>
      <c r="B49" s="7" t="str">
        <f>IFERROR(__xludf.DUMMYFUNCTION("SPLIT(A49,"" "")"),"CC1CCC1N")</f>
        <v>CC1CCC1N</v>
      </c>
      <c r="C49" s="7">
        <f>IFERROR(__xludf.DUMMYFUNCTION("""COMPUTED_VALUE"""),7.866974)</f>
        <v>7.866974</v>
      </c>
      <c r="D49" s="7">
        <f>IFERROR(__xludf.DUMMYFUNCTION("""COMPUTED_VALUE"""),0.111111111111111)</f>
        <v>0.1111111111</v>
      </c>
    </row>
    <row r="50">
      <c r="A50" s="10" t="s">
        <v>1489</v>
      </c>
      <c r="B50" s="7" t="str">
        <f>IFERROR(__xludf.DUMMYFUNCTION("SPLIT(A50,"" "")"),"CC(C)N1CCN(C)CCN(CF)CC1")</f>
        <v>CC(C)N1CCN(C)CCN(CF)CC1</v>
      </c>
      <c r="C50" s="7">
        <f>IFERROR(__xludf.DUMMYFUNCTION("""COMPUTED_VALUE"""),7.8666344)</f>
        <v>7.8666344</v>
      </c>
      <c r="D50" s="7">
        <f>IFERROR(__xludf.DUMMYFUNCTION("""COMPUTED_VALUE"""),0.35)</f>
        <v>0.35</v>
      </c>
    </row>
    <row r="51">
      <c r="A51" s="10" t="s">
        <v>1490</v>
      </c>
      <c r="B51" s="7" t="str">
        <f>IFERROR(__xludf.DUMMYFUNCTION("SPLIT(A51,"" "")"),"CC1C=CCCC1(C)C")</f>
        <v>CC1C=CCCC1(C)C</v>
      </c>
      <c r="C51" s="7">
        <f>IFERROR(__xludf.DUMMYFUNCTION("""COMPUTED_VALUE"""),7.865984)</f>
        <v>7.865984</v>
      </c>
      <c r="D51" s="7">
        <f>IFERROR(__xludf.DUMMYFUNCTION("""COMPUTED_VALUE"""),0.127272727272727)</f>
        <v>0.1272727273</v>
      </c>
    </row>
    <row r="52">
      <c r="A52" s="10" t="s">
        <v>1491</v>
      </c>
      <c r="B52" s="7" t="str">
        <f>IFERROR(__xludf.DUMMYFUNCTION("SPLIT(A52,"" "")"),"CC(C)N(C)C1CCCCC1N(C)C(C)C")</f>
        <v>CC(C)N(C)C1CCCCC1N(C)C(C)C</v>
      </c>
      <c r="C52" s="7">
        <f>IFERROR(__xludf.DUMMYFUNCTION("""COMPUTED_VALUE"""),7.8656588)</f>
        <v>7.8656588</v>
      </c>
      <c r="D52" s="7">
        <f>IFERROR(__xludf.DUMMYFUNCTION("""COMPUTED_VALUE"""),0.342105263157894)</f>
        <v>0.3421052632</v>
      </c>
    </row>
    <row r="53">
      <c r="A53" s="10" t="s">
        <v>1492</v>
      </c>
      <c r="B53" s="7" t="str">
        <f>IFERROR(__xludf.DUMMYFUNCTION("SPLIT(A53,"" "")"),"CC1CNCCNCCN(C)C1")</f>
        <v>CC1CNCCNCCN(C)C1</v>
      </c>
      <c r="C53" s="7">
        <f>IFERROR(__xludf.DUMMYFUNCTION("""COMPUTED_VALUE"""),7.8656397)</f>
        <v>7.8656397</v>
      </c>
      <c r="D53" s="7">
        <f>IFERROR(__xludf.DUMMYFUNCTION("""COMPUTED_VALUE"""),0.24)</f>
        <v>0.24</v>
      </c>
    </row>
    <row r="54">
      <c r="A54" s="10" t="s">
        <v>1493</v>
      </c>
      <c r="B54" s="7" t="str">
        <f>IFERROR(__xludf.DUMMYFUNCTION("SPLIT(A54,"" "")"),"C=CCN1CCN(C)CCN(C)CC1")</f>
        <v>C=CCN1CCN(C)CCN(C)CC1</v>
      </c>
      <c r="C54" s="7">
        <f>IFERROR(__xludf.DUMMYFUNCTION("""COMPUTED_VALUE"""),7.865624)</f>
        <v>7.865624</v>
      </c>
      <c r="D54" s="7">
        <f>IFERROR(__xludf.DUMMYFUNCTION("""COMPUTED_VALUE"""),0.421052631578947)</f>
        <v>0.4210526316</v>
      </c>
    </row>
    <row r="55">
      <c r="A55" s="10" t="s">
        <v>1494</v>
      </c>
      <c r="B55" s="7" t="str">
        <f>IFERROR(__xludf.DUMMYFUNCTION("SPLIT(A55,"" "")"),"CC1CCC1CN(Cc1ccccn1)C1CCCCC1")</f>
        <v>CC1CCC1CN(Cc1ccccn1)C1CCCCC1</v>
      </c>
      <c r="C55" s="7">
        <f>IFERROR(__xludf.DUMMYFUNCTION("""COMPUTED_VALUE"""),7.86526)</f>
        <v>7.86526</v>
      </c>
      <c r="D55" s="7">
        <f>IFERROR(__xludf.DUMMYFUNCTION("""COMPUTED_VALUE"""),0.5)</f>
        <v>0.5</v>
      </c>
    </row>
    <row r="56">
      <c r="A56" s="10" t="s">
        <v>1495</v>
      </c>
      <c r="B56" s="7" t="str">
        <f>IFERROR(__xludf.DUMMYFUNCTION("SPLIT(A56,"" "")"),"CN1CCCNCCNC(C)(C)C1")</f>
        <v>CN1CCCNCCNC(C)(C)C1</v>
      </c>
      <c r="C56" s="7">
        <f>IFERROR(__xludf.DUMMYFUNCTION("""COMPUTED_VALUE"""),7.864578)</f>
        <v>7.864578</v>
      </c>
      <c r="D56" s="7">
        <f>IFERROR(__xludf.DUMMYFUNCTION("""COMPUTED_VALUE"""),0.307692307692307)</f>
        <v>0.3076923077</v>
      </c>
    </row>
    <row r="57">
      <c r="A57" s="10" t="s">
        <v>1496</v>
      </c>
      <c r="B57" s="7" t="str">
        <f>IFERROR(__xludf.DUMMYFUNCTION("SPLIT(A57,"" "")"),"CN(C1C=CC=CN1)C1CCCCC1N(O)CCl")</f>
        <v>CN(C1C=CC=CN1)C1CCCCC1N(O)CCl</v>
      </c>
      <c r="C57" s="7">
        <f>IFERROR(__xludf.DUMMYFUNCTION("""COMPUTED_VALUE"""),7.8644423)</f>
        <v>7.8644423</v>
      </c>
      <c r="D57" s="7">
        <f>IFERROR(__xludf.DUMMYFUNCTION("""COMPUTED_VALUE"""),0.224137931034482)</f>
        <v>0.224137931</v>
      </c>
    </row>
    <row r="58">
      <c r="A58" s="10" t="s">
        <v>1497</v>
      </c>
      <c r="B58" s="7" t="str">
        <f>IFERROR(__xludf.DUMMYFUNCTION("SPLIT(A58,"" "")"),"CC(N)C(C)N(C)C1CCCC(N(C)C(C)C)C1")</f>
        <v>CC(N)C(C)N(C)C1CCCC(N(C)C(C)C)C1</v>
      </c>
      <c r="C58" s="7">
        <f>IFERROR(__xludf.DUMMYFUNCTION("""COMPUTED_VALUE"""),7.864263)</f>
        <v>7.864263</v>
      </c>
      <c r="D58" s="7">
        <f>IFERROR(__xludf.DUMMYFUNCTION("""COMPUTED_VALUE"""),0.18)</f>
        <v>0.18</v>
      </c>
    </row>
    <row r="59">
      <c r="A59" s="10" t="s">
        <v>1498</v>
      </c>
      <c r="B59" s="7" t="str">
        <f>IFERROR(__xludf.DUMMYFUNCTION("SPLIT(A59,"" "")"),"FCN(Cc1cccnn1)C1CCCCC1")</f>
        <v>FCN(Cc1cccnn1)C1CCCCC1</v>
      </c>
      <c r="C59" s="7">
        <f>IFERROR(__xludf.DUMMYFUNCTION("""COMPUTED_VALUE"""),7.8633647)</f>
        <v>7.8633647</v>
      </c>
      <c r="D59" s="7">
        <f>IFERROR(__xludf.DUMMYFUNCTION("""COMPUTED_VALUE"""),0.475)</f>
        <v>0.475</v>
      </c>
    </row>
    <row r="60">
      <c r="A60" s="10" t="s">
        <v>1499</v>
      </c>
      <c r="B60" s="7" t="str">
        <f>IFERROR(__xludf.DUMMYFUNCTION("SPLIT(A60,"" "")"),"CC(N)C(C)(C)C")</f>
        <v>CC(N)C(C)(C)C</v>
      </c>
      <c r="C60" s="7">
        <f>IFERROR(__xludf.DUMMYFUNCTION("""COMPUTED_VALUE"""),7.8633256)</f>
        <v>7.8633256</v>
      </c>
      <c r="D60" s="7">
        <f>IFERROR(__xludf.DUMMYFUNCTION("""COMPUTED_VALUE"""),0.103448275862068)</f>
        <v>0.1034482759</v>
      </c>
    </row>
    <row r="61">
      <c r="A61" s="10" t="s">
        <v>1500</v>
      </c>
      <c r="B61" s="7" t="str">
        <f>IFERROR(__xludf.DUMMYFUNCTION("SPLIT(A61,"" "")"),"CNCCCN1CCN(C)CCN(C)CC1")</f>
        <v>CNCCCN1CCN(C)CCN(C)CC1</v>
      </c>
      <c r="C61" s="7">
        <f>IFERROR(__xludf.DUMMYFUNCTION("""COMPUTED_VALUE"""),7.863254)</f>
        <v>7.863254</v>
      </c>
      <c r="D61" s="7">
        <f>IFERROR(__xludf.DUMMYFUNCTION("""COMPUTED_VALUE"""),0.38095238095238)</f>
        <v>0.380952381</v>
      </c>
    </row>
    <row r="62">
      <c r="A62" s="10" t="s">
        <v>1501</v>
      </c>
      <c r="B62" s="7" t="str">
        <f>IFERROR(__xludf.DUMMYFUNCTION("SPLIT(A62,"" "")"),"CCCCN1CCN(C)CCN(C)CC1")</f>
        <v>CCCCN1CCN(C)CCN(C)CC1</v>
      </c>
      <c r="C62" s="7">
        <f>IFERROR(__xludf.DUMMYFUNCTION("""COMPUTED_VALUE"""),7.863211)</f>
        <v>7.863211</v>
      </c>
      <c r="D62" s="7">
        <f>IFERROR(__xludf.DUMMYFUNCTION("""COMPUTED_VALUE"""),0.444444444444444)</f>
        <v>0.4444444444</v>
      </c>
    </row>
    <row r="63">
      <c r="A63" s="10" t="s">
        <v>1502</v>
      </c>
      <c r="B63" s="7" t="str">
        <f>IFERROR(__xludf.DUMMYFUNCTION("SPLIT(A63,"" "")"),"CN1CCCNC2N=CC=CC2N(C)CC1")</f>
        <v>CN1CCCNC2N=CC=CC2N(C)CC1</v>
      </c>
      <c r="C63" s="7">
        <f>IFERROR(__xludf.DUMMYFUNCTION("""COMPUTED_VALUE"""),7.8627706)</f>
        <v>7.8627706</v>
      </c>
      <c r="D63" s="7">
        <f>IFERROR(__xludf.DUMMYFUNCTION("""COMPUTED_VALUE"""),0.289473684210526)</f>
        <v>0.2894736842</v>
      </c>
    </row>
    <row r="64">
      <c r="A64" s="10" t="s">
        <v>1503</v>
      </c>
      <c r="B64" s="7" t="str">
        <f>IFERROR(__xludf.DUMMYFUNCTION("SPLIT(A64,"" "")"),"CCNCCN1CCN(C)CCN(C)CC1")</f>
        <v>CCNCCN1CCN(C)CCN(C)CC1</v>
      </c>
      <c r="C64" s="7">
        <f>IFERROR(__xludf.DUMMYFUNCTION("""COMPUTED_VALUE"""),7.862681)</f>
        <v>7.862681</v>
      </c>
      <c r="D64" s="7">
        <f>IFERROR(__xludf.DUMMYFUNCTION("""COMPUTED_VALUE"""),0.38095238095238)</f>
        <v>0.380952381</v>
      </c>
    </row>
    <row r="65">
      <c r="A65" s="10" t="s">
        <v>1504</v>
      </c>
      <c r="B65" s="7" t="str">
        <f>IFERROR(__xludf.DUMMYFUNCTION("SPLIT(A65,"" "")"),"CC1C=CCC(N)C1C")</f>
        <v>CC1C=CCC(N)C1C</v>
      </c>
      <c r="C65" s="7">
        <f>IFERROR(__xludf.DUMMYFUNCTION("""COMPUTED_VALUE"""),7.862594)</f>
        <v>7.862594</v>
      </c>
      <c r="D65" s="7">
        <f>IFERROR(__xludf.DUMMYFUNCTION("""COMPUTED_VALUE"""),0.104166666666666)</f>
        <v>0.1041666667</v>
      </c>
    </row>
    <row r="66">
      <c r="A66" s="10" t="s">
        <v>1505</v>
      </c>
      <c r="B66" s="7" t="str">
        <f>IFERROR(__xludf.DUMMYFUNCTION("SPLIT(A66,"" "")"),"CC1CCC1")</f>
        <v>CC1CCC1</v>
      </c>
      <c r="C66" s="7">
        <f>IFERROR(__xludf.DUMMYFUNCTION("""COMPUTED_VALUE"""),7.8625436)</f>
        <v>7.8625436</v>
      </c>
      <c r="D66" s="7">
        <f>IFERROR(__xludf.DUMMYFUNCTION("""COMPUTED_VALUE"""),0.147058823529411)</f>
        <v>0.1470588235</v>
      </c>
    </row>
    <row r="67">
      <c r="A67" s="10" t="s">
        <v>1506</v>
      </c>
      <c r="B67" s="7" t="str">
        <f>IFERROR(__xludf.DUMMYFUNCTION("SPLIT(A67,"" "")"),"CN1CCN(C)CCN(CCc2ccc3c(c2)OCCOCCOCCOCCOCCO3)CC1")</f>
        <v>CN1CCN(C)CCN(CCc2ccc3c(c2)OCCOCCOCCOCCOCCO3)CC1</v>
      </c>
      <c r="C67" s="7">
        <f>IFERROR(__xludf.DUMMYFUNCTION("""COMPUTED_VALUE"""),7.8622956)</f>
        <v>7.8622956</v>
      </c>
      <c r="D67" s="7">
        <f>IFERROR(__xludf.DUMMYFUNCTION("""COMPUTED_VALUE"""),0.338983050847457)</f>
        <v>0.3389830508</v>
      </c>
    </row>
    <row r="68">
      <c r="A68" s="10" t="s">
        <v>1507</v>
      </c>
      <c r="B68" s="7" t="str">
        <f>IFERROR(__xludf.DUMMYFUNCTION("SPLIT(A68,"" "")"),"CN1CCN(C)CCN(Cc2cccc3c2OCCOCCOCCOCCOCCO3)CC1")</f>
        <v>CN1CCN(C)CCN(Cc2cccc3c2OCCOCCOCCOCCOCCO3)CC1</v>
      </c>
      <c r="C68" s="7">
        <f>IFERROR(__xludf.DUMMYFUNCTION("""COMPUTED_VALUE"""),7.8622456)</f>
        <v>7.8622456</v>
      </c>
      <c r="D68" s="7">
        <f>IFERROR(__xludf.DUMMYFUNCTION("""COMPUTED_VALUE"""),0.382978723404255)</f>
        <v>0.3829787234</v>
      </c>
    </row>
    <row r="69">
      <c r="A69" s="10" t="s">
        <v>1508</v>
      </c>
      <c r="B69" s="7" t="str">
        <f>IFERROR(__xludf.DUMMYFUNCTION("SPLIT(A69,"" "")"),"CC(C)N1CCCC1C1CCCN1C1C=CC=CN1")</f>
        <v>CC(C)N1CCCC1C1CCCN1C1C=CC=CN1</v>
      </c>
      <c r="C69" s="7">
        <f>IFERROR(__xludf.DUMMYFUNCTION("""COMPUTED_VALUE"""),7.862139)</f>
        <v>7.862139</v>
      </c>
      <c r="D69" s="7">
        <f>IFERROR(__xludf.DUMMYFUNCTION("""COMPUTED_VALUE"""),0.245614035087719)</f>
        <v>0.2456140351</v>
      </c>
    </row>
    <row r="70">
      <c r="A70" s="10" t="s">
        <v>1509</v>
      </c>
      <c r="B70" s="7" t="str">
        <f>IFERROR(__xludf.DUMMYFUNCTION("SPLIT(A70,"" "")"),"CN1CCN(C)CCN(CCl)CC1")</f>
        <v>CN1CCN(C)CCN(CCl)CC1</v>
      </c>
      <c r="C70" s="7">
        <f>IFERROR(__xludf.DUMMYFUNCTION("""COMPUTED_VALUE"""),7.862103)</f>
        <v>7.862103</v>
      </c>
      <c r="D70" s="7">
        <f>IFERROR(__xludf.DUMMYFUNCTION("""COMPUTED_VALUE"""),0.5)</f>
        <v>0.5</v>
      </c>
    </row>
    <row r="71">
      <c r="A71" s="10" t="s">
        <v>1510</v>
      </c>
      <c r="B71" s="7" t="str">
        <f>IFERROR(__xludf.DUMMYFUNCTION("SPLIT(A71,"" "")"),"C#CCN(C)CCN(C)Cc1cccc2c1OCCOCCOCCOCCOCCO2")</f>
        <v>C#CCN(C)CCN(C)Cc1cccc2c1OCCOCCOCCOCCOCCO2</v>
      </c>
      <c r="C71" s="7">
        <f>IFERROR(__xludf.DUMMYFUNCTION("""COMPUTED_VALUE"""),7.8616695)</f>
        <v>7.8616695</v>
      </c>
      <c r="D71" s="7">
        <f>IFERROR(__xludf.DUMMYFUNCTION("""COMPUTED_VALUE"""),0.320754716981132)</f>
        <v>0.320754717</v>
      </c>
    </row>
    <row r="72">
      <c r="A72" s="10" t="s">
        <v>1511</v>
      </c>
      <c r="B72" s="7" t="str">
        <f>IFERROR(__xludf.DUMMYFUNCTION("SPLIT(A72,"" "")"),"CN1CCN(C)CCN(C2C=CC=CN2)CC1")</f>
        <v>CN1CCN(C)CCN(C2C=CC=CN2)CC1</v>
      </c>
      <c r="C72" s="7">
        <f>IFERROR(__xludf.DUMMYFUNCTION("""COMPUTED_VALUE"""),7.8615055)</f>
        <v>7.8615055</v>
      </c>
      <c r="D72" s="7">
        <f>IFERROR(__xludf.DUMMYFUNCTION("""COMPUTED_VALUE"""),0.32)</f>
        <v>0.32</v>
      </c>
    </row>
    <row r="73">
      <c r="A73" s="10" t="s">
        <v>1512</v>
      </c>
      <c r="B73" s="7" t="str">
        <f>IFERROR(__xludf.DUMMYFUNCTION("SPLIT(A73,"" "")"),"C1=CNC2(NCc3ccccn3)OCCOCCOCCOCCOCCOC2=C1")</f>
        <v>C1=CNC2(NCc3ccccn3)OCCOCCOCCOCCOCCOC2=C1</v>
      </c>
      <c r="C73" s="7">
        <f>IFERROR(__xludf.DUMMYFUNCTION("""COMPUTED_VALUE"""),7.8614054)</f>
        <v>7.8614054</v>
      </c>
      <c r="D73" s="7">
        <f>IFERROR(__xludf.DUMMYFUNCTION("""COMPUTED_VALUE"""),0.34)</f>
        <v>0.34</v>
      </c>
    </row>
    <row r="74">
      <c r="A74" s="10" t="s">
        <v>1513</v>
      </c>
      <c r="B74" s="7" t="str">
        <f>IFERROR(__xludf.DUMMYFUNCTION("SPLIT(A74,"" "")"),"CC(C)N(C)C1CCCCC1N(C)C")</f>
        <v>CC(C)N(C)C1CCCCC1N(C)C</v>
      </c>
      <c r="C74" s="7">
        <f>IFERROR(__xludf.DUMMYFUNCTION("""COMPUTED_VALUE"""),7.861405)</f>
        <v>7.861405</v>
      </c>
      <c r="D74" s="7">
        <f>IFERROR(__xludf.DUMMYFUNCTION("""COMPUTED_VALUE"""),0.317073170731707)</f>
        <v>0.3170731707</v>
      </c>
    </row>
    <row r="75">
      <c r="A75" s="10" t="s">
        <v>1514</v>
      </c>
      <c r="B75" s="7" t="str">
        <f>IFERROR(__xludf.DUMMYFUNCTION("SPLIT(A75,"" "")"),"CNC1COCCOCCOCCOCCOCC(c2cc(CF)ccn2)O1")</f>
        <v>CNC1COCCOCCOCCOCCOCC(c2cc(CF)ccn2)O1</v>
      </c>
      <c r="C75" s="7">
        <f>IFERROR(__xludf.DUMMYFUNCTION("""COMPUTED_VALUE"""),7.8612514)</f>
        <v>7.8612514</v>
      </c>
      <c r="D75" s="7">
        <f>IFERROR(__xludf.DUMMYFUNCTION("""COMPUTED_VALUE"""),0.222222222222222)</f>
        <v>0.2222222222</v>
      </c>
    </row>
    <row r="76">
      <c r="A76" s="10" t="s">
        <v>1515</v>
      </c>
      <c r="B76" s="7" t="str">
        <f>IFERROR(__xludf.DUMMYFUNCTION("SPLIT(A76,"" "")"),"CN(CC1=CCC=CN1)C1CCCCC1")</f>
        <v>CN(CC1=CCC=CN1)C1CCCCC1</v>
      </c>
      <c r="C76" s="7">
        <f>IFERROR(__xludf.DUMMYFUNCTION("""COMPUTED_VALUE"""),7.8612328)</f>
        <v>7.8612328</v>
      </c>
      <c r="D76" s="7">
        <f>IFERROR(__xludf.DUMMYFUNCTION("""COMPUTED_VALUE"""),0.395833333333333)</f>
        <v>0.3958333333</v>
      </c>
    </row>
    <row r="77">
      <c r="A77" s="10" t="s">
        <v>1516</v>
      </c>
      <c r="B77" s="7" t="str">
        <f>IFERROR(__xludf.DUMMYFUNCTION("SPLIT(A77,"" "")"),"CC(C)N1CCN(C)CCN(Cc2cncc(C3(C)CC4OCCOCCOCCOCCOCCOC43)c2)CC1")</f>
        <v>CC(C)N1CCN(C)CCN(Cc2cncc(C3(C)CC4OCCOCCOCCOCCOCCOC43)c2)CC1</v>
      </c>
      <c r="C77" s="7">
        <f>IFERROR(__xludf.DUMMYFUNCTION("""COMPUTED_VALUE"""),7.861046)</f>
        <v>7.861046</v>
      </c>
      <c r="D77" s="7">
        <f>IFERROR(__xludf.DUMMYFUNCTION("""COMPUTED_VALUE"""),0.283582089552238)</f>
        <v>0.2835820896</v>
      </c>
    </row>
    <row r="78">
      <c r="A78" s="10" t="s">
        <v>1517</v>
      </c>
      <c r="B78" s="7" t="str">
        <f>IFERROR(__xludf.DUMMYFUNCTION("SPLIT(A78,"" "")"),"CNCCN1CCN(C)CCN(C)CC1")</f>
        <v>CNCCN1CCN(C)CCN(C)CC1</v>
      </c>
      <c r="C78" s="7">
        <f>IFERROR(__xludf.DUMMYFUNCTION("""COMPUTED_VALUE"""),7.8606052)</f>
        <v>7.8606052</v>
      </c>
      <c r="D78" s="7">
        <f>IFERROR(__xludf.DUMMYFUNCTION("""COMPUTED_VALUE"""),0.421052631578947)</f>
        <v>0.4210526316</v>
      </c>
    </row>
    <row r="79">
      <c r="A79" s="10" t="s">
        <v>1518</v>
      </c>
      <c r="B79" s="7" t="str">
        <f>IFERROR(__xludf.DUMMYFUNCTION("SPLIT(A79,"" "")"),"CC(C)N1CCN(C)CCN(C(C)N2CCN(C)CCN(C)CC2)CC1")</f>
        <v>CC(C)N1CCN(C)CCN(C(C)N2CCN(C)CCN(C)CC2)CC1</v>
      </c>
      <c r="C79" s="7">
        <f>IFERROR(__xludf.DUMMYFUNCTION("""COMPUTED_VALUE"""),7.8605685)</f>
        <v>7.8605685</v>
      </c>
      <c r="D79" s="7">
        <f>IFERROR(__xludf.DUMMYFUNCTION("""COMPUTED_VALUE"""),0.444444444444444)</f>
        <v>0.4444444444</v>
      </c>
    </row>
    <row r="80">
      <c r="A80" s="10" t="s">
        <v>1519</v>
      </c>
      <c r="B80" s="7" t="str">
        <f>IFERROR(__xludf.DUMMYFUNCTION("SPLIT(A80,"" "")"),"C1=CCNC=C1")</f>
        <v>C1=CCNC=C1</v>
      </c>
      <c r="C80" s="7">
        <f>IFERROR(__xludf.DUMMYFUNCTION("""COMPUTED_VALUE"""),7.860322)</f>
        <v>7.860322</v>
      </c>
      <c r="D80" s="7">
        <f>IFERROR(__xludf.DUMMYFUNCTION("""COMPUTED_VALUE"""),0.113636363636363)</f>
        <v>0.1136363636</v>
      </c>
    </row>
    <row r="81">
      <c r="A81" s="10" t="s">
        <v>1520</v>
      </c>
      <c r="B81" s="7" t="str">
        <f>IFERROR(__xludf.DUMMYFUNCTION("SPLIT(A81,"" "")"),"CNC1CCCC(N(C)C(C)C)C1")</f>
        <v>CNC1CCCC(N(C)C(C)C)C1</v>
      </c>
      <c r="C81" s="7">
        <f>IFERROR(__xludf.DUMMYFUNCTION("""COMPUTED_VALUE"""),7.860283)</f>
        <v>7.860283</v>
      </c>
      <c r="D81" s="7">
        <f>IFERROR(__xludf.DUMMYFUNCTION("""COMPUTED_VALUE"""),0.18)</f>
        <v>0.18</v>
      </c>
    </row>
    <row r="82">
      <c r="A82" s="10" t="s">
        <v>1521</v>
      </c>
      <c r="B82" s="7" t="str">
        <f>IFERROR(__xludf.DUMMYFUNCTION("SPLIT(A82,"" "")"),"CN1CCN(C)CCN(Cc2ccc3c(c2)OCCOCCOCCOCCOCCO3)CC1")</f>
        <v>CN1CCN(C)CCN(Cc2ccc3c(c2)OCCOCCOCCOCCOCCO3)CC1</v>
      </c>
      <c r="C82" s="7">
        <f>IFERROR(__xludf.DUMMYFUNCTION("""COMPUTED_VALUE"""),7.8602214)</f>
        <v>7.8602214</v>
      </c>
      <c r="D82" s="7">
        <f>IFERROR(__xludf.DUMMYFUNCTION("""COMPUTED_VALUE"""),0.368421052631578)</f>
        <v>0.3684210526</v>
      </c>
    </row>
    <row r="83">
      <c r="A83" s="10" t="s">
        <v>1522</v>
      </c>
      <c r="B83" s="7" t="str">
        <f>IFERROR(__xludf.DUMMYFUNCTION("SPLIT(A83,"" "")"),"CN1CCNCC2N=CC=CC2N(C)CC1")</f>
        <v>CN1CCNCC2N=CC=CC2N(C)CC1</v>
      </c>
      <c r="C83" s="7">
        <f>IFERROR(__xludf.DUMMYFUNCTION("""COMPUTED_VALUE"""),7.8601646)</f>
        <v>7.8601646</v>
      </c>
      <c r="D83" s="7">
        <f>IFERROR(__xludf.DUMMYFUNCTION("""COMPUTED_VALUE"""),0.236363636363636)</f>
        <v>0.2363636364</v>
      </c>
    </row>
    <row r="84">
      <c r="A84" s="10" t="s">
        <v>1523</v>
      </c>
      <c r="B84" s="7" t="str">
        <f>IFERROR(__xludf.DUMMYFUNCTION("SPLIT(A84,"" "")"),"CN1CCNCC2C=CC=NC2N(C)CC1")</f>
        <v>CN1CCNCC2C=CC=NC2N(C)CC1</v>
      </c>
      <c r="C84" s="7">
        <f>IFERROR(__xludf.DUMMYFUNCTION("""COMPUTED_VALUE"""),7.8598833)</f>
        <v>7.8598833</v>
      </c>
      <c r="D84" s="7">
        <f>IFERROR(__xludf.DUMMYFUNCTION("""COMPUTED_VALUE"""),0.235294117647058)</f>
        <v>0.2352941176</v>
      </c>
    </row>
    <row r="85">
      <c r="A85" s="10" t="s">
        <v>1524</v>
      </c>
      <c r="B85" s="7" t="str">
        <f>IFERROR(__xludf.DUMMYFUNCTION("SPLIT(A85,"" "")"),"Cc1cccc2c1OCCOCCOCCOCCOCCO2")</f>
        <v>Cc1cccc2c1OCCOCCOCCOCCOCCO2</v>
      </c>
      <c r="C85" s="7">
        <f>IFERROR(__xludf.DUMMYFUNCTION("""COMPUTED_VALUE"""),7.8598614)</f>
        <v>7.8598614</v>
      </c>
      <c r="D85" s="7">
        <f>IFERROR(__xludf.DUMMYFUNCTION("""COMPUTED_VALUE"""),0.232142857142857)</f>
        <v>0.2321428571</v>
      </c>
    </row>
    <row r="86">
      <c r="A86" s="10" t="s">
        <v>1525</v>
      </c>
      <c r="B86" s="7" t="str">
        <f>IFERROR(__xludf.DUMMYFUNCTION("SPLIT(A86,"" "")"),"CC(C)N(C)C1CCCC(N(C)C(C)C)C1")</f>
        <v>CC(C)N(C)C1CCCC(N(C)C(C)C)C1</v>
      </c>
      <c r="C86" s="7">
        <f>IFERROR(__xludf.DUMMYFUNCTION("""COMPUTED_VALUE"""),7.859818)</f>
        <v>7.859818</v>
      </c>
      <c r="D86" s="7">
        <f>IFERROR(__xludf.DUMMYFUNCTION("""COMPUTED_VALUE"""),0.209302325581395)</f>
        <v>0.2093023256</v>
      </c>
    </row>
    <row r="87">
      <c r="A87" s="10" t="s">
        <v>1526</v>
      </c>
      <c r="B87" s="7" t="str">
        <f>IFERROR(__xludf.DUMMYFUNCTION("SPLIT(A87,"" "")"),"CC(C)N1CCCC1CN1CCN(C)CCN(C)CC1")</f>
        <v>CC(C)N1CCCC1CN1CCN(C)CCN(C)CC1</v>
      </c>
      <c r="C87" s="7">
        <f>IFERROR(__xludf.DUMMYFUNCTION("""COMPUTED_VALUE"""),7.85962)</f>
        <v>7.85962</v>
      </c>
      <c r="D87" s="7">
        <f>IFERROR(__xludf.DUMMYFUNCTION("""COMPUTED_VALUE"""),0.285714285714285)</f>
        <v>0.2857142857</v>
      </c>
    </row>
    <row r="88">
      <c r="A88" s="10" t="s">
        <v>1527</v>
      </c>
      <c r="B88" s="7" t="str">
        <f>IFERROR(__xludf.DUMMYFUNCTION("SPLIT(A88,"" "")"),"CC(C)N1CCN(Cc2cccc(C3(C)CC4OCCOCCOCCOCCOCCOC43)n2)CCN(C(C)C)CC1")</f>
        <v>CC(C)N1CCN(Cc2cccc(C3(C)CC4OCCOCCOCCOCCOCCOC43)n2)CCN(C(C)C)CC1</v>
      </c>
      <c r="C88" s="7">
        <f>IFERROR(__xludf.DUMMYFUNCTION("""COMPUTED_VALUE"""),7.8593736)</f>
        <v>7.8593736</v>
      </c>
      <c r="D88" s="7">
        <f>IFERROR(__xludf.DUMMYFUNCTION("""COMPUTED_VALUE"""),0.413793103448275)</f>
        <v>0.4137931034</v>
      </c>
    </row>
    <row r="89">
      <c r="A89" s="10" t="s">
        <v>1528</v>
      </c>
      <c r="B89" s="7" t="str">
        <f>IFERROR(__xludf.DUMMYFUNCTION("SPLIT(A89,"" "")"),"CCCN(Cc1cccnn1)C1CCCCC1")</f>
        <v>CCCN(Cc1cccnn1)C1CCCCC1</v>
      </c>
      <c r="C89" s="7">
        <f>IFERROR(__xludf.DUMMYFUNCTION("""COMPUTED_VALUE"""),7.859287)</f>
        <v>7.859287</v>
      </c>
      <c r="D89" s="7">
        <f>IFERROR(__xludf.DUMMYFUNCTION("""COMPUTED_VALUE"""),0.48780487804878)</f>
        <v>0.487804878</v>
      </c>
    </row>
    <row r="90">
      <c r="A90" s="10" t="s">
        <v>1529</v>
      </c>
      <c r="B90" s="7" t="str">
        <f>IFERROR(__xludf.DUMMYFUNCTION("SPLIT(A90,"" "")"),"Cc1ccc2c(c1)OCCOCCOCCOCCOCCO2")</f>
        <v>Cc1ccc2c(c1)OCCOCCOCCOCCOCCO2</v>
      </c>
      <c r="C90" s="7">
        <f>IFERROR(__xludf.DUMMYFUNCTION("""COMPUTED_VALUE"""),7.8592105)</f>
        <v>7.8592105</v>
      </c>
      <c r="D90" s="7">
        <f>IFERROR(__xludf.DUMMYFUNCTION("""COMPUTED_VALUE"""),0.34)</f>
        <v>0.34</v>
      </c>
    </row>
    <row r="91">
      <c r="A91" s="10" t="s">
        <v>1530</v>
      </c>
      <c r="B91" s="7" t="str">
        <f>IFERROR(__xludf.DUMMYFUNCTION("SPLIT(A91,"" "")"),"NC1COCCOCCOc2ccccc2OCCOCCO1")</f>
        <v>NC1COCCOCCOc2ccccc2OCCOCCO1</v>
      </c>
      <c r="C91" s="7">
        <f>IFERROR(__xludf.DUMMYFUNCTION("""COMPUTED_VALUE"""),7.858976)</f>
        <v>7.858976</v>
      </c>
      <c r="D91" s="7">
        <f>IFERROR(__xludf.DUMMYFUNCTION("""COMPUTED_VALUE"""),0.263157894736842)</f>
        <v>0.2631578947</v>
      </c>
    </row>
    <row r="92">
      <c r="A92" s="10" t="s">
        <v>1531</v>
      </c>
      <c r="B92" s="7" t="str">
        <f>IFERROR(__xludf.DUMMYFUNCTION("SPLIT(A92,"" "")"),"CC(N)C(C)N1CCN(C)CCN(C(C)C)CC1")</f>
        <v>CC(N)C(C)N1CCN(C)CCN(C(C)C)CC1</v>
      </c>
      <c r="C92" s="7">
        <f>IFERROR(__xludf.DUMMYFUNCTION("""COMPUTED_VALUE"""),7.858674)</f>
        <v>7.858674</v>
      </c>
      <c r="D92" s="7">
        <f>IFERROR(__xludf.DUMMYFUNCTION("""COMPUTED_VALUE"""),0.363636363636363)</f>
        <v>0.3636363636</v>
      </c>
    </row>
    <row r="93">
      <c r="A93" s="10" t="s">
        <v>1532</v>
      </c>
      <c r="B93" s="7" t="str">
        <f>IFERROR(__xludf.DUMMYFUNCTION("SPLIT(A93,"" "")"),"CCNCc1cccc2c1OCCOCCOCCOCCOCCO2")</f>
        <v>CCNCc1cccc2c1OCCOCCOCCOCCOCCO2</v>
      </c>
      <c r="C93" s="7">
        <f>IFERROR(__xludf.DUMMYFUNCTION("""COMPUTED_VALUE"""),7.858657)</f>
        <v>7.858657</v>
      </c>
      <c r="D93" s="7">
        <f>IFERROR(__xludf.DUMMYFUNCTION("""COMPUTED_VALUE"""),0.222222222222222)</f>
        <v>0.2222222222</v>
      </c>
    </row>
    <row r="94">
      <c r="A94" s="10" t="s">
        <v>1533</v>
      </c>
      <c r="B94" s="7" t="str">
        <f>IFERROR(__xludf.DUMMYFUNCTION("SPLIT(A94,"" "")"),"CNCc1cccc2c1OCCOCCOCCOCCOCCO2")</f>
        <v>CNCc1cccc2c1OCCOCCOCCOCCOCCO2</v>
      </c>
      <c r="C94" s="7">
        <f>IFERROR(__xludf.DUMMYFUNCTION("""COMPUTED_VALUE"""),7.8585773)</f>
        <v>7.8585773</v>
      </c>
      <c r="D94" s="7">
        <f>IFERROR(__xludf.DUMMYFUNCTION("""COMPUTED_VALUE"""),0.233333333333333)</f>
        <v>0.2333333333</v>
      </c>
    </row>
    <row r="95">
      <c r="A95" s="10" t="s">
        <v>1534</v>
      </c>
      <c r="B95" s="7" t="str">
        <f>IFERROR(__xludf.DUMMYFUNCTION("SPLIT(A95,"" "")"),"CSC12C=CC=NC1N(C)CCCNCCN2")</f>
        <v>CSC12C=CC=NC1N(C)CCCNCCN2</v>
      </c>
      <c r="C95" s="7">
        <f>IFERROR(__xludf.DUMMYFUNCTION("""COMPUTED_VALUE"""),7.8583646)</f>
        <v>7.8583646</v>
      </c>
      <c r="D95" s="7">
        <f>IFERROR(__xludf.DUMMYFUNCTION("""COMPUTED_VALUE"""),0.2)</f>
        <v>0.2</v>
      </c>
    </row>
    <row r="96">
      <c r="A96" s="10" t="s">
        <v>1535</v>
      </c>
      <c r="B96" s="7" t="str">
        <f>IFERROR(__xludf.DUMMYFUNCTION("SPLIT(A96,"" "")"),"CCCNCc1ccc2c(c1)OCCOCCOCCOCCOCCO2")</f>
        <v>CCCNCc1ccc2c(c1)OCCOCCOCCOCCOCCO2</v>
      </c>
      <c r="C96" s="7">
        <f>IFERROR(__xludf.DUMMYFUNCTION("""COMPUTED_VALUE"""),7.8582835)</f>
        <v>7.8582835</v>
      </c>
      <c r="D96" s="7">
        <f>IFERROR(__xludf.DUMMYFUNCTION("""COMPUTED_VALUE"""),0.305084745762711)</f>
        <v>0.3050847458</v>
      </c>
    </row>
    <row r="97">
      <c r="A97" s="10" t="s">
        <v>1536</v>
      </c>
      <c r="B97" s="7" t="str">
        <f>IFERROR(__xludf.DUMMYFUNCTION("SPLIT(A97,"" "")"),"CCN1CCN(C)CCN(C(C)C)CC1")</f>
        <v>CCN1CCN(C)CCN(C(C)C)CC1</v>
      </c>
      <c r="C97" s="7">
        <f>IFERROR(__xludf.DUMMYFUNCTION("""COMPUTED_VALUE"""),7.8579154)</f>
        <v>7.8579154</v>
      </c>
      <c r="D97" s="7">
        <f>IFERROR(__xludf.DUMMYFUNCTION("""COMPUTED_VALUE"""),0.363636363636363)</f>
        <v>0.3636363636</v>
      </c>
    </row>
    <row r="98">
      <c r="A98" s="10" t="s">
        <v>1537</v>
      </c>
      <c r="B98" s="7" t="str">
        <f>IFERROR(__xludf.DUMMYFUNCTION("SPLIT(A98,"" "")"),"CN1CCN(C)CCN(CCCN(C)C(C)(C)C)CC1")</f>
        <v>CN1CCN(C)CCN(CCCN(C)C(C)(C)C)CC1</v>
      </c>
      <c r="C98" s="7">
        <f>IFERROR(__xludf.DUMMYFUNCTION("""COMPUTED_VALUE"""),7.857798)</f>
        <v>7.857798</v>
      </c>
      <c r="D98" s="7">
        <f>IFERROR(__xludf.DUMMYFUNCTION("""COMPUTED_VALUE"""),0.32)</f>
        <v>0.32</v>
      </c>
    </row>
    <row r="99">
      <c r="A99" s="10" t="s">
        <v>1538</v>
      </c>
      <c r="B99" s="7" t="str">
        <f>IFERROR(__xludf.DUMMYFUNCTION("SPLIT(A99,"" "")"),"CCNCc1ccc2c(c1)OCCOCCOCCOCCOCCO2")</f>
        <v>CCNCc1ccc2c(c1)OCCOCCOCCOCCOCCO2</v>
      </c>
      <c r="C99" s="7">
        <f>IFERROR(__xludf.DUMMYFUNCTION("""COMPUTED_VALUE"""),7.857744)</f>
        <v>7.857744</v>
      </c>
      <c r="D99" s="7">
        <f>IFERROR(__xludf.DUMMYFUNCTION("""COMPUTED_VALUE"""),0.31578947368421)</f>
        <v>0.3157894737</v>
      </c>
    </row>
    <row r="100">
      <c r="A100" s="10" t="s">
        <v>1539</v>
      </c>
      <c r="B100" s="7" t="str">
        <f>IFERROR(__xludf.DUMMYFUNCTION("SPLIT(A100,"" "")"),"CN(C1CCCCC1N(Cc1cccc(F)n1)Cc1ncccc1F)C1CCCCC1N(C)C1CCCCC1N(C)C1CCCCC1N(C)C1CCCCC1N(C)C1CCCCC1N(C)C1CCCCC1N(Cc1ncccc1F)C1CCCCC1N(Cc1ccccn1)Cc1cccc(F)n1")</f>
        <v>CN(C1CCCCC1N(Cc1cccc(F)n1)Cc1ncccc1F)C1CCCCC1N(C)C1CCCCC1N(C)C1CCCCC1N(C)C1CCCCC1N(C)C1CCCCC1N(C)C1CCCCC1N(Cc1ncccc1F)C1CCCCC1N(Cc1ccccn1)Cc1cccc(F)n1</v>
      </c>
      <c r="C100" s="7">
        <f>IFERROR(__xludf.DUMMYFUNCTION("""COMPUTED_VALUE"""),7.8576164)</f>
        <v>7.8576164</v>
      </c>
      <c r="D100" s="7">
        <f>IFERROR(__xludf.DUMMYFUNCTION("""COMPUTED_VALUE"""),0.448275862068965)</f>
        <v>0.4482758621</v>
      </c>
    </row>
    <row r="101">
      <c r="A101" s="10" t="s">
        <v>1540</v>
      </c>
      <c r="B101" s="7" t="str">
        <f>IFERROR(__xludf.DUMMYFUNCTION("SPLIT(A101,"" "")"),"C1=NCCC=C1CN(Cc1cccnn1)C1CCCCC1")</f>
        <v>C1=NCCC=C1CN(Cc1cccnn1)C1CCCCC1</v>
      </c>
      <c r="C101" s="7">
        <f>IFERROR(__xludf.DUMMYFUNCTION("""COMPUTED_VALUE"""),7.8571744)</f>
        <v>7.8571744</v>
      </c>
      <c r="D101" s="7">
        <f>IFERROR(__xludf.DUMMYFUNCTION("""COMPUTED_VALUE"""),0.36)</f>
        <v>0.36</v>
      </c>
    </row>
    <row r="102">
      <c r="A102" s="10" t="s">
        <v>1541</v>
      </c>
      <c r="B102" s="7" t="str">
        <f>IFERROR(__xludf.DUMMYFUNCTION("SPLIT(A102,"" "")"),"CNCc1ccc2c(c1)OCCOCCOCCOCCOCCO2")</f>
        <v>CNCc1ccc2c(c1)OCCOCCOCCOCCOCCO2</v>
      </c>
      <c r="C102" s="7">
        <f>IFERROR(__xludf.DUMMYFUNCTION("""COMPUTED_VALUE"""),7.856907)</f>
        <v>7.856907</v>
      </c>
      <c r="D102" s="7">
        <f>IFERROR(__xludf.DUMMYFUNCTION("""COMPUTED_VALUE"""),0.327272727272727)</f>
        <v>0.3272727273</v>
      </c>
    </row>
    <row r="103">
      <c r="A103" s="10" t="s">
        <v>1542</v>
      </c>
      <c r="B103" s="7" t="str">
        <f>IFERROR(__xludf.DUMMYFUNCTION("SPLIT(A103,"" "")"),"CCNC")</f>
        <v>CCNC</v>
      </c>
      <c r="C103" s="7">
        <f>IFERROR(__xludf.DUMMYFUNCTION("""COMPUTED_VALUE"""),7.856661)</f>
        <v>7.856661</v>
      </c>
      <c r="D103" s="7">
        <f>IFERROR(__xludf.DUMMYFUNCTION("""COMPUTED_VALUE"""),0.125)</f>
        <v>0.125</v>
      </c>
    </row>
    <row r="104">
      <c r="A104" s="10" t="s">
        <v>1543</v>
      </c>
      <c r="B104" s="7" t="str">
        <f>IFERROR(__xludf.DUMMYFUNCTION("SPLIT(A104,"" "")"),"CNC1COc2ccccc2OCCOCCOCCOCCO1")</f>
        <v>CNC1COc2ccccc2OCCOCCOCCOCCO1</v>
      </c>
      <c r="C104" s="7">
        <f>IFERROR(__xludf.DUMMYFUNCTION("""COMPUTED_VALUE"""),7.856602)</f>
        <v>7.856602</v>
      </c>
      <c r="D104" s="7">
        <f>IFERROR(__xludf.DUMMYFUNCTION("""COMPUTED_VALUE"""),0.25)</f>
        <v>0.25</v>
      </c>
    </row>
    <row r="105">
      <c r="A105" s="10" t="s">
        <v>1544</v>
      </c>
      <c r="B105" s="7" t="str">
        <f>IFERROR(__xludf.DUMMYFUNCTION("SPLIT(A105,"" "")"),"CN(CCF)C1CCCCC1N(C)CC(C)(C)C")</f>
        <v>CN(CCF)C1CCCCC1N(C)CC(C)(C)C</v>
      </c>
      <c r="C105" s="7">
        <f>IFERROR(__xludf.DUMMYFUNCTION("""COMPUTED_VALUE"""),7.8564816)</f>
        <v>7.8564816</v>
      </c>
      <c r="D105" s="7">
        <f>IFERROR(__xludf.DUMMYFUNCTION("""COMPUTED_VALUE"""),0.295454545454545)</f>
        <v>0.2954545455</v>
      </c>
    </row>
    <row r="106">
      <c r="A106" s="10" t="s">
        <v>1545</v>
      </c>
      <c r="B106" s="7" t="str">
        <f>IFERROR(__xludf.DUMMYFUNCTION("SPLIT(A106,"" "")"),"CC1([SiH3])CCC1")</f>
        <v>CC1([SiH3])CCC1</v>
      </c>
      <c r="C106" s="7">
        <f>IFERROR(__xludf.DUMMYFUNCTION("""COMPUTED_VALUE"""),7.856332)</f>
        <v>7.856332</v>
      </c>
      <c r="D106" s="7">
        <f>IFERROR(__xludf.DUMMYFUNCTION("""COMPUTED_VALUE"""),0.130434782608695)</f>
        <v>0.1304347826</v>
      </c>
    </row>
    <row r="107">
      <c r="A107" s="10" t="s">
        <v>1546</v>
      </c>
      <c r="B107" s="7" t="str">
        <f>IFERROR(__xludf.DUMMYFUNCTION("SPLIT(A107,"" "")"),"CC1=C(C)C(N(C)Cc2ccccn2)C2(C)OCCOCCOCCOCCOCCOC2(C)C1C")</f>
        <v>CC1=C(C)C(N(C)Cc2ccccn2)C2(C)OCCOCCOCCOCCOCCOC2(C)C1C</v>
      </c>
      <c r="C107" s="7">
        <f>IFERROR(__xludf.DUMMYFUNCTION("""COMPUTED_VALUE"""),7.8559585)</f>
        <v>7.8559585</v>
      </c>
      <c r="D107" s="7">
        <f>IFERROR(__xludf.DUMMYFUNCTION("""COMPUTED_VALUE"""),0.433962264150943)</f>
        <v>0.4339622642</v>
      </c>
    </row>
    <row r="108">
      <c r="A108" s="10" t="s">
        <v>1547</v>
      </c>
      <c r="B108" s="7" t="str">
        <f>IFERROR(__xludf.DUMMYFUNCTION("SPLIT(A108,"" "")"),"CC(N)C(C)N(C)CCN1CCN(C)CCN(C(C)C)CC1")</f>
        <v>CC(N)C(C)N(C)CCN1CCN(C)CCN(C(C)C)CC1</v>
      </c>
      <c r="C108" s="7">
        <f>IFERROR(__xludf.DUMMYFUNCTION("""COMPUTED_VALUE"""),7.855834)</f>
        <v>7.855834</v>
      </c>
      <c r="D108" s="7">
        <f>IFERROR(__xludf.DUMMYFUNCTION("""COMPUTED_VALUE"""),0.285714285714285)</f>
        <v>0.2857142857</v>
      </c>
    </row>
    <row r="109">
      <c r="A109" s="10" t="s">
        <v>1548</v>
      </c>
      <c r="B109" s="7" t="str">
        <f>IFERROR(__xludf.DUMMYFUNCTION("SPLIT(A109,"" "")"),"CC(C)N(C)C1CC(CN2CCN(C)CCN(C)CC2)N(C)C1")</f>
        <v>CC(C)N(C)C1CC(CN2CCN(C)CCN(C)CC2)N(C)C1</v>
      </c>
      <c r="C109" s="7">
        <f>IFERROR(__xludf.DUMMYFUNCTION("""COMPUTED_VALUE"""),7.855834)</f>
        <v>7.855834</v>
      </c>
      <c r="D109" s="7">
        <f>IFERROR(__xludf.DUMMYFUNCTION("""COMPUTED_VALUE"""),0.264150943396226)</f>
        <v>0.2641509434</v>
      </c>
    </row>
    <row r="110">
      <c r="A110" s="10" t="s">
        <v>1549</v>
      </c>
      <c r="B110" s="7" t="str">
        <f>IFERROR(__xludf.DUMMYFUNCTION("SPLIT(A110,"" "")"),"CC(C)C(C)N")</f>
        <v>CC(C)C(C)N</v>
      </c>
      <c r="C110" s="7">
        <f>IFERROR(__xludf.DUMMYFUNCTION("""COMPUTED_VALUE"""),7.855803)</f>
        <v>7.855803</v>
      </c>
      <c r="D110" s="7">
        <f>IFERROR(__xludf.DUMMYFUNCTION("""COMPUTED_VALUE"""),0.114285714285714)</f>
        <v>0.1142857143</v>
      </c>
    </row>
    <row r="111">
      <c r="A111" s="10" t="s">
        <v>1550</v>
      </c>
      <c r="B111" s="7" t="str">
        <f>IFERROR(__xludf.DUMMYFUNCTION("SPLIT(A111,"" "")"),"CN1CCN(C)CCN(CCC2=CCC=CN2)CC1")</f>
        <v>CN1CCN(C)CCN(CCC2=CCC=CN2)CC1</v>
      </c>
      <c r="C111" s="7">
        <f>IFERROR(__xludf.DUMMYFUNCTION("""COMPUTED_VALUE"""),7.8557773)</f>
        <v>7.8557773</v>
      </c>
      <c r="D111" s="7">
        <f>IFERROR(__xludf.DUMMYFUNCTION("""COMPUTED_VALUE"""),0.41860465116279)</f>
        <v>0.4186046512</v>
      </c>
    </row>
    <row r="112">
      <c r="A112" s="10" t="s">
        <v>1551</v>
      </c>
      <c r="B112" s="7" t="str">
        <f>IFERROR(__xludf.DUMMYFUNCTION("SPLIT(A112,"" "")"),"C=CCN(C)CCN(C)Cc1ccc(C2CC3OCCOCCOCCOCCOCCOC32)nc1")</f>
        <v>C=CCN(C)CCN(C)Cc1ccc(C2CC3OCCOCCOCCOCCOCCOC32)nc1</v>
      </c>
      <c r="C112" s="7">
        <f>IFERROR(__xludf.DUMMYFUNCTION("""COMPUTED_VALUE"""),7.855483)</f>
        <v>7.855483</v>
      </c>
      <c r="D112" s="7">
        <f>IFERROR(__xludf.DUMMYFUNCTION("""COMPUTED_VALUE"""),0.271186440677966)</f>
        <v>0.2711864407</v>
      </c>
    </row>
    <row r="113">
      <c r="A113" s="10" t="s">
        <v>1552</v>
      </c>
      <c r="B113" s="7" t="str">
        <f>IFERROR(__xludf.DUMMYFUNCTION("SPLIT(A113,"" "")"),"CN(C)Cc1cccc(C2CC3OCCOCCOCCOCCOCCOC32)n1")</f>
        <v>CN(C)Cc1cccc(C2CC3OCCOCCOCCOCCOCCOC32)n1</v>
      </c>
      <c r="C113" s="7">
        <f>IFERROR(__xludf.DUMMYFUNCTION("""COMPUTED_VALUE"""),7.8554716)</f>
        <v>7.8554716</v>
      </c>
      <c r="D113" s="7">
        <f>IFERROR(__xludf.DUMMYFUNCTION("""COMPUTED_VALUE"""),0.314814814814814)</f>
        <v>0.3148148148</v>
      </c>
    </row>
    <row r="114">
      <c r="A114" s="10" t="s">
        <v>1553</v>
      </c>
      <c r="B114" s="7" t="str">
        <f>IFERROR(__xludf.DUMMYFUNCTION("SPLIT(A114,"" "")"),"CC(C)N(C(C)C)C1CCCCC1N(C)C1CCCCC1N(C)C")</f>
        <v>CC(C)N(C(C)C)C1CCCCC1N(C)C1CCCCC1N(C)C</v>
      </c>
      <c r="C114" s="7">
        <f>IFERROR(__xludf.DUMMYFUNCTION("""COMPUTED_VALUE"""),7.8554363)</f>
        <v>7.8554363</v>
      </c>
      <c r="D114" s="7">
        <f>IFERROR(__xludf.DUMMYFUNCTION("""COMPUTED_VALUE"""),0.244444444444444)</f>
        <v>0.2444444444</v>
      </c>
    </row>
    <row r="115">
      <c r="A115" s="10" t="s">
        <v>1554</v>
      </c>
      <c r="B115" s="7" t="str">
        <f>IFERROR(__xludf.DUMMYFUNCTION("SPLIT(A115,"" "")"),"CC1(C)CCC1")</f>
        <v>CC1(C)CCC1</v>
      </c>
      <c r="C115" s="7">
        <f>IFERROR(__xludf.DUMMYFUNCTION("""COMPUTED_VALUE"""),7.855355)</f>
        <v>7.855355</v>
      </c>
      <c r="D115" s="7">
        <f>IFERROR(__xludf.DUMMYFUNCTION("""COMPUTED_VALUE"""),0.142857142857142)</f>
        <v>0.1428571429</v>
      </c>
    </row>
    <row r="116">
      <c r="A116" s="10" t="s">
        <v>1555</v>
      </c>
      <c r="B116" s="7" t="str">
        <f>IFERROR(__xludf.DUMMYFUNCTION("SPLIT(A116,"" "")"),"CNCN1CCN(C)CCN(C(C)C)CC1")</f>
        <v>CNCN1CCN(C)CCN(C(C)C)CC1</v>
      </c>
      <c r="C116" s="7">
        <f>IFERROR(__xludf.DUMMYFUNCTION("""COMPUTED_VALUE"""),7.8553495)</f>
        <v>7.8553495</v>
      </c>
      <c r="D116" s="7">
        <f>IFERROR(__xludf.DUMMYFUNCTION("""COMPUTED_VALUE"""),0.333333333333333)</f>
        <v>0.3333333333</v>
      </c>
    </row>
    <row r="117">
      <c r="A117" s="10" t="s">
        <v>1556</v>
      </c>
      <c r="B117" s="7" t="str">
        <f>IFERROR(__xludf.DUMMYFUNCTION("SPLIT(A117,"" "")"),"CCN(Cc1cccnn1)C1CCCCC1")</f>
        <v>CCN(Cc1cccnn1)C1CCCCC1</v>
      </c>
      <c r="C117" s="7">
        <f>IFERROR(__xludf.DUMMYFUNCTION("""COMPUTED_VALUE"""),7.8549705)</f>
        <v>7.8549705</v>
      </c>
      <c r="D117" s="7">
        <f>IFERROR(__xludf.DUMMYFUNCTION("""COMPUTED_VALUE"""),0.475)</f>
        <v>0.475</v>
      </c>
    </row>
    <row r="118">
      <c r="A118" s="10" t="s">
        <v>1557</v>
      </c>
      <c r="B118" s="7" t="str">
        <f>IFERROR(__xludf.DUMMYFUNCTION("SPLIT(A118,"" "")"),"CN1CCN(Cc2cccc(-c3ccc4c(c3)OCCOCCOCCOCCOCCO4)n2)CCN(C2COCCOCCOCCOCCOC=CO2)CC1")</f>
        <v>CN1CCN(Cc2cccc(-c3ccc4c(c3)OCCOCCOCCOCCOCCO4)n2)CCN(C2COCCOCCOCCOCCOC=CO2)CC1</v>
      </c>
      <c r="C118" s="7">
        <f>IFERROR(__xludf.DUMMYFUNCTION("""COMPUTED_VALUE"""),7.854904)</f>
        <v>7.854904</v>
      </c>
      <c r="D118" s="7">
        <f>IFERROR(__xludf.DUMMYFUNCTION("""COMPUTED_VALUE"""),0.35820895522388)</f>
        <v>0.3582089552</v>
      </c>
    </row>
    <row r="119">
      <c r="A119" s="10" t="s">
        <v>1558</v>
      </c>
      <c r="B119" s="7" t="str">
        <f>IFERROR(__xludf.DUMMYFUNCTION("SPLIT(A119,"" "")"),"CN1CCN(C)CCN(CC(C)(C)C)CC1")</f>
        <v>CN1CCN(C)CCN(CC(C)(C)C)CC1</v>
      </c>
      <c r="C119" s="7">
        <f>IFERROR(__xludf.DUMMYFUNCTION("""COMPUTED_VALUE"""),7.854742)</f>
        <v>7.854742</v>
      </c>
      <c r="D119" s="7">
        <f>IFERROR(__xludf.DUMMYFUNCTION("""COMPUTED_VALUE"""),0.444444444444444)</f>
        <v>0.4444444444</v>
      </c>
    </row>
    <row r="120">
      <c r="A120" s="10" t="s">
        <v>1559</v>
      </c>
      <c r="B120" s="7" t="str">
        <f>IFERROR(__xludf.DUMMYFUNCTION("SPLIT(A120,"" "")"),"CN1CCN(C)CCN(CCN(C)C(C)(C)C)CC1")</f>
        <v>CN1CCN(C)CCN(CCN(C)C(C)(C)C)CC1</v>
      </c>
      <c r="C120" s="7">
        <f>IFERROR(__xludf.DUMMYFUNCTION("""COMPUTED_VALUE"""),7.854688)</f>
        <v>7.854688</v>
      </c>
      <c r="D120" s="7">
        <f>IFERROR(__xludf.DUMMYFUNCTION("""COMPUTED_VALUE"""),0.347826086956521)</f>
        <v>0.347826087</v>
      </c>
    </row>
    <row r="121">
      <c r="A121" s="10" t="s">
        <v>1560</v>
      </c>
      <c r="B121" s="7" t="str">
        <f>IFERROR(__xludf.DUMMYFUNCTION("SPLIT(A121,"" "")"),"CC1OCCOCCOCCOCCOc2ccccc2OC1N")</f>
        <v>CC1OCCOCCOCCOCCOc2ccccc2OC1N</v>
      </c>
      <c r="C121" s="7">
        <f>IFERROR(__xludf.DUMMYFUNCTION("""COMPUTED_VALUE"""),7.8545327)</f>
        <v>7.8545327</v>
      </c>
      <c r="D121" s="7">
        <f>IFERROR(__xludf.DUMMYFUNCTION("""COMPUTED_VALUE"""),0.245901639344262)</f>
        <v>0.2459016393</v>
      </c>
    </row>
    <row r="122">
      <c r="A122" s="10" t="s">
        <v>1561</v>
      </c>
      <c r="B122" s="7" t="str">
        <f>IFERROR(__xludf.DUMMYFUNCTION("SPLIT(A122,"" "")"),"CC1C(N)CC1(C)C")</f>
        <v>CC1C(N)CC1(C)C</v>
      </c>
      <c r="C122" s="7">
        <f>IFERROR(__xludf.DUMMYFUNCTION("""COMPUTED_VALUE"""),7.8542747)</f>
        <v>7.8542747</v>
      </c>
      <c r="D122" s="7">
        <f>IFERROR(__xludf.DUMMYFUNCTION("""COMPUTED_VALUE"""),0.105263157894736)</f>
        <v>0.1052631579</v>
      </c>
    </row>
    <row r="123">
      <c r="A123" s="10" t="s">
        <v>1562</v>
      </c>
      <c r="B123" s="7" t="str">
        <f>IFERROR(__xludf.DUMMYFUNCTION("SPLIT(A123,"" "")"),"CC(C)N(C)CCN1CCN(C)CCN(CC(C)(C)C)CC1")</f>
        <v>CC(C)N(C)CCN1CCN(C)CCN(CC(C)(C)C)CC1</v>
      </c>
      <c r="C123" s="7">
        <f>IFERROR(__xludf.DUMMYFUNCTION("""COMPUTED_VALUE"""),7.8540783)</f>
        <v>7.8540783</v>
      </c>
      <c r="D123" s="7">
        <f>IFERROR(__xludf.DUMMYFUNCTION("""COMPUTED_VALUE"""),0.266666666666666)</f>
        <v>0.2666666667</v>
      </c>
    </row>
    <row r="124">
      <c r="A124" s="10" t="s">
        <v>1563</v>
      </c>
      <c r="B124" s="7" t="str">
        <f>IFERROR(__xludf.DUMMYFUNCTION("SPLIT(A124,"" "")"),"CNCN1CCN(C(C)C)CCN(C(C)C)CC1")</f>
        <v>CNCN1CCN(C(C)C)CCN(C(C)C)CC1</v>
      </c>
      <c r="C124" s="7">
        <f>IFERROR(__xludf.DUMMYFUNCTION("""COMPUTED_VALUE"""),7.854017)</f>
        <v>7.854017</v>
      </c>
      <c r="D124" s="7">
        <f>IFERROR(__xludf.DUMMYFUNCTION("""COMPUTED_VALUE"""),0.368421052631578)</f>
        <v>0.3684210526</v>
      </c>
    </row>
    <row r="125">
      <c r="A125" s="10" t="s">
        <v>1564</v>
      </c>
      <c r="B125" s="7" t="str">
        <f>IFERROR(__xludf.DUMMYFUNCTION("SPLIT(A125,"" "")"),"CC(C)N(C)CCCN1CCN(C)CCN(C)CC1")</f>
        <v>CC(C)N(C)CCCN1CCN(C)CCN(C)CC1</v>
      </c>
      <c r="C125" s="7">
        <f>IFERROR(__xludf.DUMMYFUNCTION("""COMPUTED_VALUE"""),7.853973)</f>
        <v>7.853973</v>
      </c>
      <c r="D125" s="7">
        <f>IFERROR(__xludf.DUMMYFUNCTION("""COMPUTED_VALUE"""),0.32)</f>
        <v>0.32</v>
      </c>
    </row>
    <row r="126">
      <c r="A126" s="10" t="s">
        <v>1565</v>
      </c>
      <c r="B126" s="7" t="str">
        <f>IFERROR(__xludf.DUMMYFUNCTION("SPLIT(A126,"" "")"),"CNC1CCC(N(Cc2ccccn2)Cc2cccc(C3CC4OCCOCCOCCOCCOCCOC43)n2)CC1")</f>
        <v>CNC1CCC(N(Cc2ccccn2)Cc2cccc(C3CC4OCCOCCOCCOCCOCCOC43)n2)CC1</v>
      </c>
      <c r="C126" s="7">
        <f>IFERROR(__xludf.DUMMYFUNCTION("""COMPUTED_VALUE"""),7.853888)</f>
        <v>7.853888</v>
      </c>
      <c r="D126" s="7">
        <f>IFERROR(__xludf.DUMMYFUNCTION("""COMPUTED_VALUE"""),0.333333333333333)</f>
        <v>0.3333333333</v>
      </c>
    </row>
    <row r="127">
      <c r="A127" s="10" t="s">
        <v>1566</v>
      </c>
      <c r="B127" s="7" t="str">
        <f>IFERROR(__xludf.DUMMYFUNCTION("SPLIT(A127,"" "")"),"CN(CCN)C1CCCC(N(C)CC(C)(C)C)C1")</f>
        <v>CN(CCN)C1CCCC(N(C)CC(C)(C)C)C1</v>
      </c>
      <c r="C127" s="7">
        <f>IFERROR(__xludf.DUMMYFUNCTION("""COMPUTED_VALUE"""),7.8537645)</f>
        <v>7.8537645</v>
      </c>
      <c r="D127" s="7">
        <f>IFERROR(__xludf.DUMMYFUNCTION("""COMPUTED_VALUE"""),0.1875)</f>
        <v>0.1875</v>
      </c>
    </row>
    <row r="128">
      <c r="A128" s="10" t="s">
        <v>1567</v>
      </c>
      <c r="B128" s="7" t="str">
        <f>IFERROR(__xludf.DUMMYFUNCTION("SPLIT(A128,"" "")"),"CC(N)N1CCN(C)CCN(C)CC1")</f>
        <v>CC(N)N1CCN(C)CCN(C)CC1</v>
      </c>
      <c r="C128" s="7">
        <f>IFERROR(__xludf.DUMMYFUNCTION("""COMPUTED_VALUE"""),7.8535786)</f>
        <v>7.8535786</v>
      </c>
      <c r="D128" s="7">
        <f>IFERROR(__xludf.DUMMYFUNCTION("""COMPUTED_VALUE"""),0.470588235294117)</f>
        <v>0.4705882353</v>
      </c>
    </row>
    <row r="129">
      <c r="A129" s="10" t="s">
        <v>1568</v>
      </c>
      <c r="B129" s="7" t="str">
        <f>IFERROR(__xludf.DUMMYFUNCTION("SPLIT(A129,"" "")"),"CCN(Cc1ccccn1)C1CCCCC1N(C)Cc1cc(C2CC3OCCOCCOCCOCCOCCOC32)ccn1")</f>
        <v>CCN(Cc1ccccn1)C1CCCCC1N(C)Cc1cc(C2CC3OCCOCCOCCOCCOCCOC32)ccn1</v>
      </c>
      <c r="C129" s="7">
        <f>IFERROR(__xludf.DUMMYFUNCTION("""COMPUTED_VALUE"""),7.853546)</f>
        <v>7.853546</v>
      </c>
      <c r="D129" s="7">
        <f>IFERROR(__xludf.DUMMYFUNCTION("""COMPUTED_VALUE"""),0.5)</f>
        <v>0.5</v>
      </c>
    </row>
    <row r="130">
      <c r="A130" s="10" t="s">
        <v>1569</v>
      </c>
      <c r="B130" s="7" t="str">
        <f>IFERROR(__xludf.DUMMYFUNCTION("SPLIT(A130,"" "")"),"CN(CCF)CCN(C)Cc1cccc2c1OCCOCCOCCOCCOCCO2")</f>
        <v>CN(CCF)CCN(C)Cc1cccc2c1OCCOCCOCCOCCOCCO2</v>
      </c>
      <c r="C130" s="7">
        <f>IFERROR(__xludf.DUMMYFUNCTION("""COMPUTED_VALUE"""),7.8535175)</f>
        <v>7.8535175</v>
      </c>
      <c r="D130" s="7">
        <f>IFERROR(__xludf.DUMMYFUNCTION("""COMPUTED_VALUE"""),0.333333333333333)</f>
        <v>0.3333333333</v>
      </c>
    </row>
    <row r="131">
      <c r="A131" s="10" t="s">
        <v>1570</v>
      </c>
      <c r="B131" s="7" t="str">
        <f>IFERROR(__xludf.DUMMYFUNCTION("SPLIT(A131,"" "")"),"CN1CCNCC2(CCCC(C)(C)C2)N(C)C2(CCCC(C)(C)C2)C1")</f>
        <v>CN1CCNCC2(CCCC(C)(C)C2)N(C)C2(CCCC(C)(C)C2)C1</v>
      </c>
      <c r="C131" s="7">
        <f>IFERROR(__xludf.DUMMYFUNCTION("""COMPUTED_VALUE"""),7.853347)</f>
        <v>7.853347</v>
      </c>
      <c r="D131" s="7">
        <f>IFERROR(__xludf.DUMMYFUNCTION("""COMPUTED_VALUE"""),0.171428571428571)</f>
        <v>0.1714285714</v>
      </c>
    </row>
    <row r="132">
      <c r="A132" s="10" t="s">
        <v>1571</v>
      </c>
      <c r="B132" s="7" t="str">
        <f>IFERROR(__xludf.DUMMYFUNCTION("SPLIT(A132,"" "")"),"CN1CCN(C)CCN(CCCN=Cc2ccccn2)CC1")</f>
        <v>CN1CCN(C)CCN(CCCN=Cc2ccccn2)CC1</v>
      </c>
      <c r="C132" s="7">
        <f>IFERROR(__xludf.DUMMYFUNCTION("""COMPUTED_VALUE"""),7.8529797)</f>
        <v>7.8529797</v>
      </c>
      <c r="D132" s="7">
        <f>IFERROR(__xludf.DUMMYFUNCTION("""COMPUTED_VALUE"""),0.477272727272727)</f>
        <v>0.4772727273</v>
      </c>
    </row>
    <row r="133">
      <c r="A133" s="10" t="s">
        <v>1572</v>
      </c>
      <c r="B133" s="7" t="str">
        <f>IFERROR(__xludf.DUMMYFUNCTION("SPLIT(A133,"" "")"),"CC1CC(N)C1(C)C")</f>
        <v>CC1CC(N)C1(C)C</v>
      </c>
      <c r="C133" s="7">
        <f>IFERROR(__xludf.DUMMYFUNCTION("""COMPUTED_VALUE"""),7.8529544)</f>
        <v>7.8529544</v>
      </c>
      <c r="D133" s="7">
        <f>IFERROR(__xludf.DUMMYFUNCTION("""COMPUTED_VALUE"""),0.156862745098039)</f>
        <v>0.1568627451</v>
      </c>
    </row>
    <row r="134">
      <c r="A134" s="10" t="s">
        <v>1573</v>
      </c>
      <c r="B134" s="7" t="str">
        <f>IFERROR(__xludf.DUMMYFUNCTION("SPLIT(A134,"" "")"),"CN(CF)C1CCCC(N(C)CC2=CCC=CN2)C1")</f>
        <v>CN(CF)C1CCCC(N(C)CC2=CCC=CN2)C1</v>
      </c>
      <c r="C134" s="7">
        <f>IFERROR(__xludf.DUMMYFUNCTION("""COMPUTED_VALUE"""),7.85292)</f>
        <v>7.85292</v>
      </c>
      <c r="D134" s="7">
        <f>IFERROR(__xludf.DUMMYFUNCTION("""COMPUTED_VALUE"""),0.358490566037735)</f>
        <v>0.358490566</v>
      </c>
    </row>
    <row r="135">
      <c r="A135" s="10" t="s">
        <v>1574</v>
      </c>
      <c r="B135" s="7" t="str">
        <f>IFERROR(__xludf.DUMMYFUNCTION("SPLIT(A135,"" "")"),"CN(Cc1cccnc1)C1CCC(N(C)CC2(C)CCC2)CC1")</f>
        <v>CN(Cc1cccnc1)C1CCC(N(C)CC2(C)CCC2)CC1</v>
      </c>
      <c r="C135" s="7">
        <f>IFERROR(__xludf.DUMMYFUNCTION("""COMPUTED_VALUE"""),7.8528504)</f>
        <v>7.8528504</v>
      </c>
      <c r="D135" s="7">
        <f>IFERROR(__xludf.DUMMYFUNCTION("""COMPUTED_VALUE"""),0.296296296296296)</f>
        <v>0.2962962963</v>
      </c>
    </row>
    <row r="136">
      <c r="A136" s="10" t="s">
        <v>1575</v>
      </c>
      <c r="B136" s="7" t="str">
        <f>IFERROR(__xludf.DUMMYFUNCTION("SPLIT(A136,"" "")"),"CC(C)N(C)CCN(Cc1cccnn1)C1CCCCC1")</f>
        <v>CC(C)N(C)CCN(Cc1cccnn1)C1CCCCC1</v>
      </c>
      <c r="C136" s="7">
        <f>IFERROR(__xludf.DUMMYFUNCTION("""COMPUTED_VALUE"""),7.852836)</f>
        <v>7.852836</v>
      </c>
      <c r="D136" s="7">
        <f>IFERROR(__xludf.DUMMYFUNCTION("""COMPUTED_VALUE"""),0.466666666666666)</f>
        <v>0.4666666667</v>
      </c>
    </row>
    <row r="137">
      <c r="A137" s="10" t="s">
        <v>1576</v>
      </c>
      <c r="B137" s="7" t="str">
        <f>IFERROR(__xludf.DUMMYFUNCTION("SPLIT(A137,"" "")"),"CC1=CCCC2(CC=CC(C)C2)C1")</f>
        <v>CC1=CCCC2(CC=CC(C)C2)C1</v>
      </c>
      <c r="C137" s="7">
        <f>IFERROR(__xludf.DUMMYFUNCTION("""COMPUTED_VALUE"""),7.8528)</f>
        <v>7.8528</v>
      </c>
      <c r="D137" s="7">
        <f>IFERROR(__xludf.DUMMYFUNCTION("""COMPUTED_VALUE"""),0.111111111111111)</f>
        <v>0.1111111111</v>
      </c>
    </row>
    <row r="138">
      <c r="A138" s="10" t="s">
        <v>1577</v>
      </c>
      <c r="B138" s="7" t="str">
        <f>IFERROR(__xludf.DUMMYFUNCTION("SPLIT(A138,"" "")"),"CN1CCN(C)CCN(C2CCC(N(C)C3=CCC=CN3)CC2)CC1")</f>
        <v>CN1CCN(C)CCN(C2CCC(N(C)C3=CCC=CN3)CC2)CC1</v>
      </c>
      <c r="C138" s="7">
        <f>IFERROR(__xludf.DUMMYFUNCTION("""COMPUTED_VALUE"""),7.852767)</f>
        <v>7.852767</v>
      </c>
      <c r="D138" s="7">
        <f>IFERROR(__xludf.DUMMYFUNCTION("""COMPUTED_VALUE"""),0.285714285714285)</f>
        <v>0.2857142857</v>
      </c>
    </row>
    <row r="139">
      <c r="A139" s="10" t="s">
        <v>1578</v>
      </c>
      <c r="B139" s="7" t="str">
        <f>IFERROR(__xludf.DUMMYFUNCTION("SPLIT(A139,"" "")"),"CC(C)N1CCNCCN(C(C)c2ccccn2)CC1")</f>
        <v>CC(C)N1CCNCCN(C(C)c2ccccn2)CC1</v>
      </c>
      <c r="C139" s="7">
        <f>IFERROR(__xludf.DUMMYFUNCTION("""COMPUTED_VALUE"""),7.8527565)</f>
        <v>7.8527565</v>
      </c>
      <c r="D139" s="7">
        <f>IFERROR(__xludf.DUMMYFUNCTION("""COMPUTED_VALUE"""),0.477272727272727)</f>
        <v>0.4772727273</v>
      </c>
    </row>
    <row r="140">
      <c r="A140" s="10" t="s">
        <v>1579</v>
      </c>
      <c r="B140" s="7" t="str">
        <f>IFERROR(__xludf.DUMMYFUNCTION("SPLIT(A140,"" "")"),"CC(C)C(C)N(C)CCN1CCN(C)CCN(CC(C)(C)C)CC1")</f>
        <v>CC(C)C(C)N(C)CCN1CCN(C)CCN(CC(C)(C)C)CC1</v>
      </c>
      <c r="C140" s="7">
        <f>IFERROR(__xludf.DUMMYFUNCTION("""COMPUTED_VALUE"""),7.852648)</f>
        <v>7.852648</v>
      </c>
      <c r="D140" s="7">
        <f>IFERROR(__xludf.DUMMYFUNCTION("""COMPUTED_VALUE"""),0.25)</f>
        <v>0.25</v>
      </c>
    </row>
    <row r="141">
      <c r="A141" s="10" t="s">
        <v>1580</v>
      </c>
      <c r="B141" s="7" t="str">
        <f>IFERROR(__xludf.DUMMYFUNCTION("SPLIT(A141,"" "")"),"CC(C)N(C)C1CCCC(N(C)C)C1")</f>
        <v>CC(C)N(C)C1CCCC(N(C)C)C1</v>
      </c>
      <c r="C141" s="7">
        <f>IFERROR(__xludf.DUMMYFUNCTION("""COMPUTED_VALUE"""),7.852516)</f>
        <v>7.852516</v>
      </c>
      <c r="D141" s="7">
        <f>IFERROR(__xludf.DUMMYFUNCTION("""COMPUTED_VALUE"""),0.195652173913043)</f>
        <v>0.1956521739</v>
      </c>
    </row>
    <row r="142">
      <c r="A142" s="10" t="s">
        <v>1581</v>
      </c>
      <c r="B142" s="7" t="str">
        <f>IFERROR(__xludf.DUMMYFUNCTION("SPLIT(A142,"" "")"),"C1=COCCOc2ccccc2OCCOCCOCCO1")</f>
        <v>C1=COCCOc2ccccc2OCCOCCOCCO1</v>
      </c>
      <c r="C142" s="7">
        <f>IFERROR(__xludf.DUMMYFUNCTION("""COMPUTED_VALUE"""),7.8525157)</f>
        <v>7.8525157</v>
      </c>
      <c r="D142" s="7">
        <f>IFERROR(__xludf.DUMMYFUNCTION("""COMPUTED_VALUE"""),0.269230769230769)</f>
        <v>0.2692307692</v>
      </c>
    </row>
    <row r="143">
      <c r="A143" s="10" t="s">
        <v>1582</v>
      </c>
      <c r="B143" s="7" t="str">
        <f>IFERROR(__xludf.DUMMYFUNCTION("SPLIT(A143,"" "")"),"CN1CCN(C)CCN(C2CCCCC2N(C)c2cccc(F)c2)CC1")</f>
        <v>CN1CCN(C)CCN(C2CCCCC2N(C)c2cccc(F)c2)CC1</v>
      </c>
      <c r="C143" s="7">
        <f>IFERROR(__xludf.DUMMYFUNCTION("""COMPUTED_VALUE"""),7.8524904)</f>
        <v>7.8524904</v>
      </c>
      <c r="D143" s="7">
        <f>IFERROR(__xludf.DUMMYFUNCTION("""COMPUTED_VALUE"""),0.327586206896551)</f>
        <v>0.3275862069</v>
      </c>
    </row>
    <row r="144">
      <c r="A144" s="10" t="s">
        <v>1583</v>
      </c>
      <c r="B144" s="7" t="str">
        <f>IFERROR(__xludf.DUMMYFUNCTION("SPLIT(A144,"" "")"),"CN1CCN(C)CCN(C2NC=CC=C2F)CC1")</f>
        <v>CN1CCN(C)CCN(C2NC=CC=C2F)CC1</v>
      </c>
      <c r="C144" s="7">
        <f>IFERROR(__xludf.DUMMYFUNCTION("""COMPUTED_VALUE"""),7.852438)</f>
        <v>7.852438</v>
      </c>
      <c r="D144" s="7">
        <f>IFERROR(__xludf.DUMMYFUNCTION("""COMPUTED_VALUE"""),0.275862068965517)</f>
        <v>0.275862069</v>
      </c>
    </row>
    <row r="145">
      <c r="A145" s="10" t="s">
        <v>1584</v>
      </c>
      <c r="B145" s="7" t="str">
        <f>IFERROR(__xludf.DUMMYFUNCTION("SPLIT(A145,"" "")"),"CC(C)C(C)C1CCC1(C)C")</f>
        <v>CC(C)C(C)C1CCC1(C)C</v>
      </c>
      <c r="C145" s="7">
        <f>IFERROR(__xludf.DUMMYFUNCTION("""COMPUTED_VALUE"""),7.8523793)</f>
        <v>7.8523793</v>
      </c>
      <c r="D145" s="7">
        <f>IFERROR(__xludf.DUMMYFUNCTION("""COMPUTED_VALUE"""),0.122448979591836)</f>
        <v>0.1224489796</v>
      </c>
    </row>
    <row r="146">
      <c r="A146" s="10" t="s">
        <v>1585</v>
      </c>
      <c r="B146" s="7" t="str">
        <f>IFERROR(__xludf.DUMMYFUNCTION("SPLIT(A146,"" "")"),"CN1CCCN(C)CCC2=CC=CC(C=NCC1)N2C")</f>
        <v>CN1CCCN(C)CCC2=CC=CC(C=NCC1)N2C</v>
      </c>
      <c r="C146" s="7">
        <f>IFERROR(__xludf.DUMMYFUNCTION("""COMPUTED_VALUE"""),7.8522615)</f>
        <v>7.8522615</v>
      </c>
      <c r="D146" s="7">
        <f>IFERROR(__xludf.DUMMYFUNCTION("""COMPUTED_VALUE"""),0.282608695652173)</f>
        <v>0.2826086957</v>
      </c>
    </row>
    <row r="147">
      <c r="A147" s="10" t="s">
        <v>1586</v>
      </c>
      <c r="B147" s="7" t="str">
        <f>IFERROR(__xludf.DUMMYFUNCTION("SPLIT(A147,"" "")"),"CC(N)c1ccc2c(c1)OCCOCCOCCOCCOCCO2")</f>
        <v>CC(N)c1ccc2c(c1)OCCOCCOCCOCCOCCO2</v>
      </c>
      <c r="C147" s="7">
        <f>IFERROR(__xludf.DUMMYFUNCTION("""COMPUTED_VALUE"""),7.8520064)</f>
        <v>7.8520064</v>
      </c>
      <c r="D147" s="7">
        <f>IFERROR(__xludf.DUMMYFUNCTION("""COMPUTED_VALUE"""),0.309090909090909)</f>
        <v>0.3090909091</v>
      </c>
    </row>
    <row r="148">
      <c r="A148" s="10" t="s">
        <v>1587</v>
      </c>
      <c r="B148" s="7" t="str">
        <f>IFERROR(__xludf.DUMMYFUNCTION("SPLIT(A148,"" "")"),"CC1=CCCC(C)C1C")</f>
        <v>CC1=CCCC(C)C1C</v>
      </c>
      <c r="C148" s="7">
        <f>IFERROR(__xludf.DUMMYFUNCTION("""COMPUTED_VALUE"""),7.852005)</f>
        <v>7.852005</v>
      </c>
      <c r="D148" s="7">
        <f>IFERROR(__xludf.DUMMYFUNCTION("""COMPUTED_VALUE"""),0.162790697674418)</f>
        <v>0.1627906977</v>
      </c>
    </row>
    <row r="149">
      <c r="A149" s="10" t="s">
        <v>1588</v>
      </c>
      <c r="B149" s="7" t="str">
        <f>IFERROR(__xludf.DUMMYFUNCTION("SPLIT(A149,"" "")"),"CN(CCF)CCN(C)Cc1ccc2c(c1)OCCOCCOCCOCCOCCO2")</f>
        <v>CN(CCF)CCN(C)Cc1ccc2c(c1)OCCOCCOCCOCCOCCO2</v>
      </c>
      <c r="C149" s="7">
        <f>IFERROR(__xludf.DUMMYFUNCTION("""COMPUTED_VALUE"""),7.851733)</f>
        <v>7.851733</v>
      </c>
      <c r="D149" s="7">
        <f>IFERROR(__xludf.DUMMYFUNCTION("""COMPUTED_VALUE"""),0.326086956521739)</f>
        <v>0.3260869565</v>
      </c>
    </row>
    <row r="150">
      <c r="A150" s="10" t="s">
        <v>1589</v>
      </c>
      <c r="B150" s="7" t="str">
        <f>IFERROR(__xludf.DUMMYFUNCTION("SPLIT(A150,"" "")"),"CCNCN(C)CCN1CCN(C)CCN(C)CC1")</f>
        <v>CCNCN(C)CCN1CCN(C)CCN(C)CC1</v>
      </c>
      <c r="C150" s="7">
        <f>IFERROR(__xludf.DUMMYFUNCTION("""COMPUTED_VALUE"""),7.8516607)</f>
        <v>7.8516607</v>
      </c>
      <c r="D150" s="7">
        <f>IFERROR(__xludf.DUMMYFUNCTION("""COMPUTED_VALUE"""),0.307692307692307)</f>
        <v>0.3076923077</v>
      </c>
    </row>
    <row r="151">
      <c r="A151" s="10" t="s">
        <v>1590</v>
      </c>
      <c r="B151" s="7" t="str">
        <f>IFERROR(__xludf.DUMMYFUNCTION("SPLIT(A151,"" "")"),"C1=CC(CN(Cc2ccccn2)C2CCCCC2)C=CN1")</f>
        <v>C1=CC(CN(Cc2ccccn2)C2CCCCC2)C=CN1</v>
      </c>
      <c r="C151" s="7">
        <f>IFERROR(__xludf.DUMMYFUNCTION("""COMPUTED_VALUE"""),7.8516264)</f>
        <v>7.8516264</v>
      </c>
      <c r="D151" s="7">
        <f>IFERROR(__xludf.DUMMYFUNCTION("""COMPUTED_VALUE"""),0.458333333333333)</f>
        <v>0.4583333333</v>
      </c>
    </row>
    <row r="152">
      <c r="A152" s="10" t="s">
        <v>1591</v>
      </c>
      <c r="B152" s="7" t="str">
        <f>IFERROR(__xludf.DUMMYFUNCTION("SPLIT(A152,"" "")"),"CC(C)N1CCN(C)CCN(C(C)c2ccccc2)CC1")</f>
        <v>CC(C)N1CCN(C)CCN(C(C)c2ccccc2)CC1</v>
      </c>
      <c r="C152" s="7">
        <f>IFERROR(__xludf.DUMMYFUNCTION("""COMPUTED_VALUE"""),7.851625)</f>
        <v>7.851625</v>
      </c>
      <c r="D152" s="7">
        <f>IFERROR(__xludf.DUMMYFUNCTION("""COMPUTED_VALUE"""),0.38095238095238)</f>
        <v>0.380952381</v>
      </c>
    </row>
    <row r="153">
      <c r="A153" s="10" t="s">
        <v>1592</v>
      </c>
      <c r="B153" s="7" t="str">
        <f>IFERROR(__xludf.DUMMYFUNCTION("SPLIT(A153,"" "")"),"CC(C)N(C)CCN1CCN(C)CCN(C)CC1")</f>
        <v>CC(C)N(C)CCN1CCN(C)CCN(C)CC1</v>
      </c>
      <c r="C153" s="7">
        <f>IFERROR(__xludf.DUMMYFUNCTION("""COMPUTED_VALUE"""),7.851393)</f>
        <v>7.851393</v>
      </c>
      <c r="D153" s="7">
        <f>IFERROR(__xludf.DUMMYFUNCTION("""COMPUTED_VALUE"""),0.347826086956521)</f>
        <v>0.347826087</v>
      </c>
    </row>
    <row r="154">
      <c r="A154" s="10" t="s">
        <v>1593</v>
      </c>
      <c r="B154" s="7" t="str">
        <f>IFERROR(__xludf.DUMMYFUNCTION("SPLIT(A154,"" "")"),"CNC1OCCOCCOCCOCCOCCOC1c1cccc(C(C)(C)C)n1")</f>
        <v>CNC1OCCOCCOCCOCCOCCOC1c1cccc(C(C)(C)C)n1</v>
      </c>
      <c r="C154" s="7">
        <f>IFERROR(__xludf.DUMMYFUNCTION("""COMPUTED_VALUE"""),7.851321)</f>
        <v>7.851321</v>
      </c>
      <c r="D154" s="7">
        <f>IFERROR(__xludf.DUMMYFUNCTION("""COMPUTED_VALUE"""),0.233333333333333)</f>
        <v>0.2333333333</v>
      </c>
    </row>
    <row r="155">
      <c r="A155" s="10" t="s">
        <v>1594</v>
      </c>
      <c r="B155" s="7" t="str">
        <f>IFERROR(__xludf.DUMMYFUNCTION("SPLIT(A155,"" "")"),"CN1CCN(C)CCN(C2CCC(N(C)Cc3cc(CF)ccn3)CC2)CC1")</f>
        <v>CN1CCN(C)CCN(C2CCC(N(C)Cc3cc(CF)ccn3)CC2)CC1</v>
      </c>
      <c r="C155" s="7">
        <f>IFERROR(__xludf.DUMMYFUNCTION("""COMPUTED_VALUE"""),7.851312)</f>
        <v>7.851312</v>
      </c>
      <c r="D155" s="7">
        <f>IFERROR(__xludf.DUMMYFUNCTION("""COMPUTED_VALUE"""),0.345454545454545)</f>
        <v>0.3454545455</v>
      </c>
    </row>
    <row r="156">
      <c r="A156" s="10" t="s">
        <v>1595</v>
      </c>
      <c r="B156" s="7" t="str">
        <f>IFERROR(__xludf.DUMMYFUNCTION("SPLIT(A156,"" "")"),"CN(C)CCN1CCN(C)CCN(CC(C)(C)C)CC1")</f>
        <v>CN(C)CCN1CCN(C)CCN(CC(C)(C)C)CC1</v>
      </c>
      <c r="C156" s="7">
        <f>IFERROR(__xludf.DUMMYFUNCTION("""COMPUTED_VALUE"""),7.8512893)</f>
        <v>7.8512893</v>
      </c>
      <c r="D156" s="7">
        <f>IFERROR(__xludf.DUMMYFUNCTION("""COMPUTED_VALUE"""),0.307692307692307)</f>
        <v>0.3076923077</v>
      </c>
    </row>
    <row r="157">
      <c r="A157" s="10" t="s">
        <v>1596</v>
      </c>
      <c r="B157" s="7" t="str">
        <f>IFERROR(__xludf.DUMMYFUNCTION("SPLIT(A157,"" "")"),"C1=COc2ccccc2OCCOCCOCCOCCO1")</f>
        <v>C1=COc2ccccc2OCCOCCOCCOCCO1</v>
      </c>
      <c r="C157" s="7">
        <f>IFERROR(__xludf.DUMMYFUNCTION("""COMPUTED_VALUE"""),7.851241)</f>
        <v>7.851241</v>
      </c>
      <c r="D157" s="7">
        <f>IFERROR(__xludf.DUMMYFUNCTION("""COMPUTED_VALUE"""),0.254545454545454)</f>
        <v>0.2545454545</v>
      </c>
    </row>
    <row r="158">
      <c r="A158" s="10" t="s">
        <v>1597</v>
      </c>
      <c r="B158" s="7" t="str">
        <f>IFERROR(__xludf.DUMMYFUNCTION("SPLIT(A158,"" "")"),"CN1CCN(C)CCN(C2CCC(N(C)C3CCCCC3N(C)c3ccc(Cl)cn3)CC2)CC1")</f>
        <v>CN1CCN(C)CCN(C2CCC(N(C)C3CCCCC3N(C)c3ccc(Cl)cn3)CC2)CC1</v>
      </c>
      <c r="C158" s="7">
        <f>IFERROR(__xludf.DUMMYFUNCTION("""COMPUTED_VALUE"""),7.851237)</f>
        <v>7.851237</v>
      </c>
      <c r="D158" s="7">
        <f>IFERROR(__xludf.DUMMYFUNCTION("""COMPUTED_VALUE"""),0.278688524590163)</f>
        <v>0.2786885246</v>
      </c>
    </row>
    <row r="159">
      <c r="A159" s="10" t="s">
        <v>1598</v>
      </c>
      <c r="B159" s="7" t="str">
        <f>IFERROR(__xludf.DUMMYFUNCTION("SPLIT(A159,"" "")"),"CC(C)N1CCN(C)CCN(C(C)N)CC1")</f>
        <v>CC(C)N1CCN(C)CCN(C(C)N)CC1</v>
      </c>
      <c r="C159" s="7">
        <f>IFERROR(__xludf.DUMMYFUNCTION("""COMPUTED_VALUE"""),7.8511086)</f>
        <v>7.8511086</v>
      </c>
      <c r="D159" s="7">
        <f>IFERROR(__xludf.DUMMYFUNCTION("""COMPUTED_VALUE"""),0.4)</f>
        <v>0.4</v>
      </c>
    </row>
    <row r="160">
      <c r="A160" s="10" t="s">
        <v>1599</v>
      </c>
      <c r="B160" s="7" t="str">
        <f>IFERROR(__xludf.DUMMYFUNCTION("SPLIT(A160,"" "")"),"CCF")</f>
        <v>CCF</v>
      </c>
      <c r="C160" s="7">
        <f>IFERROR(__xludf.DUMMYFUNCTION("""COMPUTED_VALUE"""),7.851037)</f>
        <v>7.851037</v>
      </c>
      <c r="D160" s="7">
        <f>IFERROR(__xludf.DUMMYFUNCTION("""COMPUTED_VALUE"""),0.111111111111111)</f>
        <v>0.1111111111</v>
      </c>
    </row>
    <row r="161">
      <c r="A161" s="10" t="s">
        <v>1600</v>
      </c>
      <c r="B161" s="7" t="str">
        <f>IFERROR(__xludf.DUMMYFUNCTION("SPLIT(A161,"" "")"),"CN1CCNCCNC(SCc2ccccn2)CC1")</f>
        <v>CN1CCNCCNC(SCc2ccccn2)CC1</v>
      </c>
      <c r="C161" s="7">
        <f>IFERROR(__xludf.DUMMYFUNCTION("""COMPUTED_VALUE"""),7.851026)</f>
        <v>7.851026</v>
      </c>
      <c r="D161" s="7">
        <f>IFERROR(__xludf.DUMMYFUNCTION("""COMPUTED_VALUE"""),0.428571428571428)</f>
        <v>0.4285714286</v>
      </c>
    </row>
    <row r="162">
      <c r="A162" s="10" t="s">
        <v>1601</v>
      </c>
      <c r="B162" s="7" t="str">
        <f>IFERROR(__xludf.DUMMYFUNCTION("SPLIT(A162,"" "")"),"CN1CCN(C)CCN(Cc2cccnc2)CC1")</f>
        <v>CN1CCN(C)CCN(Cc2cccnc2)CC1</v>
      </c>
      <c r="C162" s="7">
        <f>IFERROR(__xludf.DUMMYFUNCTION("""COMPUTED_VALUE"""),7.850929)</f>
        <v>7.850929</v>
      </c>
      <c r="D162" s="7">
        <f>IFERROR(__xludf.DUMMYFUNCTION("""COMPUTED_VALUE"""),0.5)</f>
        <v>0.5</v>
      </c>
    </row>
    <row r="163">
      <c r="A163" s="10" t="s">
        <v>1602</v>
      </c>
      <c r="B163" s="7" t="str">
        <f>IFERROR(__xludf.DUMMYFUNCTION("SPLIT(A163,"" "")"),"Cc1ccc2c(c1C)OCCOCCOCCOCCOCCO2")</f>
        <v>Cc1ccc2c(c1C)OCCOCCOCCOCCOCCO2</v>
      </c>
      <c r="C163" s="7">
        <f>IFERROR(__xludf.DUMMYFUNCTION("""COMPUTED_VALUE"""),7.8508754)</f>
        <v>7.8508754</v>
      </c>
      <c r="D163" s="7">
        <f>IFERROR(__xludf.DUMMYFUNCTION("""COMPUTED_VALUE"""),0.254545454545454)</f>
        <v>0.2545454545</v>
      </c>
    </row>
    <row r="164">
      <c r="A164" s="10" t="s">
        <v>1603</v>
      </c>
      <c r="B164" s="7" t="str">
        <f>IFERROR(__xludf.DUMMYFUNCTION("SPLIT(A164,"" "")"),"CC(C)N(C)CCN(C)Cc1cccc2c1OCCOCCOCCOCCOCCO2")</f>
        <v>CC(C)N(C)CCN(C)Cc1cccc2c1OCCOCCOCCOCCOCCO2</v>
      </c>
      <c r="C164" s="7">
        <f>IFERROR(__xludf.DUMMYFUNCTION("""COMPUTED_VALUE"""),7.8508544)</f>
        <v>7.8508544</v>
      </c>
      <c r="D164" s="7">
        <f>IFERROR(__xludf.DUMMYFUNCTION("""COMPUTED_VALUE"""),0.326923076923076)</f>
        <v>0.3269230769</v>
      </c>
    </row>
    <row r="165">
      <c r="A165" s="10" t="s">
        <v>1604</v>
      </c>
      <c r="B165" s="7" t="str">
        <f>IFERROR(__xludf.DUMMYFUNCTION("SPLIT(A165,"" "")"),"CN1CCN(C)CCN(CCc2ccccc2N)CC1")</f>
        <v>CN1CCN(C)CCN(CCc2ccccc2N)CC1</v>
      </c>
      <c r="C165" s="7">
        <f>IFERROR(__xludf.DUMMYFUNCTION("""COMPUTED_VALUE"""),7.850826)</f>
        <v>7.850826</v>
      </c>
      <c r="D165" s="7">
        <f>IFERROR(__xludf.DUMMYFUNCTION("""COMPUTED_VALUE"""),0.4)</f>
        <v>0.4</v>
      </c>
    </row>
    <row r="166">
      <c r="A166" s="10" t="s">
        <v>1605</v>
      </c>
      <c r="B166" s="7" t="str">
        <f>IFERROR(__xludf.DUMMYFUNCTION("SPLIT(A166,"" "")"),"CNc1ccc2c(c1)OCCOCCOCCOCCOCCO2")</f>
        <v>CNc1ccc2c(c1)OCCOCCOCCOCCOCCO2</v>
      </c>
      <c r="C166" s="7">
        <f>IFERROR(__xludf.DUMMYFUNCTION("""COMPUTED_VALUE"""),7.850824)</f>
        <v>7.850824</v>
      </c>
      <c r="D166" s="7">
        <f>IFERROR(__xludf.DUMMYFUNCTION("""COMPUTED_VALUE"""),0.320754716981132)</f>
        <v>0.320754717</v>
      </c>
    </row>
    <row r="167">
      <c r="A167" s="10" t="s">
        <v>1606</v>
      </c>
      <c r="B167" s="7" t="str">
        <f>IFERROR(__xludf.DUMMYFUNCTION("SPLIT(A167,"" "")"),"CN1CCN(C)CCN(Cc2ccncc2CN2CCN(C)CCN(C)CC2)CC1")</f>
        <v>CN1CCN(C)CCN(Cc2ccncc2CN2CCN(C)CCN(C)CC2)CC1</v>
      </c>
      <c r="C167" s="7">
        <f>IFERROR(__xludf.DUMMYFUNCTION("""COMPUTED_VALUE"""),7.8506904)</f>
        <v>7.8506904</v>
      </c>
      <c r="D167" s="7">
        <f>IFERROR(__xludf.DUMMYFUNCTION("""COMPUTED_VALUE"""),0.473684210526315)</f>
        <v>0.4736842105</v>
      </c>
    </row>
    <row r="168">
      <c r="A168" s="10" t="s">
        <v>1607</v>
      </c>
      <c r="B168" s="7" t="str">
        <f>IFERROR(__xludf.DUMMYFUNCTION("SPLIT(A168,"" "")"),"CN(Cc1ccccn1)C1CCC(N(C)Cc2cccc(C3CC4OCCOCCOCCOCCOCCOC43)n2)CC1")</f>
        <v>CN(Cc1ccccn1)C1CCC(N(C)Cc2cccc(C3CC4OCCOCCOCCOCCOCCOC43)n2)CC1</v>
      </c>
      <c r="C168" s="7">
        <f>IFERROR(__xludf.DUMMYFUNCTION("""COMPUTED_VALUE"""),7.8505335)</f>
        <v>7.8505335</v>
      </c>
      <c r="D168" s="7">
        <f>IFERROR(__xludf.DUMMYFUNCTION("""COMPUTED_VALUE"""),0.421052631578947)</f>
        <v>0.4210526316</v>
      </c>
    </row>
    <row r="169">
      <c r="A169" s="10" t="s">
        <v>1608</v>
      </c>
      <c r="B169" s="7" t="str">
        <f>IFERROR(__xludf.DUMMYFUNCTION("SPLIT(A169,"" "")"),"CCOC(=O)C(=O)N1CCN(C)CCN(C(=O)C(C)N2CCN(C)CCN(C(C)C(C)N3CCN(C)CCN(C(C)C)CC3)CC2)CC1")</f>
        <v>CCOC(=O)C(=O)N1CCN(C)CCN(C(=O)C(C)N2CCN(C)CCN(C(C)C(C)N3CCN(C)CCN(C(C)C)CC3)CC2)CC1</v>
      </c>
      <c r="C169" s="7">
        <f>IFERROR(__xludf.DUMMYFUNCTION("""COMPUTED_VALUE"""),7.8503947)</f>
        <v>7.8503947</v>
      </c>
      <c r="D169" s="7">
        <f>IFERROR(__xludf.DUMMYFUNCTION("""COMPUTED_VALUE"""),0.265625)</f>
        <v>0.265625</v>
      </c>
    </row>
    <row r="170">
      <c r="A170" s="10" t="s">
        <v>1609</v>
      </c>
      <c r="B170" s="7" t="str">
        <f>IFERROR(__xludf.DUMMYFUNCTION("SPLIT(A170,"" "")"),"CN1CCN(C)CCN(CCc2ccc(N)cc2)CC1")</f>
        <v>CN1CCN(C)CCN(CCc2ccc(N)cc2)CC1</v>
      </c>
      <c r="C170" s="7">
        <f>IFERROR(__xludf.DUMMYFUNCTION("""COMPUTED_VALUE"""),7.850333)</f>
        <v>7.850333</v>
      </c>
      <c r="D170" s="7">
        <f>IFERROR(__xludf.DUMMYFUNCTION("""COMPUTED_VALUE"""),0.35)</f>
        <v>0.35</v>
      </c>
    </row>
    <row r="171">
      <c r="A171" s="10" t="s">
        <v>1610</v>
      </c>
      <c r="B171" s="7" t="str">
        <f>IFERROR(__xludf.DUMMYFUNCTION("SPLIT(A171,"" "")"),"CN(C)CCCN1CCN(C)CCN(C)CC1")</f>
        <v>CN(C)CCCN1CCN(C)CCN(C)CC1</v>
      </c>
      <c r="C171" s="7">
        <f>IFERROR(__xludf.DUMMYFUNCTION("""COMPUTED_VALUE"""),7.8502755)</f>
        <v>7.8502755</v>
      </c>
      <c r="D171" s="7">
        <f>IFERROR(__xludf.DUMMYFUNCTION("""COMPUTED_VALUE"""),0.38095238095238)</f>
        <v>0.380952381</v>
      </c>
    </row>
    <row r="172">
      <c r="A172" s="10" t="s">
        <v>1611</v>
      </c>
      <c r="B172" s="7" t="str">
        <f>IFERROR(__xludf.DUMMYFUNCTION("SPLIT(A172,"" "")"),"CN(CCN(C)Cc1ccc2c(c1)OCCOCCOCCOCCOCCO2)Cc1ccc2c(c1)OCCOCCOCCOCCOCCO2")</f>
        <v>CN(CCN(C)Cc1ccc2c(c1)OCCOCCOCCOCCOCCO2)Cc1ccc2c(c1)OCCOCCOCCOCCOCCO2</v>
      </c>
      <c r="C172" s="7">
        <f>IFERROR(__xludf.DUMMYFUNCTION("""COMPUTED_VALUE"""),7.849983)</f>
        <v>7.849983</v>
      </c>
      <c r="D172" s="7">
        <f>IFERROR(__xludf.DUMMYFUNCTION("""COMPUTED_VALUE"""),0.341463414634146)</f>
        <v>0.3414634146</v>
      </c>
    </row>
    <row r="173">
      <c r="A173" s="10" t="s">
        <v>1612</v>
      </c>
      <c r="B173" s="7" t="str">
        <f>IFERROR(__xludf.DUMMYFUNCTION("SPLIT(A173,"" "")"),"C=CCN(C)CCN(C)Cc1ccc2c(c1)OCCOCCOCCOCCOCCO2")</f>
        <v>C=CCN(C)CCN(C)Cc1ccc2c(c1)OCCOCCOCCOCCOCCO2</v>
      </c>
      <c r="C173" s="7">
        <f>IFERROR(__xludf.DUMMYFUNCTION("""COMPUTED_VALUE"""),7.8499274)</f>
        <v>7.8499274</v>
      </c>
      <c r="D173" s="7">
        <f>IFERROR(__xludf.DUMMYFUNCTION("""COMPUTED_VALUE"""),0.285714285714285)</f>
        <v>0.2857142857</v>
      </c>
    </row>
    <row r="174">
      <c r="A174" s="10" t="s">
        <v>1613</v>
      </c>
      <c r="B174" s="7" t="str">
        <f>IFERROR(__xludf.DUMMYFUNCTION("SPLIT(A174,"" "")"),"CC1C=CCC(C)C1C")</f>
        <v>CC1C=CCC(C)C1C</v>
      </c>
      <c r="C174" s="7">
        <f>IFERROR(__xludf.DUMMYFUNCTION("""COMPUTED_VALUE"""),7.8498073)</f>
        <v>7.8498073</v>
      </c>
      <c r="D174" s="7">
        <f>IFERROR(__xludf.DUMMYFUNCTION("""COMPUTED_VALUE"""),0.108695652173913)</f>
        <v>0.1086956522</v>
      </c>
    </row>
    <row r="175">
      <c r="A175" s="10" t="s">
        <v>1614</v>
      </c>
      <c r="B175" s="7" t="str">
        <f>IFERROR(__xludf.DUMMYFUNCTION("SPLIT(A175,"" "")"),"CC(C)N1CCN(C)CCN(CC2=CCC=CN2)CC1")</f>
        <v>CC(C)N1CCN(C)CCN(CC2=CCC=CN2)CC1</v>
      </c>
      <c r="C175" s="7">
        <f>IFERROR(__xludf.DUMMYFUNCTION("""COMPUTED_VALUE"""),7.849807)</f>
        <v>7.849807</v>
      </c>
      <c r="D175" s="7">
        <f>IFERROR(__xludf.DUMMYFUNCTION("""COMPUTED_VALUE"""),0.466666666666666)</f>
        <v>0.4666666667</v>
      </c>
    </row>
    <row r="176">
      <c r="A176" s="10" t="s">
        <v>1615</v>
      </c>
      <c r="B176" s="7" t="str">
        <f>IFERROR(__xludf.DUMMYFUNCTION("SPLIT(A176,"" "")"),"COC(C)N1CCN(C)CCN(C(C)C)CC1")</f>
        <v>COC(C)N1CCN(C)CCN(C(C)C)CC1</v>
      </c>
      <c r="C176" s="7">
        <f>IFERROR(__xludf.DUMMYFUNCTION("""COMPUTED_VALUE"""),7.849776)</f>
        <v>7.849776</v>
      </c>
      <c r="D176" s="7">
        <f>IFERROR(__xludf.DUMMYFUNCTION("""COMPUTED_VALUE"""),0.363636363636363)</f>
        <v>0.3636363636</v>
      </c>
    </row>
    <row r="177">
      <c r="A177" s="10" t="s">
        <v>1616</v>
      </c>
      <c r="B177" s="7" t="str">
        <f>IFERROR(__xludf.DUMMYFUNCTION("SPLIT(A177,"" "")"),"CC(C)N(C)CCN1CCN(C)CCN(C(C)C)CC1")</f>
        <v>CC(C)N(C)CCN1CCN(C)CCN(C(C)C)CC1</v>
      </c>
      <c r="C177" s="7">
        <f>IFERROR(__xludf.DUMMYFUNCTION("""COMPUTED_VALUE"""),7.8497577)</f>
        <v>7.8497577</v>
      </c>
      <c r="D177" s="7">
        <f>IFERROR(__xludf.DUMMYFUNCTION("""COMPUTED_VALUE"""),0.311111111111111)</f>
        <v>0.3111111111</v>
      </c>
    </row>
    <row r="178">
      <c r="A178" s="10" t="s">
        <v>1617</v>
      </c>
      <c r="B178" s="7" t="str">
        <f>IFERROR(__xludf.DUMMYFUNCTION("SPLIT(A178,"" "")"),"CNCN1CCN(C)CCN(Cc2cncc(C)c2)CC1")</f>
        <v>CNCN1CCN(C)CCN(Cc2cncc(C)c2)CC1</v>
      </c>
      <c r="C178" s="7">
        <f>IFERROR(__xludf.DUMMYFUNCTION("""COMPUTED_VALUE"""),7.8497543)</f>
        <v>7.8497543</v>
      </c>
      <c r="D178" s="7">
        <f>IFERROR(__xludf.DUMMYFUNCTION("""COMPUTED_VALUE"""),0.413043478260869)</f>
        <v>0.4130434783</v>
      </c>
    </row>
    <row r="179">
      <c r="A179" s="10" t="s">
        <v>1618</v>
      </c>
      <c r="B179" s="7" t="str">
        <f>IFERROR(__xludf.DUMMYFUNCTION("SPLIT(A179,"" "")"),"CCCN(Cc1ccccn1)C1CCC(N(C)CCF)CC1")</f>
        <v>CCCN(Cc1ccccn1)C1CCC(N(C)CCF)CC1</v>
      </c>
      <c r="C179" s="7">
        <f>IFERROR(__xludf.DUMMYFUNCTION("""COMPUTED_VALUE"""),7.84975)</f>
        <v>7.84975</v>
      </c>
      <c r="D179" s="7">
        <f>IFERROR(__xludf.DUMMYFUNCTION("""COMPUTED_VALUE"""),0.479166666666666)</f>
        <v>0.4791666667</v>
      </c>
    </row>
    <row r="180">
      <c r="A180" s="10" t="s">
        <v>1619</v>
      </c>
      <c r="B180" s="7" t="str">
        <f>IFERROR(__xludf.DUMMYFUNCTION("SPLIT(A180,"" "")"),"CN1CCN(C)CCN(CC2CC(N(C)C)CN2C)CC1")</f>
        <v>CN1CCN(C)CCN(CC2CC(N(C)C)CN2C)CC1</v>
      </c>
      <c r="C180" s="7">
        <f>IFERROR(__xludf.DUMMYFUNCTION("""COMPUTED_VALUE"""),7.8496075)</f>
        <v>7.8496075</v>
      </c>
      <c r="D180" s="7">
        <f>IFERROR(__xludf.DUMMYFUNCTION("""COMPUTED_VALUE"""),0.3125)</f>
        <v>0.3125</v>
      </c>
    </row>
    <row r="181">
      <c r="A181" s="10" t="s">
        <v>1620</v>
      </c>
      <c r="B181" s="7" t="str">
        <f>IFERROR(__xludf.DUMMYFUNCTION("SPLIT(A181,"" "")"),"CNC1OCCOCCOCCOCCOc2ccccc2OC1N")</f>
        <v>CNC1OCCOCCOCCOCCOc2ccccc2OC1N</v>
      </c>
      <c r="C181" s="7">
        <f>IFERROR(__xludf.DUMMYFUNCTION("""COMPUTED_VALUE"""),7.849607)</f>
        <v>7.849607</v>
      </c>
      <c r="D181" s="7">
        <f>IFERROR(__xludf.DUMMYFUNCTION("""COMPUTED_VALUE"""),0.234375)</f>
        <v>0.234375</v>
      </c>
    </row>
    <row r="182">
      <c r="A182" s="10" t="s">
        <v>1621</v>
      </c>
      <c r="B182" s="7" t="str">
        <f>IFERROR(__xludf.DUMMYFUNCTION("SPLIT(A182,"" "")"),"CN1CCN(C)CCN(C2CCC(N(C)c3cccc(F)c3)CC2)CC1")</f>
        <v>CN1CCN(C)CCN(C2CCC(N(C)c3cccc(F)c3)CC2)CC1</v>
      </c>
      <c r="C182" s="7">
        <f>IFERROR(__xludf.DUMMYFUNCTION("""COMPUTED_VALUE"""),7.849474)</f>
        <v>7.849474</v>
      </c>
      <c r="D182" s="7">
        <f>IFERROR(__xludf.DUMMYFUNCTION("""COMPUTED_VALUE"""),0.288461538461538)</f>
        <v>0.2884615385</v>
      </c>
    </row>
    <row r="183">
      <c r="A183" s="10" t="s">
        <v>1622</v>
      </c>
      <c r="B183" s="7" t="str">
        <f>IFERROR(__xludf.DUMMYFUNCTION("SPLIT(A183,"" "")"),"CN1CCN(C)CCN(Cc2cncc(CN3CCN(C)CCN(C)CC3)c2)CC1")</f>
        <v>CN1CCN(C)CCN(Cc2cncc(CN3CCN(C)CCN(C)CC3)c2)CC1</v>
      </c>
      <c r="C183" s="7">
        <f>IFERROR(__xludf.DUMMYFUNCTION("""COMPUTED_VALUE"""),7.8494573)</f>
        <v>7.8494573</v>
      </c>
      <c r="D183" s="7">
        <f>IFERROR(__xludf.DUMMYFUNCTION("""COMPUTED_VALUE"""),0.459459459459459)</f>
        <v>0.4594594595</v>
      </c>
    </row>
    <row r="184">
      <c r="A184" s="10" t="s">
        <v>1623</v>
      </c>
      <c r="B184" s="7" t="str">
        <f>IFERROR(__xludf.DUMMYFUNCTION("SPLIT(A184,"" "")"),"CNCCN1CCN(C)CCN(Cc2ncccc2C)CC1")</f>
        <v>CNCCN1CCN(C)CCN(Cc2ncccc2C)CC1</v>
      </c>
      <c r="C184" s="7">
        <f>IFERROR(__xludf.DUMMYFUNCTION("""COMPUTED_VALUE"""),7.849212)</f>
        <v>7.849212</v>
      </c>
      <c r="D184" s="7">
        <f>IFERROR(__xludf.DUMMYFUNCTION("""COMPUTED_VALUE"""),0.466666666666666)</f>
        <v>0.4666666667</v>
      </c>
    </row>
    <row r="185">
      <c r="A185" s="10" t="s">
        <v>1624</v>
      </c>
      <c r="B185" s="7" t="str">
        <f>IFERROR(__xludf.DUMMYFUNCTION("SPLIT(A185,"" "")"),"CN1CCN(C)CCN(CCCN(C)CC(C)(C)C)CC1")</f>
        <v>CN1CCN(C)CCN(CCCN(C)CC(C)(C)C)CC1</v>
      </c>
      <c r="C185" s="7">
        <f>IFERROR(__xludf.DUMMYFUNCTION("""COMPUTED_VALUE"""),7.849008)</f>
        <v>7.849008</v>
      </c>
      <c r="D185" s="7">
        <f>IFERROR(__xludf.DUMMYFUNCTION("""COMPUTED_VALUE"""),0.307692307692307)</f>
        <v>0.3076923077</v>
      </c>
    </row>
    <row r="186">
      <c r="A186" s="10" t="s">
        <v>1625</v>
      </c>
      <c r="B186" s="7" t="str">
        <f>IFERROR(__xludf.DUMMYFUNCTION("SPLIT(A186,"" "")"),"CNCN1CCN(C)CCN(Cc2cccnc2C)CC1")</f>
        <v>CNCN1CCN(C)CCN(Cc2cccnc2C)CC1</v>
      </c>
      <c r="C186" s="7">
        <f>IFERROR(__xludf.DUMMYFUNCTION("""COMPUTED_VALUE"""),7.849003)</f>
        <v>7.849003</v>
      </c>
      <c r="D186" s="7">
        <f>IFERROR(__xludf.DUMMYFUNCTION("""COMPUTED_VALUE"""),0.477272727272727)</f>
        <v>0.4772727273</v>
      </c>
    </row>
    <row r="187">
      <c r="A187" s="10" t="s">
        <v>1626</v>
      </c>
      <c r="B187" s="7" t="str">
        <f>IFERROR(__xludf.DUMMYFUNCTION("SPLIT(A187,"" "")"),"CC(C)N(Cc1ccccn1)C1CCCC(N(C)C2CCCC(N(C)C)C2)C1")</f>
        <v>CC(C)N(Cc1ccccn1)C1CCCC(N(C)C2CCCC(N(C)C)C2)C1</v>
      </c>
      <c r="C187" s="7">
        <f>IFERROR(__xludf.DUMMYFUNCTION("""COMPUTED_VALUE"""),7.848935)</f>
        <v>7.848935</v>
      </c>
      <c r="D187" s="7">
        <f>IFERROR(__xludf.DUMMYFUNCTION("""COMPUTED_VALUE"""),0.479166666666666)</f>
        <v>0.4791666667</v>
      </c>
    </row>
    <row r="188">
      <c r="A188" s="10" t="s">
        <v>1627</v>
      </c>
      <c r="B188" s="7" t="str">
        <f>IFERROR(__xludf.DUMMYFUNCTION("SPLIT(A188,"" "")"),"CC(C)N(C)CCN(C)Cc1ccc2c(c1)OCCOCCOCCOCCOCCO2")</f>
        <v>CC(C)N(C)CCN(C)Cc1ccc2c(c1)OCCOCCOCCOCCOCCO2</v>
      </c>
      <c r="C188" s="7">
        <f>IFERROR(__xludf.DUMMYFUNCTION("""COMPUTED_VALUE"""),7.848878)</f>
        <v>7.848878</v>
      </c>
      <c r="D188" s="7">
        <f>IFERROR(__xludf.DUMMYFUNCTION("""COMPUTED_VALUE"""),0.291666666666666)</f>
        <v>0.2916666667</v>
      </c>
    </row>
    <row r="189">
      <c r="A189" s="10" t="s">
        <v>1628</v>
      </c>
      <c r="B189" s="7" t="str">
        <f>IFERROR(__xludf.DUMMYFUNCTION("SPLIT(A189,"" "")"),"CC(C)C(C)N(C)CCN(C)Cc1ccc2c(c1)OCCOCCOCCOCCOCCO2")</f>
        <v>CC(C)C(C)N(C)CCN(C)Cc1ccc2c(c1)OCCOCCOCCOCCOCCO2</v>
      </c>
      <c r="C189" s="7">
        <f>IFERROR(__xludf.DUMMYFUNCTION("""COMPUTED_VALUE"""),7.848843)</f>
        <v>7.848843</v>
      </c>
      <c r="D189" s="7">
        <f>IFERROR(__xludf.DUMMYFUNCTION("""COMPUTED_VALUE"""),0.28)</f>
        <v>0.28</v>
      </c>
    </row>
    <row r="190">
      <c r="A190" s="10" t="s">
        <v>1629</v>
      </c>
      <c r="B190" s="7" t="str">
        <f>IFERROR(__xludf.DUMMYFUNCTION("SPLIT(A190,"" "")"),"CC(C)N(C)CN1CCN(C)CCN(C(C)C)CC1")</f>
        <v>CC(C)N(C)CN1CCN(C)CCN(C(C)C)CC1</v>
      </c>
      <c r="C190" s="7">
        <f>IFERROR(__xludf.DUMMYFUNCTION("""COMPUTED_VALUE"""),7.8488345)</f>
        <v>7.8488345</v>
      </c>
      <c r="D190" s="7">
        <f>IFERROR(__xludf.DUMMYFUNCTION("""COMPUTED_VALUE"""),0.318181818181818)</f>
        <v>0.3181818182</v>
      </c>
    </row>
    <row r="191">
      <c r="A191" s="10" t="s">
        <v>1630</v>
      </c>
      <c r="B191" s="7" t="str">
        <f>IFERROR(__xludf.DUMMYFUNCTION("SPLIT(A191,"" "")"),"Cc1cccc2c1OCCOCCOCCOCCOC(N)CO2")</f>
        <v>Cc1cccc2c1OCCOCCOCCOCCOC(N)CO2</v>
      </c>
      <c r="C191" s="7">
        <f>IFERROR(__xludf.DUMMYFUNCTION("""COMPUTED_VALUE"""),7.848787)</f>
        <v>7.848787</v>
      </c>
      <c r="D191" s="7">
        <f>IFERROR(__xludf.DUMMYFUNCTION("""COMPUTED_VALUE"""),0.196969696969696)</f>
        <v>0.196969697</v>
      </c>
    </row>
    <row r="192">
      <c r="A192" s="10" t="s">
        <v>1631</v>
      </c>
      <c r="B192" s="7" t="str">
        <f>IFERROR(__xludf.DUMMYFUNCTION("SPLIT(A192,"" "")"),"CNCN1CCN(C)CCN(Cc2ccc(C)cn2)CC1")</f>
        <v>CNCN1CCN(C)CCN(Cc2ccc(C)cn2)CC1</v>
      </c>
      <c r="C192" s="7">
        <f>IFERROR(__xludf.DUMMYFUNCTION("""COMPUTED_VALUE"""),7.848698)</f>
        <v>7.848698</v>
      </c>
      <c r="D192" s="7">
        <f>IFERROR(__xludf.DUMMYFUNCTION("""COMPUTED_VALUE"""),0.5)</f>
        <v>0.5</v>
      </c>
    </row>
    <row r="193">
      <c r="A193" s="10" t="s">
        <v>1632</v>
      </c>
      <c r="B193" s="7" t="str">
        <f>IFERROR(__xludf.DUMMYFUNCTION("SPLIT(A193,"" "")"),"CC(C)N1CCN(C(C)C)CCN(C(C)N)CC1")</f>
        <v>CC(C)N1CCN(C(C)C)CCN(C(C)N)CC1</v>
      </c>
      <c r="C193" s="7">
        <f>IFERROR(__xludf.DUMMYFUNCTION("""COMPUTED_VALUE"""),7.848619)</f>
        <v>7.848619</v>
      </c>
      <c r="D193" s="7">
        <f>IFERROR(__xludf.DUMMYFUNCTION("""COMPUTED_VALUE"""),0.305555555555555)</f>
        <v>0.3055555556</v>
      </c>
    </row>
    <row r="194">
      <c r="A194" s="10" t="s">
        <v>1633</v>
      </c>
      <c r="B194" s="7" t="str">
        <f>IFERROR(__xludf.DUMMYFUNCTION("SPLIT(A194,"" "")"),"CN1CC=NCCN(C)CCC2C=CC=C(CC1)N2C")</f>
        <v>CN1CC=NCCN(C)CCC2C=CC=C(CC1)N2C</v>
      </c>
      <c r="C194" s="7">
        <f>IFERROR(__xludf.DUMMYFUNCTION("""COMPUTED_VALUE"""),7.8485785)</f>
        <v>7.8485785</v>
      </c>
      <c r="D194" s="7">
        <f>IFERROR(__xludf.DUMMYFUNCTION("""COMPUTED_VALUE"""),0.211538461538461)</f>
        <v>0.2115384615</v>
      </c>
    </row>
    <row r="195">
      <c r="A195" s="10" t="s">
        <v>1634</v>
      </c>
      <c r="B195" s="7" t="str">
        <f>IFERROR(__xludf.DUMMYFUNCTION("SPLIT(A195,"" "")"),"CN(CN)CN")</f>
        <v>CN(CN)CN</v>
      </c>
      <c r="C195" s="7">
        <f>IFERROR(__xludf.DUMMYFUNCTION("""COMPUTED_VALUE"""),7.8485255)</f>
        <v>7.8485255</v>
      </c>
      <c r="D195" s="7">
        <f>IFERROR(__xludf.DUMMYFUNCTION("""COMPUTED_VALUE"""),0.172413793103448)</f>
        <v>0.1724137931</v>
      </c>
    </row>
    <row r="196">
      <c r="A196" s="10" t="s">
        <v>1635</v>
      </c>
      <c r="B196" s="7" t="str">
        <f>IFERROR(__xludf.DUMMYFUNCTION("SPLIT(A196,"" "")"),"CN1CC2(CCCCC2)NCC2(CCC(c3ccccc3)(c3ccccn3)CC2)NCC12CCCCC2")</f>
        <v>CN1CC2(CCCCC2)NCC2(CCC(c3ccccc3)(c3ccccn3)CC2)NCC12CCCCC2</v>
      </c>
      <c r="C196" s="7">
        <f>IFERROR(__xludf.DUMMYFUNCTION("""COMPUTED_VALUE"""),7.8484955)</f>
        <v>7.8484955</v>
      </c>
      <c r="D196" s="7">
        <f>IFERROR(__xludf.DUMMYFUNCTION("""COMPUTED_VALUE"""),0.236111111111111)</f>
        <v>0.2361111111</v>
      </c>
    </row>
    <row r="197">
      <c r="A197" s="10" t="s">
        <v>1636</v>
      </c>
      <c r="B197" s="7" t="str">
        <f>IFERROR(__xludf.DUMMYFUNCTION("SPLIT(A197,"" "")"),"Cc1ccc2c(c1)OCCOCCOCCOCCOC(N)CO2")</f>
        <v>Cc1ccc2c(c1)OCCOCCOCCOCCOC(N)CO2</v>
      </c>
      <c r="C197" s="7">
        <f>IFERROR(__xludf.DUMMYFUNCTION("""COMPUTED_VALUE"""),7.8484035)</f>
        <v>7.8484035</v>
      </c>
      <c r="D197" s="7">
        <f>IFERROR(__xludf.DUMMYFUNCTION("""COMPUTED_VALUE"""),0.3)</f>
        <v>0.3</v>
      </c>
    </row>
    <row r="198">
      <c r="A198" s="10" t="s">
        <v>1637</v>
      </c>
      <c r="B198" s="7" t="str">
        <f>IFERROR(__xludf.DUMMYFUNCTION("SPLIT(A198,"" "")"),"CC(N)N(Cc1cccnn1)C1CCCCC1")</f>
        <v>CC(N)N(Cc1cccnn1)C1CCCCC1</v>
      </c>
      <c r="C198" s="7">
        <f>IFERROR(__xludf.DUMMYFUNCTION("""COMPUTED_VALUE"""),7.848403)</f>
        <v>7.848403</v>
      </c>
      <c r="D198" s="7">
        <f>IFERROR(__xludf.DUMMYFUNCTION("""COMPUTED_VALUE"""),0.441860465116279)</f>
        <v>0.4418604651</v>
      </c>
    </row>
    <row r="199">
      <c r="A199" s="10" t="s">
        <v>1638</v>
      </c>
      <c r="B199" s="7" t="str">
        <f>IFERROR(__xludf.DUMMYFUNCTION("SPLIT(A199,"" "")"),"Cc1ccc2c(c1)OCC(N)OCCOCCOCCOCCO2")</f>
        <v>Cc1ccc2c(c1)OCC(N)OCCOCCOCCOCCO2</v>
      </c>
      <c r="C199" s="7">
        <f>IFERROR(__xludf.DUMMYFUNCTION("""COMPUTED_VALUE"""),7.848362)</f>
        <v>7.848362</v>
      </c>
      <c r="D199" s="7">
        <f>IFERROR(__xludf.DUMMYFUNCTION("""COMPUTED_VALUE"""),0.3)</f>
        <v>0.3</v>
      </c>
    </row>
    <row r="200">
      <c r="A200" s="10" t="s">
        <v>1639</v>
      </c>
      <c r="B200" s="7" t="str">
        <f>IFERROR(__xludf.DUMMYFUNCTION("SPLIT(A200,"" "")"),"CNCN1CCN(C)CCN(Cc2ncccc2C)CC1")</f>
        <v>CNCN1CCN(C)CCN(Cc2ncccc2C)CC1</v>
      </c>
      <c r="C200" s="7">
        <f>IFERROR(__xludf.DUMMYFUNCTION("""COMPUTED_VALUE"""),7.8482714)</f>
        <v>7.8482714</v>
      </c>
      <c r="D200" s="7">
        <f>IFERROR(__xludf.DUMMYFUNCTION("""COMPUTED_VALUE"""),0.477272727272727)</f>
        <v>0.4772727273</v>
      </c>
    </row>
    <row r="201">
      <c r="A201" s="10" t="s">
        <v>1640</v>
      </c>
      <c r="B201" s="7" t="str">
        <f>IFERROR(__xludf.DUMMYFUNCTION("SPLIT(A201,"" "")"),"CN(Cc1ncccc1CF)C1CCCCC1")</f>
        <v>CN(Cc1ncccc1CF)C1CCCCC1</v>
      </c>
      <c r="C201" s="7">
        <f>IFERROR(__xludf.DUMMYFUNCTION("""COMPUTED_VALUE"""),7.8481045)</f>
        <v>7.8481045</v>
      </c>
      <c r="D201" s="7">
        <f>IFERROR(__xludf.DUMMYFUNCTION("""COMPUTED_VALUE"""),0.404255319148936)</f>
        <v>0.4042553191</v>
      </c>
    </row>
    <row r="202">
      <c r="A202" s="10" t="s">
        <v>1641</v>
      </c>
      <c r="B202" s="7" t="str">
        <f>IFERROR(__xludf.DUMMYFUNCTION("SPLIT(A202,"" "")"),"CC(C)N(C)CCN(C)C1CCC(N(C)C(C)C)CC1")</f>
        <v>CC(C)N(C)CCN(C)C1CCC(N(C)C(C)C)CC1</v>
      </c>
      <c r="C202" s="7">
        <f>IFERROR(__xludf.DUMMYFUNCTION("""COMPUTED_VALUE"""),7.848081)</f>
        <v>7.848081</v>
      </c>
      <c r="D202" s="7">
        <f>IFERROR(__xludf.DUMMYFUNCTION("""COMPUTED_VALUE"""),0.170212765957446)</f>
        <v>0.170212766</v>
      </c>
    </row>
    <row r="203">
      <c r="A203" s="10" t="s">
        <v>1642</v>
      </c>
      <c r="B203" s="7" t="str">
        <f>IFERROR(__xludf.DUMMYFUNCTION("SPLIT(A203,"" "")"),"Cc1cncc(CN(C)C2CCCC(N3CCN(C)CCN(C)CC3)C2)c1")</f>
        <v>Cc1cncc(CN(C)C2CCCC(N3CCN(C)CCN(C)CC3)C2)c1</v>
      </c>
      <c r="C203" s="7">
        <f>IFERROR(__xludf.DUMMYFUNCTION("""COMPUTED_VALUE"""),7.8480268)</f>
        <v>7.8480268</v>
      </c>
      <c r="D203" s="7">
        <f>IFERROR(__xludf.DUMMYFUNCTION("""COMPUTED_VALUE"""),0.271186440677966)</f>
        <v>0.2711864407</v>
      </c>
    </row>
    <row r="204">
      <c r="A204" s="10" t="s">
        <v>1643</v>
      </c>
      <c r="B204" s="7" t="str">
        <f>IFERROR(__xludf.DUMMYFUNCTION("SPLIT(A204,"" "")"),"Cc1cccc2c1OCCOCCOC(N)COCCOCCO2")</f>
        <v>Cc1cccc2c1OCCOCCOC(N)COCCOCCO2</v>
      </c>
      <c r="C204" s="7">
        <f>IFERROR(__xludf.DUMMYFUNCTION("""COMPUTED_VALUE"""),7.847998)</f>
        <v>7.847998</v>
      </c>
      <c r="D204" s="7">
        <f>IFERROR(__xludf.DUMMYFUNCTION("""COMPUTED_VALUE"""),0.212121212121212)</f>
        <v>0.2121212121</v>
      </c>
    </row>
    <row r="205">
      <c r="A205" s="10" t="s">
        <v>1644</v>
      </c>
      <c r="B205" s="7" t="str">
        <f>IFERROR(__xludf.DUMMYFUNCTION("SPLIT(A205,"" "")"),"Cc1cccc2c1OCCOCCOCC(N)OCCOCCO2")</f>
        <v>Cc1cccc2c1OCCOCCOCC(N)OCCOCCO2</v>
      </c>
      <c r="C205" s="7">
        <f>IFERROR(__xludf.DUMMYFUNCTION("""COMPUTED_VALUE"""),7.847998)</f>
        <v>7.847998</v>
      </c>
      <c r="D205" s="7">
        <f>IFERROR(__xludf.DUMMYFUNCTION("""COMPUTED_VALUE"""),0.212121212121212)</f>
        <v>0.2121212121</v>
      </c>
    </row>
    <row r="206">
      <c r="A206" s="10" t="s">
        <v>1645</v>
      </c>
      <c r="B206" s="7" t="str">
        <f>IFERROR(__xludf.DUMMYFUNCTION("SPLIT(A206,"" "")"),"CNCN1CCN(C)CCN(Cc2ccc(C)nc2)CC1")</f>
        <v>CNCN1CCN(C)CCN(Cc2ccc(C)nc2)CC1</v>
      </c>
      <c r="C206" s="7">
        <f>IFERROR(__xludf.DUMMYFUNCTION("""COMPUTED_VALUE"""),7.8479624)</f>
        <v>7.8479624</v>
      </c>
      <c r="D206" s="7">
        <f>IFERROR(__xludf.DUMMYFUNCTION("""COMPUTED_VALUE"""),0.413043478260869)</f>
        <v>0.4130434783</v>
      </c>
    </row>
    <row r="207">
      <c r="A207" s="10" t="s">
        <v>1646</v>
      </c>
      <c r="B207" s="7" t="str">
        <f>IFERROR(__xludf.DUMMYFUNCTION("SPLIT(A207,"" "")"),"CCNC(C)(C)N(C)C1CCCC(N(C)CC(C)(C)C)C1")</f>
        <v>CCNC(C)(C)N(C)C1CCCC(N(C)CC(C)(C)C)C1</v>
      </c>
      <c r="C207" s="7">
        <f>IFERROR(__xludf.DUMMYFUNCTION("""COMPUTED_VALUE"""),7.8478518)</f>
        <v>7.8478518</v>
      </c>
      <c r="D207" s="7">
        <f>IFERROR(__xludf.DUMMYFUNCTION("""COMPUTED_VALUE"""),0.169811320754716)</f>
        <v>0.1698113208</v>
      </c>
    </row>
    <row r="208">
      <c r="A208" s="10" t="s">
        <v>1647</v>
      </c>
      <c r="B208" s="7" t="str">
        <f>IFERROR(__xludf.DUMMYFUNCTION("SPLIT(A208,"" "")"),"CN1CCN(C)CCN(CCC2=NCC(C)(C)O2)CC1")</f>
        <v>CN1CCN(C)CCN(CCC2=NCC(C)(C)O2)CC1</v>
      </c>
      <c r="C208" s="7">
        <f>IFERROR(__xludf.DUMMYFUNCTION("""COMPUTED_VALUE"""),7.847726)</f>
        <v>7.847726</v>
      </c>
      <c r="D208" s="7">
        <f>IFERROR(__xludf.DUMMYFUNCTION("""COMPUTED_VALUE"""),0.319148936170212)</f>
        <v>0.3191489362</v>
      </c>
    </row>
    <row r="209">
      <c r="A209" s="10" t="s">
        <v>1648</v>
      </c>
      <c r="B209" s="7" t="str">
        <f>IFERROR(__xludf.DUMMYFUNCTION("SPLIT(A209,"" "")"),"C1=COCCOC(NCc2cccc(-c3ccc4c(c3)OCCOCCOCCOCCOCCO4)n2)COCCOCCOCCO1")</f>
        <v>C1=COCCOC(NCc2cccc(-c3ccc4c(c3)OCCOCCOCCOCCOCCO4)n2)COCCOCCOCCO1</v>
      </c>
      <c r="C209" s="7">
        <f>IFERROR(__xludf.DUMMYFUNCTION("""COMPUTED_VALUE"""),7.84767)</f>
        <v>7.84767</v>
      </c>
      <c r="D209" s="7">
        <f>IFERROR(__xludf.DUMMYFUNCTION("""COMPUTED_VALUE"""),0.333333333333333)</f>
        <v>0.3333333333</v>
      </c>
    </row>
    <row r="210">
      <c r="A210" s="10" t="s">
        <v>1649</v>
      </c>
      <c r="B210" s="7" t="str">
        <f>IFERROR(__xludf.DUMMYFUNCTION("SPLIT(A210,"" "")"),"Cc1ccc2c(c1)OCCOCCOC(N)COCCOCCO2")</f>
        <v>Cc1ccc2c(c1)OCCOCCOC(N)COCCOCCO2</v>
      </c>
      <c r="C210" s="7">
        <f>IFERROR(__xludf.DUMMYFUNCTION("""COMPUTED_VALUE"""),7.8475556)</f>
        <v>7.8475556</v>
      </c>
      <c r="D210" s="7">
        <f>IFERROR(__xludf.DUMMYFUNCTION("""COMPUTED_VALUE"""),0.3)</f>
        <v>0.3</v>
      </c>
    </row>
    <row r="211">
      <c r="A211" s="10" t="s">
        <v>1650</v>
      </c>
      <c r="B211" s="7" t="str">
        <f>IFERROR(__xludf.DUMMYFUNCTION("SPLIT(A211,"" "")"),"Cc1ccc2c(c1)OCCOCCOCC(N)OCCOCCO2")</f>
        <v>Cc1ccc2c(c1)OCCOCCOCC(N)OCCOCCO2</v>
      </c>
      <c r="C211" s="7">
        <f>IFERROR(__xludf.DUMMYFUNCTION("""COMPUTED_VALUE"""),7.8475556)</f>
        <v>7.8475556</v>
      </c>
      <c r="D211" s="7">
        <f>IFERROR(__xludf.DUMMYFUNCTION("""COMPUTED_VALUE"""),0.3)</f>
        <v>0.3</v>
      </c>
    </row>
    <row r="212">
      <c r="A212" s="10" t="s">
        <v>1651</v>
      </c>
      <c r="B212" s="7" t="str">
        <f>IFERROR(__xludf.DUMMYFUNCTION("SPLIT(A212,"" "")"),"CN1CCN(C)CCN(CC2CC(N(C)Cc3ccccn3)CN2C)CC1")</f>
        <v>CN1CCN(C)CCN(CC2CC(N(C)Cc3ccccn3)CN2C)CC1</v>
      </c>
      <c r="C212" s="7">
        <f>IFERROR(__xludf.DUMMYFUNCTION("""COMPUTED_VALUE"""),7.847518)</f>
        <v>7.847518</v>
      </c>
      <c r="D212" s="7">
        <f>IFERROR(__xludf.DUMMYFUNCTION("""COMPUTED_VALUE"""),0.489795918367346)</f>
        <v>0.4897959184</v>
      </c>
    </row>
    <row r="213">
      <c r="A213" s="10" t="s">
        <v>1652</v>
      </c>
      <c r="B213" s="7" t="str">
        <f>IFERROR(__xludf.DUMMYFUNCTION("SPLIT(A213,"" "")"),"C1=CC2OCCOCCOCCOc3ccccc3OCCOC2C=C1")</f>
        <v>C1=CC2OCCOCCOCCOc3ccccc3OCCOC2C=C1</v>
      </c>
      <c r="C213" s="7">
        <f>IFERROR(__xludf.DUMMYFUNCTION("""COMPUTED_VALUE"""),7.8473945)</f>
        <v>7.8473945</v>
      </c>
      <c r="D213" s="7">
        <f>IFERROR(__xludf.DUMMYFUNCTION("""COMPUTED_VALUE"""),0.267857142857142)</f>
        <v>0.2678571429</v>
      </c>
    </row>
    <row r="214">
      <c r="A214" s="10" t="s">
        <v>1653</v>
      </c>
      <c r="B214" s="7" t="str">
        <f>IFERROR(__xludf.DUMMYFUNCTION("SPLIT(A214,"" "")"),"CCN(Cc1ccccn1)C1CCC(N(C)CCF)CC1")</f>
        <v>CCN(Cc1ccccn1)C1CCC(N(C)CCF)CC1</v>
      </c>
      <c r="C214" s="7">
        <f>IFERROR(__xludf.DUMMYFUNCTION("""COMPUTED_VALUE"""),7.8473725)</f>
        <v>7.8473725</v>
      </c>
      <c r="D214" s="7">
        <f>IFERROR(__xludf.DUMMYFUNCTION("""COMPUTED_VALUE"""),0.489361702127659)</f>
        <v>0.4893617021</v>
      </c>
    </row>
    <row r="215">
      <c r="A215" s="10" t="s">
        <v>1654</v>
      </c>
      <c r="B215" s="7" t="str">
        <f>IFERROR(__xludf.DUMMYFUNCTION("SPLIT(A215,"" "")"),"CC(C)N(C)CC1=CC(N2CCN(C)CCN(C)CC2)CN=C1")</f>
        <v>CC(C)N(C)CC1=CC(N2CCN(C)CCN(C)CC2)CN=C1</v>
      </c>
      <c r="C215" s="7">
        <f>IFERROR(__xludf.DUMMYFUNCTION("""COMPUTED_VALUE"""),7.8473315)</f>
        <v>7.8473315</v>
      </c>
      <c r="D215" s="7">
        <f>IFERROR(__xludf.DUMMYFUNCTION("""COMPUTED_VALUE"""),0.272727272727272)</f>
        <v>0.2727272727</v>
      </c>
    </row>
    <row r="216">
      <c r="A216" s="10" t="s">
        <v>1655</v>
      </c>
      <c r="B216" s="7" t="str">
        <f>IFERROR(__xludf.DUMMYFUNCTION("SPLIT(A216,"" "")"),"CC(C)N(C)C1CCCCC1N(C(C)C)C1C=CC=CN1")</f>
        <v>CC(C)N(C)C1CCCCC1N(C(C)C)C1C=CC=CN1</v>
      </c>
      <c r="C216" s="7">
        <f>IFERROR(__xludf.DUMMYFUNCTION("""COMPUTED_VALUE"""),7.8472714)</f>
        <v>7.8472714</v>
      </c>
      <c r="D216" s="7">
        <f>IFERROR(__xludf.DUMMYFUNCTION("""COMPUTED_VALUE"""),0.259259259259259)</f>
        <v>0.2592592593</v>
      </c>
    </row>
    <row r="217">
      <c r="A217" s="10" t="s">
        <v>1656</v>
      </c>
      <c r="B217" s="7" t="str">
        <f>IFERROR(__xludf.DUMMYFUNCTION("SPLIT(A217,"" "")"),"CCNCC1CCC1(C)C")</f>
        <v>CCNCC1CCC1(C)C</v>
      </c>
      <c r="C217" s="7">
        <f>IFERROR(__xludf.DUMMYFUNCTION("""COMPUTED_VALUE"""),7.846984)</f>
        <v>7.846984</v>
      </c>
      <c r="D217" s="7">
        <f>IFERROR(__xludf.DUMMYFUNCTION("""COMPUTED_VALUE"""),0.120689655172413)</f>
        <v>0.1206896552</v>
      </c>
    </row>
    <row r="218">
      <c r="A218" s="10" t="s">
        <v>1657</v>
      </c>
      <c r="B218" s="7" t="str">
        <f>IFERROR(__xludf.DUMMYFUNCTION("SPLIT(A218,"" "")"),"Cc1cccc2c1OCCOCCOCCOCCOCC(N)O2")</f>
        <v>Cc1cccc2c1OCCOCCOCCOCCOCC(N)O2</v>
      </c>
      <c r="C218" s="7">
        <f>IFERROR(__xludf.DUMMYFUNCTION("""COMPUTED_VALUE"""),7.846937)</f>
        <v>7.846937</v>
      </c>
      <c r="D218" s="7">
        <f>IFERROR(__xludf.DUMMYFUNCTION("""COMPUTED_VALUE"""),0.2)</f>
        <v>0.2</v>
      </c>
    </row>
    <row r="219">
      <c r="A219" s="10" t="s">
        <v>1658</v>
      </c>
      <c r="B219" s="7" t="str">
        <f>IFERROR(__xludf.DUMMYFUNCTION("SPLIT(A219,"" "")"),"CN1CC=NCC2C=CC=C(CCN(C)CCC1)N2C")</f>
        <v>CN1CC=NCC2C=CC=C(CCN(C)CCC1)N2C</v>
      </c>
      <c r="C219" s="7">
        <f>IFERROR(__xludf.DUMMYFUNCTION("""COMPUTED_VALUE"""),7.846849)</f>
        <v>7.846849</v>
      </c>
      <c r="D219" s="7">
        <f>IFERROR(__xludf.DUMMYFUNCTION("""COMPUTED_VALUE"""),0.270833333333333)</f>
        <v>0.2708333333</v>
      </c>
    </row>
    <row r="220">
      <c r="A220" s="10" t="s">
        <v>1659</v>
      </c>
      <c r="B220" s="7" t="str">
        <f>IFERROR(__xludf.DUMMYFUNCTION("SPLIT(A220,"" "")"),"CC1CNCCN(C)CCN(C)C1")</f>
        <v>CC1CNCCN(C)CCN(C)C1</v>
      </c>
      <c r="C220" s="7">
        <f>IFERROR(__xludf.DUMMYFUNCTION("""COMPUTED_VALUE"""),7.8467727)</f>
        <v>7.8467727</v>
      </c>
      <c r="D220" s="7">
        <f>IFERROR(__xludf.DUMMYFUNCTION("""COMPUTED_VALUE"""),0.347826086956521)</f>
        <v>0.347826087</v>
      </c>
    </row>
    <row r="221">
      <c r="A221" s="10" t="s">
        <v>1660</v>
      </c>
      <c r="B221" s="7" t="str">
        <f>IFERROR(__xludf.DUMMYFUNCTION("SPLIT(A221,"" "")"),"CNCN(Cc1ccccn1)C1CCC(N(C)C(C)C)CC1")</f>
        <v>CNCN(Cc1ccccn1)C1CCC(N(C)C(C)C)CC1</v>
      </c>
      <c r="C221" s="7">
        <f>IFERROR(__xludf.DUMMYFUNCTION("""COMPUTED_VALUE"""),7.8467717)</f>
        <v>7.8467717</v>
      </c>
      <c r="D221" s="7">
        <f>IFERROR(__xludf.DUMMYFUNCTION("""COMPUTED_VALUE"""),0.448979591836734)</f>
        <v>0.4489795918</v>
      </c>
    </row>
    <row r="222">
      <c r="A222" s="10" t="s">
        <v>1661</v>
      </c>
      <c r="B222" s="7" t="str">
        <f>IFERROR(__xludf.DUMMYFUNCTION("SPLIT(A222,"" "")"),"CNC1C(N(Cc2ccccn2)Cc2cccc(C3CC4OCCOCCOCCOCCOCCOC43)n2)CCCC1N(Cc1ccccn1)Cc1cccc(C2CC3OCCOCCOCCOCCOCCOC32)n1")</f>
        <v>CNC1C(N(Cc2ccccn2)Cc2cccc(C3CC4OCCOCCOCCOCCOCCOC43)n2)CCCC1N(Cc1ccccn1)Cc1cccc(C2CC3OCCOCCOCCOCCOCCOC32)n1</v>
      </c>
      <c r="C222" s="7">
        <f>IFERROR(__xludf.DUMMYFUNCTION("""COMPUTED_VALUE"""),7.8466935)</f>
        <v>7.8466935</v>
      </c>
      <c r="D222" s="7">
        <f>IFERROR(__xludf.DUMMYFUNCTION("""COMPUTED_VALUE"""),0.38095238095238)</f>
        <v>0.380952381</v>
      </c>
    </row>
    <row r="223">
      <c r="A223" s="10" t="s">
        <v>1662</v>
      </c>
      <c r="B223" s="7" t="str">
        <f>IFERROR(__xludf.DUMMYFUNCTION("SPLIT(A223,"" "")"),"CN1CCN(C)CCN(Cc2ccc(CNCF)nc2)CC1")</f>
        <v>CN1CCN(C)CCN(Cc2ccc(CNCF)nc2)CC1</v>
      </c>
      <c r="C223" s="7">
        <f>IFERROR(__xludf.DUMMYFUNCTION("""COMPUTED_VALUE"""),7.8466897)</f>
        <v>7.8466897</v>
      </c>
      <c r="D223" s="7">
        <f>IFERROR(__xludf.DUMMYFUNCTION("""COMPUTED_VALUE"""),0.413043478260869)</f>
        <v>0.4130434783</v>
      </c>
    </row>
    <row r="224">
      <c r="A224" s="10" t="s">
        <v>1663</v>
      </c>
      <c r="B224" s="7" t="str">
        <f>IFERROR(__xludf.DUMMYFUNCTION("SPLIT(A224,"" "")"),"CC1CCC1C")</f>
        <v>CC1CCC1C</v>
      </c>
      <c r="C224" s="7">
        <f>IFERROR(__xludf.DUMMYFUNCTION("""COMPUTED_VALUE"""),7.8465667)</f>
        <v>7.8465667</v>
      </c>
      <c r="D224" s="7">
        <f>IFERROR(__xludf.DUMMYFUNCTION("""COMPUTED_VALUE"""),0.142857142857142)</f>
        <v>0.1428571429</v>
      </c>
    </row>
    <row r="225">
      <c r="A225" s="10" t="s">
        <v>1664</v>
      </c>
      <c r="B225" s="7" t="str">
        <f>IFERROR(__xludf.DUMMYFUNCTION("SPLIT(A225,"" "")"),"Cc1ccc2c(c1)OCCOCCOCCOCCOCC(N)O2")</f>
        <v>Cc1ccc2c(c1)OCCOCCOCCOCCOCC(N)O2</v>
      </c>
      <c r="C225" s="7">
        <f>IFERROR(__xludf.DUMMYFUNCTION("""COMPUTED_VALUE"""),7.8464985)</f>
        <v>7.8464985</v>
      </c>
      <c r="D225" s="7">
        <f>IFERROR(__xludf.DUMMYFUNCTION("""COMPUTED_VALUE"""),0.283333333333333)</f>
        <v>0.2833333333</v>
      </c>
    </row>
    <row r="226">
      <c r="A226" s="10" t="s">
        <v>1665</v>
      </c>
      <c r="B226" s="7" t="str">
        <f>IFERROR(__xludf.DUMMYFUNCTION("SPLIT(A226,"" "")"),"C1=CNC(N(Cc2cccnn2)C2CCCCC2)C=C1")</f>
        <v>C1=CNC(N(Cc2cccnn2)C2CCCCC2)C=C1</v>
      </c>
      <c r="C226" s="7">
        <f>IFERROR(__xludf.DUMMYFUNCTION("""COMPUTED_VALUE"""),7.8464174)</f>
        <v>7.8464174</v>
      </c>
      <c r="D226" s="7">
        <f>IFERROR(__xludf.DUMMYFUNCTION("""COMPUTED_VALUE"""),0.36734693877551)</f>
        <v>0.3673469388</v>
      </c>
    </row>
    <row r="227">
      <c r="A227" s="10" t="s">
        <v>1666</v>
      </c>
      <c r="B227" s="7" t="str">
        <f>IFERROR(__xludf.DUMMYFUNCTION("SPLIT(A227,"" "")"),"Cc1ccc2c(c1)OC(N)COCCOCCOCCOCCO2")</f>
        <v>Cc1ccc2c(c1)OC(N)COCCOCCOCCOCCO2</v>
      </c>
      <c r="C227" s="7">
        <f>IFERROR(__xludf.DUMMYFUNCTION("""COMPUTED_VALUE"""),7.846416)</f>
        <v>7.846416</v>
      </c>
      <c r="D227" s="7">
        <f>IFERROR(__xludf.DUMMYFUNCTION("""COMPUTED_VALUE"""),0.283333333333333)</f>
        <v>0.2833333333</v>
      </c>
    </row>
    <row r="228">
      <c r="A228" s="10" t="s">
        <v>1667</v>
      </c>
      <c r="B228" s="7" t="str">
        <f>IFERROR(__xludf.DUMMYFUNCTION("SPLIT(A228,"" "")"),"CC(N)C(C)N(Cc1ccccn1)C1CCC(N(C)C(C)C)CC1")</f>
        <v>CC(N)C(C)N(Cc1ccccn1)C1CCC(N(C)C(C)C)CC1</v>
      </c>
      <c r="C228" s="7">
        <f>IFERROR(__xludf.DUMMYFUNCTION("""COMPUTED_VALUE"""),7.8464017)</f>
        <v>7.8464017</v>
      </c>
      <c r="D228" s="7">
        <f>IFERROR(__xludf.DUMMYFUNCTION("""COMPUTED_VALUE"""),0.448979591836734)</f>
        <v>0.4489795918</v>
      </c>
    </row>
    <row r="229">
      <c r="A229" s="10" t="s">
        <v>1668</v>
      </c>
      <c r="B229" s="7" t="str">
        <f>IFERROR(__xludf.DUMMYFUNCTION("SPLIT(A229,"" "")"),"CN(Cc1ccc(CF)cn1)C1CCCCC1")</f>
        <v>CN(Cc1ccc(CF)cn1)C1CCCCC1</v>
      </c>
      <c r="C229" s="7">
        <f>IFERROR(__xludf.DUMMYFUNCTION("""COMPUTED_VALUE"""),7.8463864)</f>
        <v>7.8463864</v>
      </c>
      <c r="D229" s="7">
        <f>IFERROR(__xludf.DUMMYFUNCTION("""COMPUTED_VALUE"""),0.5)</f>
        <v>0.5</v>
      </c>
    </row>
    <row r="230">
      <c r="A230" s="10" t="s">
        <v>1669</v>
      </c>
      <c r="B230" s="7" t="str">
        <f>IFERROR(__xludf.DUMMYFUNCTION("SPLIT(A230,"" "")"),"CN1CCN(C)CCN(C2CCC(N(C)Cc3ccc(Cl)cn3)CC2)CC1")</f>
        <v>CN1CCN(C)CCN(C2CCC(N(C)Cc3ccc(Cl)cn3)CC2)CC1</v>
      </c>
      <c r="C230" s="7">
        <f>IFERROR(__xludf.DUMMYFUNCTION("""COMPUTED_VALUE"""),7.8463817)</f>
        <v>7.8463817</v>
      </c>
      <c r="D230" s="7">
        <f>IFERROR(__xludf.DUMMYFUNCTION("""COMPUTED_VALUE"""),0.377358490566037)</f>
        <v>0.3773584906</v>
      </c>
    </row>
    <row r="231">
      <c r="A231" s="10" t="s">
        <v>1670</v>
      </c>
      <c r="B231" s="7" t="str">
        <f>IFERROR(__xludf.DUMMYFUNCTION("SPLIT(A231,"" "")"),"Cc1cccc2c1OC(N)COCCOCCOCCOCCO2")</f>
        <v>Cc1cccc2c1OC(N)COCCOCCOCCOCCO2</v>
      </c>
      <c r="C231" s="7">
        <f>IFERROR(__xludf.DUMMYFUNCTION("""COMPUTED_VALUE"""),7.8463793)</f>
        <v>7.8463793</v>
      </c>
      <c r="D231" s="7">
        <f>IFERROR(__xludf.DUMMYFUNCTION("""COMPUTED_VALUE"""),0.21875)</f>
        <v>0.21875</v>
      </c>
    </row>
    <row r="232">
      <c r="A232" s="10" t="s">
        <v>1671</v>
      </c>
      <c r="B232" s="7" t="str">
        <f>IFERROR(__xludf.DUMMYFUNCTION("SPLIT(A232,"" "")"),"C1=CC(C23CCC2OCCOCCOCCOCCOCCO3)C=C(CN(Cc2ccccn2)Cc2ccccn2)N1")</f>
        <v>C1=CC(C23CCC2OCCOCCOCCOCCOCCO3)C=C(CN(Cc2ccccn2)Cc2ccccn2)N1</v>
      </c>
      <c r="C232" s="7">
        <f>IFERROR(__xludf.DUMMYFUNCTION("""COMPUTED_VALUE"""),7.846356)</f>
        <v>7.846356</v>
      </c>
      <c r="D232" s="7">
        <f>IFERROR(__xludf.DUMMYFUNCTION("""COMPUTED_VALUE"""),0.421875)</f>
        <v>0.421875</v>
      </c>
    </row>
    <row r="233">
      <c r="A233" s="10" t="s">
        <v>1672</v>
      </c>
      <c r="B233" s="7" t="str">
        <f>IFERROR(__xludf.DUMMYFUNCTION("SPLIT(A233,"" "")"),"CC(C)N1CCN(C)CCN(Cc2cncc(C3=CC4OCCOC=COCCOCCOCCOC4C=C3)c2)CC1")</f>
        <v>CC(C)N1CCN(C)CCN(Cc2cncc(C3=CC4OCCOC=COCCOCCOCCOC4C=C3)c2)CC1</v>
      </c>
      <c r="C233" s="7">
        <f>IFERROR(__xludf.DUMMYFUNCTION("""COMPUTED_VALUE"""),7.846276)</f>
        <v>7.846276</v>
      </c>
      <c r="D233" s="7">
        <f>IFERROR(__xludf.DUMMYFUNCTION("""COMPUTED_VALUE"""),0.267605633802816)</f>
        <v>0.2676056338</v>
      </c>
    </row>
    <row r="234">
      <c r="A234" s="10" t="s">
        <v>1673</v>
      </c>
      <c r="B234" s="7" t="str">
        <f>IFERROR(__xludf.DUMMYFUNCTION("SPLIT(A234,"" "")"),"CC(C)Nc1ccc2c(c1)OCCOCCOCCOCCOCCO2")</f>
        <v>CC(C)Nc1ccc2c(c1)OCCOCCOCCOCCOCCO2</v>
      </c>
      <c r="C234" s="7">
        <f>IFERROR(__xludf.DUMMYFUNCTION("""COMPUTED_VALUE"""),7.846184)</f>
        <v>7.846184</v>
      </c>
      <c r="D234" s="7">
        <f>IFERROR(__xludf.DUMMYFUNCTION("""COMPUTED_VALUE"""),0.327272727272727)</f>
        <v>0.3272727273</v>
      </c>
    </row>
    <row r="235">
      <c r="A235" s="10" t="s">
        <v>1674</v>
      </c>
      <c r="B235" s="7" t="str">
        <f>IFERROR(__xludf.DUMMYFUNCTION("SPLIT(A235,"" "")"),"CSC1CNC2C=CC=NC2NCCN(C)C1")</f>
        <v>CSC1CNC2C=CC=NC2NCCN(C)C1</v>
      </c>
      <c r="C235" s="7">
        <f>IFERROR(__xludf.DUMMYFUNCTION("""COMPUTED_VALUE"""),7.84616)</f>
        <v>7.84616</v>
      </c>
      <c r="D235" s="7">
        <f>IFERROR(__xludf.DUMMYFUNCTION("""COMPUTED_VALUE"""),0.188679245283018)</f>
        <v>0.1886792453</v>
      </c>
    </row>
    <row r="236">
      <c r="A236" s="10" t="s">
        <v>1675</v>
      </c>
      <c r="B236" s="7" t="str">
        <f>IFERROR(__xludf.DUMMYFUNCTION("SPLIT(A236,"" "")"),"CN(C)Cc1ccc2c(c1)OCCOCCOCCOCCOCCO2")</f>
        <v>CN(C)Cc1ccc2c(c1)OCCOCCOCCOCCOCCO2</v>
      </c>
      <c r="C236" s="7">
        <f>IFERROR(__xludf.DUMMYFUNCTION("""COMPUTED_VALUE"""),7.8461576)</f>
        <v>7.8461576</v>
      </c>
      <c r="D236" s="7">
        <f>IFERROR(__xludf.DUMMYFUNCTION("""COMPUTED_VALUE"""),0.327272727272727)</f>
        <v>0.3272727273</v>
      </c>
    </row>
    <row r="237">
      <c r="A237" s="10" t="s">
        <v>1676</v>
      </c>
      <c r="B237" s="7" t="str">
        <f>IFERROR(__xludf.DUMMYFUNCTION("SPLIT(A237,"" "")"),"CC(C)N(Cc1cccnn1)C1CCCCC1")</f>
        <v>CC(C)N(Cc1cccnn1)C1CCCCC1</v>
      </c>
      <c r="C237" s="7">
        <f>IFERROR(__xludf.DUMMYFUNCTION("""COMPUTED_VALUE"""),7.846143)</f>
        <v>7.846143</v>
      </c>
      <c r="D237" s="7">
        <f>IFERROR(__xludf.DUMMYFUNCTION("""COMPUTED_VALUE"""),0.463414634146341)</f>
        <v>0.4634146341</v>
      </c>
    </row>
    <row r="238">
      <c r="A238" s="10" t="s">
        <v>1677</v>
      </c>
      <c r="B238" s="7" t="str">
        <f>IFERROR(__xludf.DUMMYFUNCTION("SPLIT(A238,"" "")"),"Cc1ccccc1CN1CCN(C)CCN(C)CC1")</f>
        <v>Cc1ccccc1CN1CCN(C)CCN(C)CC1</v>
      </c>
      <c r="C238" s="7">
        <f>IFERROR(__xludf.DUMMYFUNCTION("""COMPUTED_VALUE"""),7.8460674)</f>
        <v>7.8460674</v>
      </c>
      <c r="D238" s="7">
        <f>IFERROR(__xludf.DUMMYFUNCTION("""COMPUTED_VALUE"""),0.5)</f>
        <v>0.5</v>
      </c>
    </row>
    <row r="239">
      <c r="A239" s="10" t="s">
        <v>1678</v>
      </c>
      <c r="B239" s="7" t="str">
        <f>IFERROR(__xludf.DUMMYFUNCTION("SPLIT(A239,"" "")"),"CNCN(Cc1ccccn1)C1CCCC(N(C)C(C)C)C1")</f>
        <v>CNCN(Cc1ccccn1)C1CCCC(N(C)C(C)C)C1</v>
      </c>
      <c r="C239" s="7">
        <f>IFERROR(__xludf.DUMMYFUNCTION("""COMPUTED_VALUE"""),7.84602)</f>
        <v>7.84602</v>
      </c>
      <c r="D239" s="7">
        <f>IFERROR(__xludf.DUMMYFUNCTION("""COMPUTED_VALUE"""),0.450980392156862)</f>
        <v>0.4509803922</v>
      </c>
    </row>
    <row r="240">
      <c r="A240" s="10" t="s">
        <v>1679</v>
      </c>
      <c r="B240" s="7" t="str">
        <f>IFERROR(__xludf.DUMMYFUNCTION("SPLIT(A240,"" "")"),"CN1CCCN(C)CCC2C=CC=C(C=NCC1)N2C")</f>
        <v>CN1CCCN(C)CCC2C=CC=C(C=NCC1)N2C</v>
      </c>
      <c r="C240" s="7">
        <f>IFERROR(__xludf.DUMMYFUNCTION("""COMPUTED_VALUE"""),7.8459487)</f>
        <v>7.8459487</v>
      </c>
      <c r="D240" s="7">
        <f>IFERROR(__xludf.DUMMYFUNCTION("""COMPUTED_VALUE"""),0.282608695652173)</f>
        <v>0.2826086957</v>
      </c>
    </row>
    <row r="241">
      <c r="A241" s="10" t="s">
        <v>1680</v>
      </c>
      <c r="B241" s="7" t="str">
        <f>IFERROR(__xludf.DUMMYFUNCTION("SPLIT(A241,"" "")"),"Cc1ccc(CN(C)C2CCC(N(C)Cc3cccc(C4CC5OCCOCCOCCOCCOCCOC54)n3)CC2)nc1")</f>
        <v>Cc1ccc(CN(C)C2CCC(N(C)Cc3cccc(C4CC5OCCOCCOCCOCCOCCOC54)n3)CC2)nc1</v>
      </c>
      <c r="C241" s="7">
        <f>IFERROR(__xludf.DUMMYFUNCTION("""COMPUTED_VALUE"""),7.8458705)</f>
        <v>7.8458705</v>
      </c>
      <c r="D241" s="7">
        <f>IFERROR(__xludf.DUMMYFUNCTION("""COMPUTED_VALUE"""),0.423728813559322)</f>
        <v>0.4237288136</v>
      </c>
    </row>
    <row r="242">
      <c r="A242" s="10" t="s">
        <v>1681</v>
      </c>
      <c r="B242" s="7" t="str">
        <f>IFERROR(__xludf.DUMMYFUNCTION("SPLIT(A242,"" "")"),"CCC(C)C1CCC1C")</f>
        <v>CCC(C)C1CCC1C</v>
      </c>
      <c r="C242" s="7">
        <f>IFERROR(__xludf.DUMMYFUNCTION("""COMPUTED_VALUE"""),7.845837)</f>
        <v>7.845837</v>
      </c>
      <c r="D242" s="7">
        <f>IFERROR(__xludf.DUMMYFUNCTION("""COMPUTED_VALUE"""),0.145833333333333)</f>
        <v>0.1458333333</v>
      </c>
    </row>
    <row r="243">
      <c r="A243" s="10" t="s">
        <v>1682</v>
      </c>
      <c r="B243" s="7" t="str">
        <f>IFERROR(__xludf.DUMMYFUNCTION("SPLIT(A243,"" "")"),"CCN(Cc1ccccn1)C1CCCC(N(C)CCF)C1")</f>
        <v>CCN(Cc1ccccn1)C1CCCC(N(C)CCF)C1</v>
      </c>
      <c r="C243" s="7">
        <f>IFERROR(__xludf.DUMMYFUNCTION("""COMPUTED_VALUE"""),7.845748)</f>
        <v>7.845748</v>
      </c>
      <c r="D243" s="7">
        <f>IFERROR(__xludf.DUMMYFUNCTION("""COMPUTED_VALUE"""),0.489795918367346)</f>
        <v>0.4897959184</v>
      </c>
    </row>
    <row r="244">
      <c r="A244" s="10" t="s">
        <v>1683</v>
      </c>
      <c r="B244" s="7" t="str">
        <f>IFERROR(__xludf.DUMMYFUNCTION("SPLIT(A244,"" "")"),"CN(CCF)CCN(Cc1ccc2c(n1)CCC2)C1CCCCC1")</f>
        <v>CN(CCF)CCN(Cc1ccc2c(n1)CCC2)C1CCCCC1</v>
      </c>
      <c r="C244" s="7">
        <f>IFERROR(__xludf.DUMMYFUNCTION("""COMPUTED_VALUE"""),7.845723)</f>
        <v>7.845723</v>
      </c>
      <c r="D244" s="7">
        <f>IFERROR(__xludf.DUMMYFUNCTION("""COMPUTED_VALUE"""),0.32258064516129)</f>
        <v>0.3225806452</v>
      </c>
    </row>
    <row r="245">
      <c r="A245" s="10" t="s">
        <v>1684</v>
      </c>
      <c r="B245" s="7" t="str">
        <f>IFERROR(__xludf.DUMMYFUNCTION("SPLIT(A245,"" "")"),"Cc1cnccc1CN1CCN(C)CCN(CCN(C)C(C)C)CC1")</f>
        <v>Cc1cnccc1CN1CCN(C)CCN(CCN(C)C(C)C)CC1</v>
      </c>
      <c r="C245" s="7">
        <f>IFERROR(__xludf.DUMMYFUNCTION("""COMPUTED_VALUE"""),7.8456635)</f>
        <v>7.8456635</v>
      </c>
      <c r="D245" s="7">
        <f>IFERROR(__xludf.DUMMYFUNCTION("""COMPUTED_VALUE"""),0.358490566037735)</f>
        <v>0.358490566</v>
      </c>
    </row>
    <row r="246">
      <c r="A246" s="10" t="s">
        <v>1685</v>
      </c>
      <c r="B246" s="7" t="str">
        <f>IFERROR(__xludf.DUMMYFUNCTION("SPLIT(A246,"" "")"),"CC1=CC(C)C(C)(N(Cc2ccccn2)C2CCCCC2)C(C)(C)C1")</f>
        <v>CC1=CC(C)C(C)(N(Cc2ccccn2)C2CCCCC2)C(C)(C)C1</v>
      </c>
      <c r="C246" s="7">
        <f>IFERROR(__xludf.DUMMYFUNCTION("""COMPUTED_VALUE"""),7.84565)</f>
        <v>7.84565</v>
      </c>
      <c r="D246" s="7">
        <f>IFERROR(__xludf.DUMMYFUNCTION("""COMPUTED_VALUE"""),0.433962264150943)</f>
        <v>0.4339622642</v>
      </c>
    </row>
    <row r="247">
      <c r="A247" s="10" t="s">
        <v>1686</v>
      </c>
      <c r="B247" s="7" t="str">
        <f>IFERROR(__xludf.DUMMYFUNCTION("SPLIT(A247,"" "")"),"CNCc1ccc(CN(C)C2CCCCC2N(C)Cc2cccc(C34CCC3OCCOCCOCCOCCOCCO4)n2)cn1")</f>
        <v>CNCc1ccc(CN(C)C2CCCCC2N(C)Cc2cccc(C34CCC3OCCOCCOCCOCCOCCO4)n2)cn1</v>
      </c>
      <c r="C247" s="7">
        <f>IFERROR(__xludf.DUMMYFUNCTION("""COMPUTED_VALUE"""),7.8456335)</f>
        <v>7.8456335</v>
      </c>
      <c r="D247" s="7">
        <f>IFERROR(__xludf.DUMMYFUNCTION("""COMPUTED_VALUE"""),0.371428571428571)</f>
        <v>0.3714285714</v>
      </c>
    </row>
    <row r="248">
      <c r="A248" s="10" t="s">
        <v>1687</v>
      </c>
      <c r="B248" s="7" t="str">
        <f>IFERROR(__xludf.DUMMYFUNCTION("SPLIT(A248,"" "")"),"CN(CCN(Cc1ccccn1)Cc1cccc2c1OCCOCCOCCOCCOCCO2)Cc1cccc2c1OCCOCCOCCOCCOCCO2")</f>
        <v>CN(CCN(Cc1ccccn1)Cc1cccc2c1OCCOCCOCCOCCOCCO2)Cc1cccc2c1OCCOCCOCCOCCOCCO2</v>
      </c>
      <c r="C248" s="7">
        <f>IFERROR(__xludf.DUMMYFUNCTION("""COMPUTED_VALUE"""),7.8455887)</f>
        <v>7.8455887</v>
      </c>
      <c r="D248" s="7">
        <f>IFERROR(__xludf.DUMMYFUNCTION("""COMPUTED_VALUE"""),0.470588235294117)</f>
        <v>0.4705882353</v>
      </c>
    </row>
    <row r="249">
      <c r="A249" s="10" t="s">
        <v>1688</v>
      </c>
      <c r="B249" s="7" t="str">
        <f>IFERROR(__xludf.DUMMYFUNCTION("SPLIT(A249,"" "")"),"CC1C=CC(C)C(N)C1")</f>
        <v>CC1C=CC(C)C(N)C1</v>
      </c>
      <c r="C249" s="7">
        <f>IFERROR(__xludf.DUMMYFUNCTION("""COMPUTED_VALUE"""),7.8452144)</f>
        <v>7.8452144</v>
      </c>
      <c r="D249" s="7">
        <f>IFERROR(__xludf.DUMMYFUNCTION("""COMPUTED_VALUE"""),0.106382978723404)</f>
        <v>0.1063829787</v>
      </c>
    </row>
    <row r="250">
      <c r="A250" s="10" t="s">
        <v>1689</v>
      </c>
      <c r="B250" s="7" t="str">
        <f>IFERROR(__xludf.DUMMYFUNCTION("SPLIT(A250,"" "")"),"CC1C=CC(C)(C)CC1(C)N(Cc1ccccn1)C1CCCCC1")</f>
        <v>CC1C=CC(C)(C)CC1(C)N(Cc1ccccn1)C1CCCCC1</v>
      </c>
      <c r="C250" s="7">
        <f>IFERROR(__xludf.DUMMYFUNCTION("""COMPUTED_VALUE"""),7.845163)</f>
        <v>7.845163</v>
      </c>
      <c r="D250" s="7">
        <f>IFERROR(__xludf.DUMMYFUNCTION("""COMPUTED_VALUE"""),0.442307692307692)</f>
        <v>0.4423076923</v>
      </c>
    </row>
    <row r="251">
      <c r="A251" s="10" t="s">
        <v>1690</v>
      </c>
      <c r="B251" s="7" t="str">
        <f>IFERROR(__xludf.DUMMYFUNCTION("SPLIT(A251,"" "")"),"CN1CCN(C)CCN(CCC2=NC(C)(C)CO2)CC1")</f>
        <v>CN1CCN(C)CCN(CCC2=NC(C)(C)CO2)CC1</v>
      </c>
      <c r="C251" s="7">
        <f>IFERROR(__xludf.DUMMYFUNCTION("""COMPUTED_VALUE"""),7.845109)</f>
        <v>7.845109</v>
      </c>
      <c r="D251" s="7">
        <f>IFERROR(__xludf.DUMMYFUNCTION("""COMPUTED_VALUE"""),0.309523809523809)</f>
        <v>0.3095238095</v>
      </c>
    </row>
    <row r="252">
      <c r="A252" s="10" t="s">
        <v>1691</v>
      </c>
      <c r="B252" s="7" t="str">
        <f>IFERROR(__xludf.DUMMYFUNCTION("SPLIT(A252,"" "")"),"COC(=O)N1CCN(C)CCN(C(=O)C(N)C(C)N2CCN(C)CCN(C)CC2)CC1")</f>
        <v>COC(=O)N1CCN(C)CCN(C(=O)C(N)C(C)N2CCN(C)CCN(C)CC2)CC1</v>
      </c>
      <c r="C252" s="7">
        <f>IFERROR(__xludf.DUMMYFUNCTION("""COMPUTED_VALUE"""),7.8450756)</f>
        <v>7.8450756</v>
      </c>
      <c r="D252" s="7">
        <f>IFERROR(__xludf.DUMMYFUNCTION("""COMPUTED_VALUE"""),0.235294117647058)</f>
        <v>0.2352941176</v>
      </c>
    </row>
    <row r="253">
      <c r="A253" s="10" t="s">
        <v>1692</v>
      </c>
      <c r="B253" s="7" t="str">
        <f>IFERROR(__xludf.DUMMYFUNCTION("SPLIT(A253,"" "")"),"CCN(Cc1ccccn1)Cc1cccc(C2CC3OCCOCCOCCOCCOCCOC32)n1")</f>
        <v>CCN(Cc1ccccn1)Cc1cccc(C2CC3OCCOCCOCCOCCOCCOC32)n1</v>
      </c>
      <c r="C253" s="7">
        <f>IFERROR(__xludf.DUMMYFUNCTION("""COMPUTED_VALUE"""),7.8450503)</f>
        <v>7.8450503</v>
      </c>
      <c r="D253" s="7">
        <f>IFERROR(__xludf.DUMMYFUNCTION("""COMPUTED_VALUE"""),0.38)</f>
        <v>0.38</v>
      </c>
    </row>
    <row r="254">
      <c r="A254" s="10" t="s">
        <v>1693</v>
      </c>
      <c r="B254" s="7" t="str">
        <f>IFERROR(__xludf.DUMMYFUNCTION("SPLIT(A254,"" "")"),"CN1CCN(C)CCN(Cc2cccnc2CN(C)Cc2cccc(C3CC4OCCOCCOCCOCCOCCOC43)n2)CC1")</f>
        <v>CN1CCN(C)CCN(Cc2cccnc2CN(C)Cc2cccc(C3CC4OCCOCCOCCOCCOCCOC43)n2)CC1</v>
      </c>
      <c r="C254" s="7">
        <f>IFERROR(__xludf.DUMMYFUNCTION("""COMPUTED_VALUE"""),7.845036)</f>
        <v>7.845036</v>
      </c>
      <c r="D254" s="7">
        <f>IFERROR(__xludf.DUMMYFUNCTION("""COMPUTED_VALUE"""),0.348484848484848)</f>
        <v>0.3484848485</v>
      </c>
    </row>
    <row r="255">
      <c r="A255" s="10" t="s">
        <v>1694</v>
      </c>
      <c r="B255" s="7" t="str">
        <f>IFERROR(__xludf.DUMMYFUNCTION("SPLIT(A255,"" "")"),"CN1CC=NCC2=CC=CC(CCN(C)CCC1)N2C")</f>
        <v>CN1CC=NCC2=CC=CC(CCN(C)CCC1)N2C</v>
      </c>
      <c r="C255" s="7">
        <f>IFERROR(__xludf.DUMMYFUNCTION("""COMPUTED_VALUE"""),7.8449607)</f>
        <v>7.8449607</v>
      </c>
      <c r="D255" s="7">
        <f>IFERROR(__xludf.DUMMYFUNCTION("""COMPUTED_VALUE"""),0.282608695652173)</f>
        <v>0.2826086957</v>
      </c>
    </row>
    <row r="256">
      <c r="A256" s="10" t="s">
        <v>1695</v>
      </c>
      <c r="B256" s="7" t="str">
        <f>IFERROR(__xludf.DUMMYFUNCTION("SPLIT(A256,"" "")"),"CC(C)N(C)C1CCCCC1N(C)C1=CCC(Cl)C(C)(C)C1C")</f>
        <v>CC(C)N(C)C1CCCCC1N(C)C1=CCC(Cl)C(C)(C)C1C</v>
      </c>
      <c r="C256" s="7">
        <f>IFERROR(__xludf.DUMMYFUNCTION("""COMPUTED_VALUE"""),7.8449235)</f>
        <v>7.8449235</v>
      </c>
      <c r="D256" s="7">
        <f>IFERROR(__xludf.DUMMYFUNCTION("""COMPUTED_VALUE"""),0.258620689655172)</f>
        <v>0.2586206897</v>
      </c>
    </row>
    <row r="257">
      <c r="A257" s="10" t="s">
        <v>1696</v>
      </c>
      <c r="B257" s="7" t="str">
        <f>IFERROR(__xludf.DUMMYFUNCTION("SPLIT(A257,"" "")"),"Cc1ccc2c(c1)OCCOCCOCCOCCOC(C)C(N)O2")</f>
        <v>Cc1ccc2c(c1)OCCOCCOCCOCCOC(C)C(N)O2</v>
      </c>
      <c r="C257" s="7">
        <f>IFERROR(__xludf.DUMMYFUNCTION("""COMPUTED_VALUE"""),7.8448753)</f>
        <v>7.8448753</v>
      </c>
      <c r="D257" s="7">
        <f>IFERROR(__xludf.DUMMYFUNCTION("""COMPUTED_VALUE"""),0.269841269841269)</f>
        <v>0.2698412698</v>
      </c>
    </row>
    <row r="258">
      <c r="A258" s="10" t="s">
        <v>1697</v>
      </c>
      <c r="B258" s="7" t="str">
        <f>IFERROR(__xludf.DUMMYFUNCTION("SPLIT(A258,"" "")"),"CN(CCN)CCN")</f>
        <v>CN(CCN)CCN</v>
      </c>
      <c r="C258" s="7">
        <f>IFERROR(__xludf.DUMMYFUNCTION("""COMPUTED_VALUE"""),7.844808)</f>
        <v>7.844808</v>
      </c>
      <c r="D258" s="7">
        <f>IFERROR(__xludf.DUMMYFUNCTION("""COMPUTED_VALUE"""),0.2)</f>
        <v>0.2</v>
      </c>
    </row>
    <row r="259">
      <c r="A259" s="10" t="s">
        <v>1698</v>
      </c>
      <c r="B259" s="7" t="str">
        <f>IFERROR(__xludf.DUMMYFUNCTION("SPLIT(A259,"" "")"),"CN1CCN(C)CCN(C2CCCC(N(C)Cc3ccc(Cl)cn3)C2)CC1")</f>
        <v>CN1CCN(C)CCN(C2CCCC(N(C)Cc3ccc(Cl)cn3)C2)CC1</v>
      </c>
      <c r="C259" s="7">
        <f>IFERROR(__xludf.DUMMYFUNCTION("""COMPUTED_VALUE"""),7.844727)</f>
        <v>7.844727</v>
      </c>
      <c r="D259" s="7">
        <f>IFERROR(__xludf.DUMMYFUNCTION("""COMPUTED_VALUE"""),0.381818181818181)</f>
        <v>0.3818181818</v>
      </c>
    </row>
    <row r="260">
      <c r="A260" s="10" t="s">
        <v>1699</v>
      </c>
      <c r="B260" s="7" t="str">
        <f>IFERROR(__xludf.DUMMYFUNCTION("SPLIT(A260,"" "")"),"Cc1ccc2c(c1)OC(N)C(C)OCCOCCOCCOCCO2")</f>
        <v>Cc1ccc2c(c1)OC(N)C(C)OCCOCCOCCOCCO2</v>
      </c>
      <c r="C260" s="7">
        <f>IFERROR(__xludf.DUMMYFUNCTION("""COMPUTED_VALUE"""),7.8447146)</f>
        <v>7.8447146</v>
      </c>
      <c r="D260" s="7">
        <f>IFERROR(__xludf.DUMMYFUNCTION("""COMPUTED_VALUE"""),0.269841269841269)</f>
        <v>0.2698412698</v>
      </c>
    </row>
    <row r="261">
      <c r="A261" s="10" t="s">
        <v>1700</v>
      </c>
      <c r="B261" s="7" t="str">
        <f>IFERROR(__xludf.DUMMYFUNCTION("SPLIT(A261,"" "")"),"CN1CCN(C)CCN(Cc2ccc(N)cc2)CC1")</f>
        <v>CN1CCN(C)CCN(Cc2ccc(N)cc2)CC1</v>
      </c>
      <c r="C261" s="7">
        <f>IFERROR(__xludf.DUMMYFUNCTION("""COMPUTED_VALUE"""),7.844713)</f>
        <v>7.844713</v>
      </c>
      <c r="D261" s="7">
        <f>IFERROR(__xludf.DUMMYFUNCTION("""COMPUTED_VALUE"""),0.447368421052631)</f>
        <v>0.4473684211</v>
      </c>
    </row>
    <row r="262">
      <c r="A262" s="10" t="s">
        <v>1701</v>
      </c>
      <c r="B262" s="7" t="str">
        <f>IFERROR(__xludf.DUMMYFUNCTION("SPLIT(A262,"" "")"),"CC(C)N1CCN(C)CCN(C(C)c2cncc(CN3CCN(C)CCN(C)CC3)c2)CC1")</f>
        <v>CC(C)N1CCN(C)CCN(C(C)c2cncc(CN3CCN(C)CCN(C)CC3)c2)CC1</v>
      </c>
      <c r="C262" s="7">
        <f>IFERROR(__xludf.DUMMYFUNCTION("""COMPUTED_VALUE"""),7.8446507)</f>
        <v>7.8446507</v>
      </c>
      <c r="D262" s="7">
        <f>IFERROR(__xludf.DUMMYFUNCTION("""COMPUTED_VALUE"""),0.38)</f>
        <v>0.38</v>
      </c>
    </row>
    <row r="263">
      <c r="A263" s="10" t="s">
        <v>1702</v>
      </c>
      <c r="B263" s="7" t="str">
        <f>IFERROR(__xludf.DUMMYFUNCTION("SPLIT(A263,"" "")"),"CN1CCN(C)CCN(Cc2ccnc(NCF)c2)CC1")</f>
        <v>CN1CCN(C)CCN(Cc2ccnc(NCF)c2)CC1</v>
      </c>
      <c r="C263" s="7">
        <f>IFERROR(__xludf.DUMMYFUNCTION("""COMPUTED_VALUE"""),7.8446426)</f>
        <v>7.8446426</v>
      </c>
      <c r="D263" s="7">
        <f>IFERROR(__xludf.DUMMYFUNCTION("""COMPUTED_VALUE"""),0.466666666666666)</f>
        <v>0.4666666667</v>
      </c>
    </row>
    <row r="264">
      <c r="A264" s="10" t="s">
        <v>1703</v>
      </c>
      <c r="B264" s="7" t="str">
        <f>IFERROR(__xludf.DUMMYFUNCTION("SPLIT(A264,"" "")"),"CC(C)N(C)C(C)(C)N1CCN(C)CCN(C)CC1")</f>
        <v>CC(C)N(C)C(C)(C)N1CCN(C)CCN(C)CC1</v>
      </c>
      <c r="C264" s="7">
        <f>IFERROR(__xludf.DUMMYFUNCTION("""COMPUTED_VALUE"""),7.8445277)</f>
        <v>7.8445277</v>
      </c>
      <c r="D264" s="7">
        <f>IFERROR(__xludf.DUMMYFUNCTION("""COMPUTED_VALUE"""),0.347826086956521)</f>
        <v>0.347826087</v>
      </c>
    </row>
    <row r="265">
      <c r="A265" s="10" t="s">
        <v>1704</v>
      </c>
      <c r="B265" s="7" t="str">
        <f>IFERROR(__xludf.DUMMYFUNCTION("SPLIT(A265,"" "")"),"CC(NC1=COCCOCCOCCOCCOCCO1)c1cccc(-c2ccc3c(c2)OCCOCCOCCOCCOCCO3)n1")</f>
        <v>CC(NC1=COCCOCCOCCOCCOCCO1)c1cccc(-c2ccc3c(c2)OCCOCCOCCOCCOCCO3)n1</v>
      </c>
      <c r="C265" s="7">
        <f>IFERROR(__xludf.DUMMYFUNCTION("""COMPUTED_VALUE"""),7.8445225)</f>
        <v>7.8445225</v>
      </c>
      <c r="D265" s="7">
        <f>IFERROR(__xludf.DUMMYFUNCTION("""COMPUTED_VALUE"""),0.295774647887323)</f>
        <v>0.2957746479</v>
      </c>
    </row>
    <row r="266">
      <c r="A266" s="10" t="s">
        <v>1705</v>
      </c>
      <c r="B266" s="7" t="str">
        <f>IFERROR(__xludf.DUMMYFUNCTION("SPLIT(A266,"" "")"),"Cc1ccc2c(c1)OCCOCCOCCOCCOC(N)C(C)O2")</f>
        <v>Cc1ccc2c(c1)OCCOCCOCCOCCOC(N)C(C)O2</v>
      </c>
      <c r="C266" s="7">
        <f>IFERROR(__xludf.DUMMYFUNCTION("""COMPUTED_VALUE"""),7.8443866)</f>
        <v>7.8443866</v>
      </c>
      <c r="D266" s="7">
        <f>IFERROR(__xludf.DUMMYFUNCTION("""COMPUTED_VALUE"""),0.269841269841269)</f>
        <v>0.2698412698</v>
      </c>
    </row>
    <row r="267">
      <c r="A267" s="10" t="s">
        <v>1706</v>
      </c>
      <c r="B267" s="7" t="str">
        <f>IFERROR(__xludf.DUMMYFUNCTION("SPLIT(A267,"" "")"),"Cc1cccc2c1OCCOCCOCCOCCOC(C)CO2")</f>
        <v>Cc1cccc2c1OCCOCCOCCOCCOC(C)CO2</v>
      </c>
      <c r="C267" s="7">
        <f>IFERROR(__xludf.DUMMYFUNCTION("""COMPUTED_VALUE"""),7.8442125)</f>
        <v>7.8442125</v>
      </c>
      <c r="D267" s="7">
        <f>IFERROR(__xludf.DUMMYFUNCTION("""COMPUTED_VALUE"""),0.21875)</f>
        <v>0.21875</v>
      </c>
    </row>
    <row r="268">
      <c r="A268" s="10" t="s">
        <v>1707</v>
      </c>
      <c r="B268" s="7" t="str">
        <f>IFERROR(__xludf.DUMMYFUNCTION("SPLIT(A268,"" "")"),"CN(C1=CCC=CN1)C1CCCC(N(Cc2cccnn2)C2CCCCC2)C1")</f>
        <v>CN(C1=CCC=CN1)C1CCCC(N(Cc2cccnn2)C2CCCCC2)C1</v>
      </c>
      <c r="C268" s="7">
        <f>IFERROR(__xludf.DUMMYFUNCTION("""COMPUTED_VALUE"""),7.8442025)</f>
        <v>7.8442025</v>
      </c>
      <c r="D268" s="7">
        <f>IFERROR(__xludf.DUMMYFUNCTION("""COMPUTED_VALUE"""),0.357142857142857)</f>
        <v>0.3571428571</v>
      </c>
    </row>
    <row r="269">
      <c r="A269" s="10" t="s">
        <v>1708</v>
      </c>
      <c r="B269" s="7" t="str">
        <f>IFERROR(__xludf.DUMMYFUNCTION("SPLIT(A269,"" "")"),"CN1CCN(C)CCN(C2CC=C(c3ccc4c(c3)OCCOCCOCCOCCOCCO4)C=N2)CC1")</f>
        <v>CN1CCN(C)CCN(C2CC=C(c3ccc4c(c3)OCCOCCOCCOCCOCCO4)C=N2)CC1</v>
      </c>
      <c r="C269" s="7">
        <f>IFERROR(__xludf.DUMMYFUNCTION("""COMPUTED_VALUE"""),7.8441806)</f>
        <v>7.8441806</v>
      </c>
      <c r="D269" s="7">
        <f>IFERROR(__xludf.DUMMYFUNCTION("""COMPUTED_VALUE"""),0.369230769230769)</f>
        <v>0.3692307692</v>
      </c>
    </row>
    <row r="270">
      <c r="A270" s="10" t="s">
        <v>1709</v>
      </c>
      <c r="B270" s="7" t="str">
        <f>IFERROR(__xludf.DUMMYFUNCTION("SPLIT(A270,"" "")"),"Cc1ccc(CN2CCN(C)CCN(C)CC2)cc1")</f>
        <v>Cc1ccc(CN2CCN(C)CCN(C)CC2)cc1</v>
      </c>
      <c r="C270" s="7">
        <f>IFERROR(__xludf.DUMMYFUNCTION("""COMPUTED_VALUE"""),7.844078)</f>
        <v>7.844078</v>
      </c>
      <c r="D270" s="7">
        <f>IFERROR(__xludf.DUMMYFUNCTION("""COMPUTED_VALUE"""),0.5)</f>
        <v>0.5</v>
      </c>
    </row>
    <row r="271">
      <c r="A271" s="10" t="s">
        <v>1710</v>
      </c>
      <c r="B271" s="7" t="str">
        <f>IFERROR(__xludf.DUMMYFUNCTION("SPLIT(A271,"" "")"),"ON(Cc1cccc(-c2ccc3c(c2)OCCOCCOCCOCCOCCO3)n1)C1COCCOCCOCCOC=COCCO1")</f>
        <v>ON(Cc1cccc(-c2ccc3c(c2)OCCOCCOCCOCCOCCO3)n1)C1COCCOCCOCCOC=COCCO1</v>
      </c>
      <c r="C271" s="7">
        <f>IFERROR(__xludf.DUMMYFUNCTION("""COMPUTED_VALUE"""),7.8439827)</f>
        <v>7.8439827</v>
      </c>
      <c r="D271" s="7">
        <f>IFERROR(__xludf.DUMMYFUNCTION("""COMPUTED_VALUE"""),0.324324324324324)</f>
        <v>0.3243243243</v>
      </c>
    </row>
    <row r="272">
      <c r="A272" s="10" t="s">
        <v>1711</v>
      </c>
      <c r="B272" s="7" t="str">
        <f>IFERROR(__xludf.DUMMYFUNCTION("SPLIT(A272,"" "")"),"CN(CNCF)C1CCC(N(C)C2CCCC(N(Cc3cccc(F)n3)Cc3cccnc3F)C2)CC1")</f>
        <v>CN(CNCF)C1CCC(N(C)C2CCCC(N(Cc3cccc(F)n3)Cc3cccnc3F)C2)CC1</v>
      </c>
      <c r="C272" s="7">
        <f>IFERROR(__xludf.DUMMYFUNCTION("""COMPUTED_VALUE"""),7.843886)</f>
        <v>7.843886</v>
      </c>
      <c r="D272" s="7">
        <f>IFERROR(__xludf.DUMMYFUNCTION("""COMPUTED_VALUE"""),0.289855072463768)</f>
        <v>0.2898550725</v>
      </c>
    </row>
    <row r="273">
      <c r="A273" s="10" t="s">
        <v>1712</v>
      </c>
      <c r="B273" s="7" t="str">
        <f>IFERROR(__xludf.DUMMYFUNCTION("SPLIT(A273,"" "")"),"Cc1ncccc1CN(C)C1CCCCC1")</f>
        <v>Cc1ncccc1CN(C)C1CCCCC1</v>
      </c>
      <c r="C273" s="7">
        <f>IFERROR(__xludf.DUMMYFUNCTION("""COMPUTED_VALUE"""),7.843867)</f>
        <v>7.843867</v>
      </c>
      <c r="D273" s="7">
        <f>IFERROR(__xludf.DUMMYFUNCTION("""COMPUTED_VALUE"""),0.431818181818181)</f>
        <v>0.4318181818</v>
      </c>
    </row>
    <row r="274">
      <c r="A274" s="10" t="s">
        <v>1713</v>
      </c>
      <c r="B274" s="7" t="str">
        <f>IFERROR(__xludf.DUMMYFUNCTION("SPLIT(A274,"" "")"),"CN1CCN(C)CCN(Cc2cnccc2F)CC1")</f>
        <v>CN1CCN(C)CCN(Cc2cnccc2F)CC1</v>
      </c>
      <c r="C274" s="7">
        <f>IFERROR(__xludf.DUMMYFUNCTION("""COMPUTED_VALUE"""),7.843835)</f>
        <v>7.843835</v>
      </c>
      <c r="D274" s="7">
        <f>IFERROR(__xludf.DUMMYFUNCTION("""COMPUTED_VALUE"""),0.452380952380952)</f>
        <v>0.4523809524</v>
      </c>
    </row>
    <row r="275">
      <c r="A275" s="10" t="s">
        <v>1714</v>
      </c>
      <c r="B275" s="7" t="str">
        <f>IFERROR(__xludf.DUMMYFUNCTION("SPLIT(A275,"" "")"),"CC(C)N(CCN1CCN(C)CCN(CC(C)(C)C)CC1)Cc1cccnc1")</f>
        <v>CC(C)N(CCN1CCN(C)CCN(CC(C)(C)C)CC1)Cc1cccnc1</v>
      </c>
      <c r="C275" s="7">
        <f>IFERROR(__xludf.DUMMYFUNCTION("""COMPUTED_VALUE"""),7.843754)</f>
        <v>7.843754</v>
      </c>
      <c r="D275" s="7">
        <f>IFERROR(__xludf.DUMMYFUNCTION("""COMPUTED_VALUE"""),0.303571428571428)</f>
        <v>0.3035714286</v>
      </c>
    </row>
    <row r="276">
      <c r="A276" s="10" t="s">
        <v>1715</v>
      </c>
      <c r="B276" s="7" t="str">
        <f>IFERROR(__xludf.DUMMYFUNCTION("SPLIT(A276,"" "")"),"CC1=CC(CN(Cc2cccnn2)C2CCCCC2)C=CN1")</f>
        <v>CC1=CC(CN(Cc2cccnn2)C2CCCCC2)C=CN1</v>
      </c>
      <c r="C276" s="7">
        <f>IFERROR(__xludf.DUMMYFUNCTION("""COMPUTED_VALUE"""),7.8437486)</f>
        <v>7.8437486</v>
      </c>
      <c r="D276" s="7">
        <f>IFERROR(__xludf.DUMMYFUNCTION("""COMPUTED_VALUE"""),0.358490566037735)</f>
        <v>0.358490566</v>
      </c>
    </row>
    <row r="277">
      <c r="A277" s="10" t="s">
        <v>1716</v>
      </c>
      <c r="B277" s="7" t="str">
        <f>IFERROR(__xludf.DUMMYFUNCTION("SPLIT(A277,"" "")"),"CN1CCN(C)CCN(Cc2cncc(F)c2)CC1")</f>
        <v>CN1CCN(C)CCN(Cc2cncc(F)c2)CC1</v>
      </c>
      <c r="C277" s="7">
        <f>IFERROR(__xludf.DUMMYFUNCTION("""COMPUTED_VALUE"""),7.843726)</f>
        <v>7.843726</v>
      </c>
      <c r="D277" s="7">
        <f>IFERROR(__xludf.DUMMYFUNCTION("""COMPUTED_VALUE"""),0.428571428571428)</f>
        <v>0.4285714286</v>
      </c>
    </row>
    <row r="278">
      <c r="A278" s="10" t="s">
        <v>1717</v>
      </c>
      <c r="B278" s="7" t="str">
        <f>IFERROR(__xludf.DUMMYFUNCTION("SPLIT(A278,"" "")"),"Cc1ccnc(CN(C)C2CCCCC2)c1")</f>
        <v>Cc1ccnc(CN(C)C2CCCCC2)c1</v>
      </c>
      <c r="C278" s="7">
        <f>IFERROR(__xludf.DUMMYFUNCTION("""COMPUTED_VALUE"""),7.8436837)</f>
        <v>7.8436837</v>
      </c>
      <c r="D278" s="7">
        <f>IFERROR(__xludf.DUMMYFUNCTION("""COMPUTED_VALUE"""),0.465116279069767)</f>
        <v>0.4651162791</v>
      </c>
    </row>
    <row r="279">
      <c r="A279" s="10" t="s">
        <v>1718</v>
      </c>
      <c r="B279" s="7" t="str">
        <f>IFERROR(__xludf.DUMMYFUNCTION("SPLIT(A279,"" "")"),"Cc1ccc2c(c1)OCCOCCOCCOCCOC(C)CO2")</f>
        <v>Cc1ccc2c(c1)OCCOCCOCCOCCOC(C)CO2</v>
      </c>
      <c r="C279" s="7">
        <f>IFERROR(__xludf.DUMMYFUNCTION("""COMPUTED_VALUE"""),7.843563)</f>
        <v>7.843563</v>
      </c>
      <c r="D279" s="7">
        <f>IFERROR(__xludf.DUMMYFUNCTION("""COMPUTED_VALUE"""),0.327586206896551)</f>
        <v>0.3275862069</v>
      </c>
    </row>
    <row r="280">
      <c r="A280" s="10" t="s">
        <v>1719</v>
      </c>
      <c r="B280" s="7" t="str">
        <f>IFERROR(__xludf.DUMMYFUNCTION("SPLIT(A280,"" "")"),"CN1CCN(C)CCN(Cc2cnccc2CF)CC1")</f>
        <v>CN1CCN(C)CCN(Cc2cnccc2CF)CC1</v>
      </c>
      <c r="C280" s="7">
        <f>IFERROR(__xludf.DUMMYFUNCTION("""COMPUTED_VALUE"""),7.8435073)</f>
        <v>7.8435073</v>
      </c>
      <c r="D280" s="7">
        <f>IFERROR(__xludf.DUMMYFUNCTION("""COMPUTED_VALUE"""),0.428571428571428)</f>
        <v>0.4285714286</v>
      </c>
    </row>
    <row r="281">
      <c r="A281" s="10" t="s">
        <v>1720</v>
      </c>
      <c r="B281" s="7" t="str">
        <f>IFERROR(__xludf.DUMMYFUNCTION("SPLIT(A281,"" "")"),"Cc1cccc2c1OCCOCCOC(C)COCCOCCO2")</f>
        <v>Cc1cccc2c1OCCOCCOC(C)COCCOCCO2</v>
      </c>
      <c r="C281" s="7">
        <f>IFERROR(__xludf.DUMMYFUNCTION("""COMPUTED_VALUE"""),7.8435006)</f>
        <v>7.8435006</v>
      </c>
      <c r="D281" s="7">
        <f>IFERROR(__xludf.DUMMYFUNCTION("""COMPUTED_VALUE"""),0.234375)</f>
        <v>0.234375</v>
      </c>
    </row>
    <row r="282">
      <c r="A282" s="10" t="s">
        <v>1721</v>
      </c>
      <c r="B282" s="7" t="str">
        <f>IFERROR(__xludf.DUMMYFUNCTION("SPLIT(A282,"" "")"),"Cc1ccc(CN2CCN(C)CCN(CN(C)C(C)C)CC2)nc1")</f>
        <v>Cc1ccc(CN2CCN(C)CCN(CN(C)C(C)C)CC2)nc1</v>
      </c>
      <c r="C282" s="7">
        <f>IFERROR(__xludf.DUMMYFUNCTION("""COMPUTED_VALUE"""),7.8434396)</f>
        <v>7.8434396</v>
      </c>
      <c r="D282" s="7">
        <f>IFERROR(__xludf.DUMMYFUNCTION("""COMPUTED_VALUE"""),0.458333333333333)</f>
        <v>0.4583333333</v>
      </c>
    </row>
    <row r="283">
      <c r="A283" s="10" t="s">
        <v>1722</v>
      </c>
      <c r="B283" s="7" t="str">
        <f>IFERROR(__xludf.DUMMYFUNCTION("SPLIT(A283,"" "")"),"CCNC1=C(C)C(C)(C)CCC1")</f>
        <v>CCNC1=C(C)C(C)(C)CCC1</v>
      </c>
      <c r="C283" s="7">
        <f>IFERROR(__xludf.DUMMYFUNCTION("""COMPUTED_VALUE"""),7.8430867)</f>
        <v>7.8430867</v>
      </c>
      <c r="D283" s="7">
        <f>IFERROR(__xludf.DUMMYFUNCTION("""COMPUTED_VALUE"""),0.152542372881355)</f>
        <v>0.1525423729</v>
      </c>
    </row>
    <row r="284">
      <c r="A284" s="10" t="s">
        <v>1723</v>
      </c>
      <c r="B284" s="7" t="str">
        <f>IFERROR(__xludf.DUMMYFUNCTION("SPLIT(A284,"" "")"),"CC(C)CN(CCN1CCN(C)CCN(CC(C)(C)C)CC1)Cc1ccccn1")</f>
        <v>CC(C)CN(CCN1CCN(C)CCN(CC(C)(C)C)CC1)Cc1ccccn1</v>
      </c>
      <c r="C284" s="7">
        <f>IFERROR(__xludf.DUMMYFUNCTION("""COMPUTED_VALUE"""),7.8430667)</f>
        <v>7.8430667</v>
      </c>
      <c r="D284" s="7">
        <f>IFERROR(__xludf.DUMMYFUNCTION("""COMPUTED_VALUE"""),0.470588235294117)</f>
        <v>0.4705882353</v>
      </c>
    </row>
    <row r="285">
      <c r="A285" s="10" t="s">
        <v>1724</v>
      </c>
      <c r="B285" s="7" t="str">
        <f>IFERROR(__xludf.DUMMYFUNCTION("SPLIT(A285,"" "")"),"CC(C)N1CCN(C)CCN(C(C)c2cc(CN3CCN(C)CCN(C)CC3)ccn2)CC1")</f>
        <v>CC(C)N1CCN(C)CCN(C(C)c2cc(CN3CCN(C)CCN(C)CC3)ccn2)CC1</v>
      </c>
      <c r="C285" s="7">
        <f>IFERROR(__xludf.DUMMYFUNCTION("""COMPUTED_VALUE"""),7.8430367)</f>
        <v>7.8430367</v>
      </c>
      <c r="D285" s="7">
        <f>IFERROR(__xludf.DUMMYFUNCTION("""COMPUTED_VALUE"""),0.458333333333333)</f>
        <v>0.4583333333</v>
      </c>
    </row>
    <row r="286">
      <c r="A286" s="10" t="s">
        <v>1725</v>
      </c>
      <c r="B286" s="7" t="str">
        <f>IFERROR(__xludf.DUMMYFUNCTION("SPLIT(A286,"" "")"),"CN1CCN(C)CCN(Cc2cncc(CF)c2)CC1")</f>
        <v>CN1CCN(C)CCN(Cc2cncc(CF)c2)CC1</v>
      </c>
      <c r="C286" s="7">
        <f>IFERROR(__xludf.DUMMYFUNCTION("""COMPUTED_VALUE"""),7.8429656)</f>
        <v>7.8429656</v>
      </c>
      <c r="D286" s="7">
        <f>IFERROR(__xludf.DUMMYFUNCTION("""COMPUTED_VALUE"""),0.404761904761904)</f>
        <v>0.4047619048</v>
      </c>
    </row>
    <row r="287">
      <c r="A287" s="10" t="s">
        <v>1726</v>
      </c>
      <c r="B287" s="7" t="str">
        <f>IFERROR(__xludf.DUMMYFUNCTION("SPLIT(A287,"" "")"),"CN1CCN(C)CCN(CCN(C)C(C)(C)c2ccccn2)CC1")</f>
        <v>CN1CCN(C)CCN(CCN(C)C(C)(C)c2ccccn2)CC1</v>
      </c>
      <c r="C287" s="7">
        <f>IFERROR(__xludf.DUMMYFUNCTION("""COMPUTED_VALUE"""),7.8429074)</f>
        <v>7.8429074</v>
      </c>
      <c r="D287" s="7">
        <f>IFERROR(__xludf.DUMMYFUNCTION("""COMPUTED_VALUE"""),0.488372093023255)</f>
        <v>0.488372093</v>
      </c>
    </row>
    <row r="288">
      <c r="A288" s="10" t="s">
        <v>1727</v>
      </c>
      <c r="B288" s="7" t="str">
        <f>IFERROR(__xludf.DUMMYFUNCTION("SPLIT(A288,"" "")"),"Cc1cccnc1CN(C)C1CCCCC1")</f>
        <v>Cc1cccnc1CN(C)C1CCCCC1</v>
      </c>
      <c r="C288" s="7">
        <f>IFERROR(__xludf.DUMMYFUNCTION("""COMPUTED_VALUE"""),7.842891)</f>
        <v>7.842891</v>
      </c>
      <c r="D288" s="7">
        <f>IFERROR(__xludf.DUMMYFUNCTION("""COMPUTED_VALUE"""),0.431818181818181)</f>
        <v>0.4318181818</v>
      </c>
    </row>
    <row r="289">
      <c r="A289" s="10" t="s">
        <v>1728</v>
      </c>
      <c r="B289" s="7" t="str">
        <f>IFERROR(__xludf.DUMMYFUNCTION("SPLIT(A289,"" "")"),"Cc1ccc2c(c1)OCCOCCOCC(C)OCCOCCO2")</f>
        <v>Cc1ccc2c(c1)OCCOCCOCC(C)OCCOCCO2</v>
      </c>
      <c r="C289" s="7">
        <f>IFERROR(__xludf.DUMMYFUNCTION("""COMPUTED_VALUE"""),7.8428617)</f>
        <v>7.8428617</v>
      </c>
      <c r="D289" s="7">
        <f>IFERROR(__xludf.DUMMYFUNCTION("""COMPUTED_VALUE"""),0.327586206896551)</f>
        <v>0.3275862069</v>
      </c>
    </row>
    <row r="290">
      <c r="A290" s="10" t="s">
        <v>1729</v>
      </c>
      <c r="B290" s="7" t="str">
        <f>IFERROR(__xludf.DUMMYFUNCTION("SPLIT(A290,"" "")"),"COC(=O)C(=O)N1CCN(C)CCN(C(=O)C(C)N2CCN(C)CCN(C(=O)C(C)N3CCN(C)CCN(C(C)C)CC3)CC2)CC1")</f>
        <v>COC(=O)C(=O)N1CCN(C)CCN(C(=O)C(C)N2CCN(C)CCN(C(=O)C(C)N3CCN(C)CCN(C(C)C)CC3)CC2)CC1</v>
      </c>
      <c r="C290" s="7">
        <f>IFERROR(__xludf.DUMMYFUNCTION("""COMPUTED_VALUE"""),7.8428183)</f>
        <v>7.8428183</v>
      </c>
      <c r="D290" s="7">
        <f>IFERROR(__xludf.DUMMYFUNCTION("""COMPUTED_VALUE"""),0.228571428571428)</f>
        <v>0.2285714286</v>
      </c>
    </row>
    <row r="291">
      <c r="A291" s="10" t="s">
        <v>1730</v>
      </c>
      <c r="B291" s="7" t="str">
        <f>IFERROR(__xludf.DUMMYFUNCTION("SPLIT(A291,"" "")"),"CNC1OCCOCCOCCOCCOCCOC1N(Cc1nc(C)c(C)c(C)c1C)C1C=CC=CN1")</f>
        <v>CNC1OCCOCCOCCOCCOCCOC1N(Cc1nc(C)c(C)c(C)c1C)C1C=CC=CN1</v>
      </c>
      <c r="C291" s="7">
        <f>IFERROR(__xludf.DUMMYFUNCTION("""COMPUTED_VALUE"""),7.842771)</f>
        <v>7.842771</v>
      </c>
      <c r="D291" s="7">
        <f>IFERROR(__xludf.DUMMYFUNCTION("""COMPUTED_VALUE"""),0.208333333333333)</f>
        <v>0.2083333333</v>
      </c>
    </row>
    <row r="292">
      <c r="A292" s="10" t="s">
        <v>1731</v>
      </c>
      <c r="B292" s="7" t="str">
        <f>IFERROR(__xludf.DUMMYFUNCTION("SPLIT(A292,"" "")"),"CC(C)N(C)C1CCCCC1N(C)CCN(C)C(C)(C)c1ccccn1")</f>
        <v>CC(C)N(C)C1CCCCC1N(C)CCN(C)C(C)(C)c1ccccn1</v>
      </c>
      <c r="C292" s="7">
        <f>IFERROR(__xludf.DUMMYFUNCTION("""COMPUTED_VALUE"""),7.8427653)</f>
        <v>7.8427653</v>
      </c>
      <c r="D292" s="7">
        <f>IFERROR(__xludf.DUMMYFUNCTION("""COMPUTED_VALUE"""),0.450980392156862)</f>
        <v>0.4509803922</v>
      </c>
    </row>
    <row r="293">
      <c r="A293" s="10" t="s">
        <v>1732</v>
      </c>
      <c r="B293" s="7" t="str">
        <f>IFERROR(__xludf.DUMMYFUNCTION("SPLIT(A293,"" "")"),"Cc1ccc2c(c1)OC(C)COCCOCCOCCOCCO2")</f>
        <v>Cc1ccc2c(c1)OC(C)COCCOCCOCCOCCO2</v>
      </c>
      <c r="C293" s="7">
        <f>IFERROR(__xludf.DUMMYFUNCTION("""COMPUTED_VALUE"""),7.8426704)</f>
        <v>7.8426704</v>
      </c>
      <c r="D293" s="7">
        <f>IFERROR(__xludf.DUMMYFUNCTION("""COMPUTED_VALUE"""),0.288135593220339)</f>
        <v>0.2881355932</v>
      </c>
    </row>
    <row r="294">
      <c r="A294" s="10" t="s">
        <v>1733</v>
      </c>
      <c r="B294" s="7" t="str">
        <f>IFERROR(__xludf.DUMMYFUNCTION("SPLIT(A294,"" "")"),"Cc1ccc2c(c1)OCCOCCOCCOCCOCC(C)O2")</f>
        <v>Cc1ccc2c(c1)OCCOCCOCCOCCOCC(C)O2</v>
      </c>
      <c r="C294" s="7">
        <f>IFERROR(__xludf.DUMMYFUNCTION("""COMPUTED_VALUE"""),7.842609)</f>
        <v>7.842609</v>
      </c>
      <c r="D294" s="7">
        <f>IFERROR(__xludf.DUMMYFUNCTION("""COMPUTED_VALUE"""),0.288135593220339)</f>
        <v>0.2881355932</v>
      </c>
    </row>
    <row r="295">
      <c r="A295" s="10" t="s">
        <v>1734</v>
      </c>
      <c r="B295" s="7" t="str">
        <f>IFERROR(__xludf.DUMMYFUNCTION("SPLIT(A295,"" "")"),"C1=CNC(CN(Cc2ccccn2)Cc2ccccn2)=C(C2CC3OCCOCCOCCOCCOCCOC32)C1")</f>
        <v>C1=CNC(CN(Cc2ccccn2)Cc2ccccn2)=C(C2CC3OCCOCCOCCOCCOCCOC32)C1</v>
      </c>
      <c r="C295" s="7">
        <f>IFERROR(__xludf.DUMMYFUNCTION("""COMPUTED_VALUE"""),7.8425546)</f>
        <v>7.8425546</v>
      </c>
      <c r="D295" s="7">
        <f>IFERROR(__xludf.DUMMYFUNCTION("""COMPUTED_VALUE"""),0.426229508196721)</f>
        <v>0.4262295082</v>
      </c>
    </row>
    <row r="296">
      <c r="A296" s="10" t="s">
        <v>1735</v>
      </c>
      <c r="B296" s="7" t="str">
        <f>IFERROR(__xludf.DUMMYFUNCTION("SPLIT(A296,"" "")"),"Cc1cccnc1CN1CCN(C)CCN(CCCN(C)C)CC1")</f>
        <v>Cc1cccnc1CN1CCN(C)CCN(CCCN(C)C)CC1</v>
      </c>
      <c r="C296" s="7">
        <f>IFERROR(__xludf.DUMMYFUNCTION("""COMPUTED_VALUE"""),7.8424134)</f>
        <v>7.8424134</v>
      </c>
      <c r="D296" s="7">
        <f>IFERROR(__xludf.DUMMYFUNCTION("""COMPUTED_VALUE"""),0.446808510638297)</f>
        <v>0.4468085106</v>
      </c>
    </row>
    <row r="297">
      <c r="A297" s="10" t="s">
        <v>1736</v>
      </c>
      <c r="B297" s="7" t="str">
        <f>IFERROR(__xludf.DUMMYFUNCTION("SPLIT(A297,"" "")"),"CC(C)N(C)C1CCC(N(C)Cc2cccnn2)CC1")</f>
        <v>CC(C)N(C)C1CCC(N(C)Cc2cccnn2)CC1</v>
      </c>
      <c r="C297" s="7">
        <f>IFERROR(__xludf.DUMMYFUNCTION("""COMPUTED_VALUE"""),7.8422956)</f>
        <v>7.8422956</v>
      </c>
      <c r="D297" s="7">
        <f>IFERROR(__xludf.DUMMYFUNCTION("""COMPUTED_VALUE"""),0.48780487804878)</f>
        <v>0.487804878</v>
      </c>
    </row>
    <row r="298">
      <c r="A298" s="10" t="s">
        <v>1737</v>
      </c>
      <c r="B298" s="7" t="str">
        <f>IFERROR(__xludf.DUMMYFUNCTION("SPLIT(A298,"" "")"),"CCc1ccc2c(c1)OCCOCCOCCOCCOCC(C)O2")</f>
        <v>CCc1ccc2c(c1)OCCOCCOCCOCCOCC(C)O2</v>
      </c>
      <c r="C298" s="7">
        <f>IFERROR(__xludf.DUMMYFUNCTION("""COMPUTED_VALUE"""),7.8420305)</f>
        <v>7.8420305</v>
      </c>
      <c r="D298" s="7">
        <f>IFERROR(__xludf.DUMMYFUNCTION("""COMPUTED_VALUE"""),0.295081967213114)</f>
        <v>0.2950819672</v>
      </c>
    </row>
    <row r="299">
      <c r="A299" s="10" t="s">
        <v>1738</v>
      </c>
      <c r="B299" s="7" t="str">
        <f>IFERROR(__xludf.DUMMYFUNCTION("SPLIT(A299,"" "")"),"CC(C)NCN1CCN(C)CCN(C(C)C)CC1")</f>
        <v>CC(C)NCN1CCN(C)CCN(C(C)C)CC1</v>
      </c>
      <c r="C299" s="7">
        <f>IFERROR(__xludf.DUMMYFUNCTION("""COMPUTED_VALUE"""),7.841938)</f>
        <v>7.841938</v>
      </c>
      <c r="D299" s="7">
        <f>IFERROR(__xludf.DUMMYFUNCTION("""COMPUTED_VALUE"""),0.325581395348837)</f>
        <v>0.3255813953</v>
      </c>
    </row>
    <row r="300">
      <c r="A300" s="10" t="s">
        <v>1739</v>
      </c>
      <c r="B300" s="7" t="str">
        <f>IFERROR(__xludf.DUMMYFUNCTION("SPLIT(A300,"" "")"),"CC(C)N1CCN(C)CCN(C2=CNC=CC2)CC1")</f>
        <v>CC(C)N1CCN(C)CCN(C2=CNC=CC2)CC1</v>
      </c>
      <c r="C300" s="7">
        <f>IFERROR(__xludf.DUMMYFUNCTION("""COMPUTED_VALUE"""),7.8418107)</f>
        <v>7.8418107</v>
      </c>
      <c r="D300" s="7">
        <f>IFERROR(__xludf.DUMMYFUNCTION("""COMPUTED_VALUE"""),0.254901960784313)</f>
        <v>0.2549019608</v>
      </c>
    </row>
    <row r="301">
      <c r="A301" s="10" t="s">
        <v>1740</v>
      </c>
      <c r="B301" s="7" t="str">
        <f>IFERROR(__xludf.DUMMYFUNCTION("SPLIT(A301,"" "")"),"CN(Cc1cccc(-c2ccc3c(c2)OCCOCCOCCOCCOCCO3)n1)C1CCCCC1N(C)Cc1cccc(C2CC3OCCOCCOCCOCCOCCOC32)n1")</f>
        <v>CN(Cc1cccc(-c2ccc3c(c2)OCCOCCOCCOCCOCCO3)n1)C1CCCCC1N(C)Cc1cccc(C2CC3OCCOCCOCCOCCOCCOC32)n1</v>
      </c>
      <c r="C301" s="7">
        <f>IFERROR(__xludf.DUMMYFUNCTION("""COMPUTED_VALUE"""),7.841709)</f>
        <v>7.841709</v>
      </c>
      <c r="D301" s="7">
        <f>IFERROR(__xludf.DUMMYFUNCTION("""COMPUTED_VALUE"""),0.393939393939393)</f>
        <v>0.3939393939</v>
      </c>
    </row>
    <row r="302">
      <c r="A302" s="10" t="s">
        <v>1741</v>
      </c>
      <c r="B302" s="7" t="str">
        <f>IFERROR(__xludf.DUMMYFUNCTION("SPLIT(A302,"" "")"),"CC(C)N(C)C1CCCC(N(C)Cc2cccnn2)C1")</f>
        <v>CC(C)N(C)C1CCCC(N(C)Cc2cccnn2)C1</v>
      </c>
      <c r="C302" s="7">
        <f>IFERROR(__xludf.DUMMYFUNCTION("""COMPUTED_VALUE"""),7.84166)</f>
        <v>7.84166</v>
      </c>
      <c r="D302" s="7">
        <f>IFERROR(__xludf.DUMMYFUNCTION("""COMPUTED_VALUE"""),0.454545454545454)</f>
        <v>0.4545454545</v>
      </c>
    </row>
    <row r="303">
      <c r="A303" s="10" t="s">
        <v>1742</v>
      </c>
      <c r="B303" s="7" t="str">
        <f>IFERROR(__xludf.DUMMYFUNCTION("SPLIT(A303,"" "")"),"CC(NC1COCCOCCOCCOCCOC=CO1)c1cc(-c2ccc3c(c2)OCCOCCOCCOCCOCCO3)ccn1")</f>
        <v>CC(NC1COCCOCCOCCOCCOC=CO1)c1cc(-c2ccc3c(c2)OCCOCCOCCOCCOCCO3)ccn1</v>
      </c>
      <c r="C303" s="7">
        <f>IFERROR(__xludf.DUMMYFUNCTION("""COMPUTED_VALUE"""),7.8416)</f>
        <v>7.8416</v>
      </c>
      <c r="D303" s="7">
        <f>IFERROR(__xludf.DUMMYFUNCTION("""COMPUTED_VALUE"""),0.333333333333333)</f>
        <v>0.3333333333</v>
      </c>
    </row>
    <row r="304">
      <c r="A304" s="10" t="s">
        <v>1743</v>
      </c>
      <c r="B304" s="7" t="str">
        <f>IFERROR(__xludf.DUMMYFUNCTION("SPLIT(A304,"" "")"),"CNCN1CCN(C)CCN(C(C)(C)c2ccccn2)CC1")</f>
        <v>CNCN1CCN(C)CCN(C(C)(C)c2ccccn2)CC1</v>
      </c>
      <c r="C304" s="7">
        <f>IFERROR(__xludf.DUMMYFUNCTION("""COMPUTED_VALUE"""),7.841527)</f>
        <v>7.841527</v>
      </c>
      <c r="D304" s="7">
        <f>IFERROR(__xludf.DUMMYFUNCTION("""COMPUTED_VALUE"""),0.456521739130434)</f>
        <v>0.4565217391</v>
      </c>
    </row>
    <row r="305">
      <c r="A305" s="10" t="s">
        <v>1744</v>
      </c>
      <c r="B305" s="7" t="str">
        <f>IFERROR(__xludf.DUMMYFUNCTION("SPLIT(A305,"" "")"),"Cc1cccnc1CN(C)C1CCCC(NCF)C1")</f>
        <v>Cc1cccnc1CN(C)C1CCCC(NCF)C1</v>
      </c>
      <c r="C305" s="7">
        <f>IFERROR(__xludf.DUMMYFUNCTION("""COMPUTED_VALUE"""),7.8415246)</f>
        <v>7.8415246</v>
      </c>
      <c r="D305" s="7">
        <f>IFERROR(__xludf.DUMMYFUNCTION("""COMPUTED_VALUE"""),0.327272727272727)</f>
        <v>0.3272727273</v>
      </c>
    </row>
    <row r="306">
      <c r="A306" s="10" t="s">
        <v>1745</v>
      </c>
      <c r="B306" s="7" t="str">
        <f>IFERROR(__xludf.DUMMYFUNCTION("SPLIT(A306,"" "")"),"CN(Cc1ccccn1)Cc1cccc(C2CC3OCCOCCOCCOCCOCCOC32)n1")</f>
        <v>CN(Cc1ccccn1)Cc1cccc(C2CC3OCCOCCOCCOCCOCCOC32)n1</v>
      </c>
      <c r="C306" s="7">
        <f>IFERROR(__xludf.DUMMYFUNCTION("""COMPUTED_VALUE"""),7.8414006)</f>
        <v>7.8414006</v>
      </c>
      <c r="D306" s="7">
        <f>IFERROR(__xludf.DUMMYFUNCTION("""COMPUTED_VALUE"""),0.5)</f>
        <v>0.5</v>
      </c>
    </row>
    <row r="307">
      <c r="A307" s="10" t="s">
        <v>1746</v>
      </c>
      <c r="B307" s="7" t="str">
        <f>IFERROR(__xludf.DUMMYFUNCTION("SPLIT(A307,"" "")"),"CN1CCN(C)CCN(Cc2ccc(CF)nc2)CC1")</f>
        <v>CN1CCN(C)CCN(Cc2ccc(CF)nc2)CC1</v>
      </c>
      <c r="C307" s="7">
        <f>IFERROR(__xludf.DUMMYFUNCTION("""COMPUTED_VALUE"""),7.8413525)</f>
        <v>7.8413525</v>
      </c>
      <c r="D307" s="7">
        <f>IFERROR(__xludf.DUMMYFUNCTION("""COMPUTED_VALUE"""),0.463414634146341)</f>
        <v>0.4634146341</v>
      </c>
    </row>
    <row r="308">
      <c r="A308" s="10" t="s">
        <v>1747</v>
      </c>
      <c r="B308" s="7" t="str">
        <f>IFERROR(__xludf.DUMMYFUNCTION("SPLIT(A308,"" "")"),"CC(C)N(C)C1CCC(N(C)C2CCC(N(C)Cc3cccc(-c4ccc5c(c4)OCCOCCOCCOCCOCCO5)n3)CC2)CC1")</f>
        <v>CC(C)N(C)C1CCC(N(C)C2CCC(N(C)Cc3cccc(-c4ccc5c(c4)OCCOCCOCCOCCOCCO5)n3)CC2)CC1</v>
      </c>
      <c r="C308" s="7">
        <f>IFERROR(__xludf.DUMMYFUNCTION("""COMPUTED_VALUE"""),7.841227)</f>
        <v>7.841227</v>
      </c>
      <c r="D308" s="7">
        <f>IFERROR(__xludf.DUMMYFUNCTION("""COMPUTED_VALUE"""),0.337837837837837)</f>
        <v>0.3378378378</v>
      </c>
    </row>
    <row r="309">
      <c r="A309" s="10" t="s">
        <v>1748</v>
      </c>
      <c r="B309" s="7" t="str">
        <f>IFERROR(__xludf.DUMMYFUNCTION("SPLIT(A309,"" "")"),"CN(Cc1cccc(-c2ccc3c(c2)OCCOCCOCCOCCOCCO3)n1)C1CCCCC1N(C)Cc1cccc(C23CCC2OCCOCCOCCOCCOCCO3)n1")</f>
        <v>CN(Cc1cccc(-c2ccc3c(c2)OCCOCCOCCOCCOCCO3)n1)C1CCCCC1N(C)Cc1cccc(C23CCC2OCCOCCOCCOCCOCCO3)n1</v>
      </c>
      <c r="C309" s="7">
        <f>IFERROR(__xludf.DUMMYFUNCTION("""COMPUTED_VALUE"""),7.8412027)</f>
        <v>7.8412027</v>
      </c>
      <c r="D309" s="7">
        <f>IFERROR(__xludf.DUMMYFUNCTION("""COMPUTED_VALUE"""),0.371428571428571)</f>
        <v>0.3714285714</v>
      </c>
    </row>
    <row r="310">
      <c r="A310" s="10" t="s">
        <v>1749</v>
      </c>
      <c r="B310" s="7" t="str">
        <f>IFERROR(__xludf.DUMMYFUNCTION("SPLIT(A310,"" "")"),"NC1=COCCOCCOCCOCCOc2ccccc2O1")</f>
        <v>NC1=COCCOCCOCCOCCOc2ccccc2O1</v>
      </c>
      <c r="C310" s="7">
        <f>IFERROR(__xludf.DUMMYFUNCTION("""COMPUTED_VALUE"""),7.8411865)</f>
        <v>7.8411865</v>
      </c>
      <c r="D310" s="7">
        <f>IFERROR(__xludf.DUMMYFUNCTION("""COMPUTED_VALUE"""),0.23728813559322)</f>
        <v>0.2372881356</v>
      </c>
    </row>
    <row r="311">
      <c r="A311" s="10" t="s">
        <v>1750</v>
      </c>
      <c r="B311" s="7" t="str">
        <f>IFERROR(__xludf.DUMMYFUNCTION("SPLIT(A311,"" "")"),"CN(Cc1cccnn1)C1CCCCC1N(C)C1C=CC=CN1")</f>
        <v>CN(Cc1cccnn1)C1CCCCC1N(C)C1C=CC=CN1</v>
      </c>
      <c r="C311" s="7">
        <f>IFERROR(__xludf.DUMMYFUNCTION("""COMPUTED_VALUE"""),7.841124)</f>
        <v>7.841124</v>
      </c>
      <c r="D311" s="7">
        <f>IFERROR(__xludf.DUMMYFUNCTION("""COMPUTED_VALUE"""),0.461538461538461)</f>
        <v>0.4615384615</v>
      </c>
    </row>
    <row r="312">
      <c r="A312" s="10" t="s">
        <v>1751</v>
      </c>
      <c r="B312" s="7" t="str">
        <f>IFERROR(__xludf.DUMMYFUNCTION("SPLIT(A312,"" "")"),"CC1C=CCC(C)C1N(C)C1CCCC(N(C)Cc2ccccn2)C1")</f>
        <v>CC1C=CCC(C)C1N(C)C1CCCC(N(C)Cc2ccccn2)C1</v>
      </c>
      <c r="C312" s="7">
        <f>IFERROR(__xludf.DUMMYFUNCTION("""COMPUTED_VALUE"""),7.8410783)</f>
        <v>7.8410783</v>
      </c>
      <c r="D312" s="7">
        <f>IFERROR(__xludf.DUMMYFUNCTION("""COMPUTED_VALUE"""),0.48076923076923)</f>
        <v>0.4807692308</v>
      </c>
    </row>
    <row r="313">
      <c r="A313" s="10" t="s">
        <v>1752</v>
      </c>
      <c r="B313" s="7" t="str">
        <f>IFERROR(__xludf.DUMMYFUNCTION("SPLIT(A313,"" "")"),"CC(N)C(C)N(C)C1CCCC(N(Cc2ccccn2)C(C)C)C1")</f>
        <v>CC(N)C(C)N(C)C1CCCC(N(Cc2ccccn2)C(C)C)C1</v>
      </c>
      <c r="C313" s="7">
        <f>IFERROR(__xludf.DUMMYFUNCTION("""COMPUTED_VALUE"""),7.8410645)</f>
        <v>7.8410645</v>
      </c>
      <c r="D313" s="7">
        <f>IFERROR(__xludf.DUMMYFUNCTION("""COMPUTED_VALUE"""),0.450980392156862)</f>
        <v>0.4509803922</v>
      </c>
    </row>
    <row r="314">
      <c r="A314" s="10" t="s">
        <v>1753</v>
      </c>
      <c r="B314" s="7" t="str">
        <f>IFERROR(__xludf.DUMMYFUNCTION("SPLIT(A314,"" "")"),"CN1CCN(C)CCN(C2(C)CNC(C)(C)CN(C)CCN2)CC1")</f>
        <v>CN1CCN(C)CCN(C2(C)CNC(C)(C)CN(C)CCN2)CC1</v>
      </c>
      <c r="C314" s="7">
        <f>IFERROR(__xludf.DUMMYFUNCTION("""COMPUTED_VALUE"""),7.8409615)</f>
        <v>7.8409615</v>
      </c>
      <c r="D314" s="7">
        <f>IFERROR(__xludf.DUMMYFUNCTION("""COMPUTED_VALUE"""),0.285714285714285)</f>
        <v>0.2857142857</v>
      </c>
    </row>
    <row r="315">
      <c r="A315" s="10" t="s">
        <v>1754</v>
      </c>
      <c r="B315" s="7" t="str">
        <f>IFERROR(__xludf.DUMMYFUNCTION("SPLIT(A315,"" "")"),"C#CCN(C)CCN(C)Cc1cccnc1")</f>
        <v>C#CCN(C)CCN(C)Cc1cccnc1</v>
      </c>
      <c r="C315" s="7">
        <f>IFERROR(__xludf.DUMMYFUNCTION("""COMPUTED_VALUE"""),7.8408747)</f>
        <v>7.8408747</v>
      </c>
      <c r="D315" s="7">
        <f>IFERROR(__xludf.DUMMYFUNCTION("""COMPUTED_VALUE"""),0.38095238095238)</f>
        <v>0.380952381</v>
      </c>
    </row>
    <row r="316">
      <c r="A316" s="10" t="s">
        <v>1755</v>
      </c>
      <c r="B316" s="7" t="str">
        <f>IFERROR(__xludf.DUMMYFUNCTION("SPLIT(A316,"" "")"),"CC1=CCCC(C(C)C)C1C")</f>
        <v>CC1=CCCC(C(C)C)C1C</v>
      </c>
      <c r="C316" s="7">
        <f>IFERROR(__xludf.DUMMYFUNCTION("""COMPUTED_VALUE"""),7.8408513)</f>
        <v>7.8408513</v>
      </c>
      <c r="D316" s="7">
        <f>IFERROR(__xludf.DUMMYFUNCTION("""COMPUTED_VALUE"""),0.17391304347826)</f>
        <v>0.1739130435</v>
      </c>
    </row>
    <row r="317">
      <c r="A317" s="10" t="s">
        <v>1756</v>
      </c>
      <c r="B317" s="7" t="str">
        <f>IFERROR(__xludf.DUMMYFUNCTION("SPLIT(A317,"" "")"),"CN1CCN(C)CCN(Cc2ccc(F)nc2)CC1")</f>
        <v>CN1CCN(C)CCN(Cc2ccc(F)nc2)CC1</v>
      </c>
      <c r="C317" s="7">
        <f>IFERROR(__xludf.DUMMYFUNCTION("""COMPUTED_VALUE"""),7.840838)</f>
        <v>7.840838</v>
      </c>
      <c r="D317" s="7">
        <f>IFERROR(__xludf.DUMMYFUNCTION("""COMPUTED_VALUE"""),0.5)</f>
        <v>0.5</v>
      </c>
    </row>
    <row r="318">
      <c r="A318" s="10" t="s">
        <v>1757</v>
      </c>
      <c r="B318" s="7" t="str">
        <f>IFERROR(__xludf.DUMMYFUNCTION("SPLIT(A318,"" "")"),"CN(Cc1cccc(F)n1)C1=COCCOCCOCCOCCOCC(N)O1")</f>
        <v>CN(Cc1cccc(F)n1)C1=COCCOCCOCCOCCOCC(N)O1</v>
      </c>
      <c r="C318" s="7">
        <f>IFERROR(__xludf.DUMMYFUNCTION("""COMPUTED_VALUE"""),7.840834)</f>
        <v>7.840834</v>
      </c>
      <c r="D318" s="7">
        <f>IFERROR(__xludf.DUMMYFUNCTION("""COMPUTED_VALUE"""),0.3125)</f>
        <v>0.3125</v>
      </c>
    </row>
    <row r="319">
      <c r="A319" s="10" t="s">
        <v>1758</v>
      </c>
      <c r="B319" s="7" t="str">
        <f>IFERROR(__xludf.DUMMYFUNCTION("SPLIT(A319,"" "")"),"Cc1ccncc1CN(C)CCCN1CCN(C)CCN(C)CC1")</f>
        <v>Cc1ccncc1CN(C)CCCN1CCN(C)CCN(C)CC1</v>
      </c>
      <c r="C319" s="7">
        <f>IFERROR(__xludf.DUMMYFUNCTION("""COMPUTED_VALUE"""),7.840827)</f>
        <v>7.840827</v>
      </c>
      <c r="D319" s="7">
        <f>IFERROR(__xludf.DUMMYFUNCTION("""COMPUTED_VALUE"""),0.333333333333333)</f>
        <v>0.3333333333</v>
      </c>
    </row>
    <row r="320">
      <c r="A320" s="10" t="s">
        <v>1759</v>
      </c>
      <c r="B320" s="7" t="str">
        <f>IFERROR(__xludf.DUMMYFUNCTION("SPLIT(A320,"" "")"),"CNc1ccc2c(c1)OCCOCCOCCOCCOCC(F)O2")</f>
        <v>CNc1ccc2c(c1)OCCOCCOCCOCCOCC(F)O2</v>
      </c>
      <c r="C320" s="7">
        <f>IFERROR(__xludf.DUMMYFUNCTION("""COMPUTED_VALUE"""),7.840779)</f>
        <v>7.840779</v>
      </c>
      <c r="D320" s="7">
        <f>IFERROR(__xludf.DUMMYFUNCTION("""COMPUTED_VALUE"""),0.269841269841269)</f>
        <v>0.2698412698</v>
      </c>
    </row>
    <row r="321">
      <c r="A321" s="10" t="s">
        <v>1760</v>
      </c>
      <c r="B321" s="7" t="str">
        <f>IFERROR(__xludf.DUMMYFUNCTION("SPLIT(A321,"" "")"),"C#CCN(C)CCN(C)CC(C)(C)C")</f>
        <v>C#CCN(C)CCN(C)CC(C)(C)C</v>
      </c>
      <c r="C321" s="7">
        <f>IFERROR(__xludf.DUMMYFUNCTION("""COMPUTED_VALUE"""),7.840727)</f>
        <v>7.840727</v>
      </c>
      <c r="D321" s="7">
        <f>IFERROR(__xludf.DUMMYFUNCTION("""COMPUTED_VALUE"""),0.214285714285714)</f>
        <v>0.2142857143</v>
      </c>
    </row>
    <row r="322">
      <c r="A322" s="10" t="s">
        <v>1761</v>
      </c>
      <c r="B322" s="7" t="str">
        <f>IFERROR(__xludf.DUMMYFUNCTION("SPLIT(A322,"" "")"),"CC(C)N1CCN(C(C)C)CCN(C(C)C)CC1")</f>
        <v>CC(C)N1CCN(C(C)C)CCN(C(C)C)CC1</v>
      </c>
      <c r="C322" s="7">
        <f>IFERROR(__xludf.DUMMYFUNCTION("""COMPUTED_VALUE"""),7.840644)</f>
        <v>7.840644</v>
      </c>
      <c r="D322" s="7">
        <f>IFERROR(__xludf.DUMMYFUNCTION("""COMPUTED_VALUE"""),0.354838709677419)</f>
        <v>0.3548387097</v>
      </c>
    </row>
    <row r="323">
      <c r="A323" s="10" t="s">
        <v>1762</v>
      </c>
      <c r="B323" s="7" t="str">
        <f>IFERROR(__xludf.DUMMYFUNCTION("SPLIT(A323,"" "")"),"CN1CCNC2(CCCC(C)(C)C2)CN(C)C2(CCCC(c3ccccn3)(C3(C)CCC3)C2)C1")</f>
        <v>CN1CCNC2(CCCC(C)(C)C2)CN(C)C2(CCCC(c3ccccn3)(C3(C)CCC3)C2)C1</v>
      </c>
      <c r="C323" s="7">
        <f>IFERROR(__xludf.DUMMYFUNCTION("""COMPUTED_VALUE"""),7.840639)</f>
        <v>7.840639</v>
      </c>
      <c r="D323" s="7">
        <f>IFERROR(__xludf.DUMMYFUNCTION("""COMPUTED_VALUE"""),0.242424242424242)</f>
        <v>0.2424242424</v>
      </c>
    </row>
    <row r="324">
      <c r="A324" s="10" t="s">
        <v>1763</v>
      </c>
      <c r="B324" s="7" t="str">
        <f>IFERROR(__xludf.DUMMYFUNCTION("SPLIT(A324,"" "")"),"CCOC(=O)C(=O)N1CCN(C)CCN(C(=O)C(C)N2CCN(C)CCN(C(C)C)CC2)CC1")</f>
        <v>CCOC(=O)C(=O)N1CCN(C)CCN(C(=O)C(C)N2CCN(C)CCN(C(C)C)CC2)CC1</v>
      </c>
      <c r="C324" s="7">
        <f>IFERROR(__xludf.DUMMYFUNCTION("""COMPUTED_VALUE"""),7.840596)</f>
        <v>7.840596</v>
      </c>
      <c r="D324" s="7">
        <f>IFERROR(__xludf.DUMMYFUNCTION("""COMPUTED_VALUE"""),0.278688524590163)</f>
        <v>0.2786885246</v>
      </c>
    </row>
    <row r="325">
      <c r="A325" s="10" t="s">
        <v>1764</v>
      </c>
      <c r="B325" s="7" t="str">
        <f>IFERROR(__xludf.DUMMYFUNCTION("SPLIT(A325,"" "")"),"Cc1ccc(CN(C)C2CCCC(N(C)Cc3ccccn3)C2)c2c1OCCOCCOCCOCCOCCO2")</f>
        <v>Cc1ccc(CN(C)C2CCCC(N(C)Cc3ccccn3)C2)c2c1OCCOCCOCCOCCOCCO2</v>
      </c>
      <c r="C325" s="7">
        <f>IFERROR(__xludf.DUMMYFUNCTION("""COMPUTED_VALUE"""),7.8405924)</f>
        <v>7.8405924</v>
      </c>
      <c r="D325" s="7">
        <f>IFERROR(__xludf.DUMMYFUNCTION("""COMPUTED_VALUE"""),0.454545454545454)</f>
        <v>0.4545454545</v>
      </c>
    </row>
    <row r="326">
      <c r="A326" s="10" t="s">
        <v>1765</v>
      </c>
      <c r="B326" s="7" t="str">
        <f>IFERROR(__xludf.DUMMYFUNCTION("SPLIT(A326,"" "")"),"CN(Cc1cccc(C2CCC2(C)C)n1)C1CCCCC1")</f>
        <v>CN(Cc1cccc(C2CCC2(C)C)n1)C1CCCCC1</v>
      </c>
      <c r="C326" s="7">
        <f>IFERROR(__xludf.DUMMYFUNCTION("""COMPUTED_VALUE"""),7.8403134)</f>
        <v>7.8403134</v>
      </c>
      <c r="D326" s="7">
        <f>IFERROR(__xludf.DUMMYFUNCTION("""COMPUTED_VALUE"""),0.448979591836734)</f>
        <v>0.4489795918</v>
      </c>
    </row>
    <row r="327">
      <c r="A327" s="10" t="s">
        <v>1766</v>
      </c>
      <c r="B327" s="7" t="str">
        <f>IFERROR(__xludf.DUMMYFUNCTION("SPLIT(A327,"" "")"),"CN(CCN(C)C1C=CC=CN1)C1CCC(N(C)Cc2ccccn2)CC1")</f>
        <v>CN(CCN(C)C1C=CC=CN1)C1CCC(N(C)Cc2ccccn2)CC1</v>
      </c>
      <c r="C327" s="7">
        <f>IFERROR(__xludf.DUMMYFUNCTION("""COMPUTED_VALUE"""),7.840259)</f>
        <v>7.840259</v>
      </c>
      <c r="D327" s="7">
        <f>IFERROR(__xludf.DUMMYFUNCTION("""COMPUTED_VALUE"""),0.490566037735849)</f>
        <v>0.4905660377</v>
      </c>
    </row>
    <row r="328">
      <c r="A328" s="10" t="s">
        <v>1767</v>
      </c>
      <c r="B328" s="7" t="str">
        <f>IFERROR(__xludf.DUMMYFUNCTION("SPLIT(A328,"" "")"),"CNc1ccc2c(c1)OC(c1ccc3c(c1)OCCOCCOCCOCCOCCO3)COCCOCCOCCOCCO2")</f>
        <v>CNc1ccc2c(c1)OC(c1ccc3c(c1)OCCOCCOCCOCCOCCO3)COCCOCCOCCOCCO2</v>
      </c>
      <c r="C328" s="7">
        <f>IFERROR(__xludf.DUMMYFUNCTION("""COMPUTED_VALUE"""),7.840056)</f>
        <v>7.840056</v>
      </c>
      <c r="D328" s="7">
        <f>IFERROR(__xludf.DUMMYFUNCTION("""COMPUTED_VALUE"""),0.276923076923076)</f>
        <v>0.2769230769</v>
      </c>
    </row>
    <row r="329">
      <c r="A329" s="10" t="s">
        <v>1768</v>
      </c>
      <c r="B329" s="7" t="str">
        <f>IFERROR(__xludf.DUMMYFUNCTION("SPLIT(A329,"" "")"),"CCN(C)CC1CCCN1C(C)C")</f>
        <v>CCN(C)CC1CCCN1C(C)C</v>
      </c>
      <c r="C329" s="7">
        <f>IFERROR(__xludf.DUMMYFUNCTION("""COMPUTED_VALUE"""),7.840005)</f>
        <v>7.840005</v>
      </c>
      <c r="D329" s="7">
        <f>IFERROR(__xludf.DUMMYFUNCTION("""COMPUTED_VALUE"""),0.307692307692307)</f>
        <v>0.3076923077</v>
      </c>
    </row>
    <row r="330">
      <c r="A330" s="10" t="s">
        <v>1769</v>
      </c>
      <c r="B330" s="7" t="str">
        <f>IFERROR(__xludf.DUMMYFUNCTION("SPLIT(A330,"" "")"),"CN(C)C1CCCC(N(C)CC(C)(C)C)C1")</f>
        <v>CN(C)C1CCCC(N(C)CC(C)(C)C)C1</v>
      </c>
      <c r="C330" s="7">
        <f>IFERROR(__xludf.DUMMYFUNCTION("""COMPUTED_VALUE"""),7.839916)</f>
        <v>7.839916</v>
      </c>
      <c r="D330" s="7">
        <f>IFERROR(__xludf.DUMMYFUNCTION("""COMPUTED_VALUE"""),0.2)</f>
        <v>0.2</v>
      </c>
    </row>
    <row r="331">
      <c r="A331" s="10" t="s">
        <v>1770</v>
      </c>
      <c r="B331" s="7" t="str">
        <f>IFERROR(__xludf.DUMMYFUNCTION("SPLIT(A331,"" "")"),"Cc1cccnc1CN(C)C1CCCC(N(C)C(C)(C)C(C)N)C1")</f>
        <v>Cc1cccnc1CN(C)C1CCCC(N(C)C(C)(C)C(C)N)C1</v>
      </c>
      <c r="C331" s="7">
        <f>IFERROR(__xludf.DUMMYFUNCTION("""COMPUTED_VALUE"""),7.839898)</f>
        <v>7.839898</v>
      </c>
      <c r="D331" s="7">
        <f>IFERROR(__xludf.DUMMYFUNCTION("""COMPUTED_VALUE"""),0.310344827586206)</f>
        <v>0.3103448276</v>
      </c>
    </row>
    <row r="332">
      <c r="A332" s="10" t="s">
        <v>1771</v>
      </c>
      <c r="B332" s="7" t="str">
        <f>IFERROR(__xludf.DUMMYFUNCTION("SPLIT(A332,"" "")"),"CC1=CC(C)C(C)C(C)(C)C1N(C)C1CCCC(N(C)Cc2ccccn2)C1")</f>
        <v>CC1=CC(C)C(C)C(C)(C)C1N(C)C1CCCC(N(C)Cc2ccccn2)C1</v>
      </c>
      <c r="C332" s="7">
        <f>IFERROR(__xludf.DUMMYFUNCTION("""COMPUTED_VALUE"""),7.83984)</f>
        <v>7.83984</v>
      </c>
      <c r="D332" s="7">
        <f>IFERROR(__xludf.DUMMYFUNCTION("""COMPUTED_VALUE"""),0.454545454545454)</f>
        <v>0.4545454545</v>
      </c>
    </row>
    <row r="333">
      <c r="A333" s="10" t="s">
        <v>1772</v>
      </c>
      <c r="B333" s="7" t="str">
        <f>IFERROR(__xludf.DUMMYFUNCTION("SPLIT(A333,"" "")"),"CC(C)N(C)C1CCCCC1N(C)Cc1cccc(CN(C)C2CCCCC2N(C)C2CCCCC2N(C)Cc2cccc(-c3cccc4c3OCCOCCOCCOCCOCCO4)n2)n1")</f>
        <v>CC(C)N(C)C1CCCCC1N(C)Cc1cccc(CN(C)C2CCCCC2N(C)C2CCCCC2N(C)Cc2cccc(-c3cccc4c3OCCOCCOCCOCCOCCO4)n2)n1</v>
      </c>
      <c r="C333" s="7">
        <f>IFERROR(__xludf.DUMMYFUNCTION("""COMPUTED_VALUE"""),7.839833)</f>
        <v>7.839833</v>
      </c>
      <c r="D333" s="7">
        <f>IFERROR(__xludf.DUMMYFUNCTION("""COMPUTED_VALUE"""),0.412698412698412)</f>
        <v>0.4126984127</v>
      </c>
    </row>
    <row r="334">
      <c r="A334" s="10" t="s">
        <v>1773</v>
      </c>
      <c r="B334" s="7" t="str">
        <f>IFERROR(__xludf.DUMMYFUNCTION("SPLIT(A334,"" "")"),"Cc1ccncc1CN1CCN(C)CCN(C(C)C)CC1")</f>
        <v>Cc1ccncc1CN1CCN(C)CCN(C(C)C)CC1</v>
      </c>
      <c r="C334" s="7">
        <f>IFERROR(__xludf.DUMMYFUNCTION("""COMPUTED_VALUE"""),7.8398185)</f>
        <v>7.8398185</v>
      </c>
      <c r="D334" s="7">
        <f>IFERROR(__xludf.DUMMYFUNCTION("""COMPUTED_VALUE"""),0.446808510638297)</f>
        <v>0.4468085106</v>
      </c>
    </row>
    <row r="335">
      <c r="A335" s="10" t="s">
        <v>1774</v>
      </c>
      <c r="B335" s="7" t="str">
        <f>IFERROR(__xludf.DUMMYFUNCTION("SPLIT(A335,"" "")"),"CCN(Cc1ccccn1)Cc1cccc2c1OCCOCCOCCOCCOCCO2")</f>
        <v>CCN(Cc1ccccn1)Cc1cccc2c1OCCOCCOCCOCCOCCO2</v>
      </c>
      <c r="C335" s="7">
        <f>IFERROR(__xludf.DUMMYFUNCTION("""COMPUTED_VALUE"""),7.8397226)</f>
        <v>7.8397226</v>
      </c>
      <c r="D335" s="7">
        <f>IFERROR(__xludf.DUMMYFUNCTION("""COMPUTED_VALUE"""),0.422222222222222)</f>
        <v>0.4222222222</v>
      </c>
    </row>
    <row r="336">
      <c r="A336" s="10" t="s">
        <v>1775</v>
      </c>
      <c r="B336" s="7" t="str">
        <f>IFERROR(__xludf.DUMMYFUNCTION("SPLIT(A336,"" "")"),"CCNC1CCCCC1N(C)Cc1cc(C)ccn1")</f>
        <v>CCNC1CCCCC1N(C)Cc1cc(C)ccn1</v>
      </c>
      <c r="C336" s="7">
        <f>IFERROR(__xludf.DUMMYFUNCTION("""COMPUTED_VALUE"""),7.8396974)</f>
        <v>7.8396974</v>
      </c>
      <c r="D336" s="7">
        <f>IFERROR(__xludf.DUMMYFUNCTION("""COMPUTED_VALUE"""),0.479166666666666)</f>
        <v>0.4791666667</v>
      </c>
    </row>
    <row r="337">
      <c r="A337" s="10" t="s">
        <v>1776</v>
      </c>
      <c r="B337" s="7" t="str">
        <f>IFERROR(__xludf.DUMMYFUNCTION("SPLIT(A337,"" "")"),"CC(C)C(C)c1ccccc1")</f>
        <v>CC(C)C(C)c1ccccc1</v>
      </c>
      <c r="C337" s="7">
        <f>IFERROR(__xludf.DUMMYFUNCTION("""COMPUTED_VALUE"""),7.839639)</f>
        <v>7.839639</v>
      </c>
      <c r="D337" s="7">
        <f>IFERROR(__xludf.DUMMYFUNCTION("""COMPUTED_VALUE"""),0.35)</f>
        <v>0.35</v>
      </c>
    </row>
    <row r="338">
      <c r="A338" s="10" t="s">
        <v>1777</v>
      </c>
      <c r="B338" s="7" t="str">
        <f>IFERROR(__xludf.DUMMYFUNCTION("SPLIT(A338,"" "")"),"CC1=CC(C)C(C)CC1")</f>
        <v>CC1=CC(C)C(C)CC1</v>
      </c>
      <c r="C338" s="7">
        <f>IFERROR(__xludf.DUMMYFUNCTION("""COMPUTED_VALUE"""),7.839547)</f>
        <v>7.839547</v>
      </c>
      <c r="D338" s="7">
        <f>IFERROR(__xludf.DUMMYFUNCTION("""COMPUTED_VALUE"""),0.19047619047619)</f>
        <v>0.1904761905</v>
      </c>
    </row>
    <row r="339">
      <c r="A339" s="10" t="s">
        <v>1778</v>
      </c>
      <c r="B339" s="7" t="str">
        <f>IFERROR(__xludf.DUMMYFUNCTION("SPLIT(A339,"" "")"),"CC(c1ccncc1C1CCC1(C)C)N1CCN(C)CCN(C(C)C(C)(N)C(C)C)CC1")</f>
        <v>CC(c1ccncc1C1CCC1(C)C)N1CCN(C)CCN(C(C)C(C)(N)C(C)C)CC1</v>
      </c>
      <c r="C339" s="7">
        <f>IFERROR(__xludf.DUMMYFUNCTION("""COMPUTED_VALUE"""),7.839537)</f>
        <v>7.839537</v>
      </c>
      <c r="D339" s="7">
        <f>IFERROR(__xludf.DUMMYFUNCTION("""COMPUTED_VALUE"""),0.205128205128205)</f>
        <v>0.2051282051</v>
      </c>
    </row>
    <row r="340">
      <c r="A340" s="10" t="s">
        <v>1779</v>
      </c>
      <c r="B340" s="7" t="str">
        <f>IFERROR(__xludf.DUMMYFUNCTION("SPLIT(A340,"" "")"),"CC1=CCC(C)C(N(C)C2CCCC(N(C)Cc3cccnn3)C2)C1")</f>
        <v>CC1=CCC(C)C(N(C)C2CCCC(N(C)Cc3cccnn3)C2)C1</v>
      </c>
      <c r="C340" s="7">
        <f>IFERROR(__xludf.DUMMYFUNCTION("""COMPUTED_VALUE"""),7.839501)</f>
        <v>7.839501</v>
      </c>
      <c r="D340" s="7">
        <f>IFERROR(__xludf.DUMMYFUNCTION("""COMPUTED_VALUE"""),0.37037037037037)</f>
        <v>0.3703703704</v>
      </c>
    </row>
    <row r="341">
      <c r="A341" s="10" t="s">
        <v>1780</v>
      </c>
      <c r="B341" s="7" t="str">
        <f>IFERROR(__xludf.DUMMYFUNCTION("SPLIT(A341,"" "")"),"Cc1ccncc1CN1CCN(C)CCN(C)CC1")</f>
        <v>Cc1ccncc1CN1CCN(C)CCN(C)CC1</v>
      </c>
      <c r="C341" s="7">
        <f>IFERROR(__xludf.DUMMYFUNCTION("""COMPUTED_VALUE"""),7.8394384)</f>
        <v>7.8394384</v>
      </c>
      <c r="D341" s="7">
        <f>IFERROR(__xludf.DUMMYFUNCTION("""COMPUTED_VALUE"""),0.463414634146341)</f>
        <v>0.4634146341</v>
      </c>
    </row>
    <row r="342">
      <c r="A342" s="10" t="s">
        <v>1781</v>
      </c>
      <c r="B342" s="7" t="str">
        <f>IFERROR(__xludf.DUMMYFUNCTION("SPLIT(A342,"" "")"),"CN1CCN(C)CCN(C2CCCC(N(C)c3ccc(CF)cn3)C2)CC1")</f>
        <v>CN1CCN(C)CCN(C2CCCC(N(C)c3ccc(CF)cn3)C2)CC1</v>
      </c>
      <c r="C342" s="7">
        <f>IFERROR(__xludf.DUMMYFUNCTION("""COMPUTED_VALUE"""),7.839331)</f>
        <v>7.839331</v>
      </c>
      <c r="D342" s="7">
        <f>IFERROR(__xludf.DUMMYFUNCTION("""COMPUTED_VALUE"""),0.26865671641791)</f>
        <v>0.2686567164</v>
      </c>
    </row>
    <row r="343">
      <c r="A343" s="10" t="s">
        <v>1782</v>
      </c>
      <c r="B343" s="7" t="str">
        <f>IFERROR(__xludf.DUMMYFUNCTION("SPLIT(A343,"" "")"),"Cc1cncc(CN(C)CCCN2CCN(C)CCN(C)CC2)c1")</f>
        <v>Cc1cncc(CN(C)CCCN2CCN(C)CCN(C)CC2)c1</v>
      </c>
      <c r="C343" s="7">
        <f>IFERROR(__xludf.DUMMYFUNCTION("""COMPUTED_VALUE"""),7.839288)</f>
        <v>7.839288</v>
      </c>
      <c r="D343" s="7">
        <f>IFERROR(__xludf.DUMMYFUNCTION("""COMPUTED_VALUE"""),0.346938775510204)</f>
        <v>0.3469387755</v>
      </c>
    </row>
    <row r="344">
      <c r="A344" s="10" t="s">
        <v>1783</v>
      </c>
      <c r="B344" s="7" t="str">
        <f>IFERROR(__xludf.DUMMYFUNCTION("SPLIT(A344,"" "")"),"CN(Cc1cccc(-c2ccc3c(c2)OCCOCCOCCOCCOCCO3)n1)C1COCCOCCOCCOC(Cl)=COCCO1")</f>
        <v>CN(Cc1cccc(-c2ccc3c(c2)OCCOCCOCCOCCOCCO3)n1)C1COCCOCCOCCOC(Cl)=COCCO1</v>
      </c>
      <c r="C344" s="7">
        <f>IFERROR(__xludf.DUMMYFUNCTION("""COMPUTED_VALUE"""),7.839258)</f>
        <v>7.839258</v>
      </c>
      <c r="D344" s="7">
        <f>IFERROR(__xludf.DUMMYFUNCTION("""COMPUTED_VALUE"""),0.30379746835443)</f>
        <v>0.3037974684</v>
      </c>
    </row>
    <row r="345">
      <c r="A345" s="10" t="s">
        <v>1784</v>
      </c>
      <c r="B345" s="7" t="str">
        <f>IFERROR(__xludf.DUMMYFUNCTION("SPLIT(A345,"" "")"),"CCNC1CCCCC1N(C)Cc1ncccc1C")</f>
        <v>CCNC1CCCCC1N(C)Cc1ncccc1C</v>
      </c>
      <c r="C345" s="7">
        <f>IFERROR(__xludf.DUMMYFUNCTION("""COMPUTED_VALUE"""),7.8391695)</f>
        <v>7.8391695</v>
      </c>
      <c r="D345" s="7">
        <f>IFERROR(__xludf.DUMMYFUNCTION("""COMPUTED_VALUE"""),0.448979591836734)</f>
        <v>0.4489795918</v>
      </c>
    </row>
    <row r="346">
      <c r="A346" s="10" t="s">
        <v>1785</v>
      </c>
      <c r="B346" s="7" t="str">
        <f>IFERROR(__xludf.DUMMYFUNCTION("SPLIT(A346,"" "")"),"CN(CCN(C)C1CCCC(N(C)Cc2ccccn2)C1)c1cccc2c1OCCOCCOCCOCCOCCO2")</f>
        <v>CN(CCN(C)C1CCCC(N(C)Cc2ccccn2)C1)c1cccc2c1OCCOCCOCCOCCOCCO2</v>
      </c>
      <c r="C346" s="7">
        <f>IFERROR(__xludf.DUMMYFUNCTION("""COMPUTED_VALUE"""),7.8391657)</f>
        <v>7.8391657</v>
      </c>
      <c r="D346" s="7">
        <f>IFERROR(__xludf.DUMMYFUNCTION("""COMPUTED_VALUE"""),0.423728813559322)</f>
        <v>0.4237288136</v>
      </c>
    </row>
    <row r="347">
      <c r="A347" s="10" t="s">
        <v>1786</v>
      </c>
      <c r="B347" s="7" t="str">
        <f>IFERROR(__xludf.DUMMYFUNCTION("SPLIT(A347,"" "")"),"CC(C)N(C)C1CCCCC1N(C)Cc1ccncc1C(C)(C)N1CCN(C)CCN(C)CC1")</f>
        <v>CC(C)N(C)C1CCCCC1N(C)Cc1ccncc1C(C)(C)N1CCN(C)CCN(C)CC1</v>
      </c>
      <c r="C347" s="7">
        <f>IFERROR(__xludf.DUMMYFUNCTION("""COMPUTED_VALUE"""),7.8391137)</f>
        <v>7.8391137</v>
      </c>
      <c r="D347" s="7">
        <f>IFERROR(__xludf.DUMMYFUNCTION("""COMPUTED_VALUE"""),0.333333333333333)</f>
        <v>0.3333333333</v>
      </c>
    </row>
    <row r="348">
      <c r="A348" s="10" t="s">
        <v>1787</v>
      </c>
      <c r="B348" s="7" t="str">
        <f>IFERROR(__xludf.DUMMYFUNCTION("SPLIT(A348,"" "")"),"CC(C)C(C)c1ccnc(CN2CCCC2)c1")</f>
        <v>CC(C)C(C)c1ccnc(CN2CCCC2)c1</v>
      </c>
      <c r="C348" s="7">
        <f>IFERROR(__xludf.DUMMYFUNCTION("""COMPUTED_VALUE"""),7.838952)</f>
        <v>7.838952</v>
      </c>
      <c r="D348" s="7">
        <f>IFERROR(__xludf.DUMMYFUNCTION("""COMPUTED_VALUE"""),0.465116279069767)</f>
        <v>0.4651162791</v>
      </c>
    </row>
    <row r="349">
      <c r="A349" s="10" t="s">
        <v>1788</v>
      </c>
      <c r="B349" s="7" t="str">
        <f>IFERROR(__xludf.DUMMYFUNCTION("SPLIT(A349,"" "")"),"CN(Cc1cccnn1)C1CCCCC1N(C)c1cccc2c1OCCOCCOCCOCCOCCO2")</f>
        <v>CN(Cc1cccnn1)C1CCCCC1N(C)c1cccc2c1OCCOCCOCCOCCOCCO2</v>
      </c>
      <c r="C349" s="7">
        <f>IFERROR(__xludf.DUMMYFUNCTION("""COMPUTED_VALUE"""),7.838935)</f>
        <v>7.838935</v>
      </c>
      <c r="D349" s="7">
        <f>IFERROR(__xludf.DUMMYFUNCTION("""COMPUTED_VALUE"""),0.413793103448275)</f>
        <v>0.4137931034</v>
      </c>
    </row>
    <row r="350">
      <c r="A350" s="10" t="s">
        <v>1789</v>
      </c>
      <c r="B350" s="7" t="str">
        <f>IFERROR(__xludf.DUMMYFUNCTION("SPLIT(A350,"" "")"),"CNCc1ccncc1CN1CCN(C)CCN(C)CC1")</f>
        <v>CNCc1ccncc1CN1CCN(C)CCN(C)CC1</v>
      </c>
      <c r="C350" s="7">
        <f>IFERROR(__xludf.DUMMYFUNCTION("""COMPUTED_VALUE"""),7.8388934)</f>
        <v>7.8388934</v>
      </c>
      <c r="D350" s="7">
        <f>IFERROR(__xludf.DUMMYFUNCTION("""COMPUTED_VALUE"""),0.409090909090909)</f>
        <v>0.4090909091</v>
      </c>
    </row>
    <row r="351">
      <c r="A351" s="10" t="s">
        <v>1790</v>
      </c>
      <c r="B351" s="7" t="str">
        <f>IFERROR(__xludf.DUMMYFUNCTION("SPLIT(A351,"" "")"),"CN(CCNc1cccc2c1OCCOCCOCCOCCOCCO2)Cc1ccccn1")</f>
        <v>CN(CCNc1cccc2c1OCCOCCOCCOCCOCCO2)Cc1ccccn1</v>
      </c>
      <c r="C351" s="7">
        <f>IFERROR(__xludf.DUMMYFUNCTION("""COMPUTED_VALUE"""),7.8388605)</f>
        <v>7.8388605</v>
      </c>
      <c r="D351" s="7">
        <f>IFERROR(__xludf.DUMMYFUNCTION("""COMPUTED_VALUE"""),0.385964912280701)</f>
        <v>0.3859649123</v>
      </c>
    </row>
    <row r="352">
      <c r="A352" s="10" t="s">
        <v>1791</v>
      </c>
      <c r="B352" s="7" t="str">
        <f>IFERROR(__xludf.DUMMYFUNCTION("SPLIT(A352,"" "")"),"CC(C)C1CCC1(C)C")</f>
        <v>CC(C)C1CCC1(C)C</v>
      </c>
      <c r="C352" s="7">
        <f>IFERROR(__xludf.DUMMYFUNCTION("""COMPUTED_VALUE"""),7.838725)</f>
        <v>7.838725</v>
      </c>
      <c r="D352" s="7">
        <f>IFERROR(__xludf.DUMMYFUNCTION("""COMPUTED_VALUE"""),0.127659574468085)</f>
        <v>0.1276595745</v>
      </c>
    </row>
    <row r="353">
      <c r="A353" s="10" t="s">
        <v>1792</v>
      </c>
      <c r="B353" s="7" t="str">
        <f>IFERROR(__xludf.DUMMYFUNCTION("SPLIT(A353,"" "")"),"Cc1cnc(CN(C)C2CCCCC2N(C)C2CCCCC2N(C)CN2CCN(C)CCN(Cc3ncc(C)c(C)c3C)CC2)c(C)c1")</f>
        <v>Cc1cnc(CN(C)C2CCCCC2N(C)C2CCCCC2N(C)CN2CCN(C)CCN(Cc3ncc(C)c(C)c3C)CC2)c(C)c1</v>
      </c>
      <c r="C353" s="7">
        <f>IFERROR(__xludf.DUMMYFUNCTION("""COMPUTED_VALUE"""),7.838724)</f>
        <v>7.838724</v>
      </c>
      <c r="D353" s="7">
        <f>IFERROR(__xludf.DUMMYFUNCTION("""COMPUTED_VALUE"""),0.40625)</f>
        <v>0.40625</v>
      </c>
    </row>
    <row r="354">
      <c r="A354" s="10" t="s">
        <v>1793</v>
      </c>
      <c r="B354" s="7" t="str">
        <f>IFERROR(__xludf.DUMMYFUNCTION("SPLIT(A354,"" "")"),"Cc1cnc(CN(C)C2CCC(N3CCN(C)CCN(C)CC3)CC2)c(C)c1")</f>
        <v>Cc1cnc(CN(C)C2CCC(N3CCN(C)CCN(C)CC3)CC2)c(C)c1</v>
      </c>
      <c r="C354" s="7">
        <f>IFERROR(__xludf.DUMMYFUNCTION("""COMPUTED_VALUE"""),7.8387003)</f>
        <v>7.8387003</v>
      </c>
      <c r="D354" s="7">
        <f>IFERROR(__xludf.DUMMYFUNCTION("""COMPUTED_VALUE"""),0.310344827586206)</f>
        <v>0.3103448276</v>
      </c>
    </row>
    <row r="355">
      <c r="A355" s="10" t="s">
        <v>1794</v>
      </c>
      <c r="B355" s="7" t="str">
        <f>IFERROR(__xludf.DUMMYFUNCTION("SPLIT(A355,"" "")"),"Cc1cccnc1CN(C)C1CCCC(N(C)CF)C1")</f>
        <v>Cc1cccnc1CN(C)C1CCCC(N(C)CF)C1</v>
      </c>
      <c r="C355" s="7">
        <f>IFERROR(__xludf.DUMMYFUNCTION("""COMPUTED_VALUE"""),7.8386774)</f>
        <v>7.8386774</v>
      </c>
      <c r="D355" s="7">
        <f>IFERROR(__xludf.DUMMYFUNCTION("""COMPUTED_VALUE"""),0.36)</f>
        <v>0.36</v>
      </c>
    </row>
    <row r="356">
      <c r="A356" s="10" t="s">
        <v>1795</v>
      </c>
      <c r="B356" s="7" t="str">
        <f>IFERROR(__xludf.DUMMYFUNCTION("SPLIT(A356,"" "")"),"CN(CCN(C)Cc1cccc2c1OCCOCCOCCOCCOCCO2)Cc1ccccn1")</f>
        <v>CN(CCN(C)Cc1cccc2c1OCCOCCOCCOCCOCCO2)Cc1ccccn1</v>
      </c>
      <c r="C356" s="7">
        <f>IFERROR(__xludf.DUMMYFUNCTION("""COMPUTED_VALUE"""),7.838673)</f>
        <v>7.838673</v>
      </c>
      <c r="D356" s="7">
        <f>IFERROR(__xludf.DUMMYFUNCTION("""COMPUTED_VALUE"""),0.415094339622641)</f>
        <v>0.4150943396</v>
      </c>
    </row>
    <row r="357">
      <c r="A357" s="10" t="s">
        <v>1796</v>
      </c>
      <c r="B357" s="7" t="str">
        <f>IFERROR(__xludf.DUMMYFUNCTION("SPLIT(A357,"" "")"),"Cc1cccnc1CN(C)CCCN1CCN(C)CCN(C)CC1")</f>
        <v>Cc1cccnc1CN(C)CCCN1CCN(C)CCN(C)CC1</v>
      </c>
      <c r="C357" s="7">
        <f>IFERROR(__xludf.DUMMYFUNCTION("""COMPUTED_VALUE"""),7.838616)</f>
        <v>7.838616</v>
      </c>
      <c r="D357" s="7">
        <f>IFERROR(__xludf.DUMMYFUNCTION("""COMPUTED_VALUE"""),0.404255319148936)</f>
        <v>0.4042553191</v>
      </c>
    </row>
    <row r="358">
      <c r="A358" s="10" t="s">
        <v>1797</v>
      </c>
      <c r="B358" s="7" t="str">
        <f>IFERROR(__xludf.DUMMYFUNCTION("SPLIT(A358,"" "")"),"CN1CCN(C)CCN(C(c2ccccn2)C(C)(C)C)CC1")</f>
        <v>CN1CCN(C)CCN(C(c2ccccn2)C(C)(C)C)CC1</v>
      </c>
      <c r="C358" s="7">
        <f>IFERROR(__xludf.DUMMYFUNCTION("""COMPUTED_VALUE"""),7.838608)</f>
        <v>7.838608</v>
      </c>
      <c r="D358" s="7">
        <f>IFERROR(__xludf.DUMMYFUNCTION("""COMPUTED_VALUE"""),0.428571428571428)</f>
        <v>0.4285714286</v>
      </c>
    </row>
    <row r="359">
      <c r="A359" s="10" t="s">
        <v>1798</v>
      </c>
      <c r="B359" s="7" t="str">
        <f>IFERROR(__xludf.DUMMYFUNCTION("SPLIT(A359,"" "")"),"CC1C=CC(C2=CCC(C)C(C)C2)C(C)C1C")</f>
        <v>CC1C=CC(C2=CCC(C)C(C)C2)C(C)C1C</v>
      </c>
      <c r="C359" s="7">
        <f>IFERROR(__xludf.DUMMYFUNCTION("""COMPUTED_VALUE"""),7.8385973)</f>
        <v>7.8385973</v>
      </c>
      <c r="D359" s="7">
        <f>IFERROR(__xludf.DUMMYFUNCTION("""COMPUTED_VALUE"""),0.111111111111111)</f>
        <v>0.1111111111</v>
      </c>
    </row>
    <row r="360">
      <c r="A360" s="10" t="s">
        <v>1799</v>
      </c>
      <c r="B360" s="7" t="str">
        <f>IFERROR(__xludf.DUMMYFUNCTION("SPLIT(A360,"" "")"),"CN1CCN(C)CCN(C2CCCCC2N(C)c2ccc(Cl)cn2)CC1")</f>
        <v>CN1CCN(C)CCN(C2CCCCC2N(C)c2ccc(Cl)cn2)CC1</v>
      </c>
      <c r="C360" s="7">
        <f>IFERROR(__xludf.DUMMYFUNCTION("""COMPUTED_VALUE"""),7.8385363)</f>
        <v>7.8385363</v>
      </c>
      <c r="D360" s="7">
        <f>IFERROR(__xludf.DUMMYFUNCTION("""COMPUTED_VALUE"""),0.314814814814814)</f>
        <v>0.3148148148</v>
      </c>
    </row>
    <row r="361">
      <c r="A361" s="10" t="s">
        <v>1800</v>
      </c>
      <c r="B361" s="7" t="str">
        <f>IFERROR(__xludf.DUMMYFUNCTION("SPLIT(A361,"" "")"),"CC(C)CN(C)CCN1CCN(C)CCN(C)CC1")</f>
        <v>CC(C)CN(C)CCN1CCN(C)CCN(C)CC1</v>
      </c>
      <c r="C361" s="7">
        <f>IFERROR(__xludf.DUMMYFUNCTION("""COMPUTED_VALUE"""),7.838527)</f>
        <v>7.838527</v>
      </c>
      <c r="D361" s="7">
        <f>IFERROR(__xludf.DUMMYFUNCTION("""COMPUTED_VALUE"""),0.333333333333333)</f>
        <v>0.3333333333</v>
      </c>
    </row>
    <row r="362">
      <c r="A362" s="10" t="s">
        <v>1801</v>
      </c>
      <c r="B362" s="7" t="str">
        <f>IFERROR(__xludf.DUMMYFUNCTION("SPLIT(A362,"" "")"),"CC(C)N(C)C1CCC(N(C)Cc2cc(CF)ccn2)CC1")</f>
        <v>CC(C)N(C)C1CCC(N(C)Cc2cc(CF)ccn2)CC1</v>
      </c>
      <c r="C362" s="7">
        <f>IFERROR(__xludf.DUMMYFUNCTION("""COMPUTED_VALUE"""),7.838522)</f>
        <v>7.838522</v>
      </c>
      <c r="D362" s="7">
        <f>IFERROR(__xludf.DUMMYFUNCTION("""COMPUTED_VALUE"""),0.352941176470588)</f>
        <v>0.3529411765</v>
      </c>
    </row>
    <row r="363">
      <c r="A363" s="10" t="s">
        <v>1802</v>
      </c>
      <c r="B363" s="7" t="str">
        <f>IFERROR(__xludf.DUMMYFUNCTION("SPLIT(A363,"" "")"),"CN1CCN(C)CCN(Cc2cncc(C(C)(C)N3CCN(C)CCN(C)CC3)c2)CC1")</f>
        <v>CN1CCN(C)CCN(Cc2cncc(C(C)(C)N3CCN(C)CCN(C)CC3)c2)CC1</v>
      </c>
      <c r="C363" s="7">
        <f>IFERROR(__xludf.DUMMYFUNCTION("""COMPUTED_VALUE"""),7.8384933)</f>
        <v>7.8384933</v>
      </c>
      <c r="D363" s="7">
        <f>IFERROR(__xludf.DUMMYFUNCTION("""COMPUTED_VALUE"""),0.361702127659574)</f>
        <v>0.3617021277</v>
      </c>
    </row>
    <row r="364">
      <c r="A364" s="10" t="s">
        <v>1803</v>
      </c>
      <c r="B364" s="7" t="str">
        <f>IFERROR(__xludf.DUMMYFUNCTION("SPLIT(A364,"" "")"),"Cc1ccc2c(c1)OCCOCCOC1C=CC=CC1OCCOCCO2")</f>
        <v>Cc1ccc2c(c1)OCCOCCOC1C=CC=CC1OCCOCCO2</v>
      </c>
      <c r="C364" s="7">
        <f>IFERROR(__xludf.DUMMYFUNCTION("""COMPUTED_VALUE"""),7.8384676)</f>
        <v>7.8384676</v>
      </c>
      <c r="D364" s="7">
        <f>IFERROR(__xludf.DUMMYFUNCTION("""COMPUTED_VALUE"""),0.305084745762711)</f>
        <v>0.3050847458</v>
      </c>
    </row>
    <row r="365">
      <c r="A365" s="10" t="s">
        <v>1804</v>
      </c>
      <c r="B365" s="7" t="str">
        <f>IFERROR(__xludf.DUMMYFUNCTION("SPLIT(A365,"" "")"),"Cc1ccc2c(c1)OCCOCCOCCOCCOC1C=CC=CC1O2")</f>
        <v>Cc1ccc2c(c1)OCCOCCOCCOCCOC1C=CC=CC1O2</v>
      </c>
      <c r="C365" s="7">
        <f>IFERROR(__xludf.DUMMYFUNCTION("""COMPUTED_VALUE"""),7.8384466)</f>
        <v>7.8384466</v>
      </c>
      <c r="D365" s="7">
        <f>IFERROR(__xludf.DUMMYFUNCTION("""COMPUTED_VALUE"""),0.269841269841269)</f>
        <v>0.2698412698</v>
      </c>
    </row>
    <row r="366">
      <c r="A366" s="10" t="s">
        <v>1805</v>
      </c>
      <c r="B366" s="7" t="str">
        <f>IFERROR(__xludf.DUMMYFUNCTION("SPLIT(A366,"" "")"),"Cc1cnc(CN2CCCC2C2CCCN2CC2=NCCC=C2)cc1C")</f>
        <v>Cc1cnc(CN2CCCC2C2CCCN2CC2=NCCC=C2)cc1C</v>
      </c>
      <c r="C366" s="7">
        <f>IFERROR(__xludf.DUMMYFUNCTION("""COMPUTED_VALUE"""),7.8383803)</f>
        <v>7.8383803</v>
      </c>
      <c r="D366" s="7">
        <f>IFERROR(__xludf.DUMMYFUNCTION("""COMPUTED_VALUE"""),0.410714285714285)</f>
        <v>0.4107142857</v>
      </c>
    </row>
    <row r="367">
      <c r="A367" s="10" t="s">
        <v>1806</v>
      </c>
      <c r="B367" s="7" t="str">
        <f>IFERROR(__xludf.DUMMYFUNCTION("SPLIT(A367,"" "")"),"Cc1cccnc1CN(C)C1CCC(N(C)CN)CC1")</f>
        <v>Cc1cccnc1CN(C)C1CCC(N(C)CN)CC1</v>
      </c>
      <c r="C367" s="7">
        <f>IFERROR(__xludf.DUMMYFUNCTION("""COMPUTED_VALUE"""),7.8383756)</f>
        <v>7.8383756</v>
      </c>
      <c r="D367" s="7">
        <f>IFERROR(__xludf.DUMMYFUNCTION("""COMPUTED_VALUE"""),0.354166666666666)</f>
        <v>0.3541666667</v>
      </c>
    </row>
    <row r="368">
      <c r="A368" s="10" t="s">
        <v>1807</v>
      </c>
      <c r="B368" s="7" t="str">
        <f>IFERROR(__xludf.DUMMYFUNCTION("SPLIT(A368,"" "")"),"Cc1ccc2c(c1)OC1C=CC=CC1OCCOCCOCCOCCO2")</f>
        <v>Cc1ccc2c(c1)OC1C=CC=CC1OCCOCCOCCOCCO2</v>
      </c>
      <c r="C368" s="7">
        <f>IFERROR(__xludf.DUMMYFUNCTION("""COMPUTED_VALUE"""),7.838337)</f>
        <v>7.838337</v>
      </c>
      <c r="D368" s="7">
        <f>IFERROR(__xludf.DUMMYFUNCTION("""COMPUTED_VALUE"""),0.269841269841269)</f>
        <v>0.2698412698</v>
      </c>
    </row>
    <row r="369">
      <c r="A369" s="10" t="s">
        <v>1808</v>
      </c>
      <c r="B369" s="7" t="str">
        <f>IFERROR(__xludf.DUMMYFUNCTION("SPLIT(A369,"" "")"),"CN1CCN(C)CCN(CCCN(C)c2ccccc2F)CC1")</f>
        <v>CN1CCN(C)CCN(CCCN(C)c2ccccc2F)CC1</v>
      </c>
      <c r="C369" s="7">
        <f>IFERROR(__xludf.DUMMYFUNCTION("""COMPUTED_VALUE"""),7.838336)</f>
        <v>7.838336</v>
      </c>
      <c r="D369" s="7">
        <f>IFERROR(__xludf.DUMMYFUNCTION("""COMPUTED_VALUE"""),0.361702127659574)</f>
        <v>0.3617021277</v>
      </c>
    </row>
    <row r="370">
      <c r="A370" s="10" t="s">
        <v>1809</v>
      </c>
      <c r="B370" s="7" t="str">
        <f>IFERROR(__xludf.DUMMYFUNCTION("SPLIT(A370,"" "")"),"Cc1ccc2c(c1)OCCOCCOCCOC1C=CC=CC1OCCO2")</f>
        <v>Cc1ccc2c(c1)OCCOCCOCCOC1C=CC=CC1OCCO2</v>
      </c>
      <c r="C370" s="7">
        <f>IFERROR(__xludf.DUMMYFUNCTION("""COMPUTED_VALUE"""),7.8382764)</f>
        <v>7.8382764</v>
      </c>
      <c r="D370" s="7">
        <f>IFERROR(__xludf.DUMMYFUNCTION("""COMPUTED_VALUE"""),0.305084745762711)</f>
        <v>0.3050847458</v>
      </c>
    </row>
    <row r="371">
      <c r="A371" s="10" t="s">
        <v>1810</v>
      </c>
      <c r="B371" s="7" t="str">
        <f>IFERROR(__xludf.DUMMYFUNCTION("SPLIT(A371,"" "")"),"Cc1cccnc1CN(C)C1CCCCC1N(C)C(C)C")</f>
        <v>Cc1cccnc1CN(C)C1CCCCC1N(C)C(C)C</v>
      </c>
      <c r="C371" s="7">
        <f>IFERROR(__xludf.DUMMYFUNCTION("""COMPUTED_VALUE"""),7.838254)</f>
        <v>7.838254</v>
      </c>
      <c r="D371" s="7">
        <f>IFERROR(__xludf.DUMMYFUNCTION("""COMPUTED_VALUE"""),0.5)</f>
        <v>0.5</v>
      </c>
    </row>
    <row r="372">
      <c r="A372" s="10" t="s">
        <v>1811</v>
      </c>
      <c r="B372" s="7" t="str">
        <f>IFERROR(__xludf.DUMMYFUNCTION("SPLIT(A372,"" "")"),"CC(C)N(C)CN(C)C1CCCC(N(C)C)C1")</f>
        <v>CC(C)N(C)CN(C)C1CCCC(N(C)C)C1</v>
      </c>
      <c r="C372" s="7">
        <f>IFERROR(__xludf.DUMMYFUNCTION("""COMPUTED_VALUE"""),7.838205)</f>
        <v>7.838205</v>
      </c>
      <c r="D372" s="7">
        <f>IFERROR(__xludf.DUMMYFUNCTION("""COMPUTED_VALUE"""),0.191489361702127)</f>
        <v>0.1914893617</v>
      </c>
    </row>
    <row r="373">
      <c r="A373" s="10" t="s">
        <v>1812</v>
      </c>
      <c r="B373" s="7" t="str">
        <f>IFERROR(__xludf.DUMMYFUNCTION("SPLIT(A373,"" "")"),"Cc1ccnc(CN(C)C2CCCCC2N(C)CCN(C)CCF)c1")</f>
        <v>Cc1ccnc(CN(C)C2CCCCC2N(C)CCN(C)CCF)c1</v>
      </c>
      <c r="C373" s="7">
        <f>IFERROR(__xludf.DUMMYFUNCTION("""COMPUTED_VALUE"""),7.8381944)</f>
        <v>7.8381944</v>
      </c>
      <c r="D373" s="7">
        <f>IFERROR(__xludf.DUMMYFUNCTION("""COMPUTED_VALUE"""),0.489795918367346)</f>
        <v>0.4897959184</v>
      </c>
    </row>
    <row r="374">
      <c r="A374" s="10" t="s">
        <v>1813</v>
      </c>
      <c r="B374" s="7" t="str">
        <f>IFERROR(__xludf.DUMMYFUNCTION("SPLIT(A374,"" "")"),"CC(C)N(CCN(Cc1cccnn1)C1CCCCC1)CC1=CCC=CN1")</f>
        <v>CC(C)N(CCN(Cc1cccnn1)C1CCCCC1)CC1=CCC=CN1</v>
      </c>
      <c r="C374" s="7">
        <f>IFERROR(__xludf.DUMMYFUNCTION("""COMPUTED_VALUE"""),7.8381906)</f>
        <v>7.8381906</v>
      </c>
      <c r="D374" s="7">
        <f>IFERROR(__xludf.DUMMYFUNCTION("""COMPUTED_VALUE"""),0.390625)</f>
        <v>0.390625</v>
      </c>
    </row>
    <row r="375">
      <c r="A375" s="10" t="s">
        <v>1814</v>
      </c>
      <c r="B375" s="7" t="str">
        <f>IFERROR(__xludf.DUMMYFUNCTION("SPLIT(A375,"" "")"),"CNCc1ncccc1CN1CCN(C)CCN(C)CC1")</f>
        <v>CNCc1ncccc1CN1CCN(C)CCN(C)CC1</v>
      </c>
      <c r="C375" s="7">
        <f>IFERROR(__xludf.DUMMYFUNCTION("""COMPUTED_VALUE"""),7.83811)</f>
        <v>7.83811</v>
      </c>
      <c r="D375" s="7">
        <f>IFERROR(__xludf.DUMMYFUNCTION("""COMPUTED_VALUE"""),0.5)</f>
        <v>0.5</v>
      </c>
    </row>
    <row r="376">
      <c r="A376" s="10" t="s">
        <v>1815</v>
      </c>
      <c r="B376" s="7" t="str">
        <f>IFERROR(__xludf.DUMMYFUNCTION("SPLIT(A376,"" "")"),"Cc1cncc(CN(C)C2CCCC(N(C)CCF)C2)c1")</f>
        <v>Cc1cncc(CN(C)C2CCCC(N(C)CCF)C2)c1</v>
      </c>
      <c r="C376" s="7">
        <f>IFERROR(__xludf.DUMMYFUNCTION("""COMPUTED_VALUE"""),7.838022)</f>
        <v>7.838022</v>
      </c>
      <c r="D376" s="7">
        <f>IFERROR(__xludf.DUMMYFUNCTION("""COMPUTED_VALUE"""),0.296296296296296)</f>
        <v>0.2962962963</v>
      </c>
    </row>
    <row r="377">
      <c r="A377" s="10" t="s">
        <v>1816</v>
      </c>
      <c r="B377" s="7" t="str">
        <f>IFERROR(__xludf.DUMMYFUNCTION("SPLIT(A377,"" "")"),"Cc1ccc(CN(C)CCCN2CCN(C)CCN(C)CC2)cn1")</f>
        <v>Cc1ccc(CN(C)CCCN2CCN(C)CCN(C)CC2)cn1</v>
      </c>
      <c r="C377" s="7">
        <f>IFERROR(__xludf.DUMMYFUNCTION("""COMPUTED_VALUE"""),7.837991)</f>
        <v>7.837991</v>
      </c>
      <c r="D377" s="7">
        <f>IFERROR(__xludf.DUMMYFUNCTION("""COMPUTED_VALUE"""),0.346938775510204)</f>
        <v>0.3469387755</v>
      </c>
    </row>
    <row r="378">
      <c r="A378" s="10" t="s">
        <v>1817</v>
      </c>
      <c r="B378" s="7" t="str">
        <f>IFERROR(__xludf.DUMMYFUNCTION("SPLIT(A378,"" "")"),"CC(NCc1cccc(CN2CCN(C)CCN(C)CC2)n1)C(C)C(=O)c1cccc2c1OCCOCCOCCOCCOCCO2")</f>
        <v>CC(NCc1cccc(CN2CCN(C)CCN(C)CC2)n1)C(C)C(=O)c1cccc2c1OCCOCCOCCOCCOCCO2</v>
      </c>
      <c r="C378" s="7">
        <f>IFERROR(__xludf.DUMMYFUNCTION("""COMPUTED_VALUE"""),7.83798)</f>
        <v>7.83798</v>
      </c>
      <c r="D378" s="7">
        <f>IFERROR(__xludf.DUMMYFUNCTION("""COMPUTED_VALUE"""),0.38095238095238)</f>
        <v>0.380952381</v>
      </c>
    </row>
    <row r="379">
      <c r="A379" s="10" t="s">
        <v>1818</v>
      </c>
      <c r="B379" s="7" t="str">
        <f>IFERROR(__xludf.DUMMYFUNCTION("SPLIT(A379,"" "")"),"CNCCN(C)C1C=CC=CN1")</f>
        <v>CNCCN(C)C1C=CC=CN1</v>
      </c>
      <c r="C379" s="7">
        <f>IFERROR(__xludf.DUMMYFUNCTION("""COMPUTED_VALUE"""),7.837968)</f>
        <v>7.837968</v>
      </c>
      <c r="D379" s="7">
        <f>IFERROR(__xludf.DUMMYFUNCTION("""COMPUTED_VALUE"""),0.235294117647058)</f>
        <v>0.2352941176</v>
      </c>
    </row>
    <row r="380">
      <c r="A380" s="10" t="s">
        <v>1819</v>
      </c>
      <c r="B380" s="7" t="str">
        <f>IFERROR(__xludf.DUMMYFUNCTION("SPLIT(A380,"" "")"),"Cc1cncc(CN2CCN(C)CCN(C(C)C)CC2)c1")</f>
        <v>Cc1cncc(CN2CCN(C)CCN(C(C)C)CC2)c1</v>
      </c>
      <c r="C380" s="7">
        <f>IFERROR(__xludf.DUMMYFUNCTION("""COMPUTED_VALUE"""),7.837941)</f>
        <v>7.837941</v>
      </c>
      <c r="D380" s="7">
        <f>IFERROR(__xludf.DUMMYFUNCTION("""COMPUTED_VALUE"""),0.413043478260869)</f>
        <v>0.4130434783</v>
      </c>
    </row>
    <row r="381">
      <c r="A381" s="10" t="s">
        <v>1820</v>
      </c>
      <c r="B381" s="7" t="str">
        <f>IFERROR(__xludf.DUMMYFUNCTION("SPLIT(A381,"" "")"),"CNC1CCCCC1N(C)Cc1cc(C)ccn1")</f>
        <v>CNC1CCCCC1N(C)Cc1cc(C)ccn1</v>
      </c>
      <c r="C381" s="7">
        <f>IFERROR(__xludf.DUMMYFUNCTION("""COMPUTED_VALUE"""),7.83794)</f>
        <v>7.83794</v>
      </c>
      <c r="D381" s="7">
        <f>IFERROR(__xludf.DUMMYFUNCTION("""COMPUTED_VALUE"""),0.5)</f>
        <v>0.5</v>
      </c>
    </row>
    <row r="382">
      <c r="A382" s="10" t="s">
        <v>1821</v>
      </c>
      <c r="B382" s="7" t="str">
        <f>IFERROR(__xludf.DUMMYFUNCTION("SPLIT(A382,"" "")"),"CNCN1CCN(C)CCN(Cc2cc(C)c(C)cn2)CC1")</f>
        <v>CNCN1CCN(C)CCN(Cc2cc(C)c(C)cn2)CC1</v>
      </c>
      <c r="C382" s="7">
        <f>IFERROR(__xludf.DUMMYFUNCTION("""COMPUTED_VALUE"""),7.8379054)</f>
        <v>7.8379054</v>
      </c>
      <c r="D382" s="7">
        <f>IFERROR(__xludf.DUMMYFUNCTION("""COMPUTED_VALUE"""),0.5)</f>
        <v>0.5</v>
      </c>
    </row>
    <row r="383">
      <c r="A383" s="10" t="s">
        <v>1822</v>
      </c>
      <c r="B383" s="7" t="str">
        <f>IFERROR(__xludf.DUMMYFUNCTION("SPLIT(A383,"" "")"),"CN1CCN(C)CCN(C2CCC(N(C)Cc3cccc(C4CC(C)(C)C4)n3)CC2)CC1")</f>
        <v>CN1CCN(C)CCN(C2CCC(N(C)Cc3cccc(C4CC(C)(C)C4)n3)CC2)CC1</v>
      </c>
      <c r="C383" s="7">
        <f>IFERROR(__xludf.DUMMYFUNCTION("""COMPUTED_VALUE"""),7.837892)</f>
        <v>7.837892</v>
      </c>
      <c r="D383" s="7">
        <f>IFERROR(__xludf.DUMMYFUNCTION("""COMPUTED_VALUE"""),0.338983050847457)</f>
        <v>0.3389830508</v>
      </c>
    </row>
    <row r="384">
      <c r="A384" s="10" t="s">
        <v>1823</v>
      </c>
      <c r="B384" s="7" t="str">
        <f>IFERROR(__xludf.DUMMYFUNCTION("SPLIT(A384,"" "")"),"Cc1cnccc1CN1CCN(C)CCN(C)CC1")</f>
        <v>Cc1cnccc1CN1CCN(C)CCN(C)CC1</v>
      </c>
      <c r="C384" s="7">
        <f>IFERROR(__xludf.DUMMYFUNCTION("""COMPUTED_VALUE"""),7.837844)</f>
        <v>7.837844</v>
      </c>
      <c r="D384" s="7">
        <f>IFERROR(__xludf.DUMMYFUNCTION("""COMPUTED_VALUE"""),0.463414634146341)</f>
        <v>0.4634146341</v>
      </c>
    </row>
    <row r="385">
      <c r="A385" s="10" t="s">
        <v>1824</v>
      </c>
      <c r="B385" s="7" t="str">
        <f>IFERROR(__xludf.DUMMYFUNCTION("SPLIT(A385,"" "")"),"Cc1ccncc1CN(C)CCN1CCN(C)CCN(C)CC1")</f>
        <v>Cc1ccncc1CN(C)CCN1CCN(C)CCN(C)CC1</v>
      </c>
      <c r="C385" s="7">
        <f>IFERROR(__xludf.DUMMYFUNCTION("""COMPUTED_VALUE"""),7.8377924)</f>
        <v>7.8377924</v>
      </c>
      <c r="D385" s="7">
        <f>IFERROR(__xludf.DUMMYFUNCTION("""COMPUTED_VALUE"""),0.346938775510204)</f>
        <v>0.3469387755</v>
      </c>
    </row>
    <row r="386">
      <c r="A386" s="10" t="s">
        <v>1825</v>
      </c>
      <c r="B386" s="7" t="str">
        <f>IFERROR(__xludf.DUMMYFUNCTION("SPLIT(A386,"" "")"),"CC(C)N(C)C1CCC(N(Cc2ccccn2)C(C)C)CC1")</f>
        <v>CC(C)N(C)C1CCC(N(Cc2ccccn2)C(C)C)CC1</v>
      </c>
      <c r="C386" s="7">
        <f>IFERROR(__xludf.DUMMYFUNCTION("""COMPUTED_VALUE"""),7.8377905)</f>
        <v>7.8377905</v>
      </c>
      <c r="D386" s="7">
        <f>IFERROR(__xludf.DUMMYFUNCTION("""COMPUTED_VALUE"""),0.5)</f>
        <v>0.5</v>
      </c>
    </row>
    <row r="387">
      <c r="A387" s="10" t="s">
        <v>1826</v>
      </c>
      <c r="B387" s="7" t="str">
        <f>IFERROR(__xludf.DUMMYFUNCTION("SPLIT(A387,"" "")"),"Cc1cccnc1CN1CCN(C)CCN(CNC(C)C)CC1")</f>
        <v>Cc1cccnc1CN1CCN(C)CCN(CNC(C)C)CC1</v>
      </c>
      <c r="C387" s="7">
        <f>IFERROR(__xludf.DUMMYFUNCTION("""COMPUTED_VALUE"""),7.8377852)</f>
        <v>7.8377852</v>
      </c>
      <c r="D387" s="7">
        <f>IFERROR(__xludf.DUMMYFUNCTION("""COMPUTED_VALUE"""),0.446808510638297)</f>
        <v>0.4468085106</v>
      </c>
    </row>
    <row r="388">
      <c r="A388" s="10" t="s">
        <v>1827</v>
      </c>
      <c r="B388" s="7" t="str">
        <f>IFERROR(__xludf.DUMMYFUNCTION("SPLIT(A388,"" "")"),"CNC1CCC(N(C)Cc2cccc(F)n2)CC1")</f>
        <v>CNC1CCC(N(C)Cc2cccc(F)n2)CC1</v>
      </c>
      <c r="C388" s="7">
        <f>IFERROR(__xludf.DUMMYFUNCTION("""COMPUTED_VALUE"""),7.8376594)</f>
        <v>7.8376594</v>
      </c>
      <c r="D388" s="7">
        <f>IFERROR(__xludf.DUMMYFUNCTION("""COMPUTED_VALUE"""),0.416666666666666)</f>
        <v>0.4166666667</v>
      </c>
    </row>
    <row r="389">
      <c r="A389" s="10" t="s">
        <v>1828</v>
      </c>
      <c r="B389" s="7" t="str">
        <f>IFERROR(__xludf.DUMMYFUNCTION("SPLIT(A389,"" "")"),"COC(=O)C(=O)N1CCN(C)CCN(C(=O)C(C)N2CCN(C)CCN(C(C)C)CC2)CC1")</f>
        <v>COC(=O)C(=O)N1CCN(C)CCN(C(=O)C(C)N2CCN(C)CCN(C(C)C)CC2)CC1</v>
      </c>
      <c r="C389" s="7">
        <f>IFERROR(__xludf.DUMMYFUNCTION("""COMPUTED_VALUE"""),7.8376346)</f>
        <v>7.8376346</v>
      </c>
      <c r="D389" s="7">
        <f>IFERROR(__xludf.DUMMYFUNCTION("""COMPUTED_VALUE"""),0.228571428571428)</f>
        <v>0.2285714286</v>
      </c>
    </row>
    <row r="390">
      <c r="A390" s="10" t="s">
        <v>1829</v>
      </c>
      <c r="B390" s="7" t="str">
        <f>IFERROR(__xludf.DUMMYFUNCTION("SPLIT(A390,"" "")"),"Cc1cncc(CN(C)CCN2CCN(C)CCN(CC(C)(C)C)CC2)c1")</f>
        <v>Cc1cncc(CN(C)CCN2CCN(C)CCN(CC(C)(C)C)CC2)c1</v>
      </c>
      <c r="C390" s="7">
        <f>IFERROR(__xludf.DUMMYFUNCTION("""COMPUTED_VALUE"""),7.8375206)</f>
        <v>7.8375206</v>
      </c>
      <c r="D390" s="7">
        <f>IFERROR(__xludf.DUMMYFUNCTION("""COMPUTED_VALUE"""),0.314814814814814)</f>
        <v>0.3148148148</v>
      </c>
    </row>
    <row r="391">
      <c r="A391" s="10" t="s">
        <v>1830</v>
      </c>
      <c r="B391" s="7" t="str">
        <f>IFERROR(__xludf.DUMMYFUNCTION("SPLIT(A391,"" "")"),"CNCCN(C)C1CCCCC1N(C)Cc1ncccc1C")</f>
        <v>CNCCN(C)C1CCCCC1N(C)Cc1ncccc1C</v>
      </c>
      <c r="C391" s="7">
        <f>IFERROR(__xludf.DUMMYFUNCTION("""COMPUTED_VALUE"""),7.8374977)</f>
        <v>7.8374977</v>
      </c>
      <c r="D391" s="7">
        <f>IFERROR(__xludf.DUMMYFUNCTION("""COMPUTED_VALUE"""),0.479166666666666)</f>
        <v>0.4791666667</v>
      </c>
    </row>
    <row r="392">
      <c r="A392" s="10" t="s">
        <v>1831</v>
      </c>
      <c r="B392" s="7" t="str">
        <f>IFERROR(__xludf.DUMMYFUNCTION("SPLIT(A392,"" "")"),"CN(Cc1ccccn1)C1CCC(N(C)c2ccc3c(c2)OCCOCCOCCOCCOCCO3)CC1")</f>
        <v>CN(Cc1ccccn1)C1CCC(N(C)c2ccc3c(c2)OCCOCCOCCOCCOCCO3)CC1</v>
      </c>
      <c r="C392" s="7">
        <f>IFERROR(__xludf.DUMMYFUNCTION("""COMPUTED_VALUE"""),7.8374605)</f>
        <v>7.8374605</v>
      </c>
      <c r="D392" s="7">
        <f>IFERROR(__xludf.DUMMYFUNCTION("""COMPUTED_VALUE"""),0.444444444444444)</f>
        <v>0.4444444444</v>
      </c>
    </row>
    <row r="393">
      <c r="A393" s="10" t="s">
        <v>1832</v>
      </c>
      <c r="B393" s="7" t="str">
        <f>IFERROR(__xludf.DUMMYFUNCTION("SPLIT(A393,"" "")"),"CNCN1CCN(C)CCN(Cc2ccc(-c3cccc4c3OCCOCCOCCOCCOCCO4)cn2)CC1")</f>
        <v>CNCN1CCN(C)CCN(Cc2ccc(-c3cccc4c3OCCOCCOCCOCCOCCO4)cn2)CC1</v>
      </c>
      <c r="C393" s="7">
        <f>IFERROR(__xludf.DUMMYFUNCTION("""COMPUTED_VALUE"""),7.837394)</f>
        <v>7.837394</v>
      </c>
      <c r="D393" s="7">
        <f>IFERROR(__xludf.DUMMYFUNCTION("""COMPUTED_VALUE"""),0.380281690140845)</f>
        <v>0.3802816901</v>
      </c>
    </row>
    <row r="394">
      <c r="A394" s="10" t="s">
        <v>1833</v>
      </c>
      <c r="B394" s="7" t="str">
        <f>IFERROR(__xludf.DUMMYFUNCTION("SPLIT(A394,"" "")"),"Cc1cnc(CN(C)C2CCCC(N3CCN(C)CCN(C)CC3)C2)c(C)c1")</f>
        <v>Cc1cnc(CN(C)C2CCCC(N3CCN(C)CCN(C)CC3)C2)c(C)c1</v>
      </c>
      <c r="C394" s="7">
        <f>IFERROR(__xludf.DUMMYFUNCTION("""COMPUTED_VALUE"""),7.83739)</f>
        <v>7.83739</v>
      </c>
      <c r="D394" s="7">
        <f>IFERROR(__xludf.DUMMYFUNCTION("""COMPUTED_VALUE"""),0.310344827586206)</f>
        <v>0.3103448276</v>
      </c>
    </row>
    <row r="395">
      <c r="A395" s="10" t="s">
        <v>1834</v>
      </c>
      <c r="B395" s="7" t="str">
        <f>IFERROR(__xludf.DUMMYFUNCTION("SPLIT(A395,"" "")"),"CN(CCN(C)Cc1ccccn1)Cc1ccc2c(c1)OCCOCCOCCOCCOCCO2")</f>
        <v>CN(CCN(C)Cc1ccccn1)Cc1ccc2c(c1)OCCOCCOCCOCCOCCO2</v>
      </c>
      <c r="C395" s="7">
        <f>IFERROR(__xludf.DUMMYFUNCTION("""COMPUTED_VALUE"""),7.837377)</f>
        <v>7.837377</v>
      </c>
      <c r="D395" s="7">
        <f>IFERROR(__xludf.DUMMYFUNCTION("""COMPUTED_VALUE"""),0.456140350877192)</f>
        <v>0.4561403509</v>
      </c>
    </row>
    <row r="396">
      <c r="A396" s="10" t="s">
        <v>1835</v>
      </c>
      <c r="B396" s="7" t="str">
        <f>IFERROR(__xludf.DUMMYFUNCTION("SPLIT(A396,"" "")"),"CNCN1CCN(C)CCN(Cc2nccc(C)c2C)CC1")</f>
        <v>CNCN1CCN(C)CCN(Cc2nccc(C)c2C)CC1</v>
      </c>
      <c r="C396" s="7">
        <f>IFERROR(__xludf.DUMMYFUNCTION("""COMPUTED_VALUE"""),7.8373547)</f>
        <v>7.8373547</v>
      </c>
      <c r="D396" s="7">
        <f>IFERROR(__xludf.DUMMYFUNCTION("""COMPUTED_VALUE"""),0.479166666666666)</f>
        <v>0.4791666667</v>
      </c>
    </row>
    <row r="397">
      <c r="A397" s="10" t="s">
        <v>1836</v>
      </c>
      <c r="B397" s="7" t="str">
        <f>IFERROR(__xludf.DUMMYFUNCTION("SPLIT(A397,"" "")"),"CCN(Cc1ccccn1)C1CCCC(N(C)CCN(C)C(C)C)C1")</f>
        <v>CCN(Cc1ccccn1)C1CCCC(N(C)CCN(C)C(C)C)C1</v>
      </c>
      <c r="C397" s="7">
        <f>IFERROR(__xludf.DUMMYFUNCTION("""COMPUTED_VALUE"""),7.837316)</f>
        <v>7.837316</v>
      </c>
      <c r="D397" s="7">
        <f>IFERROR(__xludf.DUMMYFUNCTION("""COMPUTED_VALUE"""),0.461538461538461)</f>
        <v>0.4615384615</v>
      </c>
    </row>
    <row r="398">
      <c r="A398" s="10" t="s">
        <v>1837</v>
      </c>
      <c r="B398" s="7" t="str">
        <f>IFERROR(__xludf.DUMMYFUNCTION("SPLIT(A398,"" "")"),"Cc1cncc(CN2CCN(C)CCN(C)CC2)c1")</f>
        <v>Cc1cncc(CN2CCN(C)CCN(C)CC2)c1</v>
      </c>
      <c r="C398" s="7">
        <f>IFERROR(__xludf.DUMMYFUNCTION("""COMPUTED_VALUE"""),7.837296)</f>
        <v>7.837296</v>
      </c>
      <c r="D398" s="7">
        <f>IFERROR(__xludf.DUMMYFUNCTION("""COMPUTED_VALUE"""),0.487179487179487)</f>
        <v>0.4871794872</v>
      </c>
    </row>
    <row r="399">
      <c r="A399" s="10" t="s">
        <v>1838</v>
      </c>
      <c r="B399" s="7" t="str">
        <f>IFERROR(__xludf.DUMMYFUNCTION("SPLIT(A399,"" "")"),"NC1COCCOCCOCCOC=COc2ccccc2O1")</f>
        <v>NC1COCCOCCOCCOC=COc2ccccc2O1</v>
      </c>
      <c r="C399" s="7">
        <f>IFERROR(__xludf.DUMMYFUNCTION("""COMPUTED_VALUE"""),7.837137)</f>
        <v>7.837137</v>
      </c>
      <c r="D399" s="7">
        <f>IFERROR(__xludf.DUMMYFUNCTION("""COMPUTED_VALUE"""),0.169230769230769)</f>
        <v>0.1692307692</v>
      </c>
    </row>
    <row r="400">
      <c r="A400" s="10" t="s">
        <v>1839</v>
      </c>
      <c r="B400" s="7" t="str">
        <f>IFERROR(__xludf.DUMMYFUNCTION("SPLIT(A400,"" "")"),"CN1CCN(C)CCN(C(c2ccccn2)C2CC(C)(C)C2)CC1")</f>
        <v>CN1CCN(C)CCN(C(c2ccccn2)C2CC(C)(C)C2)CC1</v>
      </c>
      <c r="C400" s="7">
        <f>IFERROR(__xludf.DUMMYFUNCTION("""COMPUTED_VALUE"""),7.8371205)</f>
        <v>7.8371205</v>
      </c>
      <c r="D400" s="7">
        <f>IFERROR(__xludf.DUMMYFUNCTION("""COMPUTED_VALUE"""),0.382978723404255)</f>
        <v>0.3829787234</v>
      </c>
    </row>
    <row r="401">
      <c r="A401" s="10" t="s">
        <v>1840</v>
      </c>
      <c r="B401" s="7" t="str">
        <f>IFERROR(__xludf.DUMMYFUNCTION("SPLIT(A401,"" "")"),"CNC1CCCCC1N(C)Cc1ncccc1C")</f>
        <v>CNC1CCCCC1N(C)Cc1ncccc1C</v>
      </c>
      <c r="C401" s="7">
        <f>IFERROR(__xludf.DUMMYFUNCTION("""COMPUTED_VALUE"""),7.8370905)</f>
        <v>7.8370905</v>
      </c>
      <c r="D401" s="7">
        <f>IFERROR(__xludf.DUMMYFUNCTION("""COMPUTED_VALUE"""),0.468085106382978)</f>
        <v>0.4680851064</v>
      </c>
    </row>
    <row r="402">
      <c r="A402" s="10" t="s">
        <v>1841</v>
      </c>
      <c r="B402" s="7" t="str">
        <f>IFERROR(__xludf.DUMMYFUNCTION("SPLIT(A402,"" "")"),"Cc1cnccc1CN(C)CCN1CCN(C)CCN(C)CC1")</f>
        <v>Cc1cnccc1CN(C)CCN1CCN(C)CCN(C)CC1</v>
      </c>
      <c r="C402" s="7">
        <f>IFERROR(__xludf.DUMMYFUNCTION("""COMPUTED_VALUE"""),7.8369646)</f>
        <v>7.8369646</v>
      </c>
      <c r="D402" s="7">
        <f>IFERROR(__xludf.DUMMYFUNCTION("""COMPUTED_VALUE"""),0.346938775510204)</f>
        <v>0.3469387755</v>
      </c>
    </row>
    <row r="403">
      <c r="A403" s="10" t="s">
        <v>1842</v>
      </c>
      <c r="B403" s="7" t="str">
        <f>IFERROR(__xludf.DUMMYFUNCTION("SPLIT(A403,"" "")"),"CN1CCN(C)CCN(Cc2ccnc(C(C)(C)N3CCN(C)CCN(C)CC3)c2)CC1")</f>
        <v>CN1CCN(C)CCN(Cc2ccnc(C(C)(C)N3CCN(C)CCN(C)CC3)c2)CC1</v>
      </c>
      <c r="C403" s="7">
        <f>IFERROR(__xludf.DUMMYFUNCTION("""COMPUTED_VALUE"""),7.8369536)</f>
        <v>7.8369536</v>
      </c>
      <c r="D403" s="7">
        <f>IFERROR(__xludf.DUMMYFUNCTION("""COMPUTED_VALUE"""),0.477272727272727)</f>
        <v>0.4772727273</v>
      </c>
    </row>
    <row r="404">
      <c r="A404" s="10" t="s">
        <v>1843</v>
      </c>
      <c r="B404" s="7" t="str">
        <f>IFERROR(__xludf.DUMMYFUNCTION("SPLIT(A404,"" "")"),"CN(Cc1ccc2c(c1)OCCOCCOCCOCCOCCO2)C1CCCCC1N(C)Cc1ncccc1-c1ccc2c(c1)OCCOCCOCCOCCOCCO2")</f>
        <v>CN(Cc1ccc2c(c1)OCCOCCOCCOCCOCCO2)C1CCCCC1N(C)Cc1ncccc1-c1ccc2c(c1)OCCOCCOCCOCCOCCO2</v>
      </c>
      <c r="C404" s="7">
        <f>IFERROR(__xludf.DUMMYFUNCTION("""COMPUTED_VALUE"""),7.8369513)</f>
        <v>7.8369513</v>
      </c>
      <c r="D404" s="7">
        <f>IFERROR(__xludf.DUMMYFUNCTION("""COMPUTED_VALUE"""),0.383333333333333)</f>
        <v>0.3833333333</v>
      </c>
    </row>
    <row r="405">
      <c r="A405" s="10" t="s">
        <v>1844</v>
      </c>
      <c r="B405" s="7" t="str">
        <f>IFERROR(__xludf.DUMMYFUNCTION("SPLIT(A405,"" "")"),"CC(C)N(C)C1CCCC(N(Cc2ccccn2)C(C)C)C1")</f>
        <v>CC(C)N(C)C1CCCC(N(Cc2ccccn2)C(C)C)C1</v>
      </c>
      <c r="C405" s="7">
        <f>IFERROR(__xludf.DUMMYFUNCTION("""COMPUTED_VALUE"""),7.8368983)</f>
        <v>7.8368983</v>
      </c>
      <c r="D405" s="7">
        <f>IFERROR(__xludf.DUMMYFUNCTION("""COMPUTED_VALUE"""),0.5)</f>
        <v>0.5</v>
      </c>
    </row>
    <row r="406">
      <c r="A406" s="10" t="s">
        <v>1845</v>
      </c>
      <c r="B406" s="7" t="str">
        <f>IFERROR(__xludf.DUMMYFUNCTION("SPLIT(A406,"" "")"),"CC(C)N1CCN(C)CCN(C2=CCC=CN2)CC1")</f>
        <v>CC(C)N1CCN(C)CCN(C2=CCC=CN2)CC1</v>
      </c>
      <c r="C406" s="7">
        <f>IFERROR(__xludf.DUMMYFUNCTION("""COMPUTED_VALUE"""),7.8368354)</f>
        <v>7.8368354</v>
      </c>
      <c r="D406" s="7">
        <f>IFERROR(__xludf.DUMMYFUNCTION("""COMPUTED_VALUE"""),0.26)</f>
        <v>0.26</v>
      </c>
    </row>
    <row r="407">
      <c r="A407" s="10" t="s">
        <v>1846</v>
      </c>
      <c r="B407" s="7" t="str">
        <f>IFERROR(__xludf.DUMMYFUNCTION("SPLIT(A407,"" "")"),"C#CCNCc1cccnn1")</f>
        <v>C#CCNCc1cccnn1</v>
      </c>
      <c r="C407" s="7">
        <f>IFERROR(__xludf.DUMMYFUNCTION("""COMPUTED_VALUE"""),7.836785)</f>
        <v>7.836785</v>
      </c>
      <c r="D407" s="7">
        <f>IFERROR(__xludf.DUMMYFUNCTION("""COMPUTED_VALUE"""),0.432432432432432)</f>
        <v>0.4324324324</v>
      </c>
    </row>
    <row r="408">
      <c r="A408" s="10" t="s">
        <v>1847</v>
      </c>
      <c r="B408" s="7" t="str">
        <f>IFERROR(__xludf.DUMMYFUNCTION("SPLIT(A408,"" "")"),"CNCc1ccc(CN2CCN(C)CCN(C)CC2)cn1")</f>
        <v>CNCc1ccc(CN2CCN(C)CCN(C)CC2)cn1</v>
      </c>
      <c r="C408" s="7">
        <f>IFERROR(__xludf.DUMMYFUNCTION("""COMPUTED_VALUE"""),7.836771)</f>
        <v>7.836771</v>
      </c>
      <c r="D408" s="7">
        <f>IFERROR(__xludf.DUMMYFUNCTION("""COMPUTED_VALUE"""),0.441860465116279)</f>
        <v>0.4418604651</v>
      </c>
    </row>
    <row r="409">
      <c r="A409" s="10" t="s">
        <v>1848</v>
      </c>
      <c r="B409" s="7" t="str">
        <f>IFERROR(__xludf.DUMMYFUNCTION("SPLIT(A409,"" "")"),"CN(CCN(C)C(C)(C)c1ccccn1)Cc1cccc2c1OCCOCCOCCOCCOCCO2")</f>
        <v>CN(CCN(C)C(C)(C)c1ccccn1)Cc1cccc2c1OCCOCCOCCOCCOCCO2</v>
      </c>
      <c r="C409" s="7">
        <f>IFERROR(__xludf.DUMMYFUNCTION("""COMPUTED_VALUE"""),7.836758)</f>
        <v>7.836758</v>
      </c>
      <c r="D409" s="7">
        <f>IFERROR(__xludf.DUMMYFUNCTION("""COMPUTED_VALUE"""),0.368421052631578)</f>
        <v>0.3684210526</v>
      </c>
    </row>
    <row r="410">
      <c r="A410" s="10" t="s">
        <v>1849</v>
      </c>
      <c r="B410" s="7" t="str">
        <f>IFERROR(__xludf.DUMMYFUNCTION("SPLIT(A410,"" "")"),"CNCCN(Cc1ccccn1)C(C)(N)c1cccc2c1OCCOCCOCCOCCOCCO2")</f>
        <v>CNCCN(Cc1ccccn1)C(C)(N)c1cccc2c1OCCOCCOCCOCCOCCO2</v>
      </c>
      <c r="C410" s="7">
        <f>IFERROR(__xludf.DUMMYFUNCTION("""COMPUTED_VALUE"""),7.836699)</f>
        <v>7.836699</v>
      </c>
      <c r="D410" s="7">
        <f>IFERROR(__xludf.DUMMYFUNCTION("""COMPUTED_VALUE"""),0.338709677419354)</f>
        <v>0.3387096774</v>
      </c>
    </row>
    <row r="411">
      <c r="A411" s="10" t="s">
        <v>1850</v>
      </c>
      <c r="B411" s="7" t="str">
        <f>IFERROR(__xludf.DUMMYFUNCTION("SPLIT(A411,"" "")"),"CN(Cc1ccccn1)C1CCC(N(C)C2C=CC=CN2)CC1")</f>
        <v>CN(Cc1ccccn1)C1CCC(N(C)C2C=CC=CN2)CC1</v>
      </c>
      <c r="C411" s="7">
        <f>IFERROR(__xludf.DUMMYFUNCTION("""COMPUTED_VALUE"""),7.836651)</f>
        <v>7.836651</v>
      </c>
      <c r="D411" s="7">
        <f>IFERROR(__xludf.DUMMYFUNCTION("""COMPUTED_VALUE"""),0.5)</f>
        <v>0.5</v>
      </c>
    </row>
    <row r="412">
      <c r="A412" s="10" t="s">
        <v>1851</v>
      </c>
      <c r="B412" s="7" t="str">
        <f>IFERROR(__xludf.DUMMYFUNCTION("SPLIT(A412,"" "")"),"CNCC1CCCN1C(C)C")</f>
        <v>CNCC1CCCN1C(C)C</v>
      </c>
      <c r="C412" s="7">
        <f>IFERROR(__xludf.DUMMYFUNCTION("""COMPUTED_VALUE"""),7.8365417)</f>
        <v>7.8365417</v>
      </c>
      <c r="D412" s="7">
        <f>IFERROR(__xludf.DUMMYFUNCTION("""COMPUTED_VALUE"""),0.22)</f>
        <v>0.22</v>
      </c>
    </row>
    <row r="413">
      <c r="A413" s="10" t="s">
        <v>1852</v>
      </c>
      <c r="B413" s="7" t="str">
        <f>IFERROR(__xludf.DUMMYFUNCTION("SPLIT(A413,"" "")"),"CC(N)C(C)N(C)C1CCCC(N(C(C)C)C(C)C)C1")</f>
        <v>CC(N)C(C)N(C)C1CCCC(N(C(C)C)C(C)C)C1</v>
      </c>
      <c r="C413" s="7">
        <f>IFERROR(__xludf.DUMMYFUNCTION("""COMPUTED_VALUE"""),7.8365273)</f>
        <v>7.8365273</v>
      </c>
      <c r="D413" s="7">
        <f>IFERROR(__xludf.DUMMYFUNCTION("""COMPUTED_VALUE"""),0.176470588235294)</f>
        <v>0.1764705882</v>
      </c>
    </row>
    <row r="414">
      <c r="A414" s="10" t="s">
        <v>1853</v>
      </c>
      <c r="B414" s="7" t="str">
        <f>IFERROR(__xludf.DUMMYFUNCTION("SPLIT(A414,"" "")"),"Cc1ccc(CN(C2CCCCC2N(C)Cc2cccc(C)n2)C23C=CC=CC2OCCOCCOCCOC=COCCO3)nc1")</f>
        <v>Cc1ccc(CN(C2CCCCC2N(C)Cc2cccc(C)n2)C23C=CC=CC2OCCOCCOCCOC=COCCO3)nc1</v>
      </c>
      <c r="C414" s="7">
        <f>IFERROR(__xludf.DUMMYFUNCTION("""COMPUTED_VALUE"""),7.8364663)</f>
        <v>7.8364663</v>
      </c>
      <c r="D414" s="7">
        <f>IFERROR(__xludf.DUMMYFUNCTION("""COMPUTED_VALUE"""),0.442857142857142)</f>
        <v>0.4428571429</v>
      </c>
    </row>
    <row r="415">
      <c r="A415" s="10" t="s">
        <v>1854</v>
      </c>
      <c r="B415" s="7" t="str">
        <f>IFERROR(__xludf.DUMMYFUNCTION("SPLIT(A415,"" "")"),"CC1=C(C)C(C)(C)CCC1")</f>
        <v>CC1=C(C)C(C)(C)CCC1</v>
      </c>
      <c r="C415" s="7">
        <f>IFERROR(__xludf.DUMMYFUNCTION("""COMPUTED_VALUE"""),7.836464)</f>
        <v>7.836464</v>
      </c>
      <c r="D415" s="7">
        <f>IFERROR(__xludf.DUMMYFUNCTION("""COMPUTED_VALUE"""),0.153846153846153)</f>
        <v>0.1538461538</v>
      </c>
    </row>
    <row r="416">
      <c r="A416" s="10" t="s">
        <v>1855</v>
      </c>
      <c r="B416" s="7" t="str">
        <f>IFERROR(__xludf.DUMMYFUNCTION("SPLIT(A416,"" "")"),"CC(C)N(C)C1CCC(N(C)Cc2ncccc2C(C)(C)N2CCN(C)CCN(C)CC2)CC1")</f>
        <v>CC(C)N(C)C1CCC(N(C)Cc2ncccc2C(C)(C)N2CCN(C)CCN(C)CC2)CC1</v>
      </c>
      <c r="C416" s="7">
        <f>IFERROR(__xludf.DUMMYFUNCTION("""COMPUTED_VALUE"""),7.836374)</f>
        <v>7.836374</v>
      </c>
      <c r="D416" s="7">
        <f>IFERROR(__xludf.DUMMYFUNCTION("""COMPUTED_VALUE"""),0.283333333333333)</f>
        <v>0.2833333333</v>
      </c>
    </row>
    <row r="417">
      <c r="A417" s="10" t="s">
        <v>1856</v>
      </c>
      <c r="B417" s="7" t="str">
        <f>IFERROR(__xludf.DUMMYFUNCTION("SPLIT(A417,"" "")"),"CN1CCN(C)CCN(C(c2ccccn2)C(C)(C)N)CC1")</f>
        <v>CN1CCN(C)CCN(C(c2ccccn2)C(C)(C)N)CC1</v>
      </c>
      <c r="C417" s="7">
        <f>IFERROR(__xludf.DUMMYFUNCTION("""COMPUTED_VALUE"""),7.836371)</f>
        <v>7.836371</v>
      </c>
      <c r="D417" s="7">
        <f>IFERROR(__xludf.DUMMYFUNCTION("""COMPUTED_VALUE"""),0.409090909090909)</f>
        <v>0.4090909091</v>
      </c>
    </row>
    <row r="418">
      <c r="A418" s="10" t="s">
        <v>1857</v>
      </c>
      <c r="B418" s="7" t="str">
        <f>IFERROR(__xludf.DUMMYFUNCTION("SPLIT(A418,"" "")"),"CC(C)N(C)C1CCCCC1N(C(C)C)C(C)C")</f>
        <v>CC(C)N(C)C1CCCCC1N(C(C)C)C(C)C</v>
      </c>
      <c r="C418" s="7">
        <f>IFERROR(__xludf.DUMMYFUNCTION("""COMPUTED_VALUE"""),7.836353)</f>
        <v>7.836353</v>
      </c>
      <c r="D418" s="7">
        <f>IFERROR(__xludf.DUMMYFUNCTION("""COMPUTED_VALUE"""),0.309523809523809)</f>
        <v>0.3095238095</v>
      </c>
    </row>
    <row r="419">
      <c r="A419" s="10" t="s">
        <v>1858</v>
      </c>
      <c r="B419" s="7" t="str">
        <f>IFERROR(__xludf.DUMMYFUNCTION("SPLIT(A419,"" "")"),"CNC1CCCC(N(C)Cc2ccc(F)cn2)C1")</f>
        <v>CNC1CCCC(N(C)Cc2ccc(F)cn2)C1</v>
      </c>
      <c r="C419" s="7">
        <f>IFERROR(__xludf.DUMMYFUNCTION("""COMPUTED_VALUE"""),7.836297)</f>
        <v>7.836297</v>
      </c>
      <c r="D419" s="7">
        <f>IFERROR(__xludf.DUMMYFUNCTION("""COMPUTED_VALUE"""),0.42)</f>
        <v>0.42</v>
      </c>
    </row>
    <row r="420">
      <c r="A420" s="10" t="s">
        <v>1859</v>
      </c>
      <c r="B420" s="7" t="str">
        <f>IFERROR(__xludf.DUMMYFUNCTION("SPLIT(A420,"" "")"),"CN(Cc1cccc(-c2ccc3c(c2)OCCOCCOCCOCCOCCO3)n1)C1CCCCC1N(CC1=CC2OCCOCCOCCOCCOC=COC2C=C1)Cc1ccccn1")</f>
        <v>CN(Cc1cccc(-c2ccc3c(c2)OCCOCCOCCOCCOCCO3)n1)C1CCCCC1N(CC1=CC2OCCOCCOCCOCCOC=COC2C=C1)Cc1ccccn1</v>
      </c>
      <c r="C420" s="7">
        <f>IFERROR(__xludf.DUMMYFUNCTION("""COMPUTED_VALUE"""),7.8362465)</f>
        <v>7.8362465</v>
      </c>
      <c r="D420" s="7">
        <f>IFERROR(__xludf.DUMMYFUNCTION("""COMPUTED_VALUE"""),0.37037037037037)</f>
        <v>0.3703703704</v>
      </c>
    </row>
    <row r="421">
      <c r="A421" s="10" t="s">
        <v>1860</v>
      </c>
      <c r="B421" s="7" t="str">
        <f>IFERROR(__xludf.DUMMYFUNCTION("SPLIT(A421,"" "")"),"CCN1CCN(Cc2cc(-c3ccc4c(c3)OCCOCCOCCOCCOCCO4)ccn2)CCN(C(C)C)CC1")</f>
        <v>CCN1CCN(Cc2cc(-c3ccc4c(c3)OCCOCCOCCOCCOCCO4)ccn2)CCN(C(C)C)CC1</v>
      </c>
      <c r="C421" s="7">
        <f>IFERROR(__xludf.DUMMYFUNCTION("""COMPUTED_VALUE"""),7.836221)</f>
        <v>7.836221</v>
      </c>
      <c r="D421" s="7">
        <f>IFERROR(__xludf.DUMMYFUNCTION("""COMPUTED_VALUE"""),0.446428571428571)</f>
        <v>0.4464285714</v>
      </c>
    </row>
    <row r="422">
      <c r="A422" s="10" t="s">
        <v>1861</v>
      </c>
      <c r="B422" s="7" t="str">
        <f>IFERROR(__xludf.DUMMYFUNCTION("SPLIT(A422,"" "")"),"Cc1cccc(CN(C)C2CC(CN3CCN(C)CCN(C)CC3)N(C)C2)n1")</f>
        <v>Cc1cccc(CN(C)C2CC(CN3CCN(C)CCN(C)CC3)N(C)C2)n1</v>
      </c>
      <c r="C422" s="7">
        <f>IFERROR(__xludf.DUMMYFUNCTION("""COMPUTED_VALUE"""),7.8361673)</f>
        <v>7.8361673</v>
      </c>
      <c r="D422" s="7">
        <f>IFERROR(__xludf.DUMMYFUNCTION("""COMPUTED_VALUE"""),0.5)</f>
        <v>0.5</v>
      </c>
    </row>
    <row r="423">
      <c r="A423" s="10" t="s">
        <v>1862</v>
      </c>
      <c r="B423" s="7" t="str">
        <f>IFERROR(__xludf.DUMMYFUNCTION("SPLIT(A423,"" "")"),"Cc1ccc(CN2CCN(C)CCN(C)CC2)c(N)c1")</f>
        <v>Cc1ccc(CN2CCN(C)CCN(C)CC2)c(N)c1</v>
      </c>
      <c r="C423" s="7">
        <f>IFERROR(__xludf.DUMMYFUNCTION("""COMPUTED_VALUE"""),7.836158)</f>
        <v>7.836158</v>
      </c>
      <c r="D423" s="7">
        <f>IFERROR(__xludf.DUMMYFUNCTION("""COMPUTED_VALUE"""),0.5)</f>
        <v>0.5</v>
      </c>
    </row>
    <row r="424">
      <c r="A424" s="10" t="s">
        <v>1863</v>
      </c>
      <c r="B424" s="7" t="str">
        <f>IFERROR(__xludf.DUMMYFUNCTION("SPLIT(A424,"" "")"),"Cc1cncc(CN(C)CCN2CCN(C)CCN(C)CC2)c1")</f>
        <v>Cc1cncc(CN(C)CCN2CCN(C)CCN(C)CC2)c1</v>
      </c>
      <c r="C424" s="7">
        <f>IFERROR(__xludf.DUMMYFUNCTION("""COMPUTED_VALUE"""),7.836116)</f>
        <v>7.836116</v>
      </c>
      <c r="D424" s="7">
        <f>IFERROR(__xludf.DUMMYFUNCTION("""COMPUTED_VALUE"""),0.361702127659574)</f>
        <v>0.3617021277</v>
      </c>
    </row>
    <row r="425">
      <c r="A425" s="10" t="s">
        <v>1864</v>
      </c>
      <c r="B425" s="7" t="str">
        <f>IFERROR(__xludf.DUMMYFUNCTION("SPLIT(A425,"" "")"),"COC(=O)C(=O)N1CCN(C)CCN(C(=O)C(C)N2CCN(C)CCN(C(=O)C(C)C(C)N)CC2)CC1")</f>
        <v>COC(=O)C(=O)N1CCN(C)CCN(C(=O)C(C)N2CCN(C)CCN(C(=O)C(C)C(C)N)CC2)CC1</v>
      </c>
      <c r="C425" s="7">
        <f>IFERROR(__xludf.DUMMYFUNCTION("""COMPUTED_VALUE"""),7.836059)</f>
        <v>7.836059</v>
      </c>
      <c r="D425" s="7">
        <f>IFERROR(__xludf.DUMMYFUNCTION("""COMPUTED_VALUE"""),0.205128205128205)</f>
        <v>0.2051282051</v>
      </c>
    </row>
    <row r="426">
      <c r="A426" s="10" t="s">
        <v>1865</v>
      </c>
      <c r="B426" s="7" t="str">
        <f>IFERROR(__xludf.DUMMYFUNCTION("SPLIT(A426,"" "")"),"CNc1ccc2c(c1)OCCOCCOCCOCCOC(C)CO2")</f>
        <v>CNc1ccc2c(c1)OCCOCCOCCOCCOC(C)CO2</v>
      </c>
      <c r="C426" s="7">
        <f>IFERROR(__xludf.DUMMYFUNCTION("""COMPUTED_VALUE"""),7.8360324)</f>
        <v>7.8360324</v>
      </c>
      <c r="D426" s="7">
        <f>IFERROR(__xludf.DUMMYFUNCTION("""COMPUTED_VALUE"""),0.311475409836065)</f>
        <v>0.3114754098</v>
      </c>
    </row>
    <row r="427">
      <c r="A427" s="10" t="s">
        <v>1866</v>
      </c>
      <c r="B427" s="7" t="str">
        <f>IFERROR(__xludf.DUMMYFUNCTION("SPLIT(A427,"" "")"),"Cc1cncc(CN(C)C2CCCC(N(C)C(C)C)C2)c1")</f>
        <v>Cc1cncc(CN(C)C2CCCC(N(C)C(C)C)C2)c1</v>
      </c>
      <c r="C427" s="7">
        <f>IFERROR(__xludf.DUMMYFUNCTION("""COMPUTED_VALUE"""),7.836026)</f>
        <v>7.836026</v>
      </c>
      <c r="D427" s="7">
        <f>IFERROR(__xludf.DUMMYFUNCTION("""COMPUTED_VALUE"""),0.296296296296296)</f>
        <v>0.2962962963</v>
      </c>
    </row>
    <row r="428">
      <c r="A428" s="10" t="s">
        <v>1867</v>
      </c>
      <c r="B428" s="7" t="str">
        <f>IFERROR(__xludf.DUMMYFUNCTION("SPLIT(A428,"" "")"),"CNCN1CCN(C)CCN(Cc2cc(C)cnc2C)CC1")</f>
        <v>CNCN1CCN(C)CCN(Cc2cc(C)cnc2C)CC1</v>
      </c>
      <c r="C428" s="7">
        <f>IFERROR(__xludf.DUMMYFUNCTION("""COMPUTED_VALUE"""),7.8360205)</f>
        <v>7.8360205</v>
      </c>
      <c r="D428" s="7">
        <f>IFERROR(__xludf.DUMMYFUNCTION("""COMPUTED_VALUE"""),0.425531914893617)</f>
        <v>0.4255319149</v>
      </c>
    </row>
    <row r="429">
      <c r="A429" s="10" t="s">
        <v>1868</v>
      </c>
      <c r="B429" s="7" t="str">
        <f>IFERROR(__xludf.DUMMYFUNCTION("SPLIT(A429,"" "")"),"CN1CCN(C)CCN(CCC2=CC(N(C)Cc3ccccn3)C=CN2)CC1")</f>
        <v>CN1CCN(C)CCN(CCC2=CC(N(C)Cc3ccccn3)C=CN2)CC1</v>
      </c>
      <c r="C429" s="7">
        <f>IFERROR(__xludf.DUMMYFUNCTION("""COMPUTED_VALUE"""),7.836015)</f>
        <v>7.836015</v>
      </c>
      <c r="D429" s="7">
        <f>IFERROR(__xludf.DUMMYFUNCTION("""COMPUTED_VALUE"""),0.482142857142857)</f>
        <v>0.4821428571</v>
      </c>
    </row>
    <row r="430">
      <c r="A430" s="10" t="s">
        <v>1869</v>
      </c>
      <c r="B430" s="7" t="str">
        <f>IFERROR(__xludf.DUMMYFUNCTION("SPLIT(A430,"" "")"),"CC(C)c1cccc(CN2CCN(C)CCN(C)CC2)c1")</f>
        <v>CC(C)c1cccc(CN2CCN(C)CCN(C)CC2)c1</v>
      </c>
      <c r="C430" s="7">
        <f>IFERROR(__xludf.DUMMYFUNCTION("""COMPUTED_VALUE"""),7.8360095)</f>
        <v>7.8360095</v>
      </c>
      <c r="D430" s="7">
        <f>IFERROR(__xludf.DUMMYFUNCTION("""COMPUTED_VALUE"""),0.428571428571428)</f>
        <v>0.4285714286</v>
      </c>
    </row>
    <row r="431">
      <c r="A431" s="10" t="s">
        <v>1870</v>
      </c>
      <c r="B431" s="7" t="str">
        <f>IFERROR(__xludf.DUMMYFUNCTION("SPLIT(A431,"" "")"),"CNC1CCC(N(C)Cc2cc(C)ccn2)CC1")</f>
        <v>CNC1CCC(N(C)Cc2cc(C)ccn2)CC1</v>
      </c>
      <c r="C431" s="7">
        <f>IFERROR(__xludf.DUMMYFUNCTION("""COMPUTED_VALUE"""),7.8359146)</f>
        <v>7.8359146</v>
      </c>
      <c r="D431" s="7">
        <f>IFERROR(__xludf.DUMMYFUNCTION("""COMPUTED_VALUE"""),0.36734693877551)</f>
        <v>0.3673469388</v>
      </c>
    </row>
    <row r="432">
      <c r="A432" s="10" t="s">
        <v>1871</v>
      </c>
      <c r="B432" s="7" t="str">
        <f>IFERROR(__xludf.DUMMYFUNCTION("SPLIT(A432,"" "")"),"CC(C)N(CCN1CCN(C)CCN(CC(C)(C)C)CC1)C(C)C")</f>
        <v>CC(C)N(CCN1CCN(C)CCN(CC(C)(C)C)CC1)C(C)C</v>
      </c>
      <c r="C432" s="7">
        <f>IFERROR(__xludf.DUMMYFUNCTION("""COMPUTED_VALUE"""),7.8358994)</f>
        <v>7.8358994</v>
      </c>
      <c r="D432" s="7">
        <f>IFERROR(__xludf.DUMMYFUNCTION("""COMPUTED_VALUE"""),0.275862068965517)</f>
        <v>0.275862069</v>
      </c>
    </row>
    <row r="433">
      <c r="A433" s="10" t="s">
        <v>1872</v>
      </c>
      <c r="B433" s="7" t="str">
        <f>IFERROR(__xludf.DUMMYFUNCTION("SPLIT(A433,"" "")"),"CNCN1CCN(C)CCN(Cc2cnc(C)c(C)c2)CC1")</f>
        <v>CNCN1CCN(C)CCN(Cc2cnc(C)c(C)c2)CC1</v>
      </c>
      <c r="C433" s="7">
        <f>IFERROR(__xludf.DUMMYFUNCTION("""COMPUTED_VALUE"""),7.8357882)</f>
        <v>7.8357882</v>
      </c>
      <c r="D433" s="7">
        <f>IFERROR(__xludf.DUMMYFUNCTION("""COMPUTED_VALUE"""),0.404255319148936)</f>
        <v>0.4042553191</v>
      </c>
    </row>
    <row r="434">
      <c r="A434" s="10" t="s">
        <v>1873</v>
      </c>
      <c r="B434" s="7" t="str">
        <f>IFERROR(__xludf.DUMMYFUNCTION("SPLIT(A434,"" "")"),"CN(Cc1cccc(C2CC3OCCOCCOCCOCCOCCOC32)n1)Cc1cccc(C2CCC2(C)C)n1")</f>
        <v>CN(Cc1cccc(C2CC3OCCOCCOCCOCCOCCOC32)n1)Cc1cccc(C2CCC2(C)C)n1</v>
      </c>
      <c r="C434" s="7">
        <f>IFERROR(__xludf.DUMMYFUNCTION("""COMPUTED_VALUE"""),7.83571)</f>
        <v>7.83571</v>
      </c>
      <c r="D434" s="7">
        <f>IFERROR(__xludf.DUMMYFUNCTION("""COMPUTED_VALUE"""),0.301587301587301)</f>
        <v>0.3015873016</v>
      </c>
    </row>
    <row r="435">
      <c r="A435" s="10" t="s">
        <v>1874</v>
      </c>
      <c r="B435" s="7" t="str">
        <f>IFERROR(__xludf.DUMMYFUNCTION("SPLIT(A435,"" "")"),"Cc1cccnc1CN(C)C1CCCC(N(C)C2CCCC(N(Cc3cccnc3)C(C)C)C2)C1")</f>
        <v>Cc1cccnc1CN(C)C1CCCC(N(C)C2CCCC(N(Cc3cccnc3)C(C)C)C2)C1</v>
      </c>
      <c r="C435" s="7">
        <f>IFERROR(__xludf.DUMMYFUNCTION("""COMPUTED_VALUE"""),7.8356633)</f>
        <v>7.8356633</v>
      </c>
      <c r="D435" s="7">
        <f>IFERROR(__xludf.DUMMYFUNCTION("""COMPUTED_VALUE"""),0.28125)</f>
        <v>0.28125</v>
      </c>
    </row>
    <row r="436">
      <c r="A436" s="10" t="s">
        <v>1875</v>
      </c>
      <c r="B436" s="7" t="str">
        <f>IFERROR(__xludf.DUMMYFUNCTION("SPLIT(A436,"" "")"),"c1ccc(C2CCCN2)nc1")</f>
        <v>c1ccc(C2CCCN2)nc1</v>
      </c>
      <c r="C436" s="7">
        <f>IFERROR(__xludf.DUMMYFUNCTION("""COMPUTED_VALUE"""),7.8356366)</f>
        <v>7.8356366</v>
      </c>
      <c r="D436" s="7">
        <f>IFERROR(__xludf.DUMMYFUNCTION("""COMPUTED_VALUE"""),0.333333333333333)</f>
        <v>0.3333333333</v>
      </c>
    </row>
    <row r="437">
      <c r="A437" s="10" t="s">
        <v>1876</v>
      </c>
      <c r="B437" s="7" t="str">
        <f>IFERROR(__xludf.DUMMYFUNCTION("SPLIT(A437,"" "")"),"CC(N)C(C)c1ccccc1")</f>
        <v>CC(N)C(C)c1ccccc1</v>
      </c>
      <c r="C437" s="7">
        <f>IFERROR(__xludf.DUMMYFUNCTION("""COMPUTED_VALUE"""),7.835566)</f>
        <v>7.835566</v>
      </c>
      <c r="D437" s="7">
        <f>IFERROR(__xludf.DUMMYFUNCTION("""COMPUTED_VALUE"""),0.318181818181818)</f>
        <v>0.3181818182</v>
      </c>
    </row>
    <row r="438">
      <c r="A438" s="10" t="s">
        <v>1877</v>
      </c>
      <c r="B438" s="7" t="str">
        <f>IFERROR(__xludf.DUMMYFUNCTION("SPLIT(A438,"" "")"),"Cc1cccnc1CN(C)CCN1CCN(C)CCN(C)CC1")</f>
        <v>Cc1cccnc1CN(C)CCN1CCN(C)CCN(C)CC1</v>
      </c>
      <c r="C438" s="7">
        <f>IFERROR(__xludf.DUMMYFUNCTION("""COMPUTED_VALUE"""),7.8355117)</f>
        <v>7.8355117</v>
      </c>
      <c r="D438" s="7">
        <f>IFERROR(__xludf.DUMMYFUNCTION("""COMPUTED_VALUE"""),0.422222222222222)</f>
        <v>0.4222222222</v>
      </c>
    </row>
    <row r="439">
      <c r="A439" s="10" t="s">
        <v>1878</v>
      </c>
      <c r="B439" s="7" t="str">
        <f>IFERROR(__xludf.DUMMYFUNCTION("SPLIT(A439,"" "")"),"CCN(Cc1ccccn1)C1CCC(N(C)CC(C)(C)C)CC1")</f>
        <v>CCN(Cc1ccccn1)C1CCC(N(C)CC(C)(C)C)CC1</v>
      </c>
      <c r="C439" s="7">
        <f>IFERROR(__xludf.DUMMYFUNCTION("""COMPUTED_VALUE"""),7.835475)</f>
        <v>7.835475</v>
      </c>
      <c r="D439" s="7">
        <f>IFERROR(__xludf.DUMMYFUNCTION("""COMPUTED_VALUE"""),0.5)</f>
        <v>0.5</v>
      </c>
    </row>
    <row r="440">
      <c r="A440" s="10" t="s">
        <v>1879</v>
      </c>
      <c r="B440" s="7" t="str">
        <f>IFERROR(__xludf.DUMMYFUNCTION("SPLIT(A440,"" "")"),"Cc1cccnc1CN(C)C1CCC(N(C)C2CCCCC2N(C)Cc2ncccc2C)CC1")</f>
        <v>Cc1cccnc1CN(C)C1CCC(N(C)C2CCCCC2N(C)Cc2ncccc2C)CC1</v>
      </c>
      <c r="C440" s="7">
        <f>IFERROR(__xludf.DUMMYFUNCTION("""COMPUTED_VALUE"""),7.835471)</f>
        <v>7.835471</v>
      </c>
      <c r="D440" s="7">
        <f>IFERROR(__xludf.DUMMYFUNCTION("""COMPUTED_VALUE"""),0.489361702127659)</f>
        <v>0.4893617021</v>
      </c>
    </row>
    <row r="441">
      <c r="A441" s="10" t="s">
        <v>1880</v>
      </c>
      <c r="B441" s="7" t="str">
        <f>IFERROR(__xludf.DUMMYFUNCTION("SPLIT(A441,"" "")"),"Cc1cccnc1CN(C)C1CCCC(N(C)C(C)N)C1")</f>
        <v>Cc1cccnc1CN(C)C1CCCC(N(C)C(C)N)C1</v>
      </c>
      <c r="C441" s="7">
        <f>IFERROR(__xludf.DUMMYFUNCTION("""COMPUTED_VALUE"""),7.8354483)</f>
        <v>7.8354483</v>
      </c>
      <c r="D441" s="7">
        <f>IFERROR(__xludf.DUMMYFUNCTION("""COMPUTED_VALUE"""),0.333333333333333)</f>
        <v>0.3333333333</v>
      </c>
    </row>
    <row r="442">
      <c r="A442" s="10" t="s">
        <v>1881</v>
      </c>
      <c r="B442" s="7" t="str">
        <f>IFERROR(__xludf.DUMMYFUNCTION("SPLIT(A442,"" "")"),"CNCN1CCN(C)CCN(Cc2ccc(C)nc2C)CC1")</f>
        <v>CNCN1CCN(C)CCN(Cc2ccc(C)nc2C)CC1</v>
      </c>
      <c r="C442" s="7">
        <f>IFERROR(__xludf.DUMMYFUNCTION("""COMPUTED_VALUE"""),7.8353877)</f>
        <v>7.8353877</v>
      </c>
      <c r="D442" s="7">
        <f>IFERROR(__xludf.DUMMYFUNCTION("""COMPUTED_VALUE"""),0.477272727272727)</f>
        <v>0.4772727273</v>
      </c>
    </row>
    <row r="443">
      <c r="A443" s="10" t="s">
        <v>1882</v>
      </c>
      <c r="B443" s="7" t="str">
        <f>IFERROR(__xludf.DUMMYFUNCTION("SPLIT(A443,"" "")"),"Cc1ccc(CN2CCN(C)CCN(C)CC2)cn1")</f>
        <v>Cc1ccc(CN2CCN(C)CCN(C)CC2)cn1</v>
      </c>
      <c r="C443" s="7">
        <f>IFERROR(__xludf.DUMMYFUNCTION("""COMPUTED_VALUE"""),7.835378)</f>
        <v>7.835378</v>
      </c>
      <c r="D443" s="7">
        <f>IFERROR(__xludf.DUMMYFUNCTION("""COMPUTED_VALUE"""),0.487179487179487)</f>
        <v>0.4871794872</v>
      </c>
    </row>
    <row r="444">
      <c r="A444" s="10" t="s">
        <v>1883</v>
      </c>
      <c r="B444" s="7" t="str">
        <f>IFERROR(__xludf.DUMMYFUNCTION("SPLIT(A444,"" "")"),"CN1CCN(C)CCN(CCCN(C)Cc2cnccc2-c2cccc3c2OCCOCCOCCOCCOCCO3)CC1")</f>
        <v>CN1CCN(C)CCN(CCCN(C)Cc2cnccc2-c2cccc3c2OCCOCCOCCOCCOCCO3)CC1</v>
      </c>
      <c r="C444" s="7">
        <f>IFERROR(__xludf.DUMMYFUNCTION("""COMPUTED_VALUE"""),7.8353634)</f>
        <v>7.8353634</v>
      </c>
      <c r="D444" s="7">
        <f>IFERROR(__xludf.DUMMYFUNCTION("""COMPUTED_VALUE"""),0.257575757575757)</f>
        <v>0.2575757576</v>
      </c>
    </row>
    <row r="445">
      <c r="A445" s="10" t="s">
        <v>1884</v>
      </c>
      <c r="B445" s="7" t="str">
        <f>IFERROR(__xludf.DUMMYFUNCTION("SPLIT(A445,"" "")"),"CNc1ccc2c(c1)OC(C)COCCOCCOCCOCCO2")</f>
        <v>CNc1ccc2c(c1)OC(C)COCCOCCOCCOCCO2</v>
      </c>
      <c r="C445" s="7">
        <f>IFERROR(__xludf.DUMMYFUNCTION("""COMPUTED_VALUE"""),7.835291)</f>
        <v>7.835291</v>
      </c>
      <c r="D445" s="7">
        <f>IFERROR(__xludf.DUMMYFUNCTION("""COMPUTED_VALUE"""),0.274193548387096)</f>
        <v>0.2741935484</v>
      </c>
    </row>
    <row r="446">
      <c r="A446" s="10" t="s">
        <v>1885</v>
      </c>
      <c r="B446" s="7" t="str">
        <f>IFERROR(__xludf.DUMMYFUNCTION("SPLIT(A446,"" "")"),"CNc1ccc2c(c1)OCCOCCOCCOCCOCC(C)O2")</f>
        <v>CNc1ccc2c(c1)OCCOCCOCCOCCOCC(C)O2</v>
      </c>
      <c r="C446" s="7">
        <f>IFERROR(__xludf.DUMMYFUNCTION("""COMPUTED_VALUE"""),7.8352776)</f>
        <v>7.8352776</v>
      </c>
      <c r="D446" s="7">
        <f>IFERROR(__xludf.DUMMYFUNCTION("""COMPUTED_VALUE"""),0.274193548387096)</f>
        <v>0.2741935484</v>
      </c>
    </row>
    <row r="447">
      <c r="A447" s="10" t="s">
        <v>1886</v>
      </c>
      <c r="B447" s="7" t="str">
        <f>IFERROR(__xludf.DUMMYFUNCTION("SPLIT(A447,"" "")"),"CN1CCN(C)CCN(Cc2cccnc2C2CCC2(C)C)CC1")</f>
        <v>CN1CCN(C)CCN(Cc2cccnc2C2CCC2(C)C)CC1</v>
      </c>
      <c r="C447" s="7">
        <f>IFERROR(__xludf.DUMMYFUNCTION("""COMPUTED_VALUE"""),7.8352604)</f>
        <v>7.8352604</v>
      </c>
      <c r="D447" s="7">
        <f>IFERROR(__xludf.DUMMYFUNCTION("""COMPUTED_VALUE"""),0.446808510638297)</f>
        <v>0.4468085106</v>
      </c>
    </row>
    <row r="448">
      <c r="A448" s="10" t="s">
        <v>1887</v>
      </c>
      <c r="B448" s="7" t="str">
        <f>IFERROR(__xludf.DUMMYFUNCTION("SPLIT(A448,"" "")"),"CN(Cc1ccc2c(c1)OCCOCCOCCOCCOCCO2)C1CCC(N(C)Cc2cc(-c3ccc4c(c3)OCCOCCOCCOCCOCCO4)ccn2)CC1")</f>
        <v>CN(Cc1ccc2c(c1)OCCOCCOCCOCCOCCO2)C1CCC(N(C)Cc2cc(-c3ccc4c(c3)OCCOCCOCCOCCOCCO4)ccn2)CC1</v>
      </c>
      <c r="C448" s="7">
        <f>IFERROR(__xludf.DUMMYFUNCTION("""COMPUTED_VALUE"""),7.835219)</f>
        <v>7.835219</v>
      </c>
      <c r="D448" s="7">
        <f>IFERROR(__xludf.DUMMYFUNCTION("""COMPUTED_VALUE"""),0.415384615384615)</f>
        <v>0.4153846154</v>
      </c>
    </row>
    <row r="449">
      <c r="A449" s="10" t="s">
        <v>1888</v>
      </c>
      <c r="B449" s="7" t="str">
        <f>IFERROR(__xludf.DUMMYFUNCTION("SPLIT(A449,"" "")"),"CN1CCN(C)CCN(CCN(C)c2cccc(F)c2)CC1")</f>
        <v>CN1CCN(C)CCN(CCN(C)c2cccc(F)c2)CC1</v>
      </c>
      <c r="C449" s="7">
        <f>IFERROR(__xludf.DUMMYFUNCTION("""COMPUTED_VALUE"""),7.835183)</f>
        <v>7.835183</v>
      </c>
      <c r="D449" s="7">
        <f>IFERROR(__xludf.DUMMYFUNCTION("""COMPUTED_VALUE"""),0.391304347826087)</f>
        <v>0.3913043478</v>
      </c>
    </row>
    <row r="450">
      <c r="A450" s="10" t="s">
        <v>1889</v>
      </c>
      <c r="B450" s="7" t="str">
        <f>IFERROR(__xludf.DUMMYFUNCTION("SPLIT(A450,"" "")"),"Cc1cnc(CN2CCN(C)CCN(CN(C)C(C)C)CC2)cc1C")</f>
        <v>Cc1cnc(CN2CCN(C)CCN(CN(C)C(C)C)CC2)cc1C</v>
      </c>
      <c r="C450" s="7">
        <f>IFERROR(__xludf.DUMMYFUNCTION("""COMPUTED_VALUE"""),7.835182)</f>
        <v>7.835182</v>
      </c>
      <c r="D450" s="7">
        <f>IFERROR(__xludf.DUMMYFUNCTION("""COMPUTED_VALUE"""),0.458333333333333)</f>
        <v>0.4583333333</v>
      </c>
    </row>
    <row r="451">
      <c r="A451" s="10" t="s">
        <v>1890</v>
      </c>
      <c r="B451" s="7" t="str">
        <f>IFERROR(__xludf.DUMMYFUNCTION("SPLIT(A451,"" "")"),"CC1CC=C(N(C)C2CCCC(N(C)Cc3ccccn3)C2)C(C)C1(C)C")</f>
        <v>CC1CC=C(N(C)C2CCCC(N(C)Cc3ccccn3)C2)C(C)C1(C)C</v>
      </c>
      <c r="C451" s="7">
        <f>IFERROR(__xludf.DUMMYFUNCTION("""COMPUTED_VALUE"""),7.8351555)</f>
        <v>7.8351555</v>
      </c>
      <c r="D451" s="7">
        <f>IFERROR(__xludf.DUMMYFUNCTION("""COMPUTED_VALUE"""),0.462962962962962)</f>
        <v>0.462962963</v>
      </c>
    </row>
    <row r="452">
      <c r="A452" s="10" t="s">
        <v>1891</v>
      </c>
      <c r="B452" s="7" t="str">
        <f>IFERROR(__xludf.DUMMYFUNCTION("SPLIT(A452,"" "")"),"CNc1ccc2c(c1)OCCOCCOCC(C)OCCOCCO2")</f>
        <v>CNc1ccc2c(c1)OCCOCCOCC(C)OCCOCCO2</v>
      </c>
      <c r="C452" s="7">
        <f>IFERROR(__xludf.DUMMYFUNCTION("""COMPUTED_VALUE"""),7.8351245)</f>
        <v>7.8351245</v>
      </c>
      <c r="D452" s="7">
        <f>IFERROR(__xludf.DUMMYFUNCTION("""COMPUTED_VALUE"""),0.311475409836065)</f>
        <v>0.3114754098</v>
      </c>
    </row>
    <row r="453">
      <c r="A453" s="10" t="s">
        <v>1892</v>
      </c>
      <c r="B453" s="7" t="str">
        <f>IFERROR(__xludf.DUMMYFUNCTION("SPLIT(A453,"" "")"),"CNC1CCC(N(C)Cc2ncccc2C)CC1")</f>
        <v>CNC1CCC(N(C)Cc2ncccc2C)CC1</v>
      </c>
      <c r="C453" s="7">
        <f>IFERROR(__xludf.DUMMYFUNCTION("""COMPUTED_VALUE"""),7.835084)</f>
        <v>7.835084</v>
      </c>
      <c r="D453" s="7">
        <f>IFERROR(__xludf.DUMMYFUNCTION("""COMPUTED_VALUE"""),0.34)</f>
        <v>0.34</v>
      </c>
    </row>
    <row r="454">
      <c r="A454" s="10" t="s">
        <v>1893</v>
      </c>
      <c r="B454" s="7" t="str">
        <f>IFERROR(__xludf.DUMMYFUNCTION("SPLIT(A454,"" "")"),"CCC(C)C1CCC1c1cccc(CN(Cc2ccccn2)C2CCCCC2)n1")</f>
        <v>CCC(C)C1CCC1c1cccc(CN(Cc2ccccn2)C2CCCCC2)n1</v>
      </c>
      <c r="C454" s="7">
        <f>IFERROR(__xludf.DUMMYFUNCTION("""COMPUTED_VALUE"""),7.8350782)</f>
        <v>7.8350782</v>
      </c>
      <c r="D454" s="7">
        <f>IFERROR(__xludf.DUMMYFUNCTION("""COMPUTED_VALUE"""),0.410714285714285)</f>
        <v>0.4107142857</v>
      </c>
    </row>
    <row r="455">
      <c r="A455" s="10" t="s">
        <v>1894</v>
      </c>
      <c r="B455" s="7" t="str">
        <f>IFERROR(__xludf.DUMMYFUNCTION("SPLIT(A455,"" "")"),"C1=COC(N(Cc2ccccn2)Cc2cccc(-c3ccc4c(c3)OCCOCCOCCOCCOCCO4)n2)COCCOCCOCCOCCO1")</f>
        <v>C1=COC(N(Cc2ccccn2)Cc2cccc(-c3ccc4c(c3)OCCOCCOCCOCCOCCO4)n2)COCCOCCOCCOCCO1</v>
      </c>
      <c r="C455" s="7">
        <f>IFERROR(__xludf.DUMMYFUNCTION("""COMPUTED_VALUE"""),7.8350725)</f>
        <v>7.8350725</v>
      </c>
      <c r="D455" s="7">
        <f>IFERROR(__xludf.DUMMYFUNCTION("""COMPUTED_VALUE"""),0.380281690140845)</f>
        <v>0.3802816901</v>
      </c>
    </row>
    <row r="456">
      <c r="A456" s="10" t="s">
        <v>1895</v>
      </c>
      <c r="B456" s="7" t="str">
        <f>IFERROR(__xludf.DUMMYFUNCTION("SPLIT(A456,"" "")"),"CN1CCN(C)CCN(CCCN(C)Cc2ncccc2-c2cccc3c2OCCOCCOCCOCCOCCO3)CC1")</f>
        <v>CN1CCN(C)CCN(CCCN(C)Cc2ncccc2-c2cccc3c2OCCOCCOCCOCCOCCO3)CC1</v>
      </c>
      <c r="C456" s="7">
        <f>IFERROR(__xludf.DUMMYFUNCTION("""COMPUTED_VALUE"""),7.835028)</f>
        <v>7.835028</v>
      </c>
      <c r="D456" s="7">
        <f>IFERROR(__xludf.DUMMYFUNCTION("""COMPUTED_VALUE"""),0.306451612903225)</f>
        <v>0.3064516129</v>
      </c>
    </row>
    <row r="457">
      <c r="A457" s="10" t="s">
        <v>1896</v>
      </c>
      <c r="B457" s="7" t="str">
        <f>IFERROR(__xludf.DUMMYFUNCTION("SPLIT(A457,"" "")"),"CC(N)C(C)N1CCN(C)CCN(Cc2ncccc2C(C)(C)C)CC1")</f>
        <v>CC(N)C(C)N1CCN(C)CCN(Cc2ncccc2C(C)(C)C)CC1</v>
      </c>
      <c r="C457" s="7">
        <f>IFERROR(__xludf.DUMMYFUNCTION("""COMPUTED_VALUE"""),7.834971)</f>
        <v>7.834971</v>
      </c>
      <c r="D457" s="7">
        <f>IFERROR(__xludf.DUMMYFUNCTION("""COMPUTED_VALUE"""),0.411764705882352)</f>
        <v>0.4117647059</v>
      </c>
    </row>
    <row r="458">
      <c r="A458" s="10" t="s">
        <v>1897</v>
      </c>
      <c r="B458" s="7" t="str">
        <f>IFERROR(__xludf.DUMMYFUNCTION("SPLIT(A458,"" "")"),"CC(C)N(C)CN")</f>
        <v>CC(C)N(C)CN</v>
      </c>
      <c r="C458" s="7">
        <f>IFERROR(__xludf.DUMMYFUNCTION("""COMPUTED_VALUE"""),7.8349495)</f>
        <v>7.8349495</v>
      </c>
      <c r="D458" s="7">
        <f>IFERROR(__xludf.DUMMYFUNCTION("""COMPUTED_VALUE"""),0.205882352941176)</f>
        <v>0.2058823529</v>
      </c>
    </row>
    <row r="459">
      <c r="A459" s="10" t="s">
        <v>1898</v>
      </c>
      <c r="B459" s="7" t="str">
        <f>IFERROR(__xludf.DUMMYFUNCTION("SPLIT(A459,"" "")"),"C1=CC2OCCOCCOCCOCCOC=COC2(N(Cc2ccccn2)Cc2ccccn2)C=C1")</f>
        <v>C1=CC2OCCOCCOCCOCCOC=COC2(N(Cc2ccccn2)Cc2ccccn2)C=C1</v>
      </c>
      <c r="C459" s="7">
        <f>IFERROR(__xludf.DUMMYFUNCTION("""COMPUTED_VALUE"""),7.8349233)</f>
        <v>7.8349233</v>
      </c>
      <c r="D459" s="7">
        <f>IFERROR(__xludf.DUMMYFUNCTION("""COMPUTED_VALUE"""),0.328125)</f>
        <v>0.328125</v>
      </c>
    </row>
    <row r="460">
      <c r="A460" s="10" t="s">
        <v>1899</v>
      </c>
      <c r="B460" s="7" t="str">
        <f>IFERROR(__xludf.DUMMYFUNCTION("SPLIT(A460,"" "")"),"Cc1cccnc1CN(C)C1CCC(N(C)C(C)C)CC1")</f>
        <v>Cc1cccnc1CN(C)C1CCC(N(C)C(C)C)CC1</v>
      </c>
      <c r="C460" s="7">
        <f>IFERROR(__xludf.DUMMYFUNCTION("""COMPUTED_VALUE"""),7.8348966)</f>
        <v>7.8348966</v>
      </c>
      <c r="D460" s="7">
        <f>IFERROR(__xludf.DUMMYFUNCTION("""COMPUTED_VALUE"""),0.34)</f>
        <v>0.34</v>
      </c>
    </row>
    <row r="461">
      <c r="A461" s="10" t="s">
        <v>1900</v>
      </c>
      <c r="B461" s="7" t="str">
        <f>IFERROR(__xludf.DUMMYFUNCTION("SPLIT(A461,"" "")"),"CC1CNCCN(C)CCN1CCCN(C)Cc1ccon1")</f>
        <v>CC1CNCCN(C)CCN1CCCN(C)Cc1ccon1</v>
      </c>
      <c r="C461" s="7">
        <f>IFERROR(__xludf.DUMMYFUNCTION("""COMPUTED_VALUE"""),7.834879)</f>
        <v>7.834879</v>
      </c>
      <c r="D461" s="7">
        <f>IFERROR(__xludf.DUMMYFUNCTION("""COMPUTED_VALUE"""),0.46938775510204)</f>
        <v>0.4693877551</v>
      </c>
    </row>
    <row r="462">
      <c r="A462" s="10" t="s">
        <v>1901</v>
      </c>
      <c r="B462" s="7" t="str">
        <f>IFERROR(__xludf.DUMMYFUNCTION("SPLIT(A462,"" "")"),"CNCN1CCN(C)CCN(Cc2ncc(C)cc2C)CC1")</f>
        <v>CNCN1CCN(C)CCN(Cc2ncc(C)cc2C)CC1</v>
      </c>
      <c r="C462" s="7">
        <f>IFERROR(__xludf.DUMMYFUNCTION("""COMPUTED_VALUE"""),7.834809)</f>
        <v>7.834809</v>
      </c>
      <c r="D462" s="7">
        <f>IFERROR(__xludf.DUMMYFUNCTION("""COMPUTED_VALUE"""),0.479166666666666)</f>
        <v>0.4791666667</v>
      </c>
    </row>
    <row r="463">
      <c r="A463" s="10" t="s">
        <v>1902</v>
      </c>
      <c r="B463" s="7" t="str">
        <f>IFERROR(__xludf.DUMMYFUNCTION("SPLIT(A463,"" "")"),"Cc1ccccc1N(C)CCCN1CCN(C)CCN(C)CC1")</f>
        <v>Cc1ccccc1N(C)CCCN1CCN(C)CCN(C)CC1</v>
      </c>
      <c r="C463" s="7">
        <f>IFERROR(__xludf.DUMMYFUNCTION("""COMPUTED_VALUE"""),7.8347445)</f>
        <v>7.8347445</v>
      </c>
      <c r="D463" s="7">
        <f>IFERROR(__xludf.DUMMYFUNCTION("""COMPUTED_VALUE"""),0.355555555555555)</f>
        <v>0.3555555556</v>
      </c>
    </row>
    <row r="464">
      <c r="A464" s="10" t="s">
        <v>1903</v>
      </c>
      <c r="B464" s="7" t="str">
        <f>IFERROR(__xludf.DUMMYFUNCTION("SPLIT(A464,"" "")"),"CN(Cc1ccc2c(c1)OCCOCCOCCOCCOCCO2)Cc1ccccn1")</f>
        <v>CN(Cc1ccc2c(c1)OCCOCCOCCOCCOCCO2)Cc1ccccn1</v>
      </c>
      <c r="C464" s="7">
        <f>IFERROR(__xludf.DUMMYFUNCTION("""COMPUTED_VALUE"""),7.8347344)</f>
        <v>7.8347344</v>
      </c>
      <c r="D464" s="7">
        <f>IFERROR(__xludf.DUMMYFUNCTION("""COMPUTED_VALUE"""),0.44)</f>
        <v>0.44</v>
      </c>
    </row>
    <row r="465">
      <c r="A465" s="10" t="s">
        <v>1904</v>
      </c>
      <c r="B465" s="7" t="str">
        <f>IFERROR(__xludf.DUMMYFUNCTION("SPLIT(A465,"" "")"),"CNC1COCCOCCOCCOC=COc2ccccc2O1")</f>
        <v>CNC1COCCOCCOCCOC=COc2ccccc2O1</v>
      </c>
      <c r="C465" s="7">
        <f>IFERROR(__xludf.DUMMYFUNCTION("""COMPUTED_VALUE"""),7.8345995)</f>
        <v>7.8345995</v>
      </c>
      <c r="D465" s="7">
        <f>IFERROR(__xludf.DUMMYFUNCTION("""COMPUTED_VALUE"""),0.166666666666666)</f>
        <v>0.1666666667</v>
      </c>
    </row>
    <row r="466">
      <c r="A466" s="10" t="s">
        <v>1905</v>
      </c>
      <c r="B466" s="7" t="str">
        <f>IFERROR(__xludf.DUMMYFUNCTION("SPLIT(A466,"" "")"),"CN(C)Cc1ccccc1CN1CCN(C)CCN(C)CC1")</f>
        <v>CN(C)Cc1ccccc1CN1CCN(C)CCN(C)CC1</v>
      </c>
      <c r="C466" s="7">
        <f>IFERROR(__xludf.DUMMYFUNCTION("""COMPUTED_VALUE"""),7.834523)</f>
        <v>7.834523</v>
      </c>
      <c r="D466" s="7">
        <f>IFERROR(__xludf.DUMMYFUNCTION("""COMPUTED_VALUE"""),0.461538461538461)</f>
        <v>0.4615384615</v>
      </c>
    </row>
    <row r="467">
      <c r="A467" s="10" t="s">
        <v>1906</v>
      </c>
      <c r="B467" s="7" t="str">
        <f>IFERROR(__xludf.DUMMYFUNCTION("SPLIT(A467,"" "")"),"CN(CCF)CCN(C)C1CCCCC1N(C)Cc1cccc(-c2ccc3c(c2)OCCOCCOCCOCCOCCO3)n1")</f>
        <v>CN(CCF)CCN(C)C1CCCCC1N(C)Cc1cccc(-c2ccc3c(c2)OCCOCCOCCOCCOCCO3)n1</v>
      </c>
      <c r="C467" s="7">
        <f>IFERROR(__xludf.DUMMYFUNCTION("""COMPUTED_VALUE"""),7.8344874)</f>
        <v>7.8344874</v>
      </c>
      <c r="D467" s="7">
        <f>IFERROR(__xludf.DUMMYFUNCTION("""COMPUTED_VALUE"""),0.412698412698412)</f>
        <v>0.4126984127</v>
      </c>
    </row>
    <row r="468">
      <c r="A468" s="10" t="s">
        <v>1907</v>
      </c>
      <c r="B468" s="7" t="str">
        <f>IFERROR(__xludf.DUMMYFUNCTION("SPLIT(A468,"" "")"),"NCCN(Cc1ccccn1)c1ccc2c(c1)OCCOCCOCCOCCOCCO2")</f>
        <v>NCCN(Cc1ccccn1)c1ccc2c(c1)OCCOCCOCCOCCOCCO2</v>
      </c>
      <c r="C468" s="7">
        <f>IFERROR(__xludf.DUMMYFUNCTION("""COMPUTED_VALUE"""),7.8344774)</f>
        <v>7.8344774</v>
      </c>
      <c r="D468" s="7">
        <f>IFERROR(__xludf.DUMMYFUNCTION("""COMPUTED_VALUE"""),0.361702127659574)</f>
        <v>0.3617021277</v>
      </c>
    </row>
    <row r="469">
      <c r="A469" s="10" t="s">
        <v>1908</v>
      </c>
      <c r="B469" s="7" t="str">
        <f>IFERROR(__xludf.DUMMYFUNCTION("SPLIT(A469,"" "")"),"CN(c1ccc2c(c1)OCCOCCOCCOCCOCCO2)C1CCCCC1N(CC1=CCC=CN1)Cc1ccccn1")</f>
        <v>CN(c1ccc2c(c1)OCCOCCOCCOCCOCCO2)C1CCCCC1N(CC1=CCC=CN1)Cc1ccccn1</v>
      </c>
      <c r="C469" s="7">
        <f>IFERROR(__xludf.DUMMYFUNCTION("""COMPUTED_VALUE"""),7.8344326)</f>
        <v>7.8344326</v>
      </c>
      <c r="D469" s="7">
        <f>IFERROR(__xludf.DUMMYFUNCTION("""COMPUTED_VALUE"""),0.455882352941176)</f>
        <v>0.4558823529</v>
      </c>
    </row>
    <row r="470">
      <c r="A470" s="10" t="s">
        <v>1909</v>
      </c>
      <c r="B470" s="7" t="str">
        <f>IFERROR(__xludf.DUMMYFUNCTION("SPLIT(A470,"" "")"),"Cc1ccnc(CN(C)C2CCCC(N(C)C(C)C)C2)c1")</f>
        <v>Cc1ccnc(CN(C)C2CCCC(N(C)C(C)C)C2)c1</v>
      </c>
      <c r="C470" s="7">
        <f>IFERROR(__xludf.DUMMYFUNCTION("""COMPUTED_VALUE"""),7.834395)</f>
        <v>7.834395</v>
      </c>
      <c r="D470" s="7">
        <f>IFERROR(__xludf.DUMMYFUNCTION("""COMPUTED_VALUE"""),0.372549019607843)</f>
        <v>0.3725490196</v>
      </c>
    </row>
    <row r="471">
      <c r="A471" s="10" t="s">
        <v>1910</v>
      </c>
      <c r="B471" s="7" t="str">
        <f>IFERROR(__xludf.DUMMYFUNCTION("SPLIT(A471,"" "")"),"CC(N)C(C)C(C)c1cccnc1")</f>
        <v>CC(N)C(C)C(C)c1cccnc1</v>
      </c>
      <c r="C471" s="7">
        <f>IFERROR(__xludf.DUMMYFUNCTION("""COMPUTED_VALUE"""),7.834351)</f>
        <v>7.834351</v>
      </c>
      <c r="D471" s="7">
        <f>IFERROR(__xludf.DUMMYFUNCTION("""COMPUTED_VALUE"""),0.232558139534883)</f>
        <v>0.2325581395</v>
      </c>
    </row>
    <row r="472">
      <c r="A472" s="10" t="s">
        <v>1911</v>
      </c>
      <c r="B472" s="7" t="str">
        <f>IFERROR(__xludf.DUMMYFUNCTION("SPLIT(A472,"" "")"),"Cc1cccnc1CN(C)C1CCCCC1N(C)CCN(C)C(C)(C)C")</f>
        <v>Cc1cccnc1CN(C)C1CCCCC1N(C)CCN(C)C(C)(C)C</v>
      </c>
      <c r="C472" s="7">
        <f>IFERROR(__xludf.DUMMYFUNCTION("""COMPUTED_VALUE"""),7.8343434)</f>
        <v>7.8343434</v>
      </c>
      <c r="D472" s="7">
        <f>IFERROR(__xludf.DUMMYFUNCTION("""COMPUTED_VALUE"""),0.46938775510204)</f>
        <v>0.4693877551</v>
      </c>
    </row>
    <row r="473">
      <c r="A473" s="10" t="s">
        <v>1912</v>
      </c>
      <c r="B473" s="7" t="str">
        <f>IFERROR(__xludf.DUMMYFUNCTION("SPLIT(A473,"" "")"),"Cc1ccnc(CN(C)C2CCCCC2N(C)C2C=CC=CN2)c1")</f>
        <v>Cc1ccnc(CN(C)C2CCCCC2N(C)C2C=CC=CN2)c1</v>
      </c>
      <c r="C473" s="7">
        <f>IFERROR(__xludf.DUMMYFUNCTION("""COMPUTED_VALUE"""),7.834298)</f>
        <v>7.834298</v>
      </c>
      <c r="D473" s="7">
        <f>IFERROR(__xludf.DUMMYFUNCTION("""COMPUTED_VALUE"""),0.452830188679245)</f>
        <v>0.4528301887</v>
      </c>
    </row>
    <row r="474">
      <c r="A474" s="10" t="s">
        <v>1913</v>
      </c>
      <c r="B474" s="7" t="str">
        <f>IFERROR(__xludf.DUMMYFUNCTION("SPLIT(A474,"" "")"),"Cc1cnc(CN(C)C2CCCC(N(C)CN3CCN(C)CCN(C(C)C)CC3)C2)c(C)c1C")</f>
        <v>Cc1cnc(CN(C)C2CCCC(N(C)CN3CCN(C)CCN(C(C)C)CC3)C2)c(C)c1C</v>
      </c>
      <c r="C474" s="7">
        <f>IFERROR(__xludf.DUMMYFUNCTION("""COMPUTED_VALUE"""),7.83424)</f>
        <v>7.83424</v>
      </c>
      <c r="D474" s="7">
        <f>IFERROR(__xludf.DUMMYFUNCTION("""COMPUTED_VALUE"""),0.349206349206349)</f>
        <v>0.3492063492</v>
      </c>
    </row>
    <row r="475">
      <c r="A475" s="10" t="s">
        <v>1914</v>
      </c>
      <c r="B475" s="7" t="str">
        <f>IFERROR(__xludf.DUMMYFUNCTION("SPLIT(A475,"" "")"),"Cc1cnc(CN(C)C2CCC(N3CCN(C)CCN(C)CC3)CC2)c(C)c1C")</f>
        <v>Cc1cnc(CN(C)C2CCC(N3CCN(C)CCN(C)CC3)CC2)c(C)c1C</v>
      </c>
      <c r="C475" s="7">
        <f>IFERROR(__xludf.DUMMYFUNCTION("""COMPUTED_VALUE"""),7.834239)</f>
        <v>7.834239</v>
      </c>
      <c r="D475" s="7">
        <f>IFERROR(__xludf.DUMMYFUNCTION("""COMPUTED_VALUE"""),0.363636363636363)</f>
        <v>0.3636363636</v>
      </c>
    </row>
    <row r="476">
      <c r="A476" s="10" t="s">
        <v>1915</v>
      </c>
      <c r="B476" s="7" t="str">
        <f>IFERROR(__xludf.DUMMYFUNCTION("SPLIT(A476,"" "")"),"CN(CCN(C)C1(C)CCC1)Cc1ccccn1")</f>
        <v>CN(CCN(C)C1(C)CCC1)Cc1ccccn1</v>
      </c>
      <c r="C476" s="7">
        <f>IFERROR(__xludf.DUMMYFUNCTION("""COMPUTED_VALUE"""),7.834191)</f>
        <v>7.834191</v>
      </c>
      <c r="D476" s="7">
        <f>IFERROR(__xludf.DUMMYFUNCTION("""COMPUTED_VALUE"""),0.466666666666666)</f>
        <v>0.4666666667</v>
      </c>
    </row>
    <row r="477">
      <c r="A477" s="10" t="s">
        <v>1916</v>
      </c>
      <c r="B477" s="7" t="str">
        <f>IFERROR(__xludf.DUMMYFUNCTION("SPLIT(A477,"" "")"),"CNCCN(Cc1ccccn1)C1(C)CCC1")</f>
        <v>CNCCN(Cc1ccccn1)C1(C)CCC1</v>
      </c>
      <c r="C477" s="7">
        <f>IFERROR(__xludf.DUMMYFUNCTION("""COMPUTED_VALUE"""),7.8341393)</f>
        <v>7.8341393</v>
      </c>
      <c r="D477" s="7">
        <f>IFERROR(__xludf.DUMMYFUNCTION("""COMPUTED_VALUE"""),0.45)</f>
        <v>0.45</v>
      </c>
    </row>
    <row r="478">
      <c r="A478" s="10" t="s">
        <v>1917</v>
      </c>
      <c r="B478" s="7" t="str">
        <f>IFERROR(__xludf.DUMMYFUNCTION("SPLIT(A478,"" "")"),"CCN1CCN(C)CCN(Cc2cc(C)cnc2C)CC1")</f>
        <v>CCN1CCN(C)CCN(Cc2cc(C)cnc2C)CC1</v>
      </c>
      <c r="C478" s="7">
        <f>IFERROR(__xludf.DUMMYFUNCTION("""COMPUTED_VALUE"""),7.8341265)</f>
        <v>7.8341265</v>
      </c>
      <c r="D478" s="7">
        <f>IFERROR(__xludf.DUMMYFUNCTION("""COMPUTED_VALUE"""),0.454545454545454)</f>
        <v>0.4545454545</v>
      </c>
    </row>
    <row r="479">
      <c r="A479" s="10" t="s">
        <v>1918</v>
      </c>
      <c r="B479" s="7" t="str">
        <f>IFERROR(__xludf.DUMMYFUNCTION("SPLIT(A479,"" "")"),"CN1CCN=CC2=CC=CC(CN(C)CC1)N2C")</f>
        <v>CN1CCN=CC2=CC=CC(CN(C)CC1)N2C</v>
      </c>
      <c r="C479" s="7">
        <f>IFERROR(__xludf.DUMMYFUNCTION("""COMPUTED_VALUE"""),7.834019)</f>
        <v>7.834019</v>
      </c>
      <c r="D479" s="7">
        <f>IFERROR(__xludf.DUMMYFUNCTION("""COMPUTED_VALUE"""),0.244444444444444)</f>
        <v>0.2444444444</v>
      </c>
    </row>
    <row r="480">
      <c r="A480" s="10" t="s">
        <v>1919</v>
      </c>
      <c r="B480" s="7" t="str">
        <f>IFERROR(__xludf.DUMMYFUNCTION("SPLIT(A480,"" "")"),"CNC1CCCCC1N(C)Cc1ncccc1Cl")</f>
        <v>CNC1CCCCC1N(C)Cc1ncccc1Cl</v>
      </c>
      <c r="C480" s="7">
        <f>IFERROR(__xludf.DUMMYFUNCTION("""COMPUTED_VALUE"""),7.8340173)</f>
        <v>7.8340173</v>
      </c>
      <c r="D480" s="7">
        <f>IFERROR(__xludf.DUMMYFUNCTION("""COMPUTED_VALUE"""),0.458333333333333)</f>
        <v>0.4583333333</v>
      </c>
    </row>
    <row r="481">
      <c r="A481" s="10" t="s">
        <v>1920</v>
      </c>
      <c r="B481" s="7" t="str">
        <f>IFERROR(__xludf.DUMMYFUNCTION("SPLIT(A481,"" "")"),"Cc1cccnc1CN(C)C1CCCC(N(C)C(C)C)C1")</f>
        <v>Cc1cccnc1CN(C)C1CCCC(N(C)C(C)C)C1</v>
      </c>
      <c r="C481" s="7">
        <f>IFERROR(__xludf.DUMMYFUNCTION("""COMPUTED_VALUE"""),7.8339977)</f>
        <v>7.8339977</v>
      </c>
      <c r="D481" s="7">
        <f>IFERROR(__xludf.DUMMYFUNCTION("""COMPUTED_VALUE"""),0.346153846153846)</f>
        <v>0.3461538462</v>
      </c>
    </row>
    <row r="482">
      <c r="A482" s="10" t="s">
        <v>1921</v>
      </c>
      <c r="B482" s="7" t="str">
        <f>IFERROR(__xludf.DUMMYFUNCTION("SPLIT(A482,"" "")"),"Cc1cccc2c1OCC(C)OCCOCCOCCOC(N)CO2")</f>
        <v>Cc1cccc2c1OCC(C)OCCOCCOCCOC(N)CO2</v>
      </c>
      <c r="C482" s="7">
        <f>IFERROR(__xludf.DUMMYFUNCTION("""COMPUTED_VALUE"""),7.833975)</f>
        <v>7.833975</v>
      </c>
      <c r="D482" s="7">
        <f>IFERROR(__xludf.DUMMYFUNCTION("""COMPUTED_VALUE"""),0.185714285714285)</f>
        <v>0.1857142857</v>
      </c>
    </row>
    <row r="483">
      <c r="A483" s="10" t="s">
        <v>1922</v>
      </c>
      <c r="B483" s="7" t="str">
        <f>IFERROR(__xludf.DUMMYFUNCTION("SPLIT(A483,"" "")"),"CN(CCF)C1CCCCC1N(C)Cc1cccc(-c2ccc3c(c2)OCCOCCOCCOCCOCCO3)n1")</f>
        <v>CN(CCF)C1CCCCC1N(C)Cc1cccc(-c2ccc3c(c2)OCCOCCOCCOCCOCCO3)n1</v>
      </c>
      <c r="C483" s="7">
        <f>IFERROR(__xludf.DUMMYFUNCTION("""COMPUTED_VALUE"""),7.833951)</f>
        <v>7.833951</v>
      </c>
      <c r="D483" s="7">
        <f>IFERROR(__xludf.DUMMYFUNCTION("""COMPUTED_VALUE"""),0.440677966101694)</f>
        <v>0.4406779661</v>
      </c>
    </row>
    <row r="484">
      <c r="A484" s="10" t="s">
        <v>1923</v>
      </c>
      <c r="B484" s="7" t="str">
        <f>IFERROR(__xludf.DUMMYFUNCTION("SPLIT(A484,"" "")"),"Cc1cc(N)cc(CN2CCN(C)CCN(C)CC2)c1")</f>
        <v>Cc1cc(N)cc(CN2CCN(C)CCN(C)CC2)c1</v>
      </c>
      <c r="C484" s="7">
        <f>IFERROR(__xludf.DUMMYFUNCTION("""COMPUTED_VALUE"""),7.833933)</f>
        <v>7.833933</v>
      </c>
      <c r="D484" s="7">
        <f>IFERROR(__xludf.DUMMYFUNCTION("""COMPUTED_VALUE"""),0.487179487179487)</f>
        <v>0.4871794872</v>
      </c>
    </row>
    <row r="485">
      <c r="A485" s="10" t="s">
        <v>1924</v>
      </c>
      <c r="B485" s="7" t="str">
        <f>IFERROR(__xludf.DUMMYFUNCTION("SPLIT(A485,"" "")"),"C1=CNC(N(Cc2ccc3c(c2)OCCOCCOCCOCCOCCO3)Cc2ccccn2)C=C1")</f>
        <v>C1=CNC(N(Cc2ccc3c(c2)OCCOCCOCCOCCOCCO3)Cc2ccccn2)C=C1</v>
      </c>
      <c r="C485" s="7">
        <f>IFERROR(__xludf.DUMMYFUNCTION("""COMPUTED_VALUE"""),7.8339105)</f>
        <v>7.8339105</v>
      </c>
      <c r="D485" s="7">
        <f>IFERROR(__xludf.DUMMYFUNCTION("""COMPUTED_VALUE"""),0.426229508196721)</f>
        <v>0.4262295082</v>
      </c>
    </row>
    <row r="486">
      <c r="A486" s="10" t="s">
        <v>1925</v>
      </c>
      <c r="B486" s="7" t="str">
        <f>IFERROR(__xludf.DUMMYFUNCTION("SPLIT(A486,"" "")"),"CC1C=CCC(C)(c2ncccc2CN2CCN(C)CCN(C)CC2)C1C")</f>
        <v>CC1C=CCC(C)(c2ncccc2CN2CCN(C)CCN(C)CC2)C1C</v>
      </c>
      <c r="C486" s="7">
        <f>IFERROR(__xludf.DUMMYFUNCTION("""COMPUTED_VALUE"""),7.8338666)</f>
        <v>7.8338666</v>
      </c>
      <c r="D486" s="7">
        <f>IFERROR(__xludf.DUMMYFUNCTION("""COMPUTED_VALUE"""),0.403846153846153)</f>
        <v>0.4038461538</v>
      </c>
    </row>
    <row r="487">
      <c r="A487" s="10" t="s">
        <v>1926</v>
      </c>
      <c r="B487" s="7" t="str">
        <f>IFERROR(__xludf.DUMMYFUNCTION("SPLIT(A487,"" "")"),"CCNC1CCCC(N(C)Cc2cc(C)ccn2)C1")</f>
        <v>CCNC1CCCC(N(C)Cc2cc(C)ccn2)C1</v>
      </c>
      <c r="C487" s="7">
        <f>IFERROR(__xludf.DUMMYFUNCTION("""COMPUTED_VALUE"""),7.83386)</f>
        <v>7.83386</v>
      </c>
      <c r="D487" s="7">
        <f>IFERROR(__xludf.DUMMYFUNCTION("""COMPUTED_VALUE"""),0.358490566037735)</f>
        <v>0.358490566</v>
      </c>
    </row>
    <row r="488">
      <c r="A488" s="10" t="s">
        <v>1927</v>
      </c>
      <c r="B488" s="7" t="str">
        <f>IFERROR(__xludf.DUMMYFUNCTION("SPLIT(A488,"" "")"),"CN1CCN(C)CCN(Cc2ccc(Cl)c(N)c2)CC1")</f>
        <v>CN1CCN(C)CCN(Cc2ccc(Cl)c(N)c2)CC1</v>
      </c>
      <c r="C488" s="7">
        <f>IFERROR(__xludf.DUMMYFUNCTION("""COMPUTED_VALUE"""),7.833827)</f>
        <v>7.833827</v>
      </c>
      <c r="D488" s="7">
        <f>IFERROR(__xludf.DUMMYFUNCTION("""COMPUTED_VALUE"""),0.41860465116279)</f>
        <v>0.4186046512</v>
      </c>
    </row>
    <row r="489">
      <c r="A489" s="10" t="s">
        <v>1928</v>
      </c>
      <c r="B489" s="7" t="str">
        <f>IFERROR(__xludf.DUMMYFUNCTION("SPLIT(A489,"" "")"),"CN1CCN(C)CCN(CCN(C)c2ccccc2F)CC1")</f>
        <v>CN1CCN(C)CCN(CCN(C)c2ccccc2F)CC1</v>
      </c>
      <c r="C489" s="7">
        <f>IFERROR(__xludf.DUMMYFUNCTION("""COMPUTED_VALUE"""),7.833825)</f>
        <v>7.833825</v>
      </c>
      <c r="D489" s="7">
        <f>IFERROR(__xludf.DUMMYFUNCTION("""COMPUTED_VALUE"""),0.377777777777777)</f>
        <v>0.3777777778</v>
      </c>
    </row>
    <row r="490">
      <c r="A490" s="10" t="s">
        <v>1929</v>
      </c>
      <c r="B490" s="7" t="str">
        <f>IFERROR(__xludf.DUMMYFUNCTION("SPLIT(A490,"" "")"),"CN1CCNC(C)(C)CN(C)CC1")</f>
        <v>CN1CCNC(C)(C)CN(C)CC1</v>
      </c>
      <c r="C490" s="7">
        <f>IFERROR(__xludf.DUMMYFUNCTION("""COMPUTED_VALUE"""),7.8338246)</f>
        <v>7.8338246</v>
      </c>
      <c r="D490" s="7">
        <f>IFERROR(__xludf.DUMMYFUNCTION("""COMPUTED_VALUE"""),0.38095238095238)</f>
        <v>0.380952381</v>
      </c>
    </row>
    <row r="491">
      <c r="A491" s="10" t="s">
        <v>1930</v>
      </c>
      <c r="B491" s="7" t="str">
        <f>IFERROR(__xludf.DUMMYFUNCTION("SPLIT(A491,"" "")"),"CN(CCF)C1CCCCC1N(C)Cc1ncccc1-c1ccc2c(c1)OCCOCCOCCOCCOCCO2")</f>
        <v>CN(CCF)C1CCCCC1N(C)Cc1ncccc1-c1ccc2c(c1)OCCOCCOCCOCCOCCO2</v>
      </c>
      <c r="C491" s="7">
        <f>IFERROR(__xludf.DUMMYFUNCTION("""COMPUTED_VALUE"""),7.833808)</f>
        <v>7.833808</v>
      </c>
      <c r="D491" s="7">
        <f>IFERROR(__xludf.DUMMYFUNCTION("""COMPUTED_VALUE"""),0.370967741935483)</f>
        <v>0.3709677419</v>
      </c>
    </row>
    <row r="492">
      <c r="A492" s="10" t="s">
        <v>1931</v>
      </c>
      <c r="B492" s="7" t="str">
        <f>IFERROR(__xludf.DUMMYFUNCTION("SPLIT(A492,"" "")"),"CC(C)N(C)C1CCCCC1N(C)Cc1ccc2c(n1)CCC2")</f>
        <v>CC(C)N(C)C1CCCCC1N(C)Cc1ccc2c(n1)CCC2</v>
      </c>
      <c r="C492" s="7">
        <f>IFERROR(__xludf.DUMMYFUNCTION("""COMPUTED_VALUE"""),7.8337655)</f>
        <v>7.8337655</v>
      </c>
      <c r="D492" s="7">
        <f>IFERROR(__xludf.DUMMYFUNCTION("""COMPUTED_VALUE"""),0.46938775510204)</f>
        <v>0.4693877551</v>
      </c>
    </row>
    <row r="493">
      <c r="A493" s="10" t="s">
        <v>1932</v>
      </c>
      <c r="B493" s="7" t="str">
        <f>IFERROR(__xludf.DUMMYFUNCTION("SPLIT(A493,"" "")"),"CN1CCN(C)CCN(Cc2ccc(C3CCC3(C)C)nc2)CC1")</f>
        <v>CN1CCN(C)CCN(Cc2ccc(C3CCC3(C)C)nc2)CC1</v>
      </c>
      <c r="C493" s="7">
        <f>IFERROR(__xludf.DUMMYFUNCTION("""COMPUTED_VALUE"""),7.833749)</f>
        <v>7.833749</v>
      </c>
      <c r="D493" s="7">
        <f>IFERROR(__xludf.DUMMYFUNCTION("""COMPUTED_VALUE"""),0.36734693877551)</f>
        <v>0.3673469388</v>
      </c>
    </row>
    <row r="494">
      <c r="A494" s="10" t="s">
        <v>1933</v>
      </c>
      <c r="B494" s="7" t="str">
        <f>IFERROR(__xludf.DUMMYFUNCTION("SPLIT(A494,"" "")"),"CCN(C)C1CCCC(N(C)Cc2ncccc2C)C1")</f>
        <v>CCN(C)C1CCCC(N(C)Cc2ncccc2C)C1</v>
      </c>
      <c r="C494" s="7">
        <f>IFERROR(__xludf.DUMMYFUNCTION("""COMPUTED_VALUE"""),7.8336983)</f>
        <v>7.8336983</v>
      </c>
      <c r="D494" s="7">
        <f>IFERROR(__xludf.DUMMYFUNCTION("""COMPUTED_VALUE"""),0.36734693877551)</f>
        <v>0.3673469388</v>
      </c>
    </row>
    <row r="495">
      <c r="A495" s="10" t="s">
        <v>1934</v>
      </c>
      <c r="B495" s="7" t="str">
        <f>IFERROR(__xludf.DUMMYFUNCTION("SPLIT(A495,"" "")"),"CN(Cc1cccc(C2=CCC=CN2)n1)C1CCC(N(C)Cc2cccc(C3CC4OCCOCCOCCOCCOCCOC43)n2)CC1")</f>
        <v>CN(Cc1cccc(C2=CCC=CN2)n1)C1CCC(N(C)Cc2cccc(C3CC4OCCOCCOCCOCCOCCOC43)n2)CC1</v>
      </c>
      <c r="C495" s="7">
        <f>IFERROR(__xludf.DUMMYFUNCTION("""COMPUTED_VALUE"""),7.8336883)</f>
        <v>7.8336883</v>
      </c>
      <c r="D495" s="7">
        <f>IFERROR(__xludf.DUMMYFUNCTION("""COMPUTED_VALUE"""),0.28169014084507)</f>
        <v>0.2816901408</v>
      </c>
    </row>
    <row r="496">
      <c r="A496" s="10" t="s">
        <v>1935</v>
      </c>
      <c r="B496" s="7" t="str">
        <f>IFERROR(__xludf.DUMMYFUNCTION("SPLIT(A496,"" "")"),"CNC1CCCC(N(C)Cc2cc(C)ccn2)C1")</f>
        <v>CNC1CCCC(N(C)Cc2cc(C)ccn2)C1</v>
      </c>
      <c r="C496" s="7">
        <f>IFERROR(__xludf.DUMMYFUNCTION("""COMPUTED_VALUE"""),7.8336663)</f>
        <v>7.8336663</v>
      </c>
      <c r="D496" s="7">
        <f>IFERROR(__xludf.DUMMYFUNCTION("""COMPUTED_VALUE"""),0.372549019607843)</f>
        <v>0.3725490196</v>
      </c>
    </row>
    <row r="497">
      <c r="A497" s="10" t="s">
        <v>1936</v>
      </c>
      <c r="B497" s="7" t="str">
        <f>IFERROR(__xludf.DUMMYFUNCTION("SPLIT(A497,"" "")"),"COC(=O)C(=O)C(C)C(C)N1CCN(C)CCN(C(C)C)CC1")</f>
        <v>COC(=O)C(=O)C(C)C(C)N1CCN(C)CCN(C(C)C)CC1</v>
      </c>
      <c r="C497" s="7">
        <f>IFERROR(__xludf.DUMMYFUNCTION("""COMPUTED_VALUE"""),7.8336625)</f>
        <v>7.8336625</v>
      </c>
      <c r="D497" s="7">
        <f>IFERROR(__xludf.DUMMYFUNCTION("""COMPUTED_VALUE"""),0.258064516129032)</f>
        <v>0.2580645161</v>
      </c>
    </row>
    <row r="498">
      <c r="A498" s="10" t="s">
        <v>1937</v>
      </c>
      <c r="B498" s="7" t="str">
        <f>IFERROR(__xludf.DUMMYFUNCTION("SPLIT(A498,"" "")"),"CN1CC=NCCN(C)CC2C=CC=C(C1)N2C")</f>
        <v>CN1CC=NCCN(C)CC2C=CC=C(C1)N2C</v>
      </c>
      <c r="C498" s="7">
        <f>IFERROR(__xludf.DUMMYFUNCTION("""COMPUTED_VALUE"""),7.8336167)</f>
        <v>7.8336167</v>
      </c>
      <c r="D498" s="7">
        <f>IFERROR(__xludf.DUMMYFUNCTION("""COMPUTED_VALUE"""),0.22)</f>
        <v>0.22</v>
      </c>
    </row>
    <row r="499">
      <c r="A499" s="10" t="s">
        <v>1938</v>
      </c>
      <c r="B499" s="7" t="str">
        <f>IFERROR(__xludf.DUMMYFUNCTION("SPLIT(A499,"" "")"),"C1=C(C2CC3OCCOCCOCCOCCOCCOC32)NC(N(Cc2cccnc2)Cc2ccccn2)=CC1")</f>
        <v>C1=C(C2CC3OCCOCCOCCOCCOCCOC32)NC(N(Cc2cccnc2)Cc2ccccn2)=CC1</v>
      </c>
      <c r="C499" s="7">
        <f>IFERROR(__xludf.DUMMYFUNCTION("""COMPUTED_VALUE"""),7.8335958)</f>
        <v>7.8335958</v>
      </c>
      <c r="D499" s="7">
        <f>IFERROR(__xludf.DUMMYFUNCTION("""COMPUTED_VALUE"""),0.283783783783783)</f>
        <v>0.2837837838</v>
      </c>
    </row>
    <row r="500">
      <c r="A500" s="10" t="s">
        <v>1939</v>
      </c>
      <c r="B500" s="7" t="str">
        <f>IFERROR(__xludf.DUMMYFUNCTION("SPLIT(A500,"" "")"),"COC(=O)N1CCN(C)CCN(C(C)C)CC1")</f>
        <v>COC(=O)N1CCN(C)CCN(C(C)C)CC1</v>
      </c>
      <c r="C500" s="7">
        <f>IFERROR(__xludf.DUMMYFUNCTION("""COMPUTED_VALUE"""),7.83359)</f>
        <v>7.83359</v>
      </c>
      <c r="D500" s="7">
        <f>IFERROR(__xludf.DUMMYFUNCTION("""COMPUTED_VALUE"""),0.296296296296296)</f>
        <v>0.2962962963</v>
      </c>
    </row>
    <row r="501">
      <c r="A501" s="10" t="s">
        <v>1940</v>
      </c>
      <c r="B501" s="7" t="str">
        <f>IFERROR(__xludf.DUMMYFUNCTION("SPLIT(A501,"" "")"),"Cc1ccc(CN(C)C2CCC(N(Cc3ccc(C)cn3)C3COCCOCCOC4C=CC=CC4OC=COCCO3)CC2)nc1")</f>
        <v>Cc1ccc(CN(C)C2CCC(N(Cc3ccc(C)cn3)C3COCCOCCOC4C=CC=CC4OC=COCCO3)CC2)nc1</v>
      </c>
      <c r="C501" s="7">
        <f>IFERROR(__xludf.DUMMYFUNCTION("""COMPUTED_VALUE"""),7.833417)</f>
        <v>7.833417</v>
      </c>
      <c r="D501" s="7">
        <f>IFERROR(__xludf.DUMMYFUNCTION("""COMPUTED_VALUE"""),0.373134328358209)</f>
        <v>0.3731343284</v>
      </c>
    </row>
    <row r="502">
      <c r="A502" s="10" t="s">
        <v>1941</v>
      </c>
      <c r="B502" s="7" t="str">
        <f>IFERROR(__xludf.DUMMYFUNCTION("SPLIT(A502,"" "")"),"CC(N)C(C)(c1cccnc1)C(C)N(Cc1ccccn1)C1CCCCC1")</f>
        <v>CC(N)C(C)(c1cccnc1)C(C)N(Cc1ccccn1)C1CCCCC1</v>
      </c>
      <c r="C502" s="7">
        <f>IFERROR(__xludf.DUMMYFUNCTION("""COMPUTED_VALUE"""),7.833409)</f>
        <v>7.833409</v>
      </c>
      <c r="D502" s="7">
        <f>IFERROR(__xludf.DUMMYFUNCTION("""COMPUTED_VALUE"""),0.396551724137931)</f>
        <v>0.3965517241</v>
      </c>
    </row>
    <row r="503">
      <c r="A503" s="10" t="s">
        <v>1942</v>
      </c>
      <c r="B503" s="7" t="str">
        <f>IFERROR(__xludf.DUMMYFUNCTION("SPLIT(A503,"" "")"),"CC(C)C(C)NCc1ncccc1CN1CCN(C)CCN(C)CC1")</f>
        <v>CC(C)C(C)NCc1ncccc1CN1CCN(C)CCN(C)CC1</v>
      </c>
      <c r="C503" s="7">
        <f>IFERROR(__xludf.DUMMYFUNCTION("""COMPUTED_VALUE"""),7.8334)</f>
        <v>7.8334</v>
      </c>
      <c r="D503" s="7">
        <f>IFERROR(__xludf.DUMMYFUNCTION("""COMPUTED_VALUE"""),0.446808510638297)</f>
        <v>0.4468085106</v>
      </c>
    </row>
    <row r="504">
      <c r="A504" s="10" t="s">
        <v>1943</v>
      </c>
      <c r="B504" s="7" t="str">
        <f>IFERROR(__xludf.DUMMYFUNCTION("SPLIT(A504,"" "")"),"CN(CCNCc1ccccn1)c1cccc2c1OCCOCCOCCOCCOCCO2")</f>
        <v>CN(CCNCc1ccccn1)c1cccc2c1OCCOCCOCCOCCOCCO2</v>
      </c>
      <c r="C504" s="7">
        <f>IFERROR(__xludf.DUMMYFUNCTION("""COMPUTED_VALUE"""),7.833368)</f>
        <v>7.833368</v>
      </c>
      <c r="D504" s="7">
        <f>IFERROR(__xludf.DUMMYFUNCTION("""COMPUTED_VALUE"""),0.428571428571428)</f>
        <v>0.4285714286</v>
      </c>
    </row>
    <row r="505">
      <c r="A505" s="10" t="s">
        <v>1944</v>
      </c>
      <c r="B505" s="7" t="str">
        <f>IFERROR(__xludf.DUMMYFUNCTION("SPLIT(A505,"" "")"),"CNCc1ncccc1CN(C)C1CCC(N(C)C(C)C)CC1")</f>
        <v>CNCc1ncccc1CN(C)C1CCC(N(C)C(C)C)CC1</v>
      </c>
      <c r="C505" s="7">
        <f>IFERROR(__xludf.DUMMYFUNCTION("""COMPUTED_VALUE"""),7.833281)</f>
        <v>7.833281</v>
      </c>
      <c r="D505" s="7">
        <f>IFERROR(__xludf.DUMMYFUNCTION("""COMPUTED_VALUE"""),0.309090909090909)</f>
        <v>0.3090909091</v>
      </c>
    </row>
    <row r="506">
      <c r="A506" s="10" t="s">
        <v>1945</v>
      </c>
      <c r="B506" s="7" t="str">
        <f>IFERROR(__xludf.DUMMYFUNCTION("SPLIT(A506,"" "")"),"CC(N)C(C)N(C)Cc1ccc(CN2CCN(C)CCN(C)CC2)cn1")</f>
        <v>CC(N)C(C)N(C)Cc1ccc(CN2CCN(C)CCN(C)CC2)cn1</v>
      </c>
      <c r="C506" s="7">
        <f>IFERROR(__xludf.DUMMYFUNCTION("""COMPUTED_VALUE"""),7.833276)</f>
        <v>7.833276</v>
      </c>
      <c r="D506" s="7">
        <f>IFERROR(__xludf.DUMMYFUNCTION("""COMPUTED_VALUE"""),0.372549019607843)</f>
        <v>0.3725490196</v>
      </c>
    </row>
    <row r="507">
      <c r="A507" s="10" t="s">
        <v>1946</v>
      </c>
      <c r="B507" s="7" t="str">
        <f>IFERROR(__xludf.DUMMYFUNCTION("SPLIT(A507,"" "")"),"C1=C(C2CC3OCCOCCOCCOCCOCCOC32)NC(N(Cc2ccccn2)Cc2ccccn2)=CC1")</f>
        <v>C1=C(C2CC3OCCOCCOCCOCCOCCOC32)NC(N(Cc2ccccn2)Cc2ccccn2)=CC1</v>
      </c>
      <c r="C507" s="7">
        <f>IFERROR(__xludf.DUMMYFUNCTION("""COMPUTED_VALUE"""),7.8332653)</f>
        <v>7.8332653</v>
      </c>
      <c r="D507" s="7">
        <f>IFERROR(__xludf.DUMMYFUNCTION("""COMPUTED_VALUE"""),0.328125)</f>
        <v>0.328125</v>
      </c>
    </row>
    <row r="508">
      <c r="A508" s="10" t="s">
        <v>1947</v>
      </c>
      <c r="B508" s="7" t="str">
        <f>IFERROR(__xludf.DUMMYFUNCTION("SPLIT(A508,"" "")"),"CN(C)C1CCCC(N(Cc2ccccn2)CC(C)(C)C)C1")</f>
        <v>CN(C)C1CCCC(N(Cc2ccccn2)CC(C)(C)C)C1</v>
      </c>
      <c r="C508" s="7">
        <f>IFERROR(__xludf.DUMMYFUNCTION("""COMPUTED_VALUE"""),7.833225)</f>
        <v>7.833225</v>
      </c>
      <c r="D508" s="7">
        <f>IFERROR(__xludf.DUMMYFUNCTION("""COMPUTED_VALUE"""),0.5)</f>
        <v>0.5</v>
      </c>
    </row>
    <row r="509">
      <c r="A509" s="10" t="s">
        <v>1948</v>
      </c>
      <c r="B509" s="7" t="str">
        <f>IFERROR(__xludf.DUMMYFUNCTION("SPLIT(A509,"" "")"),"CN(CCN(Cc1ccccn1)c1cccc2c1OCCOCCOCCOCCOCCO2)c1cccc2c1OCCOCCOCCOCCOCCO2")</f>
        <v>CN(CCN(Cc1ccccn1)c1cccc2c1OCCOCCOCCOCCOCCO2)c1cccc2c1OCCOCCOCCOCCOCCO2</v>
      </c>
      <c r="C509" s="7">
        <f>IFERROR(__xludf.DUMMYFUNCTION("""COMPUTED_VALUE"""),7.833195)</f>
        <v>7.833195</v>
      </c>
      <c r="D509" s="7">
        <f>IFERROR(__xludf.DUMMYFUNCTION("""COMPUTED_VALUE"""),0.381818181818181)</f>
        <v>0.3818181818</v>
      </c>
    </row>
    <row r="510">
      <c r="A510" s="10" t="s">
        <v>1949</v>
      </c>
      <c r="B510" s="7" t="str">
        <f>IFERROR(__xludf.DUMMYFUNCTION("SPLIT(A510,"" "")"),"Cc1cnc(CN(C)C2CCCC(N3CCN(C)CCN(C)CC3)C2)c(C)c1C")</f>
        <v>Cc1cnc(CN(C)C2CCCC(N3CCN(C)CCN(C)CC3)C2)c(C)c1C</v>
      </c>
      <c r="C510" s="7">
        <f>IFERROR(__xludf.DUMMYFUNCTION("""COMPUTED_VALUE"""),7.8331437)</f>
        <v>7.8331437</v>
      </c>
      <c r="D510" s="7">
        <f>IFERROR(__xludf.DUMMYFUNCTION("""COMPUTED_VALUE"""),0.344827586206896)</f>
        <v>0.3448275862</v>
      </c>
    </row>
    <row r="511">
      <c r="A511" s="10" t="s">
        <v>1950</v>
      </c>
      <c r="B511" s="7" t="str">
        <f>IFERROR(__xludf.DUMMYFUNCTION("SPLIT(A511,"" "")"),"CC(C1=CCC=CN1)N(C)c1ccc2c(c1)OCCOCCOCCOCCOCCO2")</f>
        <v>CC(C1=CCC=CN1)N(C)c1ccc2c(c1)OCCOCCOCCOCCOCCO2</v>
      </c>
      <c r="C511" s="7">
        <f>IFERROR(__xludf.DUMMYFUNCTION("""COMPUTED_VALUE"""),7.8331184)</f>
        <v>7.8331184</v>
      </c>
      <c r="D511" s="7">
        <f>IFERROR(__xludf.DUMMYFUNCTION("""COMPUTED_VALUE"""),0.242857142857142)</f>
        <v>0.2428571429</v>
      </c>
    </row>
    <row r="512">
      <c r="A512" s="10" t="s">
        <v>1951</v>
      </c>
      <c r="B512" s="7" t="str">
        <f>IFERROR(__xludf.DUMMYFUNCTION("SPLIT(A512,"" "")"),"CN1CCN(C)CCN(Cc2cc(N)ccc2Cl)CC1")</f>
        <v>CN1CCN(C)CCN(Cc2cc(N)ccc2Cl)CC1</v>
      </c>
      <c r="C512" s="7">
        <f>IFERROR(__xludf.DUMMYFUNCTION("""COMPUTED_VALUE"""),7.833079)</f>
        <v>7.833079</v>
      </c>
      <c r="D512" s="7">
        <f>IFERROR(__xludf.DUMMYFUNCTION("""COMPUTED_VALUE"""),0.41860465116279)</f>
        <v>0.4186046512</v>
      </c>
    </row>
    <row r="513">
      <c r="A513" s="10" t="s">
        <v>1952</v>
      </c>
      <c r="B513" s="7" t="str">
        <f>IFERROR(__xludf.DUMMYFUNCTION("SPLIT(A513,"" "")"),"CN1CCN(C)CCN(Cc2ccnc(C3CCC3(C)C)c2)CC1")</f>
        <v>CN1CCN(C)CCN(Cc2ccnc(C3CCC3(C)C)c2)CC1</v>
      </c>
      <c r="C513" s="7">
        <f>IFERROR(__xludf.DUMMYFUNCTION("""COMPUTED_VALUE"""),7.833066)</f>
        <v>7.833066</v>
      </c>
      <c r="D513" s="7">
        <f>IFERROR(__xludf.DUMMYFUNCTION("""COMPUTED_VALUE"""),0.428571428571428)</f>
        <v>0.4285714286</v>
      </c>
    </row>
    <row r="514">
      <c r="A514" s="10" t="s">
        <v>1953</v>
      </c>
      <c r="B514" s="7" t="str">
        <f>IFERROR(__xludf.DUMMYFUNCTION("SPLIT(A514,"" "")"),"CN(Cc1cccc(-c2ccc3c(c2)OCCOCCOCCOCCOCCO3)n1)Cc1cccc(C2CC3OCCOCCOCCOCCOCCOC32)n1")</f>
        <v>CN(Cc1cccc(-c2ccc3c(c2)OCCOCCOCCOCCOCCO3)n1)Cc1cccc(C2CC3OCCOCCOCCOCCOCCOC32)n1</v>
      </c>
      <c r="C514" s="7">
        <f>IFERROR(__xludf.DUMMYFUNCTION("""COMPUTED_VALUE"""),7.833046)</f>
        <v>7.833046</v>
      </c>
      <c r="D514" s="7">
        <f>IFERROR(__xludf.DUMMYFUNCTION("""COMPUTED_VALUE"""),0.323076923076923)</f>
        <v>0.3230769231</v>
      </c>
    </row>
    <row r="515">
      <c r="A515" s="10" t="s">
        <v>1954</v>
      </c>
      <c r="B515" s="7" t="str">
        <f>IFERROR(__xludf.DUMMYFUNCTION("SPLIT(A515,"" "")"),"CN1CCN(C)CCN(Cc2ccc(Cl)nc2)CC1")</f>
        <v>CN1CCN(C)CCN(Cc2ccc(Cl)nc2)CC1</v>
      </c>
      <c r="C515" s="7">
        <f>IFERROR(__xludf.DUMMYFUNCTION("""COMPUTED_VALUE"""),7.8330283)</f>
        <v>7.8330283</v>
      </c>
      <c r="D515" s="7">
        <f>IFERROR(__xludf.DUMMYFUNCTION("""COMPUTED_VALUE"""),0.5)</f>
        <v>0.5</v>
      </c>
    </row>
    <row r="516">
      <c r="A516" s="10" t="s">
        <v>1955</v>
      </c>
      <c r="B516" s="7" t="str">
        <f>IFERROR(__xludf.DUMMYFUNCTION("SPLIT(A516,"" "")"),"CN(CCNCc1ccccn1)c1ccc2c(c1)OCCOCCOCCOCCOCCO2")</f>
        <v>CN(CCNCc1ccccn1)c1ccc2c(c1)OCCOCCOCCOCCOCCO2</v>
      </c>
      <c r="C516" s="7">
        <f>IFERROR(__xludf.DUMMYFUNCTION("""COMPUTED_VALUE"""),7.8329782)</f>
        <v>7.8329782</v>
      </c>
      <c r="D516" s="7">
        <f>IFERROR(__xludf.DUMMYFUNCTION("""COMPUTED_VALUE"""),0.4375)</f>
        <v>0.4375</v>
      </c>
    </row>
    <row r="517">
      <c r="A517" s="10" t="s">
        <v>1956</v>
      </c>
      <c r="B517" s="7" t="str">
        <f>IFERROR(__xludf.DUMMYFUNCTION("SPLIT(A517,"" "")"),"CC1C=CC(C)C(C)(NCc2ccccn2)C1C")</f>
        <v>CC1C=CC(C)C(C)(NCc2ccccn2)C1C</v>
      </c>
      <c r="C517" s="7">
        <f>IFERROR(__xludf.DUMMYFUNCTION("""COMPUTED_VALUE"""),7.832926)</f>
        <v>7.832926</v>
      </c>
      <c r="D517" s="7">
        <f>IFERROR(__xludf.DUMMYFUNCTION("""COMPUTED_VALUE"""),0.414634146341463)</f>
        <v>0.4146341463</v>
      </c>
    </row>
    <row r="518">
      <c r="A518" s="10" t="s">
        <v>1957</v>
      </c>
      <c r="B518" s="7" t="str">
        <f>IFERROR(__xludf.DUMMYFUNCTION("SPLIT(A518,"" "")"),"CC(C)N(Cc1ccccn1)Cc1cccc(CN(Cc2ccccn2)C(C)(N)C23CCC2OCCOCCOCCOCCOCCO3)n1")</f>
        <v>CC(C)N(Cc1ccccn1)Cc1cccc(CN(Cc2ccccn2)C(C)(N)C23CCC2OCCOCCOCCOCCOCCO3)n1</v>
      </c>
      <c r="C518" s="7">
        <f>IFERROR(__xludf.DUMMYFUNCTION("""COMPUTED_VALUE"""),7.832868)</f>
        <v>7.832868</v>
      </c>
      <c r="D518" s="7">
        <f>IFERROR(__xludf.DUMMYFUNCTION("""COMPUTED_VALUE"""),0.387096774193548)</f>
        <v>0.3870967742</v>
      </c>
    </row>
    <row r="519">
      <c r="A519" s="10" t="s">
        <v>1958</v>
      </c>
      <c r="B519" s="7" t="str">
        <f>IFERROR(__xludf.DUMMYFUNCTION("SPLIT(A519,"" "")"),"Cc1cc(CN(C)C2CCC(N3CCN(C)CCN(C)CC3)CC2)nc(C)c1C")</f>
        <v>Cc1cc(CN(C)C2CCC(N3CCN(C)CCN(C)CC3)CC2)nc(C)c1C</v>
      </c>
      <c r="C519" s="7">
        <f>IFERROR(__xludf.DUMMYFUNCTION("""COMPUTED_VALUE"""),7.8328576)</f>
        <v>7.8328576</v>
      </c>
      <c r="D519" s="7">
        <f>IFERROR(__xludf.DUMMYFUNCTION("""COMPUTED_VALUE"""),0.29090909090909)</f>
        <v>0.2909090909</v>
      </c>
    </row>
    <row r="520">
      <c r="A520" s="10" t="s">
        <v>1959</v>
      </c>
      <c r="B520" s="7" t="str">
        <f>IFERROR(__xludf.DUMMYFUNCTION("SPLIT(A520,"" "")"),"CNC1CCCCC1NCc1cc(C)c(C)cn1")</f>
        <v>CNC1CCCCC1NCc1cc(C)c(C)cn1</v>
      </c>
      <c r="C520" s="7">
        <f>IFERROR(__xludf.DUMMYFUNCTION("""COMPUTED_VALUE"""),7.832792)</f>
        <v>7.832792</v>
      </c>
      <c r="D520" s="7">
        <f>IFERROR(__xludf.DUMMYFUNCTION("""COMPUTED_VALUE"""),0.326530612244897)</f>
        <v>0.3265306122</v>
      </c>
    </row>
    <row r="521">
      <c r="A521" s="10" t="s">
        <v>1960</v>
      </c>
      <c r="B521" s="7" t="str">
        <f>IFERROR(__xludf.DUMMYFUNCTION("SPLIT(A521,"" "")"),"CN1CC=NCC2=CC=CC(CN(C)CC1)N2C")</f>
        <v>CN1CC=NCC2=CC=CC(CN(C)CC1)N2C</v>
      </c>
      <c r="C521" s="7">
        <f>IFERROR(__xludf.DUMMYFUNCTION("""COMPUTED_VALUE"""),7.832792)</f>
        <v>7.832792</v>
      </c>
      <c r="D521" s="7">
        <f>IFERROR(__xludf.DUMMYFUNCTION("""COMPUTED_VALUE"""),0.217391304347826)</f>
        <v>0.2173913043</v>
      </c>
    </row>
    <row r="522">
      <c r="A522" s="10" t="s">
        <v>1961</v>
      </c>
      <c r="B522" s="7" t="str">
        <f>IFERROR(__xludf.DUMMYFUNCTION("SPLIT(A522,"" "")"),"CN(C)C1CCCCC1N(Cc1cccc(-c2ccc3c(c2)OCCOCCOCCOCCOCCO3)n1)C1(C)CCC1")</f>
        <v>CN(C)C1CCCCC1N(Cc1cccc(-c2ccc3c(c2)OCCOCCOCCOCCOCCO3)n1)C1(C)CCC1</v>
      </c>
      <c r="C522" s="7">
        <f>IFERROR(__xludf.DUMMYFUNCTION("""COMPUTED_VALUE"""),7.8327713)</f>
        <v>7.8327713</v>
      </c>
      <c r="D522" s="7">
        <f>IFERROR(__xludf.DUMMYFUNCTION("""COMPUTED_VALUE"""),0.353846153846153)</f>
        <v>0.3538461538</v>
      </c>
    </row>
    <row r="523">
      <c r="A523" s="10" t="s">
        <v>1962</v>
      </c>
      <c r="B523" s="7" t="str">
        <f>IFERROR(__xludf.DUMMYFUNCTION("SPLIT(A523,"" "")"),"CC(C)C(C)NCc1cc(CN2CCN(C)CCN(C)CC2)ccn1")</f>
        <v>CC(C)C(C)NCc1cc(CN2CCN(C)CCN(C)CC2)ccn1</v>
      </c>
      <c r="C523" s="7">
        <f>IFERROR(__xludf.DUMMYFUNCTION("""COMPUTED_VALUE"""),7.8327518)</f>
        <v>7.8327518</v>
      </c>
      <c r="D523" s="7">
        <f>IFERROR(__xludf.DUMMYFUNCTION("""COMPUTED_VALUE"""),0.5)</f>
        <v>0.5</v>
      </c>
    </row>
    <row r="524">
      <c r="A524" s="10" t="s">
        <v>1963</v>
      </c>
      <c r="B524" s="7" t="str">
        <f>IFERROR(__xludf.DUMMYFUNCTION("SPLIT(A524,"" "")"),"CNC1CCCC(N(C)Cc2ncccc2C)C1")</f>
        <v>CNC1CCCC(N(C)Cc2ncccc2C)C1</v>
      </c>
      <c r="C524" s="7">
        <f>IFERROR(__xludf.DUMMYFUNCTION("""COMPUTED_VALUE"""),7.832731)</f>
        <v>7.832731</v>
      </c>
      <c r="D524" s="7">
        <f>IFERROR(__xludf.DUMMYFUNCTION("""COMPUTED_VALUE"""),0.346153846153846)</f>
        <v>0.3461538462</v>
      </c>
    </row>
    <row r="525">
      <c r="A525" s="10" t="s">
        <v>1964</v>
      </c>
      <c r="B525" s="7" t="str">
        <f>IFERROR(__xludf.DUMMYFUNCTION("SPLIT(A525,"" "")"),"CN1CCN(C)CCN(Cc2ccc(Cl)cc2N)CC1")</f>
        <v>CN1CCN(C)CCN(Cc2ccc(Cl)cc2N)CC1</v>
      </c>
      <c r="C525" s="7">
        <f>IFERROR(__xludf.DUMMYFUNCTION("""COMPUTED_VALUE"""),7.832603)</f>
        <v>7.832603</v>
      </c>
      <c r="D525" s="7">
        <f>IFERROR(__xludf.DUMMYFUNCTION("""COMPUTED_VALUE"""),0.41860465116279)</f>
        <v>0.4186046512</v>
      </c>
    </row>
    <row r="526">
      <c r="A526" s="10" t="s">
        <v>1965</v>
      </c>
      <c r="B526" s="7" t="str">
        <f>IFERROR(__xludf.DUMMYFUNCTION("SPLIT(A526,"" "")"),"C1=CCNC(N(Cc2cccnn2)C2CCCCC2)=C1")</f>
        <v>C1=CCNC(N(Cc2cccnn2)C2CCCCC2)=C1</v>
      </c>
      <c r="C526" s="7">
        <f>IFERROR(__xludf.DUMMYFUNCTION("""COMPUTED_VALUE"""),7.832553)</f>
        <v>7.832553</v>
      </c>
      <c r="D526" s="7">
        <f>IFERROR(__xludf.DUMMYFUNCTION("""COMPUTED_VALUE"""),0.36734693877551)</f>
        <v>0.3673469388</v>
      </c>
    </row>
    <row r="527">
      <c r="A527" s="10" t="s">
        <v>1966</v>
      </c>
      <c r="B527" s="7" t="str">
        <f>IFERROR(__xludf.DUMMYFUNCTION("SPLIT(A527,"" "")"),"CC1CC(c2cc(CN3CCN(C)CCN(C)CC3)ccn2)C1C")</f>
        <v>CC1CC(c2cc(CN3CCN(C)CCN(C)CC3)ccn2)C1C</v>
      </c>
      <c r="C527" s="7">
        <f>IFERROR(__xludf.DUMMYFUNCTION("""COMPUTED_VALUE"""),7.832525)</f>
        <v>7.832525</v>
      </c>
      <c r="D527" s="7">
        <f>IFERROR(__xludf.DUMMYFUNCTION("""COMPUTED_VALUE"""),0.4375)</f>
        <v>0.4375</v>
      </c>
    </row>
    <row r="528">
      <c r="A528" s="10" t="s">
        <v>1967</v>
      </c>
      <c r="B528" s="7" t="str">
        <f>IFERROR(__xludf.DUMMYFUNCTION("SPLIT(A528,"" "")"),"CN(Cc1cccnn1)C1CCCC(N(C)CC(C)(C)C)C1")</f>
        <v>CN(Cc1cccnn1)C1CCCC(N(C)CC(C)(C)C)C1</v>
      </c>
      <c r="C528" s="7">
        <f>IFERROR(__xludf.DUMMYFUNCTION("""COMPUTED_VALUE"""),7.832491)</f>
        <v>7.832491</v>
      </c>
      <c r="D528" s="7">
        <f>IFERROR(__xludf.DUMMYFUNCTION("""COMPUTED_VALUE"""),0.454545454545454)</f>
        <v>0.4545454545</v>
      </c>
    </row>
    <row r="529">
      <c r="A529" s="10" t="s">
        <v>1968</v>
      </c>
      <c r="B529" s="7" t="str">
        <f>IFERROR(__xludf.DUMMYFUNCTION("SPLIT(A529,"" "")"),"CC1CC(c2ccc(CN3CCN(C)CCN(C)CC3)cn2)C1C")</f>
        <v>CC1CC(c2ccc(CN3CCN(C)CCN(C)CC3)cn2)C1C</v>
      </c>
      <c r="C529" s="7">
        <f>IFERROR(__xludf.DUMMYFUNCTION("""COMPUTED_VALUE"""),7.832479)</f>
        <v>7.832479</v>
      </c>
      <c r="D529" s="7">
        <f>IFERROR(__xludf.DUMMYFUNCTION("""COMPUTED_VALUE"""),0.375)</f>
        <v>0.375</v>
      </c>
    </row>
    <row r="530">
      <c r="A530" s="10" t="s">
        <v>1969</v>
      </c>
      <c r="B530" s="7" t="str">
        <f>IFERROR(__xludf.DUMMYFUNCTION("SPLIT(A530,"" "")"),"CCNCC1CC(C)C1CN(Cc1ccccn1)C1CCC(N(C)Cc2ncccc2C)CC1")</f>
        <v>CCNCC1CC(C)C1CN(Cc1ccccn1)C1CCC(N(C)Cc2ncccc2C)CC1</v>
      </c>
      <c r="C530" s="7">
        <f>IFERROR(__xludf.DUMMYFUNCTION("""COMPUTED_VALUE"""),7.832463)</f>
        <v>7.832463</v>
      </c>
      <c r="D530" s="7">
        <f>IFERROR(__xludf.DUMMYFUNCTION("""COMPUTED_VALUE"""),0.348484848484848)</f>
        <v>0.3484848485</v>
      </c>
    </row>
    <row r="531">
      <c r="A531" s="10" t="s">
        <v>1970</v>
      </c>
      <c r="B531" s="7" t="str">
        <f>IFERROR(__xludf.DUMMYFUNCTION("SPLIT(A531,"" "")"),"CN(Cc1ccccn1)C1CCC(N2CCCC2C2CCCN2Cc2cccc(-c3ccc4c(c3)OCCOCCOCCOCCOCCO4)n2)CC1")</f>
        <v>CN(Cc1ccccn1)C1CCC(N2CCCC2C2CCCN2Cc2cccc(-c3ccc4c(c3)OCCOCCOCCOCCOCCO4)n2)CC1</v>
      </c>
      <c r="C531" s="7">
        <f>IFERROR(__xludf.DUMMYFUNCTION("""COMPUTED_VALUE"""),7.8324523)</f>
        <v>7.8324523</v>
      </c>
      <c r="D531" s="7">
        <f>IFERROR(__xludf.DUMMYFUNCTION("""COMPUTED_VALUE"""),0.48051948051948)</f>
        <v>0.4805194805</v>
      </c>
    </row>
    <row r="532">
      <c r="A532" s="10" t="s">
        <v>1971</v>
      </c>
      <c r="B532" s="7" t="str">
        <f>IFERROR(__xludf.DUMMYFUNCTION("SPLIT(A532,"" "")"),"CC(C)C1CCC1C")</f>
        <v>CC(C)C1CCC1C</v>
      </c>
      <c r="C532" s="7">
        <f>IFERROR(__xludf.DUMMYFUNCTION("""COMPUTED_VALUE"""),7.832449)</f>
        <v>7.832449</v>
      </c>
      <c r="D532" s="7">
        <f>IFERROR(__xludf.DUMMYFUNCTION("""COMPUTED_VALUE"""),0.133333333333333)</f>
        <v>0.1333333333</v>
      </c>
    </row>
    <row r="533">
      <c r="A533" s="10" t="s">
        <v>1972</v>
      </c>
      <c r="B533" s="7" t="str">
        <f>IFERROR(__xludf.DUMMYFUNCTION("SPLIT(A533,"" "")"),"CNCCN(C)C1CCCCC1N(C)Cc1cccc(-c2ccc3c(c2)OCCOCCOCCOCCOCCO3)n1")</f>
        <v>CNCCN(C)C1CCCCC1N(C)Cc1cccc(-c2ccc3c(c2)OCCOCCOCCOCCOCCO3)n1</v>
      </c>
      <c r="C533" s="7">
        <f>IFERROR(__xludf.DUMMYFUNCTION("""COMPUTED_VALUE"""),7.832446)</f>
        <v>7.832446</v>
      </c>
      <c r="D533" s="7">
        <f>IFERROR(__xludf.DUMMYFUNCTION("""COMPUTED_VALUE"""),0.426229508196721)</f>
        <v>0.4262295082</v>
      </c>
    </row>
    <row r="534">
      <c r="A534" s="10" t="s">
        <v>1973</v>
      </c>
      <c r="B534" s="7" t="str">
        <f>IFERROR(__xludf.DUMMYFUNCTION("SPLIT(A534,"" "")"),"CC1C=CC(C)(C)C(C)(N(C)Cc2ccc(CN3CCN(C)CCN(C)CC3)cn2)C1")</f>
        <v>CC1C=CC(C)(C)C(C)(N(C)Cc2ccc(CN3CCN(C)CCN(C)CC3)cn2)C1</v>
      </c>
      <c r="C534" s="7">
        <f>IFERROR(__xludf.DUMMYFUNCTION("""COMPUTED_VALUE"""),7.832404)</f>
        <v>7.832404</v>
      </c>
      <c r="D534" s="7">
        <f>IFERROR(__xludf.DUMMYFUNCTION("""COMPUTED_VALUE"""),0.338983050847457)</f>
        <v>0.3389830508</v>
      </c>
    </row>
    <row r="535">
      <c r="A535" s="10" t="s">
        <v>1974</v>
      </c>
      <c r="B535" s="7" t="str">
        <f>IFERROR(__xludf.DUMMYFUNCTION("SPLIT(A535,"" "")"),"CC(C)N(C)CCN(C)C1C=CC=CN1")</f>
        <v>CC(C)N(C)CCN(C)C1C=CC=CN1</v>
      </c>
      <c r="C535" s="7">
        <f>IFERROR(__xludf.DUMMYFUNCTION("""COMPUTED_VALUE"""),7.8323703)</f>
        <v>7.8323703</v>
      </c>
      <c r="D535" s="7">
        <f>IFERROR(__xludf.DUMMYFUNCTION("""COMPUTED_VALUE"""),0.23076923076923)</f>
        <v>0.2307692308</v>
      </c>
    </row>
    <row r="536">
      <c r="A536" s="10" t="s">
        <v>1975</v>
      </c>
      <c r="B536" s="7" t="str">
        <f>IFERROR(__xludf.DUMMYFUNCTION("SPLIT(A536,"" "")"),"CC(C)C(C)NCc1ccc(CN2CCN(C)CCN(C)CC2)cn1")</f>
        <v>CC(C)C(C)NCc1ccc(CN2CCN(C)CCN(C)CC2)cn1</v>
      </c>
      <c r="C536" s="7">
        <f>IFERROR(__xludf.DUMMYFUNCTION("""COMPUTED_VALUE"""),7.832348)</f>
        <v>7.832348</v>
      </c>
      <c r="D536" s="7">
        <f>IFERROR(__xludf.DUMMYFUNCTION("""COMPUTED_VALUE"""),0.395833333333333)</f>
        <v>0.3958333333</v>
      </c>
    </row>
    <row r="537">
      <c r="A537" s="10" t="s">
        <v>1976</v>
      </c>
      <c r="B537" s="7" t="str">
        <f>IFERROR(__xludf.DUMMYFUNCTION("SPLIT(A537,"" "")"),"Cc1cc(CN2CCN(C)CCN(CF)CC2)nc(C)c1N")</f>
        <v>Cc1cc(CN2CCN(C)CCN(CF)CC2)nc(C)c1N</v>
      </c>
      <c r="C537" s="7">
        <f>IFERROR(__xludf.DUMMYFUNCTION("""COMPUTED_VALUE"""),7.8323407)</f>
        <v>7.8323407</v>
      </c>
      <c r="D537" s="7">
        <f>IFERROR(__xludf.DUMMYFUNCTION("""COMPUTED_VALUE"""),0.5)</f>
        <v>0.5</v>
      </c>
    </row>
    <row r="538">
      <c r="A538" s="10" t="s">
        <v>1977</v>
      </c>
      <c r="B538" s="7" t="str">
        <f>IFERROR(__xludf.DUMMYFUNCTION("SPLIT(A538,"" "")"),"Cc1ccc(CN(C2CCC(N(C)Cc3cccc(C)n3)CC2)C2COCCOC3C=CC=CC3OCCOCCOC=CO2)nc1")</f>
        <v>Cc1ccc(CN(C2CCC(N(C)Cc3cccc(C)n3)CC2)C2COCCOC3C=CC=CC3OCCOCCOC=CO2)nc1</v>
      </c>
      <c r="C538" s="7">
        <f>IFERROR(__xludf.DUMMYFUNCTION("""COMPUTED_VALUE"""),7.832306)</f>
        <v>7.832306</v>
      </c>
      <c r="D538" s="7">
        <f>IFERROR(__xludf.DUMMYFUNCTION("""COMPUTED_VALUE"""),0.337837837837837)</f>
        <v>0.3378378378</v>
      </c>
    </row>
    <row r="539">
      <c r="A539" s="10" t="s">
        <v>1978</v>
      </c>
      <c r="B539" s="7" t="str">
        <f>IFERROR(__xludf.DUMMYFUNCTION("SPLIT(A539,"" "")"),"COC(C)NCc1ncccc1CN1CCN(C)CCN(C)CC1")</f>
        <v>COC(C)NCc1ncccc1CN1CCN(C)CCN(C)CC1</v>
      </c>
      <c r="C539" s="7">
        <f>IFERROR(__xludf.DUMMYFUNCTION("""COMPUTED_VALUE"""),7.832243)</f>
        <v>7.832243</v>
      </c>
      <c r="D539" s="7">
        <f>IFERROR(__xludf.DUMMYFUNCTION("""COMPUTED_VALUE"""),0.428571428571428)</f>
        <v>0.4285714286</v>
      </c>
    </row>
    <row r="540">
      <c r="A540" s="10" t="s">
        <v>1979</v>
      </c>
      <c r="B540" s="7" t="str">
        <f>IFERROR(__xludf.DUMMYFUNCTION("SPLIT(A540,"" "")"),"CC1CC(N)C=CC12C=CC=CN2")</f>
        <v>CC1CC(N)C=CC12C=CC=CN2</v>
      </c>
      <c r="C540" s="7">
        <f>IFERROR(__xludf.DUMMYFUNCTION("""COMPUTED_VALUE"""),7.832233)</f>
        <v>7.832233</v>
      </c>
      <c r="D540" s="7">
        <f>IFERROR(__xludf.DUMMYFUNCTION("""COMPUTED_VALUE"""),0.125)</f>
        <v>0.125</v>
      </c>
    </row>
    <row r="541">
      <c r="A541" s="10" t="s">
        <v>1980</v>
      </c>
      <c r="B541" s="7" t="str">
        <f>IFERROR(__xludf.DUMMYFUNCTION("SPLIT(A541,"" "")"),"CN(CCF)C1CCC(N(C)Cc2cccc(-c3ccc4c(c3)OCCOCCOCCOCCOCCO4)n2)CC1")</f>
        <v>CN(CCF)C1CCC(N(C)Cc2cccc(-c3ccc4c(c3)OCCOCCOCCOCCOCCO4)n2)CC1</v>
      </c>
      <c r="C541" s="7">
        <f>IFERROR(__xludf.DUMMYFUNCTION("""COMPUTED_VALUE"""),7.832232)</f>
        <v>7.832232</v>
      </c>
      <c r="D541" s="7">
        <f>IFERROR(__xludf.DUMMYFUNCTION("""COMPUTED_VALUE"""),0.352112676056338)</f>
        <v>0.3521126761</v>
      </c>
    </row>
    <row r="542">
      <c r="A542" s="10" t="s">
        <v>1981</v>
      </c>
      <c r="B542" s="7" t="str">
        <f>IFERROR(__xludf.DUMMYFUNCTION("SPLIT(A542,"" "")"),"CC1C=CC(C)(C)CC1C")</f>
        <v>CC1C=CC(C)(C)CC1C</v>
      </c>
      <c r="C542" s="7">
        <f>IFERROR(__xludf.DUMMYFUNCTION("""COMPUTED_VALUE"""),7.8320904)</f>
        <v>7.8320904</v>
      </c>
      <c r="D542" s="7">
        <f>IFERROR(__xludf.DUMMYFUNCTION("""COMPUTED_VALUE"""),0.125)</f>
        <v>0.125</v>
      </c>
    </row>
    <row r="543">
      <c r="A543" s="10" t="s">
        <v>1982</v>
      </c>
      <c r="B543" s="7" t="str">
        <f>IFERROR(__xludf.DUMMYFUNCTION("SPLIT(A543,"" "")"),"CN(CCN(Cc1ccccn1)c1cccc2c1OCCOCCOCCOCCOCCO2)C1CCC(N(C)Cc2ccccn2)CC1")</f>
        <v>CN(CCN(Cc1ccccn1)c1cccc2c1OCCOCCOCCOCCOCCO2)C1CCC(N(C)Cc2ccccn2)CC1</v>
      </c>
      <c r="C543" s="7">
        <f>IFERROR(__xludf.DUMMYFUNCTION("""COMPUTED_VALUE"""),7.832068)</f>
        <v>7.832068</v>
      </c>
      <c r="D543" s="7">
        <f>IFERROR(__xludf.DUMMYFUNCTION("""COMPUTED_VALUE"""),0.406779661016949)</f>
        <v>0.406779661</v>
      </c>
    </row>
    <row r="544">
      <c r="A544" s="10" t="s">
        <v>1983</v>
      </c>
      <c r="B544" s="7" t="str">
        <f>IFERROR(__xludf.DUMMYFUNCTION("SPLIT(A544,"" "")"),"COC(C)NCc1ccc(CN2CCN(C)CCN(C)CC2)cn1")</f>
        <v>COC(C)NCc1ccc(CN2CCN(C)CCN(C)CC2)cn1</v>
      </c>
      <c r="C544" s="7">
        <f>IFERROR(__xludf.DUMMYFUNCTION("""COMPUTED_VALUE"""),7.8320656)</f>
        <v>7.8320656</v>
      </c>
      <c r="D544" s="7">
        <f>IFERROR(__xludf.DUMMYFUNCTION("""COMPUTED_VALUE"""),0.38)</f>
        <v>0.38</v>
      </c>
    </row>
    <row r="545">
      <c r="A545" s="10" t="s">
        <v>1984</v>
      </c>
      <c r="B545" s="7" t="str">
        <f>IFERROR(__xludf.DUMMYFUNCTION("SPLIT(A545,"" "")"),"CNCCN(Cc1ccccn1)c1cccc2c1OCCOCCOCCOCCOCCO2")</f>
        <v>CNCCN(Cc1ccccn1)c1cccc2c1OCCOCCOCCOCCOCCO2</v>
      </c>
      <c r="C545" s="7">
        <f>IFERROR(__xludf.DUMMYFUNCTION("""COMPUTED_VALUE"""),7.8320193)</f>
        <v>7.8320193</v>
      </c>
      <c r="D545" s="7">
        <f>IFERROR(__xludf.DUMMYFUNCTION("""COMPUTED_VALUE"""),0.363636363636363)</f>
        <v>0.3636363636</v>
      </c>
    </row>
    <row r="546">
      <c r="A546" s="10" t="s">
        <v>1985</v>
      </c>
      <c r="B546" s="7" t="str">
        <f>IFERROR(__xludf.DUMMYFUNCTION("SPLIT(A546,"" "")"),"CC(C)N(C)CN1CCN(C)CCN(C(c2ccccc2)c2ccccn2)CC1")</f>
        <v>CC(C)N(C)CN1CCN(C)CCN(C(c2ccccc2)c2ccccn2)CC1</v>
      </c>
      <c r="C546" s="7">
        <f>IFERROR(__xludf.DUMMYFUNCTION("""COMPUTED_VALUE"""),7.8319993)</f>
        <v>7.8319993</v>
      </c>
      <c r="D546" s="7">
        <f>IFERROR(__xludf.DUMMYFUNCTION("""COMPUTED_VALUE"""),0.403846153846153)</f>
        <v>0.4038461538</v>
      </c>
    </row>
    <row r="547">
      <c r="A547" s="10" t="s">
        <v>1986</v>
      </c>
      <c r="B547" s="7" t="str">
        <f>IFERROR(__xludf.DUMMYFUNCTION("SPLIT(A547,"" "")"),"CN(CCF)C1CCC(N(C)Cc2cc(-c3ccc4c(c3)OCCOCCOCCOCCOCCO4)ccn2)CC1")</f>
        <v>CN(CCF)C1CCC(N(C)Cc2cc(-c3ccc4c(c3)OCCOCCOCCOCCOCCO4)ccn2)CC1</v>
      </c>
      <c r="C547" s="7">
        <f>IFERROR(__xludf.DUMMYFUNCTION("""COMPUTED_VALUE"""),7.831979)</f>
        <v>7.831979</v>
      </c>
      <c r="D547" s="7">
        <f>IFERROR(__xludf.DUMMYFUNCTION("""COMPUTED_VALUE"""),0.402985074626865)</f>
        <v>0.4029850746</v>
      </c>
    </row>
    <row r="548">
      <c r="A548" s="10" t="s">
        <v>1987</v>
      </c>
      <c r="B548" s="7" t="str">
        <f>IFERROR(__xludf.DUMMYFUNCTION("SPLIT(A548,"" "")"),"CN1CCN(C)CCN(C(C)(C)c2cccnc2)CC1")</f>
        <v>CN1CCN(C)CCN(C(C)(C)c2cccnc2)CC1</v>
      </c>
      <c r="C548" s="7">
        <f>IFERROR(__xludf.DUMMYFUNCTION("""COMPUTED_VALUE"""),7.831956)</f>
        <v>7.831956</v>
      </c>
      <c r="D548" s="7">
        <f>IFERROR(__xludf.DUMMYFUNCTION("""COMPUTED_VALUE"""),0.333333333333333)</f>
        <v>0.3333333333</v>
      </c>
    </row>
    <row r="549">
      <c r="A549" s="10" t="s">
        <v>1988</v>
      </c>
      <c r="B549" s="7" t="str">
        <f>IFERROR(__xludf.DUMMYFUNCTION("SPLIT(A549,"" "")"),"FCNCc1ncccc1CN(Cc1ccccn1)C1CCCCC1")</f>
        <v>FCNCc1ncccc1CN(Cc1ccccn1)C1CCCCC1</v>
      </c>
      <c r="C549" s="7">
        <f>IFERROR(__xludf.DUMMYFUNCTION("""COMPUTED_VALUE"""),7.8319454)</f>
        <v>7.8319454</v>
      </c>
      <c r="D549" s="7">
        <f>IFERROR(__xludf.DUMMYFUNCTION("""COMPUTED_VALUE"""),0.407407407407407)</f>
        <v>0.4074074074</v>
      </c>
    </row>
    <row r="550">
      <c r="A550" s="10" t="s">
        <v>1989</v>
      </c>
      <c r="B550" s="7" t="str">
        <f>IFERROR(__xludf.DUMMYFUNCTION("SPLIT(A550,"" "")"),"CC(C)N(C)C1CCCCC1N(C)Cc1ccc(-c2cccc3c2OCCOCCOCCOCCOCCO3)cn1")</f>
        <v>CC(C)N(C)C1CCCCC1N(C)Cc1ccc(-c2cccc3c2OCCOCCOCCOCCOCCO3)cn1</v>
      </c>
      <c r="C550" s="7">
        <f>IFERROR(__xludf.DUMMYFUNCTION("""COMPUTED_VALUE"""),7.8319297)</f>
        <v>7.8319297</v>
      </c>
      <c r="D550" s="7">
        <f>IFERROR(__xludf.DUMMYFUNCTION("""COMPUTED_VALUE"""),0.426229508196721)</f>
        <v>0.4262295082</v>
      </c>
    </row>
    <row r="551">
      <c r="A551" s="10" t="s">
        <v>1990</v>
      </c>
      <c r="B551" s="7" t="str">
        <f>IFERROR(__xludf.DUMMYFUNCTION("SPLIT(A551,"" "")"),"CN1CCN(Cc2ccc(N)cn2)CCN(C(C)(C)C)CC1")</f>
        <v>CN1CCN(Cc2ccc(N)cn2)CCN(C(C)(C)C)CC1</v>
      </c>
      <c r="C551" s="7">
        <f>IFERROR(__xludf.DUMMYFUNCTION("""COMPUTED_VALUE"""),7.831873)</f>
        <v>7.831873</v>
      </c>
      <c r="D551" s="7">
        <f>IFERROR(__xludf.DUMMYFUNCTION("""COMPUTED_VALUE"""),0.477272727272727)</f>
        <v>0.4772727273</v>
      </c>
    </row>
    <row r="552">
      <c r="A552" s="10" t="s">
        <v>1991</v>
      </c>
      <c r="B552" s="7" t="str">
        <f>IFERROR(__xludf.DUMMYFUNCTION("SPLIT(A552,"" "")"),"CCNC1C=CC=CN1")</f>
        <v>CCNC1C=CC=CN1</v>
      </c>
      <c r="C552" s="7">
        <f>IFERROR(__xludf.DUMMYFUNCTION("""COMPUTED_VALUE"""),7.831858)</f>
        <v>7.831858</v>
      </c>
      <c r="D552" s="7">
        <f>IFERROR(__xludf.DUMMYFUNCTION("""COMPUTED_VALUE"""),0.239130434782608)</f>
        <v>0.2391304348</v>
      </c>
    </row>
    <row r="553">
      <c r="A553" s="10" t="s">
        <v>1992</v>
      </c>
      <c r="B553" s="7" t="str">
        <f>IFERROR(__xludf.DUMMYFUNCTION("SPLIT(A553,"" "")"),"CC(C)N(C)Cc1cccnc1CN1CCN(C)CCN(C)CC1")</f>
        <v>CC(C)N(C)Cc1cccnc1CN1CCN(C)CCN(C)CC1</v>
      </c>
      <c r="C553" s="7">
        <f>IFERROR(__xludf.DUMMYFUNCTION("""COMPUTED_VALUE"""),7.831858)</f>
        <v>7.831858</v>
      </c>
      <c r="D553" s="7">
        <f>IFERROR(__xludf.DUMMYFUNCTION("""COMPUTED_VALUE"""),0.456521739130434)</f>
        <v>0.4565217391</v>
      </c>
    </row>
    <row r="554">
      <c r="A554" s="10" t="s">
        <v>1993</v>
      </c>
      <c r="B554" s="7" t="str">
        <f>IFERROR(__xludf.DUMMYFUNCTION("SPLIT(A554,"" "")"),"CC(C)N1CCN(C)CCN(Cc2cncc(-c3ccc4c(c3)OCCOCCOCCOCCOCCO4)c2)CC1")</f>
        <v>CC(C)N1CCN(C)CCN(Cc2cncc(-c3ccc4c(c3)OCCOCCOCCOCCOCCO4)c2)CC1</v>
      </c>
      <c r="C554" s="7">
        <f>IFERROR(__xludf.DUMMYFUNCTION("""COMPUTED_VALUE"""),7.8318276)</f>
        <v>7.8318276</v>
      </c>
      <c r="D554" s="7">
        <f>IFERROR(__xludf.DUMMYFUNCTION("""COMPUTED_VALUE"""),0.397058823529411)</f>
        <v>0.3970588235</v>
      </c>
    </row>
    <row r="555">
      <c r="A555" s="10" t="s">
        <v>1994</v>
      </c>
      <c r="B555" s="7" t="str">
        <f>IFERROR(__xludf.DUMMYFUNCTION("SPLIT(A555,"" "")"),"CC(C)N(C)Cc1ccncc1CN1CCN(C)CCN(C)CC1")</f>
        <v>CC(C)N(C)Cc1ccncc1CN1CCN(C)CCN(C)CC1</v>
      </c>
      <c r="C555" s="7">
        <f>IFERROR(__xludf.DUMMYFUNCTION("""COMPUTED_VALUE"""),7.831815)</f>
        <v>7.831815</v>
      </c>
      <c r="D555" s="7">
        <f>IFERROR(__xludf.DUMMYFUNCTION("""COMPUTED_VALUE"""),0.375)</f>
        <v>0.375</v>
      </c>
    </row>
    <row r="556">
      <c r="A556" s="10" t="s">
        <v>1995</v>
      </c>
      <c r="B556" s="7" t="str">
        <f>IFERROR(__xludf.DUMMYFUNCTION("SPLIT(A556,"" "")"),"CC1C=CC(C)C(C)(NCc2ccccn2)C1(C)C")</f>
        <v>CC1C=CC(C)C(C)(NCc2ccccn2)C1(C)C</v>
      </c>
      <c r="C556" s="7">
        <f>IFERROR(__xludf.DUMMYFUNCTION("""COMPUTED_VALUE"""),7.8317747)</f>
        <v>7.8317747</v>
      </c>
      <c r="D556" s="7">
        <f>IFERROR(__xludf.DUMMYFUNCTION("""COMPUTED_VALUE"""),0.435897435897435)</f>
        <v>0.4358974359</v>
      </c>
    </row>
    <row r="557">
      <c r="A557" s="10" t="s">
        <v>1996</v>
      </c>
      <c r="B557" s="7" t="str">
        <f>IFERROR(__xludf.DUMMYFUNCTION("SPLIT(A557,"" "")"),"CC(C)N(C)C1=CNC(CN(C)Cc2cccc3c2OCCOCCOCCOCCOCCO3)=CC1")</f>
        <v>CC(C)N(C)C1=CNC(CN(C)Cc2cccc3c2OCCOCCOCCOCCOCCO3)=CC1</v>
      </c>
      <c r="C557" s="7">
        <f>IFERROR(__xludf.DUMMYFUNCTION("""COMPUTED_VALUE"""),7.831766)</f>
        <v>7.831766</v>
      </c>
      <c r="D557" s="7">
        <f>IFERROR(__xludf.DUMMYFUNCTION("""COMPUTED_VALUE"""),0.25)</f>
        <v>0.25</v>
      </c>
    </row>
    <row r="558">
      <c r="A558" s="10" t="s">
        <v>1997</v>
      </c>
      <c r="B558" s="7" t="str">
        <f>IFERROR(__xludf.DUMMYFUNCTION("SPLIT(A558,"" "")"),"FCNCc1cccc(CN(Cc2ccccn2)C2CCCCC2)n1")</f>
        <v>FCNCc1cccc(CN(Cc2ccccn2)C2CCCCC2)n1</v>
      </c>
      <c r="C558" s="7">
        <f>IFERROR(__xludf.DUMMYFUNCTION("""COMPUTED_VALUE"""),7.8317256)</f>
        <v>7.8317256</v>
      </c>
      <c r="D558" s="7">
        <f>IFERROR(__xludf.DUMMYFUNCTION("""COMPUTED_VALUE"""),0.431372549019607)</f>
        <v>0.431372549</v>
      </c>
    </row>
    <row r="559">
      <c r="A559" s="10" t="s">
        <v>1998</v>
      </c>
      <c r="B559" s="7" t="str">
        <f>IFERROR(__xludf.DUMMYFUNCTION("SPLIT(A559,"" "")"),"CN1CCN(C)CCN(Cc2cccnc2-c2cccc3c2OCCOCCOCCOCCOCCO3)CC1")</f>
        <v>CN1CCN(C)CCN(Cc2cccnc2-c2cccc3c2OCCOCCOCCOCCOCCO3)CC1</v>
      </c>
      <c r="C559" s="7">
        <f>IFERROR(__xludf.DUMMYFUNCTION("""COMPUTED_VALUE"""),7.83166)</f>
        <v>7.83166</v>
      </c>
      <c r="D559" s="7">
        <f>IFERROR(__xludf.DUMMYFUNCTION("""COMPUTED_VALUE"""),0.388888888888888)</f>
        <v>0.3888888889</v>
      </c>
    </row>
    <row r="560">
      <c r="A560" s="10" t="s">
        <v>1999</v>
      </c>
      <c r="B560" s="7" t="str">
        <f>IFERROR(__xludf.DUMMYFUNCTION("SPLIT(A560,"" "")"),"c1ccc(CN(Cc2ccccn2)Cc2cccc(C3CC4OCCOCCOCCOCCOCCOC43)n2)nc1")</f>
        <v>c1ccc(CN(Cc2ccccn2)Cc2cccc(C3CC4OCCOCCOCCOCCOCCOC43)n2)nc1</v>
      </c>
      <c r="C560" s="7">
        <f>IFERROR(__xludf.DUMMYFUNCTION("""COMPUTED_VALUE"""),7.831632)</f>
        <v>7.831632</v>
      </c>
      <c r="D560" s="7">
        <f>IFERROR(__xludf.DUMMYFUNCTION("""COMPUTED_VALUE"""),0.444444444444444)</f>
        <v>0.4444444444</v>
      </c>
    </row>
    <row r="561">
      <c r="A561" s="10" t="s">
        <v>2000</v>
      </c>
      <c r="B561" s="7" t="str">
        <f>IFERROR(__xludf.DUMMYFUNCTION("SPLIT(A561,"" "")"),"Cc1cnc(N(C)C2CCCC(N(C)CCN3CCN(C)CCN(C)CC3)C2)c(C)c1")</f>
        <v>Cc1cnc(N(C)C2CCCC(N(C)CCN3CCN(C)CCN(C)CC3)C2)c(C)c1</v>
      </c>
      <c r="C561" s="7">
        <f>IFERROR(__xludf.DUMMYFUNCTION("""COMPUTED_VALUE"""),7.83163)</f>
        <v>7.83163</v>
      </c>
      <c r="D561" s="7">
        <f>IFERROR(__xludf.DUMMYFUNCTION("""COMPUTED_VALUE"""),0.310344827586206)</f>
        <v>0.3103448276</v>
      </c>
    </row>
    <row r="562">
      <c r="A562" s="10" t="s">
        <v>2001</v>
      </c>
      <c r="B562" s="7" t="str">
        <f>IFERROR(__xludf.DUMMYFUNCTION("SPLIT(A562,"" "")"),"CC1C(N)CC1CN(C)Cc1ccccn1")</f>
        <v>CC1C(N)CC1CN(C)Cc1ccccn1</v>
      </c>
      <c r="C562" s="7">
        <f>IFERROR(__xludf.DUMMYFUNCTION("""COMPUTED_VALUE"""),7.8316245)</f>
        <v>7.8316245</v>
      </c>
      <c r="D562" s="7">
        <f>IFERROR(__xludf.DUMMYFUNCTION("""COMPUTED_VALUE"""),0.48076923076923)</f>
        <v>0.4807692308</v>
      </c>
    </row>
    <row r="563">
      <c r="A563" s="10" t="s">
        <v>2002</v>
      </c>
      <c r="B563" s="7" t="str">
        <f>IFERROR(__xludf.DUMMYFUNCTION("SPLIT(A563,"" "")"),"Cc1cccnc1CN(C)C1CCCCC1N(C)Cc1cccnc1CN1CCN(C)CCN(C)CC1")</f>
        <v>Cc1cccnc1CN(C)C1CCCCC1N(C)Cc1cccnc1CN1CCN(C)CCN(C)CC1</v>
      </c>
      <c r="C563" s="7">
        <f>IFERROR(__xludf.DUMMYFUNCTION("""COMPUTED_VALUE"""),7.831606)</f>
        <v>7.831606</v>
      </c>
      <c r="D563" s="7">
        <f>IFERROR(__xludf.DUMMYFUNCTION("""COMPUTED_VALUE"""),0.418181818181818)</f>
        <v>0.4181818182</v>
      </c>
    </row>
    <row r="564">
      <c r="A564" s="10" t="s">
        <v>2003</v>
      </c>
      <c r="B564" s="7" t="str">
        <f>IFERROR(__xludf.DUMMYFUNCTION("SPLIT(A564,"" "")"),"CN(Cc1ccc(Cl)cn1)C1CCCCC1N(C)C1C=CC=CN1")</f>
        <v>CN(Cc1ccc(Cl)cn1)C1CCCCC1N(C)C1C=CC=CN1</v>
      </c>
      <c r="C564" s="7">
        <f>IFERROR(__xludf.DUMMYFUNCTION("""COMPUTED_VALUE"""),7.83157)</f>
        <v>7.83157</v>
      </c>
      <c r="D564" s="7">
        <f>IFERROR(__xludf.DUMMYFUNCTION("""COMPUTED_VALUE"""),0.5)</f>
        <v>0.5</v>
      </c>
    </row>
    <row r="565">
      <c r="A565" s="10" t="s">
        <v>2004</v>
      </c>
      <c r="B565" s="7" t="str">
        <f>IFERROR(__xludf.DUMMYFUNCTION("SPLIT(A565,"" "")"),"CC(C)N(C)Cc1ncccc1CN1CCN(C)CCN(C)CC1")</f>
        <v>CC(C)N(C)Cc1ncccc1CN1CCN(C)CCN(C)CC1</v>
      </c>
      <c r="C565" s="7">
        <f>IFERROR(__xludf.DUMMYFUNCTION("""COMPUTED_VALUE"""),7.831542)</f>
        <v>7.831542</v>
      </c>
      <c r="D565" s="7">
        <f>IFERROR(__xludf.DUMMYFUNCTION("""COMPUTED_VALUE"""),0.456521739130434)</f>
        <v>0.4565217391</v>
      </c>
    </row>
    <row r="566">
      <c r="A566" s="10" t="s">
        <v>2005</v>
      </c>
      <c r="B566" s="7" t="str">
        <f>IFERROR(__xludf.DUMMYFUNCTION("SPLIT(A566,"" "")"),"CN1CCN(C)CCN(Cc2cnccc2-c2cccc3c2OCCOCCOCCOCCOCCO3)CC1")</f>
        <v>CN1CCN(C)CCN(Cc2cnccc2-c2cccc3c2OCCOCCOCCOCCOCCO3)CC1</v>
      </c>
      <c r="C566" s="7">
        <f>IFERROR(__xludf.DUMMYFUNCTION("""COMPUTED_VALUE"""),7.831517)</f>
        <v>7.831517</v>
      </c>
      <c r="D566" s="7">
        <f>IFERROR(__xludf.DUMMYFUNCTION("""COMPUTED_VALUE"""),0.339285714285714)</f>
        <v>0.3392857143</v>
      </c>
    </row>
    <row r="567">
      <c r="A567" s="10" t="s">
        <v>2006</v>
      </c>
      <c r="B567" s="7" t="str">
        <f>IFERROR(__xludf.DUMMYFUNCTION("SPLIT(A567,"" "")"),"CC(C)N(C)C1CCCCC1N(C)Cc1cccc(-c2ccc3c(c2)OCCOCCOCCOCCOCCO3)n1")</f>
        <v>CC(C)N(C)C1CCCCC1N(C)Cc1cccc(-c2ccc3c(c2)OCCOCCOCCOCCOCCO3)n1</v>
      </c>
      <c r="C567" s="7">
        <f>IFERROR(__xludf.DUMMYFUNCTION("""COMPUTED_VALUE"""),7.831496)</f>
        <v>7.831496</v>
      </c>
      <c r="D567" s="7">
        <f>IFERROR(__xludf.DUMMYFUNCTION("""COMPUTED_VALUE"""),0.440677966101694)</f>
        <v>0.4406779661</v>
      </c>
    </row>
    <row r="568">
      <c r="A568" s="10" t="s">
        <v>2007</v>
      </c>
      <c r="B568" s="7" t="str">
        <f>IFERROR(__xludf.DUMMYFUNCTION("SPLIT(A568,"" "")"),"CN1CCN(C)CCN(Cc2cncc(-c3cccc4c3OCCOCCOCCOCCOCCO4)c2)CC1")</f>
        <v>CN1CCN(C)CCN(Cc2cncc(-c3cccc4c3OCCOCCOCCOCCOCCO4)c2)CC1</v>
      </c>
      <c r="C568" s="7">
        <f>IFERROR(__xludf.DUMMYFUNCTION("""COMPUTED_VALUE"""),7.831454)</f>
        <v>7.831454</v>
      </c>
      <c r="D568" s="7">
        <f>IFERROR(__xludf.DUMMYFUNCTION("""COMPUTED_VALUE"""),0.327586206896551)</f>
        <v>0.3275862069</v>
      </c>
    </row>
    <row r="569">
      <c r="A569" s="10" t="s">
        <v>2008</v>
      </c>
      <c r="B569" s="7" t="str">
        <f>IFERROR(__xludf.DUMMYFUNCTION("SPLIT(A569,"" "")"),"CCCN(Cc1ccccn1)c1cccc2c1OCCOCCOCCOCCOCCO2")</f>
        <v>CCCN(Cc1ccccn1)c1cccc2c1OCCOCCOCCOCCOCCO2</v>
      </c>
      <c r="C569" s="7">
        <f>IFERROR(__xludf.DUMMYFUNCTION("""COMPUTED_VALUE"""),7.831407)</f>
        <v>7.831407</v>
      </c>
      <c r="D569" s="7">
        <f>IFERROR(__xludf.DUMMYFUNCTION("""COMPUTED_VALUE"""),0.358490566037735)</f>
        <v>0.358490566</v>
      </c>
    </row>
    <row r="570">
      <c r="A570" s="10" t="s">
        <v>2009</v>
      </c>
      <c r="B570" s="7" t="str">
        <f>IFERROR(__xludf.DUMMYFUNCTION("SPLIT(A570,"" "")"),"CC(C)C(C)N(C)Cc1cc(CN2CCN(C)CCN(C)CC2)ccn1")</f>
        <v>CC(C)C(C)N(C)Cc1cc(CN2CCN(C)CCN(C)CC2)ccn1</v>
      </c>
      <c r="C570" s="7">
        <f>IFERROR(__xludf.DUMMYFUNCTION("""COMPUTED_VALUE"""),7.831354)</f>
        <v>7.831354</v>
      </c>
      <c r="D570" s="7">
        <f>IFERROR(__xludf.DUMMYFUNCTION("""COMPUTED_VALUE"""),0.489361702127659)</f>
        <v>0.4893617021</v>
      </c>
    </row>
    <row r="571">
      <c r="A571" s="10" t="s">
        <v>2010</v>
      </c>
      <c r="B571" s="7" t="str">
        <f>IFERROR(__xludf.DUMMYFUNCTION("SPLIT(A571,"" "")"),"CC(C)N(C)Cc1cncc(CN2CCN(C)CCN(C)CC2)c1")</f>
        <v>CC(C)N(C)Cc1cncc(CN2CCN(C)CCN(C)CC2)c1</v>
      </c>
      <c r="C571" s="7">
        <f>IFERROR(__xludf.DUMMYFUNCTION("""COMPUTED_VALUE"""),7.8313465)</f>
        <v>7.8313465</v>
      </c>
      <c r="D571" s="7">
        <f>IFERROR(__xludf.DUMMYFUNCTION("""COMPUTED_VALUE"""),0.354166666666666)</f>
        <v>0.3541666667</v>
      </c>
    </row>
    <row r="572">
      <c r="A572" s="10" t="s">
        <v>2011</v>
      </c>
      <c r="B572" s="7" t="str">
        <f>IFERROR(__xludf.DUMMYFUNCTION("SPLIT(A572,"" "")"),"FCNC1=CCC=CN1")</f>
        <v>FCNC1=CCC=CN1</v>
      </c>
      <c r="C572" s="7">
        <f>IFERROR(__xludf.DUMMYFUNCTION("""COMPUTED_VALUE"""),7.8313236)</f>
        <v>7.8313236</v>
      </c>
      <c r="D572" s="7">
        <f>IFERROR(__xludf.DUMMYFUNCTION("""COMPUTED_VALUE"""),0.282608695652173)</f>
        <v>0.2826086957</v>
      </c>
    </row>
    <row r="573">
      <c r="A573" s="10" t="s">
        <v>2012</v>
      </c>
      <c r="B573" s="7" t="str">
        <f>IFERROR(__xludf.DUMMYFUNCTION("SPLIT(A573,"" "")"),"CN1CCN(C)CCN(CC2=C(N(C)C3C=CC=CN3)CC=CN2)CC1")</f>
        <v>CN1CCN(C)CCN(CC2=C(N(C)C3C=CC=CN3)CC=CN2)CC1</v>
      </c>
      <c r="C573" s="7">
        <f>IFERROR(__xludf.DUMMYFUNCTION("""COMPUTED_VALUE"""),7.831264)</f>
        <v>7.831264</v>
      </c>
      <c r="D573" s="7">
        <f>IFERROR(__xludf.DUMMYFUNCTION("""COMPUTED_VALUE"""),0.4)</f>
        <v>0.4</v>
      </c>
    </row>
    <row r="574">
      <c r="A574" s="10" t="s">
        <v>2013</v>
      </c>
      <c r="B574" s="7" t="str">
        <f>IFERROR(__xludf.DUMMYFUNCTION("SPLIT(A574,"" "")"),"C1=CC(N(Cc2cccnn2)C2CCCCC2)=CCN1")</f>
        <v>C1=CC(N(Cc2cccnn2)C2CCCCC2)=CCN1</v>
      </c>
      <c r="C574" s="7">
        <f>IFERROR(__xludf.DUMMYFUNCTION("""COMPUTED_VALUE"""),7.8312263)</f>
        <v>7.8312263</v>
      </c>
      <c r="D574" s="7">
        <f>IFERROR(__xludf.DUMMYFUNCTION("""COMPUTED_VALUE"""),0.36)</f>
        <v>0.36</v>
      </c>
    </row>
    <row r="575">
      <c r="A575" s="10" t="s">
        <v>2014</v>
      </c>
      <c r="B575" s="7" t="str">
        <f>IFERROR(__xludf.DUMMYFUNCTION("SPLIT(A575,"" "")"),"CN1CCN(Cc2cncc(C3=CC4OCCOC=COCCOCCOCCOC4C=C3)c2)CCN(Cc2cc(-c3ccc4c(c3)OCCOCCOCCOCCOCCO4)ccn2)CC1")</f>
        <v>CN1CCN(Cc2cncc(C3=CC4OCCOC=COCCOCCOCCOC4C=C3)c2)CCN(Cc2cc(-c3ccc4c(c3)OCCOCCOCCOCCOCCO4)ccn2)CC1</v>
      </c>
      <c r="C575" s="7">
        <f>IFERROR(__xludf.DUMMYFUNCTION("""COMPUTED_VALUE"""),7.8311596)</f>
        <v>7.8311596</v>
      </c>
      <c r="D575" s="7">
        <f>IFERROR(__xludf.DUMMYFUNCTION("""COMPUTED_VALUE"""),0.348837209302325)</f>
        <v>0.3488372093</v>
      </c>
    </row>
    <row r="576">
      <c r="A576" s="10" t="s">
        <v>2015</v>
      </c>
      <c r="B576" s="7" t="str">
        <f>IFERROR(__xludf.DUMMYFUNCTION("SPLIT(A576,"" "")"),"CC(C)N1CCN(C)CCN(Cc2cc(-c3ccc4c(c3)OCCOCCOCCOCCOCCO4)ccn2)CC1")</f>
        <v>CC(C)N1CCN(C)CCN(Cc2cc(-c3ccc4c(c3)OCCOCCOCCOCCOCCO4)ccn2)CC1</v>
      </c>
      <c r="C576" s="7">
        <f>IFERROR(__xludf.DUMMYFUNCTION("""COMPUTED_VALUE"""),7.831154)</f>
        <v>7.831154</v>
      </c>
      <c r="D576" s="7">
        <f>IFERROR(__xludf.DUMMYFUNCTION("""COMPUTED_VALUE"""),0.454545454545454)</f>
        <v>0.4545454545</v>
      </c>
    </row>
    <row r="577">
      <c r="A577" s="10" t="s">
        <v>2016</v>
      </c>
      <c r="B577" s="7" t="str">
        <f>IFERROR(__xludf.DUMMYFUNCTION("SPLIT(A577,"" "")"),"CC(C)N(C)C1CCCCC1N(C)Cc1cc(-c2ccc3c(c2)OCCOCCOCCOCCOCCO3)ccn1")</f>
        <v>CC(C)N(C)C1CCCCC1N(C)Cc1cc(-c2ccc3c(c2)OCCOCCOCCOCCOCCO3)ccn1</v>
      </c>
      <c r="C577" s="7">
        <f>IFERROR(__xludf.DUMMYFUNCTION("""COMPUTED_VALUE"""),7.831141)</f>
        <v>7.831141</v>
      </c>
      <c r="D577" s="7">
        <f>IFERROR(__xludf.DUMMYFUNCTION("""COMPUTED_VALUE"""),0.413793103448275)</f>
        <v>0.4137931034</v>
      </c>
    </row>
    <row r="578">
      <c r="A578" s="10" t="s">
        <v>2017</v>
      </c>
      <c r="B578" s="7" t="str">
        <f>IFERROR(__xludf.DUMMYFUNCTION("SPLIT(A578,"" "")"),"CN1CCN(C)CCN(C2CCC(N(C)c3ccc(Cl)c(Cl)c3)CC2)CC1")</f>
        <v>CN1CCN(C)CCN(C2CCC(N(C)c3ccc(Cl)c(Cl)c3)CC2)CC1</v>
      </c>
      <c r="C578" s="7">
        <f>IFERROR(__xludf.DUMMYFUNCTION("""COMPUTED_VALUE"""),7.8311095)</f>
        <v>7.8311095</v>
      </c>
      <c r="D578" s="7">
        <f>IFERROR(__xludf.DUMMYFUNCTION("""COMPUTED_VALUE"""),0.25)</f>
        <v>0.25</v>
      </c>
    </row>
    <row r="579">
      <c r="A579" s="10" t="s">
        <v>2018</v>
      </c>
      <c r="B579" s="7" t="str">
        <f>IFERROR(__xludf.DUMMYFUNCTION("SPLIT(A579,"" "")"),"Cc1cccc(N(C)C2CCCC(N(C)C(C)C)C2)c1")</f>
        <v>Cc1cccc(N(C)C2CCCC(N(C)C(C)C)C2)c1</v>
      </c>
      <c r="C579" s="7">
        <f>IFERROR(__xludf.DUMMYFUNCTION("""COMPUTED_VALUE"""),7.8310876)</f>
        <v>7.8310876</v>
      </c>
      <c r="D579" s="7">
        <f>IFERROR(__xludf.DUMMYFUNCTION("""COMPUTED_VALUE"""),0.245283018867924)</f>
        <v>0.2452830189</v>
      </c>
    </row>
    <row r="580">
      <c r="A580" s="10" t="s">
        <v>2019</v>
      </c>
      <c r="B580" s="7" t="str">
        <f>IFERROR(__xludf.DUMMYFUNCTION("SPLIT(A580,"" "")"),"CC(N)C(C)N(C)CCN(C)C(C)C")</f>
        <v>CC(N)C(C)N(C)CCN(C)C(C)C</v>
      </c>
      <c r="C580" s="7">
        <f>IFERROR(__xludf.DUMMYFUNCTION("""COMPUTED_VALUE"""),7.831056)</f>
        <v>7.831056</v>
      </c>
      <c r="D580" s="7">
        <f>IFERROR(__xludf.DUMMYFUNCTION("""COMPUTED_VALUE"""),0.179487179487179)</f>
        <v>0.1794871795</v>
      </c>
    </row>
    <row r="581">
      <c r="A581" s="10" t="s">
        <v>2020</v>
      </c>
      <c r="B581" s="7" t="str">
        <f>IFERROR(__xludf.DUMMYFUNCTION("SPLIT(A581,"" "")"),"CC(C)N(C)CCN(Cc1ccccn1)C1(C)CCC1")</f>
        <v>CC(C)N(C)CCN(Cc1ccccn1)C1(C)CCC1</v>
      </c>
      <c r="C581" s="7">
        <f>IFERROR(__xludf.DUMMYFUNCTION("""COMPUTED_VALUE"""),7.831045)</f>
        <v>7.831045</v>
      </c>
      <c r="D581" s="7">
        <f>IFERROR(__xludf.DUMMYFUNCTION("""COMPUTED_VALUE"""),0.488888888888888)</f>
        <v>0.4888888889</v>
      </c>
    </row>
    <row r="582">
      <c r="A582" s="10" t="s">
        <v>2021</v>
      </c>
      <c r="B582" s="7" t="str">
        <f>IFERROR(__xludf.DUMMYFUNCTION("SPLIT(A582,"" "")"),"CC(C)NCNCc1ncccc1CN1CCN(C)CCN(C)CC1")</f>
        <v>CC(C)NCNCc1ncccc1CN1CCN(C)CCN(C)CC1</v>
      </c>
      <c r="C582" s="7">
        <f>IFERROR(__xludf.DUMMYFUNCTION("""COMPUTED_VALUE"""),7.831023)</f>
        <v>7.831023</v>
      </c>
      <c r="D582" s="7">
        <f>IFERROR(__xludf.DUMMYFUNCTION("""COMPUTED_VALUE"""),0.428571428571428)</f>
        <v>0.4285714286</v>
      </c>
    </row>
    <row r="583">
      <c r="A583" s="10" t="s">
        <v>2022</v>
      </c>
      <c r="B583" s="7" t="str">
        <f>IFERROR(__xludf.DUMMYFUNCTION("SPLIT(A583,"" "")"),"CN1CCN(C)CCN(Cc2ncccc2-c2cccc3c2OCCOCCOCCOCCOCCO3)CC1")</f>
        <v>CN1CCN(C)CCN(Cc2ncccc2-c2cccc3c2OCCOCCOCCOCCOCCO3)CC1</v>
      </c>
      <c r="C583" s="7">
        <f>IFERROR(__xludf.DUMMYFUNCTION("""COMPUTED_VALUE"""),7.8310013)</f>
        <v>7.8310013</v>
      </c>
      <c r="D583" s="7">
        <f>IFERROR(__xludf.DUMMYFUNCTION("""COMPUTED_VALUE"""),0.403846153846153)</f>
        <v>0.4038461538</v>
      </c>
    </row>
    <row r="584">
      <c r="A584" s="10" t="s">
        <v>2023</v>
      </c>
      <c r="B584" s="7" t="str">
        <f>IFERROR(__xludf.DUMMYFUNCTION("SPLIT(A584,"" "")"),"CCNC1=CC=CCN1")</f>
        <v>CCNC1=CC=CCN1</v>
      </c>
      <c r="C584" s="7">
        <f>IFERROR(__xludf.DUMMYFUNCTION("""COMPUTED_VALUE"""),7.8309956)</f>
        <v>7.8309956</v>
      </c>
      <c r="D584" s="7">
        <f>IFERROR(__xludf.DUMMYFUNCTION("""COMPUTED_VALUE"""),0.196078431372549)</f>
        <v>0.1960784314</v>
      </c>
    </row>
    <row r="585">
      <c r="A585" s="10" t="s">
        <v>2024</v>
      </c>
      <c r="B585" s="7" t="str">
        <f>IFERROR(__xludf.DUMMYFUNCTION("SPLIT(A585,"" "")"),"CC(C)N(C)C1CCC(N(C)Cc2ncccc2-c2cccc3c2OCCOCCOCCOCCOCCO3)CC1")</f>
        <v>CC(C)N(C)C1CCC(N(C)Cc2ncccc2-c2cccc3c2OCCOCCOCCOCCOCCO3)CC1</v>
      </c>
      <c r="C585" s="7">
        <f>IFERROR(__xludf.DUMMYFUNCTION("""COMPUTED_VALUE"""),7.830981)</f>
        <v>7.830981</v>
      </c>
      <c r="D585" s="7">
        <f>IFERROR(__xludf.DUMMYFUNCTION("""COMPUTED_VALUE"""),0.261538461538461)</f>
        <v>0.2615384615</v>
      </c>
    </row>
    <row r="586">
      <c r="A586" s="10" t="s">
        <v>2025</v>
      </c>
      <c r="B586" s="7" t="str">
        <f>IFERROR(__xludf.DUMMYFUNCTION("SPLIT(A586,"" "")"),"Cc1cc(CN(CCN(C)CCF)C2CCCCC2)nc(C)c1C")</f>
        <v>Cc1cc(CN(CCN(C)CCF)C2CCCCC2)nc(C)c1C</v>
      </c>
      <c r="C586" s="7">
        <f>IFERROR(__xludf.DUMMYFUNCTION("""COMPUTED_VALUE"""),7.8309584)</f>
        <v>7.8309584</v>
      </c>
      <c r="D586" s="7">
        <f>IFERROR(__xludf.DUMMYFUNCTION("""COMPUTED_VALUE"""),0.283018867924528)</f>
        <v>0.2830188679</v>
      </c>
    </row>
    <row r="587">
      <c r="A587" s="10" t="s">
        <v>2026</v>
      </c>
      <c r="B587" s="7" t="str">
        <f>IFERROR(__xludf.DUMMYFUNCTION("SPLIT(A587,"" "")"),"CC1C=CCC(C)(C)C1")</f>
        <v>CC1C=CCC(C)(C)C1</v>
      </c>
      <c r="C587" s="7">
        <f>IFERROR(__xludf.DUMMYFUNCTION("""COMPUTED_VALUE"""),7.8309493)</f>
        <v>7.8309493</v>
      </c>
      <c r="D587" s="7">
        <f>IFERROR(__xludf.DUMMYFUNCTION("""COMPUTED_VALUE"""),0.125)</f>
        <v>0.125</v>
      </c>
    </row>
    <row r="588">
      <c r="A588" s="10" t="s">
        <v>2027</v>
      </c>
      <c r="B588" s="7" t="str">
        <f>IFERROR(__xludf.DUMMYFUNCTION("SPLIT(A588,"" "")"),"CN1CCN(C)CCN(Cc2cccc(-c3cccc4c3OCCOCCOCCOCCOCCO4)n2)CC1")</f>
        <v>CN1CCN(C)CCN(Cc2cccc(-c3cccc4c3OCCOCCOCCOCCOCCO4)n2)CC1</v>
      </c>
      <c r="C588" s="7">
        <f>IFERROR(__xludf.DUMMYFUNCTION("""COMPUTED_VALUE"""),7.8309216)</f>
        <v>7.8309216</v>
      </c>
      <c r="D588" s="7">
        <f>IFERROR(__xludf.DUMMYFUNCTION("""COMPUTED_VALUE"""),0.48)</f>
        <v>0.48</v>
      </c>
    </row>
    <row r="589">
      <c r="A589" s="10" t="s">
        <v>2028</v>
      </c>
      <c r="B589" s="7" t="str">
        <f>IFERROR(__xludf.DUMMYFUNCTION("SPLIT(A589,"" "")"),"CC(C)N1CCN(C)CCN(C(C)c2ccncc2C2CCC2(C)C)CC1")</f>
        <v>CC(C)N1CCN(C)CCN(C(C)c2ccncc2C2CCC2(C)C)CC1</v>
      </c>
      <c r="C589" s="7">
        <f>IFERROR(__xludf.DUMMYFUNCTION("""COMPUTED_VALUE"""),7.830903)</f>
        <v>7.830903</v>
      </c>
      <c r="D589" s="7">
        <f>IFERROR(__xludf.DUMMYFUNCTION("""COMPUTED_VALUE"""),0.271186440677966)</f>
        <v>0.2711864407</v>
      </c>
    </row>
    <row r="590">
      <c r="A590" s="10" t="s">
        <v>2029</v>
      </c>
      <c r="B590" s="7" t="str">
        <f>IFERROR(__xludf.DUMMYFUNCTION("SPLIT(A590,"" "")"),"CNC1CCCCC1N(C(C)C)C(C)C")</f>
        <v>CNC1CCCCC1N(C(C)C)C(C)C</v>
      </c>
      <c r="C590" s="7">
        <f>IFERROR(__xludf.DUMMYFUNCTION("""COMPUTED_VALUE"""),7.830889)</f>
        <v>7.830889</v>
      </c>
      <c r="D590" s="7">
        <f>IFERROR(__xludf.DUMMYFUNCTION("""COMPUTED_VALUE"""),0.212765957446808)</f>
        <v>0.2127659574</v>
      </c>
    </row>
    <row r="591">
      <c r="A591" s="10" t="s">
        <v>2030</v>
      </c>
      <c r="B591" s="7" t="str">
        <f>IFERROR(__xludf.DUMMYFUNCTION("SPLIT(A591,"" "")"),"CN1CCN(C)CCN(CC2=CCC(N(C)C3C=CC=CN3)=CN2)CC1")</f>
        <v>CN1CCN(C)CCN(CC2=CCC(N(C)C3C=CC=CN3)=CN2)CC1</v>
      </c>
      <c r="C591" s="7">
        <f>IFERROR(__xludf.DUMMYFUNCTION("""COMPUTED_VALUE"""),7.8308654)</f>
        <v>7.8308654</v>
      </c>
      <c r="D591" s="7">
        <f>IFERROR(__xludf.DUMMYFUNCTION("""COMPUTED_VALUE"""),0.436363636363636)</f>
        <v>0.4363636364</v>
      </c>
    </row>
    <row r="592">
      <c r="A592" s="10" t="s">
        <v>2031</v>
      </c>
      <c r="B592" s="7" t="str">
        <f>IFERROR(__xludf.DUMMYFUNCTION("SPLIT(A592,"" "")"),"Cc1cccnc1CN1CCN(C)CCN(C(C)(C)c2cccnc2CN2CCN(C(C)C)CCN(C(C)C)CC2)CC1")</f>
        <v>Cc1cccnc1CN1CCN(C)CCN(C(C)(C)c2cccnc2CN2CCN(C(C)C)CCN(C(C)C)CC2)CC1</v>
      </c>
      <c r="C592" s="7">
        <f>IFERROR(__xludf.DUMMYFUNCTION("""COMPUTED_VALUE"""),7.8308187)</f>
        <v>7.8308187</v>
      </c>
      <c r="D592" s="7">
        <f>IFERROR(__xludf.DUMMYFUNCTION("""COMPUTED_VALUE"""),0.436363636363636)</f>
        <v>0.4363636364</v>
      </c>
    </row>
    <row r="593">
      <c r="A593" s="10" t="s">
        <v>2032</v>
      </c>
      <c r="B593" s="7" t="str">
        <f>IFERROR(__xludf.DUMMYFUNCTION("SPLIT(A593,"" "")"),"CCCN(Cc1ccccn1)c1ccc2c(c1)OCCOCCOCCOCCOCCO2")</f>
        <v>CCCN(Cc1ccccn1)c1ccc2c(c1)OCCOCCOCCOCCOCCO2</v>
      </c>
      <c r="C593" s="7">
        <f>IFERROR(__xludf.DUMMYFUNCTION("""COMPUTED_VALUE"""),7.830803)</f>
        <v>7.830803</v>
      </c>
      <c r="D593" s="7">
        <f>IFERROR(__xludf.DUMMYFUNCTION("""COMPUTED_VALUE"""),0.365384615384615)</f>
        <v>0.3653846154</v>
      </c>
    </row>
    <row r="594">
      <c r="A594" s="10" t="s">
        <v>2033</v>
      </c>
      <c r="B594" s="7" t="str">
        <f>IFERROR(__xludf.DUMMYFUNCTION("SPLIT(A594,"" "")"),"CCNCc1ncccc1CN(Cc1ccccn1)C1CCCCC1N(C)C(C)C")</f>
        <v>CCNCc1ncccc1CN(Cc1ccccn1)C1CCCCC1N(C)C(C)C</v>
      </c>
      <c r="C594" s="7">
        <f>IFERROR(__xludf.DUMMYFUNCTION("""COMPUTED_VALUE"""),7.830728)</f>
        <v>7.830728</v>
      </c>
      <c r="D594" s="7">
        <f>IFERROR(__xludf.DUMMYFUNCTION("""COMPUTED_VALUE"""),0.456140350877192)</f>
        <v>0.4561403509</v>
      </c>
    </row>
    <row r="595">
      <c r="A595" s="10" t="s">
        <v>2034</v>
      </c>
      <c r="B595" s="7" t="str">
        <f>IFERROR(__xludf.DUMMYFUNCTION("SPLIT(A595,"" "")"),"Cc1cccnc1CN(C)C1CCCC(N(C)CCN(C)C(C)(C)C)C1")</f>
        <v>Cc1cccnc1CN(C)C1CCCC(N(C)CCN(C)C(C)(C)C)C1</v>
      </c>
      <c r="C595" s="7">
        <f>IFERROR(__xludf.DUMMYFUNCTION("""COMPUTED_VALUE"""),7.8306904)</f>
        <v>7.8306904</v>
      </c>
      <c r="D595" s="7">
        <f>IFERROR(__xludf.DUMMYFUNCTION("""COMPUTED_VALUE"""),0.327272727272727)</f>
        <v>0.3272727273</v>
      </c>
    </row>
    <row r="596">
      <c r="A596" s="10" t="s">
        <v>2035</v>
      </c>
      <c r="B596" s="7" t="str">
        <f>IFERROR(__xludf.DUMMYFUNCTION("SPLIT(A596,"" "")"),"CCNCC1=CC(C)CC2(C=CC(C)C(C)(C)C2)C1C")</f>
        <v>CCNCC1=CC(C)CC2(C=CC(C)C(C)(C)C2)C1C</v>
      </c>
      <c r="C596" s="7">
        <f>IFERROR(__xludf.DUMMYFUNCTION("""COMPUTED_VALUE"""),7.8306646)</f>
        <v>7.8306646</v>
      </c>
      <c r="D596" s="7">
        <f>IFERROR(__xludf.DUMMYFUNCTION("""COMPUTED_VALUE"""),0.123287671232876)</f>
        <v>0.1232876712</v>
      </c>
    </row>
    <row r="597">
      <c r="A597" s="10" t="s">
        <v>2036</v>
      </c>
      <c r="B597" s="7" t="str">
        <f>IFERROR(__xludf.DUMMYFUNCTION("SPLIT(A597,"" "")"),"COC(=O)C(=O)C(C)C(C)N1CCN(C)CCN(C(=O)C(C)C(C)C(C)C)CC1")</f>
        <v>COC(=O)C(=O)C(C)C(C)N1CCN(C)CCN(C(=O)C(C)C(C)C(C)C)CC1</v>
      </c>
      <c r="C597" s="7">
        <f>IFERROR(__xludf.DUMMYFUNCTION("""COMPUTED_VALUE"""),7.8306127)</f>
        <v>7.8306127</v>
      </c>
      <c r="D597" s="7">
        <f>IFERROR(__xludf.DUMMYFUNCTION("""COMPUTED_VALUE"""),0.210526315789473)</f>
        <v>0.2105263158</v>
      </c>
    </row>
    <row r="598">
      <c r="A598" s="10" t="s">
        <v>2037</v>
      </c>
      <c r="B598" s="7" t="str">
        <f>IFERROR(__xludf.DUMMYFUNCTION("SPLIT(A598,"" "")"),"CN1CCN(C)CCN(Cc2cccnc2CN(C)C(C)(C)C)CC1")</f>
        <v>CN1CCN(C)CCN(Cc2cccnc2CN(C)C(C)(C)C)CC1</v>
      </c>
      <c r="C598" s="7">
        <f>IFERROR(__xludf.DUMMYFUNCTION("""COMPUTED_VALUE"""),7.8305917)</f>
        <v>7.8305917</v>
      </c>
      <c r="D598" s="7">
        <f>IFERROR(__xludf.DUMMYFUNCTION("""COMPUTED_VALUE"""),0.456521739130434)</f>
        <v>0.4565217391</v>
      </c>
    </row>
    <row r="599">
      <c r="A599" s="10" t="s">
        <v>2038</v>
      </c>
      <c r="B599" s="7" t="str">
        <f>IFERROR(__xludf.DUMMYFUNCTION("SPLIT(A599,"" "")"),"CC(C)N(C)C1=CNC(CN2CCN(C)CCN(C)CC2)=CC1")</f>
        <v>CC(C)N(C)C1=CNC(CN2CCN(C)CCN(C)CC2)=CC1</v>
      </c>
      <c r="C599" s="7">
        <f>IFERROR(__xludf.DUMMYFUNCTION("""COMPUTED_VALUE"""),7.8305616)</f>
        <v>7.8305616</v>
      </c>
      <c r="D599" s="7">
        <f>IFERROR(__xludf.DUMMYFUNCTION("""COMPUTED_VALUE"""),0.42)</f>
        <v>0.42</v>
      </c>
    </row>
    <row r="600">
      <c r="A600" s="10" t="s">
        <v>2039</v>
      </c>
      <c r="B600" s="7" t="str">
        <f>IFERROR(__xludf.DUMMYFUNCTION("SPLIT(A600,"" "")"),"CN1CCN(C)CCN(Cc2ccc(-c3cccc4c3OCCOCCOCCOCCOCCO4)nc2)CC1")</f>
        <v>CN1CCN(C)CCN(Cc2ccc(-c3cccc4c3OCCOCCOCCOCCOCCO4)nc2)CC1</v>
      </c>
      <c r="C600" s="7">
        <f>IFERROR(__xludf.DUMMYFUNCTION("""COMPUTED_VALUE"""),7.830558)</f>
        <v>7.830558</v>
      </c>
      <c r="D600" s="7">
        <f>IFERROR(__xludf.DUMMYFUNCTION("""COMPUTED_VALUE"""),0.339285714285714)</f>
        <v>0.3392857143</v>
      </c>
    </row>
    <row r="601">
      <c r="A601" s="10" t="s">
        <v>2040</v>
      </c>
      <c r="B601" s="7" t="str">
        <f>IFERROR(__xludf.DUMMYFUNCTION("SPLIT(A601,"" "")"),"CC1=CC(C)C(C)C(C)C1")</f>
        <v>CC1=CC(C)C(C)C(C)C1</v>
      </c>
      <c r="C601" s="7">
        <f>IFERROR(__xludf.DUMMYFUNCTION("""COMPUTED_VALUE"""),7.830544)</f>
        <v>7.830544</v>
      </c>
      <c r="D601" s="7">
        <f>IFERROR(__xludf.DUMMYFUNCTION("""COMPUTED_VALUE"""),0.153846153846153)</f>
        <v>0.1538461538</v>
      </c>
    </row>
    <row r="602">
      <c r="A602" s="10" t="s">
        <v>2041</v>
      </c>
      <c r="B602" s="7" t="str">
        <f>IFERROR(__xludf.DUMMYFUNCTION("SPLIT(A602,"" "")"),"Cc1ccnc(CN(C)C2CCC(N(C)Cc3cccc(CN(C)C4CCC(N(C)C(C)C)CC4)n3)CC2)c1")</f>
        <v>Cc1ccnc(CN(C)C2CCC(N(C)Cc3cccc(CN(C)C4CCC(N(C)C(C)C)CC4)n3)CC2)c1</v>
      </c>
      <c r="C602" s="7">
        <f>IFERROR(__xludf.DUMMYFUNCTION("""COMPUTED_VALUE"""),7.830538)</f>
        <v>7.830538</v>
      </c>
      <c r="D602" s="7">
        <f>IFERROR(__xludf.DUMMYFUNCTION("""COMPUTED_VALUE"""),0.396226415094339)</f>
        <v>0.3962264151</v>
      </c>
    </row>
    <row r="603">
      <c r="A603" s="10" t="s">
        <v>2042</v>
      </c>
      <c r="B603" s="7" t="str">
        <f>IFERROR(__xludf.DUMMYFUNCTION("SPLIT(A603,"" "")"),"CC(C)N")</f>
        <v>CC(C)N</v>
      </c>
      <c r="C603" s="7">
        <f>IFERROR(__xludf.DUMMYFUNCTION("""COMPUTED_VALUE"""),7.8305125)</f>
        <v>7.8305125</v>
      </c>
      <c r="D603" s="7">
        <f>IFERROR(__xludf.DUMMYFUNCTION("""COMPUTED_VALUE"""),0.1)</f>
        <v>0.1</v>
      </c>
    </row>
    <row r="604">
      <c r="A604" s="10" t="s">
        <v>2043</v>
      </c>
      <c r="B604" s="7" t="str">
        <f>IFERROR(__xludf.DUMMYFUNCTION("SPLIT(A604,"" "")"),"CC(C)N(C)Cc1ccc(CN2CCN(C)CCN(C)CC2)nc1")</f>
        <v>CC(C)N(C)Cc1ccc(CN2CCN(C)CCN(C)CC2)nc1</v>
      </c>
      <c r="C604" s="7">
        <f>IFERROR(__xludf.DUMMYFUNCTION("""COMPUTED_VALUE"""),7.8305006)</f>
        <v>7.8305006</v>
      </c>
      <c r="D604" s="7">
        <f>IFERROR(__xludf.DUMMYFUNCTION("""COMPUTED_VALUE"""),0.466666666666666)</f>
        <v>0.4666666667</v>
      </c>
    </row>
    <row r="605">
      <c r="A605" s="10" t="s">
        <v>2044</v>
      </c>
      <c r="B605" s="7" t="str">
        <f>IFERROR(__xludf.DUMMYFUNCTION("SPLIT(A605,"" "")"),"CN1CCN(C)CCN(Cc2cncc(-c3ccc4c(c3)OCCOCCOCCOCCOCCO4)c2)CC1")</f>
        <v>CN1CCN(C)CCN(Cc2cncc(-c3ccc4c(c3)OCCOCCOCCOCCOCCO4)c2)CC1</v>
      </c>
      <c r="C605" s="7">
        <f>IFERROR(__xludf.DUMMYFUNCTION("""COMPUTED_VALUE"""),7.8304524)</f>
        <v>7.8304524</v>
      </c>
      <c r="D605" s="7">
        <f>IFERROR(__xludf.DUMMYFUNCTION("""COMPUTED_VALUE"""),0.442622950819672)</f>
        <v>0.4426229508</v>
      </c>
    </row>
    <row r="606">
      <c r="A606" s="10" t="s">
        <v>2045</v>
      </c>
      <c r="B606" s="7" t="str">
        <f>IFERROR(__xludf.DUMMYFUNCTION("SPLIT(A606,"" "")"),"Cc1cccnc1CN(C)C1CCC(N(C)CCN(Cc2ccccn2)C2(C)CCC2)CC1")</f>
        <v>Cc1cccnc1CN(C)C1CCC(N(C)CCN(Cc2ccccn2)C2(C)CCC2)CC1</v>
      </c>
      <c r="C606" s="7">
        <f>IFERROR(__xludf.DUMMYFUNCTION("""COMPUTED_VALUE"""),7.8304477)</f>
        <v>7.8304477</v>
      </c>
      <c r="D606" s="7">
        <f>IFERROR(__xludf.DUMMYFUNCTION("""COMPUTED_VALUE"""),0.421052631578947)</f>
        <v>0.4210526316</v>
      </c>
    </row>
    <row r="607">
      <c r="A607" s="10" t="s">
        <v>2046</v>
      </c>
      <c r="B607" s="7" t="str">
        <f>IFERROR(__xludf.DUMMYFUNCTION("SPLIT(A607,"" "")"),"Cc1ccc(C)c(CN(C(C)C)C2CCCC(N3CCN(C)CCN(C)CC3)C2)n1")</f>
        <v>Cc1ccc(C)c(CN(C(C)C)C2CCCC(N3CCN(C)CCN(C)CC3)C2)n1</v>
      </c>
      <c r="C607" s="7">
        <f>IFERROR(__xludf.DUMMYFUNCTION("""COMPUTED_VALUE"""),7.8304434)</f>
        <v>7.8304434</v>
      </c>
      <c r="D607" s="7">
        <f>IFERROR(__xludf.DUMMYFUNCTION("""COMPUTED_VALUE"""),0.288135593220339)</f>
        <v>0.2881355932</v>
      </c>
    </row>
    <row r="608">
      <c r="A608" s="10" t="s">
        <v>2047</v>
      </c>
      <c r="B608" s="7" t="str">
        <f>IFERROR(__xludf.DUMMYFUNCTION("SPLIT(A608,"" "")"),"CNCC1CC(N(C)Cc2ccccn2)CCC1N(Cc1ccccn1)C1(C)CCC1")</f>
        <v>CNCC1CC(N(C)Cc2ccccn2)CCC1N(Cc1ccccn1)C1(C)CCC1</v>
      </c>
      <c r="C608" s="7">
        <f>IFERROR(__xludf.DUMMYFUNCTION("""COMPUTED_VALUE"""),7.83043)</f>
        <v>7.83043</v>
      </c>
      <c r="D608" s="7">
        <f>IFERROR(__xludf.DUMMYFUNCTION("""COMPUTED_VALUE"""),0.464285714285714)</f>
        <v>0.4642857143</v>
      </c>
    </row>
    <row r="609">
      <c r="A609" s="10" t="s">
        <v>2048</v>
      </c>
      <c r="B609" s="7" t="str">
        <f>IFERROR(__xludf.DUMMYFUNCTION("SPLIT(A609,"" "")"),"CN1CCN(C)CCN(Cc2ccc(-c3cccc4c3OCCOCCOCCOCCOCCO4)cn2)CC1")</f>
        <v>CN1CCN(C)CCN(Cc2ccc(-c3cccc4c3OCCOCCOCCOCCOCCO4)cn2)CC1</v>
      </c>
      <c r="C609" s="7">
        <f>IFERROR(__xludf.DUMMYFUNCTION("""COMPUTED_VALUE"""),7.830425)</f>
        <v>7.830425</v>
      </c>
      <c r="D609" s="7">
        <f>IFERROR(__xludf.DUMMYFUNCTION("""COMPUTED_VALUE"""),0.421875)</f>
        <v>0.421875</v>
      </c>
    </row>
    <row r="610">
      <c r="A610" s="10" t="s">
        <v>2049</v>
      </c>
      <c r="B610" s="7" t="str">
        <f>IFERROR(__xludf.DUMMYFUNCTION("SPLIT(A610,"" "")"),"CC1=CCCC(N(C)CC2=CCC=CN2)C1C")</f>
        <v>CC1=CCCC(N(C)CC2=CCC=CN2)C1C</v>
      </c>
      <c r="C610" s="7">
        <f>IFERROR(__xludf.DUMMYFUNCTION("""COMPUTED_VALUE"""),7.8303847)</f>
        <v>7.8303847</v>
      </c>
      <c r="D610" s="7">
        <f>IFERROR(__xludf.DUMMYFUNCTION("""COMPUTED_VALUE"""),0.351851851851851)</f>
        <v>0.3518518519</v>
      </c>
    </row>
    <row r="611">
      <c r="A611" s="10" t="s">
        <v>2050</v>
      </c>
      <c r="B611" s="7" t="str">
        <f>IFERROR(__xludf.DUMMYFUNCTION("SPLIT(A611,"" "")"),"CC1=CCC(CN(C)Cc2ccccn2)C(C)C1C")</f>
        <v>CC1=CCC(CN(C)Cc2ccccn2)C(C)C1C</v>
      </c>
      <c r="C611" s="7">
        <f>IFERROR(__xludf.DUMMYFUNCTION("""COMPUTED_VALUE"""),7.8302965)</f>
        <v>7.8302965</v>
      </c>
      <c r="D611" s="7">
        <f>IFERROR(__xludf.DUMMYFUNCTION("""COMPUTED_VALUE"""),0.454545454545454)</f>
        <v>0.4545454545</v>
      </c>
    </row>
    <row r="612">
      <c r="A612" s="10" t="s">
        <v>2051</v>
      </c>
      <c r="B612" s="7" t="str">
        <f>IFERROR(__xludf.DUMMYFUNCTION("SPLIT(A612,"" "")"),"Cc1cnc(CN(C)CCCN2CCN(C)CCN(C)CC2)cc1C")</f>
        <v>Cc1cnc(CN(C)CCCN2CCN(C)CCN(C)CC2)cc1C</v>
      </c>
      <c r="C612" s="7">
        <f>IFERROR(__xludf.DUMMYFUNCTION("""COMPUTED_VALUE"""),7.8302913)</f>
        <v>7.8302913</v>
      </c>
      <c r="D612" s="7">
        <f>IFERROR(__xludf.DUMMYFUNCTION("""COMPUTED_VALUE"""),0.409090909090909)</f>
        <v>0.4090909091</v>
      </c>
    </row>
    <row r="613">
      <c r="A613" s="10" t="s">
        <v>2052</v>
      </c>
      <c r="B613" s="7" t="str">
        <f>IFERROR(__xludf.DUMMYFUNCTION("SPLIT(A613,"" "")"),"CN1CCN(C)CCN(Cc2cccnc2-c2ccc3c(c2)OCCOCCOCCOCCOCCO3)CC1")</f>
        <v>CN1CCN(C)CCN(Cc2cccnc2-c2ccc3c(c2)OCCOCCOCCOCCOCCO3)CC1</v>
      </c>
      <c r="C613" s="7">
        <f>IFERROR(__xludf.DUMMYFUNCTION("""COMPUTED_VALUE"""),7.8302674)</f>
        <v>7.8302674</v>
      </c>
      <c r="D613" s="7">
        <f>IFERROR(__xludf.DUMMYFUNCTION("""COMPUTED_VALUE"""),0.40625)</f>
        <v>0.40625</v>
      </c>
    </row>
    <row r="614">
      <c r="A614" s="10" t="s">
        <v>2053</v>
      </c>
      <c r="B614" s="7" t="str">
        <f>IFERROR(__xludf.DUMMYFUNCTION("SPLIT(A614,"" "")"),"CN(CCF)CCN(C)CCF")</f>
        <v>CN(CCF)CCN(C)CCF</v>
      </c>
      <c r="C614" s="7">
        <f>IFERROR(__xludf.DUMMYFUNCTION("""COMPUTED_VALUE"""),7.830263)</f>
        <v>7.830263</v>
      </c>
      <c r="D614" s="7">
        <f>IFERROR(__xludf.DUMMYFUNCTION("""COMPUTED_VALUE"""),0.275862068965517)</f>
        <v>0.275862069</v>
      </c>
    </row>
    <row r="615">
      <c r="A615" s="10" t="s">
        <v>2054</v>
      </c>
      <c r="B615" s="7" t="str">
        <f>IFERROR(__xludf.DUMMYFUNCTION("SPLIT(A615,"" "")"),"Cc1cc(CCN2CCN(C)CCN(C)CC2)cnc1C")</f>
        <v>Cc1cc(CCN2CCN(C)CCN(C)CC2)cnc1C</v>
      </c>
      <c r="C615" s="7">
        <f>IFERROR(__xludf.DUMMYFUNCTION("""COMPUTED_VALUE"""),7.8302436)</f>
        <v>7.8302436</v>
      </c>
      <c r="D615" s="7">
        <f>IFERROR(__xludf.DUMMYFUNCTION("""COMPUTED_VALUE"""),0.386363636363636)</f>
        <v>0.3863636364</v>
      </c>
    </row>
    <row r="616">
      <c r="A616" s="10" t="s">
        <v>2055</v>
      </c>
      <c r="B616" s="7" t="str">
        <f>IFERROR(__xludf.DUMMYFUNCTION("SPLIT(A616,"" "")"),"CC(N)C(C)(C)N(C)CCN(C)CC(C)(C)C")</f>
        <v>CC(N)C(C)(C)N(C)CCN(C)CC(C)(C)C</v>
      </c>
      <c r="C616" s="7">
        <f>IFERROR(__xludf.DUMMYFUNCTION("""COMPUTED_VALUE"""),7.830217)</f>
        <v>7.830217</v>
      </c>
      <c r="D616" s="7">
        <f>IFERROR(__xludf.DUMMYFUNCTION("""COMPUTED_VALUE"""),0.2)</f>
        <v>0.2</v>
      </c>
    </row>
    <row r="617">
      <c r="A617" s="10" t="s">
        <v>2056</v>
      </c>
      <c r="B617" s="7" t="str">
        <f>IFERROR(__xludf.DUMMYFUNCTION("SPLIT(A617,"" "")"),"CN1CCN(C)CCN(Cc2cnccc2CN(C)C(C)(C)C)CC1")</f>
        <v>CN1CCN(C)CCN(Cc2cnccc2CN(C)C(C)(C)C)CC1</v>
      </c>
      <c r="C617" s="7">
        <f>IFERROR(__xludf.DUMMYFUNCTION("""COMPUTED_VALUE"""),7.83019)</f>
        <v>7.83019</v>
      </c>
      <c r="D617" s="7">
        <f>IFERROR(__xludf.DUMMYFUNCTION("""COMPUTED_VALUE"""),0.375)</f>
        <v>0.375</v>
      </c>
    </row>
    <row r="618">
      <c r="A618" s="10" t="s">
        <v>2057</v>
      </c>
      <c r="B618" s="7" t="str">
        <f>IFERROR(__xludf.DUMMYFUNCTION("SPLIT(A618,"" "")"),"CC(C)N1CCN(C)CCN(c2ccccc2F)CC1")</f>
        <v>CC(C)N1CCN(C)CCN(c2ccccc2F)CC1</v>
      </c>
      <c r="C618" s="7">
        <f>IFERROR(__xludf.DUMMYFUNCTION("""COMPUTED_VALUE"""),7.8301687)</f>
        <v>7.8301687</v>
      </c>
      <c r="D618" s="7">
        <f>IFERROR(__xludf.DUMMYFUNCTION("""COMPUTED_VALUE"""),0.358974358974359)</f>
        <v>0.358974359</v>
      </c>
    </row>
    <row r="619">
      <c r="A619" s="10" t="s">
        <v>2058</v>
      </c>
      <c r="B619" s="7" t="str">
        <f>IFERROR(__xludf.DUMMYFUNCTION("SPLIT(A619,"" "")"),"CN1CCN(C)CCN(CCCN(C)C(c2ccccc2)c2ccccn2)CC1")</f>
        <v>CN1CCN(C)CCN(CCCN(C)C(c2ccccc2)c2ccccn2)CC1</v>
      </c>
      <c r="C619" s="7">
        <f>IFERROR(__xludf.DUMMYFUNCTION("""COMPUTED_VALUE"""),7.830029)</f>
        <v>7.830029</v>
      </c>
      <c r="D619" s="7">
        <f>IFERROR(__xludf.DUMMYFUNCTION("""COMPUTED_VALUE"""),0.461538461538461)</f>
        <v>0.4615384615</v>
      </c>
    </row>
    <row r="620">
      <c r="A620" s="10" t="s">
        <v>2059</v>
      </c>
      <c r="B620" s="7" t="str">
        <f>IFERROR(__xludf.DUMMYFUNCTION("SPLIT(A620,"" "")"),"CC1C=CC(C)(C)C(C)(NCc2ccccn2)C1C")</f>
        <v>CC1C=CC(C)(C)C(C)(NCc2ccccn2)C1C</v>
      </c>
      <c r="C620" s="7">
        <f>IFERROR(__xludf.DUMMYFUNCTION("""COMPUTED_VALUE"""),7.830025)</f>
        <v>7.830025</v>
      </c>
      <c r="D620" s="7">
        <f>IFERROR(__xludf.DUMMYFUNCTION("""COMPUTED_VALUE"""),0.404761904761904)</f>
        <v>0.4047619048</v>
      </c>
    </row>
    <row r="621">
      <c r="A621" s="10" t="s">
        <v>2060</v>
      </c>
      <c r="B621" s="7" t="str">
        <f>IFERROR(__xludf.DUMMYFUNCTION("SPLIT(A621,"" "")"),"CCNCc1cccc(CN(Cc2ccccn2)C2CCCCC2N(C)C(C)C)n1")</f>
        <v>CCNCc1cccc(CN(Cc2ccccn2)C2CCCCC2N(C)C(C)C)n1</v>
      </c>
      <c r="C621" s="7">
        <f>IFERROR(__xludf.DUMMYFUNCTION("""COMPUTED_VALUE"""),7.8300204)</f>
        <v>7.8300204</v>
      </c>
      <c r="D621" s="7">
        <f>IFERROR(__xludf.DUMMYFUNCTION("""COMPUTED_VALUE"""),0.481481481481481)</f>
        <v>0.4814814815</v>
      </c>
    </row>
    <row r="622">
      <c r="A622" s="10" t="s">
        <v>2061</v>
      </c>
      <c r="B622" s="7" t="str">
        <f>IFERROR(__xludf.DUMMYFUNCTION("SPLIT(A622,"" "")"),"CN1CCN(C)CCN(Cc2cnccc2-c2ccc3c(c2)OCCOCCOCCOCCOCCO3)CC1")</f>
        <v>CN1CCN(C)CCN(Cc2cnccc2-c2ccc3c(c2)OCCOCCOCCOCCOCCO3)CC1</v>
      </c>
      <c r="C622" s="7">
        <f>IFERROR(__xludf.DUMMYFUNCTION("""COMPUTED_VALUE"""),7.8300157)</f>
        <v>7.8300157</v>
      </c>
      <c r="D622" s="7">
        <f>IFERROR(__xludf.DUMMYFUNCTION("""COMPUTED_VALUE"""),0.40625)</f>
        <v>0.40625</v>
      </c>
    </row>
    <row r="623">
      <c r="A623" s="10" t="s">
        <v>2062</v>
      </c>
      <c r="B623" s="7" t="str">
        <f>IFERROR(__xludf.DUMMYFUNCTION("SPLIT(A623,"" "")"),"CC(c1cccnc1C1C=CNC=C1)C(C)N1CCN(C)CCN(C(C)C)CC1")</f>
        <v>CC(c1cccnc1C1C=CNC=C1)C(C)N1CCN(C)CCN(C(C)C)CC1</v>
      </c>
      <c r="C623" s="7">
        <f>IFERROR(__xludf.DUMMYFUNCTION("""COMPUTED_VALUE"""),7.829984)</f>
        <v>7.829984</v>
      </c>
      <c r="D623" s="7">
        <f>IFERROR(__xludf.DUMMYFUNCTION("""COMPUTED_VALUE"""),0.357142857142857)</f>
        <v>0.3571428571</v>
      </c>
    </row>
    <row r="624">
      <c r="A624" s="10" t="s">
        <v>2063</v>
      </c>
      <c r="B624" s="7" t="str">
        <f>IFERROR(__xludf.DUMMYFUNCTION("SPLIT(A624,"" "")"),"Cc1c(N)cncc1CN1CCN(C)CCN(C)CC1")</f>
        <v>Cc1c(N)cncc1CN1CCN(C)CCN(C)CC1</v>
      </c>
      <c r="C624" s="7">
        <f>IFERROR(__xludf.DUMMYFUNCTION("""COMPUTED_VALUE"""),7.829947)</f>
        <v>7.829947</v>
      </c>
      <c r="D624" s="7">
        <f>IFERROR(__xludf.DUMMYFUNCTION("""COMPUTED_VALUE"""),0.413043478260869)</f>
        <v>0.4130434783</v>
      </c>
    </row>
    <row r="625">
      <c r="A625" s="10" t="s">
        <v>2064</v>
      </c>
      <c r="B625" s="7" t="str">
        <f>IFERROR(__xludf.DUMMYFUNCTION("SPLIT(A625,"" "")"),"CC1C=CC(C)(C)C(C)C1(C)NCc1ccccn1")</f>
        <v>CC1C=CC(C)(C)C(C)C1(C)NCc1ccccn1</v>
      </c>
      <c r="C625" s="7">
        <f>IFERROR(__xludf.DUMMYFUNCTION("""COMPUTED_VALUE"""),7.8299437)</f>
        <v>7.8299437</v>
      </c>
      <c r="D625" s="7">
        <f>IFERROR(__xludf.DUMMYFUNCTION("""COMPUTED_VALUE"""),0.404761904761904)</f>
        <v>0.4047619048</v>
      </c>
    </row>
    <row r="626">
      <c r="A626" s="10" t="s">
        <v>2065</v>
      </c>
      <c r="B626" s="7" t="str">
        <f>IFERROR(__xludf.DUMMYFUNCTION("SPLIT(A626,"" "")"),"CC(C)N(C)Cc1ccc(CN2CCN(C)CCN(C)CC2)cn1")</f>
        <v>CC(C)N(C)Cc1ccc(CN2CCN(C)CCN(C)CC2)cn1</v>
      </c>
      <c r="C626" s="7">
        <f>IFERROR(__xludf.DUMMYFUNCTION("""COMPUTED_VALUE"""),7.8299384)</f>
        <v>7.8299384</v>
      </c>
      <c r="D626" s="7">
        <f>IFERROR(__xludf.DUMMYFUNCTION("""COMPUTED_VALUE"""),0.404255319148936)</f>
        <v>0.4042553191</v>
      </c>
    </row>
    <row r="627">
      <c r="A627" s="10" t="s">
        <v>2066</v>
      </c>
      <c r="B627" s="7" t="str">
        <f>IFERROR(__xludf.DUMMYFUNCTION("SPLIT(A627,"" "")"),"Cc1ccnc(CN(C)CCCN2CCN(C)CCN(C)CC2)c1C")</f>
        <v>Cc1ccnc(CN(C)CCCN2CCN(C)CCN(C)CC2)c1C</v>
      </c>
      <c r="C627" s="7">
        <f>IFERROR(__xludf.DUMMYFUNCTION("""COMPUTED_VALUE"""),7.8299327)</f>
        <v>7.8299327</v>
      </c>
      <c r="D627" s="7">
        <f>IFERROR(__xludf.DUMMYFUNCTION("""COMPUTED_VALUE"""),0.387755102040816)</f>
        <v>0.387755102</v>
      </c>
    </row>
    <row r="628">
      <c r="A628" s="10" t="s">
        <v>2067</v>
      </c>
      <c r="B628" s="7" t="str">
        <f>IFERROR(__xludf.DUMMYFUNCTION("SPLIT(A628,"" "")"),"CNC1CCCC(N(C)Cc2ncccc2Cl)C1")</f>
        <v>CNC1CCCC(N(C)Cc2ncccc2Cl)C1</v>
      </c>
      <c r="C628" s="7">
        <f>IFERROR(__xludf.DUMMYFUNCTION("""COMPUTED_VALUE"""),7.829914)</f>
        <v>7.829914</v>
      </c>
      <c r="D628" s="7">
        <f>IFERROR(__xludf.DUMMYFUNCTION("""COMPUTED_VALUE"""),0.339622641509433)</f>
        <v>0.3396226415</v>
      </c>
    </row>
    <row r="629">
      <c r="A629" s="10" t="s">
        <v>2068</v>
      </c>
      <c r="B629" s="7" t="str">
        <f>IFERROR(__xludf.DUMMYFUNCTION("SPLIT(A629,"" "")"),"CC(C)N(C)C1CCCC(N(C(C)C)C(C)C)C1")</f>
        <v>CC(C)N(C)C1CCCC(N(C(C)C)C(C)C)C1</v>
      </c>
      <c r="C629" s="7">
        <f>IFERROR(__xludf.DUMMYFUNCTION("""COMPUTED_VALUE"""),7.829895)</f>
        <v>7.829895</v>
      </c>
      <c r="D629" s="7">
        <f>IFERROR(__xludf.DUMMYFUNCTION("""COMPUTED_VALUE"""),0.195652173913043)</f>
        <v>0.1956521739</v>
      </c>
    </row>
    <row r="630">
      <c r="A630" s="10" t="s">
        <v>2069</v>
      </c>
      <c r="B630" s="7" t="str">
        <f>IFERROR(__xludf.DUMMYFUNCTION("SPLIT(A630,"" "")"),"CN1CCN(C)CCN(Cc2cccc(-c3ccc4c(c3)OCCOCCOCCOCCOCCO4)n2)CC1")</f>
        <v>CN1CCN(C)CCN(Cc2cccc(-c3ccc4c(c3)OCCOCCOCCOCCOCCO4)n2)CC1</v>
      </c>
      <c r="C630" s="7">
        <f>IFERROR(__xludf.DUMMYFUNCTION("""COMPUTED_VALUE"""),7.829892)</f>
        <v>7.829892</v>
      </c>
      <c r="D630" s="7">
        <f>IFERROR(__xludf.DUMMYFUNCTION("""COMPUTED_VALUE"""),0.48)</f>
        <v>0.48</v>
      </c>
    </row>
    <row r="631">
      <c r="A631" s="10" t="s">
        <v>2070</v>
      </c>
      <c r="B631" s="7" t="str">
        <f>IFERROR(__xludf.DUMMYFUNCTION("SPLIT(A631,"" "")"),"Cc1cncc(CN2CCN(C)CCN(C(C)C)CC2)c1C")</f>
        <v>Cc1cncc(CN2CCN(C)CCN(C(C)C)CC2)c1C</v>
      </c>
      <c r="C631" s="7">
        <f>IFERROR(__xludf.DUMMYFUNCTION("""COMPUTED_VALUE"""),7.829891)</f>
        <v>7.829891</v>
      </c>
      <c r="D631" s="7">
        <f>IFERROR(__xludf.DUMMYFUNCTION("""COMPUTED_VALUE"""),0.4)</f>
        <v>0.4</v>
      </c>
    </row>
    <row r="632">
      <c r="A632" s="10" t="s">
        <v>2071</v>
      </c>
      <c r="B632" s="7" t="str">
        <f>IFERROR(__xludf.DUMMYFUNCTION("SPLIT(A632,"" "")"),"CN(CCN(Cc1ccccn1)C(C)(N)N(Cc1ccccn1)Cc1cccc2c1OCCOCCOCCOCCOCCO2)c1cccc2c1OCCOCCOCCOCCOCCO2")</f>
        <v>CN(CCN(Cc1ccccn1)C(C)(N)N(Cc1ccccn1)Cc1cccc2c1OCCOCCOCCOCCOCCO2)c1cccc2c1OCCOCCOCCOCCOCCO2</v>
      </c>
      <c r="C632" s="7">
        <f>IFERROR(__xludf.DUMMYFUNCTION("""COMPUTED_VALUE"""),7.8298635)</f>
        <v>7.8298635</v>
      </c>
      <c r="D632" s="7">
        <f>IFERROR(__xludf.DUMMYFUNCTION("""COMPUTED_VALUE"""),0.318181818181818)</f>
        <v>0.3181818182</v>
      </c>
    </row>
    <row r="633">
      <c r="A633" s="10" t="s">
        <v>2072</v>
      </c>
      <c r="B633" s="7" t="str">
        <f>IFERROR(__xludf.DUMMYFUNCTION("SPLIT(A633,"" "")"),"CC(C)N(C)C1CCC(N(C)Cc2cccc(-c3ccc4c(c3)OCCOCCOCCOCCOCCO4)n2)CC1")</f>
        <v>CC(C)N(C)C1CCC(N(C)Cc2cccc(-c3ccc4c(c3)OCCOCCOCCOCCOCCO4)n2)CC1</v>
      </c>
      <c r="C633" s="7">
        <f>IFERROR(__xludf.DUMMYFUNCTION("""COMPUTED_VALUE"""),7.8298225)</f>
        <v>7.8298225</v>
      </c>
      <c r="D633" s="7">
        <f>IFERROR(__xludf.DUMMYFUNCTION("""COMPUTED_VALUE"""),0.352112676056338)</f>
        <v>0.3521126761</v>
      </c>
    </row>
    <row r="634">
      <c r="A634" s="10" t="s">
        <v>2073</v>
      </c>
      <c r="B634" s="7" t="str">
        <f>IFERROR(__xludf.DUMMYFUNCTION("SPLIT(A634,"" "")"),"CC(C)C")</f>
        <v>CC(C)C</v>
      </c>
      <c r="C634" s="7">
        <f>IFERROR(__xludf.DUMMYFUNCTION("""COMPUTED_VALUE"""),7.8298173)</f>
        <v>7.8298173</v>
      </c>
      <c r="D634" s="7">
        <f>IFERROR(__xludf.DUMMYFUNCTION("""COMPUTED_VALUE"""),0.111111111111111)</f>
        <v>0.1111111111</v>
      </c>
    </row>
    <row r="635">
      <c r="A635" s="10" t="s">
        <v>2074</v>
      </c>
      <c r="B635" s="7" t="str">
        <f>IFERROR(__xludf.DUMMYFUNCTION("SPLIT(A635,"" "")"),"CNC1CCCCC1N(Cc1ncccc1C)C(C)C")</f>
        <v>CNC1CCCCC1N(Cc1ncccc1C)C(C)C</v>
      </c>
      <c r="C635" s="7">
        <f>IFERROR(__xludf.DUMMYFUNCTION("""COMPUTED_VALUE"""),7.8297944)</f>
        <v>7.8297944</v>
      </c>
      <c r="D635" s="7">
        <f>IFERROR(__xludf.DUMMYFUNCTION("""COMPUTED_VALUE"""),0.358490566037735)</f>
        <v>0.358490566</v>
      </c>
    </row>
    <row r="636">
      <c r="A636" s="10" t="s">
        <v>2075</v>
      </c>
      <c r="B636" s="7" t="str">
        <f>IFERROR(__xludf.DUMMYFUNCTION("SPLIT(A636,"" "")"),"CC(N)c1ncccc1CN1CCN(C)CCN(C)CC1")</f>
        <v>CC(N)c1ncccc1CN1CCN(C)CCN(C)CC1</v>
      </c>
      <c r="C636" s="7">
        <f>IFERROR(__xludf.DUMMYFUNCTION("""COMPUTED_VALUE"""),7.8296866)</f>
        <v>7.8296866</v>
      </c>
      <c r="D636" s="7">
        <f>IFERROR(__xludf.DUMMYFUNCTION("""COMPUTED_VALUE"""),0.5)</f>
        <v>0.5</v>
      </c>
    </row>
    <row r="637">
      <c r="A637" s="10" t="s">
        <v>2076</v>
      </c>
      <c r="B637" s="7" t="str">
        <f>IFERROR(__xludf.DUMMYFUNCTION("SPLIT(A637,"" "")"),"CC1CC=C(N(C)C2CCCC(N(C)Cc3ccccn3)C2)CC1C")</f>
        <v>CC1CC=C(N(C)C2CCCC(N(C)Cc3ccccn3)C2)CC1C</v>
      </c>
      <c r="C637" s="7">
        <f>IFERROR(__xludf.DUMMYFUNCTION("""COMPUTED_VALUE"""),7.829684)</f>
        <v>7.829684</v>
      </c>
      <c r="D637" s="7">
        <f>IFERROR(__xludf.DUMMYFUNCTION("""COMPUTED_VALUE"""),0.490196078431372)</f>
        <v>0.4901960784</v>
      </c>
    </row>
    <row r="638">
      <c r="A638" s="10" t="s">
        <v>2077</v>
      </c>
      <c r="B638" s="7" t="str">
        <f>IFERROR(__xludf.DUMMYFUNCTION("SPLIT(A638,"" "")"),"CN1CCN(Cc2cc(-c3ccc4c(c3)OCCOCCOCCOCCOCCO4)ccn2)CCN(C(C)(C)C)CC1")</f>
        <v>CN1CCN(Cc2cc(-c3ccc4c(c3)OCCOCCOCCOCCOCCO4)ccn2)CCN(C(C)(C)C)CC1</v>
      </c>
      <c r="C638" s="7">
        <f>IFERROR(__xludf.DUMMYFUNCTION("""COMPUTED_VALUE"""),7.829657)</f>
        <v>7.829657</v>
      </c>
      <c r="D638" s="7">
        <f>IFERROR(__xludf.DUMMYFUNCTION("""COMPUTED_VALUE"""),0.454545454545454)</f>
        <v>0.4545454545</v>
      </c>
    </row>
    <row r="639">
      <c r="A639" s="10" t="s">
        <v>2078</v>
      </c>
      <c r="B639" s="7" t="str">
        <f>IFERROR(__xludf.DUMMYFUNCTION("SPLIT(A639,"" "")"),"CC1C=CC(C)C(NCc2ccccn2)C1C")</f>
        <v>CC1C=CC(C)C(NCc2ccccn2)C1C</v>
      </c>
      <c r="C639" s="7">
        <f>IFERROR(__xludf.DUMMYFUNCTION("""COMPUTED_VALUE"""),7.8296437)</f>
        <v>7.8296437</v>
      </c>
      <c r="D639" s="7">
        <f>IFERROR(__xludf.DUMMYFUNCTION("""COMPUTED_VALUE"""),0.459459459459459)</f>
        <v>0.4594594595</v>
      </c>
    </row>
    <row r="640">
      <c r="A640" s="10" t="s">
        <v>2079</v>
      </c>
      <c r="B640" s="7" t="str">
        <f>IFERROR(__xludf.DUMMYFUNCTION("SPLIT(A640,"" "")"),"CC(C)N(C)C1CCC(N(C)Cc2ncccc2-c2ccc3c(c2)OCCOCCOCCOCCOCCO3)CC1")</f>
        <v>CC(C)N(C)C1CCC(N(C)Cc2ncccc2-c2ccc3c(c2)OCCOCCOCCOCCOCCO3)CC1</v>
      </c>
      <c r="C640" s="7">
        <f>IFERROR(__xludf.DUMMYFUNCTION("""COMPUTED_VALUE"""),7.8296328)</f>
        <v>7.8296328</v>
      </c>
      <c r="D640" s="7">
        <f>IFERROR(__xludf.DUMMYFUNCTION("""COMPUTED_VALUE"""),0.347222222222222)</f>
        <v>0.3472222222</v>
      </c>
    </row>
    <row r="641">
      <c r="A641" s="10" t="s">
        <v>2080</v>
      </c>
      <c r="B641" s="7" t="str">
        <f>IFERROR(__xludf.DUMMYFUNCTION("SPLIT(A641,"" "")"),"CN1CC=NCC2C=CC=C(CN(C)CC1)N2C")</f>
        <v>CN1CC=NCC2C=CC=C(CN(C)CC1)N2C</v>
      </c>
      <c r="C641" s="7">
        <f>IFERROR(__xludf.DUMMYFUNCTION("""COMPUTED_VALUE"""),7.8296137)</f>
        <v>7.8296137</v>
      </c>
      <c r="D641" s="7">
        <f>IFERROR(__xludf.DUMMYFUNCTION("""COMPUTED_VALUE"""),0.266666666666666)</f>
        <v>0.2666666667</v>
      </c>
    </row>
    <row r="642">
      <c r="A642" s="10" t="s">
        <v>2081</v>
      </c>
      <c r="B642" s="7" t="str">
        <f>IFERROR(__xludf.DUMMYFUNCTION("SPLIT(A642,"" "")"),"CN1CCN(CCCN(C)Cc2ccccn2)CC2(C=CC=CC2CCN(C)Cc2ccccn2)N(C)CC1")</f>
        <v>CN1CCN(CCCN(C)Cc2ccccn2)CC2(C=CC=CC2CCN(C)Cc2ccccn2)N(C)CC1</v>
      </c>
      <c r="C642" s="7">
        <f>IFERROR(__xludf.DUMMYFUNCTION("""COMPUTED_VALUE"""),7.8295555)</f>
        <v>7.8295555</v>
      </c>
      <c r="D642" s="7">
        <f>IFERROR(__xludf.DUMMYFUNCTION("""COMPUTED_VALUE"""),0.4)</f>
        <v>0.4</v>
      </c>
    </row>
    <row r="643">
      <c r="A643" s="10" t="s">
        <v>2082</v>
      </c>
      <c r="B643" s="7" t="str">
        <f>IFERROR(__xludf.DUMMYFUNCTION("SPLIT(A643,"" "")"),"CC(C)N(C)C1CCCC(N(C)Cc2cc(-c3cccc4c3OCCOCCOCCOCCOCCO4)ccn2)C1")</f>
        <v>CC(C)N(C)C1CCCC(N(C)Cc2cc(-c3cccc4c3OCCOCCOCCOCCOCCO4)ccn2)C1</v>
      </c>
      <c r="C643" s="7">
        <f>IFERROR(__xludf.DUMMYFUNCTION("""COMPUTED_VALUE"""),7.829538)</f>
        <v>7.829538</v>
      </c>
      <c r="D643" s="7">
        <f>IFERROR(__xludf.DUMMYFUNCTION("""COMPUTED_VALUE"""),0.298507462686567)</f>
        <v>0.2985074627</v>
      </c>
    </row>
    <row r="644">
      <c r="A644" s="10" t="s">
        <v>2083</v>
      </c>
      <c r="B644" s="7" t="str">
        <f>IFERROR(__xludf.DUMMYFUNCTION("SPLIT(A644,"" "")"),"CN1CCN(C)CCN(Cc2ncccc2-c2ccc3c(c2)OCCOCCOCCOCCOCCO3)CC1")</f>
        <v>CN1CCN(C)CCN(Cc2ncccc2-c2ccc3c(c2)OCCOCCOCCOCCOCCO3)CC1</v>
      </c>
      <c r="C644" s="7">
        <f>IFERROR(__xludf.DUMMYFUNCTION("""COMPUTED_VALUE"""),7.8295116)</f>
        <v>7.8295116</v>
      </c>
      <c r="D644" s="7">
        <f>IFERROR(__xludf.DUMMYFUNCTION("""COMPUTED_VALUE"""),0.40625)</f>
        <v>0.40625</v>
      </c>
    </row>
    <row r="645">
      <c r="A645" s="10" t="s">
        <v>2084</v>
      </c>
      <c r="B645" s="7" t="str">
        <f>IFERROR(__xludf.DUMMYFUNCTION("SPLIT(A645,"" "")"),"Cc1ccc2c(c1CN(C)Cc1ccccn1)OCCOCCOCCOCCOCCO2")</f>
        <v>Cc1ccc2c(c1CN(C)Cc1ccccn1)OCCOCCOCCOCCOCCO2</v>
      </c>
      <c r="C645" s="7">
        <f>IFERROR(__xludf.DUMMYFUNCTION("""COMPUTED_VALUE"""),7.8294888)</f>
        <v>7.8294888</v>
      </c>
      <c r="D645" s="7">
        <f>IFERROR(__xludf.DUMMYFUNCTION("""COMPUTED_VALUE"""),0.415094339622641)</f>
        <v>0.4150943396</v>
      </c>
    </row>
    <row r="646">
      <c r="A646" s="10" t="s">
        <v>2085</v>
      </c>
      <c r="B646" s="7" t="str">
        <f>IFERROR(__xludf.DUMMYFUNCTION("SPLIT(A646,"" "")"),"CN1CCN(C)CCN(Cc2ccc(-c3ccc4c(c3)OCCOCCOCCOCCOCCO4)nc2)CC1")</f>
        <v>CN1CCN(C)CCN(Cc2ccc(-c3ccc4c(c3)OCCOCCOCCOCCOCCO4)nc2)CC1</v>
      </c>
      <c r="C646" s="7">
        <f>IFERROR(__xludf.DUMMYFUNCTION("""COMPUTED_VALUE"""),7.8294563)</f>
        <v>7.8294563</v>
      </c>
      <c r="D646" s="7">
        <f>IFERROR(__xludf.DUMMYFUNCTION("""COMPUTED_VALUE"""),0.435483870967741)</f>
        <v>0.435483871</v>
      </c>
    </row>
    <row r="647">
      <c r="A647" s="10" t="s">
        <v>2086</v>
      </c>
      <c r="B647" s="7" t="str">
        <f>IFERROR(__xludf.DUMMYFUNCTION("SPLIT(A647,"" "")"),"CC(C)N(C)C1CCC(N(C)Cc2cc(-c3ccc4c(c3)OCCOCCOCCOCCOCCO4)ccn2)CC1")</f>
        <v>CC(C)N(C)C1CCC(N(C)Cc2cc(-c3ccc4c(c3)OCCOCCOCCOCCOCCO4)ccn2)CC1</v>
      </c>
      <c r="C647" s="7">
        <f>IFERROR(__xludf.DUMMYFUNCTION("""COMPUTED_VALUE"""),7.8294487)</f>
        <v>7.8294487</v>
      </c>
      <c r="D647" s="7">
        <f>IFERROR(__xludf.DUMMYFUNCTION("""COMPUTED_VALUE"""),0.402985074626865)</f>
        <v>0.4029850746</v>
      </c>
    </row>
    <row r="648">
      <c r="A648" s="10" t="s">
        <v>2087</v>
      </c>
      <c r="B648" s="7" t="str">
        <f>IFERROR(__xludf.DUMMYFUNCTION("SPLIT(A648,"" "")"),"CC1=CC(C)C(C)(c2ncccc2CN2CCN(C)CCN(C)CC2)CC1")</f>
        <v>CC1=CC(C)C(C)(c2ncccc2CN2CCN(C)CCN(C)CC2)CC1</v>
      </c>
      <c r="C648" s="7">
        <f>IFERROR(__xludf.DUMMYFUNCTION("""COMPUTED_VALUE"""),7.8294315)</f>
        <v>7.8294315</v>
      </c>
      <c r="D648" s="7">
        <f>IFERROR(__xludf.DUMMYFUNCTION("""COMPUTED_VALUE"""),0.403846153846153)</f>
        <v>0.4038461538</v>
      </c>
    </row>
    <row r="649">
      <c r="A649" s="10" t="s">
        <v>2088</v>
      </c>
      <c r="B649" s="7" t="str">
        <f>IFERROR(__xludf.DUMMYFUNCTION("SPLIT(A649,"" "")"),"COC(=O)C(=O)C(C)C(C)N1CCN(C)CCN(C(C)C(C)N2CCN(C)CCN(Cc3cc(C)c(C)c(C(C)C)n3)CC2)CC1")</f>
        <v>COC(=O)C(=O)C(C)C(C)N1CCN(C)CCN(C(C)C(C)N2CCN(C)CCN(Cc3cc(C)c(C)c(C(C)C)n3)CC2)CC1</v>
      </c>
      <c r="C649" s="7">
        <f>IFERROR(__xludf.DUMMYFUNCTION("""COMPUTED_VALUE"""),7.8294163)</f>
        <v>7.8294163</v>
      </c>
      <c r="D649" s="7">
        <f>IFERROR(__xludf.DUMMYFUNCTION("""COMPUTED_VALUE"""),0.367647058823529)</f>
        <v>0.3676470588</v>
      </c>
    </row>
    <row r="650">
      <c r="A650" s="10" t="s">
        <v>2089</v>
      </c>
      <c r="B650" s="7" t="str">
        <f>IFERROR(__xludf.DUMMYFUNCTION("SPLIT(A650,"" "")"),"CNC1CCCCC1N(C)Cc1cccc(-c2ccc3c(c2)OCCOCCOCCOCCOCCO3)n1")</f>
        <v>CNC1CCCCC1N(C)Cc1cccc(-c2ccc3c(c2)OCCOCCOCCOCCOCCO3)n1</v>
      </c>
      <c r="C650" s="7">
        <f>IFERROR(__xludf.DUMMYFUNCTION("""COMPUTED_VALUE"""),7.829383)</f>
        <v>7.829383</v>
      </c>
      <c r="D650" s="7">
        <f>IFERROR(__xludf.DUMMYFUNCTION("""COMPUTED_VALUE"""),0.423728813559322)</f>
        <v>0.4237288136</v>
      </c>
    </row>
    <row r="651">
      <c r="A651" s="10" t="s">
        <v>2090</v>
      </c>
      <c r="B651" s="7" t="str">
        <f>IFERROR(__xludf.DUMMYFUNCTION("SPLIT(A651,"" "")"),"Cc1ccc(CN(C)Cc2ccccn2)c2c1OCCOCCOCCOCCOCCO2")</f>
        <v>Cc1ccc(CN(C)Cc2ccccn2)c2c1OCCOCCOCCOCCOCCO2</v>
      </c>
      <c r="C651" s="7">
        <f>IFERROR(__xludf.DUMMYFUNCTION("""COMPUTED_VALUE"""),7.8293695)</f>
        <v>7.8293695</v>
      </c>
      <c r="D651" s="7">
        <f>IFERROR(__xludf.DUMMYFUNCTION("""COMPUTED_VALUE"""),0.431372549019607)</f>
        <v>0.431372549</v>
      </c>
    </row>
    <row r="652">
      <c r="A652" s="10" t="s">
        <v>2091</v>
      </c>
      <c r="B652" s="7" t="str">
        <f>IFERROR(__xludf.DUMMYFUNCTION("SPLIT(A652,"" "")"),"CNCC1CCCN1Cc1ncccc1C")</f>
        <v>CNCC1CCCN1Cc1ncccc1C</v>
      </c>
      <c r="C652" s="7">
        <f>IFERROR(__xludf.DUMMYFUNCTION("""COMPUTED_VALUE"""),7.829348)</f>
        <v>7.829348</v>
      </c>
      <c r="D652" s="7">
        <f>IFERROR(__xludf.DUMMYFUNCTION("""COMPUTED_VALUE"""),0.410714285714285)</f>
        <v>0.4107142857</v>
      </c>
    </row>
    <row r="653">
      <c r="A653" s="10" t="s">
        <v>2092</v>
      </c>
      <c r="B653" s="7" t="str">
        <f>IFERROR(__xludf.DUMMYFUNCTION("SPLIT(A653,"" "")"),"CN1CCN(C)CCN(C(C)(C)c2ccccn2)CC1")</f>
        <v>CN1CCN(C)CCN(C(C)(C)c2ccccn2)CC1</v>
      </c>
      <c r="C653" s="7">
        <f>IFERROR(__xludf.DUMMYFUNCTION("""COMPUTED_VALUE"""),7.82934)</f>
        <v>7.82934</v>
      </c>
      <c r="D653" s="7">
        <f>IFERROR(__xludf.DUMMYFUNCTION("""COMPUTED_VALUE"""),0.461538461538461)</f>
        <v>0.4615384615</v>
      </c>
    </row>
    <row r="654">
      <c r="A654" s="10" t="s">
        <v>2093</v>
      </c>
      <c r="B654" s="7" t="str">
        <f>IFERROR(__xludf.DUMMYFUNCTION("SPLIT(A654,"" "")"),"CC1C=CC(c2cc(CN3CCN(C)CCN(C(C)C)CC3)ccn2)C(C)(C)C1")</f>
        <v>CC1C=CC(c2cc(CN3CCN(C)CCN(C(C)C)CC3)ccn2)C(C)(C)C1</v>
      </c>
      <c r="C654" s="7">
        <f>IFERROR(__xludf.DUMMYFUNCTION("""COMPUTED_VALUE"""),7.829333)</f>
        <v>7.829333</v>
      </c>
      <c r="D654" s="7">
        <f>IFERROR(__xludf.DUMMYFUNCTION("""COMPUTED_VALUE"""),0.366666666666666)</f>
        <v>0.3666666667</v>
      </c>
    </row>
    <row r="655">
      <c r="A655" s="10" t="s">
        <v>2094</v>
      </c>
      <c r="B655" s="7" t="str">
        <f>IFERROR(__xludf.DUMMYFUNCTION("SPLIT(A655,"" "")"),"CN1CCN(C)CCN(CC2=CCC(N(C)C)=CN2)CC1")</f>
        <v>CN1CCN(C)CCN(CC2=CCC(N(C)C)=CN2)CC1</v>
      </c>
      <c r="C655" s="7">
        <f>IFERROR(__xludf.DUMMYFUNCTION("""COMPUTED_VALUE"""),7.829287)</f>
        <v>7.829287</v>
      </c>
      <c r="D655" s="7">
        <f>IFERROR(__xludf.DUMMYFUNCTION("""COMPUTED_VALUE"""),0.456521739130434)</f>
        <v>0.4565217391</v>
      </c>
    </row>
    <row r="656">
      <c r="A656" s="10" t="s">
        <v>2095</v>
      </c>
      <c r="B656" s="7" t="str">
        <f>IFERROR(__xludf.DUMMYFUNCTION("SPLIT(A656,"" "")"),"c1cncc(CN(Cc2cccnn2)C2CCCCC2)c1")</f>
        <v>c1cncc(CN(Cc2cccnn2)C2CCCCC2)c1</v>
      </c>
      <c r="C656" s="7">
        <f>IFERROR(__xludf.DUMMYFUNCTION("""COMPUTED_VALUE"""),7.829271)</f>
        <v>7.829271</v>
      </c>
      <c r="D656" s="7">
        <f>IFERROR(__xludf.DUMMYFUNCTION("""COMPUTED_VALUE"""),0.391304347826087)</f>
        <v>0.3913043478</v>
      </c>
    </row>
    <row r="657">
      <c r="A657" s="10" t="s">
        <v>2096</v>
      </c>
      <c r="B657" s="7" t="str">
        <f>IFERROR(__xludf.DUMMYFUNCTION("SPLIT(A657,"" "")"),"CNCN1CCN(Cc2ccc(C)cn2)CCN(Cc2ccc(C)c(N)n2)CC1")</f>
        <v>CNCN1CCN(Cc2ccc(C)cn2)CCN(Cc2ccc(C)c(N)n2)CC1</v>
      </c>
      <c r="C657" s="7">
        <f>IFERROR(__xludf.DUMMYFUNCTION("""COMPUTED_VALUE"""),7.8292356)</f>
        <v>7.8292356</v>
      </c>
      <c r="D657" s="7">
        <f>IFERROR(__xludf.DUMMYFUNCTION("""COMPUTED_VALUE"""),0.352941176470588)</f>
        <v>0.3529411765</v>
      </c>
    </row>
    <row r="658">
      <c r="A658" s="10" t="s">
        <v>2097</v>
      </c>
      <c r="B658" s="7" t="str">
        <f>IFERROR(__xludf.DUMMYFUNCTION("SPLIT(A658,"" "")"),"CCNCc1ccccc1CN(Cc1ccccn1)C1CCCCC1")</f>
        <v>CCNCc1ccccc1CN(Cc1ccccn1)C1CCCCC1</v>
      </c>
      <c r="C658" s="7">
        <f>IFERROR(__xludf.DUMMYFUNCTION("""COMPUTED_VALUE"""),7.8291173)</f>
        <v>7.8291173</v>
      </c>
      <c r="D658" s="7">
        <f>IFERROR(__xludf.DUMMYFUNCTION("""COMPUTED_VALUE"""),0.46)</f>
        <v>0.46</v>
      </c>
    </row>
    <row r="659">
      <c r="A659" s="10" t="s">
        <v>2098</v>
      </c>
      <c r="B659" s="7" t="str">
        <f>IFERROR(__xludf.DUMMYFUNCTION("SPLIT(A659,"" "")"),"CC(C)N1CCN(C)CCN(C(C)c2cccc(C3CCC3(C)C)n2)CC1")</f>
        <v>CC(C)N1CCN(C)CCN(C(C)c2cccc(C3CCC3(C)C)n2)CC1</v>
      </c>
      <c r="C659" s="7">
        <f>IFERROR(__xludf.DUMMYFUNCTION("""COMPUTED_VALUE"""),7.8290863)</f>
        <v>7.8290863</v>
      </c>
      <c r="D659" s="7">
        <f>IFERROR(__xludf.DUMMYFUNCTION("""COMPUTED_VALUE"""),0.3)</f>
        <v>0.3</v>
      </c>
    </row>
    <row r="660">
      <c r="A660" s="10" t="s">
        <v>2099</v>
      </c>
      <c r="B660" s="7" t="str">
        <f>IFERROR(__xludf.DUMMYFUNCTION("SPLIT(A660,"" "")"),"CCCNCCN(C)CCF")</f>
        <v>CCCNCCN(C)CCF</v>
      </c>
      <c r="C660" s="7">
        <f>IFERROR(__xludf.DUMMYFUNCTION("""COMPUTED_VALUE"""),7.829086)</f>
        <v>7.829086</v>
      </c>
      <c r="D660" s="7">
        <f>IFERROR(__xludf.DUMMYFUNCTION("""COMPUTED_VALUE"""),0.179487179487179)</f>
        <v>0.1794871795</v>
      </c>
    </row>
    <row r="661">
      <c r="A661" s="10" t="s">
        <v>2100</v>
      </c>
      <c r="B661" s="7" t="str">
        <f>IFERROR(__xludf.DUMMYFUNCTION("SPLIT(A661,"" "")"),"C1=NCCC=C1CN(Cc1ccccn1)c1ccc2c(c1)OCCOCCOCCOCCOCCO2")</f>
        <v>C1=NCCC=C1CN(Cc1ccccn1)c1ccc2c(c1)OCCOCCOCCOCCOCCO2</v>
      </c>
      <c r="C661" s="7">
        <f>IFERROR(__xludf.DUMMYFUNCTION("""COMPUTED_VALUE"""),7.8290606)</f>
        <v>7.8290606</v>
      </c>
      <c r="D661" s="7">
        <f>IFERROR(__xludf.DUMMYFUNCTION("""COMPUTED_VALUE"""),0.357142857142857)</f>
        <v>0.3571428571</v>
      </c>
    </row>
    <row r="662">
      <c r="A662" s="10" t="s">
        <v>2101</v>
      </c>
      <c r="B662" s="7" t="str">
        <f>IFERROR(__xludf.DUMMYFUNCTION("SPLIT(A662,"" "")"),"CN1CCN(C)CCN(CC2=C(N(C)C)CC=CN2)CC1")</f>
        <v>CN1CCN(C)CCN(CC2=C(N(C)C)CC=CN2)CC1</v>
      </c>
      <c r="C662" s="7">
        <f>IFERROR(__xludf.DUMMYFUNCTION("""COMPUTED_VALUE"""),7.8289275)</f>
        <v>7.8289275</v>
      </c>
      <c r="D662" s="7">
        <f>IFERROR(__xludf.DUMMYFUNCTION("""COMPUTED_VALUE"""),0.425531914893617)</f>
        <v>0.4255319149</v>
      </c>
    </row>
    <row r="663">
      <c r="A663" s="10" t="s">
        <v>2102</v>
      </c>
      <c r="B663" s="7" t="str">
        <f>IFERROR(__xludf.DUMMYFUNCTION("SPLIT(A663,"" "")"),"CC1=C(C)C(C)(C)C(C)CC1")</f>
        <v>CC1=C(C)C(C)(C)C(C)CC1</v>
      </c>
      <c r="C663" s="7">
        <f>IFERROR(__xludf.DUMMYFUNCTION("""COMPUTED_VALUE"""),7.828905)</f>
        <v>7.828905</v>
      </c>
      <c r="D663" s="7">
        <f>IFERROR(__xludf.DUMMYFUNCTION("""COMPUTED_VALUE"""),0.159090909090909)</f>
        <v>0.1590909091</v>
      </c>
    </row>
    <row r="664">
      <c r="A664" s="10" t="s">
        <v>2103</v>
      </c>
      <c r="B664" s="7" t="str">
        <f>IFERROR(__xludf.DUMMYFUNCTION("SPLIT(A664,"" "")"),"CNC1CCCC(N(C)Cc2ccc(Cl)cn2)C1")</f>
        <v>CNC1CCCC(N(C)Cc2ccc(Cl)cn2)C1</v>
      </c>
      <c r="C664" s="7">
        <f>IFERROR(__xludf.DUMMYFUNCTION("""COMPUTED_VALUE"""),7.8288717)</f>
        <v>7.8288717</v>
      </c>
      <c r="D664" s="7">
        <f>IFERROR(__xludf.DUMMYFUNCTION("""COMPUTED_VALUE"""),0.42)</f>
        <v>0.42</v>
      </c>
    </row>
    <row r="665">
      <c r="A665" s="10" t="s">
        <v>2104</v>
      </c>
      <c r="B665" s="7" t="str">
        <f>IFERROR(__xludf.DUMMYFUNCTION("SPLIT(A665,"" "")"),"CNCCN(Cc1ccccn1)C1CCC(N(C)Cc2cccnn2)CC1")</f>
        <v>CNCCN(Cc1ccccn1)C1CCC(N(C)Cc2cccnn2)CC1</v>
      </c>
      <c r="C665" s="7">
        <f>IFERROR(__xludf.DUMMYFUNCTION("""COMPUTED_VALUE"""),7.828851)</f>
        <v>7.828851</v>
      </c>
      <c r="D665" s="7">
        <f>IFERROR(__xludf.DUMMYFUNCTION("""COMPUTED_VALUE"""),0.48)</f>
        <v>0.48</v>
      </c>
    </row>
    <row r="666">
      <c r="A666" s="10" t="s">
        <v>2105</v>
      </c>
      <c r="B666" s="7" t="str">
        <f>IFERROR(__xludf.DUMMYFUNCTION("SPLIT(A666,"" "")"),"CC(C)N(C)C1CCC(N(Cc2cccnc2)Cc2ccccn2)CC1")</f>
        <v>CC(C)N(C)C1CCC(N(Cc2cccnc2)Cc2ccccn2)CC1</v>
      </c>
      <c r="C666" s="7">
        <f>IFERROR(__xludf.DUMMYFUNCTION("""COMPUTED_VALUE"""),7.8288455)</f>
        <v>7.8288455</v>
      </c>
      <c r="D666" s="7">
        <f>IFERROR(__xludf.DUMMYFUNCTION("""COMPUTED_VALUE"""),0.415094339622641)</f>
        <v>0.4150943396</v>
      </c>
    </row>
    <row r="667">
      <c r="A667" s="10" t="s">
        <v>2106</v>
      </c>
      <c r="B667" s="7" t="str">
        <f>IFERROR(__xludf.DUMMYFUNCTION("SPLIT(A667,"" "")"),"Cc1cc(CN(C)Cc2ccccn2)c2c(c1)OCCOCCOCCOCCOCCO2")</f>
        <v>Cc1cc(CN(C)Cc2ccccn2)c2c(c1)OCCOCCOCCOCCOCCO2</v>
      </c>
      <c r="C667" s="7">
        <f>IFERROR(__xludf.DUMMYFUNCTION("""COMPUTED_VALUE"""),7.8288445)</f>
        <v>7.8288445</v>
      </c>
      <c r="D667" s="7">
        <f>IFERROR(__xludf.DUMMYFUNCTION("""COMPUTED_VALUE"""),0.407407407407407)</f>
        <v>0.4074074074</v>
      </c>
    </row>
    <row r="668">
      <c r="A668" s="10" t="s">
        <v>2107</v>
      </c>
      <c r="B668" s="7" t="str">
        <f>IFERROR(__xludf.DUMMYFUNCTION("SPLIT(A668,"" "")"),"CC1C=CCC(C)(NCc2ccccn2)C1C")</f>
        <v>CC1C=CCC(C)(NCc2ccccn2)C1C</v>
      </c>
      <c r="C668" s="7">
        <f>IFERROR(__xludf.DUMMYFUNCTION("""COMPUTED_VALUE"""),7.828835)</f>
        <v>7.828835</v>
      </c>
      <c r="D668" s="7">
        <f>IFERROR(__xludf.DUMMYFUNCTION("""COMPUTED_VALUE"""),0.395348837209302)</f>
        <v>0.3953488372</v>
      </c>
    </row>
    <row r="669">
      <c r="A669" s="10" t="s">
        <v>2108</v>
      </c>
      <c r="B669" s="7" t="str">
        <f>IFERROR(__xludf.DUMMYFUNCTION("SPLIT(A669,"" "")"),"CC(C)N(Cc1ccccn1)C1CCC(N(C)CC(C)(C)C)CC1")</f>
        <v>CC(C)N(Cc1ccccn1)C1CCC(N(C)CC(C)(C)C)CC1</v>
      </c>
      <c r="C669" s="7">
        <f>IFERROR(__xludf.DUMMYFUNCTION("""COMPUTED_VALUE"""),7.8288255)</f>
        <v>7.8288255</v>
      </c>
      <c r="D669" s="7">
        <f>IFERROR(__xludf.DUMMYFUNCTION("""COMPUTED_VALUE"""),0.489361702127659)</f>
        <v>0.4893617021</v>
      </c>
    </row>
    <row r="670">
      <c r="A670" s="10" t="s">
        <v>2109</v>
      </c>
      <c r="B670" s="7" t="str">
        <f>IFERROR(__xludf.DUMMYFUNCTION("SPLIT(A670,"" "")"),"CC(N)c1ccc(CN2CCN(C)CCN(C)CC2)cn1")</f>
        <v>CC(N)c1ccc(CN2CCN(C)CCN(C)CC2)cn1</v>
      </c>
      <c r="C670" s="7">
        <f>IFERROR(__xludf.DUMMYFUNCTION("""COMPUTED_VALUE"""),7.8288064)</f>
        <v>7.8288064</v>
      </c>
      <c r="D670" s="7">
        <f>IFERROR(__xludf.DUMMYFUNCTION("""COMPUTED_VALUE"""),0.409090909090909)</f>
        <v>0.4090909091</v>
      </c>
    </row>
    <row r="671">
      <c r="A671" s="10" t="s">
        <v>2110</v>
      </c>
      <c r="B671" s="7" t="str">
        <f>IFERROR(__xludf.DUMMYFUNCTION("SPLIT(A671,"" "")"),"Cc1cncc(CN2CCN(C)CCN(C)CC2)c1C")</f>
        <v>Cc1cncc(CN2CCN(C)CCN(C)CC2)c1C</v>
      </c>
      <c r="C671" s="7">
        <f>IFERROR(__xludf.DUMMYFUNCTION("""COMPUTED_VALUE"""),7.8287973)</f>
        <v>7.8287973</v>
      </c>
      <c r="D671" s="7">
        <f>IFERROR(__xludf.DUMMYFUNCTION("""COMPUTED_VALUE"""),0.465116279069767)</f>
        <v>0.4651162791</v>
      </c>
    </row>
    <row r="672">
      <c r="A672" s="10" t="s">
        <v>2111</v>
      </c>
      <c r="B672" s="7" t="str">
        <f>IFERROR(__xludf.DUMMYFUNCTION("SPLIT(A672,"" "")"),"C=CCN(C)CC=C")</f>
        <v>C=CCN(C)CC=C</v>
      </c>
      <c r="C672" s="7">
        <f>IFERROR(__xludf.DUMMYFUNCTION("""COMPUTED_VALUE"""),7.828787)</f>
        <v>7.828787</v>
      </c>
      <c r="D672" s="7">
        <f>IFERROR(__xludf.DUMMYFUNCTION("""COMPUTED_VALUE"""),0.177777777777777)</f>
        <v>0.1777777778</v>
      </c>
    </row>
    <row r="673">
      <c r="A673" s="10" t="s">
        <v>2112</v>
      </c>
      <c r="B673" s="7" t="str">
        <f>IFERROR(__xludf.DUMMYFUNCTION("SPLIT(A673,"" "")"),"CN(CCN(C)C(C)(C)c1cccnc1)c1cccc2c1OCCOCCOCCOCCOCCO2")</f>
        <v>CN(CCN(C)C(C)(C)c1cccnc1)c1cccc2c1OCCOCCOCCOCCOCCO2</v>
      </c>
      <c r="C673" s="7">
        <f>IFERROR(__xludf.DUMMYFUNCTION("""COMPUTED_VALUE"""),7.8287683)</f>
        <v>7.8287683</v>
      </c>
      <c r="D673" s="7">
        <f>IFERROR(__xludf.DUMMYFUNCTION("""COMPUTED_VALUE"""),0.310344827586206)</f>
        <v>0.3103448276</v>
      </c>
    </row>
    <row r="674">
      <c r="A674" s="10" t="s">
        <v>2113</v>
      </c>
      <c r="B674" s="7" t="str">
        <f>IFERROR(__xludf.DUMMYFUNCTION("SPLIT(A674,"" "")"),"CC1C=CC(C)C(C)(N(C)Cc2ccccn2)C1C")</f>
        <v>CC1C=CC(C)C(C)(N(C)Cc2ccccn2)C1C</v>
      </c>
      <c r="C674" s="7">
        <f>IFERROR(__xludf.DUMMYFUNCTION("""COMPUTED_VALUE"""),7.828748)</f>
        <v>7.828748</v>
      </c>
      <c r="D674" s="7">
        <f>IFERROR(__xludf.DUMMYFUNCTION("""COMPUTED_VALUE"""),0.425531914893617)</f>
        <v>0.4255319149</v>
      </c>
    </row>
    <row r="675">
      <c r="A675" s="10" t="s">
        <v>2114</v>
      </c>
      <c r="B675" s="7" t="str">
        <f>IFERROR(__xludf.DUMMYFUNCTION("SPLIT(A675,"" "")"),"CC(C)NCc1ncccc1CN1CCN(C)CCN(C)CC1")</f>
        <v>CC(C)NCc1ncccc1CN1CCN(C)CCN(C)CC1</v>
      </c>
      <c r="C675" s="7">
        <f>IFERROR(__xludf.DUMMYFUNCTION("""COMPUTED_VALUE"""),7.82873)</f>
        <v>7.82873</v>
      </c>
      <c r="D675" s="7">
        <f>IFERROR(__xludf.DUMMYFUNCTION("""COMPUTED_VALUE"""),0.466666666666666)</f>
        <v>0.4666666667</v>
      </c>
    </row>
    <row r="676">
      <c r="A676" s="10" t="s">
        <v>2115</v>
      </c>
      <c r="B676" s="7" t="str">
        <f>IFERROR(__xludf.DUMMYFUNCTION("SPLIT(A676,"" "")"),"CN1CCN(C)CCN(Cc2ccc(CN(C)C(C)(C)C)nc2)CC1")</f>
        <v>CN1CCN(C)CCN(Cc2ccc(CN(C)C(C)(C)C)nc2)CC1</v>
      </c>
      <c r="C676" s="7">
        <f>IFERROR(__xludf.DUMMYFUNCTION("""COMPUTED_VALUE"""),7.828728)</f>
        <v>7.828728</v>
      </c>
      <c r="D676" s="7">
        <f>IFERROR(__xludf.DUMMYFUNCTION("""COMPUTED_VALUE"""),0.404255319148936)</f>
        <v>0.4042553191</v>
      </c>
    </row>
    <row r="677">
      <c r="A677" s="10" t="s">
        <v>2116</v>
      </c>
      <c r="B677" s="7" t="str">
        <f>IFERROR(__xludf.DUMMYFUNCTION("SPLIT(A677,"" "")"),"CC(C)N(C)C1CCCC(N(C)Cc2cc(-c3ccc4c(c3)OCCOCCOCCOCCOCCO4)ccn2)C1")</f>
        <v>CC(C)N(C)C1CCCC(N(C)Cc2cc(-c3ccc4c(c3)OCCOCCOCCOCCOCCO4)ccn2)C1</v>
      </c>
      <c r="C677" s="7">
        <f>IFERROR(__xludf.DUMMYFUNCTION("""COMPUTED_VALUE"""),7.8286643)</f>
        <v>7.8286643</v>
      </c>
      <c r="D677" s="7">
        <f>IFERROR(__xludf.DUMMYFUNCTION("""COMPUTED_VALUE"""),0.405797101449275)</f>
        <v>0.4057971014</v>
      </c>
    </row>
    <row r="678">
      <c r="A678" s="10" t="s">
        <v>2117</v>
      </c>
      <c r="B678" s="7" t="str">
        <f>IFERROR(__xludf.DUMMYFUNCTION("SPLIT(A678,"" "")"),"CN1CCN(C)CCN(Cc2ccc(N(C)c3cccc4c3OCCOCCOCCOCCOCCO4)cn2)CC1")</f>
        <v>CN1CCN(C)CCN(Cc2ccc(N(C)c3cccc4c3OCCOCCOCCOCCOCCO4)cn2)CC1</v>
      </c>
      <c r="C678" s="7">
        <f>IFERROR(__xludf.DUMMYFUNCTION("""COMPUTED_VALUE"""),7.8286343)</f>
        <v>7.8286343</v>
      </c>
      <c r="D678" s="7">
        <f>IFERROR(__xludf.DUMMYFUNCTION("""COMPUTED_VALUE"""),0.392857142857142)</f>
        <v>0.3928571429</v>
      </c>
    </row>
    <row r="679">
      <c r="A679" s="10" t="s">
        <v>2118</v>
      </c>
      <c r="B679" s="7" t="str">
        <f>IFERROR(__xludf.DUMMYFUNCTION("SPLIT(A679,"" "")"),"CC(C)N(C)C1CCCC(N(C)Cc2ncccc2-c2ccc3c(c2)OCCOCCOCCOCCOCCO3)C1")</f>
        <v>CC(C)N(C)C1CCCC(N(C)Cc2ncccc2-c2ccc3c(c2)OCCOCCOCCOCCOCCO3)C1</v>
      </c>
      <c r="C679" s="7">
        <f>IFERROR(__xludf.DUMMYFUNCTION("""COMPUTED_VALUE"""),7.8286195)</f>
        <v>7.8286195</v>
      </c>
      <c r="D679" s="7">
        <f>IFERROR(__xludf.DUMMYFUNCTION("""COMPUTED_VALUE"""),0.351351351351351)</f>
        <v>0.3513513514</v>
      </c>
    </row>
    <row r="680">
      <c r="A680" s="10" t="s">
        <v>2119</v>
      </c>
      <c r="B680" s="7" t="str">
        <f>IFERROR(__xludf.DUMMYFUNCTION("SPLIT(A680,"" "")"),"Cc1c(CN(C)Cc2ccccn2)ccc2c1OCCOCCOCCOCCOCCO2")</f>
        <v>Cc1c(CN(C)Cc2ccccn2)ccc2c1OCCOCCOCCOCCOCCO2</v>
      </c>
      <c r="C680" s="7">
        <f>IFERROR(__xludf.DUMMYFUNCTION("""COMPUTED_VALUE"""),7.8286176)</f>
        <v>7.8286176</v>
      </c>
      <c r="D680" s="7">
        <f>IFERROR(__xludf.DUMMYFUNCTION("""COMPUTED_VALUE"""),0.415094339622641)</f>
        <v>0.4150943396</v>
      </c>
    </row>
    <row r="681">
      <c r="A681" s="10" t="s">
        <v>2120</v>
      </c>
      <c r="B681" s="7" t="str">
        <f>IFERROR(__xludf.DUMMYFUNCTION("SPLIT(A681,"" "")"),"CC1CC(CN(C)Cc2ccccn2)C1N")</f>
        <v>CC1CC(CN(C)Cc2ccccn2)C1N</v>
      </c>
      <c r="C681" s="7">
        <f>IFERROR(__xludf.DUMMYFUNCTION("""COMPUTED_VALUE"""),7.8286004)</f>
        <v>7.8286004</v>
      </c>
      <c r="D681" s="7">
        <f>IFERROR(__xludf.DUMMYFUNCTION("""COMPUTED_VALUE"""),0.48076923076923)</f>
        <v>0.4807692308</v>
      </c>
    </row>
    <row r="682">
      <c r="A682" s="10" t="s">
        <v>2121</v>
      </c>
      <c r="B682" s="7" t="str">
        <f>IFERROR(__xludf.DUMMYFUNCTION("SPLIT(A682,"" "")"),"CN(CCF)CCN(Cc1ccccn1)C1CCCCC1N(C)Cc1ncccc1-c1ccc2c(c1)OCCOCCOCCOCCOCCO2")</f>
        <v>CN(CCF)CCN(Cc1ccccn1)C1CCCCC1N(C)Cc1ncccc1-c1ccc2c(c1)OCCOCCOCCOCCOCCO2</v>
      </c>
      <c r="C682" s="7">
        <f>IFERROR(__xludf.DUMMYFUNCTION("""COMPUTED_VALUE"""),7.828584)</f>
        <v>7.828584</v>
      </c>
      <c r="D682" s="7">
        <f>IFERROR(__xludf.DUMMYFUNCTION("""COMPUTED_VALUE"""),0.420289855072463)</f>
        <v>0.4202898551</v>
      </c>
    </row>
    <row r="683">
      <c r="A683" s="10" t="s">
        <v>2122</v>
      </c>
      <c r="B683" s="7" t="str">
        <f>IFERROR(__xludf.DUMMYFUNCTION("SPLIT(A683,"" "")"),"CN1CCN(C)CCN(Cc2cccnc2C2C=CNC=C2)CC1")</f>
        <v>CN1CCN(C)CCN(Cc2cccnc2C2C=CNC=C2)CC1</v>
      </c>
      <c r="C683" s="7">
        <f>IFERROR(__xludf.DUMMYFUNCTION("""COMPUTED_VALUE"""),7.8285637)</f>
        <v>7.8285637</v>
      </c>
      <c r="D683" s="7">
        <f>IFERROR(__xludf.DUMMYFUNCTION("""COMPUTED_VALUE"""),0.456521739130434)</f>
        <v>0.4565217391</v>
      </c>
    </row>
    <row r="684">
      <c r="A684" s="10" t="s">
        <v>2123</v>
      </c>
      <c r="B684" s="7" t="str">
        <f>IFERROR(__xludf.DUMMYFUNCTION("SPLIT(A684,"" "")"),"CN(CF)CC1=CCC=CN1")</f>
        <v>CN(CF)CC1=CCC=CN1</v>
      </c>
      <c r="C684" s="7">
        <f>IFERROR(__xludf.DUMMYFUNCTION("""COMPUTED_VALUE"""),7.8284836)</f>
        <v>7.8284836</v>
      </c>
      <c r="D684" s="7">
        <f>IFERROR(__xludf.DUMMYFUNCTION("""COMPUTED_VALUE"""),0.431818181818181)</f>
        <v>0.4318181818</v>
      </c>
    </row>
    <row r="685">
      <c r="A685" s="10" t="s">
        <v>2124</v>
      </c>
      <c r="B685" s="7" t="str">
        <f>IFERROR(__xludf.DUMMYFUNCTION("SPLIT(A685,"" "")"),"CCOC(=O)C1CN(C)C(C(=O)C(C)N)C(C(C)(C)N(Cc2ccccn2)C2CCCCC2)C1C(C)C")</f>
        <v>CCOC(=O)C1CN(C)C(C(=O)C(C)N)C(C(C)(C)N(Cc2ccccn2)C2CCCCC2)C1C(C)C</v>
      </c>
      <c r="C685" s="7">
        <f>IFERROR(__xludf.DUMMYFUNCTION("""COMPUTED_VALUE"""),7.8284793)</f>
        <v>7.8284793</v>
      </c>
      <c r="D685" s="7">
        <f>IFERROR(__xludf.DUMMYFUNCTION("""COMPUTED_VALUE"""),0.31081081081081)</f>
        <v>0.3108108108</v>
      </c>
    </row>
    <row r="686">
      <c r="A686" s="10" t="s">
        <v>2125</v>
      </c>
      <c r="B686" s="7" t="str">
        <f>IFERROR(__xludf.DUMMYFUNCTION("SPLIT(A686,"" "")"),"CC(N)C(C)c1cccnc1CNCNCF")</f>
        <v>CC(N)C(C)c1cccnc1CNCNCF</v>
      </c>
      <c r="C686" s="7">
        <f>IFERROR(__xludf.DUMMYFUNCTION("""COMPUTED_VALUE"""),7.8284354)</f>
        <v>7.8284354</v>
      </c>
      <c r="D686" s="7">
        <f>IFERROR(__xludf.DUMMYFUNCTION("""COMPUTED_VALUE"""),0.282608695652173)</f>
        <v>0.2826086957</v>
      </c>
    </row>
    <row r="687">
      <c r="A687" s="10" t="s">
        <v>2126</v>
      </c>
      <c r="B687" s="7" t="str">
        <f>IFERROR(__xludf.DUMMYFUNCTION("SPLIT(A687,"" "")"),"COC(C)c1ncccc1CN1CCN(C)CCN(C(C)C)CC1")</f>
        <v>COC(C)c1ncccc1CN1CCN(C)CCN(C(C)C)CC1</v>
      </c>
      <c r="C687" s="7">
        <f>IFERROR(__xludf.DUMMYFUNCTION("""COMPUTED_VALUE"""),7.828432)</f>
        <v>7.828432</v>
      </c>
      <c r="D687" s="7">
        <f>IFERROR(__xludf.DUMMYFUNCTION("""COMPUTED_VALUE"""),0.489795918367346)</f>
        <v>0.4897959184</v>
      </c>
    </row>
    <row r="688">
      <c r="A688" s="10" t="s">
        <v>2127</v>
      </c>
      <c r="B688" s="7" t="str">
        <f>IFERROR(__xludf.DUMMYFUNCTION("SPLIT(A688,"" "")"),"CN(CCN(C)c1cccc2c1OCCOCCOCCOCCOCCO2)Cc1ccccn1")</f>
        <v>CN(CCN(C)c1cccc2c1OCCOCCOCCOCCOCCO2)Cc1ccccn1</v>
      </c>
      <c r="C688" s="7">
        <f>IFERROR(__xludf.DUMMYFUNCTION("""COMPUTED_VALUE"""),7.828431)</f>
        <v>7.828431</v>
      </c>
      <c r="D688" s="7">
        <f>IFERROR(__xludf.DUMMYFUNCTION("""COMPUTED_VALUE"""),0.4)</f>
        <v>0.4</v>
      </c>
    </row>
    <row r="689">
      <c r="A689" s="10" t="s">
        <v>2128</v>
      </c>
      <c r="B689" s="7" t="str">
        <f>IFERROR(__xludf.DUMMYFUNCTION("SPLIT(A689,"" "")"),"CC1=CCC(N(C)CCN(C)CC(C)(C)C)C(C)C1(C)C")</f>
        <v>CC1=CCC(N(C)CCN(C)CC(C)(C)C)C(C)C1(C)C</v>
      </c>
      <c r="C689" s="7">
        <f>IFERROR(__xludf.DUMMYFUNCTION("""COMPUTED_VALUE"""),7.8284044)</f>
        <v>7.8284044</v>
      </c>
      <c r="D689" s="7">
        <f>IFERROR(__xludf.DUMMYFUNCTION("""COMPUTED_VALUE"""),0.234375)</f>
        <v>0.234375</v>
      </c>
    </row>
    <row r="690">
      <c r="A690" s="10" t="s">
        <v>2129</v>
      </c>
      <c r="B690" s="7" t="str">
        <f>IFERROR(__xludf.DUMMYFUNCTION("SPLIT(A690,"" "")"),"CN(Cc1cccc(C2CC(C)(C)C2)n1)C1CCCCC1")</f>
        <v>CN(Cc1cccc(C2CC(C)(C)C2)n1)C1CCCCC1</v>
      </c>
      <c r="C690" s="7">
        <f>IFERROR(__xludf.DUMMYFUNCTION("""COMPUTED_VALUE"""),7.828359)</f>
        <v>7.828359</v>
      </c>
      <c r="D690" s="7">
        <f>IFERROR(__xludf.DUMMYFUNCTION("""COMPUTED_VALUE"""),0.458333333333333)</f>
        <v>0.4583333333</v>
      </c>
    </row>
    <row r="691">
      <c r="A691" s="10" t="s">
        <v>2130</v>
      </c>
      <c r="B691" s="7" t="str">
        <f>IFERROR(__xludf.DUMMYFUNCTION("SPLIT(A691,"" "")"),"Cc1cc2c(cc1CN(C)Cc1ccccn1)OCCOCCOCCOCCOCCO2")</f>
        <v>Cc1cc2c(cc1CN(C)Cc1ccccn1)OCCOCCOCCOCCOCCO2</v>
      </c>
      <c r="C691" s="7">
        <f>IFERROR(__xludf.DUMMYFUNCTION("""COMPUTED_VALUE"""),7.828359)</f>
        <v>7.828359</v>
      </c>
      <c r="D691" s="7">
        <f>IFERROR(__xludf.DUMMYFUNCTION("""COMPUTED_VALUE"""),0.431372549019607)</f>
        <v>0.431372549</v>
      </c>
    </row>
    <row r="692">
      <c r="A692" s="10" t="s">
        <v>2131</v>
      </c>
      <c r="B692" s="7" t="str">
        <f>IFERROR(__xludf.DUMMYFUNCTION("SPLIT(A692,"" "")"),"CC(C)N(CC1=CC(N(C)Cc2ccccn2)C=CN1)Cc1ccc2c(c1)OCCOCCOCCOCCOCCO2")</f>
        <v>CC(C)N(CC1=CC(N(C)Cc2ccccn2)C=CN1)Cc1ccc2c(c1)OCCOCCOCCOCCOCCO2</v>
      </c>
      <c r="C692" s="7">
        <f>IFERROR(__xludf.DUMMYFUNCTION("""COMPUTED_VALUE"""),7.8283486)</f>
        <v>7.8283486</v>
      </c>
      <c r="D692" s="7">
        <f>IFERROR(__xludf.DUMMYFUNCTION("""COMPUTED_VALUE"""),0.348484848484848)</f>
        <v>0.3484848485</v>
      </c>
    </row>
    <row r="693">
      <c r="A693" s="10" t="s">
        <v>2132</v>
      </c>
      <c r="B693" s="7" t="str">
        <f>IFERROR(__xludf.DUMMYFUNCTION("SPLIT(A693,"" "")"),"CCOC(C)NCc1ncccc1CN1CCN(C)CCN(C)CC1")</f>
        <v>CCOC(C)NCc1ncccc1CN1CCN(C)CCN(C)CC1</v>
      </c>
      <c r="C693" s="7">
        <f>IFERROR(__xludf.DUMMYFUNCTION("""COMPUTED_VALUE"""),7.8283153)</f>
        <v>7.8283153</v>
      </c>
      <c r="D693" s="7">
        <f>IFERROR(__xludf.DUMMYFUNCTION("""COMPUTED_VALUE"""),0.411764705882352)</f>
        <v>0.4117647059</v>
      </c>
    </row>
    <row r="694">
      <c r="A694" s="10" t="s">
        <v>2133</v>
      </c>
      <c r="B694" s="7" t="str">
        <f>IFERROR(__xludf.DUMMYFUNCTION("SPLIT(A694,"" "")"),"COC(C)c1ncccc1CN1CCN(C)CCN(C(c2ccccn2)C(C)C(C)N)CC1")</f>
        <v>COC(C)c1ncccc1CN1CCN(C)CCN(C(c2ccccn2)C(C)C(C)N)CC1</v>
      </c>
      <c r="C694" s="7">
        <f>IFERROR(__xludf.DUMMYFUNCTION("""COMPUTED_VALUE"""),7.828312)</f>
        <v>7.828312</v>
      </c>
      <c r="D694" s="7">
        <f>IFERROR(__xludf.DUMMYFUNCTION("""COMPUTED_VALUE"""),0.396551724137931)</f>
        <v>0.3965517241</v>
      </c>
    </row>
    <row r="695">
      <c r="A695" s="10" t="s">
        <v>2134</v>
      </c>
      <c r="B695" s="7" t="str">
        <f>IFERROR(__xludf.DUMMYFUNCTION("SPLIT(A695,"" "")"),"CN(CCN(Cc1ccccn1)Cc1cccc2c1OCCOCCOCCOCCOCCO2)C(C)(C)c1ccccn1")</f>
        <v>CN(CCN(Cc1ccccn1)Cc1cccc2c1OCCOCCOCCOCCOCCO2)C(C)(C)c1ccccn1</v>
      </c>
      <c r="C695" s="7">
        <f>IFERROR(__xludf.DUMMYFUNCTION("""COMPUTED_VALUE"""),7.828298)</f>
        <v>7.828298</v>
      </c>
      <c r="D695" s="7">
        <f>IFERROR(__xludf.DUMMYFUNCTION("""COMPUTED_VALUE"""),0.413793103448275)</f>
        <v>0.4137931034</v>
      </c>
    </row>
    <row r="696">
      <c r="A696" s="10" t="s">
        <v>2135</v>
      </c>
      <c r="B696" s="7" t="str">
        <f>IFERROR(__xludf.DUMMYFUNCTION("SPLIT(A696,"" "")"),"CC1=CCC2(C=CC(N(C)Cc3ccccn3)C(C)C2C)CC1C")</f>
        <v>CC1=CCC2(C=CC(N(C)Cc3ccccn3)C(C)C2C)CC1C</v>
      </c>
      <c r="C696" s="7">
        <f>IFERROR(__xludf.DUMMYFUNCTION("""COMPUTED_VALUE"""),7.8282666)</f>
        <v>7.8282666</v>
      </c>
      <c r="D696" s="7">
        <f>IFERROR(__xludf.DUMMYFUNCTION("""COMPUTED_VALUE"""),0.410714285714285)</f>
        <v>0.4107142857</v>
      </c>
    </row>
    <row r="697">
      <c r="A697" s="10" t="s">
        <v>2136</v>
      </c>
      <c r="B697" s="7" t="str">
        <f>IFERROR(__xludf.DUMMYFUNCTION("SPLIT(A697,"" "")"),"CCN(C)C1CCCC(N(C)Cc2cccc(-c3ccc4c(c3)OCCOCCOCCOCCOCCO4)n2)C1")</f>
        <v>CCN(C)C1CCCC(N(C)Cc2cccc(-c3ccc4c(c3)OCCOCCOCCOCCOCCO4)n2)C1</v>
      </c>
      <c r="C697" s="7">
        <f>IFERROR(__xludf.DUMMYFUNCTION("""COMPUTED_VALUE"""),7.82824)</f>
        <v>7.82824</v>
      </c>
      <c r="D697" s="7">
        <f>IFERROR(__xludf.DUMMYFUNCTION("""COMPUTED_VALUE"""),0.371428571428571)</f>
        <v>0.3714285714</v>
      </c>
    </row>
    <row r="698">
      <c r="A698" s="10" t="s">
        <v>2137</v>
      </c>
      <c r="B698" s="7" t="str">
        <f>IFERROR(__xludf.DUMMYFUNCTION("SPLIT(A698,"" "")"),"CN(CCF)CCN(Cc1ccccn1)C1CCC(N(C)Cc2ccon2)CC1")</f>
        <v>CN(CCF)CCN(Cc1ccccn1)C1CCC(N(C)Cc2ccon2)CC1</v>
      </c>
      <c r="C698" s="7">
        <f>IFERROR(__xludf.DUMMYFUNCTION("""COMPUTED_VALUE"""),7.8282356)</f>
        <v>7.8282356</v>
      </c>
      <c r="D698" s="7">
        <f>IFERROR(__xludf.DUMMYFUNCTION("""COMPUTED_VALUE"""),0.442307692307692)</f>
        <v>0.4423076923</v>
      </c>
    </row>
    <row r="699">
      <c r="A699" s="10" t="s">
        <v>2138</v>
      </c>
      <c r="B699" s="7" t="str">
        <f>IFERROR(__xludf.DUMMYFUNCTION("SPLIT(A699,"" "")"),"CC(C)C1=CC2(C=CN1)C=CC(C)C(C)(C)C2C")</f>
        <v>CC(C)C1=CC2(C=CN1)C=CC(C)C(C)(C)C2C</v>
      </c>
      <c r="C699" s="7">
        <f>IFERROR(__xludf.DUMMYFUNCTION("""COMPUTED_VALUE"""),7.8282113)</f>
        <v>7.8282113</v>
      </c>
      <c r="D699" s="7">
        <f>IFERROR(__xludf.DUMMYFUNCTION("""COMPUTED_VALUE"""),0.135593220338983)</f>
        <v>0.1355932203</v>
      </c>
    </row>
    <row r="700">
      <c r="A700" s="10" t="s">
        <v>2139</v>
      </c>
      <c r="B700" s="7" t="str">
        <f>IFERROR(__xludf.DUMMYFUNCTION("SPLIT(A700,"" "")"),"CC(CN(Cc1ccccn1)Cc1ccccn1)(c1ccc2c(c1)OCCOCCOCCOCCOCCO2)c1ccc2c(c1)OCCOCCOCCOCCOCCO2")</f>
        <v>CC(CN(Cc1ccccn1)Cc1ccccn1)(c1ccc2c(c1)OCCOCCOCCOCCOCCO2)c1ccc2c(c1)OCCOCCOCCOCCOCCO2</v>
      </c>
      <c r="C700" s="7">
        <f>IFERROR(__xludf.DUMMYFUNCTION("""COMPUTED_VALUE"""),7.828202)</f>
        <v>7.828202</v>
      </c>
      <c r="D700" s="7">
        <f>IFERROR(__xludf.DUMMYFUNCTION("""COMPUTED_VALUE"""),0.450980392156862)</f>
        <v>0.4509803922</v>
      </c>
    </row>
    <row r="701">
      <c r="A701" s="10" t="s">
        <v>2140</v>
      </c>
      <c r="B701" s="7" t="str">
        <f>IFERROR(__xludf.DUMMYFUNCTION("SPLIT(A701,"" "")"),"Cc1cnc(CN(C)CCCN2CCN(C)CCN(C)CC2)c(C)c1")</f>
        <v>Cc1cnc(CN(C)CCCN2CCN(C)CCN(C)CC2)c(C)c1</v>
      </c>
      <c r="C701" s="7">
        <f>IFERROR(__xludf.DUMMYFUNCTION("""COMPUTED_VALUE"""),7.8281517)</f>
        <v>7.8281517</v>
      </c>
      <c r="D701" s="7">
        <f>IFERROR(__xludf.DUMMYFUNCTION("""COMPUTED_VALUE"""),0.384615384615384)</f>
        <v>0.3846153846</v>
      </c>
    </row>
    <row r="702">
      <c r="A702" s="10" t="s">
        <v>2141</v>
      </c>
      <c r="B702" s="7" t="str">
        <f>IFERROR(__xludf.DUMMYFUNCTION("SPLIT(A702,"" "")"),"Cc1ccc(C)c(CN(C)CCCN2CCN(C)CCN(C)CC2)n1")</f>
        <v>Cc1ccc(C)c(CN(C)CCCN2CCN(C)CCN(C)CC2)n1</v>
      </c>
      <c r="C702" s="7">
        <f>IFERROR(__xludf.DUMMYFUNCTION("""COMPUTED_VALUE"""),7.828104)</f>
        <v>7.828104</v>
      </c>
      <c r="D702" s="7">
        <f>IFERROR(__xludf.DUMMYFUNCTION("""COMPUTED_VALUE"""),0.404255319148936)</f>
        <v>0.4042553191</v>
      </c>
    </row>
    <row r="703">
      <c r="A703" s="10" t="s">
        <v>2142</v>
      </c>
      <c r="B703" s="7" t="str">
        <f>IFERROR(__xludf.DUMMYFUNCTION("SPLIT(A703,"" "")"),"c1ccc(CN(Cc2ccccn2)Cc2ncccc2C23CCC2OCCOCCOCCOCCOCCO3)nc1")</f>
        <v>c1ccc(CN(Cc2ccccn2)Cc2ncccc2C23CCC2OCCOCCOCCOCCOCCO3)nc1</v>
      </c>
      <c r="C703" s="7">
        <f>IFERROR(__xludf.DUMMYFUNCTION("""COMPUTED_VALUE"""),7.828102)</f>
        <v>7.828102</v>
      </c>
      <c r="D703" s="7">
        <f>IFERROR(__xludf.DUMMYFUNCTION("""COMPUTED_VALUE"""),0.4)</f>
        <v>0.4</v>
      </c>
    </row>
    <row r="704">
      <c r="A704" s="10" t="s">
        <v>2143</v>
      </c>
      <c r="B704" s="7" t="str">
        <f>IFERROR(__xludf.DUMMYFUNCTION("SPLIT(A704,"" "")"),"c1ccc(CN(Cc2ccncc2)C2CCCCC2)nc1")</f>
        <v>c1ccc(CN(Cc2ccncc2)C2CCCCC2)nc1</v>
      </c>
      <c r="C704" s="7">
        <f>IFERROR(__xludf.DUMMYFUNCTION("""COMPUTED_VALUE"""),7.8280654)</f>
        <v>7.8280654</v>
      </c>
      <c r="D704" s="7">
        <f>IFERROR(__xludf.DUMMYFUNCTION("""COMPUTED_VALUE"""),0.5)</f>
        <v>0.5</v>
      </c>
    </row>
    <row r="705">
      <c r="A705" s="10" t="s">
        <v>2144</v>
      </c>
      <c r="B705" s="7" t="str">
        <f>IFERROR(__xludf.DUMMYFUNCTION("SPLIT(A705,"" "")"),"CC(C)C1CCC1c1ncccc1CN(Cc1ccccn1)C1CCCCC1")</f>
        <v>CC(C)C1CCC1c1ncccc1CN(Cc1ccccn1)C1CCCCC1</v>
      </c>
      <c r="C705" s="7">
        <f>IFERROR(__xludf.DUMMYFUNCTION("""COMPUTED_VALUE"""),7.828062)</f>
        <v>7.828062</v>
      </c>
      <c r="D705" s="7">
        <f>IFERROR(__xludf.DUMMYFUNCTION("""COMPUTED_VALUE"""),0.418181818181818)</f>
        <v>0.4181818182</v>
      </c>
    </row>
    <row r="706">
      <c r="A706" s="10" t="s">
        <v>2145</v>
      </c>
      <c r="B706" s="7" t="str">
        <f>IFERROR(__xludf.DUMMYFUNCTION("SPLIT(A706,"" "")"),"CN(CCN(C)C1(C)CCC1)Cc1ncccc1CF")</f>
        <v>CN(CCN(C)C1(C)CCC1)Cc1ncccc1CF</v>
      </c>
      <c r="C706" s="7">
        <f>IFERROR(__xludf.DUMMYFUNCTION("""COMPUTED_VALUE"""),7.8280087)</f>
        <v>7.8280087</v>
      </c>
      <c r="D706" s="7">
        <f>IFERROR(__xludf.DUMMYFUNCTION("""COMPUTED_VALUE"""),0.4)</f>
        <v>0.4</v>
      </c>
    </row>
    <row r="707">
      <c r="A707" s="10" t="s">
        <v>2146</v>
      </c>
      <c r="B707" s="7" t="str">
        <f>IFERROR(__xludf.DUMMYFUNCTION("SPLIT(A707,"" "")"),"CCOC(C)NCc1cc(CN2CCN(C)CCN(C)CC2)ccn1")</f>
        <v>CCOC(C)NCc1cc(CN2CCN(C)CCN(C)CC2)ccn1</v>
      </c>
      <c r="C707" s="7">
        <f>IFERROR(__xludf.DUMMYFUNCTION("""COMPUTED_VALUE"""),7.828005)</f>
        <v>7.828005</v>
      </c>
      <c r="D707" s="7">
        <f>IFERROR(__xludf.DUMMYFUNCTION("""COMPUTED_VALUE"""),0.46)</f>
        <v>0.46</v>
      </c>
    </row>
    <row r="708">
      <c r="A708" s="10" t="s">
        <v>2147</v>
      </c>
      <c r="B708" s="7" t="str">
        <f>IFERROR(__xludf.DUMMYFUNCTION("SPLIT(A708,"" "")"),"CCN(Cc1cccc(-c2ccc3c(c2)OCCOCCOCCOCCOCCO3)n1)C1COCCOCCOCCOCCOc2ccccc2O1")</f>
        <v>CCN(Cc1cccc(-c2ccc3c(c2)OCCOCCOCCOCCOCCO3)n1)C1COCCOCCOCCOCCOc2ccccc2O1</v>
      </c>
      <c r="C708" s="7">
        <f>IFERROR(__xludf.DUMMYFUNCTION("""COMPUTED_VALUE"""),7.8279886)</f>
        <v>7.8279886</v>
      </c>
      <c r="D708" s="7">
        <f>IFERROR(__xludf.DUMMYFUNCTION("""COMPUTED_VALUE"""),0.328767123287671)</f>
        <v>0.3287671233</v>
      </c>
    </row>
    <row r="709">
      <c r="A709" s="10" t="s">
        <v>2148</v>
      </c>
      <c r="B709" s="7" t="str">
        <f>IFERROR(__xludf.DUMMYFUNCTION("SPLIT(A709,"" "")"),"Cc1cc(CN(C)Cc2ccccn2)cc2c1OCCOCCOCCOCCOCCO2")</f>
        <v>Cc1cc(CN(C)Cc2ccccn2)cc2c1OCCOCCOCCOCCOCCO2</v>
      </c>
      <c r="C709" s="7">
        <f>IFERROR(__xludf.DUMMYFUNCTION("""COMPUTED_VALUE"""),7.8279686)</f>
        <v>7.8279686</v>
      </c>
      <c r="D709" s="7">
        <f>IFERROR(__xludf.DUMMYFUNCTION("""COMPUTED_VALUE"""),0.407407407407407)</f>
        <v>0.4074074074</v>
      </c>
    </row>
    <row r="710">
      <c r="A710" s="10" t="s">
        <v>2149</v>
      </c>
      <c r="B710" s="7" t="str">
        <f>IFERROR(__xludf.DUMMYFUNCTION("SPLIT(A710,"" "")"),"CC(C)NCc1ccc(CN2CCN(C)CCN(C)CC2)cn1")</f>
        <v>CC(C)NCc1ccc(CN2CCN(C)CCN(C)CC2)cn1</v>
      </c>
      <c r="C710" s="7">
        <f>IFERROR(__xludf.DUMMYFUNCTION("""COMPUTED_VALUE"""),7.8279505)</f>
        <v>7.8279505</v>
      </c>
      <c r="D710" s="7">
        <f>IFERROR(__xludf.DUMMYFUNCTION("""COMPUTED_VALUE"""),0.413043478260869)</f>
        <v>0.4130434783</v>
      </c>
    </row>
    <row r="711">
      <c r="A711" s="10" t="s">
        <v>2150</v>
      </c>
      <c r="B711" s="7" t="str">
        <f>IFERROR(__xludf.DUMMYFUNCTION("SPLIT(A711,"" "")"),"C=CCN(C)CCN(Cc1ccccn1)C1CCCCC1N(C)Cc1cccc(-c2cccc3c2OCCOCCOCCOCCOCCO3)n1")</f>
        <v>C=CCN(C)CCN(Cc1ccccn1)C1CCCCC1N(C)Cc1cccc(-c2cccc3c2OCCOCCOCCOCCOCCO3)n1</v>
      </c>
      <c r="C711" s="7">
        <f>IFERROR(__xludf.DUMMYFUNCTION("""COMPUTED_VALUE"""),7.827941)</f>
        <v>7.827941</v>
      </c>
      <c r="D711" s="7">
        <f>IFERROR(__xludf.DUMMYFUNCTION("""COMPUTED_VALUE"""),0.428571428571428)</f>
        <v>0.4285714286</v>
      </c>
    </row>
    <row r="712">
      <c r="A712" s="10" t="s">
        <v>2151</v>
      </c>
      <c r="B712" s="7" t="str">
        <f>IFERROR(__xludf.DUMMYFUNCTION("SPLIT(A712,"" "")"),"CN1CCN(C)CCN(c2ccccc2F)CC1")</f>
        <v>CN1CCN(C)CCN(c2ccccc2F)CC1</v>
      </c>
      <c r="C712" s="7">
        <f>IFERROR(__xludf.DUMMYFUNCTION("""COMPUTED_VALUE"""),7.8279114)</f>
        <v>7.8279114</v>
      </c>
      <c r="D712" s="7">
        <f>IFERROR(__xludf.DUMMYFUNCTION("""COMPUTED_VALUE"""),0.4375)</f>
        <v>0.4375</v>
      </c>
    </row>
    <row r="713">
      <c r="A713" s="10" t="s">
        <v>2152</v>
      </c>
      <c r="B713" s="7" t="str">
        <f>IFERROR(__xludf.DUMMYFUNCTION("SPLIT(A713,"" "")"),"CC1CC(c2ccc(CN3CCN(C)CCN(C)CC3)cn2)C1Cl")</f>
        <v>CC1CC(c2ccc(CN3CCN(C)CCN(C)CC3)cn2)C1Cl</v>
      </c>
      <c r="C713" s="7">
        <f>IFERROR(__xludf.DUMMYFUNCTION("""COMPUTED_VALUE"""),7.8278856)</f>
        <v>7.8278856</v>
      </c>
      <c r="D713" s="7">
        <f>IFERROR(__xludf.DUMMYFUNCTION("""COMPUTED_VALUE"""),0.36)</f>
        <v>0.36</v>
      </c>
    </row>
    <row r="714">
      <c r="A714" s="10" t="s">
        <v>2153</v>
      </c>
      <c r="B714" s="7" t="str">
        <f>IFERROR(__xludf.DUMMYFUNCTION("SPLIT(A714,"" "")"),"COC(=O)C(=O)N1CCN(C)CCN(C(=O)C(C)N2CCN(C)CCN(C(=O)OC)CC2)CC1")</f>
        <v>COC(=O)C(=O)N1CCN(C)CCN(C(=O)C(C)N2CCN(C)CCN(C(=O)OC)CC2)CC1</v>
      </c>
      <c r="C714" s="7">
        <f>IFERROR(__xludf.DUMMYFUNCTION("""COMPUTED_VALUE"""),7.8278623)</f>
        <v>7.8278623</v>
      </c>
      <c r="D714" s="7">
        <f>IFERROR(__xludf.DUMMYFUNCTION("""COMPUTED_VALUE"""),0.222222222222222)</f>
        <v>0.2222222222</v>
      </c>
    </row>
    <row r="715">
      <c r="A715" s="10" t="s">
        <v>2154</v>
      </c>
      <c r="B715" s="7" t="str">
        <f>IFERROR(__xludf.DUMMYFUNCTION("SPLIT(A715,"" "")"),"CNCN1CCN(C)CCN(Cc2cc(C)c(C)c(C)n2)CC1")</f>
        <v>CNCN1CCN(C)CCN(Cc2cc(C)c(C)c(C)n2)CC1</v>
      </c>
      <c r="C715" s="7">
        <f>IFERROR(__xludf.DUMMYFUNCTION("""COMPUTED_VALUE"""),7.8278584)</f>
        <v>7.8278584</v>
      </c>
      <c r="D715" s="7">
        <f>IFERROR(__xludf.DUMMYFUNCTION("""COMPUTED_VALUE"""),0.5)</f>
        <v>0.5</v>
      </c>
    </row>
    <row r="716">
      <c r="A716" s="10" t="s">
        <v>2155</v>
      </c>
      <c r="B716" s="7" t="str">
        <f>IFERROR(__xludf.DUMMYFUNCTION("SPLIT(A716,"" "")"),"CCN(Cc1ccccn1)c1cccc2c1OCCOCCOCCOCCOCCO2")</f>
        <v>CCN(Cc1ccccn1)c1cccc2c1OCCOCCOCCOCCOCCO2</v>
      </c>
      <c r="C716" s="7">
        <f>IFERROR(__xludf.DUMMYFUNCTION("""COMPUTED_VALUE"""),7.82781)</f>
        <v>7.82781</v>
      </c>
      <c r="D716" s="7">
        <f>IFERROR(__xludf.DUMMYFUNCTION("""COMPUTED_VALUE"""),0.369565217391304)</f>
        <v>0.3695652174</v>
      </c>
    </row>
    <row r="717">
      <c r="A717" s="10" t="s">
        <v>2156</v>
      </c>
      <c r="B717" s="7" t="str">
        <f>IFERROR(__xludf.DUMMYFUNCTION("SPLIT(A717,"" "")"),"CNCN1CCN(C)CCN(Cc2c(C)ncc(C)c2C)CC1")</f>
        <v>CNCN1CCN(C)CCN(Cc2c(C)ncc(C)c2C)CC1</v>
      </c>
      <c r="C717" s="7">
        <f>IFERROR(__xludf.DUMMYFUNCTION("""COMPUTED_VALUE"""),7.827795)</f>
        <v>7.827795</v>
      </c>
      <c r="D717" s="7">
        <f>IFERROR(__xludf.DUMMYFUNCTION("""COMPUTED_VALUE"""),0.448979591836734)</f>
        <v>0.4489795918</v>
      </c>
    </row>
    <row r="718">
      <c r="A718" s="10" t="s">
        <v>2157</v>
      </c>
      <c r="B718" s="7" t="str">
        <f>IFERROR(__xludf.DUMMYFUNCTION("SPLIT(A718,"" "")"),"CNCCN(Cc1ccccn1)C1CCCC(N(C)Cc2cccnn2)C1")</f>
        <v>CNCCN(Cc1ccccn1)C1CCCC(N(C)Cc2cccnn2)C1</v>
      </c>
      <c r="C718" s="7">
        <f>IFERROR(__xludf.DUMMYFUNCTION("""COMPUTED_VALUE"""),7.827683)</f>
        <v>7.827683</v>
      </c>
      <c r="D718" s="7">
        <f>IFERROR(__xludf.DUMMYFUNCTION("""COMPUTED_VALUE"""),0.454545454545454)</f>
        <v>0.4545454545</v>
      </c>
    </row>
    <row r="719">
      <c r="A719" s="10" t="s">
        <v>2158</v>
      </c>
      <c r="B719" s="7" t="str">
        <f>IFERROR(__xludf.DUMMYFUNCTION("SPLIT(A719,"" "")"),"CN1CCN(C)CCN(Cc2ccc(CN(C)C3CCCCC3N(C)Cc3cccc(-c4ccc5c(c4)OCCOCCOCCOCCOCCO5)n3)nc2)CC1")</f>
        <v>CN1CCN(C)CCN(Cc2ccc(CN(C)C3CCCCC3N(C)Cc3cccc(-c4ccc5c(c4)OCCOCCOCCOCCOCCO5)n3)nc2)CC1</v>
      </c>
      <c r="C719" s="7">
        <f>IFERROR(__xludf.DUMMYFUNCTION("""COMPUTED_VALUE"""),7.8276467)</f>
        <v>7.8276467</v>
      </c>
      <c r="D719" s="7">
        <f>IFERROR(__xludf.DUMMYFUNCTION("""COMPUTED_VALUE"""),0.423076923076923)</f>
        <v>0.4230769231</v>
      </c>
    </row>
    <row r="720">
      <c r="A720" s="10" t="s">
        <v>2159</v>
      </c>
      <c r="B720" s="7" t="str">
        <f>IFERROR(__xludf.DUMMYFUNCTION("SPLIT(A720,"" "")"),"CN(CCN(C)C(C)(C)c1ccccn1)c1cccc2c1OCCOCCOCCOCCOCCO2")</f>
        <v>CN(CCN(C)C(C)(C)c1ccccn1)c1cccc2c1OCCOCCOCCOCCOCCO2</v>
      </c>
      <c r="C720" s="7">
        <f>IFERROR(__xludf.DUMMYFUNCTION("""COMPUTED_VALUE"""),7.827632)</f>
        <v>7.827632</v>
      </c>
      <c r="D720" s="7">
        <f>IFERROR(__xludf.DUMMYFUNCTION("""COMPUTED_VALUE"""),0.339285714285714)</f>
        <v>0.3392857143</v>
      </c>
    </row>
    <row r="721">
      <c r="A721" s="10" t="s">
        <v>2160</v>
      </c>
      <c r="B721" s="7" t="str">
        <f>IFERROR(__xludf.DUMMYFUNCTION("SPLIT(A721,"" "")"),"CC1=C(C)C(C)C(C)(N(C)Cc2ncccc2CN2CCN(C)CCN(C)CC2)CC1C")</f>
        <v>CC1=C(C)C(C)C(C)(N(C)Cc2ncccc2CN2CCN(C)CCN(C)CC2)CC1C</v>
      </c>
      <c r="C721" s="7">
        <f>IFERROR(__xludf.DUMMYFUNCTION("""COMPUTED_VALUE"""),7.827621)</f>
        <v>7.827621</v>
      </c>
      <c r="D721" s="7">
        <f>IFERROR(__xludf.DUMMYFUNCTION("""COMPUTED_VALUE"""),0.368421052631578)</f>
        <v>0.3684210526</v>
      </c>
    </row>
    <row r="722">
      <c r="A722" s="10" t="s">
        <v>2161</v>
      </c>
      <c r="B722" s="7" t="str">
        <f>IFERROR(__xludf.DUMMYFUNCTION("SPLIT(A722,"" "")"),"Cc1cnc(C)c(CN(C)C2CCC(N(C)CCF)CC2)c1")</f>
        <v>Cc1cnc(C)c(CN(C)C2CCC(N(C)CCF)CC2)c1</v>
      </c>
      <c r="C722" s="7">
        <f>IFERROR(__xludf.DUMMYFUNCTION("""COMPUTED_VALUE"""),7.8276114)</f>
        <v>7.8276114</v>
      </c>
      <c r="D722" s="7">
        <f>IFERROR(__xludf.DUMMYFUNCTION("""COMPUTED_VALUE"""),0.333333333333333)</f>
        <v>0.3333333333</v>
      </c>
    </row>
    <row r="723">
      <c r="A723" s="10" t="s">
        <v>2162</v>
      </c>
      <c r="B723" s="7" t="str">
        <f>IFERROR(__xludf.DUMMYFUNCTION("SPLIT(A723,"" "")"),"COC(=O)C(=O)C(C)C(C)N1CCN(C)CCN(C(=O)C(C)C(C)C)CC1")</f>
        <v>COC(=O)C(=O)C(C)C(C)N1CCN(C)CCN(C(=O)C(C)C(C)C)CC1</v>
      </c>
      <c r="C723" s="7">
        <f>IFERROR(__xludf.DUMMYFUNCTION("""COMPUTED_VALUE"""),7.8275986)</f>
        <v>7.8275986</v>
      </c>
      <c r="D723" s="7">
        <f>IFERROR(__xludf.DUMMYFUNCTION("""COMPUTED_VALUE"""),0.222222222222222)</f>
        <v>0.2222222222</v>
      </c>
    </row>
    <row r="724">
      <c r="A724" s="10" t="s">
        <v>2163</v>
      </c>
      <c r="B724" s="7" t="str">
        <f>IFERROR(__xludf.DUMMYFUNCTION("SPLIT(A724,"" "")"),"CN(CCN)CCN(C)C(C)(C)C")</f>
        <v>CN(CCN)CCN(C)C(C)(C)C</v>
      </c>
      <c r="C724" s="7">
        <f>IFERROR(__xludf.DUMMYFUNCTION("""COMPUTED_VALUE"""),7.8275914)</f>
        <v>7.8275914</v>
      </c>
      <c r="D724" s="7">
        <f>IFERROR(__xludf.DUMMYFUNCTION("""COMPUTED_VALUE"""),0.189189189189189)</f>
        <v>0.1891891892</v>
      </c>
    </row>
    <row r="725">
      <c r="A725" s="10" t="s">
        <v>2164</v>
      </c>
      <c r="B725" s="7" t="str">
        <f>IFERROR(__xludf.DUMMYFUNCTION("SPLIT(A725,"" "")"),"Cc1cccnc1CN(C)C1CCCCC1NC(C)C")</f>
        <v>Cc1cccnc1CN(C)C1CCCCC1NC(C)C</v>
      </c>
      <c r="C725" s="7">
        <f>IFERROR(__xludf.DUMMYFUNCTION("""COMPUTED_VALUE"""),7.8275795)</f>
        <v>7.8275795</v>
      </c>
      <c r="D725" s="7">
        <f>IFERROR(__xludf.DUMMYFUNCTION("""COMPUTED_VALUE"""),0.448979591836734)</f>
        <v>0.4489795918</v>
      </c>
    </row>
    <row r="726">
      <c r="A726" s="10" t="s">
        <v>2165</v>
      </c>
      <c r="B726" s="7" t="str">
        <f>IFERROR(__xludf.DUMMYFUNCTION("SPLIT(A726,"" "")"),"CC(C)C1CCC1c1cccc(CN(Cc2ccccn2)C2CCCCC2)n1")</f>
        <v>CC(C)C1CCC1c1cccc(CN(Cc2ccccn2)C2CCCCC2)n1</v>
      </c>
      <c r="C726" s="7">
        <f>IFERROR(__xludf.DUMMYFUNCTION("""COMPUTED_VALUE"""),7.827579)</f>
        <v>7.827579</v>
      </c>
      <c r="D726" s="7">
        <f>IFERROR(__xludf.DUMMYFUNCTION("""COMPUTED_VALUE"""),0.433962264150943)</f>
        <v>0.4339622642</v>
      </c>
    </row>
    <row r="727">
      <c r="A727" s="10" t="s">
        <v>2166</v>
      </c>
      <c r="B727" s="7" t="str">
        <f>IFERROR(__xludf.DUMMYFUNCTION("SPLIT(A727,"" "")"),"CN(CC1=CC(N(C)Cc2ccccn2)C=CN1)Cc1cccc2c1OCCOCCOCCOCCOCCO2")</f>
        <v>CN(CC1=CC(N(C)Cc2ccccn2)C=CN1)Cc1cccc2c1OCCOCCOCCOCCOCCO2</v>
      </c>
      <c r="C727" s="7">
        <f>IFERROR(__xludf.DUMMYFUNCTION("""COMPUTED_VALUE"""),7.8275466)</f>
        <v>7.8275466</v>
      </c>
      <c r="D727" s="7">
        <f>IFERROR(__xludf.DUMMYFUNCTION("""COMPUTED_VALUE"""),0.348484848484848)</f>
        <v>0.3484848485</v>
      </c>
    </row>
    <row r="728">
      <c r="A728" s="10" t="s">
        <v>2167</v>
      </c>
      <c r="B728" s="7" t="str">
        <f>IFERROR(__xludf.DUMMYFUNCTION("SPLIT(A728,"" "")"),"c1cnnc(CN(Cc2ccncc2)C2CCCCC2)c1")</f>
        <v>c1cnnc(CN(Cc2ccncc2)C2CCCCC2)c1</v>
      </c>
      <c r="C728" s="7">
        <f>IFERROR(__xludf.DUMMYFUNCTION("""COMPUTED_VALUE"""),7.8275337)</f>
        <v>7.8275337</v>
      </c>
      <c r="D728" s="7">
        <f>IFERROR(__xludf.DUMMYFUNCTION("""COMPUTED_VALUE"""),0.409090909090909)</f>
        <v>0.4090909091</v>
      </c>
    </row>
    <row r="729">
      <c r="A729" s="10" t="s">
        <v>2168</v>
      </c>
      <c r="B729" s="7" t="str">
        <f>IFERROR(__xludf.DUMMYFUNCTION("SPLIT(A729,"" "")"),"CC(C)[Si](c1ccc(CN(Cc2cccc(CN(C)Cc3cccc(C4CC5OCCOCCOCCOCCOCCOC54)n3)n2)Cc2ncccc2C2CC3OCCOCCOCCOCCOCCOC32)nc1)(C(C)C)C(C)C")</f>
        <v>CC(C)[Si](c1ccc(CN(Cc2cccc(CN(C)Cc3cccc(C4CC5OCCOCCOCCOCCOCCOC54)n3)n2)Cc2ncccc2C2CC3OCCOCCOCCOCCOCCOC32)nc1)(C(C)C)C(C)C</v>
      </c>
      <c r="C729" s="7">
        <f>IFERROR(__xludf.DUMMYFUNCTION("""COMPUTED_VALUE"""),7.8275156)</f>
        <v>7.8275156</v>
      </c>
      <c r="D729" s="7">
        <f>IFERROR(__xludf.DUMMYFUNCTION("""COMPUTED_VALUE"""),0.385714285714285)</f>
        <v>0.3857142857</v>
      </c>
    </row>
    <row r="730">
      <c r="A730" s="10" t="s">
        <v>2169</v>
      </c>
      <c r="B730" s="7" t="str">
        <f>IFERROR(__xludf.DUMMYFUNCTION("SPLIT(A730,"" "")"),"CN(c1ccc2c(c1)OCCOCCOCCOCCOCCO2)C1CCC(N(Cc2ccccn2)Cc2ccccn2)CC1")</f>
        <v>CN(c1ccc2c(c1)OCCOCCOCCOCCOCCO2)C1CCC(N(Cc2ccccn2)Cc2ccccn2)CC1</v>
      </c>
      <c r="C730" s="7">
        <f>IFERROR(__xludf.DUMMYFUNCTION("""COMPUTED_VALUE"""),7.827498)</f>
        <v>7.827498</v>
      </c>
      <c r="D730" s="7">
        <f>IFERROR(__xludf.DUMMYFUNCTION("""COMPUTED_VALUE"""),0.392857142857142)</f>
        <v>0.3928571429</v>
      </c>
    </row>
    <row r="731">
      <c r="A731" s="10" t="s">
        <v>2170</v>
      </c>
      <c r="B731" s="7" t="str">
        <f>IFERROR(__xludf.DUMMYFUNCTION("SPLIT(A731,"" "")"),"Cc1ccc(CN(C)C2CCCC(N(C)Cc3ccc(CN4CCN(C)CCN(C)CC4)cn3)C2)nc1")</f>
        <v>Cc1ccc(CN(C)C2CCCC(N(C)Cc3ccc(CN4CCN(C)CCN(C)CC4)cn3)C2)nc1</v>
      </c>
      <c r="C731" s="7">
        <f>IFERROR(__xludf.DUMMYFUNCTION("""COMPUTED_VALUE"""),7.827486)</f>
        <v>7.827486</v>
      </c>
      <c r="D731" s="7">
        <f>IFERROR(__xludf.DUMMYFUNCTION("""COMPUTED_VALUE"""),0.5)</f>
        <v>0.5</v>
      </c>
    </row>
    <row r="732">
      <c r="A732" s="10" t="s">
        <v>2171</v>
      </c>
      <c r="B732" s="7" t="str">
        <f>IFERROR(__xludf.DUMMYFUNCTION("SPLIT(A732,"" "")"),"CC(C)C(C)C(C)c1ccccn1")</f>
        <v>CC(C)C(C)C(C)c1ccccn1</v>
      </c>
      <c r="C732" s="7">
        <f>IFERROR(__xludf.DUMMYFUNCTION("""COMPUTED_VALUE"""),7.827414)</f>
        <v>7.827414</v>
      </c>
      <c r="D732" s="7">
        <f>IFERROR(__xludf.DUMMYFUNCTION("""COMPUTED_VALUE"""),0.428571428571428)</f>
        <v>0.4285714286</v>
      </c>
    </row>
    <row r="733">
      <c r="A733" s="10" t="s">
        <v>2172</v>
      </c>
      <c r="B733" s="7" t="str">
        <f>IFERROR(__xludf.DUMMYFUNCTION("SPLIT(A733,"" "")"),"CC1=C(C)C(C)(c2cc(CN3CCN(C)CCN(C)CC3)ccn2)CCC1")</f>
        <v>CC1=C(C)C(C)(c2cc(CN3CCN(C)CCN(C)CC3)ccn2)CCC1</v>
      </c>
      <c r="C733" s="7">
        <f>IFERROR(__xludf.DUMMYFUNCTION("""COMPUTED_VALUE"""),7.827402)</f>
        <v>7.827402</v>
      </c>
      <c r="D733" s="7">
        <f>IFERROR(__xludf.DUMMYFUNCTION("""COMPUTED_VALUE"""),0.423076923076923)</f>
        <v>0.4230769231</v>
      </c>
    </row>
    <row r="734">
      <c r="A734" s="10" t="s">
        <v>2173</v>
      </c>
      <c r="B734" s="7" t="str">
        <f>IFERROR(__xludf.DUMMYFUNCTION("SPLIT(A734,"" "")"),"c1ccc(CN(Cc2ccccn2)Cc2cc(C34CCC3OCCOCCOCCOCCOCCO4)ccn2)nc1")</f>
        <v>c1ccc(CN(Cc2ccccn2)Cc2cc(C34CCC3OCCOCCOCCOCCOCCO4)ccn2)nc1</v>
      </c>
      <c r="C734" s="7">
        <f>IFERROR(__xludf.DUMMYFUNCTION("""COMPUTED_VALUE"""),7.827359)</f>
        <v>7.827359</v>
      </c>
      <c r="D734" s="7">
        <f>IFERROR(__xludf.DUMMYFUNCTION("""COMPUTED_VALUE"""),0.408163265306122)</f>
        <v>0.4081632653</v>
      </c>
    </row>
    <row r="735">
      <c r="A735" s="10" t="s">
        <v>2174</v>
      </c>
      <c r="B735" s="7" t="str">
        <f>IFERROR(__xludf.DUMMYFUNCTION("SPLIT(A735,"" "")"),"CN(C)C1CCCCC1N(C)Cc1cccc(-c2ccc3c(c2)OCCOCCOCCOCCOCCO3)n1")</f>
        <v>CN(C)C1CCCCC1N(C)Cc1cccc(-c2ccc3c(c2)OCCOCCOCCOCCOCCO3)n1</v>
      </c>
      <c r="C735" s="7">
        <f>IFERROR(__xludf.DUMMYFUNCTION("""COMPUTED_VALUE"""),7.827337)</f>
        <v>7.827337</v>
      </c>
      <c r="D735" s="7">
        <f>IFERROR(__xludf.DUMMYFUNCTION("""COMPUTED_VALUE"""),0.472727272727272)</f>
        <v>0.4727272727</v>
      </c>
    </row>
    <row r="736">
      <c r="A736" s="10" t="s">
        <v>2175</v>
      </c>
      <c r="B736" s="7" t="str">
        <f>IFERROR(__xludf.DUMMYFUNCTION("SPLIT(A736,"" "")"),"Cc1nc(CN(C)C2CCCC(N3CCN(C)CCN(C)CC3)C2)c(C)c(C)c1C")</f>
        <v>Cc1nc(CN(C)C2CCCC(N3CCN(C)CCN(C)CC3)C2)c(C)c(C)c1C</v>
      </c>
      <c r="C736" s="7">
        <f>IFERROR(__xludf.DUMMYFUNCTION("""COMPUTED_VALUE"""),7.827305)</f>
        <v>7.827305</v>
      </c>
      <c r="D736" s="7">
        <f>IFERROR(__xludf.DUMMYFUNCTION("""COMPUTED_VALUE"""),0.23728813559322)</f>
        <v>0.2372881356</v>
      </c>
    </row>
    <row r="737">
      <c r="A737" s="10" t="s">
        <v>2176</v>
      </c>
      <c r="B737" s="7" t="str">
        <f>IFERROR(__xludf.DUMMYFUNCTION("SPLIT(A737,"" "")"),"CN1CCN(C)CCN(Cc2cccnc2-c2cc(N)c3c(c2)OCCOCCOCCOCCOCCO3)CC1")</f>
        <v>CN1CCN(C)CCN(Cc2cccnc2-c2cc(N)c3c(c2)OCCOCCOCCOCCOCCO3)CC1</v>
      </c>
      <c r="C737" s="7">
        <f>IFERROR(__xludf.DUMMYFUNCTION("""COMPUTED_VALUE"""),7.8272853)</f>
        <v>7.8272853</v>
      </c>
      <c r="D737" s="7">
        <f>IFERROR(__xludf.DUMMYFUNCTION("""COMPUTED_VALUE"""),0.362068965517241)</f>
        <v>0.3620689655</v>
      </c>
    </row>
    <row r="738">
      <c r="A738" s="10" t="s">
        <v>2177</v>
      </c>
      <c r="B738" s="7" t="str">
        <f>IFERROR(__xludf.DUMMYFUNCTION("SPLIT(A738,"" "")"),"Cc1ccnc(C)c1C(C)(C)N(C)CCCN1CCN(C)CCN(C)CC1")</f>
        <v>Cc1ccnc(C)c1C(C)(C)N(C)CCCN1CCN(C)CCN(C)CC1</v>
      </c>
      <c r="C738" s="7">
        <f>IFERROR(__xludf.DUMMYFUNCTION("""COMPUTED_VALUE"""),7.827265)</f>
        <v>7.827265</v>
      </c>
      <c r="D738" s="7">
        <f>IFERROR(__xludf.DUMMYFUNCTION("""COMPUTED_VALUE"""),0.365384615384615)</f>
        <v>0.3653846154</v>
      </c>
    </row>
    <row r="739">
      <c r="A739" s="10" t="s">
        <v>2178</v>
      </c>
      <c r="B739" s="7" t="str">
        <f>IFERROR(__xludf.DUMMYFUNCTION("SPLIT(A739,"" "")"),"CN(CC1=CC(N(C)Cc2ccccn2)C=CN1)Cc1ccc2c(c1)OCCOCCOCCOCCOCCO2")</f>
        <v>CN(CC1=CC(N(C)Cc2ccccn2)C=CN1)Cc1ccc2c(c1)OCCOCCOCCOCCOCCO2</v>
      </c>
      <c r="C739" s="7">
        <f>IFERROR(__xludf.DUMMYFUNCTION("""COMPUTED_VALUE"""),7.8272357)</f>
        <v>7.8272357</v>
      </c>
      <c r="D739" s="7">
        <f>IFERROR(__xludf.DUMMYFUNCTION("""COMPUTED_VALUE"""),0.353846153846153)</f>
        <v>0.3538461538</v>
      </c>
    </row>
    <row r="740">
      <c r="A740" s="10" t="s">
        <v>2179</v>
      </c>
      <c r="B740" s="7" t="str">
        <f>IFERROR(__xludf.DUMMYFUNCTION("SPLIT(A740,"" "")"),"CN1CCN(Cc2ccc(CNCF)nc2)CCN(Cc2cccc(-c3ccc4c(c3)OCCOCCOCCOCCOCCO4)n2)CC1")</f>
        <v>CN1CCN(Cc2ccc(CNCF)nc2)CCN(Cc2cccc(-c3ccc4c(c3)OCCOCCOCCOCCOCCO4)n2)CC1</v>
      </c>
      <c r="C740" s="7">
        <f>IFERROR(__xludf.DUMMYFUNCTION("""COMPUTED_VALUE"""),7.827229)</f>
        <v>7.827229</v>
      </c>
      <c r="D740" s="7">
        <f>IFERROR(__xludf.DUMMYFUNCTION("""COMPUTED_VALUE"""),0.384615384615384)</f>
        <v>0.3846153846</v>
      </c>
    </row>
    <row r="741">
      <c r="A741" s="10" t="s">
        <v>2180</v>
      </c>
      <c r="B741" s="7" t="str">
        <f>IFERROR(__xludf.DUMMYFUNCTION("SPLIT(A741,"" "")"),"CCNCc1cccc(CN(Cc2ccccn2)C2CCC(N(C)C(C)C)CC2)n1")</f>
        <v>CCNCc1cccc(CN(Cc2ccccn2)C2CCC(N(C)C(C)C)CC2)n1</v>
      </c>
      <c r="C741" s="7">
        <f>IFERROR(__xludf.DUMMYFUNCTION("""COMPUTED_VALUE"""),7.8271966)</f>
        <v>7.8271966</v>
      </c>
      <c r="D741" s="7">
        <f>IFERROR(__xludf.DUMMYFUNCTION("""COMPUTED_VALUE"""),0.392857142857142)</f>
        <v>0.3928571429</v>
      </c>
    </row>
    <row r="742">
      <c r="A742" s="10" t="s">
        <v>2181</v>
      </c>
      <c r="B742" s="7" t="str">
        <f>IFERROR(__xludf.DUMMYFUNCTION("SPLIT(A742,"" "")"),"CN1CCN(C)CCN(Cc2ccc(-c3c(N)ccc4c3OCCOCCOCCOCCOCCO4)cn2)CC1")</f>
        <v>CN1CCN(C)CCN(Cc2ccc(-c3c(N)ccc4c3OCCOCCOCCOCCOCCO4)cn2)CC1</v>
      </c>
      <c r="C742" s="7">
        <f>IFERROR(__xludf.DUMMYFUNCTION("""COMPUTED_VALUE"""),7.827196)</f>
        <v>7.827196</v>
      </c>
      <c r="D742" s="7">
        <f>IFERROR(__xludf.DUMMYFUNCTION("""COMPUTED_VALUE"""),0.43076923076923)</f>
        <v>0.4307692308</v>
      </c>
    </row>
    <row r="743">
      <c r="A743" s="10" t="s">
        <v>2182</v>
      </c>
      <c r="B743" s="7" t="str">
        <f>IFERROR(__xludf.DUMMYFUNCTION("SPLIT(A743,"" "")"),"CC1C=CC(N(C)Cc2ccccn2)C(C)(C)C1C")</f>
        <v>CC1C=CC(N(C)Cc2ccccn2)C(C)(C)C1C</v>
      </c>
      <c r="C743" s="7">
        <f>IFERROR(__xludf.DUMMYFUNCTION("""COMPUTED_VALUE"""),7.827185)</f>
        <v>7.827185</v>
      </c>
      <c r="D743" s="7">
        <f>IFERROR(__xludf.DUMMYFUNCTION("""COMPUTED_VALUE"""),0.488888888888888)</f>
        <v>0.4888888889</v>
      </c>
    </row>
    <row r="744">
      <c r="A744" s="10" t="s">
        <v>2183</v>
      </c>
      <c r="B744" s="7" t="str">
        <f>IFERROR(__xludf.DUMMYFUNCTION("SPLIT(A744,"" "")"),"COC(C)c1ncccc1CN1CCN(C)CCN(C)CC1")</f>
        <v>COC(C)c1ncccc1CN1CCN(C)CCN(C)CC1</v>
      </c>
      <c r="C744" s="7">
        <f>IFERROR(__xludf.DUMMYFUNCTION("""COMPUTED_VALUE"""),7.8271747)</f>
        <v>7.8271747</v>
      </c>
      <c r="D744" s="7">
        <f>IFERROR(__xludf.DUMMYFUNCTION("""COMPUTED_VALUE"""),0.477272727272727)</f>
        <v>0.4772727273</v>
      </c>
    </row>
    <row r="745">
      <c r="A745" s="10" t="s">
        <v>2184</v>
      </c>
      <c r="B745" s="7" t="str">
        <f>IFERROR(__xludf.DUMMYFUNCTION("SPLIT(A745,"" "")"),"Cc1cnccc1CN(C)CCN1CCN(C)CCN(Cc2cccnc2C)CC1")</f>
        <v>Cc1cnccc1CN(C)CCN1CCN(C)CCN(Cc2cccnc2C)CC1</v>
      </c>
      <c r="C745" s="7">
        <f>IFERROR(__xludf.DUMMYFUNCTION("""COMPUTED_VALUE"""),7.827172)</f>
        <v>7.827172</v>
      </c>
      <c r="D745" s="7">
        <f>IFERROR(__xludf.DUMMYFUNCTION("""COMPUTED_VALUE"""),0.381818181818181)</f>
        <v>0.3818181818</v>
      </c>
    </row>
    <row r="746">
      <c r="A746" s="10" t="s">
        <v>2185</v>
      </c>
      <c r="B746" s="7" t="str">
        <f>IFERROR(__xludf.DUMMYFUNCTION("SPLIT(A746,"" "")"),"CN1CCN(Cc2cc(-c3ccc4c(c3)OCCOCCOCCOCCOCCO4)ccn2)CCN(Cc2cccc(CNCF)n2)CC1")</f>
        <v>CN1CCN(Cc2cc(-c3ccc4c(c3)OCCOCCOCCOCCOCCO4)ccn2)CCN(Cc2cccc(CNCF)n2)CC1</v>
      </c>
      <c r="C746" s="7">
        <f>IFERROR(__xludf.DUMMYFUNCTION("""COMPUTED_VALUE"""),7.827168)</f>
        <v>7.827168</v>
      </c>
      <c r="D746" s="7">
        <f>IFERROR(__xludf.DUMMYFUNCTION("""COMPUTED_VALUE"""),0.390625)</f>
        <v>0.390625</v>
      </c>
    </row>
    <row r="747">
      <c r="A747" s="10" t="s">
        <v>2186</v>
      </c>
      <c r="B747" s="7" t="str">
        <f>IFERROR(__xludf.DUMMYFUNCTION("SPLIT(A747,"" "")"),"CC1C=CC(N(Cc2ccccn2)C2CCC(N(C)Cc3cc(-c4ccc5c(c4)OCCOCCOCCOCCOCCO5)ccn3)CC2)C(C)C1C")</f>
        <v>CC1C=CC(N(Cc2ccccn2)C2CCC(N(C)Cc3cc(-c4ccc5c(c4)OCCOCCOCCOCCOCCO5)ccn3)CC2)C(C)C1C</v>
      </c>
      <c r="C747" s="7">
        <f>IFERROR(__xludf.DUMMYFUNCTION("""COMPUTED_VALUE"""),7.827165)</f>
        <v>7.827165</v>
      </c>
      <c r="D747" s="7">
        <f>IFERROR(__xludf.DUMMYFUNCTION("""COMPUTED_VALUE"""),0.35)</f>
        <v>0.35</v>
      </c>
    </row>
    <row r="748">
      <c r="A748" s="10" t="s">
        <v>2187</v>
      </c>
      <c r="B748" s="7" t="str">
        <f>IFERROR(__xludf.DUMMYFUNCTION("SPLIT(A748,"" "")"),"Cc1ccccc1N(C(C)C)C1CCC(N(C)C(C)C)CC1")</f>
        <v>Cc1ccccc1N(C(C)C)C1CCC(N(C)C(C)C)CC1</v>
      </c>
      <c r="C748" s="7">
        <f>IFERROR(__xludf.DUMMYFUNCTION("""COMPUTED_VALUE"""),7.8271537)</f>
        <v>7.8271537</v>
      </c>
      <c r="D748" s="7">
        <f>IFERROR(__xludf.DUMMYFUNCTION("""COMPUTED_VALUE"""),0.25)</f>
        <v>0.25</v>
      </c>
    </row>
    <row r="749">
      <c r="A749" s="10" t="s">
        <v>2188</v>
      </c>
      <c r="B749" s="7" t="str">
        <f>IFERROR(__xludf.DUMMYFUNCTION("SPLIT(A749,"" "")"),"CCNCc1cccc(CN(Cc2ccccn2)C2CCCC(N(C)C(C)C)C2)n1")</f>
        <v>CCNCc1cccc(CN(Cc2ccccn2)C2CCCC(N(C)C(C)C)C2)n1</v>
      </c>
      <c r="C749" s="7">
        <f>IFERROR(__xludf.DUMMYFUNCTION("""COMPUTED_VALUE"""),7.827134)</f>
        <v>7.827134</v>
      </c>
      <c r="D749" s="7">
        <f>IFERROR(__xludf.DUMMYFUNCTION("""COMPUTED_VALUE"""),0.396551724137931)</f>
        <v>0.3965517241</v>
      </c>
    </row>
    <row r="750">
      <c r="A750" s="10" t="s">
        <v>2189</v>
      </c>
      <c r="B750" s="7" t="str">
        <f>IFERROR(__xludf.DUMMYFUNCTION("SPLIT(A750,"" "")"),"Cc1cccnc1CN(C)C1CCCCC1N(C)CC1=CCC=CN1")</f>
        <v>Cc1cccnc1CN(C)C1CCCCC1N(C)CC1=CCC=CN1</v>
      </c>
      <c r="C750" s="7">
        <f>IFERROR(__xludf.DUMMYFUNCTION("""COMPUTED_VALUE"""),7.8270617)</f>
        <v>7.8270617</v>
      </c>
      <c r="D750" s="7">
        <f>IFERROR(__xludf.DUMMYFUNCTION("""COMPUTED_VALUE"""),0.454545454545454)</f>
        <v>0.4545454545</v>
      </c>
    </row>
    <row r="751">
      <c r="A751" s="10" t="s">
        <v>2190</v>
      </c>
      <c r="B751" s="7" t="str">
        <f>IFERROR(__xludf.DUMMYFUNCTION("SPLIT(A751,"" "")"),"CC1=CC(C)C(C)(c2cc(CN3CCN(C)CCN(C)CC3)ccn2)CC1")</f>
        <v>CC1=CC(C)C(C)(c2cc(CN3CCN(C)CCN(C)CC3)ccn2)CC1</v>
      </c>
      <c r="C751" s="7">
        <f>IFERROR(__xludf.DUMMYFUNCTION("""COMPUTED_VALUE"""),7.8270416)</f>
        <v>7.8270416</v>
      </c>
      <c r="D751" s="7">
        <f>IFERROR(__xludf.DUMMYFUNCTION("""COMPUTED_VALUE"""),0.415094339622641)</f>
        <v>0.4150943396</v>
      </c>
    </row>
    <row r="752">
      <c r="A752" s="10" t="s">
        <v>2191</v>
      </c>
      <c r="B752" s="7" t="str">
        <f>IFERROR(__xludf.DUMMYFUNCTION("SPLIT(A752,"" "")"),"CN(C)C1CCCCC1N(C)Cc1ncccc1-c1ccc2c(c1)OCCOCCOCCOCCOCCO2")</f>
        <v>CN(C)C1CCCCC1N(C)Cc1ncccc1-c1ccc2c(c1)OCCOCCOCCOCCOCCO2</v>
      </c>
      <c r="C752" s="7">
        <f>IFERROR(__xludf.DUMMYFUNCTION("""COMPUTED_VALUE"""),7.8270288)</f>
        <v>7.8270288</v>
      </c>
      <c r="D752" s="7">
        <f>IFERROR(__xludf.DUMMYFUNCTION("""COMPUTED_VALUE"""),0.396551724137931)</f>
        <v>0.3965517241</v>
      </c>
    </row>
    <row r="753">
      <c r="A753" s="10" t="s">
        <v>2192</v>
      </c>
      <c r="B753" s="7" t="str">
        <f>IFERROR(__xludf.DUMMYFUNCTION("SPLIT(A753,"" "")"),"CC1C=CCC(C)C1(C)NCc1ccccn1")</f>
        <v>CC1C=CCC(C)C1(C)NCc1ccccn1</v>
      </c>
      <c r="C753" s="7">
        <f>IFERROR(__xludf.DUMMYFUNCTION("""COMPUTED_VALUE"""),7.8269897)</f>
        <v>7.8269897</v>
      </c>
      <c r="D753" s="7">
        <f>IFERROR(__xludf.DUMMYFUNCTION("""COMPUTED_VALUE"""),0.395348837209302)</f>
        <v>0.3953488372</v>
      </c>
    </row>
    <row r="754">
      <c r="A754" s="10" t="s">
        <v>2193</v>
      </c>
      <c r="B754" s="7" t="str">
        <f>IFERROR(__xludf.DUMMYFUNCTION("SPLIT(A754,"" "")"),"CCNc1ccc2c(c1)OCCOCCOCCOCCOCC(C(C)(C)c1ccccn1)O2")</f>
        <v>CCNc1ccc2c(c1)OCCOCCOCCOCCOCC(C(C)(C)c1ccccn1)O2</v>
      </c>
      <c r="C754" s="7">
        <f>IFERROR(__xludf.DUMMYFUNCTION("""COMPUTED_VALUE"""),7.8269815)</f>
        <v>7.8269815</v>
      </c>
      <c r="D754" s="7">
        <f>IFERROR(__xludf.DUMMYFUNCTION("""COMPUTED_VALUE"""),0.328358208955223)</f>
        <v>0.328358209</v>
      </c>
    </row>
    <row r="755">
      <c r="A755" s="10" t="s">
        <v>2194</v>
      </c>
      <c r="B755" s="7" t="str">
        <f>IFERROR(__xludf.DUMMYFUNCTION("SPLIT(A755,"" "")"),"C=CCNCC1=CCC=CN1")</f>
        <v>C=CCNCC1=CCC=CN1</v>
      </c>
      <c r="C755" s="7">
        <f>IFERROR(__xludf.DUMMYFUNCTION("""COMPUTED_VALUE"""),7.8269696)</f>
        <v>7.8269696</v>
      </c>
      <c r="D755" s="7">
        <f>IFERROR(__xludf.DUMMYFUNCTION("""COMPUTED_VALUE"""),0.333333333333333)</f>
        <v>0.3333333333</v>
      </c>
    </row>
    <row r="756">
      <c r="A756" s="10" t="s">
        <v>2195</v>
      </c>
      <c r="B756" s="7" t="str">
        <f>IFERROR(__xludf.DUMMYFUNCTION("SPLIT(A756,"" "")"),"Cc1cnc(CN(C)CCN2CCN(C)CCN(CC(C)(C)C)CC2)c(C)c1")</f>
        <v>Cc1cnc(CN(C)CCN2CCN(C)CCN(CC(C)(C)C)CC2)c(C)c1</v>
      </c>
      <c r="C756" s="7">
        <f>IFERROR(__xludf.DUMMYFUNCTION("""COMPUTED_VALUE"""),7.8269615)</f>
        <v>7.8269615</v>
      </c>
      <c r="D756" s="7">
        <f>IFERROR(__xludf.DUMMYFUNCTION("""COMPUTED_VALUE"""),0.350877192982456)</f>
        <v>0.350877193</v>
      </c>
    </row>
    <row r="757">
      <c r="A757" s="10" t="s">
        <v>2196</v>
      </c>
      <c r="B757" s="7" t="str">
        <f>IFERROR(__xludf.DUMMYFUNCTION("SPLIT(A757,"" "")"),"CN(C)C1CCCCC1N(C)Cc1cc(-c2ccc3c(c2)OCCOCCOCCOCCOCCO3)ccn1")</f>
        <v>CN(C)C1CCCCC1N(C)Cc1cc(-c2ccc3c(c2)OCCOCCOCCOCCOCCO3)ccn1</v>
      </c>
      <c r="C757" s="7">
        <f>IFERROR(__xludf.DUMMYFUNCTION("""COMPUTED_VALUE"""),7.826944)</f>
        <v>7.826944</v>
      </c>
      <c r="D757" s="7">
        <f>IFERROR(__xludf.DUMMYFUNCTION("""COMPUTED_VALUE"""),0.444444444444444)</f>
        <v>0.4444444444</v>
      </c>
    </row>
    <row r="758">
      <c r="A758" s="10" t="s">
        <v>2197</v>
      </c>
      <c r="B758" s="7" t="str">
        <f>IFERROR(__xludf.DUMMYFUNCTION("SPLIT(A758,"" "")"),"CCN(Cc1ccccn1)c1ccc2c(c1)OCCOCCOCCOCCOCCO2")</f>
        <v>CCN(Cc1ccccn1)c1ccc2c(c1)OCCOCCOCCOCCOCCO2</v>
      </c>
      <c r="C758" s="7">
        <f>IFERROR(__xludf.DUMMYFUNCTION("""COMPUTED_VALUE"""),7.8269296)</f>
        <v>7.8269296</v>
      </c>
      <c r="D758" s="7">
        <f>IFERROR(__xludf.DUMMYFUNCTION("""COMPUTED_VALUE"""),0.377777777777777)</f>
        <v>0.3777777778</v>
      </c>
    </row>
    <row r="759">
      <c r="A759" s="10" t="s">
        <v>2198</v>
      </c>
      <c r="B759" s="7" t="str">
        <f>IFERROR(__xludf.DUMMYFUNCTION("SPLIT(A759,"" "")"),"CN1CCN(C)CCN(Cc2ccc(C3CC(Cl)C3Cl)nc2)CC1")</f>
        <v>CN1CCN(C)CCN(Cc2ccc(C3CC(Cl)C3Cl)nc2)CC1</v>
      </c>
      <c r="C759" s="7">
        <f>IFERROR(__xludf.DUMMYFUNCTION("""COMPUTED_VALUE"""),7.8269114)</f>
        <v>7.8269114</v>
      </c>
      <c r="D759" s="7">
        <f>IFERROR(__xludf.DUMMYFUNCTION("""COMPUTED_VALUE"""),0.36734693877551)</f>
        <v>0.3673469388</v>
      </c>
    </row>
    <row r="760">
      <c r="A760" s="10" t="s">
        <v>2199</v>
      </c>
      <c r="B760" s="7" t="str">
        <f>IFERROR(__xludf.DUMMYFUNCTION("SPLIT(A760,"" "")"),"CC(C)C1CCC1c1ccc(CN(Cc2ccccn2)C2CCCCC2)cn1")</f>
        <v>CC(C)C1CCC1c1ccc(CN(Cc2ccccn2)C2CCCCC2)cn1</v>
      </c>
      <c r="C760" s="7">
        <f>IFERROR(__xludf.DUMMYFUNCTION("""COMPUTED_VALUE"""),7.826897)</f>
        <v>7.826897</v>
      </c>
      <c r="D760" s="7">
        <f>IFERROR(__xludf.DUMMYFUNCTION("""COMPUTED_VALUE"""),0.410714285714285)</f>
        <v>0.4107142857</v>
      </c>
    </row>
    <row r="761">
      <c r="A761" s="10" t="s">
        <v>2200</v>
      </c>
      <c r="B761" s="7" t="str">
        <f>IFERROR(__xludf.DUMMYFUNCTION("SPLIT(A761,"" "")"),"COC(=O)C(C)N1CCN(C)CCN(C(=O)OC)CC1")</f>
        <v>COC(=O)C(C)N1CCN(C)CCN(C(=O)OC)CC1</v>
      </c>
      <c r="C761" s="7">
        <f>IFERROR(__xludf.DUMMYFUNCTION("""COMPUTED_VALUE"""),7.8268785)</f>
        <v>7.8268785</v>
      </c>
      <c r="D761" s="7">
        <f>IFERROR(__xludf.DUMMYFUNCTION("""COMPUTED_VALUE"""),0.266666666666666)</f>
        <v>0.2666666667</v>
      </c>
    </row>
    <row r="762">
      <c r="A762" s="10" t="s">
        <v>2201</v>
      </c>
      <c r="B762" s="7" t="str">
        <f>IFERROR(__xludf.DUMMYFUNCTION("SPLIT(A762,"" "")"),"CC(C)C(C)c1cccnc1CNCNCF")</f>
        <v>CC(C)C(C)c1cccnc1CNCNCF</v>
      </c>
      <c r="C762" s="7">
        <f>IFERROR(__xludf.DUMMYFUNCTION("""COMPUTED_VALUE"""),7.8268757)</f>
        <v>7.8268757</v>
      </c>
      <c r="D762" s="7">
        <f>IFERROR(__xludf.DUMMYFUNCTION("""COMPUTED_VALUE"""),0.295454545454545)</f>
        <v>0.2954545455</v>
      </c>
    </row>
    <row r="763">
      <c r="A763" s="10" t="s">
        <v>2202</v>
      </c>
      <c r="B763" s="7" t="str">
        <f>IFERROR(__xludf.DUMMYFUNCTION("SPLIT(A763,"" "")"),"CC1=CCC(N(C)CCN(C)CC(C)(C)C)C(C)C1C")</f>
        <v>CC1=CCC(N(C)CCN(C)CC(C)(C)C)C(C)C1C</v>
      </c>
      <c r="C763" s="7">
        <f>IFERROR(__xludf.DUMMYFUNCTION("""COMPUTED_VALUE"""),7.8268623)</f>
        <v>7.8268623</v>
      </c>
      <c r="D763" s="7">
        <f>IFERROR(__xludf.DUMMYFUNCTION("""COMPUTED_VALUE"""),0.211538461538461)</f>
        <v>0.2115384615</v>
      </c>
    </row>
    <row r="764">
      <c r="A764" s="10" t="s">
        <v>2203</v>
      </c>
      <c r="B764" s="7" t="str">
        <f>IFERROR(__xludf.DUMMYFUNCTION("SPLIT(A764,"" "")"),"Cc1cc(C)c(C)c(CN2CCN(C)CCN(CN(C)C(C)C)CC2)n1")</f>
        <v>Cc1cc(C)c(C)c(CN2CCN(C)CCN(CN(C)C(C)C)CC2)n1</v>
      </c>
      <c r="C764" s="7">
        <f>IFERROR(__xludf.DUMMYFUNCTION("""COMPUTED_VALUE"""),7.826853)</f>
        <v>7.826853</v>
      </c>
      <c r="D764" s="7">
        <f>IFERROR(__xludf.DUMMYFUNCTION("""COMPUTED_VALUE"""),0.4375)</f>
        <v>0.4375</v>
      </c>
    </row>
    <row r="765">
      <c r="A765" s="10" t="s">
        <v>2204</v>
      </c>
      <c r="B765" s="7" t="str">
        <f>IFERROR(__xludf.DUMMYFUNCTION("SPLIT(A765,"" "")"),"CC1=CCC(CN(C)CC2=CCC=CN2)C(C)C1C")</f>
        <v>CC1=CCC(CN(C)CC2=CCC=CN2)C(C)C1C</v>
      </c>
      <c r="C765" s="7">
        <f>IFERROR(__xludf.DUMMYFUNCTION("""COMPUTED_VALUE"""),7.826849)</f>
        <v>7.826849</v>
      </c>
      <c r="D765" s="7">
        <f>IFERROR(__xludf.DUMMYFUNCTION("""COMPUTED_VALUE"""),0.339285714285714)</f>
        <v>0.3392857143</v>
      </c>
    </row>
    <row r="766">
      <c r="A766" s="10" t="s">
        <v>2205</v>
      </c>
      <c r="B766" s="7" t="str">
        <f>IFERROR(__xludf.DUMMYFUNCTION("SPLIT(A766,"" "")"),"CNCCNCc1cccnc1")</f>
        <v>CNCCNCc1cccnc1</v>
      </c>
      <c r="C766" s="7">
        <f>IFERROR(__xludf.DUMMYFUNCTION("""COMPUTED_VALUE"""),7.826806)</f>
        <v>7.826806</v>
      </c>
      <c r="D766" s="7">
        <f>IFERROR(__xludf.DUMMYFUNCTION("""COMPUTED_VALUE"""),0.351351351351351)</f>
        <v>0.3513513514</v>
      </c>
    </row>
    <row r="767">
      <c r="A767" s="10" t="s">
        <v>2206</v>
      </c>
      <c r="B767" s="7" t="str">
        <f>IFERROR(__xludf.DUMMYFUNCTION("SPLIT(A767,"" "")"),"Cc1c(NCc2ccccn2)ccc2c1OCCOCCOCCOCCOCCO2")</f>
        <v>Cc1c(NCc2ccccn2)ccc2c1OCCOCCOCCOCCOCCO2</v>
      </c>
      <c r="C767" s="7">
        <f>IFERROR(__xludf.DUMMYFUNCTION("""COMPUTED_VALUE"""),7.826779)</f>
        <v>7.826779</v>
      </c>
      <c r="D767" s="7">
        <f>IFERROR(__xludf.DUMMYFUNCTION("""COMPUTED_VALUE"""),0.361702127659574)</f>
        <v>0.3617021277</v>
      </c>
    </row>
    <row r="768">
      <c r="A768" s="10" t="s">
        <v>2207</v>
      </c>
      <c r="B768" s="7" t="str">
        <f>IFERROR(__xludf.DUMMYFUNCTION("SPLIT(A768,"" "")"),"CC1CC(N)C1")</f>
        <v>CC1CC(N)C1</v>
      </c>
      <c r="C768" s="7">
        <f>IFERROR(__xludf.DUMMYFUNCTION("""COMPUTED_VALUE"""),7.8267574)</f>
        <v>7.8267574</v>
      </c>
      <c r="D768" s="7">
        <f>IFERROR(__xludf.DUMMYFUNCTION("""COMPUTED_VALUE"""),0.111111111111111)</f>
        <v>0.1111111111</v>
      </c>
    </row>
    <row r="769">
      <c r="A769" s="10" t="s">
        <v>2208</v>
      </c>
      <c r="B769" s="7" t="str">
        <f>IFERROR(__xludf.DUMMYFUNCTION("SPLIT(A769,"" "")"),"c1ccc(CN(Cc2cccnc2)Cc2ccc3c(c2)OCCOCCOCCOCCOCCO3)cc1")</f>
        <v>c1ccc(CN(Cc2cccnc2)Cc2ccc3c(c2)OCCOCCOCCOCCOCCO3)cc1</v>
      </c>
      <c r="C769" s="7">
        <f>IFERROR(__xludf.DUMMYFUNCTION("""COMPUTED_VALUE"""),7.826752)</f>
        <v>7.826752</v>
      </c>
      <c r="D769" s="7">
        <f>IFERROR(__xludf.DUMMYFUNCTION("""COMPUTED_VALUE"""),0.307692307692307)</f>
        <v>0.3076923077</v>
      </c>
    </row>
    <row r="770">
      <c r="A770" s="10" t="s">
        <v>2209</v>
      </c>
      <c r="B770" s="7" t="str">
        <f>IFERROR(__xludf.DUMMYFUNCTION("SPLIT(A770,"" "")"),"Cc1cnc(-c2cccc3c2OCCOCCOCCOCCOCCO3)c(CN2CCN(C)CCN(C)CC2)c1")</f>
        <v>Cc1cnc(-c2cccc3c2OCCOCCOCCOCCOCCO3)c(CN2CCN(C)CCN(C)CC2)c1</v>
      </c>
      <c r="C770" s="7">
        <f>IFERROR(__xludf.DUMMYFUNCTION("""COMPUTED_VALUE"""),7.8267217)</f>
        <v>7.8267217</v>
      </c>
      <c r="D770" s="7">
        <f>IFERROR(__xludf.DUMMYFUNCTION("""COMPUTED_VALUE"""),0.35593220338983)</f>
        <v>0.3559322034</v>
      </c>
    </row>
    <row r="771">
      <c r="A771" s="10" t="s">
        <v>2210</v>
      </c>
      <c r="B771" s="7" t="str">
        <f>IFERROR(__xludf.DUMMYFUNCTION("SPLIT(A771,"" "")"),"CC1C=CC(N(C)CC2=CCC=CN2)CC1C")</f>
        <v>CC1C=CC(N(C)CC2=CCC=CN2)CC1C</v>
      </c>
      <c r="C771" s="7">
        <f>IFERROR(__xludf.DUMMYFUNCTION("""COMPUTED_VALUE"""),7.826706)</f>
        <v>7.826706</v>
      </c>
      <c r="D771" s="7">
        <f>IFERROR(__xludf.DUMMYFUNCTION("""COMPUTED_VALUE"""),0.358490566037735)</f>
        <v>0.358490566</v>
      </c>
    </row>
    <row r="772">
      <c r="A772" s="10" t="s">
        <v>2211</v>
      </c>
      <c r="B772" s="7" t="str">
        <f>IFERROR(__xludf.DUMMYFUNCTION("SPLIT(A772,"" "")"),"CC1C=CCC(C)(N(C)Cc2ccccn2)C1C")</f>
        <v>CC1C=CCC(C)(N(C)Cc2ccccn2)C1C</v>
      </c>
      <c r="C772" s="7">
        <f>IFERROR(__xludf.DUMMYFUNCTION("""COMPUTED_VALUE"""),7.8266973)</f>
        <v>7.8266973</v>
      </c>
      <c r="D772" s="7">
        <f>IFERROR(__xludf.DUMMYFUNCTION("""COMPUTED_VALUE"""),0.4375)</f>
        <v>0.4375</v>
      </c>
    </row>
    <row r="773">
      <c r="A773" s="10" t="s">
        <v>2212</v>
      </c>
      <c r="B773" s="7" t="str">
        <f>IFERROR(__xludf.DUMMYFUNCTION("SPLIT(A773,"" "")"),"CC1=CC(C)C(C)C(C)(c2ncccc2CN2CCN(C)CCN(C)CC2)C1")</f>
        <v>CC1=CC(C)C(C)C(C)(c2ncccc2CN2CCN(C)CCN(C)CC2)C1</v>
      </c>
      <c r="C773" s="7">
        <f>IFERROR(__xludf.DUMMYFUNCTION("""COMPUTED_VALUE"""),7.8266664)</f>
        <v>7.8266664</v>
      </c>
      <c r="D773" s="7">
        <f>IFERROR(__xludf.DUMMYFUNCTION("""COMPUTED_VALUE"""),0.403846153846153)</f>
        <v>0.4038461538</v>
      </c>
    </row>
    <row r="774">
      <c r="A774" s="10" t="s">
        <v>2213</v>
      </c>
      <c r="B774" s="7" t="str">
        <f>IFERROR(__xludf.DUMMYFUNCTION("SPLIT(A774,"" "")"),"CN(Cc1cccc(-c2ccc3c(c2)OCCOCCOCCOCCOCCO3)n1)C1CCC(N(C)C2CCCCC2N(C)Cc2cccc(-c3ccc4c(c3)OCCOCCOCCOCCOCCO4)n2)CC1")</f>
        <v>CN(Cc1cccc(-c2ccc3c(c2)OCCOCCOCCOCCOCCO3)n1)C1CCC(N(C)C2CCCCC2N(C)Cc2cccc(-c3ccc4c(c3)OCCOCCOCCOCCOCCO4)n2)CC1</v>
      </c>
      <c r="C774" s="7">
        <f>IFERROR(__xludf.DUMMYFUNCTION("""COMPUTED_VALUE"""),7.8266454)</f>
        <v>7.8266454</v>
      </c>
      <c r="D774" s="7">
        <f>IFERROR(__xludf.DUMMYFUNCTION("""COMPUTED_VALUE"""),0.433333333333333)</f>
        <v>0.4333333333</v>
      </c>
    </row>
    <row r="775">
      <c r="A775" s="10" t="s">
        <v>2214</v>
      </c>
      <c r="B775" s="7" t="str">
        <f>IFERROR(__xludf.DUMMYFUNCTION("SPLIT(A775,"" "")"),"CC(C)N(Cc1cccc(-c2ccc3c(c2)OCCOCCOCCOCCOCCO3)n1)C1CCCCC1N(C)C")</f>
        <v>CC(C)N(Cc1cccc(-c2ccc3c(c2)OCCOCCOCCOCCOCCO3)n1)C1CCCCC1N(C)C</v>
      </c>
      <c r="C775" s="7">
        <f>IFERROR(__xludf.DUMMYFUNCTION("""COMPUTED_VALUE"""),7.826576)</f>
        <v>7.826576</v>
      </c>
      <c r="D775" s="7">
        <f>IFERROR(__xludf.DUMMYFUNCTION("""COMPUTED_VALUE"""),0.361111111111111)</f>
        <v>0.3611111111</v>
      </c>
    </row>
    <row r="776">
      <c r="A776" s="10" t="s">
        <v>2215</v>
      </c>
      <c r="B776" s="7" t="str">
        <f>IFERROR(__xludf.DUMMYFUNCTION("SPLIT(A776,"" "")"),"CCOC(=O)C(C)NCc1ncccc1CN1CCN(C)CCN(C)CC1")</f>
        <v>CCOC(=O)C(C)NCc1ncccc1CN1CCN(C)CCN(C)CC1</v>
      </c>
      <c r="C776" s="7">
        <f>IFERROR(__xludf.DUMMYFUNCTION("""COMPUTED_VALUE"""),7.8265724)</f>
        <v>7.8265724</v>
      </c>
      <c r="D776" s="7">
        <f>IFERROR(__xludf.DUMMYFUNCTION("""COMPUTED_VALUE"""),0.442622950819672)</f>
        <v>0.4426229508</v>
      </c>
    </row>
    <row r="777">
      <c r="A777" s="10" t="s">
        <v>2216</v>
      </c>
      <c r="B777" s="7" t="str">
        <f>IFERROR(__xludf.DUMMYFUNCTION("SPLIT(A777,"" "")"),"CC(C)C1CCC1c1cc(CN(Cc2ccccn2)C2CCCCC2)ccn1")</f>
        <v>CC(C)C1CCC1c1cc(CN(Cc2ccccn2)C2CCCCC2)ccn1</v>
      </c>
      <c r="C777" s="7">
        <f>IFERROR(__xludf.DUMMYFUNCTION("""COMPUTED_VALUE"""),7.8265696)</f>
        <v>7.8265696</v>
      </c>
      <c r="D777" s="7">
        <f>IFERROR(__xludf.DUMMYFUNCTION("""COMPUTED_VALUE"""),0.410714285714285)</f>
        <v>0.4107142857</v>
      </c>
    </row>
    <row r="778">
      <c r="A778" s="10" t="s">
        <v>2217</v>
      </c>
      <c r="B778" s="7" t="str">
        <f>IFERROR(__xludf.DUMMYFUNCTION("SPLIT(A778,"" "")"),"COC(=O)C(=O)N1CCN(C)CCN(C(C)C)CC1")</f>
        <v>COC(=O)C(=O)N1CCN(C)CCN(C(C)C)CC1</v>
      </c>
      <c r="C778" s="7">
        <f>IFERROR(__xludf.DUMMYFUNCTION("""COMPUTED_VALUE"""),7.8265567)</f>
        <v>7.8265567</v>
      </c>
      <c r="D778" s="7">
        <f>IFERROR(__xludf.DUMMYFUNCTION("""COMPUTED_VALUE"""),0.275862068965517)</f>
        <v>0.275862069</v>
      </c>
    </row>
    <row r="779">
      <c r="A779" s="10" t="s">
        <v>2218</v>
      </c>
      <c r="B779" s="7" t="str">
        <f>IFERROR(__xludf.DUMMYFUNCTION("SPLIT(A779,"" "")"),"Cc1cncc(CN(C)CCN2CCN(C)CCN(Cc3cncc(C)c3)CC2)c1")</f>
        <v>Cc1cncc(CN(C)CCN2CCN(C)CCN(Cc3cncc(C)c3)CC2)c1</v>
      </c>
      <c r="C779" s="7">
        <f>IFERROR(__xludf.DUMMYFUNCTION("""COMPUTED_VALUE"""),7.826556)</f>
        <v>7.826556</v>
      </c>
      <c r="D779" s="7">
        <f>IFERROR(__xludf.DUMMYFUNCTION("""COMPUTED_VALUE"""),0.387755102040816)</f>
        <v>0.387755102</v>
      </c>
    </row>
    <row r="780">
      <c r="A780" s="10" t="s">
        <v>2219</v>
      </c>
      <c r="B780" s="7" t="str">
        <f>IFERROR(__xludf.DUMMYFUNCTION("SPLIT(A780,"" "")"),"CC1=CCC(C)C(C)C1N(C)C1CCCCC1N(Cc1ccccn1)Cc1cccc(F)n1")</f>
        <v>CC1=CCC(C)C(C)C1N(C)C1CCCCC1N(Cc1ccccn1)Cc1cccc(F)n1</v>
      </c>
      <c r="C780" s="7">
        <f>IFERROR(__xludf.DUMMYFUNCTION("""COMPUTED_VALUE"""),7.8265224)</f>
        <v>7.8265224</v>
      </c>
      <c r="D780" s="7">
        <f>IFERROR(__xludf.DUMMYFUNCTION("""COMPUTED_VALUE"""),0.433333333333333)</f>
        <v>0.4333333333</v>
      </c>
    </row>
    <row r="781">
      <c r="A781" s="10" t="s">
        <v>2220</v>
      </c>
      <c r="B781" s="7" t="str">
        <f>IFERROR(__xludf.DUMMYFUNCTION("SPLIT(A781,"" "")"),"CC(C)[SiH3]")</f>
        <v>CC(C)[SiH3]</v>
      </c>
      <c r="C781" s="7">
        <f>IFERROR(__xludf.DUMMYFUNCTION("""COMPUTED_VALUE"""),7.8265038)</f>
        <v>7.8265038</v>
      </c>
      <c r="D781" s="7">
        <f>IFERROR(__xludf.DUMMYFUNCTION("""COMPUTED_VALUE"""),0.1)</f>
        <v>0.1</v>
      </c>
    </row>
    <row r="782">
      <c r="A782" s="10" t="s">
        <v>2221</v>
      </c>
      <c r="B782" s="7" t="str">
        <f>IFERROR(__xludf.DUMMYFUNCTION("SPLIT(A782,"" "")"),"CCN(Cc1ccccn1)C1CCCCC1N(C)CCN(C)CCN(C)CCN(C)CCN(C)C1CCCCC1N(Cc1ccccn1)Cc1nc(C)c(C)c(C)c1C")</f>
        <v>CCN(Cc1ccccn1)C1CCCCC1N(C)CCN(C)CCN(C)CCN(C)CCN(C)C1CCCCC1N(Cc1ccccn1)Cc1nc(C)c(C)c(C)c1C</v>
      </c>
      <c r="C782" s="7">
        <f>IFERROR(__xludf.DUMMYFUNCTION("""COMPUTED_VALUE"""),7.8264565)</f>
        <v>7.8264565</v>
      </c>
      <c r="D782" s="7">
        <f>IFERROR(__xludf.DUMMYFUNCTION("""COMPUTED_VALUE"""),0.5)</f>
        <v>0.5</v>
      </c>
    </row>
    <row r="783">
      <c r="A783" s="10" t="s">
        <v>2222</v>
      </c>
      <c r="B783" s="7" t="str">
        <f>IFERROR(__xludf.DUMMYFUNCTION("SPLIT(A783,"" "")"),"CN1CCN(C)CCN(CCN(C)C(c2ccccc2)c2ccccn2)CC1")</f>
        <v>CN1CCN(C)CCN(CCN(C)C(c2ccccc2)c2ccccn2)CC1</v>
      </c>
      <c r="C783" s="7">
        <f>IFERROR(__xludf.DUMMYFUNCTION("""COMPUTED_VALUE"""),7.8264565)</f>
        <v>7.8264565</v>
      </c>
      <c r="D783" s="7">
        <f>IFERROR(__xludf.DUMMYFUNCTION("""COMPUTED_VALUE"""),0.48)</f>
        <v>0.48</v>
      </c>
    </row>
    <row r="784">
      <c r="A784" s="10" t="s">
        <v>2223</v>
      </c>
      <c r="B784" s="7" t="str">
        <f>IFERROR(__xludf.DUMMYFUNCTION("SPLIT(A784,"" "")"),"CC1C=CNC=C1")</f>
        <v>CC1C=CNC=C1</v>
      </c>
      <c r="C784" s="7">
        <f>IFERROR(__xludf.DUMMYFUNCTION("""COMPUTED_VALUE"""),7.826415)</f>
        <v>7.826415</v>
      </c>
      <c r="D784" s="7">
        <f>IFERROR(__xludf.DUMMYFUNCTION("""COMPUTED_VALUE"""),0.146341463414634)</f>
        <v>0.1463414634</v>
      </c>
    </row>
    <row r="785">
      <c r="A785" s="10" t="s">
        <v>2224</v>
      </c>
      <c r="B785" s="7" t="str">
        <f>IFERROR(__xludf.DUMMYFUNCTION("SPLIT(A785,"" "")"),"Cc1cccc2c1OC(N)COCCOC(C(C)(C)N(C)Cc1ccccn1)COCCOCCO2")</f>
        <v>Cc1cccc2c1OC(N)COCCOC(C(C)(C)N(C)Cc1ccccn1)COCCOCCO2</v>
      </c>
      <c r="C785" s="7">
        <f>IFERROR(__xludf.DUMMYFUNCTION("""COMPUTED_VALUE"""),7.826403)</f>
        <v>7.826403</v>
      </c>
      <c r="D785" s="7">
        <f>IFERROR(__xludf.DUMMYFUNCTION("""COMPUTED_VALUE"""),0.304347826086956)</f>
        <v>0.3043478261</v>
      </c>
    </row>
    <row r="786">
      <c r="A786" s="10" t="s">
        <v>2225</v>
      </c>
      <c r="B786" s="7" t="str">
        <f>IFERROR(__xludf.DUMMYFUNCTION("SPLIT(A786,"" "")"),"CCCNCC1=CCC(c2ccccn2)C(C)C1C")</f>
        <v>CCCNCC1=CCC(c2ccccn2)C(C)C1C</v>
      </c>
      <c r="C786" s="7">
        <f>IFERROR(__xludf.DUMMYFUNCTION("""COMPUTED_VALUE"""),7.8263626)</f>
        <v>7.8263626</v>
      </c>
      <c r="D786" s="7">
        <f>IFERROR(__xludf.DUMMYFUNCTION("""COMPUTED_VALUE"""),0.340425531914893)</f>
        <v>0.3404255319</v>
      </c>
    </row>
    <row r="787">
      <c r="A787" s="10" t="s">
        <v>2226</v>
      </c>
      <c r="B787" s="7" t="str">
        <f>IFERROR(__xludf.DUMMYFUNCTION("SPLIT(A787,"" "")"),"CN1CCN(C)CCN(Cc2cccc(CN(C)C3CCC(N(C)Cc4cccc(-c5ccc6c(c5)OCCOCCOCCOCCOCCO6)n4)CC3)n2)CC1")</f>
        <v>CN1CCN(C)CCN(Cc2cccc(CN(C)C3CCC(N(C)Cc4cccc(-c5ccc6c(c5)OCCOCCOCCOCCOCCO6)n4)CC3)n2)CC1</v>
      </c>
      <c r="C787" s="7">
        <f>IFERROR(__xludf.DUMMYFUNCTION("""COMPUTED_VALUE"""),7.826345)</f>
        <v>7.826345</v>
      </c>
      <c r="D787" s="7">
        <f>IFERROR(__xludf.DUMMYFUNCTION("""COMPUTED_VALUE"""),0.38095238095238)</f>
        <v>0.380952381</v>
      </c>
    </row>
    <row r="788">
      <c r="A788" s="10" t="s">
        <v>2227</v>
      </c>
      <c r="B788" s="7" t="str">
        <f>IFERROR(__xludf.DUMMYFUNCTION("SPLIT(A788,"" "")"),"c1ccc(CN(Cc2ccc3c(c2)OCCOCCOCCOCCOCCO3)Cc2ccccn2)cc1")</f>
        <v>c1ccc(CN(Cc2ccc3c(c2)OCCOCCOCCOCCOCCO3)Cc2ccccn2)cc1</v>
      </c>
      <c r="C788" s="7">
        <f>IFERROR(__xludf.DUMMYFUNCTION("""COMPUTED_VALUE"""),7.8263345)</f>
        <v>7.8263345</v>
      </c>
      <c r="D788" s="7">
        <f>IFERROR(__xludf.DUMMYFUNCTION("""COMPUTED_VALUE"""),0.476190476190476)</f>
        <v>0.4761904762</v>
      </c>
    </row>
    <row r="789">
      <c r="A789" s="10" t="s">
        <v>2228</v>
      </c>
      <c r="B789" s="7" t="str">
        <f>IFERROR(__xludf.DUMMYFUNCTION("SPLIT(A789,"" "")"),"CN1C=CCC=C1")</f>
        <v>CN1C=CCC=C1</v>
      </c>
      <c r="C789" s="7">
        <f>IFERROR(__xludf.DUMMYFUNCTION("""COMPUTED_VALUE"""),7.8263164)</f>
        <v>7.8263164</v>
      </c>
      <c r="D789" s="7">
        <f>IFERROR(__xludf.DUMMYFUNCTION("""COMPUTED_VALUE"""),0.235294117647058)</f>
        <v>0.2352941176</v>
      </c>
    </row>
    <row r="790">
      <c r="A790" s="10" t="s">
        <v>2229</v>
      </c>
      <c r="B790" s="7" t="str">
        <f>IFERROR(__xludf.DUMMYFUNCTION("SPLIT(A790,"" "")"),"CN1CCN(C)CCN(CC2=CCC=C(N(C)C3C=CC=CN3)N2)CC1")</f>
        <v>CN1CCN(C)CCN(CC2=CCC=C(N(C)C3C=CC=CN3)N2)CC1</v>
      </c>
      <c r="C790" s="7">
        <f>IFERROR(__xludf.DUMMYFUNCTION("""COMPUTED_VALUE"""),7.8262644)</f>
        <v>7.8262644</v>
      </c>
      <c r="D790" s="7">
        <f>IFERROR(__xludf.DUMMYFUNCTION("""COMPUTED_VALUE"""),0.418181818181818)</f>
        <v>0.4181818182</v>
      </c>
    </row>
    <row r="791">
      <c r="A791" s="10" t="s">
        <v>2230</v>
      </c>
      <c r="B791" s="7" t="str">
        <f>IFERROR(__xludf.DUMMYFUNCTION("SPLIT(A791,"" "")"),"Cc1ccc(CN2CCN(C)CCN(C)CC2)c(-c2cccc3c2OCCOCCOCCOCCOCCO3)n1")</f>
        <v>Cc1ccc(CN2CCN(C)CCN(C)CC2)c(-c2cccc3c2OCCOCCOCCOCCOCCO3)n1</v>
      </c>
      <c r="C791" s="7">
        <f>IFERROR(__xludf.DUMMYFUNCTION("""COMPUTED_VALUE"""),7.8262544)</f>
        <v>7.8262544</v>
      </c>
      <c r="D791" s="7">
        <f>IFERROR(__xludf.DUMMYFUNCTION("""COMPUTED_VALUE"""),0.425925925925925)</f>
        <v>0.4259259259</v>
      </c>
    </row>
    <row r="792">
      <c r="A792" s="10" t="s">
        <v>2231</v>
      </c>
      <c r="B792" s="7" t="str">
        <f>IFERROR(__xludf.DUMMYFUNCTION("SPLIT(A792,"" "")"),"CN1CCN(C)CCN(Cc2ccc(N(C)CF)cn2)CC1")</f>
        <v>CN1CCN(C)CCN(Cc2ccc(N(C)CF)cn2)CC1</v>
      </c>
      <c r="C792" s="7">
        <f>IFERROR(__xludf.DUMMYFUNCTION("""COMPUTED_VALUE"""),7.826254)</f>
        <v>7.826254</v>
      </c>
      <c r="D792" s="7">
        <f>IFERROR(__xludf.DUMMYFUNCTION("""COMPUTED_VALUE"""),0.488372093023255)</f>
        <v>0.488372093</v>
      </c>
    </row>
    <row r="793">
      <c r="A793" s="10" t="s">
        <v>2232</v>
      </c>
      <c r="B793" s="7" t="str">
        <f>IFERROR(__xludf.DUMMYFUNCTION("SPLIT(A793,"" "")"),"Cc1ccnc(CN(C)C2CCCC(N(C)C)C2)c1")</f>
        <v>Cc1ccnc(CN(C)C2CCCC(N(C)C)C2)c1</v>
      </c>
      <c r="C793" s="7">
        <f>IFERROR(__xludf.DUMMYFUNCTION("""COMPUTED_VALUE"""),7.826251)</f>
        <v>7.826251</v>
      </c>
      <c r="D793" s="7">
        <f>IFERROR(__xludf.DUMMYFUNCTION("""COMPUTED_VALUE"""),0.404255319148936)</f>
        <v>0.4042553191</v>
      </c>
    </row>
    <row r="794">
      <c r="A794" s="10" t="s">
        <v>2233</v>
      </c>
      <c r="B794" s="7" t="str">
        <f>IFERROR(__xludf.DUMMYFUNCTION("SPLIT(A794,"" "")"),"CC(C)Nc1ncccc1CN1CCN(C)CCN(C)CC1")</f>
        <v>CC(C)Nc1ncccc1CN1CCN(C)CCN(C)CC1</v>
      </c>
      <c r="C794" s="7">
        <f>IFERROR(__xludf.DUMMYFUNCTION("""COMPUTED_VALUE"""),7.8262486)</f>
        <v>7.8262486</v>
      </c>
      <c r="D794" s="7">
        <f>IFERROR(__xludf.DUMMYFUNCTION("""COMPUTED_VALUE"""),0.488372093023255)</f>
        <v>0.488372093</v>
      </c>
    </row>
    <row r="795">
      <c r="A795" s="10" t="s">
        <v>2234</v>
      </c>
      <c r="B795" s="7" t="str">
        <f>IFERROR(__xludf.DUMMYFUNCTION("SPLIT(A795,"" "")"),"Cc1cnc(C)c(CN2CCN(C)CCN(C(C)C)CC2)c1")</f>
        <v>Cc1cnc(C)c(CN2CCN(C)CCN(C(C)C)CC2)c1</v>
      </c>
      <c r="C795" s="7">
        <f>IFERROR(__xludf.DUMMYFUNCTION("""COMPUTED_VALUE"""),7.8262243)</f>
        <v>7.8262243</v>
      </c>
      <c r="D795" s="7">
        <f>IFERROR(__xludf.DUMMYFUNCTION("""COMPUTED_VALUE"""),0.425531914893617)</f>
        <v>0.4255319149</v>
      </c>
    </row>
    <row r="796">
      <c r="A796" s="10" t="s">
        <v>2235</v>
      </c>
      <c r="B796" s="7" t="str">
        <f>IFERROR(__xludf.DUMMYFUNCTION("SPLIT(A796,"" "")"),"Cc1ccc2c(c1NCc1ccccn1)OCCOCCOCCOCCOCCO2")</f>
        <v>Cc1ccc2c(c1NCc1ccccn1)OCCOCCOCCOCCOCCO2</v>
      </c>
      <c r="C796" s="7">
        <f>IFERROR(__xludf.DUMMYFUNCTION("""COMPUTED_VALUE"""),7.8261476)</f>
        <v>7.8261476</v>
      </c>
      <c r="D796" s="7">
        <f>IFERROR(__xludf.DUMMYFUNCTION("""COMPUTED_VALUE"""),0.361702127659574)</f>
        <v>0.3617021277</v>
      </c>
    </row>
    <row r="797">
      <c r="A797" s="10" t="s">
        <v>2236</v>
      </c>
      <c r="B797" s="7" t="str">
        <f>IFERROR(__xludf.DUMMYFUNCTION("SPLIT(A797,"" "")"),"CN(CCNCc1ncccc1-c1ccc2c(c1)OCCOCCOCCOCCOCCO2)c1ccc2c(c1)OCCOCCOCCOCCOCCO2")</f>
        <v>CN(CCNCc1ncccc1-c1ccc2c(c1)OCCOCCOCCOCCOCCO2)c1ccc2c(c1)OCCOCCOCCOCCOCCO2</v>
      </c>
      <c r="C797" s="7">
        <f>IFERROR(__xludf.DUMMYFUNCTION("""COMPUTED_VALUE"""),7.8260984)</f>
        <v>7.8260984</v>
      </c>
      <c r="D797" s="7">
        <f>IFERROR(__xludf.DUMMYFUNCTION("""COMPUTED_VALUE"""),0.315068493150684)</f>
        <v>0.3150684932</v>
      </c>
    </row>
    <row r="798">
      <c r="A798" s="10" t="s">
        <v>2237</v>
      </c>
      <c r="B798" s="7" t="str">
        <f>IFERROR(__xludf.DUMMYFUNCTION("SPLIT(A798,"" "")"),"CC1=CC(CN(C)C2CCCC(N(Cc3ccccn3)Cc3cccc(C)n3)C2)C(C)C(C)(C)C1")</f>
        <v>CC1=CC(CN(C)C2CCCC(N(Cc3ccccn3)Cc3cccc(C)n3)C2)C(C)C(C)(C)C1</v>
      </c>
      <c r="C798" s="7">
        <f>IFERROR(__xludf.DUMMYFUNCTION("""COMPUTED_VALUE"""),7.8260474)</f>
        <v>7.8260474</v>
      </c>
      <c r="D798" s="7">
        <f>IFERROR(__xludf.DUMMYFUNCTION("""COMPUTED_VALUE"""),0.390625)</f>
        <v>0.390625</v>
      </c>
    </row>
    <row r="799">
      <c r="A799" s="10" t="s">
        <v>2238</v>
      </c>
      <c r="B799" s="7" t="str">
        <f>IFERROR(__xludf.DUMMYFUNCTION("SPLIT(A799,"" "")"),"CC1C=CCC(c2ccc(CN(Cc3ccccn3)C3CCCCC3)cn2)C1C")</f>
        <v>CC1C=CCC(c2ccc(CN(Cc3ccccn3)C3CCCCC3)cn2)C1C</v>
      </c>
      <c r="C799" s="7">
        <f>IFERROR(__xludf.DUMMYFUNCTION("""COMPUTED_VALUE"""),7.8260007)</f>
        <v>7.8260007</v>
      </c>
      <c r="D799" s="7">
        <f>IFERROR(__xludf.DUMMYFUNCTION("""COMPUTED_VALUE"""),0.383333333333333)</f>
        <v>0.3833333333</v>
      </c>
    </row>
    <row r="800">
      <c r="A800" s="10" t="s">
        <v>2239</v>
      </c>
      <c r="B800" s="7" t="str">
        <f>IFERROR(__xludf.DUMMYFUNCTION("SPLIT(A800,"" "")"),"CN(CCN(C)C(C)(C)c1ccccn1)C1CCC(N(C)Cc2ccccn2)CC1")</f>
        <v>CN(CCN(C)C(C)(C)c1ccccn1)C1CCC(N(C)Cc2ccccn2)CC1</v>
      </c>
      <c r="C800" s="7">
        <f>IFERROR(__xludf.DUMMYFUNCTION("""COMPUTED_VALUE"""),7.825989)</f>
        <v>7.825989</v>
      </c>
      <c r="D800" s="7">
        <f>IFERROR(__xludf.DUMMYFUNCTION("""COMPUTED_VALUE"""),0.5)</f>
        <v>0.5</v>
      </c>
    </row>
    <row r="801">
      <c r="A801" s="10" t="s">
        <v>2240</v>
      </c>
      <c r="B801" s="7" t="str">
        <f>IFERROR(__xludf.DUMMYFUNCTION("SPLIT(A801,"" "")"),"COC(=O)C(C)NCc1cc(CN2CCN(C)CCN(C)CC2)ccn1")</f>
        <v>COC(=O)C(C)NCc1cc(CN2CCN(C)CCN(C)CC2)ccn1</v>
      </c>
      <c r="C801" s="7">
        <f>IFERROR(__xludf.DUMMYFUNCTION("""COMPUTED_VALUE"""),7.8259754)</f>
        <v>7.8259754</v>
      </c>
      <c r="D801" s="7">
        <f>IFERROR(__xludf.DUMMYFUNCTION("""COMPUTED_VALUE"""),0.491228070175438)</f>
        <v>0.4912280702</v>
      </c>
    </row>
    <row r="802">
      <c r="A802" s="10" t="s">
        <v>2241</v>
      </c>
      <c r="B802" s="7" t="str">
        <f>IFERROR(__xludf.DUMMYFUNCTION("SPLIT(A802,"" "")"),"Cc1cc2c(cc1NCc1ccccn1)OCCOCCOCCOCCOCCO2")</f>
        <v>Cc1cc2c(cc1NCc1ccccn1)OCCOCCOCCOCCOCCO2</v>
      </c>
      <c r="C802" s="7">
        <f>IFERROR(__xludf.DUMMYFUNCTION("""COMPUTED_VALUE"""),7.825944)</f>
        <v>7.825944</v>
      </c>
      <c r="D802" s="7">
        <f>IFERROR(__xludf.DUMMYFUNCTION("""COMPUTED_VALUE"""),0.377777777777777)</f>
        <v>0.3777777778</v>
      </c>
    </row>
    <row r="803">
      <c r="A803" s="10" t="s">
        <v>2242</v>
      </c>
      <c r="B803" s="7" t="str">
        <f>IFERROR(__xludf.DUMMYFUNCTION("SPLIT(A803,"" "")"),"CC(N)C(C)(c1cccnc1)C(C)N(C)C1CCC(N(C)Cc2cccc(-c3ccc4c(c3)OCCOCCOCCOCCOCCO4)n2)CC1")</f>
        <v>CC(N)C(C)(c1cccnc1)C(C)N(C)C1CCC(N(C)Cc2cccc(-c3ccc4c(c3)OCCOCCOCCOCCOCCO4)n2)CC1</v>
      </c>
      <c r="C803" s="7">
        <f>IFERROR(__xludf.DUMMYFUNCTION("""COMPUTED_VALUE"""),7.825923)</f>
        <v>7.825923</v>
      </c>
      <c r="D803" s="7">
        <f>IFERROR(__xludf.DUMMYFUNCTION("""COMPUTED_VALUE"""),0.295454545454545)</f>
        <v>0.2954545455</v>
      </c>
    </row>
    <row r="804">
      <c r="A804" s="10" t="s">
        <v>2243</v>
      </c>
      <c r="B804" s="7" t="str">
        <f>IFERROR(__xludf.DUMMYFUNCTION("SPLIT(A804,"" "")"),"CN(Cc1ccc(Cl)cn1)C1COCCOCCOCCOc2ccccc2OCCO1")</f>
        <v>CN(Cc1ccc(Cl)cn1)C1COCCOCCOCCOc2ccccc2OCCO1</v>
      </c>
      <c r="C804" s="7">
        <f>IFERROR(__xludf.DUMMYFUNCTION("""COMPUTED_VALUE"""),7.8259053)</f>
        <v>7.8259053</v>
      </c>
      <c r="D804" s="7">
        <f>IFERROR(__xludf.DUMMYFUNCTION("""COMPUTED_VALUE"""),0.344827586206896)</f>
        <v>0.3448275862</v>
      </c>
    </row>
    <row r="805">
      <c r="A805" s="10" t="s">
        <v>2244</v>
      </c>
      <c r="B805" s="7" t="str">
        <f>IFERROR(__xludf.DUMMYFUNCTION("SPLIT(A805,"" "")"),"CN(Cc1cccc(-c2ccc3c(c2)OCCOCCOCCOCCOCCO3)n1)C1COCCOCCOCCOCCOc2ccccc2O1")</f>
        <v>CN(Cc1cccc(-c2ccc3c(c2)OCCOCCOCCOCCOCCO3)n1)C1COCCOCCOCCOCCOc2ccccc2O1</v>
      </c>
      <c r="C805" s="7">
        <f>IFERROR(__xludf.DUMMYFUNCTION("""COMPUTED_VALUE"""),7.8258967)</f>
        <v>7.8258967</v>
      </c>
      <c r="D805" s="7">
        <f>IFERROR(__xludf.DUMMYFUNCTION("""COMPUTED_VALUE"""),0.338028169014084)</f>
        <v>0.338028169</v>
      </c>
    </row>
    <row r="806">
      <c r="A806" s="10" t="s">
        <v>2245</v>
      </c>
      <c r="B806" s="7" t="str">
        <f>IFERROR(__xludf.DUMMYFUNCTION("SPLIT(A806,"" "")"),"CNCCN(Cc1ccccn1)C1CCCCC1N(C)Cc1cccc(-c2cccc3c2OCCOCCOCCOCCOCCO3)n1")</f>
        <v>CNCCN(Cc1ccccn1)C1CCCCC1N(C)Cc1cccc(-c2cccc3c2OCCOCCOCCOCCOCCO3)n1</v>
      </c>
      <c r="C806" s="7">
        <f>IFERROR(__xludf.DUMMYFUNCTION("""COMPUTED_VALUE"""),7.8258443)</f>
        <v>7.8258443</v>
      </c>
      <c r="D806" s="7">
        <f>IFERROR(__xludf.DUMMYFUNCTION("""COMPUTED_VALUE"""),0.454545454545454)</f>
        <v>0.4545454545</v>
      </c>
    </row>
    <row r="807">
      <c r="A807" s="10" t="s">
        <v>2246</v>
      </c>
      <c r="B807" s="7" t="str">
        <f>IFERROR(__xludf.DUMMYFUNCTION("SPLIT(A807,"" "")"),"Cc1ccc(CN2CCN(C)CCN(CN(C)C3CCCC(N(C)Cc4cc(C)c(C)c(C)n4)C3)CC2)cn1")</f>
        <v>Cc1ccc(CN2CCN(C)CCN(CN(C)C3CCCC(N(C)Cc4cc(C)c(C)c(C)n4)C3)CC2)cn1</v>
      </c>
      <c r="C807" s="7">
        <f>IFERROR(__xludf.DUMMYFUNCTION("""COMPUTED_VALUE"""),7.82584)</f>
        <v>7.82584</v>
      </c>
      <c r="D807" s="7">
        <f>IFERROR(__xludf.DUMMYFUNCTION("""COMPUTED_VALUE"""),0.313432835820895)</f>
        <v>0.3134328358</v>
      </c>
    </row>
    <row r="808">
      <c r="A808" s="10" t="s">
        <v>2247</v>
      </c>
      <c r="B808" s="7" t="str">
        <f>IFERROR(__xludf.DUMMYFUNCTION("SPLIT(A808,"" "")"),"Cc1cccnc1CN(C)C1CCCC(N(C)C)C1")</f>
        <v>Cc1cccnc1CN(C)C1CCCC(N(C)C)C1</v>
      </c>
      <c r="C808" s="7">
        <f>IFERROR(__xludf.DUMMYFUNCTION("""COMPUTED_VALUE"""),7.825833)</f>
        <v>7.825833</v>
      </c>
      <c r="D808" s="7">
        <f>IFERROR(__xludf.DUMMYFUNCTION("""COMPUTED_VALUE"""),0.375)</f>
        <v>0.375</v>
      </c>
    </row>
    <row r="809">
      <c r="A809" s="10" t="s">
        <v>2248</v>
      </c>
      <c r="B809" s="7" t="str">
        <f>IFERROR(__xludf.DUMMYFUNCTION("SPLIT(A809,"" "")"),"CN1CCN(C)CCN(CC2CCC(N(C)C(c3ccccn3)c3ccccn3)N2)CC1")</f>
        <v>CN1CCN(C)CCN(CC2CCC(N(C)C(c3ccccn3)c3ccccn3)N2)CC1</v>
      </c>
      <c r="C809" s="7">
        <f>IFERROR(__xludf.DUMMYFUNCTION("""COMPUTED_VALUE"""),7.825816)</f>
        <v>7.825816</v>
      </c>
      <c r="D809" s="7">
        <f>IFERROR(__xludf.DUMMYFUNCTION("""COMPUTED_VALUE"""),0.403508771929824)</f>
        <v>0.4035087719</v>
      </c>
    </row>
    <row r="810">
      <c r="A810" s="10" t="s">
        <v>2249</v>
      </c>
      <c r="B810" s="7" t="str">
        <f>IFERROR(__xludf.DUMMYFUNCTION("SPLIT(A810,"" "")"),"Cc1cnc(CN(C)C2CCCC(N(C)CN3CCN(C)CCN(Cc4ccc(-c5cccc6c5OCCOCCOCCOCCOCCO6)nc4)CC3)C2)c(C)c1C")</f>
        <v>Cc1cnc(CN(C)C2CCCC(N(C)CN3CCN(C)CCN(Cc4ccc(-c5cccc6c5OCCOCCOCCOCCOCCO6)nc4)CC3)C2)c(C)c1C</v>
      </c>
      <c r="C810" s="7">
        <f>IFERROR(__xludf.DUMMYFUNCTION("""COMPUTED_VALUE"""),7.825807)</f>
        <v>7.825807</v>
      </c>
      <c r="D810" s="7">
        <f>IFERROR(__xludf.DUMMYFUNCTION("""COMPUTED_VALUE"""),0.285714285714285)</f>
        <v>0.2857142857</v>
      </c>
    </row>
    <row r="811">
      <c r="A811" s="10" t="s">
        <v>2250</v>
      </c>
      <c r="B811" s="7" t="str">
        <f>IFERROR(__xludf.DUMMYFUNCTION("SPLIT(A811,"" "")"),"COC(=O)C(C)NCc1ncccc1CN1CCN(C)CCN(C)CC1")</f>
        <v>COC(=O)C(C)NCc1ncccc1CN1CCN(C)CCN(C)CC1</v>
      </c>
      <c r="C811" s="7">
        <f>IFERROR(__xludf.DUMMYFUNCTION("""COMPUTED_VALUE"""),7.825756)</f>
        <v>7.825756</v>
      </c>
      <c r="D811" s="7">
        <f>IFERROR(__xludf.DUMMYFUNCTION("""COMPUTED_VALUE"""),0.396226415094339)</f>
        <v>0.3962264151</v>
      </c>
    </row>
    <row r="812">
      <c r="A812" s="10" t="s">
        <v>2251</v>
      </c>
      <c r="B812" s="7" t="str">
        <f>IFERROR(__xludf.DUMMYFUNCTION("SPLIT(A812,"" "")"),"CN(Cc1cccc(-c2cccc3c2OCCOCCOCCOCCOCCO3)n1)C1CCC(N(C)CN(C)C2CCCC(N(C)Cc3cccc(-c4cccc5c4OCCOCCOCCOCCOCCO5)n3)C2)CC1")</f>
        <v>CN(Cc1cccc(-c2cccc3c2OCCOCCOCCOCCOCCO3)n1)C1CCC(N(C)CN(C)C2CCCC(N(C)Cc3cccc(-c4cccc5c4OCCOCCOCCOCCOCCO5)n3)C2)CC1</v>
      </c>
      <c r="C812" s="7">
        <f>IFERROR(__xludf.DUMMYFUNCTION("""COMPUTED_VALUE"""),7.825733)</f>
        <v>7.825733</v>
      </c>
      <c r="D812" s="7">
        <f>IFERROR(__xludf.DUMMYFUNCTION("""COMPUTED_VALUE"""),0.338709677419354)</f>
        <v>0.3387096774</v>
      </c>
    </row>
    <row r="813">
      <c r="A813" s="10" t="s">
        <v>2252</v>
      </c>
      <c r="B813" s="7" t="str">
        <f>IFERROR(__xludf.DUMMYFUNCTION("SPLIT(A813,"" "")"),"Cc1ncc(CN2CCN(C)CCN(C)CC2)cc1N")</f>
        <v>Cc1ncc(CN2CCN(C)CCN(C)CC2)cc1N</v>
      </c>
      <c r="C813" s="7">
        <f>IFERROR(__xludf.DUMMYFUNCTION("""COMPUTED_VALUE"""),7.8257294)</f>
        <v>7.8257294</v>
      </c>
      <c r="D813" s="7">
        <f>IFERROR(__xludf.DUMMYFUNCTION("""COMPUTED_VALUE"""),0.441860465116279)</f>
        <v>0.4418604651</v>
      </c>
    </row>
    <row r="814">
      <c r="A814" s="10" t="s">
        <v>2253</v>
      </c>
      <c r="B814" s="7" t="str">
        <f>IFERROR(__xludf.DUMMYFUNCTION("SPLIT(A814,"" "")"),"CN(c1cccc2c1OCCOCCOCCOCCOCCO2)C1CCCCC1N(Cc1ccc(F)nc1)Cc1ccccn1")</f>
        <v>CN(c1cccc2c1OCCOCCOCCOCCOCCO2)C1CCCCC1N(Cc1ccc(F)nc1)Cc1ccccn1</v>
      </c>
      <c r="C814" s="7">
        <f>IFERROR(__xludf.DUMMYFUNCTION("""COMPUTED_VALUE"""),7.825715)</f>
        <v>7.825715</v>
      </c>
      <c r="D814" s="7">
        <f>IFERROR(__xludf.DUMMYFUNCTION("""COMPUTED_VALUE"""),0.388059701492537)</f>
        <v>0.3880597015</v>
      </c>
    </row>
    <row r="815">
      <c r="A815" s="10" t="s">
        <v>2254</v>
      </c>
      <c r="B815" s="7" t="str">
        <f>IFERROR(__xludf.DUMMYFUNCTION("SPLIT(A815,"" "")"),"Cc1cccc(N2CCN(C)CCN(C(C)C)CC2)c1")</f>
        <v>Cc1cccc(N2CCN(C)CCN(C(C)C)CC2)c1</v>
      </c>
      <c r="C815" s="7">
        <f>IFERROR(__xludf.DUMMYFUNCTION("""COMPUTED_VALUE"""),7.8256736)</f>
        <v>7.8256736</v>
      </c>
      <c r="D815" s="7">
        <f>IFERROR(__xludf.DUMMYFUNCTION("""COMPUTED_VALUE"""),0.319148936170212)</f>
        <v>0.3191489362</v>
      </c>
    </row>
    <row r="816">
      <c r="A816" s="10" t="s">
        <v>2255</v>
      </c>
      <c r="B816" s="7" t="str">
        <f>IFERROR(__xludf.DUMMYFUNCTION("SPLIT(A816,"" "")"),"CC1C=CC(C)C(C)(c2cc(CN3CCN(C)CCN(C)CC3)ccn2)C1")</f>
        <v>CC1C=CC(C)C(C)(c2cc(CN3CCN(C)CCN(C)CC3)ccn2)C1</v>
      </c>
      <c r="C816" s="7">
        <f>IFERROR(__xludf.DUMMYFUNCTION("""COMPUTED_VALUE"""),7.8256707)</f>
        <v>7.8256707</v>
      </c>
      <c r="D816" s="7">
        <f>IFERROR(__xludf.DUMMYFUNCTION("""COMPUTED_VALUE"""),0.396226415094339)</f>
        <v>0.3962264151</v>
      </c>
    </row>
    <row r="817">
      <c r="A817" s="10" t="s">
        <v>2256</v>
      </c>
      <c r="B817" s="7" t="str">
        <f>IFERROR(__xludf.DUMMYFUNCTION("SPLIT(A817,"" "")"),"CN(c1ccc2nc(CF)ccc2c1)C1CCCCC1N(C)C1COCC(N)OCCOC=COCCOCCO1")</f>
        <v>CN(c1ccc2nc(CF)ccc2c1)C1CCCCC1N(C)C1COCC(N)OCCOC=COCCOCCO1</v>
      </c>
      <c r="C817" s="7">
        <f>IFERROR(__xludf.DUMMYFUNCTION("""COMPUTED_VALUE"""),7.8256664)</f>
        <v>7.8256664</v>
      </c>
      <c r="D817" s="7">
        <f>IFERROR(__xludf.DUMMYFUNCTION("""COMPUTED_VALUE"""),0.388888888888888)</f>
        <v>0.3888888889</v>
      </c>
    </row>
    <row r="818">
      <c r="A818" s="10" t="s">
        <v>2257</v>
      </c>
      <c r="B818" s="7" t="str">
        <f>IFERROR(__xludf.DUMMYFUNCTION("SPLIT(A818,"" "")"),"CNCCN(Cc1ccccn1)C1CCCCC1N(C)Cc1ncccc1-c1cccc2c1OCCOCCOCCOCCOCCO2")</f>
        <v>CNCCN(Cc1ccccn1)C1CCCCC1N(C)Cc1ncccc1-c1cccc2c1OCCOCCOCCOCCOCCO2</v>
      </c>
      <c r="C818" s="7">
        <f>IFERROR(__xludf.DUMMYFUNCTION("""COMPUTED_VALUE"""),7.8256283)</f>
        <v>7.8256283</v>
      </c>
      <c r="D818" s="7">
        <f>IFERROR(__xludf.DUMMYFUNCTION("""COMPUTED_VALUE"""),0.439393939393939)</f>
        <v>0.4393939394</v>
      </c>
    </row>
    <row r="819">
      <c r="A819" s="10" t="s">
        <v>2258</v>
      </c>
      <c r="B819" s="7" t="str">
        <f>IFERROR(__xludf.DUMMYFUNCTION("SPLIT(A819,"" "")"),"CN1CCN(C)CCN(Cc2cnccc2C(C)(C)C)CC1")</f>
        <v>CN1CCN(C)CCN(Cc2cnccc2C(C)(C)C)CC1</v>
      </c>
      <c r="C819" s="7">
        <f>IFERROR(__xludf.DUMMYFUNCTION("""COMPUTED_VALUE"""),7.825627)</f>
        <v>7.825627</v>
      </c>
      <c r="D819" s="7">
        <f>IFERROR(__xludf.DUMMYFUNCTION("""COMPUTED_VALUE"""),0.41860465116279)</f>
        <v>0.4186046512</v>
      </c>
    </row>
    <row r="820">
      <c r="A820" s="10" t="s">
        <v>2259</v>
      </c>
      <c r="B820" s="7" t="str">
        <f>IFERROR(__xludf.DUMMYFUNCTION("SPLIT(A820,"" "")"),"CN(C)Cc1ncccc1CN1CCN(C)CCN(C)CC1")</f>
        <v>CN(C)Cc1ncccc1CN1CCN(C)CCN(C)CC1</v>
      </c>
      <c r="C820" s="7">
        <f>IFERROR(__xludf.DUMMYFUNCTION("""COMPUTED_VALUE"""),7.8255777)</f>
        <v>7.8255777</v>
      </c>
      <c r="D820" s="7">
        <f>IFERROR(__xludf.DUMMYFUNCTION("""COMPUTED_VALUE"""),0.5)</f>
        <v>0.5</v>
      </c>
    </row>
    <row r="821">
      <c r="A821" s="10" t="s">
        <v>2260</v>
      </c>
      <c r="B821" s="7" t="str">
        <f>IFERROR(__xludf.DUMMYFUNCTION("SPLIT(A821,"" "")"),"CC(C)N(CCN(Cc1ccccn1)C(C)(N)N(Cc1cccc2c1OCCOCCOCCOCCOCCO2)C(C)C)Cc1ccccn1")</f>
        <v>CC(C)N(CCN(Cc1ccccn1)C(C)(N)N(Cc1cccc2c1OCCOCCOCCOCCOCCO2)C(C)C)Cc1ccccn1</v>
      </c>
      <c r="C821" s="7">
        <f>IFERROR(__xludf.DUMMYFUNCTION("""COMPUTED_VALUE"""),7.8255663)</f>
        <v>7.8255663</v>
      </c>
      <c r="D821" s="7">
        <f>IFERROR(__xludf.DUMMYFUNCTION("""COMPUTED_VALUE"""),0.45)</f>
        <v>0.45</v>
      </c>
    </row>
    <row r="822">
      <c r="A822" s="10" t="s">
        <v>2261</v>
      </c>
      <c r="B822" s="7" t="str">
        <f>IFERROR(__xludf.DUMMYFUNCTION("SPLIT(A822,"" "")"),"CN(C)C1CCC(N(C)Cc2cccc(-c3ccc4c(c3)OCCOCCOCCOCCOCCO4)n2)CC1")</f>
        <v>CN(C)C1CCC(N(C)Cc2cccc(-c3ccc4c(c3)OCCOCCOCCOCCOCCO4)n2)CC1</v>
      </c>
      <c r="C822" s="7">
        <f>IFERROR(__xludf.DUMMYFUNCTION("""COMPUTED_VALUE"""),7.8255563)</f>
        <v>7.8255563</v>
      </c>
      <c r="D822" s="7">
        <f>IFERROR(__xludf.DUMMYFUNCTION("""COMPUTED_VALUE"""),0.373134328358209)</f>
        <v>0.3731343284</v>
      </c>
    </row>
    <row r="823">
      <c r="A823" s="10" t="s">
        <v>2262</v>
      </c>
      <c r="B823" s="7" t="str">
        <f>IFERROR(__xludf.DUMMYFUNCTION("SPLIT(A823,"" "")"),"C=CCN(Cc1ccccn1)C1CCCCC1N(C)Cc1cccc(-c2ccc3c(c2)OCCOCCOCCOCCOCCO3)n1")</f>
        <v>C=CCN(Cc1ccccn1)C1CCCCC1N(C)Cc1cccc(-c2ccc3c(c2)OCCOCCOCCOCCOCCO3)n1</v>
      </c>
      <c r="C823" s="7">
        <f>IFERROR(__xludf.DUMMYFUNCTION("""COMPUTED_VALUE"""),7.825535)</f>
        <v>7.825535</v>
      </c>
      <c r="D823" s="7">
        <f>IFERROR(__xludf.DUMMYFUNCTION("""COMPUTED_VALUE"""),0.461538461538461)</f>
        <v>0.4615384615</v>
      </c>
    </row>
    <row r="824">
      <c r="A824" s="10" t="s">
        <v>2263</v>
      </c>
      <c r="B824" s="7" t="str">
        <f>IFERROR(__xludf.DUMMYFUNCTION("SPLIT(A824,"" "")"),"CN(C)Cc1cncc(CN2CCN(C)CCN(C)CC2)c1")</f>
        <v>CN(C)Cc1cncc(CN2CCN(C)CCN(C)CC2)c1</v>
      </c>
      <c r="C824" s="7">
        <f>IFERROR(__xludf.DUMMYFUNCTION("""COMPUTED_VALUE"""),7.825499)</f>
        <v>7.825499</v>
      </c>
      <c r="D824" s="7">
        <f>IFERROR(__xludf.DUMMYFUNCTION("""COMPUTED_VALUE"""),0.409090909090909)</f>
        <v>0.4090909091</v>
      </c>
    </row>
    <row r="825">
      <c r="A825" s="10" t="s">
        <v>2264</v>
      </c>
      <c r="B825" s="7" t="str">
        <f>IFERROR(__xludf.DUMMYFUNCTION("SPLIT(A825,"" "")"),"Cc1ccc(C)c(CN(C)C2CCCC(N(C)CCF)C2)n1")</f>
        <v>Cc1ccc(C)c(CN(C)C2CCCC(N(C)CCF)C2)n1</v>
      </c>
      <c r="C825" s="7">
        <f>IFERROR(__xludf.DUMMYFUNCTION("""COMPUTED_VALUE"""),7.8254786)</f>
        <v>7.8254786</v>
      </c>
      <c r="D825" s="7">
        <f>IFERROR(__xludf.DUMMYFUNCTION("""COMPUTED_VALUE"""),0.346153846153846)</f>
        <v>0.3461538462</v>
      </c>
    </row>
    <row r="826">
      <c r="A826" s="10" t="s">
        <v>2265</v>
      </c>
      <c r="B826" s="7" t="str">
        <f>IFERROR(__xludf.DUMMYFUNCTION("SPLIT(A826,"" "")"),"CC1C=CC(C)C(C)(N(C)CCN(C)CC(C)(C)C)C1")</f>
        <v>CC1C=CC(C)C(C)(N(C)CCN(C)CC(C)(C)C)C1</v>
      </c>
      <c r="C826" s="7">
        <f>IFERROR(__xludf.DUMMYFUNCTION("""COMPUTED_VALUE"""),7.8254614)</f>
        <v>7.8254614</v>
      </c>
      <c r="D826" s="7">
        <f>IFERROR(__xludf.DUMMYFUNCTION("""COMPUTED_VALUE"""),0.188679245283018)</f>
        <v>0.1886792453</v>
      </c>
    </row>
    <row r="827">
      <c r="A827" s="10" t="s">
        <v>2266</v>
      </c>
      <c r="B827" s="7" t="str">
        <f>IFERROR(__xludf.DUMMYFUNCTION("SPLIT(A827,"" "")"),"CC1C=CC(C)(C)C(C)C1(C)N(C)Cc1cccc(-c2cccc3c2OCCOCCOCCOCCOCCO3)n1")</f>
        <v>CC1C=CC(C)(C)C(C)C1(C)N(C)Cc1cccc(-c2cccc3c2OCCOCCOCCOCCOCCO3)n1</v>
      </c>
      <c r="C827" s="7">
        <f>IFERROR(__xludf.DUMMYFUNCTION("""COMPUTED_VALUE"""),7.8254023)</f>
        <v>7.8254023</v>
      </c>
      <c r="D827" s="7">
        <f>IFERROR(__xludf.DUMMYFUNCTION("""COMPUTED_VALUE"""),0.260869565217391)</f>
        <v>0.2608695652</v>
      </c>
    </row>
    <row r="828">
      <c r="A828" s="10" t="s">
        <v>2267</v>
      </c>
      <c r="B828" s="7" t="str">
        <f>IFERROR(__xludf.DUMMYFUNCTION("SPLIT(A828,"" "")"),"CC(C)c1ccc(CN2CCN(C)CCN(C(C)C)CC2)cn1")</f>
        <v>CC(C)c1ccc(CN2CCN(C)CCN(C(C)C)CC2)cn1</v>
      </c>
      <c r="C828" s="7">
        <f>IFERROR(__xludf.DUMMYFUNCTION("""COMPUTED_VALUE"""),7.8253417)</f>
        <v>7.8253417</v>
      </c>
      <c r="D828" s="7">
        <f>IFERROR(__xludf.DUMMYFUNCTION("""COMPUTED_VALUE"""),0.446808510638297)</f>
        <v>0.4468085106</v>
      </c>
    </row>
    <row r="829">
      <c r="A829" s="10" t="s">
        <v>2268</v>
      </c>
      <c r="B829" s="7" t="str">
        <f>IFERROR(__xludf.DUMMYFUNCTION("SPLIT(A829,"" "")"),"Cc1nc(CN(C)C2CCCCC2N(C)CCN(C)C2(C)CCC2)c(C)c(C)c1C")</f>
        <v>Cc1nc(CN(C)C2CCCCC2N(C)CCN(C)C2(C)CCC2)c(C)c(C)c1C</v>
      </c>
      <c r="C829" s="7">
        <f>IFERROR(__xludf.DUMMYFUNCTION("""COMPUTED_VALUE"""),7.8252773)</f>
        <v>7.8252773</v>
      </c>
      <c r="D829" s="7">
        <f>IFERROR(__xludf.DUMMYFUNCTION("""COMPUTED_VALUE"""),0.351851851851851)</f>
        <v>0.3518518519</v>
      </c>
    </row>
    <row r="830">
      <c r="A830" s="10" t="s">
        <v>2269</v>
      </c>
      <c r="B830" s="7" t="str">
        <f>IFERROR(__xludf.DUMMYFUNCTION("SPLIT(A830,"" "")"),"CC(C)N(C)C1=CCC=C(CN2CCN(C)CCN(C)CC2)N1")</f>
        <v>CC(C)N(C)C1=CCC=C(CN2CCN(C)CCN(C)CC2)N1</v>
      </c>
      <c r="C830" s="7">
        <f>IFERROR(__xludf.DUMMYFUNCTION("""COMPUTED_VALUE"""),7.8252373)</f>
        <v>7.8252373</v>
      </c>
      <c r="D830" s="7">
        <f>IFERROR(__xludf.DUMMYFUNCTION("""COMPUTED_VALUE"""),0.4)</f>
        <v>0.4</v>
      </c>
    </row>
    <row r="831">
      <c r="A831" s="10" t="s">
        <v>2270</v>
      </c>
      <c r="B831" s="7" t="str">
        <f>IFERROR(__xludf.DUMMYFUNCTION("SPLIT(A831,"" "")"),"CC(CN(Cc1ccccn1)Cc1cccc(-c2ccc3c(c2)OCCOCCOCCOCCOCCO3)n1)(c1ccc2c(c1)OCCOCCOCCOCCOCCO2)c1ccc2c(c1)OCCOCCOCCOCCOCCO2")</f>
        <v>CC(CN(Cc1ccccn1)Cc1cccc(-c2ccc3c(c2)OCCOCCOCCOCCOCCO3)n1)(c1ccc2c(c1)OCCOCCOCCOCCOCCO2)c1ccc2c(c1)OCCOCCOCCOCCOCCO2</v>
      </c>
      <c r="C831" s="7">
        <f>IFERROR(__xludf.DUMMYFUNCTION("""COMPUTED_VALUE"""),7.8252273)</f>
        <v>7.8252273</v>
      </c>
      <c r="D831" s="7">
        <f>IFERROR(__xludf.DUMMYFUNCTION("""COMPUTED_VALUE"""),0.454545454545454)</f>
        <v>0.4545454545</v>
      </c>
    </row>
    <row r="832">
      <c r="A832" s="10" t="s">
        <v>2271</v>
      </c>
      <c r="B832" s="7" t="str">
        <f>IFERROR(__xludf.DUMMYFUNCTION("SPLIT(A832,"" "")"),"CN1CCN(C)CCN(Cc2cccc(CN(C)C3CCCC(N(C)Cc4cccc(-c5ccc6c(c5)OCCOCCOCCOCCOCCO6)n4)C3)n2)CC1")</f>
        <v>CN1CCN(C)CCN(Cc2cccc(CN(C)C3CCCC(N(C)Cc4cccc(-c5ccc6c(c5)OCCOCCOCCOCCOCCO6)n4)C3)n2)CC1</v>
      </c>
      <c r="C832" s="7">
        <f>IFERROR(__xludf.DUMMYFUNCTION("""COMPUTED_VALUE"""),7.8251944)</f>
        <v>7.8251944</v>
      </c>
      <c r="D832" s="7">
        <f>IFERROR(__xludf.DUMMYFUNCTION("""COMPUTED_VALUE"""),0.381578947368421)</f>
        <v>0.3815789474</v>
      </c>
    </row>
    <row r="833">
      <c r="A833" s="10" t="s">
        <v>2272</v>
      </c>
      <c r="B833" s="7" t="str">
        <f>IFERROR(__xludf.DUMMYFUNCTION("SPLIT(A833,"" "")"),"CCN(C)CCN(C)CCF")</f>
        <v>CCN(C)CCN(C)CCF</v>
      </c>
      <c r="C833" s="7">
        <f>IFERROR(__xludf.DUMMYFUNCTION("""COMPUTED_VALUE"""),7.825144)</f>
        <v>7.825144</v>
      </c>
      <c r="D833" s="7">
        <f>IFERROR(__xludf.DUMMYFUNCTION("""COMPUTED_VALUE"""),0.242424242424242)</f>
        <v>0.2424242424</v>
      </c>
    </row>
    <row r="834">
      <c r="A834" s="10" t="s">
        <v>2273</v>
      </c>
      <c r="B834" s="7" t="str">
        <f>IFERROR(__xludf.DUMMYFUNCTION("SPLIT(A834,"" "")"),"CN(C)C1CCC(N(C)Cc2ncccc2-c2ccc3c(c2)OCCOCCOCCOCCOCCO3)CC1")</f>
        <v>CN(C)C1CCC(N(C)Cc2ncccc2-c2ccc3c(c2)OCCOCCOCCOCCOCCO3)CC1</v>
      </c>
      <c r="C834" s="7">
        <f>IFERROR(__xludf.DUMMYFUNCTION("""COMPUTED_VALUE"""),7.8251367)</f>
        <v>7.8251367</v>
      </c>
      <c r="D834" s="7">
        <f>IFERROR(__xludf.DUMMYFUNCTION("""COMPUTED_VALUE"""),0.367647058823529)</f>
        <v>0.3676470588</v>
      </c>
    </row>
    <row r="835">
      <c r="A835" s="10" t="s">
        <v>2274</v>
      </c>
      <c r="B835" s="7" t="str">
        <f>IFERROR(__xludf.DUMMYFUNCTION("SPLIT(A835,"" "")"),"Cc1cnc(-c2ccc3c(c2)OCCOCCOCCOCCOCCO3)c(CN2CCN(C)CCN(C)CC2)c1")</f>
        <v>Cc1cnc(-c2ccc3c(c2)OCCOCCOCCOCCOCCO3)c(CN2CCN(C)CCN(C)CC2)c1</v>
      </c>
      <c r="C835" s="7">
        <f>IFERROR(__xludf.DUMMYFUNCTION("""COMPUTED_VALUE"""),7.8251305)</f>
        <v>7.8251305</v>
      </c>
      <c r="D835" s="7">
        <f>IFERROR(__xludf.DUMMYFUNCTION("""COMPUTED_VALUE"""),0.421875)</f>
        <v>0.421875</v>
      </c>
    </row>
    <row r="836">
      <c r="A836" s="10" t="s">
        <v>2275</v>
      </c>
      <c r="B836" s="7" t="str">
        <f>IFERROR(__xludf.DUMMYFUNCTION("SPLIT(A836,"" "")"),"CN1CCN(C)CCN(Cc2ccccc2N(C)C)CC1")</f>
        <v>CN1CCN(C)CCN(Cc2ccccc2N(C)C)CC1</v>
      </c>
      <c r="C836" s="7">
        <f>IFERROR(__xludf.DUMMYFUNCTION("""COMPUTED_VALUE"""),7.825111)</f>
        <v>7.825111</v>
      </c>
      <c r="D836" s="7">
        <f>IFERROR(__xludf.DUMMYFUNCTION("""COMPUTED_VALUE"""),0.461538461538461)</f>
        <v>0.4615384615</v>
      </c>
    </row>
    <row r="837">
      <c r="A837" s="10" t="s">
        <v>2276</v>
      </c>
      <c r="B837" s="7" t="str">
        <f>IFERROR(__xludf.DUMMYFUNCTION("SPLIT(A837,"" "")"),"Cc1ccccc1N1CCN(C)CCN(C)CC1")</f>
        <v>Cc1ccccc1N1CCN(C)CCN(C)CC1</v>
      </c>
      <c r="C837" s="7">
        <f>IFERROR(__xludf.DUMMYFUNCTION("""COMPUTED_VALUE"""),7.825051)</f>
        <v>7.825051</v>
      </c>
      <c r="D837" s="7">
        <f>IFERROR(__xludf.DUMMYFUNCTION("""COMPUTED_VALUE"""),0.451612903225806)</f>
        <v>0.4516129032</v>
      </c>
    </row>
    <row r="838">
      <c r="A838" s="10" t="s">
        <v>2277</v>
      </c>
      <c r="B838" s="7" t="str">
        <f>IFERROR(__xludf.DUMMYFUNCTION("SPLIT(A838,"" "")"),"CC(NCc1ccccn1)C(C)(C)C")</f>
        <v>CC(NCc1ccccn1)C(C)(C)C</v>
      </c>
      <c r="C838" s="7">
        <f>IFERROR(__xludf.DUMMYFUNCTION("""COMPUTED_VALUE"""),7.8250504)</f>
        <v>7.8250504</v>
      </c>
      <c r="D838" s="7">
        <f>IFERROR(__xludf.DUMMYFUNCTION("""COMPUTED_VALUE"""),0.5)</f>
        <v>0.5</v>
      </c>
    </row>
    <row r="839">
      <c r="A839" s="10" t="s">
        <v>2278</v>
      </c>
      <c r="B839" s="7" t="str">
        <f>IFERROR(__xludf.DUMMYFUNCTION("SPLIT(A839,"" "")"),"Cc1ccnc(-c2ccc3c(c2)OCCOCCOCCOCCOCCO3)c1CN1CCN(C)CCN(C)CC1")</f>
        <v>Cc1ccnc(-c2ccc3c(c2)OCCOCCOCCOCCOCCO3)c1CN1CCN(C)CCN(C)CC1</v>
      </c>
      <c r="C839" s="7">
        <f>IFERROR(__xludf.DUMMYFUNCTION("""COMPUTED_VALUE"""),7.825016)</f>
        <v>7.825016</v>
      </c>
      <c r="D839" s="7">
        <f>IFERROR(__xludf.DUMMYFUNCTION("""COMPUTED_VALUE"""),0.4)</f>
        <v>0.4</v>
      </c>
    </row>
    <row r="840">
      <c r="A840" s="10" t="s">
        <v>2279</v>
      </c>
      <c r="B840" s="7" t="str">
        <f>IFERROR(__xludf.DUMMYFUNCTION("SPLIT(A840,"" "")"),"Cc1cnc(CN2CCN(C)CCN(C(C)C)CC2)c(C)c1")</f>
        <v>Cc1cnc(CN2CCN(C)CCN(C(C)C)CC2)c(C)c1</v>
      </c>
      <c r="C840" s="7">
        <f>IFERROR(__xludf.DUMMYFUNCTION("""COMPUTED_VALUE"""),7.8250074)</f>
        <v>7.8250074</v>
      </c>
      <c r="D840" s="7">
        <f>IFERROR(__xludf.DUMMYFUNCTION("""COMPUTED_VALUE"""),0.479166666666666)</f>
        <v>0.4791666667</v>
      </c>
    </row>
    <row r="841">
      <c r="A841" s="10" t="s">
        <v>2280</v>
      </c>
      <c r="B841" s="7" t="str">
        <f>IFERROR(__xludf.DUMMYFUNCTION("SPLIT(A841,"" "")"),"CNC1C=CC=C(N(Cc2cccnn2)C2CCCCC2)N1")</f>
        <v>CNC1C=CC=C(N(Cc2cccnn2)C2CCCCC2)N1</v>
      </c>
      <c r="C841" s="7">
        <f>IFERROR(__xludf.DUMMYFUNCTION("""COMPUTED_VALUE"""),7.825)</f>
        <v>7.825</v>
      </c>
      <c r="D841" s="7">
        <f>IFERROR(__xludf.DUMMYFUNCTION("""COMPUTED_VALUE"""),0.351851851851851)</f>
        <v>0.3518518519</v>
      </c>
    </row>
    <row r="842">
      <c r="A842" s="10" t="s">
        <v>2281</v>
      </c>
      <c r="B842" s="7" t="str">
        <f>IFERROR(__xludf.DUMMYFUNCTION("SPLIT(A842,"" "")"),"CN(CC1=CCC=C(N(C)C2C=CC=CN2)N1)Cc1ccc2c(c1)OCCOCCOCCOCCOCCO2")</f>
        <v>CN(CC1=CCC=C(N(C)C2C=CC=CN2)N1)Cc1ccc2c(c1)OCCOCCOCCOCCOCCO2</v>
      </c>
      <c r="C842" s="7">
        <f>IFERROR(__xludf.DUMMYFUNCTION("""COMPUTED_VALUE"""),7.824988)</f>
        <v>7.824988</v>
      </c>
      <c r="D842" s="7">
        <f>IFERROR(__xludf.DUMMYFUNCTION("""COMPUTED_VALUE"""),0.25)</f>
        <v>0.25</v>
      </c>
    </row>
    <row r="843">
      <c r="A843" s="10" t="s">
        <v>2282</v>
      </c>
      <c r="B843" s="7" t="str">
        <f>IFERROR(__xludf.DUMMYFUNCTION("SPLIT(A843,"" "")"),"CNC(C)C")</f>
        <v>CNC(C)C</v>
      </c>
      <c r="C843" s="7">
        <f>IFERROR(__xludf.DUMMYFUNCTION("""COMPUTED_VALUE"""),7.8249846)</f>
        <v>7.8249846</v>
      </c>
      <c r="D843" s="7">
        <f>IFERROR(__xludf.DUMMYFUNCTION("""COMPUTED_VALUE"""),0.1)</f>
        <v>0.1</v>
      </c>
    </row>
    <row r="844">
      <c r="A844" s="10" t="s">
        <v>2283</v>
      </c>
      <c r="B844" s="7" t="str">
        <f>IFERROR(__xludf.DUMMYFUNCTION("SPLIT(A844,"" "")"),"Cc1cnc(CN(C)CCN2CCN(C)CCN(C(C)C)CC2)c(C)c1")</f>
        <v>Cc1cnc(CN(C)CCN2CCN(C)CCN(C(C)C)CC2)c(C)c1</v>
      </c>
      <c r="C844" s="7">
        <f>IFERROR(__xludf.DUMMYFUNCTION("""COMPUTED_VALUE"""),7.824919)</f>
        <v>7.824919</v>
      </c>
      <c r="D844" s="7">
        <f>IFERROR(__xludf.DUMMYFUNCTION("""COMPUTED_VALUE"""),0.350877192982456)</f>
        <v>0.350877193</v>
      </c>
    </row>
    <row r="845">
      <c r="A845" s="10" t="s">
        <v>2284</v>
      </c>
      <c r="B845" s="7" t="str">
        <f>IFERROR(__xludf.DUMMYFUNCTION("SPLIT(A845,"" "")"),"CC(C)(N)C(C)(C)NCc1ccccn1")</f>
        <v>CC(C)(N)C(C)(C)NCc1ccccn1</v>
      </c>
      <c r="C845" s="7">
        <f>IFERROR(__xludf.DUMMYFUNCTION("""COMPUTED_VALUE"""),7.824899)</f>
        <v>7.824899</v>
      </c>
      <c r="D845" s="7">
        <f>IFERROR(__xludf.DUMMYFUNCTION("""COMPUTED_VALUE"""),0.5)</f>
        <v>0.5</v>
      </c>
    </row>
    <row r="846">
      <c r="A846" s="10" t="s">
        <v>2285</v>
      </c>
      <c r="B846" s="7" t="str">
        <f>IFERROR(__xludf.DUMMYFUNCTION("SPLIT(A846,"" "")"),"CC1CC(CN(C)Cc2ccccn2)=CC(N)C1C")</f>
        <v>CC1CC(CN(C)Cc2ccccn2)=CC(N)C1C</v>
      </c>
      <c r="C846" s="7">
        <f>IFERROR(__xludf.DUMMYFUNCTION("""COMPUTED_VALUE"""),7.8248906)</f>
        <v>7.8248906</v>
      </c>
      <c r="D846" s="7">
        <f>IFERROR(__xludf.DUMMYFUNCTION("""COMPUTED_VALUE"""),0.448979591836734)</f>
        <v>0.4489795918</v>
      </c>
    </row>
    <row r="847">
      <c r="A847" s="10" t="s">
        <v>2286</v>
      </c>
      <c r="B847" s="7" t="str">
        <f>IFERROR(__xludf.DUMMYFUNCTION("SPLIT(A847,"" "")"),"CN1CCN(C)CCN(C(C)(C)c2cccnc2-c2ccc3c(c2)OCCOCCOCCOCCOCCO3)CC1")</f>
        <v>CN1CCN(C)CCN(C(C)(C)c2cccnc2-c2ccc3c(c2)OCCOCCOCCOCCOCCO3)CC1</v>
      </c>
      <c r="C847" s="7">
        <f>IFERROR(__xludf.DUMMYFUNCTION("""COMPUTED_VALUE"""),7.8248625)</f>
        <v>7.8248625</v>
      </c>
      <c r="D847" s="7">
        <f>IFERROR(__xludf.DUMMYFUNCTION("""COMPUTED_VALUE"""),0.35820895522388)</f>
        <v>0.3582089552</v>
      </c>
    </row>
    <row r="848">
      <c r="A848" s="10" t="s">
        <v>2287</v>
      </c>
      <c r="B848" s="7" t="str">
        <f>IFERROR(__xludf.DUMMYFUNCTION("SPLIT(A848,"" "")"),"CC(C)N1CCN(C)CCN(Cc2cccc(C3CC(C)(C)C3)n2)CC1")</f>
        <v>CC(C)N1CCN(C)CCN(Cc2cccc(C3CC(C)(C)C3)n2)CC1</v>
      </c>
      <c r="C848" s="7">
        <f>IFERROR(__xludf.DUMMYFUNCTION("""COMPUTED_VALUE"""),7.824853)</f>
        <v>7.824853</v>
      </c>
      <c r="D848" s="7">
        <f>IFERROR(__xludf.DUMMYFUNCTION("""COMPUTED_VALUE"""),0.489795918367346)</f>
        <v>0.4897959184</v>
      </c>
    </row>
    <row r="849">
      <c r="A849" s="10" t="s">
        <v>2288</v>
      </c>
      <c r="B849" s="7" t="str">
        <f>IFERROR(__xludf.DUMMYFUNCTION("SPLIT(A849,"" "")"),"CCNC1CCCC(N(Cc2ncccc2C)C(C)C)C1")</f>
        <v>CCNC1CCCC(N(Cc2ncccc2C)C(C)C)C1</v>
      </c>
      <c r="C849" s="7">
        <f>IFERROR(__xludf.DUMMYFUNCTION("""COMPUTED_VALUE"""),7.8248496)</f>
        <v>7.8248496</v>
      </c>
      <c r="D849" s="7">
        <f>IFERROR(__xludf.DUMMYFUNCTION("""COMPUTED_VALUE"""),0.271186440677966)</f>
        <v>0.2711864407</v>
      </c>
    </row>
    <row r="850">
      <c r="A850" s="10" t="s">
        <v>2289</v>
      </c>
      <c r="B850" s="7" t="str">
        <f>IFERROR(__xludf.DUMMYFUNCTION("SPLIT(A850,"" "")"),"CC(C)C(C)C(C)N(C)CCN(C)CC(C)(C)C")</f>
        <v>CC(C)C(C)C(C)N(C)CCN(C)CC(C)(C)C</v>
      </c>
      <c r="C850" s="7">
        <f>IFERROR(__xludf.DUMMYFUNCTION("""COMPUTED_VALUE"""),7.82482)</f>
        <v>7.82482</v>
      </c>
      <c r="D850" s="7">
        <f>IFERROR(__xludf.DUMMYFUNCTION("""COMPUTED_VALUE"""),0.2)</f>
        <v>0.2</v>
      </c>
    </row>
    <row r="851">
      <c r="A851" s="10" t="s">
        <v>2290</v>
      </c>
      <c r="B851" s="7" t="str">
        <f>IFERROR(__xludf.DUMMYFUNCTION("SPLIT(A851,"" "")"),"CN1CCN(C)CCN(Cc2ncc(Cl)cc2N)CC1")</f>
        <v>CN1CCN(C)CCN(Cc2ncc(Cl)cc2N)CC1</v>
      </c>
      <c r="C851" s="7">
        <f>IFERROR(__xludf.DUMMYFUNCTION("""COMPUTED_VALUE"""),7.824774)</f>
        <v>7.824774</v>
      </c>
      <c r="D851" s="7">
        <f>IFERROR(__xludf.DUMMYFUNCTION("""COMPUTED_VALUE"""),0.456521739130434)</f>
        <v>0.4565217391</v>
      </c>
    </row>
    <row r="852">
      <c r="A852" s="10" t="s">
        <v>2291</v>
      </c>
      <c r="B852" s="7" t="str">
        <f>IFERROR(__xludf.DUMMYFUNCTION("SPLIT(A852,"" "")"),"CNC1C=CC=CN1")</f>
        <v>CNC1C=CC=CN1</v>
      </c>
      <c r="C852" s="7">
        <f>IFERROR(__xludf.DUMMYFUNCTION("""COMPUTED_VALUE"""),7.824739)</f>
        <v>7.824739</v>
      </c>
      <c r="D852" s="7">
        <f>IFERROR(__xludf.DUMMYFUNCTION("""COMPUTED_VALUE"""),0.227272727272727)</f>
        <v>0.2272727273</v>
      </c>
    </row>
    <row r="853">
      <c r="A853" s="10" t="s">
        <v>2292</v>
      </c>
      <c r="B853" s="7" t="str">
        <f>IFERROR(__xludf.DUMMYFUNCTION("SPLIT(A853,"" "")"),"CN(C)C1CCCC(N(C)Cc2ncccc2-c2cccc3c2OCCOCCOCCOCCOCCO3)C1")</f>
        <v>CN(C)C1CCCC(N(C)Cc2ncccc2-c2cccc3c2OCCOCCOCCOCCOCCO3)C1</v>
      </c>
      <c r="C853" s="7">
        <f>IFERROR(__xludf.DUMMYFUNCTION("""COMPUTED_VALUE"""),7.824672)</f>
        <v>7.824672</v>
      </c>
      <c r="D853" s="7">
        <f>IFERROR(__xludf.DUMMYFUNCTION("""COMPUTED_VALUE"""),0.290322580645161)</f>
        <v>0.2903225806</v>
      </c>
    </row>
    <row r="854">
      <c r="A854" s="10" t="s">
        <v>2293</v>
      </c>
      <c r="B854" s="7" t="str">
        <f>IFERROR(__xludf.DUMMYFUNCTION("SPLIT(A854,"" "")"),"FCc1cccc(CN(Cc2ccccn2)C2CCCCC2)n1")</f>
        <v>FCc1cccc(CN(Cc2ccccn2)C2CCCCC2)n1</v>
      </c>
      <c r="C854" s="7">
        <f>IFERROR(__xludf.DUMMYFUNCTION("""COMPUTED_VALUE"""),7.8246565)</f>
        <v>7.8246565</v>
      </c>
      <c r="D854" s="7">
        <f>IFERROR(__xludf.DUMMYFUNCTION("""COMPUTED_VALUE"""),0.478260869565217)</f>
        <v>0.4782608696</v>
      </c>
    </row>
    <row r="855">
      <c r="A855" s="10" t="s">
        <v>2294</v>
      </c>
      <c r="B855" s="7" t="str">
        <f>IFERROR(__xludf.DUMMYFUNCTION("SPLIT(A855,"" "")"),"CCNCCN(C)Cc1cccnc1")</f>
        <v>CCNCCN(C)Cc1cccnc1</v>
      </c>
      <c r="C855" s="7">
        <f>IFERROR(__xludf.DUMMYFUNCTION("""COMPUTED_VALUE"""),7.8246303)</f>
        <v>7.8246303</v>
      </c>
      <c r="D855" s="7">
        <f>IFERROR(__xludf.DUMMYFUNCTION("""COMPUTED_VALUE"""),0.348837209302325)</f>
        <v>0.3488372093</v>
      </c>
    </row>
    <row r="856">
      <c r="A856" s="10" t="s">
        <v>2295</v>
      </c>
      <c r="B856" s="7" t="str">
        <f>IFERROR(__xludf.DUMMYFUNCTION("SPLIT(A856,"" "")"),"CCCN(CC1=CC(N(C)Cc2ccccn2)C=CN1)c1cccc2c1OCCOCCOCCOCCOCCO2")</f>
        <v>CCCN(CC1=CC(N(C)Cc2ccccn2)C=CN1)c1cccc2c1OCCOCCOCCOCCOCCO2</v>
      </c>
      <c r="C856" s="7">
        <f>IFERROR(__xludf.DUMMYFUNCTION("""COMPUTED_VALUE"""),7.824615)</f>
        <v>7.824615</v>
      </c>
      <c r="D856" s="7">
        <f>IFERROR(__xludf.DUMMYFUNCTION("""COMPUTED_VALUE"""),0.328571428571428)</f>
        <v>0.3285714286</v>
      </c>
    </row>
    <row r="857">
      <c r="A857" s="10" t="s">
        <v>2296</v>
      </c>
      <c r="B857" s="7" t="str">
        <f>IFERROR(__xludf.DUMMYFUNCTION("SPLIT(A857,"" "")"),"FCc1ncccc1CN(Cc1ccccn1)C1CCCCC1")</f>
        <v>FCc1ncccc1CN(Cc1ccccn1)C1CCCCC1</v>
      </c>
      <c r="C857" s="7">
        <f>IFERROR(__xludf.DUMMYFUNCTION("""COMPUTED_VALUE"""),7.8245845)</f>
        <v>7.8245845</v>
      </c>
      <c r="D857" s="7">
        <f>IFERROR(__xludf.DUMMYFUNCTION("""COMPUTED_VALUE"""),0.448979591836734)</f>
        <v>0.4489795918</v>
      </c>
    </row>
    <row r="858">
      <c r="A858" s="10" t="s">
        <v>2297</v>
      </c>
      <c r="B858" s="7" t="str">
        <f>IFERROR(__xludf.DUMMYFUNCTION("SPLIT(A858,"" "")"),"CC1=CC(C)C(C)(C)CC1N(C)C1CCC(N(Cc2ccccn2)Cc2cccc(-c3ccc4c(c3)OCCOCCOCCOCCOCCO4)n2)CC1")</f>
        <v>CC1=CC(C)C(C)(C)CC1N(C)C1CCC(N(Cc2ccccn2)Cc2cccc(-c3ccc4c(c3)OCCOCCOCCOCCOCCO4)n2)CC1</v>
      </c>
      <c r="C858" s="7">
        <f>IFERROR(__xludf.DUMMYFUNCTION("""COMPUTED_VALUE"""),7.824561)</f>
        <v>7.824561</v>
      </c>
      <c r="D858" s="7">
        <f>IFERROR(__xludf.DUMMYFUNCTION("""COMPUTED_VALUE"""),0.337349397590361)</f>
        <v>0.3373493976</v>
      </c>
    </row>
    <row r="859">
      <c r="A859" s="10" t="s">
        <v>2298</v>
      </c>
      <c r="B859" s="7" t="str">
        <f>IFERROR(__xludf.DUMMYFUNCTION("SPLIT(A859,"" "")"),"c1ccc(CN(CCC2CCCN2)Cc2ccccn2)nc1")</f>
        <v>c1ccc(CN(CCC2CCCN2)Cc2ccccn2)nc1</v>
      </c>
      <c r="C859" s="7">
        <f>IFERROR(__xludf.DUMMYFUNCTION("""COMPUTED_VALUE"""),7.8245597)</f>
        <v>7.8245597</v>
      </c>
      <c r="D859" s="7">
        <f>IFERROR(__xludf.DUMMYFUNCTION("""COMPUTED_VALUE"""),0.5)</f>
        <v>0.5</v>
      </c>
    </row>
    <row r="860">
      <c r="A860" s="10" t="s">
        <v>2299</v>
      </c>
      <c r="B860" s="7" t="str">
        <f>IFERROR(__xludf.DUMMYFUNCTION("SPLIT(A860,"" "")"),"CC(C)N1CCN(Cc2cccc(C3(C)CC(Cl)C3Cl)n2)CCN(C(C)C)CC1")</f>
        <v>CC(C)N1CCN(Cc2cccc(C3(C)CC(Cl)C3Cl)n2)CCN(C(C)C)CC1</v>
      </c>
      <c r="C860" s="7">
        <f>IFERROR(__xludf.DUMMYFUNCTION("""COMPUTED_VALUE"""),7.8245583)</f>
        <v>7.8245583</v>
      </c>
      <c r="D860" s="7">
        <f>IFERROR(__xludf.DUMMYFUNCTION("""COMPUTED_VALUE"""),0.470588235294117)</f>
        <v>0.4705882353</v>
      </c>
    </row>
    <row r="861">
      <c r="A861" s="10" t="s">
        <v>2300</v>
      </c>
      <c r="B861" s="7" t="str">
        <f>IFERROR(__xludf.DUMMYFUNCTION("SPLIT(A861,"" "")"),"CC(C)Nc1cc(CN2CCN(C)CCN(C)CC2)ccn1")</f>
        <v>CC(C)Nc1cc(CN2CCN(C)CCN(C)CC2)ccn1</v>
      </c>
      <c r="C861" s="7">
        <f>IFERROR(__xludf.DUMMYFUNCTION("""COMPUTED_VALUE"""),7.824519)</f>
        <v>7.824519</v>
      </c>
      <c r="D861" s="7">
        <f>IFERROR(__xludf.DUMMYFUNCTION("""COMPUTED_VALUE"""),0.466666666666666)</f>
        <v>0.4666666667</v>
      </c>
    </row>
    <row r="862">
      <c r="A862" s="10" t="s">
        <v>2301</v>
      </c>
      <c r="B862" s="7" t="str">
        <f>IFERROR(__xludf.DUMMYFUNCTION("SPLIT(A862,"" "")"),"CN(C)C1CCCC(N(C)Cc2cccc(-c3cccc4c3OCCOCCOCCOCCOCCO4)n2)C1")</f>
        <v>CN(C)C1CCCC(N(C)Cc2cccc(-c3cccc4c3OCCOCCOCCOCCOCCO4)n2)C1</v>
      </c>
      <c r="C862" s="7">
        <f>IFERROR(__xludf.DUMMYFUNCTION("""COMPUTED_VALUE"""),7.824516)</f>
        <v>7.824516</v>
      </c>
      <c r="D862" s="7">
        <f>IFERROR(__xludf.DUMMYFUNCTION("""COMPUTED_VALUE"""),0.35)</f>
        <v>0.35</v>
      </c>
    </row>
    <row r="863">
      <c r="A863" s="10" t="s">
        <v>2302</v>
      </c>
      <c r="B863" s="7" t="str">
        <f>IFERROR(__xludf.DUMMYFUNCTION("SPLIT(A863,"" "")"),"C=CCOC(=O)C(=O)C(C)C(C)NCc1cccc(CN2CCN(C)CCN(C)CC2)n1")</f>
        <v>C=CCOC(=O)C(=O)C(C)C(C)NCc1cccc(CN2CCN(C)CCN(C)CC2)n1</v>
      </c>
      <c r="C863" s="7">
        <f>IFERROR(__xludf.DUMMYFUNCTION("""COMPUTED_VALUE"""),7.824465)</f>
        <v>7.824465</v>
      </c>
      <c r="D863" s="7">
        <f>IFERROR(__xludf.DUMMYFUNCTION("""COMPUTED_VALUE"""),0.406779661016949)</f>
        <v>0.406779661</v>
      </c>
    </row>
    <row r="864">
      <c r="A864" s="10" t="s">
        <v>2303</v>
      </c>
      <c r="B864" s="7" t="str">
        <f>IFERROR(__xludf.DUMMYFUNCTION("SPLIT(A864,"" "")"),"CN(CCN(C)c1cccc2c1OCCOCCOCCOCCOCCO2)Cc1ncccc1-c1cccc2c1OCCOCCOCCOCCOCCO2")</f>
        <v>CN(CCN(C)c1cccc2c1OCCOCCOCCOCCOCCO2)Cc1ncccc1-c1cccc2c1OCCOCCOCCOCCOCCO2</v>
      </c>
      <c r="C864" s="7">
        <f>IFERROR(__xludf.DUMMYFUNCTION("""COMPUTED_VALUE"""),7.8244452)</f>
        <v>7.8244452</v>
      </c>
      <c r="D864" s="7">
        <f>IFERROR(__xludf.DUMMYFUNCTION("""COMPUTED_VALUE"""),0.357142857142857)</f>
        <v>0.3571428571</v>
      </c>
    </row>
    <row r="865">
      <c r="A865" s="10" t="s">
        <v>2304</v>
      </c>
      <c r="B865" s="7" t="str">
        <f>IFERROR(__xludf.DUMMYFUNCTION("SPLIT(A865,"" "")"),"CN1CCN(C)CCN(Cc2ncccc2N(C)C2CCCC(N(C)Cc3ccccn3)C2)CC1")</f>
        <v>CN1CCN(C)CCN(Cc2ncccc2N(C)C2CCCC(N(C)Cc3ccccn3)C2)CC1</v>
      </c>
      <c r="C865" s="7">
        <f>IFERROR(__xludf.DUMMYFUNCTION("""COMPUTED_VALUE"""),7.824422)</f>
        <v>7.824422</v>
      </c>
      <c r="D865" s="7">
        <f>IFERROR(__xludf.DUMMYFUNCTION("""COMPUTED_VALUE"""),0.481481481481481)</f>
        <v>0.4814814815</v>
      </c>
    </row>
    <row r="866">
      <c r="A866" s="10" t="s">
        <v>2305</v>
      </c>
      <c r="B866" s="7" t="str">
        <f>IFERROR(__xludf.DUMMYFUNCTION("SPLIT(A866,"" "")"),"Cc1cnc(C)c(CN2CCN(C)CCN(C)CC2)c1")</f>
        <v>Cc1cnc(C)c(CN2CCN(C)CCN(C)CC2)c1</v>
      </c>
      <c r="C866" s="7">
        <f>IFERROR(__xludf.DUMMYFUNCTION("""COMPUTED_VALUE"""),7.824386)</f>
        <v>7.824386</v>
      </c>
      <c r="D866" s="7">
        <f>IFERROR(__xludf.DUMMYFUNCTION("""COMPUTED_VALUE"""),0.5)</f>
        <v>0.5</v>
      </c>
    </row>
    <row r="867">
      <c r="A867" s="10" t="s">
        <v>2306</v>
      </c>
      <c r="B867" s="7" t="str">
        <f>IFERROR(__xludf.DUMMYFUNCTION("SPLIT(A867,"" "")"),"CC(C)C1=CC2(C=CCC(C)(C)C2C)C=CN1")</f>
        <v>CC(C)C1=CC2(C=CCC(C)(C)C2C)C=CN1</v>
      </c>
      <c r="C867" s="7">
        <f>IFERROR(__xludf.DUMMYFUNCTION("""COMPUTED_VALUE"""),7.824356)</f>
        <v>7.824356</v>
      </c>
      <c r="D867" s="7">
        <f>IFERROR(__xludf.DUMMYFUNCTION("""COMPUTED_VALUE"""),0.133333333333333)</f>
        <v>0.1333333333</v>
      </c>
    </row>
    <row r="868">
      <c r="A868" s="10" t="s">
        <v>2307</v>
      </c>
      <c r="B868" s="7" t="str">
        <f>IFERROR(__xludf.DUMMYFUNCTION("SPLIT(A868,"" "")"),"Cc1cnc(CN(C)CCN2CCN(C)CCN(C)CC2)c(C)c1")</f>
        <v>Cc1cnc(CN(C)CCN2CCN(C)CCN(C)CC2)c(C)c1</v>
      </c>
      <c r="C868" s="7">
        <f>IFERROR(__xludf.DUMMYFUNCTION("""COMPUTED_VALUE"""),7.8243413)</f>
        <v>7.8243413</v>
      </c>
      <c r="D868" s="7">
        <f>IFERROR(__xludf.DUMMYFUNCTION("""COMPUTED_VALUE"""),0.4)</f>
        <v>0.4</v>
      </c>
    </row>
    <row r="869">
      <c r="A869" s="10" t="s">
        <v>2308</v>
      </c>
      <c r="B869" s="7" t="str">
        <f>IFERROR(__xludf.DUMMYFUNCTION("SPLIT(A869,"" "")"),"CN1CCN(C)CCN(CC2=CCC=C(N(O)C3C=CC=CN3)N2)CC1")</f>
        <v>CN1CCN(C)CCN(CC2=CCC=C(N(O)C3C=CC=CN3)N2)CC1</v>
      </c>
      <c r="C869" s="7">
        <f>IFERROR(__xludf.DUMMYFUNCTION("""COMPUTED_VALUE"""),7.8242683)</f>
        <v>7.8242683</v>
      </c>
      <c r="D869" s="7">
        <f>IFERROR(__xludf.DUMMYFUNCTION("""COMPUTED_VALUE"""),0.385964912280701)</f>
        <v>0.3859649123</v>
      </c>
    </row>
    <row r="870">
      <c r="A870" s="10" t="s">
        <v>2309</v>
      </c>
      <c r="B870" s="7" t="str">
        <f>IFERROR(__xludf.DUMMYFUNCTION("SPLIT(A870,"" "")"),"CN(C)Cc1ccc(CN2CCN(C)CCN(C)CC2)cn1")</f>
        <v>CN(C)Cc1ccc(CN2CCN(C)CCN(C)CC2)cn1</v>
      </c>
      <c r="C870" s="7">
        <f>IFERROR(__xludf.DUMMYFUNCTION("""COMPUTED_VALUE"""),7.824268)</f>
        <v>7.824268</v>
      </c>
      <c r="D870" s="7">
        <f>IFERROR(__xludf.DUMMYFUNCTION("""COMPUTED_VALUE"""),0.454545454545454)</f>
        <v>0.4545454545</v>
      </c>
    </row>
    <row r="871">
      <c r="A871" s="10" t="s">
        <v>2310</v>
      </c>
      <c r="B871" s="7" t="str">
        <f>IFERROR(__xludf.DUMMYFUNCTION("SPLIT(A871,"" "")"),"Cc1cc(CN2CCN(C)CCN(C)CC2)cnc1C")</f>
        <v>Cc1cc(CN2CCN(C)CCN(C)CC2)cnc1C</v>
      </c>
      <c r="C871" s="7">
        <f>IFERROR(__xludf.DUMMYFUNCTION("""COMPUTED_VALUE"""),7.824266)</f>
        <v>7.824266</v>
      </c>
      <c r="D871" s="7">
        <f>IFERROR(__xludf.DUMMYFUNCTION("""COMPUTED_VALUE"""),0.463414634146341)</f>
        <v>0.4634146341</v>
      </c>
    </row>
    <row r="872">
      <c r="A872" s="10" t="s">
        <v>2311</v>
      </c>
      <c r="B872" s="7" t="str">
        <f>IFERROR(__xludf.DUMMYFUNCTION("SPLIT(A872,"" "")"),"CN(Cc1ncccc1-c1ccc2c(c1)OCCOCCOCCOCCOCCO2)C1CCCC(c2ccc3c(c2)OCCOCCOCCOCCOCCO3)C1N(C)Cc1ccccn1")</f>
        <v>CN(Cc1ncccc1-c1ccc2c(c1)OCCOCCOCCOCCOCCO2)C1CCCC(c2ccc3c(c2)OCCOCCOCCOCCOCCO3)C1N(C)Cc1ccccn1</v>
      </c>
      <c r="C872" s="7">
        <f>IFERROR(__xludf.DUMMYFUNCTION("""COMPUTED_VALUE"""),7.8241935)</f>
        <v>7.8241935</v>
      </c>
      <c r="D872" s="7">
        <f>IFERROR(__xludf.DUMMYFUNCTION("""COMPUTED_VALUE"""),0.417910447761194)</f>
        <v>0.4179104478</v>
      </c>
    </row>
    <row r="873">
      <c r="A873" s="10" t="s">
        <v>2312</v>
      </c>
      <c r="B873" s="7" t="str">
        <f>IFERROR(__xludf.DUMMYFUNCTION("SPLIT(A873,"" "")"),"CCCN(Cc1ccccn1)C1CCCCC1N(C)Cc1cccc(-c2ccc3c(c2)OCCOCCOCCOCCOCCO3)n1")</f>
        <v>CCCN(Cc1ccccn1)C1CCCCC1N(C)Cc1cccc(-c2ccc3c(c2)OCCOCCOCCOCCOCCO3)n1</v>
      </c>
      <c r="C873" s="7">
        <f>IFERROR(__xludf.DUMMYFUNCTION("""COMPUTED_VALUE"""),7.8241305)</f>
        <v>7.8241305</v>
      </c>
      <c r="D873" s="7">
        <f>IFERROR(__xludf.DUMMYFUNCTION("""COMPUTED_VALUE"""),0.476190476190476)</f>
        <v>0.4761904762</v>
      </c>
    </row>
    <row r="874">
      <c r="A874" s="10" t="s">
        <v>2313</v>
      </c>
      <c r="B874" s="7" t="str">
        <f>IFERROR(__xludf.DUMMYFUNCTION("SPLIT(A874,"" "")"),"Cc1cc(C)c(CN2CCN(C)CCN(C)CC2)cn1")</f>
        <v>Cc1cc(C)c(CN2CCN(C)CCN(C)CC2)cn1</v>
      </c>
      <c r="C874" s="7">
        <f>IFERROR(__xludf.DUMMYFUNCTION("""COMPUTED_VALUE"""),7.8241186)</f>
        <v>7.8241186</v>
      </c>
      <c r="D874" s="7">
        <f>IFERROR(__xludf.DUMMYFUNCTION("""COMPUTED_VALUE"""),0.475)</f>
        <v>0.475</v>
      </c>
    </row>
    <row r="875">
      <c r="A875" s="10" t="s">
        <v>2314</v>
      </c>
      <c r="B875" s="7" t="str">
        <f>IFERROR(__xludf.DUMMYFUNCTION("SPLIT(A875,"" "")"),"Cc1cncc(C)c1CN1CCN(C)CCN(C)CC1")</f>
        <v>Cc1cncc(C)c1CN1CCN(C)CCN(C)CC1</v>
      </c>
      <c r="C875" s="7">
        <f>IFERROR(__xludf.DUMMYFUNCTION("""COMPUTED_VALUE"""),7.8241124)</f>
        <v>7.8241124</v>
      </c>
      <c r="D875" s="7">
        <f>IFERROR(__xludf.DUMMYFUNCTION("""COMPUTED_VALUE"""),0.463414634146341)</f>
        <v>0.4634146341</v>
      </c>
    </row>
    <row r="876">
      <c r="A876" s="10" t="s">
        <v>2315</v>
      </c>
      <c r="B876" s="7" t="str">
        <f>IFERROR(__xludf.DUMMYFUNCTION("SPLIT(A876,"" "")"),"C#Cc1ccc(CN(Cc2ccccn2)C2CCCCC2)nc1")</f>
        <v>C#Cc1ccc(CN(Cc2ccccn2)C2CCCCC2)nc1</v>
      </c>
      <c r="C876" s="7">
        <f>IFERROR(__xludf.DUMMYFUNCTION("""COMPUTED_VALUE"""),7.8241014)</f>
        <v>7.8241014</v>
      </c>
      <c r="D876" s="7">
        <f>IFERROR(__xludf.DUMMYFUNCTION("""COMPUTED_VALUE"""),0.448979591836734)</f>
        <v>0.4489795918</v>
      </c>
    </row>
    <row r="877">
      <c r="A877" s="10" t="s">
        <v>2316</v>
      </c>
      <c r="B877" s="7" t="str">
        <f>IFERROR(__xludf.DUMMYFUNCTION("SPLIT(A877,"" "")"),"CCNCC1=C(C)CCC(C)(C)C1C")</f>
        <v>CCNCC1=C(C)CCC(C)(C)C1C</v>
      </c>
      <c r="C877" s="7">
        <f>IFERROR(__xludf.DUMMYFUNCTION("""COMPUTED_VALUE"""),7.8240943)</f>
        <v>7.8240943</v>
      </c>
      <c r="D877" s="7">
        <f>IFERROR(__xludf.DUMMYFUNCTION("""COMPUTED_VALUE"""),0.111111111111111)</f>
        <v>0.1111111111</v>
      </c>
    </row>
    <row r="878">
      <c r="A878" s="10" t="s">
        <v>2317</v>
      </c>
      <c r="B878" s="7" t="str">
        <f>IFERROR(__xludf.DUMMYFUNCTION("SPLIT(A878,"" "")"),"Cc1cccc(CN(Cc2ccccn2)C2CCCCC2)c1")</f>
        <v>Cc1cccc(CN(Cc2ccccn2)C2CCCCC2)c1</v>
      </c>
      <c r="C878" s="7">
        <f>IFERROR(__xludf.DUMMYFUNCTION("""COMPUTED_VALUE"""),7.8240833)</f>
        <v>7.8240833</v>
      </c>
      <c r="D878" s="7">
        <f>IFERROR(__xludf.DUMMYFUNCTION("""COMPUTED_VALUE"""),0.479166666666666)</f>
        <v>0.4791666667</v>
      </c>
    </row>
    <row r="879">
      <c r="A879" s="10" t="s">
        <v>2318</v>
      </c>
      <c r="B879" s="7" t="str">
        <f>IFERROR(__xludf.DUMMYFUNCTION("SPLIT(A879,"" "")"),"CC(C)N(C)C1=C(CN(Cc2ccc(F)cn2)C2CCCCC2)NC=CC1")</f>
        <v>CC(C)N(C)C1=C(CN(Cc2ccc(F)cn2)C2CCCCC2)NC=CC1</v>
      </c>
      <c r="C879" s="7">
        <f>IFERROR(__xludf.DUMMYFUNCTION("""COMPUTED_VALUE"""),7.8240466)</f>
        <v>7.8240466</v>
      </c>
      <c r="D879" s="7">
        <f>IFERROR(__xludf.DUMMYFUNCTION("""COMPUTED_VALUE"""),0.317460317460317)</f>
        <v>0.3174603175</v>
      </c>
    </row>
    <row r="880">
      <c r="A880" s="10" t="s">
        <v>2319</v>
      </c>
      <c r="B880" s="7" t="str">
        <f>IFERROR(__xludf.DUMMYFUNCTION("SPLIT(A880,"" "")"),"CN(CCN(C)C1(C)CCC1)Cc1ncccc1-c1ccc2c(c1)OCCOCCOCCOCCOCCO2")</f>
        <v>CN(CCN(C)C1(C)CCC1)Cc1ncccc1-c1ccc2c(c1)OCCOCCOCCOCCOCCO2</v>
      </c>
      <c r="C880" s="7">
        <f>IFERROR(__xludf.DUMMYFUNCTION("""COMPUTED_VALUE"""),7.8239927)</f>
        <v>7.8239927</v>
      </c>
      <c r="D880" s="7">
        <f>IFERROR(__xludf.DUMMYFUNCTION("""COMPUTED_VALUE"""),0.324324324324324)</f>
        <v>0.3243243243</v>
      </c>
    </row>
    <row r="881">
      <c r="A881" s="10" t="s">
        <v>2320</v>
      </c>
      <c r="B881" s="7" t="str">
        <f>IFERROR(__xludf.DUMMYFUNCTION("SPLIT(A881,"" "")"),"CN1CCN(C)CCN(Cc2cccnc2C2CC(C)(C)C2)CC1")</f>
        <v>CN1CCN(C)CCN(Cc2cccnc2C2CC(C)(C)C2)CC1</v>
      </c>
      <c r="C881" s="7">
        <f>IFERROR(__xludf.DUMMYFUNCTION("""COMPUTED_VALUE"""),7.8239775)</f>
        <v>7.8239775</v>
      </c>
      <c r="D881" s="7">
        <f>IFERROR(__xludf.DUMMYFUNCTION("""COMPUTED_VALUE"""),0.466666666666666)</f>
        <v>0.4666666667</v>
      </c>
    </row>
    <row r="882">
      <c r="A882" s="10" t="s">
        <v>2321</v>
      </c>
      <c r="B882" s="7" t="str">
        <f>IFERROR(__xludf.DUMMYFUNCTION("SPLIT(A882,"" "")"),"CNC1CCCCC1N(C)Cc1ncc(C)cc1C")</f>
        <v>CNC1CCCCC1N(C)Cc1ncc(C)cc1C</v>
      </c>
      <c r="C882" s="7">
        <f>IFERROR(__xludf.DUMMYFUNCTION("""COMPUTED_VALUE"""),7.8239675)</f>
        <v>7.8239675</v>
      </c>
      <c r="D882" s="7">
        <f>IFERROR(__xludf.DUMMYFUNCTION("""COMPUTED_VALUE"""),0.458333333333333)</f>
        <v>0.4583333333</v>
      </c>
    </row>
    <row r="883">
      <c r="A883" s="10" t="s">
        <v>2322</v>
      </c>
      <c r="B883" s="7" t="str">
        <f>IFERROR(__xludf.DUMMYFUNCTION("SPLIT(A883,"" "")"),"CNCc1ccc(CN2CCN(C)CCN(Cc3cncc(C)c3)CC2)cn1")</f>
        <v>CNCc1ccc(CN2CCN(C)CCN(Cc3cncc(C)c3)CC2)cn1</v>
      </c>
      <c r="C883" s="7">
        <f>IFERROR(__xludf.DUMMYFUNCTION("""COMPUTED_VALUE"""),7.823922)</f>
        <v>7.823922</v>
      </c>
      <c r="D883" s="7">
        <f>IFERROR(__xludf.DUMMYFUNCTION("""COMPUTED_VALUE"""),0.423076923076923)</f>
        <v>0.4230769231</v>
      </c>
    </row>
    <row r="884">
      <c r="A884" s="10" t="s">
        <v>2323</v>
      </c>
      <c r="B884" s="7" t="str">
        <f>IFERROR(__xludf.DUMMYFUNCTION("SPLIT(A884,"" "")"),"CN(CCN(C)c1ccc2c(c1)OCCOCCOCCOCCOCCO2)Cc1cccc(-c2cccc3c2OCCOCCOCCOCCOCCO3)n1")</f>
        <v>CN(CCN(C)c1ccc2c(c1)OCCOCCOCCOCCOCCO2)Cc1cccc(-c2cccc3c2OCCOCCOCCOCCOCCO3)n1</v>
      </c>
      <c r="C884" s="7">
        <f>IFERROR(__xludf.DUMMYFUNCTION("""COMPUTED_VALUE"""),7.8239193)</f>
        <v>7.8239193</v>
      </c>
      <c r="D884" s="7">
        <f>IFERROR(__xludf.DUMMYFUNCTION("""COMPUTED_VALUE"""),0.344827586206896)</f>
        <v>0.3448275862</v>
      </c>
    </row>
    <row r="885">
      <c r="A885" s="10" t="s">
        <v>2324</v>
      </c>
      <c r="B885" s="7" t="str">
        <f>IFERROR(__xludf.DUMMYFUNCTION("SPLIT(A885,"" "")"),"CN(CCF)C1CCC(N(Cc2ccccn2)Cc2cccc(-c3cccc4c3OCCOCCOCCOCCOCCO4)n2)CC1")</f>
        <v>CN(CCF)C1CCC(N(Cc2ccccn2)Cc2cccc(-c3cccc4c3OCCOCCOCCOCCOCCO4)n2)CC1</v>
      </c>
      <c r="C885" s="7">
        <f>IFERROR(__xludf.DUMMYFUNCTION("""COMPUTED_VALUE"""),7.8239083)</f>
        <v>7.8239083</v>
      </c>
      <c r="D885" s="7">
        <f>IFERROR(__xludf.DUMMYFUNCTION("""COMPUTED_VALUE"""),0.393939393939393)</f>
        <v>0.3939393939</v>
      </c>
    </row>
    <row r="886">
      <c r="A886" s="10" t="s">
        <v>2325</v>
      </c>
      <c r="B886" s="7" t="str">
        <f>IFERROR(__xludf.DUMMYFUNCTION("SPLIT(A886,"" "")"),"Cc1cccc(N2CCN(C)CCN(C)CC2)c1")</f>
        <v>Cc1cccc(N2CCN(C)CCN(C)CC2)c1</v>
      </c>
      <c r="C886" s="7">
        <f>IFERROR(__xludf.DUMMYFUNCTION("""COMPUTED_VALUE"""),7.8238716)</f>
        <v>7.8238716</v>
      </c>
      <c r="D886" s="7">
        <f>IFERROR(__xludf.DUMMYFUNCTION("""COMPUTED_VALUE"""),0.38235294117647)</f>
        <v>0.3823529412</v>
      </c>
    </row>
    <row r="887">
      <c r="A887" s="10" t="s">
        <v>2326</v>
      </c>
      <c r="B887" s="7" t="str">
        <f>IFERROR(__xludf.DUMMYFUNCTION("SPLIT(A887,"" "")"),"CNC1CCCCC1N(C)c1cccc(CF)n1")</f>
        <v>CNC1CCCCC1N(C)c1cccc(CF)n1</v>
      </c>
      <c r="C887" s="7">
        <f>IFERROR(__xludf.DUMMYFUNCTION("""COMPUTED_VALUE"""),7.823863)</f>
        <v>7.823863</v>
      </c>
      <c r="D887" s="7">
        <f>IFERROR(__xludf.DUMMYFUNCTION("""COMPUTED_VALUE"""),0.5)</f>
        <v>0.5</v>
      </c>
    </row>
    <row r="888">
      <c r="A888" s="10" t="s">
        <v>2327</v>
      </c>
      <c r="B888" s="7" t="str">
        <f>IFERROR(__xludf.DUMMYFUNCTION("SPLIT(A888,"" "")"),"Cc1cncc(CN(C(C)C)C2CCCC(N(C)C3CCCC(N(C)Cc4cc(C)cnc4C)C3)C2)c1")</f>
        <v>Cc1cncc(CN(C(C)C)C2CCCC(N(C)C3CCCC(N(C)Cc4cc(C)cnc4C)C3)C2)c1</v>
      </c>
      <c r="C888" s="7">
        <f>IFERROR(__xludf.DUMMYFUNCTION("""COMPUTED_VALUE"""),7.8238387)</f>
        <v>7.8238387</v>
      </c>
      <c r="D888" s="7">
        <f>IFERROR(__xludf.DUMMYFUNCTION("""COMPUTED_VALUE"""),0.285714285714285)</f>
        <v>0.2857142857</v>
      </c>
    </row>
    <row r="889">
      <c r="A889" s="10" t="s">
        <v>2328</v>
      </c>
      <c r="B889" s="7" t="str">
        <f>IFERROR(__xludf.DUMMYFUNCTION("SPLIT(A889,"" "")"),"FCc1cc(CN(Cc2ccccn2)C2CCCCC2)ccn1")</f>
        <v>FCc1cc(CN(Cc2ccccn2)C2CCCCC2)ccn1</v>
      </c>
      <c r="C889" s="7">
        <f>IFERROR(__xludf.DUMMYFUNCTION("""COMPUTED_VALUE"""),7.823762)</f>
        <v>7.823762</v>
      </c>
      <c r="D889" s="7">
        <f>IFERROR(__xludf.DUMMYFUNCTION("""COMPUTED_VALUE"""),0.458333333333333)</f>
        <v>0.4583333333</v>
      </c>
    </row>
    <row r="890">
      <c r="A890" s="10" t="s">
        <v>2329</v>
      </c>
      <c r="B890" s="7" t="str">
        <f>IFERROR(__xludf.DUMMYFUNCTION("SPLIT(A890,"" "")"),"Cc1cccnc1CN(C)CCN(C)C1(C)CCC1")</f>
        <v>Cc1cccnc1CN(C)CCN(C)C1(C)CCC1</v>
      </c>
      <c r="C890" s="7">
        <f>IFERROR(__xludf.DUMMYFUNCTION("""COMPUTED_VALUE"""),7.823749)</f>
        <v>7.823749</v>
      </c>
      <c r="D890" s="7">
        <f>IFERROR(__xludf.DUMMYFUNCTION("""COMPUTED_VALUE"""),0.36734693877551)</f>
        <v>0.3673469388</v>
      </c>
    </row>
    <row r="891">
      <c r="A891" s="10" t="s">
        <v>2330</v>
      </c>
      <c r="B891" s="7" t="str">
        <f>IFERROR(__xludf.DUMMYFUNCTION("SPLIT(A891,"" "")"),"CNC1CCCC(N(Cc2ncccc2C)C(C)C)C1")</f>
        <v>CNC1CCCC(N(Cc2ncccc2C)C(C)C)C1</v>
      </c>
      <c r="C891" s="7">
        <f>IFERROR(__xludf.DUMMYFUNCTION("""COMPUTED_VALUE"""),7.8237333)</f>
        <v>7.8237333</v>
      </c>
      <c r="D891" s="7">
        <f>IFERROR(__xludf.DUMMYFUNCTION("""COMPUTED_VALUE"""),0.280701754385964)</f>
        <v>0.2807017544</v>
      </c>
    </row>
    <row r="892">
      <c r="A892" s="10" t="s">
        <v>2331</v>
      </c>
      <c r="B892" s="7" t="str">
        <f>IFERROR(__xludf.DUMMYFUNCTION("SPLIT(A892,"" "")"),"CC(C)N(C)Cc1ncc(CN2CCN(C)CCN(C)CC2)cc1-c1ccc2c(c1)OCCOCCOCCOCCOCCO2")</f>
        <v>CC(C)N(C)Cc1ncc(CN2CCN(C)CCN(C)CC2)cc1-c1ccc2c(c1)OCCOCCOCCOCCOCCO2</v>
      </c>
      <c r="C892" s="7">
        <f>IFERROR(__xludf.DUMMYFUNCTION("""COMPUTED_VALUE"""),7.8237185)</f>
        <v>7.8237185</v>
      </c>
      <c r="D892" s="7">
        <f>IFERROR(__xludf.DUMMYFUNCTION("""COMPUTED_VALUE"""),0.36986301369863)</f>
        <v>0.3698630137</v>
      </c>
    </row>
    <row r="893">
      <c r="A893" s="10" t="s">
        <v>2332</v>
      </c>
      <c r="B893" s="7" t="str">
        <f>IFERROR(__xludf.DUMMYFUNCTION("SPLIT(A893,"" "")"),"Cc1cnc(CN(C)CCCN2CCN(C)CCN(C)CC2)c(C)c1C")</f>
        <v>Cc1cnc(CN(C)CCCN2CCN(C)CCN(C)CC2)c(C)c1C</v>
      </c>
      <c r="C893" s="7">
        <f>IFERROR(__xludf.DUMMYFUNCTION("""COMPUTED_VALUE"""),7.8237095)</f>
        <v>7.8237095</v>
      </c>
      <c r="D893" s="7">
        <f>IFERROR(__xludf.DUMMYFUNCTION("""COMPUTED_VALUE"""),0.448979591836734)</f>
        <v>0.4489795918</v>
      </c>
    </row>
    <row r="894">
      <c r="A894" s="10" t="s">
        <v>2333</v>
      </c>
      <c r="B894" s="7" t="str">
        <f>IFERROR(__xludf.DUMMYFUNCTION("SPLIT(A894,"" "")"),"CN1CCN(C)CCN(CC2=CCC=C(N(C)C)N2)CC1")</f>
        <v>CN1CCN(C)CCN(CC2=CCC=C(N(C)C)N2)CC1</v>
      </c>
      <c r="C894" s="7">
        <f>IFERROR(__xludf.DUMMYFUNCTION("""COMPUTED_VALUE"""),7.823694)</f>
        <v>7.823694</v>
      </c>
      <c r="D894" s="7">
        <f>IFERROR(__xludf.DUMMYFUNCTION("""COMPUTED_VALUE"""),0.434782608695652)</f>
        <v>0.4347826087</v>
      </c>
    </row>
    <row r="895">
      <c r="A895" s="10" t="s">
        <v>2334</v>
      </c>
      <c r="B895" s="7" t="str">
        <f>IFERROR(__xludf.DUMMYFUNCTION("SPLIT(A895,"" "")"),"CN1CCN(C)CCN(C(C)(C)c2cncc(-c3ccc4c(c3)OCCOCCOCCOCCOCCO4)c2)CC1")</f>
        <v>CN1CCN(C)CCN(C(C)(C)c2cncc(-c3ccc4c(c3)OCCOCCOCCOCCOCCO4)c2)CC1</v>
      </c>
      <c r="C895" s="7">
        <f>IFERROR(__xludf.DUMMYFUNCTION("""COMPUTED_VALUE"""),7.823694)</f>
        <v>7.823694</v>
      </c>
      <c r="D895" s="7">
        <f>IFERROR(__xludf.DUMMYFUNCTION("""COMPUTED_VALUE"""),0.390625)</f>
        <v>0.390625</v>
      </c>
    </row>
    <row r="896">
      <c r="A896" s="10" t="s">
        <v>2335</v>
      </c>
      <c r="B896" s="7" t="str">
        <f>IFERROR(__xludf.DUMMYFUNCTION("SPLIT(A896,"" "")"),"CN(Cc1cccc(-c2ccc3c(c2)OCCOCCOCCOCCOCCO3)n1)C1CCCCC1N(CF)Cc1ccccn1")</f>
        <v>CN(Cc1cccc(-c2ccc3c(c2)OCCOCCOCCOCCOCCO3)n1)C1CCCCC1N(CF)Cc1ccccn1</v>
      </c>
      <c r="C896" s="7">
        <f>IFERROR(__xludf.DUMMYFUNCTION("""COMPUTED_VALUE"""),7.823673)</f>
        <v>7.823673</v>
      </c>
      <c r="D896" s="7">
        <f>IFERROR(__xludf.DUMMYFUNCTION("""COMPUTED_VALUE"""),0.483870967741935)</f>
        <v>0.4838709677</v>
      </c>
    </row>
    <row r="897">
      <c r="A897" s="10" t="s">
        <v>2336</v>
      </c>
      <c r="B897" s="7" t="str">
        <f>IFERROR(__xludf.DUMMYFUNCTION("SPLIT(A897,"" "")"),"CN(CN(Cc1ccccn1)C1CCC(N(C)Cc2cccc(-c3ccc4c(c3)OCCOCCOCCOCCOCCO4)n2)CC1)c1ccc2c(c1)OCCOCCOCCOCCOCCO2")</f>
        <v>CN(CN(Cc1ccccn1)C1CCC(N(C)Cc2cccc(-c3ccc4c(c3)OCCOCCOCCOCCOCCO4)n2)CC1)c1ccc2c(c1)OCCOCCOCCOCCOCCO2</v>
      </c>
      <c r="C897" s="7">
        <f>IFERROR(__xludf.DUMMYFUNCTION("""COMPUTED_VALUE"""),7.8236504)</f>
        <v>7.8236504</v>
      </c>
      <c r="D897" s="7">
        <f>IFERROR(__xludf.DUMMYFUNCTION("""COMPUTED_VALUE"""),0.368421052631578)</f>
        <v>0.3684210526</v>
      </c>
    </row>
    <row r="898">
      <c r="A898" s="10" t="s">
        <v>2337</v>
      </c>
      <c r="B898" s="7" t="str">
        <f>IFERROR(__xludf.DUMMYFUNCTION("SPLIT(A898,"" "")"),"CN1CCN(Cc2ccccn2)CCN(Cc2cccnc2N(C)c2ccc3c(c2)OCCOCCOCCOCCOCCO3)CC1")</f>
        <v>CN1CCN(Cc2ccccn2)CCN(Cc2cccnc2N(C)c2ccc3c(c2)OCCOCCOCCOCCOCCO3)CC1</v>
      </c>
      <c r="C898" s="7">
        <f>IFERROR(__xludf.DUMMYFUNCTION("""COMPUTED_VALUE"""),7.823613)</f>
        <v>7.823613</v>
      </c>
      <c r="D898" s="7">
        <f>IFERROR(__xludf.DUMMYFUNCTION("""COMPUTED_VALUE"""),0.491228070175438)</f>
        <v>0.4912280702</v>
      </c>
    </row>
    <row r="899">
      <c r="A899" s="10" t="s">
        <v>2338</v>
      </c>
      <c r="B899" s="7" t="str">
        <f>IFERROR(__xludf.DUMMYFUNCTION("SPLIT(A899,"" "")"),"CN1CCN(C)CCN(CCC2=CCC(N(C)Cc3ccccn3)=CN2)CC1")</f>
        <v>CN1CCN(C)CCN(CCC2=CCC(N(C)Cc3ccccn3)=CN2)CC1</v>
      </c>
      <c r="C899" s="7">
        <f>IFERROR(__xludf.DUMMYFUNCTION("""COMPUTED_VALUE"""),7.823581)</f>
        <v>7.823581</v>
      </c>
      <c r="D899" s="7">
        <f>IFERROR(__xludf.DUMMYFUNCTION("""COMPUTED_VALUE"""),0.461538461538461)</f>
        <v>0.4615384615</v>
      </c>
    </row>
    <row r="900">
      <c r="A900" s="10" t="s">
        <v>2339</v>
      </c>
      <c r="B900" s="7" t="str">
        <f>IFERROR(__xludf.DUMMYFUNCTION("SPLIT(A900,"" "")"),"Cc1cc(CN2CCN(C)CCN(C)CC2)cnc1-c1ccc2c(c1)OCCOCCOCCOCCOCCO2")</f>
        <v>Cc1cc(CN2CCN(C)CCN(C)CC2)cnc1-c1ccc2c(c1)OCCOCCOCCOCCOCCO2</v>
      </c>
      <c r="C900" s="7">
        <f>IFERROR(__xludf.DUMMYFUNCTION("""COMPUTED_VALUE"""),7.823539)</f>
        <v>7.823539</v>
      </c>
      <c r="D900" s="7">
        <f>IFERROR(__xludf.DUMMYFUNCTION("""COMPUTED_VALUE"""),0.421875)</f>
        <v>0.421875</v>
      </c>
    </row>
    <row r="901">
      <c r="A901" s="10" t="s">
        <v>2340</v>
      </c>
      <c r="B901" s="7" t="str">
        <f>IFERROR(__xludf.DUMMYFUNCTION("SPLIT(A901,"" "")"),"CN1CCN(C)CCN(Cc2cccc(N(C)C)c2)CC1")</f>
        <v>CN1CCN(C)CCN(Cc2cccc(N(C)C)c2)CC1</v>
      </c>
      <c r="C901" s="7">
        <f>IFERROR(__xludf.DUMMYFUNCTION("""COMPUTED_VALUE"""),7.8235254)</f>
        <v>7.8235254</v>
      </c>
      <c r="D901" s="7">
        <f>IFERROR(__xludf.DUMMYFUNCTION("""COMPUTED_VALUE"""),0.428571428571428)</f>
        <v>0.4285714286</v>
      </c>
    </row>
    <row r="902">
      <c r="A902" s="10" t="s">
        <v>2341</v>
      </c>
      <c r="B902" s="7" t="str">
        <f>IFERROR(__xludf.DUMMYFUNCTION("SPLIT(A902,"" "")"),"CC(C)N(C(C)C)C1CCCCC1N(C)CC1=CCC=CN1")</f>
        <v>CC(C)N(C(C)C)C1CCCCC1N(C)CC1=CCC=CN1</v>
      </c>
      <c r="C902" s="7">
        <f>IFERROR(__xludf.DUMMYFUNCTION("""COMPUTED_VALUE"""),7.823509)</f>
        <v>7.823509</v>
      </c>
      <c r="D902" s="7">
        <f>IFERROR(__xludf.DUMMYFUNCTION("""COMPUTED_VALUE"""),0.351851851851851)</f>
        <v>0.3518518519</v>
      </c>
    </row>
    <row r="903">
      <c r="A903" s="10" t="s">
        <v>2342</v>
      </c>
      <c r="B903" s="7" t="str">
        <f>IFERROR(__xludf.DUMMYFUNCTION("SPLIT(A903,"" "")"),"CC1C=CCCC1SCc1ccccn1")</f>
        <v>CC1C=CCCC1SCc1ccccn1</v>
      </c>
      <c r="C903" s="7">
        <f>IFERROR(__xludf.DUMMYFUNCTION("""COMPUTED_VALUE"""),7.8234377)</f>
        <v>7.8234377</v>
      </c>
      <c r="D903" s="7">
        <f>IFERROR(__xludf.DUMMYFUNCTION("""COMPUTED_VALUE"""),0.414634146341463)</f>
        <v>0.4146341463</v>
      </c>
    </row>
    <row r="904">
      <c r="A904" s="10" t="s">
        <v>2343</v>
      </c>
      <c r="B904" s="7" t="str">
        <f>IFERROR(__xludf.DUMMYFUNCTION("SPLIT(A904,"" "")"),"CC(C)(CN(Cc1ccccn1)Cc1ccccn1)c1cccc2c1OCCOCCOCCOCCOCCO2")</f>
        <v>CC(C)(CN(Cc1ccccn1)Cc1ccccn1)c1cccc2c1OCCOCCOCCOCCOCCO2</v>
      </c>
      <c r="C904" s="7">
        <f>IFERROR(__xludf.DUMMYFUNCTION("""COMPUTED_VALUE"""),7.823409)</f>
        <v>7.823409</v>
      </c>
      <c r="D904" s="7">
        <f>IFERROR(__xludf.DUMMYFUNCTION("""COMPUTED_VALUE"""),0.442307692307692)</f>
        <v>0.4423076923</v>
      </c>
    </row>
    <row r="905">
      <c r="A905" s="10" t="s">
        <v>2344</v>
      </c>
      <c r="B905" s="7" t="str">
        <f>IFERROR(__xludf.DUMMYFUNCTION("SPLIT(A905,"" "")"),"Cc1cc(CN2CCN(C)CCN(CC3=CCC=CN3)CC2)nc(C)c1C")</f>
        <v>Cc1cc(CN2CCN(C)CCN(CC3=CCC=CN3)CC2)nc(C)c1C</v>
      </c>
      <c r="C905" s="7">
        <f>IFERROR(__xludf.DUMMYFUNCTION("""COMPUTED_VALUE"""),7.8234)</f>
        <v>7.8234</v>
      </c>
      <c r="D905" s="7">
        <f>IFERROR(__xludf.DUMMYFUNCTION("""COMPUTED_VALUE"""),0.431372549019607)</f>
        <v>0.431372549</v>
      </c>
    </row>
    <row r="906">
      <c r="A906" s="10" t="s">
        <v>2345</v>
      </c>
      <c r="B906" s="7" t="str">
        <f>IFERROR(__xludf.DUMMYFUNCTION("SPLIT(A906,"" "")"),"CNCCN(Cc1ccccn1)C1CCCC(N(C)Cc2ccon2)C1")</f>
        <v>CNCCN(Cc1ccccn1)C1CCCC(N(C)Cc2ccon2)C1</v>
      </c>
      <c r="C906" s="7">
        <f>IFERROR(__xludf.DUMMYFUNCTION("""COMPUTED_VALUE"""),7.8233705)</f>
        <v>7.8233705</v>
      </c>
      <c r="D906" s="7">
        <f>IFERROR(__xludf.DUMMYFUNCTION("""COMPUTED_VALUE"""),0.43859649122807)</f>
        <v>0.4385964912</v>
      </c>
    </row>
    <row r="907">
      <c r="A907" s="10" t="s">
        <v>2346</v>
      </c>
      <c r="B907" s="7" t="str">
        <f>IFERROR(__xludf.DUMMYFUNCTION("SPLIT(A907,"" "")"),"Cc1ccc2c(c1)OC(SCc1ccccn1)COCCOCCOCCOCCO2")</f>
        <v>Cc1ccc2c(c1)OC(SCc1ccccn1)COCCOCCOCCOCCO2</v>
      </c>
      <c r="C907" s="7">
        <f>IFERROR(__xludf.DUMMYFUNCTION("""COMPUTED_VALUE"""),7.8233647)</f>
        <v>7.8233647</v>
      </c>
      <c r="D907" s="7">
        <f>IFERROR(__xludf.DUMMYFUNCTION("""COMPUTED_VALUE"""),0.320754716981132)</f>
        <v>0.320754717</v>
      </c>
    </row>
    <row r="908">
      <c r="A908" s="10" t="s">
        <v>2347</v>
      </c>
      <c r="B908" s="7" t="str">
        <f>IFERROR(__xludf.DUMMYFUNCTION("SPLIT(A908,"" "")"),"CC(N)C(C)C(C)N(C)Cc1cc(-c2ccc3c(c2)OCCOCCOCCOCCOCCO3)ccn1")</f>
        <v>CC(N)C(C)C(C)N(C)Cc1cc(-c2ccc3c(c2)OCCOCCOCCOCCOCCO3)ccn1</v>
      </c>
      <c r="C908" s="7">
        <f>IFERROR(__xludf.DUMMYFUNCTION("""COMPUTED_VALUE"""),7.823342)</f>
        <v>7.823342</v>
      </c>
      <c r="D908" s="7">
        <f>IFERROR(__xludf.DUMMYFUNCTION("""COMPUTED_VALUE"""),0.373134328358209)</f>
        <v>0.3731343284</v>
      </c>
    </row>
    <row r="909">
      <c r="A909" s="10" t="s">
        <v>2348</v>
      </c>
      <c r="B909" s="7" t="str">
        <f>IFERROR(__xludf.DUMMYFUNCTION("SPLIT(A909,"" "")"),"Cc1ccc2c(c1)OCCOCCOCCOCCOCC(SCc1ccccn1)O2")</f>
        <v>Cc1ccc2c(c1)OCCOCCOCCOCCOCC(SCc1ccccn1)O2</v>
      </c>
      <c r="C909" s="7">
        <f>IFERROR(__xludf.DUMMYFUNCTION("""COMPUTED_VALUE"""),7.823317)</f>
        <v>7.823317</v>
      </c>
      <c r="D909" s="7">
        <f>IFERROR(__xludf.DUMMYFUNCTION("""COMPUTED_VALUE"""),0.320754716981132)</f>
        <v>0.320754717</v>
      </c>
    </row>
    <row r="910">
      <c r="A910" s="10" t="s">
        <v>2349</v>
      </c>
      <c r="B910" s="7" t="str">
        <f>IFERROR(__xludf.DUMMYFUNCTION("SPLIT(A910,"" "")"),"CC(N)C(C)N(C)CCN(C)CC(C)(C)C")</f>
        <v>CC(N)C(C)N(C)CCN(C)CC(C)(C)C</v>
      </c>
      <c r="C910" s="7">
        <f>IFERROR(__xludf.DUMMYFUNCTION("""COMPUTED_VALUE"""),7.8232903)</f>
        <v>7.8232903</v>
      </c>
      <c r="D910" s="7">
        <f>IFERROR(__xludf.DUMMYFUNCTION("""COMPUTED_VALUE"""),0.2)</f>
        <v>0.2</v>
      </c>
    </row>
    <row r="911">
      <c r="A911" s="10" t="s">
        <v>2350</v>
      </c>
      <c r="B911" s="7" t="str">
        <f>IFERROR(__xludf.DUMMYFUNCTION("SPLIT(A911,"" "")"),"Cc1cnc(CN(C)C2CCCCC2N(CCF)CC2=CCC=CN2)c(C)c1C")</f>
        <v>Cc1cnc(CN(C)C2CCCCC2N(CCF)CC2=CCC=CN2)c(C)c1C</v>
      </c>
      <c r="C911" s="7">
        <f>IFERROR(__xludf.DUMMYFUNCTION("""COMPUTED_VALUE"""),7.8232894)</f>
        <v>7.8232894</v>
      </c>
      <c r="D911" s="7">
        <f>IFERROR(__xludf.DUMMYFUNCTION("""COMPUTED_VALUE"""),0.349206349206349)</f>
        <v>0.3492063492</v>
      </c>
    </row>
    <row r="912">
      <c r="A912" s="10" t="s">
        <v>2351</v>
      </c>
      <c r="B912" s="7" t="str">
        <f>IFERROR(__xludf.DUMMYFUNCTION("SPLIT(A912,"" "")"),"CN(Cc1ccc(F)cn1)C1CCCC(N(C)C2CCCC(N(Cc3ccccn3)Cc3cccnc3F)C2)C1")</f>
        <v>CN(Cc1ccc(F)cn1)C1CCCC(N(C)C2CCCC(N(Cc3ccccn3)Cc3cccnc3F)C2)C1</v>
      </c>
      <c r="C912" s="7">
        <f>IFERROR(__xludf.DUMMYFUNCTION("""COMPUTED_VALUE"""),7.8232894)</f>
        <v>7.8232894</v>
      </c>
      <c r="D912" s="7">
        <f>IFERROR(__xludf.DUMMYFUNCTION("""COMPUTED_VALUE"""),0.423728813559322)</f>
        <v>0.4237288136</v>
      </c>
    </row>
    <row r="913">
      <c r="A913" s="10" t="s">
        <v>2352</v>
      </c>
      <c r="B913" s="7" t="str">
        <f>IFERROR(__xludf.DUMMYFUNCTION("SPLIT(A913,"" "")"),"CC1=CCC(C)(NCc2ccccn2)C(C)C1C")</f>
        <v>CC1=CCC(C)(NCc2ccccn2)C(C)C1C</v>
      </c>
      <c r="C913" s="7">
        <f>IFERROR(__xludf.DUMMYFUNCTION("""COMPUTED_VALUE"""),7.823275)</f>
        <v>7.823275</v>
      </c>
      <c r="D913" s="7">
        <f>IFERROR(__xludf.DUMMYFUNCTION("""COMPUTED_VALUE"""),0.386363636363636)</f>
        <v>0.3863636364</v>
      </c>
    </row>
    <row r="914">
      <c r="A914" s="10" t="s">
        <v>2353</v>
      </c>
      <c r="B914" s="7" t="str">
        <f>IFERROR(__xludf.DUMMYFUNCTION("SPLIT(A914,"" "")"),"CNCCN(Cc1ccccn1)C1CCC(N(C)Cc2ncccc2C)CC1")</f>
        <v>CNCCN(Cc1ccccn1)C1CCC(N(C)Cc2ncccc2C)CC1</v>
      </c>
      <c r="C914" s="7">
        <f>IFERROR(__xludf.DUMMYFUNCTION("""COMPUTED_VALUE"""),7.823268)</f>
        <v>7.823268</v>
      </c>
      <c r="D914" s="7">
        <f>IFERROR(__xludf.DUMMYFUNCTION("""COMPUTED_VALUE"""),0.418181818181818)</f>
        <v>0.4181818182</v>
      </c>
    </row>
    <row r="915">
      <c r="A915" s="10" t="s">
        <v>2354</v>
      </c>
      <c r="B915" s="7" t="str">
        <f>IFERROR(__xludf.DUMMYFUNCTION("SPLIT(A915,"" "")"),"CC1C=C(N(C)Cc2ccccn2)C(C(C)(C)CN(Cc2ccccn2)C2CCCCC2)CC1C")</f>
        <v>CC1C=C(N(C)Cc2ccccn2)C(C(C)(C)CN(Cc2ccccn2)C2CCCCC2)CC1C</v>
      </c>
      <c r="C915" s="7">
        <f>IFERROR(__xludf.DUMMYFUNCTION("""COMPUTED_VALUE"""),7.823265)</f>
        <v>7.823265</v>
      </c>
      <c r="D915" s="7">
        <f>IFERROR(__xludf.DUMMYFUNCTION("""COMPUTED_VALUE"""),0.406779661016949)</f>
        <v>0.406779661</v>
      </c>
    </row>
    <row r="916">
      <c r="A916" s="10" t="s">
        <v>2355</v>
      </c>
      <c r="B916" s="7" t="str">
        <f>IFERROR(__xludf.DUMMYFUNCTION("SPLIT(A916,"" "")"),"CN(CC1=CCC=CN1)C1CCC(N(C)Cc2cc(-c3ccc4c(c3)OCCOCCOCCOCCOCCO4)ccn2)CC1")</f>
        <v>CN(CC1=CCC=CN1)C1CCC(N(C)Cc2cc(-c3ccc4c(c3)OCCOCCOCCOCCOCCO4)ccn2)CC1</v>
      </c>
      <c r="C916" s="7">
        <f>IFERROR(__xludf.DUMMYFUNCTION("""COMPUTED_VALUE"""),7.8232317)</f>
        <v>7.8232317</v>
      </c>
      <c r="D916" s="7">
        <f>IFERROR(__xludf.DUMMYFUNCTION("""COMPUTED_VALUE"""),0.373134328358209)</f>
        <v>0.3731343284</v>
      </c>
    </row>
    <row r="917">
      <c r="A917" s="10" t="s">
        <v>2356</v>
      </c>
      <c r="B917" s="7" t="str">
        <f>IFERROR(__xludf.DUMMYFUNCTION("SPLIT(A917,"" "")"),"CN1CCN(C)CCN(Cc2cncc(C(C)(C)C)c2)CC1")</f>
        <v>CN1CCN(C)CCN(Cc2cncc(C(C)(C)C)c2)CC1</v>
      </c>
      <c r="C917" s="7">
        <f>IFERROR(__xludf.DUMMYFUNCTION("""COMPUTED_VALUE"""),7.8232117)</f>
        <v>7.8232117</v>
      </c>
      <c r="D917" s="7">
        <f>IFERROR(__xludf.DUMMYFUNCTION("""COMPUTED_VALUE"""),0.386363636363636)</f>
        <v>0.3863636364</v>
      </c>
    </row>
    <row r="918">
      <c r="A918" s="10" t="s">
        <v>2357</v>
      </c>
      <c r="B918" s="7" t="str">
        <f>IFERROR(__xludf.DUMMYFUNCTION("SPLIT(A918,"" "")"),"CC(C)N(C)C1=CC=CCC1")</f>
        <v>CC(C)N(C)C1=CC=CCC1</v>
      </c>
      <c r="C918" s="7">
        <f>IFERROR(__xludf.DUMMYFUNCTION("""COMPUTED_VALUE"""),7.8232107)</f>
        <v>7.8232107</v>
      </c>
      <c r="D918" s="7">
        <f>IFERROR(__xludf.DUMMYFUNCTION("""COMPUTED_VALUE"""),0.186046511627906)</f>
        <v>0.1860465116</v>
      </c>
    </row>
    <row r="919">
      <c r="A919" s="10" t="s">
        <v>2358</v>
      </c>
      <c r="B919" s="7" t="str">
        <f>IFERROR(__xludf.DUMMYFUNCTION("SPLIT(A919,"" "")"),"CN(C)C1C=CC=CN1")</f>
        <v>CN(C)C1C=CC=CN1</v>
      </c>
      <c r="C919" s="7">
        <f>IFERROR(__xludf.DUMMYFUNCTION("""COMPUTED_VALUE"""),7.8232026)</f>
        <v>7.8232026</v>
      </c>
      <c r="D919" s="7">
        <f>IFERROR(__xludf.DUMMYFUNCTION("""COMPUTED_VALUE"""),0.255813953488372)</f>
        <v>0.2558139535</v>
      </c>
    </row>
    <row r="920">
      <c r="A920" s="10" t="s">
        <v>2359</v>
      </c>
      <c r="B920" s="7" t="str">
        <f>IFERROR(__xludf.DUMMYFUNCTION("SPLIT(A920,"" "")"),"CC1=C(C)C(C)C(C)CC1")</f>
        <v>CC1=C(C)C(C)C(C)CC1</v>
      </c>
      <c r="C920" s="7">
        <f>IFERROR(__xludf.DUMMYFUNCTION("""COMPUTED_VALUE"""),7.8231726)</f>
        <v>7.8231726</v>
      </c>
      <c r="D920" s="7">
        <f>IFERROR(__xludf.DUMMYFUNCTION("""COMPUTED_VALUE"""),0.166666666666666)</f>
        <v>0.1666666667</v>
      </c>
    </row>
    <row r="921">
      <c r="A921" s="10" t="s">
        <v>2360</v>
      </c>
      <c r="B921" s="7" t="str">
        <f>IFERROR(__xludf.DUMMYFUNCTION("SPLIT(A921,"" "")"),"CN(CNCc1cccc(-c2ccc3c(c2)OCCOCCOCCOCCOCCO3)n1)C1CCC(N(C)Cc2ccccn2)CC1")</f>
        <v>CN(CNCc1cccc(-c2ccc3c(c2)OCCOCCOCCOCCOCCO3)n1)C1CCC(N(C)Cc2ccccn2)CC1</v>
      </c>
      <c r="C921" s="7">
        <f>IFERROR(__xludf.DUMMYFUNCTION("""COMPUTED_VALUE"""),7.8231673)</f>
        <v>7.8231673</v>
      </c>
      <c r="D921" s="7">
        <f>IFERROR(__xludf.DUMMYFUNCTION("""COMPUTED_VALUE"""),0.36986301369863)</f>
        <v>0.3698630137</v>
      </c>
    </row>
    <row r="922">
      <c r="A922" s="10" t="s">
        <v>2361</v>
      </c>
      <c r="B922" s="7" t="str">
        <f>IFERROR(__xludf.DUMMYFUNCTION("SPLIT(A922,"" "")"),"CNCCN(Cc1ccccn1)C(C)(N)C1CCC1(C)C")</f>
        <v>CNCCN(Cc1ccccn1)C(C)(N)C1CCC1(C)C</v>
      </c>
      <c r="C922" s="7">
        <f>IFERROR(__xludf.DUMMYFUNCTION("""COMPUTED_VALUE"""),7.8231435)</f>
        <v>7.8231435</v>
      </c>
      <c r="D922" s="7">
        <f>IFERROR(__xludf.DUMMYFUNCTION("""COMPUTED_VALUE"""),0.381818181818181)</f>
        <v>0.3818181818</v>
      </c>
    </row>
    <row r="923">
      <c r="A923" s="10" t="s">
        <v>2362</v>
      </c>
      <c r="B923" s="7" t="str">
        <f>IFERROR(__xludf.DUMMYFUNCTION("SPLIT(A923,"" "")"),"CN(Cc1cccc(-c2cccc3c2OCCOCCOCCOCCOCCO3)n1)C1CCCCC1N(Cc1ccccn1)CC1C=CNC=C1")</f>
        <v>CN(Cc1cccc(-c2cccc3c2OCCOCCOCCOCCOCCO3)n1)C1CCCCC1N(Cc1ccccn1)CC1C=CNC=C1</v>
      </c>
      <c r="C923" s="7">
        <f>IFERROR(__xludf.DUMMYFUNCTION("""COMPUTED_VALUE"""),7.8231425)</f>
        <v>7.8231425</v>
      </c>
      <c r="D923" s="7">
        <f>IFERROR(__xludf.DUMMYFUNCTION("""COMPUTED_VALUE"""),0.434782608695652)</f>
        <v>0.4347826087</v>
      </c>
    </row>
    <row r="924">
      <c r="A924" s="10" t="s">
        <v>2363</v>
      </c>
      <c r="B924" s="7" t="str">
        <f>IFERROR(__xludf.DUMMYFUNCTION("SPLIT(A924,"" "")"),"Cc1cncc(CN(C)C2CCCC(N(CCN(C)C(C)(C)C)C(C)C)C2)c1")</f>
        <v>Cc1cncc(CN(C)C2CCCC(N(CCN(C)C(C)(C)C)C(C)C)C2)c1</v>
      </c>
      <c r="C924" s="7">
        <f>IFERROR(__xludf.DUMMYFUNCTION("""COMPUTED_VALUE"""),7.823128)</f>
        <v>7.823128</v>
      </c>
      <c r="D924" s="7">
        <f>IFERROR(__xludf.DUMMYFUNCTION("""COMPUTED_VALUE"""),0.253968253968253)</f>
        <v>0.253968254</v>
      </c>
    </row>
    <row r="925">
      <c r="A925" s="10" t="s">
        <v>2364</v>
      </c>
      <c r="B925" s="7" t="str">
        <f>IFERROR(__xludf.DUMMYFUNCTION("SPLIT(A925,"" "")"),"c1cnc2c(c1)CCCC2")</f>
        <v>c1cnc2c(c1)CCCC2</v>
      </c>
      <c r="C925" s="7">
        <f>IFERROR(__xludf.DUMMYFUNCTION("""COMPUTED_VALUE"""),7.823102)</f>
        <v>7.823102</v>
      </c>
      <c r="D925" s="7">
        <f>IFERROR(__xludf.DUMMYFUNCTION("""COMPUTED_VALUE"""),0.311111111111111)</f>
        <v>0.3111111111</v>
      </c>
    </row>
    <row r="926">
      <c r="A926" s="10" t="s">
        <v>2365</v>
      </c>
      <c r="B926" s="7" t="str">
        <f>IFERROR(__xludf.DUMMYFUNCTION("SPLIT(A926,"" "")"),"CC1C=C(N=Cc2ccccn2)CCC1CN(C)C1CCCC(N(C)Cc2ccccn2)C1")</f>
        <v>CC1C=C(N=Cc2ccccn2)CCC1CN(C)C1CCCC(N(C)Cc2ccccn2)C1</v>
      </c>
      <c r="C926" s="7">
        <f>IFERROR(__xludf.DUMMYFUNCTION("""COMPUTED_VALUE"""),7.8230944)</f>
        <v>7.8230944</v>
      </c>
      <c r="D926" s="7">
        <f>IFERROR(__xludf.DUMMYFUNCTION("""COMPUTED_VALUE"""),0.40983606557377)</f>
        <v>0.4098360656</v>
      </c>
    </row>
    <row r="927">
      <c r="A927" s="10" t="s">
        <v>2366</v>
      </c>
      <c r="B927" s="7" t="str">
        <f>IFERROR(__xludf.DUMMYFUNCTION("SPLIT(A927,"" "")"),"CNC1CCCC(N(Cc2ccccn2)Cc2ccccn2)C1")</f>
        <v>CNC1CCCC(N(Cc2ccccn2)Cc2ccccn2)C1</v>
      </c>
      <c r="C927" s="7">
        <f>IFERROR(__xludf.DUMMYFUNCTION("""COMPUTED_VALUE"""),7.823083)</f>
        <v>7.823083</v>
      </c>
      <c r="D927" s="7">
        <f>IFERROR(__xludf.DUMMYFUNCTION("""COMPUTED_VALUE"""),0.488888888888888)</f>
        <v>0.4888888889</v>
      </c>
    </row>
    <row r="928">
      <c r="A928" s="10" t="s">
        <v>2367</v>
      </c>
      <c r="B928" s="7" t="str">
        <f>IFERROR(__xludf.DUMMYFUNCTION("SPLIT(A928,"" "")"),"c1ccc(CN(Cc2ccccn2)C2COCCOCCOc3ccccc3OCCOCCO2)nc1")</f>
        <v>c1ccc(CN(Cc2ccccn2)C2COCCOCCOc3ccccc3OCCOCCO2)nc1</v>
      </c>
      <c r="C928" s="7">
        <f>IFERROR(__xludf.DUMMYFUNCTION("""COMPUTED_VALUE"""),7.8229623)</f>
        <v>7.8229623</v>
      </c>
      <c r="D928" s="7">
        <f>IFERROR(__xludf.DUMMYFUNCTION("""COMPUTED_VALUE"""),0.386363636363636)</f>
        <v>0.3863636364</v>
      </c>
    </row>
    <row r="929">
      <c r="A929" s="10" t="s">
        <v>2368</v>
      </c>
      <c r="B929" s="7" t="str">
        <f>IFERROR(__xludf.DUMMYFUNCTION("SPLIT(A929,"" "")"),"CC(N)C(C)(C)N(C)Cc1cc(-c2cccc3c2OCCOCCOCCOCCOCCO3)ccn1")</f>
        <v>CC(N)C(C)(C)N(C)Cc1cc(-c2cccc3c2OCCOCCOCCOCCOCCO3)ccn1</v>
      </c>
      <c r="C929" s="7">
        <f>IFERROR(__xludf.DUMMYFUNCTION("""COMPUTED_VALUE"""),7.822948)</f>
        <v>7.822948</v>
      </c>
      <c r="D929" s="7">
        <f>IFERROR(__xludf.DUMMYFUNCTION("""COMPUTED_VALUE"""),0.243589743589743)</f>
        <v>0.2435897436</v>
      </c>
    </row>
    <row r="930">
      <c r="A930" s="10" t="s">
        <v>2369</v>
      </c>
      <c r="B930" s="7" t="str">
        <f>IFERROR(__xludf.DUMMYFUNCTION("SPLIT(A930,"" "")"),"CC1C=CC(C)C2(C1)C(C)C(C)C=CC2N(C)Cc1ccccn1")</f>
        <v>CC1C=CC(C)C2(C1)C(C)C(C)C=CC2N(C)Cc1ccccn1</v>
      </c>
      <c r="C930" s="7">
        <f>IFERROR(__xludf.DUMMYFUNCTION("""COMPUTED_VALUE"""),7.8229346)</f>
        <v>7.8229346</v>
      </c>
      <c r="D930" s="7">
        <f>IFERROR(__xludf.DUMMYFUNCTION("""COMPUTED_VALUE"""),0.442307692307692)</f>
        <v>0.4423076923</v>
      </c>
    </row>
    <row r="931">
      <c r="A931" s="10" t="s">
        <v>2370</v>
      </c>
      <c r="B931" s="7" t="str">
        <f>IFERROR(__xludf.DUMMYFUNCTION("SPLIT(A931,"" "")"),"CN(c1cccc2c1OCCOCCOCCOCCOCCO2)C1CCCC(N(Cc2ccccn2)Cc2cccc(F)n2)C1")</f>
        <v>CN(c1cccc2c1OCCOCCOCCOCCOCCO2)C1CCCC(N(Cc2ccccn2)Cc2cccc(F)n2)C1</v>
      </c>
      <c r="C931" s="7">
        <f>IFERROR(__xludf.DUMMYFUNCTION("""COMPUTED_VALUE"""),7.8228655)</f>
        <v>7.8228655</v>
      </c>
      <c r="D931" s="7">
        <f>IFERROR(__xludf.DUMMYFUNCTION("""COMPUTED_VALUE"""),0.35064935064935)</f>
        <v>0.3506493506</v>
      </c>
    </row>
    <row r="932">
      <c r="A932" s="10" t="s">
        <v>2371</v>
      </c>
      <c r="B932" s="7" t="str">
        <f>IFERROR(__xludf.DUMMYFUNCTION("SPLIT(A932,"" "")"),"CC1=CCC2(CC(N=Cc3ccccn3)C=C(C(C)(C)N(Cc3ccccn3)C3CCCCC3)C2C)CC1C")</f>
        <v>CC1=CCC2(CC(N=Cc3ccccn3)C=C(C(C)(C)N(Cc3ccccn3)C3CCCCC3)C2C)CC1C</v>
      </c>
      <c r="C932" s="7">
        <f>IFERROR(__xludf.DUMMYFUNCTION("""COMPUTED_VALUE"""),7.822863)</f>
        <v>7.822863</v>
      </c>
      <c r="D932" s="7">
        <f>IFERROR(__xludf.DUMMYFUNCTION("""COMPUTED_VALUE"""),0.324324324324324)</f>
        <v>0.3243243243</v>
      </c>
    </row>
    <row r="933">
      <c r="A933" s="10" t="s">
        <v>2372</v>
      </c>
      <c r="B933" s="7" t="str">
        <f>IFERROR(__xludf.DUMMYFUNCTION("SPLIT(A933,"" "")"),"CN(CCF)CCN(C)C(C)(C)C")</f>
        <v>CN(CCF)CCN(C)C(C)(C)C</v>
      </c>
      <c r="C933" s="7">
        <f>IFERROR(__xludf.DUMMYFUNCTION("""COMPUTED_VALUE"""),7.822848)</f>
        <v>7.822848</v>
      </c>
      <c r="D933" s="7">
        <f>IFERROR(__xludf.DUMMYFUNCTION("""COMPUTED_VALUE"""),0.222222222222222)</f>
        <v>0.2222222222</v>
      </c>
    </row>
    <row r="934">
      <c r="A934" s="10" t="s">
        <v>2373</v>
      </c>
      <c r="B934" s="7" t="str">
        <f>IFERROR(__xludf.DUMMYFUNCTION("SPLIT(A934,"" "")"),"CC(C)NCNCF")</f>
        <v>CC(C)NCNCF</v>
      </c>
      <c r="C934" s="7">
        <f>IFERROR(__xludf.DUMMYFUNCTION("""COMPUTED_VALUE"""),7.82281)</f>
        <v>7.82281</v>
      </c>
      <c r="D934" s="7">
        <f>IFERROR(__xludf.DUMMYFUNCTION("""COMPUTED_VALUE"""),0.104166666666666)</f>
        <v>0.1041666667</v>
      </c>
    </row>
    <row r="935">
      <c r="A935" s="10" t="s">
        <v>2374</v>
      </c>
      <c r="B935" s="7" t="str">
        <f>IFERROR(__xludf.DUMMYFUNCTION("SPLIT(A935,"" "")"),"Cc1cnc(CN(C)C2CCCC(N(C)C(C)C)C2)c(C)c1")</f>
        <v>Cc1cnc(CN(C)C2CCCC(N(C)C(C)C)C2)c(C)c1</v>
      </c>
      <c r="C935" s="7">
        <f>IFERROR(__xludf.DUMMYFUNCTION("""COMPUTED_VALUE"""),7.8227825)</f>
        <v>7.8227825</v>
      </c>
      <c r="D935" s="7">
        <f>IFERROR(__xludf.DUMMYFUNCTION("""COMPUTED_VALUE"""),0.339622641509433)</f>
        <v>0.3396226415</v>
      </c>
    </row>
    <row r="936">
      <c r="A936" s="10" t="s">
        <v>2375</v>
      </c>
      <c r="B936" s="7" t="str">
        <f>IFERROR(__xludf.DUMMYFUNCTION("SPLIT(A936,"" "")"),"Cc1cc(CN(C)C2CCCCC2N(C)CCN(C)CCF)nc(C)c1C")</f>
        <v>Cc1cc(CN(C)C2CCCCC2N(C)CCN(C)CCF)nc(C)c1C</v>
      </c>
      <c r="C936" s="7">
        <f>IFERROR(__xludf.DUMMYFUNCTION("""COMPUTED_VALUE"""),7.8227696)</f>
        <v>7.8227696</v>
      </c>
      <c r="D936" s="7">
        <f>IFERROR(__xludf.DUMMYFUNCTION("""COMPUTED_VALUE"""),0.423076923076923)</f>
        <v>0.4230769231</v>
      </c>
    </row>
    <row r="937">
      <c r="A937" s="10" t="s">
        <v>2376</v>
      </c>
      <c r="B937" s="7" t="str">
        <f>IFERROR(__xludf.DUMMYFUNCTION("SPLIT(A937,"" "")"),"CN(CCN(C)C1CCC(N(C)Cc2ccccn2)CC1)Cc1ncccc1-c1cccc2c1OCCOCCOCCOCCOCCO2")</f>
        <v>CN(CCN(C)C1CCC(N(C)Cc2ccccn2)CC1)Cc1ncccc1-c1cccc2c1OCCOCCOCCOCCOCCO2</v>
      </c>
      <c r="C937" s="7">
        <f>IFERROR(__xludf.DUMMYFUNCTION("""COMPUTED_VALUE"""),7.8227525)</f>
        <v>7.8227525</v>
      </c>
      <c r="D937" s="7">
        <f>IFERROR(__xludf.DUMMYFUNCTION("""COMPUTED_VALUE"""),0.375)</f>
        <v>0.375</v>
      </c>
    </row>
    <row r="938">
      <c r="A938" s="10" t="s">
        <v>2377</v>
      </c>
      <c r="B938" s="7" t="str">
        <f>IFERROR(__xludf.DUMMYFUNCTION("SPLIT(A938,"" "")"),"Cc1cccnc1CN1CCN(C)CCN(Cc2cccnc2F)CC1")</f>
        <v>Cc1cccnc1CN1CCN(C)CCN(Cc2cccnc2F)CC1</v>
      </c>
      <c r="C938" s="7">
        <f>IFERROR(__xludf.DUMMYFUNCTION("""COMPUTED_VALUE"""),7.8227353)</f>
        <v>7.8227353</v>
      </c>
      <c r="D938" s="7">
        <f>IFERROR(__xludf.DUMMYFUNCTION("""COMPUTED_VALUE"""),0.456521739130434)</f>
        <v>0.4565217391</v>
      </c>
    </row>
    <row r="939">
      <c r="A939" s="10" t="s">
        <v>2378</v>
      </c>
      <c r="B939" s="7" t="str">
        <f>IFERROR(__xludf.DUMMYFUNCTION("SPLIT(A939,"" "")"),"CNCCN(Cc1cccc(F)n1)C1CCCCC1N(C)Cc1cccc(-c2ccc3c(c2)OCCOCCOCCOCCOCCO3)n1")</f>
        <v>CNCCN(Cc1cccc(F)n1)C1CCCCC1N(C)Cc1cccc(-c2ccc3c(c2)OCCOCCOCCOCCOCCO3)n1</v>
      </c>
      <c r="C939" s="7">
        <f>IFERROR(__xludf.DUMMYFUNCTION("""COMPUTED_VALUE"""),7.8227277)</f>
        <v>7.8227277</v>
      </c>
      <c r="D939" s="7">
        <f>IFERROR(__xludf.DUMMYFUNCTION("""COMPUTED_VALUE"""),0.371428571428571)</f>
        <v>0.3714285714</v>
      </c>
    </row>
    <row r="940">
      <c r="A940" s="10" t="s">
        <v>2379</v>
      </c>
      <c r="B940" s="7" t="str">
        <f>IFERROR(__xludf.DUMMYFUNCTION("SPLIT(A940,"" "")"),"Cc1cccnc1CN(C)C1CCCC(N(C)CC2=CCC=CN2)C1")</f>
        <v>Cc1cccnc1CN(C)C1CCCC(N(C)CC2=CCC=CN2)C1</v>
      </c>
      <c r="C940" s="7">
        <f>IFERROR(__xludf.DUMMYFUNCTION("""COMPUTED_VALUE"""),7.8227167)</f>
        <v>7.8227167</v>
      </c>
      <c r="D940" s="7">
        <f>IFERROR(__xludf.DUMMYFUNCTION("""COMPUTED_VALUE"""),0.446428571428571)</f>
        <v>0.4464285714</v>
      </c>
    </row>
    <row r="941">
      <c r="A941" s="10" t="s">
        <v>2380</v>
      </c>
      <c r="B941" s="7" t="str">
        <f>IFERROR(__xludf.DUMMYFUNCTION("SPLIT(A941,"" "")"),"CC(NCc1ccccn1)C(C)(C)N")</f>
        <v>CC(NCc1ccccn1)C(C)(C)N</v>
      </c>
      <c r="C941" s="7">
        <f>IFERROR(__xludf.DUMMYFUNCTION("""COMPUTED_VALUE"""),7.8226995)</f>
        <v>7.8226995</v>
      </c>
      <c r="D941" s="7">
        <f>IFERROR(__xludf.DUMMYFUNCTION("""COMPUTED_VALUE"""),0.472222222222222)</f>
        <v>0.4722222222</v>
      </c>
    </row>
    <row r="942">
      <c r="A942" s="10" t="s">
        <v>2381</v>
      </c>
      <c r="B942" s="7" t="str">
        <f>IFERROR(__xludf.DUMMYFUNCTION("SPLIT(A942,"" "")"),"CC1C=CC(N2CCN(C)CCN(C)CC2)c2ncccc21")</f>
        <v>CC1C=CC(N2CCN(C)CCN(C)CC2)c2ncccc21</v>
      </c>
      <c r="C942" s="7">
        <f>IFERROR(__xludf.DUMMYFUNCTION("""COMPUTED_VALUE"""),7.822672)</f>
        <v>7.822672</v>
      </c>
      <c r="D942" s="7">
        <f>IFERROR(__xludf.DUMMYFUNCTION("""COMPUTED_VALUE"""),0.340425531914893)</f>
        <v>0.3404255319</v>
      </c>
    </row>
    <row r="943">
      <c r="A943" s="10" t="s">
        <v>2382</v>
      </c>
      <c r="B943" s="7" t="str">
        <f>IFERROR(__xludf.DUMMYFUNCTION("SPLIT(A943,"" "")"),"CC(C)NCC1CCCN1C(C)C")</f>
        <v>CC(C)NCC1CCCN1C(C)C</v>
      </c>
      <c r="C943" s="7">
        <f>IFERROR(__xludf.DUMMYFUNCTION("""COMPUTED_VALUE"""),7.8226075)</f>
        <v>7.8226075</v>
      </c>
      <c r="D943" s="7">
        <f>IFERROR(__xludf.DUMMYFUNCTION("""COMPUTED_VALUE"""),0.22)</f>
        <v>0.22</v>
      </c>
    </row>
    <row r="944">
      <c r="A944" s="10" t="s">
        <v>2383</v>
      </c>
      <c r="B944" s="7" t="str">
        <f>IFERROR(__xludf.DUMMYFUNCTION("SPLIT(A944,"" "")"),"CCCNCc1cccnn1")</f>
        <v>CCCNCc1cccnn1</v>
      </c>
      <c r="C944" s="7">
        <f>IFERROR(__xludf.DUMMYFUNCTION("""COMPUTED_VALUE"""),7.8226013)</f>
        <v>7.8226013</v>
      </c>
      <c r="D944" s="7">
        <f>IFERROR(__xludf.DUMMYFUNCTION("""COMPUTED_VALUE"""),0.444444444444444)</f>
        <v>0.4444444444</v>
      </c>
    </row>
    <row r="945">
      <c r="A945" s="10" t="s">
        <v>2384</v>
      </c>
      <c r="B945" s="7" t="str">
        <f>IFERROR(__xludf.DUMMYFUNCTION("SPLIT(A945,"" "")"),"CNCc1ccc(CNCC2CCCN2C(C)C)cn1")</f>
        <v>CNCc1ccc(CNCC2CCCN2C(C)C)cn1</v>
      </c>
      <c r="C945" s="7">
        <f>IFERROR(__xludf.DUMMYFUNCTION("""COMPUTED_VALUE"""),7.8225894)</f>
        <v>7.8225894</v>
      </c>
      <c r="D945" s="7">
        <f>IFERROR(__xludf.DUMMYFUNCTION("""COMPUTED_VALUE"""),0.338983050847457)</f>
        <v>0.3389830508</v>
      </c>
    </row>
    <row r="946">
      <c r="A946" s="10" t="s">
        <v>2385</v>
      </c>
      <c r="B946" s="7" t="str">
        <f>IFERROR(__xludf.DUMMYFUNCTION("SPLIT(A946,"" "")"),"CCOC(=O)C(=O)C(C)C(C)N1CCN(C)CCN(C(=O)OC)CC1")</f>
        <v>CCOC(=O)C(=O)C(C)C(C)N1CCN(C)CCN(C(=O)OC)CC1</v>
      </c>
      <c r="C946" s="7">
        <f>IFERROR(__xludf.DUMMYFUNCTION("""COMPUTED_VALUE"""),7.8225336)</f>
        <v>7.8225336</v>
      </c>
      <c r="D946" s="7">
        <f>IFERROR(__xludf.DUMMYFUNCTION("""COMPUTED_VALUE"""),0.274193548387096)</f>
        <v>0.2741935484</v>
      </c>
    </row>
    <row r="947">
      <c r="A947" s="10" t="s">
        <v>2386</v>
      </c>
      <c r="B947" s="7" t="str">
        <f>IFERROR(__xludf.DUMMYFUNCTION("SPLIT(A947,"" "")"),"CCOC(=O)C(=O)C(C)C(C)NCc1ncccc1CN1CCN(C)CCN(C)CC1")</f>
        <v>CCOC(=O)C(=O)C(C)C(C)NCc1ncccc1CN1CCN(C)CCN(C)CC1</v>
      </c>
      <c r="C947" s="7">
        <f>IFERROR(__xludf.DUMMYFUNCTION("""COMPUTED_VALUE"""),7.8225274)</f>
        <v>7.8225274</v>
      </c>
      <c r="D947" s="7">
        <f>IFERROR(__xludf.DUMMYFUNCTION("""COMPUTED_VALUE"""),0.409090909090909)</f>
        <v>0.4090909091</v>
      </c>
    </row>
    <row r="948">
      <c r="A948" s="10" t="s">
        <v>2387</v>
      </c>
      <c r="B948" s="7" t="str">
        <f>IFERROR(__xludf.DUMMYFUNCTION("SPLIT(A948,"" "")"),"Cc1cncc(CN(C)C2=CNC=CC2CN2CCN(C)CCN(C)CC2)c1")</f>
        <v>Cc1cncc(CN(C)C2=CNC=CC2CN2CCN(C)CCN(C)CC2)c1</v>
      </c>
      <c r="C948" s="7">
        <f>IFERROR(__xludf.DUMMYFUNCTION("""COMPUTED_VALUE"""),7.822482)</f>
        <v>7.822482</v>
      </c>
      <c r="D948" s="7">
        <f>IFERROR(__xludf.DUMMYFUNCTION("""COMPUTED_VALUE"""),0.296875)</f>
        <v>0.296875</v>
      </c>
    </row>
    <row r="949">
      <c r="A949" s="10" t="s">
        <v>2388</v>
      </c>
      <c r="B949" s="7" t="str">
        <f>IFERROR(__xludf.DUMMYFUNCTION("SPLIT(A949,"" "")"),"CN(Cc1ccccn1)c1cccc2c1OCCOCCOCCOCCOCCO2")</f>
        <v>CN(Cc1ccccn1)c1cccc2c1OCCOCCOCCOCCOCCO2</v>
      </c>
      <c r="C949" s="7">
        <f>IFERROR(__xludf.DUMMYFUNCTION("""COMPUTED_VALUE"""),7.822465)</f>
        <v>7.822465</v>
      </c>
      <c r="D949" s="7">
        <f>IFERROR(__xludf.DUMMYFUNCTION("""COMPUTED_VALUE"""),0.489361702127659)</f>
        <v>0.4893617021</v>
      </c>
    </row>
    <row r="950">
      <c r="A950" s="10" t="s">
        <v>2389</v>
      </c>
      <c r="B950" s="7" t="str">
        <f>IFERROR(__xludf.DUMMYFUNCTION("SPLIT(A950,"" "")"),"CC1C=CCC(C)(c2ncccc2CN(Cc2ccccn2)C2CCCCC2)C1C")</f>
        <v>CC1C=CCC(C)(c2ncccc2CN(Cc2ccccn2)C2CCCCC2)C1C</v>
      </c>
      <c r="C950" s="7">
        <f>IFERROR(__xludf.DUMMYFUNCTION("""COMPUTED_VALUE"""),7.8224244)</f>
        <v>7.8224244</v>
      </c>
      <c r="D950" s="7">
        <f>IFERROR(__xludf.DUMMYFUNCTION("""COMPUTED_VALUE"""),0.383333333333333)</f>
        <v>0.3833333333</v>
      </c>
    </row>
    <row r="951">
      <c r="A951" s="10" t="s">
        <v>2390</v>
      </c>
      <c r="B951" s="7" t="str">
        <f>IFERROR(__xludf.DUMMYFUNCTION("SPLIT(A951,"" "")"),"CNCN1CCN(C)CCN(Cc2nc(C)c(C)c(C)c2C)CC1")</f>
        <v>CNCN1CCN(C)CCN(Cc2nc(C)c(C)c(C)c2C)CC1</v>
      </c>
      <c r="C951" s="7">
        <f>IFERROR(__xludf.DUMMYFUNCTION("""COMPUTED_VALUE"""),7.822421)</f>
        <v>7.822421</v>
      </c>
      <c r="D951" s="7">
        <f>IFERROR(__xludf.DUMMYFUNCTION("""COMPUTED_VALUE"""),0.387755102040816)</f>
        <v>0.387755102</v>
      </c>
    </row>
    <row r="952">
      <c r="A952" s="10" t="s">
        <v>2391</v>
      </c>
      <c r="B952" s="7" t="str">
        <f>IFERROR(__xludf.DUMMYFUNCTION("SPLIT(A952,"" "")"),"CNCc1ncccc1CN(Cc1ccccn1)C1CCCCC1")</f>
        <v>CNCc1ncccc1CN(Cc1ccccn1)C1CCCCC1</v>
      </c>
      <c r="C952" s="7">
        <f>IFERROR(__xludf.DUMMYFUNCTION("""COMPUTED_VALUE"""),7.822406)</f>
        <v>7.822406</v>
      </c>
      <c r="D952" s="7">
        <f>IFERROR(__xludf.DUMMYFUNCTION("""COMPUTED_VALUE"""),0.450980392156862)</f>
        <v>0.4509803922</v>
      </c>
    </row>
    <row r="953">
      <c r="A953" s="10" t="s">
        <v>2392</v>
      </c>
      <c r="B953" s="7" t="str">
        <f>IFERROR(__xludf.DUMMYFUNCTION("SPLIT(A953,"" "")"),"CN1CCN(C)CCN(Cc2ccc(C3CC(C)(C)C3)nc2)CC1")</f>
        <v>CN1CCN(C)CCN(Cc2ccc(C3CC(C)(C)C3)nc2)CC1</v>
      </c>
      <c r="C953" s="7">
        <f>IFERROR(__xludf.DUMMYFUNCTION("""COMPUTED_VALUE"""),7.8223753)</f>
        <v>7.8223753</v>
      </c>
      <c r="D953" s="7">
        <f>IFERROR(__xludf.DUMMYFUNCTION("""COMPUTED_VALUE"""),0.382978723404255)</f>
        <v>0.3829787234</v>
      </c>
    </row>
    <row r="954">
      <c r="A954" s="10" t="s">
        <v>2393</v>
      </c>
      <c r="B954" s="7" t="str">
        <f>IFERROR(__xludf.DUMMYFUNCTION("SPLIT(A954,"" "")"),"Cc1cnc(CN(Cc2ccc3c(c2)OCCOCCOCCOCCOCCO3)C2CCC(N(C)Cc3cccc(-c4ccc5c(c4)OCCOCCOCCOCCOCCO5)n3)CC2)c(C)c1")</f>
        <v>Cc1cnc(CN(Cc2ccc3c(c2)OCCOCCOCCOCCOCCO3)C2CCC(N(C)Cc3cccc(-c4ccc5c(c4)OCCOCCOCCOCCOCCO5)n3)CC2)c(C)c1</v>
      </c>
      <c r="C954" s="7">
        <f>IFERROR(__xludf.DUMMYFUNCTION("""COMPUTED_VALUE"""),7.8223205)</f>
        <v>7.8223205</v>
      </c>
      <c r="D954" s="7">
        <f>IFERROR(__xludf.DUMMYFUNCTION("""COMPUTED_VALUE"""),0.325301204819277)</f>
        <v>0.3253012048</v>
      </c>
    </row>
    <row r="955">
      <c r="A955" s="10" t="s">
        <v>2394</v>
      </c>
      <c r="B955" s="7" t="str">
        <f>IFERROR(__xludf.DUMMYFUNCTION("SPLIT(A955,"" "")"),"CCNCCN(C)Cc1cccc(-c2cccc3c2OCCOCCOCCOCCOCCO3)n1")</f>
        <v>CCNCCN(C)Cc1cccc(-c2cccc3c2OCCOCCOCCOCCOCCO3)n1</v>
      </c>
      <c r="C955" s="7">
        <f>IFERROR(__xludf.DUMMYFUNCTION("""COMPUTED_VALUE"""),7.8223124)</f>
        <v>7.8223124</v>
      </c>
      <c r="D955" s="7">
        <f>IFERROR(__xludf.DUMMYFUNCTION("""COMPUTED_VALUE"""),0.339285714285714)</f>
        <v>0.3392857143</v>
      </c>
    </row>
    <row r="956">
      <c r="A956" s="10" t="s">
        <v>2395</v>
      </c>
      <c r="B956" s="7" t="str">
        <f>IFERROR(__xludf.DUMMYFUNCTION("SPLIT(A956,"" "")"),"CC(C)N(CCN(C)CCF)Cc1cccc(-c2cccc3c2OCCOCCOCCOCCOCCO3)n1")</f>
        <v>CC(C)N(CCN(C)CCF)Cc1cccc(-c2cccc3c2OCCOCCOCCOCCOCCO3)n1</v>
      </c>
      <c r="C956" s="7">
        <f>IFERROR(__xludf.DUMMYFUNCTION("""COMPUTED_VALUE"""),7.822265)</f>
        <v>7.822265</v>
      </c>
      <c r="D956" s="7">
        <f>IFERROR(__xludf.DUMMYFUNCTION("""COMPUTED_VALUE"""),0.327868852459016)</f>
        <v>0.3278688525</v>
      </c>
    </row>
    <row r="957">
      <c r="A957" s="10" t="s">
        <v>2396</v>
      </c>
      <c r="B957" s="7" t="str">
        <f>IFERROR(__xludf.DUMMYFUNCTION("SPLIT(A957,"" "")"),"CC(C)C(C)(N)N(Cc1ccccn1)Cc1ccc(CN2CCN(C)CCN(C)CC2)cn1")</f>
        <v>CC(C)C(C)(N)N(Cc1ccccn1)Cc1ccc(CN2CCN(C)CCN(C)CC2)cn1</v>
      </c>
      <c r="C957" s="7">
        <f>IFERROR(__xludf.DUMMYFUNCTION("""COMPUTED_VALUE"""),7.8222494)</f>
        <v>7.8222494</v>
      </c>
      <c r="D957" s="7">
        <f>IFERROR(__xludf.DUMMYFUNCTION("""COMPUTED_VALUE"""),0.5)</f>
        <v>0.5</v>
      </c>
    </row>
    <row r="958">
      <c r="A958" s="10" t="s">
        <v>2397</v>
      </c>
      <c r="B958" s="7" t="str">
        <f>IFERROR(__xludf.DUMMYFUNCTION("SPLIT(A958,"" "")"),"CN(Cc1cccc(C2=CCC=CN2)n1)Cc1cccc(C2CC3OCCOCCOCCOCCOCCOC32)n1")</f>
        <v>CN(Cc1cccc(C2=CCC=CN2)n1)Cc1cccc(C2CC3OCCOCCOCCOCCOCCOC32)n1</v>
      </c>
      <c r="C958" s="7">
        <f>IFERROR(__xludf.DUMMYFUNCTION("""COMPUTED_VALUE"""),7.822236)</f>
        <v>7.822236</v>
      </c>
      <c r="D958" s="7">
        <f>IFERROR(__xludf.DUMMYFUNCTION("""COMPUTED_VALUE"""),0.318181818181818)</f>
        <v>0.3181818182</v>
      </c>
    </row>
    <row r="959">
      <c r="A959" s="10" t="s">
        <v>2398</v>
      </c>
      <c r="B959" s="7" t="str">
        <f>IFERROR(__xludf.DUMMYFUNCTION("SPLIT(A959,"" "")"),"CC1CCC1c1cccnc1CN(C)C1CCC(N(C)Cc2ccccn2)CC1")</f>
        <v>CC1CCC1c1cccnc1CN(C)C1CCC(N(C)Cc2ccccn2)CC1</v>
      </c>
      <c r="C959" s="7">
        <f>IFERROR(__xludf.DUMMYFUNCTION("""COMPUTED_VALUE"""),7.8222313)</f>
        <v>7.8222313</v>
      </c>
      <c r="D959" s="7">
        <f>IFERROR(__xludf.DUMMYFUNCTION("""COMPUTED_VALUE"""),0.489795918367346)</f>
        <v>0.4897959184</v>
      </c>
    </row>
    <row r="960">
      <c r="A960" s="10" t="s">
        <v>2399</v>
      </c>
      <c r="B960" s="7" t="str">
        <f>IFERROR(__xludf.DUMMYFUNCTION("SPLIT(A960,"" "")"),"Cc1cccc(CN(C)C2C=CNC(CN(C)Cc3ccc4c(c3)OCCOCCOCCOCCOCCO4)=C2)n1")</f>
        <v>Cc1cccc(CN(C)C2C=CNC(CN(C)Cc3ccc4c(c3)OCCOCCOCCOCCOCCO4)=C2)n1</v>
      </c>
      <c r="C960" s="7">
        <f>IFERROR(__xludf.DUMMYFUNCTION("""COMPUTED_VALUE"""),7.8222227)</f>
        <v>7.8222227</v>
      </c>
      <c r="D960" s="7">
        <f>IFERROR(__xludf.DUMMYFUNCTION("""COMPUTED_VALUE"""),0.363636363636363)</f>
        <v>0.3636363636</v>
      </c>
    </row>
    <row r="961">
      <c r="A961" s="10" t="s">
        <v>2400</v>
      </c>
      <c r="B961" s="7" t="str">
        <f>IFERROR(__xludf.DUMMYFUNCTION("SPLIT(A961,"" "")"),"CN(CCF)CCN(C)C(C)(C)c1cccnc1")</f>
        <v>CN(CCF)CCN(C)C(C)(C)c1cccnc1</v>
      </c>
      <c r="C961" s="7">
        <f>IFERROR(__xludf.DUMMYFUNCTION("""COMPUTED_VALUE"""),7.8222203)</f>
        <v>7.8222203</v>
      </c>
      <c r="D961" s="7">
        <f>IFERROR(__xludf.DUMMYFUNCTION("""COMPUTED_VALUE"""),0.333333333333333)</f>
        <v>0.3333333333</v>
      </c>
    </row>
    <row r="962">
      <c r="A962" s="10" t="s">
        <v>2401</v>
      </c>
      <c r="B962" s="7" t="str">
        <f>IFERROR(__xludf.DUMMYFUNCTION("SPLIT(A962,"" "")"),"CN(Cc1ccccn1)c1ccc2c(c1)OCCOCCOCCOCCOCCO2")</f>
        <v>CN(Cc1ccccn1)c1ccc2c(c1)OCCOCCOCCOCCOCCO2</v>
      </c>
      <c r="C962" s="7">
        <f>IFERROR(__xludf.DUMMYFUNCTION("""COMPUTED_VALUE"""),7.8222103)</f>
        <v>7.8222103</v>
      </c>
      <c r="D962" s="7">
        <f>IFERROR(__xludf.DUMMYFUNCTION("""COMPUTED_VALUE"""),0.468085106382978)</f>
        <v>0.4680851064</v>
      </c>
    </row>
    <row r="963">
      <c r="A963" s="10" t="s">
        <v>2402</v>
      </c>
      <c r="B963" s="7" t="str">
        <f>IFERROR(__xludf.DUMMYFUNCTION("SPLIT(A963,"" "")"),"CCCN(Cc1ccccn1)C1CCC(N(C)Cc2cccc(-c3ccc4c(c3)OCCOCCOCCOCCOCCO4)n2)CC1")</f>
        <v>CCCN(Cc1ccccn1)C1CCC(N(C)Cc2cccc(-c3ccc4c(c3)OCCOCCOCCOCCOCCO4)n2)CC1</v>
      </c>
      <c r="C963" s="7">
        <f>IFERROR(__xludf.DUMMYFUNCTION("""COMPUTED_VALUE"""),7.8222017)</f>
        <v>7.8222017</v>
      </c>
      <c r="D963" s="7">
        <f>IFERROR(__xludf.DUMMYFUNCTION("""COMPUTED_VALUE"""),0.383561643835616)</f>
        <v>0.3835616438</v>
      </c>
    </row>
    <row r="964">
      <c r="A964" s="10" t="s">
        <v>2403</v>
      </c>
      <c r="B964" s="7" t="str">
        <f>IFERROR(__xludf.DUMMYFUNCTION("SPLIT(A964,"" "")"),"CC(C)C1(C)CC(c2cccc(CN(Cc3ccccn3)C3CCCCC3)n2)C1")</f>
        <v>CC(C)C1(C)CC(c2cccc(CN(Cc3ccccn3)C3CCCCC3)n2)C1</v>
      </c>
      <c r="C964" s="7">
        <f>IFERROR(__xludf.DUMMYFUNCTION("""COMPUTED_VALUE"""),7.822197)</f>
        <v>7.822197</v>
      </c>
      <c r="D964" s="7">
        <f>IFERROR(__xludf.DUMMYFUNCTION("""COMPUTED_VALUE"""),0.410714285714285)</f>
        <v>0.4107142857</v>
      </c>
    </row>
    <row r="965">
      <c r="A965" s="10" t="s">
        <v>2404</v>
      </c>
      <c r="B965" s="7" t="str">
        <f>IFERROR(__xludf.DUMMYFUNCTION("SPLIT(A965,"" "")"),"CN(CCF)CC1=CCC=CN1")</f>
        <v>CN(CCF)CC1=CCC=CN1</v>
      </c>
      <c r="C965" s="7">
        <f>IFERROR(__xludf.DUMMYFUNCTION("""COMPUTED_VALUE"""),7.822191)</f>
        <v>7.822191</v>
      </c>
      <c r="D965" s="7">
        <f>IFERROR(__xludf.DUMMYFUNCTION("""COMPUTED_VALUE"""),0.413043478260869)</f>
        <v>0.4130434783</v>
      </c>
    </row>
    <row r="966">
      <c r="A966" s="10" t="s">
        <v>2405</v>
      </c>
      <c r="B966" s="7" t="str">
        <f>IFERROR(__xludf.DUMMYFUNCTION("SPLIT(A966,"" "")"),"CN(CC1=CC(N(C)Cc2cccc(-c3ccc4c(c3)OCCOCCOCCOCCOCCO4)n2)C=CN1)Cc1ccc2c(c1)OCCOCCOCCOCCOCCO2")</f>
        <v>CN(CC1=CC(N(C)Cc2cccc(-c3ccc4c(c3)OCCOCCOCCOCCOCCO4)n2)C=CN1)Cc1ccc2c(c1)OCCOCCOCCOCCOCCO2</v>
      </c>
      <c r="C966" s="7">
        <f>IFERROR(__xludf.DUMMYFUNCTION("""COMPUTED_VALUE"""),7.822177)</f>
        <v>7.822177</v>
      </c>
      <c r="D966" s="7">
        <f>IFERROR(__xludf.DUMMYFUNCTION("""COMPUTED_VALUE"""),0.296296296296296)</f>
        <v>0.2962962963</v>
      </c>
    </row>
    <row r="967">
      <c r="A967" s="10" t="s">
        <v>2406</v>
      </c>
      <c r="B967" s="7" t="str">
        <f>IFERROR(__xludf.DUMMYFUNCTION("SPLIT(A967,"" "")"),"c1ccc(CN(Cc2ccccn2)C2COCCOCCOCCOCCOc3ccccc3O2)nc1")</f>
        <v>c1ccc(CN(Cc2ccccn2)C2COCCOCCOCCOCCOc3ccccc3O2)nc1</v>
      </c>
      <c r="C967" s="7">
        <f>IFERROR(__xludf.DUMMYFUNCTION("""COMPUTED_VALUE"""),7.8221745)</f>
        <v>7.8221745</v>
      </c>
      <c r="D967" s="7">
        <f>IFERROR(__xludf.DUMMYFUNCTION("""COMPUTED_VALUE"""),0.386363636363636)</f>
        <v>0.3863636364</v>
      </c>
    </row>
    <row r="968">
      <c r="A968" s="10" t="s">
        <v>2407</v>
      </c>
      <c r="B968" s="7" t="str">
        <f>IFERROR(__xludf.DUMMYFUNCTION("SPLIT(A968,"" "")"),"CC1=CC(CN(C)Cc2ccccn2)C(C)C(C)C1")</f>
        <v>CC1=CC(CN(C)Cc2ccccn2)C(C)C(C)C1</v>
      </c>
      <c r="C968" s="7">
        <f>IFERROR(__xludf.DUMMYFUNCTION("""COMPUTED_VALUE"""),7.8221617)</f>
        <v>7.8221617</v>
      </c>
      <c r="D968" s="7">
        <f>IFERROR(__xludf.DUMMYFUNCTION("""COMPUTED_VALUE"""),0.454545454545454)</f>
        <v>0.4545454545</v>
      </c>
    </row>
    <row r="969">
      <c r="A969" s="10" t="s">
        <v>2408</v>
      </c>
      <c r="B969" s="7" t="str">
        <f>IFERROR(__xludf.DUMMYFUNCTION("SPLIT(A969,"" "")"),"CC(N)C(C)NCc1ccccn1")</f>
        <v>CC(N)C(C)NCc1ccccn1</v>
      </c>
      <c r="C969" s="7">
        <f>IFERROR(__xludf.DUMMYFUNCTION("""COMPUTED_VALUE"""),7.822142)</f>
        <v>7.822142</v>
      </c>
      <c r="D969" s="7">
        <f>IFERROR(__xludf.DUMMYFUNCTION("""COMPUTED_VALUE"""),0.5)</f>
        <v>0.5</v>
      </c>
    </row>
    <row r="970">
      <c r="A970" s="10" t="s">
        <v>2409</v>
      </c>
      <c r="B970" s="7" t="str">
        <f>IFERROR(__xludf.DUMMYFUNCTION("SPLIT(A970,"" "")"),"CN(Cc1ccccn1)C1=C(CN(Cc2ccc3c(c2)OCCOCCOCCOCCOCCO3)CC(C)(C)C)NC=CC1")</f>
        <v>CN(Cc1ccccn1)C1=C(CN(Cc2ccc3c(c2)OCCOCCOCCOCCOCCO3)CC(C)(C)C)NC=CC1</v>
      </c>
      <c r="C970" s="7">
        <f>IFERROR(__xludf.DUMMYFUNCTION("""COMPUTED_VALUE"""),7.8221416)</f>
        <v>7.8221416</v>
      </c>
      <c r="D970" s="7">
        <f>IFERROR(__xludf.DUMMYFUNCTION("""COMPUTED_VALUE"""),0.373134328358209)</f>
        <v>0.3731343284</v>
      </c>
    </row>
    <row r="971">
      <c r="A971" s="10" t="s">
        <v>2410</v>
      </c>
      <c r="B971" s="7" t="str">
        <f>IFERROR(__xludf.DUMMYFUNCTION("SPLIT(A971,"" "")"),"CN(Cc1cc(CF)ccn1)CN(C)C1(C)CCC1")</f>
        <v>CN(Cc1cc(CF)ccn1)CN(C)C1(C)CCC1</v>
      </c>
      <c r="C971" s="7">
        <f>IFERROR(__xludf.DUMMYFUNCTION("""COMPUTED_VALUE"""),7.8221316)</f>
        <v>7.8221316</v>
      </c>
      <c r="D971" s="7">
        <f>IFERROR(__xludf.DUMMYFUNCTION("""COMPUTED_VALUE"""),0.288461538461538)</f>
        <v>0.2884615385</v>
      </c>
    </row>
    <row r="972">
      <c r="A972" s="10" t="s">
        <v>2411</v>
      </c>
      <c r="B972" s="7" t="str">
        <f>IFERROR(__xludf.DUMMYFUNCTION("SPLIT(A972,"" "")"),"CCOC(=O)c1ncccc1CN1CCN(C)CCN(C(C)C)CC1")</f>
        <v>CCOC(=O)c1ncccc1CN1CCN(C)CCN(C(C)C)CC1</v>
      </c>
      <c r="C972" s="7">
        <f>IFERROR(__xludf.DUMMYFUNCTION("""COMPUTED_VALUE"""),7.8221183)</f>
        <v>7.8221183</v>
      </c>
      <c r="D972" s="7">
        <f>IFERROR(__xludf.DUMMYFUNCTION("""COMPUTED_VALUE"""),0.5)</f>
        <v>0.5</v>
      </c>
    </row>
    <row r="973">
      <c r="A973" s="10" t="s">
        <v>2412</v>
      </c>
      <c r="B973" s="7" t="str">
        <f>IFERROR(__xludf.DUMMYFUNCTION("SPLIT(A973,"" "")"),"C1=CNC(CN(CC2=CCC=CN2)CC2C=CC=CN2)C=C1")</f>
        <v>C1=CNC(CN(CC2=CCC=CN2)CC2C=CC=CN2)C=C1</v>
      </c>
      <c r="C973" s="7">
        <f>IFERROR(__xludf.DUMMYFUNCTION("""COMPUTED_VALUE"""),7.8221097)</f>
        <v>7.8221097</v>
      </c>
      <c r="D973" s="7">
        <f>IFERROR(__xludf.DUMMYFUNCTION("""COMPUTED_VALUE"""),0.458333333333333)</f>
        <v>0.4583333333</v>
      </c>
    </row>
    <row r="974">
      <c r="A974" s="10" t="s">
        <v>2413</v>
      </c>
      <c r="B974" s="7" t="str">
        <f>IFERROR(__xludf.DUMMYFUNCTION("SPLIT(A974,"" "")"),"CN(CC1=CCC=CN1)C1CCCC(N(C)Cc2ncccc2-c2cccc3c2OCCOCCOCCOCCOCCO3)C1")</f>
        <v>CN(CC1=CCC=CN1)C1CCCC(N(C)Cc2ncccc2-c2cccc3c2OCCOCCOCCOCCOCCO3)C1</v>
      </c>
      <c r="C974" s="7">
        <f>IFERROR(__xludf.DUMMYFUNCTION("""COMPUTED_VALUE"""),7.822094)</f>
        <v>7.822094</v>
      </c>
      <c r="D974" s="7">
        <f>IFERROR(__xludf.DUMMYFUNCTION("""COMPUTED_VALUE"""),0.357142857142857)</f>
        <v>0.3571428571</v>
      </c>
    </row>
    <row r="975">
      <c r="A975" s="10" t="s">
        <v>2414</v>
      </c>
      <c r="B975" s="7" t="str">
        <f>IFERROR(__xludf.DUMMYFUNCTION("SPLIT(A975,"" "")"),"CCCN(Cc1ccccn1)C1CCC(N(C)Cc2ccc(-c3ccc4c(c3)OCCOCCOCCOCCOCCO4)cn2)CC1")</f>
        <v>CCCN(Cc1ccccn1)C1CCC(N(C)Cc2ccc(-c3ccc4c(c3)OCCOCCOCCOCCOCCO4)cn2)CC1</v>
      </c>
      <c r="C975" s="7">
        <f>IFERROR(__xludf.DUMMYFUNCTION("""COMPUTED_VALUE"""),7.822044)</f>
        <v>7.822044</v>
      </c>
      <c r="D975" s="7">
        <f>IFERROR(__xludf.DUMMYFUNCTION("""COMPUTED_VALUE"""),0.450704225352112)</f>
        <v>0.4507042254</v>
      </c>
    </row>
    <row r="976">
      <c r="A976" s="10" t="s">
        <v>2415</v>
      </c>
      <c r="B976" s="7" t="str">
        <f>IFERROR(__xludf.DUMMYFUNCTION("SPLIT(A976,"" "")"),"CC(C)N(C)C1=CCC=C(CN(C)C2CCCC(N(C)C3C=CC=CN3)C2)N1")</f>
        <v>CC(C)N(C)C1=CCC=C(CN(C)C2CCCC(N(C)C3C=CC=CN3)C2)N1</v>
      </c>
      <c r="C976" s="7">
        <f>IFERROR(__xludf.DUMMYFUNCTION("""COMPUTED_VALUE"""),7.8219743)</f>
        <v>7.8219743</v>
      </c>
      <c r="D976" s="7">
        <f>IFERROR(__xludf.DUMMYFUNCTION("""COMPUTED_VALUE"""),0.194444444444444)</f>
        <v>0.1944444444</v>
      </c>
    </row>
    <row r="977">
      <c r="A977" s="10" t="s">
        <v>2416</v>
      </c>
      <c r="B977" s="7" t="str">
        <f>IFERROR(__xludf.DUMMYFUNCTION("SPLIT(A977,"" "")"),"CC(C)(CN(Cc1ccccn1)Cc1ccccn1)c1ccc2c(c1)OCCOCCOCCOCCOCCO2")</f>
        <v>CC(C)(CN(Cc1ccccn1)Cc1ccccn1)c1ccc2c(c1)OCCOCCOCCOCCOCCO2</v>
      </c>
      <c r="C977" s="7">
        <f>IFERROR(__xludf.DUMMYFUNCTION("""COMPUTED_VALUE"""),7.8219376)</f>
        <v>7.8219376</v>
      </c>
      <c r="D977" s="7">
        <f>IFERROR(__xludf.DUMMYFUNCTION("""COMPUTED_VALUE"""),0.450980392156862)</f>
        <v>0.4509803922</v>
      </c>
    </row>
    <row r="978">
      <c r="A978" s="10" t="s">
        <v>2417</v>
      </c>
      <c r="B978" s="7" t="str">
        <f>IFERROR(__xludf.DUMMYFUNCTION("SPLIT(A978,"" "")"),"Cc1cccc(CN(C)C2CCCC(N(C)Cc3nccc(C)c3CN3CCN(C)CCN(C)CC3)C2)n1")</f>
        <v>Cc1cccc(CN(C)C2CCCC(N(C)Cc3nccc(C)c3CN3CCN(C)CCN(C)CC3)C2)n1</v>
      </c>
      <c r="C978" s="7">
        <f>IFERROR(__xludf.DUMMYFUNCTION("""COMPUTED_VALUE"""),7.821937)</f>
        <v>7.821937</v>
      </c>
      <c r="D978" s="7">
        <f>IFERROR(__xludf.DUMMYFUNCTION("""COMPUTED_VALUE"""),0.473684210526315)</f>
        <v>0.4736842105</v>
      </c>
    </row>
    <row r="979">
      <c r="A979" s="10" t="s">
        <v>2418</v>
      </c>
      <c r="B979" s="7" t="str">
        <f>IFERROR(__xludf.DUMMYFUNCTION("SPLIT(A979,"" "")"),"CC1=C(C)C(C)C(C)(N(C)CCN(C)Cc2ncccc2-c2cccc3c2OCCOCCOCCOCCOCCO3)CC1")</f>
        <v>CC1=C(C)C(C)C(C)(N(C)CCN(C)Cc2ncccc2-c2cccc3c2OCCOCCOCCOCCOCCO3)CC1</v>
      </c>
      <c r="C979" s="7">
        <f>IFERROR(__xludf.DUMMYFUNCTION("""COMPUTED_VALUE"""),7.821922)</f>
        <v>7.821922</v>
      </c>
      <c r="D979" s="7">
        <f>IFERROR(__xludf.DUMMYFUNCTION("""COMPUTED_VALUE"""),0.263888888888888)</f>
        <v>0.2638888889</v>
      </c>
    </row>
    <row r="980">
      <c r="A980" s="10" t="s">
        <v>2419</v>
      </c>
      <c r="B980" s="7" t="str">
        <f>IFERROR(__xludf.DUMMYFUNCTION("SPLIT(A980,"" "")"),"Cc1cccnc1CN(Cc1ccccn1)C1CCC(N(C)C(C)C)CC1")</f>
        <v>Cc1cccnc1CN(Cc1ccccn1)C1CCC(N(C)C(C)C)CC1</v>
      </c>
      <c r="C980" s="7">
        <f>IFERROR(__xludf.DUMMYFUNCTION("""COMPUTED_VALUE"""),7.8219113)</f>
        <v>7.8219113</v>
      </c>
      <c r="D980" s="7">
        <f>IFERROR(__xludf.DUMMYFUNCTION("""COMPUTED_VALUE"""),0.423076923076923)</f>
        <v>0.4230769231</v>
      </c>
    </row>
    <row r="981">
      <c r="A981" s="10" t="s">
        <v>2420</v>
      </c>
      <c r="B981" s="7" t="str">
        <f>IFERROR(__xludf.DUMMYFUNCTION("SPLIT(A981,"" "")"),"CN1CCN(Cc2ccc(Cl)nc2)CCN(CN(C)Cc2ccc(F)nc2)CC1")</f>
        <v>CN1CCN(Cc2ccc(Cl)nc2)CCN(CN(C)Cc2ccc(F)nc2)CC1</v>
      </c>
      <c r="C981" s="7">
        <f>IFERROR(__xludf.DUMMYFUNCTION("""COMPUTED_VALUE"""),7.8219085)</f>
        <v>7.8219085</v>
      </c>
      <c r="D981" s="7">
        <f>IFERROR(__xludf.DUMMYFUNCTION("""COMPUTED_VALUE"""),0.363636363636363)</f>
        <v>0.3636363636</v>
      </c>
    </row>
    <row r="982">
      <c r="A982" s="10" t="s">
        <v>2421</v>
      </c>
      <c r="B982" s="7" t="str">
        <f>IFERROR(__xludf.DUMMYFUNCTION("SPLIT(A982,"" "")"),"Cc1cc(CN(C)CCCN2CCN(C)CCN(C)CC2)nc(C)c1C")</f>
        <v>Cc1cc(CN(C)CCCN2CCN(C)CCN(C)CC2)nc(C)c1C</v>
      </c>
      <c r="C982" s="7">
        <f>IFERROR(__xludf.DUMMYFUNCTION("""COMPUTED_VALUE"""),7.8218985)</f>
        <v>7.8218985</v>
      </c>
      <c r="D982" s="7">
        <f>IFERROR(__xludf.DUMMYFUNCTION("""COMPUTED_VALUE"""),0.36734693877551)</f>
        <v>0.3673469388</v>
      </c>
    </row>
    <row r="983">
      <c r="A983" s="10" t="s">
        <v>2422</v>
      </c>
      <c r="B983" s="7" t="str">
        <f>IFERROR(__xludf.DUMMYFUNCTION("SPLIT(A983,"" "")"),"CC1=CCC(C)(c2cc(CN3CCN(C)CCN(C)CC3)ccn2)C(C)C1")</f>
        <v>CC1=CCC(C)(c2cc(CN3CCN(C)CCN(C)CC3)ccn2)C(C)C1</v>
      </c>
      <c r="C983" s="7">
        <f>IFERROR(__xludf.DUMMYFUNCTION("""COMPUTED_VALUE"""),7.821872)</f>
        <v>7.821872</v>
      </c>
      <c r="D983" s="7">
        <f>IFERROR(__xludf.DUMMYFUNCTION("""COMPUTED_VALUE"""),0.415094339622641)</f>
        <v>0.4150943396</v>
      </c>
    </row>
    <row r="984">
      <c r="A984" s="10" t="s">
        <v>2423</v>
      </c>
      <c r="B984" s="7" t="str">
        <f>IFERROR(__xludf.DUMMYFUNCTION("SPLIT(A984,"" "")"),"CN(CCF)CCN(C)Cc1cccc(-c2ccc3c(c2)OCCOCCOCCOCCOCCO3)n1")</f>
        <v>CN(CCF)CCN(C)Cc1cccc(-c2ccc3c(c2)OCCOCCOCCOCCOCCO3)n1</v>
      </c>
      <c r="C984" s="7">
        <f>IFERROR(__xludf.DUMMYFUNCTION("""COMPUTED_VALUE"""),7.821841)</f>
        <v>7.821841</v>
      </c>
      <c r="D984" s="7">
        <f>IFERROR(__xludf.DUMMYFUNCTION("""COMPUTED_VALUE"""),0.384615384615384)</f>
        <v>0.3846153846</v>
      </c>
    </row>
    <row r="985">
      <c r="A985" s="10" t="s">
        <v>2424</v>
      </c>
      <c r="B985" s="7" t="str">
        <f>IFERROR(__xludf.DUMMYFUNCTION("SPLIT(A985,"" "")"),"Cc1cncc(CN2CCN(C)CCN(Cc3cncc(C)c3)CC2)c1")</f>
        <v>Cc1cncc(CN2CCN(C)CCN(Cc3cncc(C)c3)CC2)c1</v>
      </c>
      <c r="C985" s="7">
        <f>IFERROR(__xludf.DUMMYFUNCTION("""COMPUTED_VALUE"""),7.8218064)</f>
        <v>7.8218064</v>
      </c>
      <c r="D985" s="7">
        <f>IFERROR(__xludf.DUMMYFUNCTION("""COMPUTED_VALUE"""),0.487179487179487)</f>
        <v>0.4871794872</v>
      </c>
    </row>
    <row r="986">
      <c r="A986" s="10" t="s">
        <v>2425</v>
      </c>
      <c r="B986" s="7" t="str">
        <f>IFERROR(__xludf.DUMMYFUNCTION("SPLIT(A986,"" "")"),"CN1CCN(C)CCN(Cc2ccc(C(C)(C)C)nc2)CC1")</f>
        <v>CN1CCN(C)CCN(Cc2ccc(C(C)(C)C)nc2)CC1</v>
      </c>
      <c r="C986" s="7">
        <f>IFERROR(__xludf.DUMMYFUNCTION("""COMPUTED_VALUE"""),7.8218026)</f>
        <v>7.8218026</v>
      </c>
      <c r="D986" s="7">
        <f>IFERROR(__xludf.DUMMYFUNCTION("""COMPUTED_VALUE"""),0.428571428571428)</f>
        <v>0.4285714286</v>
      </c>
    </row>
    <row r="987">
      <c r="A987" s="10" t="s">
        <v>2426</v>
      </c>
      <c r="B987" s="7" t="str">
        <f>IFERROR(__xludf.DUMMYFUNCTION("SPLIT(A987,"" "")"),"CC(C)(C)C")</f>
        <v>CC(C)(C)C</v>
      </c>
      <c r="C987" s="7">
        <f>IFERROR(__xludf.DUMMYFUNCTION("""COMPUTED_VALUE"""),7.8217864)</f>
        <v>7.8217864</v>
      </c>
      <c r="D987" s="7">
        <f>IFERROR(__xludf.DUMMYFUNCTION("""COMPUTED_VALUE"""),0.130434782608695)</f>
        <v>0.1304347826</v>
      </c>
    </row>
    <row r="988">
      <c r="A988" s="10" t="s">
        <v>2427</v>
      </c>
      <c r="B988" s="7" t="str">
        <f>IFERROR(__xludf.DUMMYFUNCTION("SPLIT(A988,"" "")"),"Cc1cc(CN2CCN(C)CCN(CCN(C)C)CC2)nc(C)c1C")</f>
        <v>Cc1cc(CN2CCN(C)CCN(CCN(C)C)CC2)nc(C)c1C</v>
      </c>
      <c r="C988" s="7">
        <f>IFERROR(__xludf.DUMMYFUNCTION("""COMPUTED_VALUE"""),7.82177)</f>
        <v>7.82177</v>
      </c>
      <c r="D988" s="7">
        <f>IFERROR(__xludf.DUMMYFUNCTION("""COMPUTED_VALUE"""),0.488888888888888)</f>
        <v>0.4888888889</v>
      </c>
    </row>
    <row r="989">
      <c r="A989" s="10" t="s">
        <v>2428</v>
      </c>
      <c r="B989" s="7" t="str">
        <f>IFERROR(__xludf.DUMMYFUNCTION("SPLIT(A989,"" "")"),"c1cc2c(cn1)CCCC2")</f>
        <v>c1cc2c(cn1)CCCC2</v>
      </c>
      <c r="C989" s="7">
        <f>IFERROR(__xludf.DUMMYFUNCTION("""COMPUTED_VALUE"""),7.821763)</f>
        <v>7.821763</v>
      </c>
      <c r="D989" s="7">
        <f>IFERROR(__xludf.DUMMYFUNCTION("""COMPUTED_VALUE"""),0.228571428571428)</f>
        <v>0.2285714286</v>
      </c>
    </row>
    <row r="990">
      <c r="A990" s="10" t="s">
        <v>2429</v>
      </c>
      <c r="B990" s="7" t="str">
        <f>IFERROR(__xludf.DUMMYFUNCTION("SPLIT(A990,"" "")"),"CN1CCN(C)CCN(Cc2ccc(N(C)C)cc2)CC1")</f>
        <v>CN1CCN(C)CCN(Cc2ccc(N(C)C)cc2)CC1</v>
      </c>
      <c r="C990" s="7">
        <f>IFERROR(__xludf.DUMMYFUNCTION("""COMPUTED_VALUE"""),7.8217483)</f>
        <v>7.8217483</v>
      </c>
      <c r="D990" s="7">
        <f>IFERROR(__xludf.DUMMYFUNCTION("""COMPUTED_VALUE"""),0.425)</f>
        <v>0.425</v>
      </c>
    </row>
    <row r="991">
      <c r="A991" s="10" t="s">
        <v>2430</v>
      </c>
      <c r="B991" s="7" t="str">
        <f>IFERROR(__xludf.DUMMYFUNCTION("SPLIT(A991,"" "")"),"CNC1CCCCC1N(C)c1cccc(F)n1")</f>
        <v>CNC1CCCCC1N(C)c1cccc(F)n1</v>
      </c>
      <c r="C991" s="7">
        <f>IFERROR(__xludf.DUMMYFUNCTION("""COMPUTED_VALUE"""),7.8217344)</f>
        <v>7.8217344</v>
      </c>
      <c r="D991" s="7">
        <f>IFERROR(__xludf.DUMMYFUNCTION("""COMPUTED_VALUE"""),0.36734693877551)</f>
        <v>0.3673469388</v>
      </c>
    </row>
    <row r="992">
      <c r="A992" s="10" t="s">
        <v>2431</v>
      </c>
      <c r="B992" s="7" t="str">
        <f>IFERROR(__xludf.DUMMYFUNCTION("SPLIT(A992,"" "")"),"CC1C=CC(N(C)Cc2cccc(N)n2)C(C)C1C")</f>
        <v>CC1C=CC(N(C)Cc2cccc(N)n2)C(C)C1C</v>
      </c>
      <c r="C992" s="7">
        <f>IFERROR(__xludf.DUMMYFUNCTION("""COMPUTED_VALUE"""),7.8217225)</f>
        <v>7.8217225</v>
      </c>
      <c r="D992" s="7">
        <f>IFERROR(__xludf.DUMMYFUNCTION("""COMPUTED_VALUE"""),0.36734693877551)</f>
        <v>0.3673469388</v>
      </c>
    </row>
    <row r="993">
      <c r="A993" s="10" t="s">
        <v>2432</v>
      </c>
      <c r="B993" s="7" t="str">
        <f>IFERROR(__xludf.DUMMYFUNCTION("SPLIT(A993,"" "")"),"CC(C)N(C)CCN(C)C(C)(C)C")</f>
        <v>CC(C)N(C)CCN(C)C(C)(C)C</v>
      </c>
      <c r="C993" s="7">
        <f>IFERROR(__xludf.DUMMYFUNCTION("""COMPUTED_VALUE"""),7.8217187)</f>
        <v>7.8217187</v>
      </c>
      <c r="D993" s="7">
        <f>IFERROR(__xludf.DUMMYFUNCTION("""COMPUTED_VALUE"""),0.179487179487179)</f>
        <v>0.1794871795</v>
      </c>
    </row>
    <row r="994">
      <c r="A994" s="10" t="s">
        <v>2433</v>
      </c>
      <c r="B994" s="7" t="str">
        <f>IFERROR(__xludf.DUMMYFUNCTION("SPLIT(A994,"" "")"),"CCOC(=O)C(=O)C(C)C(C)NCc1cccc(CN2CCN(C)CCN(C)CC2)n1")</f>
        <v>CCOC(=O)C(=O)C(C)C(C)NCc1cccc(CN2CCN(C)CCN(C)CC2)n1</v>
      </c>
      <c r="C994" s="7">
        <f>IFERROR(__xludf.DUMMYFUNCTION("""COMPUTED_VALUE"""),7.8217)</f>
        <v>7.8217</v>
      </c>
      <c r="D994" s="7">
        <f>IFERROR(__xludf.DUMMYFUNCTION("""COMPUTED_VALUE"""),0.462962962962962)</f>
        <v>0.462962963</v>
      </c>
    </row>
    <row r="995">
      <c r="A995" s="10" t="s">
        <v>2434</v>
      </c>
      <c r="B995" s="7" t="str">
        <f>IFERROR(__xludf.DUMMYFUNCTION("SPLIT(A995,"" "")"),"CNC")</f>
        <v>CNC</v>
      </c>
      <c r="C995" s="7">
        <f>IFERROR(__xludf.DUMMYFUNCTION("""COMPUTED_VALUE"""),7.821682)</f>
        <v>7.821682</v>
      </c>
      <c r="D995" s="7">
        <f>IFERROR(__xludf.DUMMYFUNCTION("""COMPUTED_VALUE"""),0.111111111111111)</f>
        <v>0.1111111111</v>
      </c>
    </row>
    <row r="996">
      <c r="A996" s="10" t="s">
        <v>2435</v>
      </c>
      <c r="B996" s="7" t="str">
        <f>IFERROR(__xludf.DUMMYFUNCTION("SPLIT(A996,"" "")"),"COC(=O)C(=O)C(C)C(C)NCc1cc(CN2CCN(C)CCN(C)CC2)ccn1")</f>
        <v>COC(=O)C(=O)C(C)C(C)NCc1cc(CN2CCN(C)CCN(C)CC2)ccn1</v>
      </c>
      <c r="C996" s="7">
        <f>IFERROR(__xludf.DUMMYFUNCTION("""COMPUTED_VALUE"""),7.8216796)</f>
        <v>7.8216796</v>
      </c>
      <c r="D996" s="7">
        <f>IFERROR(__xludf.DUMMYFUNCTION("""COMPUTED_VALUE"""),0.435483870967741)</f>
        <v>0.435483871</v>
      </c>
    </row>
    <row r="997">
      <c r="A997" s="10" t="s">
        <v>2436</v>
      </c>
      <c r="B997" s="7" t="str">
        <f>IFERROR(__xludf.DUMMYFUNCTION("SPLIT(A997,"" "")"),"CC1C=CCC(C)(c2ccc(CN(Cc3ccccn3)C3CCCCC3)cn2)C1C")</f>
        <v>CC1C=CCC(C)(c2ccc(CN(Cc3ccccn3)C3CCCCC3)cn2)C1C</v>
      </c>
      <c r="C997" s="7">
        <f>IFERROR(__xludf.DUMMYFUNCTION("""COMPUTED_VALUE"""),7.82166)</f>
        <v>7.82166</v>
      </c>
      <c r="D997" s="7">
        <f>IFERROR(__xludf.DUMMYFUNCTION("""COMPUTED_VALUE"""),0.370967741935483)</f>
        <v>0.3709677419</v>
      </c>
    </row>
    <row r="998">
      <c r="A998" s="10" t="s">
        <v>2437</v>
      </c>
      <c r="B998" s="7" t="str">
        <f>IFERROR(__xludf.DUMMYFUNCTION("SPLIT(A998,"" "")"),"c1cncc(CN(Cc2ccon2)C2CCCCC2)c1")</f>
        <v>c1cncc(CN(Cc2ccon2)C2CCCCC2)c1</v>
      </c>
      <c r="C998" s="7">
        <f>IFERROR(__xludf.DUMMYFUNCTION("""COMPUTED_VALUE"""),7.821649)</f>
        <v>7.821649</v>
      </c>
      <c r="D998" s="7">
        <f>IFERROR(__xludf.DUMMYFUNCTION("""COMPUTED_VALUE"""),0.361702127659574)</f>
        <v>0.3617021277</v>
      </c>
    </row>
    <row r="999">
      <c r="A999" s="10" t="s">
        <v>2438</v>
      </c>
      <c r="B999" s="7" t="str">
        <f>IFERROR(__xludf.DUMMYFUNCTION("SPLIT(A999,"" "")"),"CCCN(Cc1ccccn1)C1CCC(N(C)Cc2ccon2)CC1")</f>
        <v>CCCN(Cc1ccccn1)C1CCC(N(C)Cc2ccon2)CC1</v>
      </c>
      <c r="C999" s="7">
        <f>IFERROR(__xludf.DUMMYFUNCTION("""COMPUTED_VALUE"""),7.8216105)</f>
        <v>7.8216105</v>
      </c>
      <c r="D999" s="7">
        <f>IFERROR(__xludf.DUMMYFUNCTION("""COMPUTED_VALUE"""),0.461538461538461)</f>
        <v>0.4615384615</v>
      </c>
    </row>
    <row r="1000">
      <c r="A1000" s="10" t="s">
        <v>2439</v>
      </c>
      <c r="B1000" s="7" t="str">
        <f>IFERROR(__xludf.DUMMYFUNCTION("SPLIT(A1000,"" "")"),"CN(CCN)CCN(C)CCN(C)CCN(C)CCN(C)CCN(C)CCN(C)CCN(C)CCN(C)CCN(C)CCN(C)CCN(C)CCN(C)CCN(C)CCN(C)CCN(C)CCN(C)CCN(C)CCN(C)CCN(C)CCN(C)CCN(C)CCN(C)C1CCCC(N(Cc2ccccn2)Cc2ccccn2)C1")</f>
        <v>CN(CCN)CCN(C)CCN(C)CCN(C)CCN(C)CCN(C)CCN(C)CCN(C)CCN(C)CCN(C)CCN(C)CCN(C)CCN(C)CCN(C)CCN(C)CCN(C)CCN(C)CCN(C)CCN(C)CCN(C)CCN(C)CCN(C)CCN(C)C1CCCC(N(Cc2ccccn2)Cc2ccccn2)C1</v>
      </c>
      <c r="C1000" s="7">
        <f>IFERROR(__xludf.DUMMYFUNCTION("""COMPUTED_VALUE"""),7.821581)</f>
        <v>7.821581</v>
      </c>
      <c r="D1000" s="7">
        <f>IFERROR(__xludf.DUMMYFUNCTION("""COMPUTED_VALUE"""),0.48)</f>
        <v>0.48</v>
      </c>
    </row>
    <row r="1001">
      <c r="A1001" s="10" t="s">
        <v>2440</v>
      </c>
      <c r="B1001" s="7" t="str">
        <f>IFERROR(__xludf.DUMMYFUNCTION("SPLIT(A1001,"" "")"),"CCN(CCN(Cc1ccccn1)c1cccc2c1OCCOCCOCCOCCOCCO2)Cc1cccnc1")</f>
        <v>CCN(CCN(Cc1ccccn1)c1cccc2c1OCCOCCOCCOCCOCCO2)Cc1cccnc1</v>
      </c>
      <c r="C1001" s="7">
        <f>IFERROR(__xludf.DUMMYFUNCTION("""COMPUTED_VALUE"""),7.8215604)</f>
        <v>7.8215604</v>
      </c>
      <c r="D1001" s="7">
        <f>IFERROR(__xludf.DUMMYFUNCTION("""COMPUTED_VALUE"""),0.328125)</f>
        <v>0.328125</v>
      </c>
    </row>
    <row r="1002">
      <c r="A1002" s="10" t="s">
        <v>2441</v>
      </c>
      <c r="B1002" s="7" t="str">
        <f>IFERROR(__xludf.DUMMYFUNCTION("SPLIT(A1002,"" "")"),"COC(=O)C(=O)C(C)C(C)NCc1ncccc1CN1CCN(C)CCN(C)CC1")</f>
        <v>COC(=O)C(=O)C(C)C(C)NCc1ncccc1CN1CCN(C)CCN(C)CC1</v>
      </c>
      <c r="C1002" s="7">
        <f>IFERROR(__xludf.DUMMYFUNCTION("""COMPUTED_VALUE"""),7.8215594)</f>
        <v>7.8215594</v>
      </c>
      <c r="D1002" s="7">
        <f>IFERROR(__xludf.DUMMYFUNCTION("""COMPUTED_VALUE"""),0.368421052631578)</f>
        <v>0.3684210526</v>
      </c>
    </row>
    <row r="1003">
      <c r="A1003" s="10" t="s">
        <v>2442</v>
      </c>
      <c r="B1003" s="7" t="str">
        <f>IFERROR(__xludf.DUMMYFUNCTION("SPLIT(A1003,"" "")"),"Cc1cncc(CN(C)CCN(Cc2ccccn2)C(C)(N)c2cccc3c2OCCOCCOCCOCCOCCO3)c1")</f>
        <v>Cc1cncc(CN(C)CCN(Cc2ccccn2)C(C)(N)c2cccc3c2OCCOCCOCCOCCOCCO3)c1</v>
      </c>
      <c r="C1003" s="7">
        <f>IFERROR(__xludf.DUMMYFUNCTION("""COMPUTED_VALUE"""),7.8215456)</f>
        <v>7.8215456</v>
      </c>
      <c r="D1003" s="7">
        <f>IFERROR(__xludf.DUMMYFUNCTION("""COMPUTED_VALUE"""),0.3125)</f>
        <v>0.3125</v>
      </c>
    </row>
    <row r="1004">
      <c r="A1004" s="10" t="s">
        <v>2443</v>
      </c>
      <c r="B1004" s="7" t="str">
        <f>IFERROR(__xludf.DUMMYFUNCTION("SPLIT(A1004,"" "")"),"Cc1cccc(CN(C)Cc2cc3c(cc2C)OCCOCCOCCOCCOCCO3)n1")</f>
        <v>Cc1cccc(CN(C)Cc2cc3c(cc2C)OCCOCCOCCOCCOCCO3)n1</v>
      </c>
      <c r="C1004" s="7">
        <f>IFERROR(__xludf.DUMMYFUNCTION("""COMPUTED_VALUE"""),7.8215203)</f>
        <v>7.8215203</v>
      </c>
      <c r="D1004" s="7">
        <f>IFERROR(__xludf.DUMMYFUNCTION("""COMPUTED_VALUE"""),0.488888888888888)</f>
        <v>0.4888888889</v>
      </c>
    </row>
    <row r="1005">
      <c r="A1005" s="10" t="s">
        <v>2444</v>
      </c>
      <c r="B1005" s="7" t="str">
        <f>IFERROR(__xludf.DUMMYFUNCTION("SPLIT(A1005,"" "")"),"CC1C=CC(C)C(C)(C)C1N(C)Cc1ccccn1")</f>
        <v>CC1C=CC(C)C(C)(C)C1N(C)Cc1ccccn1</v>
      </c>
      <c r="C1005" s="7">
        <f>IFERROR(__xludf.DUMMYFUNCTION("""COMPUTED_VALUE"""),7.8215075)</f>
        <v>7.8215075</v>
      </c>
      <c r="D1005" s="7">
        <f>IFERROR(__xludf.DUMMYFUNCTION("""COMPUTED_VALUE"""),0.5)</f>
        <v>0.5</v>
      </c>
    </row>
    <row r="1006">
      <c r="A1006" s="10" t="s">
        <v>2445</v>
      </c>
      <c r="B1006" s="7" t="str">
        <f>IFERROR(__xludf.DUMMYFUNCTION("SPLIT(A1006,"" "")"),"CC(C)N(CCN(C)CCF)Cc1cccc(-c2ccc3c(c2)OCCOCCOCCOCCOCCO3)n1")</f>
        <v>CC(C)N(CCN(C)CCF)Cc1cccc(-c2ccc3c(c2)OCCOCCOCCOCCOCCO3)n1</v>
      </c>
      <c r="C1006" s="7">
        <f>IFERROR(__xludf.DUMMYFUNCTION("""COMPUTED_VALUE"""),7.8214474)</f>
        <v>7.8214474</v>
      </c>
      <c r="D1006" s="7">
        <f>IFERROR(__xludf.DUMMYFUNCTION("""COMPUTED_VALUE"""),0.327868852459016)</f>
        <v>0.3278688525</v>
      </c>
    </row>
    <row r="1007">
      <c r="A1007" s="10" t="s">
        <v>2446</v>
      </c>
      <c r="B1007" s="7" t="str">
        <f>IFERROR(__xludf.DUMMYFUNCTION("SPLIT(A1007,"" "")"),"Cc1cccnc1CN(C)CCCN1CCN(C)CCN(C)C2(C=CC=CC2CCN(C)Cc2ncccc2C)C1")</f>
        <v>Cc1cccnc1CN(C)CCCN1CCN(C)CCN(C)C2(C=CC=CC2CCN(C)Cc2ncccc2C)C1</v>
      </c>
      <c r="C1007" s="7">
        <f>IFERROR(__xludf.DUMMYFUNCTION("""COMPUTED_VALUE"""),7.82144)</f>
        <v>7.82144</v>
      </c>
      <c r="D1007" s="7">
        <f>IFERROR(__xludf.DUMMYFUNCTION("""COMPUTED_VALUE"""),0.283582089552238)</f>
        <v>0.2835820896</v>
      </c>
    </row>
    <row r="1008">
      <c r="A1008" s="10" t="s">
        <v>2447</v>
      </c>
      <c r="B1008" s="7" t="str">
        <f>IFERROR(__xludf.DUMMYFUNCTION("SPLIT(A1008,"" "")"),"Cc1cnc(CN(C)C2CCCCC2N(C)Cc2ccc(CN3CCN(C)CCN(C)CC3)cn2)c(C)c1C")</f>
        <v>Cc1cnc(CN(C)C2CCCCC2N(C)Cc2ccc(CN3CCN(C)CCN(C)CC3)cn2)c(C)c1C</v>
      </c>
      <c r="C1008" s="7">
        <f>IFERROR(__xludf.DUMMYFUNCTION("""COMPUTED_VALUE"""),7.821439)</f>
        <v>7.821439</v>
      </c>
      <c r="D1008" s="7">
        <f>IFERROR(__xludf.DUMMYFUNCTION("""COMPUTED_VALUE"""),0.49090909090909)</f>
        <v>0.4909090909</v>
      </c>
    </row>
    <row r="1009">
      <c r="A1009" s="10" t="s">
        <v>2448</v>
      </c>
      <c r="B1009" s="7" t="str">
        <f>IFERROR(__xludf.DUMMYFUNCTION("SPLIT(A1009,"" "")"),"Cc1cc(C)c(CN(C)CCCN2CCN(C)CCN(C)CC2)nc1C")</f>
        <v>Cc1cc(C)c(CN(C)CCCN2CCN(C)CCN(C)CC2)nc1C</v>
      </c>
      <c r="C1009" s="7">
        <f>IFERROR(__xludf.DUMMYFUNCTION("""COMPUTED_VALUE"""),7.82142)</f>
        <v>7.82142</v>
      </c>
      <c r="D1009" s="7">
        <f>IFERROR(__xludf.DUMMYFUNCTION("""COMPUTED_VALUE"""),0.346938775510204)</f>
        <v>0.3469387755</v>
      </c>
    </row>
    <row r="1010">
      <c r="A1010" s="10" t="s">
        <v>2449</v>
      </c>
      <c r="B1010" s="7" t="str">
        <f>IFERROR(__xludf.DUMMYFUNCTION("SPLIT(A1010,"" "")"),"CN(Cc1cccnn1)c1cccc2c1OCCOCCOCCOCCOCCO2")</f>
        <v>CN(Cc1cccnn1)c1cccc2c1OCCOCCOCCOCCOCCO2</v>
      </c>
      <c r="C1010" s="7">
        <f>IFERROR(__xludf.DUMMYFUNCTION("""COMPUTED_VALUE"""),7.8214164)</f>
        <v>7.8214164</v>
      </c>
      <c r="D1010" s="7">
        <f>IFERROR(__xludf.DUMMYFUNCTION("""COMPUTED_VALUE"""),0.425531914893617)</f>
        <v>0.4255319149</v>
      </c>
    </row>
    <row r="1011">
      <c r="A1011" s="10" t="s">
        <v>2450</v>
      </c>
      <c r="B1011" s="7" t="str">
        <f>IFERROR(__xludf.DUMMYFUNCTION("SPLIT(A1011,"" "")"),"CN(C)CCN(C)C1C=CC=CN1")</f>
        <v>CN(C)CCN(C)C1C=CC=CN1</v>
      </c>
      <c r="C1011" s="7">
        <f>IFERROR(__xludf.DUMMYFUNCTION("""COMPUTED_VALUE"""),7.8214)</f>
        <v>7.8214</v>
      </c>
      <c r="D1011" s="7">
        <f>IFERROR(__xludf.DUMMYFUNCTION("""COMPUTED_VALUE"""),0.25)</f>
        <v>0.25</v>
      </c>
    </row>
    <row r="1012">
      <c r="A1012" s="10" t="s">
        <v>2451</v>
      </c>
      <c r="B1012" s="7" t="str">
        <f>IFERROR(__xludf.DUMMYFUNCTION("SPLIT(A1012,"" "")"),"CNC1CCCCC1N(Cc1ccccn1)Cc1ncccc1F")</f>
        <v>CNC1CCCCC1N(Cc1ccccn1)Cc1ncccc1F</v>
      </c>
      <c r="C1012" s="7">
        <f>IFERROR(__xludf.DUMMYFUNCTION("""COMPUTED_VALUE"""),7.8213334)</f>
        <v>7.8213334</v>
      </c>
      <c r="D1012" s="7">
        <f>IFERROR(__xludf.DUMMYFUNCTION("""COMPUTED_VALUE"""),0.490196078431372)</f>
        <v>0.4901960784</v>
      </c>
    </row>
    <row r="1013">
      <c r="A1013" s="10" t="s">
        <v>2452</v>
      </c>
      <c r="B1013" s="7" t="str">
        <f>IFERROR(__xludf.DUMMYFUNCTION("SPLIT(A1013,"" "")"),"CC(C)NCc1cccc(CN(Cc2ccccn2)C2CCC(N(C)C(C)C)CC2)n1")</f>
        <v>CC(C)NCc1cccc(CN(Cc2ccccn2)C2CCC(N(C)C(C)C)CC2)n1</v>
      </c>
      <c r="C1013" s="7">
        <f>IFERROR(__xludf.DUMMYFUNCTION("""COMPUTED_VALUE"""),7.821328)</f>
        <v>7.821328</v>
      </c>
      <c r="D1013" s="7">
        <f>IFERROR(__xludf.DUMMYFUNCTION("""COMPUTED_VALUE"""),0.425925925925925)</f>
        <v>0.4259259259</v>
      </c>
    </row>
    <row r="1014">
      <c r="A1014" s="10" t="s">
        <v>2453</v>
      </c>
      <c r="B1014" s="7" t="str">
        <f>IFERROR(__xludf.DUMMYFUNCTION("SPLIT(A1014,"" "")"),"CCN(C)CCN(C)C(C)C")</f>
        <v>CCN(C)CCN(C)C(C)C</v>
      </c>
      <c r="C1014" s="7">
        <f>IFERROR(__xludf.DUMMYFUNCTION("""COMPUTED_VALUE"""),7.821326)</f>
        <v>7.821326</v>
      </c>
      <c r="D1014" s="7">
        <f>IFERROR(__xludf.DUMMYFUNCTION("""COMPUTED_VALUE"""),0.2)</f>
        <v>0.2</v>
      </c>
    </row>
    <row r="1015">
      <c r="A1015" s="10" t="s">
        <v>2454</v>
      </c>
      <c r="B1015" s="7" t="str">
        <f>IFERROR(__xludf.DUMMYFUNCTION("SPLIT(A1015,"" "")"),"CCCN(Cc1ccccn1)C1CCC(N(C)Cc2ncccc2-c2ccc3c(c2)OCCOCCOCCOCCOCCO3)CC1")</f>
        <v>CCCN(Cc1ccccn1)C1CCC(N(C)Cc2ncccc2-c2ccc3c(c2)OCCOCCOCCOCCOCCO3)CC1</v>
      </c>
      <c r="C1015" s="7">
        <f>IFERROR(__xludf.DUMMYFUNCTION("""COMPUTED_VALUE"""),7.8213234)</f>
        <v>7.8213234</v>
      </c>
      <c r="D1015" s="7">
        <f>IFERROR(__xludf.DUMMYFUNCTION("""COMPUTED_VALUE"""),0.338235294117647)</f>
        <v>0.3382352941</v>
      </c>
    </row>
    <row r="1016">
      <c r="A1016" s="10" t="s">
        <v>2455</v>
      </c>
      <c r="B1016" s="7" t="str">
        <f>IFERROR(__xludf.DUMMYFUNCTION("SPLIT(A1016,"" "")"),"Cc1ccncc1CN1CCN(C)CCN(Cc2ncccc2C)CC1")</f>
        <v>Cc1ccncc1CN1CCN(C)CCN(Cc2ncccc2C)CC1</v>
      </c>
      <c r="C1016" s="7">
        <f>IFERROR(__xludf.DUMMYFUNCTION("""COMPUTED_VALUE"""),7.8213143)</f>
        <v>7.8213143</v>
      </c>
      <c r="D1016" s="7">
        <f>IFERROR(__xludf.DUMMYFUNCTION("""COMPUTED_VALUE"""),0.446808510638297)</f>
        <v>0.4468085106</v>
      </c>
    </row>
    <row r="1017">
      <c r="A1017" s="10" t="s">
        <v>2456</v>
      </c>
      <c r="B1017" s="7" t="str">
        <f>IFERROR(__xludf.DUMMYFUNCTION("SPLIT(A1017,"" "")"),"C1=COc2ccccc2OC(NCc2ccccn2)COCCOCCOCCO1")</f>
        <v>C1=COc2ccccc2OC(NCc2ccccn2)COCCOCCOCCO1</v>
      </c>
      <c r="C1017" s="7">
        <f>IFERROR(__xludf.DUMMYFUNCTION("""COMPUTED_VALUE"""),7.821307)</f>
        <v>7.821307</v>
      </c>
      <c r="D1017" s="7">
        <f>IFERROR(__xludf.DUMMYFUNCTION("""COMPUTED_VALUE"""),0.346938775510204)</f>
        <v>0.3469387755</v>
      </c>
    </row>
    <row r="1018">
      <c r="A1018" s="10" t="s">
        <v>2457</v>
      </c>
      <c r="B1018" s="7" t="str">
        <f>IFERROR(__xludf.DUMMYFUNCTION("SPLIT(A1018,"" "")"),"C1=CNC(Nc2ccc3c(c2)OCCOCCOCCOCCOCCO3)C(NCc2ccccn2)=C1")</f>
        <v>C1=CNC(Nc2ccc3c(c2)OCCOCCOCCOCCOCCO3)C(NCc2ccccn2)=C1</v>
      </c>
      <c r="C1018" s="7">
        <f>IFERROR(__xludf.DUMMYFUNCTION("""COMPUTED_VALUE"""),7.8213034)</f>
        <v>7.8213034</v>
      </c>
      <c r="D1018" s="7">
        <f>IFERROR(__xludf.DUMMYFUNCTION("""COMPUTED_VALUE"""),0.324324324324324)</f>
        <v>0.3243243243</v>
      </c>
    </row>
    <row r="1019">
      <c r="A1019" s="10" t="s">
        <v>2458</v>
      </c>
      <c r="B1019" s="7" t="str">
        <f>IFERROR(__xludf.DUMMYFUNCTION("SPLIT(A1019,"" "")"),"CCOC(C)c1ncccc1CN1CCN(C)CCN(Cc2ncccc2C(C)C(C)N)CC1")</f>
        <v>CCOC(C)c1ncccc1CN1CCN(C)CCN(Cc2ncccc2C(C)C(C)N)CC1</v>
      </c>
      <c r="C1019" s="7">
        <f>IFERROR(__xludf.DUMMYFUNCTION("""COMPUTED_VALUE"""),7.821296)</f>
        <v>7.821296</v>
      </c>
      <c r="D1019" s="7">
        <f>IFERROR(__xludf.DUMMYFUNCTION("""COMPUTED_VALUE"""),0.385964912280701)</f>
        <v>0.3859649123</v>
      </c>
    </row>
    <row r="1020">
      <c r="A1020" s="10" t="s">
        <v>2459</v>
      </c>
      <c r="B1020" s="7" t="str">
        <f>IFERROR(__xludf.DUMMYFUNCTION("SPLIT(A1020,"" "")"),"CN(CCF)CCN(C)Cc1cccnc1")</f>
        <v>CN(CCF)CCN(C)Cc1cccnc1</v>
      </c>
      <c r="C1020" s="7">
        <f>IFERROR(__xludf.DUMMYFUNCTION("""COMPUTED_VALUE"""),7.8212824)</f>
        <v>7.8212824</v>
      </c>
      <c r="D1020" s="7">
        <f>IFERROR(__xludf.DUMMYFUNCTION("""COMPUTED_VALUE"""),0.435897435897435)</f>
        <v>0.4358974359</v>
      </c>
    </row>
    <row r="1021">
      <c r="A1021" s="10" t="s">
        <v>2460</v>
      </c>
      <c r="B1021" s="7" t="str">
        <f>IFERROR(__xludf.DUMMYFUNCTION("SPLIT(A1021,"" "")"),"CN1CCN(Cc2ccc(-c3cccc4c3OCCOCCOCCOCCOCCO4)cn2)CCN(Cc2cc(-c3ccc4c(c3)OCCOCCOCCOCCOCCO4)ccn2)CC1")</f>
        <v>CN1CCN(Cc2ccc(-c3cccc4c3OCCOCCOCCOCCOCCO4)cn2)CCN(Cc2cc(-c3ccc4c(c3)OCCOCCOCCOCCOCCO4)ccn2)CC1</v>
      </c>
      <c r="C1021" s="7">
        <f>IFERROR(__xludf.DUMMYFUNCTION("""COMPUTED_VALUE"""),7.821281)</f>
        <v>7.821281</v>
      </c>
      <c r="D1021" s="7">
        <f>IFERROR(__xludf.DUMMYFUNCTION("""COMPUTED_VALUE"""),0.471428571428571)</f>
        <v>0.4714285714</v>
      </c>
    </row>
    <row r="1022">
      <c r="A1022" s="10" t="s">
        <v>2461</v>
      </c>
      <c r="B1022" s="7" t="str">
        <f>IFERROR(__xludf.DUMMYFUNCTION("SPLIT(A1022,"" "")"),"CN(CN(C)C1CCCC(N(CNCF)Cc2ccccn2)C1)c1cccnc1")</f>
        <v>CN(CN(C)C1CCCC(N(CNCF)Cc2ccccn2)C1)c1cccnc1</v>
      </c>
      <c r="C1022" s="7">
        <f>IFERROR(__xludf.DUMMYFUNCTION("""COMPUTED_VALUE"""),7.821274)</f>
        <v>7.821274</v>
      </c>
      <c r="D1022" s="7">
        <f>IFERROR(__xludf.DUMMYFUNCTION("""COMPUTED_VALUE"""),0.387096774193548)</f>
        <v>0.3870967742</v>
      </c>
    </row>
    <row r="1023">
      <c r="A1023" s="10" t="s">
        <v>2462</v>
      </c>
      <c r="B1023" s="7" t="str">
        <f>IFERROR(__xludf.DUMMYFUNCTION("SPLIT(A1023,"" "")"),"CN(CCF)CCN(C)Cc1ncccc1-c1ccc2c(c1)OCCOCCOCCOCCOCCO2")</f>
        <v>CN(CCF)CCN(C)Cc1ncccc1-c1ccc2c(c1)OCCOCCOCCOCCOCCO2</v>
      </c>
      <c r="C1023" s="7">
        <f>IFERROR(__xludf.DUMMYFUNCTION("""COMPUTED_VALUE"""),7.821272)</f>
        <v>7.821272</v>
      </c>
      <c r="D1023" s="7">
        <f>IFERROR(__xludf.DUMMYFUNCTION("""COMPUTED_VALUE"""),0.328571428571428)</f>
        <v>0.3285714286</v>
      </c>
    </row>
    <row r="1024">
      <c r="A1024" s="10" t="s">
        <v>2463</v>
      </c>
      <c r="B1024" s="7" t="str">
        <f>IFERROR(__xludf.DUMMYFUNCTION("SPLIT(A1024,"" "")"),"Cc1cccnc1CN(Cc1ncccc1-c1ccc2c(c1)OCCOCCOCCOCCOCCO2)C1CCCCC1N(C)CCF")</f>
        <v>Cc1cccnc1CN(Cc1ncccc1-c1ccc2c(c1)OCCOCCOCCOCCOCCO2)C1CCCCC1N(C)CCF</v>
      </c>
      <c r="C1024" s="7">
        <f>IFERROR(__xludf.DUMMYFUNCTION("""COMPUTED_VALUE"""),7.8212614)</f>
        <v>7.8212614</v>
      </c>
      <c r="D1024" s="7">
        <f>IFERROR(__xludf.DUMMYFUNCTION("""COMPUTED_VALUE"""),0.325)</f>
        <v>0.325</v>
      </c>
    </row>
    <row r="1025">
      <c r="A1025" s="10" t="s">
        <v>2464</v>
      </c>
      <c r="B1025" s="7" t="str">
        <f>IFERROR(__xludf.DUMMYFUNCTION("SPLIT(A1025,"" "")"),"CC1C(N)CC1c1cccc(CN(C)C2CCC(N(C)Cc3ccccn3)CC2)n1")</f>
        <v>CC1C(N)CC1c1cccc(CN(C)C2CCC(N(C)Cc3ccccn3)CC2)n1</v>
      </c>
      <c r="C1025" s="7">
        <f>IFERROR(__xludf.DUMMYFUNCTION("""COMPUTED_VALUE"""),7.8212495)</f>
        <v>7.8212495</v>
      </c>
      <c r="D1025" s="7">
        <f>IFERROR(__xludf.DUMMYFUNCTION("""COMPUTED_VALUE"""),0.461538461538461)</f>
        <v>0.4615384615</v>
      </c>
    </row>
    <row r="1026">
      <c r="A1026" s="10" t="s">
        <v>2465</v>
      </c>
      <c r="B1026" s="7" t="str">
        <f>IFERROR(__xludf.DUMMYFUNCTION("SPLIT(A1026,"" "")"),"C1=CC(N(Cc2ccccn2)c2ccc3c(c2)OCCOCCOCCOCCOCCO3)C=CN1")</f>
        <v>C1=CC(N(Cc2ccccn2)c2ccc3c(c2)OCCOCCOCCOCCOCCO3)C=CN1</v>
      </c>
      <c r="C1026" s="7">
        <f>IFERROR(__xludf.DUMMYFUNCTION("""COMPUTED_VALUE"""),7.821239)</f>
        <v>7.821239</v>
      </c>
      <c r="D1026" s="7">
        <f>IFERROR(__xludf.DUMMYFUNCTION("""COMPUTED_VALUE"""),0.360655737704918)</f>
        <v>0.3606557377</v>
      </c>
    </row>
    <row r="1027">
      <c r="A1027" s="10" t="s">
        <v>2466</v>
      </c>
      <c r="B1027" s="7" t="str">
        <f>IFERROR(__xludf.DUMMYFUNCTION("SPLIT(A1027,"" "")"),"CC(c1ccccc1)N1CCN(C)CCN(Cc2ccnc(C(C)(C)C)c2)CC1")</f>
        <v>CC(c1ccccc1)N1CCN(C)CCN(Cc2ccnc(C(C)(C)C)c2)CC1</v>
      </c>
      <c r="C1027" s="7">
        <f>IFERROR(__xludf.DUMMYFUNCTION("""COMPUTED_VALUE"""),7.821235)</f>
        <v>7.821235</v>
      </c>
      <c r="D1027" s="7">
        <f>IFERROR(__xludf.DUMMYFUNCTION("""COMPUTED_VALUE"""),0.403846153846153)</f>
        <v>0.4038461538</v>
      </c>
    </row>
    <row r="1028">
      <c r="A1028" s="10" t="s">
        <v>2467</v>
      </c>
      <c r="B1028" s="7" t="str">
        <f>IFERROR(__xludf.DUMMYFUNCTION("SPLIT(A1028,"" "")"),"COC(=O)C(=O)C(C)C(C)NCc1ccc(CN2CCN(C)CCN(C)CC2)cn1")</f>
        <v>COC(=O)C(=O)C(C)C(C)NCc1ccc(CN2CCN(C)CCN(C)CC2)cn1</v>
      </c>
      <c r="C1028" s="7">
        <f>IFERROR(__xludf.DUMMYFUNCTION("""COMPUTED_VALUE"""),7.821209)</f>
        <v>7.821209</v>
      </c>
      <c r="D1028" s="7">
        <f>IFERROR(__xludf.DUMMYFUNCTION("""COMPUTED_VALUE"""),0.348484848484848)</f>
        <v>0.3484848485</v>
      </c>
    </row>
    <row r="1029">
      <c r="A1029" s="10" t="s">
        <v>2468</v>
      </c>
      <c r="B1029" s="7" t="str">
        <f>IFERROR(__xludf.DUMMYFUNCTION("SPLIT(A1029,"" "")"),"c1ccc(CN(Cc2ccon2)C2CCCCC2)nc1")</f>
        <v>c1ccc(CN(Cc2ccon2)C2CCCCC2)nc1</v>
      </c>
      <c r="C1029" s="7">
        <f>IFERROR(__xludf.DUMMYFUNCTION("""COMPUTED_VALUE"""),7.8212075)</f>
        <v>7.8212075</v>
      </c>
      <c r="D1029" s="7">
        <f>IFERROR(__xludf.DUMMYFUNCTION("""COMPUTED_VALUE"""),0.478260869565217)</f>
        <v>0.4782608696</v>
      </c>
    </row>
    <row r="1030">
      <c r="A1030" s="10" t="s">
        <v>2469</v>
      </c>
      <c r="B1030" s="7" t="str">
        <f>IFERROR(__xludf.DUMMYFUNCTION("SPLIT(A1030,"" "")"),"CCN(Cc1ccccn1)C1CCCCC1N(C)Cc1cccc(-c2ccc3c(c2)OCCOCCOCCOCCOCCO3)n1")</f>
        <v>CCN(Cc1ccccn1)C1CCCCC1N(C)Cc1cccc(-c2ccc3c(c2)OCCOCCOCCOCCOCCO3)n1</v>
      </c>
      <c r="C1030" s="7">
        <f>IFERROR(__xludf.DUMMYFUNCTION("""COMPUTED_VALUE"""),7.8212066)</f>
        <v>7.8212066</v>
      </c>
      <c r="D1030" s="7">
        <f>IFERROR(__xludf.DUMMYFUNCTION("""COMPUTED_VALUE"""),0.491803278688524)</f>
        <v>0.4918032787</v>
      </c>
    </row>
    <row r="1031">
      <c r="A1031" s="10" t="s">
        <v>2470</v>
      </c>
      <c r="B1031" s="7" t="str">
        <f>IFERROR(__xludf.DUMMYFUNCTION("SPLIT(A1031,"" "")"),"Cc1cccc(CN(Cc2ccccn2)C2CCCC(N(C)C(C)C)C2)n1")</f>
        <v>Cc1cccc(CN(Cc2ccccn2)C2CCCC(N(C)C(C)C)C2)n1</v>
      </c>
      <c r="C1031" s="7">
        <f>IFERROR(__xludf.DUMMYFUNCTION("""COMPUTED_VALUE"""),7.8211975)</f>
        <v>7.8211975</v>
      </c>
      <c r="D1031" s="7">
        <f>IFERROR(__xludf.DUMMYFUNCTION("""COMPUTED_VALUE"""),0.452830188679245)</f>
        <v>0.4528301887</v>
      </c>
    </row>
    <row r="1032">
      <c r="A1032" s="10" t="s">
        <v>2471</v>
      </c>
      <c r="B1032" s="7" t="str">
        <f>IFERROR(__xludf.DUMMYFUNCTION("SPLIT(A1032,"" "")"),"CNCCN(C)C(C)(C)C")</f>
        <v>CNCCN(C)C(C)(C)C</v>
      </c>
      <c r="C1032" s="7">
        <f>IFERROR(__xludf.DUMMYFUNCTION("""COMPUTED_VALUE"""),7.8211484)</f>
        <v>7.8211484</v>
      </c>
      <c r="D1032" s="7">
        <f>IFERROR(__xludf.DUMMYFUNCTION("""COMPUTED_VALUE"""),0.146341463414634)</f>
        <v>0.1463414634</v>
      </c>
    </row>
    <row r="1033">
      <c r="A1033" s="10" t="s">
        <v>2472</v>
      </c>
      <c r="B1033" s="7" t="str">
        <f>IFERROR(__xludf.DUMMYFUNCTION("SPLIT(A1033,"" "")"),"CN(C)CCN(C)C1CCCC(N(Cc2cccnc2)Cc2ccccn2)C1")</f>
        <v>CN(C)CCN(C)C1CCCC(N(Cc2cccnc2)Cc2ccccn2)C1</v>
      </c>
      <c r="C1033" s="7">
        <f>IFERROR(__xludf.DUMMYFUNCTION("""COMPUTED_VALUE"""),7.821146)</f>
        <v>7.821146</v>
      </c>
      <c r="D1033" s="7">
        <f>IFERROR(__xludf.DUMMYFUNCTION("""COMPUTED_VALUE"""),0.436363636363636)</f>
        <v>0.4363636364</v>
      </c>
    </row>
    <row r="1034">
      <c r="A1034" s="10" t="s">
        <v>2473</v>
      </c>
      <c r="B1034" s="7" t="str">
        <f>IFERROR(__xludf.DUMMYFUNCTION("SPLIT(A1034,"" "")"),"CC(C)NCc1cccc(CN(Cc2ccccn2)C2CCCC(N(C)C(C)C)C2)n1")</f>
        <v>CC(C)NCc1cccc(CN(Cc2ccccn2)C2CCCC(N(C)C(C)C)C2)n1</v>
      </c>
      <c r="C1034" s="7">
        <f>IFERROR(__xludf.DUMMYFUNCTION("""COMPUTED_VALUE"""),7.8211308)</f>
        <v>7.8211308</v>
      </c>
      <c r="D1034" s="7">
        <f>IFERROR(__xludf.DUMMYFUNCTION("""COMPUTED_VALUE"""),0.410714285714285)</f>
        <v>0.4107142857</v>
      </c>
    </row>
    <row r="1035">
      <c r="A1035" s="10" t="s">
        <v>2474</v>
      </c>
      <c r="B1035" s="7" t="str">
        <f>IFERROR(__xludf.DUMMYFUNCTION("SPLIT(A1035,"" "")"),"CC(C)C1CC(c2cccc(CN(Cc3ccccn3)C3CCCCC3)n2)C1")</f>
        <v>CC(C)C1CC(c2cccc(CN(Cc3ccccn3)C3CCCCC3)n2)C1</v>
      </c>
      <c r="C1035" s="7">
        <f>IFERROR(__xludf.DUMMYFUNCTION("""COMPUTED_VALUE"""),7.821106)</f>
        <v>7.821106</v>
      </c>
      <c r="D1035" s="7">
        <f>IFERROR(__xludf.DUMMYFUNCTION("""COMPUTED_VALUE"""),0.425925925925925)</f>
        <v>0.4259259259</v>
      </c>
    </row>
    <row r="1036">
      <c r="A1036" s="10" t="s">
        <v>2475</v>
      </c>
      <c r="B1036" s="7" t="str">
        <f>IFERROR(__xludf.DUMMYFUNCTION("SPLIT(A1036,"" "")"),"Cc1ccc(C)c(CN(C)C2CCCC(N(C)CCN(C)C(C)C)C2)n1")</f>
        <v>Cc1ccc(C)c(CN(C)C2CCCC(N(C)CCN(C)C(C)C)C2)n1</v>
      </c>
      <c r="C1036" s="7">
        <f>IFERROR(__xludf.DUMMYFUNCTION("""COMPUTED_VALUE"""),7.8210797)</f>
        <v>7.8210797</v>
      </c>
      <c r="D1036" s="7">
        <f>IFERROR(__xludf.DUMMYFUNCTION("""COMPUTED_VALUE"""),0.327272727272727)</f>
        <v>0.3272727273</v>
      </c>
    </row>
    <row r="1037">
      <c r="A1037" s="10" t="s">
        <v>2476</v>
      </c>
      <c r="B1037" s="7" t="str">
        <f>IFERROR(__xludf.DUMMYFUNCTION("SPLIT(A1037,"" "")"),"CCCN(Cc1ccccn1)C1CCC(N(C)Cc2ncccc2C)CC1")</f>
        <v>CCCN(Cc1ccccn1)C1CCC(N(C)Cc2ncccc2C)CC1</v>
      </c>
      <c r="C1037" s="7">
        <f>IFERROR(__xludf.DUMMYFUNCTION("""COMPUTED_VALUE"""),7.821056)</f>
        <v>7.821056</v>
      </c>
      <c r="D1037" s="7">
        <f>IFERROR(__xludf.DUMMYFUNCTION("""COMPUTED_VALUE"""),0.442307692307692)</f>
        <v>0.4423076923</v>
      </c>
    </row>
    <row r="1038">
      <c r="A1038" s="10" t="s">
        <v>2477</v>
      </c>
      <c r="B1038" s="7" t="str">
        <f>IFERROR(__xludf.DUMMYFUNCTION("SPLIT(A1038,"" "")"),"CN(CCF)C1CCC(N(Cc2cccc(F)n2)Cc2cccc(F)n2)CC1")</f>
        <v>CN(CCF)C1CCC(N(Cc2cccc(F)n2)Cc2cccc(F)n2)CC1</v>
      </c>
      <c r="C1038" s="7">
        <f>IFERROR(__xludf.DUMMYFUNCTION("""COMPUTED_VALUE"""),7.8210106)</f>
        <v>7.8210106</v>
      </c>
      <c r="D1038" s="7">
        <f>IFERROR(__xludf.DUMMYFUNCTION("""COMPUTED_VALUE"""),0.38)</f>
        <v>0.38</v>
      </c>
    </row>
    <row r="1039">
      <c r="A1039" s="10" t="s">
        <v>2478</v>
      </c>
      <c r="B1039" s="7" t="str">
        <f>IFERROR(__xludf.DUMMYFUNCTION("SPLIT(A1039,"" "")"),"CC(C)C1CC(c2ncccc2CN(Cc2ccccn2)C2CCCCC2)C1")</f>
        <v>CC(C)C1CC(c2ncccc2CN(Cc2ccccn2)C2CCCCC2)C1</v>
      </c>
      <c r="C1039" s="7">
        <f>IFERROR(__xludf.DUMMYFUNCTION("""COMPUTED_VALUE"""),7.820961)</f>
        <v>7.820961</v>
      </c>
      <c r="D1039" s="7">
        <f>IFERROR(__xludf.DUMMYFUNCTION("""COMPUTED_VALUE"""),0.418181818181818)</f>
        <v>0.4181818182</v>
      </c>
    </row>
    <row r="1040">
      <c r="A1040" s="10" t="s">
        <v>2479</v>
      </c>
      <c r="B1040" s="7" t="str">
        <f>IFERROR(__xludf.DUMMYFUNCTION("SPLIT(A1040,"" "")"),"CCOC(=O)C(=O)NCc1ncccc1CN1CCN(C)CCN(C)CC1")</f>
        <v>CCOC(=O)C(=O)NCc1ncccc1CN1CCN(C)CCN(C)CC1</v>
      </c>
      <c r="C1040" s="7">
        <f>IFERROR(__xludf.DUMMYFUNCTION("""COMPUTED_VALUE"""),7.8209543)</f>
        <v>7.8209543</v>
      </c>
      <c r="D1040" s="7">
        <f>IFERROR(__xludf.DUMMYFUNCTION("""COMPUTED_VALUE"""),0.45)</f>
        <v>0.45</v>
      </c>
    </row>
    <row r="1041">
      <c r="A1041" s="10" t="s">
        <v>2480</v>
      </c>
      <c r="B1041" s="7" t="str">
        <f>IFERROR(__xludf.DUMMYFUNCTION("SPLIT(A1041,"" "")"),"CNC1CCCC(N(C)Cc2nccc(C)c2C)C1")</f>
        <v>CNC1CCCC(N(C)Cc2nccc(C)c2C)C1</v>
      </c>
      <c r="C1041" s="7">
        <f>IFERROR(__xludf.DUMMYFUNCTION("""COMPUTED_VALUE"""),7.820951)</f>
        <v>7.820951</v>
      </c>
      <c r="D1041" s="7">
        <f>IFERROR(__xludf.DUMMYFUNCTION("""COMPUTED_VALUE"""),0.296296296296296)</f>
        <v>0.2962962963</v>
      </c>
    </row>
    <row r="1042">
      <c r="A1042" s="10" t="s">
        <v>2481</v>
      </c>
      <c r="B1042" s="7" t="str">
        <f>IFERROR(__xludf.DUMMYFUNCTION("SPLIT(A1042,"" "")"),"CN(Cc1ccccn1)CC1C=CNC(c2ccc3c(c2)OCCOCCOCCOCCOCCO3)=C1")</f>
        <v>CN(Cc1ccccn1)CC1C=CNC(c2ccc3c(c2)OCCOCCOCCOCCOCCO3)=C1</v>
      </c>
      <c r="C1042" s="7">
        <f>IFERROR(__xludf.DUMMYFUNCTION("""COMPUTED_VALUE"""),7.8209343)</f>
        <v>7.8209343</v>
      </c>
      <c r="D1042" s="7">
        <f>IFERROR(__xludf.DUMMYFUNCTION("""COMPUTED_VALUE"""),0.352112676056338)</f>
        <v>0.3521126761</v>
      </c>
    </row>
    <row r="1043">
      <c r="A1043" s="10" t="s">
        <v>2482</v>
      </c>
      <c r="B1043" s="7" t="str">
        <f>IFERROR(__xludf.DUMMYFUNCTION("SPLIT(A1043,"" "")"),"CNC1CCCCC1N(Cc1ccccn1)Cc1cccc(F)n1")</f>
        <v>CNC1CCCCC1N(Cc1ccccn1)Cc1cccc(F)n1</v>
      </c>
      <c r="C1043" s="7">
        <f>IFERROR(__xludf.DUMMYFUNCTION("""COMPUTED_VALUE"""),7.820908)</f>
        <v>7.820908</v>
      </c>
      <c r="D1043" s="7">
        <f>IFERROR(__xludf.DUMMYFUNCTION("""COMPUTED_VALUE"""),0.5)</f>
        <v>0.5</v>
      </c>
    </row>
    <row r="1044">
      <c r="A1044" s="10" t="s">
        <v>2483</v>
      </c>
      <c r="B1044" s="7" t="str">
        <f>IFERROR(__xludf.DUMMYFUNCTION("SPLIT(A1044,"" "")"),"CC1C=CC(Cl)C(c2ccc(CN(Cc3ccccn3)C3CCCCC3)cn2)C1(C)C")</f>
        <v>CC1C=CC(Cl)C(c2ccc(CN(Cc3ccccn3)C3CCCCC3)cn2)C1(C)C</v>
      </c>
      <c r="C1044" s="7">
        <f>IFERROR(__xludf.DUMMYFUNCTION("""COMPUTED_VALUE"""),7.8208933)</f>
        <v>7.8208933</v>
      </c>
      <c r="D1044" s="7">
        <f>IFERROR(__xludf.DUMMYFUNCTION("""COMPUTED_VALUE"""),0.370967741935483)</f>
        <v>0.3709677419</v>
      </c>
    </row>
    <row r="1045">
      <c r="A1045" s="10" t="s">
        <v>2484</v>
      </c>
      <c r="B1045" s="7" t="str">
        <f>IFERROR(__xludf.DUMMYFUNCTION("SPLIT(A1045,"" "")"),"Cc1ccnc(CN(C)C2C=CC(C)C(C)(C)C2C)c1")</f>
        <v>Cc1ccnc(CN(C)C2C=CC(C)C(C)(C)C2C)c1</v>
      </c>
      <c r="C1045" s="7">
        <f>IFERROR(__xludf.DUMMYFUNCTION("""COMPUTED_VALUE"""),7.8208876)</f>
        <v>7.8208876</v>
      </c>
      <c r="D1045" s="7">
        <f>IFERROR(__xludf.DUMMYFUNCTION("""COMPUTED_VALUE"""),0.326923076923076)</f>
        <v>0.3269230769</v>
      </c>
    </row>
    <row r="1046">
      <c r="A1046" s="10" t="s">
        <v>2485</v>
      </c>
      <c r="B1046" s="7" t="str">
        <f>IFERROR(__xludf.DUMMYFUNCTION("SPLIT(A1046,"" "")"),"CN(Cc1ccc2c(c1)OCCOCCOCCOCCOCCO2)Cc1ccccc1N(C)C")</f>
        <v>CN(Cc1ccc2c(c1)OCCOCCOCCOCCOCCO2)Cc1ccccc1N(C)C</v>
      </c>
      <c r="C1046" s="7">
        <f>IFERROR(__xludf.DUMMYFUNCTION("""COMPUTED_VALUE"""),7.8208838)</f>
        <v>7.8208838</v>
      </c>
      <c r="D1046" s="7">
        <f>IFERROR(__xludf.DUMMYFUNCTION("""COMPUTED_VALUE"""),0.272727272727272)</f>
        <v>0.2727272727</v>
      </c>
    </row>
    <row r="1047">
      <c r="A1047" s="10" t="s">
        <v>2486</v>
      </c>
      <c r="B1047" s="7" t="str">
        <f>IFERROR(__xludf.DUMMYFUNCTION("SPLIT(A1047,"" "")"),"CC1C(N)CC1c1ccc(CN(C)C2CCC(N(C)Cc3ccccn3)CC2)cn1")</f>
        <v>CC1C(N)CC1c1ccc(CN(C)C2CCC(N(C)Cc3ccccn3)CC2)cn1</v>
      </c>
      <c r="C1047" s="7">
        <f>IFERROR(__xludf.DUMMYFUNCTION("""COMPUTED_VALUE"""),7.82088)</f>
        <v>7.82088</v>
      </c>
      <c r="D1047" s="7">
        <f>IFERROR(__xludf.DUMMYFUNCTION("""COMPUTED_VALUE"""),0.436363636363636)</f>
        <v>0.4363636364</v>
      </c>
    </row>
    <row r="1048">
      <c r="A1048" s="10" t="s">
        <v>2487</v>
      </c>
      <c r="B1048" s="7" t="str">
        <f>IFERROR(__xludf.DUMMYFUNCTION("SPLIT(A1048,"" "")"),"CN1CCN(C)CCN(C(C)(C)c2ncccc2CN(C)C2CCCC(N(C)Cc3ncccc3-c3ccc4c(c3)OCCOCCOCCOCCOCCO4)C2)CC1")</f>
        <v>CN1CCN(C)CCN(C(C)(C)c2ncccc2CN(C)C2CCCC(N(C)Cc3ncccc3-c3ccc4c(c3)OCCOCCOCCOCCOCCO4)C2)CC1</v>
      </c>
      <c r="C1048" s="7">
        <f>IFERROR(__xludf.DUMMYFUNCTION("""COMPUTED_VALUE"""),7.8208084)</f>
        <v>7.8208084</v>
      </c>
      <c r="D1048" s="7">
        <f>IFERROR(__xludf.DUMMYFUNCTION("""COMPUTED_VALUE"""),0.329411764705882)</f>
        <v>0.3294117647</v>
      </c>
    </row>
    <row r="1049">
      <c r="A1049" s="10" t="s">
        <v>2488</v>
      </c>
      <c r="B1049" s="7" t="str">
        <f>IFERROR(__xludf.DUMMYFUNCTION("SPLIT(A1049,"" "")"),"CC1C=CCC(C)(c2cc(CN(Cc3ccccn3)C3CCCCC3)ccn2)C1C")</f>
        <v>CC1C=CCC(C)(c2cc(CN(Cc3ccccn3)C3CCCCC3)ccn2)C1C</v>
      </c>
      <c r="C1049" s="7">
        <f>IFERROR(__xludf.DUMMYFUNCTION("""COMPUTED_VALUE"""),7.820784)</f>
        <v>7.820784</v>
      </c>
      <c r="D1049" s="7">
        <f>IFERROR(__xludf.DUMMYFUNCTION("""COMPUTED_VALUE"""),0.370967741935483)</f>
        <v>0.3709677419</v>
      </c>
    </row>
    <row r="1050">
      <c r="A1050" s="10" t="s">
        <v>2489</v>
      </c>
      <c r="B1050" s="7" t="str">
        <f>IFERROR(__xludf.DUMMYFUNCTION("SPLIT(A1050,"" "")"),"CCOC(=O)C(=O)NCc1ccc(CN2CCN(C)CCN(C)CC2)cn1")</f>
        <v>CCOC(=O)C(=O)NCc1ccc(CN2CCN(C)CCN(C)CC2)cn1</v>
      </c>
      <c r="C1050" s="7">
        <f>IFERROR(__xludf.DUMMYFUNCTION("""COMPUTED_VALUE"""),7.8207603)</f>
        <v>7.8207603</v>
      </c>
      <c r="D1050" s="7">
        <f>IFERROR(__xludf.DUMMYFUNCTION("""COMPUTED_VALUE"""),0.457627118644067)</f>
        <v>0.4576271186</v>
      </c>
    </row>
    <row r="1051">
      <c r="A1051" s="10" t="s">
        <v>2490</v>
      </c>
      <c r="B1051" s="7" t="str">
        <f>IFERROR(__xludf.DUMMYFUNCTION("SPLIT(A1051,"" "")"),"CNCN1CCN(C)CCN(Cc2ccc(C(C)(C)c3ccccn3)nc2)CC1")</f>
        <v>CNCN1CCN(C)CCN(Cc2ccc(C(C)(C)c3ccccn3)nc2)CC1</v>
      </c>
      <c r="C1051" s="7">
        <f>IFERROR(__xludf.DUMMYFUNCTION("""COMPUTED_VALUE"""),7.8207603)</f>
        <v>7.8207603</v>
      </c>
      <c r="D1051" s="7">
        <f>IFERROR(__xludf.DUMMYFUNCTION("""COMPUTED_VALUE"""),0.450980392156862)</f>
        <v>0.4509803922</v>
      </c>
    </row>
    <row r="1052">
      <c r="A1052" s="10" t="s">
        <v>2491</v>
      </c>
      <c r="B1052" s="7" t="str">
        <f>IFERROR(__xludf.DUMMYFUNCTION("SPLIT(A1052,"" "")"),"COC(=O)C(=O)C(C)C(C)NCc1cccc(CN2CCN(C)CCN(C)CC2)n1")</f>
        <v>COC(=O)C(=O)C(C)C(C)NCc1cccc(CN2CCN(C)CCN(C)CC2)n1</v>
      </c>
      <c r="C1052" s="7">
        <f>IFERROR(__xludf.DUMMYFUNCTION("""COMPUTED_VALUE"""),7.8207583)</f>
        <v>7.8207583</v>
      </c>
      <c r="D1052" s="7">
        <f>IFERROR(__xludf.DUMMYFUNCTION("""COMPUTED_VALUE"""),0.461538461538461)</f>
        <v>0.4615384615</v>
      </c>
    </row>
    <row r="1053">
      <c r="A1053" s="10" t="s">
        <v>2492</v>
      </c>
      <c r="B1053" s="7" t="str">
        <f>IFERROR(__xludf.DUMMYFUNCTION("SPLIT(A1053,"" "")"),"CN1CCN(Cc2cnccc2-c2ccc3c(c2)OCCOCCOCCOCCOCCO3)CCN(Cc2ncccc2-c2ccc3c(c2)OCCOCCOCCOCCOCCO3)CC1")</f>
        <v>CN1CCN(Cc2cnccc2-c2ccc3c(c2)OCCOCCOCCOCCOCCO3)CCN(Cc2ncccc2-c2ccc3c(c2)OCCOCCOCCOCCOCCO3)CC1</v>
      </c>
      <c r="C1053" s="7">
        <f>IFERROR(__xludf.DUMMYFUNCTION("""COMPUTED_VALUE"""),7.8207173)</f>
        <v>7.8207173</v>
      </c>
      <c r="D1053" s="7">
        <f>IFERROR(__xludf.DUMMYFUNCTION("""COMPUTED_VALUE"""),0.36986301369863)</f>
        <v>0.3698630137</v>
      </c>
    </row>
    <row r="1054">
      <c r="A1054" s="10" t="s">
        <v>2493</v>
      </c>
      <c r="B1054" s="7" t="str">
        <f>IFERROR(__xludf.DUMMYFUNCTION("SPLIT(A1054,"" "")"),"CC(C)C1CCC1N=Cc1ccccn1")</f>
        <v>CC(C)C1CCC1N=Cc1ccccn1</v>
      </c>
      <c r="C1054" s="7">
        <f>IFERROR(__xludf.DUMMYFUNCTION("""COMPUTED_VALUE"""),7.820704)</f>
        <v>7.820704</v>
      </c>
      <c r="D1054" s="7">
        <f>IFERROR(__xludf.DUMMYFUNCTION("""COMPUTED_VALUE"""),0.391304347826087)</f>
        <v>0.3913043478</v>
      </c>
    </row>
    <row r="1055">
      <c r="A1055" s="10" t="s">
        <v>2494</v>
      </c>
      <c r="B1055" s="7" t="str">
        <f>IFERROR(__xludf.DUMMYFUNCTION("SPLIT(A1055,"" "")"),"Cc1cccnc1CN(C)C1CCC(N(C)CNCc2cc(CF)ccn2)CC1")</f>
        <v>Cc1cccnc1CN(C)C1CCC(N(C)CNCc2cc(CF)ccn2)CC1</v>
      </c>
      <c r="C1055" s="7">
        <f>IFERROR(__xludf.DUMMYFUNCTION("""COMPUTED_VALUE"""),7.8206935)</f>
        <v>7.8206935</v>
      </c>
      <c r="D1055" s="7">
        <f>IFERROR(__xludf.DUMMYFUNCTION("""COMPUTED_VALUE"""),0.311475409836065)</f>
        <v>0.3114754098</v>
      </c>
    </row>
    <row r="1056">
      <c r="A1056" s="10" t="s">
        <v>2495</v>
      </c>
      <c r="B1056" s="7" t="str">
        <f>IFERROR(__xludf.DUMMYFUNCTION("SPLIT(A1056,"" "")"),"CN(CN)C(C)(C)C")</f>
        <v>CN(CN)C(C)(C)C</v>
      </c>
      <c r="C1056" s="7">
        <f>IFERROR(__xludf.DUMMYFUNCTION("""COMPUTED_VALUE"""),7.8206863)</f>
        <v>7.8206863</v>
      </c>
      <c r="D1056" s="7">
        <f>IFERROR(__xludf.DUMMYFUNCTION("""COMPUTED_VALUE"""),0.131578947368421)</f>
        <v>0.1315789474</v>
      </c>
    </row>
    <row r="1057">
      <c r="A1057" s="10" t="s">
        <v>2496</v>
      </c>
      <c r="B1057" s="7" t="str">
        <f>IFERROR(__xludf.DUMMYFUNCTION("SPLIT(A1057,"" "")"),"CCN(CC1=C(N(C)Cc2cccnn2)CC=CN1)Cc1ccc2c(c1)OCCOCCOCCOCCOCCO2")</f>
        <v>CCN(CC1=C(N(C)Cc2cccnn2)CC=CN1)Cc1ccc2c(c1)OCCOCCOCCOCCOCCO2</v>
      </c>
      <c r="C1057" s="7">
        <f>IFERROR(__xludf.DUMMYFUNCTION("""COMPUTED_VALUE"""),7.8206763)</f>
        <v>7.8206763</v>
      </c>
      <c r="D1057" s="7">
        <f>IFERROR(__xludf.DUMMYFUNCTION("""COMPUTED_VALUE"""),0.303030303030303)</f>
        <v>0.303030303</v>
      </c>
    </row>
    <row r="1058">
      <c r="A1058" s="10" t="s">
        <v>2497</v>
      </c>
      <c r="B1058" s="7" t="str">
        <f>IFERROR(__xludf.DUMMYFUNCTION("SPLIT(A1058,"" "")"),"Cc1cc(C)c(CN(C)C2CCCCC2N(C)CN)nc1C")</f>
        <v>Cc1cc(C)c(CN(C)C2CCCCC2N(C)CN)nc1C</v>
      </c>
      <c r="C1058" s="7">
        <f>IFERROR(__xludf.DUMMYFUNCTION("""COMPUTED_VALUE"""),7.8206735)</f>
        <v>7.8206735</v>
      </c>
      <c r="D1058" s="7">
        <f>IFERROR(__xludf.DUMMYFUNCTION("""COMPUTED_VALUE"""),0.425531914893617)</f>
        <v>0.4255319149</v>
      </c>
    </row>
    <row r="1059">
      <c r="A1059" s="10" t="s">
        <v>2498</v>
      </c>
      <c r="B1059" s="7" t="str">
        <f>IFERROR(__xludf.DUMMYFUNCTION("SPLIT(A1059,"" "")"),"CNC1CCCCC1N(Cc1ccccn1)Cc1cccc(-c2ccc3c(c2)OCCOCCOCCOCCOCCO3)n1")</f>
        <v>CNC1CCCCC1N(Cc1ccccn1)Cc1cccc(-c2ccc3c(c2)OCCOCCOCCOCCOCCO3)n1</v>
      </c>
      <c r="C1059" s="7">
        <f>IFERROR(__xludf.DUMMYFUNCTION("""COMPUTED_VALUE"""),7.820668)</f>
        <v>7.820668</v>
      </c>
      <c r="D1059" s="7">
        <f>IFERROR(__xludf.DUMMYFUNCTION("""COMPUTED_VALUE"""),0.394366197183098)</f>
        <v>0.3943661972</v>
      </c>
    </row>
    <row r="1060">
      <c r="A1060" s="10" t="s">
        <v>2499</v>
      </c>
      <c r="B1060" s="7" t="str">
        <f>IFERROR(__xludf.DUMMYFUNCTION("SPLIT(A1060,"" "")"),"CC(C)N(Cc1ccccn1)C1CCCCC1N(C)Cc1cccc(-c2cccc3c2OCCOCCOCCOCCOCCO3)n1")</f>
        <v>CC(C)N(Cc1ccccn1)C1CCCCC1N(C)Cc1cccc(-c2cccc3c2OCCOCCOCCOCCOCCO3)n1</v>
      </c>
      <c r="C1060" s="7">
        <f>IFERROR(__xludf.DUMMYFUNCTION("""COMPUTED_VALUE"""),7.820661)</f>
        <v>7.820661</v>
      </c>
      <c r="D1060" s="7">
        <f>IFERROR(__xludf.DUMMYFUNCTION("""COMPUTED_VALUE"""),0.483870967741935)</f>
        <v>0.4838709677</v>
      </c>
    </row>
    <row r="1061">
      <c r="A1061" s="10" t="s">
        <v>2500</v>
      </c>
      <c r="B1061" s="7" t="str">
        <f>IFERROR(__xludf.DUMMYFUNCTION("SPLIT(A1061,"" "")"),"Cc1cccc(CN(Cc2cccc(CN(Cc3ccc([Si](C(C)C)(C(C)C)C(C)C)cn3)Cc3cccc(C4CC5OCCOCCOCCOCCOCCOC54)n3)n2)Cc2cccc(C3CC4OCCOCCOCCOCCOCCOC43)n2)n1")</f>
        <v>Cc1cccc(CN(Cc2cccc(CN(Cc3ccc([Si](C(C)C)(C(C)C)C(C)C)cn3)Cc3cccc(C4CC5OCCOCCOCCOCCOCCOC54)n3)n2)Cc2cccc(C3CC4OCCOCCOCCOCCOCCOC43)n2)n1</v>
      </c>
      <c r="C1061" s="7">
        <f>IFERROR(__xludf.DUMMYFUNCTION("""COMPUTED_VALUE"""),7.8206325)</f>
        <v>7.8206325</v>
      </c>
      <c r="D1061" s="7">
        <f>IFERROR(__xludf.DUMMYFUNCTION("""COMPUTED_VALUE"""),0.45)</f>
        <v>0.45</v>
      </c>
    </row>
    <row r="1062">
      <c r="A1062" s="10" t="s">
        <v>2501</v>
      </c>
      <c r="B1062" s="7" t="str">
        <f>IFERROR(__xludf.DUMMYFUNCTION("SPLIT(A1062,"" "")"),"CC1=CCC(C)(N(C)Cc2ccccn2)C(C)C1C")</f>
        <v>CC1=CCC(C)(N(C)Cc2ccccn2)C(C)C1C</v>
      </c>
      <c r="C1062" s="7">
        <f>IFERROR(__xludf.DUMMYFUNCTION("""COMPUTED_VALUE"""),7.820632)</f>
        <v>7.820632</v>
      </c>
      <c r="D1062" s="7">
        <f>IFERROR(__xludf.DUMMYFUNCTION("""COMPUTED_VALUE"""),0.428571428571428)</f>
        <v>0.4285714286</v>
      </c>
    </row>
    <row r="1063">
      <c r="A1063" s="10" t="s">
        <v>2502</v>
      </c>
      <c r="B1063" s="7" t="str">
        <f>IFERROR(__xludf.DUMMYFUNCTION("SPLIT(A1063,"" "")"),"Cc1ccc(CN(CCF)C2CCC(N(C)Cc3cccc(-c4ccc5c(c4)OCCOCCOCCOCCOCCO5)n3)CC2)nc1")</f>
        <v>Cc1ccc(CN(CCF)C2CCC(N(C)Cc3cccc(-c4ccc5c(c4)OCCOCCOCCOCCOCCO5)n3)CC2)nc1</v>
      </c>
      <c r="C1063" s="7">
        <f>IFERROR(__xludf.DUMMYFUNCTION("""COMPUTED_VALUE"""),7.8206286)</f>
        <v>7.8206286</v>
      </c>
      <c r="D1063" s="7">
        <f>IFERROR(__xludf.DUMMYFUNCTION("""COMPUTED_VALUE"""),0.3625)</f>
        <v>0.3625</v>
      </c>
    </row>
    <row r="1064">
      <c r="A1064" s="10" t="s">
        <v>2503</v>
      </c>
      <c r="B1064" s="7" t="str">
        <f>IFERROR(__xludf.DUMMYFUNCTION("SPLIT(A1064,"" "")"),"CC1=CC(C)CC(C)(c2ncccc2CN2CCN(C)CCN(C)CC2)C1")</f>
        <v>CC1=CC(C)CC(C)(c2ncccc2CN2CCN(C)CCN(C)CC2)C1</v>
      </c>
      <c r="C1064" s="7">
        <f>IFERROR(__xludf.DUMMYFUNCTION("""COMPUTED_VALUE"""),7.820625)</f>
        <v>7.820625</v>
      </c>
      <c r="D1064" s="7">
        <f>IFERROR(__xludf.DUMMYFUNCTION("""COMPUTED_VALUE"""),0.403846153846153)</f>
        <v>0.4038461538</v>
      </c>
    </row>
    <row r="1065">
      <c r="A1065" s="10" t="s">
        <v>2504</v>
      </c>
      <c r="B1065" s="7" t="str">
        <f>IFERROR(__xludf.DUMMYFUNCTION("SPLIT(A1065,"" "")"),"CC1C=CC2(CC1C)C(C)C=CC(C)C2N(C)Cc1ccccn1")</f>
        <v>CC1C=CC2(CC1C)C(C)C=CC(C)C2N(C)Cc1ccccn1</v>
      </c>
      <c r="C1065" s="7">
        <f>IFERROR(__xludf.DUMMYFUNCTION("""COMPUTED_VALUE"""),7.8206224)</f>
        <v>7.8206224</v>
      </c>
      <c r="D1065" s="7">
        <f>IFERROR(__xludf.DUMMYFUNCTION("""COMPUTED_VALUE"""),0.470588235294117)</f>
        <v>0.4705882353</v>
      </c>
    </row>
    <row r="1066">
      <c r="A1066" s="10" t="s">
        <v>2505</v>
      </c>
      <c r="B1066" s="7" t="str">
        <f>IFERROR(__xludf.DUMMYFUNCTION("SPLIT(A1066,"" "")"),"CNCCN(C)C(C)C")</f>
        <v>CNCCN(C)C(C)C</v>
      </c>
      <c r="C1066" s="7">
        <f>IFERROR(__xludf.DUMMYFUNCTION("""COMPUTED_VALUE"""),7.8206215)</f>
        <v>7.8206215</v>
      </c>
      <c r="D1066" s="7">
        <f>IFERROR(__xludf.DUMMYFUNCTION("""COMPUTED_VALUE"""),0.184210526315789)</f>
        <v>0.1842105263</v>
      </c>
    </row>
    <row r="1067">
      <c r="A1067" s="10" t="s">
        <v>2506</v>
      </c>
      <c r="B1067" s="7" t="str">
        <f>IFERROR(__xludf.DUMMYFUNCTION("SPLIT(A1067,"" "")"),"COC(C)c1ncccc1CN1CCN(C)CCN(C(C)c2ccccn2)CC1")</f>
        <v>COC(C)c1ncccc1CN1CCN(C)CCN(C(C)c2ccccn2)CC1</v>
      </c>
      <c r="C1067" s="7">
        <f>IFERROR(__xludf.DUMMYFUNCTION("""COMPUTED_VALUE"""),7.820611)</f>
        <v>7.820611</v>
      </c>
      <c r="D1067" s="7">
        <f>IFERROR(__xludf.DUMMYFUNCTION("""COMPUTED_VALUE"""),0.433962264150943)</f>
        <v>0.4339622642</v>
      </c>
    </row>
    <row r="1068">
      <c r="A1068" s="10" t="s">
        <v>2507</v>
      </c>
      <c r="B1068" s="7" t="str">
        <f>IFERROR(__xludf.DUMMYFUNCTION("SPLIT(A1068,"" "")"),"CN(Cc1cccc(-c2ccc3c(c2)OCCOCCOCCOCCOCCO3)n1)C1CCCCC1N(Cc1ccccn1)C1C=CC=CN1")</f>
        <v>CN(Cc1cccc(-c2ccc3c(c2)OCCOCCOCCOCCOCCO3)n1)C1CCCCC1N(Cc1ccccn1)C1C=CC=CN1</v>
      </c>
      <c r="C1068" s="7">
        <f>IFERROR(__xludf.DUMMYFUNCTION("""COMPUTED_VALUE"""),7.8205876)</f>
        <v>7.8205876</v>
      </c>
      <c r="D1068" s="7">
        <f>IFERROR(__xludf.DUMMYFUNCTION("""COMPUTED_VALUE"""),0.428571428571428)</f>
        <v>0.4285714286</v>
      </c>
    </row>
    <row r="1069">
      <c r="A1069" s="10" t="s">
        <v>2508</v>
      </c>
      <c r="B1069" s="7" t="str">
        <f>IFERROR(__xludf.DUMMYFUNCTION("SPLIT(A1069,"" "")"),"CC(C)N(CC1=CCC=C(N(C)Cc2cccc(C34CCC3OCCOCCOCCOCCOCCO4)n2)N1)Cc1ccccn1")</f>
        <v>CC(C)N(CC1=CCC=C(N(C)Cc2cccc(C34CCC3OCCOCCOCCOCCOCCO4)n2)N1)Cc1ccccn1</v>
      </c>
      <c r="C1069" s="7">
        <f>IFERROR(__xludf.DUMMYFUNCTION("""COMPUTED_VALUE"""),7.820513)</f>
        <v>7.820513</v>
      </c>
      <c r="D1069" s="7">
        <f>IFERROR(__xludf.DUMMYFUNCTION("""COMPUTED_VALUE"""),0.328767123287671)</f>
        <v>0.3287671233</v>
      </c>
    </row>
    <row r="1070">
      <c r="A1070" s="10" t="s">
        <v>2509</v>
      </c>
      <c r="B1070" s="7" t="str">
        <f>IFERROR(__xludf.DUMMYFUNCTION("SPLIT(A1070,"" "")"),"CN(Cc1cccnn1)c1ccc2c(c1)OCCOCCOCCOCCOCCO2")</f>
        <v>CN(Cc1cccnn1)c1ccc2c(c1)OCCOCCOCCOCCOCCO2</v>
      </c>
      <c r="C1070" s="7">
        <f>IFERROR(__xludf.DUMMYFUNCTION("""COMPUTED_VALUE"""),7.8205094)</f>
        <v>7.8205094</v>
      </c>
      <c r="D1070" s="7">
        <f>IFERROR(__xludf.DUMMYFUNCTION("""COMPUTED_VALUE"""),0.434782608695652)</f>
        <v>0.4347826087</v>
      </c>
    </row>
    <row r="1071">
      <c r="A1071" s="10" t="s">
        <v>2510</v>
      </c>
      <c r="B1071" s="7" t="str">
        <f>IFERROR(__xludf.DUMMYFUNCTION("SPLIT(A1071,"" "")"),"Cc1cc(CN(C)C2CCCCC2N(C)Cc2ccc(CN3CCN(C)CCN(C)CC3)cn2)nc(C)c1C")</f>
        <v>Cc1cc(CN(C)C2CCCCC2N(C)Cc2ccc(CN3CCN(C)CCN(C)CC3)cn2)nc(C)c1C</v>
      </c>
      <c r="C1071" s="7">
        <f>IFERROR(__xludf.DUMMYFUNCTION("""COMPUTED_VALUE"""),7.8204784)</f>
        <v>7.8204784</v>
      </c>
      <c r="D1071" s="7">
        <f>IFERROR(__xludf.DUMMYFUNCTION("""COMPUTED_VALUE"""),0.473684210526315)</f>
        <v>0.4736842105</v>
      </c>
    </row>
    <row r="1072">
      <c r="A1072" s="10" t="s">
        <v>2511</v>
      </c>
      <c r="B1072" s="7" t="str">
        <f>IFERROR(__xludf.DUMMYFUNCTION("SPLIT(A1072,"" "")"),"Cc1ccc(CN2CCN(C)CCN(Cc3ccc(C)nc3)CC2)nc1")</f>
        <v>Cc1ccc(CN2CCN(C)CCN(Cc3ccc(C)nc3)CC2)nc1</v>
      </c>
      <c r="C1072" s="7">
        <f>IFERROR(__xludf.DUMMYFUNCTION("""COMPUTED_VALUE"""),7.82047)</f>
        <v>7.82047</v>
      </c>
      <c r="D1072" s="7">
        <f>IFERROR(__xludf.DUMMYFUNCTION("""COMPUTED_VALUE"""),0.478260869565217)</f>
        <v>0.4782608696</v>
      </c>
    </row>
    <row r="1073">
      <c r="A1073" s="10" t="s">
        <v>2512</v>
      </c>
      <c r="B1073" s="7" t="str">
        <f>IFERROR(__xludf.DUMMYFUNCTION("SPLIT(A1073,"" "")"),"Cc1cc(CN2CCN(C)CCN(C)CC2)nc(C)c1-c1cccc2c1OCCOCCOCCOCCOCCO2")</f>
        <v>Cc1cc(CN2CCN(C)CCN(C)CC2)nc(C)c1-c1cccc2c1OCCOCCOCCOCCOCCO2</v>
      </c>
      <c r="C1073" s="7">
        <f>IFERROR(__xludf.DUMMYFUNCTION("""COMPUTED_VALUE"""),7.8204665)</f>
        <v>7.8204665</v>
      </c>
      <c r="D1073" s="7">
        <f>IFERROR(__xludf.DUMMYFUNCTION("""COMPUTED_VALUE"""),0.410714285714285)</f>
        <v>0.4107142857</v>
      </c>
    </row>
    <row r="1074">
      <c r="A1074" s="10" t="s">
        <v>2513</v>
      </c>
      <c r="B1074" s="7" t="str">
        <f>IFERROR(__xludf.DUMMYFUNCTION("SPLIT(A1074,"" "")"),"Cc1cnccc1CN1CCN(C)CCN(Cc2ncccc2C)CC1")</f>
        <v>Cc1cnccc1CN1CCN(C)CCN(Cc2ncccc2C)CC1</v>
      </c>
      <c r="C1074" s="7">
        <f>IFERROR(__xludf.DUMMYFUNCTION("""COMPUTED_VALUE"""),7.8204584)</f>
        <v>7.8204584</v>
      </c>
      <c r="D1074" s="7">
        <f>IFERROR(__xludf.DUMMYFUNCTION("""COMPUTED_VALUE"""),0.446808510638297)</f>
        <v>0.4468085106</v>
      </c>
    </row>
    <row r="1075">
      <c r="A1075" s="10" t="s">
        <v>2514</v>
      </c>
      <c r="B1075" s="7" t="str">
        <f>IFERROR(__xludf.DUMMYFUNCTION("SPLIT(A1075,"" "")"),"CC(C)N(C)CCN(C)CCF")</f>
        <v>CC(C)N(C)CCN(C)CCF</v>
      </c>
      <c r="C1075" s="7">
        <f>IFERROR(__xludf.DUMMYFUNCTION("""COMPUTED_VALUE"""),7.8204393)</f>
        <v>7.8204393</v>
      </c>
      <c r="D1075" s="7">
        <f>IFERROR(__xludf.DUMMYFUNCTION("""COMPUTED_VALUE"""),0.222222222222222)</f>
        <v>0.2222222222</v>
      </c>
    </row>
    <row r="1076">
      <c r="A1076" s="10" t="s">
        <v>2515</v>
      </c>
      <c r="B1076" s="7" t="str">
        <f>IFERROR(__xludf.DUMMYFUNCTION("SPLIT(A1076,"" "")"),"CCCN(Cc1ccccn1)C1CCC(N(C)Cc2cccc(C)n2)CC1")</f>
        <v>CCCN(Cc1ccccn1)C1CCC(N(C)Cc2cccc(C)n2)CC1</v>
      </c>
      <c r="C1076" s="7">
        <f>IFERROR(__xludf.DUMMYFUNCTION("""COMPUTED_VALUE"""),7.8204327)</f>
        <v>7.8204327</v>
      </c>
      <c r="D1076" s="7">
        <f>IFERROR(__xludf.DUMMYFUNCTION("""COMPUTED_VALUE"""),0.490196078431372)</f>
        <v>0.4901960784</v>
      </c>
    </row>
    <row r="1077">
      <c r="A1077" s="10" t="s">
        <v>2516</v>
      </c>
      <c r="B1077" s="7" t="str">
        <f>IFERROR(__xludf.DUMMYFUNCTION("SPLIT(A1077,"" "")"),"CC1=CCCC(C)(c2ncccc2CN(Cc2ccccn2)C2CCCCC2)C1C")</f>
        <v>CC1=CCCC(C)(c2ncccc2CN(Cc2ccccn2)C2CCCCC2)C1C</v>
      </c>
      <c r="C1077" s="7">
        <f>IFERROR(__xludf.DUMMYFUNCTION("""COMPUTED_VALUE"""),7.8204303)</f>
        <v>7.8204303</v>
      </c>
      <c r="D1077" s="7">
        <f>IFERROR(__xludf.DUMMYFUNCTION("""COMPUTED_VALUE"""),0.383333333333333)</f>
        <v>0.3833333333</v>
      </c>
    </row>
    <row r="1078">
      <c r="A1078" s="10" t="s">
        <v>2517</v>
      </c>
      <c r="B1078" s="7" t="str">
        <f>IFERROR(__xludf.DUMMYFUNCTION("SPLIT(A1078,"" "")"),"Cc1ccccc1CN(C)C1CCCCC1N(C)Cc1cccc(-c2ccc3c(c2)OCCOCCOCCOCCOCCO3)n1")</f>
        <v>Cc1ccccc1CN(C)C1CCCCC1N(C)Cc1cccc(-c2ccc3c(c2)OCCOCCOCCOCCOCCO3)n1</v>
      </c>
      <c r="C1078" s="7">
        <f>IFERROR(__xludf.DUMMYFUNCTION("""COMPUTED_VALUE"""),7.820422)</f>
        <v>7.820422</v>
      </c>
      <c r="D1078" s="7">
        <f>IFERROR(__xludf.DUMMYFUNCTION("""COMPUTED_VALUE"""),0.45)</f>
        <v>0.45</v>
      </c>
    </row>
    <row r="1079">
      <c r="A1079" s="10" t="s">
        <v>2518</v>
      </c>
      <c r="B1079" s="7" t="str">
        <f>IFERROR(__xludf.DUMMYFUNCTION("SPLIT(A1079,"" "")"),"CC(C)N(Cc1ccccn1)C1CCCCC1N(C)Cc1cccc(-c2ccc3c(c2)OCCOCCOCCOCCOCCO3)n1")</f>
        <v>CC(C)N(Cc1ccccn1)C1CCCCC1N(C)Cc1cccc(-c2ccc3c(c2)OCCOCCOCCOCCOCCO3)n1</v>
      </c>
      <c r="C1079" s="7">
        <f>IFERROR(__xludf.DUMMYFUNCTION("""COMPUTED_VALUE"""),7.82042)</f>
        <v>7.82042</v>
      </c>
      <c r="D1079" s="7">
        <f>IFERROR(__xludf.DUMMYFUNCTION("""COMPUTED_VALUE"""),0.483870967741935)</f>
        <v>0.4838709677</v>
      </c>
    </row>
    <row r="1080">
      <c r="A1080" s="10" t="s">
        <v>2519</v>
      </c>
      <c r="B1080" s="7" t="str">
        <f>IFERROR(__xludf.DUMMYFUNCTION("SPLIT(A1080,"" "")"),"CC(C)N(CCN(Cc1cccnc1)c1cccc2c1OCCOCCOCCOCCOCCO2)Cc1ccccn1")</f>
        <v>CC(C)N(CCN(Cc1cccnc1)c1cccc2c1OCCOCCOCCOCCOCCO2)Cc1ccccn1</v>
      </c>
      <c r="C1080" s="7">
        <f>IFERROR(__xludf.DUMMYFUNCTION("""COMPUTED_VALUE"""),7.820409)</f>
        <v>7.820409</v>
      </c>
      <c r="D1080" s="7">
        <f>IFERROR(__xludf.DUMMYFUNCTION("""COMPUTED_VALUE"""),0.457627118644067)</f>
        <v>0.4576271186</v>
      </c>
    </row>
    <row r="1081">
      <c r="A1081" s="10" t="s">
        <v>2520</v>
      </c>
      <c r="B1081" s="7" t="str">
        <f>IFERROR(__xludf.DUMMYFUNCTION("SPLIT(A1081,"" "")"),"CC(C)C1=CC2(C=CCC(C)C2(C)C)C=CN1")</f>
        <v>CC(C)C1=CC2(C=CCC(C)C2(C)C)C=CN1</v>
      </c>
      <c r="C1081" s="7">
        <f>IFERROR(__xludf.DUMMYFUNCTION("""COMPUTED_VALUE"""),7.820405)</f>
        <v>7.820405</v>
      </c>
      <c r="D1081" s="7">
        <f>IFERROR(__xludf.DUMMYFUNCTION("""COMPUTED_VALUE"""),0.136363636363636)</f>
        <v>0.1363636364</v>
      </c>
    </row>
    <row r="1082">
      <c r="A1082" s="10" t="s">
        <v>2521</v>
      </c>
      <c r="B1082" s="7" t="str">
        <f>IFERROR(__xludf.DUMMYFUNCTION("SPLIT(A1082,"" "")"),"CC1(C)CCC1c1cccc(CN(Cc2ccccn2)C2CCCCC2)n1")</f>
        <v>CC1(C)CCC1c1cccc(CN(Cc2ccccn2)C2CCCCC2)n1</v>
      </c>
      <c r="C1082" s="7">
        <f>IFERROR(__xludf.DUMMYFUNCTION("""COMPUTED_VALUE"""),7.820405)</f>
        <v>7.820405</v>
      </c>
      <c r="D1082" s="7">
        <f>IFERROR(__xludf.DUMMYFUNCTION("""COMPUTED_VALUE"""),0.433962264150943)</f>
        <v>0.4339622642</v>
      </c>
    </row>
    <row r="1083">
      <c r="A1083" s="10" t="s">
        <v>2522</v>
      </c>
      <c r="B1083" s="7" t="str">
        <f>IFERROR(__xludf.DUMMYFUNCTION("SPLIT(A1083,"" "")"),"CC(C)N(C)c1ccncc1CN1CCN(C)CCN(C)CC1")</f>
        <v>CC(C)N(C)c1ccncc1CN1CCN(C)CCN(C)CC1</v>
      </c>
      <c r="C1083" s="7">
        <f>IFERROR(__xludf.DUMMYFUNCTION("""COMPUTED_VALUE"""),7.8203797)</f>
        <v>7.8203797</v>
      </c>
      <c r="D1083" s="7">
        <f>IFERROR(__xludf.DUMMYFUNCTION("""COMPUTED_VALUE"""),0.413043478260869)</f>
        <v>0.4130434783</v>
      </c>
    </row>
    <row r="1084">
      <c r="A1084" s="10" t="s">
        <v>2523</v>
      </c>
      <c r="B1084" s="7" t="str">
        <f>IFERROR(__xludf.DUMMYFUNCTION("SPLIT(A1084,"" "")"),"Cc1cnc(CN(C)C2CCC(N(C)Cc3ccccn3)CC2N(Cc2cccc(-c3ccc4c(c3)OCCOCCOCCOCCOCCO4)n2)Cc2cccc(C3CC4OCCOCCOCCOCCOCCOC43)n2)c(C)c1")</f>
        <v>Cc1cnc(CN(C)C2CCC(N(C)Cc3ccccn3)CC2N(Cc2cccc(-c3ccc4c(c3)OCCOCCOCCOCCOCCO4)n2)Cc2cccc(C3CC4OCCOCCOCCOCCOCCOC43)n2)c(C)c1</v>
      </c>
      <c r="C1084" s="7">
        <f>IFERROR(__xludf.DUMMYFUNCTION("""COMPUTED_VALUE"""),7.820352)</f>
        <v>7.820352</v>
      </c>
      <c r="D1084" s="7">
        <f>IFERROR(__xludf.DUMMYFUNCTION("""COMPUTED_VALUE"""),0.303370786516853)</f>
        <v>0.3033707865</v>
      </c>
    </row>
    <row r="1085">
      <c r="A1085" s="10" t="s">
        <v>2524</v>
      </c>
      <c r="B1085" s="7" t="str">
        <f>IFERROR(__xludf.DUMMYFUNCTION("SPLIT(A1085,"" "")"),"CC1=CC(C)CC(CN(C)Cc2ccccn2)C1C")</f>
        <v>CC1=CC(C)CC(CN(C)Cc2ccccn2)C1C</v>
      </c>
      <c r="C1085" s="7">
        <f>IFERROR(__xludf.DUMMYFUNCTION("""COMPUTED_VALUE"""),7.8203516)</f>
        <v>7.8203516</v>
      </c>
      <c r="D1085" s="7">
        <f>IFERROR(__xludf.DUMMYFUNCTION("""COMPUTED_VALUE"""),0.454545454545454)</f>
        <v>0.4545454545</v>
      </c>
    </row>
    <row r="1086">
      <c r="A1086" s="10" t="s">
        <v>2525</v>
      </c>
      <c r="B1086" s="7" t="str">
        <f>IFERROR(__xludf.DUMMYFUNCTION("SPLIT(A1086,"" "")"),"CC1CC(c2cccc(CN(C)C3CCC(N(C)Cc4ccccn4)CC3)n2)C1C")</f>
        <v>CC1CC(c2cccc(CN(C)C3CCC(N(C)Cc4ccccn4)CC3)n2)C1C</v>
      </c>
      <c r="C1086" s="7">
        <f>IFERROR(__xludf.DUMMYFUNCTION("""COMPUTED_VALUE"""),7.8203473)</f>
        <v>7.8203473</v>
      </c>
      <c r="D1086" s="7">
        <f>IFERROR(__xludf.DUMMYFUNCTION("""COMPUTED_VALUE"""),0.48)</f>
        <v>0.48</v>
      </c>
    </row>
    <row r="1087">
      <c r="A1087" s="10" t="s">
        <v>2526</v>
      </c>
      <c r="B1087" s="7" t="str">
        <f>IFERROR(__xludf.DUMMYFUNCTION("SPLIT(A1087,"" "")"),"CC1=CCCC(C)(c2cccc(CN(Cc3ccccn3)C3CCCCC3)n2)C1C")</f>
        <v>CC1=CCCC(C)(c2cccc(CN(Cc3ccccn3)C3CCCCC3)n2)C1C</v>
      </c>
      <c r="C1087" s="7">
        <f>IFERROR(__xludf.DUMMYFUNCTION("""COMPUTED_VALUE"""),7.8203173)</f>
        <v>7.8203173</v>
      </c>
      <c r="D1087" s="7">
        <f>IFERROR(__xludf.DUMMYFUNCTION("""COMPUTED_VALUE"""),0.383333333333333)</f>
        <v>0.3833333333</v>
      </c>
    </row>
    <row r="1088">
      <c r="A1088" s="10" t="s">
        <v>2527</v>
      </c>
      <c r="B1088" s="7" t="str">
        <f>IFERROR(__xludf.DUMMYFUNCTION("SPLIT(A1088,"" "")"),"CCNCc1ncccc1CN(C)C1CCCC(N(C)Cc2ccccn2)C1")</f>
        <v>CCNCc1ncccc1CN(C)C1CCCC(N(C)Cc2ccccn2)C1</v>
      </c>
      <c r="C1088" s="7">
        <f>IFERROR(__xludf.DUMMYFUNCTION("""COMPUTED_VALUE"""),7.820301)</f>
        <v>7.820301</v>
      </c>
      <c r="D1088" s="7">
        <f>IFERROR(__xludf.DUMMYFUNCTION("""COMPUTED_VALUE"""),0.48076923076923)</f>
        <v>0.4807692308</v>
      </c>
    </row>
    <row r="1089">
      <c r="A1089" s="10" t="s">
        <v>2528</v>
      </c>
      <c r="B1089" s="7" t="str">
        <f>IFERROR(__xludf.DUMMYFUNCTION("SPLIT(A1089,"" "")"),"CC1=CC(C)C(C)C(c2ccc(CN(Cc3ccccn3)C3CCCCC3)cn2)C1")</f>
        <v>CC1=CC(C)C(C)C(c2ccc(CN(Cc3ccccn3)C3CCCCC3)cn2)C1</v>
      </c>
      <c r="C1089" s="7">
        <f>IFERROR(__xludf.DUMMYFUNCTION("""COMPUTED_VALUE"""),7.8202972)</f>
        <v>7.8202972</v>
      </c>
      <c r="D1089" s="7">
        <f>IFERROR(__xludf.DUMMYFUNCTION("""COMPUTED_VALUE"""),0.377049180327868)</f>
        <v>0.3770491803</v>
      </c>
    </row>
    <row r="1090">
      <c r="A1090" s="10" t="s">
        <v>2529</v>
      </c>
      <c r="B1090" s="7" t="str">
        <f>IFERROR(__xludf.DUMMYFUNCTION("SPLIT(A1090,"" "")"),"CC(C)NCc1cncc(CN2CCN(C)CCN(Cc3ccc(N)cn3)CC2)c1")</f>
        <v>CC(C)NCc1cncc(CN2CCN(C)CCN(Cc3ccc(N)cn3)CC2)c1</v>
      </c>
      <c r="C1090" s="7">
        <f>IFERROR(__xludf.DUMMYFUNCTION("""COMPUTED_VALUE"""),7.8202877)</f>
        <v>7.8202877</v>
      </c>
      <c r="D1090" s="7">
        <f>IFERROR(__xludf.DUMMYFUNCTION("""COMPUTED_VALUE"""),0.381818181818181)</f>
        <v>0.3818181818</v>
      </c>
    </row>
    <row r="1091">
      <c r="A1091" s="10" t="s">
        <v>2530</v>
      </c>
      <c r="B1091" s="7" t="str">
        <f>IFERROR(__xludf.DUMMYFUNCTION("SPLIT(A1091,"" "")"),"CN(Cc1cccnn1)C1CCCC(N(C)C(C)(C)c2ccccn2)C1")</f>
        <v>CN(Cc1cccnn1)C1CCCC(N(C)C(C)(C)c2ccccn2)C1</v>
      </c>
      <c r="C1091" s="7">
        <f>IFERROR(__xludf.DUMMYFUNCTION("""COMPUTED_VALUE"""),7.820264)</f>
        <v>7.820264</v>
      </c>
      <c r="D1091" s="7">
        <f>IFERROR(__xludf.DUMMYFUNCTION("""COMPUTED_VALUE"""),0.425925925925925)</f>
        <v>0.4259259259</v>
      </c>
    </row>
    <row r="1092">
      <c r="A1092" s="10" t="s">
        <v>2531</v>
      </c>
      <c r="B1092" s="7" t="str">
        <f>IFERROR(__xludf.DUMMYFUNCTION("SPLIT(A1092,"" "")"),"c1cnc(CN2CCCC2C2CCN(Cc3cncc(-c4ccc5c(c4)OCCOCCOCCOCCOCCO5)c3)C2)c(-c2ccc3c(c2)OCCOCCOCCOCCOCCO3)c1")</f>
        <v>c1cnc(CN2CCCC2C2CCN(Cc3cncc(-c4ccc5c(c4)OCCOCCOCCOCCOCCO5)c3)C2)c(-c2ccc3c(c2)OCCOCCOCCOCCOCCO3)c1</v>
      </c>
      <c r="C1092" s="7">
        <f>IFERROR(__xludf.DUMMYFUNCTION("""COMPUTED_VALUE"""),7.820259)</f>
        <v>7.820259</v>
      </c>
      <c r="D1092" s="7">
        <f>IFERROR(__xludf.DUMMYFUNCTION("""COMPUTED_VALUE"""),0.486486486486486)</f>
        <v>0.4864864865</v>
      </c>
    </row>
    <row r="1093">
      <c r="A1093" s="10" t="s">
        <v>2532</v>
      </c>
      <c r="B1093" s="7" t="str">
        <f>IFERROR(__xludf.DUMMYFUNCTION("SPLIT(A1093,"" "")"),"COC(=O)C(=O)C(C)C(C)N1CCN(C)CCN(C(=O)OC)CC1")</f>
        <v>COC(=O)C(=O)C(C)C(C)N1CCN(C)CCN(C(=O)OC)CC1</v>
      </c>
      <c r="C1093" s="7">
        <f>IFERROR(__xludf.DUMMYFUNCTION("""COMPUTED_VALUE"""),7.8202553)</f>
        <v>7.8202553</v>
      </c>
      <c r="D1093" s="7">
        <f>IFERROR(__xludf.DUMMYFUNCTION("""COMPUTED_VALUE"""),0.235294117647058)</f>
        <v>0.2352941176</v>
      </c>
    </row>
    <row r="1094">
      <c r="A1094" s="10" t="s">
        <v>2533</v>
      </c>
      <c r="B1094" s="7" t="str">
        <f>IFERROR(__xludf.DUMMYFUNCTION("SPLIT(A1094,"" "")"),"CC(c1cccc(CNCF)n1)N1CCN(C)CCN(Cc2cccc(C(C)(C)C)n2)CC1")</f>
        <v>CC(c1cccc(CNCF)n1)N1CCN(C)CCN(Cc2cccc(C(C)(C)C)n2)CC1</v>
      </c>
      <c r="C1094" s="7">
        <f>IFERROR(__xludf.DUMMYFUNCTION("""COMPUTED_VALUE"""),7.820235)</f>
        <v>7.820235</v>
      </c>
      <c r="D1094" s="7">
        <f>IFERROR(__xludf.DUMMYFUNCTION("""COMPUTED_VALUE"""),0.43859649122807)</f>
        <v>0.4385964912</v>
      </c>
    </row>
    <row r="1095">
      <c r="A1095" s="10" t="s">
        <v>2534</v>
      </c>
      <c r="B1095" s="7" t="str">
        <f>IFERROR(__xludf.DUMMYFUNCTION("SPLIT(A1095,"" "")"),"CC(C)N(C)c1cccnc1CN1CCN(C)CCN(C)CC1")</f>
        <v>CC(C)N(C)c1cccnc1CN1CCN(C)CCN(C)CC1</v>
      </c>
      <c r="C1095" s="7">
        <f>IFERROR(__xludf.DUMMYFUNCTION("""COMPUTED_VALUE"""),7.8202252)</f>
        <v>7.8202252</v>
      </c>
      <c r="D1095" s="7">
        <f>IFERROR(__xludf.DUMMYFUNCTION("""COMPUTED_VALUE"""),0.477272727272727)</f>
        <v>0.4772727273</v>
      </c>
    </row>
    <row r="1096">
      <c r="A1096" s="10" t="s">
        <v>2535</v>
      </c>
      <c r="B1096" s="7" t="str">
        <f>IFERROR(__xludf.DUMMYFUNCTION("SPLIT(A1096,"" "")"),"CCNCc1ccc(CN(C)C2CCCC(N(C)Cc3ccccn3)C2)cn1")</f>
        <v>CCNCc1ccc(CN(C)C2CCCC(N(C)Cc3ccccn3)C2)cn1</v>
      </c>
      <c r="C1096" s="7">
        <f>IFERROR(__xludf.DUMMYFUNCTION("""COMPUTED_VALUE"""),7.8201976)</f>
        <v>7.8201976</v>
      </c>
      <c r="D1096" s="7">
        <f>IFERROR(__xludf.DUMMYFUNCTION("""COMPUTED_VALUE"""),0.471698113207547)</f>
        <v>0.4716981132</v>
      </c>
    </row>
    <row r="1097">
      <c r="A1097" s="10" t="s">
        <v>2536</v>
      </c>
      <c r="B1097" s="7" t="str">
        <f>IFERROR(__xludf.DUMMYFUNCTION("SPLIT(A1097,"" "")"),"CC1=CCC(N(C)CC2=CCC=CN2)CC1C")</f>
        <v>CC1=CCC(N(C)CC2=CCC=CN2)CC1C</v>
      </c>
      <c r="C1097" s="7">
        <f>IFERROR(__xludf.DUMMYFUNCTION("""COMPUTED_VALUE"""),7.820191)</f>
        <v>7.820191</v>
      </c>
      <c r="D1097" s="7">
        <f>IFERROR(__xludf.DUMMYFUNCTION("""COMPUTED_VALUE"""),0.351851851851851)</f>
        <v>0.3518518519</v>
      </c>
    </row>
    <row r="1098">
      <c r="A1098" s="10" t="s">
        <v>2537</v>
      </c>
      <c r="B1098" s="7" t="str">
        <f>IFERROR(__xludf.DUMMYFUNCTION("SPLIT(A1098,"" "")"),"CCN(C)CCN(C)CCN(C)CCN(C)CCN(C)CCN(C)CCN(C)CCN(C)CCN(C)CCN(C)CCN(C)CCN(C)CCN(C)CCN(C)CCN(C)CCN(C)CCN(C)CCN(C)CCN(C)CCN(C)CCN(C)CCN(C)CCN(C)C1CCCC(N(C)CCN(C)CC)C1")</f>
        <v>CCN(C)CCN(C)CCN(C)CCN(C)CCN(C)CCN(C)CCN(C)CCN(C)CCN(C)CCN(C)CCN(C)CCN(C)CCN(C)CCN(C)CCN(C)CCN(C)CCN(C)CCN(C)CCN(C)CCN(C)CCN(C)CCN(C)CCN(C)C1CCCC(N(C)CCN(C)CC)C1</v>
      </c>
      <c r="C1098" s="7">
        <f>IFERROR(__xludf.DUMMYFUNCTION("""COMPUTED_VALUE"""),7.820181)</f>
        <v>7.820181</v>
      </c>
      <c r="D1098" s="7">
        <f>IFERROR(__xludf.DUMMYFUNCTION("""COMPUTED_VALUE"""),0.2)</f>
        <v>0.2</v>
      </c>
    </row>
    <row r="1099">
      <c r="A1099" s="10" t="s">
        <v>2538</v>
      </c>
      <c r="B1099" s="7" t="str">
        <f>IFERROR(__xludf.DUMMYFUNCTION("SPLIT(A1099,"" "")"),"CN1CCN(C)CCN(Cc2cccnc2CNCc2cccc(-c3ccc4c(c3)OCCOCCOCCOCCOCCO4)n2)CC1")</f>
        <v>CN1CCN(C)CCN(Cc2cccnc2CNCc2cccc(-c3ccc4c(c3)OCCOCCOCCOCCOCCO4)n2)CC1</v>
      </c>
      <c r="C1099" s="7">
        <f>IFERROR(__xludf.DUMMYFUNCTION("""COMPUTED_VALUE"""),7.820178)</f>
        <v>7.820178</v>
      </c>
      <c r="D1099" s="7">
        <f>IFERROR(__xludf.DUMMYFUNCTION("""COMPUTED_VALUE"""),0.348484848484848)</f>
        <v>0.3484848485</v>
      </c>
    </row>
    <row r="1100">
      <c r="A1100" s="10" t="s">
        <v>2539</v>
      </c>
      <c r="B1100" s="7" t="str">
        <f>IFERROR(__xludf.DUMMYFUNCTION("SPLIT(A1100,"" "")"),"CNCN(Cc1ccccn1)C1CCC(N(C)Cc2ncccc2C)CC1")</f>
        <v>CNCN(Cc1ccccn1)C1CCC(N(C)Cc2ncccc2C)CC1</v>
      </c>
      <c r="C1100" s="7">
        <f>IFERROR(__xludf.DUMMYFUNCTION("""COMPUTED_VALUE"""),7.8201733)</f>
        <v>7.8201733</v>
      </c>
      <c r="D1100" s="7">
        <f>IFERROR(__xludf.DUMMYFUNCTION("""COMPUTED_VALUE"""),0.433962264150943)</f>
        <v>0.4339622642</v>
      </c>
    </row>
    <row r="1101">
      <c r="A1101" s="10" t="s">
        <v>2540</v>
      </c>
      <c r="B1101" s="7" t="str">
        <f>IFERROR(__xludf.DUMMYFUNCTION("SPLIT(A1101,"" "")"),"C=CCN(C)CCN(C)Cc1cccc(-c2ccc3c(c2)OCCOCCOCCOCCOCCO3)n1")</f>
        <v>C=CCN(C)CCN(C)Cc1cccc(-c2ccc3c(c2)OCCOCCOCCOCCOCCO3)n1</v>
      </c>
      <c r="C1101" s="7">
        <f>IFERROR(__xludf.DUMMYFUNCTION("""COMPUTED_VALUE"""),7.820153)</f>
        <v>7.820153</v>
      </c>
      <c r="D1101" s="7">
        <f>IFERROR(__xludf.DUMMYFUNCTION("""COMPUTED_VALUE"""),0.363636363636363)</f>
        <v>0.3636363636</v>
      </c>
    </row>
    <row r="1102">
      <c r="A1102" s="10" t="s">
        <v>2541</v>
      </c>
      <c r="B1102" s="7" t="str">
        <f>IFERROR(__xludf.DUMMYFUNCTION("SPLIT(A1102,"" "")"),"CC1=CC(C)CC(C)(c2cc(CN3CCN(C)CCN(C)CC3)ccn2)C1(C)C")</f>
        <v>CC1=CC(C)CC(C)(c2cc(CN3CCN(C)CCN(C)CC3)ccn2)C1(C)C</v>
      </c>
      <c r="C1102" s="7">
        <f>IFERROR(__xludf.DUMMYFUNCTION("""COMPUTED_VALUE"""),7.8201423)</f>
        <v>7.8201423</v>
      </c>
      <c r="D1102" s="7">
        <f>IFERROR(__xludf.DUMMYFUNCTION("""COMPUTED_VALUE"""),0.407407407407407)</f>
        <v>0.4074074074</v>
      </c>
    </row>
    <row r="1103">
      <c r="A1103" s="10" t="s">
        <v>2542</v>
      </c>
      <c r="B1103" s="7" t="str">
        <f>IFERROR(__xludf.DUMMYFUNCTION("SPLIT(A1103,"" "")"),"CNC1CCCCC1N(Cc1ccccn1)Cc1cc(-c2ccc3c(c2)OCCOCCOCCOCCOCCO3)ccn1")</f>
        <v>CNC1CCCCC1N(Cc1ccccn1)Cc1cc(-c2ccc3c(c2)OCCOCCOCCOCCOCCO3)ccn1</v>
      </c>
      <c r="C1103" s="7">
        <f>IFERROR(__xludf.DUMMYFUNCTION("""COMPUTED_VALUE"""),7.820141)</f>
        <v>7.820141</v>
      </c>
      <c r="D1103" s="7">
        <f>IFERROR(__xludf.DUMMYFUNCTION("""COMPUTED_VALUE"""),0.403225806451612)</f>
        <v>0.4032258065</v>
      </c>
    </row>
    <row r="1104">
      <c r="A1104" s="10" t="s">
        <v>2543</v>
      </c>
      <c r="B1104" s="7" t="str">
        <f>IFERROR(__xludf.DUMMYFUNCTION("SPLIT(A1104,"" "")"),"COC(=O)N1CCN(C)CCN(C(=O)C(C)NCc2ccccn2)CC1")</f>
        <v>COC(=O)N1CCN(C)CCN(C(=O)C(C)NCc2ccccn2)CC1</v>
      </c>
      <c r="C1104" s="7">
        <f>IFERROR(__xludf.DUMMYFUNCTION("""COMPUTED_VALUE"""),7.8201346)</f>
        <v>7.8201346</v>
      </c>
      <c r="D1104" s="7">
        <f>IFERROR(__xludf.DUMMYFUNCTION("""COMPUTED_VALUE"""),0.423076923076923)</f>
        <v>0.4230769231</v>
      </c>
    </row>
    <row r="1105">
      <c r="A1105" s="10" t="s">
        <v>2544</v>
      </c>
      <c r="B1105" s="7" t="str">
        <f>IFERROR(__xludf.DUMMYFUNCTION("SPLIT(A1105,"" "")"),"COC(C)NCc1ncc(CN2CCN(C)CCN(C)CC2)cc1C")</f>
        <v>COC(C)NCc1ncc(CN2CCN(C)CCN(C)CC2)cc1C</v>
      </c>
      <c r="C1105" s="7">
        <f>IFERROR(__xludf.DUMMYFUNCTION("""COMPUTED_VALUE"""),7.820121)</f>
        <v>7.820121</v>
      </c>
      <c r="D1105" s="7">
        <f>IFERROR(__xludf.DUMMYFUNCTION("""COMPUTED_VALUE"""),0.452830188679245)</f>
        <v>0.4528301887</v>
      </c>
    </row>
    <row r="1106">
      <c r="A1106" s="10" t="s">
        <v>2545</v>
      </c>
      <c r="B1106" s="7" t="str">
        <f>IFERROR(__xludf.DUMMYFUNCTION("SPLIT(A1106,"" "")"),"Cc1cccnc1CN1CCN(C)CCN(Cc2cccnc2C)CC1")</f>
        <v>Cc1cccnc1CN1CCN(C)CCN(Cc2cccnc2C)CC1</v>
      </c>
      <c r="C1106" s="7">
        <f>IFERROR(__xludf.DUMMYFUNCTION("""COMPUTED_VALUE"""),7.8201137)</f>
        <v>7.8201137</v>
      </c>
      <c r="D1106" s="7">
        <f>IFERROR(__xludf.DUMMYFUNCTION("""COMPUTED_VALUE"""),0.477272727272727)</f>
        <v>0.4772727273</v>
      </c>
    </row>
    <row r="1107">
      <c r="A1107" s="10" t="s">
        <v>2546</v>
      </c>
      <c r="B1107" s="7" t="str">
        <f>IFERROR(__xludf.DUMMYFUNCTION("SPLIT(A1107,"" "")"),"Cc1cncc(CN(Cc2ccccn2)C2CCCCC2)c1")</f>
        <v>Cc1cncc(CN(Cc2ccccn2)C2CCCCC2)c1</v>
      </c>
      <c r="C1107" s="7">
        <f>IFERROR(__xludf.DUMMYFUNCTION("""COMPUTED_VALUE"""),7.820065)</f>
        <v>7.820065</v>
      </c>
      <c r="D1107" s="7">
        <f>IFERROR(__xludf.DUMMYFUNCTION("""COMPUTED_VALUE"""),0.46)</f>
        <v>0.46</v>
      </c>
    </row>
    <row r="1108">
      <c r="A1108" s="10" t="s">
        <v>2547</v>
      </c>
      <c r="B1108" s="7" t="str">
        <f>IFERROR(__xludf.DUMMYFUNCTION("SPLIT(A1108,"" "")"),"CNCc1cc(CN(Cc2ncccc2C)C2CCC(N(C)C(C)C)CC2)ccn1")</f>
        <v>CNCc1cc(CN(Cc2ncccc2C)C2CCC(N(C)C(C)C)CC2)ccn1</v>
      </c>
      <c r="C1108" s="7">
        <f>IFERROR(__xludf.DUMMYFUNCTION("""COMPUTED_VALUE"""),7.820056)</f>
        <v>7.820056</v>
      </c>
      <c r="D1108" s="7">
        <f>IFERROR(__xludf.DUMMYFUNCTION("""COMPUTED_VALUE"""),0.28125)</f>
        <v>0.28125</v>
      </c>
    </row>
    <row r="1109">
      <c r="A1109" s="10" t="s">
        <v>2548</v>
      </c>
      <c r="B1109" s="7" t="str">
        <f>IFERROR(__xludf.DUMMYFUNCTION("SPLIT(A1109,"" "")"),"Cc1ccc(CN(C)CC2CCCN2C2C=CC=CN2)nc1")</f>
        <v>Cc1ccc(CN(C)CC2CCCN2C2C=CC=CN2)nc1</v>
      </c>
      <c r="C1109" s="7">
        <f>IFERROR(__xludf.DUMMYFUNCTION("""COMPUTED_VALUE"""),7.820027)</f>
        <v>7.820027</v>
      </c>
      <c r="D1109" s="7">
        <f>IFERROR(__xludf.DUMMYFUNCTION("""COMPUTED_VALUE"""),0.428571428571428)</f>
        <v>0.4285714286</v>
      </c>
    </row>
    <row r="1110">
      <c r="A1110" s="10" t="s">
        <v>2549</v>
      </c>
      <c r="B1110" s="7" t="str">
        <f>IFERROR(__xludf.DUMMYFUNCTION("SPLIT(A1110,"" "")"),"CCCN(Cc1ccccn1)C1CCCC(N(C)Cc2ncccc2C)C1")</f>
        <v>CCCN(Cc1ccccn1)C1CCCC(N(C)Cc2ncccc2C)C1</v>
      </c>
      <c r="C1110" s="7">
        <f>IFERROR(__xludf.DUMMYFUNCTION("""COMPUTED_VALUE"""),7.8200145)</f>
        <v>7.8200145</v>
      </c>
      <c r="D1110" s="7">
        <f>IFERROR(__xludf.DUMMYFUNCTION("""COMPUTED_VALUE"""),0.444444444444444)</f>
        <v>0.4444444444</v>
      </c>
    </row>
    <row r="1111">
      <c r="A1111" s="10" t="s">
        <v>2550</v>
      </c>
      <c r="B1111" s="7" t="str">
        <f>IFERROR(__xludf.DUMMYFUNCTION("SPLIT(A1111,"" "")"),"Cc1cccnc1CN(C)CCN(Cc1ccccn1)C(C)(N)c1ccc2c(c1)OCCOCCOCCOCCOCCO2")</f>
        <v>Cc1cccnc1CN(C)CCN(Cc1ccccn1)C(C)(N)c1ccc2c(c1)OCCOCCOCCOCCOCCO2</v>
      </c>
      <c r="C1111" s="7">
        <f>IFERROR(__xludf.DUMMYFUNCTION("""COMPUTED_VALUE"""),7.8200035)</f>
        <v>7.8200035</v>
      </c>
      <c r="D1111" s="7">
        <f>IFERROR(__xludf.DUMMYFUNCTION("""COMPUTED_VALUE"""),0.308823529411764)</f>
        <v>0.3088235294</v>
      </c>
    </row>
    <row r="1112">
      <c r="A1112" s="10" t="s">
        <v>2551</v>
      </c>
      <c r="B1112" s="7" t="str">
        <f>IFERROR(__xludf.DUMMYFUNCTION("SPLIT(A1112,"" "")"),"c1ccc(CN(Cc2cccc(-c3ccc4c(c3)OCCOCCOCCOCCOCCO4)n2)C2COCCOCCOc3ccccc3OCCOCCO2)nc1")</f>
        <v>c1ccc(CN(Cc2cccc(-c3ccc4c(c3)OCCOCCOCCOCCOCCO4)n2)C2COCCOCCOc3ccccc3OCCOCCO2)nc1</v>
      </c>
      <c r="C1112" s="7">
        <f>IFERROR(__xludf.DUMMYFUNCTION("""COMPUTED_VALUE"""),7.8199906)</f>
        <v>7.8199906</v>
      </c>
      <c r="D1112" s="7">
        <f>IFERROR(__xludf.DUMMYFUNCTION("""COMPUTED_VALUE"""),0.397058823529411)</f>
        <v>0.3970588235</v>
      </c>
    </row>
    <row r="1113">
      <c r="A1113" s="10" t="s">
        <v>2552</v>
      </c>
      <c r="B1113" s="7" t="str">
        <f>IFERROR(__xludf.DUMMYFUNCTION("SPLIT(A1113,"" "")"),"C=CCN(C)CCN(C)Cc1ccc(-c2cccc3c2OCCOCCOCCOCCOCCO3)nc1")</f>
        <v>C=CCN(C)CCN(C)Cc1ccc(-c2cccc3c2OCCOCCOCCOCCOCCO3)nc1</v>
      </c>
      <c r="C1113" s="7">
        <f>IFERROR(__xludf.DUMMYFUNCTION("""COMPUTED_VALUE"""),7.8199873)</f>
        <v>7.8199873</v>
      </c>
      <c r="D1113" s="7">
        <f>IFERROR(__xludf.DUMMYFUNCTION("""COMPUTED_VALUE"""),0.277777777777777)</f>
        <v>0.2777777778</v>
      </c>
    </row>
    <row r="1114">
      <c r="A1114" s="10" t="s">
        <v>2553</v>
      </c>
      <c r="B1114" s="7" t="str">
        <f>IFERROR(__xludf.DUMMYFUNCTION("SPLIT(A1114,"" "")"),"Cc1cc(CN(C)C(C)C)cnc1CN1CCN(C)CCN(C)CC1")</f>
        <v>Cc1cc(CN(C)C(C)C)cnc1CN1CCN(C)CCN(C)CC1</v>
      </c>
      <c r="C1114" s="7">
        <f>IFERROR(__xludf.DUMMYFUNCTION("""COMPUTED_VALUE"""),7.819956)</f>
        <v>7.819956</v>
      </c>
      <c r="D1114" s="7">
        <f>IFERROR(__xludf.DUMMYFUNCTION("""COMPUTED_VALUE"""),0.450980392156862)</f>
        <v>0.4509803922</v>
      </c>
    </row>
    <row r="1115">
      <c r="A1115" s="10" t="s">
        <v>2554</v>
      </c>
      <c r="B1115" s="7" t="str">
        <f>IFERROR(__xludf.DUMMYFUNCTION("SPLIT(A1115,"" "")"),"Cc1cnc(CN(C)CCN2CCN(C)CCN(C)CC2)c(C)c1C")</f>
        <v>Cc1cnc(CN(C)CCN2CCN(C)CCN(C)CC2)c(C)c1C</v>
      </c>
      <c r="C1115" s="7">
        <f>IFERROR(__xludf.DUMMYFUNCTION("""COMPUTED_VALUE"""),7.81995)</f>
        <v>7.81995</v>
      </c>
      <c r="D1115" s="7">
        <f>IFERROR(__xludf.DUMMYFUNCTION("""COMPUTED_VALUE"""),0.468085106382978)</f>
        <v>0.4680851064</v>
      </c>
    </row>
    <row r="1116">
      <c r="A1116" s="10" t="s">
        <v>2555</v>
      </c>
      <c r="B1116" s="7" t="str">
        <f>IFERROR(__xludf.DUMMYFUNCTION("SPLIT(A1116,"" "")"),"CC1CC(NCc2ccccn2)C1")</f>
        <v>CC1CC(NCc2ccccn2)C1</v>
      </c>
      <c r="C1116" s="7">
        <f>IFERROR(__xludf.DUMMYFUNCTION("""COMPUTED_VALUE"""),7.819941)</f>
        <v>7.819941</v>
      </c>
      <c r="D1116" s="7">
        <f>IFERROR(__xludf.DUMMYFUNCTION("""COMPUTED_VALUE"""),0.485714285714285)</f>
        <v>0.4857142857</v>
      </c>
    </row>
    <row r="1117">
      <c r="A1117" s="10" t="s">
        <v>2556</v>
      </c>
      <c r="B1117" s="7" t="str">
        <f>IFERROR(__xludf.DUMMYFUNCTION("SPLIT(A1117,"" "")"),"CC1C=C(Cl)CC(C)(C)C1N")</f>
        <v>CC1C=C(Cl)CC(C)(C)C1N</v>
      </c>
      <c r="C1117" s="7">
        <f>IFERROR(__xludf.DUMMYFUNCTION("""COMPUTED_VALUE"""),7.8199134)</f>
        <v>7.8199134</v>
      </c>
      <c r="D1117" s="7">
        <f>IFERROR(__xludf.DUMMYFUNCTION("""COMPUTED_VALUE"""),0.136363636363636)</f>
        <v>0.1363636364</v>
      </c>
    </row>
    <row r="1118">
      <c r="A1118" s="10" t="s">
        <v>2557</v>
      </c>
      <c r="B1118" s="7" t="str">
        <f>IFERROR(__xludf.DUMMYFUNCTION("SPLIT(A1118,"" "")"),"CC(C)N(C)Cc1cccnc1CN(C)C1CCC(N(C)Cc2ccccn2)CC1")</f>
        <v>CC(C)N(C)Cc1cccnc1CN(C)C1CCC(N(C)Cc2ccccn2)CC1</v>
      </c>
      <c r="C1118" s="7">
        <f>IFERROR(__xludf.DUMMYFUNCTION("""COMPUTED_VALUE"""),7.819888)</f>
        <v>7.819888</v>
      </c>
      <c r="D1118" s="7">
        <f>IFERROR(__xludf.DUMMYFUNCTION("""COMPUTED_VALUE"""),0.489795918367346)</f>
        <v>0.4897959184</v>
      </c>
    </row>
    <row r="1119">
      <c r="A1119" s="10" t="s">
        <v>2558</v>
      </c>
      <c r="B1119" s="7" t="str">
        <f>IFERROR(__xludf.DUMMYFUNCTION("SPLIT(A1119,"" "")"),"CC(N)C(C)N(C)Cc1ccc(-c2cccc3c2OCCOCCOCCOCCOCCO3)cn1")</f>
        <v>CC(N)C(C)N(C)Cc1ccc(-c2cccc3c2OCCOCCOCCOCCOCCO3)cn1</v>
      </c>
      <c r="C1119" s="7">
        <f>IFERROR(__xludf.DUMMYFUNCTION("""COMPUTED_VALUE"""),7.819882)</f>
        <v>7.819882</v>
      </c>
      <c r="D1119" s="7">
        <f>IFERROR(__xludf.DUMMYFUNCTION("""COMPUTED_VALUE"""),0.323943661971831)</f>
        <v>0.323943662</v>
      </c>
    </row>
    <row r="1120">
      <c r="A1120" s="10" t="s">
        <v>2559</v>
      </c>
      <c r="B1120" s="7" t="str">
        <f>IFERROR(__xludf.DUMMYFUNCTION("SPLIT(A1120,"" "")"),"CN(CCN)Cc1ncccc1-c1cccc2c1OCCOCCOCCOCCOCCO2")</f>
        <v>CN(CCN)Cc1ncccc1-c1cccc2c1OCCOCCOCCOCCOCCO2</v>
      </c>
      <c r="C1120" s="7">
        <f>IFERROR(__xludf.DUMMYFUNCTION("""COMPUTED_VALUE"""),7.819878)</f>
        <v>7.819878</v>
      </c>
      <c r="D1120" s="7">
        <f>IFERROR(__xludf.DUMMYFUNCTION("""COMPUTED_VALUE"""),0.31578947368421)</f>
        <v>0.3157894737</v>
      </c>
    </row>
    <row r="1121">
      <c r="A1121" s="10" t="s">
        <v>2560</v>
      </c>
      <c r="B1121" s="7" t="str">
        <f>IFERROR(__xludf.DUMMYFUNCTION("SPLIT(A1121,"" "")"),"CC(C)N(C(C)C)C1CCCC(N(C)C)C1")</f>
        <v>CC(C)N(C(C)C)C1CCCC(N(C)C)C1</v>
      </c>
      <c r="C1121" s="7">
        <f>IFERROR(__xludf.DUMMYFUNCTION("""COMPUTED_VALUE"""),7.819859)</f>
        <v>7.819859</v>
      </c>
      <c r="D1121" s="7">
        <f>IFERROR(__xludf.DUMMYFUNCTION("""COMPUTED_VALUE"""),0.17391304347826)</f>
        <v>0.1739130435</v>
      </c>
    </row>
    <row r="1122">
      <c r="A1122" s="10" t="s">
        <v>2561</v>
      </c>
      <c r="B1122" s="7" t="str">
        <f>IFERROR(__xludf.DUMMYFUNCTION("SPLIT(A1122,"" "")"),"CC(N)C(C)(CN(Cc1ccccn1)Cc1ccccn1)N(Cc1ccccn1)Cc1cccc2c1OCCOCCOCCOCCOCCO2")</f>
        <v>CC(N)C(C)(CN(Cc1ccccn1)Cc1ccccn1)N(Cc1ccccn1)Cc1cccc2c1OCCOCCOCCOCCOCCO2</v>
      </c>
      <c r="C1122" s="7">
        <f>IFERROR(__xludf.DUMMYFUNCTION("""COMPUTED_VALUE"""),7.819824)</f>
        <v>7.819824</v>
      </c>
      <c r="D1122" s="7">
        <f>IFERROR(__xludf.DUMMYFUNCTION("""COMPUTED_VALUE"""),0.377049180327868)</f>
        <v>0.3770491803</v>
      </c>
    </row>
    <row r="1123">
      <c r="A1123" s="10" t="s">
        <v>2562</v>
      </c>
      <c r="B1123" s="7" t="str">
        <f>IFERROR(__xludf.DUMMYFUNCTION("SPLIT(A1123,"" "")"),"CC1C=CC2(CC1C)C(C)C=CC(N(Cc1ccccn1)C(C)C)C2(C)C")</f>
        <v>CC1C=CC2(CC1C)C(C)C=CC(N(Cc1ccccn1)C(C)C)C2(C)C</v>
      </c>
      <c r="C1123" s="7">
        <f>IFERROR(__xludf.DUMMYFUNCTION("""COMPUTED_VALUE"""),7.8198223)</f>
        <v>7.8198223</v>
      </c>
      <c r="D1123" s="7">
        <f>IFERROR(__xludf.DUMMYFUNCTION("""COMPUTED_VALUE"""),0.375)</f>
        <v>0.375</v>
      </c>
    </row>
    <row r="1124">
      <c r="A1124" s="10" t="s">
        <v>2563</v>
      </c>
      <c r="B1124" s="7" t="str">
        <f>IFERROR(__xludf.DUMMYFUNCTION("SPLIT(A1124,"" "")"),"CC1=CCC=CN1")</f>
        <v>CC1=CCC=CN1</v>
      </c>
      <c r="C1124" s="7">
        <f>IFERROR(__xludf.DUMMYFUNCTION("""COMPUTED_VALUE"""),7.8198185)</f>
        <v>7.8198185</v>
      </c>
      <c r="D1124" s="7">
        <f>IFERROR(__xludf.DUMMYFUNCTION("""COMPUTED_VALUE"""),0.292682926829268)</f>
        <v>0.2926829268</v>
      </c>
    </row>
    <row r="1125">
      <c r="A1125" s="10" t="s">
        <v>2564</v>
      </c>
      <c r="B1125" s="7" t="str">
        <f>IFERROR(__xludf.DUMMYFUNCTION("SPLIT(A1125,"" "")"),"CNC1CCCC(N(C)Cc2ncc(C)cc2C)C1")</f>
        <v>CNC1CCCC(N(C)Cc2ncc(C)cc2C)C1</v>
      </c>
      <c r="C1125" s="7">
        <f>IFERROR(__xludf.DUMMYFUNCTION("""COMPUTED_VALUE"""),7.819808)</f>
        <v>7.819808</v>
      </c>
      <c r="D1125" s="7">
        <f>IFERROR(__xludf.DUMMYFUNCTION("""COMPUTED_VALUE"""),0.339622641509433)</f>
        <v>0.3396226415</v>
      </c>
    </row>
    <row r="1126">
      <c r="A1126" s="10" t="s">
        <v>2565</v>
      </c>
      <c r="B1126" s="7" t="str">
        <f>IFERROR(__xludf.DUMMYFUNCTION("SPLIT(A1126,"" "")"),"CN(Cc1cccc(-c2ccc3c(c2)OCCOCCOCCOCCOCCO3)n1)C1CCCCC1NCc1cccc(-c2ccc3c(c2)OCCOCCOCCOCCOCCO3)n1")</f>
        <v>CN(Cc1cccc(-c2ccc3c(c2)OCCOCCOCCOCCOCCO3)n1)C1CCCCC1NCc1cccc(-c2ccc3c(c2)OCCOCCOCCOCCOCCO3)n1</v>
      </c>
      <c r="C1126" s="7">
        <f>IFERROR(__xludf.DUMMYFUNCTION("""COMPUTED_VALUE"""),7.819805)</f>
        <v>7.819805</v>
      </c>
      <c r="D1126" s="7">
        <f>IFERROR(__xludf.DUMMYFUNCTION("""COMPUTED_VALUE"""),0.40983606557377)</f>
        <v>0.4098360656</v>
      </c>
    </row>
    <row r="1127">
      <c r="A1127" s="10" t="s">
        <v>2566</v>
      </c>
      <c r="B1127" s="7" t="str">
        <f>IFERROR(__xludf.DUMMYFUNCTION("SPLIT(A1127,"" "")"),"COC(=O)C(=O)C(C)CNCc1ncccc1CN1CCN(C)CCN(C)CC1")</f>
        <v>COC(=O)C(=O)C(C)CNCc1ncccc1CN1CCN(C)CCN(C)CC1</v>
      </c>
      <c r="C1127" s="7">
        <f>IFERROR(__xludf.DUMMYFUNCTION("""COMPUTED_VALUE"""),7.819758)</f>
        <v>7.819758</v>
      </c>
      <c r="D1127" s="7">
        <f>IFERROR(__xludf.DUMMYFUNCTION("""COMPUTED_VALUE"""),0.368421052631578)</f>
        <v>0.3684210526</v>
      </c>
    </row>
    <row r="1128">
      <c r="A1128" s="10" t="s">
        <v>2567</v>
      </c>
      <c r="B1128" s="7" t="str">
        <f>IFERROR(__xludf.DUMMYFUNCTION("SPLIT(A1128,"" "")"),"CC1=CCC(N(C)Cc2ccccn2)C(C)(C)C1C")</f>
        <v>CC1=CCC(N(C)Cc2ccccn2)C(C)(C)C1C</v>
      </c>
      <c r="C1128" s="7">
        <f>IFERROR(__xludf.DUMMYFUNCTION("""COMPUTED_VALUE"""),7.8197412)</f>
        <v>7.8197412</v>
      </c>
      <c r="D1128" s="7">
        <f>IFERROR(__xludf.DUMMYFUNCTION("""COMPUTED_VALUE"""),0.489361702127659)</f>
        <v>0.4893617021</v>
      </c>
    </row>
    <row r="1129">
      <c r="A1129" s="10" t="s">
        <v>2568</v>
      </c>
      <c r="B1129" s="7" t="str">
        <f>IFERROR(__xludf.DUMMYFUNCTION("SPLIT(A1129,"" "")"),"CC(C)N(C)C1=CNC(N(C)CN2CCN(C)CCN(C)CC2)=CC1")</f>
        <v>CC(C)N(C)C1=CNC(N(C)CN2CCN(C)CCN(C)CC2)=CC1</v>
      </c>
      <c r="C1129" s="7">
        <f>IFERROR(__xludf.DUMMYFUNCTION("""COMPUTED_VALUE"""),7.8197265)</f>
        <v>7.8197265</v>
      </c>
      <c r="D1129" s="7">
        <f>IFERROR(__xludf.DUMMYFUNCTION("""COMPUTED_VALUE"""),0.303571428571428)</f>
        <v>0.3035714286</v>
      </c>
    </row>
    <row r="1130">
      <c r="A1130" s="10" t="s">
        <v>2569</v>
      </c>
      <c r="B1130" s="7" t="str">
        <f>IFERROR(__xludf.DUMMYFUNCTION("SPLIT(A1130,"" "")"),"CNC1CCCC(N(C)Cc2cc(C)cc(C)n2)C1")</f>
        <v>CNC1CCCC(N(C)Cc2cc(C)cc(C)n2)C1</v>
      </c>
      <c r="C1130" s="7">
        <f>IFERROR(__xludf.DUMMYFUNCTION("""COMPUTED_VALUE"""),7.819723)</f>
        <v>7.819723</v>
      </c>
      <c r="D1130" s="7">
        <f>IFERROR(__xludf.DUMMYFUNCTION("""COMPUTED_VALUE"""),0.372549019607843)</f>
        <v>0.3725490196</v>
      </c>
    </row>
    <row r="1131">
      <c r="A1131" s="10" t="s">
        <v>2570</v>
      </c>
      <c r="B1131" s="7" t="str">
        <f>IFERROR(__xludf.DUMMYFUNCTION("SPLIT(A1131,"" "")"),"CNCN(Cc1ccccn1)C1CCC(N(C)Cc2cccc(C)n2)CC1")</f>
        <v>CNCN(Cc1ccccn1)C1CCC(N(C)Cc2cccc(C)n2)CC1</v>
      </c>
      <c r="C1131" s="7">
        <f>IFERROR(__xludf.DUMMYFUNCTION("""COMPUTED_VALUE"""),7.819691)</f>
        <v>7.819691</v>
      </c>
      <c r="D1131" s="7">
        <f>IFERROR(__xludf.DUMMYFUNCTION("""COMPUTED_VALUE"""),0.48076923076923)</f>
        <v>0.4807692308</v>
      </c>
    </row>
    <row r="1132">
      <c r="A1132" s="10" t="s">
        <v>2571</v>
      </c>
      <c r="B1132" s="7" t="str">
        <f>IFERROR(__xludf.DUMMYFUNCTION("SPLIT(A1132,"" "")"),"CN(CCN)CCN(C)Cc1cccnc1")</f>
        <v>CN(CCN)CCN(C)Cc1cccnc1</v>
      </c>
      <c r="C1132" s="7">
        <f>IFERROR(__xludf.DUMMYFUNCTION("""COMPUTED_VALUE"""),7.819686)</f>
        <v>7.819686</v>
      </c>
      <c r="D1132" s="7">
        <f>IFERROR(__xludf.DUMMYFUNCTION("""COMPUTED_VALUE"""),0.4)</f>
        <v>0.4</v>
      </c>
    </row>
    <row r="1133">
      <c r="A1133" s="10" t="s">
        <v>2572</v>
      </c>
      <c r="B1133" s="7" t="str">
        <f>IFERROR(__xludf.DUMMYFUNCTION("SPLIT(A1133,"" "")"),"CN(CCF)CCN(C)C(C)(C)c1ccccn1")</f>
        <v>CN(CCF)CCN(C)C(C)(C)c1ccccn1</v>
      </c>
      <c r="C1133" s="7">
        <f>IFERROR(__xludf.DUMMYFUNCTION("""COMPUTED_VALUE"""),7.819684)</f>
        <v>7.819684</v>
      </c>
      <c r="D1133" s="7">
        <f>IFERROR(__xludf.DUMMYFUNCTION("""COMPUTED_VALUE"""),0.347826086956521)</f>
        <v>0.347826087</v>
      </c>
    </row>
    <row r="1134">
      <c r="A1134" s="10" t="s">
        <v>2573</v>
      </c>
      <c r="B1134" s="7" t="str">
        <f>IFERROR(__xludf.DUMMYFUNCTION("SPLIT(A1134,"" "")"),"CCNCC(C)(C)N(C)Cc1ccccn1")</f>
        <v>CCNCC(C)(C)N(C)Cc1ccccn1</v>
      </c>
      <c r="C1134" s="7">
        <f>IFERROR(__xludf.DUMMYFUNCTION("""COMPUTED_VALUE"""),7.8196745)</f>
        <v>7.8196745</v>
      </c>
      <c r="D1134" s="7">
        <f>IFERROR(__xludf.DUMMYFUNCTION("""COMPUTED_VALUE"""),0.465116279069767)</f>
        <v>0.4651162791</v>
      </c>
    </row>
    <row r="1135">
      <c r="A1135" s="10" t="s">
        <v>2574</v>
      </c>
      <c r="B1135" s="7" t="str">
        <f>IFERROR(__xludf.DUMMYFUNCTION("SPLIT(A1135,"" "")"),"C=CCN(C)CCN(C)Cc1cccnc1-c1ccc2c(c1)OCCOCCOCCOCCOCCO2")</f>
        <v>C=CCN(C)CCN(C)Cc1cccnc1-c1ccc2c(c1)OCCOCCOCCOCCOCCO2</v>
      </c>
      <c r="C1135" s="7">
        <f>IFERROR(__xludf.DUMMYFUNCTION("""COMPUTED_VALUE"""),7.8196645)</f>
        <v>7.8196645</v>
      </c>
      <c r="D1135" s="7">
        <f>IFERROR(__xludf.DUMMYFUNCTION("""COMPUTED_VALUE"""),0.35593220338983)</f>
        <v>0.3559322034</v>
      </c>
    </row>
    <row r="1136">
      <c r="A1136" s="10" t="s">
        <v>2575</v>
      </c>
      <c r="B1136" s="7" t="str">
        <f>IFERROR(__xludf.DUMMYFUNCTION("SPLIT(A1136,"" "")"),"Cc1ccc(CN2CCN(C)CCN(Cc3ncccc3C)CC2)cn1")</f>
        <v>Cc1ccc(CN2CCN(C)CCN(Cc3ncccc3C)CC2)cn1</v>
      </c>
      <c r="C1136" s="7">
        <f>IFERROR(__xludf.DUMMYFUNCTION("""COMPUTED_VALUE"""),7.8196497)</f>
        <v>7.8196497</v>
      </c>
      <c r="D1136" s="7">
        <f>IFERROR(__xludf.DUMMYFUNCTION("""COMPUTED_VALUE"""),0.456521739130434)</f>
        <v>0.4565217391</v>
      </c>
    </row>
    <row r="1137">
      <c r="A1137" s="10" t="s">
        <v>2576</v>
      </c>
      <c r="B1137" s="7" t="str">
        <f>IFERROR(__xludf.DUMMYFUNCTION("SPLIT(A1137,"" "")"),"CC(NCc1cccc(CN2CCN(C)CCN(C)CC2)n1)C(C)c1cccc(C2CCC2(C)C)n1")</f>
        <v>CC(NCc1cccc(CN2CCN(C)CCN(C)CC2)n1)C(C)c1cccc(C2CCC2(C)C)n1</v>
      </c>
      <c r="C1137" s="7">
        <f>IFERROR(__xludf.DUMMYFUNCTION("""COMPUTED_VALUE"""),7.8196297)</f>
        <v>7.8196297</v>
      </c>
      <c r="D1137" s="7">
        <f>IFERROR(__xludf.DUMMYFUNCTION("""COMPUTED_VALUE"""),0.423728813559322)</f>
        <v>0.4237288136</v>
      </c>
    </row>
    <row r="1138">
      <c r="A1138" s="10" t="s">
        <v>2577</v>
      </c>
      <c r="B1138" s="7" t="str">
        <f>IFERROR(__xludf.DUMMYFUNCTION("SPLIT(A1138,"" "")"),"C=CCN(C)CCN(C)Cc1ccc(-c2ccc3c(c2)OCCOCCOCCOCCOCCO3)nc1")</f>
        <v>C=CCN(C)CCN(C)Cc1ccc(-c2ccc3c(c2)OCCOCCOCCOCCOCCO3)nc1</v>
      </c>
      <c r="C1138" s="7">
        <f>IFERROR(__xludf.DUMMYFUNCTION("""COMPUTED_VALUE"""),7.8196115)</f>
        <v>7.8196115</v>
      </c>
      <c r="D1138" s="7">
        <f>IFERROR(__xludf.DUMMYFUNCTION("""COMPUTED_VALUE"""),0.342857142857142)</f>
        <v>0.3428571429</v>
      </c>
    </row>
    <row r="1139">
      <c r="A1139" s="10" t="s">
        <v>2578</v>
      </c>
      <c r="B1139" s="7" t="str">
        <f>IFERROR(__xludf.DUMMYFUNCTION("SPLIT(A1139,"" "")"),"CC1C=CCC(C)C1(C)c1ncccc1CN(Cc1ccccn1)C1CCCCC1")</f>
        <v>CC1C=CCC(C)C1(C)c1ncccc1CN(Cc1ccccn1)C1CCCCC1</v>
      </c>
      <c r="C1139" s="7">
        <f>IFERROR(__xludf.DUMMYFUNCTION("""COMPUTED_VALUE"""),7.8195877)</f>
        <v>7.8195877</v>
      </c>
      <c r="D1139" s="7">
        <f>IFERROR(__xludf.DUMMYFUNCTION("""COMPUTED_VALUE"""),0.383333333333333)</f>
        <v>0.3833333333</v>
      </c>
    </row>
    <row r="1140">
      <c r="A1140" s="10" t="s">
        <v>2579</v>
      </c>
      <c r="B1140" s="7" t="str">
        <f>IFERROR(__xludf.DUMMYFUNCTION("SPLIT(A1140,"" "")"),"CC(C)C(C)N(C)CC1=CCC=CN1")</f>
        <v>CC(C)C(C)N(C)CC1=CCC=CN1</v>
      </c>
      <c r="C1140" s="7">
        <f>IFERROR(__xludf.DUMMYFUNCTION("""COMPUTED_VALUE"""),7.8195853)</f>
        <v>7.8195853</v>
      </c>
      <c r="D1140" s="7">
        <f>IFERROR(__xludf.DUMMYFUNCTION("""COMPUTED_VALUE"""),0.413043478260869)</f>
        <v>0.4130434783</v>
      </c>
    </row>
    <row r="1141">
      <c r="A1141" s="10" t="s">
        <v>2580</v>
      </c>
      <c r="B1141" s="7" t="str">
        <f>IFERROR(__xludf.DUMMYFUNCTION("SPLIT(A1141,"" "")"),"CCC1(C)CC(c2cccc(CN(Cc3ccccn3)C3CCCCC3)n2)C1")</f>
        <v>CCC1(C)CC(c2cccc(CN(Cc3ccccn3)C3CCCCC3)n2)C1</v>
      </c>
      <c r="C1141" s="7">
        <f>IFERROR(__xludf.DUMMYFUNCTION("""COMPUTED_VALUE"""),7.819569)</f>
        <v>7.819569</v>
      </c>
      <c r="D1141" s="7">
        <f>IFERROR(__xludf.DUMMYFUNCTION("""COMPUTED_VALUE"""),0.418181818181818)</f>
        <v>0.4181818182</v>
      </c>
    </row>
    <row r="1142">
      <c r="A1142" s="10" t="s">
        <v>2581</v>
      </c>
      <c r="B1142" s="7" t="str">
        <f>IFERROR(__xludf.DUMMYFUNCTION("SPLIT(A1142,"" "")"),"CC1C=CCC(C)C1(C)c1cccc(CN(Cc2ccccn2)C2CCCCC2)n1")</f>
        <v>CC1C=CCC(C)C1(C)c1cccc(CN(Cc2ccccn2)C2CCCCC2)n1</v>
      </c>
      <c r="C1142" s="7">
        <f>IFERROR(__xludf.DUMMYFUNCTION("""COMPUTED_VALUE"""),7.8194866)</f>
        <v>7.8194866</v>
      </c>
      <c r="D1142" s="7">
        <f>IFERROR(__xludf.DUMMYFUNCTION("""COMPUTED_VALUE"""),0.389830508474576)</f>
        <v>0.3898305085</v>
      </c>
    </row>
    <row r="1143">
      <c r="A1143" s="10" t="s">
        <v>2582</v>
      </c>
      <c r="B1143" s="7" t="str">
        <f>IFERROR(__xludf.DUMMYFUNCTION("SPLIT(A1143,"" "")"),"CCNCc1cccc(CN(C)C2CCCCC2N(C)Cc2cccc(-c3ccc4c(c3)OCCOCCOCCOCCOCCO4)n2)n1")</f>
        <v>CCNCc1cccc(CN(C)C2CCCCC2N(C)Cc2cccc(-c3ccc4c(c3)OCCOCCOCCOCCOCCO4)n2)n1</v>
      </c>
      <c r="C1143" s="7">
        <f>IFERROR(__xludf.DUMMYFUNCTION("""COMPUTED_VALUE"""),7.8194823)</f>
        <v>7.8194823</v>
      </c>
      <c r="D1143" s="7">
        <f>IFERROR(__xludf.DUMMYFUNCTION("""COMPUTED_VALUE"""),0.419354838709677)</f>
        <v>0.4193548387</v>
      </c>
    </row>
    <row r="1144">
      <c r="A1144" s="10" t="s">
        <v>2583</v>
      </c>
      <c r="B1144" s="7" t="str">
        <f>IFERROR(__xludf.DUMMYFUNCTION("SPLIT(A1144,"" "")"),"CC(C)N(C)c1cncc(CN2CCN(C)CCN(C)CC2)c1")</f>
        <v>CC(C)N(C)c1cncc(CN2CCN(C)CCN(C)CC2)c1</v>
      </c>
      <c r="C1144" s="7">
        <f>IFERROR(__xludf.DUMMYFUNCTION("""COMPUTED_VALUE"""),7.819456)</f>
        <v>7.819456</v>
      </c>
      <c r="D1144" s="7">
        <f>IFERROR(__xludf.DUMMYFUNCTION("""COMPUTED_VALUE"""),0.372549019607843)</f>
        <v>0.3725490196</v>
      </c>
    </row>
    <row r="1145">
      <c r="A1145" s="10" t="s">
        <v>2584</v>
      </c>
      <c r="B1145" s="7" t="str">
        <f>IFERROR(__xludf.DUMMYFUNCTION("SPLIT(A1145,"" "")"),"CC(C)N(C)c1ncccc1CN1CCN(C)CCN(C)CC1")</f>
        <v>CC(C)N(C)c1ncccc1CN1CCN(C)CCN(C)CC1</v>
      </c>
      <c r="C1145" s="7">
        <f>IFERROR(__xludf.DUMMYFUNCTION("""COMPUTED_VALUE"""),7.8194523)</f>
        <v>7.8194523</v>
      </c>
      <c r="D1145" s="7">
        <f>IFERROR(__xludf.DUMMYFUNCTION("""COMPUTED_VALUE"""),0.477272727272727)</f>
        <v>0.4772727273</v>
      </c>
    </row>
    <row r="1146">
      <c r="A1146" s="10" t="s">
        <v>2585</v>
      </c>
      <c r="B1146" s="7" t="str">
        <f>IFERROR(__xludf.DUMMYFUNCTION("SPLIT(A1146,"" "")"),"Cc1c(CN2CCN(C)CCN(C)CC2)nc(NCF)c(C)c1C")</f>
        <v>Cc1c(CN2CCN(C)CCN(C)CC2)nc(NCF)c(C)c1C</v>
      </c>
      <c r="C1146" s="7">
        <f>IFERROR(__xludf.DUMMYFUNCTION("""COMPUTED_VALUE"""),7.8194175)</f>
        <v>7.8194175</v>
      </c>
      <c r="D1146" s="7">
        <f>IFERROR(__xludf.DUMMYFUNCTION("""COMPUTED_VALUE"""),0.387755102040816)</f>
        <v>0.387755102</v>
      </c>
    </row>
    <row r="1147">
      <c r="A1147" s="10" t="s">
        <v>2586</v>
      </c>
      <c r="B1147" s="7" t="str">
        <f>IFERROR(__xludf.DUMMYFUNCTION("SPLIT(A1147,"" "")"),"CCCN(Cc1ccccn1)C1CCCC(N(C)Cc2cccc(C)n2)C1")</f>
        <v>CCCN(Cc1ccccn1)C1CCCC(N(C)Cc2cccc(C)n2)C1</v>
      </c>
      <c r="C1147" s="7">
        <f>IFERROR(__xludf.DUMMYFUNCTION("""COMPUTED_VALUE"""),7.819414)</f>
        <v>7.819414</v>
      </c>
      <c r="D1147" s="7">
        <f>IFERROR(__xludf.DUMMYFUNCTION("""COMPUTED_VALUE"""),0.490566037735849)</f>
        <v>0.4905660377</v>
      </c>
    </row>
    <row r="1148">
      <c r="A1148" s="10" t="s">
        <v>2587</v>
      </c>
      <c r="B1148" s="7" t="str">
        <f>IFERROR(__xludf.DUMMYFUNCTION("SPLIT(A1148,"" "")"),"Cc1ccc(C(C)(C)CN(Cc2ccccn2)Cc2ccccn2)c2c1OCCOCCOCCOCCOCCO2")</f>
        <v>Cc1ccc(C(C)(C)CN(Cc2ccccn2)Cc2ccccn2)c2c1OCCOCCOCCOCCOCCO2</v>
      </c>
      <c r="C1148" s="7">
        <f>IFERROR(__xludf.DUMMYFUNCTION("""COMPUTED_VALUE"""),7.819405)</f>
        <v>7.819405</v>
      </c>
      <c r="D1148" s="7">
        <f>IFERROR(__xludf.DUMMYFUNCTION("""COMPUTED_VALUE"""),0.442307692307692)</f>
        <v>0.4423076923</v>
      </c>
    </row>
    <row r="1149">
      <c r="A1149" s="10" t="s">
        <v>2588</v>
      </c>
      <c r="B1149" s="7" t="str">
        <f>IFERROR(__xludf.DUMMYFUNCTION("SPLIT(A1149,"" "")"),"CN(Cc1ccc2c(c1)OCCOCCOCCOCCOCCO2)C1=CNCC=C1N(Cc1ccccn1)c1ccc2c(c1)OCCOCCOCCOCCOCCO2")</f>
        <v>CN(Cc1ccc2c(c1)OCCOCCOCCOCCOCCO2)C1=CNCC=C1N(Cc1ccccn1)c1ccc2c(c1)OCCOCCOCCOCCOCCO2</v>
      </c>
      <c r="C1149" s="7">
        <f>IFERROR(__xludf.DUMMYFUNCTION("""COMPUTED_VALUE"""),7.8194017)</f>
        <v>7.8194017</v>
      </c>
      <c r="D1149" s="7">
        <f>IFERROR(__xludf.DUMMYFUNCTION("""COMPUTED_VALUE"""),0.313432835820895)</f>
        <v>0.3134328358</v>
      </c>
    </row>
    <row r="1150">
      <c r="A1150" s="10" t="s">
        <v>2589</v>
      </c>
      <c r="B1150" s="7" t="str">
        <f>IFERROR(__xludf.DUMMYFUNCTION("SPLIT(A1150,"" "")"),"CC1C=CC(C)C(N(C)CC2=CCC=CN2)C1C")</f>
        <v>CC1C=CC(C)C(N(C)CC2=CCC=CN2)C1C</v>
      </c>
      <c r="C1150" s="7">
        <f>IFERROR(__xludf.DUMMYFUNCTION("""COMPUTED_VALUE"""),7.819387)</f>
        <v>7.819387</v>
      </c>
      <c r="D1150" s="7">
        <f>IFERROR(__xludf.DUMMYFUNCTION("""COMPUTED_VALUE"""),0.38)</f>
        <v>0.38</v>
      </c>
    </row>
    <row r="1151">
      <c r="A1151" s="10" t="s">
        <v>2590</v>
      </c>
      <c r="B1151" s="7" t="str">
        <f>IFERROR(__xludf.DUMMYFUNCTION("SPLIT(A1151,"" "")"),"FC1=CCC=CN1")</f>
        <v>FC1=CCC=CN1</v>
      </c>
      <c r="C1151" s="7">
        <f>IFERROR(__xludf.DUMMYFUNCTION("""COMPUTED_VALUE"""),7.819359)</f>
        <v>7.819359</v>
      </c>
      <c r="D1151" s="7">
        <f>IFERROR(__xludf.DUMMYFUNCTION("""COMPUTED_VALUE"""),0.292682926829268)</f>
        <v>0.2926829268</v>
      </c>
    </row>
    <row r="1152">
      <c r="A1152" s="10" t="s">
        <v>2591</v>
      </c>
      <c r="B1152" s="7" t="str">
        <f>IFERROR(__xludf.DUMMYFUNCTION("SPLIT(A1152,"" "")"),"CC(c1ccccn1)(c1ccccn1)c1cccc(CNC2COCCOCCOCCOC=COCCO2)n1")</f>
        <v>CC(c1ccccn1)(c1ccccn1)c1cccc(CNC2COCCOCCOCCOC=COCCO2)n1</v>
      </c>
      <c r="C1152" s="7">
        <f>IFERROR(__xludf.DUMMYFUNCTION("""COMPUTED_VALUE"""),7.8193464)</f>
        <v>7.8193464</v>
      </c>
      <c r="D1152" s="7">
        <f>IFERROR(__xludf.DUMMYFUNCTION("""COMPUTED_VALUE"""),0.375)</f>
        <v>0.375</v>
      </c>
    </row>
    <row r="1153">
      <c r="A1153" s="10" t="s">
        <v>2592</v>
      </c>
      <c r="B1153" s="7" t="str">
        <f>IFERROR(__xludf.DUMMYFUNCTION("SPLIT(A1153,"" "")"),"CC1=CNC=CC1c1cc(CN2CCN(C)CCN(C)CC2)ccn1")</f>
        <v>CC1=CNC=CC1c1cc(CN2CCN(C)CCN(C)CC2)ccn1</v>
      </c>
      <c r="C1153" s="7">
        <f>IFERROR(__xludf.DUMMYFUNCTION("""COMPUTED_VALUE"""),7.8193426)</f>
        <v>7.8193426</v>
      </c>
      <c r="D1153" s="7">
        <f>IFERROR(__xludf.DUMMYFUNCTION("""COMPUTED_VALUE"""),0.423076923076923)</f>
        <v>0.4230769231</v>
      </c>
    </row>
    <row r="1154">
      <c r="A1154" s="10" t="s">
        <v>2593</v>
      </c>
      <c r="B1154" s="7" t="str">
        <f>IFERROR(__xludf.DUMMYFUNCTION("SPLIT(A1154,"" "")"),"CN(CCNCc1cccnc1)CCN(C)CCN(C)CCN(C)CCN(C)CCN(C)Cc1ccccn1")</f>
        <v>CN(CCNCc1cccnc1)CCN(C)CCN(C)CCN(C)CCN(C)CCN(C)Cc1ccccn1</v>
      </c>
      <c r="C1154" s="7">
        <f>IFERROR(__xludf.DUMMYFUNCTION("""COMPUTED_VALUE"""),7.819334)</f>
        <v>7.819334</v>
      </c>
      <c r="D1154" s="7">
        <f>IFERROR(__xludf.DUMMYFUNCTION("""COMPUTED_VALUE"""),0.43859649122807)</f>
        <v>0.4385964912</v>
      </c>
    </row>
    <row r="1155">
      <c r="A1155" s="10" t="s">
        <v>2594</v>
      </c>
      <c r="B1155" s="7" t="str">
        <f>IFERROR(__xludf.DUMMYFUNCTION("SPLIT(A1155,"" "")"),"NC1=CC=CNC1")</f>
        <v>NC1=CC=CNC1</v>
      </c>
      <c r="C1155" s="7">
        <f>IFERROR(__xludf.DUMMYFUNCTION("""COMPUTED_VALUE"""),7.8193088)</f>
        <v>7.8193088</v>
      </c>
      <c r="D1155" s="7">
        <f>IFERROR(__xludf.DUMMYFUNCTION("""COMPUTED_VALUE"""),0.113636363636363)</f>
        <v>0.1136363636</v>
      </c>
    </row>
    <row r="1156">
      <c r="A1156" s="10" t="s">
        <v>2595</v>
      </c>
      <c r="B1156" s="7" t="str">
        <f>IFERROR(__xludf.DUMMYFUNCTION("SPLIT(A1156,"" "")"),"NC1=CC=CCN1")</f>
        <v>NC1=CC=CCN1</v>
      </c>
      <c r="C1156" s="7">
        <f>IFERROR(__xludf.DUMMYFUNCTION("""COMPUTED_VALUE"""),7.819305)</f>
        <v>7.819305</v>
      </c>
      <c r="D1156" s="7">
        <f>IFERROR(__xludf.DUMMYFUNCTION("""COMPUTED_VALUE"""),0.127659574468085)</f>
        <v>0.1276595745</v>
      </c>
    </row>
    <row r="1157">
      <c r="A1157" s="10" t="s">
        <v>2596</v>
      </c>
      <c r="B1157" s="7" t="str">
        <f>IFERROR(__xludf.DUMMYFUNCTION("SPLIT(A1157,"" "")"),"CC(C)N(C)C1=C(CN(C)C2CCC(N(C)Cc3cccc(-c4ccc5c(c4)OCCOCCOCCOCCOCCO5)n3)CC2)NC=CC1")</f>
        <v>CC(C)N(C)C1=C(CN(C)C2CCC(N(C)Cc3cccc(-c4ccc5c(c4)OCCOCCOCCOCCOCCO5)n3)CC2)NC=CC1</v>
      </c>
      <c r="C1157" s="7">
        <f>IFERROR(__xludf.DUMMYFUNCTION("""COMPUTED_VALUE"""),7.819282)</f>
        <v>7.819282</v>
      </c>
      <c r="D1157" s="7">
        <f>IFERROR(__xludf.DUMMYFUNCTION("""COMPUTED_VALUE"""),0.301204819277108)</f>
        <v>0.3012048193</v>
      </c>
    </row>
    <row r="1158">
      <c r="A1158" s="10" t="s">
        <v>2597</v>
      </c>
      <c r="B1158" s="7" t="str">
        <f>IFERROR(__xludf.DUMMYFUNCTION("SPLIT(A1158,"" "")"),"CC(C)C(C)N(C)CCN(C)CC(C)(C)C")</f>
        <v>CC(C)C(C)N(C)CCN(C)CC(C)(C)C</v>
      </c>
      <c r="C1158" s="7">
        <f>IFERROR(__xludf.DUMMYFUNCTION("""COMPUTED_VALUE"""),7.819276)</f>
        <v>7.819276</v>
      </c>
      <c r="D1158" s="7">
        <f>IFERROR(__xludf.DUMMYFUNCTION("""COMPUTED_VALUE"""),0.209302325581395)</f>
        <v>0.2093023256</v>
      </c>
    </row>
    <row r="1159">
      <c r="A1159" s="10" t="s">
        <v>2598</v>
      </c>
      <c r="B1159" s="7" t="str">
        <f>IFERROR(__xludf.DUMMYFUNCTION("SPLIT(A1159,"" "")"),"CC1=CC(C)CC(NCc2ccccn2)C1C")</f>
        <v>CC1=CC(C)CC(NCc2ccccn2)C1C</v>
      </c>
      <c r="C1159" s="7">
        <f>IFERROR(__xludf.DUMMYFUNCTION("""COMPUTED_VALUE"""),7.819272)</f>
        <v>7.819272</v>
      </c>
      <c r="D1159" s="7">
        <f>IFERROR(__xludf.DUMMYFUNCTION("""COMPUTED_VALUE"""),0.404761904761904)</f>
        <v>0.4047619048</v>
      </c>
    </row>
    <row r="1160">
      <c r="A1160" s="10" t="s">
        <v>2599</v>
      </c>
      <c r="B1160" s="7" t="str">
        <f>IFERROR(__xludf.DUMMYFUNCTION("SPLIT(A1160,"" "")"),"CC1C=CC(C)C(C)(N(C)Cc2ccccn2)C1")</f>
        <v>CC1C=CC(C)C(C)(N(C)Cc2ccccn2)C1</v>
      </c>
      <c r="C1160" s="7">
        <f>IFERROR(__xludf.DUMMYFUNCTION("""COMPUTED_VALUE"""),7.819258)</f>
        <v>7.819258</v>
      </c>
      <c r="D1160" s="7">
        <f>IFERROR(__xludf.DUMMYFUNCTION("""COMPUTED_VALUE"""),0.446808510638297)</f>
        <v>0.4468085106</v>
      </c>
    </row>
    <row r="1161">
      <c r="A1161" s="10" t="s">
        <v>2600</v>
      </c>
      <c r="B1161" s="7" t="str">
        <f>IFERROR(__xludf.DUMMYFUNCTION("SPLIT(A1161,"" "")"),"Cc1cccnc1CN(C)C1CCCC(N(C)c2cncc(CN3CCN(C)CCN(C)CC3)c2)C1")</f>
        <v>Cc1cccnc1CN(C)C1CCCC(N(C)c2cncc(CN3CCN(C)CCN(C)CC3)c2)C1</v>
      </c>
      <c r="C1161" s="7">
        <f>IFERROR(__xludf.DUMMYFUNCTION("""COMPUTED_VALUE"""),7.819257)</f>
        <v>7.819257</v>
      </c>
      <c r="D1161" s="7">
        <f>IFERROR(__xludf.DUMMYFUNCTION("""COMPUTED_VALUE"""),0.323076923076923)</f>
        <v>0.3230769231</v>
      </c>
    </row>
    <row r="1162">
      <c r="A1162" s="10" t="s">
        <v>2601</v>
      </c>
      <c r="B1162" s="7" t="str">
        <f>IFERROR(__xludf.DUMMYFUNCTION("SPLIT(A1162,"" "")"),"CC1C(N)CC1CN(C)Cc1cc(N)ccn1")</f>
        <v>CC1C(N)CC1CN(C)Cc1cc(N)ccn1</v>
      </c>
      <c r="C1162" s="7">
        <f>IFERROR(__xludf.DUMMYFUNCTION("""COMPUTED_VALUE"""),7.81925)</f>
        <v>7.81925</v>
      </c>
      <c r="D1162" s="7">
        <f>IFERROR(__xludf.DUMMYFUNCTION("""COMPUTED_VALUE"""),0.316666666666666)</f>
        <v>0.3166666667</v>
      </c>
    </row>
    <row r="1163">
      <c r="A1163" s="10" t="s">
        <v>2602</v>
      </c>
      <c r="B1163" s="7" t="str">
        <f>IFERROR(__xludf.DUMMYFUNCTION("SPLIT(A1163,"" "")"),"CC(NCc1cccc(CN2CCN(C)CCN(C)CC2)n1)C(C)(C)c1cccc(C2CCC2(C)C)n1")</f>
        <v>CC(NCc1cccc(CN2CCN(C)CCN(C)CC2)n1)C(C)(C)c1cccc(C2CCC2(C)C)n1</v>
      </c>
      <c r="C1163" s="7">
        <f>IFERROR(__xludf.DUMMYFUNCTION("""COMPUTED_VALUE"""),7.8192477)</f>
        <v>7.8192477</v>
      </c>
      <c r="D1163" s="7">
        <f>IFERROR(__xludf.DUMMYFUNCTION("""COMPUTED_VALUE"""),0.40983606557377)</f>
        <v>0.4098360656</v>
      </c>
    </row>
    <row r="1164">
      <c r="A1164" s="10" t="s">
        <v>2603</v>
      </c>
      <c r="B1164" s="7" t="str">
        <f>IFERROR(__xludf.DUMMYFUNCTION("SPLIT(A1164,"" "")"),"CC1CC(N(Cc2ccccn2)C2CCC(N(C)Cc3cccc(-c4cccc5c4OCCOCCOCCOCCOCCO5)n3)CC2)C1")</f>
        <v>CC1CC(N(Cc2ccccn2)C2CCC(N(C)Cc3cccc(-c4cccc5c4OCCOCCOCCOCCOCCO5)n3)CC2)C1</v>
      </c>
      <c r="C1164" s="7">
        <f>IFERROR(__xludf.DUMMYFUNCTION("""COMPUTED_VALUE"""),7.819247)</f>
        <v>7.819247</v>
      </c>
      <c r="D1164" s="7">
        <f>IFERROR(__xludf.DUMMYFUNCTION("""COMPUTED_VALUE"""),0.367647058823529)</f>
        <v>0.3676470588</v>
      </c>
    </row>
    <row r="1165">
      <c r="A1165" s="10" t="s">
        <v>2604</v>
      </c>
      <c r="B1165" s="7" t="str">
        <f>IFERROR(__xludf.DUMMYFUNCTION("SPLIT(A1165,"" "")"),"CC(C)N(C)CCN(C)C(C)(C)c1cncc(-c2cccc3c2OCCOCCOCCOCCOCCO3)c1")</f>
        <v>CC(C)N(C)CCN(C)C(C)(C)c1cncc(-c2cccc3c2OCCOCCOCCOCCOCCO3)c1</v>
      </c>
      <c r="C1165" s="7">
        <f>IFERROR(__xludf.DUMMYFUNCTION("""COMPUTED_VALUE"""),7.819246)</f>
        <v>7.819246</v>
      </c>
      <c r="D1165" s="7">
        <f>IFERROR(__xludf.DUMMYFUNCTION("""COMPUTED_VALUE"""),0.225)</f>
        <v>0.225</v>
      </c>
    </row>
    <row r="1166">
      <c r="A1166" s="10" t="s">
        <v>2605</v>
      </c>
      <c r="B1166" s="7" t="str">
        <f>IFERROR(__xludf.DUMMYFUNCTION("SPLIT(A1166,"" "")"),"CCNCc1cccc(-c2cccc3c2OCCOCCOCCOCCOCCO3)n1")</f>
        <v>CCNCc1cccc(-c2cccc3c2OCCOCCOCCOCCOCCO3)n1</v>
      </c>
      <c r="C1166" s="7">
        <f>IFERROR(__xludf.DUMMYFUNCTION("""COMPUTED_VALUE"""),7.819227)</f>
        <v>7.819227</v>
      </c>
      <c r="D1166" s="7">
        <f>IFERROR(__xludf.DUMMYFUNCTION("""COMPUTED_VALUE"""),0.23728813559322)</f>
        <v>0.2372881356</v>
      </c>
    </row>
    <row r="1167">
      <c r="A1167" s="10" t="s">
        <v>2606</v>
      </c>
      <c r="B1167" s="7" t="str">
        <f>IFERROR(__xludf.DUMMYFUNCTION("SPLIT(A1167,"" "")"),"CC1C=CC(C)C(N(C)Cc2cccc(-c3cccc4c3OCCOCCOCCOCCOCCO4)n2)C1C")</f>
        <v>CC1C=CC(C)C(N(C)Cc2cccc(-c3cccc4c3OCCOCCOCCOCCOCCO4)n2)C1C</v>
      </c>
      <c r="C1167" s="7">
        <f>IFERROR(__xludf.DUMMYFUNCTION("""COMPUTED_VALUE"""),7.819207)</f>
        <v>7.819207</v>
      </c>
      <c r="D1167" s="7">
        <f>IFERROR(__xludf.DUMMYFUNCTION("""COMPUTED_VALUE"""),0.301587301587301)</f>
        <v>0.3015873016</v>
      </c>
    </row>
    <row r="1168">
      <c r="A1168" s="10" t="s">
        <v>2607</v>
      </c>
      <c r="B1168" s="7" t="str">
        <f>IFERROR(__xludf.DUMMYFUNCTION("SPLIT(A1168,"" "")"),"Cc1cnc(CN2CCN(C)CCN(C3CCCC(N(C)Cc4ncc(C)c(C)c4C)C3)CC2)c(C)c1")</f>
        <v>Cc1cnc(CN2CCN(C)CCN(C3CCCC(N(C)Cc4ncc(C)c(C)c4C)C3)CC2)c(C)c1</v>
      </c>
      <c r="C1168" s="7">
        <f>IFERROR(__xludf.DUMMYFUNCTION("""COMPUTED_VALUE"""),7.819184)</f>
        <v>7.819184</v>
      </c>
      <c r="D1168" s="7">
        <f>IFERROR(__xludf.DUMMYFUNCTION("""COMPUTED_VALUE"""),0.384615384615384)</f>
        <v>0.3846153846</v>
      </c>
    </row>
    <row r="1169">
      <c r="A1169" s="10" t="s">
        <v>2608</v>
      </c>
      <c r="B1169" s="7" t="str">
        <f>IFERROR(__xludf.DUMMYFUNCTION("SPLIT(A1169,"" "")"),"CC(C)C1=CC2(C=CN1)C=CC(C)C(C)(C)C2")</f>
        <v>CC(C)C1=CC2(C=CN1)C=CC(C)C(C)(C)C2</v>
      </c>
      <c r="C1169" s="7">
        <f>IFERROR(__xludf.DUMMYFUNCTION("""COMPUTED_VALUE"""),7.8191605)</f>
        <v>7.8191605</v>
      </c>
      <c r="D1169" s="7">
        <f>IFERROR(__xludf.DUMMYFUNCTION("""COMPUTED_VALUE"""),0.152542372881355)</f>
        <v>0.1525423729</v>
      </c>
    </row>
    <row r="1170">
      <c r="A1170" s="10" t="s">
        <v>2609</v>
      </c>
      <c r="B1170" s="7" t="str">
        <f>IFERROR(__xludf.DUMMYFUNCTION("SPLIT(A1170,"" "")"),"CN(Cc1cc(-c2ccc3c(c2)OCCOCCOCCOCCOCCO3)ccn1)c1ccc2c(c1)OCCOCCOCCOCCOCCO2")</f>
        <v>CN(Cc1cc(-c2ccc3c(c2)OCCOCCOCCOCCOCCO3)ccn1)c1ccc2c(c1)OCCOCCOCCOCCOCCO2</v>
      </c>
      <c r="C1170" s="7">
        <f>IFERROR(__xludf.DUMMYFUNCTION("""COMPUTED_VALUE"""),7.81916)</f>
        <v>7.81916</v>
      </c>
      <c r="D1170" s="7">
        <f>IFERROR(__xludf.DUMMYFUNCTION("""COMPUTED_VALUE"""),0.40983606557377)</f>
        <v>0.4098360656</v>
      </c>
    </row>
    <row r="1171">
      <c r="A1171" s="10" t="s">
        <v>2610</v>
      </c>
      <c r="B1171" s="7" t="str">
        <f>IFERROR(__xludf.DUMMYFUNCTION("SPLIT(A1171,"" "")"),"CN(Cc1cccc(-c2ccc3c(c2)OCCOCCOCCOCCOCCO3)n1)C1CCC(N(Cc2ccc(Cl)cn2)CN(C)C2CCCCC2N(C)Cc2cccc(-c3ccc4c(c3)OCCOCCOCCOCCOCCO4)n2)CC1")</f>
        <v>CN(Cc1cccc(-c2ccc3c(c2)OCCOCCOCCOCCOCCO3)n1)C1CCC(N(Cc2ccc(Cl)cn2)CN(C)C2CCCCC2N(C)Cc2cccc(-c3ccc4c(c3)OCCOCCOCCOCCOCCO4)n2)CC1</v>
      </c>
      <c r="C1171" s="7">
        <f>IFERROR(__xludf.DUMMYFUNCTION("""COMPUTED_VALUE"""),7.81911)</f>
        <v>7.81911</v>
      </c>
      <c r="D1171" s="7">
        <f>IFERROR(__xludf.DUMMYFUNCTION("""COMPUTED_VALUE"""),0.36144578313253)</f>
        <v>0.3614457831</v>
      </c>
    </row>
    <row r="1172">
      <c r="A1172" s="10" t="s">
        <v>2611</v>
      </c>
      <c r="B1172" s="7" t="str">
        <f>IFERROR(__xludf.DUMMYFUNCTION("SPLIT(A1172,"" "")"),"CC1=CC(C)C(C(C)(C)N(C)CC2=CCC=CN2)CC1C")</f>
        <v>CC1=CC(C)C(C(C)(C)N(C)CC2=CCC=CN2)CC1C</v>
      </c>
      <c r="C1172" s="7">
        <f>IFERROR(__xludf.DUMMYFUNCTION("""COMPUTED_VALUE"""),7.8191004)</f>
        <v>7.8191004</v>
      </c>
      <c r="D1172" s="7">
        <f>IFERROR(__xludf.DUMMYFUNCTION("""COMPUTED_VALUE"""),0.327586206896551)</f>
        <v>0.3275862069</v>
      </c>
    </row>
    <row r="1173">
      <c r="A1173" s="10" t="s">
        <v>2612</v>
      </c>
      <c r="B1173" s="7" t="str">
        <f>IFERROR(__xludf.DUMMYFUNCTION("SPLIT(A1173,"" "")"),"CC1=CC(C)(C)C(C)(C(C)N(C)Cc2ccccn2)C(C)C1")</f>
        <v>CC1=CC(C)(C)C(C)(C(C)N(C)Cc2ccccn2)C(C)C1</v>
      </c>
      <c r="C1173" s="7">
        <f>IFERROR(__xludf.DUMMYFUNCTION("""COMPUTED_VALUE"""),7.8190966)</f>
        <v>7.8190966</v>
      </c>
      <c r="D1173" s="7">
        <f>IFERROR(__xludf.DUMMYFUNCTION("""COMPUTED_VALUE"""),0.403846153846153)</f>
        <v>0.4038461538</v>
      </c>
    </row>
    <row r="1174">
      <c r="A1174" s="10" t="s">
        <v>2613</v>
      </c>
      <c r="B1174" s="7" t="str">
        <f>IFERROR(__xludf.DUMMYFUNCTION("SPLIT(A1174,"" "")"),"c1ccc(CN(Cc2cccc(-c3ccc4c(c3)OCCOCCOCCOCCOCCO4)n2)C2COCCOCCOCCOCCOc3ccccc3O2)nc1")</f>
        <v>c1ccc(CN(Cc2cccc(-c3ccc4c(c3)OCCOCCOCCOCCOCCO4)n2)C2COCCOCCOCCOCCOc3ccccc3O2)nc1</v>
      </c>
      <c r="C1174" s="7">
        <f>IFERROR(__xludf.DUMMYFUNCTION("""COMPUTED_VALUE"""),7.8190966)</f>
        <v>7.8190966</v>
      </c>
      <c r="D1174" s="7">
        <f>IFERROR(__xludf.DUMMYFUNCTION("""COMPUTED_VALUE"""),0.397058823529411)</f>
        <v>0.3970588235</v>
      </c>
    </row>
    <row r="1175">
      <c r="A1175" s="10" t="s">
        <v>2614</v>
      </c>
      <c r="B1175" s="7" t="str">
        <f>IFERROR(__xludf.DUMMYFUNCTION("SPLIT(A1175,"" "")"),"Cc1ccc2c(c1CN(C)C1CCCCC1N(C)Cc1ccc3ncccc3c1)OCCOCCOCCOCCOCCO2")</f>
        <v>Cc1ccc2c(c1CN(C)C1CCCCC1N(C)Cc1ccc3ncccc3c1)OCCOCCOCCOCCOCCO2</v>
      </c>
      <c r="C1175" s="7">
        <f>IFERROR(__xludf.DUMMYFUNCTION("""COMPUTED_VALUE"""),7.819069)</f>
        <v>7.819069</v>
      </c>
      <c r="D1175" s="7">
        <f>IFERROR(__xludf.DUMMYFUNCTION("""COMPUTED_VALUE"""),0.353846153846153)</f>
        <v>0.3538461538</v>
      </c>
    </row>
    <row r="1176">
      <c r="A1176" s="10" t="s">
        <v>2615</v>
      </c>
      <c r="B1176" s="7" t="str">
        <f>IFERROR(__xludf.DUMMYFUNCTION("SPLIT(A1176,"" "")"),"Cc1cccnc1CN(C)C1CCCCC1N(C)Cc1ccc(C2CC(N)C2C)nc1")</f>
        <v>Cc1cccnc1CN(C)C1CCCCC1N(C)Cc1ccc(C2CC(N)C2C)nc1</v>
      </c>
      <c r="C1176" s="7">
        <f>IFERROR(__xludf.DUMMYFUNCTION("""COMPUTED_VALUE"""),7.819054)</f>
        <v>7.819054</v>
      </c>
      <c r="D1176" s="7">
        <f>IFERROR(__xludf.DUMMYFUNCTION("""COMPUTED_VALUE"""),0.383333333333333)</f>
        <v>0.3833333333</v>
      </c>
    </row>
    <row r="1177">
      <c r="A1177" s="10" t="s">
        <v>2616</v>
      </c>
      <c r="B1177" s="7" t="str">
        <f>IFERROR(__xludf.DUMMYFUNCTION("SPLIT(A1177,"" "")"),"CC(C)C1=CC2(C=CCC(C)(C)C2(C)C)C=CN1")</f>
        <v>CC(C)C1=CC2(C=CCC(C)(C)C2(C)C)C=CN1</v>
      </c>
      <c r="C1177" s="7">
        <f>IFERROR(__xludf.DUMMYFUNCTION("""COMPUTED_VALUE"""),7.8190527)</f>
        <v>7.8190527</v>
      </c>
      <c r="D1177" s="7">
        <f>IFERROR(__xludf.DUMMYFUNCTION("""COMPUTED_VALUE"""),0.145454545454545)</f>
        <v>0.1454545455</v>
      </c>
    </row>
    <row r="1178">
      <c r="A1178" s="10" t="s">
        <v>2617</v>
      </c>
      <c r="B1178" s="7" t="str">
        <f>IFERROR(__xludf.DUMMYFUNCTION("SPLIT(A1178,"" "")"),"CC1=CCC(CN(C)C2CCC(N(C)Cc3ccon3)CC2)C(C)=C1C")</f>
        <v>CC1=CCC(CN(C)C2CCC(N(C)Cc3ccon3)CC2)C(C)=C1C</v>
      </c>
      <c r="C1178" s="7">
        <f>IFERROR(__xludf.DUMMYFUNCTION("""COMPUTED_VALUE"""),7.819051)</f>
        <v>7.819051</v>
      </c>
      <c r="D1178" s="7">
        <f>IFERROR(__xludf.DUMMYFUNCTION("""COMPUTED_VALUE"""),0.387755102040816)</f>
        <v>0.387755102</v>
      </c>
    </row>
    <row r="1179">
      <c r="A1179" s="10" t="s">
        <v>2618</v>
      </c>
      <c r="B1179" s="7" t="str">
        <f>IFERROR(__xludf.DUMMYFUNCTION("SPLIT(A1179,"" "")"),"CC1=C(C)C(C)CC2(C1)C(C)C(C)=C(C)C(C)(C)C2c1ncccc1CN1CCN(C)CCN(C)CC1")</f>
        <v>CC1=C(C)C(C)CC2(C1)C(C)C(C)=C(C)C(C)(C)C2c1ncccc1CN1CCN(C)CCN(C)CC1</v>
      </c>
      <c r="C1179" s="7">
        <f>IFERROR(__xludf.DUMMYFUNCTION("""COMPUTED_VALUE"""),7.8190455)</f>
        <v>7.8190455</v>
      </c>
      <c r="D1179" s="7">
        <f>IFERROR(__xludf.DUMMYFUNCTION("""COMPUTED_VALUE"""),0.344262295081967)</f>
        <v>0.3442622951</v>
      </c>
    </row>
    <row r="1180">
      <c r="A1180" s="10" t="s">
        <v>2619</v>
      </c>
      <c r="B1180" s="7" t="str">
        <f>IFERROR(__xludf.DUMMYFUNCTION("SPLIT(A1180,"" "")"),"CN(CCN)CC(C)(C)C")</f>
        <v>CN(CCN)CC(C)(C)C</v>
      </c>
      <c r="C1180" s="7">
        <f>IFERROR(__xludf.DUMMYFUNCTION("""COMPUTED_VALUE"""),7.819034)</f>
        <v>7.819034</v>
      </c>
      <c r="D1180" s="7">
        <f>IFERROR(__xludf.DUMMYFUNCTION("""COMPUTED_VALUE"""),0.236842105263157)</f>
        <v>0.2368421053</v>
      </c>
    </row>
    <row r="1181">
      <c r="A1181" s="10" t="s">
        <v>2620</v>
      </c>
      <c r="B1181" s="7" t="str">
        <f>IFERROR(__xludf.DUMMYFUNCTION("SPLIT(A1181,"" "")"),"CN(Cc1cc(-c2cccc3c2OCCOCCOCCOCCOCCO3)ccn1)C1CCCC(NCc2ccccn2)C1")</f>
        <v>CN(Cc1cc(-c2cccc3c2OCCOCCOCCOCCOCCO3)ccn1)C1CCCC(NCc2ccccn2)C1</v>
      </c>
      <c r="C1181" s="7">
        <f>IFERROR(__xludf.DUMMYFUNCTION("""COMPUTED_VALUE"""),7.819022)</f>
        <v>7.819022</v>
      </c>
      <c r="D1181" s="7">
        <f>IFERROR(__xludf.DUMMYFUNCTION("""COMPUTED_VALUE"""),0.347826086956521)</f>
        <v>0.347826087</v>
      </c>
    </row>
    <row r="1182">
      <c r="A1182" s="10" t="s">
        <v>2621</v>
      </c>
      <c r="B1182" s="7" t="str">
        <f>IFERROR(__xludf.DUMMYFUNCTION("SPLIT(A1182,"" "")"),"CN(Cc1cccc(-c2ccc3c(c2)OCCOCCOCCOCCOCCO3)n1)C1CCCCC1N(C)C1=CCC=CN1")</f>
        <v>CN(Cc1cccc(-c2ccc3c(c2)OCCOCCOCCOCCOCCO3)n1)C1CCCCC1N(C)C1=CCC=CN1</v>
      </c>
      <c r="C1182" s="7">
        <f>IFERROR(__xludf.DUMMYFUNCTION("""COMPUTED_VALUE"""),7.8189917)</f>
        <v>7.8189917</v>
      </c>
      <c r="D1182" s="7">
        <f>IFERROR(__xludf.DUMMYFUNCTION("""COMPUTED_VALUE"""),0.38235294117647)</f>
        <v>0.3823529412</v>
      </c>
    </row>
    <row r="1183">
      <c r="A1183" s="10" t="s">
        <v>2622</v>
      </c>
      <c r="B1183" s="7" t="str">
        <f>IFERROR(__xludf.DUMMYFUNCTION("SPLIT(A1183,"" "")"),"Cc1ccc2c(c1-c1ncccc1CN(Cc1ccccn1)C1CCCCC1)OCCOCCOCCOCCOCCO2")</f>
        <v>Cc1ccc2c(c1-c1ncccc1CN(Cc1ccccn1)C1CCCCC1)OCCOCCOCCOCCOCCO2</v>
      </c>
      <c r="C1183" s="7">
        <f>IFERROR(__xludf.DUMMYFUNCTION("""COMPUTED_VALUE"""),7.8189836)</f>
        <v>7.8189836</v>
      </c>
      <c r="D1183" s="7">
        <f>IFERROR(__xludf.DUMMYFUNCTION("""COMPUTED_VALUE"""),0.359375)</f>
        <v>0.359375</v>
      </c>
    </row>
    <row r="1184">
      <c r="A1184" s="10" t="s">
        <v>2623</v>
      </c>
      <c r="B1184" s="7" t="str">
        <f>IFERROR(__xludf.DUMMYFUNCTION("SPLIT(A1184,"" "")"),"Cc1cccnc1CN(Cc1ccccn1)C1CCCCC1")</f>
        <v>Cc1cccnc1CN(Cc1ccccn1)C1CCCCC1</v>
      </c>
      <c r="C1184" s="7">
        <f>IFERROR(__xludf.DUMMYFUNCTION("""COMPUTED_VALUE"""),7.8189745)</f>
        <v>7.8189745</v>
      </c>
      <c r="D1184" s="7">
        <f>IFERROR(__xludf.DUMMYFUNCTION("""COMPUTED_VALUE"""),0.5)</f>
        <v>0.5</v>
      </c>
    </row>
    <row r="1185">
      <c r="A1185" s="10" t="s">
        <v>2624</v>
      </c>
      <c r="B1185" s="7" t="str">
        <f>IFERROR(__xludf.DUMMYFUNCTION("SPLIT(A1185,"" "")"),"Cc1ccc2c(c1CN(Cc1ccccn1)Cc1ccccn1)OCCOCCOCCOCCOCCO2")</f>
        <v>Cc1ccc2c(c1CN(Cc1ccccn1)Cc1ccccn1)OCCOCCOCCOCCOCCO2</v>
      </c>
      <c r="C1185" s="7">
        <f>IFERROR(__xludf.DUMMYFUNCTION("""COMPUTED_VALUE"""),7.818969)</f>
        <v>7.818969</v>
      </c>
      <c r="D1185" s="7">
        <f>IFERROR(__xludf.DUMMYFUNCTION("""COMPUTED_VALUE"""),0.465116279069767)</f>
        <v>0.4651162791</v>
      </c>
    </row>
    <row r="1186">
      <c r="A1186" s="10" t="s">
        <v>2625</v>
      </c>
      <c r="B1186" s="7" t="str">
        <f>IFERROR(__xludf.DUMMYFUNCTION("SPLIT(A1186,"" "")"),"CC1=CC(C)C(C)CC1CN(C)Cc1ccccn1")</f>
        <v>CC1=CC(C)C(C)CC1CN(C)Cc1ccccn1</v>
      </c>
      <c r="C1186" s="7">
        <f>IFERROR(__xludf.DUMMYFUNCTION("""COMPUTED_VALUE"""),7.8189583)</f>
        <v>7.8189583</v>
      </c>
      <c r="D1186" s="7">
        <f>IFERROR(__xludf.DUMMYFUNCTION("""COMPUTED_VALUE"""),0.454545454545454)</f>
        <v>0.4545454545</v>
      </c>
    </row>
    <row r="1187">
      <c r="A1187" s="10" t="s">
        <v>2626</v>
      </c>
      <c r="B1187" s="7" t="str">
        <f>IFERROR(__xludf.DUMMYFUNCTION("SPLIT(A1187,"" "")"),"CC(c1ccon1)C(C)C(C)c1ncccc1CN1CCN(C)CCN(C)CC1")</f>
        <v>CC(c1ccon1)C(C)C(C)c1ncccc1CN1CCN(C)CCN(C)CC1</v>
      </c>
      <c r="C1187" s="7">
        <f>IFERROR(__xludf.DUMMYFUNCTION("""COMPUTED_VALUE"""),7.8189564)</f>
        <v>7.8189564</v>
      </c>
      <c r="D1187" s="7">
        <f>IFERROR(__xludf.DUMMYFUNCTION("""COMPUTED_VALUE"""),0.423076923076923)</f>
        <v>0.4230769231</v>
      </c>
    </row>
    <row r="1188">
      <c r="A1188" s="10" t="s">
        <v>2627</v>
      </c>
      <c r="B1188" s="7" t="str">
        <f>IFERROR(__xludf.DUMMYFUNCTION("SPLIT(A1188,"" "")"),"CN(Cc1ccccn1)c1cc2c(c(C3CCC3(C)C)c1)OCCOCCOCCOCCOCCO2")</f>
        <v>CN(Cc1ccccn1)c1cc2c(c(C3CCC3(C)C)c1)OCCOCCOCCOCCOCCO2</v>
      </c>
      <c r="C1188" s="7">
        <f>IFERROR(__xludf.DUMMYFUNCTION("""COMPUTED_VALUE"""),7.8189263)</f>
        <v>7.8189263</v>
      </c>
      <c r="D1188" s="7">
        <f>IFERROR(__xludf.DUMMYFUNCTION("""COMPUTED_VALUE"""),0.360655737704918)</f>
        <v>0.3606557377</v>
      </c>
    </row>
    <row r="1189">
      <c r="A1189" s="10" t="s">
        <v>2628</v>
      </c>
      <c r="B1189" s="7" t="str">
        <f>IFERROR(__xludf.DUMMYFUNCTION("SPLIT(A1189,"" "")"),"CCN(C)CCN1CCN(C)CCN(Cc2cccc3ncccc23)CC1")</f>
        <v>CCN(C)CCN1CCN(C)CCN(Cc2cccc3ncccc23)CC1</v>
      </c>
      <c r="C1189" s="7">
        <f>IFERROR(__xludf.DUMMYFUNCTION("""COMPUTED_VALUE"""),7.8189197)</f>
        <v>7.8189197</v>
      </c>
      <c r="D1189" s="7">
        <f>IFERROR(__xludf.DUMMYFUNCTION("""COMPUTED_VALUE"""),0.42)</f>
        <v>0.42</v>
      </c>
    </row>
    <row r="1190">
      <c r="A1190" s="10" t="s">
        <v>2629</v>
      </c>
      <c r="B1190" s="7" t="str">
        <f>IFERROR(__xludf.DUMMYFUNCTION("SPLIT(A1190,"" "")"),"COC(=O)C(=O)C(C)NCc1cc(CN2CCN(C)CCN(C)CC2)ccn1")</f>
        <v>COC(=O)C(=O)C(C)NCc1cc(CN2CCN(C)CCN(C)CC2)ccn1</v>
      </c>
      <c r="C1190" s="7">
        <f>IFERROR(__xludf.DUMMYFUNCTION("""COMPUTED_VALUE"""),7.8189163)</f>
        <v>7.8189163</v>
      </c>
      <c r="D1190" s="7">
        <f>IFERROR(__xludf.DUMMYFUNCTION("""COMPUTED_VALUE"""),0.45)</f>
        <v>0.45</v>
      </c>
    </row>
    <row r="1191">
      <c r="A1191" s="10" t="s">
        <v>2630</v>
      </c>
      <c r="B1191" s="7" t="str">
        <f>IFERROR(__xludf.DUMMYFUNCTION("SPLIT(A1191,"" "")"),"CCC1=NC(C2=C(C)C(C)C(c3ncccc3CN3CCN(C)CCN(C)CC3)CC2)CO1")</f>
        <v>CCC1=NC(C2=C(C)C(C)C(c3ncccc3CN3CCN(C)CCN(C)CC3)CC2)CO1</v>
      </c>
      <c r="C1191" s="7">
        <f>IFERROR(__xludf.DUMMYFUNCTION("""COMPUTED_VALUE"""),7.8189063)</f>
        <v>7.8189063</v>
      </c>
      <c r="D1191" s="7">
        <f>IFERROR(__xludf.DUMMYFUNCTION("""COMPUTED_VALUE"""),0.323076923076923)</f>
        <v>0.3230769231</v>
      </c>
    </row>
    <row r="1192">
      <c r="A1192" s="10" t="s">
        <v>2631</v>
      </c>
      <c r="B1192" s="7" t="str">
        <f>IFERROR(__xludf.DUMMYFUNCTION("SPLIT(A1192,"" "")"),"CN(Cc1ccccn1)C1CCC(N(C)Cc2cccc(-c3cccc4c3OCCOCCOCCOCCOCCO4)n2)CC1")</f>
        <v>CN(Cc1ccccn1)C1CCC(N(C)Cc2cccc(-c3cccc4c3OCCOCCOCCOCCOCCO4)n2)CC1</v>
      </c>
      <c r="C1192" s="7">
        <f>IFERROR(__xludf.DUMMYFUNCTION("""COMPUTED_VALUE"""),7.8189)</f>
        <v>7.8189</v>
      </c>
      <c r="D1192" s="7">
        <f>IFERROR(__xludf.DUMMYFUNCTION("""COMPUTED_VALUE"""),0.43103448275862)</f>
        <v>0.4310344828</v>
      </c>
    </row>
    <row r="1193">
      <c r="A1193" s="10" t="s">
        <v>2632</v>
      </c>
      <c r="B1193" s="7" t="str">
        <f>IFERROR(__xludf.DUMMYFUNCTION("SPLIT(A1193,"" "")"),"Cc1ccccc1CN(C)C1CCC(N(C)Cc2cccc(-c3ccc4c(c3)OCCOCCOCCOCCOCCO4)n2)CC1")</f>
        <v>Cc1ccccc1CN(C)C1CCC(N(C)Cc2cccc(-c3ccc4c(c3)OCCOCCOCCOCCOCCO4)n2)CC1</v>
      </c>
      <c r="C1193" s="7">
        <f>IFERROR(__xludf.DUMMYFUNCTION("""COMPUTED_VALUE"""),7.818892)</f>
        <v>7.818892</v>
      </c>
      <c r="D1193" s="7">
        <f>IFERROR(__xludf.DUMMYFUNCTION("""COMPUTED_VALUE"""),0.342465753424657)</f>
        <v>0.3424657534</v>
      </c>
    </row>
    <row r="1194">
      <c r="A1194" s="10" t="s">
        <v>2633</v>
      </c>
      <c r="B1194" s="7" t="str">
        <f>IFERROR(__xludf.DUMMYFUNCTION("SPLIT(A1194,"" "")"),"CC(C)NC1C=CC=CN1")</f>
        <v>CC(C)NC1C=CC=CN1</v>
      </c>
      <c r="C1194" s="7">
        <f>IFERROR(__xludf.DUMMYFUNCTION("""COMPUTED_VALUE"""),7.8188868)</f>
        <v>7.8188868</v>
      </c>
      <c r="D1194" s="7">
        <f>IFERROR(__xludf.DUMMYFUNCTION("""COMPUTED_VALUE"""),0.212765957446808)</f>
        <v>0.2127659574</v>
      </c>
    </row>
    <row r="1195">
      <c r="A1195" s="10" t="s">
        <v>2634</v>
      </c>
      <c r="B1195" s="7" t="str">
        <f>IFERROR(__xludf.DUMMYFUNCTION("SPLIT(A1195,"" "")"),"CC(C)N(C)CCN(C)Cc1ncccc1-c1cccc2c1OCCOCCOCCOCCOCCO2")</f>
        <v>CC(C)N(C)CCN(C)Cc1ncccc1-c1cccc2c1OCCOCCOCCOCCOCCO2</v>
      </c>
      <c r="C1195" s="7">
        <f>IFERROR(__xludf.DUMMYFUNCTION("""COMPUTED_VALUE"""),7.818883)</f>
        <v>7.818883</v>
      </c>
      <c r="D1195" s="7">
        <f>IFERROR(__xludf.DUMMYFUNCTION("""COMPUTED_VALUE"""),0.322033898305084)</f>
        <v>0.3220338983</v>
      </c>
    </row>
    <row r="1196">
      <c r="A1196" s="10" t="s">
        <v>2635</v>
      </c>
      <c r="B1196" s="7" t="str">
        <f>IFERROR(__xludf.DUMMYFUNCTION("SPLIT(A1196,"" "")"),"Cc1cnccc1CN(C)CC1CCCN1C(C)C")</f>
        <v>Cc1cnccc1CN(C)CC1CCCN1C(C)C</v>
      </c>
      <c r="C1196" s="7">
        <f>IFERROR(__xludf.DUMMYFUNCTION("""COMPUTED_VALUE"""),7.818868)</f>
        <v>7.818868</v>
      </c>
      <c r="D1196" s="7">
        <f>IFERROR(__xludf.DUMMYFUNCTION("""COMPUTED_VALUE"""),0.389830508474576)</f>
        <v>0.3898305085</v>
      </c>
    </row>
    <row r="1197">
      <c r="A1197" s="10" t="s">
        <v>2636</v>
      </c>
      <c r="B1197" s="7" t="str">
        <f>IFERROR(__xludf.DUMMYFUNCTION("SPLIT(A1197,"" "")"),"CN(Cc1cccc(-c2cccc3c2OCCOCCOCCOCCOCCO3)n1)C1CCCCC1N(C)Cc1cccc(-c2cccc3c2OCCOCCOCCOCCOCCO3)n1")</f>
        <v>CN(Cc1cccc(-c2cccc3c2OCCOCCOCCOCCOCCO3)n1)C1CCCCC1N(C)Cc1cccc(-c2cccc3c2OCCOCCOCCOCCOCCO3)n1</v>
      </c>
      <c r="C1197" s="7">
        <f>IFERROR(__xludf.DUMMYFUNCTION("""COMPUTED_VALUE"""),7.81886)</f>
        <v>7.81886</v>
      </c>
      <c r="D1197" s="7">
        <f>IFERROR(__xludf.DUMMYFUNCTION("""COMPUTED_VALUE"""),0.5)</f>
        <v>0.5</v>
      </c>
    </row>
    <row r="1198">
      <c r="A1198" s="10" t="s">
        <v>2637</v>
      </c>
      <c r="B1198" s="7" t="str">
        <f>IFERROR(__xludf.DUMMYFUNCTION("SPLIT(A1198,"" "")"),"CCN(Cc1ccccn1)C1CCC(N(C)Cc2cccc(-c3cccc4c3OCCOCCOCCOCCOCCO4)n2)CC1")</f>
        <v>CCN(Cc1ccccn1)C1CCC(N(C)Cc2cccc(-c3cccc4c3OCCOCCOCCOCCOCCO4)n2)CC1</v>
      </c>
      <c r="C1198" s="7">
        <f>IFERROR(__xludf.DUMMYFUNCTION("""COMPUTED_VALUE"""),7.8188562)</f>
        <v>7.8188562</v>
      </c>
      <c r="D1198" s="7">
        <f>IFERROR(__xludf.DUMMYFUNCTION("""COMPUTED_VALUE"""),0.384615384615384)</f>
        <v>0.3846153846</v>
      </c>
    </row>
    <row r="1199">
      <c r="A1199" s="10" t="s">
        <v>2638</v>
      </c>
      <c r="B1199" s="7" t="str">
        <f>IFERROR(__xludf.DUMMYFUNCTION("SPLIT(A1199,"" "")"),"CN1CCN(Cc2cc(-c3ccc4c(c3)OCCOCCOCCOCCOCCO4)ccn2)CCN(Cc2cnccc2C(C)(C)C)CC1")</f>
        <v>CN1CCN(Cc2cc(-c3ccc4c(c3)OCCOCCOCCOCCOCCO4)ccn2)CCN(Cc2cnccc2C(C)(C)C)CC1</v>
      </c>
      <c r="C1199" s="7">
        <f>IFERROR(__xludf.DUMMYFUNCTION("""COMPUTED_VALUE"""),7.8188443)</f>
        <v>7.8188443</v>
      </c>
      <c r="D1199" s="7">
        <f>IFERROR(__xludf.DUMMYFUNCTION("""COMPUTED_VALUE"""),0.397260273972602)</f>
        <v>0.397260274</v>
      </c>
    </row>
    <row r="1200">
      <c r="A1200" s="10" t="s">
        <v>2639</v>
      </c>
      <c r="B1200" s="7" t="str">
        <f>IFERROR(__xludf.DUMMYFUNCTION("SPLIT(A1200,"" "")"),"CN1CCN(Cc2cc(N(O)c3ccc4c(c3)OCCOCCOCCOCCOCCO4)ccn2)CCN(Cc2cccc(-c3ccc4c(c3)OCCOCCOCCOCCOCCO4)n2)CC1")</f>
        <v>CN1CCN(Cc2cc(N(O)c3ccc4c(c3)OCCOCCOCCOCCOCCO4)ccn2)CCN(Cc2cccc(-c3ccc4c(c3)OCCOCCOCCOCCOCCO4)n2)CC1</v>
      </c>
      <c r="C1200" s="7">
        <f>IFERROR(__xludf.DUMMYFUNCTION("""COMPUTED_VALUE"""),7.818834)</f>
        <v>7.818834</v>
      </c>
      <c r="D1200" s="7">
        <f>IFERROR(__xludf.DUMMYFUNCTION("""COMPUTED_VALUE"""),0.484375)</f>
        <v>0.484375</v>
      </c>
    </row>
    <row r="1201">
      <c r="A1201" s="10" t="s">
        <v>2640</v>
      </c>
      <c r="B1201" s="7" t="str">
        <f>IFERROR(__xludf.DUMMYFUNCTION("SPLIT(A1201,"" "")"),"CNCCNCc1cccc(CF)n1")</f>
        <v>CNCCNCc1cccc(CF)n1</v>
      </c>
      <c r="C1201" s="7">
        <f>IFERROR(__xludf.DUMMYFUNCTION("""COMPUTED_VALUE"""),7.818832)</f>
        <v>7.818832</v>
      </c>
      <c r="D1201" s="7">
        <f>IFERROR(__xludf.DUMMYFUNCTION("""COMPUTED_VALUE"""),0.416666666666666)</f>
        <v>0.4166666667</v>
      </c>
    </row>
    <row r="1202">
      <c r="A1202" s="10" t="s">
        <v>2641</v>
      </c>
      <c r="B1202" s="7" t="str">
        <f>IFERROR(__xludf.DUMMYFUNCTION("SPLIT(A1202,"" "")"),"CCN(Cc1cccc(CN2CCN(C)CCN(C)CC2)n1)Cc1cccc(-c2ccc3c(c2)OCCOCCOCCOCCOCCO3)n1")</f>
        <v>CCN(Cc1cccc(CN2CCN(C)CCN(C)CC2)n1)Cc1cccc(-c2ccc3c(c2)OCCOCCOCCOCCOCCO3)n1</v>
      </c>
      <c r="C1202" s="7">
        <f>IFERROR(__xludf.DUMMYFUNCTION("""COMPUTED_VALUE"""),7.8188267)</f>
        <v>7.8188267</v>
      </c>
      <c r="D1202" s="7">
        <f>IFERROR(__xludf.DUMMYFUNCTION("""COMPUTED_VALUE"""),0.4)</f>
        <v>0.4</v>
      </c>
    </row>
    <row r="1203">
      <c r="A1203" s="10" t="s">
        <v>2642</v>
      </c>
      <c r="B1203" s="7" t="str">
        <f>IFERROR(__xludf.DUMMYFUNCTION("SPLIT(A1203,"" "")"),"CN(CCN(Cc1ccccn1)c1cccc2c1OCCOCCOCCOCCOCCO2)Cc1ccccn1")</f>
        <v>CN(CCN(Cc1ccccn1)c1cccc2c1OCCOCCOCCOCCOCCO2)Cc1ccccn1</v>
      </c>
      <c r="C1203" s="7">
        <f>IFERROR(__xludf.DUMMYFUNCTION("""COMPUTED_VALUE"""),7.81881)</f>
        <v>7.81881</v>
      </c>
      <c r="D1203" s="7">
        <f>IFERROR(__xludf.DUMMYFUNCTION("""COMPUTED_VALUE"""),0.392857142857142)</f>
        <v>0.3928571429</v>
      </c>
    </row>
    <row r="1204">
      <c r="A1204" s="10" t="s">
        <v>2643</v>
      </c>
      <c r="B1204" s="7" t="str">
        <f>IFERROR(__xludf.DUMMYFUNCTION("SPLIT(A1204,"" "")"),"Cc1cc(C)c(CN(C)C2CCCC(N(C)C(C)C(C)N)C2)nc1C")</f>
        <v>Cc1cc(C)c(CN(C)C2CCCC(N(C)C(C)C(C)N)C2)nc1C</v>
      </c>
      <c r="C1204" s="7">
        <f>IFERROR(__xludf.DUMMYFUNCTION("""COMPUTED_VALUE"""),7.8188024)</f>
        <v>7.8188024</v>
      </c>
      <c r="D1204" s="7">
        <f>IFERROR(__xludf.DUMMYFUNCTION("""COMPUTED_VALUE"""),0.254237288135593)</f>
        <v>0.2542372881</v>
      </c>
    </row>
    <row r="1205">
      <c r="A1205" s="10" t="s">
        <v>2644</v>
      </c>
      <c r="B1205" s="7" t="str">
        <f>IFERROR(__xludf.DUMMYFUNCTION("SPLIT(A1205,"" "")"),"CC1=CC(C)C(C)C(N(C)CC2=CCC=CN2)C1")</f>
        <v>CC1=CC(C)C(C)C(N(C)CC2=CCC=CN2)C1</v>
      </c>
      <c r="C1205" s="7">
        <f>IFERROR(__xludf.DUMMYFUNCTION("""COMPUTED_VALUE"""),7.818796)</f>
        <v>7.818796</v>
      </c>
      <c r="D1205" s="7">
        <f>IFERROR(__xludf.DUMMYFUNCTION("""COMPUTED_VALUE"""),0.345454545454545)</f>
        <v>0.3454545455</v>
      </c>
    </row>
    <row r="1206">
      <c r="A1206" s="10" t="s">
        <v>2645</v>
      </c>
      <c r="B1206" s="7" t="str">
        <f>IFERROR(__xludf.DUMMYFUNCTION("SPLIT(A1206,"" "")"),"CC1C(c2cncc(CN3CCN(C)CCN(C)CC3)c2)=CCC(N(C)Cc2ccccn2)C1C")</f>
        <v>CC1C(c2cncc(CN3CCN(C)CCN(C)CC3)c2)=CCC(N(C)Cc2ccccn2)C1C</v>
      </c>
      <c r="C1206" s="7">
        <f>IFERROR(__xludf.DUMMYFUNCTION("""COMPUTED_VALUE"""),7.8187923)</f>
        <v>7.8187923</v>
      </c>
      <c r="D1206" s="7">
        <f>IFERROR(__xludf.DUMMYFUNCTION("""COMPUTED_VALUE"""),0.433333333333333)</f>
        <v>0.4333333333</v>
      </c>
    </row>
    <row r="1207">
      <c r="A1207" s="10" t="s">
        <v>2646</v>
      </c>
      <c r="B1207" s="7" t="str">
        <f>IFERROR(__xludf.DUMMYFUNCTION("SPLIT(A1207,"" "")"),"CN(CCN)Cc1ncccc1-c1ccc2c(c1)OCCOCCOCCOCCOCCO2")</f>
        <v>CN(CCN)Cc1ncccc1-c1ccc2c(c1)OCCOCCOCCOCCOCCO2</v>
      </c>
      <c r="C1207" s="7">
        <f>IFERROR(__xludf.DUMMYFUNCTION("""COMPUTED_VALUE"""),7.818788)</f>
        <v>7.818788</v>
      </c>
      <c r="D1207" s="7">
        <f>IFERROR(__xludf.DUMMYFUNCTION("""COMPUTED_VALUE"""),0.338235294117647)</f>
        <v>0.3382352941</v>
      </c>
    </row>
    <row r="1208">
      <c r="A1208" s="10" t="s">
        <v>2647</v>
      </c>
      <c r="B1208" s="7" t="str">
        <f>IFERROR(__xludf.DUMMYFUNCTION("SPLIT(A1208,"" "")"),"CC1C=CC(C)(c2cccc(CN(Cc3ccccn3)C3CCCCC3)n2)CC1C")</f>
        <v>CC1C=CC(C)(c2cccc(CN(Cc3ccccn3)C3CCCCC3)n2)CC1C</v>
      </c>
      <c r="C1208" s="7">
        <f>IFERROR(__xludf.DUMMYFUNCTION("""COMPUTED_VALUE"""),7.8187766)</f>
        <v>7.8187766</v>
      </c>
      <c r="D1208" s="7">
        <f>IFERROR(__xludf.DUMMYFUNCTION("""COMPUTED_VALUE"""),0.389830508474576)</f>
        <v>0.3898305085</v>
      </c>
    </row>
    <row r="1209">
      <c r="A1209" s="10" t="s">
        <v>2648</v>
      </c>
      <c r="B1209" s="7" t="str">
        <f>IFERROR(__xludf.DUMMYFUNCTION("SPLIT(A1209,"" "")"),"C=CCN(C)CCN(Cc1ccccn1)C(C)(N)N(Cc1ccccn1)c1ccc2c(c1)OCCOCCOCCOCCOCCO2")</f>
        <v>C=CCN(C)CCN(Cc1ccccn1)C(C)(N)N(Cc1ccccn1)c1ccc2c(c1)OCCOCCOCCOCCOCCO2</v>
      </c>
      <c r="C1209" s="7">
        <f>IFERROR(__xludf.DUMMYFUNCTION("""COMPUTED_VALUE"""),7.8187733)</f>
        <v>7.8187733</v>
      </c>
      <c r="D1209" s="7">
        <f>IFERROR(__xludf.DUMMYFUNCTION("""COMPUTED_VALUE"""),0.328947368421052)</f>
        <v>0.3289473684</v>
      </c>
    </row>
    <row r="1210">
      <c r="A1210" s="10" t="s">
        <v>2649</v>
      </c>
      <c r="B1210" s="7" t="str">
        <f>IFERROR(__xludf.DUMMYFUNCTION("SPLIT(A1210,"" "")"),"CNC1CCCCC1N(Cc1ccccn1)Cc1ncccc1C")</f>
        <v>CNC1CCCCC1N(Cc1ccccn1)Cc1ncccc1C</v>
      </c>
      <c r="C1210" s="7">
        <f>IFERROR(__xludf.DUMMYFUNCTION("""COMPUTED_VALUE"""),7.81875)</f>
        <v>7.81875</v>
      </c>
      <c r="D1210" s="7">
        <f>IFERROR(__xludf.DUMMYFUNCTION("""COMPUTED_VALUE"""),0.5)</f>
        <v>0.5</v>
      </c>
    </row>
    <row r="1211">
      <c r="A1211" s="10" t="s">
        <v>2650</v>
      </c>
      <c r="B1211" s="7" t="str">
        <f>IFERROR(__xludf.DUMMYFUNCTION("SPLIT(A1211,"" "")"),"Cc1cncc(CN(C)CC2CCCN2C(C)C)c1")</f>
        <v>Cc1cncc(CN(C)CC2CCCN2C(C)C)c1</v>
      </c>
      <c r="C1211" s="7">
        <f>IFERROR(__xludf.DUMMYFUNCTION("""COMPUTED_VALUE"""),7.81873)</f>
        <v>7.81873</v>
      </c>
      <c r="D1211" s="7">
        <f>IFERROR(__xludf.DUMMYFUNCTION("""COMPUTED_VALUE"""),0.344262295081967)</f>
        <v>0.3442622951</v>
      </c>
    </row>
    <row r="1212">
      <c r="A1212" s="10" t="s">
        <v>2651</v>
      </c>
      <c r="B1212" s="7" t="str">
        <f>IFERROR(__xludf.DUMMYFUNCTION("SPLIT(A1212,"" "")"),"CN(Cc1cccc(-c2cccc3c2OCCOCCOCCOCCOCCO3)n1)C1CCCCC1N(C)Cc1ncccc1-c1cccc2c1OCCOCCOCCOCCOCCO2")</f>
        <v>CN(Cc1cccc(-c2cccc3c2OCCOCCOCCOCCOCCO3)n1)C1CCCCC1N(C)Cc1ncccc1-c1cccc2c1OCCOCCOCCOCCOCCO2</v>
      </c>
      <c r="C1212" s="7">
        <f>IFERROR(__xludf.DUMMYFUNCTION("""COMPUTED_VALUE"""),7.81872)</f>
        <v>7.81872</v>
      </c>
      <c r="D1212" s="7">
        <f>IFERROR(__xludf.DUMMYFUNCTION("""COMPUTED_VALUE"""),0.426229508196721)</f>
        <v>0.4262295082</v>
      </c>
    </row>
    <row r="1213">
      <c r="A1213" s="10" t="s">
        <v>2652</v>
      </c>
      <c r="B1213" s="7" t="str">
        <f>IFERROR(__xludf.DUMMYFUNCTION("SPLIT(A1213,"" "")"),"CCN(Cc1ccccn1)C1CCC(N(C)Cc2cccc(-c3ccc4c(c3)OCCOCCOCCOCCOCCO4)n2)CC1")</f>
        <v>CCN(Cc1ccccn1)C1CCC(N(C)Cc2cccc(-c3ccc4c(c3)OCCOCCOCCOCCOCCO4)n2)CC1</v>
      </c>
      <c r="C1213" s="7">
        <f>IFERROR(__xludf.DUMMYFUNCTION("""COMPUTED_VALUE"""),7.8187184)</f>
        <v>7.8187184</v>
      </c>
      <c r="D1213" s="7">
        <f>IFERROR(__xludf.DUMMYFUNCTION("""COMPUTED_VALUE"""),0.394366197183098)</f>
        <v>0.3943661972</v>
      </c>
    </row>
    <row r="1214">
      <c r="A1214" s="10" t="s">
        <v>2653</v>
      </c>
      <c r="B1214" s="7" t="str">
        <f>IFERROR(__xludf.DUMMYFUNCTION("SPLIT(A1214,"" "")"),"CC(NCc1ncccc1CN1CCN(C)CCN(C)CC1)c1cccnc1CF")</f>
        <v>CC(NCc1ncccc1CN1CCN(C)CCN(C)CC1)c1cccnc1CF</v>
      </c>
      <c r="C1214" s="7">
        <f>IFERROR(__xludf.DUMMYFUNCTION("""COMPUTED_VALUE"""),7.81871)</f>
        <v>7.81871</v>
      </c>
      <c r="D1214" s="7">
        <f>IFERROR(__xludf.DUMMYFUNCTION("""COMPUTED_VALUE"""),0.396226415094339)</f>
        <v>0.3962264151</v>
      </c>
    </row>
    <row r="1215">
      <c r="A1215" s="10" t="s">
        <v>2654</v>
      </c>
      <c r="B1215" s="7" t="str">
        <f>IFERROR(__xludf.DUMMYFUNCTION("SPLIT(A1215,"" "")"),"Cc1ccc(CN(Cc2cccnn2)C2CCCCC2)nc1")</f>
        <v>Cc1ccc(CN(Cc2cccnn2)C2CCCCC2)nc1</v>
      </c>
      <c r="C1215" s="7">
        <f>IFERROR(__xludf.DUMMYFUNCTION("""COMPUTED_VALUE"""),7.818698)</f>
        <v>7.818698</v>
      </c>
      <c r="D1215" s="7">
        <f>IFERROR(__xludf.DUMMYFUNCTION("""COMPUTED_VALUE"""),0.5)</f>
        <v>0.5</v>
      </c>
    </row>
    <row r="1216">
      <c r="A1216" s="10" t="s">
        <v>2655</v>
      </c>
      <c r="B1216" s="7" t="str">
        <f>IFERROR(__xludf.DUMMYFUNCTION("SPLIT(A1216,"" "")"),"Cc1cc(CN(C)CCN2CCN(C)CCN(C)CC2)nc(C)c1C")</f>
        <v>Cc1cc(CN(C)CCN2CCN(C)CCN(C)CC2)nc(C)c1C</v>
      </c>
      <c r="C1216" s="7">
        <f>IFERROR(__xludf.DUMMYFUNCTION("""COMPUTED_VALUE"""),7.818675)</f>
        <v>7.818675</v>
      </c>
      <c r="D1216" s="7">
        <f>IFERROR(__xludf.DUMMYFUNCTION("""COMPUTED_VALUE"""),0.382978723404255)</f>
        <v>0.3829787234</v>
      </c>
    </row>
    <row r="1217">
      <c r="A1217" s="10" t="s">
        <v>2656</v>
      </c>
      <c r="B1217" s="7" t="str">
        <f>IFERROR(__xludf.DUMMYFUNCTION("SPLIT(A1217,"" "")"),"CN(CC1=C(N(C)Cc2ccccn2)CC=CN1)Cc1cccc2c1OCCOCCOCCOCCOCCO2")</f>
        <v>CN(CC1=C(N(C)Cc2ccccn2)CC=CN1)Cc1cccc2c1OCCOCCOCCOCCOCCO2</v>
      </c>
      <c r="C1217" s="7">
        <f>IFERROR(__xludf.DUMMYFUNCTION("""COMPUTED_VALUE"""),7.8186607)</f>
        <v>7.8186607</v>
      </c>
      <c r="D1217" s="7">
        <f>IFERROR(__xludf.DUMMYFUNCTION("""COMPUTED_VALUE"""),0.328571428571428)</f>
        <v>0.3285714286</v>
      </c>
    </row>
    <row r="1218">
      <c r="A1218" s="10" t="s">
        <v>2657</v>
      </c>
      <c r="B1218" s="7" t="str">
        <f>IFERROR(__xludf.DUMMYFUNCTION("SPLIT(A1218,"" "")"),"CC1C=CC(C)(C)C(C)C1N(C)Cc1ccccn1")</f>
        <v>CC1C=CC(C)(C)C(C)C1N(C)Cc1ccccn1</v>
      </c>
      <c r="C1218" s="7">
        <f>IFERROR(__xludf.DUMMYFUNCTION("""COMPUTED_VALUE"""),7.8186417)</f>
        <v>7.8186417</v>
      </c>
      <c r="D1218" s="7">
        <f>IFERROR(__xludf.DUMMYFUNCTION("""COMPUTED_VALUE"""),0.488888888888888)</f>
        <v>0.4888888889</v>
      </c>
    </row>
    <row r="1219">
      <c r="A1219" s="10" t="s">
        <v>2658</v>
      </c>
      <c r="B1219" s="7" t="str">
        <f>IFERROR(__xludf.DUMMYFUNCTION("SPLIT(A1219,"" "")"),"CCNCc1cc(CN(C)C2CCCC(N(C)Cc3cccnn3)C2)ccn1")</f>
        <v>CCNCc1cc(CN(C)C2CCCC(N(C)Cc3cccnn3)C2)ccn1</v>
      </c>
      <c r="C1219" s="7">
        <f>IFERROR(__xludf.DUMMYFUNCTION("""COMPUTED_VALUE"""),7.818626)</f>
        <v>7.818626</v>
      </c>
      <c r="D1219" s="7">
        <f>IFERROR(__xludf.DUMMYFUNCTION("""COMPUTED_VALUE"""),0.37037037037037)</f>
        <v>0.3703703704</v>
      </c>
    </row>
    <row r="1220">
      <c r="A1220" s="10" t="s">
        <v>2659</v>
      </c>
      <c r="B1220" s="7" t="str">
        <f>IFERROR(__xludf.DUMMYFUNCTION("SPLIT(A1220,"" "")"),"Cc1ccccc1CN(C)C1CCCCC1N(C)Cc1ccon1")</f>
        <v>Cc1ccccc1CN(C)C1CCCCC1N(C)Cc1ccon1</v>
      </c>
      <c r="C1220" s="7">
        <f>IFERROR(__xludf.DUMMYFUNCTION("""COMPUTED_VALUE"""),7.818613)</f>
        <v>7.818613</v>
      </c>
      <c r="D1220" s="7">
        <f>IFERROR(__xludf.DUMMYFUNCTION("""COMPUTED_VALUE"""),0.489361702127659)</f>
        <v>0.4893617021</v>
      </c>
    </row>
    <row r="1221">
      <c r="A1221" s="10" t="s">
        <v>2660</v>
      </c>
      <c r="B1221" s="7" t="str">
        <f>IFERROR(__xludf.DUMMYFUNCTION("SPLIT(A1221,"" "")"),"CN(Cc1ncccc1-c1cccc2c1OCCOCCOCCOCCOCCO2)C1CCC(N(C)CC(C)(C)c2ccccn2)CC1")</f>
        <v>CN(Cc1ncccc1-c1cccc2c1OCCOCCOCCOCCOCCO2)C1CCC(N(C)CC(C)(C)c2ccccn2)CC1</v>
      </c>
      <c r="C1221" s="7">
        <f>IFERROR(__xludf.DUMMYFUNCTION("""COMPUTED_VALUE"""),7.818608)</f>
        <v>7.818608</v>
      </c>
      <c r="D1221" s="7">
        <f>IFERROR(__xludf.DUMMYFUNCTION("""COMPUTED_VALUE"""),0.275362318840579)</f>
        <v>0.2753623188</v>
      </c>
    </row>
    <row r="1222">
      <c r="A1222" s="10" t="s">
        <v>2661</v>
      </c>
      <c r="B1222" s="7" t="str">
        <f>IFERROR(__xludf.DUMMYFUNCTION("SPLIT(A1222,"" "")"),"CC1C=CC(C)C(N(C)Cc2cc(-c3ccc4c(c3)OCCOCCOCCOCCOCCO4)ccn2)C1C")</f>
        <v>CC1C=CC(C)C(N(C)Cc2cc(-c3ccc4c(c3)OCCOCCOCCOCCOCCO4)ccn2)C1C</v>
      </c>
      <c r="C1222" s="7">
        <f>IFERROR(__xludf.DUMMYFUNCTION("""COMPUTED_VALUE"""),7.8186073)</f>
        <v>7.8186073</v>
      </c>
      <c r="D1222" s="7">
        <f>IFERROR(__xludf.DUMMYFUNCTION("""COMPUTED_VALUE"""),0.388059701492537)</f>
        <v>0.3880597015</v>
      </c>
    </row>
    <row r="1223">
      <c r="A1223" s="10" t="s">
        <v>2662</v>
      </c>
      <c r="B1223" s="7" t="str">
        <f>IFERROR(__xludf.DUMMYFUNCTION("SPLIT(A1223,"" "")"),"CC1=CC(C)CC(C)(c2cc(CN3CCN(C)CCN(C)CC3)ccn2)C1")</f>
        <v>CC1=CC(C)CC(C)(c2cc(CN3CCN(C)CCN(C)CC3)ccn2)C1</v>
      </c>
      <c r="C1223" s="7">
        <f>IFERROR(__xludf.DUMMYFUNCTION("""COMPUTED_VALUE"""),7.8185773)</f>
        <v>7.8185773</v>
      </c>
      <c r="D1223" s="7">
        <f>IFERROR(__xludf.DUMMYFUNCTION("""COMPUTED_VALUE"""),0.407407407407407)</f>
        <v>0.4074074074</v>
      </c>
    </row>
    <row r="1224">
      <c r="A1224" s="10" t="s">
        <v>2663</v>
      </c>
      <c r="B1224" s="7" t="str">
        <f>IFERROR(__xludf.DUMMYFUNCTION("SPLIT(A1224,"" "")"),"FCc1ccccc1")</f>
        <v>FCc1ccccc1</v>
      </c>
      <c r="C1224" s="7">
        <f>IFERROR(__xludf.DUMMYFUNCTION("""COMPUTED_VALUE"""),7.8185687)</f>
        <v>7.8185687</v>
      </c>
      <c r="D1224" s="7">
        <f>IFERROR(__xludf.DUMMYFUNCTION("""COMPUTED_VALUE"""),0.31578947368421)</f>
        <v>0.3157894737</v>
      </c>
    </row>
    <row r="1225">
      <c r="A1225" s="10" t="s">
        <v>2664</v>
      </c>
      <c r="B1225" s="7" t="str">
        <f>IFERROR(__xludf.DUMMYFUNCTION("SPLIT(A1225,"" "")"),"CN(CC1=CCC(N(C)C2C=CC=CN2)=CN1)c1cccc2c1OCCOCCOCCOCCOCCO2")</f>
        <v>CN(CC1=CCC(N(C)C2C=CC=CN2)=CN1)c1cccc2c1OCCOCCOCCOCCOCCO2</v>
      </c>
      <c r="C1225" s="7">
        <f>IFERROR(__xludf.DUMMYFUNCTION("""COMPUTED_VALUE"""),7.818567)</f>
        <v>7.818567</v>
      </c>
      <c r="D1225" s="7">
        <f>IFERROR(__xludf.DUMMYFUNCTION("""COMPUTED_VALUE"""),0.217948717948717)</f>
        <v>0.2179487179</v>
      </c>
    </row>
    <row r="1226">
      <c r="A1226" s="10" t="s">
        <v>2665</v>
      </c>
      <c r="B1226" s="7" t="str">
        <f>IFERROR(__xludf.DUMMYFUNCTION("SPLIT(A1226,"" "")"),"COC(=O)C(=O)C(C)NCc1ncccc1CN1CCN(C)CCN(C)CC1")</f>
        <v>COC(=O)C(=O)C(C)NCc1ncccc1CN1CCN(C)CCN(C)CC1</v>
      </c>
      <c r="C1226" s="7">
        <f>IFERROR(__xludf.DUMMYFUNCTION("""COMPUTED_VALUE"""),7.818567)</f>
        <v>7.818567</v>
      </c>
      <c r="D1226" s="7">
        <f>IFERROR(__xludf.DUMMYFUNCTION("""COMPUTED_VALUE"""),0.381818181818181)</f>
        <v>0.3818181818</v>
      </c>
    </row>
    <row r="1227">
      <c r="A1227" s="10" t="s">
        <v>2666</v>
      </c>
      <c r="B1227" s="7" t="str">
        <f>IFERROR(__xludf.DUMMYFUNCTION("SPLIT(A1227,"" "")"),"CN(CC1=C(N(C)C2C=CC=CN2)CC=CN1)c1ccc2c(c1)OCCOCCOCCOCCOCCO2")</f>
        <v>CN(CC1=C(N(C)C2C=CC=CN2)CC=CN1)c1ccc2c(c1)OCCOCCOCCOCCOCCO2</v>
      </c>
      <c r="C1227" s="7">
        <f>IFERROR(__xludf.DUMMYFUNCTION("""COMPUTED_VALUE"""),7.818551)</f>
        <v>7.818551</v>
      </c>
      <c r="D1227" s="7">
        <f>IFERROR(__xludf.DUMMYFUNCTION("""COMPUTED_VALUE"""),0.256410256410256)</f>
        <v>0.2564102564</v>
      </c>
    </row>
    <row r="1228">
      <c r="A1228" s="10" t="s">
        <v>2667</v>
      </c>
      <c r="B1228" s="7" t="str">
        <f>IFERROR(__xludf.DUMMYFUNCTION("SPLIT(A1228,"" "")"),"CC1=CC(c2ncccc2CN(Cc2ccccn2)C2CCCCC2)C(C)C(C)C1")</f>
        <v>CC1=CC(c2ncccc2CN(Cc2ccccn2)C2CCCCC2)C(C)C(C)C1</v>
      </c>
      <c r="C1228" s="7">
        <f>IFERROR(__xludf.DUMMYFUNCTION("""COMPUTED_VALUE"""),7.818542)</f>
        <v>7.818542</v>
      </c>
      <c r="D1228" s="7">
        <f>IFERROR(__xludf.DUMMYFUNCTION("""COMPUTED_VALUE"""),0.389830508474576)</f>
        <v>0.3898305085</v>
      </c>
    </row>
    <row r="1229">
      <c r="A1229" s="10" t="s">
        <v>2668</v>
      </c>
      <c r="B1229" s="7" t="str">
        <f>IFERROR(__xludf.DUMMYFUNCTION("SPLIT(A1229,"" "")"),"CN(CCN)CCN(C)C(C)(C)c1ccccn1")</f>
        <v>CN(CCN)CCN(C)C(C)(C)c1ccccn1</v>
      </c>
      <c r="C1229" s="7">
        <f>IFERROR(__xludf.DUMMYFUNCTION("""COMPUTED_VALUE"""),7.8185234)</f>
        <v>7.8185234</v>
      </c>
      <c r="D1229" s="7">
        <f>IFERROR(__xludf.DUMMYFUNCTION("""COMPUTED_VALUE"""),0.347826086956521)</f>
        <v>0.347826087</v>
      </c>
    </row>
    <row r="1230">
      <c r="A1230" s="10" t="s">
        <v>2669</v>
      </c>
      <c r="B1230" s="7" t="str">
        <f>IFERROR(__xludf.DUMMYFUNCTION("SPLIT(A1230,"" "")"),"CN(Cc1ccccn1)C1CCC(N(C)Cc2cccc(-c3ccc4c(c3)OCCOCCOCCOCCOCCO4)n2)CC1")</f>
        <v>CN(Cc1ccccn1)C1CCC(N(C)Cc2cccc(-c3ccc4c(c3)OCCOCCOCCOCCOCCO4)n2)CC1</v>
      </c>
      <c r="C1230" s="7">
        <f>IFERROR(__xludf.DUMMYFUNCTION("""COMPUTED_VALUE"""),7.8185177)</f>
        <v>7.8185177</v>
      </c>
      <c r="D1230" s="7">
        <f>IFERROR(__xludf.DUMMYFUNCTION("""COMPUTED_VALUE"""),0.4375)</f>
        <v>0.4375</v>
      </c>
    </row>
    <row r="1231">
      <c r="A1231" s="10" t="s">
        <v>2670</v>
      </c>
      <c r="B1231" s="7" t="str">
        <f>IFERROR(__xludf.DUMMYFUNCTION("SPLIT(A1231,"" "")"),"CC1=CC(C)C(CN(C)Cc2ccccn2)CC1C")</f>
        <v>CC1=CC(C)C(CN(C)Cc2ccccn2)CC1C</v>
      </c>
      <c r="C1231" s="7">
        <f>IFERROR(__xludf.DUMMYFUNCTION("""COMPUTED_VALUE"""),7.8185153)</f>
        <v>7.8185153</v>
      </c>
      <c r="D1231" s="7">
        <f>IFERROR(__xludf.DUMMYFUNCTION("""COMPUTED_VALUE"""),0.454545454545454)</f>
        <v>0.4545454545</v>
      </c>
    </row>
    <row r="1232">
      <c r="A1232" s="10" t="s">
        <v>2671</v>
      </c>
      <c r="B1232" s="7" t="str">
        <f>IFERROR(__xludf.DUMMYFUNCTION("SPLIT(A1232,"" "")"),"CC1C=CC2(CC1)CC1(C=CC(C)C3(C=CC(C)C(C)(C)C3)C1)C=C(N(Cc1ccccn1)C(C)C)C2C")</f>
        <v>CC1C=CC2(CC1)CC1(C=CC(C)C3(C=CC(C)C(C)(C)C3)C1)C=C(N(Cc1ccccn1)C(C)C)C2C</v>
      </c>
      <c r="C1232" s="7">
        <f>IFERROR(__xludf.DUMMYFUNCTION("""COMPUTED_VALUE"""),7.8184576)</f>
        <v>7.8184576</v>
      </c>
      <c r="D1232" s="7">
        <f>IFERROR(__xludf.DUMMYFUNCTION("""COMPUTED_VALUE"""),0.313432835820895)</f>
        <v>0.3134328358</v>
      </c>
    </row>
    <row r="1233">
      <c r="A1233" s="10" t="s">
        <v>2672</v>
      </c>
      <c r="B1233" s="7" t="str">
        <f>IFERROR(__xludf.DUMMYFUNCTION("SPLIT(A1233,"" "")"),"CN(Cc1ccccn1)C1CCC(N(C)Cc2ncccc2-c2cccc3c2OCCOCCOCCOCCOCCO3)CC1")</f>
        <v>CN(Cc1ccccn1)C1CCC(N(C)Cc2ncccc2-c2cccc3c2OCCOCCOCCOCCOCCO3)CC1</v>
      </c>
      <c r="C1233" s="7">
        <f>IFERROR(__xludf.DUMMYFUNCTION("""COMPUTED_VALUE"""),7.8184485)</f>
        <v>7.8184485</v>
      </c>
      <c r="D1233" s="7">
        <f>IFERROR(__xludf.DUMMYFUNCTION("""COMPUTED_VALUE"""),0.413793103448275)</f>
        <v>0.4137931034</v>
      </c>
    </row>
    <row r="1234">
      <c r="A1234" s="10" t="s">
        <v>2673</v>
      </c>
      <c r="B1234" s="7" t="str">
        <f>IFERROR(__xludf.DUMMYFUNCTION("SPLIT(A1234,"" "")"),"CC(c1ccccn1)(c1ccccn1)c1cccc(CNC2COCCOCCOCCOCCOC=CO2)n1")</f>
        <v>CC(c1ccccn1)(c1ccccn1)c1cccc(CNC2COCCOCCOCCOCCOC=CO2)n1</v>
      </c>
      <c r="C1234" s="7">
        <f>IFERROR(__xludf.DUMMYFUNCTION("""COMPUTED_VALUE"""),7.8184085)</f>
        <v>7.8184085</v>
      </c>
      <c r="D1234" s="7">
        <f>IFERROR(__xludf.DUMMYFUNCTION("""COMPUTED_VALUE"""),0.375)</f>
        <v>0.375</v>
      </c>
    </row>
    <row r="1235">
      <c r="A1235" s="10" t="s">
        <v>2674</v>
      </c>
      <c r="B1235" s="7" t="str">
        <f>IFERROR(__xludf.DUMMYFUNCTION("SPLIT(A1235,"" "")"),"CCNCc1cccc(-c2ccc3c(c2)OCCOCCOCCOCCOCCO3)n1")</f>
        <v>CCNCc1cccc(-c2ccc3c(c2)OCCOCCOCCOCCOCCO3)n1</v>
      </c>
      <c r="C1235" s="7">
        <f>IFERROR(__xludf.DUMMYFUNCTION("""COMPUTED_VALUE"""),7.8183947)</f>
        <v>7.8183947</v>
      </c>
      <c r="D1235" s="7">
        <f>IFERROR(__xludf.DUMMYFUNCTION("""COMPUTED_VALUE"""),0.365079365079365)</f>
        <v>0.3650793651</v>
      </c>
    </row>
    <row r="1236">
      <c r="A1236" s="10" t="s">
        <v>2675</v>
      </c>
      <c r="B1236" s="7" t="str">
        <f>IFERROR(__xludf.DUMMYFUNCTION("SPLIT(A1236,"" "")"),"CN(CCN(C)C(C)(C)C)Cc1ncccc1-c1ccc2c(c1)OCCOCCOCCOCCOCCO2")</f>
        <v>CN(CCN(C)C(C)(C)C)Cc1ncccc1-c1ccc2c(c1)OCCOCCOCCOCCOCCO2</v>
      </c>
      <c r="C1236" s="7">
        <f>IFERROR(__xludf.DUMMYFUNCTION("""COMPUTED_VALUE"""),7.8183928)</f>
        <v>7.8183928</v>
      </c>
      <c r="D1236" s="7">
        <f>IFERROR(__xludf.DUMMYFUNCTION("""COMPUTED_VALUE"""),0.323943661971831)</f>
        <v>0.323943662</v>
      </c>
    </row>
    <row r="1237">
      <c r="A1237" s="10" t="s">
        <v>2676</v>
      </c>
      <c r="B1237" s="7" t="str">
        <f>IFERROR(__xludf.DUMMYFUNCTION("SPLIT(A1237,"" "")"),"Cc1cnc(CN(C)C2CCCC(N(C)Cc3ccc(CN4CCN(C)CCN(C)CC4)cn3)C2)c(C)c1C")</f>
        <v>Cc1cnc(CN(C)C2CCCC(N(C)Cc3ccc(CN4CCN(C)CCN(C)CC4)cn3)C2)c(C)c1C</v>
      </c>
      <c r="C1237" s="7">
        <f>IFERROR(__xludf.DUMMYFUNCTION("""COMPUTED_VALUE"""),7.8183794)</f>
        <v>7.8183794</v>
      </c>
      <c r="D1237" s="7">
        <f>IFERROR(__xludf.DUMMYFUNCTION("""COMPUTED_VALUE"""),0.387096774193548)</f>
        <v>0.3870967742</v>
      </c>
    </row>
    <row r="1238">
      <c r="A1238" s="10" t="s">
        <v>2677</v>
      </c>
      <c r="B1238" s="7" t="str">
        <f>IFERROR(__xludf.DUMMYFUNCTION("SPLIT(A1238,"" "")"),"CN(Cc1cc(CF)ccn1)C1CCCCC1N(C)Cc1cc(-c2ccc3c(c2)OCCOCCOCCOCCOCCO3)ccn1")</f>
        <v>CN(Cc1cc(CF)ccn1)C1CCCCC1N(C)Cc1cc(-c2ccc3c(c2)OCCOCCOCCOCCOCCO3)ccn1</v>
      </c>
      <c r="C1238" s="7">
        <f>IFERROR(__xludf.DUMMYFUNCTION("""COMPUTED_VALUE"""),7.818365)</f>
        <v>7.818365</v>
      </c>
      <c r="D1238" s="7">
        <f>IFERROR(__xludf.DUMMYFUNCTION("""COMPUTED_VALUE"""),0.413793103448275)</f>
        <v>0.4137931034</v>
      </c>
    </row>
    <row r="1239">
      <c r="A1239" s="10" t="s">
        <v>2678</v>
      </c>
      <c r="B1239" s="7" t="str">
        <f>IFERROR(__xludf.DUMMYFUNCTION("SPLIT(A1239,"" "")"),"CN(CC1=CCC(N(C)C2C=CC=CN2)=CN1)c1ccc2c(c1)OCCOCCOCCOCCOCCO2")</f>
        <v>CN(CC1=CCC(N(C)C2C=CC=CN2)=CN1)c1ccc2c(c1)OCCOCCOCCOCCOCCO2</v>
      </c>
      <c r="C1239" s="7">
        <f>IFERROR(__xludf.DUMMYFUNCTION("""COMPUTED_VALUE"""),7.818355)</f>
        <v>7.818355</v>
      </c>
      <c r="D1239" s="7">
        <f>IFERROR(__xludf.DUMMYFUNCTION("""COMPUTED_VALUE"""),0.25)</f>
        <v>0.25</v>
      </c>
    </row>
    <row r="1240">
      <c r="A1240" s="10" t="s">
        <v>2679</v>
      </c>
      <c r="B1240" s="7" t="str">
        <f>IFERROR(__xludf.DUMMYFUNCTION("SPLIT(A1240,"" "")"),"Cc1cc(CN(C)C2CCCC(N(C)CF)C2)nc(C)c1C")</f>
        <v>Cc1cc(CN(C)C2CCCC(N(C)CF)C2)nc(C)c1C</v>
      </c>
      <c r="C1240" s="7">
        <f>IFERROR(__xludf.DUMMYFUNCTION("""COMPUTED_VALUE"""),7.8183503)</f>
        <v>7.8183503</v>
      </c>
      <c r="D1240" s="7">
        <f>IFERROR(__xludf.DUMMYFUNCTION("""COMPUTED_VALUE"""),0.326923076923076)</f>
        <v>0.3269230769</v>
      </c>
    </row>
    <row r="1241">
      <c r="A1241" s="10" t="s">
        <v>2680</v>
      </c>
      <c r="B1241" s="7" t="str">
        <f>IFERROR(__xludf.DUMMYFUNCTION("SPLIT(A1241,"" "")"),"CN(Cc1cccc(-c2ccc3c(c2)OCCOCCOCCOCCOCCO3)n1)C1CCCCC1N(CC1=CCC=CN1)Cc1ccccn1")</f>
        <v>CN(Cc1cccc(-c2ccc3c(c2)OCCOCCOCCOCCOCCO3)n1)C1CCCCC1N(CC1=CCC=CN1)Cc1ccccn1</v>
      </c>
      <c r="C1241" s="7">
        <f>IFERROR(__xludf.DUMMYFUNCTION("""COMPUTED_VALUE"""),7.818346)</f>
        <v>7.818346</v>
      </c>
      <c r="D1241" s="7">
        <f>IFERROR(__xludf.DUMMYFUNCTION("""COMPUTED_VALUE"""),0.416666666666666)</f>
        <v>0.4166666667</v>
      </c>
    </row>
    <row r="1242">
      <c r="A1242" s="10" t="s">
        <v>2681</v>
      </c>
      <c r="B1242" s="7" t="str">
        <f>IFERROR(__xludf.DUMMYFUNCTION("SPLIT(A1242,"" "")"),"CN(Cc1ncccc1CF)C1CCCCC1N(C)Cc1ncccc1-c1cccc2c1OCCOCCOCCOCCOCCO2")</f>
        <v>CN(Cc1ncccc1CF)C1CCCCC1N(C)Cc1ncccc1-c1cccc2c1OCCOCCOCCOCCOCCO2</v>
      </c>
      <c r="C1242" s="7">
        <f>IFERROR(__xludf.DUMMYFUNCTION("""COMPUTED_VALUE"""),7.8183413)</f>
        <v>7.8183413</v>
      </c>
      <c r="D1242" s="7">
        <f>IFERROR(__xludf.DUMMYFUNCTION("""COMPUTED_VALUE"""),0.370967741935483)</f>
        <v>0.3709677419</v>
      </c>
    </row>
    <row r="1243">
      <c r="A1243" s="10" t="s">
        <v>2682</v>
      </c>
      <c r="B1243" s="7" t="str">
        <f>IFERROR(__xludf.DUMMYFUNCTION("SPLIT(A1243,"" "")"),"Cc1cncc(CN(C)C2CCCCC2N(C)Cc2cccnn2)c1")</f>
        <v>Cc1cncc(CN(C)C2CCCCC2N(C)Cc2cccnn2)c1</v>
      </c>
      <c r="C1243" s="7">
        <f>IFERROR(__xludf.DUMMYFUNCTION("""COMPUTED_VALUE"""),7.818339)</f>
        <v>7.818339</v>
      </c>
      <c r="D1243" s="7">
        <f>IFERROR(__xludf.DUMMYFUNCTION("""COMPUTED_VALUE"""),0.48)</f>
        <v>0.48</v>
      </c>
    </row>
    <row r="1244">
      <c r="A1244" s="10" t="s">
        <v>2683</v>
      </c>
      <c r="B1244" s="7" t="str">
        <f>IFERROR(__xludf.DUMMYFUNCTION("SPLIT(A1244,"" "")"),"CC(C)N(C)CCN(C)Cc1cccnc1")</f>
        <v>CC(C)N(C)CCN(C)Cc1cccnc1</v>
      </c>
      <c r="C1244" s="7">
        <f>IFERROR(__xludf.DUMMYFUNCTION("""COMPUTED_VALUE"""),7.8183374)</f>
        <v>7.8183374</v>
      </c>
      <c r="D1244" s="7">
        <f>IFERROR(__xludf.DUMMYFUNCTION("""COMPUTED_VALUE"""),0.390243902439024)</f>
        <v>0.3902439024</v>
      </c>
    </row>
    <row r="1245">
      <c r="A1245" s="10" t="s">
        <v>2684</v>
      </c>
      <c r="B1245" s="7" t="str">
        <f>IFERROR(__xludf.DUMMYFUNCTION("SPLIT(A1245,"" "")"),"CN(Cc1cccc(-c2ccc3c(c2)OCCOCCOCCOCCOCCO3)n1)C1CCCCC1N(C)Cc1cccc(-c2ccc3c(c2)OCCOCCOCCOCCOCCO3)n1")</f>
        <v>CN(Cc1cccc(-c2ccc3c(c2)OCCOCCOCCOCCOCCO3)n1)C1CCCCC1N(C)Cc1cccc(-c2ccc3c(c2)OCCOCCOCCOCCOCCO3)n1</v>
      </c>
      <c r="C1245" s="7">
        <f>IFERROR(__xludf.DUMMYFUNCTION("""COMPUTED_VALUE"""),7.8183246)</f>
        <v>7.8183246</v>
      </c>
      <c r="D1245" s="7">
        <f>IFERROR(__xludf.DUMMYFUNCTION("""COMPUTED_VALUE"""),0.5)</f>
        <v>0.5</v>
      </c>
    </row>
    <row r="1246">
      <c r="A1246" s="10" t="s">
        <v>2685</v>
      </c>
      <c r="B1246" s="7" t="str">
        <f>IFERROR(__xludf.DUMMYFUNCTION("SPLIT(A1246,"" "")"),"CN(Cc1ccccn1)C1C=CNC(CN(Cc2ccccn2)Cc2cccc3c2OCCOCCOCCOCCOCCO3)=C1")</f>
        <v>CN(Cc1ccccn1)C1C=CNC(CN(Cc2ccccn2)Cc2cccc3c2OCCOCCOCCOCCOCCO3)=C1</v>
      </c>
      <c r="C1246" s="7">
        <f>IFERROR(__xludf.DUMMYFUNCTION("""COMPUTED_VALUE"""),7.818321)</f>
        <v>7.818321</v>
      </c>
      <c r="D1246" s="7">
        <f>IFERROR(__xludf.DUMMYFUNCTION("""COMPUTED_VALUE"""),0.397058823529411)</f>
        <v>0.3970588235</v>
      </c>
    </row>
    <row r="1247">
      <c r="A1247" s="10" t="s">
        <v>2686</v>
      </c>
      <c r="B1247" s="7" t="str">
        <f>IFERROR(__xludf.DUMMYFUNCTION("SPLIT(A1247,"" "")"),"CC(C)N(C)c1ccc(CN2CCN(C)CCN(C)CC2)cn1")</f>
        <v>CC(C)N(C)c1ccc(CN2CCN(C)CCN(C)CC2)cn1</v>
      </c>
      <c r="C1247" s="7">
        <f>IFERROR(__xludf.DUMMYFUNCTION("""COMPUTED_VALUE"""),7.8183203)</f>
        <v>7.8183203</v>
      </c>
      <c r="D1247" s="7">
        <f>IFERROR(__xludf.DUMMYFUNCTION("""COMPUTED_VALUE"""),0.422222222222222)</f>
        <v>0.4222222222</v>
      </c>
    </row>
    <row r="1248">
      <c r="A1248" s="10" t="s">
        <v>2687</v>
      </c>
      <c r="B1248" s="7" t="str">
        <f>IFERROR(__xludf.DUMMYFUNCTION("SPLIT(A1248,"" "")"),"CN1CCN(C)CCN(Cc2cnccc2N(C)O)CC1")</f>
        <v>CN1CCN(C)CCN(Cc2cnccc2N(C)O)CC1</v>
      </c>
      <c r="C1248" s="7">
        <f>IFERROR(__xludf.DUMMYFUNCTION("""COMPUTED_VALUE"""),7.818318)</f>
        <v>7.818318</v>
      </c>
      <c r="D1248" s="7">
        <f>IFERROR(__xludf.DUMMYFUNCTION("""COMPUTED_VALUE"""),0.4375)</f>
        <v>0.4375</v>
      </c>
    </row>
    <row r="1249">
      <c r="A1249" s="10" t="s">
        <v>2688</v>
      </c>
      <c r="B1249" s="7" t="str">
        <f>IFERROR(__xludf.DUMMYFUNCTION("SPLIT(A1249,"" "")"),"CC1CC(N)C1CN(C)Cc1ccccn1")</f>
        <v>CC1CC(N)C1CN(C)Cc1ccccn1</v>
      </c>
      <c r="C1249" s="7">
        <f>IFERROR(__xludf.DUMMYFUNCTION("""COMPUTED_VALUE"""),7.8183155)</f>
        <v>7.8183155</v>
      </c>
      <c r="D1249" s="7">
        <f>IFERROR(__xludf.DUMMYFUNCTION("""COMPUTED_VALUE"""),0.48076923076923)</f>
        <v>0.4807692308</v>
      </c>
    </row>
    <row r="1250">
      <c r="A1250" s="10" t="s">
        <v>2689</v>
      </c>
      <c r="B1250" s="7" t="str">
        <f>IFERROR(__xludf.DUMMYFUNCTION("SPLIT(A1250,"" "")"),"CN(Cc1cccc(CF)n1)C1CCCCC1N(C)Cc1cccc(-c2ccc3c(c2)OCCOCCOCCOCCOCCO3)n1")</f>
        <v>CN(Cc1cccc(CF)n1)C1CCCCC1N(C)Cc1cccc(-c2ccc3c(c2)OCCOCCOCCOCCOCCO3)n1</v>
      </c>
      <c r="C1250" s="7">
        <f>IFERROR(__xludf.DUMMYFUNCTION("""COMPUTED_VALUE"""),7.8182983)</f>
        <v>7.8182983</v>
      </c>
      <c r="D1250" s="7">
        <f>IFERROR(__xludf.DUMMYFUNCTION("""COMPUTED_VALUE"""),0.448275862068965)</f>
        <v>0.4482758621</v>
      </c>
    </row>
    <row r="1251">
      <c r="A1251" s="10" t="s">
        <v>2690</v>
      </c>
      <c r="B1251" s="7" t="str">
        <f>IFERROR(__xludf.DUMMYFUNCTION("SPLIT(A1251,"" "")"),"CN1CCN(C)CCN(Cc2cnc(Cl)c(Cl)c2)CC1")</f>
        <v>CN1CCN(C)CCN(Cc2cnc(Cl)c(Cl)c2)CC1</v>
      </c>
      <c r="C1251" s="7">
        <f>IFERROR(__xludf.DUMMYFUNCTION("""COMPUTED_VALUE"""),7.8182974)</f>
        <v>7.8182974</v>
      </c>
      <c r="D1251" s="7">
        <f>IFERROR(__xludf.DUMMYFUNCTION("""COMPUTED_VALUE"""),0.41860465116279)</f>
        <v>0.4186046512</v>
      </c>
    </row>
    <row r="1252">
      <c r="A1252" s="10" t="s">
        <v>2691</v>
      </c>
      <c r="B1252" s="7" t="str">
        <f>IFERROR(__xludf.DUMMYFUNCTION("SPLIT(A1252,"" "")"),"Cc1cc(CN(C)C2CCC(N(C)C3CCCCC3N(Cc3ccccn3)Cc3cccc(F)n3)CC2)nc(C)c1C")</f>
        <v>Cc1cc(CN(C)C2CCC(N(C)C3CCCCC3N(Cc3ccccn3)Cc3cccc(F)n3)CC2)nc(C)c1C</v>
      </c>
      <c r="C1252" s="7">
        <f>IFERROR(__xludf.DUMMYFUNCTION("""COMPUTED_VALUE"""),7.8182926)</f>
        <v>7.8182926</v>
      </c>
      <c r="D1252" s="7">
        <f>IFERROR(__xludf.DUMMYFUNCTION("""COMPUTED_VALUE"""),0.451612903225806)</f>
        <v>0.4516129032</v>
      </c>
    </row>
    <row r="1253">
      <c r="A1253" s="10" t="s">
        <v>2692</v>
      </c>
      <c r="B1253" s="7" t="str">
        <f>IFERROR(__xludf.DUMMYFUNCTION("SPLIT(A1253,"" "")"),"CC(C)NCc1ncccc1CN(Cc1ccccn1)C1CCCCC1")</f>
        <v>CC(C)NCc1ncccc1CN(Cc1ccccn1)C1CCCCC1</v>
      </c>
      <c r="C1253" s="7">
        <f>IFERROR(__xludf.DUMMYFUNCTION("""COMPUTED_VALUE"""),7.818276)</f>
        <v>7.818276</v>
      </c>
      <c r="D1253" s="7">
        <f>IFERROR(__xludf.DUMMYFUNCTION("""COMPUTED_VALUE"""),0.433962264150943)</f>
        <v>0.4339622642</v>
      </c>
    </row>
    <row r="1254">
      <c r="A1254" s="10" t="s">
        <v>2693</v>
      </c>
      <c r="B1254" s="7" t="str">
        <f>IFERROR(__xludf.DUMMYFUNCTION("SPLIT(A1254,"" "")"),"CC(C)NCc1cccc(CN(Cc2ccccn2)C2CCCCC2)n1")</f>
        <v>CC(C)NCc1cccc(CN(Cc2ccccn2)C2CCCCC2)n1</v>
      </c>
      <c r="C1254" s="7">
        <f>IFERROR(__xludf.DUMMYFUNCTION("""COMPUTED_VALUE"""),7.8182716)</f>
        <v>7.8182716</v>
      </c>
      <c r="D1254" s="7">
        <f>IFERROR(__xludf.DUMMYFUNCTION("""COMPUTED_VALUE"""),0.46)</f>
        <v>0.46</v>
      </c>
    </row>
    <row r="1255">
      <c r="A1255" s="10" t="s">
        <v>2694</v>
      </c>
      <c r="B1255" s="7" t="str">
        <f>IFERROR(__xludf.DUMMYFUNCTION("SPLIT(A1255,"" "")"),"CC1C=CC(C)(C)C(C(C)(C)C)C1CN(C)Cc1ccccn1")</f>
        <v>CC1C=CC(C)(C)C(C(C)(C)C)C1CN(C)Cc1ccccn1</v>
      </c>
      <c r="C1255" s="7">
        <f>IFERROR(__xludf.DUMMYFUNCTION("""COMPUTED_VALUE"""),7.8182616)</f>
        <v>7.8182616</v>
      </c>
      <c r="D1255" s="7">
        <f>IFERROR(__xludf.DUMMYFUNCTION("""COMPUTED_VALUE"""),0.4)</f>
        <v>0.4</v>
      </c>
    </row>
    <row r="1256">
      <c r="A1256" s="10" t="s">
        <v>2695</v>
      </c>
      <c r="B1256" s="7" t="str">
        <f>IFERROR(__xludf.DUMMYFUNCTION("SPLIT(A1256,"" "")"),"CCNCc1cccc(CN(C)C2CCC(N(C)Cc3cccc(-c4ccc5c(c4)OCCOCCOCCOCCOCCO5)n3)CC2)n1")</f>
        <v>CCNCc1cccc(CN(C)C2CCC(N(C)Cc3cccc(-c4ccc5c(c4)OCCOCCOCCOCCOCCO5)n3)CC2)n1</v>
      </c>
      <c r="C1256" s="7">
        <f>IFERROR(__xludf.DUMMYFUNCTION("""COMPUTED_VALUE"""),7.818258)</f>
        <v>7.818258</v>
      </c>
      <c r="D1256" s="7">
        <f>IFERROR(__xludf.DUMMYFUNCTION("""COMPUTED_VALUE"""),0.337837837837837)</f>
        <v>0.3378378378</v>
      </c>
    </row>
    <row r="1257">
      <c r="A1257" s="10" t="s">
        <v>2696</v>
      </c>
      <c r="B1257" s="7" t="str">
        <f>IFERROR(__xludf.DUMMYFUNCTION("SPLIT(A1257,"" "")"),"Cc1ccc(CN(C)C2CCCC(N(Cc3ccccn3)Cc3cccc(CN4CCN(C)CCN(C)CC4)n3)C2)nc1")</f>
        <v>Cc1ccc(CN(C)C2CCCC(N(Cc3ccccn3)Cc3cccc(CN4CCN(C)CCN(C)CC4)n3)C2)nc1</v>
      </c>
      <c r="C1257" s="7">
        <f>IFERROR(__xludf.DUMMYFUNCTION("""COMPUTED_VALUE"""),7.818258)</f>
        <v>7.818258</v>
      </c>
      <c r="D1257" s="7">
        <f>IFERROR(__xludf.DUMMYFUNCTION("""COMPUTED_VALUE"""),0.45)</f>
        <v>0.45</v>
      </c>
    </row>
    <row r="1258">
      <c r="A1258" s="10" t="s">
        <v>2697</v>
      </c>
      <c r="B1258" s="7" t="str">
        <f>IFERROR(__xludf.DUMMYFUNCTION("SPLIT(A1258,"" "")"),"CN(CN(C)C1CCCCC1N(C)C1C=CC=CN1)c1cc(Cl)ccn1")</f>
        <v>CN(CN(C)C1CCCCC1N(C)C1C=CC=CN1)c1cc(Cl)ccn1</v>
      </c>
      <c r="C1258" s="7">
        <f>IFERROR(__xludf.DUMMYFUNCTION("""COMPUTED_VALUE"""),7.8182435)</f>
        <v>7.8182435</v>
      </c>
      <c r="D1258" s="7">
        <f>IFERROR(__xludf.DUMMYFUNCTION("""COMPUTED_VALUE"""),0.311475409836065)</f>
        <v>0.3114754098</v>
      </c>
    </row>
    <row r="1259">
      <c r="A1259" s="10" t="s">
        <v>2698</v>
      </c>
      <c r="B1259" s="7" t="str">
        <f>IFERROR(__xludf.DUMMYFUNCTION("SPLIT(A1259,"" "")"),"CN1CCN(C)CCN(C(C)(C)N(C)C2CCCCC2N(C)c2ccc3cccnc3c2)CC1")</f>
        <v>CN1CCN(C)CCN(C(C)(C)N(C)C2CCCCC2N(C)c2ccc3cccnc3c2)CC1</v>
      </c>
      <c r="C1259" s="7">
        <f>IFERROR(__xludf.DUMMYFUNCTION("""COMPUTED_VALUE"""),7.8182373)</f>
        <v>7.8182373</v>
      </c>
      <c r="D1259" s="7">
        <f>IFERROR(__xludf.DUMMYFUNCTION("""COMPUTED_VALUE"""),0.428571428571428)</f>
        <v>0.4285714286</v>
      </c>
    </row>
    <row r="1260">
      <c r="A1260" s="10" t="s">
        <v>2699</v>
      </c>
      <c r="B1260" s="7" t="str">
        <f>IFERROR(__xludf.DUMMYFUNCTION("SPLIT(A1260,"" "")"),"Cc1ccc(CN(CCF)C2CCC(N(C)Cc3ncccc3C)CC2)nc1")</f>
        <v>Cc1ccc(CN(CCF)C2CCC(N(C)Cc3ncccc3C)CC2)nc1</v>
      </c>
      <c r="C1260" s="7">
        <f>IFERROR(__xludf.DUMMYFUNCTION("""COMPUTED_VALUE"""),7.818218)</f>
        <v>7.818218</v>
      </c>
      <c r="D1260" s="7">
        <f>IFERROR(__xludf.DUMMYFUNCTION("""COMPUTED_VALUE"""),0.428571428571428)</f>
        <v>0.4285714286</v>
      </c>
    </row>
    <row r="1261">
      <c r="A1261" s="10" t="s">
        <v>2700</v>
      </c>
      <c r="B1261" s="7" t="str">
        <f>IFERROR(__xludf.DUMMYFUNCTION("SPLIT(A1261,"" "")"),"Cc1cnc(CN(C)C2CCC(N(CCN(C)CCF)Cc3ccccn3)CC2)c(C)c1C")</f>
        <v>Cc1cnc(CN(C)C2CCC(N(CCN(C)CCF)Cc3ccccn3)CC2)c(C)c1C</v>
      </c>
      <c r="C1261" s="7">
        <f>IFERROR(__xludf.DUMMYFUNCTION("""COMPUTED_VALUE"""),7.8182125)</f>
        <v>7.8182125</v>
      </c>
      <c r="D1261" s="7">
        <f>IFERROR(__xludf.DUMMYFUNCTION("""COMPUTED_VALUE"""),0.389830508474576)</f>
        <v>0.3898305085</v>
      </c>
    </row>
    <row r="1262">
      <c r="A1262" s="10" t="s">
        <v>2701</v>
      </c>
      <c r="B1262" s="7" t="str">
        <f>IFERROR(__xludf.DUMMYFUNCTION("SPLIT(A1262,"" "")"),"CC(C)N(Cc1ccccn1)C1CCC(N(C)Cc2cccc(-c3cccc4c3OCCOCCOCCOCCOCCO4)n2)CC1")</f>
        <v>CC(C)N(Cc1ccccn1)C1CCC(N(C)Cc2cccc(-c3cccc4c3OCCOCCOCCOCCOCCO4)n2)CC1</v>
      </c>
      <c r="C1262" s="7">
        <f>IFERROR(__xludf.DUMMYFUNCTION("""COMPUTED_VALUE"""),7.8181963)</f>
        <v>7.8181963</v>
      </c>
      <c r="D1262" s="7">
        <f>IFERROR(__xludf.DUMMYFUNCTION("""COMPUTED_VALUE"""),0.378787878787878)</f>
        <v>0.3787878788</v>
      </c>
    </row>
    <row r="1263">
      <c r="A1263" s="10" t="s">
        <v>2702</v>
      </c>
      <c r="B1263" s="7" t="str">
        <f>IFERROR(__xludf.DUMMYFUNCTION("SPLIT(A1263,"" "")"),"CN(CCF)Cc1cccc(-c2ccc3c(c2)OCCOCCOCCOCCOCCO3)n1")</f>
        <v>CN(CCF)Cc1cccc(-c2ccc3c(c2)OCCOCCOCCOCCOCCO3)n1</v>
      </c>
      <c r="C1263" s="7">
        <f>IFERROR(__xludf.DUMMYFUNCTION("""COMPUTED_VALUE"""),7.8181953)</f>
        <v>7.8181953</v>
      </c>
      <c r="D1263" s="7">
        <f>IFERROR(__xludf.DUMMYFUNCTION("""COMPUTED_VALUE"""),0.372549019607843)</f>
        <v>0.3725490196</v>
      </c>
    </row>
    <row r="1264">
      <c r="A1264" s="10" t="s">
        <v>2703</v>
      </c>
      <c r="B1264" s="7" t="str">
        <f>IFERROR(__xludf.DUMMYFUNCTION("SPLIT(A1264,"" "")"),"CC1=CC(C)C(C)CC1NCc1ccccn1")</f>
        <v>CC1=CC(C)C(C)CC1NCc1ccccn1</v>
      </c>
      <c r="C1264" s="7">
        <f>IFERROR(__xludf.DUMMYFUNCTION("""COMPUTED_VALUE"""),7.8181868)</f>
        <v>7.8181868</v>
      </c>
      <c r="D1264" s="7">
        <f>IFERROR(__xludf.DUMMYFUNCTION("""COMPUTED_VALUE"""),0.404761904761904)</f>
        <v>0.4047619048</v>
      </c>
    </row>
    <row r="1265">
      <c r="A1265" s="10" t="s">
        <v>2704</v>
      </c>
      <c r="B1265" s="7" t="str">
        <f>IFERROR(__xludf.DUMMYFUNCTION("SPLIT(A1265,"" "")"),"CN(Cc1ccccn1)C1CCC(N(C)Cc2cc(-c3ccc4c(c3)OCCOCCOCCOCCOCCO4)ccn2)CC1")</f>
        <v>CN(Cc1ccccn1)C1CCC(N(C)Cc2cc(-c3ccc4c(c3)OCCOCCOCCOCCOCCO4)ccn2)CC1</v>
      </c>
      <c r="C1265" s="7">
        <f>IFERROR(__xludf.DUMMYFUNCTION("""COMPUTED_VALUE"""),7.818185)</f>
        <v>7.818185</v>
      </c>
      <c r="D1265" s="7">
        <f>IFERROR(__xludf.DUMMYFUNCTION("""COMPUTED_VALUE"""),0.436363636363636)</f>
        <v>0.4363636364</v>
      </c>
    </row>
    <row r="1266">
      <c r="A1266" s="10" t="s">
        <v>2705</v>
      </c>
      <c r="B1266" s="7" t="str">
        <f>IFERROR(__xludf.DUMMYFUNCTION("SPLIT(A1266,"" "")"),"CN(Cc1ccccn1)C1CCC(N(C)Cc2cccc(C3CCC3(C)C)n2)CC1")</f>
        <v>CN(Cc1ccccn1)C1CCC(N(C)Cc2cccc(C3CCC3(C)C)n2)CC1</v>
      </c>
      <c r="C1266" s="7">
        <f>IFERROR(__xludf.DUMMYFUNCTION("""COMPUTED_VALUE"""),7.8181696)</f>
        <v>7.8181696</v>
      </c>
      <c r="D1266" s="7">
        <f>IFERROR(__xludf.DUMMYFUNCTION("""COMPUTED_VALUE"""),0.48)</f>
        <v>0.48</v>
      </c>
    </row>
    <row r="1267">
      <c r="A1267" s="10" t="s">
        <v>2706</v>
      </c>
      <c r="B1267" s="7" t="str">
        <f>IFERROR(__xludf.DUMMYFUNCTION("SPLIT(A1267,"" "")"),"CN1CCN(Cc2cc(-c3ccc4c(c3)OCCOCCOCCOCCOCCO4)ccn2)CCN(Cc2cc(C(C)(C)C)ccn2)CC1")</f>
        <v>CN1CCN(Cc2cc(-c3ccc4c(c3)OCCOCCOCCOCCOCCO4)ccn2)CCN(Cc2cc(C(C)(C)C)ccn2)CC1</v>
      </c>
      <c r="C1267" s="7">
        <f>IFERROR(__xludf.DUMMYFUNCTION("""COMPUTED_VALUE"""),7.8181677)</f>
        <v>7.8181677</v>
      </c>
      <c r="D1267" s="7">
        <f>IFERROR(__xludf.DUMMYFUNCTION("""COMPUTED_VALUE"""),0.454545454545454)</f>
        <v>0.4545454545</v>
      </c>
    </row>
    <row r="1268">
      <c r="A1268" s="10" t="s">
        <v>2707</v>
      </c>
      <c r="B1268" s="7" t="str">
        <f>IFERROR(__xludf.DUMMYFUNCTION("SPLIT(A1268,"" "")"),"Cc1cccc(CN(C)C2CCCC(N(C)Cc3cccc(-c4cccc5c4OCCOCCOCCOCCOCCO5)n3)C2)c1")</f>
        <v>Cc1cccc(CN(C)C2CCCC(N(C)Cc3cccc(-c4cccc5c4OCCOCCOCCOCCOCCO5)n3)C2)c1</v>
      </c>
      <c r="C1268" s="7">
        <f>IFERROR(__xludf.DUMMYFUNCTION("""COMPUTED_VALUE"""),7.818159)</f>
        <v>7.818159</v>
      </c>
      <c r="D1268" s="7">
        <f>IFERROR(__xludf.DUMMYFUNCTION("""COMPUTED_VALUE"""),0.333333333333333)</f>
        <v>0.3333333333</v>
      </c>
    </row>
    <row r="1269">
      <c r="A1269" s="10" t="s">
        <v>2708</v>
      </c>
      <c r="B1269" s="7" t="str">
        <f>IFERROR(__xludf.DUMMYFUNCTION("SPLIT(A1269,"" "")"),"CC(C)c1cc(CN2CCN(C)CCN(Cc3cc(C(C)C(C)C)ccn3)CC2)ccn1")</f>
        <v>CC(C)c1cc(CN2CCN(C)CCN(Cc3cc(C(C)C(C)C)ccn3)CC2)ccn1</v>
      </c>
      <c r="C1269" s="7">
        <f>IFERROR(__xludf.DUMMYFUNCTION("""COMPUTED_VALUE"""),7.8181314)</f>
        <v>7.8181314</v>
      </c>
      <c r="D1269" s="7">
        <f>IFERROR(__xludf.DUMMYFUNCTION("""COMPUTED_VALUE"""),0.5)</f>
        <v>0.5</v>
      </c>
    </row>
    <row r="1270">
      <c r="A1270" s="10" t="s">
        <v>2709</v>
      </c>
      <c r="B1270" s="7" t="str">
        <f>IFERROR(__xludf.DUMMYFUNCTION("SPLIT(A1270,"" "")"),"Cc1nc(CN(C)C2CCCCC2N(C)CCN(C)CCF)c(C)c(C)c1C")</f>
        <v>Cc1nc(CN(C)C2CCCCC2N(C)CCN(C)CCF)c(C)c(C)c1C</v>
      </c>
      <c r="C1270" s="7">
        <f>IFERROR(__xludf.DUMMYFUNCTION("""COMPUTED_VALUE"""),7.818125)</f>
        <v>7.818125</v>
      </c>
      <c r="D1270" s="7">
        <f>IFERROR(__xludf.DUMMYFUNCTION("""COMPUTED_VALUE"""),0.365384615384615)</f>
        <v>0.3653846154</v>
      </c>
    </row>
    <row r="1271">
      <c r="A1271" s="10" t="s">
        <v>2710</v>
      </c>
      <c r="B1271" s="7" t="str">
        <f>IFERROR(__xludf.DUMMYFUNCTION("SPLIT(A1271,"" "")"),"CN(CC1=C(N(C)Cc2ccccn2)CC=CN1)Cc1ccc2c(c1)OCCOCCOCCOCCOCCO2")</f>
        <v>CN(CC1=C(N(C)Cc2ccccn2)CC=CN1)Cc1ccc2c(c1)OCCOCCOCCOCCOCCO2</v>
      </c>
      <c r="C1271" s="7">
        <f>IFERROR(__xludf.DUMMYFUNCTION("""COMPUTED_VALUE"""),7.818121)</f>
        <v>7.818121</v>
      </c>
      <c r="D1271" s="7">
        <f>IFERROR(__xludf.DUMMYFUNCTION("""COMPUTED_VALUE"""),0.34375)</f>
        <v>0.34375</v>
      </c>
    </row>
    <row r="1272">
      <c r="A1272" s="10" t="s">
        <v>2711</v>
      </c>
      <c r="B1272" s="7" t="str">
        <f>IFERROR(__xludf.DUMMYFUNCTION("SPLIT(A1272,"" "")"),"CNCc1ncccc1CN(C)C1CCC(N(C)Cc2ccccn2)CC1")</f>
        <v>CNCc1ncccc1CN(C)C1CCC(N(C)Cc2ccccn2)CC1</v>
      </c>
      <c r="C1272" s="7">
        <f>IFERROR(__xludf.DUMMYFUNCTION("""COMPUTED_VALUE"""),7.8181067)</f>
        <v>7.8181067</v>
      </c>
      <c r="D1272" s="7">
        <f>IFERROR(__xludf.DUMMYFUNCTION("""COMPUTED_VALUE"""),0.5)</f>
        <v>0.5</v>
      </c>
    </row>
    <row r="1273">
      <c r="A1273" s="10" t="s">
        <v>2712</v>
      </c>
      <c r="B1273" s="7" t="str">
        <f>IFERROR(__xludf.DUMMYFUNCTION("SPLIT(A1273,"" "")"),"CN(Cc1ccc(-c2ccc3c(c2)OCCOCCOCCOCCOCCO3)nc1)C1CCC(N(C)Cc2ccccn2)CC1")</f>
        <v>CN(Cc1ccc(-c2ccc3c(c2)OCCOCCOCCOCCOCCO3)nc1)C1CCC(N(C)Cc2ccccn2)CC1</v>
      </c>
      <c r="C1273" s="7">
        <f>IFERROR(__xludf.DUMMYFUNCTION("""COMPUTED_VALUE"""),7.8180594)</f>
        <v>7.8180594</v>
      </c>
      <c r="D1273" s="7">
        <f>IFERROR(__xludf.DUMMYFUNCTION("""COMPUTED_VALUE"""),0.393442622950819)</f>
        <v>0.393442623</v>
      </c>
    </row>
    <row r="1274">
      <c r="A1274" s="10" t="s">
        <v>2713</v>
      </c>
      <c r="B1274" s="7" t="str">
        <f>IFERROR(__xludf.DUMMYFUNCTION("SPLIT(A1274,"" "")"),"CNC(C)(C)N(C)C1CCC(N(C)Cc2cc(C)c(C)c(C)n2)CC1")</f>
        <v>CNC(C)(C)N(C)C1CCC(N(C)Cc2cc(C)c(C)c(C)n2)CC1</v>
      </c>
      <c r="C1274" s="7">
        <f>IFERROR(__xludf.DUMMYFUNCTION("""COMPUTED_VALUE"""),7.818056)</f>
        <v>7.818056</v>
      </c>
      <c r="D1274" s="7">
        <f>IFERROR(__xludf.DUMMYFUNCTION("""COMPUTED_VALUE"""),0.309090909090909)</f>
        <v>0.3090909091</v>
      </c>
    </row>
    <row r="1275">
      <c r="A1275" s="10" t="s">
        <v>2714</v>
      </c>
      <c r="B1275" s="7" t="str">
        <f>IFERROR(__xludf.DUMMYFUNCTION("SPLIT(A1275,"" "")"),"CC(C)C(c1ccccn1)N(C)C1CCCC(N(C)Cc2cccnn2)C1")</f>
        <v>CC(C)C(c1ccccn1)N(C)C1CCCC(N(C)Cc2cccnn2)C1</v>
      </c>
      <c r="C1275" s="7">
        <f>IFERROR(__xludf.DUMMYFUNCTION("""COMPUTED_VALUE"""),7.818055)</f>
        <v>7.818055</v>
      </c>
      <c r="D1275" s="7">
        <f>IFERROR(__xludf.DUMMYFUNCTION("""COMPUTED_VALUE"""),0.410714285714285)</f>
        <v>0.4107142857</v>
      </c>
    </row>
    <row r="1276">
      <c r="A1276" s="10" t="s">
        <v>2715</v>
      </c>
      <c r="B1276" s="7" t="str">
        <f>IFERROR(__xludf.DUMMYFUNCTION("SPLIT(A1276,"" "")"),"C#CCNCc1ncccc1CN1CCN(C)CCN(Cc2ncccc2C(C)(C)c2ccccn2)CC1")</f>
        <v>C#CCNCc1ncccc1CN1CCN(C)CCN(Cc2ncccc2C(C)(C)c2ccccn2)CC1</v>
      </c>
      <c r="C1276" s="7">
        <f>IFERROR(__xludf.DUMMYFUNCTION("""COMPUTED_VALUE"""),7.818052)</f>
        <v>7.818052</v>
      </c>
      <c r="D1276" s="7">
        <f>IFERROR(__xludf.DUMMYFUNCTION("""COMPUTED_VALUE"""),0.389830508474576)</f>
        <v>0.3898305085</v>
      </c>
    </row>
    <row r="1277">
      <c r="A1277" s="10" t="s">
        <v>2716</v>
      </c>
      <c r="B1277" s="7" t="str">
        <f>IFERROR(__xludf.DUMMYFUNCTION("SPLIT(A1277,"" "")"),"CN1CCN(C)CCN(C(C)(C)c2cncc(C3CCC3(C)C)c2)CC1")</f>
        <v>CN1CCN(C)CCN(C(C)(C)c2cncc(C3CCC3(C)C)c2)CC1</v>
      </c>
      <c r="C1277" s="7">
        <f>IFERROR(__xludf.DUMMYFUNCTION("""COMPUTED_VALUE"""),7.8180385)</f>
        <v>7.8180385</v>
      </c>
      <c r="D1277" s="7">
        <f>IFERROR(__xludf.DUMMYFUNCTION("""COMPUTED_VALUE"""),0.222222222222222)</f>
        <v>0.2222222222</v>
      </c>
    </row>
    <row r="1278">
      <c r="A1278" s="10" t="s">
        <v>2717</v>
      </c>
      <c r="B1278" s="7" t="str">
        <f>IFERROR(__xludf.DUMMYFUNCTION("SPLIT(A1278,"" "")"),"CC(C)N(Cc1ccccn1)C1CCC(N(C)Cc2cccc(-c3ccc4c(c3)OCCOCCOCCOCCOCCO4)n2)CC1")</f>
        <v>CC(C)N(Cc1ccccn1)C1CCC(N(C)Cc2cccc(-c3ccc4c(c3)OCCOCCOCCOCCOCCO4)n2)CC1</v>
      </c>
      <c r="C1278" s="7">
        <f>IFERROR(__xludf.DUMMYFUNCTION("""COMPUTED_VALUE"""),7.8180184)</f>
        <v>7.8180184</v>
      </c>
      <c r="D1278" s="7">
        <f>IFERROR(__xludf.DUMMYFUNCTION("""COMPUTED_VALUE"""),0.394366197183098)</f>
        <v>0.3943661972</v>
      </c>
    </row>
    <row r="1279">
      <c r="A1279" s="10" t="s">
        <v>2718</v>
      </c>
      <c r="B1279" s="7" t="str">
        <f>IFERROR(__xludf.DUMMYFUNCTION("SPLIT(A1279,"" "")"),"CC(C)C1=CC2(C=CN1)C=CC(C)(C)C(C)C2")</f>
        <v>CC(C)C1=CC2(C=CN1)C=CC(C)(C)C(C)C2</v>
      </c>
      <c r="C1279" s="7">
        <f>IFERROR(__xludf.DUMMYFUNCTION("""COMPUTED_VALUE"""),7.8180084)</f>
        <v>7.8180084</v>
      </c>
      <c r="D1279" s="7">
        <f>IFERROR(__xludf.DUMMYFUNCTION("""COMPUTED_VALUE"""),0.135593220338983)</f>
        <v>0.1355932203</v>
      </c>
    </row>
    <row r="1280">
      <c r="A1280" s="10" t="s">
        <v>2719</v>
      </c>
      <c r="B1280" s="7" t="str">
        <f>IFERROR(__xludf.DUMMYFUNCTION("SPLIT(A1280,"" "")"),"CNc1cccc(CN2CCN(C)CCN(Cc3cccc(-c4ccc5c(c4)OCCOCCOCCOCCOCCO5)n3)CC2)n1")</f>
        <v>CNc1cccc(CN2CCN(C)CCN(Cc3cccc(-c4ccc5c(c4)OCCOCCOCCOCCOCCO5)n3)CC2)n1</v>
      </c>
      <c r="C1280" s="7">
        <f>IFERROR(__xludf.DUMMYFUNCTION("""COMPUTED_VALUE"""),7.817996)</f>
        <v>7.817996</v>
      </c>
      <c r="D1280" s="7">
        <f>IFERROR(__xludf.DUMMYFUNCTION("""COMPUTED_VALUE"""),0.413793103448275)</f>
        <v>0.4137931034</v>
      </c>
    </row>
    <row r="1281">
      <c r="A1281" s="10" t="s">
        <v>2720</v>
      </c>
      <c r="B1281" s="7" t="str">
        <f>IFERROR(__xludf.DUMMYFUNCTION("SPLIT(A1281,"" "")"),"Cc1cc(CN(C)C2CCC(N(C)C3C=CC=CN3)CC2)nc(C)c1C")</f>
        <v>Cc1cc(CN(C)C2CCC(N(C)C3C=CC=CN3)CC2)nc(C)c1C</v>
      </c>
      <c r="C1281" s="7">
        <f>IFERROR(__xludf.DUMMYFUNCTION("""COMPUTED_VALUE"""),7.8179836)</f>
        <v>7.8179836</v>
      </c>
      <c r="D1281" s="7">
        <f>IFERROR(__xludf.DUMMYFUNCTION("""COMPUTED_VALUE"""),0.266666666666666)</f>
        <v>0.2666666667</v>
      </c>
    </row>
    <row r="1282">
      <c r="A1282" s="10" t="s">
        <v>2721</v>
      </c>
      <c r="B1282" s="7" t="str">
        <f>IFERROR(__xludf.DUMMYFUNCTION("SPLIT(A1282,"" "")"),"Cc1cnc(CN(C)C2CCC(N(C)C(C)C)CC2)c(C)c1C")</f>
        <v>Cc1cnc(CN(C)C2CCC(N(C)C(C)C)CC2)c(C)c1C</v>
      </c>
      <c r="C1282" s="7">
        <f>IFERROR(__xludf.DUMMYFUNCTION("""COMPUTED_VALUE"""),7.817975)</f>
        <v>7.817975</v>
      </c>
      <c r="D1282" s="7">
        <f>IFERROR(__xludf.DUMMYFUNCTION("""COMPUTED_VALUE"""),0.313725490196078)</f>
        <v>0.3137254902</v>
      </c>
    </row>
    <row r="1283">
      <c r="A1283" s="10" t="s">
        <v>2722</v>
      </c>
      <c r="B1283" s="7" t="str">
        <f>IFERROR(__xludf.DUMMYFUNCTION("SPLIT(A1283,"" "")"),"CC1C=CC(C)C(C)(NCc2ccccn2)C1")</f>
        <v>CC1C=CC(C)C(C)(NCc2ccccn2)C1</v>
      </c>
      <c r="C1283" s="7">
        <f>IFERROR(__xludf.DUMMYFUNCTION("""COMPUTED_VALUE"""),7.8179746)</f>
        <v>7.8179746</v>
      </c>
      <c r="D1283" s="7">
        <f>IFERROR(__xludf.DUMMYFUNCTION("""COMPUTED_VALUE"""),0.404761904761904)</f>
        <v>0.4047619048</v>
      </c>
    </row>
    <row r="1284">
      <c r="A1284" s="10" t="s">
        <v>2723</v>
      </c>
      <c r="B1284" s="7" t="str">
        <f>IFERROR(__xludf.DUMMYFUNCTION("SPLIT(A1284,"" "")"),"CN(Cc1ccc(C2=CC3OCCOC=COCCOCCOCCOC3C=C2)cn1)Cc1cccnc1-c1ccc2c(c1)OCCOCCOCCOCCOCCO2")</f>
        <v>CN(Cc1ccc(C2=CC3OCCOC=COCCOCCOCCOC3C=C2)cn1)Cc1cccnc1-c1ccc2c(c1)OCCOCCOCCOCCOCCO2</v>
      </c>
      <c r="C1284" s="7">
        <f>IFERROR(__xludf.DUMMYFUNCTION("""COMPUTED_VALUE"""),7.8179703)</f>
        <v>7.8179703</v>
      </c>
      <c r="D1284" s="7">
        <f>IFERROR(__xludf.DUMMYFUNCTION("""COMPUTED_VALUE"""),0.349397590361445)</f>
        <v>0.3493975904</v>
      </c>
    </row>
    <row r="1285">
      <c r="A1285" s="10" t="s">
        <v>2724</v>
      </c>
      <c r="B1285" s="7" t="str">
        <f>IFERROR(__xludf.DUMMYFUNCTION("SPLIT(A1285,"" "")"),"CNCc1cc(CN(Cc2ccccn2)C(C)(N)c2ccc3c(c2)OCCOCCOCCOCCOCCO3)ccn1")</f>
        <v>CNCc1cc(CN(Cc2ccccn2)C(C)(N)c2ccc3c(c2)OCCOCCOCCOCCOCCO3)ccn1</v>
      </c>
      <c r="C1285" s="7">
        <f>IFERROR(__xludf.DUMMYFUNCTION("""COMPUTED_VALUE"""),7.817957)</f>
        <v>7.817957</v>
      </c>
      <c r="D1285" s="7">
        <f>IFERROR(__xludf.DUMMYFUNCTION("""COMPUTED_VALUE"""),0.303030303030303)</f>
        <v>0.303030303</v>
      </c>
    </row>
    <row r="1286">
      <c r="A1286" s="10" t="s">
        <v>2725</v>
      </c>
      <c r="B1286" s="7" t="str">
        <f>IFERROR(__xludf.DUMMYFUNCTION("SPLIT(A1286,"" "")"),"CC(C)C(C)N(C)Cc1cccc(-c2cccc3c2OCCOCCOCCOCCOCCO3)n1")</f>
        <v>CC(C)C(C)N(C)Cc1cccc(-c2cccc3c2OCCOCCOCCOCCOCCO3)n1</v>
      </c>
      <c r="C1286" s="7">
        <f>IFERROR(__xludf.DUMMYFUNCTION("""COMPUTED_VALUE"""),7.8179445)</f>
        <v>7.8179445</v>
      </c>
      <c r="D1286" s="7">
        <f>IFERROR(__xludf.DUMMYFUNCTION("""COMPUTED_VALUE"""),0.305084745762711)</f>
        <v>0.3050847458</v>
      </c>
    </row>
    <row r="1287">
      <c r="A1287" s="10" t="s">
        <v>2726</v>
      </c>
      <c r="B1287" s="7" t="str">
        <f>IFERROR(__xludf.DUMMYFUNCTION("SPLIT(A1287,"" "")"),"CN(Cc1ccc(-c2cccc3c2OCCOCCOCCOCCOCCO3)cn1)C1CCCCC1N(C)Cc1ccc(-c2cccc3c2OCCOCCOCCOCCOCCO3)cn1")</f>
        <v>CN(Cc1ccc(-c2cccc3c2OCCOCCOCCOCCOCCO3)cn1)C1CCCCC1N(C)Cc1ccc(-c2cccc3c2OCCOCCOCCOCCOCCO3)cn1</v>
      </c>
      <c r="C1287" s="7">
        <f>IFERROR(__xludf.DUMMYFUNCTION("""COMPUTED_VALUE"""),7.817928)</f>
        <v>7.817928</v>
      </c>
      <c r="D1287" s="7">
        <f>IFERROR(__xludf.DUMMYFUNCTION("""COMPUTED_VALUE"""),0.481481481481481)</f>
        <v>0.4814814815</v>
      </c>
    </row>
    <row r="1288">
      <c r="A1288" s="10" t="s">
        <v>2727</v>
      </c>
      <c r="B1288" s="7" t="str">
        <f>IFERROR(__xludf.DUMMYFUNCTION("SPLIT(A1288,"" "")"),"CCN(Cc1ccccn1)C1CCC(N(C)Cc2ncccc2-c2ccc3c(c2)OCCOCCOCCOCCOCCO3)CC1")</f>
        <v>CCN(Cc1ccccn1)C1CCC(N(C)Cc2ncccc2-c2ccc3c(c2)OCCOCCOCCOCCOCCO3)CC1</v>
      </c>
      <c r="C1288" s="7">
        <f>IFERROR(__xludf.DUMMYFUNCTION("""COMPUTED_VALUE"""),7.8179197)</f>
        <v>7.8179197</v>
      </c>
      <c r="D1288" s="7">
        <f>IFERROR(__xludf.DUMMYFUNCTION("""COMPUTED_VALUE"""),0.348484848484848)</f>
        <v>0.3484848485</v>
      </c>
    </row>
    <row r="1289">
      <c r="A1289" s="10" t="s">
        <v>2728</v>
      </c>
      <c r="B1289" s="7" t="str">
        <f>IFERROR(__xludf.DUMMYFUNCTION("SPLIT(A1289,"" "")"),"CN(Cc1cccc(CN(C)C2CCCCC2N(C)Cc2cccc(-c3ccc4c(c3)OCCOCCOCCOCCOCCO4)n2)n1)C1CCC(N(C)Cc2cccc(-c3ccc4c(c3)OCCOCCOCCOCCOCCO4)n2)CC1")</f>
        <v>CN(Cc1cccc(CN(C)C2CCCCC2N(C)Cc2cccc(-c3ccc4c(c3)OCCOCCOCCOCCOCCO4)n2)n1)C1CCC(N(C)Cc2cccc(-c3ccc4c(c3)OCCOCCOCCOCCOCCO4)n2)CC1</v>
      </c>
      <c r="C1289" s="7">
        <f>IFERROR(__xludf.DUMMYFUNCTION("""COMPUTED_VALUE"""),7.8179116)</f>
        <v>7.8179116</v>
      </c>
      <c r="D1289" s="7">
        <f>IFERROR(__xludf.DUMMYFUNCTION("""COMPUTED_VALUE"""),0.456140350877192)</f>
        <v>0.4561403509</v>
      </c>
    </row>
    <row r="1290">
      <c r="A1290" s="10" t="s">
        <v>2729</v>
      </c>
      <c r="B1290" s="7" t="str">
        <f>IFERROR(__xludf.DUMMYFUNCTION("SPLIT(A1290,"" "")"),"CC(C)N(Cc1ccccn1)C1CCC(N(C)Cc2cc(-c3ccc4c(c3)OCCOCCOCCOCCOCCO4)ccn2)CC1")</f>
        <v>CC(C)N(Cc1ccccn1)C1CCC(N(C)Cc2cc(-c3ccc4c(c3)OCCOCCOCCOCCOCCO4)ccn2)CC1</v>
      </c>
      <c r="C1290" s="7">
        <f>IFERROR(__xludf.DUMMYFUNCTION("""COMPUTED_VALUE"""),7.8179073)</f>
        <v>7.8179073</v>
      </c>
      <c r="D1290" s="7">
        <f>IFERROR(__xludf.DUMMYFUNCTION("""COMPUTED_VALUE"""),0.387096774193548)</f>
        <v>0.3870967742</v>
      </c>
    </row>
    <row r="1291">
      <c r="A1291" s="10" t="s">
        <v>2730</v>
      </c>
      <c r="B1291" s="7" t="str">
        <f>IFERROR(__xludf.DUMMYFUNCTION("SPLIT(A1291,"" "")"),"CN(Cc1cc(-c2ccc3c(c2)OCCOCCOCCOCCOCCO3)ccn1)C1CCCCC1N(C)Cc1cccc(-c2ccc3c(c2)OCCOCCOCCOCCOCCO3)n1")</f>
        <v>CN(Cc1cc(-c2ccc3c(c2)OCCOCCOCCOCCOCCO3)ccn1)C1CCCCC1N(C)Cc1cccc(-c2ccc3c(c2)OCCOCCOCCOCCOCCO3)n1</v>
      </c>
      <c r="C1291" s="7">
        <f>IFERROR(__xludf.DUMMYFUNCTION("""COMPUTED_VALUE"""),7.817901)</f>
        <v>7.817901</v>
      </c>
      <c r="D1291" s="7">
        <f>IFERROR(__xludf.DUMMYFUNCTION("""COMPUTED_VALUE"""),0.440677966101694)</f>
        <v>0.4406779661</v>
      </c>
    </row>
    <row r="1292">
      <c r="A1292" s="10" t="s">
        <v>2731</v>
      </c>
      <c r="B1292" s="7" t="str">
        <f>IFERROR(__xludf.DUMMYFUNCTION("SPLIT(A1292,"" "")"),"CCC(C)(c1ccccn1)c1cccc(CN(CCF)C2CCCCC2)n1")</f>
        <v>CCC(C)(c1ccccn1)c1cccc(CN(CCF)C2CCCCC2)n1</v>
      </c>
      <c r="C1292" s="7">
        <f>IFERROR(__xludf.DUMMYFUNCTION("""COMPUTED_VALUE"""),7.8178973)</f>
        <v>7.8178973</v>
      </c>
      <c r="D1292" s="7">
        <f>IFERROR(__xludf.DUMMYFUNCTION("""COMPUTED_VALUE"""),0.35593220338983)</f>
        <v>0.3559322034</v>
      </c>
    </row>
    <row r="1293">
      <c r="A1293" s="10" t="s">
        <v>2732</v>
      </c>
      <c r="B1293" s="7" t="str">
        <f>IFERROR(__xludf.DUMMYFUNCTION("SPLIT(A1293,"" "")"),"CN(Cc1ccccn1)C1CCCC(N(Cc2ccccn2)CC2C=CNC=C2)C1")</f>
        <v>CN(Cc1ccccn1)C1CCCC(N(Cc2ccccn2)CC2C=CNC=C2)C1</v>
      </c>
      <c r="C1293" s="7">
        <f>IFERROR(__xludf.DUMMYFUNCTION("""COMPUTED_VALUE"""),7.817887)</f>
        <v>7.817887</v>
      </c>
      <c r="D1293" s="7">
        <f>IFERROR(__xludf.DUMMYFUNCTION("""COMPUTED_VALUE"""),0.490196078431372)</f>
        <v>0.4901960784</v>
      </c>
    </row>
    <row r="1294">
      <c r="A1294" s="10" t="s">
        <v>2733</v>
      </c>
      <c r="B1294" s="7" t="str">
        <f>IFERROR(__xludf.DUMMYFUNCTION("SPLIT(A1294,"" "")"),"CCNC(C)C(C)C")</f>
        <v>CCNC(C)C(C)C</v>
      </c>
      <c r="C1294" s="7">
        <f>IFERROR(__xludf.DUMMYFUNCTION("""COMPUTED_VALUE"""),7.817864)</f>
        <v>7.817864</v>
      </c>
      <c r="D1294" s="7">
        <f>IFERROR(__xludf.DUMMYFUNCTION("""COMPUTED_VALUE"""),0.108695652173913)</f>
        <v>0.1086956522</v>
      </c>
    </row>
    <row r="1295">
      <c r="A1295" s="10" t="s">
        <v>2734</v>
      </c>
      <c r="B1295" s="7" t="str">
        <f>IFERROR(__xludf.DUMMYFUNCTION("SPLIT(A1295,"" "")"),"CN(Cc1cccc(C2CC3OCCOCCOCCOCCOCCOC32)n1)C1CCC(N(C)c2ccc3nc(CF)ccc3c2)CC1")</f>
        <v>CN(Cc1cccc(C2CC3OCCOCCOCCOCCOCCOC32)n1)C1CCC(N(C)c2ccc3nc(CF)ccc3c2)CC1</v>
      </c>
      <c r="C1295" s="7">
        <f>IFERROR(__xludf.DUMMYFUNCTION("""COMPUTED_VALUE"""),7.8178635)</f>
        <v>7.8178635</v>
      </c>
      <c r="D1295" s="7">
        <f>IFERROR(__xludf.DUMMYFUNCTION("""COMPUTED_VALUE"""),0.298701298701298)</f>
        <v>0.2987012987</v>
      </c>
    </row>
    <row r="1296">
      <c r="A1296" s="10" t="s">
        <v>2735</v>
      </c>
      <c r="B1296" s="7" t="str">
        <f>IFERROR(__xludf.DUMMYFUNCTION("SPLIT(A1296,"" "")"),"Cc1nc(CN(C)CCCN2CCN(C)CCN(C)CC2)c(C)c(C)c1C")</f>
        <v>Cc1nc(CN(C)CCCN2CCN(C)CCN(C)CC2)c(C)c(C)c1C</v>
      </c>
      <c r="C1296" s="7">
        <f>IFERROR(__xludf.DUMMYFUNCTION("""COMPUTED_VALUE"""),7.8178606)</f>
        <v>7.8178606</v>
      </c>
      <c r="D1296" s="7">
        <f>IFERROR(__xludf.DUMMYFUNCTION("""COMPUTED_VALUE"""),0.306122448979591)</f>
        <v>0.306122449</v>
      </c>
    </row>
    <row r="1297">
      <c r="A1297" s="10" t="s">
        <v>2736</v>
      </c>
      <c r="B1297" s="7" t="str">
        <f>IFERROR(__xludf.DUMMYFUNCTION("SPLIT(A1297,"" "")"),"Cc1cc(N(C)CCCN2CCN(C)CCN(C)CC2)cc(C)c1C")</f>
        <v>Cc1cc(N(C)CCCN2CCN(C)CCN(C)CC2)cc(C)c1C</v>
      </c>
      <c r="C1297" s="7">
        <f>IFERROR(__xludf.DUMMYFUNCTION("""COMPUTED_VALUE"""),7.817842)</f>
        <v>7.817842</v>
      </c>
      <c r="D1297" s="7">
        <f>IFERROR(__xludf.DUMMYFUNCTION("""COMPUTED_VALUE"""),0.326086956521739)</f>
        <v>0.3260869565</v>
      </c>
    </row>
    <row r="1298">
      <c r="A1298" s="10" t="s">
        <v>2737</v>
      </c>
      <c r="B1298" s="7" t="str">
        <f>IFERROR(__xludf.DUMMYFUNCTION("SPLIT(A1298,"" "")"),"CC1C=CC(C)(C)C(N(C)CC2=CCC=CN2)C1C")</f>
        <v>CC1C=CC(C)(C)C(N(C)CC2=CCC=CN2)C1C</v>
      </c>
      <c r="C1298" s="7">
        <f>IFERROR(__xludf.DUMMYFUNCTION("""COMPUTED_VALUE"""),7.817824)</f>
        <v>7.817824</v>
      </c>
      <c r="D1298" s="7">
        <f>IFERROR(__xludf.DUMMYFUNCTION("""COMPUTED_VALUE"""),0.339285714285714)</f>
        <v>0.3392857143</v>
      </c>
    </row>
    <row r="1299">
      <c r="A1299" s="10" t="s">
        <v>2738</v>
      </c>
      <c r="B1299" s="7" t="str">
        <f>IFERROR(__xludf.DUMMYFUNCTION("SPLIT(A1299,"" "")"),"CN1CCN(Cc2cc(-c3ccc4c(c3)OCCOCCOCCOCCOCCO4)ccn2)CCN(C(C)(C)c2cccnc2C2CCC2(C)C)CC1")</f>
        <v>CN1CCN(Cc2cc(-c3ccc4c(c3)OCCOCCOCCOCCOCCO4)ccn2)CCN(C(C)(C)c2cccnc2C2CCC2(C)C)CC1</v>
      </c>
      <c r="C1299" s="7">
        <f>IFERROR(__xludf.DUMMYFUNCTION("""COMPUTED_VALUE"""),7.8178234)</f>
        <v>7.8178234</v>
      </c>
      <c r="D1299" s="7">
        <f>IFERROR(__xludf.DUMMYFUNCTION("""COMPUTED_VALUE"""),0.36144578313253)</f>
        <v>0.3614457831</v>
      </c>
    </row>
    <row r="1300">
      <c r="A1300" s="10" t="s">
        <v>2739</v>
      </c>
      <c r="B1300" s="7" t="str">
        <f>IFERROR(__xludf.DUMMYFUNCTION("SPLIT(A1300,"" "")"),"CN(Cc1ccc(-c2ccc3c(c2)OCCOCCOCCOCCOCCO3)cn1)C1CCCCC1N(C)Cc1cccc(-c2ccc3c(c2)OCCOCCOCCOCCOCCO3)n1")</f>
        <v>CN(Cc1ccc(-c2ccc3c(c2)OCCOCCOCCOCCOCCO3)cn1)C1CCCCC1N(C)Cc1cccc(-c2ccc3c(c2)OCCOCCOCCOCCOCCO3)n1</v>
      </c>
      <c r="C1300" s="7">
        <f>IFERROR(__xludf.DUMMYFUNCTION("""COMPUTED_VALUE"""),7.8178015)</f>
        <v>7.8178015</v>
      </c>
      <c r="D1300" s="7">
        <f>IFERROR(__xludf.DUMMYFUNCTION("""COMPUTED_VALUE"""),0.5)</f>
        <v>0.5</v>
      </c>
    </row>
    <row r="1301">
      <c r="A1301" s="10" t="s">
        <v>2740</v>
      </c>
      <c r="B1301" s="7" t="str">
        <f>IFERROR(__xludf.DUMMYFUNCTION("SPLIT(A1301,"" "")"),"Cc1cc(C)c(CN2CCN(C)CCN(C(C)C)CC2)nc1C")</f>
        <v>Cc1cc(C)c(CN2CCN(C)CCN(C(C)C)CC2)nc1C</v>
      </c>
      <c r="C1301" s="7">
        <f>IFERROR(__xludf.DUMMYFUNCTION("""COMPUTED_VALUE"""),7.8178005)</f>
        <v>7.8178005</v>
      </c>
      <c r="D1301" s="7">
        <f>IFERROR(__xludf.DUMMYFUNCTION("""COMPUTED_VALUE"""),0.413043478260869)</f>
        <v>0.4130434783</v>
      </c>
    </row>
    <row r="1302">
      <c r="A1302" s="10" t="s">
        <v>2741</v>
      </c>
      <c r="B1302" s="7" t="str">
        <f>IFERROR(__xludf.DUMMYFUNCTION("SPLIT(A1302,"" "")"),"NC1=CNCC=C1")</f>
        <v>NC1=CNCC=C1</v>
      </c>
      <c r="C1302" s="7">
        <f>IFERROR(__xludf.DUMMYFUNCTION("""COMPUTED_VALUE"""),7.8177958)</f>
        <v>7.8177958</v>
      </c>
      <c r="D1302" s="7">
        <f>IFERROR(__xludf.DUMMYFUNCTION("""COMPUTED_VALUE"""),0.113636363636363)</f>
        <v>0.1136363636</v>
      </c>
    </row>
    <row r="1303">
      <c r="A1303" s="10" t="s">
        <v>2742</v>
      </c>
      <c r="B1303" s="7" t="str">
        <f>IFERROR(__xludf.DUMMYFUNCTION("SPLIT(A1303,"" "")"),"CN(C)C1CCC(N(C)Cc2cccc(C3CC(C)(C)C3)n2)CC1")</f>
        <v>CN(C)C1CCC(N(C)Cc2cccc(C3CC(C)(C)C3)n2)CC1</v>
      </c>
      <c r="C1303" s="7">
        <f>IFERROR(__xludf.DUMMYFUNCTION("""COMPUTED_VALUE"""),7.8177876)</f>
        <v>7.8177876</v>
      </c>
      <c r="D1303" s="7">
        <f>IFERROR(__xludf.DUMMYFUNCTION("""COMPUTED_VALUE"""),0.4)</f>
        <v>0.4</v>
      </c>
    </row>
    <row r="1304">
      <c r="A1304" s="10" t="s">
        <v>2743</v>
      </c>
      <c r="B1304" s="7" t="str">
        <f>IFERROR(__xludf.DUMMYFUNCTION("SPLIT(A1304,"" "")"),"CN(CC1=CCC(N(C)Cc2ccccn2)=CN1)Cc1cccc2c1OCCOCCOCCOCCOCCO2")</f>
        <v>CN(CC1=CCC(N(C)Cc2ccccn2)=CN1)Cc1cccc2c1OCCOCCOCCOCCOCCO2</v>
      </c>
      <c r="C1304" s="7">
        <f>IFERROR(__xludf.DUMMYFUNCTION("""COMPUTED_VALUE"""),7.817784)</f>
        <v>7.817784</v>
      </c>
      <c r="D1304" s="7">
        <f>IFERROR(__xludf.DUMMYFUNCTION("""COMPUTED_VALUE"""),0.348484848484848)</f>
        <v>0.3484848485</v>
      </c>
    </row>
    <row r="1305">
      <c r="A1305" s="10" t="s">
        <v>2744</v>
      </c>
      <c r="B1305" s="7" t="str">
        <f>IFERROR(__xludf.DUMMYFUNCTION("SPLIT(A1305,"" "")"),"CNCN(Cc1cccc(C)n1)C1CCC(N(C)Cc2cccc(-c3ccc4c(c3)OCCOCCOCCOCCOCCO4)n2)CC1")</f>
        <v>CNCN(Cc1cccc(C)n1)C1CCC(N(C)Cc2cccc(-c3ccc4c(c3)OCCOCCOCCOCCOCCO4)n2)CC1</v>
      </c>
      <c r="C1305" s="7">
        <f>IFERROR(__xludf.DUMMYFUNCTION("""COMPUTED_VALUE"""),7.817779)</f>
        <v>7.817779</v>
      </c>
      <c r="D1305" s="7">
        <f>IFERROR(__xludf.DUMMYFUNCTION("""COMPUTED_VALUE"""),0.378787878787878)</f>
        <v>0.3787878788</v>
      </c>
    </row>
    <row r="1306">
      <c r="A1306" s="10" t="s">
        <v>2745</v>
      </c>
      <c r="B1306" s="7" t="str">
        <f>IFERROR(__xludf.DUMMYFUNCTION("SPLIT(A1306,"" "")"),"CN(Cc1cccc(-c2ccc3c(c2)OCCOCCOCCOCCOCCO3)n1)C1CCCCC1N(C)Cc1ncccc1-c1ccc2c(c1)OCCOCCOCCOCCOCCO2")</f>
        <v>CN(Cc1cccc(-c2ccc3c(c2)OCCOCCOCCOCCOCCO3)n1)C1CCCCC1N(C)Cc1ncccc1-c1ccc2c(c1)OCCOCCOCCOCCOCCO2</v>
      </c>
      <c r="C1306" s="7">
        <f>IFERROR(__xludf.DUMMYFUNCTION("""COMPUTED_VALUE"""),7.8177757)</f>
        <v>7.8177757</v>
      </c>
      <c r="D1306" s="7">
        <f>IFERROR(__xludf.DUMMYFUNCTION("""COMPUTED_VALUE"""),0.412698412698412)</f>
        <v>0.4126984127</v>
      </c>
    </row>
    <row r="1307">
      <c r="A1307" s="10" t="s">
        <v>2746</v>
      </c>
      <c r="B1307" s="7" t="str">
        <f>IFERROR(__xludf.DUMMYFUNCTION("SPLIT(A1307,"" "")"),"CC(C)N(Cc1ccccn1)C1CCC(N(C)Cc2ccc(-c3ccc4c(c3)OCCOCCOCCOCCOCCO4)cn2)CC1")</f>
        <v>CC(C)N(Cc1ccccn1)C1CCC(N(C)Cc2ccc(-c3ccc4c(c3)OCCOCCOCCOCCOCCO4)cn2)CC1</v>
      </c>
      <c r="C1307" s="7">
        <f>IFERROR(__xludf.DUMMYFUNCTION("""COMPUTED_VALUE"""),7.817764)</f>
        <v>7.817764</v>
      </c>
      <c r="D1307" s="7">
        <f>IFERROR(__xludf.DUMMYFUNCTION("""COMPUTED_VALUE"""),0.463768115942029)</f>
        <v>0.4637681159</v>
      </c>
    </row>
    <row r="1308">
      <c r="A1308" s="10" t="s">
        <v>2747</v>
      </c>
      <c r="B1308" s="7" t="str">
        <f>IFERROR(__xludf.DUMMYFUNCTION("SPLIT(A1308,"" "")"),"Cc1cccnc1CN(C)C1CCC(N(CF)Cc2ccccn2)CC1")</f>
        <v>Cc1cccnc1CN(C)C1CCC(N(CF)Cc2ccccn2)CC1</v>
      </c>
      <c r="C1308" s="7">
        <f>IFERROR(__xludf.DUMMYFUNCTION("""COMPUTED_VALUE"""),7.817763)</f>
        <v>7.817763</v>
      </c>
      <c r="D1308" s="7">
        <f>IFERROR(__xludf.DUMMYFUNCTION("""COMPUTED_VALUE"""),0.450980392156862)</f>
        <v>0.4509803922</v>
      </c>
    </row>
    <row r="1309">
      <c r="A1309" s="10" t="s">
        <v>2748</v>
      </c>
      <c r="B1309" s="7" t="str">
        <f>IFERROR(__xludf.DUMMYFUNCTION("SPLIT(A1309,"" "")"),"CN(c1ccc2nc(CF)ccc2c1)C1CCC(N(Cc2ccccn2)C2COCCOCCOCCOCCOC=CO2)CC1")</f>
        <v>CN(c1ccc2nc(CF)ccc2c1)C1CCC(N(Cc2ccccn2)C2COCCOCCOCCOCCOC=CO2)CC1</v>
      </c>
      <c r="C1309" s="7">
        <f>IFERROR(__xludf.DUMMYFUNCTION("""COMPUTED_VALUE"""),7.817753)</f>
        <v>7.817753</v>
      </c>
      <c r="D1309" s="7">
        <f>IFERROR(__xludf.DUMMYFUNCTION("""COMPUTED_VALUE"""),0.315068493150684)</f>
        <v>0.3150684932</v>
      </c>
    </row>
    <row r="1310">
      <c r="A1310" s="10" t="s">
        <v>2749</v>
      </c>
      <c r="B1310" s="7" t="str">
        <f>IFERROR(__xludf.DUMMYFUNCTION("SPLIT(A1310,"" "")"),"Cc1ccc(CN(C)C2CCCC(N(CF)Cc3ccccn3)C2)nc1")</f>
        <v>Cc1ccc(CN(C)C2CCCC(N(CF)Cc3ccccn3)C2)nc1</v>
      </c>
      <c r="C1310" s="7">
        <f>IFERROR(__xludf.DUMMYFUNCTION("""COMPUTED_VALUE"""),7.8177414)</f>
        <v>7.8177414</v>
      </c>
      <c r="D1310" s="7">
        <f>IFERROR(__xludf.DUMMYFUNCTION("""COMPUTED_VALUE"""),0.5)</f>
        <v>0.5</v>
      </c>
    </row>
    <row r="1311">
      <c r="A1311" s="10" t="s">
        <v>2750</v>
      </c>
      <c r="B1311" s="7" t="str">
        <f>IFERROR(__xludf.DUMMYFUNCTION("SPLIT(A1311,"" "")"),"Cc1ccc(CN(C2=CCC=C(CN3CCN(C)CCN(C)CC3)N2)C2CCCC(N(C)Cc3ccccn3)C2)nc1")</f>
        <v>Cc1ccc(CN(C2=CCC=C(CN3CCN(C)CCN(C)CC3)N2)C2CCCC(N(C)Cc3ccccn3)C2)nc1</v>
      </c>
      <c r="C1311" s="7">
        <f>IFERROR(__xludf.DUMMYFUNCTION("""COMPUTED_VALUE"""),7.81774)</f>
        <v>7.81774</v>
      </c>
      <c r="D1311" s="7">
        <f>IFERROR(__xludf.DUMMYFUNCTION("""COMPUTED_VALUE"""),0.38235294117647)</f>
        <v>0.3823529412</v>
      </c>
    </row>
    <row r="1312">
      <c r="A1312" s="10" t="s">
        <v>2751</v>
      </c>
      <c r="B1312" s="7" t="str">
        <f>IFERROR(__xludf.DUMMYFUNCTION("SPLIT(A1312,"" "")"),"CNCC1C(N(C)Cc2ncccc2C)CCN1C")</f>
        <v>CNCC1C(N(C)Cc2ncccc2C)CCN1C</v>
      </c>
      <c r="C1312" s="7">
        <f>IFERROR(__xludf.DUMMYFUNCTION("""COMPUTED_VALUE"""),7.8177366)</f>
        <v>7.8177366</v>
      </c>
      <c r="D1312" s="7">
        <f>IFERROR(__xludf.DUMMYFUNCTION("""COMPUTED_VALUE"""),0.345454545454545)</f>
        <v>0.3454545455</v>
      </c>
    </row>
    <row r="1313">
      <c r="A1313" s="10" t="s">
        <v>2752</v>
      </c>
      <c r="B1313" s="7" t="str">
        <f>IFERROR(__xludf.DUMMYFUNCTION("SPLIT(A1313,"" "")"),"CN(CCN(Cc1ccccn1)c1ccc2c(c1)OCCOCCOCCOCCOCCO2)Cc1ccccn1")</f>
        <v>CN(CCN(Cc1ccccn1)c1ccc2c(c1)OCCOCCOCCOCCOCCO2)Cc1ccccn1</v>
      </c>
      <c r="C1313" s="7">
        <f>IFERROR(__xludf.DUMMYFUNCTION("""COMPUTED_VALUE"""),7.81773)</f>
        <v>7.81773</v>
      </c>
      <c r="D1313" s="7">
        <f>IFERROR(__xludf.DUMMYFUNCTION("""COMPUTED_VALUE"""),0.393442622950819)</f>
        <v>0.393442623</v>
      </c>
    </row>
    <row r="1314">
      <c r="A1314" s="10" t="s">
        <v>2753</v>
      </c>
      <c r="B1314" s="7" t="str">
        <f>IFERROR(__xludf.DUMMYFUNCTION("SPLIT(A1314,"" "")"),"CCN(C)CC1=CCC(N(C)C2CCCC(N(C)Cc3cccnn3)C2)=CN1")</f>
        <v>CCN(C)CC1=CCC(N(C)C2CCCC(N(C)Cc3cccnn3)C2)=CN1</v>
      </c>
      <c r="C1314" s="7">
        <f>IFERROR(__xludf.DUMMYFUNCTION("""COMPUTED_VALUE"""),7.81773)</f>
        <v>7.81773</v>
      </c>
      <c r="D1314" s="7">
        <f>IFERROR(__xludf.DUMMYFUNCTION("""COMPUTED_VALUE"""),0.362068965517241)</f>
        <v>0.3620689655</v>
      </c>
    </row>
    <row r="1315">
      <c r="A1315" s="10" t="s">
        <v>2754</v>
      </c>
      <c r="B1315" s="7" t="str">
        <f>IFERROR(__xludf.DUMMYFUNCTION("SPLIT(A1315,"" "")"),"CNCc1cccc(CN(C)C2CCCCC2N(C)Cc2cccc(-c3cccc4c3OCCOCCOCCOCCOCCO4)n2)n1")</f>
        <v>CNCc1cccc(CN(C)C2CCCCC2N(C)Cc2cccc(-c3cccc4c3OCCOCCOCCOCCOCCO4)n2)n1</v>
      </c>
      <c r="C1315" s="7">
        <f>IFERROR(__xludf.DUMMYFUNCTION("""COMPUTED_VALUE"""),7.817722)</f>
        <v>7.817722</v>
      </c>
      <c r="D1315" s="7">
        <f>IFERROR(__xludf.DUMMYFUNCTION("""COMPUTED_VALUE"""),0.433333333333333)</f>
        <v>0.4333333333</v>
      </c>
    </row>
    <row r="1316">
      <c r="A1316" s="10" t="s">
        <v>2755</v>
      </c>
      <c r="B1316" s="7" t="str">
        <f>IFERROR(__xludf.DUMMYFUNCTION("SPLIT(A1316,"" "")"),"Cc1cnc(C)c(CN2CCN(C)CCN(C)CC2)c1N")</f>
        <v>Cc1cnc(C)c(CN2CCN(C)CCN(C)CC2)c1N</v>
      </c>
      <c r="C1316" s="7">
        <f>IFERROR(__xludf.DUMMYFUNCTION("""COMPUTED_VALUE"""),7.8177195)</f>
        <v>7.8177195</v>
      </c>
      <c r="D1316" s="7">
        <f>IFERROR(__xludf.DUMMYFUNCTION("""COMPUTED_VALUE"""),0.466666666666666)</f>
        <v>0.4666666667</v>
      </c>
    </row>
    <row r="1317">
      <c r="A1317" s="10" t="s">
        <v>2756</v>
      </c>
      <c r="B1317" s="7" t="str">
        <f>IFERROR(__xludf.DUMMYFUNCTION("SPLIT(A1317,"" "")"),"CC(C)N(C)CCN(C)Cc1cc(-c2ccc3c(c2)OCCOCCOCCOCCOCCO3)ccn1")</f>
        <v>CC(C)N(C)CCN(C)Cc1cc(-c2ccc3c(c2)OCCOCCOCCOCCOCCO3)ccn1</v>
      </c>
      <c r="C1317" s="7">
        <f>IFERROR(__xludf.DUMMYFUNCTION("""COMPUTED_VALUE"""),7.8177133)</f>
        <v>7.8177133</v>
      </c>
      <c r="D1317" s="7">
        <f>IFERROR(__xludf.DUMMYFUNCTION("""COMPUTED_VALUE"""),0.378787878787878)</f>
        <v>0.3787878788</v>
      </c>
    </row>
    <row r="1318">
      <c r="A1318" s="10" t="s">
        <v>2757</v>
      </c>
      <c r="B1318" s="7" t="str">
        <f>IFERROR(__xludf.DUMMYFUNCTION("SPLIT(A1318,"" "")"),"CN(CCN)CCN(C)CC(C)(C)C")</f>
        <v>CN(CCN)CCN(C)CC(C)(C)C</v>
      </c>
      <c r="C1318" s="7">
        <f>IFERROR(__xludf.DUMMYFUNCTION("""COMPUTED_VALUE"""),7.817713)</f>
        <v>7.817713</v>
      </c>
      <c r="D1318" s="7">
        <f>IFERROR(__xludf.DUMMYFUNCTION("""COMPUTED_VALUE"""),0.225)</f>
        <v>0.225</v>
      </c>
    </row>
    <row r="1319">
      <c r="A1319" s="10" t="s">
        <v>2758</v>
      </c>
      <c r="B1319" s="7" t="str">
        <f>IFERROR(__xludf.DUMMYFUNCTION("SPLIT(A1319,"" "")"),"CN(Cc1ccccn1)C1CCC(N(C)Cc2ncccc2-c2ccc3c(c2)OCCOCCOCCOCCOCCO3)CC1")</f>
        <v>CN(Cc1ccccn1)C1CCC(N(C)Cc2ncccc2-c2ccc3c(c2)OCCOCCOCCOCCOCCO3)CC1</v>
      </c>
      <c r="C1319" s="7">
        <f>IFERROR(__xludf.DUMMYFUNCTION("""COMPUTED_VALUE"""),7.8177114)</f>
        <v>7.8177114</v>
      </c>
      <c r="D1319" s="7">
        <f>IFERROR(__xludf.DUMMYFUNCTION("""COMPUTED_VALUE"""),0.406779661016949)</f>
        <v>0.406779661</v>
      </c>
    </row>
    <row r="1320">
      <c r="A1320" s="10" t="s">
        <v>2759</v>
      </c>
      <c r="B1320" s="7" t="str">
        <f>IFERROR(__xludf.DUMMYFUNCTION("SPLIT(A1320,"" "")"),"CC1C=CC(C)(N(C)Cc2ccccn2)CC1C")</f>
        <v>CC1C=CC(C)(N(C)Cc2ccccn2)CC1C</v>
      </c>
      <c r="C1320" s="7">
        <f>IFERROR(__xludf.DUMMYFUNCTION("""COMPUTED_VALUE"""),7.8177114)</f>
        <v>7.8177114</v>
      </c>
      <c r="D1320" s="7">
        <f>IFERROR(__xludf.DUMMYFUNCTION("""COMPUTED_VALUE"""),0.4375)</f>
        <v>0.4375</v>
      </c>
    </row>
    <row r="1321">
      <c r="A1321" s="10" t="s">
        <v>2760</v>
      </c>
      <c r="B1321" s="7" t="str">
        <f>IFERROR(__xludf.DUMMYFUNCTION("SPLIT(A1321,"" "")"),"CNC1CCCC(N(Cc2ccccn2)Cc2ncccc2F)C1")</f>
        <v>CNC1CCCC(N(Cc2ccccn2)Cc2ncccc2F)C1</v>
      </c>
      <c r="C1321" s="7">
        <f>IFERROR(__xludf.DUMMYFUNCTION("""COMPUTED_VALUE"""),7.8177013)</f>
        <v>7.8177013</v>
      </c>
      <c r="D1321" s="7">
        <f>IFERROR(__xludf.DUMMYFUNCTION("""COMPUTED_VALUE"""),0.4)</f>
        <v>0.4</v>
      </c>
    </row>
    <row r="1322">
      <c r="A1322" s="10" t="s">
        <v>2761</v>
      </c>
      <c r="B1322" s="7" t="str">
        <f>IFERROR(__xludf.DUMMYFUNCTION("SPLIT(A1322,"" "")"),"CC1=C(C)C(C)C(NCc2ccccn2)CC1")</f>
        <v>CC1=C(C)C(C)C(NCc2ccccn2)CC1</v>
      </c>
      <c r="C1322" s="7">
        <f>IFERROR(__xludf.DUMMYFUNCTION("""COMPUTED_VALUE"""),7.817701)</f>
        <v>7.817701</v>
      </c>
      <c r="D1322" s="7">
        <f>IFERROR(__xludf.DUMMYFUNCTION("""COMPUTED_VALUE"""),0.404761904761904)</f>
        <v>0.4047619048</v>
      </c>
    </row>
    <row r="1323">
      <c r="A1323" s="10" t="s">
        <v>2762</v>
      </c>
      <c r="B1323" s="7" t="str">
        <f>IFERROR(__xludf.DUMMYFUNCTION("SPLIT(A1323,"" "")"),"CC(C)N(C)CCN(C)Cc1ncccc1-c1ccc2c(c1)OCCOCCOCCOCCOCCO2")</f>
        <v>CC(C)N(C)CCN(C)Cc1ncccc1-c1ccc2c(c1)OCCOCCOCCOCCOCCO2</v>
      </c>
      <c r="C1323" s="7">
        <f>IFERROR(__xludf.DUMMYFUNCTION("""COMPUTED_VALUE"""),7.8176847)</f>
        <v>7.8176847</v>
      </c>
      <c r="D1323" s="7">
        <f>IFERROR(__xludf.DUMMYFUNCTION("""COMPUTED_VALUE"""),0.323943661971831)</f>
        <v>0.323943662</v>
      </c>
    </row>
    <row r="1324">
      <c r="A1324" s="10" t="s">
        <v>2763</v>
      </c>
      <c r="B1324" s="7" t="str">
        <f>IFERROR(__xludf.DUMMYFUNCTION("SPLIT(A1324,"" "")"),"CNCCN(C)Cc1ncccc1-c1cccc2c1OCCOCCOCCOCCOCCO2")</f>
        <v>CNCCN(C)Cc1ncccc1-c1cccc2c1OCCOCCOCCOCCOCCO2</v>
      </c>
      <c r="C1324" s="7">
        <f>IFERROR(__xludf.DUMMYFUNCTION("""COMPUTED_VALUE"""),7.81768)</f>
        <v>7.81768</v>
      </c>
      <c r="D1324" s="7">
        <f>IFERROR(__xludf.DUMMYFUNCTION("""COMPUTED_VALUE"""),0.305084745762711)</f>
        <v>0.3050847458</v>
      </c>
    </row>
    <row r="1325">
      <c r="A1325" s="10" t="s">
        <v>2764</v>
      </c>
      <c r="B1325" s="7" t="str">
        <f>IFERROR(__xludf.DUMMYFUNCTION("SPLIT(A1325,"" "")"),"Cc1cc(CN2CCN(C)CCN(C)CC2)c(C)nc1C")</f>
        <v>Cc1cc(CN2CCN(C)CCN(C)CC2)c(C)nc1C</v>
      </c>
      <c r="C1325" s="7">
        <f>IFERROR(__xludf.DUMMYFUNCTION("""COMPUTED_VALUE"""),7.817679)</f>
        <v>7.817679</v>
      </c>
      <c r="D1325" s="7">
        <f>IFERROR(__xludf.DUMMYFUNCTION("""COMPUTED_VALUE"""),0.487179487179487)</f>
        <v>0.4871794872</v>
      </c>
    </row>
    <row r="1326">
      <c r="A1326" s="10" t="s">
        <v>2765</v>
      </c>
      <c r="B1326" s="7" t="str">
        <f>IFERROR(__xludf.DUMMYFUNCTION("SPLIT(A1326,"" "")"),"CN1CCN(C)CCN(Cc2cccnc2CN(C)C(C)(C)c2cccnc2CN(C)C2CCC(N(C)Cc3cccc(-c4ccc5c(c4)OCCOCCOCCOCCOCCO5)n3)CC2)CC1")</f>
        <v>CN1CCN(C)CCN(Cc2cccnc2CN(C)C(C)(C)c2cccnc2CN(C)C2CCC(N(C)Cc3cccc(-c4ccc5c(c4)OCCOCCOCCOCCOCCO5)n3)CC2)CC1</v>
      </c>
      <c r="C1326" s="7">
        <f>IFERROR(__xludf.DUMMYFUNCTION("""COMPUTED_VALUE"""),7.8176746)</f>
        <v>7.8176746</v>
      </c>
      <c r="D1326" s="7">
        <f>IFERROR(__xludf.DUMMYFUNCTION("""COMPUTED_VALUE"""),0.311827956989247)</f>
        <v>0.311827957</v>
      </c>
    </row>
    <row r="1327">
      <c r="A1327" s="10" t="s">
        <v>2766</v>
      </c>
      <c r="B1327" s="7" t="str">
        <f>IFERROR(__xludf.DUMMYFUNCTION("SPLIT(A1327,"" "")"),"CCNCc1cc(-c2ccc3c(c2)OCCOCCOCCOCCOCCO3)ccn1")</f>
        <v>CCNCc1cc(-c2ccc3c(c2)OCCOCCOCCOCCOCCO3)ccn1</v>
      </c>
      <c r="C1327" s="7">
        <f>IFERROR(__xludf.DUMMYFUNCTION("""COMPUTED_VALUE"""),7.8176656)</f>
        <v>7.8176656</v>
      </c>
      <c r="D1327" s="7">
        <f>IFERROR(__xludf.DUMMYFUNCTION("""COMPUTED_VALUE"""),0.423728813559322)</f>
        <v>0.4237288136</v>
      </c>
    </row>
    <row r="1328">
      <c r="A1328" s="10" t="s">
        <v>2767</v>
      </c>
      <c r="B1328" s="7" t="str">
        <f>IFERROR(__xludf.DUMMYFUNCTION("SPLIT(A1328,"" "")"),"Cc1cccnc1CN(C)C1=C(CCN2CCN(C)CCN(C)CC2)NC=CC1")</f>
        <v>Cc1cccnc1CN(C)C1=C(CCN2CCN(C)CCN(C)CC2)NC=CC1</v>
      </c>
      <c r="C1328" s="7">
        <f>IFERROR(__xludf.DUMMYFUNCTION("""COMPUTED_VALUE"""),7.8176594)</f>
        <v>7.8176594</v>
      </c>
      <c r="D1328" s="7">
        <f>IFERROR(__xludf.DUMMYFUNCTION("""COMPUTED_VALUE"""),0.322033898305084)</f>
        <v>0.3220338983</v>
      </c>
    </row>
    <row r="1329">
      <c r="A1329" s="10" t="s">
        <v>2768</v>
      </c>
      <c r="B1329" s="7" t="str">
        <f>IFERROR(__xludf.DUMMYFUNCTION("SPLIT(A1329,"" "")"),"CC(c1ccc(CNC2COCCOCCOCCOC=COCCO2)nc1)(c1ccccn1)c1ccccn1")</f>
        <v>CC(c1ccc(CNC2COCCOCCOCCOC=COCCO2)nc1)(c1ccccn1)c1ccccn1</v>
      </c>
      <c r="C1329" s="7">
        <f>IFERROR(__xludf.DUMMYFUNCTION("""COMPUTED_VALUE"""),7.817642)</f>
        <v>7.817642</v>
      </c>
      <c r="D1329" s="7">
        <f>IFERROR(__xludf.DUMMYFUNCTION("""COMPUTED_VALUE"""),0.289855072463768)</f>
        <v>0.2898550725</v>
      </c>
    </row>
    <row r="1330">
      <c r="A1330" s="10" t="s">
        <v>2769</v>
      </c>
      <c r="B1330" s="7" t="str">
        <f>IFERROR(__xludf.DUMMYFUNCTION("SPLIT(A1330,"" "")"),"CN(Cc1ccccn1)C1CCCC(N(C)Cc2cccc(CN(C)C3CCCC(N(C)Cc4cccc(-c5cccc6c5OCCOCCOCCOCCOCCO6)n4)C3)n2)C1")</f>
        <v>CN(Cc1ccccn1)C1CCCC(N(C)Cc2cccc(CN(C)C3CCCC(N(C)Cc4cccc(-c5cccc6c5OCCOCCOCCOCCOCCO6)n4)C3)n2)C1</v>
      </c>
      <c r="C1330" s="7">
        <f>IFERROR(__xludf.DUMMYFUNCTION("""COMPUTED_VALUE"""),7.8176265)</f>
        <v>7.8176265</v>
      </c>
      <c r="D1330" s="7">
        <f>IFERROR(__xludf.DUMMYFUNCTION("""COMPUTED_VALUE"""),0.416666666666666)</f>
        <v>0.4166666667</v>
      </c>
    </row>
    <row r="1331">
      <c r="A1331" s="10" t="s">
        <v>2770</v>
      </c>
      <c r="B1331" s="7" t="str">
        <f>IFERROR(__xludf.DUMMYFUNCTION("SPLIT(A1331,"" "")"),"CNC1CCCC(Cl)C1N(Cc1ccccn1)Cc1ccccn1")</f>
        <v>CNC1CCCC(Cl)C1N(Cc1ccccn1)Cc1ccccn1</v>
      </c>
      <c r="C1331" s="7">
        <f>IFERROR(__xludf.DUMMYFUNCTION("""COMPUTED_VALUE"""),7.8176255)</f>
        <v>7.8176255</v>
      </c>
      <c r="D1331" s="7">
        <f>IFERROR(__xludf.DUMMYFUNCTION("""COMPUTED_VALUE"""),0.458333333333333)</f>
        <v>0.4583333333</v>
      </c>
    </row>
    <row r="1332">
      <c r="A1332" s="10" t="s">
        <v>2771</v>
      </c>
      <c r="B1332" s="7" t="str">
        <f>IFERROR(__xludf.DUMMYFUNCTION("SPLIT(A1332,"" "")"),"CN(Cc1cccc(-c2cccc3c2OCCOCCOCCOCCOCCO3)n1)C1CCC(N(C)Cc2cccc(-c3cccc4c3OCCOCCOCCOCCOCCO4)n2)CC1")</f>
        <v>CN(Cc1cccc(-c2cccc3c2OCCOCCOCCOCCOCCO3)n1)C1CCC(N(C)Cc2cccc(-c3cccc4c3OCCOCCOCCOCCOCCO4)n2)CC1</v>
      </c>
      <c r="C1332" s="7">
        <f>IFERROR(__xludf.DUMMYFUNCTION("""COMPUTED_VALUE"""),7.8176184)</f>
        <v>7.8176184</v>
      </c>
      <c r="D1332" s="7">
        <f>IFERROR(__xludf.DUMMYFUNCTION("""COMPUTED_VALUE"""),0.357142857142857)</f>
        <v>0.3571428571</v>
      </c>
    </row>
    <row r="1333">
      <c r="A1333" s="10" t="s">
        <v>2772</v>
      </c>
      <c r="B1333" s="7" t="str">
        <f>IFERROR(__xludf.DUMMYFUNCTION("SPLIT(A1333,"" "")"),"Cc1cc(CN(C)C2C=CNC(CCN3CCN(C)CCN(C)CC3)=C2)nc(C)c1C")</f>
        <v>Cc1cc(CN(C)C2C=CNC(CCN3CCN(C)CCN(C)CC3)=C2)nc(C)c1C</v>
      </c>
      <c r="C1333" s="7">
        <f>IFERROR(__xludf.DUMMYFUNCTION("""COMPUTED_VALUE"""),7.8176036)</f>
        <v>7.8176036</v>
      </c>
      <c r="D1333" s="7">
        <f>IFERROR(__xludf.DUMMYFUNCTION("""COMPUTED_VALUE"""),0.46551724137931)</f>
        <v>0.4655172414</v>
      </c>
    </row>
    <row r="1334">
      <c r="A1334" s="10" t="s">
        <v>2773</v>
      </c>
      <c r="B1334" s="7" t="str">
        <f>IFERROR(__xludf.DUMMYFUNCTION("SPLIT(A1334,"" "")"),"Cc1ccc(CN(C)CC2CCCN2C(C)C)cn1")</f>
        <v>Cc1ccc(CN(C)CC2CCCN2C(C)C)cn1</v>
      </c>
      <c r="C1334" s="7">
        <f>IFERROR(__xludf.DUMMYFUNCTION("""COMPUTED_VALUE"""),7.8175936)</f>
        <v>7.8175936</v>
      </c>
      <c r="D1334" s="7">
        <f>IFERROR(__xludf.DUMMYFUNCTION("""COMPUTED_VALUE"""),0.389830508474576)</f>
        <v>0.3898305085</v>
      </c>
    </row>
    <row r="1335">
      <c r="A1335" s="10" t="s">
        <v>2774</v>
      </c>
      <c r="B1335" s="7" t="str">
        <f>IFERROR(__xludf.DUMMYFUNCTION("SPLIT(A1335,"" "")"),"CN(Cc1cccc(-c2ccc3c(c2)OCCOCCOCCOCCOCCO3)n1)C1CCC(N(C)C2=CCC=CN2)CC1")</f>
        <v>CN(Cc1cccc(-c2ccc3c(c2)OCCOCCOCCOCCOCCO3)n1)C1CCC(N(C)C2=CCC=CN2)CC1</v>
      </c>
      <c r="C1335" s="7">
        <f>IFERROR(__xludf.DUMMYFUNCTION("""COMPUTED_VALUE"""),7.817578)</f>
        <v>7.817578</v>
      </c>
      <c r="D1335" s="7">
        <f>IFERROR(__xludf.DUMMYFUNCTION("""COMPUTED_VALUE"""),0.3125)</f>
        <v>0.3125</v>
      </c>
    </row>
    <row r="1336">
      <c r="A1336" s="10" t="s">
        <v>2775</v>
      </c>
      <c r="B1336" s="7" t="str">
        <f>IFERROR(__xludf.DUMMYFUNCTION("SPLIT(A1336,"" "")"),"Cc1ncccc1CN(C)CC1CCCN1C(C)C")</f>
        <v>Cc1ncccc1CN(C)CC1CCCN1C(C)C</v>
      </c>
      <c r="C1336" s="7">
        <f>IFERROR(__xludf.DUMMYFUNCTION("""COMPUTED_VALUE"""),7.8175735)</f>
        <v>7.8175735</v>
      </c>
      <c r="D1336" s="7">
        <f>IFERROR(__xludf.DUMMYFUNCTION("""COMPUTED_VALUE"""),0.464285714285714)</f>
        <v>0.4642857143</v>
      </c>
    </row>
    <row r="1337">
      <c r="A1337" s="10" t="s">
        <v>2776</v>
      </c>
      <c r="B1337" s="7" t="str">
        <f>IFERROR(__xludf.DUMMYFUNCTION("SPLIT(A1337,"" "")"),"CCCN(CC1=CCC=CN1)CC1=CCC=CN1")</f>
        <v>CCCN(CC1=CCC=CN1)CC1=CCC=CN1</v>
      </c>
      <c r="C1337" s="7">
        <f>IFERROR(__xludf.DUMMYFUNCTION("""COMPUTED_VALUE"""),7.8175616)</f>
        <v>7.8175616</v>
      </c>
      <c r="D1337" s="7">
        <f>IFERROR(__xludf.DUMMYFUNCTION("""COMPUTED_VALUE"""),0.5)</f>
        <v>0.5</v>
      </c>
    </row>
    <row r="1338">
      <c r="A1338" s="10" t="s">
        <v>2777</v>
      </c>
      <c r="B1338" s="7" t="str">
        <f>IFERROR(__xludf.DUMMYFUNCTION("SPLIT(A1338,"" "")"),"CC1=C(C)C(C)C(CN(C)CC2=CCC=CN2)CC1")</f>
        <v>CC1=C(C)C(C)C(CN(C)CC2=CCC=CN2)CC1</v>
      </c>
      <c r="C1338" s="7">
        <f>IFERROR(__xludf.DUMMYFUNCTION("""COMPUTED_VALUE"""),7.8175497)</f>
        <v>7.8175497</v>
      </c>
      <c r="D1338" s="7">
        <f>IFERROR(__xludf.DUMMYFUNCTION("""COMPUTED_VALUE"""),0.333333333333333)</f>
        <v>0.3333333333</v>
      </c>
    </row>
    <row r="1339">
      <c r="A1339" s="10" t="s">
        <v>2778</v>
      </c>
      <c r="B1339" s="7" t="str">
        <f>IFERROR(__xludf.DUMMYFUNCTION("SPLIT(A1339,"" "")"),"COC(=O)c1ccncc1CN1CCN(C)CCN(C)CC1")</f>
        <v>COC(=O)c1ccncc1CN1CCN(C)CCN(C)CC1</v>
      </c>
      <c r="C1339" s="7">
        <f>IFERROR(__xludf.DUMMYFUNCTION("""COMPUTED_VALUE"""),7.817544)</f>
        <v>7.817544</v>
      </c>
      <c r="D1339" s="7">
        <f>IFERROR(__xludf.DUMMYFUNCTION("""COMPUTED_VALUE"""),0.418181818181818)</f>
        <v>0.4181818182</v>
      </c>
    </row>
    <row r="1340">
      <c r="A1340" s="10" t="s">
        <v>2779</v>
      </c>
      <c r="B1340" s="7" t="str">
        <f>IFERROR(__xludf.DUMMYFUNCTION("SPLIT(A1340,"" "")"),"CC(C)C(C)N(C)Cc1ncccc1-c1cccc2c1OCCOCCOCCOCCOCCO2")</f>
        <v>CC(C)C(C)N(C)Cc1ncccc1-c1cccc2c1OCCOCCOCCOCCOCCO2</v>
      </c>
      <c r="C1340" s="7">
        <f>IFERROR(__xludf.DUMMYFUNCTION("""COMPUTED_VALUE"""),7.8175263)</f>
        <v>7.8175263</v>
      </c>
      <c r="D1340" s="7">
        <f>IFERROR(__xludf.DUMMYFUNCTION("""COMPUTED_VALUE"""),0.25)</f>
        <v>0.25</v>
      </c>
    </row>
    <row r="1341">
      <c r="A1341" s="10" t="s">
        <v>2780</v>
      </c>
      <c r="B1341" s="7" t="str">
        <f>IFERROR(__xludf.DUMMYFUNCTION("SPLIT(A1341,"" "")"),"CC(NCF)NCc1ccccn1")</f>
        <v>CC(NCF)NCc1ccccn1</v>
      </c>
      <c r="C1341" s="7">
        <f>IFERROR(__xludf.DUMMYFUNCTION("""COMPUTED_VALUE"""),7.8175235)</f>
        <v>7.8175235</v>
      </c>
      <c r="D1341" s="7">
        <f>IFERROR(__xludf.DUMMYFUNCTION("""COMPUTED_VALUE"""),0.485714285714285)</f>
        <v>0.4857142857</v>
      </c>
    </row>
    <row r="1342">
      <c r="A1342" s="10" t="s">
        <v>2781</v>
      </c>
      <c r="B1342" s="7" t="str">
        <f>IFERROR(__xludf.DUMMYFUNCTION("SPLIT(A1342,"" "")"),"COC(=O)C(=O)NCc1cc(CN2CCN(C)CCN(C)CC2)ccn1")</f>
        <v>COC(=O)C(=O)NCc1cc(CN2CCN(C)CCN(C)CC2)ccn1</v>
      </c>
      <c r="C1342" s="7">
        <f>IFERROR(__xludf.DUMMYFUNCTION("""COMPUTED_VALUE"""),7.817518)</f>
        <v>7.817518</v>
      </c>
      <c r="D1342" s="7">
        <f>IFERROR(__xludf.DUMMYFUNCTION("""COMPUTED_VALUE"""),0.482142857142857)</f>
        <v>0.4821428571</v>
      </c>
    </row>
    <row r="1343">
      <c r="A1343" s="10" t="s">
        <v>2782</v>
      </c>
      <c r="B1343" s="7" t="str">
        <f>IFERROR(__xludf.DUMMYFUNCTION("SPLIT(A1343,"" "")"),"CN(Cc1cc(-c2ccc3c(c2)OCCOCCOCCOCCOCCO3)ccn1)C1CCCCC1N(C)Cc1cc(-c2ccc3c(c2)OCCOCCOCCOCCOCCO3)ccn1")</f>
        <v>CN(Cc1cc(-c2ccc3c(c2)OCCOCCOCCOCCOCCO3)ccn1)C1CCCCC1N(C)Cc1cc(-c2ccc3c(c2)OCCOCCOCCOCCOCCO3)ccn1</v>
      </c>
      <c r="C1343" s="7">
        <f>IFERROR(__xludf.DUMMYFUNCTION("""COMPUTED_VALUE"""),7.8175077)</f>
        <v>7.8175077</v>
      </c>
      <c r="D1343" s="7">
        <f>IFERROR(__xludf.DUMMYFUNCTION("""COMPUTED_VALUE"""),0.470588235294117)</f>
        <v>0.4705882353</v>
      </c>
    </row>
    <row r="1344">
      <c r="A1344" s="10" t="s">
        <v>2783</v>
      </c>
      <c r="B1344" s="7" t="str">
        <f>IFERROR(__xludf.DUMMYFUNCTION("SPLIT(A1344,"" "")"),"CC(C)C(c1cccnc1)N(C)CCN(C)CCN")</f>
        <v>CC(C)C(c1cccnc1)N(C)CCN(C)CCN</v>
      </c>
      <c r="C1344" s="7">
        <f>IFERROR(__xludf.DUMMYFUNCTION("""COMPUTED_VALUE"""),7.8175025)</f>
        <v>7.8175025</v>
      </c>
      <c r="D1344" s="7">
        <f>IFERROR(__xludf.DUMMYFUNCTION("""COMPUTED_VALUE"""),0.297872340425531)</f>
        <v>0.2978723404</v>
      </c>
    </row>
    <row r="1345">
      <c r="A1345" s="10" t="s">
        <v>2784</v>
      </c>
      <c r="B1345" s="7" t="str">
        <f>IFERROR(__xludf.DUMMYFUNCTION("SPLIT(A1345,"" "")"),"CNCc1ncc(CN2CCN(C)CCN(C)CC2)c(C)c1C")</f>
        <v>CNCc1ncc(CN2CCN(C)CCN(C)CC2)c(C)c1C</v>
      </c>
      <c r="C1345" s="7">
        <f>IFERROR(__xludf.DUMMYFUNCTION("""COMPUTED_VALUE"""),7.817501)</f>
        <v>7.817501</v>
      </c>
      <c r="D1345" s="7">
        <f>IFERROR(__xludf.DUMMYFUNCTION("""COMPUTED_VALUE"""),0.468085106382978)</f>
        <v>0.4680851064</v>
      </c>
    </row>
    <row r="1346">
      <c r="A1346" s="10" t="s">
        <v>2785</v>
      </c>
      <c r="B1346" s="7" t="str">
        <f>IFERROR(__xludf.DUMMYFUNCTION("SPLIT(A1346,"" "")"),"CN(CCN(C)CC(C)(C)C)Cc1ncccc1-c1cccc2c1OCCOCCOCCOCCOCCO2")</f>
        <v>CN(CCN(C)CC(C)(C)C)Cc1ncccc1-c1cccc2c1OCCOCCOCCOCCOCCO2</v>
      </c>
      <c r="C1346" s="7">
        <f>IFERROR(__xludf.DUMMYFUNCTION("""COMPUTED_VALUE"""),7.8175006)</f>
        <v>7.8175006</v>
      </c>
      <c r="D1346" s="7">
        <f>IFERROR(__xludf.DUMMYFUNCTION("""COMPUTED_VALUE"""),0.322033898305084)</f>
        <v>0.3220338983</v>
      </c>
    </row>
    <row r="1347">
      <c r="A1347" s="10" t="s">
        <v>2786</v>
      </c>
      <c r="B1347" s="7" t="str">
        <f>IFERROR(__xludf.DUMMYFUNCTION("SPLIT(A1347,"" "")"),"CN(Cc1cccc(C2CC3OCCOCCOCCOCCOCCOC32)n1)C1CCCCC1N(C)c1ccc2nccc(CF)c2c1")</f>
        <v>CN(Cc1cccc(C2CC3OCCOCCOCCOCCOCCOC32)n1)C1CCCCC1N(C)c1ccc2nccc(CF)c2c1</v>
      </c>
      <c r="C1347" s="7">
        <f>IFERROR(__xludf.DUMMYFUNCTION("""COMPUTED_VALUE"""),7.8174963)</f>
        <v>7.8174963</v>
      </c>
      <c r="D1347" s="7">
        <f>IFERROR(__xludf.DUMMYFUNCTION("""COMPUTED_VALUE"""),0.346666666666666)</f>
        <v>0.3466666667</v>
      </c>
    </row>
    <row r="1348">
      <c r="A1348" s="10" t="s">
        <v>2787</v>
      </c>
      <c r="B1348" s="7" t="str">
        <f>IFERROR(__xludf.DUMMYFUNCTION("SPLIT(A1348,"" "")"),"CNCc1cccc(CN(C)C2CCCCC2N(C)Cc2cccc(-c3ccc4c(c3)OCCOCCOCCOCCOCCO4)n2)n1")</f>
        <v>CNCc1cccc(CN(C)C2CCCCC2N(C)Cc2cccc(-c3ccc4c(c3)OCCOCCOCCOCCOCCO4)n2)n1</v>
      </c>
      <c r="C1348" s="7">
        <f>IFERROR(__xludf.DUMMYFUNCTION("""COMPUTED_VALUE"""),7.81749)</f>
        <v>7.81749</v>
      </c>
      <c r="D1348" s="7">
        <f>IFERROR(__xludf.DUMMYFUNCTION("""COMPUTED_VALUE"""),0.433333333333333)</f>
        <v>0.4333333333</v>
      </c>
    </row>
    <row r="1349">
      <c r="A1349" s="10" t="s">
        <v>2788</v>
      </c>
      <c r="B1349" s="7" t="str">
        <f>IFERROR(__xludf.DUMMYFUNCTION("SPLIT(A1349,"" "")"),"CN(Cc1ncccc1-c1cccc2c1OCCOCCOCCOCCOCCO2)C1CCC(N(C)Cc2ncccc2-c2cccc3c2OCCOCCOCCOCCOCCO3)CC1")</f>
        <v>CN(Cc1ncccc1-c1cccc2c1OCCOCCOCCOCCOCCO2)C1CCC(N(C)Cc2ncccc2-c2cccc3c2OCCOCCOCCOCCOCCO3)CC1</v>
      </c>
      <c r="C1349" s="7">
        <f>IFERROR(__xludf.DUMMYFUNCTION("""COMPUTED_VALUE"""),7.8174825)</f>
        <v>7.8174825</v>
      </c>
      <c r="D1349" s="7">
        <f>IFERROR(__xludf.DUMMYFUNCTION("""COMPUTED_VALUE"""),0.293103448275862)</f>
        <v>0.2931034483</v>
      </c>
    </row>
    <row r="1350">
      <c r="A1350" s="10" t="s">
        <v>2789</v>
      </c>
      <c r="B1350" s="7" t="str">
        <f>IFERROR(__xludf.DUMMYFUNCTION("SPLIT(A1350,"" "")"),"CC(C)N(Cc1ccccn1)C1CCC(N(C)Cc2ncccc2-c2ccc3c(c2)OCCOCCOCCOCCOCCO3)CC1")</f>
        <v>CC(C)N(Cc1ccccn1)C1CCC(N(C)Cc2ncccc2-c2ccc3c(c2)OCCOCCOCCOCCOCCO3)CC1</v>
      </c>
      <c r="C1350" s="7">
        <f>IFERROR(__xludf.DUMMYFUNCTION("""COMPUTED_VALUE"""),7.8174767)</f>
        <v>7.8174767</v>
      </c>
      <c r="D1350" s="7">
        <f>IFERROR(__xludf.DUMMYFUNCTION("""COMPUTED_VALUE"""),0.348484848484848)</f>
        <v>0.3484848485</v>
      </c>
    </row>
    <row r="1351">
      <c r="A1351" s="10" t="s">
        <v>2790</v>
      </c>
      <c r="B1351" s="7" t="str">
        <f>IFERROR(__xludf.DUMMYFUNCTION("SPLIT(A1351,"" "")"),"CN(C)CCN")</f>
        <v>CN(C)CCN</v>
      </c>
      <c r="C1351" s="7">
        <f>IFERROR(__xludf.DUMMYFUNCTION("""COMPUTED_VALUE"""),7.8174667)</f>
        <v>7.8174667</v>
      </c>
      <c r="D1351" s="7">
        <f>IFERROR(__xludf.DUMMYFUNCTION("""COMPUTED_VALUE"""),0.21875)</f>
        <v>0.21875</v>
      </c>
    </row>
    <row r="1352">
      <c r="A1352" s="10" t="s">
        <v>2791</v>
      </c>
      <c r="B1352" s="7" t="str">
        <f>IFERROR(__xludf.DUMMYFUNCTION("SPLIT(A1352,"" "")"),"Cc1cccnc1CN(C)CC1CCCN1C(C)C")</f>
        <v>Cc1cccnc1CN(C)CC1CCCN1C(C)C</v>
      </c>
      <c r="C1352" s="7">
        <f>IFERROR(__xludf.DUMMYFUNCTION("""COMPUTED_VALUE"""),7.8174467)</f>
        <v>7.8174467</v>
      </c>
      <c r="D1352" s="7">
        <f>IFERROR(__xludf.DUMMYFUNCTION("""COMPUTED_VALUE"""),0.456140350877192)</f>
        <v>0.4561403509</v>
      </c>
    </row>
    <row r="1353">
      <c r="A1353" s="10" t="s">
        <v>2792</v>
      </c>
      <c r="B1353" s="7" t="str">
        <f>IFERROR(__xludf.DUMMYFUNCTION("SPLIT(A1353,"" "")"),"Cc1cc(CN(C)C2CCCC(N(C)Cc3ccc(CN4CCN(C)CCN(C)CC4)cn3)C2)nc(C)c1C")</f>
        <v>Cc1cc(CN(C)C2CCCC(N(C)Cc3ccc(CN4CCN(C)CCN(C)CC4)cn3)C2)nc(C)c1C</v>
      </c>
      <c r="C1353" s="7">
        <f>IFERROR(__xludf.DUMMYFUNCTION("""COMPUTED_VALUE"""),7.817429)</f>
        <v>7.817429</v>
      </c>
      <c r="D1353" s="7">
        <f>IFERROR(__xludf.DUMMYFUNCTION("""COMPUTED_VALUE"""),0.349206349206349)</f>
        <v>0.3492063492</v>
      </c>
    </row>
    <row r="1354">
      <c r="A1354" s="10" t="s">
        <v>2793</v>
      </c>
      <c r="B1354" s="7" t="str">
        <f>IFERROR(__xludf.DUMMYFUNCTION("SPLIT(A1354,"" "")"),"Cc1cccnc1CN(C)C1=CNC(CCN2CCN(C)CCN(C)CC2)=CC1")</f>
        <v>Cc1cccnc1CN(C)C1=CNC(CCN2CCN(C)CCN(C)CC2)=CC1</v>
      </c>
      <c r="C1354" s="7">
        <f>IFERROR(__xludf.DUMMYFUNCTION("""COMPUTED_VALUE"""),7.8174224)</f>
        <v>7.8174224</v>
      </c>
      <c r="D1354" s="7">
        <f>IFERROR(__xludf.DUMMYFUNCTION("""COMPUTED_VALUE"""),0.322033898305084)</f>
        <v>0.3220338983</v>
      </c>
    </row>
    <row r="1355">
      <c r="A1355" s="10" t="s">
        <v>2794</v>
      </c>
      <c r="B1355" s="7" t="str">
        <f>IFERROR(__xludf.DUMMYFUNCTION("SPLIT(A1355,"" "")"),"CNC1CCCC(N(Cc2ccccn2)Cc2cccc(F)n2)C1")</f>
        <v>CNC1CCCC(N(Cc2ccccn2)Cc2cccc(F)n2)C1</v>
      </c>
      <c r="C1355" s="7">
        <f>IFERROR(__xludf.DUMMYFUNCTION("""COMPUTED_VALUE"""),7.817418)</f>
        <v>7.817418</v>
      </c>
      <c r="D1355" s="7">
        <f>IFERROR(__xludf.DUMMYFUNCTION("""COMPUTED_VALUE"""),0.421875)</f>
        <v>0.421875</v>
      </c>
    </row>
    <row r="1356">
      <c r="A1356" s="10" t="s">
        <v>2795</v>
      </c>
      <c r="B1356" s="7" t="str">
        <f>IFERROR(__xludf.DUMMYFUNCTION("SPLIT(A1356,"" "")"),"CN(Cc1ccccn1)C1CCCC(N(C)C2=CCC=CN2)C1")</f>
        <v>CN(Cc1ccccn1)C1CCCC(N(C)C2=CCC=CN2)C1</v>
      </c>
      <c r="C1356" s="7">
        <f>IFERROR(__xludf.DUMMYFUNCTION("""COMPUTED_VALUE"""),7.817414)</f>
        <v>7.817414</v>
      </c>
      <c r="D1356" s="7">
        <f>IFERROR(__xludf.DUMMYFUNCTION("""COMPUTED_VALUE"""),0.49090909090909)</f>
        <v>0.4909090909</v>
      </c>
    </row>
    <row r="1357">
      <c r="A1357" s="10" t="s">
        <v>2796</v>
      </c>
      <c r="B1357" s="7" t="str">
        <f>IFERROR(__xludf.DUMMYFUNCTION("SPLIT(A1357,"" "")"),"CCN(Cc1cccc(CN(C)C2CCCCC2N(C)Cc2cccc(-c3ccc4c(c3)OCCOCCOCCOCCOCCO4)n2)n1)C1CCC(N(C)Cc2ncccc2C)CC1")</f>
        <v>CCN(Cc1cccc(CN(C)C2CCCCC2N(C)Cc2cccc(-c3ccc4c(c3)OCCOCCOCCOCCOCCO4)n2)n1)C1CCC(N(C)Cc2ncccc2C)CC1</v>
      </c>
      <c r="C1357" s="7">
        <f>IFERROR(__xludf.DUMMYFUNCTION("""COMPUTED_VALUE"""),7.817412)</f>
        <v>7.817412</v>
      </c>
      <c r="D1357" s="7">
        <f>IFERROR(__xludf.DUMMYFUNCTION("""COMPUTED_VALUE"""),0.36)</f>
        <v>0.36</v>
      </c>
    </row>
    <row r="1358">
      <c r="A1358" s="10" t="s">
        <v>2797</v>
      </c>
      <c r="B1358" s="7" t="str">
        <f>IFERROR(__xludf.DUMMYFUNCTION("SPLIT(A1358,"" "")"),"CN(CCF)Cc1ncccc1-c1ccc2c(c1)OCCOCCOCCOCCOCCO2")</f>
        <v>CN(CCF)Cc1ncccc1-c1ccc2c(c1)OCCOCCOCCOCCOCCO2</v>
      </c>
      <c r="C1358" s="7">
        <f>IFERROR(__xludf.DUMMYFUNCTION("""COMPUTED_VALUE"""),7.817409)</f>
        <v>7.817409</v>
      </c>
      <c r="D1358" s="7">
        <f>IFERROR(__xludf.DUMMYFUNCTION("""COMPUTED_VALUE"""),0.338235294117647)</f>
        <v>0.3382352941</v>
      </c>
    </row>
    <row r="1359">
      <c r="A1359" s="10" t="s">
        <v>2798</v>
      </c>
      <c r="B1359" s="7" t="str">
        <f>IFERROR(__xludf.DUMMYFUNCTION("SPLIT(A1359,"" "")"),"Cc1cnc(CN(C)C2CCCC(N(CNCF)Cc3ccccn3)C2)c(C)c1C")</f>
        <v>Cc1cnc(CN(C)C2CCCC(N(CNCF)Cc3ccccn3)C2)c(C)c1C</v>
      </c>
      <c r="C1359" s="7">
        <f>IFERROR(__xludf.DUMMYFUNCTION("""COMPUTED_VALUE"""),7.817405)</f>
        <v>7.817405</v>
      </c>
      <c r="D1359" s="7">
        <f>IFERROR(__xludf.DUMMYFUNCTION("""COMPUTED_VALUE"""),0.4)</f>
        <v>0.4</v>
      </c>
    </row>
    <row r="1360">
      <c r="A1360" s="10" t="s">
        <v>2799</v>
      </c>
      <c r="B1360" s="7" t="str">
        <f>IFERROR(__xludf.DUMMYFUNCTION("SPLIT(A1360,"" "")"),"CC(C)N(Cc1cccc(CN2CCN(C)CCN(C)CC2)n1)Cc1cccc(-c2ccc3c(c2)OCCOCCOCCOCCOCCO3)n1")</f>
        <v>CC(C)N(Cc1cccc(CN2CCN(C)CCN(C)CC2)n1)Cc1cccc(-c2ccc3c(c2)OCCOCCOCCOCCOCCO3)n1</v>
      </c>
      <c r="C1360" s="7">
        <f>IFERROR(__xludf.DUMMYFUNCTION("""COMPUTED_VALUE"""),7.817403)</f>
        <v>7.817403</v>
      </c>
      <c r="D1360" s="7">
        <f>IFERROR(__xludf.DUMMYFUNCTION("""COMPUTED_VALUE"""),0.40983606557377)</f>
        <v>0.4098360656</v>
      </c>
    </row>
    <row r="1361">
      <c r="A1361" s="10" t="s">
        <v>2800</v>
      </c>
      <c r="B1361" s="7" t="str">
        <f>IFERROR(__xludf.DUMMYFUNCTION("SPLIT(A1361,"" "")"),"Cc1ncc(CN2CCN(C)CCN(C)CC2)c(C)c1C")</f>
        <v>Cc1ncc(CN2CCN(C)CCN(C)CC2)c(C)c1C</v>
      </c>
      <c r="C1361" s="7">
        <f>IFERROR(__xludf.DUMMYFUNCTION("""COMPUTED_VALUE"""),7.8173714)</f>
        <v>7.8173714</v>
      </c>
      <c r="D1361" s="7">
        <f>IFERROR(__xludf.DUMMYFUNCTION("""COMPUTED_VALUE"""),0.465116279069767)</f>
        <v>0.4651162791</v>
      </c>
    </row>
    <row r="1362">
      <c r="A1362" s="10" t="s">
        <v>2801</v>
      </c>
      <c r="B1362" s="7" t="str">
        <f>IFERROR(__xludf.DUMMYFUNCTION("SPLIT(A1362,"" "")"),"CNCCN(Cc1ccccn1)C(C)(N)C1CC(C)(C)C1")</f>
        <v>CNCCN(Cc1ccccn1)C(C)(N)C1CC(C)(C)C1</v>
      </c>
      <c r="C1362" s="7">
        <f>IFERROR(__xludf.DUMMYFUNCTION("""COMPUTED_VALUE"""),7.8173714)</f>
        <v>7.8173714</v>
      </c>
      <c r="D1362" s="7">
        <f>IFERROR(__xludf.DUMMYFUNCTION("""COMPUTED_VALUE"""),0.396226415094339)</f>
        <v>0.3962264151</v>
      </c>
    </row>
    <row r="1363">
      <c r="A1363" s="10" t="s">
        <v>2802</v>
      </c>
      <c r="B1363" s="7" t="str">
        <f>IFERROR(__xludf.DUMMYFUNCTION("SPLIT(A1363,"" "")"),"CNC1CCCCC1N(C)Cc1ncc(C)c(C)c1C")</f>
        <v>CNC1CCCCC1N(C)Cc1ncc(C)c(C)c1C</v>
      </c>
      <c r="C1363" s="7">
        <f>IFERROR(__xludf.DUMMYFUNCTION("""COMPUTED_VALUE"""),7.8173537)</f>
        <v>7.8173537</v>
      </c>
      <c r="D1363" s="7">
        <f>IFERROR(__xludf.DUMMYFUNCTION("""COMPUTED_VALUE"""),0.4375)</f>
        <v>0.4375</v>
      </c>
    </row>
    <row r="1364">
      <c r="A1364" s="10" t="s">
        <v>2803</v>
      </c>
      <c r="B1364" s="7" t="str">
        <f>IFERROR(__xludf.DUMMYFUNCTION("SPLIT(A1364,"" "")"),"Cc1ccc(CNCc2ccc(CN3CCN(C)CCN(C)CC3)cn2)nc1")</f>
        <v>Cc1ccc(CNCc2ccc(CN3CCN(C)CCN(C)CC3)cn2)nc1</v>
      </c>
      <c r="C1364" s="7">
        <f>IFERROR(__xludf.DUMMYFUNCTION("""COMPUTED_VALUE"""),7.817345)</f>
        <v>7.817345</v>
      </c>
      <c r="D1364" s="7">
        <f>IFERROR(__xludf.DUMMYFUNCTION("""COMPUTED_VALUE"""),0.446808510638297)</f>
        <v>0.4468085106</v>
      </c>
    </row>
    <row r="1365">
      <c r="A1365" s="10" t="s">
        <v>2804</v>
      </c>
      <c r="B1365" s="7" t="str">
        <f>IFERROR(__xludf.DUMMYFUNCTION("SPLIT(A1365,"" "")"),"COC(C)NCCN(C)Cc1ccccn1")</f>
        <v>COC(C)NCCN(C)Cc1ccccn1</v>
      </c>
      <c r="C1365" s="7">
        <f>IFERROR(__xludf.DUMMYFUNCTION("""COMPUTED_VALUE"""),7.8173413)</f>
        <v>7.8173413</v>
      </c>
      <c r="D1365" s="7">
        <f>IFERROR(__xludf.DUMMYFUNCTION("""COMPUTED_VALUE"""),0.488372093023255)</f>
        <v>0.488372093</v>
      </c>
    </row>
    <row r="1366">
      <c r="A1366" s="10" t="s">
        <v>2805</v>
      </c>
      <c r="B1366" s="7" t="str">
        <f>IFERROR(__xludf.DUMMYFUNCTION("SPLIT(A1366,"" "")"),"CC(C)C(C)N(C)Cc1cccc(-c2ccc3c(c2)OCCOCCOCCOCCOCCO3)n1")</f>
        <v>CC(C)C(C)N(C)Cc1cccc(-c2ccc3c(c2)OCCOCCOCCOCCOCCO3)n1</v>
      </c>
      <c r="C1366" s="7">
        <f>IFERROR(__xludf.DUMMYFUNCTION("""COMPUTED_VALUE"""),7.8173313)</f>
        <v>7.8173313</v>
      </c>
      <c r="D1366" s="7">
        <f>IFERROR(__xludf.DUMMYFUNCTION("""COMPUTED_VALUE"""),0.343283582089552)</f>
        <v>0.3432835821</v>
      </c>
    </row>
    <row r="1367">
      <c r="A1367" s="10" t="s">
        <v>2806</v>
      </c>
      <c r="B1367" s="7" t="str">
        <f>IFERROR(__xludf.DUMMYFUNCTION("SPLIT(A1367,"" "")"),"CC1C=CC(C)(C)C(N(C)Cc2ccccn2)C1C")</f>
        <v>CC1C=CC(C)(C)C(N(C)Cc2ccccn2)C1C</v>
      </c>
      <c r="C1367" s="7">
        <f>IFERROR(__xludf.DUMMYFUNCTION("""COMPUTED_VALUE"""),7.8173203)</f>
        <v>7.8173203</v>
      </c>
      <c r="D1367" s="7">
        <f>IFERROR(__xludf.DUMMYFUNCTION("""COMPUTED_VALUE"""),0.478260869565217)</f>
        <v>0.4782608696</v>
      </c>
    </row>
    <row r="1368">
      <c r="A1368" s="10" t="s">
        <v>2807</v>
      </c>
      <c r="B1368" s="7" t="str">
        <f>IFERROR(__xludf.DUMMYFUNCTION("SPLIT(A1368,"" "")"),"CC(C)N(C)CC(C)(C)N(C)CC(C)(C)C")</f>
        <v>CC(C)N(C)CC(C)(C)N(C)CC(C)(C)C</v>
      </c>
      <c r="C1368" s="7">
        <f>IFERROR(__xludf.DUMMYFUNCTION("""COMPUTED_VALUE"""),7.8172827)</f>
        <v>7.8172827</v>
      </c>
      <c r="D1368" s="7">
        <f>IFERROR(__xludf.DUMMYFUNCTION("""COMPUTED_VALUE"""),0.195121951219512)</f>
        <v>0.1951219512</v>
      </c>
    </row>
    <row r="1369">
      <c r="A1369" s="10" t="s">
        <v>2808</v>
      </c>
      <c r="B1369" s="7" t="str">
        <f>IFERROR(__xludf.DUMMYFUNCTION("SPLIT(A1369,"" "")"),"Cc1cnc(CN(C)C2CCCC(N(CCN(C)CCF)Cc3ccccn3)C2)c(C)c1C")</f>
        <v>Cc1cnc(CN(C)C2CCCC(N(CCN(C)CCF)Cc3ccccn3)C2)c(C)c1C</v>
      </c>
      <c r="C1369" s="7">
        <f>IFERROR(__xludf.DUMMYFUNCTION("""COMPUTED_VALUE"""),7.8172703)</f>
        <v>7.8172703</v>
      </c>
      <c r="D1369" s="7">
        <f>IFERROR(__xludf.DUMMYFUNCTION("""COMPUTED_VALUE"""),0.393442622950819)</f>
        <v>0.393442623</v>
      </c>
    </row>
    <row r="1370">
      <c r="A1370" s="10" t="s">
        <v>2809</v>
      </c>
      <c r="B1370" s="7" t="str">
        <f>IFERROR(__xludf.DUMMYFUNCTION("SPLIT(A1370,"" "")"),"CC1=CC(C)CC(N(C)Cc2ncccc2-c2cccc3c2OCCOCCOCCOCCOCCO3)C1C")</f>
        <v>CC1=CC(C)CC(N(C)Cc2ncccc2-c2cccc3c2OCCOCCOCCOCCOCCO3)C1C</v>
      </c>
      <c r="C1370" s="7">
        <f>IFERROR(__xludf.DUMMYFUNCTION("""COMPUTED_VALUE"""),7.817247)</f>
        <v>7.817247</v>
      </c>
      <c r="D1370" s="7">
        <f>IFERROR(__xludf.DUMMYFUNCTION("""COMPUTED_VALUE"""),0.26865671641791)</f>
        <v>0.2686567164</v>
      </c>
    </row>
    <row r="1371">
      <c r="A1371" s="10" t="s">
        <v>2810</v>
      </c>
      <c r="B1371" s="7" t="str">
        <f>IFERROR(__xludf.DUMMYFUNCTION("SPLIT(A1371,"" "")"),"CN(Cc1cccc(-c2ccc3c(c2)OCCOCCOCCOCCOCCO3)n1)C1CCC(N(C)Cc2cccc(-c3cccc4c3OCCOCCOCCOCCOCCO4)n2)CC1")</f>
        <v>CN(Cc1cccc(-c2ccc3c(c2)OCCOCCOCCOCCOCCO3)n1)C1CCC(N(C)Cc2cccc(-c3cccc4c3OCCOCCOCCOCCOCCO4)n2)CC1</v>
      </c>
      <c r="C1371" s="7">
        <f>IFERROR(__xludf.DUMMYFUNCTION("""COMPUTED_VALUE"""),7.817239)</f>
        <v>7.817239</v>
      </c>
      <c r="D1371" s="7">
        <f>IFERROR(__xludf.DUMMYFUNCTION("""COMPUTED_VALUE"""),0.342465753424657)</f>
        <v>0.3424657534</v>
      </c>
    </row>
    <row r="1372">
      <c r="A1372" s="10" t="s">
        <v>2811</v>
      </c>
      <c r="B1372" s="7" t="str">
        <f>IFERROR(__xludf.DUMMYFUNCTION("SPLIT(A1372,"" "")"),"CNCc1ncccc1CN(C)C1CCCC(N(C)Cc2ccccn2)C1")</f>
        <v>CNCc1ncccc1CN(C)C1CCCC(N(C)Cc2ccccn2)C1</v>
      </c>
      <c r="C1372" s="7">
        <f>IFERROR(__xludf.DUMMYFUNCTION("""COMPUTED_VALUE"""),7.8172317)</f>
        <v>7.8172317</v>
      </c>
      <c r="D1372" s="7">
        <f>IFERROR(__xludf.DUMMYFUNCTION("""COMPUTED_VALUE"""),0.5)</f>
        <v>0.5</v>
      </c>
    </row>
    <row r="1373">
      <c r="A1373" s="10" t="s">
        <v>2812</v>
      </c>
      <c r="B1373" s="7" t="str">
        <f>IFERROR(__xludf.DUMMYFUNCTION("SPLIT(A1373,"" "")"),"CN(Cc1cc(-c2cccc3c2OCCOCCOCCOCCOCCO3)ccn1)C1CCC(N(C)Cc2cc(-c3cccc4c3OCCOCCOCCOCCOCCO4)ccn2)CC1")</f>
        <v>CN(Cc1cc(-c2cccc3c2OCCOCCOCCOCCOCCO3)ccn1)C1CCC(N(C)Cc2cc(-c3cccc4c3OCCOCCOCCOCCOCCO4)ccn2)CC1</v>
      </c>
      <c r="C1373" s="7">
        <f>IFERROR(__xludf.DUMMYFUNCTION("""COMPUTED_VALUE"""),7.8172293)</f>
        <v>7.8172293</v>
      </c>
      <c r="D1373" s="7">
        <f>IFERROR(__xludf.DUMMYFUNCTION("""COMPUTED_VALUE"""),0.322033898305084)</f>
        <v>0.3220338983</v>
      </c>
    </row>
    <row r="1374">
      <c r="A1374" s="10" t="s">
        <v>2813</v>
      </c>
      <c r="B1374" s="7" t="str">
        <f>IFERROR(__xludf.DUMMYFUNCTION("SPLIT(A1374,"" "")"),"CNCN1CCN(Cc2cc(C)c(C)cn2)CCN(Cc2cc(C)c(C)c(C)n2)CC1")</f>
        <v>CNCN1CCN(Cc2cc(C)c(C)cn2)CCN(Cc2cc(C)c(C)c(C)n2)CC1</v>
      </c>
      <c r="C1374" s="7">
        <f>IFERROR(__xludf.DUMMYFUNCTION("""COMPUTED_VALUE"""),7.8172274)</f>
        <v>7.8172274</v>
      </c>
      <c r="D1374" s="7">
        <f>IFERROR(__xludf.DUMMYFUNCTION("""COMPUTED_VALUE"""),0.352941176470588)</f>
        <v>0.3529411765</v>
      </c>
    </row>
    <row r="1375">
      <c r="A1375" s="10" t="s">
        <v>2814</v>
      </c>
      <c r="B1375" s="7" t="str">
        <f>IFERROR(__xludf.DUMMYFUNCTION("SPLIT(A1375,"" "")"),"CN(CC1=CCC(N(C)Cc2ccccn2)=CN1)Cc1ccc2c(c1)OCCOCCOCCOCCOCCO2")</f>
        <v>CN(CC1=CCC(N(C)Cc2ccccn2)=CN1)Cc1ccc2c(c1)OCCOCCOCCOCCOCCO2</v>
      </c>
      <c r="C1375" s="7">
        <f>IFERROR(__xludf.DUMMYFUNCTION("""COMPUTED_VALUE"""),7.817223)</f>
        <v>7.817223</v>
      </c>
      <c r="D1375" s="7">
        <f>IFERROR(__xludf.DUMMYFUNCTION("""COMPUTED_VALUE"""),0.34375)</f>
        <v>0.34375</v>
      </c>
    </row>
    <row r="1376">
      <c r="A1376" s="10" t="s">
        <v>2815</v>
      </c>
      <c r="B1376" s="7" t="str">
        <f>IFERROR(__xludf.DUMMYFUNCTION("SPLIT(A1376,"" "")"),"CC1C=CC(C)C2(C1)C(C)C=CC(C)C2N(C)Cc1ccccn1")</f>
        <v>CC1C=CC(C)C2(C1)C(C)C=CC(C)C2N(C)Cc1ccccn1</v>
      </c>
      <c r="C1376" s="7">
        <f>IFERROR(__xludf.DUMMYFUNCTION("""COMPUTED_VALUE"""),7.817223)</f>
        <v>7.817223</v>
      </c>
      <c r="D1376" s="7">
        <f>IFERROR(__xludf.DUMMYFUNCTION("""COMPUTED_VALUE"""),0.46938775510204)</f>
        <v>0.4693877551</v>
      </c>
    </row>
    <row r="1377">
      <c r="A1377" s="10" t="s">
        <v>2816</v>
      </c>
      <c r="B1377" s="7" t="str">
        <f>IFERROR(__xludf.DUMMYFUNCTION("SPLIT(A1377,"" "")"),"CC(C)N(CC1=CC(N(C)Cc2cccc(-c3ccc4c(c3)OCCOCCOCCOCCOCCO4)n2)C=CN1)c1ccc2c(c1)OCCOCCOCCOCCOCCO2")</f>
        <v>CC(C)N(CC1=CC(N(C)Cc2cccc(-c3ccc4c(c3)OCCOCCOCCOCCOCCO4)n2)C=CN1)c1ccc2c(c1)OCCOCCOCCOCCOCCO2</v>
      </c>
      <c r="C1377" s="7">
        <f>IFERROR(__xludf.DUMMYFUNCTION("""COMPUTED_VALUE"""),7.8172216)</f>
        <v>7.8172216</v>
      </c>
      <c r="D1377" s="7">
        <f>IFERROR(__xludf.DUMMYFUNCTION("""COMPUTED_VALUE"""),0.285714285714285)</f>
        <v>0.2857142857</v>
      </c>
    </row>
    <row r="1378">
      <c r="A1378" s="10" t="s">
        <v>2817</v>
      </c>
      <c r="B1378" s="7" t="str">
        <f>IFERROR(__xludf.DUMMYFUNCTION("SPLIT(A1378,"" "")"),"CN1CCN(C)CCN(C(c2ccccc2)c2ccccn2)CC1")</f>
        <v>CN1CCN(C)CCN(C(c2ccccc2)c2ccccn2)CC1</v>
      </c>
      <c r="C1378" s="7">
        <f>IFERROR(__xludf.DUMMYFUNCTION("""COMPUTED_VALUE"""),7.8172145)</f>
        <v>7.8172145</v>
      </c>
      <c r="D1378" s="7">
        <f>IFERROR(__xludf.DUMMYFUNCTION("""COMPUTED_VALUE"""),0.428571428571428)</f>
        <v>0.4285714286</v>
      </c>
    </row>
    <row r="1379">
      <c r="A1379" s="10" t="s">
        <v>2818</v>
      </c>
      <c r="B1379" s="7" t="str">
        <f>IFERROR(__xludf.DUMMYFUNCTION("SPLIT(A1379,"" "")"),"CN(CCN(C)C(C)(C)C)CC(C)(C)C")</f>
        <v>CN(CCN(C)C(C)(C)C)CC(C)(C)C</v>
      </c>
      <c r="C1379" s="7">
        <f>IFERROR(__xludf.DUMMYFUNCTION("""COMPUTED_VALUE"""),7.817201)</f>
        <v>7.817201</v>
      </c>
      <c r="D1379" s="7">
        <f>IFERROR(__xludf.DUMMYFUNCTION("""COMPUTED_VALUE"""),0.23076923076923)</f>
        <v>0.2307692308</v>
      </c>
    </row>
    <row r="1380">
      <c r="A1380" s="10" t="s">
        <v>2819</v>
      </c>
      <c r="B1380" s="7" t="str">
        <f>IFERROR(__xludf.DUMMYFUNCTION("SPLIT(A1380,"" "")"),"CN(Cc1ncccc1-c1ccc2c(c1)OCCOCCOCCOCCOCCO2)C1CCCCC1N(C)Cc1ncccc1-c1ccc2c(c1)OCCOCCOCCOCCOCCO2")</f>
        <v>CN(Cc1ncccc1-c1ccc2c(c1)OCCOCCOCCOCCOCCO2)C1CCCCC1N(C)Cc1ncccc1-c1ccc2c(c1)OCCOCCOCCOCCOCCO2</v>
      </c>
      <c r="C1380" s="7">
        <f>IFERROR(__xludf.DUMMYFUNCTION("""COMPUTED_VALUE"""),7.8171945)</f>
        <v>7.8171945</v>
      </c>
      <c r="D1380" s="7">
        <f>IFERROR(__xludf.DUMMYFUNCTION("""COMPUTED_VALUE"""),0.418181818181818)</f>
        <v>0.4181818182</v>
      </c>
    </row>
    <row r="1381">
      <c r="A1381" s="10" t="s">
        <v>2820</v>
      </c>
      <c r="B1381" s="7" t="str">
        <f>IFERROR(__xludf.DUMMYFUNCTION("SPLIT(A1381,"" "")"),"Cc1cncc(CN2CCN(C)CCN(Cc3ncccc3N)CC2)c1C")</f>
        <v>Cc1cncc(CN2CCN(C)CCN(Cc3ncccc3N)CC2)c1C</v>
      </c>
      <c r="C1381" s="7">
        <f>IFERROR(__xludf.DUMMYFUNCTION("""COMPUTED_VALUE"""),7.817187)</f>
        <v>7.817187</v>
      </c>
      <c r="D1381" s="7">
        <f>IFERROR(__xludf.DUMMYFUNCTION("""COMPUTED_VALUE"""),0.418181818181818)</f>
        <v>0.4181818182</v>
      </c>
    </row>
    <row r="1382">
      <c r="A1382" s="10" t="s">
        <v>2821</v>
      </c>
      <c r="B1382" s="7" t="str">
        <f>IFERROR(__xludf.DUMMYFUNCTION("SPLIT(A1382,"" "")"),"CN(CF)Cc1cccc(-c2ccc3c(c2)OCCOCCOCCOCCOCCO3)n1")</f>
        <v>CN(CF)Cc1cccc(-c2ccc3c(c2)OCCOCCOCCOCCOCCO3)n1</v>
      </c>
      <c r="C1382" s="7">
        <f>IFERROR(__xludf.DUMMYFUNCTION("""COMPUTED_VALUE"""),7.8171854)</f>
        <v>7.8171854</v>
      </c>
      <c r="D1382" s="7">
        <f>IFERROR(__xludf.DUMMYFUNCTION("""COMPUTED_VALUE"""),0.37037037037037)</f>
        <v>0.3703703704</v>
      </c>
    </row>
    <row r="1383">
      <c r="A1383" s="10" t="s">
        <v>2822</v>
      </c>
      <c r="B1383" s="7" t="str">
        <f>IFERROR(__xludf.DUMMYFUNCTION("SPLIT(A1383,"" "")"),"Cc1ccc(CN(C)CC2CCCN2C(C)C)nc1")</f>
        <v>Cc1ccc(CN(C)CC2CCCN2C(C)C)nc1</v>
      </c>
      <c r="C1383" s="7">
        <f>IFERROR(__xludf.DUMMYFUNCTION("""COMPUTED_VALUE"""),7.817171)</f>
        <v>7.817171</v>
      </c>
      <c r="D1383" s="7">
        <f>IFERROR(__xludf.DUMMYFUNCTION("""COMPUTED_VALUE"""),0.489795918367346)</f>
        <v>0.4897959184</v>
      </c>
    </row>
    <row r="1384">
      <c r="A1384" s="10" t="s">
        <v>2823</v>
      </c>
      <c r="B1384" s="7" t="str">
        <f>IFERROR(__xludf.DUMMYFUNCTION("SPLIT(A1384,"" "")"),"CCN(Cc1cccc(CF)n1)C1CCC(N(C)Cc2cccc(-c3ccc4c(c3)OCCOCCOCCOCCOCCO4)n2)CC1")</f>
        <v>CCN(Cc1cccc(CF)n1)C1CCC(N(C)Cc2cccc(-c3ccc4c(c3)OCCOCCOCCOCCOCCO4)n2)CC1</v>
      </c>
      <c r="C1384" s="7">
        <f>IFERROR(__xludf.DUMMYFUNCTION("""COMPUTED_VALUE"""),7.8171663)</f>
        <v>7.8171663</v>
      </c>
      <c r="D1384" s="7">
        <f>IFERROR(__xludf.DUMMYFUNCTION("""COMPUTED_VALUE"""),0.324675324675324)</f>
        <v>0.3246753247</v>
      </c>
    </row>
    <row r="1385">
      <c r="A1385" s="10" t="s">
        <v>2824</v>
      </c>
      <c r="B1385" s="7" t="str">
        <f>IFERROR(__xludf.DUMMYFUNCTION("SPLIT(A1385,"" "")"),"CCCNCC1=C(C)C(C)CCC1c1ccccn1")</f>
        <v>CCCNCC1=C(C)C(C)CCC1c1ccccn1</v>
      </c>
      <c r="C1385" s="7">
        <f>IFERROR(__xludf.DUMMYFUNCTION("""COMPUTED_VALUE"""),7.8171654)</f>
        <v>7.8171654</v>
      </c>
      <c r="D1385" s="7">
        <f>IFERROR(__xludf.DUMMYFUNCTION("""COMPUTED_VALUE"""),0.347826086956521)</f>
        <v>0.347826087</v>
      </c>
    </row>
    <row r="1386">
      <c r="A1386" s="10" t="s">
        <v>2825</v>
      </c>
      <c r="B1386" s="7" t="str">
        <f>IFERROR(__xludf.DUMMYFUNCTION("SPLIT(A1386,"" "")"),"CCNC1CCCCC1N(C)Cc1nc(C)c(C)cc1C")</f>
        <v>CCNC1CCCCC1N(C)Cc1nc(C)c(C)cc1C</v>
      </c>
      <c r="C1386" s="7">
        <f>IFERROR(__xludf.DUMMYFUNCTION("""COMPUTED_VALUE"""),7.8171587)</f>
        <v>7.8171587</v>
      </c>
      <c r="D1386" s="7">
        <f>IFERROR(__xludf.DUMMYFUNCTION("""COMPUTED_VALUE"""),0.365384615384615)</f>
        <v>0.3653846154</v>
      </c>
    </row>
    <row r="1387">
      <c r="A1387" s="10" t="s">
        <v>2826</v>
      </c>
      <c r="B1387" s="7" t="str">
        <f>IFERROR(__xludf.DUMMYFUNCTION("SPLIT(A1387,"" "")"),"CCC(C)N(C)Cc1cccc(-c2ccc3c(c2)OCCOCCOCCOCCOCCO3)n1")</f>
        <v>CCC(C)N(C)Cc1cccc(-c2ccc3c(c2)OCCOCCOCCOCCOCCO3)n1</v>
      </c>
      <c r="C1387" s="7">
        <f>IFERROR(__xludf.DUMMYFUNCTION("""COMPUTED_VALUE"""),7.8171563)</f>
        <v>7.8171563</v>
      </c>
      <c r="D1387" s="7">
        <f>IFERROR(__xludf.DUMMYFUNCTION("""COMPUTED_VALUE"""),0.338235294117647)</f>
        <v>0.3382352941</v>
      </c>
    </row>
    <row r="1388">
      <c r="A1388" s="10" t="s">
        <v>2827</v>
      </c>
      <c r="B1388" s="7" t="str">
        <f>IFERROR(__xludf.DUMMYFUNCTION("SPLIT(A1388,"" "")"),"CC(C)C1=CC2(C=CN1)C=CC(C)(C)C(C)(C)C2")</f>
        <v>CC(C)C1=CC2(C=CN1)C=CC(C)(C)C(C)(C)C2</v>
      </c>
      <c r="C1388" s="7">
        <f>IFERROR(__xludf.DUMMYFUNCTION("""COMPUTED_VALUE"""),7.817155)</f>
        <v>7.817155</v>
      </c>
      <c r="D1388" s="7">
        <f>IFERROR(__xludf.DUMMYFUNCTION("""COMPUTED_VALUE"""),0.169811320754716)</f>
        <v>0.1698113208</v>
      </c>
    </row>
    <row r="1389">
      <c r="A1389" s="10" t="s">
        <v>2828</v>
      </c>
      <c r="B1389" s="7" t="str">
        <f>IFERROR(__xludf.DUMMYFUNCTION("SPLIT(A1389,"" "")"),"C=CCN(Cc1ccccn1)C1CCCCC1N(Cc1ccccn1)Cc1cccc(-c2ccc3c(c2)OCCOCCOCCOCCOCCO3)n1")</f>
        <v>C=CCN(Cc1ccccn1)C1CCCCC1N(Cc1ccccn1)Cc1cccc(-c2ccc3c(c2)OCCOCCOCCOCCOCCO3)n1</v>
      </c>
      <c r="C1389" s="7">
        <f>IFERROR(__xludf.DUMMYFUNCTION("""COMPUTED_VALUE"""),7.81715)</f>
        <v>7.81715</v>
      </c>
      <c r="D1389" s="7">
        <f>IFERROR(__xludf.DUMMYFUNCTION("""COMPUTED_VALUE"""),0.36986301369863)</f>
        <v>0.3698630137</v>
      </c>
    </row>
    <row r="1390">
      <c r="A1390" s="10" t="s">
        <v>2829</v>
      </c>
      <c r="B1390" s="7" t="str">
        <f>IFERROR(__xludf.DUMMYFUNCTION("SPLIT(A1390,"" "")"),"Cc1cc(CN(C)CC2CCCN2C(C)C)ccn1")</f>
        <v>Cc1cc(CN(C)CC2CCCN2C(C)C)ccn1</v>
      </c>
      <c r="C1390" s="7">
        <f>IFERROR(__xludf.DUMMYFUNCTION("""COMPUTED_VALUE"""),7.8171344)</f>
        <v>7.8171344</v>
      </c>
      <c r="D1390" s="7">
        <f>IFERROR(__xludf.DUMMYFUNCTION("""COMPUTED_VALUE"""),0.406779661016949)</f>
        <v>0.406779661</v>
      </c>
    </row>
    <row r="1391">
      <c r="A1391" s="10" t="s">
        <v>2830</v>
      </c>
      <c r="B1391" s="7" t="str">
        <f>IFERROR(__xludf.DUMMYFUNCTION("SPLIT(A1391,"" "")"),"CN(Cc1ccc(-c2cccc3c2OCCOCCOCCOCCOCCO3)cn1)C1CCC(N(C)Cc2cccc(-c3cccc4c3OCCOCCOCCOCCOCCO4)n2)CC1")</f>
        <v>CN(Cc1ccc(-c2cccc3c2OCCOCCOCCOCCOCCO3)cn1)C1CCC(N(C)Cc2cccc(-c3cccc4c3OCCOCCOCCOCCOCCO4)n2)CC1</v>
      </c>
      <c r="C1391" s="7">
        <f>IFERROR(__xludf.DUMMYFUNCTION("""COMPUTED_VALUE"""),7.817123)</f>
        <v>7.817123</v>
      </c>
      <c r="D1391" s="7">
        <f>IFERROR(__xludf.DUMMYFUNCTION("""COMPUTED_VALUE"""),0.337837837837837)</f>
        <v>0.3378378378</v>
      </c>
    </row>
    <row r="1392">
      <c r="A1392" s="10" t="s">
        <v>2831</v>
      </c>
      <c r="B1392" s="7" t="str">
        <f>IFERROR(__xludf.DUMMYFUNCTION("SPLIT(A1392,"" "")"),"CCN1CCN(C)CCN(Cc2ncccc2C(C)(C)c2ccccn2)CC1")</f>
        <v>CCN1CCN(C)CCN(Cc2ncccc2C(C)(C)c2ccccn2)CC1</v>
      </c>
      <c r="C1392" s="7">
        <f>IFERROR(__xludf.DUMMYFUNCTION("""COMPUTED_VALUE"""),7.817117)</f>
        <v>7.817117</v>
      </c>
      <c r="D1392" s="7">
        <f>IFERROR(__xludf.DUMMYFUNCTION("""COMPUTED_VALUE"""),0.479166666666666)</f>
        <v>0.4791666667</v>
      </c>
    </row>
    <row r="1393">
      <c r="A1393" s="10" t="s">
        <v>2832</v>
      </c>
      <c r="B1393" s="7" t="str">
        <f>IFERROR(__xludf.DUMMYFUNCTION("SPLIT(A1393,"" "")"),"CN(Cc1ccccn1)C1CCCC(N(C)Cc2ncccc2-c2cccc3c2OCCOCCOCCOCCOCCO3)C1")</f>
        <v>CN(Cc1ccccn1)C1CCCC(N(C)Cc2ncccc2-c2cccc3c2OCCOCCOCCOCCOCCO3)C1</v>
      </c>
      <c r="C1393" s="7">
        <f>IFERROR(__xludf.DUMMYFUNCTION("""COMPUTED_VALUE"""),7.817111)</f>
        <v>7.817111</v>
      </c>
      <c r="D1393" s="7">
        <f>IFERROR(__xludf.DUMMYFUNCTION("""COMPUTED_VALUE"""),0.423728813559322)</f>
        <v>0.4237288136</v>
      </c>
    </row>
    <row r="1394">
      <c r="A1394" s="10" t="s">
        <v>2833</v>
      </c>
      <c r="B1394" s="7" t="str">
        <f>IFERROR(__xludf.DUMMYFUNCTION("SPLIT(A1394,"" "")"),"CCNCc1cccc(CN(C)C2CCCC(N(C)Cc3cccc(-c4ccc5c(c4)OCCOCCOCCOCCOCCO5)n3)C2)n1")</f>
        <v>CCNCc1cccc(CN(C)C2CCCC(N(C)Cc3cccc(-c4ccc5c(c4)OCCOCCOCCOCCOCCO5)n3)C2)n1</v>
      </c>
      <c r="C1394" s="7">
        <f>IFERROR(__xludf.DUMMYFUNCTION("""COMPUTED_VALUE"""),7.817102)</f>
        <v>7.817102</v>
      </c>
      <c r="D1394" s="7">
        <f>IFERROR(__xludf.DUMMYFUNCTION("""COMPUTED_VALUE"""),0.342105263157894)</f>
        <v>0.3421052632</v>
      </c>
    </row>
    <row r="1395">
      <c r="A1395" s="10" t="s">
        <v>2834</v>
      </c>
      <c r="B1395" s="7" t="str">
        <f>IFERROR(__xludf.DUMMYFUNCTION("SPLIT(A1395,"" "")"),"CC(C)N(C)CCN(C)C(C)C")</f>
        <v>CC(C)N(C)CCN(C)C(C)C</v>
      </c>
      <c r="C1395" s="7">
        <f>IFERROR(__xludf.DUMMYFUNCTION("""COMPUTED_VALUE"""),7.8170657)</f>
        <v>7.8170657</v>
      </c>
      <c r="D1395" s="7">
        <f>IFERROR(__xludf.DUMMYFUNCTION("""COMPUTED_VALUE"""),0.21875)</f>
        <v>0.21875</v>
      </c>
    </row>
    <row r="1396">
      <c r="A1396" s="10" t="s">
        <v>2835</v>
      </c>
      <c r="B1396" s="7" t="str">
        <f>IFERROR(__xludf.DUMMYFUNCTION("SPLIT(A1396,"" "")"),"CC(C)C(C)C1CCC1(C)c1cccc(C2CCC2(C)C)n1")</f>
        <v>CC(C)C(C)C1CCC1(C)c1cccc(C2CCC2(C)C)n1</v>
      </c>
      <c r="C1396" s="7">
        <f>IFERROR(__xludf.DUMMYFUNCTION("""COMPUTED_VALUE"""),7.8170633)</f>
        <v>7.8170633</v>
      </c>
      <c r="D1396" s="7">
        <f>IFERROR(__xludf.DUMMYFUNCTION("""COMPUTED_VALUE"""),0.23076923076923)</f>
        <v>0.2307692308</v>
      </c>
    </row>
    <row r="1397">
      <c r="A1397" s="10" t="s">
        <v>2836</v>
      </c>
      <c r="B1397" s="7" t="str">
        <f>IFERROR(__xludf.DUMMYFUNCTION("SPLIT(A1397,"" "")"),"CNC1CCC(N(Cc2ccccn2)Cc2cccc(C3CCC3C)n2)C(N(Cc2ccccn2)Cc2cccc(C3CCC3C)n2)C1N(Cc1ccccn1)Cc1cccc(C2CC3OCCOCCOCCOCCOCCOC32)n1")</f>
        <v>CNC1CCC(N(Cc2ccccn2)Cc2cccc(C3CCC3C)n2)C(N(Cc2ccccn2)Cc2cccc(C3CCC3C)n2)C1N(Cc1ccccn1)Cc1cccc(C2CC3OCCOCCOCCOCCOCCOC32)n1</v>
      </c>
      <c r="C1397" s="7">
        <f>IFERROR(__xludf.DUMMYFUNCTION("""COMPUTED_VALUE"""),7.8170567)</f>
        <v>7.8170567</v>
      </c>
      <c r="D1397" s="7">
        <f>IFERROR(__xludf.DUMMYFUNCTION("""COMPUTED_VALUE"""),0.293333333333333)</f>
        <v>0.2933333333</v>
      </c>
    </row>
    <row r="1398">
      <c r="A1398" s="10" t="s">
        <v>2837</v>
      </c>
      <c r="B1398" s="7" t="str">
        <f>IFERROR(__xludf.DUMMYFUNCTION("SPLIT(A1398,"" "")"),"c1cnc2c3c(ccc2c1)OCCOCCOCCOCCOCCO3")</f>
        <v>c1cnc2c3c(ccc2c1)OCCOCCOCCOCCOCCO3</v>
      </c>
      <c r="C1398" s="7">
        <f>IFERROR(__xludf.DUMMYFUNCTION("""COMPUTED_VALUE"""),7.817045)</f>
        <v>7.817045</v>
      </c>
      <c r="D1398" s="7">
        <f>IFERROR(__xludf.DUMMYFUNCTION("""COMPUTED_VALUE"""),0.319148936170212)</f>
        <v>0.3191489362</v>
      </c>
    </row>
    <row r="1399">
      <c r="A1399" s="10" t="s">
        <v>2838</v>
      </c>
      <c r="B1399" s="7" t="str">
        <f>IFERROR(__xludf.DUMMYFUNCTION("SPLIT(A1399,"" "")"),"CN1CCN(C)CCN(Cc2cncc(N(C)O)c2)CC1")</f>
        <v>CN1CCN(C)CCN(Cc2cncc(N(C)O)c2)CC1</v>
      </c>
      <c r="C1399" s="7">
        <f>IFERROR(__xludf.DUMMYFUNCTION("""COMPUTED_VALUE"""),7.8170443)</f>
        <v>7.8170443</v>
      </c>
      <c r="D1399" s="7">
        <f>IFERROR(__xludf.DUMMYFUNCTION("""COMPUTED_VALUE"""),0.446808510638297)</f>
        <v>0.4468085106</v>
      </c>
    </row>
    <row r="1400">
      <c r="A1400" s="10" t="s">
        <v>2839</v>
      </c>
      <c r="B1400" s="7" t="str">
        <f>IFERROR(__xludf.DUMMYFUNCTION("SPLIT(A1400,"" "")"),"CCN(Cc1cccc(CF)n1)C1CCC(N(C)Cc2cc(-c3ccc4c(c3)OCCOCCOCCOCCOCCO4)ccn2)CC1")</f>
        <v>CCN(Cc1cccc(CF)n1)C1CCC(N(C)Cc2cc(-c3ccc4c(c3)OCCOCCOCCOCCOCCO4)ccn2)CC1</v>
      </c>
      <c r="C1400" s="7">
        <f>IFERROR(__xludf.DUMMYFUNCTION("""COMPUTED_VALUE"""),7.8170414)</f>
        <v>7.8170414</v>
      </c>
      <c r="D1400" s="7">
        <f>IFERROR(__xludf.DUMMYFUNCTION("""COMPUTED_VALUE"""),0.346153846153846)</f>
        <v>0.3461538462</v>
      </c>
    </row>
    <row r="1401">
      <c r="A1401" s="10" t="s">
        <v>2840</v>
      </c>
      <c r="B1401" s="7" t="str">
        <f>IFERROR(__xludf.DUMMYFUNCTION("SPLIT(A1401,"" "")"),"CN1CCN(C)CCN(Cc2cccnc2N(C)O)CC1")</f>
        <v>CN1CCN(C)CCN(Cc2cccnc2N(C)O)CC1</v>
      </c>
      <c r="C1401" s="7">
        <f>IFERROR(__xludf.DUMMYFUNCTION("""COMPUTED_VALUE"""),7.817041)</f>
        <v>7.817041</v>
      </c>
      <c r="D1401" s="7">
        <f>IFERROR(__xludf.DUMMYFUNCTION("""COMPUTED_VALUE"""),0.5)</f>
        <v>0.5</v>
      </c>
    </row>
    <row r="1402">
      <c r="A1402" s="10" t="s">
        <v>2841</v>
      </c>
      <c r="B1402" s="7" t="str">
        <f>IFERROR(__xludf.DUMMYFUNCTION("SPLIT(A1402,"" "")"),"CN(Cc1cccc(CN(C)C2CCC(N(C)Cc3cccc(-c4ccc5c(c4)OCCOCCOCCOCCOCCO5)n3)CC2)n1)C1CCC(N(C)Cc2cccc(-c3ccc4c(c3)OCCOCCOCCOCCOCCO4)n2)CC1")</f>
        <v>CN(Cc1cccc(CN(C)C2CCC(N(C)Cc3cccc(-c4ccc5c(c4)OCCOCCOCCOCCOCCO5)n3)CC2)n1)C1CCC(N(C)Cc2cccc(-c3ccc4c(c3)OCCOCCOCCOCCOCCO4)n2)CC1</v>
      </c>
      <c r="C1402" s="7">
        <f>IFERROR(__xludf.DUMMYFUNCTION("""COMPUTED_VALUE"""),7.8170185)</f>
        <v>7.8170185</v>
      </c>
      <c r="D1402" s="7">
        <f>IFERROR(__xludf.DUMMYFUNCTION("""COMPUTED_VALUE"""),0.384615384615384)</f>
        <v>0.3846153846</v>
      </c>
    </row>
    <row r="1403">
      <c r="A1403" s="10" t="s">
        <v>2842</v>
      </c>
      <c r="B1403" s="7" t="str">
        <f>IFERROR(__xludf.DUMMYFUNCTION("SPLIT(A1403,"" "")"),"CN(Cc1cccc(F)n1)c1ccc2c(c1)OCCOCCOCCOCCOCCO2")</f>
        <v>CN(Cc1cccc(F)n1)c1ccc2c(c1)OCCOCCOCCOCCOCCO2</v>
      </c>
      <c r="C1403" s="7">
        <f>IFERROR(__xludf.DUMMYFUNCTION("""COMPUTED_VALUE"""),7.817015)</f>
        <v>7.817015</v>
      </c>
      <c r="D1403" s="7">
        <f>IFERROR(__xludf.DUMMYFUNCTION("""COMPUTED_VALUE"""),0.333333333333333)</f>
        <v>0.3333333333</v>
      </c>
    </row>
    <row r="1404">
      <c r="A1404" s="10" t="s">
        <v>2843</v>
      </c>
      <c r="B1404" s="7" t="str">
        <f>IFERROR(__xludf.DUMMYFUNCTION("SPLIT(A1404,"" "")"),"CN(Cc1cc(CF)ccn1)C1CCC(N(C)Cc2cc(-c3cccc4c3OCCOCCOCCOCCOCCO4)ccn2)CC1")</f>
        <v>CN(Cc1cc(CF)ccn1)C1CCC(N(C)Cc2cc(-c3cccc4c3OCCOCCOCCOCCOCCO4)ccn2)CC1</v>
      </c>
      <c r="C1404" s="7">
        <f>IFERROR(__xludf.DUMMYFUNCTION("""COMPUTED_VALUE"""),7.8170114)</f>
        <v>7.8170114</v>
      </c>
      <c r="D1404" s="7">
        <f>IFERROR(__xludf.DUMMYFUNCTION("""COMPUTED_VALUE"""),0.287878787878787)</f>
        <v>0.2878787879</v>
      </c>
    </row>
    <row r="1405">
      <c r="A1405" s="10" t="s">
        <v>2844</v>
      </c>
      <c r="B1405" s="7" t="str">
        <f>IFERROR(__xludf.DUMMYFUNCTION("SPLIT(A1405,"" "")"),"CC(C(=O)C(=O)C(=O)C(=O)C(=O)C(C)C(=O)C(C)C(=O)c1cccc(C2CCC2(C)C)n1)C(=O)C(=O)C(=O)C(C)C(C)C(C)C(C)C(C)C(C)C(C)C(C)C(C)C(C)C(C)C(C)C(C)C(C)C(C)C(C)C(C)C(C)C")</f>
        <v>CC(C(=O)C(=O)C(=O)C(=O)C(=O)C(C)C(=O)C(C)C(=O)c1cccc(C2CCC2(C)C)n1)C(=O)C(=O)C(=O)C(C)C(C)C(C)C(C)C(C)C(C)C(C)C(C)C(C)C(C)C(C)C(C)C(C)C(C)C(C)C(C)C(C)C(C)C</v>
      </c>
      <c r="C1405" s="7">
        <f>IFERROR(__xludf.DUMMYFUNCTION("""COMPUTED_VALUE"""),7.817008)</f>
        <v>7.817008</v>
      </c>
      <c r="D1405" s="7">
        <f>IFERROR(__xludf.DUMMYFUNCTION("""COMPUTED_VALUE"""),0.1875)</f>
        <v>0.1875</v>
      </c>
    </row>
    <row r="1406">
      <c r="A1406" s="10" t="s">
        <v>2845</v>
      </c>
      <c r="B1406" s="7" t="str">
        <f>IFERROR(__xludf.DUMMYFUNCTION("SPLIT(A1406,"" "")"),"COC(=O)C(=O)NCc1ncccc1CN1CCN(C)CCN(C)CC1")</f>
        <v>COC(=O)C(=O)NCc1ncccc1CN1CCN(C)CCN(C)CC1</v>
      </c>
      <c r="C1406" s="7">
        <f>IFERROR(__xludf.DUMMYFUNCTION("""COMPUTED_VALUE"""),7.817002)</f>
        <v>7.817002</v>
      </c>
      <c r="D1406" s="7">
        <f>IFERROR(__xludf.DUMMYFUNCTION("""COMPUTED_VALUE"""),0.411764705882352)</f>
        <v>0.4117647059</v>
      </c>
    </row>
    <row r="1407">
      <c r="A1407" s="10" t="s">
        <v>2846</v>
      </c>
      <c r="B1407" s="7" t="str">
        <f>IFERROR(__xludf.DUMMYFUNCTION("SPLIT(A1407,"" "")"),"CN(Cc1cccc(CN(C)C(C)(C)C)n1)C1CCC(N(C)Cc2cccc(-c3ccc4c(c3)OCCOCCOCCOCCOCCO4)n2)CC1")</f>
        <v>CN(Cc1cccc(CN(C)C(C)(C)C)n1)C1CCC(N(C)Cc2cccc(-c3ccc4c(c3)OCCOCCOCCOCCOCCO4)n2)CC1</v>
      </c>
      <c r="C1407" s="7">
        <f>IFERROR(__xludf.DUMMYFUNCTION("""COMPUTED_VALUE"""),7.81698)</f>
        <v>7.81698</v>
      </c>
      <c r="D1407" s="7">
        <f>IFERROR(__xludf.DUMMYFUNCTION("""COMPUTED_VALUE"""),0.347222222222222)</f>
        <v>0.3472222222</v>
      </c>
    </row>
    <row r="1408">
      <c r="A1408" s="10" t="s">
        <v>2847</v>
      </c>
      <c r="B1408" s="7" t="str">
        <f>IFERROR(__xludf.DUMMYFUNCTION("SPLIT(A1408,"" "")"),"CCN(Cc1cccc(CF)n1)C1CCC(N(C)Cc2ccc(-c3ccc4c(c3)OCCOCCOCCOCCOCCO4)cn2)CC1")</f>
        <v>CCN(Cc1cccc(CF)n1)C1CCC(N(C)Cc2ccc(-c3ccc4c(c3)OCCOCCOCCOCCOCCO4)cn2)CC1</v>
      </c>
      <c r="C1408" s="7">
        <f>IFERROR(__xludf.DUMMYFUNCTION("""COMPUTED_VALUE"""),7.816971)</f>
        <v>7.816971</v>
      </c>
      <c r="D1408" s="7">
        <f>IFERROR(__xludf.DUMMYFUNCTION("""COMPUTED_VALUE"""),0.438356164383561)</f>
        <v>0.4383561644</v>
      </c>
    </row>
    <row r="1409">
      <c r="A1409" s="10" t="s">
        <v>2848</v>
      </c>
      <c r="B1409" s="7" t="str">
        <f>IFERROR(__xludf.DUMMYFUNCTION("SPLIT(A1409,"" "")"),"CN(Cc1cccc(-c2ccc3c(c2)OCCOCCOCCOCCOCCO3)n1)C1CCC(N(C)Cc2cccc(-c3ccc4c(c3)OCCOCCOCCOCCOCCO4)n2)CC1")</f>
        <v>CN(Cc1cccc(-c2ccc3c(c2)OCCOCCOCCOCCOCCO3)n1)C1CCC(N(C)Cc2cccc(-c3ccc4c(c3)OCCOCCOCCOCCOCCO4)n2)CC1</v>
      </c>
      <c r="C1409" s="7">
        <f>IFERROR(__xludf.DUMMYFUNCTION("""COMPUTED_VALUE"""),7.816966)</f>
        <v>7.816966</v>
      </c>
      <c r="D1409" s="7">
        <f>IFERROR(__xludf.DUMMYFUNCTION("""COMPUTED_VALUE"""),0.390625)</f>
        <v>0.390625</v>
      </c>
    </row>
    <row r="1410">
      <c r="A1410" s="10" t="s">
        <v>2849</v>
      </c>
      <c r="B1410" s="7" t="str">
        <f>IFERROR(__xludf.DUMMYFUNCTION("SPLIT(A1410,"" "")"),"Cc1ccnc(CN(Cc2ncccc2C)C2CCCC(N(C)C(C)C)C2)c1")</f>
        <v>Cc1ccnc(CN(Cc2ncccc2C)C2CCCC(N(C)C(C)C)C2)c1</v>
      </c>
      <c r="C1410" s="7">
        <f>IFERROR(__xludf.DUMMYFUNCTION("""COMPUTED_VALUE"""),7.816943)</f>
        <v>7.816943</v>
      </c>
      <c r="D1410" s="7">
        <f>IFERROR(__xludf.DUMMYFUNCTION("""COMPUTED_VALUE"""),0.311475409836065)</f>
        <v>0.3114754098</v>
      </c>
    </row>
    <row r="1411">
      <c r="A1411" s="10" t="s">
        <v>2850</v>
      </c>
      <c r="B1411" s="7" t="str">
        <f>IFERROR(__xludf.DUMMYFUNCTION("SPLIT(A1411,"" "")"),"CNCCN(C)Cc1cccnc1-c1ccc2c(c1)OCCOCCOCCOCCOCCO2")</f>
        <v>CNCCN(C)Cc1cccnc1-c1ccc2c(c1)OCCOCCOCCOCCOCCO2</v>
      </c>
      <c r="C1411" s="7">
        <f>IFERROR(__xludf.DUMMYFUNCTION("""COMPUTED_VALUE"""),7.8169317)</f>
        <v>7.8169317</v>
      </c>
      <c r="D1411" s="7">
        <f>IFERROR(__xludf.DUMMYFUNCTION("""COMPUTED_VALUE"""),0.344827586206896)</f>
        <v>0.3448275862</v>
      </c>
    </row>
    <row r="1412">
      <c r="A1412" s="10" t="s">
        <v>2851</v>
      </c>
      <c r="B1412" s="7" t="str">
        <f>IFERROR(__xludf.DUMMYFUNCTION("SPLIT(A1412,"" "")"),"CC1=CCC(C)C(c2ncccc2CN(Cc2ccccn2)C2CCCCC2)C1C")</f>
        <v>CC1=CCC(C)C(c2ncccc2CN(Cc2ccccn2)C2CCCCC2)C1C</v>
      </c>
      <c r="C1412" s="7">
        <f>IFERROR(__xludf.DUMMYFUNCTION("""COMPUTED_VALUE"""),7.81693)</f>
        <v>7.81693</v>
      </c>
      <c r="D1412" s="7">
        <f>IFERROR(__xludf.DUMMYFUNCTION("""COMPUTED_VALUE"""),0.389830508474576)</f>
        <v>0.3898305085</v>
      </c>
    </row>
    <row r="1413">
      <c r="A1413" s="10" t="s">
        <v>2852</v>
      </c>
      <c r="B1413" s="7" t="str">
        <f>IFERROR(__xludf.DUMMYFUNCTION("SPLIT(A1413,"" "")"),"CN(C)C1CCCC(N(Cc2ccccn2)Cc2cccc(-c3ccc4c(c3)OCCOCCOCCOCCOCCO4)n2)C1")</f>
        <v>CN(C)C1CCCC(N(Cc2ccccn2)Cc2cccc(-c3ccc4c(c3)OCCOCCOCCOCCOCCO4)n2)C1</v>
      </c>
      <c r="C1413" s="7">
        <f>IFERROR(__xludf.DUMMYFUNCTION("""COMPUTED_VALUE"""),7.8169255)</f>
        <v>7.8169255</v>
      </c>
      <c r="D1413" s="7">
        <f>IFERROR(__xludf.DUMMYFUNCTION("""COMPUTED_VALUE"""),0.420289855072463)</f>
        <v>0.4202898551</v>
      </c>
    </row>
    <row r="1414">
      <c r="A1414" s="10" t="s">
        <v>2853</v>
      </c>
      <c r="B1414" s="7" t="str">
        <f>IFERROR(__xludf.DUMMYFUNCTION("SPLIT(A1414,"" "")"),"CC1=CC(C)CC(c2cc(CN(Cc3ccccn3)C3CCCCC3)ccn2)C1C")</f>
        <v>CC1=CC(C)CC(c2cc(CN(Cc3ccccn3)C3CCCCC3)ccn2)C1C</v>
      </c>
      <c r="C1414" s="7">
        <f>IFERROR(__xludf.DUMMYFUNCTION("""COMPUTED_VALUE"""),7.81689)</f>
        <v>7.81689</v>
      </c>
      <c r="D1414" s="7">
        <f>IFERROR(__xludf.DUMMYFUNCTION("""COMPUTED_VALUE"""),0.4)</f>
        <v>0.4</v>
      </c>
    </row>
    <row r="1415">
      <c r="A1415" s="10" t="s">
        <v>2854</v>
      </c>
      <c r="B1415" s="7" t="str">
        <f>IFERROR(__xludf.DUMMYFUNCTION("SPLIT(A1415,"" "")"),"CCC(C)c1ccccn1")</f>
        <v>CCC(C)c1ccccn1</v>
      </c>
      <c r="C1415" s="7">
        <f>IFERROR(__xludf.DUMMYFUNCTION("""COMPUTED_VALUE"""),7.8168855)</f>
        <v>7.8168855</v>
      </c>
      <c r="D1415" s="7">
        <f>IFERROR(__xludf.DUMMYFUNCTION("""COMPUTED_VALUE"""),0.428571428571428)</f>
        <v>0.4285714286</v>
      </c>
    </row>
    <row r="1416">
      <c r="A1416" s="10" t="s">
        <v>2855</v>
      </c>
      <c r="B1416" s="7" t="str">
        <f>IFERROR(__xludf.DUMMYFUNCTION("SPLIT(A1416,"" "")"),"CN(CC1=CC(N(C)Cc2ccccn2)C=CN1)c1ccc2c(c1)OCCOCCOCCOCCOCCO2")</f>
        <v>CN(CC1=CC(N(C)Cc2ccccn2)C=CN1)c1ccc2c(c1)OCCOCCOCCOCCOCCO2</v>
      </c>
      <c r="C1416" s="7">
        <f>IFERROR(__xludf.DUMMYFUNCTION("""COMPUTED_VALUE"""),7.816871)</f>
        <v>7.816871</v>
      </c>
      <c r="D1416" s="7">
        <f>IFERROR(__xludf.DUMMYFUNCTION("""COMPUTED_VALUE"""),0.359375)</f>
        <v>0.359375</v>
      </c>
    </row>
    <row r="1417">
      <c r="A1417" s="10" t="s">
        <v>2856</v>
      </c>
      <c r="B1417" s="7" t="str">
        <f>IFERROR(__xludf.DUMMYFUNCTION("SPLIT(A1417,"" "")"),"CC1=CC(N(C)Cc2ccccn2)C(C)(C)C(C)C1C")</f>
        <v>CC1=CC(N(C)Cc2ccccn2)C(C)(C)C(C)C1C</v>
      </c>
      <c r="C1417" s="7">
        <f>IFERROR(__xludf.DUMMYFUNCTION("""COMPUTED_VALUE"""),7.816869)</f>
        <v>7.816869</v>
      </c>
      <c r="D1417" s="7">
        <f>IFERROR(__xludf.DUMMYFUNCTION("""COMPUTED_VALUE"""),0.468085106382978)</f>
        <v>0.4680851064</v>
      </c>
    </row>
    <row r="1418">
      <c r="A1418" s="10" t="s">
        <v>2857</v>
      </c>
      <c r="B1418" s="7" t="str">
        <f>IFERROR(__xludf.DUMMYFUNCTION("SPLIT(A1418,"" "")"),"Cc1ccc2c(c1N(C)Cc1ccccn1)OCCOCCOCCOCCOCCO2")</f>
        <v>Cc1ccc2c(c1N(C)Cc1ccccn1)OCCOCCOCCOCCOCCO2</v>
      </c>
      <c r="C1418" s="7">
        <f>IFERROR(__xludf.DUMMYFUNCTION("""COMPUTED_VALUE"""),7.8168564)</f>
        <v>7.8168564</v>
      </c>
      <c r="D1418" s="7">
        <f>IFERROR(__xludf.DUMMYFUNCTION("""COMPUTED_VALUE"""),0.411764705882352)</f>
        <v>0.4117647059</v>
      </c>
    </row>
    <row r="1419">
      <c r="A1419" s="10" t="s">
        <v>2858</v>
      </c>
      <c r="B1419" s="7" t="str">
        <f>IFERROR(__xludf.DUMMYFUNCTION("SPLIT(A1419,"" "")"),"CCNCc1cc(CN(C)C2CCC(N(C)Cc3cc(C)ccn3)CC2)ccn1")</f>
        <v>CCNCc1cc(CN(C)C2CCC(N(C)Cc3cc(C)ccn3)CC2)ccn1</v>
      </c>
      <c r="C1419" s="7">
        <f>IFERROR(__xludf.DUMMYFUNCTION("""COMPUTED_VALUE"""),7.816854)</f>
        <v>7.816854</v>
      </c>
      <c r="D1419" s="7">
        <f>IFERROR(__xludf.DUMMYFUNCTION("""COMPUTED_VALUE"""),0.351851851851851)</f>
        <v>0.3518518519</v>
      </c>
    </row>
    <row r="1420">
      <c r="A1420" s="10" t="s">
        <v>2859</v>
      </c>
      <c r="B1420" s="7" t="str">
        <f>IFERROR(__xludf.DUMMYFUNCTION("SPLIT(A1420,"" "")"),"Cc1cc2c(cc1-c1ccc(CN(Cc3ccccn3)C3CCCCC3)cn1)OCCOCCOCCOCCOCCO2")</f>
        <v>Cc1cc2c(cc1-c1ccc(CN(Cc3ccccn3)C3CCCCC3)cn1)OCCOCCOCCOCCOCCO2</v>
      </c>
      <c r="C1420" s="7">
        <f>IFERROR(__xludf.DUMMYFUNCTION("""COMPUTED_VALUE"""),7.816847)</f>
        <v>7.816847</v>
      </c>
      <c r="D1420" s="7">
        <f>IFERROR(__xludf.DUMMYFUNCTION("""COMPUTED_VALUE"""),0.353846153846153)</f>
        <v>0.3538461538</v>
      </c>
    </row>
    <row r="1421">
      <c r="A1421" s="10" t="s">
        <v>2860</v>
      </c>
      <c r="B1421" s="7" t="str">
        <f>IFERROR(__xludf.DUMMYFUNCTION("SPLIT(A1421,"" "")"),"CN(Cc1ncccc1CF)C1CCC(N(C)Cc2ncccc2-c2cccc3c2OCCOCCOCCOCCOCCO3)CC1")</f>
        <v>CN(Cc1ncccc1CF)C1CCC(N(C)Cc2ncccc2-c2cccc3c2OCCOCCOCCOCCOCCO3)CC1</v>
      </c>
      <c r="C1421" s="7">
        <f>IFERROR(__xludf.DUMMYFUNCTION("""COMPUTED_VALUE"""),7.816844)</f>
        <v>7.816844</v>
      </c>
      <c r="D1421" s="7">
        <f>IFERROR(__xludf.DUMMYFUNCTION("""COMPUTED_VALUE"""),0.261538461538461)</f>
        <v>0.2615384615</v>
      </c>
    </row>
    <row r="1422">
      <c r="A1422" s="10" t="s">
        <v>2861</v>
      </c>
      <c r="B1422" s="7" t="str">
        <f>IFERROR(__xludf.DUMMYFUNCTION("SPLIT(A1422,"" "")"),"COC(=O)C(C)NCc1cc(C)c(CN2CCN(C)CCN(C)CC2)cn1")</f>
        <v>COC(=O)C(C)NCc1cc(C)c(CN2CCN(C)CCN(C)CC2)cn1</v>
      </c>
      <c r="C1422" s="7">
        <f>IFERROR(__xludf.DUMMYFUNCTION("""COMPUTED_VALUE"""),7.816834)</f>
        <v>7.816834</v>
      </c>
      <c r="D1422" s="7">
        <f>IFERROR(__xludf.DUMMYFUNCTION("""COMPUTED_VALUE"""),0.403225806451612)</f>
        <v>0.4032258065</v>
      </c>
    </row>
    <row r="1423">
      <c r="A1423" s="10" t="s">
        <v>2862</v>
      </c>
      <c r="B1423" s="7" t="str">
        <f>IFERROR(__xludf.DUMMYFUNCTION("SPLIT(A1423,"" "")"),"CNc1ncc(CN2CCN(C)CCN(C)CC2)cc1C")</f>
        <v>CNc1ncc(CN2CCN(C)CCN(C)CC2)cc1C</v>
      </c>
      <c r="C1423" s="7">
        <f>IFERROR(__xludf.DUMMYFUNCTION("""COMPUTED_VALUE"""),7.816828)</f>
        <v>7.816828</v>
      </c>
      <c r="D1423" s="7">
        <f>IFERROR(__xludf.DUMMYFUNCTION("""COMPUTED_VALUE"""),0.422222222222222)</f>
        <v>0.4222222222</v>
      </c>
    </row>
    <row r="1424">
      <c r="A1424" s="10" t="s">
        <v>2863</v>
      </c>
      <c r="B1424" s="7" t="str">
        <f>IFERROR(__xludf.DUMMYFUNCTION("SPLIT(A1424,"" "")"),"CNCc1ncccc1CN(C)C1CCCCC1N(C)Cc1ncccc1-c1ccc2c(c1)OCCOCCOCCOCCOCCO2")</f>
        <v>CNCc1ncccc1CN(C)C1CCCCC1N(C)Cc1ncccc1-c1ccc2c(c1)OCCOCCOCCOCCOCCO2</v>
      </c>
      <c r="C1424" s="7">
        <f>IFERROR(__xludf.DUMMYFUNCTION("""COMPUTED_VALUE"""),7.8168263)</f>
        <v>7.8168263</v>
      </c>
      <c r="D1424" s="7">
        <f>IFERROR(__xludf.DUMMYFUNCTION("""COMPUTED_VALUE"""),0.348484848484848)</f>
        <v>0.3484848485</v>
      </c>
    </row>
    <row r="1425">
      <c r="A1425" s="10" t="s">
        <v>2864</v>
      </c>
      <c r="B1425" s="7" t="str">
        <f>IFERROR(__xludf.DUMMYFUNCTION("SPLIT(A1425,"" "")"),"CN(Cc1cccc(CF)n1)C1CCC(N(C)Cc2cccc(-c3cccc4c3OCCOCCOCCOCCOCCO4)n2)CC1")</f>
        <v>CN(Cc1cccc(CF)n1)C1CCC(N(C)Cc2cccc(-c3cccc4c3OCCOCCOCCOCCOCCO4)n2)CC1</v>
      </c>
      <c r="C1425" s="7">
        <f>IFERROR(__xludf.DUMMYFUNCTION("""COMPUTED_VALUE"""),7.816822)</f>
        <v>7.816822</v>
      </c>
      <c r="D1425" s="7">
        <f>IFERROR(__xludf.DUMMYFUNCTION("""COMPUTED_VALUE"""),0.32258064516129)</f>
        <v>0.3225806452</v>
      </c>
    </row>
    <row r="1426">
      <c r="A1426" s="10" t="s">
        <v>2865</v>
      </c>
      <c r="B1426" s="7" t="str">
        <f>IFERROR(__xludf.DUMMYFUNCTION("SPLIT(A1426,"" "")"),"Cc1cncc(CN(C)C2CCCC(N(Cc3ccccn3)Cc3cccc(CN4CCN(C)CCN(C)CC4)n3)C2)c1C")</f>
        <v>Cc1cncc(CN(C)C2CCCC(N(Cc3ccccn3)Cc3cccc(CN4CCN(C)CCN(C)CC4)n3)C2)c1C</v>
      </c>
      <c r="C1426" s="7">
        <f>IFERROR(__xludf.DUMMYFUNCTION("""COMPUTED_VALUE"""),7.8167973)</f>
        <v>7.8167973</v>
      </c>
      <c r="D1426" s="7">
        <f>IFERROR(__xludf.DUMMYFUNCTION("""COMPUTED_VALUE"""),0.421875)</f>
        <v>0.421875</v>
      </c>
    </row>
    <row r="1427">
      <c r="A1427" s="10" t="s">
        <v>2866</v>
      </c>
      <c r="B1427" s="7" t="str">
        <f>IFERROR(__xludf.DUMMYFUNCTION("SPLIT(A1427,"" "")"),"CNCCN(C)C(C)(C)c1cccnc1")</f>
        <v>CNCCN(C)C(C)(C)c1cccnc1</v>
      </c>
      <c r="C1427" s="7">
        <f>IFERROR(__xludf.DUMMYFUNCTION("""COMPUTED_VALUE"""),7.816797)</f>
        <v>7.816797</v>
      </c>
      <c r="D1427" s="7">
        <f>IFERROR(__xludf.DUMMYFUNCTION("""COMPUTED_VALUE"""),0.260869565217391)</f>
        <v>0.2608695652</v>
      </c>
    </row>
    <row r="1428">
      <c r="A1428" s="10" t="s">
        <v>2867</v>
      </c>
      <c r="B1428" s="7" t="str">
        <f>IFERROR(__xludf.DUMMYFUNCTION("SPLIT(A1428,"" "")"),"CCCN(C)CCN(C)Cc1cccnc1")</f>
        <v>CCCN(C)CCN(C)Cc1cccnc1</v>
      </c>
      <c r="C1428" s="7">
        <f>IFERROR(__xludf.DUMMYFUNCTION("""COMPUTED_VALUE"""),7.816782)</f>
        <v>7.816782</v>
      </c>
      <c r="D1428" s="7">
        <f>IFERROR(__xludf.DUMMYFUNCTION("""COMPUTED_VALUE"""),0.41025641025641)</f>
        <v>0.4102564103</v>
      </c>
    </row>
    <row r="1429">
      <c r="A1429" s="10" t="s">
        <v>2868</v>
      </c>
      <c r="B1429" s="7" t="str">
        <f>IFERROR(__xludf.DUMMYFUNCTION("SPLIT(A1429,"" "")"),"CC1=CC(C)C(C)CC1c1ncccc1CN(Cc1ccccn1)C1CCCCC1")</f>
        <v>CC1=CC(C)C(C)CC1c1ncccc1CN(Cc1ccccn1)C1CCCCC1</v>
      </c>
      <c r="C1429" s="7">
        <f>IFERROR(__xludf.DUMMYFUNCTION("""COMPUTED_VALUE"""),7.8167753)</f>
        <v>7.8167753</v>
      </c>
      <c r="D1429" s="7">
        <f>IFERROR(__xludf.DUMMYFUNCTION("""COMPUTED_VALUE"""),0.389830508474576)</f>
        <v>0.3898305085</v>
      </c>
    </row>
    <row r="1430">
      <c r="A1430" s="10" t="s">
        <v>2869</v>
      </c>
      <c r="B1430" s="7" t="str">
        <f>IFERROR(__xludf.DUMMYFUNCTION("SPLIT(A1430,"" "")"),"CCNCCN(C)CC(C)(C)C")</f>
        <v>CCNCCN(C)CC(C)(C)C</v>
      </c>
      <c r="C1430" s="7">
        <f>IFERROR(__xludf.DUMMYFUNCTION("""COMPUTED_VALUE"""),7.8167753)</f>
        <v>7.8167753</v>
      </c>
      <c r="D1430" s="7">
        <f>IFERROR(__xludf.DUMMYFUNCTION("""COMPUTED_VALUE"""),0.214285714285714)</f>
        <v>0.2142857143</v>
      </c>
    </row>
    <row r="1431">
      <c r="A1431" s="10" t="s">
        <v>2870</v>
      </c>
      <c r="B1431" s="7" t="str">
        <f>IFERROR(__xludf.DUMMYFUNCTION("SPLIT(A1431,"" "")"),"CN(Cc1cc(CF)ccn1)C1CCC(N(C)Cc2cc(-c3ccc4c(c3)OCCOCCOCCOCCOCCO4)ccn2)CC1")</f>
        <v>CN(Cc1cc(CF)ccn1)C1CCC(N(C)Cc2cc(-c3ccc4c(c3)OCCOCCOCCOCCOCCO4)ccn2)CC1</v>
      </c>
      <c r="C1431" s="7">
        <f>IFERROR(__xludf.DUMMYFUNCTION("""COMPUTED_VALUE"""),7.8167744)</f>
        <v>7.8167744</v>
      </c>
      <c r="D1431" s="7">
        <f>IFERROR(__xludf.DUMMYFUNCTION("""COMPUTED_VALUE"""),0.402985074626865)</f>
        <v>0.4029850746</v>
      </c>
    </row>
    <row r="1432">
      <c r="A1432" s="10" t="s">
        <v>2871</v>
      </c>
      <c r="B1432" s="7" t="str">
        <f>IFERROR(__xludf.DUMMYFUNCTION("SPLIT(A1432,"" "")"),"Cc1cccnc1CN(C)C1CCCCC1N(C)Cc1cccc(-c2cccc3c2OCCOCCOCCOCCOCCO3)n1")</f>
        <v>Cc1cccnc1CN(C)C1CCCCC1N(C)Cc1cccc(-c2cccc3c2OCCOCCOCCOCCOCCO3)n1</v>
      </c>
      <c r="C1432" s="7">
        <f>IFERROR(__xludf.DUMMYFUNCTION("""COMPUTED_VALUE"""),7.8167696)</f>
        <v>7.8167696</v>
      </c>
      <c r="D1432" s="7">
        <f>IFERROR(__xludf.DUMMYFUNCTION("""COMPUTED_VALUE"""),0.428571428571428)</f>
        <v>0.4285714286</v>
      </c>
    </row>
    <row r="1433">
      <c r="A1433" s="10" t="s">
        <v>2872</v>
      </c>
      <c r="B1433" s="7" t="str">
        <f>IFERROR(__xludf.DUMMYFUNCTION("SPLIT(A1433,"" "")"),"CN(Cc1ccccn1)C1C=CNC(CN(Cc2ccccn2)CC(C)(C)c2ccc3c(c2)OCCOCCOCCOCCOCCO3)=C1")</f>
        <v>CN(Cc1ccccn1)C1C=CNC(CN(Cc2ccccn2)CC(C)(C)c2ccc3c(c2)OCCOCCOCCOCCOCCO3)=C1</v>
      </c>
      <c r="C1433" s="7">
        <f>IFERROR(__xludf.DUMMYFUNCTION("""COMPUTED_VALUE"""),7.816762)</f>
        <v>7.816762</v>
      </c>
      <c r="D1433" s="7">
        <f>IFERROR(__xludf.DUMMYFUNCTION("""COMPUTED_VALUE"""),0.375)</f>
        <v>0.375</v>
      </c>
    </row>
    <row r="1434">
      <c r="A1434" s="10" t="s">
        <v>2873</v>
      </c>
      <c r="B1434" s="7" t="str">
        <f>IFERROR(__xludf.DUMMYFUNCTION("SPLIT(A1434,"" "")"),"COC(=O)N1CCN(C)CCN(C(=O)OC)CC1")</f>
        <v>COC(=O)N1CCN(C)CCN(C(=O)OC)CC1</v>
      </c>
      <c r="C1434" s="7">
        <f>IFERROR(__xludf.DUMMYFUNCTION("""COMPUTED_VALUE"""),7.816759)</f>
        <v>7.816759</v>
      </c>
      <c r="D1434" s="7">
        <f>IFERROR(__xludf.DUMMYFUNCTION("""COMPUTED_VALUE"""),0.4)</f>
        <v>0.4</v>
      </c>
    </row>
    <row r="1435">
      <c r="A1435" s="10" t="s">
        <v>2874</v>
      </c>
      <c r="B1435" s="7" t="str">
        <f>IFERROR(__xludf.DUMMYFUNCTION("SPLIT(A1435,"" "")"),"Cc1cnc(C)c(CN2CCN(C)CCN(Cc3cccnc3C)CC2)c1")</f>
        <v>Cc1cnc(C)c(CN2CCN(C)CCN(Cc3cccnc3C)CC2)c1</v>
      </c>
      <c r="C1435" s="7">
        <f>IFERROR(__xludf.DUMMYFUNCTION("""COMPUTED_VALUE"""),7.8167543)</f>
        <v>7.8167543</v>
      </c>
      <c r="D1435" s="7">
        <f>IFERROR(__xludf.DUMMYFUNCTION("""COMPUTED_VALUE"""),0.478260869565217)</f>
        <v>0.4782608696</v>
      </c>
    </row>
    <row r="1436">
      <c r="A1436" s="10" t="s">
        <v>2875</v>
      </c>
      <c r="B1436" s="7" t="str">
        <f>IFERROR(__xludf.DUMMYFUNCTION("SPLIT(A1436,"" "")"),"CC1=CC(C)C(C)(c2ncccc2CN(Cc2ccccn2)C2CCCCC2)CC1")</f>
        <v>CC1=CC(C)C(C)(c2ncccc2CN(Cc2ccccn2)C2CCCCC2)CC1</v>
      </c>
      <c r="C1436" s="7">
        <f>IFERROR(__xludf.DUMMYFUNCTION("""COMPUTED_VALUE"""),7.81675)</f>
        <v>7.81675</v>
      </c>
      <c r="D1436" s="7">
        <f>IFERROR(__xludf.DUMMYFUNCTION("""COMPUTED_VALUE"""),0.383333333333333)</f>
        <v>0.3833333333</v>
      </c>
    </row>
    <row r="1437">
      <c r="A1437" s="10" t="s">
        <v>2876</v>
      </c>
      <c r="B1437" s="7" t="str">
        <f>IFERROR(__xludf.DUMMYFUNCTION("SPLIT(A1437,"" "")"),"CNCCN(C)Cc1cccnc1")</f>
        <v>CNCCN(C)Cc1cccnc1</v>
      </c>
      <c r="C1437" s="7">
        <f>IFERROR(__xludf.DUMMYFUNCTION("""COMPUTED_VALUE"""),7.816743)</f>
        <v>7.816743</v>
      </c>
      <c r="D1437" s="7">
        <f>IFERROR(__xludf.DUMMYFUNCTION("""COMPUTED_VALUE"""),0.365853658536585)</f>
        <v>0.3658536585</v>
      </c>
    </row>
    <row r="1438">
      <c r="A1438" s="10" t="s">
        <v>2877</v>
      </c>
      <c r="B1438" s="7" t="str">
        <f>IFERROR(__xludf.DUMMYFUNCTION("SPLIT(A1438,"" "")"),"CN(Cc1cccc(CF)n1)C1CCC(N(C)Cc2cccc(-c3ccc4c(c3)OCCOCCOCCOCCOCCO4)n2)CC1")</f>
        <v>CN(Cc1cccc(CF)n1)C1CCC(N(C)Cc2cccc(-c3ccc4c(c3)OCCOCCOCCOCCOCCO4)n2)CC1</v>
      </c>
      <c r="C1438" s="7">
        <f>IFERROR(__xludf.DUMMYFUNCTION("""COMPUTED_VALUE"""),7.81673)</f>
        <v>7.81673</v>
      </c>
      <c r="D1438" s="7">
        <f>IFERROR(__xludf.DUMMYFUNCTION("""COMPUTED_VALUE"""),0.357142857142857)</f>
        <v>0.3571428571</v>
      </c>
    </row>
    <row r="1439">
      <c r="A1439" s="10" t="s">
        <v>2878</v>
      </c>
      <c r="B1439" s="7" t="str">
        <f>IFERROR(__xludf.DUMMYFUNCTION("SPLIT(A1439,"" "")"),"CNCC1CCC(N(C)Cc2ncccc2C)N1C")</f>
        <v>CNCC1CCC(N(C)Cc2ncccc2C)N1C</v>
      </c>
      <c r="C1439" s="7">
        <f>IFERROR(__xludf.DUMMYFUNCTION("""COMPUTED_VALUE"""),7.8167243)</f>
        <v>7.8167243</v>
      </c>
      <c r="D1439" s="7">
        <f>IFERROR(__xludf.DUMMYFUNCTION("""COMPUTED_VALUE"""),0.303571428571428)</f>
        <v>0.3035714286</v>
      </c>
    </row>
    <row r="1440">
      <c r="A1440" s="10" t="s">
        <v>2879</v>
      </c>
      <c r="B1440" s="7" t="str">
        <f>IFERROR(__xludf.DUMMYFUNCTION("SPLIT(A1440,"" "")"),"CNCc1cc(CN(C)C2CCCCC2N(C)Cc2ncccc2C)ccn1")</f>
        <v>CNCc1cc(CN(C)C2CCCCC2N(C)Cc2ncccc2C)ccn1</v>
      </c>
      <c r="C1440" s="7">
        <f>IFERROR(__xludf.DUMMYFUNCTION("""COMPUTED_VALUE"""),7.816718)</f>
        <v>7.816718</v>
      </c>
      <c r="D1440" s="7">
        <f>IFERROR(__xludf.DUMMYFUNCTION("""COMPUTED_VALUE"""),0.48076923076923)</f>
        <v>0.4807692308</v>
      </c>
    </row>
    <row r="1441">
      <c r="A1441" s="10" t="s">
        <v>2880</v>
      </c>
      <c r="B1441" s="7" t="str">
        <f>IFERROR(__xludf.DUMMYFUNCTION("SPLIT(A1441,"" "")"),"CC(C)C(C)N(C)Cc1cc(-c2ccc3c(c2)OCCOCCOCCOCCOCCO3)ccn1")</f>
        <v>CC(C)C(C)N(C)Cc1cc(-c2ccc3c(c2)OCCOCCOCCOCCOCCO3)ccn1</v>
      </c>
      <c r="C1441" s="7">
        <f>IFERROR(__xludf.DUMMYFUNCTION("""COMPUTED_VALUE"""),7.8167095)</f>
        <v>7.8167095</v>
      </c>
      <c r="D1441" s="7">
        <f>IFERROR(__xludf.DUMMYFUNCTION("""COMPUTED_VALUE"""),0.396825396825396)</f>
        <v>0.3968253968</v>
      </c>
    </row>
    <row r="1442">
      <c r="A1442" s="10" t="s">
        <v>2881</v>
      </c>
      <c r="B1442" s="7" t="str">
        <f>IFERROR(__xludf.DUMMYFUNCTION("SPLIT(A1442,"" "")"),"Cc1cc2c(c(N(C)Cc3ccccn3)c1)OCCOCCOCCOCCOCCO2")</f>
        <v>Cc1cc2c(c(N(C)Cc3ccccn3)c1)OCCOCCOCCOCCOCCO2</v>
      </c>
      <c r="C1442" s="7">
        <f>IFERROR(__xludf.DUMMYFUNCTION("""COMPUTED_VALUE"""),7.8167076)</f>
        <v>7.8167076</v>
      </c>
      <c r="D1442" s="7">
        <f>IFERROR(__xludf.DUMMYFUNCTION("""COMPUTED_VALUE"""),0.489795918367346)</f>
        <v>0.4897959184</v>
      </c>
    </row>
    <row r="1443">
      <c r="A1443" s="10" t="s">
        <v>2882</v>
      </c>
      <c r="B1443" s="7" t="str">
        <f>IFERROR(__xludf.DUMMYFUNCTION("SPLIT(A1443,"" "")"),"CC1C=CC(N(C)Cc2ccccn2)C(C)C1C(C)(C)C")</f>
        <v>CC1C=CC(N(C)Cc2ccccn2)C(C)C1C(C)(C)C</v>
      </c>
      <c r="C1443" s="7">
        <f>IFERROR(__xludf.DUMMYFUNCTION("""COMPUTED_VALUE"""),7.8166595)</f>
        <v>7.8166595</v>
      </c>
      <c r="D1443" s="7">
        <f>IFERROR(__xludf.DUMMYFUNCTION("""COMPUTED_VALUE"""),0.468085106382978)</f>
        <v>0.4680851064</v>
      </c>
    </row>
    <row r="1444">
      <c r="A1444" s="10" t="s">
        <v>2883</v>
      </c>
      <c r="B1444" s="7" t="str">
        <f>IFERROR(__xludf.DUMMYFUNCTION("SPLIT(A1444,"" "")"),"CN(Cc1cccnn1)C1CCCC(N(C)C2=CCC=CN2)C1")</f>
        <v>CN(Cc1cccnn1)C1CCCC(N(C)C2=CCC=CN2)C1</v>
      </c>
      <c r="C1444" s="7">
        <f>IFERROR(__xludf.DUMMYFUNCTION("""COMPUTED_VALUE"""),7.816638)</f>
        <v>7.816638</v>
      </c>
      <c r="D1444" s="7">
        <f>IFERROR(__xludf.DUMMYFUNCTION("""COMPUTED_VALUE"""),0.377358490566037)</f>
        <v>0.3773584906</v>
      </c>
    </row>
    <row r="1445">
      <c r="A1445" s="10" t="s">
        <v>2884</v>
      </c>
      <c r="B1445" s="7" t="str">
        <f>IFERROR(__xludf.DUMMYFUNCTION("SPLIT(A1445,"" "")"),"CC1=CC(N(C)Cc2cccc(-c3ccc4c(c3)OCCOCCOCCOCCOCCO4)n2)C(C)C(C)C1")</f>
        <v>CC1=CC(N(C)Cc2cccc(-c3ccc4c(c3)OCCOCCOCCOCCOCCO4)n2)C(C)C(C)C1</v>
      </c>
      <c r="C1445" s="7">
        <f>IFERROR(__xludf.DUMMYFUNCTION("""COMPUTED_VALUE"""),7.816633)</f>
        <v>7.816633</v>
      </c>
      <c r="D1445" s="7">
        <f>IFERROR(__xludf.DUMMYFUNCTION("""COMPUTED_VALUE"""),0.32)</f>
        <v>0.32</v>
      </c>
    </row>
    <row r="1446">
      <c r="A1446" s="10" t="s">
        <v>2885</v>
      </c>
      <c r="B1446" s="7" t="str">
        <f>IFERROR(__xludf.DUMMYFUNCTION("SPLIT(A1446,"" "")"),"CN(Cc1ncccc1-c1cccc2c1OCCOCCOCCOCCOCCO2)C1CCCC(N(C)Cc2ncccc2-c2cccc3c2OCCOCCOCCOCCOCCO3)C1")</f>
        <v>CN(Cc1ncccc1-c1cccc2c1OCCOCCOCCOCCOCCO2)C1CCCC(N(C)Cc2ncccc2-c2cccc3c2OCCOCCOCCOCCOCCO3)C1</v>
      </c>
      <c r="C1446" s="7">
        <f>IFERROR(__xludf.DUMMYFUNCTION("""COMPUTED_VALUE"""),7.8166275)</f>
        <v>7.8166275</v>
      </c>
      <c r="D1446" s="7">
        <f>IFERROR(__xludf.DUMMYFUNCTION("""COMPUTED_VALUE"""),0.305084745762711)</f>
        <v>0.3050847458</v>
      </c>
    </row>
    <row r="1447">
      <c r="A1447" s="10" t="s">
        <v>2886</v>
      </c>
      <c r="B1447" s="7" t="str">
        <f>IFERROR(__xludf.DUMMYFUNCTION("SPLIT(A1447,"" "")"),"CCNCc1cccnn1")</f>
        <v>CCNCc1cccnn1</v>
      </c>
      <c r="C1447" s="7">
        <f>IFERROR(__xludf.DUMMYFUNCTION("""COMPUTED_VALUE"""),7.8166223)</f>
        <v>7.8166223</v>
      </c>
      <c r="D1447" s="7">
        <f>IFERROR(__xludf.DUMMYFUNCTION("""COMPUTED_VALUE"""),0.470588235294117)</f>
        <v>0.4705882353</v>
      </c>
    </row>
    <row r="1448">
      <c r="A1448" s="10" t="s">
        <v>2887</v>
      </c>
      <c r="B1448" s="7" t="str">
        <f>IFERROR(__xludf.DUMMYFUNCTION("SPLIT(A1448,"" "")"),"CCNCc1ncccc1-c1ccc2c(c1)OCCOCCOCCOCCOCCO2")</f>
        <v>CCNCc1ncccc1-c1ccc2c(c1)OCCOCCOCCOCCOCCO2</v>
      </c>
      <c r="C1448" s="7">
        <f>IFERROR(__xludf.DUMMYFUNCTION("""COMPUTED_VALUE"""),7.816622)</f>
        <v>7.816622</v>
      </c>
      <c r="D1448" s="7">
        <f>IFERROR(__xludf.DUMMYFUNCTION("""COMPUTED_VALUE"""),0.359375)</f>
        <v>0.359375</v>
      </c>
    </row>
    <row r="1449">
      <c r="A1449" s="10" t="s">
        <v>2888</v>
      </c>
      <c r="B1449" s="7" t="str">
        <f>IFERROR(__xludf.DUMMYFUNCTION("SPLIT(A1449,"" "")"),"CNC1CC(N(C)Cc2ccccn2)CC(N(Cc2ncccc2C)C2(C)CCC2)C1")</f>
        <v>CNC1CC(N(C)Cc2ccccn2)CC(N(Cc2ncccc2C)C2(C)CCC2)C1</v>
      </c>
      <c r="C1449" s="7">
        <f>IFERROR(__xludf.DUMMYFUNCTION("""COMPUTED_VALUE"""),7.816611)</f>
        <v>7.816611</v>
      </c>
      <c r="D1449" s="7">
        <f>IFERROR(__xludf.DUMMYFUNCTION("""COMPUTED_VALUE"""),0.393442622950819)</f>
        <v>0.393442623</v>
      </c>
    </row>
    <row r="1450">
      <c r="A1450" s="10" t="s">
        <v>2889</v>
      </c>
      <c r="B1450" s="7" t="str">
        <f>IFERROR(__xludf.DUMMYFUNCTION("SPLIT(A1450,"" "")"),"FCN(Cc1ccccn1)C1CCCCC1N(Cc1ccccn1)Cc1cccc(-c2cccc3c2OCCOCCOCCOCCOCCO3)n1")</f>
        <v>FCN(Cc1ccccn1)C1CCCCC1N(Cc1ccccn1)Cc1cccc(-c2cccc3c2OCCOCCOCCOCCOCCO3)n1</v>
      </c>
      <c r="C1450" s="7">
        <f>IFERROR(__xludf.DUMMYFUNCTION("""COMPUTED_VALUE"""),7.8166037)</f>
        <v>7.8166037</v>
      </c>
      <c r="D1450" s="7">
        <f>IFERROR(__xludf.DUMMYFUNCTION("""COMPUTED_VALUE"""),0.38095238095238)</f>
        <v>0.380952381</v>
      </c>
    </row>
    <row r="1451">
      <c r="A1451" s="10" t="s">
        <v>2890</v>
      </c>
      <c r="B1451" s="7" t="str">
        <f>IFERROR(__xludf.DUMMYFUNCTION("SPLIT(A1451,"" "")"),"Cc1cc(C)c(CN2CCN(C)CCN(C)CC2)nc1C")</f>
        <v>Cc1cc(C)c(CN2CCN(C)CCN(C)CC2)nc1C</v>
      </c>
      <c r="C1451" s="7">
        <f>IFERROR(__xludf.DUMMYFUNCTION("""COMPUTED_VALUE"""),7.816602)</f>
        <v>7.816602</v>
      </c>
      <c r="D1451" s="7">
        <f>IFERROR(__xludf.DUMMYFUNCTION("""COMPUTED_VALUE"""),0.487179487179487)</f>
        <v>0.4871794872</v>
      </c>
    </row>
    <row r="1452">
      <c r="A1452" s="10" t="s">
        <v>2891</v>
      </c>
      <c r="B1452" s="7" t="str">
        <f>IFERROR(__xludf.DUMMYFUNCTION("SPLIT(A1452,"" "")"),"CN(Cc1ccc2c(c1)OCCOCCOCCOCCOCCO2)Cc1ncccc1N(C)C")</f>
        <v>CN(Cc1ccc2c(c1)OCCOCCOCCOCCOCCO2)Cc1ncccc1N(C)C</v>
      </c>
      <c r="C1452" s="7">
        <f>IFERROR(__xludf.DUMMYFUNCTION("""COMPUTED_VALUE"""),7.8166003)</f>
        <v>7.8166003</v>
      </c>
      <c r="D1452" s="7">
        <f>IFERROR(__xludf.DUMMYFUNCTION("""COMPUTED_VALUE"""),0.294117647058823)</f>
        <v>0.2941176471</v>
      </c>
    </row>
    <row r="1453">
      <c r="A1453" s="10" t="s">
        <v>2892</v>
      </c>
      <c r="B1453" s="7" t="str">
        <f>IFERROR(__xludf.DUMMYFUNCTION("SPLIT(A1453,"" "")"),"CN(Cc1cccc(-c2ccc3c(c2)OCCOCCOCCOCCOCCO3)n1)C1CCC(N(C)Cc2cccc(C3CCC3(C)C)n2)CC1")</f>
        <v>CN(Cc1cccc(-c2ccc3c(c2)OCCOCCOCCOCCOCCO3)n1)C1CCC(N(C)Cc2cccc(C3CCC3(C)C)n2)CC1</v>
      </c>
      <c r="C1453" s="7">
        <f>IFERROR(__xludf.DUMMYFUNCTION("""COMPUTED_VALUE"""),7.8165956)</f>
        <v>7.8165956</v>
      </c>
      <c r="D1453" s="7">
        <f>IFERROR(__xludf.DUMMYFUNCTION("""COMPUTED_VALUE"""),0.328947368421052)</f>
        <v>0.3289473684</v>
      </c>
    </row>
    <row r="1454">
      <c r="A1454" s="10" t="s">
        <v>2893</v>
      </c>
      <c r="B1454" s="7" t="str">
        <f>IFERROR(__xludf.DUMMYFUNCTION("SPLIT(A1454,"" "")"),"CN(Cc1cccc(-c2ccc3c(c2)OCCOCCOCCOCCOCCO3)n1)C1CCCC(N(C)Cc2cccc(-c3cccc4c3OCCOCCOCCOCCOCCO4)n2)C1")</f>
        <v>CN(Cc1cccc(-c2ccc3c(c2)OCCOCCOCCOCCOCCO3)n1)C1CCCC(N(C)Cc2cccc(-c3cccc4c3OCCOCCOCCOCCOCCO4)n2)C1</v>
      </c>
      <c r="C1454" s="7">
        <f>IFERROR(__xludf.DUMMYFUNCTION("""COMPUTED_VALUE"""),7.8165593)</f>
        <v>7.8165593</v>
      </c>
      <c r="D1454" s="7">
        <f>IFERROR(__xludf.DUMMYFUNCTION("""COMPUTED_VALUE"""),0.351351351351351)</f>
        <v>0.3513513514</v>
      </c>
    </row>
    <row r="1455">
      <c r="A1455" s="10" t="s">
        <v>2894</v>
      </c>
      <c r="B1455" s="7" t="str">
        <f>IFERROR(__xludf.DUMMYFUNCTION("SPLIT(A1455,"" "")"),"CC1=CC(C)CC2(CC=CC(C)C2N(C)Cc2ccccn2)C1")</f>
        <v>CC1=CC(C)CC2(CC=CC(C)C2N(C)Cc2ccccn2)C1</v>
      </c>
      <c r="C1455" s="7">
        <f>IFERROR(__xludf.DUMMYFUNCTION("""COMPUTED_VALUE"""),7.8165503)</f>
        <v>7.8165503</v>
      </c>
      <c r="D1455" s="7">
        <f>IFERROR(__xludf.DUMMYFUNCTION("""COMPUTED_VALUE"""),0.410714285714285)</f>
        <v>0.4107142857</v>
      </c>
    </row>
    <row r="1456">
      <c r="A1456" s="10" t="s">
        <v>2895</v>
      </c>
      <c r="B1456" s="7" t="str">
        <f>IFERROR(__xludf.DUMMYFUNCTION("SPLIT(A1456,"" "")"),"Cc1cccnc1CN(C)C1CCCCC1N(C)Cc1cccc(-c2ccc3c(c2)OCCOCCOCCOCCOCCO3)n1")</f>
        <v>Cc1cccnc1CN(C)C1CCCCC1N(C)Cc1cccc(-c2ccc3c(c2)OCCOCCOCCOCCOCCO3)n1</v>
      </c>
      <c r="C1456" s="7">
        <f>IFERROR(__xludf.DUMMYFUNCTION("""COMPUTED_VALUE"""),7.816546)</f>
        <v>7.816546</v>
      </c>
      <c r="D1456" s="7">
        <f>IFERROR(__xludf.DUMMYFUNCTION("""COMPUTED_VALUE"""),0.428571428571428)</f>
        <v>0.4285714286</v>
      </c>
    </row>
    <row r="1457">
      <c r="A1457" s="10" t="s">
        <v>2896</v>
      </c>
      <c r="B1457" s="7" t="str">
        <f>IFERROR(__xludf.DUMMYFUNCTION("SPLIT(A1457,"" "")"),"CN(Cc1cc(-c2ccc3c(c2)OCCOCCOCCOCCOCCO3)ccn1)C1CCC(N(C)Cc2cccc(-c3ccc4c(c3)OCCOCCOCCOCCOCCO4)n2)CC1")</f>
        <v>CN(Cc1cc(-c2ccc3c(c2)OCCOCCOCCOCCOCCO3)ccn1)C1CCC(N(C)Cc2cccc(-c3ccc4c(c3)OCCOCCOCCOCCOCCO4)n2)CC1</v>
      </c>
      <c r="C1457" s="7">
        <f>IFERROR(__xludf.DUMMYFUNCTION("""COMPUTED_VALUE"""),7.8165445)</f>
        <v>7.8165445</v>
      </c>
      <c r="D1457" s="7">
        <f>IFERROR(__xludf.DUMMYFUNCTION("""COMPUTED_VALUE"""),0.385714285714285)</f>
        <v>0.3857142857</v>
      </c>
    </row>
    <row r="1458">
      <c r="A1458" s="10" t="s">
        <v>2897</v>
      </c>
      <c r="B1458" s="7" t="str">
        <f>IFERROR(__xludf.DUMMYFUNCTION("SPLIT(A1458,"" "")"),"CN(C)CCCN(C)Cc1ncccc1-c1cccc2c1OCCOCCOCCOCCOCCO2")</f>
        <v>CN(C)CCCN(C)Cc1ncccc1-c1cccc2c1OCCOCCOCCOCCOCCO2</v>
      </c>
      <c r="C1458" s="7">
        <f>IFERROR(__xludf.DUMMYFUNCTION("""COMPUTED_VALUE"""),7.8165426)</f>
        <v>7.8165426</v>
      </c>
      <c r="D1458" s="7">
        <f>IFERROR(__xludf.DUMMYFUNCTION("""COMPUTED_VALUE"""),0.310344827586206)</f>
        <v>0.3103448276</v>
      </c>
    </row>
    <row r="1459">
      <c r="A1459" s="10" t="s">
        <v>2898</v>
      </c>
      <c r="B1459" s="7" t="str">
        <f>IFERROR(__xludf.DUMMYFUNCTION("SPLIT(A1459,"" "")"),"CN(Cc1cc(-c2ccc3c(c2)OCCOCCOCCOCCOCCO3)ccn1)C1CCC(N(C)Cc2cccc(CF)n2)CC1")</f>
        <v>CN(Cc1cc(-c2ccc3c(c2)OCCOCCOCCOCCOCCO3)ccn1)C1CCC(N(C)Cc2cccc(CF)n2)CC1</v>
      </c>
      <c r="C1459" s="7">
        <f>IFERROR(__xludf.DUMMYFUNCTION("""COMPUTED_VALUE"""),7.8165307)</f>
        <v>7.8165307</v>
      </c>
      <c r="D1459" s="7">
        <f>IFERROR(__xludf.DUMMYFUNCTION("""COMPUTED_VALUE"""),0.380281690140845)</f>
        <v>0.3802816901</v>
      </c>
    </row>
    <row r="1460">
      <c r="A1460" s="10" t="s">
        <v>2899</v>
      </c>
      <c r="B1460" s="7" t="str">
        <f>IFERROR(__xludf.DUMMYFUNCTION("SPLIT(A1460,"" "")"),"CC(C)C(C)CN(CCN(C)CC(C)(C)C)CC(C)(C)C")</f>
        <v>CC(C)C(C)CN(CCN(C)CC(C)(C)C)CC(C)(C)C</v>
      </c>
      <c r="C1460" s="7">
        <f>IFERROR(__xludf.DUMMYFUNCTION("""COMPUTED_VALUE"""),7.8165307)</f>
        <v>7.8165307</v>
      </c>
      <c r="D1460" s="7">
        <f>IFERROR(__xludf.DUMMYFUNCTION("""COMPUTED_VALUE"""),0.27906976744186)</f>
        <v>0.2790697674</v>
      </c>
    </row>
    <row r="1461">
      <c r="A1461" s="10" t="s">
        <v>2900</v>
      </c>
      <c r="B1461" s="7" t="str">
        <f>IFERROR(__xludf.DUMMYFUNCTION("SPLIT(A1461,"" "")"),"CN(Cc1ccc2c(c1)OCCOCCOCCOCCOCCO2)Cc1cccc(N(C)C)n1")</f>
        <v>CN(Cc1ccc2c(c1)OCCOCCOCCOCCOCCO2)Cc1cccc(N(C)C)n1</v>
      </c>
      <c r="C1461" s="7">
        <f>IFERROR(__xludf.DUMMYFUNCTION("""COMPUTED_VALUE"""),7.816521)</f>
        <v>7.816521</v>
      </c>
      <c r="D1461" s="7">
        <f>IFERROR(__xludf.DUMMYFUNCTION("""COMPUTED_VALUE"""),0.333333333333333)</f>
        <v>0.3333333333</v>
      </c>
    </row>
    <row r="1462">
      <c r="A1462" s="10" t="s">
        <v>2901</v>
      </c>
      <c r="B1462" s="7" t="str">
        <f>IFERROR(__xludf.DUMMYFUNCTION("SPLIT(A1462,"" "")"),"CC1C=C(C(C)(C)C)C(C)C(C)C1")</f>
        <v>CC1C=C(C(C)(C)C)C(C)C(C)C1</v>
      </c>
      <c r="C1462" s="7">
        <f>IFERROR(__xludf.DUMMYFUNCTION("""COMPUTED_VALUE"""),7.8165193)</f>
        <v>7.8165193</v>
      </c>
      <c r="D1462" s="7">
        <f>IFERROR(__xludf.DUMMYFUNCTION("""COMPUTED_VALUE"""),0.157894736842105)</f>
        <v>0.1578947368</v>
      </c>
    </row>
    <row r="1463">
      <c r="A1463" s="10" t="s">
        <v>2902</v>
      </c>
      <c r="B1463" s="7" t="str">
        <f>IFERROR(__xludf.DUMMYFUNCTION("SPLIT(A1463,"" "")"),"CN(Cc1ccc(-c2ccc3c(c2)OCCOCCOCCOCCOCCO3)cn1)C1CCC(N(C)Cc2cccc(CF)n2)CC1")</f>
        <v>CN(Cc1ccc(-c2ccc3c(c2)OCCOCCOCCOCCOCCO3)cn1)C1CCC(N(C)Cc2cccc(CF)n2)CC1</v>
      </c>
      <c r="C1463" s="7">
        <f>IFERROR(__xludf.DUMMYFUNCTION("""COMPUTED_VALUE"""),7.816502)</f>
        <v>7.816502</v>
      </c>
      <c r="D1463" s="7">
        <f>IFERROR(__xludf.DUMMYFUNCTION("""COMPUTED_VALUE"""),0.484848484848484)</f>
        <v>0.4848484848</v>
      </c>
    </row>
    <row r="1464">
      <c r="A1464" s="10" t="s">
        <v>2903</v>
      </c>
      <c r="B1464" s="7" t="str">
        <f>IFERROR(__xludf.DUMMYFUNCTION("SPLIT(A1464,"" "")"),"Cc1cnccc1N1CCN(C)CCN(C)CC1")</f>
        <v>Cc1cnccc1N1CCN(C)CCN(C)CC1</v>
      </c>
      <c r="C1464" s="7">
        <f>IFERROR(__xludf.DUMMYFUNCTION("""COMPUTED_VALUE"""),7.816502)</f>
        <v>7.816502</v>
      </c>
      <c r="D1464" s="7">
        <f>IFERROR(__xludf.DUMMYFUNCTION("""COMPUTED_VALUE"""),0.4)</f>
        <v>0.4</v>
      </c>
    </row>
    <row r="1465">
      <c r="A1465" s="10" t="s">
        <v>2904</v>
      </c>
      <c r="B1465" s="7" t="str">
        <f>IFERROR(__xludf.DUMMYFUNCTION("SPLIT(A1465,"" "")"),"CNC1CCC(N(Cc2ccccn2)Cc2ncccc2C)CC1")</f>
        <v>CNC1CCC(N(Cc2ccccn2)Cc2ncccc2C)CC1</v>
      </c>
      <c r="C1465" s="7">
        <f>IFERROR(__xludf.DUMMYFUNCTION("""COMPUTED_VALUE"""),7.8164988)</f>
        <v>7.8164988</v>
      </c>
      <c r="D1465" s="7">
        <f>IFERROR(__xludf.DUMMYFUNCTION("""COMPUTED_VALUE"""),0.403846153846153)</f>
        <v>0.4038461538</v>
      </c>
    </row>
    <row r="1466">
      <c r="A1466" s="10" t="s">
        <v>2905</v>
      </c>
      <c r="B1466" s="7" t="str">
        <f>IFERROR(__xludf.DUMMYFUNCTION("SPLIT(A1466,"" "")"),"CCOC(=O)C(=O)N1CCN(C)CCN(C(=O)C(C)NCc2ccccn2)CC1")</f>
        <v>CCOC(=O)C(=O)N1CCN(C)CCN(C(=O)C(C)NCc2ccccn2)CC1</v>
      </c>
      <c r="C1466" s="7">
        <f>IFERROR(__xludf.DUMMYFUNCTION("""COMPUTED_VALUE"""),7.8164954)</f>
        <v>7.8164954</v>
      </c>
      <c r="D1466" s="7">
        <f>IFERROR(__xludf.DUMMYFUNCTION("""COMPUTED_VALUE"""),0.385964912280701)</f>
        <v>0.3859649123</v>
      </c>
    </row>
    <row r="1467">
      <c r="A1467" s="10" t="s">
        <v>2906</v>
      </c>
      <c r="B1467" s="7" t="str">
        <f>IFERROR(__xludf.DUMMYFUNCTION("SPLIT(A1467,"" "")"),"CNCc1ncccc1CN(C)C1CCCCC1N(C)Cc1ncccc1C")</f>
        <v>CNCc1ncccc1CN(C)C1CCCCC1N(C)Cc1ncccc1C</v>
      </c>
      <c r="C1467" s="7">
        <f>IFERROR(__xludf.DUMMYFUNCTION("""COMPUTED_VALUE"""),7.816485)</f>
        <v>7.816485</v>
      </c>
      <c r="D1467" s="7">
        <f>IFERROR(__xludf.DUMMYFUNCTION("""COMPUTED_VALUE"""),0.46)</f>
        <v>0.46</v>
      </c>
    </row>
    <row r="1468">
      <c r="A1468" s="10" t="s">
        <v>2907</v>
      </c>
      <c r="B1468" s="7" t="str">
        <f>IFERROR(__xludf.DUMMYFUNCTION("SPLIT(A1468,"" "")"),"CN1CCN(C)CCN(Cc2ccc(CN(C)Cc3cccc(-c4ccc5c(c4)OCCOCCOCCOCCOCCO5)n3)nc2)CC1")</f>
        <v>CN1CCN(C)CCN(Cc2ccc(CN(C)Cc3cccc(-c4ccc5c(c4)OCCOCCOCCOCCOCCO5)n3)nc2)CC1</v>
      </c>
      <c r="C1468" s="7">
        <f>IFERROR(__xludf.DUMMYFUNCTION("""COMPUTED_VALUE"""),7.816484)</f>
        <v>7.816484</v>
      </c>
      <c r="D1468" s="7">
        <f>IFERROR(__xludf.DUMMYFUNCTION("""COMPUTED_VALUE"""),0.410958904109589)</f>
        <v>0.4109589041</v>
      </c>
    </row>
    <row r="1469">
      <c r="A1469" s="10" t="s">
        <v>2908</v>
      </c>
      <c r="B1469" s="7" t="str">
        <f>IFERROR(__xludf.DUMMYFUNCTION("SPLIT(A1469,"" "")"),"Cc1ccc(N(C)Cc2ccccn2)c2c1OCCOCCOCCOCCOCCO2")</f>
        <v>Cc1ccc(N(C)Cc2ccccn2)c2c1OCCOCCOCCOCCOCCO2</v>
      </c>
      <c r="C1469" s="7">
        <f>IFERROR(__xludf.DUMMYFUNCTION("""COMPUTED_VALUE"""),7.8164816)</f>
        <v>7.8164816</v>
      </c>
      <c r="D1469" s="7">
        <f>IFERROR(__xludf.DUMMYFUNCTION("""COMPUTED_VALUE"""),0.489361702127659)</f>
        <v>0.4893617021</v>
      </c>
    </row>
    <row r="1470">
      <c r="A1470" s="10" t="s">
        <v>2909</v>
      </c>
      <c r="B1470" s="7" t="str">
        <f>IFERROR(__xludf.DUMMYFUNCTION("SPLIT(A1470,"" "")"),"CN(Cc1cccc(-c2ccc3c(c2)OCCOCCOCCOCCOCCO3)n1)C1CCC(N(CC2=CCC=CN2)Cc2ccccn2)CC1")</f>
        <v>CN(Cc1cccc(-c2ccc3c(c2)OCCOCCOCCOCCOCCO3)n1)C1CCC(N(CC2=CCC=CN2)Cc2ccccn2)CC1</v>
      </c>
      <c r="C1470" s="7">
        <f>IFERROR(__xludf.DUMMYFUNCTION("""COMPUTED_VALUE"""),7.816479)</f>
        <v>7.816479</v>
      </c>
      <c r="D1470" s="7">
        <f>IFERROR(__xludf.DUMMYFUNCTION("""COMPUTED_VALUE"""),0.418918918918918)</f>
        <v>0.4189189189</v>
      </c>
    </row>
    <row r="1471">
      <c r="A1471" s="10" t="s">
        <v>2910</v>
      </c>
      <c r="B1471" s="7" t="str">
        <f>IFERROR(__xludf.DUMMYFUNCTION("SPLIT(A1471,"" "")"),"CN(Cc1ccc(-c2ccc3c(c2)OCCOCCOCCOCCOCCO3)cn1)C1CCC(N(C)Cc2cccc(-c3ccc4c(c3)OCCOCCOCCOCCOCCO4)n2)CC1")</f>
        <v>CN(Cc1ccc(-c2ccc3c(c2)OCCOCCOCCOCCOCCO3)cn1)C1CCC(N(C)Cc2cccc(-c3ccc4c(c3)OCCOCCOCCOCCOCCO4)n2)CC1</v>
      </c>
      <c r="C1471" s="7">
        <f>IFERROR(__xludf.DUMMYFUNCTION("""COMPUTED_VALUE"""),7.816477)</f>
        <v>7.816477</v>
      </c>
      <c r="D1471" s="7">
        <f>IFERROR(__xludf.DUMMYFUNCTION("""COMPUTED_VALUE"""),0.492307692307692)</f>
        <v>0.4923076923</v>
      </c>
    </row>
    <row r="1472">
      <c r="A1472" s="10" t="s">
        <v>2911</v>
      </c>
      <c r="B1472" s="7" t="str">
        <f>IFERROR(__xludf.DUMMYFUNCTION("SPLIT(A1472,"" "")"),"CC1=CC(C)C(C)(c2cccc(CN(Cc3ccccn3)C3CCCCC3)n2)CC1")</f>
        <v>CC1=CC(C)C(C)(c2cccc(CN(Cc3ccccn3)C3CCCCC3)n2)CC1</v>
      </c>
      <c r="C1472" s="7">
        <f>IFERROR(__xludf.DUMMYFUNCTION("""COMPUTED_VALUE"""),7.81646)</f>
        <v>7.81646</v>
      </c>
      <c r="D1472" s="7">
        <f>IFERROR(__xludf.DUMMYFUNCTION("""COMPUTED_VALUE"""),0.389830508474576)</f>
        <v>0.3898305085</v>
      </c>
    </row>
    <row r="1473">
      <c r="A1473" s="10" t="s">
        <v>2912</v>
      </c>
      <c r="B1473" s="7" t="str">
        <f>IFERROR(__xludf.DUMMYFUNCTION("SPLIT(A1473,"" "")"),"CCNCc1ncccc1CN(C)C1CCC(N(C)Cc2ncccc2C)CC1")</f>
        <v>CCNCc1ncccc1CN(C)C1CCC(N(C)Cc2ncccc2C)CC1</v>
      </c>
      <c r="C1473" s="7">
        <f>IFERROR(__xludf.DUMMYFUNCTION("""COMPUTED_VALUE"""),7.81646)</f>
        <v>7.81646</v>
      </c>
      <c r="D1473" s="7">
        <f>IFERROR(__xludf.DUMMYFUNCTION("""COMPUTED_VALUE"""),0.303571428571428)</f>
        <v>0.3035714286</v>
      </c>
    </row>
    <row r="1474">
      <c r="A1474" s="10" t="s">
        <v>2913</v>
      </c>
      <c r="B1474" s="7" t="str">
        <f>IFERROR(__xludf.DUMMYFUNCTION("SPLIT(A1474,"" "")"),"CC1CC(C)(C)C1")</f>
        <v>CC1CC(C)(C)C1</v>
      </c>
      <c r="C1474" s="7">
        <f>IFERROR(__xludf.DUMMYFUNCTION("""COMPUTED_VALUE"""),7.8164415)</f>
        <v>7.8164415</v>
      </c>
      <c r="D1474" s="7">
        <f>IFERROR(__xludf.DUMMYFUNCTION("""COMPUTED_VALUE"""),0.117647058823529)</f>
        <v>0.1176470588</v>
      </c>
    </row>
    <row r="1475">
      <c r="A1475" s="10" t="s">
        <v>2914</v>
      </c>
      <c r="B1475" s="7" t="str">
        <f>IFERROR(__xludf.DUMMYFUNCTION("SPLIT(A1475,"" "")"),"Cc1cncc(CN(C)C2CCCCC2N(C)CC2=C(N(C)C(C)C)CC=CN2)c1")</f>
        <v>Cc1cncc(CN(C)C2CCCCC2N(C)CC2=C(N(C)C(C)C)CC=CN2)c1</v>
      </c>
      <c r="C1475" s="7">
        <f>IFERROR(__xludf.DUMMYFUNCTION("""COMPUTED_VALUE"""),7.816437)</f>
        <v>7.816437</v>
      </c>
      <c r="D1475" s="7">
        <f>IFERROR(__xludf.DUMMYFUNCTION("""COMPUTED_VALUE"""),0.35)</f>
        <v>0.35</v>
      </c>
    </row>
    <row r="1476">
      <c r="A1476" s="10" t="s">
        <v>2915</v>
      </c>
      <c r="B1476" s="7" t="str">
        <f>IFERROR(__xludf.DUMMYFUNCTION("SPLIT(A1476,"" "")"),"C=CCN(C)Cc1cccc(CN(Cc2ccc([Si](C(C)C)(C(C)C)C(C)C)cn2)Cc2cccc(C3CC4OCCOCCOCCOCCOCCOC43)n2)n1")</f>
        <v>C=CCN(C)Cc1cccc(CN(Cc2ccc([Si](C(C)C)(C(C)C)C(C)C)cn2)Cc2cccc(C3CC4OCCOCCOCCOCCOCCOC43)n2)n1</v>
      </c>
      <c r="C1476" s="7">
        <f>IFERROR(__xludf.DUMMYFUNCTION("""COMPUTED_VALUE"""),7.816427)</f>
        <v>7.816427</v>
      </c>
      <c r="D1476" s="7">
        <f>IFERROR(__xludf.DUMMYFUNCTION("""COMPUTED_VALUE"""),0.409090909090909)</f>
        <v>0.4090909091</v>
      </c>
    </row>
    <row r="1477">
      <c r="A1477" s="10" t="s">
        <v>2916</v>
      </c>
      <c r="B1477" s="7" t="str">
        <f>IFERROR(__xludf.DUMMYFUNCTION("SPLIT(A1477,"" "")"),"CCNCc1cc(CN(C)C2CCC(N(C)Cc3ncccc3C)CC2)ccn1")</f>
        <v>CCNCc1cc(CN(C)C2CCC(N(C)Cc3ncccc3C)CC2)ccn1</v>
      </c>
      <c r="C1477" s="7">
        <f>IFERROR(__xludf.DUMMYFUNCTION("""COMPUTED_VALUE"""),7.8164225)</f>
        <v>7.8164225</v>
      </c>
      <c r="D1477" s="7">
        <f>IFERROR(__xludf.DUMMYFUNCTION("""COMPUTED_VALUE"""),0.327586206896551)</f>
        <v>0.3275862069</v>
      </c>
    </row>
    <row r="1478">
      <c r="A1478" s="10" t="s">
        <v>2917</v>
      </c>
      <c r="B1478" s="7" t="str">
        <f>IFERROR(__xludf.DUMMYFUNCTION("SPLIT(A1478,"" "")"),"C=CCN(C)Cc1cccc(-c2ccc3c(c2)OCCOCCOCCOCCOCCO3)n1")</f>
        <v>C=CCN(C)Cc1cccc(-c2ccc3c(c2)OCCOCCOCCOCCOCCO3)n1</v>
      </c>
      <c r="C1478" s="7">
        <f>IFERROR(__xludf.DUMMYFUNCTION("""COMPUTED_VALUE"""),7.816414)</f>
        <v>7.816414</v>
      </c>
      <c r="D1478" s="7">
        <f>IFERROR(__xludf.DUMMYFUNCTION("""COMPUTED_VALUE"""),0.344827586206896)</f>
        <v>0.3448275862</v>
      </c>
    </row>
    <row r="1479">
      <c r="A1479" s="10" t="s">
        <v>2918</v>
      </c>
      <c r="B1479" s="7" t="str">
        <f>IFERROR(__xludf.DUMMYFUNCTION("SPLIT(A1479,"" "")"),"CC(C)C(C)CN(CCN(C)Cc1ncccc1-c1ccc2c(c1)OCCOCCOCCOCCOCCO2)Cc1ccccn1")</f>
        <v>CC(C)C(C)CN(CCN(C)Cc1ncccc1-c1ccc2c(c1)OCCOCCOCCOCCOCCO2)Cc1ccccn1</v>
      </c>
      <c r="C1479" s="7">
        <f>IFERROR(__xludf.DUMMYFUNCTION("""COMPUTED_VALUE"""),7.816399)</f>
        <v>7.816399</v>
      </c>
      <c r="D1479" s="7">
        <f>IFERROR(__xludf.DUMMYFUNCTION("""COMPUTED_VALUE"""),0.359375)</f>
        <v>0.359375</v>
      </c>
    </row>
    <row r="1480">
      <c r="A1480" s="10" t="s">
        <v>2919</v>
      </c>
      <c r="B1480" s="7" t="str">
        <f>IFERROR(__xludf.DUMMYFUNCTION("SPLIT(A1480,"" "")"),"CC(C)C(C)N(C)Cc1ncccc1-c1ccc2c(c1)OCCOCCOCCOCCOCCO2")</f>
        <v>CC(C)C(C)N(C)Cc1ncccc1-c1ccc2c(c1)OCCOCCOCCOCCOCCO2</v>
      </c>
      <c r="C1480" s="7">
        <f>IFERROR(__xludf.DUMMYFUNCTION("""COMPUTED_VALUE"""),7.816388)</f>
        <v>7.816388</v>
      </c>
      <c r="D1480" s="7">
        <f>IFERROR(__xludf.DUMMYFUNCTION("""COMPUTED_VALUE"""),0.338235294117647)</f>
        <v>0.3382352941</v>
      </c>
    </row>
    <row r="1481">
      <c r="A1481" s="10" t="s">
        <v>2920</v>
      </c>
      <c r="B1481" s="7" t="str">
        <f>IFERROR(__xludf.DUMMYFUNCTION("SPLIT(A1481,"" "")"),"CN1CCN(C)CCN(Cc2cnccc2N(O)O)CC1")</f>
        <v>CN1CCN(C)CCN(Cc2cnccc2N(O)O)CC1</v>
      </c>
      <c r="C1481" s="7">
        <f>IFERROR(__xludf.DUMMYFUNCTION("""COMPUTED_VALUE"""),7.816386)</f>
        <v>7.816386</v>
      </c>
      <c r="D1481" s="7">
        <f>IFERROR(__xludf.DUMMYFUNCTION("""COMPUTED_VALUE"""),0.478260869565217)</f>
        <v>0.4782608696</v>
      </c>
    </row>
    <row r="1482">
      <c r="A1482" s="10" t="s">
        <v>2921</v>
      </c>
      <c r="B1482" s="7" t="str">
        <f>IFERROR(__xludf.DUMMYFUNCTION("SPLIT(A1482,"" "")"),"Cc1cccc(CN(C)C2CCCC(N(CF)Cc3ccccn3)C2)n1")</f>
        <v>Cc1cccc(CN(C)C2CCCC(N(CF)Cc3ccccn3)C2)n1</v>
      </c>
      <c r="C1482" s="7">
        <f>IFERROR(__xludf.DUMMYFUNCTION("""COMPUTED_VALUE"""),7.8163843)</f>
        <v>7.8163843</v>
      </c>
      <c r="D1482" s="7">
        <f>IFERROR(__xludf.DUMMYFUNCTION("""COMPUTED_VALUE"""),0.5)</f>
        <v>0.5</v>
      </c>
    </row>
    <row r="1483">
      <c r="A1483" s="10" t="s">
        <v>2922</v>
      </c>
      <c r="B1483" s="7" t="str">
        <f>IFERROR(__xludf.DUMMYFUNCTION("SPLIT(A1483,"" "")"),"Cc1ccc(CN2CCN(C)CCN(Cc3ccc(C)c(C)n3)CC2)cn1")</f>
        <v>Cc1ccc(CN2CCN(C)CCN(Cc3ccc(C)c(C)n3)CC2)cn1</v>
      </c>
      <c r="C1483" s="7">
        <f>IFERROR(__xludf.DUMMYFUNCTION("""COMPUTED_VALUE"""),7.8163834)</f>
        <v>7.8163834</v>
      </c>
      <c r="D1483" s="7">
        <f>IFERROR(__xludf.DUMMYFUNCTION("""COMPUTED_VALUE"""),0.5)</f>
        <v>0.5</v>
      </c>
    </row>
    <row r="1484">
      <c r="A1484" s="10" t="s">
        <v>2923</v>
      </c>
      <c r="B1484" s="7" t="str">
        <f>IFERROR(__xludf.DUMMYFUNCTION("SPLIT(A1484,"" "")"),"Fc1cccc(CN(Cc2ccccn2)C2CCCCC2N(Cc2ccccn2)c2ccc3c(c2)OCCOCCOCCOCCOCCO3)n1")</f>
        <v>Fc1cccc(CN(Cc2ccccn2)C2CCCCC2N(Cc2ccccn2)c2ccc3c(c2)OCCOCCOCCOCCOCCO3)n1</v>
      </c>
      <c r="C1484" s="7">
        <f>IFERROR(__xludf.DUMMYFUNCTION("""COMPUTED_VALUE"""),7.8163257)</f>
        <v>7.8163257</v>
      </c>
      <c r="D1484" s="7">
        <f>IFERROR(__xludf.DUMMYFUNCTION("""COMPUTED_VALUE"""),0.375)</f>
        <v>0.375</v>
      </c>
    </row>
    <row r="1485">
      <c r="A1485" s="10" t="s">
        <v>2924</v>
      </c>
      <c r="B1485" s="7" t="str">
        <f>IFERROR(__xludf.DUMMYFUNCTION("SPLIT(A1485,"" "")"),"CNCc1cccc(CN(C)C2CCC(N(C)Cc3cccc(-c4cccc5c4OCCOCCOCCOCCOCCO5)n3)CC2)n1")</f>
        <v>CNCc1cccc(CN(C)C2CCC(N(C)Cc3cccc(-c4cccc5c4OCCOCCOCCOCCOCCO5)n3)CC2)n1</v>
      </c>
      <c r="C1485" s="7">
        <f>IFERROR(__xludf.DUMMYFUNCTION("""COMPUTED_VALUE"""),7.816313)</f>
        <v>7.816313</v>
      </c>
      <c r="D1485" s="7">
        <f>IFERROR(__xludf.DUMMYFUNCTION("""COMPUTED_VALUE"""),0.3125)</f>
        <v>0.3125</v>
      </c>
    </row>
    <row r="1486">
      <c r="A1486" s="10" t="s">
        <v>2925</v>
      </c>
      <c r="B1486" s="7" t="str">
        <f>IFERROR(__xludf.DUMMYFUNCTION("SPLIT(A1486,"" "")"),"CN(CC1=CCC=CN1)CC1C=CNC=C1")</f>
        <v>CN(CC1=CCC=CN1)CC1C=CNC=C1</v>
      </c>
      <c r="C1486" s="7">
        <f>IFERROR(__xludf.DUMMYFUNCTION("""COMPUTED_VALUE"""),7.8163085)</f>
        <v>7.8163085</v>
      </c>
      <c r="D1486" s="7">
        <f>IFERROR(__xludf.DUMMYFUNCTION("""COMPUTED_VALUE"""),0.38)</f>
        <v>0.38</v>
      </c>
    </row>
    <row r="1487">
      <c r="A1487" s="10" t="s">
        <v>2926</v>
      </c>
      <c r="B1487" s="7" t="str">
        <f>IFERROR(__xludf.DUMMYFUNCTION("SPLIT(A1487,"" "")"),"CN(Cc1cccc(-c2ccc3c(c2)OCCOCCOCCOCCOCCO3)n1)C1CCCC(N(C)Cc2cccc(-c3ccc4c(c3)OCCOCCOCCOCCOCCO4)n2)C1")</f>
        <v>CN(Cc1cccc(-c2ccc3c(c2)OCCOCCOCCOCCOCCO3)n1)C1CCCC(N(C)Cc2cccc(-c3ccc4c(c3)OCCOCCOCCOCCOCCO4)n2)C1</v>
      </c>
      <c r="C1487" s="7">
        <f>IFERROR(__xludf.DUMMYFUNCTION("""COMPUTED_VALUE"""),7.816299)</f>
        <v>7.816299</v>
      </c>
      <c r="D1487" s="7">
        <f>IFERROR(__xludf.DUMMYFUNCTION("""COMPUTED_VALUE"""),0.393939393939393)</f>
        <v>0.3939393939</v>
      </c>
    </row>
    <row r="1488">
      <c r="A1488" s="10" t="s">
        <v>2927</v>
      </c>
      <c r="B1488" s="7" t="str">
        <f>IFERROR(__xludf.DUMMYFUNCTION("SPLIT(A1488,"" "")"),"CNCc1ncccc1CN(C)C1=CNC=C(CN2CCN(C)CCN(C)CC2)C1")</f>
        <v>CNCc1ncccc1CN(C)C1=CNC=C(CN2CCN(C)CCN(C)CC2)C1</v>
      </c>
      <c r="C1488" s="7">
        <f>IFERROR(__xludf.DUMMYFUNCTION("""COMPUTED_VALUE"""),7.816285)</f>
        <v>7.816285</v>
      </c>
      <c r="D1488" s="7">
        <f>IFERROR(__xludf.DUMMYFUNCTION("""COMPUTED_VALUE"""),0.35593220338983)</f>
        <v>0.3559322034</v>
      </c>
    </row>
    <row r="1489">
      <c r="A1489" s="10" t="s">
        <v>2928</v>
      </c>
      <c r="B1489" s="7" t="str">
        <f>IFERROR(__xludf.DUMMYFUNCTION("SPLIT(A1489,"" "")"),"FCN(Cc1ccccn1)C1CCCCC1N(Cc1ccccn1)Cc1cc(-c2cccc3c2OCCOCCOCCOCCOCCO3)ccn1")</f>
        <v>FCN(Cc1ccccn1)C1CCCCC1N(Cc1ccccn1)Cc1cc(-c2cccc3c2OCCOCCOCCOCCOCCO3)ccn1</v>
      </c>
      <c r="C1489" s="7">
        <f>IFERROR(__xludf.DUMMYFUNCTION("""COMPUTED_VALUE"""),7.8162775)</f>
        <v>7.8162775</v>
      </c>
      <c r="D1489" s="7">
        <f>IFERROR(__xludf.DUMMYFUNCTION("""COMPUTED_VALUE"""),0.375)</f>
        <v>0.375</v>
      </c>
    </row>
    <row r="1490">
      <c r="A1490" s="10" t="s">
        <v>2929</v>
      </c>
      <c r="B1490" s="7" t="str">
        <f>IFERROR(__xludf.DUMMYFUNCTION("SPLIT(A1490,"" "")"),"Cc1ccc(CN2CCN(C)CCN(Cc3ccnc(C)c3C)CC2)cn1")</f>
        <v>Cc1ccc(CN2CCN(C)CCN(Cc3ccnc(C)c3C)CC2)cn1</v>
      </c>
      <c r="C1490" s="7">
        <f>IFERROR(__xludf.DUMMYFUNCTION("""COMPUTED_VALUE"""),7.816269)</f>
        <v>7.816269</v>
      </c>
      <c r="D1490" s="7">
        <f>IFERROR(__xludf.DUMMYFUNCTION("""COMPUTED_VALUE"""),0.428571428571428)</f>
        <v>0.4285714286</v>
      </c>
    </row>
    <row r="1491">
      <c r="A1491" s="10" t="s">
        <v>2930</v>
      </c>
      <c r="B1491" s="7" t="str">
        <f>IFERROR(__xludf.DUMMYFUNCTION("SPLIT(A1491,"" "")"),"CC1N=COC1c1ncccc1CN1CCN(C)CCN(C)CC1")</f>
        <v>CC1N=COC1c1ncccc1CN1CCN(C)CCN(C)CC1</v>
      </c>
      <c r="C1491" s="7">
        <f>IFERROR(__xludf.DUMMYFUNCTION("""COMPUTED_VALUE"""),7.816257)</f>
        <v>7.816257</v>
      </c>
      <c r="D1491" s="7">
        <f>IFERROR(__xludf.DUMMYFUNCTION("""COMPUTED_VALUE"""),0.4375)</f>
        <v>0.4375</v>
      </c>
    </row>
    <row r="1492">
      <c r="A1492" s="10" t="s">
        <v>2931</v>
      </c>
      <c r="B1492" s="7" t="str">
        <f>IFERROR(__xludf.DUMMYFUNCTION("SPLIT(A1492,"" "")"),"FCN(Cc1ccccn1)C1CCCCC1N(Cc1ccccn1)Cc1cccc(-c2ccc3c(c2)OCCOCCOCCOCCOCCO3)n1")</f>
        <v>FCN(Cc1ccccn1)C1CCCCC1N(Cc1ccccn1)Cc1cccc(-c2ccc3c(c2)OCCOCCOCCOCCOCCO3)n1</v>
      </c>
      <c r="C1492" s="7">
        <f>IFERROR(__xludf.DUMMYFUNCTION("""COMPUTED_VALUE"""),7.816254)</f>
        <v>7.816254</v>
      </c>
      <c r="D1492" s="7">
        <f>IFERROR(__xludf.DUMMYFUNCTION("""COMPUTED_VALUE"""),0.385714285714285)</f>
        <v>0.3857142857</v>
      </c>
    </row>
    <row r="1493">
      <c r="A1493" s="10" t="s">
        <v>2932</v>
      </c>
      <c r="B1493" s="7" t="str">
        <f>IFERROR(__xludf.DUMMYFUNCTION("SPLIT(A1493,"" "")"),"CC1=CCCC(SCc2ccccn2)C1")</f>
        <v>CC1=CCCC(SCc2ccccn2)C1</v>
      </c>
      <c r="C1493" s="7">
        <f>IFERROR(__xludf.DUMMYFUNCTION("""COMPUTED_VALUE"""),7.816248)</f>
        <v>7.816248</v>
      </c>
      <c r="D1493" s="7">
        <f>IFERROR(__xludf.DUMMYFUNCTION("""COMPUTED_VALUE"""),0.414634146341463)</f>
        <v>0.4146341463</v>
      </c>
    </row>
    <row r="1494">
      <c r="A1494" s="10" t="s">
        <v>2933</v>
      </c>
      <c r="B1494" s="7" t="str">
        <f>IFERROR(__xludf.DUMMYFUNCTION("SPLIT(A1494,"" "")"),"CCNCc1cccc(CN(C)C2CCC(N(C)Cc3cc(C)ccn3)CC2)n1")</f>
        <v>CCNCc1cccc(CN(C)C2CCC(N(C)Cc3cc(C)ccn3)CC2)n1</v>
      </c>
      <c r="C1494" s="7">
        <f>IFERROR(__xludf.DUMMYFUNCTION("""COMPUTED_VALUE"""),7.8162346)</f>
        <v>7.8162346</v>
      </c>
      <c r="D1494" s="7">
        <f>IFERROR(__xludf.DUMMYFUNCTION("""COMPUTED_VALUE"""),0.381818181818181)</f>
        <v>0.3818181818</v>
      </c>
    </row>
    <row r="1495">
      <c r="A1495" s="10" t="s">
        <v>2934</v>
      </c>
      <c r="B1495" s="7" t="str">
        <f>IFERROR(__xludf.DUMMYFUNCTION("SPLIT(A1495,"" "")"),"CC(C)N(C)CC1=CC(N(C)C(C)C)C=CN1")</f>
        <v>CC(C)N(C)CC1=CC(N(C)C(C)C)C=CN1</v>
      </c>
      <c r="C1495" s="7">
        <f>IFERROR(__xludf.DUMMYFUNCTION("""COMPUTED_VALUE"""),7.816215)</f>
        <v>7.816215</v>
      </c>
      <c r="D1495" s="7">
        <f>IFERROR(__xludf.DUMMYFUNCTION("""COMPUTED_VALUE"""),0.382978723404255)</f>
        <v>0.3829787234</v>
      </c>
    </row>
    <row r="1496">
      <c r="A1496" s="10" t="s">
        <v>2935</v>
      </c>
      <c r="B1496" s="7" t="str">
        <f>IFERROR(__xludf.DUMMYFUNCTION("SPLIT(A1496,"" "")"),"CC(C)C(C)CN(C)Cc1cccc(-c2ccc3c(c2)OCCOCCOCCOCCOCCO3)n1")</f>
        <v>CC(C)C(C)CN(C)Cc1cccc(-c2ccc3c(c2)OCCOCCOCCOCCOCCO3)n1</v>
      </c>
      <c r="C1496" s="7">
        <f>IFERROR(__xludf.DUMMYFUNCTION("""COMPUTED_VALUE"""),7.8162093)</f>
        <v>7.8162093</v>
      </c>
      <c r="D1496" s="7">
        <f>IFERROR(__xludf.DUMMYFUNCTION("""COMPUTED_VALUE"""),0.344827586206896)</f>
        <v>0.3448275862</v>
      </c>
    </row>
    <row r="1497">
      <c r="A1497" s="10" t="s">
        <v>2936</v>
      </c>
      <c r="B1497" s="7" t="str">
        <f>IFERROR(__xludf.DUMMYFUNCTION("SPLIT(A1497,"" "")"),"CN1CCN(C)CCN(Cc2cnccc2N(C)C)CC1")</f>
        <v>CN1CCN(C)CCN(Cc2cnccc2N(C)C)CC1</v>
      </c>
      <c r="C1497" s="7">
        <f>IFERROR(__xludf.DUMMYFUNCTION("""COMPUTED_VALUE"""),7.8162007)</f>
        <v>7.8162007</v>
      </c>
      <c r="D1497" s="7">
        <f>IFERROR(__xludf.DUMMYFUNCTION("""COMPUTED_VALUE"""),0.452380952380952)</f>
        <v>0.4523809524</v>
      </c>
    </row>
    <row r="1498">
      <c r="A1498" s="10" t="s">
        <v>2937</v>
      </c>
      <c r="B1498" s="7" t="str">
        <f>IFERROR(__xludf.DUMMYFUNCTION("SPLIT(A1498,"" "")"),"Cc1cccnc1CN(C)C1CCCCC1N(C)Cc1cc(-c2ccc3c(c2)OCCOCCOCCOCCOCCO3)ccn1")</f>
        <v>Cc1cccnc1CN(C)C1CCCCC1N(C)Cc1cc(-c2ccc3c(c2)OCCOCCOCCOCCOCCO3)ccn1</v>
      </c>
      <c r="C1498" s="7">
        <f>IFERROR(__xludf.DUMMYFUNCTION("""COMPUTED_VALUE"""),7.816197)</f>
        <v>7.816197</v>
      </c>
      <c r="D1498" s="7">
        <f>IFERROR(__xludf.DUMMYFUNCTION("""COMPUTED_VALUE"""),0.433333333333333)</f>
        <v>0.4333333333</v>
      </c>
    </row>
    <row r="1499">
      <c r="A1499" s="10" t="s">
        <v>2938</v>
      </c>
      <c r="B1499" s="7" t="str">
        <f>IFERROR(__xludf.DUMMYFUNCTION("SPLIT(A1499,"" "")"),"CN(Cc1cc(-c2ccc3c(c2)OCCOCCOCCOCCOCCO3)ccn1)C1CCC(N(C)Cc2cc(-c3ccc4c(c3)OCCOCCOCCOCCOCCO4)ccn2)CC1")</f>
        <v>CN(Cc1cc(-c2ccc3c(c2)OCCOCCOCCOCCOCCO3)ccn1)C1CCC(N(C)Cc2cc(-c3ccc4c(c3)OCCOCCOCCOCCOCCO4)ccn2)CC1</v>
      </c>
      <c r="C1499" s="7">
        <f>IFERROR(__xludf.DUMMYFUNCTION("""COMPUTED_VALUE"""),7.816189)</f>
        <v>7.816189</v>
      </c>
      <c r="D1499" s="7">
        <f>IFERROR(__xludf.DUMMYFUNCTION("""COMPUTED_VALUE"""),0.45)</f>
        <v>0.45</v>
      </c>
    </row>
    <row r="1500">
      <c r="A1500" s="10" t="s">
        <v>2939</v>
      </c>
      <c r="B1500" s="7" t="str">
        <f>IFERROR(__xludf.DUMMYFUNCTION("SPLIT(A1500,"" "")"),"CCN(Cc1cccc(CN(C)C2CCC(N(C)Cc3cccc(C)n3)CC2)n1)C1CCC(N(C)Cc2cccc(-c3ccc4c(c3)OCCOCCOCCOCCOCCO4)n2)CC1")</f>
        <v>CCN(Cc1cccc(CN(C)C2CCC(N(C)Cc3cccc(C)n3)CC2)n1)C1CCC(N(C)Cc2cccc(-c3ccc4c(c3)OCCOCCOCCOCCOCCO4)n2)CC1</v>
      </c>
      <c r="C1500" s="7">
        <f>IFERROR(__xludf.DUMMYFUNCTION("""COMPUTED_VALUE"""),7.816189)</f>
        <v>7.816189</v>
      </c>
      <c r="D1500" s="7">
        <f>IFERROR(__xludf.DUMMYFUNCTION("""COMPUTED_VALUE"""),0.390625)</f>
        <v>0.390625</v>
      </c>
    </row>
    <row r="1501">
      <c r="A1501" s="10" t="s">
        <v>2940</v>
      </c>
      <c r="B1501" s="7" t="str">
        <f>IFERROR(__xludf.DUMMYFUNCTION("SPLIT(A1501,"" "")"),"C1=CCNC(N(Cc2ccccn2)c2cccc3c2OCCOCCOCCOCCOCCO3)=C1")</f>
        <v>C1=CCNC(N(Cc2ccccn2)c2cccc3c2OCCOCCOCCOCCOCCO3)=C1</v>
      </c>
      <c r="C1501" s="7">
        <f>IFERROR(__xludf.DUMMYFUNCTION("""COMPUTED_VALUE"""),7.816176)</f>
        <v>7.816176</v>
      </c>
      <c r="D1501" s="7">
        <f>IFERROR(__xludf.DUMMYFUNCTION("""COMPUTED_VALUE"""),0.314814814814814)</f>
        <v>0.3148148148</v>
      </c>
    </row>
    <row r="1502">
      <c r="A1502" s="10" t="s">
        <v>2941</v>
      </c>
      <c r="B1502" s="7" t="str">
        <f>IFERROR(__xludf.DUMMYFUNCTION("SPLIT(A1502,"" "")"),"CN(Cc1ccc(-c2cccc3c2OCCOCCOCCOCCOCCO3)cn1)C1CCCC(N(C)Cc2cc(-c3cccc4c3OCCOCCOCCOCCOCCO4)ccn2)C1")</f>
        <v>CN(Cc1ccc(-c2cccc3c2OCCOCCOCCOCCOCCO3)cn1)C1CCCC(N(C)Cc2cc(-c3cccc4c3OCCOCCOCCOCCOCCO4)ccn2)C1</v>
      </c>
      <c r="C1502" s="7">
        <f>IFERROR(__xludf.DUMMYFUNCTION("""COMPUTED_VALUE"""),7.8161674)</f>
        <v>7.8161674</v>
      </c>
      <c r="D1502" s="7">
        <f>IFERROR(__xludf.DUMMYFUNCTION("""COMPUTED_VALUE"""),0.364864864864864)</f>
        <v>0.3648648649</v>
      </c>
    </row>
    <row r="1503">
      <c r="A1503" s="10" t="s">
        <v>2942</v>
      </c>
      <c r="B1503" s="7" t="str">
        <f>IFERROR(__xludf.DUMMYFUNCTION("SPLIT(A1503,"" "")"),"CN(CCN(Cc1ccccn1)c1ccc2c(c1)OCCOCCOCCOCCOCCO2)Cc1cccnn1")</f>
        <v>CN(CCN(Cc1ccccn1)c1ccc2c(c1)OCCOCCOCCOCCOCCO2)Cc1cccnn1</v>
      </c>
      <c r="C1503" s="7">
        <f>IFERROR(__xludf.DUMMYFUNCTION("""COMPUTED_VALUE"""),7.8161616)</f>
        <v>7.8161616</v>
      </c>
      <c r="D1503" s="7">
        <f>IFERROR(__xludf.DUMMYFUNCTION("""COMPUTED_VALUE"""),0.48076923076923)</f>
        <v>0.4807692308</v>
      </c>
    </row>
    <row r="1504">
      <c r="A1504" s="10" t="s">
        <v>2943</v>
      </c>
      <c r="B1504" s="7" t="str">
        <f>IFERROR(__xludf.DUMMYFUNCTION("SPLIT(A1504,"" "")"),"Cc1cccc(CN(C)CC2CCCN2C(C)C)n1")</f>
        <v>Cc1cccc(CN(C)CC2CCCN2C(C)C)n1</v>
      </c>
      <c r="C1504" s="7">
        <f>IFERROR(__xludf.DUMMYFUNCTION("""COMPUTED_VALUE"""),7.8161197)</f>
        <v>7.8161197</v>
      </c>
      <c r="D1504" s="7">
        <f>IFERROR(__xludf.DUMMYFUNCTION("""COMPUTED_VALUE"""),0.489795918367346)</f>
        <v>0.4897959184</v>
      </c>
    </row>
    <row r="1505">
      <c r="A1505" s="10" t="s">
        <v>2944</v>
      </c>
      <c r="B1505" s="7" t="str">
        <f>IFERROR(__xludf.DUMMYFUNCTION("SPLIT(A1505,"" "")"),"CN(Cc1cccc(C2CCC2(C)C)n1)C1CCC(N(C)Cc2cccc(C3CCC3(C)C)n2)CC1")</f>
        <v>CN(Cc1cccc(C2CCC2(C)C)n1)C1CCC(N(C)Cc2cccc(C3CCC3(C)C)n2)CC1</v>
      </c>
      <c r="C1505" s="7">
        <f>IFERROR(__xludf.DUMMYFUNCTION("""COMPUTED_VALUE"""),7.816078)</f>
        <v>7.816078</v>
      </c>
      <c r="D1505" s="7">
        <f>IFERROR(__xludf.DUMMYFUNCTION("""COMPUTED_VALUE"""),0.416666666666666)</f>
        <v>0.4166666667</v>
      </c>
    </row>
    <row r="1506">
      <c r="A1506" s="10" t="s">
        <v>2945</v>
      </c>
      <c r="B1506" s="7" t="str">
        <f>IFERROR(__xludf.DUMMYFUNCTION("SPLIT(A1506,"" "")"),"CC(C)C(C)N(C)CC1=CC(N(C)Cc2cccc(-c3ccc4c(c3)OCCOCCOCCOCCOCCO4)n2)C=CN1")</f>
        <v>CC(C)C(C)N(C)CC1=CC(N(C)Cc2cccc(-c3ccc4c(c3)OCCOCCOCCOCCOCCO4)n2)C=CN1</v>
      </c>
      <c r="C1506" s="7">
        <f>IFERROR(__xludf.DUMMYFUNCTION("""COMPUTED_VALUE"""),7.8160644)</f>
        <v>7.8160644</v>
      </c>
      <c r="D1506" s="7">
        <f>IFERROR(__xludf.DUMMYFUNCTION("""COMPUTED_VALUE"""),0.292682926829268)</f>
        <v>0.2926829268</v>
      </c>
    </row>
    <row r="1507">
      <c r="A1507" s="10" t="s">
        <v>2946</v>
      </c>
      <c r="B1507" s="7" t="str">
        <f>IFERROR(__xludf.DUMMYFUNCTION("SPLIT(A1507,"" "")"),"CNC1CCC(N(C)Cc2ncc(C)c(C)c2C)CC1")</f>
        <v>CNC1CCC(N(C)Cc2ncc(C)c(C)c2C)CC1</v>
      </c>
      <c r="C1507" s="7">
        <f>IFERROR(__xludf.DUMMYFUNCTION("""COMPUTED_VALUE"""),7.8160586)</f>
        <v>7.8160586</v>
      </c>
      <c r="D1507" s="7">
        <f>IFERROR(__xludf.DUMMYFUNCTION("""COMPUTED_VALUE"""),0.313725490196078)</f>
        <v>0.3137254902</v>
      </c>
    </row>
    <row r="1508">
      <c r="A1508" s="10" t="s">
        <v>2947</v>
      </c>
      <c r="B1508" s="7" t="str">
        <f>IFERROR(__xludf.DUMMYFUNCTION("SPLIT(A1508,"" "")"),"CNCc1cccc(CN(C)C2CCC(N(C)Cc3cccc(-c4ccc5c(c4)OCCOCCOCCOCCOCCO5)n3)CC2)n1")</f>
        <v>CNCc1cccc(CN(C)C2CCC(N(C)Cc3cccc(-c4ccc5c(c4)OCCOCCOCCOCCOCCO5)n3)CC2)n1</v>
      </c>
      <c r="C1508" s="7">
        <f>IFERROR(__xludf.DUMMYFUNCTION("""COMPUTED_VALUE"""),7.816024)</f>
        <v>7.816024</v>
      </c>
      <c r="D1508" s="7">
        <f>IFERROR(__xludf.DUMMYFUNCTION("""COMPUTED_VALUE"""),0.347222222222222)</f>
        <v>0.3472222222</v>
      </c>
    </row>
    <row r="1509">
      <c r="A1509" s="10" t="s">
        <v>2948</v>
      </c>
      <c r="B1509" s="7" t="str">
        <f>IFERROR(__xludf.DUMMYFUNCTION("SPLIT(A1509,"" "")"),"CC(C)C1(C)N=COC1c1ncccc1CN1CCN(C)CCN(C)CC1")</f>
        <v>CC(C)C1(C)N=COC1c1ncccc1CN1CCN(C)CCN(C)CC1</v>
      </c>
      <c r="C1509" s="7">
        <f>IFERROR(__xludf.DUMMYFUNCTION("""COMPUTED_VALUE"""),7.816019)</f>
        <v>7.816019</v>
      </c>
      <c r="D1509" s="7">
        <f>IFERROR(__xludf.DUMMYFUNCTION("""COMPUTED_VALUE"""),0.388888888888888)</f>
        <v>0.3888888889</v>
      </c>
    </row>
    <row r="1510">
      <c r="A1510" s="10" t="s">
        <v>2949</v>
      </c>
      <c r="B1510" s="7" t="str">
        <f>IFERROR(__xludf.DUMMYFUNCTION("SPLIT(A1510,"" "")"),"CCNCc1cc(CN(C)C2CCCC(N(C)Cc3cc(C)ccn3)C2)ccn1")</f>
        <v>CCNCc1cc(CN(C)C2CCCC(N(C)Cc3cc(C)ccn3)C2)ccn1</v>
      </c>
      <c r="C1510" s="7">
        <f>IFERROR(__xludf.DUMMYFUNCTION("""COMPUTED_VALUE"""),7.816012)</f>
        <v>7.816012</v>
      </c>
      <c r="D1510" s="7">
        <f>IFERROR(__xludf.DUMMYFUNCTION("""COMPUTED_VALUE"""),0.333333333333333)</f>
        <v>0.3333333333</v>
      </c>
    </row>
    <row r="1511">
      <c r="A1511" s="10" t="s">
        <v>2950</v>
      </c>
      <c r="B1511" s="7" t="str">
        <f>IFERROR(__xludf.DUMMYFUNCTION("SPLIT(A1511,"" "")"),"C=CCNCc1cccc(CN(Cc2ccccn2)C2CCCCC2N(C)Cc2cccc(-c3cccc4c3OCCOCCOCCOCCOCCO4)n2)n1")</f>
        <v>C=CCNCc1cccc(CN(Cc2ccccn2)C2CCCCC2N(C)Cc2cccc(-c3cccc4c3OCCOCCOCCOCCOCCO4)n2)n1</v>
      </c>
      <c r="C1511" s="7">
        <f>IFERROR(__xludf.DUMMYFUNCTION("""COMPUTED_VALUE"""),7.8160114)</f>
        <v>7.8160114</v>
      </c>
      <c r="D1511" s="7">
        <f>IFERROR(__xludf.DUMMYFUNCTION("""COMPUTED_VALUE"""),0.416666666666666)</f>
        <v>0.4166666667</v>
      </c>
    </row>
    <row r="1512">
      <c r="A1512" s="10" t="s">
        <v>2951</v>
      </c>
      <c r="B1512" s="7" t="str">
        <f>IFERROR(__xludf.DUMMYFUNCTION("SPLIT(A1512,"" "")"),"CNc1cc(CN2CCN(C)CCN(C)CC2)cnc1C")</f>
        <v>CNc1cc(CN2CCN(C)CCN(C)CC2)cnc1C</v>
      </c>
      <c r="C1512" s="7">
        <f>IFERROR(__xludf.DUMMYFUNCTION("""COMPUTED_VALUE"""),7.81601)</f>
        <v>7.81601</v>
      </c>
      <c r="D1512" s="7">
        <f>IFERROR(__xludf.DUMMYFUNCTION("""COMPUTED_VALUE"""),0.422222222222222)</f>
        <v>0.4222222222</v>
      </c>
    </row>
    <row r="1513">
      <c r="A1513" s="10" t="s">
        <v>2952</v>
      </c>
      <c r="B1513" s="7" t="str">
        <f>IFERROR(__xludf.DUMMYFUNCTION("SPLIT(A1513,"" "")"),"CN1CCN(C)CCN(Cc2ccc(CN(C)Cc3cc(-c4ccc5c(c4)OCCOCCOCCOCCOCCO5)ccn3)nc2)CC1")</f>
        <v>CN1CCN(C)CCN(Cc2ccc(CN(C)Cc3cc(-c4ccc5c(c4)OCCOCCOCCOCCOCCO5)ccn3)nc2)CC1</v>
      </c>
      <c r="C1513" s="7">
        <f>IFERROR(__xludf.DUMMYFUNCTION("""COMPUTED_VALUE"""),7.816003)</f>
        <v>7.816003</v>
      </c>
      <c r="D1513" s="7">
        <f>IFERROR(__xludf.DUMMYFUNCTION("""COMPUTED_VALUE"""),0.44927536231884)</f>
        <v>0.4492753623</v>
      </c>
    </row>
    <row r="1514">
      <c r="A1514" s="10" t="s">
        <v>2953</v>
      </c>
      <c r="B1514" s="7" t="str">
        <f>IFERROR(__xludf.DUMMYFUNCTION("SPLIT(A1514,"" "")"),"CC1=CC(C)(N(C)Cc2ccccn2)C(C)(C)C(C)C1C")</f>
        <v>CC1=CC(C)(N(C)Cc2ccccn2)C(C)(C)C(C)C1C</v>
      </c>
      <c r="C1514" s="7">
        <f>IFERROR(__xludf.DUMMYFUNCTION("""COMPUTED_VALUE"""),7.815993)</f>
        <v>7.815993</v>
      </c>
      <c r="D1514" s="7">
        <f>IFERROR(__xludf.DUMMYFUNCTION("""COMPUTED_VALUE"""),0.408163265306122)</f>
        <v>0.4081632653</v>
      </c>
    </row>
    <row r="1515">
      <c r="A1515" s="10" t="s">
        <v>2954</v>
      </c>
      <c r="B1515" s="7" t="str">
        <f>IFERROR(__xludf.DUMMYFUNCTION("SPLIT(A1515,"" "")"),"CNCc1cc(CN(C)C2CCC(N(C)Cc3ncccc3-c3ccc4c(c3)OCCOCCOCCOCCOCCO4)CC2)ccn1")</f>
        <v>CNCc1cc(CN(C)C2CCC(N(C)Cc3ncccc3-c3ccc4c(c3)OCCOCCOCCOCCOCCO4)CC2)ccn1</v>
      </c>
      <c r="C1515" s="7">
        <f>IFERROR(__xludf.DUMMYFUNCTION("""COMPUTED_VALUE"""),7.8159914)</f>
        <v>7.8159914</v>
      </c>
      <c r="D1515" s="7">
        <f>IFERROR(__xludf.DUMMYFUNCTION("""COMPUTED_VALUE"""),0.333333333333333)</f>
        <v>0.3333333333</v>
      </c>
    </row>
    <row r="1516">
      <c r="A1516" s="10" t="s">
        <v>2955</v>
      </c>
      <c r="B1516" s="7" t="str">
        <f>IFERROR(__xludf.DUMMYFUNCTION("SPLIT(A1516,"" "")"),"CC1=CC(C)C(C)C(C)C1(C)N(C)Cc1ccccn1")</f>
        <v>CC1=CC(C)C(C)C(C)C1(C)N(C)Cc1ccccn1</v>
      </c>
      <c r="C1516" s="7">
        <f>IFERROR(__xludf.DUMMYFUNCTION("""COMPUTED_VALUE"""),7.8159876)</f>
        <v>7.8159876</v>
      </c>
      <c r="D1516" s="7">
        <f>IFERROR(__xludf.DUMMYFUNCTION("""COMPUTED_VALUE"""),0.408163265306122)</f>
        <v>0.4081632653</v>
      </c>
    </row>
    <row r="1517">
      <c r="A1517" s="10" t="s">
        <v>2956</v>
      </c>
      <c r="B1517" s="7" t="str">
        <f>IFERROR(__xludf.DUMMYFUNCTION("SPLIT(A1517,"" "")"),"Cc1ccnc(CN(C)C2CCC(N(C)Cc3cc(-c4cccc5c4OCCOCCOCCOCCOCCO5)ccn3)CC2)c1")</f>
        <v>Cc1ccnc(CN(C)C2CCC(N(C)Cc3cc(-c4cccc5c4OCCOCCOCCOCCOCCO5)ccn3)CC2)c1</v>
      </c>
      <c r="C1517" s="7">
        <f>IFERROR(__xludf.DUMMYFUNCTION("""COMPUTED_VALUE"""),7.815969)</f>
        <v>7.815969</v>
      </c>
      <c r="D1517" s="7">
        <f>IFERROR(__xludf.DUMMYFUNCTION("""COMPUTED_VALUE"""),0.296875)</f>
        <v>0.296875</v>
      </c>
    </row>
    <row r="1518">
      <c r="A1518" s="10" t="s">
        <v>2957</v>
      </c>
      <c r="B1518" s="7" t="str">
        <f>IFERROR(__xludf.DUMMYFUNCTION("SPLIT(A1518,"" "")"),"CNCc1cccc(-c2cccc3c2OCCOCCOCCOCCOCCO3)n1")</f>
        <v>CNCc1cccc(-c2cccc3c2OCCOCCOCCOCCOCCO3)n1</v>
      </c>
      <c r="C1518" s="7">
        <f>IFERROR(__xludf.DUMMYFUNCTION("""COMPUTED_VALUE"""),7.815949)</f>
        <v>7.815949</v>
      </c>
      <c r="D1518" s="7">
        <f>IFERROR(__xludf.DUMMYFUNCTION("""COMPUTED_VALUE"""),0.245614035087719)</f>
        <v>0.2456140351</v>
      </c>
    </row>
    <row r="1519">
      <c r="A1519" s="10" t="s">
        <v>2958</v>
      </c>
      <c r="B1519" s="7" t="str">
        <f>IFERROR(__xludf.DUMMYFUNCTION("SPLIT(A1519,"" "")"),"COC(C)C1CC(C(C)C)C(C(C)(C)NCc2ccccn2)N(C)C1C(C)C")</f>
        <v>COC(C)C1CC(C(C)C)C(C(C)(C)NCc2ccccn2)N(C)C1C(C)C</v>
      </c>
      <c r="C1519" s="7">
        <f>IFERROR(__xludf.DUMMYFUNCTION("""COMPUTED_VALUE"""),7.8159466)</f>
        <v>7.8159466</v>
      </c>
      <c r="D1519" s="7">
        <f>IFERROR(__xludf.DUMMYFUNCTION("""COMPUTED_VALUE"""),0.309090909090909)</f>
        <v>0.3090909091</v>
      </c>
    </row>
    <row r="1520">
      <c r="A1520" s="10" t="s">
        <v>2959</v>
      </c>
      <c r="B1520" s="7" t="str">
        <f>IFERROR(__xludf.DUMMYFUNCTION("SPLIT(A1520,"" "")"),"Cc1cncc(CN(C)C2CCC(N(C)Cc3cccc(-c4ccc5c(c4)OCCOCCOCCOCCOCCO5)n3)CC2)c1")</f>
        <v>Cc1cncc(CN(C)C2CCC(N(C)Cc3cccc(-c4ccc5c(c4)OCCOCCOCCOCCOCCO5)n3)CC2)c1</v>
      </c>
      <c r="C1520" s="7">
        <f>IFERROR(__xludf.DUMMYFUNCTION("""COMPUTED_VALUE"""),7.8159337)</f>
        <v>7.8159337</v>
      </c>
      <c r="D1520" s="7">
        <f>IFERROR(__xludf.DUMMYFUNCTION("""COMPUTED_VALUE"""),0.346666666666666)</f>
        <v>0.3466666667</v>
      </c>
    </row>
    <row r="1521">
      <c r="A1521" s="10" t="s">
        <v>2960</v>
      </c>
      <c r="B1521" s="7" t="str">
        <f>IFERROR(__xludf.DUMMYFUNCTION("SPLIT(A1521,"" "")"),"CCNCc1ccc(CN(C)C2CCC(N(C)Cc3ncccc3C)CC2)cn1")</f>
        <v>CCNCc1ccc(CN(C)C2CCC(N(C)Cc3ncccc3C)CC2)cn1</v>
      </c>
      <c r="C1521" s="7">
        <f>IFERROR(__xludf.DUMMYFUNCTION("""COMPUTED_VALUE"""),7.815904)</f>
        <v>7.815904</v>
      </c>
      <c r="D1521" s="7">
        <f>IFERROR(__xludf.DUMMYFUNCTION("""COMPUTED_VALUE"""),0.316666666666666)</f>
        <v>0.3166666667</v>
      </c>
    </row>
    <row r="1522">
      <c r="A1522" s="10" t="s">
        <v>2961</v>
      </c>
      <c r="B1522" s="7" t="str">
        <f>IFERROR(__xludf.DUMMYFUNCTION("SPLIT(A1522,"" "")"),"CC1=C(C)CC2(C=CC(C)C(C)(C)C2N(C)Cc2ccccn2)CC1")</f>
        <v>CC1=C(C)CC2(C=CC(C)C(C)(C)C2N(C)Cc2ccccn2)CC1</v>
      </c>
      <c r="C1522" s="7">
        <f>IFERROR(__xludf.DUMMYFUNCTION("""COMPUTED_VALUE"""),7.8159018)</f>
        <v>7.8159018</v>
      </c>
      <c r="D1522" s="7">
        <f>IFERROR(__xludf.DUMMYFUNCTION("""COMPUTED_VALUE"""),0.418181818181818)</f>
        <v>0.4181818182</v>
      </c>
    </row>
    <row r="1523">
      <c r="A1523" s="10" t="s">
        <v>2962</v>
      </c>
      <c r="B1523" s="7" t="str">
        <f>IFERROR(__xludf.DUMMYFUNCTION("SPLIT(A1523,"" "")"),"COC(=O)c1ncccc1CN1CCN(C)CCN(C)CC1")</f>
        <v>COC(=O)c1ncccc1CN1CCN(C)CCN(C)CC1</v>
      </c>
      <c r="C1523" s="7">
        <f>IFERROR(__xludf.DUMMYFUNCTION("""COMPUTED_VALUE"""),7.815887)</f>
        <v>7.815887</v>
      </c>
      <c r="D1523" s="7">
        <f>IFERROR(__xludf.DUMMYFUNCTION("""COMPUTED_VALUE"""),0.466666666666666)</f>
        <v>0.4666666667</v>
      </c>
    </row>
    <row r="1524">
      <c r="A1524" s="10" t="s">
        <v>2963</v>
      </c>
      <c r="B1524" s="7" t="str">
        <f>IFERROR(__xludf.DUMMYFUNCTION("SPLIT(A1524,"" "")"),"CC1=CC(C)C(C)(NCc2ccccn2)C(C)C1")</f>
        <v>CC1=CC(C)C(C)(NCc2ccccn2)C(C)C1</v>
      </c>
      <c r="C1524" s="7">
        <f>IFERROR(__xludf.DUMMYFUNCTION("""COMPUTED_VALUE"""),7.8158846)</f>
        <v>7.8158846</v>
      </c>
      <c r="D1524" s="7">
        <f>IFERROR(__xludf.DUMMYFUNCTION("""COMPUTED_VALUE"""),0.395348837209302)</f>
        <v>0.3953488372</v>
      </c>
    </row>
    <row r="1525">
      <c r="A1525" s="10" t="s">
        <v>2964</v>
      </c>
      <c r="B1525" s="7" t="str">
        <f>IFERROR(__xludf.DUMMYFUNCTION("SPLIT(A1525,"" "")"),"CC1CC(NCc2ccccn2)C1C(C)(C)C")</f>
        <v>CC1CC(NCc2ccccn2)C1C(C)(C)C</v>
      </c>
      <c r="C1525" s="7">
        <f>IFERROR(__xludf.DUMMYFUNCTION("""COMPUTED_VALUE"""),7.8158846)</f>
        <v>7.8158846</v>
      </c>
      <c r="D1525" s="7">
        <f>IFERROR(__xludf.DUMMYFUNCTION("""COMPUTED_VALUE"""),0.414634146341463)</f>
        <v>0.4146341463</v>
      </c>
    </row>
    <row r="1526">
      <c r="A1526" s="10" t="s">
        <v>2965</v>
      </c>
      <c r="B1526" s="7" t="str">
        <f>IFERROR(__xludf.DUMMYFUNCTION("SPLIT(A1526,"" "")"),"Cc1nc(CN2CCN(C)CCN(CCN(Cc3ccccn3)C(C)C)CC2)c(C)c(C)c1C")</f>
        <v>Cc1nc(CN2CCN(C)CCN(CCN(Cc3ccccn3)C(C)C)CC2)c(C)c(C)c1C</v>
      </c>
      <c r="C1526" s="7">
        <f>IFERROR(__xludf.DUMMYFUNCTION("""COMPUTED_VALUE"""),7.8158736)</f>
        <v>7.8158736</v>
      </c>
      <c r="D1526" s="7">
        <f>IFERROR(__xludf.DUMMYFUNCTION("""COMPUTED_VALUE"""),0.490566037735849)</f>
        <v>0.4905660377</v>
      </c>
    </row>
    <row r="1527">
      <c r="A1527" s="10" t="s">
        <v>2966</v>
      </c>
      <c r="B1527" s="7" t="str">
        <f>IFERROR(__xludf.DUMMYFUNCTION("SPLIT(A1527,"" "")"),"CNCc1cc(C)c(CN2CCN(C)CCN(C)CC2)c(C)n1")</f>
        <v>CNCc1cc(C)c(CN2CCN(C)CCN(C)CC2)c(C)n1</v>
      </c>
      <c r="C1527" s="7">
        <f>IFERROR(__xludf.DUMMYFUNCTION("""COMPUTED_VALUE"""),7.8158727)</f>
        <v>7.8158727</v>
      </c>
      <c r="D1527" s="7">
        <f>IFERROR(__xludf.DUMMYFUNCTION("""COMPUTED_VALUE"""),0.444444444444444)</f>
        <v>0.4444444444</v>
      </c>
    </row>
    <row r="1528">
      <c r="A1528" s="10" t="s">
        <v>2967</v>
      </c>
      <c r="B1528" s="7" t="str">
        <f>IFERROR(__xludf.DUMMYFUNCTION("SPLIT(A1528,"" "")"),"CN(CC1=CCC=CN1)CC1C=CC=CN1")</f>
        <v>CN(CC1=CCC=CN1)CC1C=CC=CN1</v>
      </c>
      <c r="C1528" s="7">
        <f>IFERROR(__xludf.DUMMYFUNCTION("""COMPUTED_VALUE"""),7.81587)</f>
        <v>7.81587</v>
      </c>
      <c r="D1528" s="7">
        <f>IFERROR(__xludf.DUMMYFUNCTION("""COMPUTED_VALUE"""),0.358490566037735)</f>
        <v>0.358490566</v>
      </c>
    </row>
    <row r="1529">
      <c r="A1529" s="10" t="s">
        <v>2968</v>
      </c>
      <c r="B1529" s="7" t="str">
        <f>IFERROR(__xludf.DUMMYFUNCTION("SPLIT(A1529,"" "")"),"CNCc1ncc(-c2cccc3c2OCCOCCOCCOCCOCCO3)cc1-c1cccc2c1OCCOCCOCCOCCOCCO2")</f>
        <v>CNCc1ncc(-c2cccc3c2OCCOCCOCCOCCOCCO3)cc1-c1cccc2c1OCCOCCOCCOCCOCCO2</v>
      </c>
      <c r="C1529" s="7">
        <f>IFERROR(__xludf.DUMMYFUNCTION("""COMPUTED_VALUE"""),7.815868)</f>
        <v>7.815868</v>
      </c>
      <c r="D1529" s="7">
        <f>IFERROR(__xludf.DUMMYFUNCTION("""COMPUTED_VALUE"""),0.294117647058823)</f>
        <v>0.2941176471</v>
      </c>
    </row>
    <row r="1530">
      <c r="A1530" s="10" t="s">
        <v>2969</v>
      </c>
      <c r="B1530" s="7" t="str">
        <f>IFERROR(__xludf.DUMMYFUNCTION("SPLIT(A1530,"" "")"),"CC1=CC(C)C(C)C(C)(N(C)Cc2ccccn2)C1")</f>
        <v>CC1=CC(C)C(C)C(C)(N(C)Cc2ccccn2)C1</v>
      </c>
      <c r="C1530" s="7">
        <f>IFERROR(__xludf.DUMMYFUNCTION("""COMPUTED_VALUE"""),7.815841)</f>
        <v>7.815841</v>
      </c>
      <c r="D1530" s="7">
        <f>IFERROR(__xludf.DUMMYFUNCTION("""COMPUTED_VALUE"""),0.428571428571428)</f>
        <v>0.4285714286</v>
      </c>
    </row>
    <row r="1531">
      <c r="A1531" s="10" t="s">
        <v>2970</v>
      </c>
      <c r="B1531" s="7" t="str">
        <f>IFERROR(__xludf.DUMMYFUNCTION("SPLIT(A1531,"" "")"),"Cc1c(N(C)Cc2ccccn2)ccc2c1OCCOCCOCCOCCOCCO2")</f>
        <v>Cc1c(N(C)Cc2ccccn2)ccc2c1OCCOCCOCCOCCOCCO2</v>
      </c>
      <c r="C1531" s="7">
        <f>IFERROR(__xludf.DUMMYFUNCTION("""COMPUTED_VALUE"""),7.815841)</f>
        <v>7.815841</v>
      </c>
      <c r="D1531" s="7">
        <f>IFERROR(__xludf.DUMMYFUNCTION("""COMPUTED_VALUE"""),0.46938775510204)</f>
        <v>0.4693877551</v>
      </c>
    </row>
    <row r="1532">
      <c r="A1532" s="10" t="s">
        <v>2971</v>
      </c>
      <c r="B1532" s="7" t="str">
        <f>IFERROR(__xludf.DUMMYFUNCTION("SPLIT(A1532,"" "")"),"Cc1cncc(CN2CCN(C)CCN(Cc3cnc(C)c(C)c3)CC2)c1")</f>
        <v>Cc1cncc(CN2CCN(C)CCN(Cc3cnc(C)c(C)c3)CC2)c1</v>
      </c>
      <c r="C1532" s="7">
        <f>IFERROR(__xludf.DUMMYFUNCTION("""COMPUTED_VALUE"""),7.815834)</f>
        <v>7.815834</v>
      </c>
      <c r="D1532" s="7">
        <f>IFERROR(__xludf.DUMMYFUNCTION("""COMPUTED_VALUE"""),0.425531914893617)</f>
        <v>0.4255319149</v>
      </c>
    </row>
    <row r="1533">
      <c r="A1533" s="10" t="s">
        <v>2972</v>
      </c>
      <c r="B1533" s="7" t="str">
        <f>IFERROR(__xludf.DUMMYFUNCTION("SPLIT(A1533,"" "")"),"CCNCc1cccc(CN(C)C2CCC(N(C)Cc3ncccc3C)CC2)n1")</f>
        <v>CCNCc1cccc(CN(C)C2CCC(N(C)Cc3ncccc3C)CC2)n1</v>
      </c>
      <c r="C1533" s="7">
        <f>IFERROR(__xludf.DUMMYFUNCTION("""COMPUTED_VALUE"""),7.8158307)</f>
        <v>7.8158307</v>
      </c>
      <c r="D1533" s="7">
        <f>IFERROR(__xludf.DUMMYFUNCTION("""COMPUTED_VALUE"""),0.375)</f>
        <v>0.375</v>
      </c>
    </row>
    <row r="1534">
      <c r="A1534" s="10" t="s">
        <v>2973</v>
      </c>
      <c r="B1534" s="7" t="str">
        <f>IFERROR(__xludf.DUMMYFUNCTION("SPLIT(A1534,"" "")"),"CN1CCN(C)CCN(Cc2ccc(N(C)O)nc2)CC1")</f>
        <v>CN1CCN(C)CCN(Cc2ccc(N(C)O)nc2)CC1</v>
      </c>
      <c r="C1534" s="7">
        <f>IFERROR(__xludf.DUMMYFUNCTION("""COMPUTED_VALUE"""),7.8158298)</f>
        <v>7.8158298</v>
      </c>
      <c r="D1534" s="7">
        <f>IFERROR(__xludf.DUMMYFUNCTION("""COMPUTED_VALUE"""),0.478260869565217)</f>
        <v>0.4782608696</v>
      </c>
    </row>
    <row r="1535">
      <c r="A1535" s="10" t="s">
        <v>2974</v>
      </c>
      <c r="B1535" s="7" t="str">
        <f>IFERROR(__xludf.DUMMYFUNCTION("SPLIT(A1535,"" "")"),"CNC1CCCCC1N(Cc1ncccc1C)Cc1ncccc1-c1ccc2c(c1)OCCOCCOCCOCCOCCO2")</f>
        <v>CNC1CCCCC1N(Cc1ncccc1C)Cc1ncccc1-c1ccc2c(c1)OCCOCCOCCOCCOCCO2</v>
      </c>
      <c r="C1535" s="7">
        <f>IFERROR(__xludf.DUMMYFUNCTION("""COMPUTED_VALUE"""),7.8157964)</f>
        <v>7.8157964</v>
      </c>
      <c r="D1535" s="7">
        <f>IFERROR(__xludf.DUMMYFUNCTION("""COMPUTED_VALUE"""),0.337662337662337)</f>
        <v>0.3376623377</v>
      </c>
    </row>
    <row r="1536">
      <c r="A1536" s="10" t="s">
        <v>2975</v>
      </c>
      <c r="B1536" s="7" t="str">
        <f>IFERROR(__xludf.DUMMYFUNCTION("SPLIT(A1536,"" "")"),"COC(=O)c1cc(CN2CCN(C)CCN(C)CC2)ccn1")</f>
        <v>COC(=O)c1cc(CN2CCN(C)CCN(C)CC2)ccn1</v>
      </c>
      <c r="C1536" s="7">
        <f>IFERROR(__xludf.DUMMYFUNCTION("""COMPUTED_VALUE"""),7.815792)</f>
        <v>7.815792</v>
      </c>
      <c r="D1536" s="7">
        <f>IFERROR(__xludf.DUMMYFUNCTION("""COMPUTED_VALUE"""),0.5)</f>
        <v>0.5</v>
      </c>
    </row>
    <row r="1537">
      <c r="A1537" s="10" t="s">
        <v>2976</v>
      </c>
      <c r="B1537" s="7" t="str">
        <f>IFERROR(__xludf.DUMMYFUNCTION("SPLIT(A1537,"" "")"),"CN(CCN)CCN(C)CCN(C)CCN(C)CCN(C)CCN(C)CCN(C)CCN(C)CCN(C)CCN(C)CCN(C)CCN(C)CCN(C)CCN(C)CCN(C)CCN(C)CCN(C)CCN(C)CCN(C)CCN(C)CCN(C)CCN(C)CCN(C)CCN(C)CCNCc1cccnc1")</f>
        <v>CN(CCN)CCN(C)CCN(C)CCN(C)CCN(C)CCN(C)CCN(C)CCN(C)CCN(C)CCN(C)CCN(C)CCN(C)CCN(C)CCN(C)CCN(C)CCN(C)CCN(C)CCN(C)CCN(C)CCN(C)CCN(C)CCN(C)CCN(C)CCN(C)CCNCc1cccnc1</v>
      </c>
      <c r="C1537" s="7">
        <f>IFERROR(__xludf.DUMMYFUNCTION("""COMPUTED_VALUE"""),7.8157754)</f>
        <v>7.8157754</v>
      </c>
      <c r="D1537" s="7">
        <f>IFERROR(__xludf.DUMMYFUNCTION("""COMPUTED_VALUE"""),0.297872340425531)</f>
        <v>0.2978723404</v>
      </c>
    </row>
    <row r="1538">
      <c r="A1538" s="10" t="s">
        <v>2977</v>
      </c>
      <c r="B1538" s="7" t="str">
        <f>IFERROR(__xludf.DUMMYFUNCTION("SPLIT(A1538,"" "")"),"CC1=CC(C)C(C)(c2ccc(CN(Cc3ccccn3)C3CCCCC3)cn2)CC1")</f>
        <v>CC1=CC(C)C(C)(c2ccc(CN(Cc3ccccn3)C3CCCCC3)cn2)CC1</v>
      </c>
      <c r="C1538" s="7">
        <f>IFERROR(__xludf.DUMMYFUNCTION("""COMPUTED_VALUE"""),7.8157496)</f>
        <v>7.8157496</v>
      </c>
      <c r="D1538" s="7">
        <f>IFERROR(__xludf.DUMMYFUNCTION("""COMPUTED_VALUE"""),0.370967741935483)</f>
        <v>0.3709677419</v>
      </c>
    </row>
    <row r="1539">
      <c r="A1539" s="10" t="s">
        <v>2978</v>
      </c>
      <c r="B1539" s="7" t="str">
        <f>IFERROR(__xludf.DUMMYFUNCTION("SPLIT(A1539,"" "")"),"C1=CC(c2cccc3c2OCCOCCOCCOCCOCCO3)C=C(CN(Cc2ccccn2)Cc2ccccn2)N1")</f>
        <v>C1=CC(c2cccc3c2OCCOCCOCCOCCOCCO3)C=C(CN(Cc2ccccn2)Cc2ccccn2)N1</v>
      </c>
      <c r="C1539" s="7">
        <f>IFERROR(__xludf.DUMMYFUNCTION("""COMPUTED_VALUE"""),7.8157244)</f>
        <v>7.8157244</v>
      </c>
      <c r="D1539" s="7">
        <f>IFERROR(__xludf.DUMMYFUNCTION("""COMPUTED_VALUE"""),0.435483870967741)</f>
        <v>0.435483871</v>
      </c>
    </row>
    <row r="1540">
      <c r="A1540" s="10" t="s">
        <v>2979</v>
      </c>
      <c r="B1540" s="7" t="str">
        <f>IFERROR(__xludf.DUMMYFUNCTION("SPLIT(A1540,"" "")"),"CNC1CCCCC1N(Cc1cccc(C)n1)Cc1ncccc1CF")</f>
        <v>CNC1CCCCC1N(Cc1cccc(C)n1)Cc1ncccc1CF</v>
      </c>
      <c r="C1540" s="7">
        <f>IFERROR(__xludf.DUMMYFUNCTION("""COMPUTED_VALUE"""),7.8157206)</f>
        <v>7.8157206</v>
      </c>
      <c r="D1540" s="7">
        <f>IFERROR(__xludf.DUMMYFUNCTION("""COMPUTED_VALUE"""),0.456140350877192)</f>
        <v>0.4561403509</v>
      </c>
    </row>
    <row r="1541">
      <c r="A1541" s="10" t="s">
        <v>2980</v>
      </c>
      <c r="B1541" s="7" t="str">
        <f>IFERROR(__xludf.DUMMYFUNCTION("SPLIT(A1541,"" "")"),"CN(CCF)CCN(Cc1ccccn1)C(C)(C)C")</f>
        <v>CN(CCF)CCN(Cc1ccccn1)C(C)(C)C</v>
      </c>
      <c r="C1541" s="7">
        <f>IFERROR(__xludf.DUMMYFUNCTION("""COMPUTED_VALUE"""),7.8157187)</f>
        <v>7.8157187</v>
      </c>
      <c r="D1541" s="7">
        <f>IFERROR(__xludf.DUMMYFUNCTION("""COMPUTED_VALUE"""),0.477272727272727)</f>
        <v>0.4772727273</v>
      </c>
    </row>
    <row r="1542">
      <c r="A1542" s="10" t="s">
        <v>2981</v>
      </c>
      <c r="B1542" s="7" t="str">
        <f>IFERROR(__xludf.DUMMYFUNCTION("SPLIT(A1542,"" "")"),"CC1C=CCC(C)(c2ccccn2)C1C")</f>
        <v>CC1C=CCC(C)(c2ccccn2)C1C</v>
      </c>
      <c r="C1542" s="7">
        <f>IFERROR(__xludf.DUMMYFUNCTION("""COMPUTED_VALUE"""),7.8156886)</f>
        <v>7.8156886</v>
      </c>
      <c r="D1542" s="7">
        <f>IFERROR(__xludf.DUMMYFUNCTION("""COMPUTED_VALUE"""),0.265306122448979)</f>
        <v>0.2653061224</v>
      </c>
    </row>
    <row r="1543">
      <c r="A1543" s="10" t="s">
        <v>2982</v>
      </c>
      <c r="B1543" s="7" t="str">
        <f>IFERROR(__xludf.DUMMYFUNCTION("SPLIT(A1543,"" "")"),"C=CCN(C)CCN(Cc1cccc(CN(Cc2ccccn2)Cc2ccc([Si](C(C)C)(C(C)C)C(C)C)cn2)n1)Cc1cccc(C2CC3OCCOCCOCCOCCOCCOC32)n1")</f>
        <v>C=CCN(C)CCN(Cc1cccc(CN(Cc2ccccn2)Cc2ccc([Si](C(C)C)(C(C)C)C(C)C)cn2)n1)Cc1cccc(C2CC3OCCOCCOCCOCCOCCOC32)n1</v>
      </c>
      <c r="C1543" s="7">
        <f>IFERROR(__xludf.DUMMYFUNCTION("""COMPUTED_VALUE"""),7.815688)</f>
        <v>7.815688</v>
      </c>
      <c r="D1543" s="7">
        <f>IFERROR(__xludf.DUMMYFUNCTION("""COMPUTED_VALUE"""),0.364864864864864)</f>
        <v>0.3648648649</v>
      </c>
    </row>
    <row r="1544">
      <c r="A1544" s="10" t="s">
        <v>2983</v>
      </c>
      <c r="B1544" s="7" t="str">
        <f>IFERROR(__xludf.DUMMYFUNCTION("SPLIT(A1544,"" "")"),"CN(CCF)CCN(Cc1ccccn1)Cc1cccc(-c2cccc3c2OCCOCCOCCOCCOCCO3)n1")</f>
        <v>CN(CCF)CCN(Cc1ccccn1)Cc1cccc(-c2cccc3c2OCCOCCOCCOCCOCCO3)n1</v>
      </c>
      <c r="C1544" s="7">
        <f>IFERROR(__xludf.DUMMYFUNCTION("""COMPUTED_VALUE"""),7.8156877)</f>
        <v>7.8156877</v>
      </c>
      <c r="D1544" s="7">
        <f>IFERROR(__xludf.DUMMYFUNCTION("""COMPUTED_VALUE"""),0.442622950819672)</f>
        <v>0.4426229508</v>
      </c>
    </row>
    <row r="1545">
      <c r="A1545" s="10" t="s">
        <v>2984</v>
      </c>
      <c r="B1545" s="7" t="str">
        <f>IFERROR(__xludf.DUMMYFUNCTION("SPLIT(A1545,"" "")"),"CNCc1ncccc1CN(C)C1CCCC(N(C)Cc2cccnn2)C1")</f>
        <v>CNCc1ncccc1CN(C)C1CCCC(N(C)Cc2cccnn2)C1</v>
      </c>
      <c r="C1545" s="7">
        <f>IFERROR(__xludf.DUMMYFUNCTION("""COMPUTED_VALUE"""),7.815675)</f>
        <v>7.815675</v>
      </c>
      <c r="D1545" s="7">
        <f>IFERROR(__xludf.DUMMYFUNCTION("""COMPUTED_VALUE"""),0.384615384615384)</f>
        <v>0.3846153846</v>
      </c>
    </row>
    <row r="1546">
      <c r="A1546" s="10" t="s">
        <v>2985</v>
      </c>
      <c r="B1546" s="7" t="str">
        <f>IFERROR(__xludf.DUMMYFUNCTION("SPLIT(A1546,"" "")"),"CN(CN(Cc1ccccn1)Cc1ccccn1)c1cccc2c1OCCOCCOCCOCCOCCO2")</f>
        <v>CN(CN(Cc1ccccn1)Cc1ccccn1)c1cccc2c1OCCOCCOCCOCCOCCO2</v>
      </c>
      <c r="C1546" s="7">
        <f>IFERROR(__xludf.DUMMYFUNCTION("""COMPUTED_VALUE"""),7.8156633)</f>
        <v>7.8156633</v>
      </c>
      <c r="D1546" s="7">
        <f>IFERROR(__xludf.DUMMYFUNCTION("""COMPUTED_VALUE"""),0.413043478260869)</f>
        <v>0.4130434783</v>
      </c>
    </row>
    <row r="1547">
      <c r="A1547" s="10" t="s">
        <v>2986</v>
      </c>
      <c r="B1547" s="7" t="str">
        <f>IFERROR(__xludf.DUMMYFUNCTION("SPLIT(A1547,"" "")"),"CC1=CCCC(C)(C)C1(C)c1cc(CN(Cc2ccccn2)C2CCCCC2)ccn1")</f>
        <v>CC1=CCCC(C)(C)C1(C)c1cc(CN(Cc2ccccn2)C2CCCCC2)ccn1</v>
      </c>
      <c r="C1547" s="7">
        <f>IFERROR(__xludf.DUMMYFUNCTION("""COMPUTED_VALUE"""),7.815657)</f>
        <v>7.815657</v>
      </c>
      <c r="D1547" s="7">
        <f>IFERROR(__xludf.DUMMYFUNCTION("""COMPUTED_VALUE"""),0.370967741935483)</f>
        <v>0.3709677419</v>
      </c>
    </row>
    <row r="1548">
      <c r="A1548" s="10" t="s">
        <v>2987</v>
      </c>
      <c r="B1548" s="7" t="str">
        <f>IFERROR(__xludf.DUMMYFUNCTION("SPLIT(A1548,"" "")"),"CN(CNCc1cc(C(C)(C)C)ccn1)C1CCC(N(C)Cc2cc(-c3ccc4c(c3)OCCOCCOCCOCCOCCO4)ccn2)CC1")</f>
        <v>CN(CNCc1cc(C(C)(C)C)ccn1)C1CCC(N(C)Cc2cc(-c3ccc4c(c3)OCCOCCOCCOCCOCCO4)ccn2)CC1</v>
      </c>
      <c r="C1548" s="7">
        <f>IFERROR(__xludf.DUMMYFUNCTION("""COMPUTED_VALUE"""),7.815642)</f>
        <v>7.815642</v>
      </c>
      <c r="D1548" s="7">
        <f>IFERROR(__xludf.DUMMYFUNCTION("""COMPUTED_VALUE"""),0.355263157894736)</f>
        <v>0.3552631579</v>
      </c>
    </row>
    <row r="1549">
      <c r="A1549" s="10" t="s">
        <v>2988</v>
      </c>
      <c r="B1549" s="7" t="str">
        <f>IFERROR(__xludf.DUMMYFUNCTION("SPLIT(A1549,"" "")"),"Cc1cnccc1CN(C)C1CCC(N(C)Cc2cccc(-c3ccc4c(c3)OCCOCCOCCOCCOCCO4)n2)CC1")</f>
        <v>Cc1cnccc1CN(C)C1CCC(N(C)Cc2cccc(-c3ccc4c(c3)OCCOCCOCCOCCOCCO4)n2)CC1</v>
      </c>
      <c r="C1549" s="7">
        <f>IFERROR(__xludf.DUMMYFUNCTION("""COMPUTED_VALUE"""),7.8156276)</f>
        <v>7.8156276</v>
      </c>
      <c r="D1549" s="7">
        <f>IFERROR(__xludf.DUMMYFUNCTION("""COMPUTED_VALUE"""),0.346666666666666)</f>
        <v>0.3466666667</v>
      </c>
    </row>
    <row r="1550">
      <c r="A1550" s="10" t="s">
        <v>2989</v>
      </c>
      <c r="B1550" s="7" t="str">
        <f>IFERROR(__xludf.DUMMYFUNCTION("SPLIT(A1550,"" "")"),"CC(C)NCCN(C)Cc1ncccc1-c1cccc2c1OCCOCCOCCOCCOCCO2")</f>
        <v>CC(C)NCCN(C)Cc1ncccc1-c1cccc2c1OCCOCCOCCOCCOCCO2</v>
      </c>
      <c r="C1550" s="7">
        <f>IFERROR(__xludf.DUMMYFUNCTION("""COMPUTED_VALUE"""),7.8156238)</f>
        <v>7.8156238</v>
      </c>
      <c r="D1550" s="7">
        <f>IFERROR(__xludf.DUMMYFUNCTION("""COMPUTED_VALUE"""),0.290322580645161)</f>
        <v>0.2903225806</v>
      </c>
    </row>
    <row r="1551">
      <c r="A1551" s="10" t="s">
        <v>2990</v>
      </c>
      <c r="B1551" s="7" t="str">
        <f>IFERROR(__xludf.DUMMYFUNCTION("SPLIT(A1551,"" "")"),"CC(C)N(CCN(C)CC(C)(C)C)Cc1ccccc1")</f>
        <v>CC(C)N(CCN(C)CC(C)(C)C)Cc1ccccc1</v>
      </c>
      <c r="C1551" s="7">
        <f>IFERROR(__xludf.DUMMYFUNCTION("""COMPUTED_VALUE"""),7.815607)</f>
        <v>7.815607</v>
      </c>
      <c r="D1551" s="7">
        <f>IFERROR(__xludf.DUMMYFUNCTION("""COMPUTED_VALUE"""),0.414634146341463)</f>
        <v>0.4146341463</v>
      </c>
    </row>
    <row r="1552">
      <c r="A1552" s="10" t="s">
        <v>2991</v>
      </c>
      <c r="B1552" s="7" t="str">
        <f>IFERROR(__xludf.DUMMYFUNCTION("SPLIT(A1552,"" "")"),"Cc1ccnc(CN(C)C2CCCC(N(C)C)C2)c1C")</f>
        <v>Cc1ccnc(CN(C)C2CCCC(N(C)C)C2)c1C</v>
      </c>
      <c r="C1552" s="7">
        <f>IFERROR(__xludf.DUMMYFUNCTION("""COMPUTED_VALUE"""),7.815607)</f>
        <v>7.815607</v>
      </c>
      <c r="D1552" s="7">
        <f>IFERROR(__xludf.DUMMYFUNCTION("""COMPUTED_VALUE"""),0.32)</f>
        <v>0.32</v>
      </c>
    </row>
    <row r="1553">
      <c r="A1553" s="10" t="s">
        <v>2992</v>
      </c>
      <c r="B1553" s="7" t="str">
        <f>IFERROR(__xludf.DUMMYFUNCTION("SPLIT(A1553,"" "")"),"Cc1cnccc1CN1CCN(C)CCN(Cc2cccnc2C(C)(C)C)CC1")</f>
        <v>Cc1cnccc1CN1CCN(C)CCN(Cc2cccnc2C(C)(C)C)CC1</v>
      </c>
      <c r="C1553" s="7">
        <f>IFERROR(__xludf.DUMMYFUNCTION("""COMPUTED_VALUE"""),7.8156037)</f>
        <v>7.8156037</v>
      </c>
      <c r="D1553" s="7">
        <f>IFERROR(__xludf.DUMMYFUNCTION("""COMPUTED_VALUE"""),0.42)</f>
        <v>0.42</v>
      </c>
    </row>
    <row r="1554">
      <c r="A1554" s="10" t="s">
        <v>2993</v>
      </c>
      <c r="B1554" s="7" t="str">
        <f>IFERROR(__xludf.DUMMYFUNCTION("SPLIT(A1554,"" "")"),"CC1C=CC(C)C(C)(c2ccc(CN(Cc3ccccn3)C3CCCCC3)cn2)C1")</f>
        <v>CC1C=CC(C)C(C)(c2ccc(CN(Cc3ccccn3)C3CCCCC3)cn2)C1</v>
      </c>
      <c r="C1554" s="7">
        <f>IFERROR(__xludf.DUMMYFUNCTION("""COMPUTED_VALUE"""),7.8155994)</f>
        <v>7.8155994</v>
      </c>
      <c r="D1554" s="7">
        <f>IFERROR(__xludf.DUMMYFUNCTION("""COMPUTED_VALUE"""),0.377049180327868)</f>
        <v>0.3770491803</v>
      </c>
    </row>
    <row r="1555">
      <c r="A1555" s="10" t="s">
        <v>2994</v>
      </c>
      <c r="B1555" s="7" t="str">
        <f>IFERROR(__xludf.DUMMYFUNCTION("SPLIT(A1555,"" "")"),"CC(C)N1CCN(C)CCN(C(C)c2ccc(C3=CCC=CN3)nc2)CC1")</f>
        <v>CC(C)N1CCN(C)CCN(C(C)c2ccc(C3=CCC=CN3)nc2)CC1</v>
      </c>
      <c r="C1555" s="7">
        <f>IFERROR(__xludf.DUMMYFUNCTION("""COMPUTED_VALUE"""),7.81559)</f>
        <v>7.81559</v>
      </c>
      <c r="D1555" s="7">
        <f>IFERROR(__xludf.DUMMYFUNCTION("""COMPUTED_VALUE"""),0.271186440677966)</f>
        <v>0.2711864407</v>
      </c>
    </row>
    <row r="1556">
      <c r="A1556" s="10" t="s">
        <v>2995</v>
      </c>
      <c r="B1556" s="7" t="str">
        <f>IFERROR(__xludf.DUMMYFUNCTION("SPLIT(A1556,"" "")"),"CCCN(CC1=CCC(N(C)Cc2ccccn2)=CN1)c1cccc2c1OCCOCCOCCOCCOCCO2")</f>
        <v>CCCN(CC1=CCC(N(C)Cc2ccccn2)=CN1)c1cccc2c1OCCOCCOCCOCCOCCO2</v>
      </c>
      <c r="C1556" s="7">
        <f>IFERROR(__xludf.DUMMYFUNCTION("""COMPUTED_VALUE"""),7.8155828)</f>
        <v>7.8155828</v>
      </c>
      <c r="D1556" s="7">
        <f>IFERROR(__xludf.DUMMYFUNCTION("""COMPUTED_VALUE"""),0.318840579710144)</f>
        <v>0.3188405797</v>
      </c>
    </row>
    <row r="1557">
      <c r="A1557" s="10" t="s">
        <v>2996</v>
      </c>
      <c r="B1557" s="7" t="str">
        <f>IFERROR(__xludf.DUMMYFUNCTION("SPLIT(A1557,"" "")"),"COC(=O)C(C)NCc1cc(C(=O)C(C)N2CCN(C)CCN(C(C)C)CC2)ccn1")</f>
        <v>COC(=O)C(C)NCc1cc(C(=O)C(C)N2CCN(C)CCN(C(C)C)CC2)ccn1</v>
      </c>
      <c r="C1557" s="7">
        <f>IFERROR(__xludf.DUMMYFUNCTION("""COMPUTED_VALUE"""),7.815581)</f>
        <v>7.815581</v>
      </c>
      <c r="D1557" s="7">
        <f>IFERROR(__xludf.DUMMYFUNCTION("""COMPUTED_VALUE"""),0.421875)</f>
        <v>0.421875</v>
      </c>
    </row>
    <row r="1558">
      <c r="A1558" s="10" t="s">
        <v>2997</v>
      </c>
      <c r="B1558" s="7" t="str">
        <f>IFERROR(__xludf.DUMMYFUNCTION("SPLIT(A1558,"" "")"),"CC(C)C(C)N(C)CC1=CC(N(C)Cc2ccc(-c3ccc4c(c3)OCCOCCOCCOCCOCCO4)cn2)C=CN1")</f>
        <v>CC(C)C(C)N(C)CC1=CC(N(C)Cc2ccc(-c3ccc4c(c3)OCCOCCOCCOCCOCCO4)cn2)C=CN1</v>
      </c>
      <c r="C1558" s="7">
        <f>IFERROR(__xludf.DUMMYFUNCTION("""COMPUTED_VALUE"""),7.8155704)</f>
        <v>7.8155704</v>
      </c>
      <c r="D1558" s="7">
        <f>IFERROR(__xludf.DUMMYFUNCTION("""COMPUTED_VALUE"""),0.418918918918918)</f>
        <v>0.4189189189</v>
      </c>
    </row>
    <row r="1559">
      <c r="A1559" s="10" t="s">
        <v>2998</v>
      </c>
      <c r="B1559" s="7" t="str">
        <f>IFERROR(__xludf.DUMMYFUNCTION("SPLIT(A1559,"" "")"),"CN(Cc1ccon1)C1CCC(N(Cc2ccccn2)CC(C)(C)C)CC1")</f>
        <v>CN(Cc1ccon1)C1CCC(N(Cc2ccccn2)CC(C)(C)C)CC1</v>
      </c>
      <c r="C1559" s="7">
        <f>IFERROR(__xludf.DUMMYFUNCTION("""COMPUTED_VALUE"""),7.815568)</f>
        <v>7.815568</v>
      </c>
      <c r="D1559" s="7">
        <f>IFERROR(__xludf.DUMMYFUNCTION("""COMPUTED_VALUE"""),0.452830188679245)</f>
        <v>0.4528301887</v>
      </c>
    </row>
    <row r="1560">
      <c r="A1560" s="10" t="s">
        <v>2999</v>
      </c>
      <c r="B1560" s="7" t="str">
        <f>IFERROR(__xludf.DUMMYFUNCTION("SPLIT(A1560,"" "")"),"CCNC1C(N(C)Cc2cc(C)ccn2)CCCC1N(Cc1cc(C)ccn1)C(C)C")</f>
        <v>CCNC1C(N(C)Cc2cc(C)ccn2)CCCC1N(Cc1cc(C)ccn1)C(C)C</v>
      </c>
      <c r="C1560" s="7">
        <f>IFERROR(__xludf.DUMMYFUNCTION("""COMPUTED_VALUE"""),7.815568)</f>
        <v>7.815568</v>
      </c>
      <c r="D1560" s="7">
        <f>IFERROR(__xludf.DUMMYFUNCTION("""COMPUTED_VALUE"""),0.392857142857142)</f>
        <v>0.3928571429</v>
      </c>
    </row>
    <row r="1561">
      <c r="A1561" s="10" t="s">
        <v>3000</v>
      </c>
      <c r="B1561" s="7" t="str">
        <f>IFERROR(__xludf.DUMMYFUNCTION("SPLIT(A1561,"" "")"),"Cc1ccc(CN2CCN(C)CCN(Cc3cnc(C)c(C)c3)CC2)nc1")</f>
        <v>Cc1ccc(CN2CCN(C)CCN(Cc3cnc(C)c(C)c3)CC2)nc1</v>
      </c>
      <c r="C1561" s="7">
        <f>IFERROR(__xludf.DUMMYFUNCTION("""COMPUTED_VALUE"""),7.815554)</f>
        <v>7.815554</v>
      </c>
      <c r="D1561" s="7">
        <f>IFERROR(__xludf.DUMMYFUNCTION("""COMPUTED_VALUE"""),0.489361702127659)</f>
        <v>0.4893617021</v>
      </c>
    </row>
    <row r="1562">
      <c r="A1562" s="10" t="s">
        <v>3001</v>
      </c>
      <c r="B1562" s="7" t="str">
        <f>IFERROR(__xludf.DUMMYFUNCTION("SPLIT(A1562,"" "")"),"Cc1cncc(CN(C)C2CCC(N(C)Cc3cc(-c4ccc5c(c4)OCCOCCOCCOCCOCCO5)ccn3)CC2)c1")</f>
        <v>Cc1cncc(CN(C)C2CCC(N(C)Cc3cc(-c4ccc5c(c4)OCCOCCOCCOCCOCCO5)ccn3)CC2)c1</v>
      </c>
      <c r="C1562" s="7">
        <f>IFERROR(__xludf.DUMMYFUNCTION("""COMPUTED_VALUE"""),7.8155494)</f>
        <v>7.8155494</v>
      </c>
      <c r="D1562" s="7">
        <f>IFERROR(__xludf.DUMMYFUNCTION("""COMPUTED_VALUE"""),0.394366197183098)</f>
        <v>0.3943661972</v>
      </c>
    </row>
    <row r="1563">
      <c r="A1563" s="10" t="s">
        <v>3002</v>
      </c>
      <c r="B1563" s="7" t="str">
        <f>IFERROR(__xludf.DUMMYFUNCTION("SPLIT(A1563,"" "")"),"CCNCc1ncccc1CN(C)C1CCCC(N(C)Cc2ncccc2C)C1")</f>
        <v>CCNCc1ncccc1CN(C)C1CCCC(N(C)Cc2ncccc2C)C1</v>
      </c>
      <c r="C1563" s="7">
        <f>IFERROR(__xludf.DUMMYFUNCTION("""COMPUTED_VALUE"""),7.81554)</f>
        <v>7.81554</v>
      </c>
      <c r="D1563" s="7">
        <f>IFERROR(__xludf.DUMMYFUNCTION("""COMPUTED_VALUE"""),0.310344827586206)</f>
        <v>0.3103448276</v>
      </c>
    </row>
    <row r="1564">
      <c r="A1564" s="10" t="s">
        <v>3003</v>
      </c>
      <c r="B1564" s="7" t="str">
        <f>IFERROR(__xludf.DUMMYFUNCTION("SPLIT(A1564,"" "")"),"Cc1cnccc1CN1CCN(C)CCN(Cc2ncccc2C(C)(C)C)CC1")</f>
        <v>Cc1cnccc1CN1CCN(C)CCN(Cc2ncccc2C(C)(C)C)CC1</v>
      </c>
      <c r="C1564" s="7">
        <f>IFERROR(__xludf.DUMMYFUNCTION("""COMPUTED_VALUE"""),7.8155375)</f>
        <v>7.8155375</v>
      </c>
      <c r="D1564" s="7">
        <f>IFERROR(__xludf.DUMMYFUNCTION("""COMPUTED_VALUE"""),0.403846153846153)</f>
        <v>0.4038461538</v>
      </c>
    </row>
    <row r="1565">
      <c r="A1565" s="10" t="s">
        <v>3004</v>
      </c>
      <c r="B1565" s="7" t="str">
        <f>IFERROR(__xludf.DUMMYFUNCTION("SPLIT(A1565,"" "")"),"Cc1ccc(CN2CCN(C)CCN(Cc3ncccc3C)CC2)c(C)n1")</f>
        <v>Cc1ccc(CN2CCN(C)CCN(Cc3ncccc3C)CC2)c(C)n1</v>
      </c>
      <c r="C1565" s="7">
        <f>IFERROR(__xludf.DUMMYFUNCTION("""COMPUTED_VALUE"""),7.8155193)</f>
        <v>7.8155193</v>
      </c>
      <c r="D1565" s="7">
        <f>IFERROR(__xludf.DUMMYFUNCTION("""COMPUTED_VALUE"""),0.458333333333333)</f>
        <v>0.4583333333</v>
      </c>
    </row>
    <row r="1566">
      <c r="A1566" s="10" t="s">
        <v>3005</v>
      </c>
      <c r="B1566" s="7" t="str">
        <f>IFERROR(__xludf.DUMMYFUNCTION("SPLIT(A1566,"" "")"),"CN(Cc1ccccn1)Cc1cccc(CN(Cc2ccccn2)Cc2cccc(C34CCC3OCCOCCOCCOCCOCCO4)n2)n1")</f>
        <v>CN(Cc1ccccn1)Cc1cccc(CN(Cc2ccccn2)Cc2cccc(C34CCC3OCCOCCOCCOCCOCCO4)n2)n1</v>
      </c>
      <c r="C1566" s="7">
        <f>IFERROR(__xludf.DUMMYFUNCTION("""COMPUTED_VALUE"""),7.815512)</f>
        <v>7.815512</v>
      </c>
      <c r="D1566" s="7">
        <f>IFERROR(__xludf.DUMMYFUNCTION("""COMPUTED_VALUE"""),0.40983606557377)</f>
        <v>0.4098360656</v>
      </c>
    </row>
    <row r="1567">
      <c r="A1567" s="10" t="s">
        <v>3006</v>
      </c>
      <c r="B1567" s="7" t="str">
        <f>IFERROR(__xludf.DUMMYFUNCTION("SPLIT(A1567,"" "")"),"C=CCOC(=O)C(=O)C(=O)C(C)NCc1cccc(CN2CCN(C)CCN(C)CC2)n1")</f>
        <v>C=CCOC(=O)C(=O)C(=O)C(C)NCc1cccc(CN2CCN(C)CCN(C)CC2)n1</v>
      </c>
      <c r="C1567" s="7">
        <f>IFERROR(__xludf.DUMMYFUNCTION("""COMPUTED_VALUE"""),7.8154993)</f>
        <v>7.8154993</v>
      </c>
      <c r="D1567" s="7">
        <f>IFERROR(__xludf.DUMMYFUNCTION("""COMPUTED_VALUE"""),0.406779661016949)</f>
        <v>0.406779661</v>
      </c>
    </row>
    <row r="1568">
      <c r="A1568" s="10" t="s">
        <v>3007</v>
      </c>
      <c r="B1568" s="7" t="str">
        <f>IFERROR(__xludf.DUMMYFUNCTION("SPLIT(A1568,"" "")"),"CN(CCF)CCN(Cc1ccccn1)Cc1cccc(-c2ccc3c(c2)OCCOCCOCCOCCOCCO3)n1")</f>
        <v>CN(CCF)CCN(Cc1ccccn1)Cc1cccc(-c2ccc3c(c2)OCCOCCOCCOCCOCCO3)n1</v>
      </c>
      <c r="C1568" s="7">
        <f>IFERROR(__xludf.DUMMYFUNCTION("""COMPUTED_VALUE"""),7.815497)</f>
        <v>7.815497</v>
      </c>
      <c r="D1568" s="7">
        <f>IFERROR(__xludf.DUMMYFUNCTION("""COMPUTED_VALUE"""),0.44776119402985)</f>
        <v>0.447761194</v>
      </c>
    </row>
    <row r="1569">
      <c r="A1569" s="10" t="s">
        <v>3008</v>
      </c>
      <c r="B1569" s="7" t="str">
        <f>IFERROR(__xludf.DUMMYFUNCTION("SPLIT(A1569,"" "")"),"Cc1cnc(CN(C)CC2=C(F)C=CC(c3ccc4c(c3)OCCOCCOCCOCCOCCO4)C2)cc1C")</f>
        <v>Cc1cnc(CN(C)CC2=C(F)C=CC(c3ccc4c(c3)OCCOCCOCCOCCOCCO4)C2)cc1C</v>
      </c>
      <c r="C1569" s="7">
        <f>IFERROR(__xludf.DUMMYFUNCTION("""COMPUTED_VALUE"""),7.8154697)</f>
        <v>7.8154697</v>
      </c>
      <c r="D1569" s="7">
        <f>IFERROR(__xludf.DUMMYFUNCTION("""COMPUTED_VALUE"""),0.31578947368421)</f>
        <v>0.3157894737</v>
      </c>
    </row>
    <row r="1570">
      <c r="A1570" s="10" t="s">
        <v>3009</v>
      </c>
      <c r="B1570" s="7" t="str">
        <f>IFERROR(__xludf.DUMMYFUNCTION("SPLIT(A1570,"" "")"),"Cc1cc(CN(C)C2CCCC(N(C)C(C)C)C2)nc(C)c1C")</f>
        <v>Cc1cc(CN(C)C2CCCC(N(C)C(C)C)C2)nc(C)c1C</v>
      </c>
      <c r="C1570" s="7">
        <f>IFERROR(__xludf.DUMMYFUNCTION("""COMPUTED_VALUE"""),7.815463)</f>
        <v>7.815463</v>
      </c>
      <c r="D1570" s="7">
        <f>IFERROR(__xludf.DUMMYFUNCTION("""COMPUTED_VALUE"""),0.314814814814814)</f>
        <v>0.3148148148</v>
      </c>
    </row>
    <row r="1571">
      <c r="A1571" s="10" t="s">
        <v>3010</v>
      </c>
      <c r="B1571" s="7" t="str">
        <f>IFERROR(__xludf.DUMMYFUNCTION("SPLIT(A1571,"" "")"),"CC(C)C(C)CN(C)Cc1cc(-c2ccc3c(c2)OCCOCCOCCOCCOCCO3)ccn1")</f>
        <v>CC(C)C(C)CN(C)Cc1cc(-c2ccc3c(c2)OCCOCCOCCOCCOCCO3)ccn1</v>
      </c>
      <c r="C1571" s="7">
        <f>IFERROR(__xludf.DUMMYFUNCTION("""COMPUTED_VALUE"""),7.815455)</f>
        <v>7.815455</v>
      </c>
      <c r="D1571" s="7">
        <f>IFERROR(__xludf.DUMMYFUNCTION("""COMPUTED_VALUE"""),0.390625)</f>
        <v>0.390625</v>
      </c>
    </row>
    <row r="1572">
      <c r="A1572" s="10" t="s">
        <v>3011</v>
      </c>
      <c r="B1572" s="7" t="str">
        <f>IFERROR(__xludf.DUMMYFUNCTION("SPLIT(A1572,"" "")"),"CC1=CCC(C)C(N(C)Cc2cccc(-c3ccc4c(c3)OCCOCCOCCOCCOCCO4)n2)C1C")</f>
        <v>CC1=CCC(C)C(N(C)Cc2cccc(-c3ccc4c(c3)OCCOCCOCCOCCOCCO4)n2)C1C</v>
      </c>
      <c r="C1572" s="7">
        <f>IFERROR(__xludf.DUMMYFUNCTION("""COMPUTED_VALUE"""),7.8154163)</f>
        <v>7.8154163</v>
      </c>
      <c r="D1572" s="7">
        <f>IFERROR(__xludf.DUMMYFUNCTION("""COMPUTED_VALUE"""),0.32)</f>
        <v>0.32</v>
      </c>
    </row>
    <row r="1573">
      <c r="A1573" s="10" t="s">
        <v>3012</v>
      </c>
      <c r="B1573" s="7" t="str">
        <f>IFERROR(__xludf.DUMMYFUNCTION("SPLIT(A1573,"" "")"),"CN(CCN)C1=CNC=CC1CN(Cc1ccccn1)C1(C)CCC1")</f>
        <v>CN(CCN)C1=CNC=CC1CN(Cc1ccccn1)C1(C)CCC1</v>
      </c>
      <c r="C1573" s="7">
        <f>IFERROR(__xludf.DUMMYFUNCTION("""COMPUTED_VALUE"""),7.8154163)</f>
        <v>7.8154163</v>
      </c>
      <c r="D1573" s="7">
        <f>IFERROR(__xludf.DUMMYFUNCTION("""COMPUTED_VALUE"""),0.354838709677419)</f>
        <v>0.3548387097</v>
      </c>
    </row>
    <row r="1574">
      <c r="A1574" s="10" t="s">
        <v>3013</v>
      </c>
      <c r="B1574" s="7" t="str">
        <f>IFERROR(__xludf.DUMMYFUNCTION("SPLIT(A1574,"" "")"),"CN1CCN(C)CCN(Cc2cccnc2C2OC=NC2(C)C)CC1")</f>
        <v>CN1CCN(C)CCN(Cc2cccnc2C2OC=NC2(C)C)CC1</v>
      </c>
      <c r="C1574" s="7">
        <f>IFERROR(__xludf.DUMMYFUNCTION("""COMPUTED_VALUE"""),7.815401)</f>
        <v>7.815401</v>
      </c>
      <c r="D1574" s="7">
        <f>IFERROR(__xludf.DUMMYFUNCTION("""COMPUTED_VALUE"""),0.42)</f>
        <v>0.42</v>
      </c>
    </row>
    <row r="1575">
      <c r="A1575" s="10" t="s">
        <v>3014</v>
      </c>
      <c r="B1575" s="7" t="str">
        <f>IFERROR(__xludf.DUMMYFUNCTION("SPLIT(A1575,"" "")"),"CCNCCN(C)CCN(C)CCN(C)CCN(C)CCN(C)CCN(C)CCN(C)CCN(C)CCN(C)CCN(C)CCN(C)CCN(C)CCNC")</f>
        <v>CCNCCN(C)CCN(C)CCN(C)CCN(C)CCN(C)CCN(C)CCN(C)CCN(C)CCN(C)CCN(C)CCN(C)CCN(C)CCNC</v>
      </c>
      <c r="C1575" s="7">
        <f>IFERROR(__xludf.DUMMYFUNCTION("""COMPUTED_VALUE"""),7.8153996)</f>
        <v>7.8153996</v>
      </c>
      <c r="D1575" s="7">
        <f>IFERROR(__xludf.DUMMYFUNCTION("""COMPUTED_VALUE"""),0.184210526315789)</f>
        <v>0.1842105263</v>
      </c>
    </row>
    <row r="1576">
      <c r="A1576" s="10" t="s">
        <v>3015</v>
      </c>
      <c r="B1576" s="7" t="str">
        <f>IFERROR(__xludf.DUMMYFUNCTION("SPLIT(A1576,"" "")"),"c1ccc(CN(Cc2ccccn2)c2cccc3c2OCCOCCOCCOCCOCCO3)cc1")</f>
        <v>c1ccc(CN(Cc2ccccn2)c2cccc3c2OCCOCCOCCOCCOCCO3)cc1</v>
      </c>
      <c r="C1576" s="7">
        <f>IFERROR(__xludf.DUMMYFUNCTION("""COMPUTED_VALUE"""),7.81539)</f>
        <v>7.81539</v>
      </c>
      <c r="D1576" s="7">
        <f>IFERROR(__xludf.DUMMYFUNCTION("""COMPUTED_VALUE"""),0.361702127659574)</f>
        <v>0.3617021277</v>
      </c>
    </row>
    <row r="1577">
      <c r="A1577" s="10" t="s">
        <v>3016</v>
      </c>
      <c r="B1577" s="7" t="str">
        <f>IFERROR(__xludf.DUMMYFUNCTION("SPLIT(A1577,"" "")"),"CN(Cc1ncccc1-c1cccc2c1OCCOCCOCCOCCOCCO2)C(C)(C)C")</f>
        <v>CN(Cc1ncccc1-c1cccc2c1OCCOCCOCCOCCOCCO2)C(C)(C)C</v>
      </c>
      <c r="C1577" s="7">
        <f>IFERROR(__xludf.DUMMYFUNCTION("""COMPUTED_VALUE"""),7.8153877)</f>
        <v>7.8153877</v>
      </c>
      <c r="D1577" s="7">
        <f>IFERROR(__xludf.DUMMYFUNCTION("""COMPUTED_VALUE"""),0.258620689655172)</f>
        <v>0.2586206897</v>
      </c>
    </row>
    <row r="1578">
      <c r="A1578" s="10" t="s">
        <v>3017</v>
      </c>
      <c r="B1578" s="7" t="str">
        <f>IFERROR(__xludf.DUMMYFUNCTION("SPLIT(A1578,"" "")"),"CN(Cc1ccc2c(c1)OCCOCCOCCOCCOCCO2)Cc1cc(N(C)C)ccn1")</f>
        <v>CN(Cc1ccc2c(c1)OCCOCCOCCOCCOCCO2)Cc1cc(N(C)C)ccn1</v>
      </c>
      <c r="C1578" s="7">
        <f>IFERROR(__xludf.DUMMYFUNCTION("""COMPUTED_VALUE"""),7.8153853)</f>
        <v>7.8153853</v>
      </c>
      <c r="D1578" s="7">
        <f>IFERROR(__xludf.DUMMYFUNCTION("""COMPUTED_VALUE"""),0.327586206896551)</f>
        <v>0.3275862069</v>
      </c>
    </row>
    <row r="1579">
      <c r="A1579" s="10" t="s">
        <v>3018</v>
      </c>
      <c r="B1579" s="7" t="str">
        <f>IFERROR(__xludf.DUMMYFUNCTION("SPLIT(A1579,"" "")"),"CN(CC1=CCC=C(N(C)C2C=CC=CN2)N1)c1ccc2c(c1)OCCOCCOCCOCCOCCO2")</f>
        <v>CN(CC1=CCC=C(N(C)C2C=CC=CN2)N1)c1ccc2c(c1)OCCOCCOCCOCCOCCO2</v>
      </c>
      <c r="C1579" s="7">
        <f>IFERROR(__xludf.DUMMYFUNCTION("""COMPUTED_VALUE"""),7.815381)</f>
        <v>7.815381</v>
      </c>
      <c r="D1579" s="7">
        <f>IFERROR(__xludf.DUMMYFUNCTION("""COMPUTED_VALUE"""),0.253164556962025)</f>
        <v>0.253164557</v>
      </c>
    </row>
    <row r="1580">
      <c r="A1580" s="10" t="s">
        <v>3019</v>
      </c>
      <c r="B1580" s="7" t="str">
        <f>IFERROR(__xludf.DUMMYFUNCTION("SPLIT(A1580,"" "")"),"CN1CCN(C)CCN(CC2=C(N(C)c3cccc(F)c3)CC=CN2)CC1")</f>
        <v>CN1CCN(C)CCN(CC2=C(N(C)c3cccc(F)c3)CC=CN2)CC1</v>
      </c>
      <c r="C1580" s="7">
        <f>IFERROR(__xludf.DUMMYFUNCTION("""COMPUTED_VALUE"""),7.8153768)</f>
        <v>7.8153768</v>
      </c>
      <c r="D1580" s="7">
        <f>IFERROR(__xludf.DUMMYFUNCTION("""COMPUTED_VALUE"""),0.357142857142857)</f>
        <v>0.3571428571</v>
      </c>
    </row>
    <row r="1581">
      <c r="A1581" s="10" t="s">
        <v>3020</v>
      </c>
      <c r="B1581" s="7" t="str">
        <f>IFERROR(__xludf.DUMMYFUNCTION("SPLIT(A1581,"" "")"),"C=CCN(C)Cc1cccc(CN(C)C2CCC(N(C)Cc3ccccn3)CC2)n1")</f>
        <v>C=CCN(C)Cc1cccc(CN(C)C2CCC(N(C)Cc3ccccn3)CC2)n1</v>
      </c>
      <c r="C1581" s="7">
        <f>IFERROR(__xludf.DUMMYFUNCTION("""COMPUTED_VALUE"""),7.815367)</f>
        <v>7.815367</v>
      </c>
      <c r="D1581" s="7">
        <f>IFERROR(__xludf.DUMMYFUNCTION("""COMPUTED_VALUE"""),0.5)</f>
        <v>0.5</v>
      </c>
    </row>
    <row r="1582">
      <c r="A1582" s="10" t="s">
        <v>3021</v>
      </c>
      <c r="B1582" s="7" t="str">
        <f>IFERROR(__xludf.DUMMYFUNCTION("SPLIT(A1582,"" "")"),"Cc1nc(CN(C)C2CCCCC2N(CF)CC2=CCC=CN2)c(C)c(C)c1C")</f>
        <v>Cc1nc(CN(C)C2CCCCC2N(CF)CC2=CCC=CN2)c(C)c(C)c1C</v>
      </c>
      <c r="C1582" s="7">
        <f>IFERROR(__xludf.DUMMYFUNCTION("""COMPUTED_VALUE"""),7.8153667)</f>
        <v>7.8153667</v>
      </c>
      <c r="D1582" s="7">
        <f>IFERROR(__xludf.DUMMYFUNCTION("""COMPUTED_VALUE"""),0.32258064516129)</f>
        <v>0.3225806452</v>
      </c>
    </row>
    <row r="1583">
      <c r="A1583" s="10" t="s">
        <v>3022</v>
      </c>
      <c r="B1583" s="7" t="str">
        <f>IFERROR(__xludf.DUMMYFUNCTION("SPLIT(A1583,"" "")"),"CC1C=CC(c2cccc(CN(Cc3ccccn3)C3CCC(N(C)Cc4ccc(-c5ccc6c(c5)OCCOCCOCCOCCOCCO6)cn4)CC3)n2)C(C)C1C")</f>
        <v>CC1C=CC(c2cccc(CN(Cc3ccccn3)C3CCC(N(C)Cc4ccc(-c5ccc6c(c5)OCCOCCOCCOCCOCCO6)cn4)CC3)n2)C(C)C1C</v>
      </c>
      <c r="C1583" s="7">
        <f>IFERROR(__xludf.DUMMYFUNCTION("""COMPUTED_VALUE"""),7.815366)</f>
        <v>7.815366</v>
      </c>
      <c r="D1583" s="7">
        <f>IFERROR(__xludf.DUMMYFUNCTION("""COMPUTED_VALUE"""),0.385542168674698)</f>
        <v>0.3855421687</v>
      </c>
    </row>
    <row r="1584">
      <c r="A1584" s="10" t="s">
        <v>3023</v>
      </c>
      <c r="B1584" s="7" t="str">
        <f>IFERROR(__xludf.DUMMYFUNCTION("SPLIT(A1584,"" "")"),"Cc1cnc(CN2CCN(C)CCN(Cc3cccnc3C)CC2)c(C)c1")</f>
        <v>Cc1cnc(CN2CCN(C)CCN(Cc3cccnc3C)CC2)c(C)c1</v>
      </c>
      <c r="C1584" s="7">
        <f>IFERROR(__xludf.DUMMYFUNCTION("""COMPUTED_VALUE"""),7.815364)</f>
        <v>7.815364</v>
      </c>
      <c r="D1584" s="7">
        <f>IFERROR(__xludf.DUMMYFUNCTION("""COMPUTED_VALUE"""),0.44)</f>
        <v>0.44</v>
      </c>
    </row>
    <row r="1585">
      <c r="A1585" s="10" t="s">
        <v>3024</v>
      </c>
      <c r="B1585" s="7" t="str">
        <f>IFERROR(__xludf.DUMMYFUNCTION("SPLIT(A1585,"" "")"),"CNC1CCCCC1N(Cc1ccccn1)Cc1ccc(C)c(F)n1")</f>
        <v>CNC1CCCCC1N(Cc1ccccn1)Cc1ccc(C)c(F)n1</v>
      </c>
      <c r="C1585" s="7">
        <f>IFERROR(__xludf.DUMMYFUNCTION("""COMPUTED_VALUE"""),7.8153486)</f>
        <v>7.8153486</v>
      </c>
      <c r="D1585" s="7">
        <f>IFERROR(__xludf.DUMMYFUNCTION("""COMPUTED_VALUE"""),0.471698113207547)</f>
        <v>0.4716981132</v>
      </c>
    </row>
    <row r="1586">
      <c r="A1586" s="10" t="s">
        <v>3025</v>
      </c>
      <c r="B1586" s="7" t="str">
        <f>IFERROR(__xludf.DUMMYFUNCTION("SPLIT(A1586,"" "")"),"CNC1CCCCC1N(C)Cc1cc(C)c(C)c(C)n1")</f>
        <v>CNC1CCCCC1N(C)Cc1cc(C)c(C)c(C)n1</v>
      </c>
      <c r="C1586" s="7">
        <f>IFERROR(__xludf.DUMMYFUNCTION("""COMPUTED_VALUE"""),7.8153486)</f>
        <v>7.8153486</v>
      </c>
      <c r="D1586" s="7">
        <f>IFERROR(__xludf.DUMMYFUNCTION("""COMPUTED_VALUE"""),0.428571428571428)</f>
        <v>0.4285714286</v>
      </c>
    </row>
    <row r="1587">
      <c r="A1587" s="10" t="s">
        <v>3026</v>
      </c>
      <c r="B1587" s="7" t="str">
        <f>IFERROR(__xludf.DUMMYFUNCTION("SPLIT(A1587,"" "")"),"CC1N=COC1c1cc(CN2CCN(C)CCN(C)CC2)ccn1")</f>
        <v>CC1N=COC1c1cc(CN2CCN(C)CCN(C)CC2)ccn1</v>
      </c>
      <c r="C1587" s="7">
        <f>IFERROR(__xludf.DUMMYFUNCTION("""COMPUTED_VALUE"""),7.8153477)</f>
        <v>7.8153477</v>
      </c>
      <c r="D1587" s="7">
        <f>IFERROR(__xludf.DUMMYFUNCTION("""COMPUTED_VALUE"""),0.42)</f>
        <v>0.42</v>
      </c>
    </row>
    <row r="1588">
      <c r="A1588" s="10" t="s">
        <v>3027</v>
      </c>
      <c r="B1588" s="7" t="str">
        <f>IFERROR(__xludf.DUMMYFUNCTION("SPLIT(A1588,"" "")"),"Cc1cncc(CN(C)C2=CNC=C(CN3CCN(C)CCN(C)CC3)C2)c1")</f>
        <v>Cc1cncc(CN(C)C2=CNC=C(CN3CCN(C)CCN(C)CC3)C2)c1</v>
      </c>
      <c r="C1588" s="7">
        <f>IFERROR(__xludf.DUMMYFUNCTION("""COMPUTED_VALUE"""),7.815342)</f>
        <v>7.815342</v>
      </c>
      <c r="D1588" s="7">
        <f>IFERROR(__xludf.DUMMYFUNCTION("""COMPUTED_VALUE"""),0.333333333333333)</f>
        <v>0.3333333333</v>
      </c>
    </row>
    <row r="1589">
      <c r="A1589" s="10" t="s">
        <v>3028</v>
      </c>
      <c r="B1589" s="7" t="str">
        <f>IFERROR(__xludf.DUMMYFUNCTION("SPLIT(A1589,"" "")"),"CCN(C)Cc1ncccc1-c1cccc2c1OCCOCCOCCOCCOCCO2")</f>
        <v>CCN(C)Cc1ncccc1-c1cccc2c1OCCOCCOCCOCCOCCO2</v>
      </c>
      <c r="C1589" s="7">
        <f>IFERROR(__xludf.DUMMYFUNCTION("""COMPUTED_VALUE"""),7.815326)</f>
        <v>7.815326</v>
      </c>
      <c r="D1589" s="7">
        <f>IFERROR(__xludf.DUMMYFUNCTION("""COMPUTED_VALUE"""),0.285714285714285)</f>
        <v>0.2857142857</v>
      </c>
    </row>
    <row r="1590">
      <c r="A1590" s="10" t="s">
        <v>3029</v>
      </c>
      <c r="B1590" s="7" t="str">
        <f>IFERROR(__xludf.DUMMYFUNCTION("SPLIT(A1590,"" "")"),"CN1CCN(C)CCN(Cc2cccnc2C2=CCC=CN2)CC1")</f>
        <v>CN1CCN(C)CCN(Cc2cccnc2C2=CCC=CN2)CC1</v>
      </c>
      <c r="C1590" s="7">
        <f>IFERROR(__xludf.DUMMYFUNCTION("""COMPUTED_VALUE"""),7.815312)</f>
        <v>7.815312</v>
      </c>
      <c r="D1590" s="7">
        <f>IFERROR(__xludf.DUMMYFUNCTION("""COMPUTED_VALUE"""),0.428571428571428)</f>
        <v>0.4285714286</v>
      </c>
    </row>
    <row r="1591">
      <c r="A1591" s="10" t="s">
        <v>3030</v>
      </c>
      <c r="B1591" s="7" t="str">
        <f>IFERROR(__xludf.DUMMYFUNCTION("SPLIT(A1591,"" "")"),"CC1=CC(N(C)Cc2ccccn2)CC(C)(C)C1C")</f>
        <v>CC1=CC(N(C)Cc2ccccn2)CC(C)(C)C1C</v>
      </c>
      <c r="C1591" s="7">
        <f>IFERROR(__xludf.DUMMYFUNCTION("""COMPUTED_VALUE"""),7.815297)</f>
        <v>7.815297</v>
      </c>
      <c r="D1591" s="7">
        <f>IFERROR(__xludf.DUMMYFUNCTION("""COMPUTED_VALUE"""),0.5)</f>
        <v>0.5</v>
      </c>
    </row>
    <row r="1592">
      <c r="A1592" s="10" t="s">
        <v>3031</v>
      </c>
      <c r="B1592" s="7" t="str">
        <f>IFERROR(__xludf.DUMMYFUNCTION("SPLIT(A1592,"" "")"),"CC(C)N(C)CC1=CCC=CN1")</f>
        <v>CC(C)N(C)CC1=CCC=CN1</v>
      </c>
      <c r="C1592" s="7">
        <f>IFERROR(__xludf.DUMMYFUNCTION("""COMPUTED_VALUE"""),7.815292)</f>
        <v>7.815292</v>
      </c>
      <c r="D1592" s="7">
        <f>IFERROR(__xludf.DUMMYFUNCTION("""COMPUTED_VALUE"""),0.431818181818181)</f>
        <v>0.4318181818</v>
      </c>
    </row>
    <row r="1593">
      <c r="A1593" s="10" t="s">
        <v>3032</v>
      </c>
      <c r="B1593" s="7" t="str">
        <f>IFERROR(__xludf.DUMMYFUNCTION("SPLIT(A1593,"" "")"),"CCNC1CCCC(N(C)Cc2ncccc2C)C1N(C)Cc1ncccc1C")</f>
        <v>CCNC1CCCC(N(C)Cc2ncccc2C)C1N(C)Cc1ncccc1C</v>
      </c>
      <c r="C1593" s="7">
        <f>IFERROR(__xludf.DUMMYFUNCTION("""COMPUTED_VALUE"""),7.8152833)</f>
        <v>7.8152833</v>
      </c>
      <c r="D1593" s="7">
        <f>IFERROR(__xludf.DUMMYFUNCTION("""COMPUTED_VALUE"""),0.396226415094339)</f>
        <v>0.3962264151</v>
      </c>
    </row>
    <row r="1594">
      <c r="A1594" s="10" t="s">
        <v>3033</v>
      </c>
      <c r="B1594" s="7" t="str">
        <f>IFERROR(__xludf.DUMMYFUNCTION("SPLIT(A1594,"" "")"),"CN(c1ccc2c(c1)OCCOCCOCCOCCOCCO2)C1CCC(N(Cc2ccccn2)Cc2ccc(-c3ccc4c(c3)OCCOCCOCCOCCOC=CO4)cn2)CC1")</f>
        <v>CN(c1ccc2c(c1)OCCOCCOCCOCCOCCO2)C1CCC(N(Cc2ccccn2)Cc2ccc(-c3ccc4c(c3)OCCOCCOCCOCCOC=CO4)cn2)CC1</v>
      </c>
      <c r="C1594" s="7">
        <f>IFERROR(__xludf.DUMMYFUNCTION("""COMPUTED_VALUE"""),7.815278)</f>
        <v>7.815278</v>
      </c>
      <c r="D1594" s="7">
        <f>IFERROR(__xludf.DUMMYFUNCTION("""COMPUTED_VALUE"""),0.415584415584415)</f>
        <v>0.4155844156</v>
      </c>
    </row>
    <row r="1595">
      <c r="A1595" s="10" t="s">
        <v>3034</v>
      </c>
      <c r="B1595" s="7" t="str">
        <f>IFERROR(__xludf.DUMMYFUNCTION("SPLIT(A1595,"" "")"),"FCN(Cc1ccccn1)C1CCCCC1N(Cc1ccccn1)Cc1ncccc1-c1ccc2c(c1)OCCOCCOCCOCCOCCO2")</f>
        <v>FCN(Cc1ccccn1)C1CCCCC1N(Cc1ccccn1)Cc1ncccc1-c1ccc2c(c1)OCCOCCOCCOCCOCCO2</v>
      </c>
      <c r="C1595" s="7">
        <f>IFERROR(__xludf.DUMMYFUNCTION("""COMPUTED_VALUE"""),7.8152366)</f>
        <v>7.8152366</v>
      </c>
      <c r="D1595" s="7">
        <f>IFERROR(__xludf.DUMMYFUNCTION("""COMPUTED_VALUE"""),0.375)</f>
        <v>0.375</v>
      </c>
    </row>
    <row r="1596">
      <c r="A1596" s="10" t="s">
        <v>3035</v>
      </c>
      <c r="B1596" s="7" t="str">
        <f>IFERROR(__xludf.DUMMYFUNCTION("SPLIT(A1596,"" "")"),"CCN(C)Cc1cccc(-c2ccc3c(c2)OCCOCCOCCOCCOCCO3)n1")</f>
        <v>CCN(C)Cc1cccc(-c2ccc3c(c2)OCCOCCOCCOCCOCCO3)n1</v>
      </c>
      <c r="C1596" s="7">
        <f>IFERROR(__xludf.DUMMYFUNCTION("""COMPUTED_VALUE"""),7.8152204)</f>
        <v>7.8152204</v>
      </c>
      <c r="D1596" s="7">
        <f>IFERROR(__xludf.DUMMYFUNCTION("""COMPUTED_VALUE"""),0.37037037037037)</f>
        <v>0.3703703704</v>
      </c>
    </row>
    <row r="1597">
      <c r="A1597" s="10" t="s">
        <v>3036</v>
      </c>
      <c r="B1597" s="7" t="str">
        <f>IFERROR(__xludf.DUMMYFUNCTION("SPLIT(A1597,"" "")"),"Cc1ccc(CN(C)C2CCC(N(C)Cc3cccc(-c4ccc5c(c4)OCCOCCOCCOCCOCCO5)n3)CC2)nc1")</f>
        <v>Cc1ccc(CN(C)C2CCC(N(C)Cc3cccc(-c4ccc5c(c4)OCCOCCOCCOCCOCCO5)n3)CC2)nc1</v>
      </c>
      <c r="C1597" s="7">
        <f>IFERROR(__xludf.DUMMYFUNCTION("""COMPUTED_VALUE"""),7.815203)</f>
        <v>7.815203</v>
      </c>
      <c r="D1597" s="7">
        <f>IFERROR(__xludf.DUMMYFUNCTION("""COMPUTED_VALUE"""),0.414285714285714)</f>
        <v>0.4142857143</v>
      </c>
    </row>
    <row r="1598">
      <c r="A1598" s="10" t="s">
        <v>3037</v>
      </c>
      <c r="B1598" s="7" t="str">
        <f>IFERROR(__xludf.DUMMYFUNCTION("SPLIT(A1598,"" "")"),"CNCc1cc(-c2cccc3c2OCCOCCOCCOCCOCCO3)ccn1")</f>
        <v>CNCc1cc(-c2cccc3c2OCCOCCOCCOCCOCCO3)ccn1</v>
      </c>
      <c r="C1598" s="7">
        <f>IFERROR(__xludf.DUMMYFUNCTION("""COMPUTED_VALUE"""),7.8151965)</f>
        <v>7.8151965</v>
      </c>
      <c r="D1598" s="7">
        <f>IFERROR(__xludf.DUMMYFUNCTION("""COMPUTED_VALUE"""),0.279411764705882)</f>
        <v>0.2794117647</v>
      </c>
    </row>
    <row r="1599">
      <c r="A1599" s="10" t="s">
        <v>3038</v>
      </c>
      <c r="B1599" s="7" t="str">
        <f>IFERROR(__xludf.DUMMYFUNCTION("SPLIT(A1599,"" "")"),"CC(C)N(C)Cc1cccc(-c2cccc3c2OCCOCCOCCOCCOCCO3)n1")</f>
        <v>CC(C)N(C)Cc1cccc(-c2cccc3c2OCCOCCOCCOCCOCCO3)n1</v>
      </c>
      <c r="C1599" s="7">
        <f>IFERROR(__xludf.DUMMYFUNCTION("""COMPUTED_VALUE"""),7.8151865)</f>
        <v>7.8151865</v>
      </c>
      <c r="D1599" s="7">
        <f>IFERROR(__xludf.DUMMYFUNCTION("""COMPUTED_VALUE"""),0.31578947368421)</f>
        <v>0.3157894737</v>
      </c>
    </row>
    <row r="1600">
      <c r="A1600" s="10" t="s">
        <v>3039</v>
      </c>
      <c r="B1600" s="7" t="str">
        <f>IFERROR(__xludf.DUMMYFUNCTION("SPLIT(A1600,"" "")"),"CC(C)N(C)CCN(C)C(C)(C)c1cccnc1")</f>
        <v>CC(C)N(C)CCN(C)C(C)(C)c1cccnc1</v>
      </c>
      <c r="C1600" s="7">
        <f>IFERROR(__xludf.DUMMYFUNCTION("""COMPUTED_VALUE"""),7.815182)</f>
        <v>7.815182</v>
      </c>
      <c r="D1600" s="7">
        <f>IFERROR(__xludf.DUMMYFUNCTION("""COMPUTED_VALUE"""),0.270833333333333)</f>
        <v>0.2708333333</v>
      </c>
    </row>
    <row r="1601">
      <c r="A1601" s="10" t="s">
        <v>3040</v>
      </c>
      <c r="B1601" s="7" t="str">
        <f>IFERROR(__xludf.DUMMYFUNCTION("SPLIT(A1601,"" "")"),"CC(C)C1(C)N=COC1c1cc(CN2CCN(C)CCN(C)CC2)ccn1")</f>
        <v>CC(C)C1(C)N=COC1c1cc(CN2CCN(C)CCN(C)CC2)ccn1</v>
      </c>
      <c r="C1601" s="7">
        <f>IFERROR(__xludf.DUMMYFUNCTION("""COMPUTED_VALUE"""),7.815181)</f>
        <v>7.815181</v>
      </c>
      <c r="D1601" s="7">
        <f>IFERROR(__xludf.DUMMYFUNCTION("""COMPUTED_VALUE"""),0.375)</f>
        <v>0.375</v>
      </c>
    </row>
    <row r="1602">
      <c r="A1602" s="10" t="s">
        <v>3041</v>
      </c>
      <c r="B1602" s="7" t="str">
        <f>IFERROR(__xludf.DUMMYFUNCTION("SPLIT(A1602,"" "")"),"CCN(C)C1CCCC(N(C)Cc2cc(C)c(C)c(C)n2)C1")</f>
        <v>CCN(C)C1CCCC(N(C)Cc2cc(C)c(C)c(C)n2)C1</v>
      </c>
      <c r="C1602" s="7">
        <f>IFERROR(__xludf.DUMMYFUNCTION("""COMPUTED_VALUE"""),7.815177)</f>
        <v>7.815177</v>
      </c>
      <c r="D1602" s="7">
        <f>IFERROR(__xludf.DUMMYFUNCTION("""COMPUTED_VALUE"""),0.333333333333333)</f>
        <v>0.3333333333</v>
      </c>
    </row>
    <row r="1603">
      <c r="A1603" s="10" t="s">
        <v>3042</v>
      </c>
      <c r="B1603" s="7" t="str">
        <f>IFERROR(__xludf.DUMMYFUNCTION("SPLIT(A1603,"" "")"),"CN1CCN(C)CCN(Cc2ccc(C3=CCC=CN3)nc2)CC1")</f>
        <v>CN1CCN(C)CCN(Cc2ccc(C3=CCC=CN3)nc2)CC1</v>
      </c>
      <c r="C1603" s="7">
        <f>IFERROR(__xludf.DUMMYFUNCTION("""COMPUTED_VALUE"""),7.815174)</f>
        <v>7.815174</v>
      </c>
      <c r="D1603" s="7">
        <f>IFERROR(__xludf.DUMMYFUNCTION("""COMPUTED_VALUE"""),0.352941176470588)</f>
        <v>0.3529411765</v>
      </c>
    </row>
    <row r="1604">
      <c r="A1604" s="10" t="s">
        <v>3043</v>
      </c>
      <c r="B1604" s="7" t="str">
        <f>IFERROR(__xludf.DUMMYFUNCTION("SPLIT(A1604,"" "")"),"Cc1cccnc1CN(CCN(C)CCF)C1CCCCC1N(C)Cc1ncc(C)c(C)c1C")</f>
        <v>Cc1cccnc1CN(CCN(C)CCF)C1CCCCC1N(C)Cc1ncc(C)c(C)c1C</v>
      </c>
      <c r="C1604" s="7">
        <f>IFERROR(__xludf.DUMMYFUNCTION("""COMPUTED_VALUE"""),7.815165)</f>
        <v>7.815165</v>
      </c>
      <c r="D1604" s="7">
        <f>IFERROR(__xludf.DUMMYFUNCTION("""COMPUTED_VALUE"""),0.4)</f>
        <v>0.4</v>
      </c>
    </row>
    <row r="1605">
      <c r="A1605" s="10" t="s">
        <v>3044</v>
      </c>
      <c r="B1605" s="7" t="str">
        <f>IFERROR(__xludf.DUMMYFUNCTION("SPLIT(A1605,"" "")"),"CC1C=CC(SCc2ccccn2)CC1")</f>
        <v>CC1C=CC(SCc2ccccn2)CC1</v>
      </c>
      <c r="C1605" s="7">
        <f>IFERROR(__xludf.DUMMYFUNCTION("""COMPUTED_VALUE"""),7.8151627)</f>
        <v>7.8151627</v>
      </c>
      <c r="D1605" s="7">
        <f>IFERROR(__xludf.DUMMYFUNCTION("""COMPUTED_VALUE"""),0.447368421052631)</f>
        <v>0.4473684211</v>
      </c>
    </row>
    <row r="1606">
      <c r="A1606" s="10" t="s">
        <v>3045</v>
      </c>
      <c r="B1606" s="7" t="str">
        <f>IFERROR(__xludf.DUMMYFUNCTION("SPLIT(A1606,"" "")"),"Cc1cncc(CN(C)C2CCCC(N(C)Cc3cccc(-c4cccc5c4OCCOCCOCCOCCOCCO5)n3)C2)c1")</f>
        <v>Cc1cncc(CN(C)C2CCCC(N(C)Cc3cccc(-c4cccc5c4OCCOCCOCCOCCOCCO5)n3)C2)c1</v>
      </c>
      <c r="C1606" s="7">
        <f>IFERROR(__xludf.DUMMYFUNCTION("""COMPUTED_VALUE"""),7.8151627)</f>
        <v>7.8151627</v>
      </c>
      <c r="D1606" s="7">
        <f>IFERROR(__xludf.DUMMYFUNCTION("""COMPUTED_VALUE"""),0.318840579710144)</f>
        <v>0.3188405797</v>
      </c>
    </row>
    <row r="1607">
      <c r="A1607" s="10" t="s">
        <v>3046</v>
      </c>
      <c r="B1607" s="7" t="str">
        <f>IFERROR(__xludf.DUMMYFUNCTION("SPLIT(A1607,"" "")"),"Cc1cc(CN(C)C2CCC(N(C)Cc3cc(-c4ccc5c(c4)OCCOCCOCCOCCOCCO5)ccn3)CC2)ccn1")</f>
        <v>Cc1cc(CN(C)C2CCC(N(C)Cc3cc(-c4ccc5c(c4)OCCOCCOCCOCCOCCO5)ccn3)CC2)ccn1</v>
      </c>
      <c r="C1607" s="7">
        <f>IFERROR(__xludf.DUMMYFUNCTION("""COMPUTED_VALUE"""),7.8151593)</f>
        <v>7.8151593</v>
      </c>
      <c r="D1607" s="7">
        <f>IFERROR(__xludf.DUMMYFUNCTION("""COMPUTED_VALUE"""),0.391304347826087)</f>
        <v>0.3913043478</v>
      </c>
    </row>
    <row r="1608">
      <c r="A1608" s="10" t="s">
        <v>3047</v>
      </c>
      <c r="B1608" s="7" t="str">
        <f>IFERROR(__xludf.DUMMYFUNCTION("SPLIT(A1608,"" "")"),"Cc1cncc(CN2CCN(C)CCN(Cc3cccnc3C(C)(C)C)CC2)c1")</f>
        <v>Cc1cncc(CN2CCN(C)CCN(Cc3cccnc3C(C)(C)C)CC2)c1</v>
      </c>
      <c r="C1608" s="7">
        <f>IFERROR(__xludf.DUMMYFUNCTION("""COMPUTED_VALUE"""),7.8151503)</f>
        <v>7.8151503</v>
      </c>
      <c r="D1608" s="7">
        <f>IFERROR(__xludf.DUMMYFUNCTION("""COMPUTED_VALUE"""),0.407407407407407)</f>
        <v>0.4074074074</v>
      </c>
    </row>
    <row r="1609">
      <c r="A1609" s="10" t="s">
        <v>3048</v>
      </c>
      <c r="B1609" s="7" t="str">
        <f>IFERROR(__xludf.DUMMYFUNCTION("SPLIT(A1609,"" "")"),"NC1=CCNC=C1")</f>
        <v>NC1=CCNC=C1</v>
      </c>
      <c r="C1609" s="7">
        <f>IFERROR(__xludf.DUMMYFUNCTION("""COMPUTED_VALUE"""),7.815145)</f>
        <v>7.815145</v>
      </c>
      <c r="D1609" s="7">
        <f>IFERROR(__xludf.DUMMYFUNCTION("""COMPUTED_VALUE"""),0.13953488372093)</f>
        <v>0.1395348837</v>
      </c>
    </row>
    <row r="1610">
      <c r="A1610" s="10" t="s">
        <v>3049</v>
      </c>
      <c r="B1610" s="7" t="str">
        <f>IFERROR(__xludf.DUMMYFUNCTION("SPLIT(A1610,"" "")"),"CN(Cc1ccon1)C1CCCCC1N(C)Cc1cccc(-c2ccc3c(c2)OCCOCCOCCOCCOCCO3)n1")</f>
        <v>CN(Cc1ccon1)C1CCCCC1N(C)Cc1cccc(-c2ccc3c(c2)OCCOCCOCCOCCOCCO3)n1</v>
      </c>
      <c r="C1610" s="7">
        <f>IFERROR(__xludf.DUMMYFUNCTION("""COMPUTED_VALUE"""),7.8151336)</f>
        <v>7.8151336</v>
      </c>
      <c r="D1610" s="7">
        <f>IFERROR(__xludf.DUMMYFUNCTION("""COMPUTED_VALUE"""),0.440677966101694)</f>
        <v>0.4406779661</v>
      </c>
    </row>
    <row r="1611">
      <c r="A1611" s="10" t="s">
        <v>3050</v>
      </c>
      <c r="B1611" s="7" t="str">
        <f>IFERROR(__xludf.DUMMYFUNCTION("SPLIT(A1611,"" "")"),"Cc1cc(C)nc(CN2CCCC2C2CCN(Cc3ccncc3C)C2)c1")</f>
        <v>Cc1cc(C)nc(CN2CCCC2C2CCN(Cc3ccncc3C)C2)c1</v>
      </c>
      <c r="C1611" s="7">
        <f>IFERROR(__xludf.DUMMYFUNCTION("""COMPUTED_VALUE"""),7.8151255)</f>
        <v>7.8151255</v>
      </c>
      <c r="D1611" s="7">
        <f>IFERROR(__xludf.DUMMYFUNCTION("""COMPUTED_VALUE"""),0.406779661016949)</f>
        <v>0.406779661</v>
      </c>
    </row>
    <row r="1612">
      <c r="A1612" s="10" t="s">
        <v>3051</v>
      </c>
      <c r="B1612" s="7" t="str">
        <f>IFERROR(__xludf.DUMMYFUNCTION("SPLIT(A1612,"" "")"),"CNCc1cccc(CN(C)C2=C(CN3CCN(C)CCN(C)CC3)NC=CC2)n1")</f>
        <v>CNCc1cccc(CN(C)C2=C(CN3CCN(C)CCN(C)CC3)NC=CC2)n1</v>
      </c>
      <c r="C1612" s="7">
        <f>IFERROR(__xludf.DUMMYFUNCTION("""COMPUTED_VALUE"""),7.8151116)</f>
        <v>7.8151116</v>
      </c>
      <c r="D1612" s="7">
        <f>IFERROR(__xludf.DUMMYFUNCTION("""COMPUTED_VALUE"""),0.379310344827586)</f>
        <v>0.3793103448</v>
      </c>
    </row>
    <row r="1613">
      <c r="A1613" s="10" t="s">
        <v>3052</v>
      </c>
      <c r="B1613" s="7" t="str">
        <f>IFERROR(__xludf.DUMMYFUNCTION("SPLIT(A1613,"" "")"),"CCNCCN(Cc1ccccn1)Cc1cc(-c2cccc3c2OCCOCCOCCOCCOCCO3)ccn1")</f>
        <v>CCNCCN(Cc1ccccn1)Cc1cc(-c2cccc3c2OCCOCCOCCOCCOCCO3)ccn1</v>
      </c>
      <c r="C1613" s="7">
        <f>IFERROR(__xludf.DUMMYFUNCTION("""COMPUTED_VALUE"""),7.8151073)</f>
        <v>7.8151073</v>
      </c>
      <c r="D1613" s="7">
        <f>IFERROR(__xludf.DUMMYFUNCTION("""COMPUTED_VALUE"""),0.354838709677419)</f>
        <v>0.3548387097</v>
      </c>
    </row>
    <row r="1614">
      <c r="A1614" s="10" t="s">
        <v>3053</v>
      </c>
      <c r="B1614" s="7" t="str">
        <f>IFERROR(__xludf.DUMMYFUNCTION("SPLIT(A1614,"" "")"),"CN(CCN(Cc1ccccn1)C(C)(N)c1ccccn1)c1cccc2c1OCCOCCOCCOCCOCCO2")</f>
        <v>CN(CCN(Cc1ccccn1)C(C)(N)c1ccccn1)c1cccc2c1OCCOCCOCCOCCOCCO2</v>
      </c>
      <c r="C1614" s="7">
        <f>IFERROR(__xludf.DUMMYFUNCTION("""COMPUTED_VALUE"""),7.815106)</f>
        <v>7.815106</v>
      </c>
      <c r="D1614" s="7">
        <f>IFERROR(__xludf.DUMMYFUNCTION("""COMPUTED_VALUE"""),0.349206349206349)</f>
        <v>0.3492063492</v>
      </c>
    </row>
    <row r="1615">
      <c r="A1615" s="10" t="s">
        <v>3054</v>
      </c>
      <c r="B1615" s="7" t="str">
        <f>IFERROR(__xludf.DUMMYFUNCTION("SPLIT(A1615,"" "")"),"CN(CC1=CCC=C(N(C)Cc2ccccn2)N1)Cc1cccc2c1OCCOCCOCCOCCOCCO2")</f>
        <v>CN(CC1=CCC=C(N(C)Cc2ccccn2)N1)Cc1cccc2c1OCCOCCOCCOCCOCCO2</v>
      </c>
      <c r="C1615" s="7">
        <f>IFERROR(__xludf.DUMMYFUNCTION("""COMPUTED_VALUE"""),7.8150997)</f>
        <v>7.8150997</v>
      </c>
      <c r="D1615" s="7">
        <f>IFERROR(__xludf.DUMMYFUNCTION("""COMPUTED_VALUE"""),0.333333333333333)</f>
        <v>0.3333333333</v>
      </c>
    </row>
    <row r="1616">
      <c r="A1616" s="10" t="s">
        <v>3055</v>
      </c>
      <c r="B1616" s="7" t="str">
        <f>IFERROR(__xludf.DUMMYFUNCTION("SPLIT(A1616,"" "")"),"CC(C)c1cccc(CN(Cc2ccccn2)C2CCCCC2)n1")</f>
        <v>CC(C)c1cccc(CN(Cc2ccccn2)C2CCCCC2)n1</v>
      </c>
      <c r="C1616" s="7">
        <f>IFERROR(__xludf.DUMMYFUNCTION("""COMPUTED_VALUE"""),7.8150973)</f>
        <v>7.8150973</v>
      </c>
      <c r="D1616" s="7">
        <f>IFERROR(__xludf.DUMMYFUNCTION("""COMPUTED_VALUE"""),0.479166666666666)</f>
        <v>0.4791666667</v>
      </c>
    </row>
    <row r="1617">
      <c r="A1617" s="10" t="s">
        <v>3056</v>
      </c>
      <c r="B1617" s="7" t="str">
        <f>IFERROR(__xludf.DUMMYFUNCTION("SPLIT(A1617,"" "")"),"CC1=C(C)C(C)C(C)(c2ncccc2CN(Cc2ccccn2)C2CCCCC2)CC1")</f>
        <v>CC1=C(C)C(C)C(C)(c2ncccc2CN(Cc2ccccn2)C2CCCCC2)CC1</v>
      </c>
      <c r="C1617" s="7">
        <f>IFERROR(__xludf.DUMMYFUNCTION("""COMPUTED_VALUE"""),7.815092)</f>
        <v>7.815092</v>
      </c>
      <c r="D1617" s="7">
        <f>IFERROR(__xludf.DUMMYFUNCTION("""COMPUTED_VALUE"""),0.383333333333333)</f>
        <v>0.3833333333</v>
      </c>
    </row>
    <row r="1618">
      <c r="A1618" s="10" t="s">
        <v>3057</v>
      </c>
      <c r="B1618" s="7" t="str">
        <f>IFERROR(__xludf.DUMMYFUNCTION("SPLIT(A1618,"" "")"),"CN(CCF)CCN(Cc1ccccn1)Cc1cc(-c2ccc3c(c2)OCCOCCOCCOCCOCCO3)ccn1")</f>
        <v>CN(CCF)CCN(Cc1ccccn1)Cc1cc(-c2ccc3c(c2)OCCOCCOCCOCCOCCO3)ccn1</v>
      </c>
      <c r="C1618" s="7">
        <f>IFERROR(__xludf.DUMMYFUNCTION("""COMPUTED_VALUE"""),7.8150907)</f>
        <v>7.8150907</v>
      </c>
      <c r="D1618" s="7">
        <f>IFERROR(__xludf.DUMMYFUNCTION("""COMPUTED_VALUE"""),0.421052631578947)</f>
        <v>0.4210526316</v>
      </c>
    </row>
    <row r="1619">
      <c r="A1619" s="10" t="s">
        <v>3058</v>
      </c>
      <c r="B1619" s="7" t="str">
        <f>IFERROR(__xludf.DUMMYFUNCTION("SPLIT(A1619,"" "")"),"CNCc1ncccc1-c1cccc2c1OCCOCCOCCOCCOCCO2")</f>
        <v>CNCc1ncccc1-c1cccc2c1OCCOCCOCCOCCOCCO2</v>
      </c>
      <c r="C1619" s="7">
        <f>IFERROR(__xludf.DUMMYFUNCTION("""COMPUTED_VALUE"""),7.8150816)</f>
        <v>7.8150816</v>
      </c>
      <c r="D1619" s="7">
        <f>IFERROR(__xludf.DUMMYFUNCTION("""COMPUTED_VALUE"""),0.235294117647058)</f>
        <v>0.2352941176</v>
      </c>
    </row>
    <row r="1620">
      <c r="A1620" s="10" t="s">
        <v>3059</v>
      </c>
      <c r="B1620" s="7" t="str">
        <f>IFERROR(__xludf.DUMMYFUNCTION("SPLIT(A1620,"" "")"),"CN(Cc1cccc(-c2ccc3c(c2)OCCOCCOCCOCCOCCO3)n1)C1CCC(NCc2ccccn2)C2(C=CC=CN2)C1")</f>
        <v>CN(Cc1cccc(-c2ccc3c(c2)OCCOCCOCCOCCOCCO3)n1)C1CCC(NCc2ccccn2)C2(C=CC=CN2)C1</v>
      </c>
      <c r="C1620" s="7">
        <f>IFERROR(__xludf.DUMMYFUNCTION("""COMPUTED_VALUE"""),7.81507)</f>
        <v>7.81507</v>
      </c>
      <c r="D1620" s="7">
        <f>IFERROR(__xludf.DUMMYFUNCTION("""COMPUTED_VALUE"""),0.32183908045977)</f>
        <v>0.3218390805</v>
      </c>
    </row>
    <row r="1621">
      <c r="A1621" s="10" t="s">
        <v>3060</v>
      </c>
      <c r="B1621" s="7" t="str">
        <f>IFERROR(__xludf.DUMMYFUNCTION("SPLIT(A1621,"" "")"),"C#CCNCc1cccc(CN(Cc2ccccn2)C2CCC(N(C)Cc3ncccc3C)CC2)n1")</f>
        <v>C#CCNCc1cccc(CN(Cc2ccccn2)C2CCC(N(C)Cc3ncccc3C)CC2)n1</v>
      </c>
      <c r="C1621" s="7">
        <f>IFERROR(__xludf.DUMMYFUNCTION("""COMPUTED_VALUE"""),7.8150687)</f>
        <v>7.8150687</v>
      </c>
      <c r="D1621" s="7">
        <f>IFERROR(__xludf.DUMMYFUNCTION("""COMPUTED_VALUE"""),0.365079365079365)</f>
        <v>0.3650793651</v>
      </c>
    </row>
    <row r="1622">
      <c r="A1622" s="10" t="s">
        <v>3061</v>
      </c>
      <c r="B1622" s="7" t="str">
        <f>IFERROR(__xludf.DUMMYFUNCTION("SPLIT(A1622,"" "")"),"CCN(C)CCN(C)C1CCC(N(C)Cc2nc(C)c(C)c(C)c2C)CC1")</f>
        <v>CCN(C)CCN(C)C1CCC(N(C)Cc2nc(C)c(C)c(C)c2C)CC1</v>
      </c>
      <c r="C1622" s="7">
        <f>IFERROR(__xludf.DUMMYFUNCTION("""COMPUTED_VALUE"""),7.8150673)</f>
        <v>7.8150673</v>
      </c>
      <c r="D1622" s="7">
        <f>IFERROR(__xludf.DUMMYFUNCTION("""COMPUTED_VALUE"""),0.244897959183673)</f>
        <v>0.2448979592</v>
      </c>
    </row>
    <row r="1623">
      <c r="A1623" s="10" t="s">
        <v>3062</v>
      </c>
      <c r="B1623" s="7" t="str">
        <f>IFERROR(__xludf.DUMMYFUNCTION("SPLIT(A1623,"" "")"),"CNC1CCCCC1N(Cc1cccc(F)n1)Cc1ncccc1C")</f>
        <v>CNC1CCCCC1N(Cc1cccc(F)n1)Cc1ncccc1C</v>
      </c>
      <c r="C1623" s="7">
        <f>IFERROR(__xludf.DUMMYFUNCTION("""COMPUTED_VALUE"""),7.8150644)</f>
        <v>7.8150644</v>
      </c>
      <c r="D1623" s="7">
        <f>IFERROR(__xludf.DUMMYFUNCTION("""COMPUTED_VALUE"""),0.372881355932203)</f>
        <v>0.3728813559</v>
      </c>
    </row>
    <row r="1624">
      <c r="A1624" s="10" t="s">
        <v>3063</v>
      </c>
      <c r="B1624" s="7" t="str">
        <f>IFERROR(__xludf.DUMMYFUNCTION("SPLIT(A1624,"" "")"),"CN(Cc1cccc(CN(C)C(C)(C)c2cccnc2CN(Cc2ccc([SiH3])cn2)C2CCCCC2N(C)Cc2cccc(-c3ccc4c(c3)OCCOCCOCCOCCOCCO4)n2)n1)Cc1cccc(C23CCC2OCCOCCOCCOCCOCCO3)n1")</f>
        <v>CN(Cc1cccc(CN(C)C(C)(C)c2cccnc2CN(Cc2ccc([SiH3])cn2)C2CCCCC2N(C)Cc2cccc(-c3ccc4c(c3)OCCOCCOCCOCCOCCO4)n2)n1)Cc1cccc(C23CCC2OCCOCCOCCOCCOCCO3)n1</v>
      </c>
      <c r="C1624" s="7">
        <f>IFERROR(__xludf.DUMMYFUNCTION("""COMPUTED_VALUE"""),7.8150578)</f>
        <v>7.8150578</v>
      </c>
      <c r="D1624" s="7">
        <f>IFERROR(__xludf.DUMMYFUNCTION("""COMPUTED_VALUE"""),0.260869565217391)</f>
        <v>0.2608695652</v>
      </c>
    </row>
    <row r="1625">
      <c r="A1625" s="10" t="s">
        <v>3064</v>
      </c>
      <c r="B1625" s="7" t="str">
        <f>IFERROR(__xludf.DUMMYFUNCTION("SPLIT(A1625,"" "")"),"CC(C)NCc1ncccc1CN(C)C1CCCC(N(C)Cc2ccccn2)C1")</f>
        <v>CC(C)NCc1ncccc1CN(C)C1CCCC(N(C)Cc2ccccn2)C1</v>
      </c>
      <c r="C1625" s="7">
        <f>IFERROR(__xludf.DUMMYFUNCTION("""COMPUTED_VALUE"""),7.815052)</f>
        <v>7.815052</v>
      </c>
      <c r="D1625" s="7">
        <f>IFERROR(__xludf.DUMMYFUNCTION("""COMPUTED_VALUE"""),0.48076923076923)</f>
        <v>0.4807692308</v>
      </c>
    </row>
    <row r="1626">
      <c r="A1626" s="10" t="s">
        <v>3065</v>
      </c>
      <c r="B1626" s="7" t="str">
        <f>IFERROR(__xludf.DUMMYFUNCTION("SPLIT(A1626,"" "")"),"CN1CCN(C)CCN(Cc2cncc(N(C)C)c2)CC1")</f>
        <v>CN1CCN(C)CCN(Cc2cncc(N(C)C)c2)CC1</v>
      </c>
      <c r="C1626" s="7">
        <f>IFERROR(__xludf.DUMMYFUNCTION("""COMPUTED_VALUE"""),7.8150477)</f>
        <v>7.8150477</v>
      </c>
      <c r="D1626" s="7">
        <f>IFERROR(__xludf.DUMMYFUNCTION("""COMPUTED_VALUE"""),0.404255319148936)</f>
        <v>0.4042553191</v>
      </c>
    </row>
    <row r="1627">
      <c r="A1627" s="10" t="s">
        <v>3066</v>
      </c>
      <c r="B1627" s="7" t="str">
        <f>IFERROR(__xludf.DUMMYFUNCTION("SPLIT(A1627,"" "")"),"Cc1cccc(CN(C)C2CCC(N(C)Cc3cccc(-c4cccc5c4OCCOCCOCCOCCOCCO5)n3)CC2)n1")</f>
        <v>Cc1cccc(CN(C)C2CCC(N(C)Cc3cccc(-c4cccc5c4OCCOCCOCCOCCOCCO5)n3)CC2)n1</v>
      </c>
      <c r="C1627" s="7">
        <f>IFERROR(__xludf.DUMMYFUNCTION("""COMPUTED_VALUE"""),7.8150344)</f>
        <v>7.8150344</v>
      </c>
      <c r="D1627" s="7">
        <f>IFERROR(__xludf.DUMMYFUNCTION("""COMPUTED_VALUE"""),0.446428571428571)</f>
        <v>0.4464285714</v>
      </c>
    </row>
    <row r="1628">
      <c r="A1628" s="10" t="s">
        <v>3067</v>
      </c>
      <c r="B1628" s="7" t="str">
        <f>IFERROR(__xludf.DUMMYFUNCTION("SPLIT(A1628,"" "")"),"CN(Cc1cccc(-c2ccc3c(c2)OCCOCCOCCOCCOCCO3)n1)C(C)(C)C")</f>
        <v>CN(Cc1cccc(-c2ccc3c(c2)OCCOCCOCCOCCOCCO3)n1)C(C)(C)C</v>
      </c>
      <c r="C1628" s="7">
        <f>IFERROR(__xludf.DUMMYFUNCTION("""COMPUTED_VALUE"""),7.815032)</f>
        <v>7.815032</v>
      </c>
      <c r="D1628" s="7">
        <f>IFERROR(__xludf.DUMMYFUNCTION("""COMPUTED_VALUE"""),0.353846153846153)</f>
        <v>0.3538461538</v>
      </c>
    </row>
    <row r="1629">
      <c r="A1629" s="10" t="s">
        <v>3068</v>
      </c>
      <c r="B1629" s="7" t="str">
        <f>IFERROR(__xludf.DUMMYFUNCTION("SPLIT(A1629,"" "")"),"CC1=CC2(CC=C(C)C(C)C2)C(N(C)Cc2ccccn2)CC1C")</f>
        <v>CC1=CC2(CC=C(C)C(C)C2)C(N(C)Cc2ccccn2)CC1C</v>
      </c>
      <c r="C1629" s="7">
        <f>IFERROR(__xludf.DUMMYFUNCTION("""COMPUTED_VALUE"""),7.815021)</f>
        <v>7.815021</v>
      </c>
      <c r="D1629" s="7">
        <f>IFERROR(__xludf.DUMMYFUNCTION("""COMPUTED_VALUE"""),0.425925925925925)</f>
        <v>0.4259259259</v>
      </c>
    </row>
    <row r="1630">
      <c r="A1630" s="10" t="s">
        <v>3069</v>
      </c>
      <c r="B1630" s="7" t="str">
        <f>IFERROR(__xludf.DUMMYFUNCTION("SPLIT(A1630,"" "")"),"CN1CCN(C)CCN(CC2=CCC(N(C)c3cccc(F)c3)=CN2)CC1")</f>
        <v>CN1CCN(C)CCN(CC2=CCC(N(C)c3cccc(F)c3)=CN2)CC1</v>
      </c>
      <c r="C1630" s="7">
        <f>IFERROR(__xludf.DUMMYFUNCTION("""COMPUTED_VALUE"""),7.815016)</f>
        <v>7.815016</v>
      </c>
      <c r="D1630" s="7">
        <f>IFERROR(__xludf.DUMMYFUNCTION("""COMPUTED_VALUE"""),0.381818181818181)</f>
        <v>0.3818181818</v>
      </c>
    </row>
    <row r="1631">
      <c r="A1631" s="10" t="s">
        <v>3070</v>
      </c>
      <c r="B1631" s="7" t="str">
        <f>IFERROR(__xludf.DUMMYFUNCTION("SPLIT(A1631,"" "")"),"C1=CNC(CN(CC2=CCC=CN2)CC2C=CNC=C2)=CC1")</f>
        <v>C1=CNC(CN(CC2=CCC=CN2)CC2C=CNC=C2)=CC1</v>
      </c>
      <c r="C1631" s="7">
        <f>IFERROR(__xludf.DUMMYFUNCTION("""COMPUTED_VALUE"""),7.814999)</f>
        <v>7.814999</v>
      </c>
      <c r="D1631" s="7">
        <f>IFERROR(__xludf.DUMMYFUNCTION("""COMPUTED_VALUE"""),0.456521739130434)</f>
        <v>0.4565217391</v>
      </c>
    </row>
    <row r="1632">
      <c r="A1632" s="10" t="s">
        <v>3071</v>
      </c>
      <c r="B1632" s="7" t="str">
        <f>IFERROR(__xludf.DUMMYFUNCTION("SPLIT(A1632,"" "")"),"CC1C=CC(C)(C)C(C)C1c1cncc(CN(CC2=CCC=CN2)C2CCCCC2N(C)Cc2ccccn2)c1")</f>
        <v>CC1C=CC(C)(C)C(C)C1c1cncc(CN(CC2=CCC=CN2)C2CCCCC2N(C)Cc2ccccn2)c1</v>
      </c>
      <c r="C1632" s="7">
        <f>IFERROR(__xludf.DUMMYFUNCTION("""COMPUTED_VALUE"""),7.814994)</f>
        <v>7.814994</v>
      </c>
      <c r="D1632" s="7">
        <f>IFERROR(__xludf.DUMMYFUNCTION("""COMPUTED_VALUE"""),0.416666666666666)</f>
        <v>0.4166666667</v>
      </c>
    </row>
    <row r="1633">
      <c r="A1633" s="10" t="s">
        <v>3072</v>
      </c>
      <c r="B1633" s="7" t="str">
        <f>IFERROR(__xludf.DUMMYFUNCTION("SPLIT(A1633,"" "")"),"Cc1cc(N(C)Cc2ccccn2)cc2c1OCCOCCOCCOCCOCCO2")</f>
        <v>Cc1cc(N(C)Cc2ccccn2)cc2c1OCCOCCOCCOCCOCCO2</v>
      </c>
      <c r="C1633" s="7">
        <f>IFERROR(__xludf.DUMMYFUNCTION("""COMPUTED_VALUE"""),7.814981)</f>
        <v>7.814981</v>
      </c>
      <c r="D1633" s="7">
        <f>IFERROR(__xludf.DUMMYFUNCTION("""COMPUTED_VALUE"""),0.431372549019607)</f>
        <v>0.431372549</v>
      </c>
    </row>
    <row r="1634">
      <c r="A1634" s="10" t="s">
        <v>3073</v>
      </c>
      <c r="B1634" s="7" t="str">
        <f>IFERROR(__xludf.DUMMYFUNCTION("SPLIT(A1634,"" "")"),"Cc1cccnc1CN(C)C1CCC(N(C)Cc2cccc(-c3ccc4c(c3)OCCOCCOCCOCCOCCO4)n2)CC1")</f>
        <v>Cc1cccnc1CN(C)C1CCC(N(C)Cc2cccc(-c3ccc4c(c3)OCCOCCOCCOCCOCCO4)n2)CC1</v>
      </c>
      <c r="C1634" s="7">
        <f>IFERROR(__xludf.DUMMYFUNCTION("""COMPUTED_VALUE"""),7.8149776)</f>
        <v>7.8149776</v>
      </c>
      <c r="D1634" s="7">
        <f>IFERROR(__xludf.DUMMYFUNCTION("""COMPUTED_VALUE"""),0.346666666666666)</f>
        <v>0.3466666667</v>
      </c>
    </row>
    <row r="1635">
      <c r="A1635" s="10" t="s">
        <v>3074</v>
      </c>
      <c r="B1635" s="7" t="str">
        <f>IFERROR(__xludf.DUMMYFUNCTION("SPLIT(A1635,"" "")"),"CNCc1cccc(-c2ccc3c(c2)OCCOCCOCCOCCOCCO3)n1")</f>
        <v>CNCc1cccc(-c2ccc3c(c2)OCCOCCOCCOCCOCCO3)n1</v>
      </c>
      <c r="C1635" s="7">
        <f>IFERROR(__xludf.DUMMYFUNCTION("""COMPUTED_VALUE"""),7.8149776)</f>
        <v>7.8149776</v>
      </c>
      <c r="D1635" s="7">
        <f>IFERROR(__xludf.DUMMYFUNCTION("""COMPUTED_VALUE"""),0.377049180327868)</f>
        <v>0.3770491803</v>
      </c>
    </row>
    <row r="1636">
      <c r="A1636" s="10" t="s">
        <v>3075</v>
      </c>
      <c r="B1636" s="7" t="str">
        <f>IFERROR(__xludf.DUMMYFUNCTION("SPLIT(A1636,"" "")"),"CN(CCF)CCN(Cc1ccccn1)Cc1ncccc1-c1cccc2c1OCCOCCOCCOCCOCCO2")</f>
        <v>CN(CCF)CCN(Cc1ccccn1)Cc1ncccc1-c1cccc2c1OCCOCCOCCOCCOCCO2</v>
      </c>
      <c r="C1636" s="7">
        <f>IFERROR(__xludf.DUMMYFUNCTION("""COMPUTED_VALUE"""),7.814974)</f>
        <v>7.814974</v>
      </c>
      <c r="D1636" s="7">
        <f>IFERROR(__xludf.DUMMYFUNCTION("""COMPUTED_VALUE"""),0.4)</f>
        <v>0.4</v>
      </c>
    </row>
    <row r="1637">
      <c r="A1637" s="10" t="s">
        <v>3076</v>
      </c>
      <c r="B1637" s="7" t="str">
        <f>IFERROR(__xludf.DUMMYFUNCTION("SPLIT(A1637,"" "")"),"CNCc1cccc(CN(C)C2CCCC(N(C)Cc3cccc(-c4ccc5c(c4)OCCOCCOCCOCCOCCO5)n3)C2)n1")</f>
        <v>CNCc1cccc(CN(C)C2CCCC(N(C)Cc3cccc(-c4ccc5c(c4)OCCOCCOCCOCCOCCO5)n3)C2)n1</v>
      </c>
      <c r="C1637" s="7">
        <f>IFERROR(__xludf.DUMMYFUNCTION("""COMPUTED_VALUE"""),7.8149624)</f>
        <v>7.8149624</v>
      </c>
      <c r="D1637" s="7">
        <f>IFERROR(__xludf.DUMMYFUNCTION("""COMPUTED_VALUE"""),0.351351351351351)</f>
        <v>0.3513513514</v>
      </c>
    </row>
    <row r="1638">
      <c r="A1638" s="10" t="s">
        <v>3077</v>
      </c>
      <c r="B1638" s="7" t="str">
        <f>IFERROR(__xludf.DUMMYFUNCTION("SPLIT(A1638,"" "")"),"CCCN(CCN(C)CC(C)(C)C)CC(C)(C)C")</f>
        <v>CCCN(CCN(C)CC(C)(C)C)CC(C)(C)C</v>
      </c>
      <c r="C1638" s="7">
        <f>IFERROR(__xludf.DUMMYFUNCTION("""COMPUTED_VALUE"""),7.814959)</f>
        <v>7.814959</v>
      </c>
      <c r="D1638" s="7">
        <f>IFERROR(__xludf.DUMMYFUNCTION("""COMPUTED_VALUE"""),0.307692307692307)</f>
        <v>0.3076923077</v>
      </c>
    </row>
    <row r="1639">
      <c r="A1639" s="10" t="s">
        <v>3078</v>
      </c>
      <c r="B1639" s="7" t="str">
        <f>IFERROR(__xludf.DUMMYFUNCTION("SPLIT(A1639,"" "")"),"CN(CCN(Cc1ccccn1)C1C=CC=CN1)C(C)(C)N")</f>
        <v>CN(CCN(Cc1ccccn1)C1C=CC=CN1)C(C)(C)N</v>
      </c>
      <c r="C1639" s="7">
        <f>IFERROR(__xludf.DUMMYFUNCTION("""COMPUTED_VALUE"""),7.814957)</f>
        <v>7.814957</v>
      </c>
      <c r="D1639" s="7">
        <f>IFERROR(__xludf.DUMMYFUNCTION("""COMPUTED_VALUE"""),0.472727272727272)</f>
        <v>0.4727272727</v>
      </c>
    </row>
    <row r="1640">
      <c r="A1640" s="10" t="s">
        <v>3079</v>
      </c>
      <c r="B1640" s="7" t="str">
        <f>IFERROR(__xludf.DUMMYFUNCTION("SPLIT(A1640,"" "")"),"CCCN(C)Cc1cccc(-c2ccc3c(c2)OCCOCCOCCOCCOCCO3)n1")</f>
        <v>CCCN(C)Cc1cccc(-c2ccc3c(c2)OCCOCCOCCOCCOCCO3)n1</v>
      </c>
      <c r="C1640" s="7">
        <f>IFERROR(__xludf.DUMMYFUNCTION("""COMPUTED_VALUE"""),7.8149533)</f>
        <v>7.8149533</v>
      </c>
      <c r="D1640" s="7">
        <f>IFERROR(__xludf.DUMMYFUNCTION("""COMPUTED_VALUE"""),0.372549019607843)</f>
        <v>0.3725490196</v>
      </c>
    </row>
    <row r="1641">
      <c r="A1641" s="10" t="s">
        <v>3080</v>
      </c>
      <c r="B1641" s="7" t="str">
        <f>IFERROR(__xludf.DUMMYFUNCTION("SPLIT(A1641,"" "")"),"CC1C=CC(CN(C)Cc2cccc(C(C)(C)C)n2)C(C)C1C")</f>
        <v>CC1C=CC(CN(C)Cc2cccc(C(C)(C)C)n2)C(C)C1C</v>
      </c>
      <c r="C1641" s="7">
        <f>IFERROR(__xludf.DUMMYFUNCTION("""COMPUTED_VALUE"""),7.814945)</f>
        <v>7.814945</v>
      </c>
      <c r="D1641" s="7">
        <f>IFERROR(__xludf.DUMMYFUNCTION("""COMPUTED_VALUE"""),0.354166666666666)</f>
        <v>0.3541666667</v>
      </c>
    </row>
    <row r="1642">
      <c r="A1642" s="10" t="s">
        <v>3081</v>
      </c>
      <c r="B1642" s="7" t="str">
        <f>IFERROR(__xludf.DUMMYFUNCTION("SPLIT(A1642,"" "")"),"CN1CCN(C)CCN(Cc2ccc(C3OC=NC3(C)C)nc2)CC1")</f>
        <v>CN1CCN(C)CCN(Cc2ccc(C3OC=NC3(C)C)nc2)CC1</v>
      </c>
      <c r="C1642" s="7">
        <f>IFERROR(__xludf.DUMMYFUNCTION("""COMPUTED_VALUE"""),7.8149414)</f>
        <v>7.8149414</v>
      </c>
      <c r="D1642" s="7">
        <f>IFERROR(__xludf.DUMMYFUNCTION("""COMPUTED_VALUE"""),0.346153846153846)</f>
        <v>0.3461538462</v>
      </c>
    </row>
    <row r="1643">
      <c r="A1643" s="10" t="s">
        <v>3082</v>
      </c>
      <c r="B1643" s="7" t="str">
        <f>IFERROR(__xludf.DUMMYFUNCTION("SPLIT(A1643,"" "")"),"CCNCc1cccc(CN(C)C2CCCC(N(C)Cc3ncccc3C)C2)n1")</f>
        <v>CCNCc1cccc(CN(C)C2CCCC(N(C)Cc3ncccc3C)C2)n1</v>
      </c>
      <c r="C1643" s="7">
        <f>IFERROR(__xludf.DUMMYFUNCTION("""COMPUTED_VALUE"""),7.8149376)</f>
        <v>7.8149376</v>
      </c>
      <c r="D1643" s="7">
        <f>IFERROR(__xludf.DUMMYFUNCTION("""COMPUTED_VALUE"""),0.379310344827586)</f>
        <v>0.3793103448</v>
      </c>
    </row>
    <row r="1644">
      <c r="A1644" s="10" t="s">
        <v>3083</v>
      </c>
      <c r="B1644" s="7" t="str">
        <f>IFERROR(__xludf.DUMMYFUNCTION("SPLIT(A1644,"" "")"),"CC(C)N(C)CN(C)C(C)C")</f>
        <v>CC(C)N(C)CN(C)C(C)C</v>
      </c>
      <c r="C1644" s="7">
        <f>IFERROR(__xludf.DUMMYFUNCTION("""COMPUTED_VALUE"""),7.8148727)</f>
        <v>7.8148727</v>
      </c>
      <c r="D1644" s="7">
        <f>IFERROR(__xludf.DUMMYFUNCTION("""COMPUTED_VALUE"""),0.181818181818181)</f>
        <v>0.1818181818</v>
      </c>
    </row>
    <row r="1645">
      <c r="A1645" s="10" t="s">
        <v>3084</v>
      </c>
      <c r="B1645" s="7" t="str">
        <f>IFERROR(__xludf.DUMMYFUNCTION("SPLIT(A1645,"" "")"),"Cc1cccnc1CN(C)CCN(Cc1ccccn1)c1cccc2c1OCCOCCOCCOCCOCCO2")</f>
        <v>Cc1cccnc1CN(C)CCN(Cc1ccccn1)c1cccc2c1OCCOCCOCCOCCOCCO2</v>
      </c>
      <c r="C1645" s="7">
        <f>IFERROR(__xludf.DUMMYFUNCTION("""COMPUTED_VALUE"""),7.814856)</f>
        <v>7.814856</v>
      </c>
      <c r="D1645" s="7">
        <f>IFERROR(__xludf.DUMMYFUNCTION("""COMPUTED_VALUE"""),0.323076923076923)</f>
        <v>0.3230769231</v>
      </c>
    </row>
    <row r="1646">
      <c r="A1646" s="10" t="s">
        <v>3085</v>
      </c>
      <c r="B1646" s="7" t="str">
        <f>IFERROR(__xludf.DUMMYFUNCTION("SPLIT(A1646,"" "")"),"Cc1ccc(CN(C)C2CCC(N(C)Cc3cc(-c4ccc5c(c4)OCCOCCOCCOCCOCCO5)ccn3)CC2)nc1")</f>
        <v>Cc1ccc(CN(C)C2CCC(N(C)Cc3cc(-c4ccc5c(c4)OCCOCCOCCOCCOCCO5)ccn3)CC2)nc1</v>
      </c>
      <c r="C1646" s="7">
        <f>IFERROR(__xludf.DUMMYFUNCTION("""COMPUTED_VALUE"""),7.814853)</f>
        <v>7.814853</v>
      </c>
      <c r="D1646" s="7">
        <f>IFERROR(__xludf.DUMMYFUNCTION("""COMPUTED_VALUE"""),0.454545454545454)</f>
        <v>0.4545454545</v>
      </c>
    </row>
    <row r="1647">
      <c r="A1647" s="10" t="s">
        <v>3086</v>
      </c>
      <c r="B1647" s="7" t="str">
        <f>IFERROR(__xludf.DUMMYFUNCTION("SPLIT(A1647,"" "")"),"Cc1cncc(CN(C)C2CCC(N(C)Cc3cccnn3)CC2)c1")</f>
        <v>Cc1cncc(CN(C)C2CCC(N(C)Cc3cccnn3)CC2)c1</v>
      </c>
      <c r="C1647" s="7">
        <f>IFERROR(__xludf.DUMMYFUNCTION("""COMPUTED_VALUE"""),7.814823)</f>
        <v>7.814823</v>
      </c>
      <c r="D1647" s="7">
        <f>IFERROR(__xludf.DUMMYFUNCTION("""COMPUTED_VALUE"""),0.425531914893617)</f>
        <v>0.4255319149</v>
      </c>
    </row>
    <row r="1648">
      <c r="A1648" s="10" t="s">
        <v>3087</v>
      </c>
      <c r="B1648" s="7" t="str">
        <f>IFERROR(__xludf.DUMMYFUNCTION("SPLIT(A1648,"" "")"),"CNC1CCCC(N(Cc2ccccn2)Cc2ncccc2C)C1")</f>
        <v>CNC1CCCC(N(Cc2ccccn2)Cc2ncccc2C)C1</v>
      </c>
      <c r="C1648" s="7">
        <f>IFERROR(__xludf.DUMMYFUNCTION("""COMPUTED_VALUE"""),7.8148203)</f>
        <v>7.8148203</v>
      </c>
      <c r="D1648" s="7">
        <f>IFERROR(__xludf.DUMMYFUNCTION("""COMPUTED_VALUE"""),0.407407407407407)</f>
        <v>0.4074074074</v>
      </c>
    </row>
    <row r="1649">
      <c r="A1649" s="10" t="s">
        <v>3088</v>
      </c>
      <c r="B1649" s="7" t="str">
        <f>IFERROR(__xludf.DUMMYFUNCTION("SPLIT(A1649,"" "")"),"Cc1cncc(CN(C)C2=C(CN3CCN(C)CCN(C)CC3)NC=CC2)c1")</f>
        <v>Cc1cncc(CN(C)C2=C(CN3CCN(C)CCN(C)CC3)NC=CC2)c1</v>
      </c>
      <c r="C1649" s="7">
        <f>IFERROR(__xludf.DUMMYFUNCTION("""COMPUTED_VALUE"""),7.814815)</f>
        <v>7.814815</v>
      </c>
      <c r="D1649" s="7">
        <f>IFERROR(__xludf.DUMMYFUNCTION("""COMPUTED_VALUE"""),0.327586206896551)</f>
        <v>0.3275862069</v>
      </c>
    </row>
    <row r="1650">
      <c r="A1650" s="10" t="s">
        <v>3089</v>
      </c>
      <c r="B1650" s="7" t="str">
        <f>IFERROR(__xludf.DUMMYFUNCTION("SPLIT(A1650,"" "")"),"CN(CCF)CC1=CC(N(C)Cc2cccc(-c3ccc4c(c3)OCCOCCOCCOCCOCCO4)n2)C=CN1")</f>
        <v>CN(CCF)CC1=CC(N(C)Cc2cccc(-c3ccc4c(c3)OCCOCCOCCOCCOCCO4)n2)C=CN1</v>
      </c>
      <c r="C1650" s="7">
        <f>IFERROR(__xludf.DUMMYFUNCTION("""COMPUTED_VALUE"""),7.8148117)</f>
        <v>7.8148117</v>
      </c>
      <c r="D1650" s="7">
        <f>IFERROR(__xludf.DUMMYFUNCTION("""COMPUTED_VALUE"""),0.292682926829268)</f>
        <v>0.2926829268</v>
      </c>
    </row>
    <row r="1651">
      <c r="A1651" s="10" t="s">
        <v>3090</v>
      </c>
      <c r="B1651" s="7" t="str">
        <f>IFERROR(__xludf.DUMMYFUNCTION("SPLIT(A1651,"" "")"),"CNCCN(C)C1CCCCC1N(C)Cc1nc(C)c(C)c(C)c1C")</f>
        <v>CNCCN(C)C1CCCCC1N(C)Cc1nc(C)c(C)c(C)c1C</v>
      </c>
      <c r="C1651" s="7">
        <f>IFERROR(__xludf.DUMMYFUNCTION("""COMPUTED_VALUE"""),7.8147936)</f>
        <v>7.8147936</v>
      </c>
      <c r="D1651" s="7">
        <f>IFERROR(__xludf.DUMMYFUNCTION("""COMPUTED_VALUE"""),0.38)</f>
        <v>0.38</v>
      </c>
    </row>
    <row r="1652">
      <c r="A1652" s="10" t="s">
        <v>3091</v>
      </c>
      <c r="B1652" s="7" t="str">
        <f>IFERROR(__xludf.DUMMYFUNCTION("SPLIT(A1652,"" "")"),"Cc1ccccc1CN(C)C1CCC(N(C)Cc2ccon2)CC1")</f>
        <v>Cc1ccccc1CN(C)C1CCC(N(C)Cc2ccon2)CC1</v>
      </c>
      <c r="C1652" s="7">
        <f>IFERROR(__xludf.DUMMYFUNCTION("""COMPUTED_VALUE"""),7.814781)</f>
        <v>7.814781</v>
      </c>
      <c r="D1652" s="7">
        <f>IFERROR(__xludf.DUMMYFUNCTION("""COMPUTED_VALUE"""),0.441860465116279)</f>
        <v>0.4418604651</v>
      </c>
    </row>
    <row r="1653">
      <c r="A1653" s="10" t="s">
        <v>3092</v>
      </c>
      <c r="B1653" s="7" t="str">
        <f>IFERROR(__xludf.DUMMYFUNCTION("SPLIT(A1653,"" "")"),"CC(C)N(C)Cc1cc(-c2cccc3c2OCCOCCOCCOCCOCCO3)ccn1")</f>
        <v>CC(C)N(C)Cc1cc(-c2cccc3c2OCCOCCOCCOCCOCCO3)ccn1</v>
      </c>
      <c r="C1653" s="7">
        <f>IFERROR(__xludf.DUMMYFUNCTION("""COMPUTED_VALUE"""),7.8147655)</f>
        <v>7.8147655</v>
      </c>
      <c r="D1653" s="7">
        <f>IFERROR(__xludf.DUMMYFUNCTION("""COMPUTED_VALUE"""),0.275862068965517)</f>
        <v>0.275862069</v>
      </c>
    </row>
    <row r="1654">
      <c r="A1654" s="10" t="s">
        <v>3093</v>
      </c>
      <c r="B1654" s="7" t="str">
        <f>IFERROR(__xludf.DUMMYFUNCTION("SPLIT(A1654,"" "")"),"CCN(C)CCN(C)CC(C)(C)C")</f>
        <v>CCN(C)CCN(C)CC(C)(C)C</v>
      </c>
      <c r="C1654" s="7">
        <f>IFERROR(__xludf.DUMMYFUNCTION("""COMPUTED_VALUE"""),7.8147593)</f>
        <v>7.8147593</v>
      </c>
      <c r="D1654" s="7">
        <f>IFERROR(__xludf.DUMMYFUNCTION("""COMPUTED_VALUE"""),0.236842105263157)</f>
        <v>0.2368421053</v>
      </c>
    </row>
    <row r="1655">
      <c r="A1655" s="10" t="s">
        <v>3094</v>
      </c>
      <c r="B1655" s="7" t="str">
        <f>IFERROR(__xludf.DUMMYFUNCTION("SPLIT(A1655,"" "")"),"Cc1cnc(CN(C)C2CCCC(N(Cc3ccccn3)Cc3cccc(CN4CCN(C)CCN(C)CC4)n3)C2)c(C)c1")</f>
        <v>Cc1cnc(CN(C)C2CCCC(N(Cc3ccccn3)Cc3cccc(CN4CCN(C)CCN(C)CC4)n3)C2)c(C)c1</v>
      </c>
      <c r="C1655" s="7">
        <f>IFERROR(__xludf.DUMMYFUNCTION("""COMPUTED_VALUE"""),7.814759)</f>
        <v>7.814759</v>
      </c>
      <c r="D1655" s="7">
        <f>IFERROR(__xludf.DUMMYFUNCTION("""COMPUTED_VALUE"""),0.421875)</f>
        <v>0.421875</v>
      </c>
    </row>
    <row r="1656">
      <c r="A1656" s="10" t="s">
        <v>3095</v>
      </c>
      <c r="B1656" s="7" t="str">
        <f>IFERROR(__xludf.DUMMYFUNCTION("SPLIT(A1656,"" "")"),"Cc1cccc(CN(C)C2CCC(N(C)Cc3cccc(-c4ccc5c(c4)OCCOCCOCCOCCOCCO5)n3)CC2)n1")</f>
        <v>Cc1cccc(CN(C)C2CCC(N(C)Cc3cccc(-c4ccc5c(c4)OCCOCCOCCOCCOCCO5)n3)CC2)n1</v>
      </c>
      <c r="C1656" s="7">
        <f>IFERROR(__xludf.DUMMYFUNCTION("""COMPUTED_VALUE"""),7.8147407)</f>
        <v>7.8147407</v>
      </c>
      <c r="D1656" s="7">
        <f>IFERROR(__xludf.DUMMYFUNCTION("""COMPUTED_VALUE"""),0.446428571428571)</f>
        <v>0.4464285714</v>
      </c>
    </row>
    <row r="1657">
      <c r="A1657" s="10" t="s">
        <v>3096</v>
      </c>
      <c r="B1657" s="7" t="str">
        <f>IFERROR(__xludf.DUMMYFUNCTION("SPLIT(A1657,"" "")"),"CCN(Cc1ccccn1)C1CCC(N(C)Cc2ncccc2C)CC1")</f>
        <v>CCN(Cc1ccccn1)C1CCC(N(C)Cc2ncccc2C)CC1</v>
      </c>
      <c r="C1657" s="7">
        <f>IFERROR(__xludf.DUMMYFUNCTION("""COMPUTED_VALUE"""),7.814723)</f>
        <v>7.814723</v>
      </c>
      <c r="D1657" s="7">
        <f>IFERROR(__xludf.DUMMYFUNCTION("""COMPUTED_VALUE"""),0.46)</f>
        <v>0.46</v>
      </c>
    </row>
    <row r="1658">
      <c r="A1658" s="10" t="s">
        <v>3097</v>
      </c>
      <c r="B1658" s="7" t="str">
        <f>IFERROR(__xludf.DUMMYFUNCTION("SPLIT(A1658,"" "")"),"CC(C)N(Cc1ccccn1)C1CCC(N(C)Cc2ncccc2F)CC1")</f>
        <v>CC(C)N(Cc1ccccn1)C1CCC(N(C)Cc2ncccc2F)CC1</v>
      </c>
      <c r="C1658" s="7">
        <f>IFERROR(__xludf.DUMMYFUNCTION("""COMPUTED_VALUE"""),7.814722)</f>
        <v>7.814722</v>
      </c>
      <c r="D1658" s="7">
        <f>IFERROR(__xludf.DUMMYFUNCTION("""COMPUTED_VALUE"""),0.442307692307692)</f>
        <v>0.4423076923</v>
      </c>
    </row>
    <row r="1659">
      <c r="A1659" s="10" t="s">
        <v>3098</v>
      </c>
      <c r="B1659" s="7" t="str">
        <f>IFERROR(__xludf.DUMMYFUNCTION("SPLIT(A1659,"" "")"),"CCNCNCc1ccc(C)cn1")</f>
        <v>CCNCNCc1ccc(C)cn1</v>
      </c>
      <c r="C1659" s="7">
        <f>IFERROR(__xludf.DUMMYFUNCTION("""COMPUTED_VALUE"""),7.8146987)</f>
        <v>7.8146987</v>
      </c>
      <c r="D1659" s="7">
        <f>IFERROR(__xludf.DUMMYFUNCTION("""COMPUTED_VALUE"""),0.432432432432432)</f>
        <v>0.4324324324</v>
      </c>
    </row>
    <row r="1660">
      <c r="A1660" s="10" t="s">
        <v>3099</v>
      </c>
      <c r="B1660" s="7" t="str">
        <f>IFERROR(__xludf.DUMMYFUNCTION("SPLIT(A1660,"" "")"),"Cc1cncc(CN(C)C2CCCCC2N(C)Cc2ncccc2C)c1")</f>
        <v>Cc1cncc(CN(C)C2CCCCC2N(C)Cc2ncccc2C)c1</v>
      </c>
      <c r="C1660" s="7">
        <f>IFERROR(__xludf.DUMMYFUNCTION("""COMPUTED_VALUE"""),7.8146973)</f>
        <v>7.8146973</v>
      </c>
      <c r="D1660" s="7">
        <f>IFERROR(__xludf.DUMMYFUNCTION("""COMPUTED_VALUE"""),0.450980392156862)</f>
        <v>0.4509803922</v>
      </c>
    </row>
    <row r="1661">
      <c r="A1661" s="10" t="s">
        <v>3100</v>
      </c>
      <c r="B1661" s="7" t="str">
        <f>IFERROR(__xludf.DUMMYFUNCTION("SPLIT(A1661,"" "")"),"CCOC(=O)C(=O)C(=O)C(C)NCc1ncccc1CN1CCN(C)CCN(C)CC1")</f>
        <v>CCOC(=O)C(=O)C(=O)C(C)NCc1ncccc1CN1CCN(C)CCN(C)CC1</v>
      </c>
      <c r="C1661" s="7">
        <f>IFERROR(__xludf.DUMMYFUNCTION("""COMPUTED_VALUE"""),7.814696)</f>
        <v>7.814696</v>
      </c>
      <c r="D1661" s="7">
        <f>IFERROR(__xludf.DUMMYFUNCTION("""COMPUTED_VALUE"""),0.409090909090909)</f>
        <v>0.4090909091</v>
      </c>
    </row>
    <row r="1662">
      <c r="A1662" s="10" t="s">
        <v>3101</v>
      </c>
      <c r="B1662" s="7" t="str">
        <f>IFERROR(__xludf.DUMMYFUNCTION("SPLIT(A1662,"" "")"),"CC(C)NCCN1CCN(C)CCN(Cc2ccc3cccnc3c2)CC1")</f>
        <v>CC(C)NCCN1CCN(C)CCN(Cc2ccc3cccnc3c2)CC1</v>
      </c>
      <c r="C1662" s="7">
        <f>IFERROR(__xludf.DUMMYFUNCTION("""COMPUTED_VALUE"""),7.814695)</f>
        <v>7.814695</v>
      </c>
      <c r="D1662" s="7">
        <f>IFERROR(__xludf.DUMMYFUNCTION("""COMPUTED_VALUE"""),0.396226415094339)</f>
        <v>0.3962264151</v>
      </c>
    </row>
    <row r="1663">
      <c r="A1663" s="10" t="s">
        <v>3102</v>
      </c>
      <c r="B1663" s="7" t="str">
        <f>IFERROR(__xludf.DUMMYFUNCTION("SPLIT(A1663,"" "")"),"Cc1ccnc(C2CC(C)(C)C2)c1CN1CCN(C)CCN(C)CC1")</f>
        <v>Cc1ccnc(C2CC(C)(C)C2)c1CN1CCN(C)CCN(C)CC1</v>
      </c>
      <c r="C1663" s="7">
        <f>IFERROR(__xludf.DUMMYFUNCTION("""COMPUTED_VALUE"""),7.8146935)</f>
        <v>7.8146935</v>
      </c>
      <c r="D1663" s="7">
        <f>IFERROR(__xludf.DUMMYFUNCTION("""COMPUTED_VALUE"""),0.4375)</f>
        <v>0.4375</v>
      </c>
    </row>
    <row r="1664">
      <c r="A1664" s="10" t="s">
        <v>3103</v>
      </c>
      <c r="B1664" s="7" t="str">
        <f>IFERROR(__xludf.DUMMYFUNCTION("SPLIT(A1664,"" "")"),"Cc1cncc(CN(C)CCN2CCN(C)CCN(Cc3cc(C)c(C)c(C)n3)CC2)c1")</f>
        <v>Cc1cncc(CN(C)CCN2CCN(C)CCN(Cc3cc(C)c(C)c(C)n3)CC2)c1</v>
      </c>
      <c r="C1664" s="7">
        <f>IFERROR(__xludf.DUMMYFUNCTION("""COMPUTED_VALUE"""),7.814685)</f>
        <v>7.814685</v>
      </c>
      <c r="D1664" s="7">
        <f>IFERROR(__xludf.DUMMYFUNCTION("""COMPUTED_VALUE"""),0.418181818181818)</f>
        <v>0.4181818182</v>
      </c>
    </row>
    <row r="1665">
      <c r="A1665" s="10" t="s">
        <v>3104</v>
      </c>
      <c r="B1665" s="7" t="str">
        <f>IFERROR(__xludf.DUMMYFUNCTION("SPLIT(A1665,"" "")"),"CC(N)C(C)N(CCN(Cc1ccccn1)C(C)(N)N(CCN(C)CCN(C)CCN(C)CCN(C)CCN(C)CCN(C)CCN(C)CCN(C)CC(C)(C)C)Cc1ccccn1)Cc1ccccn1")</f>
        <v>CC(N)C(C)N(CCN(Cc1ccccn1)C(C)(N)N(CCN(C)CCN(C)CCN(C)CCN(C)CCN(C)CCN(C)CCN(C)CCN(C)CC(C)(C)C)Cc1ccccn1)Cc1ccccn1</v>
      </c>
      <c r="C1665" s="7">
        <f>IFERROR(__xludf.DUMMYFUNCTION("""COMPUTED_VALUE"""),7.8146806)</f>
        <v>7.8146806</v>
      </c>
      <c r="D1665" s="7">
        <f>IFERROR(__xludf.DUMMYFUNCTION("""COMPUTED_VALUE"""),0.490196078431372)</f>
        <v>0.4901960784</v>
      </c>
    </row>
    <row r="1666">
      <c r="A1666" s="10" t="s">
        <v>3105</v>
      </c>
      <c r="B1666" s="7" t="str">
        <f>IFERROR(__xludf.DUMMYFUNCTION("SPLIT(A1666,"" "")"),"CC1C=CC(C)(NCc2ccccn2)CC1C")</f>
        <v>CC1C=CC(C)(NCc2ccccn2)CC1C</v>
      </c>
      <c r="C1666" s="7">
        <f>IFERROR(__xludf.DUMMYFUNCTION("""COMPUTED_VALUE"""),7.814661)</f>
        <v>7.814661</v>
      </c>
      <c r="D1666" s="7">
        <f>IFERROR(__xludf.DUMMYFUNCTION("""COMPUTED_VALUE"""),0.395348837209302)</f>
        <v>0.3953488372</v>
      </c>
    </row>
    <row r="1667">
      <c r="A1667" s="10" t="s">
        <v>3106</v>
      </c>
      <c r="B1667" s="7" t="str">
        <f>IFERROR(__xludf.DUMMYFUNCTION("SPLIT(A1667,"" "")"),"CC(C)N(C)Cc1ncccc1-c1cccc2c1OCCOCCOCCOCCOCCO2")</f>
        <v>CC(C)N(C)Cc1ncccc1-c1cccc2c1OCCOCCOCCOCCOCCO2</v>
      </c>
      <c r="C1667" s="7">
        <f>IFERROR(__xludf.DUMMYFUNCTION("""COMPUTED_VALUE"""),7.81466)</f>
        <v>7.81466</v>
      </c>
      <c r="D1667" s="7">
        <f>IFERROR(__xludf.DUMMYFUNCTION("""COMPUTED_VALUE"""),0.267857142857142)</f>
        <v>0.2678571429</v>
      </c>
    </row>
    <row r="1668">
      <c r="A1668" s="10" t="s">
        <v>3107</v>
      </c>
      <c r="B1668" s="7" t="str">
        <f>IFERROR(__xludf.DUMMYFUNCTION("SPLIT(A1668,"" "")"),"CC(C)N(C)Cc1cccc(-c2ccc3c(c2)OCCOCCOCCOCCOCCO3)n1")</f>
        <v>CC(C)N(C)Cc1cccc(-c2ccc3c(c2)OCCOCCOCCOCCOCCO3)n1</v>
      </c>
      <c r="C1668" s="7">
        <f>IFERROR(__xludf.DUMMYFUNCTION("""COMPUTED_VALUE"""),7.8146577)</f>
        <v>7.8146577</v>
      </c>
      <c r="D1668" s="7">
        <f>IFERROR(__xludf.DUMMYFUNCTION("""COMPUTED_VALUE"""),0.353846153846153)</f>
        <v>0.3538461538</v>
      </c>
    </row>
    <row r="1669">
      <c r="A1669" s="10" t="s">
        <v>3108</v>
      </c>
      <c r="B1669" s="7" t="str">
        <f>IFERROR(__xludf.DUMMYFUNCTION("SPLIT(A1669,"" "")"),"CN(Cc1ccccn1)C1=CC(c2ccc3c(c2)OCCOCCOCCOCCOCCO3)C=CN1")</f>
        <v>CN(Cc1ccccn1)C1=CC(c2ccc3c(c2)OCCOCCOCCOCCOCCO3)C=CN1</v>
      </c>
      <c r="C1669" s="7">
        <f>IFERROR(__xludf.DUMMYFUNCTION("""COMPUTED_VALUE"""),7.8146563)</f>
        <v>7.8146563</v>
      </c>
      <c r="D1669" s="7">
        <f>IFERROR(__xludf.DUMMYFUNCTION("""COMPUTED_VALUE"""),0.360655737704918)</f>
        <v>0.3606557377</v>
      </c>
    </row>
    <row r="1670">
      <c r="A1670" s="10" t="s">
        <v>3109</v>
      </c>
      <c r="B1670" s="7" t="str">
        <f>IFERROR(__xludf.DUMMYFUNCTION("SPLIT(A1670,"" "")"),"CN(Cc1ccc(Cl)cn1)C1CCCCC1N(C)Cc1cccc(-c2ccc3c(c2)OCCOCCOCCOCCOCCO3)n1")</f>
        <v>CN(Cc1ccc(Cl)cn1)C1CCCCC1N(C)Cc1cccc(-c2ccc3c(c2)OCCOCCOCCOCCOCCO3)n1</v>
      </c>
      <c r="C1670" s="7">
        <f>IFERROR(__xludf.DUMMYFUNCTION("""COMPUTED_VALUE"""),7.8146453)</f>
        <v>7.8146453</v>
      </c>
      <c r="D1670" s="7">
        <f>IFERROR(__xludf.DUMMYFUNCTION("""COMPUTED_VALUE"""),0.416666666666666)</f>
        <v>0.4166666667</v>
      </c>
    </row>
    <row r="1671">
      <c r="A1671" s="10" t="s">
        <v>3110</v>
      </c>
      <c r="B1671" s="7" t="str">
        <f>IFERROR(__xludf.DUMMYFUNCTION("SPLIT(A1671,"" "")"),"Cc1ncccc1CN(C)C1CCC(N(C)Cc2ncccc2-c2ccc3c(c2)OCCOCCOCCOCCOCCO3)CC1")</f>
        <v>Cc1ncccc1CN(C)C1CCC(N(C)Cc2ncccc2-c2ccc3c(c2)OCCOCCOCCOCCOCCO3)CC1</v>
      </c>
      <c r="C1671" s="7">
        <f>IFERROR(__xludf.DUMMYFUNCTION("""COMPUTED_VALUE"""),7.814645)</f>
        <v>7.814645</v>
      </c>
      <c r="D1671" s="7">
        <f>IFERROR(__xludf.DUMMYFUNCTION("""COMPUTED_VALUE"""),0.342465753424657)</f>
        <v>0.3424657534</v>
      </c>
    </row>
    <row r="1672">
      <c r="A1672" s="10" t="s">
        <v>3111</v>
      </c>
      <c r="B1672" s="7" t="str">
        <f>IFERROR(__xludf.DUMMYFUNCTION("SPLIT(A1672,"" "")"),"CN1CCN(C)CCN(Cc2ccc(N(C)C)nc2)CC1")</f>
        <v>CN1CCN(C)CCN(Cc2ccc(N(C)C)nc2)CC1</v>
      </c>
      <c r="C1672" s="7">
        <f>IFERROR(__xludf.DUMMYFUNCTION("""COMPUTED_VALUE"""),7.8146353)</f>
        <v>7.8146353</v>
      </c>
      <c r="D1672" s="7">
        <f>IFERROR(__xludf.DUMMYFUNCTION("""COMPUTED_VALUE"""),0.463414634146341)</f>
        <v>0.4634146341</v>
      </c>
    </row>
    <row r="1673">
      <c r="A1673" s="10" t="s">
        <v>3112</v>
      </c>
      <c r="B1673" s="7" t="str">
        <f>IFERROR(__xludf.DUMMYFUNCTION("SPLIT(A1673,"" "")"),"CC1=CCC(C)C(N(C)Cc2ncccc2-c2ccc3c(c2)OCCOCCOCCOCCOCCO3)C1C")</f>
        <v>CC1=CCC(C)C(N(C)Cc2ncccc2-c2ccc3c(c2)OCCOCCOCCOCCOCCO3)C1C</v>
      </c>
      <c r="C1673" s="7">
        <f>IFERROR(__xludf.DUMMYFUNCTION("""COMPUTED_VALUE"""),7.814635)</f>
        <v>7.814635</v>
      </c>
      <c r="D1673" s="7">
        <f>IFERROR(__xludf.DUMMYFUNCTION("""COMPUTED_VALUE"""),0.31578947368421)</f>
        <v>0.3157894737</v>
      </c>
    </row>
    <row r="1674">
      <c r="A1674" s="10" t="s">
        <v>3113</v>
      </c>
      <c r="B1674" s="7" t="str">
        <f>IFERROR(__xludf.DUMMYFUNCTION("SPLIT(A1674,"" "")"),"Cc1cccnc1CN(C)C1CCC(N(C)Cc2cc(-c3ccc4c(c3)OCCOCCOCCOCCOCCO4)ccn2)CC1")</f>
        <v>Cc1cccnc1CN(C)C1CCC(N(C)Cc2cc(-c3ccc4c(c3)OCCOCCOCCOCCOCCO4)ccn2)CC1</v>
      </c>
      <c r="C1674" s="7">
        <f>IFERROR(__xludf.DUMMYFUNCTION("""COMPUTED_VALUE"""),7.8146286)</f>
        <v>7.8146286</v>
      </c>
      <c r="D1674" s="7">
        <f>IFERROR(__xludf.DUMMYFUNCTION("""COMPUTED_VALUE"""),0.380281690140845)</f>
        <v>0.3802816901</v>
      </c>
    </row>
    <row r="1675">
      <c r="A1675" s="10" t="s">
        <v>3114</v>
      </c>
      <c r="B1675" s="7" t="str">
        <f>IFERROR(__xludf.DUMMYFUNCTION("SPLIT(A1675,"" "")"),"CC(N)C(C)(C)c1cccnc1")</f>
        <v>CC(N)C(C)(C)c1cccnc1</v>
      </c>
      <c r="C1675" s="7">
        <f>IFERROR(__xludf.DUMMYFUNCTION("""COMPUTED_VALUE"""),7.8146114)</f>
        <v>7.8146114</v>
      </c>
      <c r="D1675" s="7">
        <f>IFERROR(__xludf.DUMMYFUNCTION("""COMPUTED_VALUE"""),0.232558139534883)</f>
        <v>0.2325581395</v>
      </c>
    </row>
    <row r="1676">
      <c r="A1676" s="10" t="s">
        <v>3115</v>
      </c>
      <c r="B1676" s="7" t="str">
        <f>IFERROR(__xludf.DUMMYFUNCTION("SPLIT(A1676,"" "")"),"Cc1cnc(CN(C)C2CCC(N(C)CC(C)(C)C)CC2)c(C)c1")</f>
        <v>Cc1cnc(CN(C)C2CCC(N(C)CC(C)(C)C)CC2)c(C)c1</v>
      </c>
      <c r="C1676" s="7">
        <f>IFERROR(__xludf.DUMMYFUNCTION("""COMPUTED_VALUE"""),7.8146057)</f>
        <v>7.8146057</v>
      </c>
      <c r="D1676" s="7">
        <f>IFERROR(__xludf.DUMMYFUNCTION("""COMPUTED_VALUE"""),0.333333333333333)</f>
        <v>0.3333333333</v>
      </c>
    </row>
    <row r="1677">
      <c r="A1677" s="10" t="s">
        <v>3116</v>
      </c>
      <c r="B1677" s="7" t="str">
        <f>IFERROR(__xludf.DUMMYFUNCTION("SPLIT(A1677,"" "")"),"Cc1nc(CN(C)CCN2CCN(C)CCN(C)CC2)c(C)c(C)c1C")</f>
        <v>Cc1nc(CN(C)CCN2CCN(C)CCN(C)CC2)c(C)c(C)c1C</v>
      </c>
      <c r="C1677" s="7">
        <f>IFERROR(__xludf.DUMMYFUNCTION("""COMPUTED_VALUE"""),7.8146)</f>
        <v>7.8146</v>
      </c>
      <c r="D1677" s="7">
        <f>IFERROR(__xludf.DUMMYFUNCTION("""COMPUTED_VALUE"""),0.319148936170212)</f>
        <v>0.3191489362</v>
      </c>
    </row>
    <row r="1678">
      <c r="A1678" s="10" t="s">
        <v>3117</v>
      </c>
      <c r="B1678" s="7" t="str">
        <f>IFERROR(__xludf.DUMMYFUNCTION("SPLIT(A1678,"" "")"),"Cc1cccnc1CN(C)C1CCCC(N(C)Cc2cccnc2)C1")</f>
        <v>Cc1cccnc1CN(C)C1CCCC(N(C)Cc2cccnc2)C1</v>
      </c>
      <c r="C1678" s="7">
        <f>IFERROR(__xludf.DUMMYFUNCTION("""COMPUTED_VALUE"""),7.8146)</f>
        <v>7.8146</v>
      </c>
      <c r="D1678" s="7">
        <f>IFERROR(__xludf.DUMMYFUNCTION("""COMPUTED_VALUE"""),0.333333333333333)</f>
        <v>0.3333333333</v>
      </c>
    </row>
    <row r="1679">
      <c r="A1679" s="10" t="s">
        <v>3118</v>
      </c>
      <c r="B1679" s="7" t="str">
        <f>IFERROR(__xludf.DUMMYFUNCTION("SPLIT(A1679,"" "")"),"CC(C)NCc1ccc(CN(C)C2CCCC(N(C)Cc3ccccn3)C2)cn1")</f>
        <v>CC(C)NCc1ccc(CN(C)C2CCCC(N(C)Cc3ccccn3)C2)cn1</v>
      </c>
      <c r="C1679" s="7">
        <f>IFERROR(__xludf.DUMMYFUNCTION("""COMPUTED_VALUE"""),7.8145933)</f>
        <v>7.8145933</v>
      </c>
      <c r="D1679" s="7">
        <f>IFERROR(__xludf.DUMMYFUNCTION("""COMPUTED_VALUE"""),0.471698113207547)</f>
        <v>0.4716981132</v>
      </c>
    </row>
    <row r="1680">
      <c r="A1680" s="10" t="s">
        <v>3119</v>
      </c>
      <c r="B1680" s="7" t="str">
        <f>IFERROR(__xludf.DUMMYFUNCTION("SPLIT(A1680,"" "")"),"CC1C=CC(C)(C)C(c2cccc(CN(Cc3ccccn3)C3CCCCC3N(C)Cc3cccc(-c4ccc5c(c4)OCCOCCOCCOCCOCCO5)n3)n2)C1(C)C")</f>
        <v>CC1C=CC(C)(C)C(c2cccc(CN(Cc3ccccn3)C3CCCCC3N(C)Cc3cccc(-c4ccc5c(c4)OCCOCCOCCOCCOCCO5)n3)n2)C1(C)C</v>
      </c>
      <c r="C1680" s="7">
        <f>IFERROR(__xludf.DUMMYFUNCTION("""COMPUTED_VALUE"""),7.814591)</f>
        <v>7.814591</v>
      </c>
      <c r="D1680" s="7">
        <f>IFERROR(__xludf.DUMMYFUNCTION("""COMPUTED_VALUE"""),0.405405405405405)</f>
        <v>0.4054054054</v>
      </c>
    </row>
    <row r="1681">
      <c r="A1681" s="10" t="s">
        <v>3120</v>
      </c>
      <c r="B1681" s="7" t="str">
        <f>IFERROR(__xludf.DUMMYFUNCTION("SPLIT(A1681,"" "")"),"Cc1cncc(CN(C)C2CCCC(N(C)Cc3cc(-c4ccc5c(c4)OCCOCCOCCOCCOCCO5)ccn3)C2)c1")</f>
        <v>Cc1cncc(CN(C)C2CCCC(N(C)Cc3cc(-c4ccc5c(c4)OCCOCCOCCOCCOCCO5)ccn3)C2)c1</v>
      </c>
      <c r="C1681" s="7">
        <f>IFERROR(__xludf.DUMMYFUNCTION("""COMPUTED_VALUE"""),7.8145857)</f>
        <v>7.8145857</v>
      </c>
      <c r="D1681" s="7">
        <f>IFERROR(__xludf.DUMMYFUNCTION("""COMPUTED_VALUE"""),0.397260273972602)</f>
        <v>0.397260274</v>
      </c>
    </row>
    <row r="1682">
      <c r="A1682" s="10" t="s">
        <v>3121</v>
      </c>
      <c r="B1682" s="7" t="str">
        <f>IFERROR(__xludf.DUMMYFUNCTION("SPLIT(A1682,"" "")"),"CCOC(=O)C(=O)C(=O)C(C)NCc1ccc(CN2CCN(C)CCN(C)CC2)cn1")</f>
        <v>CCOC(=O)C(=O)C(=O)C(C)NCc1ccc(CN2CCN(C)CCN(C)CC2)cn1</v>
      </c>
      <c r="C1682" s="7">
        <f>IFERROR(__xludf.DUMMYFUNCTION("""COMPUTED_VALUE"""),7.8145814)</f>
        <v>7.8145814</v>
      </c>
      <c r="D1682" s="7">
        <f>IFERROR(__xludf.DUMMYFUNCTION("""COMPUTED_VALUE"""),0.415384615384615)</f>
        <v>0.4153846154</v>
      </c>
    </row>
    <row r="1683">
      <c r="A1683" s="10" t="s">
        <v>3122</v>
      </c>
      <c r="B1683" s="7" t="str">
        <f>IFERROR(__xludf.DUMMYFUNCTION("SPLIT(A1683,"" "")"),"CN(Cc1cccc(CN(Cc2ccc([SiH3])cn2)Cc2cccc(C3CC4OCCOCCOCCOCCOCCOC43)n2)n1)Cc1cccc(-c2ccc3c(c2)OCCOCCOCCOCCOCCO3)n1")</f>
        <v>CN(Cc1cccc(CN(Cc2ccc([SiH3])cn2)Cc2cccc(C3CC4OCCOCCOCCOCCOCCOC43)n2)n1)Cc1cccc(-c2ccc3c(c2)OCCOCCOCCOCCOCCO3)n1</v>
      </c>
      <c r="C1683" s="7">
        <f>IFERROR(__xludf.DUMMYFUNCTION("""COMPUTED_VALUE"""),7.8145785)</f>
        <v>7.8145785</v>
      </c>
      <c r="D1683" s="7">
        <f>IFERROR(__xludf.DUMMYFUNCTION("""COMPUTED_VALUE"""),0.325581395348837)</f>
        <v>0.3255813953</v>
      </c>
    </row>
    <row r="1684">
      <c r="A1684" s="10" t="s">
        <v>3123</v>
      </c>
      <c r="B1684" s="7" t="str">
        <f>IFERROR(__xludf.DUMMYFUNCTION("SPLIT(A1684,"" "")"),"Cc1cccnc1CN(C)C1CCC(N(C)Cc2ccc(-c3ccc4c(c3)OCCOCCOCCOCCOCCO4)cn2)CC1")</f>
        <v>Cc1cccnc1CN(C)C1CCC(N(C)Cc2ccc(-c3ccc4c(c3)OCCOCCOCCOCCOCCO4)cn2)CC1</v>
      </c>
      <c r="C1684" s="7">
        <f>IFERROR(__xludf.DUMMYFUNCTION("""COMPUTED_VALUE"""),7.814553)</f>
        <v>7.814553</v>
      </c>
      <c r="D1684" s="7">
        <f>IFERROR(__xludf.DUMMYFUNCTION("""COMPUTED_VALUE"""),0.477611940298507)</f>
        <v>0.4776119403</v>
      </c>
    </row>
    <row r="1685">
      <c r="A1685" s="10" t="s">
        <v>3124</v>
      </c>
      <c r="B1685" s="7" t="str">
        <f>IFERROR(__xludf.DUMMYFUNCTION("SPLIT(A1685,"" "")"),"CC1C=CC(C)C(C)(c2cc(CN(Cc3ccccn3)C3CCCCC3)ccn2)C1")</f>
        <v>CC1C=CC(C)C(C)(c2cc(CN(Cc3ccccn3)C3CCCCC3)ccn2)C1</v>
      </c>
      <c r="C1685" s="7">
        <f>IFERROR(__xludf.DUMMYFUNCTION("""COMPUTED_VALUE"""),7.814551)</f>
        <v>7.814551</v>
      </c>
      <c r="D1685" s="7">
        <f>IFERROR(__xludf.DUMMYFUNCTION("""COMPUTED_VALUE"""),0.377049180327868)</f>
        <v>0.3770491803</v>
      </c>
    </row>
    <row r="1686">
      <c r="A1686" s="10" t="s">
        <v>3125</v>
      </c>
      <c r="B1686" s="7" t="str">
        <f>IFERROR(__xludf.DUMMYFUNCTION("SPLIT(A1686,"" "")"),"Cc1c(CN2CCN(C)CCN(C)CC2)cnc(CN(C)C(C)C)c1C")</f>
        <v>Cc1c(CN2CCN(C)CCN(C)CC2)cnc(CN(C)C(C)C)c1C</v>
      </c>
      <c r="C1686" s="7">
        <f>IFERROR(__xludf.DUMMYFUNCTION("""COMPUTED_VALUE"""),7.814545)</f>
        <v>7.814545</v>
      </c>
      <c r="D1686" s="7">
        <f>IFERROR(__xludf.DUMMYFUNCTION("""COMPUTED_VALUE"""),0.431372549019607)</f>
        <v>0.431372549</v>
      </c>
    </row>
    <row r="1687">
      <c r="A1687" s="10" t="s">
        <v>3126</v>
      </c>
      <c r="B1687" s="7" t="str">
        <f>IFERROR(__xludf.DUMMYFUNCTION("SPLIT(A1687,"" "")"),"CN1CCN(C)CCN(Cc2ccnc(C3OC=NC3(C)C)c2)CC1")</f>
        <v>CN1CCN(C)CCN(Cc2ccnc(C3OC=NC3(C)C)c2)CC1</v>
      </c>
      <c r="C1687" s="7">
        <f>IFERROR(__xludf.DUMMYFUNCTION("""COMPUTED_VALUE"""),7.814514)</f>
        <v>7.814514</v>
      </c>
      <c r="D1687" s="7">
        <f>IFERROR(__xludf.DUMMYFUNCTION("""COMPUTED_VALUE"""),0.403846153846153)</f>
        <v>0.4038461538</v>
      </c>
    </row>
    <row r="1688">
      <c r="A1688" s="10" t="s">
        <v>3127</v>
      </c>
      <c r="B1688" s="7" t="str">
        <f>IFERROR(__xludf.DUMMYFUNCTION("SPLIT(A1688,"" "")"),"CN(CC1=CCC=C(N(C)Cc2ccccn2)N1)Cc1ccc2c(c1)OCCOCCOCCOCCOCCO2")</f>
        <v>CN(CC1=CCC=C(N(C)Cc2ccccn2)N1)Cc1ccc2c(c1)OCCOCCOCCOCCOCCO2</v>
      </c>
      <c r="C1688" s="7">
        <f>IFERROR(__xludf.DUMMYFUNCTION("""COMPUTED_VALUE"""),7.8145113)</f>
        <v>7.8145113</v>
      </c>
      <c r="D1688" s="7">
        <f>IFERROR(__xludf.DUMMYFUNCTION("""COMPUTED_VALUE"""),0.349206349206349)</f>
        <v>0.3492063492</v>
      </c>
    </row>
    <row r="1689">
      <c r="A1689" s="10" t="s">
        <v>3128</v>
      </c>
      <c r="B1689" s="7" t="str">
        <f>IFERROR(__xludf.DUMMYFUNCTION("SPLIT(A1689,"" "")"),"CN(C)Cc1cncc(CN(C)C2CCCCC2N(C)Cc2ncccc2-c2cccc3c2OCCOCCOCCOCCOCCO3)c1")</f>
        <v>CN(C)Cc1cncc(CN(C)C2CCCCC2N(C)Cc2ncccc2-c2cccc3c2OCCOCCOCCOCCOCCO3)c1</v>
      </c>
      <c r="C1689" s="7">
        <f>IFERROR(__xludf.DUMMYFUNCTION("""COMPUTED_VALUE"""),7.8145094)</f>
        <v>7.8145094</v>
      </c>
      <c r="D1689" s="7">
        <f>IFERROR(__xludf.DUMMYFUNCTION("""COMPUTED_VALUE"""),0.348484848484848)</f>
        <v>0.3484848485</v>
      </c>
    </row>
    <row r="1690">
      <c r="A1690" s="10" t="s">
        <v>3129</v>
      </c>
      <c r="B1690" s="7" t="str">
        <f>IFERROR(__xludf.DUMMYFUNCTION("SPLIT(A1690,"" "")"),"Cc1cccnc1CN(C)C1CCC(N(C)Cc2cccc(C3CCC3(C)C)n2)CC1")</f>
        <v>Cc1cccnc1CN(C)C1CCC(N(C)Cc2cccc(C3CCC3(C)C)n2)CC1</v>
      </c>
      <c r="C1690" s="7">
        <f>IFERROR(__xludf.DUMMYFUNCTION("""COMPUTED_VALUE"""),7.8145037)</f>
        <v>7.8145037</v>
      </c>
      <c r="D1690" s="7">
        <f>IFERROR(__xludf.DUMMYFUNCTION("""COMPUTED_VALUE"""),0.35593220338983)</f>
        <v>0.3559322034</v>
      </c>
    </row>
    <row r="1691">
      <c r="A1691" s="10" t="s">
        <v>3130</v>
      </c>
      <c r="B1691" s="7" t="str">
        <f>IFERROR(__xludf.DUMMYFUNCTION("SPLIT(A1691,"" "")"),"Cc1cnc(C2CCC2(C)C)c(CN(Cc2ccccn2)C2CCCCC2)c1C")</f>
        <v>Cc1cnc(C2CCC2(C)C)c(CN(Cc2ccccn2)C2CCCCC2)c1C</v>
      </c>
      <c r="C1691" s="7">
        <f>IFERROR(__xludf.DUMMYFUNCTION("""COMPUTED_VALUE"""),7.814496)</f>
        <v>7.814496</v>
      </c>
      <c r="D1691" s="7">
        <f>IFERROR(__xludf.DUMMYFUNCTION("""COMPUTED_VALUE"""),0.396551724137931)</f>
        <v>0.3965517241</v>
      </c>
    </row>
    <row r="1692">
      <c r="A1692" s="10" t="s">
        <v>3131</v>
      </c>
      <c r="B1692" s="7" t="str">
        <f>IFERROR(__xludf.DUMMYFUNCTION("SPLIT(A1692,"" "")"),"CC(C)N(Cc1cccc(CN2CCN(C)CCN(C)CC2)n1)Cc1cccc(C2CCC2(C)C)n1")</f>
        <v>CC(C)N(Cc1cccc(CN2CCN(C)CCN(C)CC2)n1)Cc1cccc(C2CCC2(C)C)n1</v>
      </c>
      <c r="C1692" s="7">
        <f>IFERROR(__xludf.DUMMYFUNCTION("""COMPUTED_VALUE"""),7.8144946)</f>
        <v>7.8144946</v>
      </c>
      <c r="D1692" s="7">
        <f>IFERROR(__xludf.DUMMYFUNCTION("""COMPUTED_VALUE"""),0.454545454545454)</f>
        <v>0.4545454545</v>
      </c>
    </row>
    <row r="1693">
      <c r="A1693" s="10" t="s">
        <v>3132</v>
      </c>
      <c r="B1693" s="7" t="str">
        <f>IFERROR(__xludf.DUMMYFUNCTION("SPLIT(A1693,"" "")"),"CC1CC(N)C1CSCc1ccccn1")</f>
        <v>CC1CC(N)C1CSCc1ccccn1</v>
      </c>
      <c r="C1693" s="7">
        <f>IFERROR(__xludf.DUMMYFUNCTION("""COMPUTED_VALUE"""),7.8144927)</f>
        <v>7.8144927</v>
      </c>
      <c r="D1693" s="7">
        <f>IFERROR(__xludf.DUMMYFUNCTION("""COMPUTED_VALUE"""),0.487179487179487)</f>
        <v>0.4871794872</v>
      </c>
    </row>
    <row r="1694">
      <c r="A1694" s="10" t="s">
        <v>3133</v>
      </c>
      <c r="B1694" s="7" t="str">
        <f>IFERROR(__xludf.DUMMYFUNCTION("SPLIT(A1694,"" "")"),"CCN(C)C1CCCC(N(C)Cc2nc(C)c(C)cc2C)C1")</f>
        <v>CCN(C)C1CCCC(N(C)Cc2nc(C)c(C)cc2C)C1</v>
      </c>
      <c r="C1694" s="7">
        <f>IFERROR(__xludf.DUMMYFUNCTION("""COMPUTED_VALUE"""),7.814452)</f>
        <v>7.814452</v>
      </c>
      <c r="D1694" s="7">
        <f>IFERROR(__xludf.DUMMYFUNCTION("""COMPUTED_VALUE"""),0.288461538461538)</f>
        <v>0.2884615385</v>
      </c>
    </row>
    <row r="1695">
      <c r="A1695" s="10" t="s">
        <v>3134</v>
      </c>
      <c r="B1695" s="7" t="str">
        <f>IFERROR(__xludf.DUMMYFUNCTION("SPLIT(A1695,"" "")"),"CC(C)N(C)Cc1ccc(-c2cccc3c2OCCOCCOCCOCCOCCO3)cn1")</f>
        <v>CC(C)N(C)Cc1ccc(-c2cccc3c2OCCOCCOCCOCCOCCO3)cn1</v>
      </c>
      <c r="C1695" s="7">
        <f>IFERROR(__xludf.DUMMYFUNCTION("""COMPUTED_VALUE"""),7.8144307)</f>
        <v>7.8144307</v>
      </c>
      <c r="D1695" s="7">
        <f>IFERROR(__xludf.DUMMYFUNCTION("""COMPUTED_VALUE"""),0.343283582089552)</f>
        <v>0.3432835821</v>
      </c>
    </row>
    <row r="1696">
      <c r="A1696" s="10" t="s">
        <v>3135</v>
      </c>
      <c r="B1696" s="7" t="str">
        <f>IFERROR(__xludf.DUMMYFUNCTION("SPLIT(A1696,"" "")"),"CC(C)N1CCN(C)CCN(C(C)c2ccc(C3=CCC=CN3)cn2)CC1")</f>
        <v>CC(C)N1CCN(C)CCN(C(C)c2ccc(C3=CCC=CN3)cn2)CC1</v>
      </c>
      <c r="C1696" s="7">
        <f>IFERROR(__xludf.DUMMYFUNCTION("""COMPUTED_VALUE"""),7.8144264)</f>
        <v>7.8144264</v>
      </c>
      <c r="D1696" s="7">
        <f>IFERROR(__xludf.DUMMYFUNCTION("""COMPUTED_VALUE"""),0.271186440677966)</f>
        <v>0.2711864407</v>
      </c>
    </row>
    <row r="1697">
      <c r="A1697" s="10" t="s">
        <v>3136</v>
      </c>
      <c r="B1697" s="7" t="str">
        <f>IFERROR(__xludf.DUMMYFUNCTION("SPLIT(A1697,"" "")"),"CC1=CC(C)CC(C)(C)C1")</f>
        <v>CC1=CC(C)CC(C)(C)C1</v>
      </c>
      <c r="C1697" s="7">
        <f>IFERROR(__xludf.DUMMYFUNCTION("""COMPUTED_VALUE"""),7.8144164)</f>
        <v>7.8144164</v>
      </c>
      <c r="D1697" s="7">
        <f>IFERROR(__xludf.DUMMYFUNCTION("""COMPUTED_VALUE"""),0.155555555555555)</f>
        <v>0.1555555556</v>
      </c>
    </row>
    <row r="1698">
      <c r="A1698" s="10" t="s">
        <v>3137</v>
      </c>
      <c r="B1698" s="7" t="str">
        <f>IFERROR(__xludf.DUMMYFUNCTION("SPLIT(A1698,"" "")"),"CCN(Cc1ccccn1)C1CCC(N(C)Cc2ccon2)CC1")</f>
        <v>CCN(Cc1ccccn1)C1CCC(N(C)Cc2ccon2)CC1</v>
      </c>
      <c r="C1698" s="7">
        <f>IFERROR(__xludf.DUMMYFUNCTION("""COMPUTED_VALUE"""),7.8144155)</f>
        <v>7.8144155</v>
      </c>
      <c r="D1698" s="7">
        <f>IFERROR(__xludf.DUMMYFUNCTION("""COMPUTED_VALUE"""),0.48)</f>
        <v>0.48</v>
      </c>
    </row>
    <row r="1699">
      <c r="A1699" s="10" t="s">
        <v>3138</v>
      </c>
      <c r="B1699" s="7" t="str">
        <f>IFERROR(__xludf.DUMMYFUNCTION("SPLIT(A1699,"" "")"),"CCN(C)Cc1cc(-c2ccc3c(c2)OCCOCCOCCOCCOCCO3)ccn1")</f>
        <v>CCN(C)Cc1cc(-c2ccc3c(c2)OCCOCCOCCOCCOCCO3)ccn1</v>
      </c>
      <c r="C1699" s="7">
        <f>IFERROR(__xludf.DUMMYFUNCTION("""COMPUTED_VALUE"""),7.814411)</f>
        <v>7.814411</v>
      </c>
      <c r="D1699" s="7">
        <f>IFERROR(__xludf.DUMMYFUNCTION("""COMPUTED_VALUE"""),0.416666666666666)</f>
        <v>0.4166666667</v>
      </c>
    </row>
    <row r="1700">
      <c r="A1700" s="10" t="s">
        <v>3139</v>
      </c>
      <c r="B1700" s="7" t="str">
        <f>IFERROR(__xludf.DUMMYFUNCTION("SPLIT(A1700,"" "")"),"CNCCN(Cc1ccccn1)C1CCC(N(C)Cc2ncc(C)c(C)c2C)CC1")</f>
        <v>CNCCN(Cc1ccccn1)C1CCC(N(C)Cc2ncc(C)c(C)c2C)CC1</v>
      </c>
      <c r="C1700" s="7">
        <f>IFERROR(__xludf.DUMMYFUNCTION("""COMPUTED_VALUE"""),7.8144083)</f>
        <v>7.8144083</v>
      </c>
      <c r="D1700" s="7">
        <f>IFERROR(__xludf.DUMMYFUNCTION("""COMPUTED_VALUE"""),0.403508771929824)</f>
        <v>0.4035087719</v>
      </c>
    </row>
    <row r="1701">
      <c r="A1701" s="10" t="s">
        <v>3140</v>
      </c>
      <c r="B1701" s="7" t="str">
        <f>IFERROR(__xludf.DUMMYFUNCTION("SPLIT(A1701,"" "")"),"Cc1cccc(CN(C)C2CCC(N(C)Cc3cc(-c4ccc5c(c4)OCCOCCOCCOCCOCCO5)ccn3)CC2)n1")</f>
        <v>Cc1cccc(CN(C)C2CCC(N(C)Cc3cc(-c4ccc5c(c4)OCCOCCOCCOCCOCCO5)ccn3)CC2)n1</v>
      </c>
      <c r="C1701" s="7">
        <f>IFERROR(__xludf.DUMMYFUNCTION("""COMPUTED_VALUE"""),7.814406)</f>
        <v>7.814406</v>
      </c>
      <c r="D1701" s="7">
        <f>IFERROR(__xludf.DUMMYFUNCTION("""COMPUTED_VALUE"""),0.423728813559322)</f>
        <v>0.4237288136</v>
      </c>
    </row>
    <row r="1702">
      <c r="A1702" s="10" t="s">
        <v>3141</v>
      </c>
      <c r="B1702" s="7" t="str">
        <f>IFERROR(__xludf.DUMMYFUNCTION("SPLIT(A1702,"" "")"),"Cc1ccc(CN(C)C2CCCC(N(C)Cc3cccc(-c4cccc5c4OCCOCCOCCOCCOCCO5)n3)C2)nc1")</f>
        <v>Cc1ccc(CN(C)C2CCCC(N(C)Cc3cccc(-c4cccc5c4OCCOCCOCCOCCOCCO5)n3)C2)nc1</v>
      </c>
      <c r="C1702" s="7">
        <f>IFERROR(__xludf.DUMMYFUNCTION("""COMPUTED_VALUE"""),7.8143935)</f>
        <v>7.8143935</v>
      </c>
      <c r="D1702" s="7">
        <f>IFERROR(__xludf.DUMMYFUNCTION("""COMPUTED_VALUE"""),0.419354838709677)</f>
        <v>0.4193548387</v>
      </c>
    </row>
    <row r="1703">
      <c r="A1703" s="10" t="s">
        <v>3142</v>
      </c>
      <c r="B1703" s="7" t="str">
        <f>IFERROR(__xludf.DUMMYFUNCTION("SPLIT(A1703,"" "")"),"CN(CCF)CCN(Cc1ccccn1)Cc1ncccc1-c1ccc2c(c1)OCCOCCOCCOCCOCCO2")</f>
        <v>CN(CCF)CCN(Cc1ccccn1)Cc1ncccc1-c1ccc2c(c1)OCCOCCOCCOCCOCCO2</v>
      </c>
      <c r="C1703" s="7">
        <f>IFERROR(__xludf.DUMMYFUNCTION("""COMPUTED_VALUE"""),7.8143787)</f>
        <v>7.8143787</v>
      </c>
      <c r="D1703" s="7">
        <f>IFERROR(__xludf.DUMMYFUNCTION("""COMPUTED_VALUE"""),0.393442622950819)</f>
        <v>0.393442623</v>
      </c>
    </row>
    <row r="1704">
      <c r="A1704" s="10" t="s">
        <v>3143</v>
      </c>
      <c r="B1704" s="7" t="str">
        <f>IFERROR(__xludf.DUMMYFUNCTION("SPLIT(A1704,"" "")"),"CNCc1ccc(-c2cccc3c2OCCOCCOCCOCCOCCO3)cn1")</f>
        <v>CNCc1ccc(-c2cccc3c2OCCOCCOCCOCCOCCO3)cn1</v>
      </c>
      <c r="C1704" s="7">
        <f>IFERROR(__xludf.DUMMYFUNCTION("""COMPUTED_VALUE"""),7.814373)</f>
        <v>7.814373</v>
      </c>
      <c r="D1704" s="7">
        <f>IFERROR(__xludf.DUMMYFUNCTION("""COMPUTED_VALUE"""),0.365079365079365)</f>
        <v>0.3650793651</v>
      </c>
    </row>
    <row r="1705">
      <c r="A1705" s="10" t="s">
        <v>3144</v>
      </c>
      <c r="B1705" s="7" t="str">
        <f>IFERROR(__xludf.DUMMYFUNCTION("SPLIT(A1705,"" "")"),"Cc1cc(CN2CCN(C)CCN(Cc3ccc(N)cn3)CC2)cnc1C")</f>
        <v>Cc1cc(CN2CCN(C)CCN(Cc3ccc(N)cn3)CC2)cnc1C</v>
      </c>
      <c r="C1705" s="7">
        <f>IFERROR(__xludf.DUMMYFUNCTION("""COMPUTED_VALUE"""),7.8143506)</f>
        <v>7.8143506</v>
      </c>
      <c r="D1705" s="7">
        <f>IFERROR(__xludf.DUMMYFUNCTION("""COMPUTED_VALUE"""),0.44)</f>
        <v>0.44</v>
      </c>
    </row>
    <row r="1706">
      <c r="A1706" s="10" t="s">
        <v>3145</v>
      </c>
      <c r="B1706" s="7" t="str">
        <f>IFERROR(__xludf.DUMMYFUNCTION("SPLIT(A1706,"" "")"),"CNCN1CCN(Cc2ncc(C)c(C)c2C)CCN(Cc2ncc(C)c(C)c2C)CC1")</f>
        <v>CNCN1CCN(Cc2ncc(C)c(C)c2C)CCN(Cc2ncc(C)c(C)c2C)CC1</v>
      </c>
      <c r="C1706" s="7">
        <f>IFERROR(__xludf.DUMMYFUNCTION("""COMPUTED_VALUE"""),7.8143296)</f>
        <v>7.8143296</v>
      </c>
      <c r="D1706" s="7">
        <f>IFERROR(__xludf.DUMMYFUNCTION("""COMPUTED_VALUE"""),0.5)</f>
        <v>0.5</v>
      </c>
    </row>
    <row r="1707">
      <c r="A1707" s="10" t="s">
        <v>3146</v>
      </c>
      <c r="B1707" s="7" t="str">
        <f>IFERROR(__xludf.DUMMYFUNCTION("SPLIT(A1707,"" "")"),"CC(C)NCc1ncccc1CN(C)C1CCCC(N(C)Cc2ncccc2-c2cccc3c2OCCOCCOCCOCCOCCO3)C1")</f>
        <v>CC(C)NCc1ncccc1CN(C)C1CCCC(N(C)Cc2ncccc2-c2cccc3c2OCCOCCOCCOCCOCCO3)C1</v>
      </c>
      <c r="C1707" s="7">
        <f>IFERROR(__xludf.DUMMYFUNCTION("""COMPUTED_VALUE"""),7.8143196)</f>
        <v>7.8143196</v>
      </c>
      <c r="D1707" s="7">
        <f>IFERROR(__xludf.DUMMYFUNCTION("""COMPUTED_VALUE"""),0.25)</f>
        <v>0.25</v>
      </c>
    </row>
    <row r="1708">
      <c r="A1708" s="10" t="s">
        <v>3147</v>
      </c>
      <c r="B1708" s="7" t="str">
        <f>IFERROR(__xludf.DUMMYFUNCTION("SPLIT(A1708,"" "")"),"CNCCN(C)C(C)(C)c1ccccn1")</f>
        <v>CNCCN(C)C(C)(C)c1ccccn1</v>
      </c>
      <c r="C1708" s="7">
        <f>IFERROR(__xludf.DUMMYFUNCTION("""COMPUTED_VALUE"""),7.814312)</f>
        <v>7.814312</v>
      </c>
      <c r="D1708" s="7">
        <f>IFERROR(__xludf.DUMMYFUNCTION("""COMPUTED_VALUE"""),0.355555555555555)</f>
        <v>0.3555555556</v>
      </c>
    </row>
    <row r="1709">
      <c r="A1709" s="10" t="s">
        <v>3148</v>
      </c>
      <c r="B1709" s="7" t="str">
        <f>IFERROR(__xludf.DUMMYFUNCTION("SPLIT(A1709,"" "")"),"CN(CCN(Cc1ccccn1)Cc1ncccc1-c1cccc2c1OCCOCCOCCOCCOCCO2)CC(C)(C)C")</f>
        <v>CN(CCN(Cc1ccccn1)Cc1ncccc1-c1cccc2c1OCCOCCOCCOCCOCCO2)CC(C)(C)C</v>
      </c>
      <c r="C1709" s="7">
        <f>IFERROR(__xludf.DUMMYFUNCTION("""COMPUTED_VALUE"""),7.814303)</f>
        <v>7.814303</v>
      </c>
      <c r="D1709" s="7">
        <f>IFERROR(__xludf.DUMMYFUNCTION("""COMPUTED_VALUE"""),0.45)</f>
        <v>0.45</v>
      </c>
    </row>
    <row r="1710">
      <c r="A1710" s="10" t="s">
        <v>3149</v>
      </c>
      <c r="B1710" s="7" t="str">
        <f>IFERROR(__xludf.DUMMYFUNCTION("SPLIT(A1710,"" "")"),"CC(C)N(C)CCN(C)CC1=CCC=CN1")</f>
        <v>CC(C)N(C)CCN(C)CC1=CCC=CN1</v>
      </c>
      <c r="C1710" s="7">
        <f>IFERROR(__xludf.DUMMYFUNCTION("""COMPUTED_VALUE"""),7.8142843)</f>
        <v>7.8142843</v>
      </c>
      <c r="D1710" s="7">
        <f>IFERROR(__xludf.DUMMYFUNCTION("""COMPUTED_VALUE"""),0.387755102040816)</f>
        <v>0.387755102</v>
      </c>
    </row>
    <row r="1711">
      <c r="A1711" s="10" t="s">
        <v>3150</v>
      </c>
      <c r="B1711" s="7" t="str">
        <f>IFERROR(__xludf.DUMMYFUNCTION("SPLIT(A1711,"" "")"),"Cc1cncc(CN(C)C2CCCC(N(Cc3ccccn3)C(C)C)C2)c1")</f>
        <v>Cc1cncc(CN(C)C2CCCC(N(Cc3ccccn3)C(C)C)C2)c1</v>
      </c>
      <c r="C1711" s="7">
        <f>IFERROR(__xludf.DUMMYFUNCTION("""COMPUTED_VALUE"""),7.814284)</f>
        <v>7.814284</v>
      </c>
      <c r="D1711" s="7">
        <f>IFERROR(__xludf.DUMMYFUNCTION("""COMPUTED_VALUE"""),0.428571428571428)</f>
        <v>0.4285714286</v>
      </c>
    </row>
    <row r="1712">
      <c r="A1712" s="10" t="s">
        <v>3151</v>
      </c>
      <c r="B1712" s="7" t="str">
        <f>IFERROR(__xludf.DUMMYFUNCTION("SPLIT(A1712,"" "")"),"CNC1CCCCC1N(C)Cc1nc(C)c(C)cc1C")</f>
        <v>CNC1CCCCC1N(C)Cc1nc(C)c(C)cc1C</v>
      </c>
      <c r="C1712" s="7">
        <f>IFERROR(__xludf.DUMMYFUNCTION("""COMPUTED_VALUE"""),7.814274)</f>
        <v>7.814274</v>
      </c>
      <c r="D1712" s="7">
        <f>IFERROR(__xludf.DUMMYFUNCTION("""COMPUTED_VALUE"""),0.387755102040816)</f>
        <v>0.387755102</v>
      </c>
    </row>
    <row r="1713">
      <c r="A1713" s="10" t="s">
        <v>3152</v>
      </c>
      <c r="B1713" s="7" t="str">
        <f>IFERROR(__xludf.DUMMYFUNCTION("SPLIT(A1713,"" "")"),"CN(Cc1ncccc1-c1ccc2c(c1)OCCOCCOCCOCCOCCO2)C(C)(C)C")</f>
        <v>CN(Cc1ncccc1-c1ccc2c(c1)OCCOCCOCCOCCOCCO2)C(C)(C)C</v>
      </c>
      <c r="C1713" s="7">
        <f>IFERROR(__xludf.DUMMYFUNCTION("""COMPUTED_VALUE"""),7.8142595)</f>
        <v>7.8142595</v>
      </c>
      <c r="D1713" s="7">
        <f>IFERROR(__xludf.DUMMYFUNCTION("""COMPUTED_VALUE"""),0.348484848484848)</f>
        <v>0.3484848485</v>
      </c>
    </row>
    <row r="1714">
      <c r="A1714" s="10" t="s">
        <v>3153</v>
      </c>
      <c r="B1714" s="7" t="str">
        <f>IFERROR(__xludf.DUMMYFUNCTION("SPLIT(A1714,"" "")"),"CC(C)N(C)CCN1C2C=CC=CC2=CC1(C)C")</f>
        <v>CC(C)N(C)CCN1C2C=CC=CC2=CC1(C)C</v>
      </c>
      <c r="C1714" s="7">
        <f>IFERROR(__xludf.DUMMYFUNCTION("""COMPUTED_VALUE"""),7.814256)</f>
        <v>7.814256</v>
      </c>
      <c r="D1714" s="7">
        <f>IFERROR(__xludf.DUMMYFUNCTION("""COMPUTED_VALUE"""),0.185185185185185)</f>
        <v>0.1851851852</v>
      </c>
    </row>
    <row r="1715">
      <c r="A1715" s="10" t="s">
        <v>3154</v>
      </c>
      <c r="B1715" s="7" t="str">
        <f>IFERROR(__xludf.DUMMYFUNCTION("SPLIT(A1715,"" "")"),"CN(Cc1cccc(-c2ccc3c(c2)OCCOCCOCCOCCOCCO3)n1)C1CCCCC1Nc1cccc(CF)n1")</f>
        <v>CN(Cc1cccc(-c2ccc3c(c2)OCCOCCOCCOCCOCCO3)n1)C1CCCCC1Nc1cccc(CF)n1</v>
      </c>
      <c r="C1715" s="7">
        <f>IFERROR(__xludf.DUMMYFUNCTION("""COMPUTED_VALUE"""),7.8142514)</f>
        <v>7.8142514</v>
      </c>
      <c r="D1715" s="7">
        <f>IFERROR(__xludf.DUMMYFUNCTION("""COMPUTED_VALUE"""),0.378787878787878)</f>
        <v>0.3787878788</v>
      </c>
    </row>
    <row r="1716">
      <c r="A1716" s="10" t="s">
        <v>3155</v>
      </c>
      <c r="B1716" s="7" t="str">
        <f>IFERROR(__xludf.DUMMYFUNCTION("SPLIT(A1716,"" "")"),"CC(C)NCN1CCN(C)CCN(C(C)(c2ccccn2)c2ccccn2)CC1")</f>
        <v>CC(C)NCN1CCN(C)CCN(C(C)(c2ccccn2)c2ccccn2)CC1</v>
      </c>
      <c r="C1716" s="7">
        <f>IFERROR(__xludf.DUMMYFUNCTION("""COMPUTED_VALUE"""),7.814231)</f>
        <v>7.814231</v>
      </c>
      <c r="D1716" s="7">
        <f>IFERROR(__xludf.DUMMYFUNCTION("""COMPUTED_VALUE"""),0.428571428571428)</f>
        <v>0.4285714286</v>
      </c>
    </row>
    <row r="1717">
      <c r="A1717" s="10" t="s">
        <v>3156</v>
      </c>
      <c r="B1717" s="7" t="str">
        <f>IFERROR(__xludf.DUMMYFUNCTION("SPLIT(A1717,"" "")"),"CCNCc1cc(CN(C)C2CCCC(N(C)Cc3ccon3)C2)ccn1")</f>
        <v>CCNCc1cc(CN(C)C2CCCC(N(C)Cc3ccon3)C2)ccn1</v>
      </c>
      <c r="C1717" s="7">
        <f>IFERROR(__xludf.DUMMYFUNCTION("""COMPUTED_VALUE"""),7.814228)</f>
        <v>7.814228</v>
      </c>
      <c r="D1717" s="7">
        <f>IFERROR(__xludf.DUMMYFUNCTION("""COMPUTED_VALUE"""),0.358490566037735)</f>
        <v>0.358490566</v>
      </c>
    </row>
    <row r="1718">
      <c r="A1718" s="10" t="s">
        <v>3157</v>
      </c>
      <c r="B1718" s="7" t="str">
        <f>IFERROR(__xludf.DUMMYFUNCTION("SPLIT(A1718,"" "")"),"CNCCN(C)CCN(C)CCN(C)CCN(C)CCN(C)CCN(C)CCN(C)CCN(C)CCN(C)CCN(C)CCN(C)CCN(C)CCN(C)CCN(C)CCN(C)CCN(C)CCN(C)CCN(C)CCN(C)CCN(C)CCN(C)CCN(C)CCN(C)CCN(C)CCN")</f>
        <v>CNCCN(C)CCN(C)CCN(C)CCN(C)CCN(C)CCN(C)CCN(C)CCN(C)CCN(C)CCN(C)CCN(C)CCN(C)CCN(C)CCN(C)CCN(C)CCN(C)CCN(C)CCN(C)CCN(C)CCN(C)CCN(C)CCN(C)CCN(C)CCN(C)CCN</v>
      </c>
      <c r="C1718" s="7">
        <f>IFERROR(__xludf.DUMMYFUNCTION("""COMPUTED_VALUE"""),7.8142233)</f>
        <v>7.8142233</v>
      </c>
      <c r="D1718" s="7">
        <f>IFERROR(__xludf.DUMMYFUNCTION("""COMPUTED_VALUE"""),0.189189189189189)</f>
        <v>0.1891891892</v>
      </c>
    </row>
    <row r="1719">
      <c r="A1719" s="10" t="s">
        <v>3158</v>
      </c>
      <c r="B1719" s="7" t="str">
        <f>IFERROR(__xludf.DUMMYFUNCTION("SPLIT(A1719,"" "")"),"CCOC(=O)C(=O)C(=O)C(C)NCc1cccc(CN2CCN(C)CCN(C)CC2)n1")</f>
        <v>CCOC(=O)C(=O)C(=O)C(C)NCc1cccc(CN2CCN(C)CCN(C)CC2)n1</v>
      </c>
      <c r="C1719" s="7">
        <f>IFERROR(__xludf.DUMMYFUNCTION("""COMPUTED_VALUE"""),7.8142123)</f>
        <v>7.8142123</v>
      </c>
      <c r="D1719" s="7">
        <f>IFERROR(__xludf.DUMMYFUNCTION("""COMPUTED_VALUE"""),0.462962962962962)</f>
        <v>0.462962963</v>
      </c>
    </row>
    <row r="1720">
      <c r="A1720" s="10" t="s">
        <v>3159</v>
      </c>
      <c r="B1720" s="7" t="str">
        <f>IFERROR(__xludf.DUMMYFUNCTION("SPLIT(A1720,"" "")"),"CN(Cc1cccc(-c2ccc3c(c2)OCCOCCOCCOCCOCCO3)n1)C1CCCCC1N(Cc1ccccn1)Cc1ccccc1F")</f>
        <v>CN(Cc1cccc(-c2ccc3c(c2)OCCOCCOCCOCCOCCO3)n1)C1CCCCC1N(Cc1ccccn1)Cc1ccccc1F</v>
      </c>
      <c r="C1720" s="7">
        <f>IFERROR(__xludf.DUMMYFUNCTION("""COMPUTED_VALUE"""),7.8142104)</f>
        <v>7.8142104</v>
      </c>
      <c r="D1720" s="7">
        <f>IFERROR(__xludf.DUMMYFUNCTION("""COMPUTED_VALUE"""),0.454545454545454)</f>
        <v>0.4545454545</v>
      </c>
    </row>
    <row r="1721">
      <c r="A1721" s="10" t="s">
        <v>3160</v>
      </c>
      <c r="B1721" s="7" t="str">
        <f>IFERROR(__xludf.DUMMYFUNCTION("SPLIT(A1721,"" "")"),"CN(Cc1cc(-c2ccc3c(c2)OCCOCCOCCOCCOCCO3)ccn1)C(C)(C)C")</f>
        <v>CN(Cc1cc(-c2ccc3c(c2)OCCOCCOCCOCCOCCO3)ccn1)C(C)(C)C</v>
      </c>
      <c r="C1721" s="7">
        <f>IFERROR(__xludf.DUMMYFUNCTION("""COMPUTED_VALUE"""),7.8142004)</f>
        <v>7.8142004</v>
      </c>
      <c r="D1721" s="7">
        <f>IFERROR(__xludf.DUMMYFUNCTION("""COMPUTED_VALUE"""),0.40983606557377)</f>
        <v>0.4098360656</v>
      </c>
    </row>
    <row r="1722">
      <c r="A1722" s="10" t="s">
        <v>3161</v>
      </c>
      <c r="B1722" s="7" t="str">
        <f>IFERROR(__xludf.DUMMYFUNCTION("SPLIT(A1722,"" "")"),"C=CCN(Cc1ccccn1)C1CCC(N(Cc2ccccn2)Cc2cccc(-c3ccc4c(c3)OCCOCCOCCOCCOCCO4)n2)CC1")</f>
        <v>C=CCN(Cc1ccccn1)C1CCC(N(Cc2ccccn2)Cc2cccc(-c3ccc4c(c3)OCCOCCOCCOCCOCCO4)n2)CC1</v>
      </c>
      <c r="C1722" s="7">
        <f>IFERROR(__xludf.DUMMYFUNCTION("""COMPUTED_VALUE"""),7.8141847)</f>
        <v>7.8141847</v>
      </c>
      <c r="D1722" s="7">
        <f>IFERROR(__xludf.DUMMYFUNCTION("""COMPUTED_VALUE"""),0.380281690140845)</f>
        <v>0.3802816901</v>
      </c>
    </row>
    <row r="1723">
      <c r="A1723" s="10" t="s">
        <v>3162</v>
      </c>
      <c r="B1723" s="7" t="str">
        <f>IFERROR(__xludf.DUMMYFUNCTION("SPLIT(A1723,"" "")"),"CC1C=CC(C(C)(C)C)C(C)(C)C1N(C)Cc1ccccn1")</f>
        <v>CC1C=CC(C(C)(C)C)C(C)(C)C1N(C)Cc1ccccn1</v>
      </c>
      <c r="C1723" s="7">
        <f>IFERROR(__xludf.DUMMYFUNCTION("""COMPUTED_VALUE"""),7.814184)</f>
        <v>7.814184</v>
      </c>
      <c r="D1723" s="7">
        <f>IFERROR(__xludf.DUMMYFUNCTION("""COMPUTED_VALUE"""),0.489361702127659)</f>
        <v>0.4893617021</v>
      </c>
    </row>
    <row r="1724">
      <c r="A1724" s="10" t="s">
        <v>3163</v>
      </c>
      <c r="B1724" s="7" t="str">
        <f>IFERROR(__xludf.DUMMYFUNCTION("SPLIT(A1724,"" "")"),"CN(Cc1cccnc1)C1CCCC(N(C)Cc2ccon2)C1")</f>
        <v>CN(Cc1cccnc1)C1CCCC(N(C)Cc2ccon2)C1</v>
      </c>
      <c r="C1724" s="7">
        <f>IFERROR(__xludf.DUMMYFUNCTION("""COMPUTED_VALUE"""),7.8141837)</f>
        <v>7.8141837</v>
      </c>
      <c r="D1724" s="7">
        <f>IFERROR(__xludf.DUMMYFUNCTION("""COMPUTED_VALUE"""),0.404255319148936)</f>
        <v>0.4042553191</v>
      </c>
    </row>
    <row r="1725">
      <c r="A1725" s="10" t="s">
        <v>3164</v>
      </c>
      <c r="B1725" s="7" t="str">
        <f>IFERROR(__xludf.DUMMYFUNCTION("SPLIT(A1725,"" "")"),"CC(C)C(C)(c1cccnc1)N(C)C1CCC(N(Cc2ccccn2)Cc2cccc(-c3ccc4c(c3)OCCOCCOCCOCCOCCO4)n2)CC1")</f>
        <v>CC(C)C(C)(c1cccnc1)N(C)C1CCC(N(Cc2ccccn2)Cc2cccc(-c3ccc4c(c3)OCCOCCOCCOCCOCCO4)n2)CC1</v>
      </c>
      <c r="C1725" s="7">
        <f>IFERROR(__xludf.DUMMYFUNCTION("""COMPUTED_VALUE"""),7.814183)</f>
        <v>7.814183</v>
      </c>
      <c r="D1725" s="7">
        <f>IFERROR(__xludf.DUMMYFUNCTION("""COMPUTED_VALUE"""),0.333333333333333)</f>
        <v>0.3333333333</v>
      </c>
    </row>
    <row r="1726">
      <c r="A1726" s="10" t="s">
        <v>3165</v>
      </c>
      <c r="B1726" s="7" t="str">
        <f>IFERROR(__xludf.DUMMYFUNCTION("SPLIT(A1726,"" "")"),"c1ccc2c(c1)OCCOCCOc1ccccc1OCCOCCO2")</f>
        <v>c1ccc2c(c1)OCCOCCOc1ccccc1OCCOCCO2</v>
      </c>
      <c r="C1726" s="7">
        <f>IFERROR(__xludf.DUMMYFUNCTION("""COMPUTED_VALUE"""),7.8141813)</f>
        <v>7.8141813</v>
      </c>
      <c r="D1726" s="7">
        <f>IFERROR(__xludf.DUMMYFUNCTION("""COMPUTED_VALUE"""),0.297872340425531)</f>
        <v>0.2978723404</v>
      </c>
    </row>
    <row r="1727">
      <c r="A1727" s="10" t="s">
        <v>3166</v>
      </c>
      <c r="B1727" s="7" t="str">
        <f>IFERROR(__xludf.DUMMYFUNCTION("SPLIT(A1727,"" "")"),"C1=C(CN(Cc2ccccn2)Cc2cccc(-c3ccc4c(c3)OCCOCCOCCOCCOCCO4)n2)C=C(c2ccc3c(c2)OCCOCCOCCOCCOCCO3)CC1")</f>
        <v>C1=C(CN(Cc2ccccn2)Cc2cccc(-c3ccc4c(c3)OCCOCCOCCOCCOCCO4)n2)C=C(c2ccc3c(c2)OCCOCCOCCOCCOCCO3)CC1</v>
      </c>
      <c r="C1727" s="7">
        <f>IFERROR(__xludf.DUMMYFUNCTION("""COMPUTED_VALUE"""),7.814163)</f>
        <v>7.814163</v>
      </c>
      <c r="D1727" s="7">
        <f>IFERROR(__xludf.DUMMYFUNCTION("""COMPUTED_VALUE"""),0.434782608695652)</f>
        <v>0.4347826087</v>
      </c>
    </row>
    <row r="1728">
      <c r="A1728" s="10" t="s">
        <v>3167</v>
      </c>
      <c r="B1728" s="7" t="str">
        <f>IFERROR(__xludf.DUMMYFUNCTION("SPLIT(A1728,"" "")"),"CC(C)N(C)C1=CCC=C(CN(C)C2CCCC(N(C)Cc3ccccn3)C2)N1")</f>
        <v>CC(C)N(C)C1=CCC=C(CN(C)C2CCCC(N(C)Cc3ccccn3)C2)N1</v>
      </c>
      <c r="C1728" s="7">
        <f>IFERROR(__xludf.DUMMYFUNCTION("""COMPUTED_VALUE"""),7.8141603)</f>
        <v>7.8141603</v>
      </c>
      <c r="D1728" s="7">
        <f>IFERROR(__xludf.DUMMYFUNCTION("""COMPUTED_VALUE"""),0.454545454545454)</f>
        <v>0.4545454545</v>
      </c>
    </row>
    <row r="1729">
      <c r="A1729" s="10" t="s">
        <v>3168</v>
      </c>
      <c r="B1729" s="7" t="str">
        <f>IFERROR(__xludf.DUMMYFUNCTION("SPLIT(A1729,"" "")"),"CC(C)(c1cccc(CN(Cc2ccccn2)Cc2cccc(-c3ccc4c(c3)OCCOCCOCCOCCOCCO4)n2)n1)c1cccc(C2CC3OCCOCCOCCOCCOCCOC32)n1")</f>
        <v>CC(C)(c1cccc(CN(Cc2ccccn2)Cc2cccc(-c3ccc4c(c3)OCCOCCOCCOCCOCCO4)n2)n1)c1cccc(C2CC3OCCOCCOCCOCCOCCOC32)n1</v>
      </c>
      <c r="C1729" s="7">
        <f>IFERROR(__xludf.DUMMYFUNCTION("""COMPUTED_VALUE"""),7.8141575)</f>
        <v>7.8141575</v>
      </c>
      <c r="D1729" s="7">
        <f>IFERROR(__xludf.DUMMYFUNCTION("""COMPUTED_VALUE"""),0.397435897435897)</f>
        <v>0.3974358974</v>
      </c>
    </row>
    <row r="1730">
      <c r="A1730" s="10" t="s">
        <v>3169</v>
      </c>
      <c r="B1730" s="7" t="str">
        <f>IFERROR(__xludf.DUMMYFUNCTION("SPLIT(A1730,"" "")"),"Cc1ccc(CN(C)C2=C(CN(C)Cc3ccc4c(c3)OCCOCCOCCOCCOCCO4)NC=CC2)nc1")</f>
        <v>Cc1ccc(CN(C)C2=C(CN(C)Cc3ccc4c(c3)OCCOCCOCCOCCOCCO4)NC=CC2)nc1</v>
      </c>
      <c r="C1730" s="7">
        <f>IFERROR(__xludf.DUMMYFUNCTION("""COMPUTED_VALUE"""),7.8141336)</f>
        <v>7.8141336</v>
      </c>
      <c r="D1730" s="7">
        <f>IFERROR(__xludf.DUMMYFUNCTION("""COMPUTED_VALUE"""),0.338709677419354)</f>
        <v>0.3387096774</v>
      </c>
    </row>
    <row r="1731">
      <c r="A1731" s="10" t="s">
        <v>3170</v>
      </c>
      <c r="B1731" s="7" t="str">
        <f>IFERROR(__xludf.DUMMYFUNCTION("SPLIT(A1731,"" "")"),"CC(C)N(C)Cc1ccc(-c2ccc3c(c2)OCCOCCOCCOCCOCCO3)nc1")</f>
        <v>CC(C)N(C)Cc1ccc(-c2ccc3c(c2)OCCOCCOCCOCCOCCO3)nc1</v>
      </c>
      <c r="C1731" s="7">
        <f>IFERROR(__xludf.DUMMYFUNCTION("""COMPUTED_VALUE"""),7.814106)</f>
        <v>7.814106</v>
      </c>
      <c r="D1731" s="7">
        <f>IFERROR(__xludf.DUMMYFUNCTION("""COMPUTED_VALUE"""),0.375)</f>
        <v>0.375</v>
      </c>
    </row>
    <row r="1732">
      <c r="A1732" s="10" t="s">
        <v>3171</v>
      </c>
      <c r="B1732" s="7" t="str">
        <f>IFERROR(__xludf.DUMMYFUNCTION("SPLIT(A1732,"" "")"),"Cc1ccc(CN(C)C2CCCC(N(C)Cc3cccc(-c4ccc5c(c4)OCCOCCOCCOCCOCCO5)n3)C2)nc1")</f>
        <v>Cc1ccc(CN(C)C2CCCC(N(C)Cc3cccc(-c4ccc5c(c4)OCCOCCOCCOCCOCCO5)n3)C2)nc1</v>
      </c>
      <c r="C1732" s="7">
        <f>IFERROR(__xludf.DUMMYFUNCTION("""COMPUTED_VALUE"""),7.8141055)</f>
        <v>7.8141055</v>
      </c>
      <c r="D1732" s="7">
        <f>IFERROR(__xludf.DUMMYFUNCTION("""COMPUTED_VALUE"""),0.416666666666666)</f>
        <v>0.4166666667</v>
      </c>
    </row>
    <row r="1733">
      <c r="A1733" s="10" t="s">
        <v>3172</v>
      </c>
      <c r="B1733" s="7" t="str">
        <f>IFERROR(__xludf.DUMMYFUNCTION("SPLIT(A1733,"" "")"),"CN(C1=CCC=CN1)C1CCCC(N(C)C2=CCC=CN2)C1")</f>
        <v>CN(C1=CCC=CN1)C1CCCC(N(C)C2=CCC=CN2)C1</v>
      </c>
      <c r="C1733" s="7">
        <f>IFERROR(__xludf.DUMMYFUNCTION("""COMPUTED_VALUE"""),7.8141036)</f>
        <v>7.8141036</v>
      </c>
      <c r="D1733" s="7">
        <f>IFERROR(__xludf.DUMMYFUNCTION("""COMPUTED_VALUE"""),0.254901960784313)</f>
        <v>0.2549019608</v>
      </c>
    </row>
    <row r="1734">
      <c r="A1734" s="10" t="s">
        <v>3173</v>
      </c>
      <c r="B1734" s="7" t="str">
        <f>IFERROR(__xludf.DUMMYFUNCTION("SPLIT(A1734,"" "")"),"CC1C=CCC(c2cccc(CN(Cc3ccccn3)C3CCC(N(C)Cc4ccc(-c5ccc6c(c5)OCCOCCOCCOCCOCCO6)cn4)CC3)n2)C1(C)C")</f>
        <v>CC1C=CCC(c2cccc(CN(Cc3ccccn3)C3CCC(N(C)Cc4ccc(-c5ccc6c(c5)OCCOCCOCCOCCOCCO6)cn4)CC3)n2)C1(C)C</v>
      </c>
      <c r="C1734" s="7">
        <f>IFERROR(__xludf.DUMMYFUNCTION("""COMPUTED_VALUE"""),7.8140945)</f>
        <v>7.8140945</v>
      </c>
      <c r="D1734" s="7">
        <f>IFERROR(__xludf.DUMMYFUNCTION("""COMPUTED_VALUE"""),0.367816091954023)</f>
        <v>0.367816092</v>
      </c>
    </row>
    <row r="1735">
      <c r="A1735" s="10" t="s">
        <v>3174</v>
      </c>
      <c r="B1735" s="7" t="str">
        <f>IFERROR(__xludf.DUMMYFUNCTION("SPLIT(A1735,"" "")"),"Cc1cccnc1CN(C)C1CCCC(N(C)Cc2cccc(-c3cccc4c3OCCOCCOCCOCCOCCO4)n2)C1")</f>
        <v>Cc1cccnc1CN(C)C1CCCC(N(C)Cc2cccc(-c3cccc4c3OCCOCCOCCOCCOCCO4)n2)C1</v>
      </c>
      <c r="C1735" s="7">
        <f>IFERROR(__xludf.DUMMYFUNCTION("""COMPUTED_VALUE"""),7.814085)</f>
        <v>7.814085</v>
      </c>
      <c r="D1735" s="7">
        <f>IFERROR(__xludf.DUMMYFUNCTION("""COMPUTED_VALUE"""),0.323529411764705)</f>
        <v>0.3235294118</v>
      </c>
    </row>
    <row r="1736">
      <c r="A1736" s="10" t="s">
        <v>3175</v>
      </c>
      <c r="B1736" s="7" t="str">
        <f>IFERROR(__xludf.DUMMYFUNCTION("SPLIT(A1736,"" "")"),"CCOC(=O)C(=O)C(=O)C(C)N1CCN(C)CCN(C(=O)C(C)C(C)C(=O)C(=O)C(C)C(C)C(C)C)CC1")</f>
        <v>CCOC(=O)C(=O)C(=O)C(C)N1CCN(C)CCN(C(=O)C(C)C(C)C(=O)C(=O)C(C)C(C)C(C)C)CC1</v>
      </c>
      <c r="C1736" s="7">
        <f>IFERROR(__xludf.DUMMYFUNCTION("""COMPUTED_VALUE"""),7.8140774)</f>
        <v>7.8140774</v>
      </c>
      <c r="D1736" s="7">
        <f>IFERROR(__xludf.DUMMYFUNCTION("""COMPUTED_VALUE"""),0.25)</f>
        <v>0.25</v>
      </c>
    </row>
    <row r="1737">
      <c r="A1737" s="10" t="s">
        <v>3176</v>
      </c>
      <c r="B1737" s="7" t="str">
        <f>IFERROR(__xludf.DUMMYFUNCTION("SPLIT(A1737,"" "")"),"Cc1cc(C)c(CN(C)C2CCCC(N(C)C(C)C)C2)nc1C")</f>
        <v>Cc1cc(C)c(CN(C)C2CCCC(N(C)C(C)C)C2)nc1C</v>
      </c>
      <c r="C1737" s="7">
        <f>IFERROR(__xludf.DUMMYFUNCTION("""COMPUTED_VALUE"""),7.8140726)</f>
        <v>7.8140726</v>
      </c>
      <c r="D1737" s="7">
        <f>IFERROR(__xludf.DUMMYFUNCTION("""COMPUTED_VALUE"""),0.272727272727272)</f>
        <v>0.2727272727</v>
      </c>
    </row>
    <row r="1738">
      <c r="A1738" s="10" t="s">
        <v>3177</v>
      </c>
      <c r="B1738" s="7" t="str">
        <f>IFERROR(__xludf.DUMMYFUNCTION("SPLIT(A1738,"" "")"),"CNCC1=CCC=CN1")</f>
        <v>CNCC1=CCC=CN1</v>
      </c>
      <c r="C1738" s="7">
        <f>IFERROR(__xludf.DUMMYFUNCTION("""COMPUTED_VALUE"""),7.814069)</f>
        <v>7.814069</v>
      </c>
      <c r="D1738" s="7">
        <f>IFERROR(__xludf.DUMMYFUNCTION("""COMPUTED_VALUE"""),0.372093023255813)</f>
        <v>0.3720930233</v>
      </c>
    </row>
    <row r="1739">
      <c r="A1739" s="10" t="s">
        <v>3178</v>
      </c>
      <c r="B1739" s="7" t="str">
        <f>IFERROR(__xludf.DUMMYFUNCTION("SPLIT(A1739,"" "")"),"CC(C)N(C)Cc1cncc(C2CC(C)(C)C2)c1CN1CCN(C)CCN(C)CC1")</f>
        <v>CC(C)N(C)Cc1cncc(C2CC(C)(C)C2)c1CN1CCN(C)CCN(C)CC1</v>
      </c>
      <c r="C1739" s="7">
        <f>IFERROR(__xludf.DUMMYFUNCTION("""COMPUTED_VALUE"""),7.814063)</f>
        <v>7.814063</v>
      </c>
      <c r="D1739" s="7">
        <f>IFERROR(__xludf.DUMMYFUNCTION("""COMPUTED_VALUE"""),0.285714285714285)</f>
        <v>0.2857142857</v>
      </c>
    </row>
    <row r="1740">
      <c r="A1740" s="10" t="s">
        <v>3179</v>
      </c>
      <c r="B1740" s="7" t="str">
        <f>IFERROR(__xludf.DUMMYFUNCTION("SPLIT(A1740,"" "")"),"CNCc1cc(CN(C)C2CCC(N(C)Cc3cc(C)ccn3)CC2)ccn1")</f>
        <v>CNCc1cc(CN(C)C2CCC(N(C)Cc3cc(C)ccn3)CC2)ccn1</v>
      </c>
      <c r="C1740" s="7">
        <f>IFERROR(__xludf.DUMMYFUNCTION("""COMPUTED_VALUE"""),7.814062)</f>
        <v>7.814062</v>
      </c>
      <c r="D1740" s="7">
        <f>IFERROR(__xludf.DUMMYFUNCTION("""COMPUTED_VALUE"""),0.365384615384615)</f>
        <v>0.3653846154</v>
      </c>
    </row>
    <row r="1741">
      <c r="A1741" s="10" t="s">
        <v>3180</v>
      </c>
      <c r="B1741" s="7" t="str">
        <f>IFERROR(__xludf.DUMMYFUNCTION("SPLIT(A1741,"" "")"),"Cc1cccc(CN(C)C2CCCC(N(C)Cc3cc(C)ccn3)C2)c1")</f>
        <v>Cc1cccc(CN(C)C2CCCC(N(C)Cc3cc(C)ccn3)C2)c1</v>
      </c>
      <c r="C1741" s="7">
        <f>IFERROR(__xludf.DUMMYFUNCTION("""COMPUTED_VALUE"""),7.814057)</f>
        <v>7.814057</v>
      </c>
      <c r="D1741" s="7">
        <f>IFERROR(__xludf.DUMMYFUNCTION("""COMPUTED_VALUE"""),0.392156862745098)</f>
        <v>0.3921568627</v>
      </c>
    </row>
    <row r="1742">
      <c r="A1742" s="10" t="s">
        <v>3181</v>
      </c>
      <c r="B1742" s="7" t="str">
        <f>IFERROR(__xludf.DUMMYFUNCTION("SPLIT(A1742,"" "")"),"CC1=C(C)C(C)C(N(C)CC2=CCC=CN2)CC1")</f>
        <v>CC1=C(C)C(C)C(N(C)CC2=CCC=CN2)CC1</v>
      </c>
      <c r="C1742" s="7">
        <f>IFERROR(__xludf.DUMMYFUNCTION("""COMPUTED_VALUE"""),7.814051)</f>
        <v>7.814051</v>
      </c>
      <c r="D1742" s="7">
        <f>IFERROR(__xludf.DUMMYFUNCTION("""COMPUTED_VALUE"""),0.345454545454545)</f>
        <v>0.3454545455</v>
      </c>
    </row>
    <row r="1743">
      <c r="A1743" s="10" t="s">
        <v>3182</v>
      </c>
      <c r="B1743" s="7" t="str">
        <f>IFERROR(__xludf.DUMMYFUNCTION("SPLIT(A1743,"" "")"),"CCOC(=O)C(C)NCc1cc(C(C)NCc2cc(CN3CCN(C)CCN(C)CC3)ccn2)ccn1")</f>
        <v>CCOC(=O)C(C)NCc1cc(C(C)NCc2cc(CN3CCN(C)CCN(C)CC3)ccn2)ccn1</v>
      </c>
      <c r="C1743" s="7">
        <f>IFERROR(__xludf.DUMMYFUNCTION("""COMPUTED_VALUE"""),7.814039)</f>
        <v>7.814039</v>
      </c>
      <c r="D1743" s="7">
        <f>IFERROR(__xludf.DUMMYFUNCTION("""COMPUTED_VALUE"""),0.492063492063492)</f>
        <v>0.4920634921</v>
      </c>
    </row>
    <row r="1744">
      <c r="A1744" s="10" t="s">
        <v>3183</v>
      </c>
      <c r="B1744" s="7" t="str">
        <f>IFERROR(__xludf.DUMMYFUNCTION("SPLIT(A1744,"" "")"),"COC(=O)C(=O)N1CCN(C)CCN(C(C)=O)CC1")</f>
        <v>COC(=O)C(=O)N1CCN(C)CCN(C(C)=O)CC1</v>
      </c>
      <c r="C1744" s="7">
        <f>IFERROR(__xludf.DUMMYFUNCTION("""COMPUTED_VALUE"""),7.8140182)</f>
        <v>7.8140182</v>
      </c>
      <c r="D1744" s="7">
        <f>IFERROR(__xludf.DUMMYFUNCTION("""COMPUTED_VALUE"""),0.307692307692307)</f>
        <v>0.3076923077</v>
      </c>
    </row>
    <row r="1745">
      <c r="A1745" s="10" t="s">
        <v>3184</v>
      </c>
      <c r="B1745" s="7" t="str">
        <f>IFERROR(__xludf.DUMMYFUNCTION("SPLIT(A1745,"" "")"),"CC(CN(Cc1ccccn1)Cc1ccccn1)(c1ccccc1)c1cccc2c1OCCOCCOCCOCCOCCO2")</f>
        <v>CC(CN(Cc1ccccn1)Cc1ccccn1)(c1ccccc1)c1cccc2c1OCCOCCOCCOCCOCCO2</v>
      </c>
      <c r="C1745" s="7">
        <f>IFERROR(__xludf.DUMMYFUNCTION("""COMPUTED_VALUE"""),7.8140006)</f>
        <v>7.8140006</v>
      </c>
      <c r="D1745" s="7">
        <f>IFERROR(__xludf.DUMMYFUNCTION("""COMPUTED_VALUE"""),0.410714285714285)</f>
        <v>0.4107142857</v>
      </c>
    </row>
    <row r="1746">
      <c r="A1746" s="10" t="s">
        <v>3185</v>
      </c>
      <c r="B1746" s="7" t="str">
        <f>IFERROR(__xludf.DUMMYFUNCTION("SPLIT(A1746,"" "")"),"CNCc1cc(-c2ccc3c(c2)OCCOCCOCCOCCOCCO3)ccn1")</f>
        <v>CNCc1cc(-c2ccc3c(c2)OCCOCCOCCOCCOCCO3)ccn1</v>
      </c>
      <c r="C1746" s="7">
        <f>IFERROR(__xludf.DUMMYFUNCTION("""COMPUTED_VALUE"""),7.8140006)</f>
        <v>7.8140006</v>
      </c>
      <c r="D1746" s="7">
        <f>IFERROR(__xludf.DUMMYFUNCTION("""COMPUTED_VALUE"""),0.43859649122807)</f>
        <v>0.4385964912</v>
      </c>
    </row>
    <row r="1747">
      <c r="A1747" s="10" t="s">
        <v>3186</v>
      </c>
      <c r="B1747" s="7" t="str">
        <f>IFERROR(__xludf.DUMMYFUNCTION("SPLIT(A1747,"" "")"),"CC1=CC(C)CCC1(C)c1ccc(CN(Cc2ccccn2)C2CCCCC2)cn1")</f>
        <v>CC1=CC(C)CCC1(C)c1ccc(CN(Cc2ccccn2)C2CCCCC2)cn1</v>
      </c>
      <c r="C1747" s="7">
        <f>IFERROR(__xludf.DUMMYFUNCTION("""COMPUTED_VALUE"""),7.8139997)</f>
        <v>7.8139997</v>
      </c>
      <c r="D1747" s="7">
        <f>IFERROR(__xludf.DUMMYFUNCTION("""COMPUTED_VALUE"""),0.370967741935483)</f>
        <v>0.3709677419</v>
      </c>
    </row>
    <row r="1748">
      <c r="A1748" s="10" t="s">
        <v>3187</v>
      </c>
      <c r="B1748" s="7" t="str">
        <f>IFERROR(__xludf.DUMMYFUNCTION("SPLIT(A1748,"" "")"),"CCNCCN(C)CCN(C)CCN(C)CCN(C)CCN(C)CCN(C)CCN(C)CCN(C)CCN(C)CCN(C)CCN(C)CCN(C)CCN(C)CCN(C)CCN(C)CCN(C)CCN(C)CCN(C)CCN(C)CCN(C)CCN(C)CCN(C)CCN(C)CCN(C)CCNC")</f>
        <v>CCNCCN(C)CCN(C)CCN(C)CCN(C)CCN(C)CCN(C)CCN(C)CCN(C)CCN(C)CCN(C)CCN(C)CCN(C)CCN(C)CCN(C)CCN(C)CCN(C)CCN(C)CCN(C)CCN(C)CCN(C)CCN(C)CCN(C)CCN(C)CCN(C)CCNC</v>
      </c>
      <c r="C1748" s="7">
        <f>IFERROR(__xludf.DUMMYFUNCTION("""COMPUTED_VALUE"""),7.8139873)</f>
        <v>7.8139873</v>
      </c>
      <c r="D1748" s="7">
        <f>IFERROR(__xludf.DUMMYFUNCTION("""COMPUTED_VALUE"""),0.184210526315789)</f>
        <v>0.1842105263</v>
      </c>
    </row>
    <row r="1749">
      <c r="A1749" s="10" t="s">
        <v>3188</v>
      </c>
      <c r="B1749" s="7" t="str">
        <f>IFERROR(__xludf.DUMMYFUNCTION("SPLIT(A1749,"" "")"),"CC(C)c1cccc(CNCNCF)n1")</f>
        <v>CC(C)c1cccc(CNCNCF)n1</v>
      </c>
      <c r="C1749" s="7">
        <f>IFERROR(__xludf.DUMMYFUNCTION("""COMPUTED_VALUE"""),7.813986)</f>
        <v>7.813986</v>
      </c>
      <c r="D1749" s="7">
        <f>IFERROR(__xludf.DUMMYFUNCTION("""COMPUTED_VALUE"""),0.295454545454545)</f>
        <v>0.2954545455</v>
      </c>
    </row>
    <row r="1750">
      <c r="A1750" s="10" t="s">
        <v>3189</v>
      </c>
      <c r="B1750" s="7" t="str">
        <f>IFERROR(__xludf.DUMMYFUNCTION("SPLIT(A1750,"" "")"),"CCNC1=C(C)CC(C)(C)CC1")</f>
        <v>CCNC1=C(C)CC(C)(C)CC1</v>
      </c>
      <c r="C1750" s="7">
        <f>IFERROR(__xludf.DUMMYFUNCTION("""COMPUTED_VALUE"""),7.8139763)</f>
        <v>7.8139763</v>
      </c>
      <c r="D1750" s="7">
        <f>IFERROR(__xludf.DUMMYFUNCTION("""COMPUTED_VALUE"""),0.148148148148148)</f>
        <v>0.1481481481</v>
      </c>
    </row>
    <row r="1751">
      <c r="A1751" s="10" t="s">
        <v>3190</v>
      </c>
      <c r="B1751" s="7" t="str">
        <f>IFERROR(__xludf.DUMMYFUNCTION("SPLIT(A1751,"" "")"),"Cc1cc2c(c(-c3ccc(CN(C)C4CCC(N(C)Cc5ccc(-c6ccc7c(c6)OCCOCCOCCOCCOCCO7)cn5)CC4)cn3)c1)OCCOCCOCCOCCOCCO2")</f>
        <v>Cc1cc2c(c(-c3ccc(CN(C)C4CCC(N(C)Cc5ccc(-c6ccc7c(c6)OCCOCCOCCOCCOCCO7)cn5)CC4)cn3)c1)OCCOCCOCCOCCOCCO2</v>
      </c>
      <c r="C1751" s="7">
        <f>IFERROR(__xludf.DUMMYFUNCTION("""COMPUTED_VALUE"""),7.813967)</f>
        <v>7.813967</v>
      </c>
      <c r="D1751" s="7">
        <f>IFERROR(__xludf.DUMMYFUNCTION("""COMPUTED_VALUE"""),0.426666666666666)</f>
        <v>0.4266666667</v>
      </c>
    </row>
    <row r="1752">
      <c r="A1752" s="10" t="s">
        <v>3191</v>
      </c>
      <c r="B1752" s="7" t="str">
        <f>IFERROR(__xludf.DUMMYFUNCTION("SPLIT(A1752,"" "")"),"CC1=CC(C)(N(C)Cc2ccccn2)C(C)C(C)C1")</f>
        <v>CC1=CC(C)(N(C)Cc2ccccn2)C(C)C(C)C1</v>
      </c>
      <c r="C1752" s="7">
        <f>IFERROR(__xludf.DUMMYFUNCTION("""COMPUTED_VALUE"""),7.813957)</f>
        <v>7.813957</v>
      </c>
      <c r="D1752" s="7">
        <f>IFERROR(__xludf.DUMMYFUNCTION("""COMPUTED_VALUE"""),0.428571428571428)</f>
        <v>0.4285714286</v>
      </c>
    </row>
    <row r="1753">
      <c r="A1753" s="10" t="s">
        <v>3192</v>
      </c>
      <c r="B1753" s="7" t="str">
        <f>IFERROR(__xludf.DUMMYFUNCTION("SPLIT(A1753,"" "")"),"CC1=CC(C)C(C)(C)C(C)C1N(C)Cc1ccccn1")</f>
        <v>CC1=CC(C)C(C)(C)C(C)C1N(C)Cc1ccccn1</v>
      </c>
      <c r="C1753" s="7">
        <f>IFERROR(__xludf.DUMMYFUNCTION("""COMPUTED_VALUE"""),7.813954)</f>
        <v>7.813954</v>
      </c>
      <c r="D1753" s="7">
        <f>IFERROR(__xludf.DUMMYFUNCTION("""COMPUTED_VALUE"""),0.468085106382978)</f>
        <v>0.4680851064</v>
      </c>
    </row>
    <row r="1754">
      <c r="A1754" s="10" t="s">
        <v>3193</v>
      </c>
      <c r="B1754" s="7" t="str">
        <f>IFERROR(__xludf.DUMMYFUNCTION("SPLIT(A1754,"" "")"),"Cc1cc(C)c(C)c(CN(C)CN(C)C2CCCC(N(C)C(C)C)C2)n1")</f>
        <v>Cc1cc(C)c(C)c(CN(C)CN(C)C2CCCC(N(C)C(C)C)C2)n1</v>
      </c>
      <c r="C1754" s="7">
        <f>IFERROR(__xludf.DUMMYFUNCTION("""COMPUTED_VALUE"""),7.81393)</f>
        <v>7.81393</v>
      </c>
      <c r="D1754" s="7">
        <f>IFERROR(__xludf.DUMMYFUNCTION("""COMPUTED_VALUE"""),0.271186440677966)</f>
        <v>0.2711864407</v>
      </c>
    </row>
    <row r="1755">
      <c r="A1755" s="10" t="s">
        <v>3194</v>
      </c>
      <c r="B1755" s="7" t="str">
        <f>IFERROR(__xludf.DUMMYFUNCTION("SPLIT(A1755,"" "")"),"CN(Cc1ccc(-c2ccc3c(c2)OCCOCCOCCOCCOCCO3)cn1)C1CCCCC1Nc1cccc(CF)n1")</f>
        <v>CN(Cc1ccc(-c2ccc3c(c2)OCCOCCOCCOCCOCCO3)cn1)C1CCCCC1Nc1cccc(CF)n1</v>
      </c>
      <c r="C1755" s="7">
        <f>IFERROR(__xludf.DUMMYFUNCTION("""COMPUTED_VALUE"""),7.8139105)</f>
        <v>7.8139105</v>
      </c>
      <c r="D1755" s="7">
        <f>IFERROR(__xludf.DUMMYFUNCTION("""COMPUTED_VALUE"""),0.44)</f>
        <v>0.44</v>
      </c>
    </row>
    <row r="1756">
      <c r="A1756" s="10" t="s">
        <v>3195</v>
      </c>
      <c r="B1756" s="7" t="str">
        <f>IFERROR(__xludf.DUMMYFUNCTION("SPLIT(A1756,"" "")"),"Cc1cnc(C(C)(C)C)c(CN2CCN(C)CCN(C)CC2)c1")</f>
        <v>Cc1cnc(C(C)(C)C)c(CN2CCN(C)CCN(C)CC2)c1</v>
      </c>
      <c r="C1756" s="7">
        <f>IFERROR(__xludf.DUMMYFUNCTION("""COMPUTED_VALUE"""),7.813902)</f>
        <v>7.813902</v>
      </c>
      <c r="D1756" s="7">
        <f>IFERROR(__xludf.DUMMYFUNCTION("""COMPUTED_VALUE"""),0.454545454545454)</f>
        <v>0.4545454545</v>
      </c>
    </row>
    <row r="1757">
      <c r="A1757" s="10" t="s">
        <v>3196</v>
      </c>
      <c r="B1757" s="7" t="str">
        <f>IFERROR(__xludf.DUMMYFUNCTION("SPLIT(A1757,"" "")"),"Cc1cccnc1CN(C)C1CCCC(N(C)Cc2cccc(-c3ccc4c(c3)OCCOCCOCCOCCOCCO4)n2)C1")</f>
        <v>Cc1cccnc1CN(C)C1CCCC(N(C)Cc2cccc(-c3ccc4c(c3)OCCOCCOCCOCCOCCO4)n2)C1</v>
      </c>
      <c r="C1757" s="7">
        <f>IFERROR(__xludf.DUMMYFUNCTION("""COMPUTED_VALUE"""),7.8138967)</f>
        <v>7.8138967</v>
      </c>
      <c r="D1757" s="7">
        <f>IFERROR(__xludf.DUMMYFUNCTION("""COMPUTED_VALUE"""),0.35064935064935)</f>
        <v>0.3506493506</v>
      </c>
    </row>
    <row r="1758">
      <c r="A1758" s="10" t="s">
        <v>3197</v>
      </c>
      <c r="B1758" s="7" t="str">
        <f>IFERROR(__xludf.DUMMYFUNCTION("SPLIT(A1758,"" "")"),"CN(Cc1ccccn1)C1CCC(N(C)Cc2ccc(C3CC(Cl)C3Cl)cn2)CC1")</f>
        <v>CN(Cc1ccccn1)C1CCC(N(C)Cc2ccc(C3CC(Cl)C3Cl)cn2)CC1</v>
      </c>
      <c r="C1758" s="7">
        <f>IFERROR(__xludf.DUMMYFUNCTION("""COMPUTED_VALUE"""),7.8138947)</f>
        <v>7.8138947</v>
      </c>
      <c r="D1758" s="7">
        <f>IFERROR(__xludf.DUMMYFUNCTION("""COMPUTED_VALUE"""),0.470588235294117)</f>
        <v>0.4705882353</v>
      </c>
    </row>
    <row r="1759">
      <c r="A1759" s="10" t="s">
        <v>3198</v>
      </c>
      <c r="B1759" s="7" t="str">
        <f>IFERROR(__xludf.DUMMYFUNCTION("SPLIT(A1759,"" "")"),"c1ccc(CN(Cc2ccccn2)c2ccc3c(c2)OCCOCCOCCOCCOCCO3)cc1")</f>
        <v>c1ccc(CN(Cc2ccccn2)c2ccc3c(c2)OCCOCCOCCOCCOCCO3)cc1</v>
      </c>
      <c r="C1759" s="7">
        <f>IFERROR(__xludf.DUMMYFUNCTION("""COMPUTED_VALUE"""),7.813891)</f>
        <v>7.813891</v>
      </c>
      <c r="D1759" s="7">
        <f>IFERROR(__xludf.DUMMYFUNCTION("""COMPUTED_VALUE"""),0.369565217391304)</f>
        <v>0.3695652174</v>
      </c>
    </row>
    <row r="1760">
      <c r="A1760" s="10" t="s">
        <v>3199</v>
      </c>
      <c r="B1760" s="7" t="str">
        <f>IFERROR(__xludf.DUMMYFUNCTION("SPLIT(A1760,"" "")"),"Cc1cccnc1CNCC1CCCN1Cc1cccc(-c2ccc3c(c2)OCCOCCOCCOCCOCCO3)n1")</f>
        <v>Cc1cccnc1CNCC1CCCN1Cc1cccc(-c2ccc3c(c2)OCCOCCOCCOCCOCCO3)n1</v>
      </c>
      <c r="C1760" s="7">
        <f>IFERROR(__xludf.DUMMYFUNCTION("""COMPUTED_VALUE"""),7.8138876)</f>
        <v>7.8138876</v>
      </c>
      <c r="D1760" s="7">
        <f>IFERROR(__xludf.DUMMYFUNCTION("""COMPUTED_VALUE"""),0.447368421052631)</f>
        <v>0.4473684211</v>
      </c>
    </row>
    <row r="1761">
      <c r="A1761" s="10" t="s">
        <v>3200</v>
      </c>
      <c r="B1761" s="7" t="str">
        <f>IFERROR(__xludf.DUMMYFUNCTION("SPLIT(A1761,"" "")"),"Cc1cccnc1CN1CCN(C)CCN(Cc2c(C)ccnc2C)CC1")</f>
        <v>Cc1cccnc1CN1CCN(C)CCN(Cc2c(C)ccnc2C)CC1</v>
      </c>
      <c r="C1761" s="7">
        <f>IFERROR(__xludf.DUMMYFUNCTION("""COMPUTED_VALUE"""),7.8138866)</f>
        <v>7.8138866</v>
      </c>
      <c r="D1761" s="7">
        <f>IFERROR(__xludf.DUMMYFUNCTION("""COMPUTED_VALUE"""),0.456521739130434)</f>
        <v>0.4565217391</v>
      </c>
    </row>
    <row r="1762">
      <c r="A1762" s="10" t="s">
        <v>3201</v>
      </c>
      <c r="B1762" s="7" t="str">
        <f>IFERROR(__xludf.DUMMYFUNCTION("SPLIT(A1762,"" "")"),"Cc1cccc(CN(C)C2CCCC(N(C)Cc3cccc(-c4cccc5c4OCCOCCOCCOCCOCCO5)n3)C2)n1")</f>
        <v>Cc1cccc(CN(C)C2CCCC(N(C)Cc3cccc(-c4cccc5c4OCCOCCOCCOCCOCCO5)n3)C2)n1</v>
      </c>
      <c r="C1762" s="7">
        <f>IFERROR(__xludf.DUMMYFUNCTION("""COMPUTED_VALUE"""),7.8138847)</f>
        <v>7.8138847</v>
      </c>
      <c r="D1762" s="7">
        <f>IFERROR(__xludf.DUMMYFUNCTION("""COMPUTED_VALUE"""),0.456140350877192)</f>
        <v>0.4561403509</v>
      </c>
    </row>
    <row r="1763">
      <c r="A1763" s="10" t="s">
        <v>3202</v>
      </c>
      <c r="B1763" s="7" t="str">
        <f>IFERROR(__xludf.DUMMYFUNCTION("SPLIT(A1763,"" "")"),"Cc1cncc(CN(C)C2CCCC(N(C)Cc3cccnn3)C2)c1")</f>
        <v>Cc1cncc(CN(C)C2CCCC(N(C)Cc3cccnn3)C2)c1</v>
      </c>
      <c r="C1763" s="7">
        <f>IFERROR(__xludf.DUMMYFUNCTION("""COMPUTED_VALUE"""),7.813872)</f>
        <v>7.813872</v>
      </c>
      <c r="D1763" s="7">
        <f>IFERROR(__xludf.DUMMYFUNCTION("""COMPUTED_VALUE"""),0.4)</f>
        <v>0.4</v>
      </c>
    </row>
    <row r="1764">
      <c r="A1764" s="10" t="s">
        <v>3203</v>
      </c>
      <c r="B1764" s="7" t="str">
        <f>IFERROR(__xludf.DUMMYFUNCTION("SPLIT(A1764,"" "")"),"CCN(C)Cc1cc(CN(C)C2CCC(N(C)Cc3cc(C)ccn3)CC2)ccn1")</f>
        <v>CCN(C)Cc1cc(CN(C)C2CCC(N(C)Cc3cc(C)ccn3)CC2)ccn1</v>
      </c>
      <c r="C1764" s="7">
        <f>IFERROR(__xludf.DUMMYFUNCTION("""COMPUTED_VALUE"""),7.8138556)</f>
        <v>7.8138556</v>
      </c>
      <c r="D1764" s="7">
        <f>IFERROR(__xludf.DUMMYFUNCTION("""COMPUTED_VALUE"""),0.4)</f>
        <v>0.4</v>
      </c>
    </row>
    <row r="1765">
      <c r="A1765" s="10" t="s">
        <v>3204</v>
      </c>
      <c r="B1765" s="7" t="str">
        <f>IFERROR(__xludf.DUMMYFUNCTION("SPLIT(A1765,"" "")"),"CN(Cc1cccc(C2=CCC=CN2)n1)C1CCCCC1")</f>
        <v>CN(Cc1cccc(C2=CCC=CN2)n1)C1CCCCC1</v>
      </c>
      <c r="C1765" s="7">
        <f>IFERROR(__xludf.DUMMYFUNCTION("""COMPUTED_VALUE"""),7.813853)</f>
        <v>7.813853</v>
      </c>
      <c r="D1765" s="7">
        <f>IFERROR(__xludf.DUMMYFUNCTION("""COMPUTED_VALUE"""),0.415094339622641)</f>
        <v>0.4150943396</v>
      </c>
    </row>
    <row r="1766">
      <c r="A1766" s="10" t="s">
        <v>3205</v>
      </c>
      <c r="B1766" s="7" t="str">
        <f>IFERROR(__xludf.DUMMYFUNCTION("SPLIT(A1766,"" "")"),"CCNCc1cccc(CN(Cc2ccccn2)c2cccc3c2OCCOCCOCCOCCOCCO3)n1")</f>
        <v>CCNCc1cccc(CN(Cc2ccccn2)c2cccc3c2OCCOCCOCCOCCOCCO3)n1</v>
      </c>
      <c r="C1766" s="7">
        <f>IFERROR(__xludf.DUMMYFUNCTION("""COMPUTED_VALUE"""),7.813852)</f>
        <v>7.813852</v>
      </c>
      <c r="D1766" s="7">
        <f>IFERROR(__xludf.DUMMYFUNCTION("""COMPUTED_VALUE"""),0.338709677419354)</f>
        <v>0.3387096774</v>
      </c>
    </row>
    <row r="1767">
      <c r="A1767" s="10" t="s">
        <v>3206</v>
      </c>
      <c r="B1767" s="7" t="str">
        <f>IFERROR(__xludf.DUMMYFUNCTION("SPLIT(A1767,"" "")"),"Cc1ccnc(CN(C)C2CCC(N(C)Cc3cccc(CN(C)C4CCC(N(C)Cc5cccc(-c6ccc7c(c6)OCCOCCOCCOCCOCCO7)n5)CC4)n3)CC2)c1C")</f>
        <v>Cc1ccnc(CN(C)C2CCC(N(C)Cc3cccc(CN(C)C4CCC(N(C)Cc5cccc(-c6ccc7c(c6)OCCOCCOCCOCCOCCO7)n5)CC4)n3)CC2)c1C</v>
      </c>
      <c r="C1767" s="7">
        <f>IFERROR(__xludf.DUMMYFUNCTION("""COMPUTED_VALUE"""),7.813844)</f>
        <v>7.813844</v>
      </c>
      <c r="D1767" s="7">
        <f>IFERROR(__xludf.DUMMYFUNCTION("""COMPUTED_VALUE"""),0.337662337662337)</f>
        <v>0.3376623377</v>
      </c>
    </row>
    <row r="1768">
      <c r="A1768" s="10" t="s">
        <v>3207</v>
      </c>
      <c r="B1768" s="7" t="str">
        <f>IFERROR(__xludf.DUMMYFUNCTION("SPLIT(A1768,"" "")"),"Cc1cnc(CN(C)C2CCCC(N(C)C)C2)c(C)c1")</f>
        <v>Cc1cnc(CN(C)C2CCCC(N(C)C)C2)c(C)c1</v>
      </c>
      <c r="C1768" s="7">
        <f>IFERROR(__xludf.DUMMYFUNCTION("""COMPUTED_VALUE"""),7.8138437)</f>
        <v>7.8138437</v>
      </c>
      <c r="D1768" s="7">
        <f>IFERROR(__xludf.DUMMYFUNCTION("""COMPUTED_VALUE"""),0.36734693877551)</f>
        <v>0.3673469388</v>
      </c>
    </row>
    <row r="1769">
      <c r="A1769" s="10" t="s">
        <v>3208</v>
      </c>
      <c r="B1769" s="7" t="str">
        <f>IFERROR(__xludf.DUMMYFUNCTION("SPLIT(A1769,"" "")"),"CC(C)c1ncccc1CN(Cc1ccccn1)C1CCCCC1")</f>
        <v>CC(C)c1ncccc1CN(Cc1ccccn1)C1CCCCC1</v>
      </c>
      <c r="C1769" s="7">
        <f>IFERROR(__xludf.DUMMYFUNCTION("""COMPUTED_VALUE"""),7.81384)</f>
        <v>7.81384</v>
      </c>
      <c r="D1769" s="7">
        <f>IFERROR(__xludf.DUMMYFUNCTION("""COMPUTED_VALUE"""),0.479166666666666)</f>
        <v>0.4791666667</v>
      </c>
    </row>
    <row r="1770">
      <c r="A1770" s="10" t="s">
        <v>3209</v>
      </c>
      <c r="B1770" s="7" t="str">
        <f>IFERROR(__xludf.DUMMYFUNCTION("SPLIT(A1770,"" "")"),"Cc1cccnc1CN(C)C1=C(CN(C)Cc2ccc3c(c2)OCCOCCOCCOCCOCCO3)NC=CC1")</f>
        <v>Cc1cccnc1CN(C)C1=C(CN(C)Cc2ccc3c(c2)OCCOCCOCCOCCOCCO3)NC=CC1</v>
      </c>
      <c r="C1770" s="7">
        <f>IFERROR(__xludf.DUMMYFUNCTION("""COMPUTED_VALUE"""),7.8138328)</f>
        <v>7.8138328</v>
      </c>
      <c r="D1770" s="7">
        <f>IFERROR(__xludf.DUMMYFUNCTION("""COMPUTED_VALUE"""),0.240963855421686)</f>
        <v>0.2409638554</v>
      </c>
    </row>
    <row r="1771">
      <c r="A1771" s="10" t="s">
        <v>3210</v>
      </c>
      <c r="B1771" s="7" t="str">
        <f>IFERROR(__xludf.DUMMYFUNCTION("SPLIT(A1771,"" "")"),"Cc1cccnc1CN(C)C1CCCC(N(C)Cc2ncccc2-c2cccc3c2OCCOCCOCCOCCOCCO3)C1")</f>
        <v>Cc1cccnc1CN(C)C1CCCC(N(C)Cc2ncccc2-c2cccc3c2OCCOCCOCCOCCOCCO3)C1</v>
      </c>
      <c r="C1771" s="7">
        <f>IFERROR(__xludf.DUMMYFUNCTION("""COMPUTED_VALUE"""),7.8138294)</f>
        <v>7.8138294</v>
      </c>
      <c r="D1771" s="7">
        <f>IFERROR(__xludf.DUMMYFUNCTION("""COMPUTED_VALUE"""),0.28125)</f>
        <v>0.28125</v>
      </c>
    </row>
    <row r="1772">
      <c r="A1772" s="10" t="s">
        <v>3211</v>
      </c>
      <c r="B1772" s="7" t="str">
        <f>IFERROR(__xludf.DUMMYFUNCTION("SPLIT(A1772,"" "")"),"CC(C)N(C)Cc1cc(N2CCN(C)CCN(C)CC2)ccn1")</f>
        <v>CC(C)N(C)Cc1cc(N2CCN(C)CCN(C)CC2)ccn1</v>
      </c>
      <c r="C1772" s="7">
        <f>IFERROR(__xludf.DUMMYFUNCTION("""COMPUTED_VALUE"""),7.8138094)</f>
        <v>7.8138094</v>
      </c>
      <c r="D1772" s="7">
        <f>IFERROR(__xludf.DUMMYFUNCTION("""COMPUTED_VALUE"""),0.42)</f>
        <v>0.42</v>
      </c>
    </row>
    <row r="1773">
      <c r="A1773" s="10" t="s">
        <v>3212</v>
      </c>
      <c r="B1773" s="7" t="str">
        <f>IFERROR(__xludf.DUMMYFUNCTION("SPLIT(A1773,"" "")"),"CN(Cc1ccon1)C1CCC(N(C)Cc2cccc(-c3cccc4c3OCCOCCOCCOCCOCCO4)n2)CC1")</f>
        <v>CN(Cc1ccon1)C1CCC(N(C)Cc2cccc(-c3cccc4c3OCCOCCOCCOCCOCCO4)n2)CC1</v>
      </c>
      <c r="C1773" s="7">
        <f>IFERROR(__xludf.DUMMYFUNCTION("""COMPUTED_VALUE"""),7.8138075)</f>
        <v>7.8138075</v>
      </c>
      <c r="D1773" s="7">
        <f>IFERROR(__xludf.DUMMYFUNCTION("""COMPUTED_VALUE"""),0.327586206896551)</f>
        <v>0.3275862069</v>
      </c>
    </row>
    <row r="1774">
      <c r="A1774" s="10" t="s">
        <v>3213</v>
      </c>
      <c r="B1774" s="7" t="str">
        <f>IFERROR(__xludf.DUMMYFUNCTION("SPLIT(A1774,"" "")"),"Cc1ccc(CN(C)C2=C(CN3CCN(C)CCN(C)CC3)NC=CC2)cn1")</f>
        <v>Cc1ccc(CN(C)C2=C(CN3CCN(C)CCN(C)CC3)NC=CC2)cn1</v>
      </c>
      <c r="C1774" s="7">
        <f>IFERROR(__xludf.DUMMYFUNCTION("""COMPUTED_VALUE"""),7.813807)</f>
        <v>7.813807</v>
      </c>
      <c r="D1774" s="7">
        <f>IFERROR(__xludf.DUMMYFUNCTION("""COMPUTED_VALUE"""),0.327586206896551)</f>
        <v>0.3275862069</v>
      </c>
    </row>
    <row r="1775">
      <c r="A1775" s="10" t="s">
        <v>3214</v>
      </c>
      <c r="B1775" s="7" t="str">
        <f>IFERROR(__xludf.DUMMYFUNCTION("SPLIT(A1775,"" "")"),"CC(C)C(C)(c1cccnc1)N(Cc1ccccn1)C1CCCCC1N(C)Cc1cccc(-c2ccc3c(c2)OCCOCCOCCOCCOCCO3)n1")</f>
        <v>CC(C)C(C)(c1cccnc1)N(Cc1ccccn1)C1CCCCC1N(C)Cc1cccc(-c2ccc3c(c2)OCCOCCOCCOCCOCCO3)n1</v>
      </c>
      <c r="C1775" s="7">
        <f>IFERROR(__xludf.DUMMYFUNCTION("""COMPUTED_VALUE"""),7.813805)</f>
        <v>7.813805</v>
      </c>
      <c r="D1775" s="7">
        <f>IFERROR(__xludf.DUMMYFUNCTION("""COMPUTED_VALUE"""),0.4)</f>
        <v>0.4</v>
      </c>
    </row>
    <row r="1776">
      <c r="A1776" s="10" t="s">
        <v>3215</v>
      </c>
      <c r="B1776" s="7" t="str">
        <f>IFERROR(__xludf.DUMMYFUNCTION("SPLIT(A1776,"" "")"),"CC(C)N(C)Cc1cc(-c2ccc3c(c2)OCCOCCOCCOCCOCCO3)ccn1")</f>
        <v>CC(C)N(C)Cc1cc(-c2ccc3c(c2)OCCOCCOCCOCCOCCO3)ccn1</v>
      </c>
      <c r="C1776" s="7">
        <f>IFERROR(__xludf.DUMMYFUNCTION("""COMPUTED_VALUE"""),7.813802)</f>
        <v>7.813802</v>
      </c>
      <c r="D1776" s="7">
        <f>IFERROR(__xludf.DUMMYFUNCTION("""COMPUTED_VALUE"""),0.40983606557377)</f>
        <v>0.4098360656</v>
      </c>
    </row>
    <row r="1777">
      <c r="A1777" s="10" t="s">
        <v>3216</v>
      </c>
      <c r="B1777" s="7" t="str">
        <f>IFERROR(__xludf.DUMMYFUNCTION("SPLIT(A1777,"" "")"),"CC1=C(C)C(C)CC(c2ncccc2CN(Cc2ccccn2)C2CCCCC2)C1")</f>
        <v>CC1=C(C)C(C)CC(c2ncccc2CN(Cc2ccccn2)C2CCCCC2)C1</v>
      </c>
      <c r="C1777" s="7">
        <f>IFERROR(__xludf.DUMMYFUNCTION("""COMPUTED_VALUE"""),7.8138013)</f>
        <v>7.8138013</v>
      </c>
      <c r="D1777" s="7">
        <f>IFERROR(__xludf.DUMMYFUNCTION("""COMPUTED_VALUE"""),0.389830508474576)</f>
        <v>0.3898305085</v>
      </c>
    </row>
    <row r="1778">
      <c r="A1778" s="10" t="s">
        <v>3217</v>
      </c>
      <c r="B1778" s="7" t="str">
        <f>IFERROR(__xludf.DUMMYFUNCTION("SPLIT(A1778,"" "")"),"Cc1cncc(CN(C)C2CCC(N(C)Cc3cccc(CF)n3)CC2)c1")</f>
        <v>Cc1cncc(CN(C)C2CCC(N(C)Cc3cccc(CF)n3)CC2)c1</v>
      </c>
      <c r="C1778" s="7">
        <f>IFERROR(__xludf.DUMMYFUNCTION("""COMPUTED_VALUE"""),7.8138)</f>
        <v>7.8138</v>
      </c>
      <c r="D1778" s="7">
        <f>IFERROR(__xludf.DUMMYFUNCTION("""COMPUTED_VALUE"""),0.396226415094339)</f>
        <v>0.3962264151</v>
      </c>
    </row>
    <row r="1779">
      <c r="A1779" s="10" t="s">
        <v>3218</v>
      </c>
      <c r="B1779" s="7" t="str">
        <f>IFERROR(__xludf.DUMMYFUNCTION("SPLIT(A1779,"" "")"),"CCOC(=O)C(=O)C(=O)C(C)N1CCN(C)CCN(C(=O)OC)CC1")</f>
        <v>CCOC(=O)C(=O)C(=O)C(C)N1CCN(C)CCN(C(=O)OC)CC1</v>
      </c>
      <c r="C1779" s="7">
        <f>IFERROR(__xludf.DUMMYFUNCTION("""COMPUTED_VALUE"""),7.813786)</f>
        <v>7.813786</v>
      </c>
      <c r="D1779" s="7">
        <f>IFERROR(__xludf.DUMMYFUNCTION("""COMPUTED_VALUE"""),0.274193548387096)</f>
        <v>0.2741935484</v>
      </c>
    </row>
    <row r="1780">
      <c r="A1780" s="10" t="s">
        <v>3219</v>
      </c>
      <c r="B1780" s="7" t="str">
        <f>IFERROR(__xludf.DUMMYFUNCTION("SPLIT(A1780,"" "")"),"CCN(Cc1cccc(CN(Cc2ccccn2)C2CCC(N(C)Cc3cccc(-c4ccc5c(c4)OCCOCCOCCOCCOCCO5)n3)CC2)n1)C1CCC(N(C)Cc2cccc(-c3ccc4c(c3)OCCOCCOCCOCCOCCO4)n2)CC1")</f>
        <v>CCN(Cc1cccc(CN(Cc2ccccn2)C2CCC(N(C)Cc3cccc(-c4ccc5c(c4)OCCOCCOCCOCCOCCO5)n3)CC2)n1)C1CCC(N(C)Cc2cccc(-c3ccc4c(c3)OCCOCCOCCOCCOCCO4)n2)CC1</v>
      </c>
      <c r="C1780" s="7">
        <f>IFERROR(__xludf.DUMMYFUNCTION("""COMPUTED_VALUE"""),7.8137712)</f>
        <v>7.8137712</v>
      </c>
      <c r="D1780" s="7">
        <f>IFERROR(__xludf.DUMMYFUNCTION("""COMPUTED_VALUE"""),0.383561643835616)</f>
        <v>0.3835616438</v>
      </c>
    </row>
    <row r="1781">
      <c r="A1781" s="10" t="s">
        <v>3220</v>
      </c>
      <c r="B1781" s="7" t="str">
        <f>IFERROR(__xludf.DUMMYFUNCTION("SPLIT(A1781,"" "")"),"C=CCNCCN(C)Cc1cnccc1C")</f>
        <v>C=CCNCCN(C)Cc1cnccc1C</v>
      </c>
      <c r="C1781" s="7">
        <f>IFERROR(__xludf.DUMMYFUNCTION("""COMPUTED_VALUE"""),7.813771)</f>
        <v>7.813771</v>
      </c>
      <c r="D1781" s="7">
        <f>IFERROR(__xludf.DUMMYFUNCTION("""COMPUTED_VALUE"""),0.294117647058823)</f>
        <v>0.2941176471</v>
      </c>
    </row>
    <row r="1782">
      <c r="A1782" s="10" t="s">
        <v>3221</v>
      </c>
      <c r="B1782" s="7" t="str">
        <f>IFERROR(__xludf.DUMMYFUNCTION("SPLIT(A1782,"" "")"),"CC1C=CC(C)(C)CC1(C)NCc1ccccn1")</f>
        <v>CC1C=CC(C)(C)CC1(C)NCc1ccccn1</v>
      </c>
      <c r="C1782" s="7">
        <f>IFERROR(__xludf.DUMMYFUNCTION("""COMPUTED_VALUE"""),7.81373)</f>
        <v>7.81373</v>
      </c>
      <c r="D1782" s="7">
        <f>IFERROR(__xludf.DUMMYFUNCTION("""COMPUTED_VALUE"""),0.395348837209302)</f>
        <v>0.3953488372</v>
      </c>
    </row>
    <row r="1783">
      <c r="A1783" s="10" t="s">
        <v>3222</v>
      </c>
      <c r="B1783" s="7" t="str">
        <f>IFERROR(__xludf.DUMMYFUNCTION("SPLIT(A1783,"" "")"),"CNC1CCCCC1N(Cc1ccccn1)Cc1nccc(C)c1C")</f>
        <v>CNC1CCCCC1N(Cc1ccccn1)Cc1nccc(C)c1C</v>
      </c>
      <c r="C1783" s="7">
        <f>IFERROR(__xludf.DUMMYFUNCTION("""COMPUTED_VALUE"""),7.813707)</f>
        <v>7.813707</v>
      </c>
      <c r="D1783" s="7">
        <f>IFERROR(__xludf.DUMMYFUNCTION("""COMPUTED_VALUE"""),0.490196078431372)</f>
        <v>0.4901960784</v>
      </c>
    </row>
    <row r="1784">
      <c r="A1784" s="10" t="s">
        <v>3223</v>
      </c>
      <c r="B1784" s="7" t="str">
        <f>IFERROR(__xludf.DUMMYFUNCTION("SPLIT(A1784,"" "")"),"Cc1ccccc1CN(C)CCN(C)C(C)C")</f>
        <v>Cc1ccccc1CN(C)CCN(C)C(C)C</v>
      </c>
      <c r="C1784" s="7">
        <f>IFERROR(__xludf.DUMMYFUNCTION("""COMPUTED_VALUE"""),7.813702)</f>
        <v>7.813702</v>
      </c>
      <c r="D1784" s="7">
        <f>IFERROR(__xludf.DUMMYFUNCTION("""COMPUTED_VALUE"""),0.38095238095238)</f>
        <v>0.380952381</v>
      </c>
    </row>
    <row r="1785">
      <c r="A1785" s="10" t="s">
        <v>3224</v>
      </c>
      <c r="B1785" s="7" t="str">
        <f>IFERROR(__xludf.DUMMYFUNCTION("SPLIT(A1785,"" "")"),"CNC1CCCCC1N(Cc1cc(C)ccn1)Cc1cc(C)ccn1")</f>
        <v>CNC1CCCCC1N(Cc1cc(C)ccn1)Cc1cc(C)ccn1</v>
      </c>
      <c r="C1785" s="7">
        <f>IFERROR(__xludf.DUMMYFUNCTION("""COMPUTED_VALUE"""),7.8136907)</f>
        <v>7.8136907</v>
      </c>
      <c r="D1785" s="7">
        <f>IFERROR(__xludf.DUMMYFUNCTION("""COMPUTED_VALUE"""),0.387755102040816)</f>
        <v>0.387755102</v>
      </c>
    </row>
    <row r="1786">
      <c r="A1786" s="10" t="s">
        <v>3225</v>
      </c>
      <c r="B1786" s="7" t="str">
        <f>IFERROR(__xludf.DUMMYFUNCTION("SPLIT(A1786,"" "")"),"CC1=CC(c2cccc(CN(C)C3CCC(N(C)Cc4ncccc4C)CC3)n2)CC(C)(C)C1(C)C")</f>
        <v>CC1=CC(c2cccc(CN(C)C3CCC(N(C)Cc4ncccc4C)CC3)n2)CC(C)(C)C1(C)C</v>
      </c>
      <c r="C1786" s="7">
        <f>IFERROR(__xludf.DUMMYFUNCTION("""COMPUTED_VALUE"""),7.813688)</f>
        <v>7.813688</v>
      </c>
      <c r="D1786" s="7">
        <f>IFERROR(__xludf.DUMMYFUNCTION("""COMPUTED_VALUE"""),0.328125)</f>
        <v>0.328125</v>
      </c>
    </row>
    <row r="1787">
      <c r="A1787" s="10" t="s">
        <v>3226</v>
      </c>
      <c r="B1787" s="7" t="str">
        <f>IFERROR(__xludf.DUMMYFUNCTION("SPLIT(A1787,"" "")"),"COC(=O)C(=O)C(C)c1cc(CN2CCN(C)CCN(C)CC2)ccn1")</f>
        <v>COC(=O)C(=O)C(C)c1cc(CN2CCN(C)CCN(C)CC2)ccn1</v>
      </c>
      <c r="C1787" s="7">
        <f>IFERROR(__xludf.DUMMYFUNCTION("""COMPUTED_VALUE"""),7.81368)</f>
        <v>7.81368</v>
      </c>
      <c r="D1787" s="7">
        <f>IFERROR(__xludf.DUMMYFUNCTION("""COMPUTED_VALUE"""),0.423728813559322)</f>
        <v>0.4237288136</v>
      </c>
    </row>
    <row r="1788">
      <c r="A1788" s="10" t="s">
        <v>3227</v>
      </c>
      <c r="B1788" s="7" t="str">
        <f>IFERROR(__xludf.DUMMYFUNCTION("SPLIT(A1788,"" "")"),"c1ccc2c(c1)OCCOCCOCCOc1ccccc1OCCO2")</f>
        <v>c1ccc2c(c1)OCCOCCOCCOc1ccccc1OCCO2</v>
      </c>
      <c r="C1788" s="7">
        <f>IFERROR(__xludf.DUMMYFUNCTION("""COMPUTED_VALUE"""),7.813672)</f>
        <v>7.813672</v>
      </c>
      <c r="D1788" s="7">
        <f>IFERROR(__xludf.DUMMYFUNCTION("""COMPUTED_VALUE"""),0.297872340425531)</f>
        <v>0.2978723404</v>
      </c>
    </row>
    <row r="1789">
      <c r="A1789" s="10" t="s">
        <v>3228</v>
      </c>
      <c r="B1789" s="7" t="str">
        <f>IFERROR(__xludf.DUMMYFUNCTION("SPLIT(A1789,"" "")"),"CC(C)C(C)C1=CC(N(C)Cc2ccc(-c3ccc4c(c3)OCCOCCOCCOCCOCCO4)cn2)C=CN1")</f>
        <v>CC(C)C(C)C1=CC(N(C)Cc2ccc(-c3ccc4c(c3)OCCOCCOCCOCCOCCO4)cn2)C=CN1</v>
      </c>
      <c r="C1789" s="7">
        <f>IFERROR(__xludf.DUMMYFUNCTION("""COMPUTED_VALUE"""),7.81367)</f>
        <v>7.81367</v>
      </c>
      <c r="D1789" s="7">
        <f>IFERROR(__xludf.DUMMYFUNCTION("""COMPUTED_VALUE"""),0.436619718309859)</f>
        <v>0.4366197183</v>
      </c>
    </row>
    <row r="1790">
      <c r="A1790" s="10" t="s">
        <v>3229</v>
      </c>
      <c r="B1790" s="7" t="str">
        <f>IFERROR(__xludf.DUMMYFUNCTION("SPLIT(A1790,"" "")"),"Cc1cccnc1CN(C)C1CCCC(N(Cc2cccnc2)C(C)C)C1")</f>
        <v>Cc1cccnc1CN(C)C1CCCC(N(Cc2cccnc2)C(C)C)C1</v>
      </c>
      <c r="C1790" s="7">
        <f>IFERROR(__xludf.DUMMYFUNCTION("""COMPUTED_VALUE"""),7.813669)</f>
        <v>7.813669</v>
      </c>
      <c r="D1790" s="7">
        <f>IFERROR(__xludf.DUMMYFUNCTION("""COMPUTED_VALUE"""),0.295081967213114)</f>
        <v>0.2950819672</v>
      </c>
    </row>
    <row r="1791">
      <c r="A1791" s="10" t="s">
        <v>3230</v>
      </c>
      <c r="B1791" s="7" t="str">
        <f>IFERROR(__xludf.DUMMYFUNCTION("SPLIT(A1791,"" "")"),"CN(Cc1cccc(CN(Cc2ccccn2)C2CCC(N(C)Cc3cccc(-c4ccc5c(c4)OCCOCCOCCOCCOCCO5)n3)CC2)n1)C1CCC(N(C)Cc2cccc(-c3ccc4c(c3)OCCOCCOCCOCCOCCO4)n2)CC1")</f>
        <v>CN(Cc1cccc(CN(Cc2ccccn2)C2CCC(N(C)Cc3cccc(-c4ccc5c(c4)OCCOCCOCCOCCOCCO5)n3)CC2)n1)C1CCC(N(C)Cc2cccc(-c3ccc4c(c3)OCCOCCOCCOCCOCCO4)n2)CC1</v>
      </c>
      <c r="C1791" s="7">
        <f>IFERROR(__xludf.DUMMYFUNCTION("""COMPUTED_VALUE"""),7.8136683)</f>
        <v>7.8136683</v>
      </c>
      <c r="D1791" s="7">
        <f>IFERROR(__xludf.DUMMYFUNCTION("""COMPUTED_VALUE"""),0.405797101449275)</f>
        <v>0.4057971014</v>
      </c>
    </row>
    <row r="1792">
      <c r="A1792" s="10" t="s">
        <v>3231</v>
      </c>
      <c r="B1792" s="7" t="str">
        <f>IFERROR(__xludf.DUMMYFUNCTION("SPLIT(A1792,"" "")"),"CN(Cc1cccc(-c2ccc3c(c2)OCCOCCOCCOCCOCCO3)n1)C1CCC(N(Cc2ccccn2)Cc2cccc(CNCF)n2)CC1")</f>
        <v>CN(Cc1cccc(-c2ccc3c(c2)OCCOCCOCCOCCOCCO3)n1)C1CCC(N(Cc2ccccn2)Cc2cccc(CNCF)n2)CC1</v>
      </c>
      <c r="C1792" s="7">
        <f>IFERROR(__xludf.DUMMYFUNCTION("""COMPUTED_VALUE"""),7.813657)</f>
        <v>7.813657</v>
      </c>
      <c r="D1792" s="7">
        <f>IFERROR(__xludf.DUMMYFUNCTION("""COMPUTED_VALUE"""),0.361111111111111)</f>
        <v>0.3611111111</v>
      </c>
    </row>
    <row r="1793">
      <c r="A1793" s="10" t="s">
        <v>3232</v>
      </c>
      <c r="B1793" s="7" t="str">
        <f>IFERROR(__xludf.DUMMYFUNCTION("SPLIT(A1793,"" "")"),"Cc1cccc(CN(C)C2CCCC(N(C)Cc3cccc(-c4ccc5c(c4)OCCOCCOCCOCCOCCO5)n3)C2)n1")</f>
        <v>Cc1cccc(CN(C)C2CCCC(N(C)Cc3cccc(-c4ccc5c(c4)OCCOCCOCCOCCOCCO5)n3)C2)n1</v>
      </c>
      <c r="C1793" s="7">
        <f>IFERROR(__xludf.DUMMYFUNCTION("""COMPUTED_VALUE"""),7.813632)</f>
        <v>7.813632</v>
      </c>
      <c r="D1793" s="7">
        <f>IFERROR(__xludf.DUMMYFUNCTION("""COMPUTED_VALUE"""),0.448275862068965)</f>
        <v>0.4482758621</v>
      </c>
    </row>
    <row r="1794">
      <c r="A1794" s="10" t="s">
        <v>3233</v>
      </c>
      <c r="B1794" s="7" t="str">
        <f>IFERROR(__xludf.DUMMYFUNCTION("SPLIT(A1794,"" "")"),"C=CCN(C)CCN(Cc1ccccn1)Cc1cccc(-c2ccc3c(c2)OCCOCCOCCOCCOCCO3)n1")</f>
        <v>C=CCN(C)CCN(Cc1ccccn1)Cc1cccc(-c2ccc3c(c2)OCCOCCOCCOCCOCCO3)n1</v>
      </c>
      <c r="C1794" s="7">
        <f>IFERROR(__xludf.DUMMYFUNCTION("""COMPUTED_VALUE"""),7.8136287)</f>
        <v>7.8136287</v>
      </c>
      <c r="D1794" s="7">
        <f>IFERROR(__xludf.DUMMYFUNCTION("""COMPUTED_VALUE"""),0.434782608695652)</f>
        <v>0.4347826087</v>
      </c>
    </row>
    <row r="1795">
      <c r="A1795" s="10" t="s">
        <v>3234</v>
      </c>
      <c r="B1795" s="7" t="str">
        <f>IFERROR(__xludf.DUMMYFUNCTION("SPLIT(A1795,"" "")"),"Cc1cncc(CN(C)C2=CNC(CN3CCN(C)CCN(C)CC3)=CC2)c1")</f>
        <v>Cc1cncc(CN(C)C2=CNC(CN3CCN(C)CCN(C)CC3)=CC2)c1</v>
      </c>
      <c r="C1795" s="7">
        <f>IFERROR(__xludf.DUMMYFUNCTION("""COMPUTED_VALUE"""),7.813618)</f>
        <v>7.813618</v>
      </c>
      <c r="D1795" s="7">
        <f>IFERROR(__xludf.DUMMYFUNCTION("""COMPUTED_VALUE"""),0.350877192982456)</f>
        <v>0.350877193</v>
      </c>
    </row>
    <row r="1796">
      <c r="A1796" s="10" t="s">
        <v>3235</v>
      </c>
      <c r="B1796" s="7" t="str">
        <f>IFERROR(__xludf.DUMMYFUNCTION("SPLIT(A1796,"" "")"),"Cc1cccc(CN(C)C2=C(CN(C)Cc3ccc4c(c3)OCCOCCOCCOCCOCCO4)NC=CC2)n1")</f>
        <v>Cc1cccc(CN(C)C2=C(CN(C)Cc3ccc4c(c3)OCCOCCOCCOCCOCCO4)NC=CC2)n1</v>
      </c>
      <c r="C1796" s="7">
        <f>IFERROR(__xludf.DUMMYFUNCTION("""COMPUTED_VALUE"""),7.8136144)</f>
        <v>7.8136144</v>
      </c>
      <c r="D1796" s="7">
        <f>IFERROR(__xludf.DUMMYFUNCTION("""COMPUTED_VALUE"""),0.338709677419354)</f>
        <v>0.3387096774</v>
      </c>
    </row>
    <row r="1797">
      <c r="A1797" s="10" t="s">
        <v>3236</v>
      </c>
      <c r="B1797" s="7" t="str">
        <f>IFERROR(__xludf.DUMMYFUNCTION("SPLIT(A1797,"" "")"),"CN(Cc1ccccn1)C1CCC(N(C)Cc2cccc(C3CC(Cl)C3Cl)n2)CC1")</f>
        <v>CN(Cc1ccccn1)C1CCC(N(C)Cc2cccc(C3CC(Cl)C3Cl)n2)CC1</v>
      </c>
      <c r="C1797" s="7">
        <f>IFERROR(__xludf.DUMMYFUNCTION("""COMPUTED_VALUE"""),7.813612)</f>
        <v>7.813612</v>
      </c>
      <c r="D1797" s="7">
        <f>IFERROR(__xludf.DUMMYFUNCTION("""COMPUTED_VALUE"""),0.470588235294117)</f>
        <v>0.4705882353</v>
      </c>
    </row>
    <row r="1798">
      <c r="A1798" s="10" t="s">
        <v>3237</v>
      </c>
      <c r="B1798" s="7" t="str">
        <f>IFERROR(__xludf.DUMMYFUNCTION("SPLIT(A1798,"" "")"),"COC(=O)C(=O)C(C)c1ncccc1CN1CCN(C)CCN(C)CC1")</f>
        <v>COC(=O)C(=O)C(C)c1ncccc1CN1CCN(C)CCN(C)CC1</v>
      </c>
      <c r="C1798" s="7">
        <f>IFERROR(__xludf.DUMMYFUNCTION("""COMPUTED_VALUE"""),7.813606)</f>
        <v>7.813606</v>
      </c>
      <c r="D1798" s="7">
        <f>IFERROR(__xludf.DUMMYFUNCTION("""COMPUTED_VALUE"""),0.411764705882352)</f>
        <v>0.4117647059</v>
      </c>
    </row>
    <row r="1799">
      <c r="A1799" s="10" t="s">
        <v>3238</v>
      </c>
      <c r="B1799" s="7" t="str">
        <f>IFERROR(__xludf.DUMMYFUNCTION("SPLIT(A1799,"" "")"),"Cc1cccnc1CN(C)C1=CNC(CN(C)Cc2cccc3c2OCCOCCOCCOCCOCCO3)=CC1")</f>
        <v>Cc1cccnc1CN(C)C1=CNC(CN(C)Cc2cccc3c2OCCOCCOCCOCCOCCO3)=CC1</v>
      </c>
      <c r="C1799" s="7">
        <f>IFERROR(__xludf.DUMMYFUNCTION("""COMPUTED_VALUE"""),7.813595)</f>
        <v>7.813595</v>
      </c>
      <c r="D1799" s="7">
        <f>IFERROR(__xludf.DUMMYFUNCTION("""COMPUTED_VALUE"""),0.289855072463768)</f>
        <v>0.2898550725</v>
      </c>
    </row>
    <row r="1800">
      <c r="A1800" s="10" t="s">
        <v>3239</v>
      </c>
      <c r="B1800" s="7" t="str">
        <f>IFERROR(__xludf.DUMMYFUNCTION("SPLIT(A1800,"" "")"),"CC(C)N(C)Cc1ncccc1-c1ccc2c(c1)OCCOCCOCCOCCOCCO2")</f>
        <v>CC(C)N(C)Cc1ncccc1-c1ccc2c(c1)OCCOCCOCCOCCOCCO2</v>
      </c>
      <c r="C1800" s="7">
        <f>IFERROR(__xludf.DUMMYFUNCTION("""COMPUTED_VALUE"""),7.813588)</f>
        <v>7.813588</v>
      </c>
      <c r="D1800" s="7">
        <f>IFERROR(__xludf.DUMMYFUNCTION("""COMPUTED_VALUE"""),0.348484848484848)</f>
        <v>0.3484848485</v>
      </c>
    </row>
    <row r="1801">
      <c r="A1801" s="10" t="s">
        <v>3240</v>
      </c>
      <c r="B1801" s="7" t="str">
        <f>IFERROR(__xludf.DUMMYFUNCTION("SPLIT(A1801,"" "")"),"CN(CCN)Cc1cccnc1")</f>
        <v>CN(CCN)Cc1cccnc1</v>
      </c>
      <c r="C1801" s="7">
        <f>IFERROR(__xludf.DUMMYFUNCTION("""COMPUTED_VALUE"""),7.8135834)</f>
        <v>7.8135834</v>
      </c>
      <c r="D1801" s="7">
        <f>IFERROR(__xludf.DUMMYFUNCTION("""COMPUTED_VALUE"""),0.384615384615384)</f>
        <v>0.3846153846</v>
      </c>
    </row>
    <row r="1802">
      <c r="A1802" s="10" t="s">
        <v>3241</v>
      </c>
      <c r="B1802" s="7" t="str">
        <f>IFERROR(__xludf.DUMMYFUNCTION("SPLIT(A1802,"" "")"),"CC1=C(C)C(C)C(C)(c2cc(CN(Cc3ccccn3)C3CCCCC3)ccn2)CC1")</f>
        <v>CC1=C(C)C(C)C(C)(c2cc(CN(Cc3ccccn3)C3CCCCC3)ccn2)CC1</v>
      </c>
      <c r="C1802" s="7">
        <f>IFERROR(__xludf.DUMMYFUNCTION("""COMPUTED_VALUE"""),7.8135734)</f>
        <v>7.8135734</v>
      </c>
      <c r="D1802" s="7">
        <f>IFERROR(__xludf.DUMMYFUNCTION("""COMPUTED_VALUE"""),0.365079365079365)</f>
        <v>0.3650793651</v>
      </c>
    </row>
    <row r="1803">
      <c r="A1803" s="10" t="s">
        <v>3242</v>
      </c>
      <c r="B1803" s="7" t="str">
        <f>IFERROR(__xludf.DUMMYFUNCTION("SPLIT(A1803,"" "")"),"C=CCN(C)Cc1cccc(CN(Cc2cccc(-c3ccc4c(c3)OCCOCCOCCOCCOCCO4)n2)C2CCCCC2N(C)Cc2cccc(-c3ccc4c(c3)OCCOCCOCCOCCOCCO4)n2)n1")</f>
        <v>C=CCN(C)Cc1cccc(CN(Cc2cccc(-c3ccc4c(c3)OCCOCCOCCOCCOCCO4)n2)C2CCCCC2N(C)Cc2cccc(-c3ccc4c(c3)OCCOCCOCCOCCOCCO4)n2)n1</v>
      </c>
      <c r="C1803" s="7">
        <f>IFERROR(__xludf.DUMMYFUNCTION("""COMPUTED_VALUE"""),7.813569)</f>
        <v>7.813569</v>
      </c>
      <c r="D1803" s="7">
        <f>IFERROR(__xludf.DUMMYFUNCTION("""COMPUTED_VALUE"""),0.388059701492537)</f>
        <v>0.3880597015</v>
      </c>
    </row>
    <row r="1804">
      <c r="A1804" s="10" t="s">
        <v>3243</v>
      </c>
      <c r="B1804" s="7" t="str">
        <f>IFERROR(__xludf.DUMMYFUNCTION("SPLIT(A1804,"" "")"),"C=CCNCc1cccc(CN(Cc2ccccn2)C2CCC(N(C)Cc3cccc(-c4ccc5c(c4)OCCOCCOCCOCCOCCO5)n3)CC2)n1")</f>
        <v>C=CCNCc1cccc(CN(Cc2ccccn2)C2CCC(N(C)Cc3cccc(-c4ccc5c(c4)OCCOCCOCCOCCOCCO5)n3)CC2)n1</v>
      </c>
      <c r="C1804" s="7">
        <f>IFERROR(__xludf.DUMMYFUNCTION("""COMPUTED_VALUE"""),7.8135643)</f>
        <v>7.8135643</v>
      </c>
      <c r="D1804" s="7">
        <f>IFERROR(__xludf.DUMMYFUNCTION("""COMPUTED_VALUE"""),0.341463414634146)</f>
        <v>0.3414634146</v>
      </c>
    </row>
    <row r="1805">
      <c r="A1805" s="10" t="s">
        <v>3244</v>
      </c>
      <c r="B1805" s="7" t="str">
        <f>IFERROR(__xludf.DUMMYFUNCTION("SPLIT(A1805,"" "")"),"CNCc1cc(CN(C)C2CCC(N(C)Cc3ncccc3C)CC2)ccn1")</f>
        <v>CNCc1cc(CN(C)C2CCC(N(C)Cc3ncccc3C)CC2)ccn1</v>
      </c>
      <c r="C1805" s="7">
        <f>IFERROR(__xludf.DUMMYFUNCTION("""COMPUTED_VALUE"""),7.8135343)</f>
        <v>7.8135343</v>
      </c>
      <c r="D1805" s="7">
        <f>IFERROR(__xludf.DUMMYFUNCTION("""COMPUTED_VALUE"""),0.339285714285714)</f>
        <v>0.3392857143</v>
      </c>
    </row>
    <row r="1806">
      <c r="A1806" s="10" t="s">
        <v>3245</v>
      </c>
      <c r="B1806" s="7" t="str">
        <f>IFERROR(__xludf.DUMMYFUNCTION("SPLIT(A1806,"" "")"),"CC(N)C(C)CN(Cc1ccccn1)Cc1ccc(-c2ccc3c(c2)OCCOCCOCCOCCOCCO3)cn1")</f>
        <v>CC(N)C(C)CN(Cc1ccccn1)Cc1ccc(-c2ccc3c(c2)OCCOCCOCCOCCOCCO3)cn1</v>
      </c>
      <c r="C1806" s="7">
        <f>IFERROR(__xludf.DUMMYFUNCTION("""COMPUTED_VALUE"""),7.8135314)</f>
        <v>7.8135314</v>
      </c>
      <c r="D1806" s="7">
        <f>IFERROR(__xludf.DUMMYFUNCTION("""COMPUTED_VALUE"""),0.44776119402985)</f>
        <v>0.447761194</v>
      </c>
    </row>
    <row r="1807">
      <c r="A1807" s="10" t="s">
        <v>3246</v>
      </c>
      <c r="B1807" s="7" t="str">
        <f>IFERROR(__xludf.DUMMYFUNCTION("SPLIT(A1807,"" "")"),"COC1(C)N=COC1c1ncccc1CN1CCN(C)CCN(C)CC1")</f>
        <v>COC1(C)N=COC1c1ncccc1CN1CCN(C)CCN(C)CC1</v>
      </c>
      <c r="C1807" s="7">
        <f>IFERROR(__xludf.DUMMYFUNCTION("""COMPUTED_VALUE"""),7.813485)</f>
        <v>7.813485</v>
      </c>
      <c r="D1807" s="7">
        <f>IFERROR(__xludf.DUMMYFUNCTION("""COMPUTED_VALUE"""),0.388888888888888)</f>
        <v>0.3888888889</v>
      </c>
    </row>
    <row r="1808">
      <c r="A1808" s="10" t="s">
        <v>3247</v>
      </c>
      <c r="B1808" s="7" t="str">
        <f>IFERROR(__xludf.DUMMYFUNCTION("SPLIT(A1808,"" "")"),"CNCc1ncccc1-c1ccc2c(c1)OCCOCCOCCOCCOCCO2")</f>
        <v>CNCc1ncccc1-c1ccc2c(c1)OCCOCCOCCOCCOCCO2</v>
      </c>
      <c r="C1808" s="7">
        <f>IFERROR(__xludf.DUMMYFUNCTION("""COMPUTED_VALUE"""),7.813473)</f>
        <v>7.813473</v>
      </c>
      <c r="D1808" s="7">
        <f>IFERROR(__xludf.DUMMYFUNCTION("""COMPUTED_VALUE"""),0.370967741935483)</f>
        <v>0.3709677419</v>
      </c>
    </row>
    <row r="1809">
      <c r="A1809" s="10" t="s">
        <v>3248</v>
      </c>
      <c r="B1809" s="7" t="str">
        <f>IFERROR(__xludf.DUMMYFUNCTION("SPLIT(A1809,"" "")"),"CN(Cc1cccc(-c2ccc3c(c2)OCCOCCOCCOCCOCCO3)n1)C1C=CNC=C1")</f>
        <v>CN(Cc1cccc(-c2ccc3c(c2)OCCOCCOCCOCCOCCO3)n1)C1C=CNC=C1</v>
      </c>
      <c r="C1809" s="7">
        <f>IFERROR(__xludf.DUMMYFUNCTION("""COMPUTED_VALUE"""),7.8134727)</f>
        <v>7.8134727</v>
      </c>
      <c r="D1809" s="7">
        <f>IFERROR(__xludf.DUMMYFUNCTION("""COMPUTED_VALUE"""),0.342857142857142)</f>
        <v>0.3428571429</v>
      </c>
    </row>
    <row r="1810">
      <c r="A1810" s="10" t="s">
        <v>3249</v>
      </c>
      <c r="B1810" s="7" t="str">
        <f>IFERROR(__xludf.DUMMYFUNCTION("SPLIT(A1810,"" "")"),"C1=CC(N(Cc2ccccn2)c2ccc3c(c2)OCCOCCOCCOCCOCCO3)=CCN1")</f>
        <v>C1=CC(N(Cc2ccccn2)c2ccc3c(c2)OCCOCCOCCOCCOCCO3)=CCN1</v>
      </c>
      <c r="C1810" s="7">
        <f>IFERROR(__xludf.DUMMYFUNCTION("""COMPUTED_VALUE"""),7.8134637)</f>
        <v>7.8134637</v>
      </c>
      <c r="D1810" s="7">
        <f>IFERROR(__xludf.DUMMYFUNCTION("""COMPUTED_VALUE"""),0.323076923076923)</f>
        <v>0.3230769231</v>
      </c>
    </row>
    <row r="1811">
      <c r="A1811" s="10" t="s">
        <v>3250</v>
      </c>
      <c r="B1811" s="7" t="str">
        <f>IFERROR(__xludf.DUMMYFUNCTION("SPLIT(A1811,"" "")"),"CNC1CCC(N(C)Cc2cc(C)c(C)c(C)n2)CC1")</f>
        <v>CNC1CCC(N(C)Cc2cc(C)c(C)c(C)n2)CC1</v>
      </c>
      <c r="C1811" s="7">
        <f>IFERROR(__xludf.DUMMYFUNCTION("""COMPUTED_VALUE"""),7.8134537)</f>
        <v>7.8134537</v>
      </c>
      <c r="D1811" s="7">
        <f>IFERROR(__xludf.DUMMYFUNCTION("""COMPUTED_VALUE"""),0.307692307692307)</f>
        <v>0.3076923077</v>
      </c>
    </row>
    <row r="1812">
      <c r="A1812" s="10" t="s">
        <v>3251</v>
      </c>
      <c r="B1812" s="7" t="str">
        <f>IFERROR(__xludf.DUMMYFUNCTION("SPLIT(A1812,"" "")"),"Cc1cccnc1CN(C)C1=CNC=C(CN2CCN(C)CCN(C)CC2)C1")</f>
        <v>Cc1cccnc1CN(C)C1=CNC=C(CN2CCN(C)CCN(C)CC2)C1</v>
      </c>
      <c r="C1812" s="7">
        <f>IFERROR(__xludf.DUMMYFUNCTION("""COMPUTED_VALUE"""),7.8134527)</f>
        <v>7.8134527</v>
      </c>
      <c r="D1812" s="7">
        <f>IFERROR(__xludf.DUMMYFUNCTION("""COMPUTED_VALUE"""),0.381818181818181)</f>
        <v>0.3818181818</v>
      </c>
    </row>
    <row r="1813">
      <c r="A1813" s="10" t="s">
        <v>3252</v>
      </c>
      <c r="B1813" s="7" t="str">
        <f>IFERROR(__xludf.DUMMYFUNCTION("SPLIT(A1813,"" "")"),"Cc1cnc(CN(C)Cc2ccc3c(c2)OCCOCCOCCOCCOCCO3)c(CN(C)Cc2ccccn2)c1")</f>
        <v>Cc1cnc(CN(C)Cc2ccc3c(c2)OCCOCCOCCOCCOCCO3)c(CN(C)Cc2ccccn2)c1</v>
      </c>
      <c r="C1813" s="7">
        <f>IFERROR(__xludf.DUMMYFUNCTION("""COMPUTED_VALUE"""),7.813438)</f>
        <v>7.813438</v>
      </c>
      <c r="D1813" s="7">
        <f>IFERROR(__xludf.DUMMYFUNCTION("""COMPUTED_VALUE"""),0.349206349206349)</f>
        <v>0.3492063492</v>
      </c>
    </row>
    <row r="1814">
      <c r="A1814" s="10" t="s">
        <v>3253</v>
      </c>
      <c r="B1814" s="7" t="str">
        <f>IFERROR(__xludf.DUMMYFUNCTION("SPLIT(A1814,"" "")"),"CNCc1ncccc1CN(C)C1CCC(N(C)Cc2ncccc2C)CC1")</f>
        <v>CNCc1ncccc1CN(C)C1CCC(N(C)Cc2ncccc2C)CC1</v>
      </c>
      <c r="C1814" s="7">
        <f>IFERROR(__xludf.DUMMYFUNCTION("""COMPUTED_VALUE"""),7.813431)</f>
        <v>7.813431</v>
      </c>
      <c r="D1814" s="7">
        <f>IFERROR(__xludf.DUMMYFUNCTION("""COMPUTED_VALUE"""),0.314814814814814)</f>
        <v>0.3148148148</v>
      </c>
    </row>
    <row r="1815">
      <c r="A1815" s="10" t="s">
        <v>3254</v>
      </c>
      <c r="B1815" s="7" t="str">
        <f>IFERROR(__xludf.DUMMYFUNCTION("SPLIT(A1815,"" "")"),"CC(C)C1N=COC1c1ncccc1CN1CCN(C)CCN(C)CC1")</f>
        <v>CC(C)C1N=COC1c1ncccc1CN1CCN(C)CCN(C)CC1</v>
      </c>
      <c r="C1815" s="7">
        <f>IFERROR(__xludf.DUMMYFUNCTION("""COMPUTED_VALUE"""),7.8134265)</f>
        <v>7.8134265</v>
      </c>
      <c r="D1815" s="7">
        <f>IFERROR(__xludf.DUMMYFUNCTION("""COMPUTED_VALUE"""),0.411764705882352)</f>
        <v>0.4117647059</v>
      </c>
    </row>
    <row r="1816">
      <c r="A1816" s="10" t="s">
        <v>3255</v>
      </c>
      <c r="B1816" s="7" t="str">
        <f>IFERROR(__xludf.DUMMYFUNCTION("SPLIT(A1816,"" "")"),"Cc1ccc(CN(C)C2=C(CN3CCN(C)CCN(C)CC3)NC=CC2)nc1")</f>
        <v>Cc1ccc(CN(C)C2=C(CN3CCN(C)CCN(C)CC3)NC=CC2)nc1</v>
      </c>
      <c r="C1816" s="7">
        <f>IFERROR(__xludf.DUMMYFUNCTION("""COMPUTED_VALUE"""),7.813426)</f>
        <v>7.813426</v>
      </c>
      <c r="D1816" s="7">
        <f>IFERROR(__xludf.DUMMYFUNCTION("""COMPUTED_VALUE"""),0.403846153846153)</f>
        <v>0.4038461538</v>
      </c>
    </row>
    <row r="1817">
      <c r="A1817" s="10" t="s">
        <v>3256</v>
      </c>
      <c r="B1817" s="7" t="str">
        <f>IFERROR(__xludf.DUMMYFUNCTION("SPLIT(A1817,"" "")"),"CC(CN(Cc1ccccn1)Cc1ccccn1)(c1ccccc1)c1ccc2c(c1)OCCOCCOCCOCCOCCO2")</f>
        <v>CC(CN(Cc1ccccn1)Cc1ccccn1)(c1ccccc1)c1ccc2c(c1)OCCOCCOCCOCCOCCO2</v>
      </c>
      <c r="C1817" s="7">
        <f>IFERROR(__xludf.DUMMYFUNCTION("""COMPUTED_VALUE"""),7.813421)</f>
        <v>7.813421</v>
      </c>
      <c r="D1817" s="7">
        <f>IFERROR(__xludf.DUMMYFUNCTION("""COMPUTED_VALUE"""),0.425925925925925)</f>
        <v>0.4259259259</v>
      </c>
    </row>
    <row r="1818">
      <c r="A1818" s="10" t="s">
        <v>3257</v>
      </c>
      <c r="B1818" s="7" t="str">
        <f>IFERROR(__xludf.DUMMYFUNCTION("SPLIT(A1818,"" "")"),"Cc1cncc(C)c1CN1CCN(C)CCN(Cc2ccc(N)cn2)CC1")</f>
        <v>Cc1cncc(C)c1CN1CCN(C)CCN(Cc2ccc(N)cn2)CC1</v>
      </c>
      <c r="C1818" s="7">
        <f>IFERROR(__xludf.DUMMYFUNCTION("""COMPUTED_VALUE"""),7.8134127)</f>
        <v>7.8134127</v>
      </c>
      <c r="D1818" s="7">
        <f>IFERROR(__xludf.DUMMYFUNCTION("""COMPUTED_VALUE"""),0.456521739130434)</f>
        <v>0.4565217391</v>
      </c>
    </row>
    <row r="1819">
      <c r="A1819" s="10" t="s">
        <v>3258</v>
      </c>
      <c r="B1819" s="7" t="str">
        <f>IFERROR(__xludf.DUMMYFUNCTION("SPLIT(A1819,"" "")"),"Cc1nc(CN(C)C2CCCCC2N(C)C(C)C)c(C)c(C)c1C")</f>
        <v>Cc1nc(CN(C)C2CCCCC2N(C)C(C)C)c(C)c(C)c1C</v>
      </c>
      <c r="C1819" s="7">
        <f>IFERROR(__xludf.DUMMYFUNCTION("""COMPUTED_VALUE"""),7.813404)</f>
        <v>7.813404</v>
      </c>
      <c r="D1819" s="7">
        <f>IFERROR(__xludf.DUMMYFUNCTION("""COMPUTED_VALUE"""),0.395833333333333)</f>
        <v>0.3958333333</v>
      </c>
    </row>
    <row r="1820">
      <c r="A1820" s="10" t="s">
        <v>3259</v>
      </c>
      <c r="B1820" s="7" t="str">
        <f>IFERROR(__xludf.DUMMYFUNCTION("SPLIT(A1820,"" "")"),"Cc1cccnc1CN(C)C1CCC(N(Cc2ccccn2)C(C)C)CC1")</f>
        <v>Cc1cccnc1CN(C)C1CCC(N(Cc2ccccn2)C(C)C)CC1</v>
      </c>
      <c r="C1820" s="7">
        <f>IFERROR(__xludf.DUMMYFUNCTION("""COMPUTED_VALUE"""),7.813397)</f>
        <v>7.813397</v>
      </c>
      <c r="D1820" s="7">
        <f>IFERROR(__xludf.DUMMYFUNCTION("""COMPUTED_VALUE"""),0.450980392156862)</f>
        <v>0.4509803922</v>
      </c>
    </row>
    <row r="1821">
      <c r="A1821" s="10" t="s">
        <v>3260</v>
      </c>
      <c r="B1821" s="7" t="str">
        <f>IFERROR(__xludf.DUMMYFUNCTION("SPLIT(A1821,"" "")"),"CNC1CCCC(N(Cc2cccc(F)n2)Cc2cccc(F)n2)C1")</f>
        <v>CNC1CCCC(N(Cc2cccc(F)n2)Cc2cccc(F)n2)C1</v>
      </c>
      <c r="C1821" s="7">
        <f>IFERROR(__xludf.DUMMYFUNCTION("""COMPUTED_VALUE"""),7.8133965)</f>
        <v>7.8133965</v>
      </c>
      <c r="D1821" s="7">
        <f>IFERROR(__xludf.DUMMYFUNCTION("""COMPUTED_VALUE"""),0.352941176470588)</f>
        <v>0.3529411765</v>
      </c>
    </row>
    <row r="1822">
      <c r="A1822" s="10" t="s">
        <v>3261</v>
      </c>
      <c r="B1822" s="7" t="str">
        <f>IFERROR(__xludf.DUMMYFUNCTION("SPLIT(A1822,"" "")"),"CN(Cc1cccc(F)n1)C1CCC(N(C)Cc2cccc(CF)n2)CC1")</f>
        <v>CN(Cc1cccc(F)n1)C1CCC(N(C)Cc2cccc(CF)n2)CC1</v>
      </c>
      <c r="C1822" s="7">
        <f>IFERROR(__xludf.DUMMYFUNCTION("""COMPUTED_VALUE"""),7.813379)</f>
        <v>7.813379</v>
      </c>
      <c r="D1822" s="7">
        <f>IFERROR(__xludf.DUMMYFUNCTION("""COMPUTED_VALUE"""),0.434782608695652)</f>
        <v>0.4347826087</v>
      </c>
    </row>
    <row r="1823">
      <c r="A1823" s="10" t="s">
        <v>3262</v>
      </c>
      <c r="B1823" s="7" t="str">
        <f>IFERROR(__xludf.DUMMYFUNCTION("SPLIT(A1823,"" "")"),"CC(C)C(C)(c1cccnc1)C(C)N")</f>
        <v>CC(C)C(C)(c1cccnc1)C(C)N</v>
      </c>
      <c r="C1823" s="7">
        <f>IFERROR(__xludf.DUMMYFUNCTION("""COMPUTED_VALUE"""),7.813368)</f>
        <v>7.813368</v>
      </c>
      <c r="D1823" s="7">
        <f>IFERROR(__xludf.DUMMYFUNCTION("""COMPUTED_VALUE"""),0.204081632653061)</f>
        <v>0.2040816327</v>
      </c>
    </row>
    <row r="1824">
      <c r="A1824" s="10" t="s">
        <v>3263</v>
      </c>
      <c r="B1824" s="7" t="str">
        <f>IFERROR(__xludf.DUMMYFUNCTION("SPLIT(A1824,"" "")"),"CNC1CCCC(N(C)Cc2cc(C)ccn2)C1N(C)Cc1cc(C)ccn1")</f>
        <v>CNC1CCCC(N(C)Cc2cc(C)ccn2)C1N(C)Cc1cc(C)ccn1</v>
      </c>
      <c r="C1824" s="7">
        <f>IFERROR(__xludf.DUMMYFUNCTION("""COMPUTED_VALUE"""),7.8133674)</f>
        <v>7.8133674</v>
      </c>
      <c r="D1824" s="7">
        <f>IFERROR(__xludf.DUMMYFUNCTION("""COMPUTED_VALUE"""),0.44)</f>
        <v>0.44</v>
      </c>
    </row>
    <row r="1825">
      <c r="A1825" s="10" t="s">
        <v>3264</v>
      </c>
      <c r="B1825" s="7" t="str">
        <f>IFERROR(__xludf.DUMMYFUNCTION("SPLIT(A1825,"" "")"),"CC1=CCC2(CC1C)C(C)=C(C)CCC2N(C)Cc1ccccn1")</f>
        <v>CC1=CCC2(CC1C)C(C)=C(C)CCC2N(C)Cc1ccccn1</v>
      </c>
      <c r="C1825" s="7">
        <f>IFERROR(__xludf.DUMMYFUNCTION("""COMPUTED_VALUE"""),7.8133616)</f>
        <v>7.8133616</v>
      </c>
      <c r="D1825" s="7">
        <f>IFERROR(__xludf.DUMMYFUNCTION("""COMPUTED_VALUE"""),0.436363636363636)</f>
        <v>0.4363636364</v>
      </c>
    </row>
    <row r="1826">
      <c r="A1826" s="10" t="s">
        <v>3265</v>
      </c>
      <c r="B1826" s="7" t="str">
        <f>IFERROR(__xludf.DUMMYFUNCTION("SPLIT(A1826,"" "")"),"CNC1CCCCC1N(C)c1ncccc1Cl")</f>
        <v>CNC1CCCCC1N(C)c1ncccc1Cl</v>
      </c>
      <c r="C1826" s="7">
        <f>IFERROR(__xludf.DUMMYFUNCTION("""COMPUTED_VALUE"""),7.813357)</f>
        <v>7.813357</v>
      </c>
      <c r="D1826" s="7">
        <f>IFERROR(__xludf.DUMMYFUNCTION("""COMPUTED_VALUE"""),0.408163265306122)</f>
        <v>0.4081632653</v>
      </c>
    </row>
    <row r="1827">
      <c r="A1827" s="10" t="s">
        <v>3266</v>
      </c>
      <c r="B1827" s="7" t="str">
        <f>IFERROR(__xludf.DUMMYFUNCTION("SPLIT(A1827,"" "")"),"CN(Cc1ccon1)C1CCC(N(C)Cc2cccc(-c3ccc4c(c3)OCCOCCOCCOCCOCCO4)n2)CC1")</f>
        <v>CN(Cc1ccon1)C1CCC(N(C)Cc2cccc(-c3ccc4c(c3)OCCOCCOCCOCCOCCO4)n2)CC1</v>
      </c>
      <c r="C1827" s="7">
        <f>IFERROR(__xludf.DUMMYFUNCTION("""COMPUTED_VALUE"""),7.8133206)</f>
        <v>7.8133206</v>
      </c>
      <c r="D1827" s="7">
        <f>IFERROR(__xludf.DUMMYFUNCTION("""COMPUTED_VALUE"""),0.352112676056338)</f>
        <v>0.3521126761</v>
      </c>
    </row>
    <row r="1828">
      <c r="A1828" s="10" t="s">
        <v>3267</v>
      </c>
      <c r="B1828" s="7" t="str">
        <f>IFERROR(__xludf.DUMMYFUNCTION("SPLIT(A1828,"" "")"),"CNC1CCCCC1N(C)c1ccc(Cl)cn1")</f>
        <v>CNC1CCCCC1N(C)c1ccc(Cl)cn1</v>
      </c>
      <c r="C1828" s="7">
        <f>IFERROR(__xludf.DUMMYFUNCTION("""COMPUTED_VALUE"""),7.8133054)</f>
        <v>7.8133054</v>
      </c>
      <c r="D1828" s="7">
        <f>IFERROR(__xludf.DUMMYFUNCTION("""COMPUTED_VALUE"""),0.34)</f>
        <v>0.34</v>
      </c>
    </row>
    <row r="1829">
      <c r="A1829" s="10" t="s">
        <v>3268</v>
      </c>
      <c r="B1829" s="7" t="str">
        <f>IFERROR(__xludf.DUMMYFUNCTION("SPLIT(A1829,"" "")"),"CC(C)N(Cc1cccc(CN(C)C2CCC(N(C)Cc3cccc(-c4ccc5c(c4)OCCOCCOCCOCCOCCO5)n3)CC2)n1)C(C)C")</f>
        <v>CC(C)N(Cc1cccc(CN(C)C2CCC(N(C)Cc3cccc(-c4ccc5c(c4)OCCOCCOCCOCCOCCO5)n3)CC2)n1)C(C)C</v>
      </c>
      <c r="C1829" s="7">
        <f>IFERROR(__xludf.DUMMYFUNCTION("""COMPUTED_VALUE"""),7.8132935)</f>
        <v>7.8132935</v>
      </c>
      <c r="D1829" s="7">
        <f>IFERROR(__xludf.DUMMYFUNCTION("""COMPUTED_VALUE"""),0.347222222222222)</f>
        <v>0.3472222222</v>
      </c>
    </row>
    <row r="1830">
      <c r="A1830" s="10" t="s">
        <v>3269</v>
      </c>
      <c r="B1830" s="7" t="str">
        <f>IFERROR(__xludf.DUMMYFUNCTION("SPLIT(A1830,"" "")"),"Cc1nc(CN(C)C2CCC(N(C)CN)CC2)c(C)c(C)c1C")</f>
        <v>Cc1nc(CN(C)C2CCC(N(C)CN)CC2)c(C)c(C)c1C</v>
      </c>
      <c r="C1830" s="7">
        <f>IFERROR(__xludf.DUMMYFUNCTION("""COMPUTED_VALUE"""),7.813282)</f>
        <v>7.813282</v>
      </c>
      <c r="D1830" s="7">
        <f>IFERROR(__xludf.DUMMYFUNCTION("""COMPUTED_VALUE"""),0.26)</f>
        <v>0.26</v>
      </c>
    </row>
    <row r="1831">
      <c r="A1831" s="10" t="s">
        <v>3270</v>
      </c>
      <c r="B1831" s="7" t="str">
        <f>IFERROR(__xludf.DUMMYFUNCTION("SPLIT(A1831,"" "")"),"CN1CCN(Cc2ccc(N(C)C)cn2)CCN(Cc2cccc(-c3ccc4c(c3)OCCOCCOCCOCCOCCO4)n2)CC1")</f>
        <v>CN1CCN(Cc2ccc(N(C)C)cn2)CCN(Cc2cccc(-c3ccc4c(c3)OCCOCCOCCOCCOCCO4)n2)CC1</v>
      </c>
      <c r="C1831" s="7">
        <f>IFERROR(__xludf.DUMMYFUNCTION("""COMPUTED_VALUE"""),7.813275)</f>
        <v>7.813275</v>
      </c>
      <c r="D1831" s="7">
        <f>IFERROR(__xludf.DUMMYFUNCTION("""COMPUTED_VALUE"""),0.442857142857142)</f>
        <v>0.4428571429</v>
      </c>
    </row>
    <row r="1832">
      <c r="A1832" s="10" t="s">
        <v>3271</v>
      </c>
      <c r="B1832" s="7" t="str">
        <f>IFERROR(__xludf.DUMMYFUNCTION("SPLIT(A1832,"" "")"),"Cc1cncc(CN(C)C2CCCC(N(C)Cc3ncccc3CF)C2)c1")</f>
        <v>Cc1cncc(CN(C)C2CCCC(N(C)Cc3ncccc3CF)C2)c1</v>
      </c>
      <c r="C1832" s="7">
        <f>IFERROR(__xludf.DUMMYFUNCTION("""COMPUTED_VALUE"""),7.8132715)</f>
        <v>7.8132715</v>
      </c>
      <c r="D1832" s="7">
        <f>IFERROR(__xludf.DUMMYFUNCTION("""COMPUTED_VALUE"""),0.295081967213114)</f>
        <v>0.2950819672</v>
      </c>
    </row>
    <row r="1833">
      <c r="A1833" s="10" t="s">
        <v>3272</v>
      </c>
      <c r="B1833" s="7" t="str">
        <f>IFERROR(__xludf.DUMMYFUNCTION("SPLIT(A1833,"" "")"),"C=C1C=CNC(CN(C)C2CCC(N(C)Cc3ccccn3)CC2)=C1")</f>
        <v>C=C1C=CNC(CN(C)C2CCC(N(C)Cc3ccccn3)CC2)=C1</v>
      </c>
      <c r="C1833" s="7">
        <f>IFERROR(__xludf.DUMMYFUNCTION("""COMPUTED_VALUE"""),7.8132505)</f>
        <v>7.8132505</v>
      </c>
      <c r="D1833" s="7">
        <f>IFERROR(__xludf.DUMMYFUNCTION("""COMPUTED_VALUE"""),0.48)</f>
        <v>0.48</v>
      </c>
    </row>
    <row r="1834">
      <c r="A1834" s="10" t="s">
        <v>3273</v>
      </c>
      <c r="B1834" s="7" t="str">
        <f>IFERROR(__xludf.DUMMYFUNCTION("SPLIT(A1834,"" "")"),"Cc1cc2c(c(N(C)Cc3ccccn3)c1C)OCCOCCOCCOCCOCCO2")</f>
        <v>Cc1cc2c(c(N(C)Cc3ccccn3)c1C)OCCOCCOCCOCCOCCO2</v>
      </c>
      <c r="C1834" s="7">
        <f>IFERROR(__xludf.DUMMYFUNCTION("""COMPUTED_VALUE"""),7.813244)</f>
        <v>7.813244</v>
      </c>
      <c r="D1834" s="7">
        <f>IFERROR(__xludf.DUMMYFUNCTION("""COMPUTED_VALUE"""),0.423076923076923)</f>
        <v>0.4230769231</v>
      </c>
    </row>
    <row r="1835">
      <c r="A1835" s="10" t="s">
        <v>3274</v>
      </c>
      <c r="B1835" s="7" t="str">
        <f>IFERROR(__xludf.DUMMYFUNCTION("SPLIT(A1835,"" "")"),"CC(N)c1cccc(CN(C)C2CCCC(N(C)Cc3cccc(-c4ccc5c(c4)OCCOCCOCCOCCOCCO5)n3)C2)n1")</f>
        <v>CC(N)c1cccc(CN(C)C2CCCC(N(C)Cc3cccc(-c4ccc5c(c4)OCCOCCOCCOCCOCCO5)n3)C2)n1</v>
      </c>
      <c r="C1835" s="7">
        <f>IFERROR(__xludf.DUMMYFUNCTION("""COMPUTED_VALUE"""),7.8132215)</f>
        <v>7.8132215</v>
      </c>
      <c r="D1835" s="7">
        <f>IFERROR(__xludf.DUMMYFUNCTION("""COMPUTED_VALUE"""),0.342105263157894)</f>
        <v>0.3421052632</v>
      </c>
    </row>
    <row r="1836">
      <c r="A1836" s="10" t="s">
        <v>3275</v>
      </c>
      <c r="B1836" s="7" t="str">
        <f>IFERROR(__xludf.DUMMYFUNCTION("SPLIT(A1836,"" "")"),"Cc1cncc(CN2CCN(C)CCN(Cc3ccc(C(C)(C)C)nc3)CC2)c1")</f>
        <v>Cc1cncc(CN2CCN(C)CCN(Cc3ccc(C(C)(C)C)nc3)CC2)c1</v>
      </c>
      <c r="C1836" s="7">
        <f>IFERROR(__xludf.DUMMYFUNCTION("""COMPUTED_VALUE"""),7.813218)</f>
        <v>7.813218</v>
      </c>
      <c r="D1836" s="7">
        <f>IFERROR(__xludf.DUMMYFUNCTION("""COMPUTED_VALUE"""),0.411764705882352)</f>
        <v>0.4117647059</v>
      </c>
    </row>
    <row r="1837">
      <c r="A1837" s="10" t="s">
        <v>3276</v>
      </c>
      <c r="B1837" s="7" t="str">
        <f>IFERROR(__xludf.DUMMYFUNCTION("SPLIT(A1837,"" "")"),"CNCCN(C)CCN(C)CCN(C)CCN(C)CCN(C)CCN(C)CCN(C)CCN(C)CCN(C)CCN(C)CCN(C)CCN(C)CCN(C)CCN(C)CCN(C)CCN(C)CCN(C)CCN(C)CCN(C)CCN(C)CCN(C)CCNC(C)(N)N(CCNC)Cc1ccccn1")</f>
        <v>CNCCN(C)CCN(C)CCN(C)CCN(C)CCN(C)CCN(C)CCN(C)CCN(C)CCN(C)CCN(C)CCN(C)CCN(C)CCN(C)CCN(C)CCN(C)CCN(C)CCN(C)CCN(C)CCN(C)CCN(C)CCN(C)CCNC(C)(N)N(CCNC)Cc1ccccn1</v>
      </c>
      <c r="C1837" s="7">
        <f>IFERROR(__xludf.DUMMYFUNCTION("""COMPUTED_VALUE"""),7.8132043)</f>
        <v>7.8132043</v>
      </c>
      <c r="D1837" s="7">
        <f>IFERROR(__xludf.DUMMYFUNCTION("""COMPUTED_VALUE"""),0.411764705882352)</f>
        <v>0.4117647059</v>
      </c>
    </row>
    <row r="1838">
      <c r="A1838" s="10" t="s">
        <v>3277</v>
      </c>
      <c r="B1838" s="7" t="str">
        <f>IFERROR(__xludf.DUMMYFUNCTION("SPLIT(A1838,"" "")"),"Cc1nc(CN(C)C2CCC(N(Cc3ccccn3)C3CCC3C)CC2)c(C)c(C)c1C")</f>
        <v>Cc1nc(CN(C)C2CCC(N(Cc3ccccn3)C3CCC3C)CC2)c(C)c(C)c1C</v>
      </c>
      <c r="C1838" s="7">
        <f>IFERROR(__xludf.DUMMYFUNCTION("""COMPUTED_VALUE"""),7.8132024)</f>
        <v>7.8132024</v>
      </c>
      <c r="D1838" s="7">
        <f>IFERROR(__xludf.DUMMYFUNCTION("""COMPUTED_VALUE"""),0.428571428571428)</f>
        <v>0.4285714286</v>
      </c>
    </row>
    <row r="1839">
      <c r="A1839" s="10" t="s">
        <v>3278</v>
      </c>
      <c r="B1839" s="7" t="str">
        <f>IFERROR(__xludf.DUMMYFUNCTION("SPLIT(A1839,"" "")"),"CN(CCF)C1CCCC(N(Cc2ccccn2)c2ccccc2F)C1")</f>
        <v>CN(CCF)C1CCCC(N(Cc2ccccn2)c2ccccc2F)C1</v>
      </c>
      <c r="C1839" s="7">
        <f>IFERROR(__xludf.DUMMYFUNCTION("""COMPUTED_VALUE"""),7.8131957)</f>
        <v>7.8131957</v>
      </c>
      <c r="D1839" s="7">
        <f>IFERROR(__xludf.DUMMYFUNCTION("""COMPUTED_VALUE"""),0.452830188679245)</f>
        <v>0.4528301887</v>
      </c>
    </row>
    <row r="1840">
      <c r="A1840" s="10" t="s">
        <v>3279</v>
      </c>
      <c r="B1840" s="7" t="str">
        <f>IFERROR(__xludf.DUMMYFUNCTION("SPLIT(A1840,"" "")"),"CC1C=CC(C)(C)C(c2cccc(CN(Cc3ccccn3)C3CCC(N(C)Cc4cccc(-c5ccc6c(c5)OCCOCCOCCOCCOCCO6)n4)CC3)n2)C1(C)C")</f>
        <v>CC1C=CC(C)(C)C(c2cccc(CN(Cc3ccccn3)C3CCC(N(C)Cc4cccc(-c5ccc6c(c5)OCCOCCOCCOCCOCCO6)n4)CC3)n2)C1(C)C</v>
      </c>
      <c r="C1840" s="7">
        <f>IFERROR(__xludf.DUMMYFUNCTION("""COMPUTED_VALUE"""),7.813186)</f>
        <v>7.813186</v>
      </c>
      <c r="D1840" s="7">
        <f>IFERROR(__xludf.DUMMYFUNCTION("""COMPUTED_VALUE"""),0.333333333333333)</f>
        <v>0.3333333333</v>
      </c>
    </row>
    <row r="1841">
      <c r="A1841" s="10" t="s">
        <v>3280</v>
      </c>
      <c r="B1841" s="7" t="str">
        <f>IFERROR(__xludf.DUMMYFUNCTION("SPLIT(A1841,"" "")"),"CN(C1=CCC=CN1)C1CCCCC1N(C)C1=CC(Cl)C=CN1")</f>
        <v>CN(C1=CCC=CN1)C1CCCCC1N(C)C1=CC(Cl)C=CN1</v>
      </c>
      <c r="C1841" s="7">
        <f>IFERROR(__xludf.DUMMYFUNCTION("""COMPUTED_VALUE"""),7.81318)</f>
        <v>7.81318</v>
      </c>
      <c r="D1841" s="7">
        <f>IFERROR(__xludf.DUMMYFUNCTION("""COMPUTED_VALUE"""),0.25)</f>
        <v>0.25</v>
      </c>
    </row>
    <row r="1842">
      <c r="A1842" s="10" t="s">
        <v>3281</v>
      </c>
      <c r="B1842" s="7" t="str">
        <f>IFERROR(__xludf.DUMMYFUNCTION("SPLIT(A1842,"" "")"),"CC1=C(C)C(C)CC(c2cc(CN(Cc3ccccn3)C3CCCCC3)ccn2)C1")</f>
        <v>CC1=C(C)C(C)CC(c2cc(CN(Cc3ccccn3)C3CCCCC3)ccn2)C1</v>
      </c>
      <c r="C1842" s="7">
        <f>IFERROR(__xludf.DUMMYFUNCTION("""COMPUTED_VALUE"""),7.8131766)</f>
        <v>7.8131766</v>
      </c>
      <c r="D1842" s="7">
        <f>IFERROR(__xludf.DUMMYFUNCTION("""COMPUTED_VALUE"""),0.377049180327868)</f>
        <v>0.3770491803</v>
      </c>
    </row>
    <row r="1843">
      <c r="A1843" s="10" t="s">
        <v>3282</v>
      </c>
      <c r="B1843" s="7" t="str">
        <f>IFERROR(__xludf.DUMMYFUNCTION("SPLIT(A1843,"" "")"),"CN(CCNCc1cccc(-c2ccc3c(c2)OCCOCCOCCOCCOCCO3)n1)Cc1cccc(-c2ccc3c(c2)OCCOCCOCCOCCOCCO3)n1")</f>
        <v>CN(CCNCc1cccc(-c2ccc3c(c2)OCCOCCOCCOCCOCCO3)n1)Cc1cccc(-c2ccc3c(c2)OCCOCCOCCOCCOCCO3)n1</v>
      </c>
      <c r="C1843" s="7">
        <f>IFERROR(__xludf.DUMMYFUNCTION("""COMPUTED_VALUE"""),7.813153)</f>
        <v>7.813153</v>
      </c>
      <c r="D1843" s="7">
        <f>IFERROR(__xludf.DUMMYFUNCTION("""COMPUTED_VALUE"""),0.339285714285714)</f>
        <v>0.3392857143</v>
      </c>
    </row>
    <row r="1844">
      <c r="A1844" s="10" t="s">
        <v>3283</v>
      </c>
      <c r="B1844" s="7" t="str">
        <f>IFERROR(__xludf.DUMMYFUNCTION("SPLIT(A1844,"" "")"),"CC(N)C(C)(c1cccnc1)C(C)N")</f>
        <v>CC(N)C(C)(c1cccnc1)C(C)N</v>
      </c>
      <c r="C1844" s="7">
        <f>IFERROR(__xludf.DUMMYFUNCTION("""COMPUTED_VALUE"""),7.813134)</f>
        <v>7.813134</v>
      </c>
      <c r="D1844" s="7">
        <f>IFERROR(__xludf.DUMMYFUNCTION("""COMPUTED_VALUE"""),0.212765957446808)</f>
        <v>0.2127659574</v>
      </c>
    </row>
    <row r="1845">
      <c r="A1845" s="10" t="s">
        <v>3284</v>
      </c>
      <c r="B1845" s="7" t="str">
        <f>IFERROR(__xludf.DUMMYFUNCTION("SPLIT(A1845,"" "")"),"Cc1cnc(CN2CCN(C)CCN(Cc3cncc(C)c3C)CC2)cc1C")</f>
        <v>Cc1cnc(CN2CCN(C)CCN(Cc3cncc(C)c3C)CC2)cc1C</v>
      </c>
      <c r="C1845" s="7">
        <f>IFERROR(__xludf.DUMMYFUNCTION("""COMPUTED_VALUE"""),7.813134)</f>
        <v>7.813134</v>
      </c>
      <c r="D1845" s="7">
        <f>IFERROR(__xludf.DUMMYFUNCTION("""COMPUTED_VALUE"""),0.468085106382978)</f>
        <v>0.4680851064</v>
      </c>
    </row>
    <row r="1846">
      <c r="A1846" s="10" t="s">
        <v>3285</v>
      </c>
      <c r="B1846" s="7" t="str">
        <f>IFERROR(__xludf.DUMMYFUNCTION("SPLIT(A1846,"" "")"),"Cc1cnc(CN(C)C2CCCCC2N(C)Cc2cc(-c3ccc4c(c3)OCCOCCOCCOCCOCCO4)ccn2)cc1C")</f>
        <v>Cc1cnc(CN(C)C2CCCCC2N(C)Cc2cc(-c3ccc4c(c3)OCCOCCOCCOCCOCCO4)ccn2)cc1C</v>
      </c>
      <c r="C1846" s="7">
        <f>IFERROR(__xludf.DUMMYFUNCTION("""COMPUTED_VALUE"""),7.8131313)</f>
        <v>7.8131313</v>
      </c>
      <c r="D1846" s="7">
        <f>IFERROR(__xludf.DUMMYFUNCTION("""COMPUTED_VALUE"""),0.448275862068965)</f>
        <v>0.4482758621</v>
      </c>
    </row>
    <row r="1847">
      <c r="A1847" s="10" t="s">
        <v>3286</v>
      </c>
      <c r="B1847" s="7" t="str">
        <f>IFERROR(__xludf.DUMMYFUNCTION("SPLIT(A1847,"" "")"),"CC1CC(N)C1c1cccc(CN(C)C2CCC(N(C)Cc3ccccn3)CC2)n1")</f>
        <v>CC1CC(N)C1c1cccc(CN(C)C2CCC(N(C)Cc3ccccn3)CC2)n1</v>
      </c>
      <c r="C1847" s="7">
        <f>IFERROR(__xludf.DUMMYFUNCTION("""COMPUTED_VALUE"""),7.81312)</f>
        <v>7.81312</v>
      </c>
      <c r="D1847" s="7">
        <f>IFERROR(__xludf.DUMMYFUNCTION("""COMPUTED_VALUE"""),0.461538461538461)</f>
        <v>0.4615384615</v>
      </c>
    </row>
    <row r="1848">
      <c r="A1848" s="10" t="s">
        <v>3287</v>
      </c>
      <c r="B1848" s="7" t="str">
        <f>IFERROR(__xludf.DUMMYFUNCTION("SPLIT(A1848,"" "")"),"C1=CC(CN(Cc2ccccn2)Cc2ccccn2)C(c2cccc3c2OCCOCCOCCOCCOCCO3)=CN1")</f>
        <v>C1=CC(CN(Cc2ccccn2)Cc2ccccn2)C(c2cccc3c2OCCOCCOCCOCCOCCO3)=CN1</v>
      </c>
      <c r="C1848" s="7">
        <f>IFERROR(__xludf.DUMMYFUNCTION("""COMPUTED_VALUE"""),7.813117)</f>
        <v>7.813117</v>
      </c>
      <c r="D1848" s="7">
        <f>IFERROR(__xludf.DUMMYFUNCTION("""COMPUTED_VALUE"""),0.363636363636363)</f>
        <v>0.3636363636</v>
      </c>
    </row>
    <row r="1849">
      <c r="A1849" s="10" t="s">
        <v>3288</v>
      </c>
      <c r="B1849" s="7" t="str">
        <f>IFERROR(__xludf.DUMMYFUNCTION("SPLIT(A1849,"" "")"),"CCOC1(C)N=COC1c1ncccc1CN1CCN(C)CCN(C)CC1")</f>
        <v>CCOC1(C)N=COC1c1ncccc1CN1CCN(C)CCN(C)CC1</v>
      </c>
      <c r="C1849" s="7">
        <f>IFERROR(__xludf.DUMMYFUNCTION("""COMPUTED_VALUE"""),7.813108)</f>
        <v>7.813108</v>
      </c>
      <c r="D1849" s="7">
        <f>IFERROR(__xludf.DUMMYFUNCTION("""COMPUTED_VALUE"""),0.375)</f>
        <v>0.375</v>
      </c>
    </row>
    <row r="1850">
      <c r="A1850" s="10" t="s">
        <v>3289</v>
      </c>
      <c r="B1850" s="7" t="str">
        <f>IFERROR(__xludf.DUMMYFUNCTION("SPLIT(A1850,"" "")"),"CN(Cc1cccc(-c2ccc3c(c2)OCCOCCOCCOCCOCCO3)n1)C1C=CC=CN1")</f>
        <v>CN(Cc1cccc(-c2ccc3c(c2)OCCOCCOCCOCCOCCO3)n1)C1C=CC=CN1</v>
      </c>
      <c r="C1850" s="7">
        <f>IFERROR(__xludf.DUMMYFUNCTION("""COMPUTED_VALUE"""),7.813101)</f>
        <v>7.813101</v>
      </c>
      <c r="D1850" s="7">
        <f>IFERROR(__xludf.DUMMYFUNCTION("""COMPUTED_VALUE"""),0.347222222222222)</f>
        <v>0.3472222222</v>
      </c>
    </row>
    <row r="1851">
      <c r="A1851" s="10" t="s">
        <v>3290</v>
      </c>
      <c r="B1851" s="7" t="str">
        <f>IFERROR(__xludf.DUMMYFUNCTION("SPLIT(A1851,"" "")"),"c1ccc(CN(Cc2cccnc2)c2cccc3c2OCCOCCOCCOCCOCCO3)nc1")</f>
        <v>c1ccc(CN(Cc2cccnc2)c2cccc3c2OCCOCCOCCOCCOCCO3)nc1</v>
      </c>
      <c r="C1851" s="7">
        <f>IFERROR(__xludf.DUMMYFUNCTION("""COMPUTED_VALUE"""),7.8130865)</f>
        <v>7.8130865</v>
      </c>
      <c r="D1851" s="7">
        <f>IFERROR(__xludf.DUMMYFUNCTION("""COMPUTED_VALUE"""),0.326923076923076)</f>
        <v>0.3269230769</v>
      </c>
    </row>
    <row r="1852">
      <c r="A1852" s="10" t="s">
        <v>3291</v>
      </c>
      <c r="B1852" s="7" t="str">
        <f>IFERROR(__xludf.DUMMYFUNCTION("SPLIT(A1852,"" "")"),"CNCCN(C)CCN(C)CCN(C)CCN(C)CCN(C)CCN(C)CCN(C)CCN(C)CCN(C)CCN(C)CCN(C)CCN(C)CCN(C)CCN(C)CCN(C)CCN(C)CCN(C)CCN(C)CCN(C)CCN(C)CCN(C)CCN(C)CCN(C)CCN(C)CCNC")</f>
        <v>CNCCN(C)CCN(C)CCN(C)CCN(C)CCN(C)CCN(C)CCN(C)CCN(C)CCN(C)CCN(C)CCN(C)CCN(C)CCN(C)CCN(C)CCN(C)CCN(C)CCN(C)CCN(C)CCN(C)CCN(C)CCN(C)CCN(C)CCN(C)CCN(C)CCNC</v>
      </c>
      <c r="C1852" s="7">
        <f>IFERROR(__xludf.DUMMYFUNCTION("""COMPUTED_VALUE"""),7.813074)</f>
        <v>7.813074</v>
      </c>
      <c r="D1852" s="7">
        <f>IFERROR(__xludf.DUMMYFUNCTION("""COMPUTED_VALUE"""),0.21875)</f>
        <v>0.21875</v>
      </c>
    </row>
    <row r="1853">
      <c r="A1853" s="10" t="s">
        <v>3292</v>
      </c>
      <c r="B1853" s="7" t="str">
        <f>IFERROR(__xludf.DUMMYFUNCTION("SPLIT(A1853,"" "")"),"Cc1cc(CN(C)C2CCCC(N(C)Cc3ccc(CN4CCN(C)CCN(C)CC4)c(C)n3)C2)nc(C)c1C")</f>
        <v>Cc1cc(CN(C)C2CCCC(N(C)Cc3ccc(CN4CCN(C)CCN(C)CC4)c(C)n3)C2)nc(C)c1C</v>
      </c>
      <c r="C1853" s="7">
        <f>IFERROR(__xludf.DUMMYFUNCTION("""COMPUTED_VALUE"""),7.8130727)</f>
        <v>7.8130727</v>
      </c>
      <c r="D1853" s="7">
        <f>IFERROR(__xludf.DUMMYFUNCTION("""COMPUTED_VALUE"""),0.333333333333333)</f>
        <v>0.3333333333</v>
      </c>
    </row>
    <row r="1854">
      <c r="A1854" s="10" t="s">
        <v>3293</v>
      </c>
      <c r="B1854" s="7" t="str">
        <f>IFERROR(__xludf.DUMMYFUNCTION("SPLIT(A1854,"" "")"),"Cc1cccnc1CN(C)C1=CNC(CN(C)Cc2ccc3c(c2)OCCOCCOCCOCCOCCO3)=CC1")</f>
        <v>Cc1cccnc1CN(C)C1=CNC(CN(C)Cc2ccc3c(c2)OCCOCCOCCOCCOCCO3)=CC1</v>
      </c>
      <c r="C1854" s="7">
        <f>IFERROR(__xludf.DUMMYFUNCTION("""COMPUTED_VALUE"""),7.8130527)</f>
        <v>7.8130527</v>
      </c>
      <c r="D1854" s="7">
        <f>IFERROR(__xludf.DUMMYFUNCTION("""COMPUTED_VALUE"""),0.240963855421686)</f>
        <v>0.2409638554</v>
      </c>
    </row>
    <row r="1855">
      <c r="A1855" s="10" t="s">
        <v>3294</v>
      </c>
      <c r="B1855" s="7" t="str">
        <f>IFERROR(__xludf.DUMMYFUNCTION("SPLIT(A1855,"" "")"),"CNC1CCCCC1N(Cc1ncccc1C)Cc1ncccc1C")</f>
        <v>CNC1CCCCC1N(Cc1ncccc1C)Cc1ncccc1C</v>
      </c>
      <c r="C1855" s="7">
        <f>IFERROR(__xludf.DUMMYFUNCTION("""COMPUTED_VALUE"""),7.81305)</f>
        <v>7.81305</v>
      </c>
      <c r="D1855" s="7">
        <f>IFERROR(__xludf.DUMMYFUNCTION("""COMPUTED_VALUE"""),0.387755102040816)</f>
        <v>0.387755102</v>
      </c>
    </row>
    <row r="1856">
      <c r="A1856" s="10" t="s">
        <v>3295</v>
      </c>
      <c r="B1856" s="7" t="str">
        <f>IFERROR(__xludf.DUMMYFUNCTION("SPLIT(A1856,"" "")"),"CC(C)C(C)CN(Cc1ccccn1)Cc1ncccc1-c1cccc2c1OCCOCCOCCOCCOCCO2")</f>
        <v>CC(C)C(C)CN(Cc1ccccn1)Cc1ncccc1-c1cccc2c1OCCOCCOCCOCCOCCO2</v>
      </c>
      <c r="C1856" s="7">
        <f>IFERROR(__xludf.DUMMYFUNCTION("""COMPUTED_VALUE"""),7.813027)</f>
        <v>7.813027</v>
      </c>
      <c r="D1856" s="7">
        <f>IFERROR(__xludf.DUMMYFUNCTION("""COMPUTED_VALUE"""),0.351851851851851)</f>
        <v>0.3518518519</v>
      </c>
    </row>
    <row r="1857">
      <c r="A1857" s="10" t="s">
        <v>3296</v>
      </c>
      <c r="B1857" s="7" t="str">
        <f>IFERROR(__xludf.DUMMYFUNCTION("SPLIT(A1857,"" "")"),"C#CCN(C)Cc1ncccc1C(C)(C)C")</f>
        <v>C#CCN(C)Cc1ncccc1C(C)(C)C</v>
      </c>
      <c r="C1857" s="7">
        <f>IFERROR(__xludf.DUMMYFUNCTION("""COMPUTED_VALUE"""),7.8130226)</f>
        <v>7.8130226</v>
      </c>
      <c r="D1857" s="7">
        <f>IFERROR(__xludf.DUMMYFUNCTION("""COMPUTED_VALUE"""),0.319148936170212)</f>
        <v>0.3191489362</v>
      </c>
    </row>
    <row r="1858">
      <c r="A1858" s="10" t="s">
        <v>3297</v>
      </c>
      <c r="B1858" s="7" t="str">
        <f>IFERROR(__xludf.DUMMYFUNCTION("SPLIT(A1858,"" "")"),"COC(=O)C(=O)N1CCN(C)CCN(C(=O)C(C)NCc2ccccn2)CC1")</f>
        <v>COC(=O)C(=O)N1CCN(C)CCN(C(=O)C(C)NCc2ccccn2)CC1</v>
      </c>
      <c r="C1858" s="7">
        <f>IFERROR(__xludf.DUMMYFUNCTION("""COMPUTED_VALUE"""),7.8129973)</f>
        <v>7.8129973</v>
      </c>
      <c r="D1858" s="7">
        <f>IFERROR(__xludf.DUMMYFUNCTION("""COMPUTED_VALUE"""),0.407407407407407)</f>
        <v>0.4074074074</v>
      </c>
    </row>
    <row r="1859">
      <c r="A1859" s="10" t="s">
        <v>3298</v>
      </c>
      <c r="B1859" s="7" t="str">
        <f>IFERROR(__xludf.DUMMYFUNCTION("SPLIT(A1859,"" "")"),"Cc1cnc(CN(C)C2CCCCC2N(C)Cc2cccc(-c3ccc4c(c3)OCCOCCOCCOCCOCCO4)n2)c(C)c1")</f>
        <v>Cc1cnc(CN(C)C2CCCCC2N(C)Cc2cccc(-c3ccc4c(c3)OCCOCCOCCOCCOCCO4)n2)c(C)c1</v>
      </c>
      <c r="C1859" s="7">
        <f>IFERROR(__xludf.DUMMYFUNCTION("""COMPUTED_VALUE"""),7.812988)</f>
        <v>7.812988</v>
      </c>
      <c r="D1859" s="7">
        <f>IFERROR(__xludf.DUMMYFUNCTION("""COMPUTED_VALUE"""),0.421875)</f>
        <v>0.421875</v>
      </c>
    </row>
    <row r="1860">
      <c r="A1860" s="10" t="s">
        <v>3299</v>
      </c>
      <c r="B1860" s="7" t="str">
        <f>IFERROR(__xludf.DUMMYFUNCTION("SPLIT(A1860,"" "")"),"CNC1CCCC(N(C)Cc2ncc(C)c(C)c2C)C1")</f>
        <v>CNC1CCCC(N(C)Cc2ncc(C)c(C)c2C)C1</v>
      </c>
      <c r="C1860" s="7">
        <f>IFERROR(__xludf.DUMMYFUNCTION("""COMPUTED_VALUE"""),7.812987)</f>
        <v>7.812987</v>
      </c>
      <c r="D1860" s="7">
        <f>IFERROR(__xludf.DUMMYFUNCTION("""COMPUTED_VALUE"""),0.320754716981132)</f>
        <v>0.320754717</v>
      </c>
    </row>
    <row r="1861">
      <c r="A1861" s="10" t="s">
        <v>3300</v>
      </c>
      <c r="B1861" s="7" t="str">
        <f>IFERROR(__xludf.DUMMYFUNCTION("SPLIT(A1861,"" "")"),"Cc1ccc(CN(C)C2CCCCC2N(C)Cc2cccc(-c3ccc4c(c3)OCCOCCOCCOCCOCCO4)n2)nc1C")</f>
        <v>Cc1ccc(CN(C)C2CCCCC2N(C)Cc2cccc(-c3ccc4c(c3)OCCOCCOCCOCCOCCO4)n2)nc1C</v>
      </c>
      <c r="C1861" s="7">
        <f>IFERROR(__xludf.DUMMYFUNCTION("""COMPUTED_VALUE"""),7.8129816)</f>
        <v>7.8129816</v>
      </c>
      <c r="D1861" s="7">
        <f>IFERROR(__xludf.DUMMYFUNCTION("""COMPUTED_VALUE"""),0.457627118644067)</f>
        <v>0.4576271186</v>
      </c>
    </row>
    <row r="1862">
      <c r="A1862" s="10" t="s">
        <v>3301</v>
      </c>
      <c r="B1862" s="7" t="str">
        <f>IFERROR(__xludf.DUMMYFUNCTION("SPLIT(A1862,"" "")"),"CN(Cc1ncccc1-c1cccc2c1OCCOCCOCCOCCOCCO2)C1CCCCC1N(Cc1ccccn1)Cc1ccccn1")</f>
        <v>CN(Cc1ncccc1-c1cccc2c1OCCOCCOCCOCCOCCO2)C1CCCCC1N(Cc1ccccn1)Cc1ccccn1</v>
      </c>
      <c r="C1862" s="7">
        <f>IFERROR(__xludf.DUMMYFUNCTION("""COMPUTED_VALUE"""),7.8129706)</f>
        <v>7.8129706</v>
      </c>
      <c r="D1862" s="7">
        <f>IFERROR(__xludf.DUMMYFUNCTION("""COMPUTED_VALUE"""),0.5)</f>
        <v>0.5</v>
      </c>
    </row>
    <row r="1863">
      <c r="A1863" s="10" t="s">
        <v>3302</v>
      </c>
      <c r="B1863" s="7" t="str">
        <f>IFERROR(__xludf.DUMMYFUNCTION("SPLIT(A1863,"" "")"),"CNC1C(N(C)Cc2cc(C)ccn2)CCCC1N(C)Cc1cc(C)ccn1")</f>
        <v>CNC1C(N(C)Cc2cc(C)ccn2)CCCC1N(C)Cc1cc(C)ccn1</v>
      </c>
      <c r="C1863" s="7">
        <f>IFERROR(__xludf.DUMMYFUNCTION("""COMPUTED_VALUE"""),7.812956)</f>
        <v>7.812956</v>
      </c>
      <c r="D1863" s="7">
        <f>IFERROR(__xludf.DUMMYFUNCTION("""COMPUTED_VALUE"""),0.478260869565217)</f>
        <v>0.4782608696</v>
      </c>
    </row>
    <row r="1864">
      <c r="A1864" s="10" t="s">
        <v>3303</v>
      </c>
      <c r="B1864" s="7" t="str">
        <f>IFERROR(__xludf.DUMMYFUNCTION("SPLIT(A1864,"" "")"),"COC(=O)C1C(C(=O)C(C)N)C(C(=O)C(C)N)CN(C)C1C(C)(C)C")</f>
        <v>COC(=O)C1C(C(=O)C(C)N)C(C(=O)C(C)N)CN(C)C1C(C)(C)C</v>
      </c>
      <c r="C1864" s="7">
        <f>IFERROR(__xludf.DUMMYFUNCTION("""COMPUTED_VALUE"""),7.812952)</f>
        <v>7.812952</v>
      </c>
      <c r="D1864" s="7">
        <f>IFERROR(__xludf.DUMMYFUNCTION("""COMPUTED_VALUE"""),0.212121212121212)</f>
        <v>0.2121212121</v>
      </c>
    </row>
    <row r="1865">
      <c r="A1865" s="10" t="s">
        <v>3304</v>
      </c>
      <c r="B1865" s="7" t="str">
        <f>IFERROR(__xludf.DUMMYFUNCTION("SPLIT(A1865,"" "")"),"CN(CC1=CCC(N(C)c2ccc3c(c2)OCCOCCOCCOCCOCCO3)=CN1)Cc1ccccn1")</f>
        <v>CN(CC1=CCC(N(C)c2ccc3c(c2)OCCOCCOCCOCCOCCO3)=CN1)Cc1ccccn1</v>
      </c>
      <c r="C1865" s="7">
        <f>IFERROR(__xludf.DUMMYFUNCTION("""COMPUTED_VALUE"""),7.812948)</f>
        <v>7.812948</v>
      </c>
      <c r="D1865" s="7">
        <f>IFERROR(__xludf.DUMMYFUNCTION("""COMPUTED_VALUE"""),0.359375)</f>
        <v>0.359375</v>
      </c>
    </row>
    <row r="1866">
      <c r="A1866" s="10" t="s">
        <v>3305</v>
      </c>
      <c r="B1866" s="7" t="str">
        <f>IFERROR(__xludf.DUMMYFUNCTION("SPLIT(A1866,"" "")"),"CC(C)N(C)Cc1ccc(N2CCN(C)CCN(C)CC2)cn1")</f>
        <v>CC(C)N(C)Cc1ccc(N2CCN(C)CCN(C)CC2)cn1</v>
      </c>
      <c r="C1866" s="7">
        <f>IFERROR(__xludf.DUMMYFUNCTION("""COMPUTED_VALUE"""),7.8129463)</f>
        <v>7.8129463</v>
      </c>
      <c r="D1866" s="7">
        <f>IFERROR(__xludf.DUMMYFUNCTION("""COMPUTED_VALUE"""),0.355555555555555)</f>
        <v>0.3555555556</v>
      </c>
    </row>
    <row r="1867">
      <c r="A1867" s="10" t="s">
        <v>3306</v>
      </c>
      <c r="B1867" s="7" t="str">
        <f>IFERROR(__xludf.DUMMYFUNCTION("SPLIT(A1867,"" "")"),"CC(C)N(C)CC1=CC(N(C)Cc2cccc(-c3ccc4c(c3)OCCOCCOCCOCCOCCO4)n2)C=CN1")</f>
        <v>CC(C)N(C)CC1=CC(N(C)Cc2cccc(-c3ccc4c(c3)OCCOCCOCCOCCOCCO4)n2)C=CN1</v>
      </c>
      <c r="C1867" s="7">
        <f>IFERROR(__xludf.DUMMYFUNCTION("""COMPUTED_VALUE"""),7.812943)</f>
        <v>7.812943</v>
      </c>
      <c r="D1867" s="7">
        <f>IFERROR(__xludf.DUMMYFUNCTION("""COMPUTED_VALUE"""),0.3)</f>
        <v>0.3</v>
      </c>
    </row>
    <row r="1868">
      <c r="A1868" s="10" t="s">
        <v>3307</v>
      </c>
      <c r="B1868" s="7" t="str">
        <f>IFERROR(__xludf.DUMMYFUNCTION("SPLIT(A1868,"" "")"),"CC(N)C1=CCC=CN1")</f>
        <v>CC(N)C1=CCC=CN1</v>
      </c>
      <c r="C1868" s="7">
        <f>IFERROR(__xludf.DUMMYFUNCTION("""COMPUTED_VALUE"""),7.8129354)</f>
        <v>7.8129354</v>
      </c>
      <c r="D1868" s="7">
        <f>IFERROR(__xludf.DUMMYFUNCTION("""COMPUTED_VALUE"""),0.260869565217391)</f>
        <v>0.2608695652</v>
      </c>
    </row>
    <row r="1869">
      <c r="A1869" s="10" t="s">
        <v>3308</v>
      </c>
      <c r="B1869" s="7" t="str">
        <f>IFERROR(__xludf.DUMMYFUNCTION("SPLIT(A1869,"" "")"),"Cc1cncc(CN(C)C2CCCCC2N(C)Cc2ccon2)c1")</f>
        <v>Cc1cncc(CN(C)C2CCCCC2N(C)Cc2ccon2)c1</v>
      </c>
      <c r="C1869" s="7">
        <f>IFERROR(__xludf.DUMMYFUNCTION("""COMPUTED_VALUE"""),7.8129253)</f>
        <v>7.8129253</v>
      </c>
      <c r="D1869" s="7">
        <f>IFERROR(__xludf.DUMMYFUNCTION("""COMPUTED_VALUE"""),0.489795918367346)</f>
        <v>0.4897959184</v>
      </c>
    </row>
    <row r="1870">
      <c r="A1870" s="10" t="s">
        <v>3309</v>
      </c>
      <c r="B1870" s="7" t="str">
        <f>IFERROR(__xludf.DUMMYFUNCTION("SPLIT(A1870,"" "")"),"CN(CCNCc1ccccn1)Cc1ncccc1-c1cccc2c1OCCOCCOCCOCCOCCO2")</f>
        <v>CN(CCNCc1ccccn1)Cc1ncccc1-c1cccc2c1OCCOCCOCCOCCOCCO2</v>
      </c>
      <c r="C1870" s="7">
        <f>IFERROR(__xludf.DUMMYFUNCTION("""COMPUTED_VALUE"""),7.812916)</f>
        <v>7.812916</v>
      </c>
      <c r="D1870" s="7">
        <f>IFERROR(__xludf.DUMMYFUNCTION("""COMPUTED_VALUE"""),0.375)</f>
        <v>0.375</v>
      </c>
    </row>
    <row r="1871">
      <c r="A1871" s="10" t="s">
        <v>3310</v>
      </c>
      <c r="B1871" s="7" t="str">
        <f>IFERROR(__xludf.DUMMYFUNCTION("SPLIT(A1871,"" "")"),"CCCNCC1=CC(C)CC(C)C1c1ccccn1")</f>
        <v>CCCNCC1=CC(C)CC(C)C1c1ccccn1</v>
      </c>
      <c r="C1871" s="7">
        <f>IFERROR(__xludf.DUMMYFUNCTION("""COMPUTED_VALUE"""),7.812914)</f>
        <v>7.812914</v>
      </c>
      <c r="D1871" s="7">
        <f>IFERROR(__xludf.DUMMYFUNCTION("""COMPUTED_VALUE"""),0.347826086956521)</f>
        <v>0.347826087</v>
      </c>
    </row>
    <row r="1872">
      <c r="A1872" s="10" t="s">
        <v>3311</v>
      </c>
      <c r="B1872" s="7" t="str">
        <f>IFERROR(__xludf.DUMMYFUNCTION("SPLIT(A1872,"" "")"),"CN(Cc1cc(-c2ccc3c(c2)OCCOCCOCCOCCOCCO3)ccn1)C1CCC(N(C)Cc2ccon2)CC1")</f>
        <v>CN(Cc1cc(-c2ccc3c(c2)OCCOCCOCCOCCOCCO3)ccn1)C1CCC(N(C)Cc2ccon2)CC1</v>
      </c>
      <c r="C1872" s="7">
        <f>IFERROR(__xludf.DUMMYFUNCTION("""COMPUTED_VALUE"""),7.8129025)</f>
        <v>7.8129025</v>
      </c>
      <c r="D1872" s="7">
        <f>IFERROR(__xludf.DUMMYFUNCTION("""COMPUTED_VALUE"""),0.409090909090909)</f>
        <v>0.4090909091</v>
      </c>
    </row>
    <row r="1873">
      <c r="A1873" s="10" t="s">
        <v>3312</v>
      </c>
      <c r="B1873" s="7" t="str">
        <f>IFERROR(__xludf.DUMMYFUNCTION("SPLIT(A1873,"" "")"),"CC1=CCC(C)C(C)(c2cccc(CN(Cc3ccccn3)C3CCCCC3)n2)C1")</f>
        <v>CC1=CCC(C)C(C)(c2cccc(CN(Cc3ccccn3)C3CCCCC3)n2)C1</v>
      </c>
      <c r="C1873" s="7">
        <f>IFERROR(__xludf.DUMMYFUNCTION("""COMPUTED_VALUE"""),7.8128963)</f>
        <v>7.8128963</v>
      </c>
      <c r="D1873" s="7">
        <f>IFERROR(__xludf.DUMMYFUNCTION("""COMPUTED_VALUE"""),0.383333333333333)</f>
        <v>0.3833333333</v>
      </c>
    </row>
    <row r="1874">
      <c r="A1874" s="10" t="s">
        <v>3313</v>
      </c>
      <c r="B1874" s="7" t="str">
        <f>IFERROR(__xludf.DUMMYFUNCTION("SPLIT(A1874,"" "")"),"CN(CCF)CCN(Cc1cccc(F)n1)Cc1cccc(-c2ccc3c(c2)OCCOCCOCCOCCOCCO3)n1")</f>
        <v>CN(CCF)CCN(Cc1cccc(F)n1)Cc1cccc(-c2ccc3c(c2)OCCOCCOCCOCCOCCO3)n1</v>
      </c>
      <c r="C1874" s="7">
        <f>IFERROR(__xludf.DUMMYFUNCTION("""COMPUTED_VALUE"""),7.8128505)</f>
        <v>7.8128505</v>
      </c>
      <c r="D1874" s="7">
        <f>IFERROR(__xludf.DUMMYFUNCTION("""COMPUTED_VALUE"""),0.319444444444444)</f>
        <v>0.3194444444</v>
      </c>
    </row>
    <row r="1875">
      <c r="A1875" s="10" t="s">
        <v>3314</v>
      </c>
      <c r="B1875" s="7" t="str">
        <f>IFERROR(__xludf.DUMMYFUNCTION("SPLIT(A1875,"" "")"),"CC(C)C1N=COC1c1cc(CN2CCN(C)CCN(C)CC2)ccn1")</f>
        <v>CC(C)C1N=COC1c1cc(CN2CCN(C)CCN(C)CC2)ccn1</v>
      </c>
      <c r="C1875" s="7">
        <f>IFERROR(__xludf.DUMMYFUNCTION("""COMPUTED_VALUE"""),7.8128495)</f>
        <v>7.8128495</v>
      </c>
      <c r="D1875" s="7">
        <f>IFERROR(__xludf.DUMMYFUNCTION("""COMPUTED_VALUE"""),0.388888888888888)</f>
        <v>0.3888888889</v>
      </c>
    </row>
    <row r="1876">
      <c r="A1876" s="10" t="s">
        <v>3315</v>
      </c>
      <c r="B1876" s="7" t="str">
        <f>IFERROR(__xludf.DUMMYFUNCTION("SPLIT(A1876,"" "")"),"CN(CCNCc1ccccn1)Cc1cccc(-c2ccc3c(c2)OCCOCCOCCOCCOCCO3)n1")</f>
        <v>CN(CCNCc1ccccn1)Cc1cccc(-c2ccc3c(c2)OCCOCCOCCOCCOCCO3)n1</v>
      </c>
      <c r="C1876" s="7">
        <f>IFERROR(__xludf.DUMMYFUNCTION("""COMPUTED_VALUE"""),7.812832)</f>
        <v>7.812832</v>
      </c>
      <c r="D1876" s="7">
        <f>IFERROR(__xludf.DUMMYFUNCTION("""COMPUTED_VALUE"""),0.426229508196721)</f>
        <v>0.4262295082</v>
      </c>
    </row>
    <row r="1877">
      <c r="A1877" s="10" t="s">
        <v>3316</v>
      </c>
      <c r="B1877" s="7" t="str">
        <f>IFERROR(__xludf.DUMMYFUNCTION("SPLIT(A1877,"" "")"),"CNCc1cc(CN(C)C2CCC(N(C)Cc3ccon3)CC2)ccn1")</f>
        <v>CNCc1cc(CN(C)C2CCC(N(C)Cc3ccon3)CC2)ccn1</v>
      </c>
      <c r="C1877" s="7">
        <f>IFERROR(__xludf.DUMMYFUNCTION("""COMPUTED_VALUE"""),7.812826)</f>
        <v>7.812826</v>
      </c>
      <c r="D1877" s="7">
        <f>IFERROR(__xludf.DUMMYFUNCTION("""COMPUTED_VALUE"""),0.395833333333333)</f>
        <v>0.3958333333</v>
      </c>
    </row>
    <row r="1878">
      <c r="A1878" s="10" t="s">
        <v>3317</v>
      </c>
      <c r="B1878" s="7" t="str">
        <f>IFERROR(__xludf.DUMMYFUNCTION("SPLIT(A1878,"" "")"),"Cc1cccc(CN(C)C2=CNC(CN(C)Cc3ccc4c(c3)OCCOCCOCCOCCOCCO4)=CC2)n1")</f>
        <v>Cc1cccc(CN(C)C2=CNC(CN(C)Cc3ccc4c(c3)OCCOCCOCCOCCOCCO4)=CC2)n1</v>
      </c>
      <c r="C1878" s="7">
        <f>IFERROR(__xludf.DUMMYFUNCTION("""COMPUTED_VALUE"""),7.8128123)</f>
        <v>7.8128123</v>
      </c>
      <c r="D1878" s="7">
        <f>IFERROR(__xludf.DUMMYFUNCTION("""COMPUTED_VALUE"""),0.344262295081967)</f>
        <v>0.3442622951</v>
      </c>
    </row>
    <row r="1879">
      <c r="A1879" s="10" t="s">
        <v>3318</v>
      </c>
      <c r="B1879" s="7" t="str">
        <f>IFERROR(__xludf.DUMMYFUNCTION("SPLIT(A1879,"" "")"),"CCOC(=O)C(C)NCc1ccc(C(C)NCc2ccc(CN3CCN(C)CCN(C)CC3)cn2)cn1")</f>
        <v>CCOC(=O)C(C)NCc1ccc(C(C)NCc2ccc(CN3CCN(C)CCN(C)CC3)cn2)cn1</v>
      </c>
      <c r="C1879" s="7">
        <f>IFERROR(__xludf.DUMMYFUNCTION("""COMPUTED_VALUE"""),7.812798)</f>
        <v>7.812798</v>
      </c>
      <c r="D1879" s="7">
        <f>IFERROR(__xludf.DUMMYFUNCTION("""COMPUTED_VALUE"""),0.402985074626865)</f>
        <v>0.4029850746</v>
      </c>
    </row>
    <row r="1880">
      <c r="A1880" s="10" t="s">
        <v>3319</v>
      </c>
      <c r="B1880" s="7" t="str">
        <f>IFERROR(__xludf.DUMMYFUNCTION("SPLIT(A1880,"" "")"),"CC(C)N(C)CCN(C)CC(C)(C)C")</f>
        <v>CC(C)N(C)CCN(C)CC(C)(C)C</v>
      </c>
      <c r="C1880" s="7">
        <f>IFERROR(__xludf.DUMMYFUNCTION("""COMPUTED_VALUE"""),7.8127933)</f>
        <v>7.8127933</v>
      </c>
      <c r="D1880" s="7">
        <f>IFERROR(__xludf.DUMMYFUNCTION("""COMPUTED_VALUE"""),0.219512195121951)</f>
        <v>0.2195121951</v>
      </c>
    </row>
    <row r="1881">
      <c r="A1881" s="10" t="s">
        <v>3320</v>
      </c>
      <c r="B1881" s="7" t="str">
        <f>IFERROR(__xludf.DUMMYFUNCTION("SPLIT(A1881,"" "")"),"Cc1nc(CN2CCN(C)CCN(C)CC2)c(C)c(C)c1C")</f>
        <v>Cc1nc(CN2CCN(C)CCN(C)CC2)c(C)c(C)c1C</v>
      </c>
      <c r="C1881" s="7">
        <f>IFERROR(__xludf.DUMMYFUNCTION("""COMPUTED_VALUE"""),7.8127728)</f>
        <v>7.8127728</v>
      </c>
      <c r="D1881" s="7">
        <f>IFERROR(__xludf.DUMMYFUNCTION("""COMPUTED_VALUE"""),0.452380952380952)</f>
        <v>0.4523809524</v>
      </c>
    </row>
    <row r="1882">
      <c r="A1882" s="10" t="s">
        <v>3321</v>
      </c>
      <c r="B1882" s="7" t="str">
        <f>IFERROR(__xludf.DUMMYFUNCTION("SPLIT(A1882,"" "")"),"COC(=O)C1CN(C)C(C(=O)C(C)N)C(C(C)(C)N(Cc2ccccn2)Cc2cc(-c3ccc4c(c3)OCCOCCOCCOCCOCCO4)ccn2)C1C(C)C")</f>
        <v>COC(=O)C1CN(C)C(C(=O)C(C)N)C(C(C)(C)N(Cc2ccccn2)Cc2cc(-c3ccc4c(c3)OCCOCCOCCOCCOCCO4)ccn2)C1C(C)C</v>
      </c>
      <c r="C1882" s="7">
        <f>IFERROR(__xludf.DUMMYFUNCTION("""COMPUTED_VALUE"""),7.8127723)</f>
        <v>7.8127723</v>
      </c>
      <c r="D1882" s="7">
        <f>IFERROR(__xludf.DUMMYFUNCTION("""COMPUTED_VALUE"""),0.28125)</f>
        <v>0.28125</v>
      </c>
    </row>
    <row r="1883">
      <c r="A1883" s="10" t="s">
        <v>3322</v>
      </c>
      <c r="B1883" s="7" t="str">
        <f>IFERROR(__xludf.DUMMYFUNCTION("SPLIT(A1883,"" "")"),"CC(C)N(C)CCN(C)C(C)(C)c1ccccn1")</f>
        <v>CC(C)N(C)CCN(C)C(C)(C)c1ccccn1</v>
      </c>
      <c r="C1883" s="7">
        <f>IFERROR(__xludf.DUMMYFUNCTION("""COMPUTED_VALUE"""),7.8127584)</f>
        <v>7.8127584</v>
      </c>
      <c r="D1883" s="7">
        <f>IFERROR(__xludf.DUMMYFUNCTION("""COMPUTED_VALUE"""),0.395348837209302)</f>
        <v>0.3953488372</v>
      </c>
    </row>
    <row r="1884">
      <c r="A1884" s="10" t="s">
        <v>3323</v>
      </c>
      <c r="B1884" s="7" t="str">
        <f>IFERROR(__xludf.DUMMYFUNCTION("SPLIT(A1884,"" "")"),"Cc1cccc(CN(C)C2CCC(N(Cc3ccccn3)C(C)C)CC2)n1")</f>
        <v>Cc1cccc(CN(C)C2CCC(N(Cc3ccccn3)C(C)C)CC2)n1</v>
      </c>
      <c r="C1884" s="7">
        <f>IFERROR(__xludf.DUMMYFUNCTION("""COMPUTED_VALUE"""),7.8127527)</f>
        <v>7.8127527</v>
      </c>
      <c r="D1884" s="7">
        <f>IFERROR(__xludf.DUMMYFUNCTION("""COMPUTED_VALUE"""),0.5)</f>
        <v>0.5</v>
      </c>
    </row>
    <row r="1885">
      <c r="A1885" s="10" t="s">
        <v>3324</v>
      </c>
      <c r="B1885" s="7" t="str">
        <f>IFERROR(__xludf.DUMMYFUNCTION("SPLIT(A1885,"" "")"),"CCNC1CC(N(C)Cc2ncccc2C)CCC1N(C)Cc1ncccc1C")</f>
        <v>CCNC1CC(N(C)Cc2ncccc2C)CCC1N(C)Cc1ncccc1C</v>
      </c>
      <c r="C1885" s="7">
        <f>IFERROR(__xludf.DUMMYFUNCTION("""COMPUTED_VALUE"""),7.812748)</f>
        <v>7.812748</v>
      </c>
      <c r="D1885" s="7">
        <f>IFERROR(__xludf.DUMMYFUNCTION("""COMPUTED_VALUE"""),0.345454545454545)</f>
        <v>0.3454545455</v>
      </c>
    </row>
    <row r="1886">
      <c r="A1886" s="10" t="s">
        <v>3325</v>
      </c>
      <c r="B1886" s="7" t="str">
        <f>IFERROR(__xludf.DUMMYFUNCTION("SPLIT(A1886,"" "")"),"CC(C)(C)CN(CCN(CC(C)(C)C)CC(C)(C)N)CC(C)(C)C")</f>
        <v>CC(C)(C)CN(CCN(CC(C)(C)C)CC(C)(C)N)CC(C)(C)C</v>
      </c>
      <c r="C1886" s="7">
        <f>IFERROR(__xludf.DUMMYFUNCTION("""COMPUTED_VALUE"""),7.8127036)</f>
        <v>7.8127036</v>
      </c>
      <c r="D1886" s="7">
        <f>IFERROR(__xludf.DUMMYFUNCTION("""COMPUTED_VALUE"""),0.342857142857142)</f>
        <v>0.3428571429</v>
      </c>
    </row>
    <row r="1887">
      <c r="A1887" s="10" t="s">
        <v>3326</v>
      </c>
      <c r="B1887" s="7" t="str">
        <f>IFERROR(__xludf.DUMMYFUNCTION("SPLIT(A1887,"" "")"),"CC(C)C(C)N(Cc1ccccn1)Cc1cccc(-c2ccc3c(c2)OCCOCCOCCOCCOCCO3)n1")</f>
        <v>CC(C)C(C)N(Cc1ccccn1)Cc1cccc(-c2ccc3c(c2)OCCOCCOCCOCCOCCO3)n1</v>
      </c>
      <c r="C1887" s="7">
        <f>IFERROR(__xludf.DUMMYFUNCTION("""COMPUTED_VALUE"""),7.8126955)</f>
        <v>7.8126955</v>
      </c>
      <c r="D1887" s="7">
        <f>IFERROR(__xludf.DUMMYFUNCTION("""COMPUTED_VALUE"""),0.4375)</f>
        <v>0.4375</v>
      </c>
    </row>
    <row r="1888">
      <c r="A1888" s="10" t="s">
        <v>3327</v>
      </c>
      <c r="B1888" s="7" t="str">
        <f>IFERROR(__xludf.DUMMYFUNCTION("SPLIT(A1888,"" "")"),"Cc1ccncc1CN(Cc1ncccc1C)C1CCCC(N(C)CCN(C)C)C1")</f>
        <v>Cc1ccncc1CN(Cc1ncccc1C)C1CCCC(N(C)CCN(C)C)C1</v>
      </c>
      <c r="C1888" s="7">
        <f>IFERROR(__xludf.DUMMYFUNCTION("""COMPUTED_VALUE"""),7.812694)</f>
        <v>7.812694</v>
      </c>
      <c r="D1888" s="7">
        <f>IFERROR(__xludf.DUMMYFUNCTION("""COMPUTED_VALUE"""),0.285714285714285)</f>
        <v>0.2857142857</v>
      </c>
    </row>
    <row r="1889">
      <c r="A1889" s="10" t="s">
        <v>3328</v>
      </c>
      <c r="B1889" s="7" t="str">
        <f>IFERROR(__xludf.DUMMYFUNCTION("SPLIT(A1889,"" "")"),"CNc1ccc(CN2CCN(C)CCN(Cc3ccc(N)cn3)CC2)cn1")</f>
        <v>CNc1ccc(CN2CCN(C)CCN(Cc3ccc(N)cn3)CC2)cn1</v>
      </c>
      <c r="C1889" s="7">
        <f>IFERROR(__xludf.DUMMYFUNCTION("""COMPUTED_VALUE"""),7.8126874)</f>
        <v>7.8126874</v>
      </c>
      <c r="D1889" s="7">
        <f>IFERROR(__xludf.DUMMYFUNCTION("""COMPUTED_VALUE"""),0.42)</f>
        <v>0.42</v>
      </c>
    </row>
    <row r="1890">
      <c r="A1890" s="10" t="s">
        <v>3329</v>
      </c>
      <c r="B1890" s="7" t="str">
        <f>IFERROR(__xludf.DUMMYFUNCTION("SPLIT(A1890,"" "")"),"CC(C)(C)c1ncccc1CN(Cc1ccccn1)C1CCCCC1")</f>
        <v>CC(C)(C)c1ncccc1CN(Cc1ccccn1)C1CCCCC1</v>
      </c>
      <c r="C1890" s="7">
        <f>IFERROR(__xludf.DUMMYFUNCTION("""COMPUTED_VALUE"""),7.8126645)</f>
        <v>7.8126645</v>
      </c>
      <c r="D1890" s="7">
        <f>IFERROR(__xludf.DUMMYFUNCTION("""COMPUTED_VALUE"""),0.46938775510204)</f>
        <v>0.4693877551</v>
      </c>
    </row>
    <row r="1891">
      <c r="A1891" s="10" t="s">
        <v>3330</v>
      </c>
      <c r="B1891" s="7" t="str">
        <f>IFERROR(__xludf.DUMMYFUNCTION("SPLIT(A1891,"" "")"),"CN(CCNCc1ncccc1-c1cccc2c1OCCOCCOCCOCCOCCO2)Cc1ccccn1")</f>
        <v>CN(CCNCc1ncccc1-c1cccc2c1OCCOCCOCCOCCOCCO2)Cc1ccccn1</v>
      </c>
      <c r="C1891" s="7">
        <f>IFERROR(__xludf.DUMMYFUNCTION("""COMPUTED_VALUE"""),7.812657)</f>
        <v>7.812657</v>
      </c>
      <c r="D1891" s="7">
        <f>IFERROR(__xludf.DUMMYFUNCTION("""COMPUTED_VALUE"""),0.34375)</f>
        <v>0.34375</v>
      </c>
    </row>
    <row r="1892">
      <c r="A1892" s="10" t="s">
        <v>3331</v>
      </c>
      <c r="B1892" s="7" t="str">
        <f>IFERROR(__xludf.DUMMYFUNCTION("SPLIT(A1892,"" "")"),"CC1=C(C)C(N=Cc2ccccn2)CCC1CN(C)C(C)C")</f>
        <v>CC1=C(C)C(N=Cc2ccccn2)CCC1CN(C)C(C)C</v>
      </c>
      <c r="C1892" s="7">
        <f>IFERROR(__xludf.DUMMYFUNCTION("""COMPUTED_VALUE"""),7.8126473)</f>
        <v>7.8126473</v>
      </c>
      <c r="D1892" s="7">
        <f>IFERROR(__xludf.DUMMYFUNCTION("""COMPUTED_VALUE"""),0.333333333333333)</f>
        <v>0.3333333333</v>
      </c>
    </row>
    <row r="1893">
      <c r="A1893" s="10" t="s">
        <v>3332</v>
      </c>
      <c r="B1893" s="7" t="str">
        <f>IFERROR(__xludf.DUMMYFUNCTION("SPLIT(A1893,"" "")"),"CN(Cc1ccon1)C1CCC(N(C)Cc2ncccc2-c2ccc3c(c2)OCCOCCOCCOCCOCCO3)CC1")</f>
        <v>CN(Cc1ccon1)C1CCC(N(C)Cc2ncccc2-c2ccc3c(c2)OCCOCCOCCOCCOCCO3)CC1</v>
      </c>
      <c r="C1893" s="7">
        <f>IFERROR(__xludf.DUMMYFUNCTION("""COMPUTED_VALUE"""),7.812645)</f>
        <v>7.812645</v>
      </c>
      <c r="D1893" s="7">
        <f>IFERROR(__xludf.DUMMYFUNCTION("""COMPUTED_VALUE"""),0.356164383561643)</f>
        <v>0.3561643836</v>
      </c>
    </row>
    <row r="1894">
      <c r="A1894" s="10" t="s">
        <v>3333</v>
      </c>
      <c r="B1894" s="7" t="str">
        <f>IFERROR(__xludf.DUMMYFUNCTION("SPLIT(A1894,"" "")"),"CC(C)NCc1cccc(-c2ccc3c(c2)OCCOCCOCCOCCOCCO3)n1")</f>
        <v>CC(C)NCc1cccc(-c2ccc3c(c2)OCCOCCOCCOCCOCCO3)n1</v>
      </c>
      <c r="C1894" s="7">
        <f>IFERROR(__xludf.DUMMYFUNCTION("""COMPUTED_VALUE"""),7.8126316)</f>
        <v>7.8126316</v>
      </c>
      <c r="D1894" s="7">
        <f>IFERROR(__xludf.DUMMYFUNCTION("""COMPUTED_VALUE"""),0.38095238095238)</f>
        <v>0.380952381</v>
      </c>
    </row>
    <row r="1895">
      <c r="A1895" s="10" t="s">
        <v>3334</v>
      </c>
      <c r="B1895" s="7" t="str">
        <f>IFERROR(__xludf.DUMMYFUNCTION("SPLIT(A1895,"" "")"),"CN1CCN(Cc2ccc(CN(C)Cc3ccc(CF)nc3)nc2)CCN(Cc2cccc(-c3ccc4c(c3)OCCOCCOCCOCCOCCO4)n2)CC1")</f>
        <v>CN1CCN(Cc2ccc(CN(C)Cc3ccc(CF)nc3)nc2)CCN(Cc2cccc(-c3ccc4c(c3)OCCOCCOCCOCCOCCO4)n2)CC1</v>
      </c>
      <c r="C1895" s="7">
        <f>IFERROR(__xludf.DUMMYFUNCTION("""COMPUTED_VALUE"""),7.8126287)</f>
        <v>7.8126287</v>
      </c>
      <c r="D1895" s="7">
        <f>IFERROR(__xludf.DUMMYFUNCTION("""COMPUTED_VALUE"""),0.375)</f>
        <v>0.375</v>
      </c>
    </row>
    <row r="1896">
      <c r="A1896" s="10" t="s">
        <v>3335</v>
      </c>
      <c r="B1896" s="7" t="str">
        <f>IFERROR(__xludf.DUMMYFUNCTION("SPLIT(A1896,"" "")"),"C=CCN(C)CC1=CC(N(C)Cc2cccc(-c3ccc4c(c3)OCCOCCOCCOCCOCCO4)n2)C=CN1")</f>
        <v>C=CCN(C)CC1=CC(N(C)Cc2cccc(-c3ccc4c(c3)OCCOCCOCCOCCOCCO4)n2)C=CN1</v>
      </c>
      <c r="C1896" s="7">
        <f>IFERROR(__xludf.DUMMYFUNCTION("""COMPUTED_VALUE"""),7.8126197)</f>
        <v>7.8126197</v>
      </c>
      <c r="D1896" s="7">
        <f>IFERROR(__xludf.DUMMYFUNCTION("""COMPUTED_VALUE"""),0.289156626506024)</f>
        <v>0.2891566265</v>
      </c>
    </row>
    <row r="1897">
      <c r="A1897" s="10" t="s">
        <v>3336</v>
      </c>
      <c r="B1897" s="7" t="str">
        <f>IFERROR(__xludf.DUMMYFUNCTION("SPLIT(A1897,"" "")"),"CCCN(CC1=CCC=C(N(C)Cc2ccccn2)N1)c1ccc2c(c1)OCCOCCOCCOCCOCCO2")</f>
        <v>CCCN(CC1=CCC=C(N(C)Cc2ccccn2)N1)c1ccc2c(c1)OCCOCCOCCOCCOCCO2</v>
      </c>
      <c r="C1897" s="7">
        <f>IFERROR(__xludf.DUMMYFUNCTION("""COMPUTED_VALUE"""),7.8126183)</f>
        <v>7.8126183</v>
      </c>
      <c r="D1897" s="7">
        <f>IFERROR(__xludf.DUMMYFUNCTION("""COMPUTED_VALUE"""),0.328358208955223)</f>
        <v>0.328358209</v>
      </c>
    </row>
    <row r="1898">
      <c r="A1898" s="10" t="s">
        <v>3337</v>
      </c>
      <c r="B1898" s="7" t="str">
        <f>IFERROR(__xludf.DUMMYFUNCTION("SPLIT(A1898,"" "")"),"CNCCNCc1ccc(C)cn1")</f>
        <v>CNCCNCc1ccc(C)cn1</v>
      </c>
      <c r="C1898" s="7">
        <f>IFERROR(__xludf.DUMMYFUNCTION("""COMPUTED_VALUE"""),7.812617)</f>
        <v>7.812617</v>
      </c>
      <c r="D1898" s="7">
        <f>IFERROR(__xludf.DUMMYFUNCTION("""COMPUTED_VALUE"""),0.432432432432432)</f>
        <v>0.4324324324</v>
      </c>
    </row>
    <row r="1899">
      <c r="A1899" s="10" t="s">
        <v>3338</v>
      </c>
      <c r="B1899" s="7" t="str">
        <f>IFERROR(__xludf.DUMMYFUNCTION("SPLIT(A1899,"" "")"),"CCOC(=O)C(C)NCc1ncccc1C(C)NCc1ncccc1CN1CCN(C)CCN(C)CC1")</f>
        <v>CCOC(=O)C(C)NCc1ncccc1C(C)NCc1ncccc1CN1CCN(C)CCN(C)CC1</v>
      </c>
      <c r="C1899" s="7">
        <f>IFERROR(__xludf.DUMMYFUNCTION("""COMPUTED_VALUE"""),7.812609)</f>
        <v>7.812609</v>
      </c>
      <c r="D1899" s="7">
        <f>IFERROR(__xludf.DUMMYFUNCTION("""COMPUTED_VALUE"""),0.397058823529411)</f>
        <v>0.3970588235</v>
      </c>
    </row>
    <row r="1900">
      <c r="A1900" s="10" t="s">
        <v>3339</v>
      </c>
      <c r="B1900" s="7" t="str">
        <f>IFERROR(__xludf.DUMMYFUNCTION("SPLIT(A1900,"" "")"),"CNCc1cc(CN(C)C(C)C)c(-c2ccc3c(c2)OCCOCCOCCOCCOCCO3)c(-c2ccc3c(c2)OCCOCCOCCOCCOCCO3)n1")</f>
        <v>CNCc1cc(CN(C)C(C)C)c(-c2ccc3c(c2)OCCOCCOCCOCCOCCO3)c(-c2ccc3c(c2)OCCOCCOCCOCCOCCO3)n1</v>
      </c>
      <c r="C1900" s="7">
        <f>IFERROR(__xludf.DUMMYFUNCTION("""COMPUTED_VALUE"""),7.8126073)</f>
        <v>7.8126073</v>
      </c>
      <c r="D1900" s="7">
        <f>IFERROR(__xludf.DUMMYFUNCTION("""COMPUTED_VALUE"""),0.315068493150684)</f>
        <v>0.3150684932</v>
      </c>
    </row>
    <row r="1901">
      <c r="A1901" s="10" t="s">
        <v>3340</v>
      </c>
      <c r="B1901" s="7" t="str">
        <f>IFERROR(__xludf.DUMMYFUNCTION("SPLIT(A1901,"" "")"),"CCNCc1cccc(C2CCC2(C)C)n1")</f>
        <v>CCNCc1cccc(C2CCC2(C)C)n1</v>
      </c>
      <c r="C1901" s="7">
        <f>IFERROR(__xludf.DUMMYFUNCTION("""COMPUTED_VALUE"""),7.81258)</f>
        <v>7.81258</v>
      </c>
      <c r="D1901" s="7">
        <f>IFERROR(__xludf.DUMMYFUNCTION("""COMPUTED_VALUE"""),0.264150943396226)</f>
        <v>0.2641509434</v>
      </c>
    </row>
    <row r="1902">
      <c r="A1902" s="10" t="s">
        <v>3341</v>
      </c>
      <c r="B1902" s="7" t="str">
        <f>IFERROR(__xludf.DUMMYFUNCTION("SPLIT(A1902,"" "")"),"CC(C(=O)C(=O)C(=O)C(=O)C(C)C(C)C(C)C(C)C(C)C(C)C(C)C(C)C(C)C(C)C)C(=O)c1cccc(C2CCC2(C)C)n1")</f>
        <v>CC(C(=O)C(=O)C(=O)C(=O)C(C)C(C)C(C)C(C)C(C)C(C)C(C)C(C)C(C)C(C)C)C(=O)c1cccc(C2CCC2(C)C)n1</v>
      </c>
      <c r="C1902" s="7">
        <f>IFERROR(__xludf.DUMMYFUNCTION("""COMPUTED_VALUE"""),7.8125653)</f>
        <v>7.8125653</v>
      </c>
      <c r="D1902" s="7">
        <f>IFERROR(__xludf.DUMMYFUNCTION("""COMPUTED_VALUE"""),0.2)</f>
        <v>0.2</v>
      </c>
    </row>
    <row r="1903">
      <c r="A1903" s="10" t="s">
        <v>3342</v>
      </c>
      <c r="B1903" s="7" t="str">
        <f>IFERROR(__xludf.DUMMYFUNCTION("SPLIT(A1903,"" "")"),"Cc1cccnc1CN(C)C1CCCCC1N(C)Cc1cccnc1CN(C)CC(C)C")</f>
        <v>Cc1cccnc1CN(C)C1CCCCC1N(C)Cc1cccnc1CN(C)CC(C)C</v>
      </c>
      <c r="C1903" s="7">
        <f>IFERROR(__xludf.DUMMYFUNCTION("""COMPUTED_VALUE"""),7.8125515)</f>
        <v>7.8125515</v>
      </c>
      <c r="D1903" s="7">
        <f>IFERROR(__xludf.DUMMYFUNCTION("""COMPUTED_VALUE"""),0.433962264150943)</f>
        <v>0.4339622642</v>
      </c>
    </row>
    <row r="1904">
      <c r="A1904" s="10" t="s">
        <v>3343</v>
      </c>
      <c r="B1904" s="7" t="str">
        <f>IFERROR(__xludf.DUMMYFUNCTION("SPLIT(A1904,"" "")"),"CC(C)NCc1ncccc1-c1cccc2c1OCCOCCOCCOCCOCCO2")</f>
        <v>CC(C)NCc1ncccc1-c1cccc2c1OCCOCCOCCOCCOCCO2</v>
      </c>
      <c r="C1904" s="7">
        <f>IFERROR(__xludf.DUMMYFUNCTION("""COMPUTED_VALUE"""),7.812551)</f>
        <v>7.812551</v>
      </c>
      <c r="D1904" s="7">
        <f>IFERROR(__xludf.DUMMYFUNCTION("""COMPUTED_VALUE"""),0.242857142857142)</f>
        <v>0.2428571429</v>
      </c>
    </row>
    <row r="1905">
      <c r="A1905" s="10" t="s">
        <v>3344</v>
      </c>
      <c r="B1905" s="7" t="str">
        <f>IFERROR(__xludf.DUMMYFUNCTION("SPLIT(A1905,"" "")"),"CNCCN(C)CCN(C)CCN(C)CCN(C)CCN(C)CCN(C)CCN(C)CCN(C)CCN(C)CCN(C)CCN(C)CCN(C)CCN(C)CCN(C)CCN(C)CCN(C)CCN(C)CCN(C)CCN(C)CCN(C)CCN(C)CCN(C)CCN(C)CCN(C)C(C)C")</f>
        <v>CNCCN(C)CCN(C)CCN(C)CCN(C)CCN(C)CCN(C)CCN(C)CCN(C)CCN(C)CCN(C)CCN(C)CCN(C)CCN(C)CCN(C)CCN(C)CCN(C)CCN(C)CCN(C)CCN(C)CCN(C)CCN(C)CCN(C)CCN(C)CCN(C)C(C)C</v>
      </c>
      <c r="C1905" s="7">
        <f>IFERROR(__xludf.DUMMYFUNCTION("""COMPUTED_VALUE"""),7.812547)</f>
        <v>7.812547</v>
      </c>
      <c r="D1905" s="7">
        <f>IFERROR(__xludf.DUMMYFUNCTION("""COMPUTED_VALUE"""),0.179487179487179)</f>
        <v>0.1794871795</v>
      </c>
    </row>
    <row r="1906">
      <c r="A1906" s="10" t="s">
        <v>3345</v>
      </c>
      <c r="B1906" s="7" t="str">
        <f>IFERROR(__xludf.DUMMYFUNCTION("SPLIT(A1906,"" "")"),"CC1=CC(N(C)Cc2ccccn2)C(C)C(C)(C)C1")</f>
        <v>CC1=CC(N(C)Cc2ccccn2)C(C)C(C)(C)C1</v>
      </c>
      <c r="C1906" s="7">
        <f>IFERROR(__xludf.DUMMYFUNCTION("""COMPUTED_VALUE"""),7.812537)</f>
        <v>7.812537</v>
      </c>
      <c r="D1906" s="7">
        <f>IFERROR(__xludf.DUMMYFUNCTION("""COMPUTED_VALUE"""),0.489361702127659)</f>
        <v>0.4893617021</v>
      </c>
    </row>
    <row r="1907">
      <c r="A1907" s="10" t="s">
        <v>3346</v>
      </c>
      <c r="B1907" s="7" t="str">
        <f>IFERROR(__xludf.DUMMYFUNCTION("SPLIT(A1907,"" "")"),"CCNC1=C(C)CC(C)CC1c1ncccc1CN(Cc1ccccn1)C1CCCCC1")</f>
        <v>CCNC1=C(C)CC(C)CC1c1ncccc1CN(Cc1ccccn1)C1CCCCC1</v>
      </c>
      <c r="C1907" s="7">
        <f>IFERROR(__xludf.DUMMYFUNCTION("""COMPUTED_VALUE"""),7.8125315)</f>
        <v>7.8125315</v>
      </c>
      <c r="D1907" s="7">
        <f>IFERROR(__xludf.DUMMYFUNCTION("""COMPUTED_VALUE"""),0.353846153846153)</f>
        <v>0.3538461538</v>
      </c>
    </row>
    <row r="1908">
      <c r="A1908" s="10" t="s">
        <v>3347</v>
      </c>
      <c r="B1908" s="7" t="str">
        <f>IFERROR(__xludf.DUMMYFUNCTION("SPLIT(A1908,"" "")"),"CN(CCCN(C)Cc1ncccc1-c1cccc2c1OCCOCCOCCOCCOCCO2)Cc1ccccn1")</f>
        <v>CN(CCCN(C)Cc1ncccc1-c1cccc2c1OCCOCCOCCOCCOCCO2)Cc1ccccn1</v>
      </c>
      <c r="C1908" s="7">
        <f>IFERROR(__xludf.DUMMYFUNCTION("""COMPUTED_VALUE"""),7.8125305)</f>
        <v>7.8125305</v>
      </c>
      <c r="D1908" s="7">
        <f>IFERROR(__xludf.DUMMYFUNCTION("""COMPUTED_VALUE"""),0.366666666666666)</f>
        <v>0.3666666667</v>
      </c>
    </row>
    <row r="1909">
      <c r="A1909" s="10" t="s">
        <v>3348</v>
      </c>
      <c r="B1909" s="7" t="str">
        <f>IFERROR(__xludf.DUMMYFUNCTION("SPLIT(A1909,"" "")"),"CNCc1ncccc1CN(C)C1CCCC(N(C)Cc2ncccc2C)C1")</f>
        <v>CNCc1ncccc1CN(C)C1CCCC(N(C)Cc2ncccc2C)C1</v>
      </c>
      <c r="C1909" s="7">
        <f>IFERROR(__xludf.DUMMYFUNCTION("""COMPUTED_VALUE"""),7.8125296)</f>
        <v>7.8125296</v>
      </c>
      <c r="D1909" s="7">
        <f>IFERROR(__xludf.DUMMYFUNCTION("""COMPUTED_VALUE"""),0.321428571428571)</f>
        <v>0.3214285714</v>
      </c>
    </row>
    <row r="1910">
      <c r="A1910" s="10" t="s">
        <v>3349</v>
      </c>
      <c r="B1910" s="7" t="str">
        <f>IFERROR(__xludf.DUMMYFUNCTION("SPLIT(A1910,"" "")"),"C=CCNCCN(C)Cc1ccc(C)nc1")</f>
        <v>C=CCNCCN(C)Cc1ccc(C)nc1</v>
      </c>
      <c r="C1910" s="7">
        <f>IFERROR(__xludf.DUMMYFUNCTION("""COMPUTED_VALUE"""),7.812516)</f>
        <v>7.812516</v>
      </c>
      <c r="D1910" s="7">
        <f>IFERROR(__xludf.DUMMYFUNCTION("""COMPUTED_VALUE"""),0.326086956521739)</f>
        <v>0.3260869565</v>
      </c>
    </row>
    <row r="1911">
      <c r="A1911" s="10" t="s">
        <v>3350</v>
      </c>
      <c r="B1911" s="7" t="str">
        <f>IFERROR(__xludf.DUMMYFUNCTION("SPLIT(A1911,"" "")"),"CC1CC(N)C1c1cccc(CN(C)C2CCCC(N(C)Cc3ccccn3)C2)n1")</f>
        <v>CC1CC(N)C1c1cccc(CN(C)C2CCCC(N(C)Cc3ccccn3)C2)n1</v>
      </c>
      <c r="C1911" s="7">
        <f>IFERROR(__xludf.DUMMYFUNCTION("""COMPUTED_VALUE"""),7.812497)</f>
        <v>7.812497</v>
      </c>
      <c r="D1911" s="7">
        <f>IFERROR(__xludf.DUMMYFUNCTION("""COMPUTED_VALUE"""),0.471698113207547)</f>
        <v>0.4716981132</v>
      </c>
    </row>
    <row r="1912">
      <c r="A1912" s="10" t="s">
        <v>3351</v>
      </c>
      <c r="B1912" s="7" t="str">
        <f>IFERROR(__xludf.DUMMYFUNCTION("SPLIT(A1912,"" "")"),"CNCc1ncccc1CN(C)C1CCC(N(C)Cc2ccon2)CC1")</f>
        <v>CNCc1ncccc1CN(C)C1CCC(N(C)Cc2ccon2)CC1</v>
      </c>
      <c r="C1912" s="7">
        <f>IFERROR(__xludf.DUMMYFUNCTION("""COMPUTED_VALUE"""),7.8124747)</f>
        <v>7.8124747</v>
      </c>
      <c r="D1912" s="7">
        <f>IFERROR(__xludf.DUMMYFUNCTION("""COMPUTED_VALUE"""),0.372549019607843)</f>
        <v>0.3725490196</v>
      </c>
    </row>
    <row r="1913">
      <c r="A1913" s="10" t="s">
        <v>3352</v>
      </c>
      <c r="B1913" s="7" t="str">
        <f>IFERROR(__xludf.DUMMYFUNCTION("SPLIT(A1913,"" "")"),"CN(Cc1cccc(-c2ccc3c(c2)OCCOCCOCCOCCOCCO3)n1)C1CCCCC1N(C)Cc1ccc2c(n1)CCC2")</f>
        <v>CN(Cc1cccc(-c2ccc3c(c2)OCCOCCOCCOCCOCCO3)n1)C1CCCCC1N(C)Cc1ccc2c(n1)CCC2</v>
      </c>
      <c r="C1913" s="7">
        <f>IFERROR(__xludf.DUMMYFUNCTION("""COMPUTED_VALUE"""),7.812469)</f>
        <v>7.812469</v>
      </c>
      <c r="D1913" s="7">
        <f>IFERROR(__xludf.DUMMYFUNCTION("""COMPUTED_VALUE"""),0.412698412698412)</f>
        <v>0.4126984127</v>
      </c>
    </row>
    <row r="1914">
      <c r="A1914" s="10" t="s">
        <v>3353</v>
      </c>
      <c r="B1914" s="7" t="str">
        <f>IFERROR(__xludf.DUMMYFUNCTION("SPLIT(A1914,"" "")"),"CN1CCN(C)CCN(Cc2ccnc(CNC(C)(C)c3ccnc(C4CCC4(C)C)c3)c2)CC1")</f>
        <v>CN1CCN(C)CCN(Cc2ccnc(CNC(C)(C)c3ccnc(C4CCC4(C)C)c3)c2)CC1</v>
      </c>
      <c r="C1914" s="7">
        <f>IFERROR(__xludf.DUMMYFUNCTION("""COMPUTED_VALUE"""),7.812442)</f>
        <v>7.812442</v>
      </c>
      <c r="D1914" s="7">
        <f>IFERROR(__xludf.DUMMYFUNCTION("""COMPUTED_VALUE"""),0.370967741935483)</f>
        <v>0.3709677419</v>
      </c>
    </row>
    <row r="1915">
      <c r="A1915" s="10" t="s">
        <v>3354</v>
      </c>
      <c r="B1915" s="7" t="str">
        <f>IFERROR(__xludf.DUMMYFUNCTION("SPLIT(A1915,"" "")"),"Cc1cnc(CN(C)C2CCC(N(CCN)Cc3ccon3)CC2)c(C)c1")</f>
        <v>Cc1cnc(CN(C)C2CCC(N(CCN)Cc3ccon3)CC2)c(C)c1</v>
      </c>
      <c r="C1915" s="7">
        <f>IFERROR(__xludf.DUMMYFUNCTION("""COMPUTED_VALUE"""),7.812432)</f>
        <v>7.812432</v>
      </c>
      <c r="D1915" s="7">
        <f>IFERROR(__xludf.DUMMYFUNCTION("""COMPUTED_VALUE"""),0.363636363636363)</f>
        <v>0.3636363636</v>
      </c>
    </row>
    <row r="1916">
      <c r="A1916" s="10" t="s">
        <v>3355</v>
      </c>
      <c r="B1916" s="7" t="str">
        <f>IFERROR(__xludf.DUMMYFUNCTION("SPLIT(A1916,"" "")"),"Cc1ccc(CN(C)C2=CNC(CN3CCN(C)CCN(C)CC3)=CC2)nc1")</f>
        <v>Cc1ccc(CN(C)C2=CNC(CN3CCN(C)CCN(C)CC3)=CC2)nc1</v>
      </c>
      <c r="C1916" s="7">
        <f>IFERROR(__xludf.DUMMYFUNCTION("""COMPUTED_VALUE"""),7.812425)</f>
        <v>7.812425</v>
      </c>
      <c r="D1916" s="7">
        <f>IFERROR(__xludf.DUMMYFUNCTION("""COMPUTED_VALUE"""),0.403846153846153)</f>
        <v>0.4038461538</v>
      </c>
    </row>
    <row r="1917">
      <c r="A1917" s="10" t="s">
        <v>3356</v>
      </c>
      <c r="B1917" s="7" t="str">
        <f>IFERROR(__xludf.DUMMYFUNCTION("SPLIT(A1917,"" "")"),"CNCc1cccc(CN(Cc2ccccn2)C2CCCCC2N(C)Cc2cccc(-c3cccc4c3OCCOCCOCCOCCOCCO4)n2)n1")</f>
        <v>CNCc1cccc(CN(Cc2ccccn2)C2CCCCC2N(C)Cc2cccc(-c3cccc4c3OCCOCCOCCOCCOCCO4)n2)n1</v>
      </c>
      <c r="C1917" s="7">
        <f>IFERROR(__xludf.DUMMYFUNCTION("""COMPUTED_VALUE"""),7.8124237)</f>
        <v>7.8124237</v>
      </c>
      <c r="D1917" s="7">
        <f>IFERROR(__xludf.DUMMYFUNCTION("""COMPUTED_VALUE"""),0.454545454545454)</f>
        <v>0.4545454545</v>
      </c>
    </row>
    <row r="1918">
      <c r="A1918" s="10" t="s">
        <v>3357</v>
      </c>
      <c r="B1918" s="7" t="str">
        <f>IFERROR(__xludf.DUMMYFUNCTION("SPLIT(A1918,"" "")"),"CNCNCc1ccc(CF)cn1")</f>
        <v>CNCNCc1ccc(CF)cn1</v>
      </c>
      <c r="C1918" s="7">
        <f>IFERROR(__xludf.DUMMYFUNCTION("""COMPUTED_VALUE"""),7.8124022)</f>
        <v>7.8124022</v>
      </c>
      <c r="D1918" s="7">
        <f>IFERROR(__xludf.DUMMYFUNCTION("""COMPUTED_VALUE"""),0.307692307692307)</f>
        <v>0.3076923077</v>
      </c>
    </row>
    <row r="1919">
      <c r="A1919" s="10" t="s">
        <v>3358</v>
      </c>
      <c r="B1919" s="7" t="str">
        <f>IFERROR(__xludf.DUMMYFUNCTION("SPLIT(A1919,"" "")"),"c1ccc(CN(Cc2ccccn2)c2cccc3c2OCCOCCOCCOCCOCCO3)nc1")</f>
        <v>c1ccc(CN(Cc2ccccn2)c2cccc3c2OCCOCCOCCOCCOCCO3)nc1</v>
      </c>
      <c r="C1919" s="7">
        <f>IFERROR(__xludf.DUMMYFUNCTION("""COMPUTED_VALUE"""),7.8123794)</f>
        <v>7.8123794</v>
      </c>
      <c r="D1919" s="7">
        <f>IFERROR(__xludf.DUMMYFUNCTION("""COMPUTED_VALUE"""),0.404761904761904)</f>
        <v>0.4047619048</v>
      </c>
    </row>
    <row r="1920">
      <c r="A1920" s="10" t="s">
        <v>3359</v>
      </c>
      <c r="B1920" s="7" t="str">
        <f>IFERROR(__xludf.DUMMYFUNCTION("SPLIT(A1920,"" "")"),"CC1=CC(C)CC(C)(N(C)Cc2ccccn2)C1C")</f>
        <v>CC1=CC(C)CC(C)(N(C)Cc2ccccn2)C1C</v>
      </c>
      <c r="C1920" s="7">
        <f>IFERROR(__xludf.DUMMYFUNCTION("""COMPUTED_VALUE"""),7.812373)</f>
        <v>7.812373</v>
      </c>
      <c r="D1920" s="7">
        <f>IFERROR(__xludf.DUMMYFUNCTION("""COMPUTED_VALUE"""),0.428571428571428)</f>
        <v>0.4285714286</v>
      </c>
    </row>
    <row r="1921">
      <c r="A1921" s="10" t="s">
        <v>3360</v>
      </c>
      <c r="B1921" s="7" t="str">
        <f>IFERROR(__xludf.DUMMYFUNCTION("SPLIT(A1921,"" "")"),"CC(C)N(C)CC(C)(C)C")</f>
        <v>CC(C)N(C)CC(C)(C)C</v>
      </c>
      <c r="C1921" s="7">
        <f>IFERROR(__xludf.DUMMYFUNCTION("""COMPUTED_VALUE"""),7.8123703)</f>
        <v>7.8123703</v>
      </c>
      <c r="D1921" s="7">
        <f>IFERROR(__xludf.DUMMYFUNCTION("""COMPUTED_VALUE"""),0.216216216216216)</f>
        <v>0.2162162162</v>
      </c>
    </row>
    <row r="1922">
      <c r="A1922" s="10" t="s">
        <v>3361</v>
      </c>
      <c r="B1922" s="7" t="str">
        <f>IFERROR(__xludf.DUMMYFUNCTION("SPLIT(A1922,"" "")"),"CN(Cc1cccc(-c2ccc3c(c2)OCCOCCOCCOCCOCCO3)n1)C1CCC(N(C)Cc2cccc(C(C)(C)C)n2)CC1")</f>
        <v>CN(Cc1cccc(-c2ccc3c(c2)OCCOCCOCCOCCOCCO3)n1)C1CCC(N(C)Cc2cccc(C(C)(C)C)n2)CC1</v>
      </c>
      <c r="C1922" s="7">
        <f>IFERROR(__xludf.DUMMYFUNCTION("""COMPUTED_VALUE"""),7.812355)</f>
        <v>7.812355</v>
      </c>
      <c r="D1922" s="7">
        <f>IFERROR(__xludf.DUMMYFUNCTION("""COMPUTED_VALUE"""),0.347222222222222)</f>
        <v>0.3472222222</v>
      </c>
    </row>
    <row r="1923">
      <c r="A1923" s="10" t="s">
        <v>3362</v>
      </c>
      <c r="B1923" s="7" t="str">
        <f>IFERROR(__xludf.DUMMYFUNCTION("SPLIT(A1923,"" "")"),"CCNC1=CC(C)C(Cl)C(SCc2ccccn2)C1")</f>
        <v>CCNC1=CC(C)C(Cl)C(SCc2ccccn2)C1</v>
      </c>
      <c r="C1923" s="7">
        <f>IFERROR(__xludf.DUMMYFUNCTION("""COMPUTED_VALUE"""),7.812349)</f>
        <v>7.812349</v>
      </c>
      <c r="D1923" s="7">
        <f>IFERROR(__xludf.DUMMYFUNCTION("""COMPUTED_VALUE"""),0.346938775510204)</f>
        <v>0.3469387755</v>
      </c>
    </row>
    <row r="1924">
      <c r="A1924" s="10" t="s">
        <v>3363</v>
      </c>
      <c r="B1924" s="7" t="str">
        <f>IFERROR(__xludf.DUMMYFUNCTION("SPLIT(A1924,"" "")"),"CC1CC(c2ccc(CN(C)C3CCC(N(C)Cc4ccccn4)CC3)nc2)C1")</f>
        <v>CC1CC(c2ccc(CN(C)C3CCC(N(C)Cc4ccccn4)CC3)nc2)C1</v>
      </c>
      <c r="C1924" s="7">
        <f>IFERROR(__xludf.DUMMYFUNCTION("""COMPUTED_VALUE"""),7.8123436)</f>
        <v>7.8123436</v>
      </c>
      <c r="D1924" s="7">
        <f>IFERROR(__xludf.DUMMYFUNCTION("""COMPUTED_VALUE"""),0.5)</f>
        <v>0.5</v>
      </c>
    </row>
    <row r="1925">
      <c r="A1925" s="10" t="s">
        <v>3364</v>
      </c>
      <c r="B1925" s="7" t="str">
        <f>IFERROR(__xludf.DUMMYFUNCTION("SPLIT(A1925,"" "")"),"CN(C)c1ccc(CN(C)C2CCC(N(C)C3C=CC=CN3)CC2)nc1")</f>
        <v>CN(C)c1ccc(CN(C)C2CCC(N(C)C3C=CC=CN3)CC2)nc1</v>
      </c>
      <c r="C1925" s="7">
        <f>IFERROR(__xludf.DUMMYFUNCTION("""COMPUTED_VALUE"""),7.8123384)</f>
        <v>7.8123384</v>
      </c>
      <c r="D1925" s="7">
        <f>IFERROR(__xludf.DUMMYFUNCTION("""COMPUTED_VALUE"""),0.357142857142857)</f>
        <v>0.3571428571</v>
      </c>
    </row>
    <row r="1926">
      <c r="A1926" s="10" t="s">
        <v>3365</v>
      </c>
      <c r="B1926" s="7" t="str">
        <f>IFERROR(__xludf.DUMMYFUNCTION("SPLIT(A1926,"" "")"),"CN(CCF)CCN(C)Cc1cncc(F)c1")</f>
        <v>CN(CCF)CCN(C)Cc1cncc(F)c1</v>
      </c>
      <c r="C1926" s="7">
        <f>IFERROR(__xludf.DUMMYFUNCTION("""COMPUTED_VALUE"""),7.812323)</f>
        <v>7.812323</v>
      </c>
      <c r="D1926" s="7">
        <f>IFERROR(__xludf.DUMMYFUNCTION("""COMPUTED_VALUE"""),0.341463414634146)</f>
        <v>0.3414634146</v>
      </c>
    </row>
    <row r="1927">
      <c r="A1927" s="10" t="s">
        <v>3366</v>
      </c>
      <c r="B1927" s="7" t="str">
        <f>IFERROR(__xludf.DUMMYFUNCTION("SPLIT(A1927,"" "")"),"CCN(Cc1cc(C(C)(C)C)ccn1)C1CCC(N(C)Cc2cc(-c3ccc4c(c3)OCCOCCOCCOCCOCCO4)ccn2)CC1")</f>
        <v>CCN(Cc1cc(C(C)(C)C)ccn1)C1CCC(N(C)Cc2cc(-c3ccc4c(c3)OCCOCCOCCOCCOCCO4)ccn2)CC1</v>
      </c>
      <c r="C1927" s="7">
        <f>IFERROR(__xludf.DUMMYFUNCTION("""COMPUTED_VALUE"""),7.8123217)</f>
        <v>7.8123217</v>
      </c>
      <c r="D1927" s="7">
        <f>IFERROR(__xludf.DUMMYFUNCTION("""COMPUTED_VALUE"""),0.364864864864864)</f>
        <v>0.3648648649</v>
      </c>
    </row>
    <row r="1928">
      <c r="A1928" s="10" t="s">
        <v>3367</v>
      </c>
      <c r="B1928" s="7" t="str">
        <f>IFERROR(__xludf.DUMMYFUNCTION("SPLIT(A1928,"" "")"),"CC1C=CC(C)C(c2ncccc2CN(C)C2CCCC(N(C)Cc3ccon3)C2)C1")</f>
        <v>CC1C=CC(C)C(c2ncccc2CN(C)C2CCCC(N(C)Cc3ccon3)C2)C1</v>
      </c>
      <c r="C1928" s="7">
        <f>IFERROR(__xludf.DUMMYFUNCTION("""COMPUTED_VALUE"""),7.812314)</f>
        <v>7.812314</v>
      </c>
      <c r="D1928" s="7">
        <f>IFERROR(__xludf.DUMMYFUNCTION("""COMPUTED_VALUE"""),0.322033898305084)</f>
        <v>0.3220338983</v>
      </c>
    </row>
    <row r="1929">
      <c r="A1929" s="10" t="s">
        <v>3368</v>
      </c>
      <c r="B1929" s="7" t="str">
        <f>IFERROR(__xludf.DUMMYFUNCTION("SPLIT(A1929,"" "")"),"CNC1CCCCC1NCc1nc(C)c(C)c(C)c1C")</f>
        <v>CNC1CCCCC1NCc1nc(C)c(C)c(C)c1C</v>
      </c>
      <c r="C1929" s="7">
        <f>IFERROR(__xludf.DUMMYFUNCTION("""COMPUTED_VALUE"""),7.812313)</f>
        <v>7.812313</v>
      </c>
      <c r="D1929" s="7">
        <f>IFERROR(__xludf.DUMMYFUNCTION("""COMPUTED_VALUE"""),0.211538461538461)</f>
        <v>0.2115384615</v>
      </c>
    </row>
    <row r="1930">
      <c r="A1930" s="10" t="s">
        <v>3369</v>
      </c>
      <c r="B1930" s="7" t="str">
        <f>IFERROR(__xludf.DUMMYFUNCTION("SPLIT(A1930,"" "")"),"CCNCc1ncccc1C(C)C(C)C")</f>
        <v>CCNCc1ncccc1C(C)C(C)C</v>
      </c>
      <c r="C1930" s="7">
        <f>IFERROR(__xludf.DUMMYFUNCTION("""COMPUTED_VALUE"""),7.812292)</f>
        <v>7.812292</v>
      </c>
      <c r="D1930" s="7">
        <f>IFERROR(__xludf.DUMMYFUNCTION("""COMPUTED_VALUE"""),0.325)</f>
        <v>0.325</v>
      </c>
    </row>
    <row r="1931">
      <c r="A1931" s="10" t="s">
        <v>3370</v>
      </c>
      <c r="B1931" s="7" t="str">
        <f>IFERROR(__xludf.DUMMYFUNCTION("SPLIT(A1931,"" "")"),"COC(C)NCc1ccccn1")</f>
        <v>COC(C)NCc1ccccn1</v>
      </c>
      <c r="C1931" s="7">
        <f>IFERROR(__xludf.DUMMYFUNCTION("""COMPUTED_VALUE"""),7.812268)</f>
        <v>7.812268</v>
      </c>
      <c r="D1931" s="7">
        <f>IFERROR(__xludf.DUMMYFUNCTION("""COMPUTED_VALUE"""),0.5)</f>
        <v>0.5</v>
      </c>
    </row>
    <row r="1932">
      <c r="A1932" s="10" t="s">
        <v>3371</v>
      </c>
      <c r="B1932" s="7" t="str">
        <f>IFERROR(__xludf.DUMMYFUNCTION("SPLIT(A1932,"" "")"),"Cc1nc(CN(C)C2C=CNC(CN(C)Cc3ccc4c(c3)OCCOCCOCCOCCOCCO4)=C2)c(C)c(C)c1C")</f>
        <v>Cc1nc(CN(C)C2C=CNC(CN(C)Cc3ccc4c(c3)OCCOCCOCCOCCOCCO4)=C2)c(C)c(C)c1C</v>
      </c>
      <c r="C1932" s="7">
        <f>IFERROR(__xludf.DUMMYFUNCTION("""COMPUTED_VALUE"""),7.8122654)</f>
        <v>7.8122654</v>
      </c>
      <c r="D1932" s="7">
        <f>IFERROR(__xludf.DUMMYFUNCTION("""COMPUTED_VALUE"""),0.291666666666666)</f>
        <v>0.2916666667</v>
      </c>
    </row>
    <row r="1933">
      <c r="A1933" s="10" t="s">
        <v>3372</v>
      </c>
      <c r="B1933" s="7" t="str">
        <f>IFERROR(__xludf.DUMMYFUNCTION("SPLIT(A1933,"" "")"),"CC(N)C(C)c1cccnc1CN(Cc1ccccn1)C1CCC(N(C)Cc2ccc(-c3ccc4c(c3)OCCOCCOCCOCCOCCO4)cn2)CC1")</f>
        <v>CC(N)C(C)c1cccnc1CN(Cc1ccccn1)C1CCC(N(C)Cc2ccc(-c3ccc4c(c3)OCCOCCOCCOCCOCCO4)cn2)CC1</v>
      </c>
      <c r="C1933" s="7">
        <f>IFERROR(__xludf.DUMMYFUNCTION("""COMPUTED_VALUE"""),7.8122554)</f>
        <v>7.8122554</v>
      </c>
      <c r="D1933" s="7">
        <f>IFERROR(__xludf.DUMMYFUNCTION("""COMPUTED_VALUE"""),0.4)</f>
        <v>0.4</v>
      </c>
    </row>
    <row r="1934">
      <c r="A1934" s="10" t="s">
        <v>3373</v>
      </c>
      <c r="B1934" s="7" t="str">
        <f>IFERROR(__xludf.DUMMYFUNCTION("SPLIT(A1934,"" "")"),"CN(CCN(Cc1ccccn1)C1C=CC=CN1)C1CCC(N(C)c2cccc(F)c2)CC1")</f>
        <v>CN(CCN(Cc1ccccn1)C1C=CC=CN1)C1CCC(N(C)c2cccc(F)c2)CC1</v>
      </c>
      <c r="C1934" s="7">
        <f>IFERROR(__xludf.DUMMYFUNCTION("""COMPUTED_VALUE"""),7.812237)</f>
        <v>7.812237</v>
      </c>
      <c r="D1934" s="7">
        <f>IFERROR(__xludf.DUMMYFUNCTION("""COMPUTED_VALUE"""),0.38235294117647)</f>
        <v>0.3823529412</v>
      </c>
    </row>
    <row r="1935">
      <c r="A1935" s="10" t="s">
        <v>3374</v>
      </c>
      <c r="B1935" s="7" t="str">
        <f>IFERROR(__xludf.DUMMYFUNCTION("SPLIT(A1935,"" "")"),"Cc1cccc(CN(C)C2CCCC(N(Cc3ccccn3)C(C)C)C2)n1")</f>
        <v>Cc1cccc(CN(C)C2CCCC(N(Cc3ccccn3)C(C)C)C2)n1</v>
      </c>
      <c r="C1935" s="7">
        <f>IFERROR(__xludf.DUMMYFUNCTION("""COMPUTED_VALUE"""),7.812212)</f>
        <v>7.812212</v>
      </c>
      <c r="D1935" s="7">
        <f>IFERROR(__xludf.DUMMYFUNCTION("""COMPUTED_VALUE"""),0.5)</f>
        <v>0.5</v>
      </c>
    </row>
    <row r="1936">
      <c r="A1936" s="10" t="s">
        <v>3375</v>
      </c>
      <c r="B1936" s="7" t="str">
        <f>IFERROR(__xludf.DUMMYFUNCTION("SPLIT(A1936,"" "")"),"CN(C)CCN(C)Cc1cccc(-c2ccc3c(c2)OCCOCCOCCOCCOCCO3)n1")</f>
        <v>CN(C)CCN(C)Cc1cccc(-c2ccc3c(c2)OCCOCCOCCOCCOCCO3)n1</v>
      </c>
      <c r="C1936" s="7">
        <f>IFERROR(__xludf.DUMMYFUNCTION("""COMPUTED_VALUE"""),7.812209)</f>
        <v>7.812209</v>
      </c>
      <c r="D1936" s="7">
        <f>IFERROR(__xludf.DUMMYFUNCTION("""COMPUTED_VALUE"""),0.4)</f>
        <v>0.4</v>
      </c>
    </row>
    <row r="1937">
      <c r="A1937" s="10" t="s">
        <v>3376</v>
      </c>
      <c r="B1937" s="7" t="str">
        <f>IFERROR(__xludf.DUMMYFUNCTION("SPLIT(A1937,"" "")"),"CN(CCF)CCN(Cc1ccccn1)C(C)(C)N")</f>
        <v>CN(CCF)CCN(Cc1ccccn1)C(C)(C)N</v>
      </c>
      <c r="C1937" s="7">
        <f>IFERROR(__xludf.DUMMYFUNCTION("""COMPUTED_VALUE"""),7.8121953)</f>
        <v>7.8121953</v>
      </c>
      <c r="D1937" s="7">
        <f>IFERROR(__xludf.DUMMYFUNCTION("""COMPUTED_VALUE"""),0.456521739130434)</f>
        <v>0.4565217391</v>
      </c>
    </row>
    <row r="1938">
      <c r="A1938" s="10" t="s">
        <v>3377</v>
      </c>
      <c r="B1938" s="7" t="str">
        <f>IFERROR(__xludf.DUMMYFUNCTION("SPLIT(A1938,"" "")"),"CCN(CCN(C)CC(C)(C)C)CC(C)(C)C")</f>
        <v>CCN(CCN(C)CC(C)(C)C)CC(C)(C)C</v>
      </c>
      <c r="C1938" s="7">
        <f>IFERROR(__xludf.DUMMYFUNCTION("""COMPUTED_VALUE"""),7.812193)</f>
        <v>7.812193</v>
      </c>
      <c r="D1938" s="7">
        <f>IFERROR(__xludf.DUMMYFUNCTION("""COMPUTED_VALUE"""),0.31578947368421)</f>
        <v>0.3157894737</v>
      </c>
    </row>
    <row r="1939">
      <c r="A1939" s="10" t="s">
        <v>3378</v>
      </c>
      <c r="B1939" s="7" t="str">
        <f>IFERROR(__xludf.DUMMYFUNCTION("SPLIT(A1939,"" "")"),"CN(C)CCN(C)CCN(C)CCN(C)CCN(C)CCN(C)CCN(C)CCN(C)CCN(C)CCN(C)CCN(C)CCN(C)CCN(C)CCN(C)CCN(C)CCN(C)CCN(C)CCN(C)CCN(C)CCN(C)CCN(C)CCN(C)CCN(C)CCN(C)CCN(C)CCN")</f>
        <v>CN(C)CCN(C)CCN(C)CCN(C)CCN(C)CCN(C)CCN(C)CCN(C)CCN(C)CCN(C)CCN(C)CCN(C)CCN(C)CCN(C)CCN(C)CCN(C)CCN(C)CCN(C)CCN(C)CCN(C)CCN(C)CCN(C)CCN(C)CCN(C)CCN(C)CCN</v>
      </c>
      <c r="C1939" s="7">
        <f>IFERROR(__xludf.DUMMYFUNCTION("""COMPUTED_VALUE"""),7.812185)</f>
        <v>7.812185</v>
      </c>
      <c r="D1939" s="7">
        <f>IFERROR(__xludf.DUMMYFUNCTION("""COMPUTED_VALUE"""),0.228571428571428)</f>
        <v>0.2285714286</v>
      </c>
    </row>
    <row r="1940">
      <c r="A1940" s="10" t="s">
        <v>3379</v>
      </c>
      <c r="B1940" s="7" t="str">
        <f>IFERROR(__xludf.DUMMYFUNCTION("SPLIT(A1940,"" "")"),"CN(Cc1ccccn1)c1cc2c(c(C(C)(C)C)c1)OCCOCCOCCOCCOCCO2")</f>
        <v>CN(Cc1ccccn1)c1cc2c(c(C(C)(C)C)c1)OCCOCCOCCOCCOCCO2</v>
      </c>
      <c r="C1940" s="7">
        <f>IFERROR(__xludf.DUMMYFUNCTION("""COMPUTED_VALUE"""),7.812183)</f>
        <v>7.812183</v>
      </c>
      <c r="D1940" s="7">
        <f>IFERROR(__xludf.DUMMYFUNCTION("""COMPUTED_VALUE"""),0.415094339622641)</f>
        <v>0.4150943396</v>
      </c>
    </row>
    <row r="1941">
      <c r="A1941" s="10" t="s">
        <v>3380</v>
      </c>
      <c r="B1941" s="7" t="str">
        <f>IFERROR(__xludf.DUMMYFUNCTION("SPLIT(A1941,"" "")"),"CC1=CC(C)C(C)(NCc2ccccn2)CC1C")</f>
        <v>CC1=CC(C)C(C)(NCc2ccccn2)CC1C</v>
      </c>
      <c r="C1941" s="7">
        <f>IFERROR(__xludf.DUMMYFUNCTION("""COMPUTED_VALUE"""),7.812168)</f>
        <v>7.812168</v>
      </c>
      <c r="D1941" s="7">
        <f>IFERROR(__xludf.DUMMYFUNCTION("""COMPUTED_VALUE"""),0.386363636363636)</f>
        <v>0.3863636364</v>
      </c>
    </row>
    <row r="1942">
      <c r="A1942" s="10" t="s">
        <v>3381</v>
      </c>
      <c r="B1942" s="7" t="str">
        <f>IFERROR(__xludf.DUMMYFUNCTION("SPLIT(A1942,"" "")"),"CC1=CC(C)C(C)(C)CC1(C)c1cc(CN(Cc2ccccn2)C2CCCCC2)ccn1")</f>
        <v>CC1=CC(C)C(C)(C)CC1(C)c1cc(CN(Cc2ccccn2)C2CCCCC2)ccn1</v>
      </c>
      <c r="C1942" s="7">
        <f>IFERROR(__xludf.DUMMYFUNCTION("""COMPUTED_VALUE"""),7.8121552)</f>
        <v>7.8121552</v>
      </c>
      <c r="D1942" s="7">
        <f>IFERROR(__xludf.DUMMYFUNCTION("""COMPUTED_VALUE"""),0.365079365079365)</f>
        <v>0.3650793651</v>
      </c>
    </row>
    <row r="1943">
      <c r="A1943" s="10" t="s">
        <v>3382</v>
      </c>
      <c r="B1943" s="7" t="str">
        <f>IFERROR(__xludf.DUMMYFUNCTION("SPLIT(A1943,"" "")"),"CN(Cc1ncccc1-c1ccc2c(c1)OCCOCCOCCOCCOCCO2)C1C=CC=CN1")</f>
        <v>CN(Cc1ncccc1-c1ccc2c(c1)OCCOCCOCCOCCOCCO2)C1C=CC=CN1</v>
      </c>
      <c r="C1943" s="7">
        <f>IFERROR(__xludf.DUMMYFUNCTION("""COMPUTED_VALUE"""),7.8121533)</f>
        <v>7.8121533</v>
      </c>
      <c r="D1943" s="7">
        <f>IFERROR(__xludf.DUMMYFUNCTION("""COMPUTED_VALUE"""),0.342465753424657)</f>
        <v>0.3424657534</v>
      </c>
    </row>
    <row r="1944">
      <c r="A1944" s="10" t="s">
        <v>3383</v>
      </c>
      <c r="B1944" s="7" t="str">
        <f>IFERROR(__xludf.DUMMYFUNCTION("SPLIT(A1944,"" "")"),"CC1=CC(C)C(c2cccc(CN(C)C3CCC(N(C)Cc4ccccn4)CC3)n2)C(C)C1")</f>
        <v>CC1=CC(C)C(c2cccc(CN(C)C3CCC(N(C)Cc4ccccn4)CC3)n2)C(C)C1</v>
      </c>
      <c r="C1944" s="7">
        <f>IFERROR(__xludf.DUMMYFUNCTION("""COMPUTED_VALUE"""),7.8121448)</f>
        <v>7.8121448</v>
      </c>
      <c r="D1944" s="7">
        <f>IFERROR(__xludf.DUMMYFUNCTION("""COMPUTED_VALUE"""),0.436363636363636)</f>
        <v>0.4363636364</v>
      </c>
    </row>
    <row r="1945">
      <c r="A1945" s="10" t="s">
        <v>3384</v>
      </c>
      <c r="B1945" s="7" t="str">
        <f>IFERROR(__xludf.DUMMYFUNCTION("SPLIT(A1945,"" "")"),"CCNCc1cccc(CN(Cc2cccc(-c3ccc4c(c3)OCCOCCOCCOCCOCCO4)n2)C2CCC(N(C)Cc3cccc(-c4ccc5c(c4)OCCOCCOCCOCCOCCO5)n3)CC2)n1")</f>
        <v>CCNCc1cccc(CN(Cc2cccc(-c3ccc4c(c3)OCCOCCOCCOCCOCCO4)n2)C2CCC(N(C)Cc3cccc(-c4ccc5c(c4)OCCOCCOCCOCCOCCO5)n3)CC2)n1</v>
      </c>
      <c r="C1945" s="7">
        <f>IFERROR(__xludf.DUMMYFUNCTION("""COMPUTED_VALUE"""),7.812135)</f>
        <v>7.812135</v>
      </c>
      <c r="D1945" s="7">
        <f>IFERROR(__xludf.DUMMYFUNCTION("""COMPUTED_VALUE"""),0.32051282051282)</f>
        <v>0.3205128205</v>
      </c>
    </row>
    <row r="1946">
      <c r="A1946" s="10" t="s">
        <v>3385</v>
      </c>
      <c r="B1946" s="7" t="str">
        <f>IFERROR(__xludf.DUMMYFUNCTION("SPLIT(A1946,"" "")"),"CCCN(Cc1cccc(CN(Cc2ccc([SiH3])cn2)C2CCC(N(C)Cc3cccc(C)n3)CC2)n1)C1CCC(N(C)Cc2cccc(-c3ccc4c(c3)OCCOCCOCCOCCOCCO4)n2)CC1")</f>
        <v>CCCN(Cc1cccc(CN(Cc2ccc([SiH3])cn2)C2CCC(N(C)Cc3cccc(C)n3)CC2)n1)C1CCC(N(C)Cc2cccc(-c3ccc4c(c3)OCCOCCOCCOCCOCCO4)n2)CC1</v>
      </c>
      <c r="C1946" s="7">
        <f>IFERROR(__xludf.DUMMYFUNCTION("""COMPUTED_VALUE"""),7.812134)</f>
        <v>7.812134</v>
      </c>
      <c r="D1946" s="7">
        <f>IFERROR(__xludf.DUMMYFUNCTION("""COMPUTED_VALUE"""),0.333333333333333)</f>
        <v>0.3333333333</v>
      </c>
    </row>
    <row r="1947">
      <c r="A1947" s="10" t="s">
        <v>3386</v>
      </c>
      <c r="B1947" s="7" t="str">
        <f>IFERROR(__xludf.DUMMYFUNCTION("SPLIT(A1947,"" "")"),"CNCc1cccc(CN(C)C2CCCC(N(C)Cc3ncccc3C)C2)n1")</f>
        <v>CNCc1cccc(CN(C)C2CCCC(N(C)Cc3ncccc3C)C2)n1</v>
      </c>
      <c r="C1947" s="7">
        <f>IFERROR(__xludf.DUMMYFUNCTION("""COMPUTED_VALUE"""),7.8121305)</f>
        <v>7.8121305</v>
      </c>
      <c r="D1947" s="7">
        <f>IFERROR(__xludf.DUMMYFUNCTION("""COMPUTED_VALUE"""),0.392857142857142)</f>
        <v>0.3928571429</v>
      </c>
    </row>
    <row r="1948">
      <c r="A1948" s="10" t="s">
        <v>3387</v>
      </c>
      <c r="B1948" s="7" t="str">
        <f>IFERROR(__xludf.DUMMYFUNCTION("SPLIT(A1948,"" "")"),"CNC1CCCCC1N(Cc1cccc(C)n1)Cc1ncccc1C")</f>
        <v>CNC1CCCCC1N(Cc1cccc(C)n1)Cc1ncccc1C</v>
      </c>
      <c r="C1948" s="7">
        <f>IFERROR(__xludf.DUMMYFUNCTION("""COMPUTED_VALUE"""),7.8121233)</f>
        <v>7.8121233</v>
      </c>
      <c r="D1948" s="7">
        <f>IFERROR(__xludf.DUMMYFUNCTION("""COMPUTED_VALUE"""),0.490566037735849)</f>
        <v>0.4905660377</v>
      </c>
    </row>
    <row r="1949">
      <c r="A1949" s="10" t="s">
        <v>3388</v>
      </c>
      <c r="B1949" s="7" t="str">
        <f>IFERROR(__xludf.DUMMYFUNCTION("SPLIT(A1949,"" "")"),"CN(Cc1ccc(-c2cccc3c2OCCOCCOCCOCCOCCO3)cn1)C1CCCC(N(C)Cc2ccon2)C1")</f>
        <v>CN(Cc1ccc(-c2cccc3c2OCCOCCOCCOCCOCCO3)cn1)C1CCCC(N(C)Cc2ccon2)C1</v>
      </c>
      <c r="C1949" s="7">
        <f>IFERROR(__xludf.DUMMYFUNCTION("""COMPUTED_VALUE"""),7.812123)</f>
        <v>7.812123</v>
      </c>
      <c r="D1949" s="7">
        <f>IFERROR(__xludf.DUMMYFUNCTION("""COMPUTED_VALUE"""),0.364864864864864)</f>
        <v>0.3648648649</v>
      </c>
    </row>
    <row r="1950">
      <c r="A1950" s="10" t="s">
        <v>3389</v>
      </c>
      <c r="B1950" s="7" t="str">
        <f>IFERROR(__xludf.DUMMYFUNCTION("SPLIT(A1950,"" "")"),"CN(Cc1cccc(-c2ccc3c(c2)OCCOCCOCCOCCOCCO3)n1)C1CCCCC1N(Cc1ccccn1)Cc1cccc(CF)n1")</f>
        <v>CN(Cc1cccc(-c2ccc3c(c2)OCCOCCOCCOCCOCCO3)n1)C1CCCCC1N(Cc1ccccn1)Cc1cccc(CF)n1</v>
      </c>
      <c r="C1950" s="7">
        <f>IFERROR(__xludf.DUMMYFUNCTION("""COMPUTED_VALUE"""),7.812122)</f>
        <v>7.812122</v>
      </c>
      <c r="D1950" s="7">
        <f>IFERROR(__xludf.DUMMYFUNCTION("""COMPUTED_VALUE"""),0.46875)</f>
        <v>0.46875</v>
      </c>
    </row>
    <row r="1951">
      <c r="A1951" s="10" t="s">
        <v>3390</v>
      </c>
      <c r="B1951" s="7" t="str">
        <f>IFERROR(__xludf.DUMMYFUNCTION("SPLIT(A1951,"" "")"),"CN1CCN(C)CCN(Cc2ccnc(C3=NC(C4C=CNC=C4)CO3)c2)CC1")</f>
        <v>CN1CCN(C)CCN(Cc2ccnc(C3=NC(C4C=CNC=C4)CO3)c2)CC1</v>
      </c>
      <c r="C1951" s="7">
        <f>IFERROR(__xludf.DUMMYFUNCTION("""COMPUTED_VALUE"""),7.8121076)</f>
        <v>7.8121076</v>
      </c>
      <c r="D1951" s="7">
        <f>IFERROR(__xludf.DUMMYFUNCTION("""COMPUTED_VALUE"""),0.362068965517241)</f>
        <v>0.3620689655</v>
      </c>
    </row>
    <row r="1952">
      <c r="A1952" s="10" t="s">
        <v>3391</v>
      </c>
      <c r="B1952" s="7" t="str">
        <f>IFERROR(__xludf.DUMMYFUNCTION("SPLIT(A1952,"" "")"),"CN(CCNCc1ccc(-c2ccc3c(c2)OCCOCCOCCOCCOCCO3)cn1)Cc1ccc(-c2ccc3c(c2)OCCOCCOCCOCCOCCO3)cn1")</f>
        <v>CN(CCNCc1ccc(-c2ccc3c(c2)OCCOCCOCCOCCOCCO3)cn1)Cc1ccc(-c2ccc3c(c2)OCCOCCOCCOCCOCCO3)cn1</v>
      </c>
      <c r="C1952" s="7">
        <f>IFERROR(__xludf.DUMMYFUNCTION("""COMPUTED_VALUE"""),7.8121076)</f>
        <v>7.8121076</v>
      </c>
      <c r="D1952" s="7">
        <f>IFERROR(__xludf.DUMMYFUNCTION("""COMPUTED_VALUE"""),0.483870967741935)</f>
        <v>0.4838709677</v>
      </c>
    </row>
    <row r="1953">
      <c r="A1953" s="10" t="s">
        <v>3392</v>
      </c>
      <c r="B1953" s="7" t="str">
        <f>IFERROR(__xludf.DUMMYFUNCTION("SPLIT(A1953,"" "")"),"CNCC1C(N(C)Cc2ncccc2C)CCN1C(C)C")</f>
        <v>CNCC1C(N(C)Cc2ncccc2C)CCN1C(C)C</v>
      </c>
      <c r="C1953" s="7">
        <f>IFERROR(__xludf.DUMMYFUNCTION("""COMPUTED_VALUE"""),7.812073)</f>
        <v>7.812073</v>
      </c>
      <c r="D1953" s="7">
        <f>IFERROR(__xludf.DUMMYFUNCTION("""COMPUTED_VALUE"""),0.327586206896551)</f>
        <v>0.3275862069</v>
      </c>
    </row>
    <row r="1954">
      <c r="A1954" s="10" t="s">
        <v>3393</v>
      </c>
      <c r="B1954" s="7" t="str">
        <f>IFERROR(__xludf.DUMMYFUNCTION("SPLIT(A1954,"" "")"),"CC=CCN(C)CCN(C)Cc1cccnc1")</f>
        <v>CC=CCN(C)CCN(C)Cc1cccnc1</v>
      </c>
      <c r="C1954" s="7">
        <f>IFERROR(__xludf.DUMMYFUNCTION("""COMPUTED_VALUE"""),7.812047)</f>
        <v>7.812047</v>
      </c>
      <c r="D1954" s="7">
        <f>IFERROR(__xludf.DUMMYFUNCTION("""COMPUTED_VALUE"""),0.372093023255813)</f>
        <v>0.3720930233</v>
      </c>
    </row>
    <row r="1955">
      <c r="A1955" s="10" t="s">
        <v>3394</v>
      </c>
      <c r="B1955" s="7" t="str">
        <f>IFERROR(__xludf.DUMMYFUNCTION("SPLIT(A1955,"" "")"),"CN(CCNCc1ccc(-c2ccc3c(c2)OCCOCCOCCOCCOCCO3)cn1)Cc1cc(-c2ccc3c(c2)OCCOCCOCCOCCOCCO3)ccn1")</f>
        <v>CN(CCNCc1ccc(-c2ccc3c(c2)OCCOCCOCCOCCOCCO3)cn1)Cc1cc(-c2ccc3c(c2)OCCOCCOCCOCCOCCO3)ccn1</v>
      </c>
      <c r="C1955" s="7">
        <f>IFERROR(__xludf.DUMMYFUNCTION("""COMPUTED_VALUE"""),7.8120327)</f>
        <v>7.8120327</v>
      </c>
      <c r="D1955" s="7">
        <f>IFERROR(__xludf.DUMMYFUNCTION("""COMPUTED_VALUE"""),0.44776119402985)</f>
        <v>0.447761194</v>
      </c>
    </row>
    <row r="1956">
      <c r="A1956" s="10" t="s">
        <v>3395</v>
      </c>
      <c r="B1956" s="7" t="str">
        <f>IFERROR(__xludf.DUMMYFUNCTION("SPLIT(A1956,"" "")"),"CC(C)N(CCN(C)Cc1cncc(-c2cccc3c2OCCOCCOCCOCCOCCO3)c1)C(C)C")</f>
        <v>CC(C)N(CCN(C)Cc1cncc(-c2cccc3c2OCCOCCOCCOCCOCCO3)c1)C(C)C</v>
      </c>
      <c r="C1956" s="7">
        <f>IFERROR(__xludf.DUMMYFUNCTION("""COMPUTED_VALUE"""),7.8120284)</f>
        <v>7.8120284</v>
      </c>
      <c r="D1956" s="7">
        <f>IFERROR(__xludf.DUMMYFUNCTION("""COMPUTED_VALUE"""),0.246753246753246)</f>
        <v>0.2467532468</v>
      </c>
    </row>
    <row r="1957">
      <c r="A1957" s="10" t="s">
        <v>3396</v>
      </c>
      <c r="B1957" s="7" t="str">
        <f>IFERROR(__xludf.DUMMYFUNCTION("SPLIT(A1957,"" "")"),"COC(=O)c1cc(CN2CCN(C)CCN(Cc3cc(C)c(CN4CCN(C)CCN(C)CC4)c(C(C)(C)C)n3)CC2)ccn1")</f>
        <v>COC(=O)c1cc(CN2CCN(C)CCN(Cc3cc(C)c(CN4CCN(C)CCN(C)CC4)c(C(C)(C)C)n3)CC2)ccn1</v>
      </c>
      <c r="C1957" s="7">
        <f>IFERROR(__xludf.DUMMYFUNCTION("""COMPUTED_VALUE"""),7.812026)</f>
        <v>7.812026</v>
      </c>
      <c r="D1957" s="7">
        <f>IFERROR(__xludf.DUMMYFUNCTION("""COMPUTED_VALUE"""),0.432835820895522)</f>
        <v>0.4328358209</v>
      </c>
    </row>
    <row r="1958">
      <c r="A1958" s="10" t="s">
        <v>3397</v>
      </c>
      <c r="B1958" s="7" t="str">
        <f>IFERROR(__xludf.DUMMYFUNCTION("SPLIT(A1958,"" "")"),"Cc1ccc2c(c1N(C)Cc1cc(N)ccn1)OCCOCCOCCOCCOCCO2")</f>
        <v>Cc1ccc2c(c1N(C)Cc1cc(N)ccn1)OCCOCCOCCOCCOCCO2</v>
      </c>
      <c r="C1958" s="7">
        <f>IFERROR(__xludf.DUMMYFUNCTION("""COMPUTED_VALUE"""),7.8120165)</f>
        <v>7.8120165</v>
      </c>
      <c r="D1958" s="7">
        <f>IFERROR(__xludf.DUMMYFUNCTION("""COMPUTED_VALUE"""),0.285714285714285)</f>
        <v>0.2857142857</v>
      </c>
    </row>
    <row r="1959">
      <c r="A1959" s="10" t="s">
        <v>3398</v>
      </c>
      <c r="B1959" s="7" t="str">
        <f>IFERROR(__xludf.DUMMYFUNCTION("SPLIT(A1959,"" "")"),"CNCc1cccc(CN(Cc2ccccn2)C2CCCCC2N(C)Cc2cccc(-c3ccc4c(c3)OCCOCCOCCOCCOCCO4)n2)n1")</f>
        <v>CNCc1cccc(CN(Cc2ccccn2)C2CCCCC2N(C)Cc2cccc(-c3ccc4c(c3)OCCOCCOCCOCCOCCO4)n2)n1</v>
      </c>
      <c r="C1959" s="7">
        <f>IFERROR(__xludf.DUMMYFUNCTION("""COMPUTED_VALUE"""),7.8120146)</f>
        <v>7.8120146</v>
      </c>
      <c r="D1959" s="7">
        <f>IFERROR(__xludf.DUMMYFUNCTION("""COMPUTED_VALUE"""),0.454545454545454)</f>
        <v>0.4545454545</v>
      </c>
    </row>
    <row r="1960">
      <c r="A1960" s="10" t="s">
        <v>3399</v>
      </c>
      <c r="B1960" s="7" t="str">
        <f>IFERROR(__xludf.DUMMYFUNCTION("SPLIT(A1960,"" "")"),"CN(Cc1cccc(-c2ccc3c(c2)OCCOCCOCCOCCOCCO3)n1)C1CCC(N(Cc2ccccn2)Cc2ccccc2F)CC1")</f>
        <v>CN(Cc1cccc(-c2ccc3c(c2)OCCOCCOCCOCCOCCO3)n1)C1CCC(N(Cc2ccccn2)Cc2ccccc2F)CC1</v>
      </c>
      <c r="C1960" s="7">
        <f>IFERROR(__xludf.DUMMYFUNCTION("""COMPUTED_VALUE"""),7.812004)</f>
        <v>7.812004</v>
      </c>
      <c r="D1960" s="7">
        <f>IFERROR(__xludf.DUMMYFUNCTION("""COMPUTED_VALUE"""),0.371428571428571)</f>
        <v>0.3714285714</v>
      </c>
    </row>
    <row r="1961">
      <c r="A1961" s="10" t="s">
        <v>3400</v>
      </c>
      <c r="B1961" s="7" t="str">
        <f>IFERROR(__xludf.DUMMYFUNCTION("SPLIT(A1961,"" "")"),"C=CCN(C)CCN(C)CC(C)(C)C")</f>
        <v>C=CCN(C)CCN(C)CC(C)(C)C</v>
      </c>
      <c r="C1961" s="7">
        <f>IFERROR(__xludf.DUMMYFUNCTION("""COMPUTED_VALUE"""),7.8119893)</f>
        <v>7.8119893</v>
      </c>
      <c r="D1961" s="7">
        <f>IFERROR(__xludf.DUMMYFUNCTION("""COMPUTED_VALUE"""),0.214285714285714)</f>
        <v>0.2142857143</v>
      </c>
    </row>
    <row r="1962">
      <c r="A1962" s="10" t="s">
        <v>3401</v>
      </c>
      <c r="B1962" s="7" t="str">
        <f>IFERROR(__xludf.DUMMYFUNCTION("SPLIT(A1962,"" "")"),"CC1C=CCC(C)(c2ncccc2CN(Cc2ccccn2)c2ccc3c(c2)OCCOCCOCCOCCOCCO3)C1C")</f>
        <v>CC1C=CCC(C)(c2ncccc2CN(Cc2ccccn2)c2ccc3c(c2)OCCOCCOCCOCCOCCO3)C1C</v>
      </c>
      <c r="C1962" s="7">
        <f>IFERROR(__xludf.DUMMYFUNCTION("""COMPUTED_VALUE"""),7.8119874)</f>
        <v>7.8119874</v>
      </c>
      <c r="D1962" s="7">
        <f>IFERROR(__xludf.DUMMYFUNCTION("""COMPUTED_VALUE"""),0.273972602739726)</f>
        <v>0.2739726027</v>
      </c>
    </row>
    <row r="1963">
      <c r="A1963" s="10" t="s">
        <v>3402</v>
      </c>
      <c r="B1963" s="7" t="str">
        <f>IFERROR(__xludf.DUMMYFUNCTION("SPLIT(A1963,"" "")"),"c1ccc(CN(Cc2ccncc2)c2cccc3c2OCCOCCOCCOCCOCCO3)nc1")</f>
        <v>c1ccc(CN(Cc2ccncc2)c2cccc3c2OCCOCCOCCOCCOCCO3)nc1</v>
      </c>
      <c r="C1963" s="7">
        <f>IFERROR(__xludf.DUMMYFUNCTION("""COMPUTED_VALUE"""),7.811981)</f>
        <v>7.811981</v>
      </c>
      <c r="D1963" s="7">
        <f>IFERROR(__xludf.DUMMYFUNCTION("""COMPUTED_VALUE"""),0.346938775510204)</f>
        <v>0.3469387755</v>
      </c>
    </row>
    <row r="1964">
      <c r="A1964" s="10" t="s">
        <v>3403</v>
      </c>
      <c r="B1964" s="7" t="str">
        <f>IFERROR(__xludf.DUMMYFUNCTION("SPLIT(A1964,"" "")"),"CCNC1CCCCC1N(Cc1ccccn1)Cc1nc(C)c(C)cc1C")</f>
        <v>CCNC1CCCCC1N(Cc1ccccn1)Cc1nc(C)c(C)cc1C</v>
      </c>
      <c r="C1964" s="7">
        <f>IFERROR(__xludf.DUMMYFUNCTION("""COMPUTED_VALUE"""),7.8119802)</f>
        <v>7.8119802</v>
      </c>
      <c r="D1964" s="7">
        <f>IFERROR(__xludf.DUMMYFUNCTION("""COMPUTED_VALUE"""),0.446428571428571)</f>
        <v>0.4464285714</v>
      </c>
    </row>
    <row r="1965">
      <c r="A1965" s="10" t="s">
        <v>3404</v>
      </c>
      <c r="B1965" s="7" t="str">
        <f>IFERROR(__xludf.DUMMYFUNCTION("SPLIT(A1965,"" "")"),"CNc1ccc(CN(Cc2ccccn2)C2COCCOCCOCCOCCOc3ccccc3O2)nc1")</f>
        <v>CNc1ccc(CN(Cc2ccccn2)C2COCCOCCOCCOCCOc3ccccc3O2)nc1</v>
      </c>
      <c r="C1965" s="7">
        <f>IFERROR(__xludf.DUMMYFUNCTION("""COMPUTED_VALUE"""),7.81198)</f>
        <v>7.81198</v>
      </c>
      <c r="D1965" s="7">
        <f>IFERROR(__xludf.DUMMYFUNCTION("""COMPUTED_VALUE"""),0.317460317460317)</f>
        <v>0.3174603175</v>
      </c>
    </row>
    <row r="1966">
      <c r="A1966" s="10" t="s">
        <v>3405</v>
      </c>
      <c r="B1966" s="7" t="str">
        <f>IFERROR(__xludf.DUMMYFUNCTION("SPLIT(A1966,"" "")"),"COc1ccnc(C)c1CN1CCN(C)CCN(C)CC1")</f>
        <v>COc1ccnc(C)c1CN1CCN(C)CCN(C)CC1</v>
      </c>
      <c r="C1966" s="7">
        <f>IFERROR(__xludf.DUMMYFUNCTION("""COMPUTED_VALUE"""),7.8119664)</f>
        <v>7.8119664</v>
      </c>
      <c r="D1966" s="7">
        <f>IFERROR(__xludf.DUMMYFUNCTION("""COMPUTED_VALUE"""),0.488372093023255)</f>
        <v>0.488372093</v>
      </c>
    </row>
    <row r="1967">
      <c r="A1967" s="10" t="s">
        <v>3406</v>
      </c>
      <c r="B1967" s="7" t="str">
        <f>IFERROR(__xludf.DUMMYFUNCTION("SPLIT(A1967,"" "")"),"CC1C=CC(C)C(C(C)(C)c2ccccn2)C1C")</f>
        <v>CC1C=CC(C)C(C(C)(C)c2ccccn2)C1C</v>
      </c>
      <c r="C1967" s="7">
        <f>IFERROR(__xludf.DUMMYFUNCTION("""COMPUTED_VALUE"""),7.8119535)</f>
        <v>7.8119535</v>
      </c>
      <c r="D1967" s="7">
        <f>IFERROR(__xludf.DUMMYFUNCTION("""COMPUTED_VALUE"""),0.355555555555555)</f>
        <v>0.3555555556</v>
      </c>
    </row>
    <row r="1968">
      <c r="A1968" s="10" t="s">
        <v>3407</v>
      </c>
      <c r="B1968" s="7" t="str">
        <f>IFERROR(__xludf.DUMMYFUNCTION("SPLIT(A1968,"" "")"),"CNC1CCCCC1N(Cc1ccccn1)Cc1ncc(C)cc1C")</f>
        <v>CNC1CCCCC1N(Cc1ccccn1)Cc1ncc(C)cc1C</v>
      </c>
      <c r="C1968" s="7">
        <f>IFERROR(__xludf.DUMMYFUNCTION("""COMPUTED_VALUE"""),7.8119507)</f>
        <v>7.8119507</v>
      </c>
      <c r="D1968" s="7">
        <f>IFERROR(__xludf.DUMMYFUNCTION("""COMPUTED_VALUE"""),0.462962962962962)</f>
        <v>0.462962963</v>
      </c>
    </row>
    <row r="1969">
      <c r="A1969" s="10" t="s">
        <v>3408</v>
      </c>
      <c r="B1969" s="7" t="str">
        <f>IFERROR(__xludf.DUMMYFUNCTION("SPLIT(A1969,"" "")"),"CCNC1CCCCC1N(C)Cc1nc(C)c(C)c(C)c1C")</f>
        <v>CCNC1CCCCC1N(C)Cc1nc(C)c(C)c(C)c1C</v>
      </c>
      <c r="C1969" s="7">
        <f>IFERROR(__xludf.DUMMYFUNCTION("""COMPUTED_VALUE"""),7.8119187)</f>
        <v>7.8119187</v>
      </c>
      <c r="D1969" s="7">
        <f>IFERROR(__xludf.DUMMYFUNCTION("""COMPUTED_VALUE"""),0.352941176470588)</f>
        <v>0.3529411765</v>
      </c>
    </row>
    <row r="1970">
      <c r="A1970" s="10" t="s">
        <v>3409</v>
      </c>
      <c r="B1970" s="7" t="str">
        <f>IFERROR(__xludf.DUMMYFUNCTION("SPLIT(A1970,"" "")"),"C1=CC(CN(Cc2ccccn2)Cc2ccccn2)C=C(c2cccc3c2OCCOCCOCCOCCOCCO3)N1")</f>
        <v>C1=CC(CN(Cc2ccccn2)Cc2ccccn2)C=C(c2cccc3c2OCCOCCOCCOCCOCCO3)N1</v>
      </c>
      <c r="C1970" s="7">
        <f>IFERROR(__xludf.DUMMYFUNCTION("""COMPUTED_VALUE"""),7.811912)</f>
        <v>7.811912</v>
      </c>
      <c r="D1970" s="7">
        <f>IFERROR(__xludf.DUMMYFUNCTION("""COMPUTED_VALUE"""),0.384615384615384)</f>
        <v>0.3846153846</v>
      </c>
    </row>
    <row r="1971">
      <c r="A1971" s="10" t="s">
        <v>3410</v>
      </c>
      <c r="B1971" s="7" t="str">
        <f>IFERROR(__xludf.DUMMYFUNCTION("SPLIT(A1971,"" "")"),"Cc1ccccc1N(C)C1CCCCC1N(C)Cc1cccc(-c2ccc3c(c2)OCCOCCOCCOCCOCCO3)n1")</f>
        <v>Cc1ccccc1N(C)C1CCCCC1N(C)Cc1cccc(-c2ccc3c(c2)OCCOCCOCCOCCOCCO3)n1</v>
      </c>
      <c r="C1971" s="7">
        <f>IFERROR(__xludf.DUMMYFUNCTION("""COMPUTED_VALUE"""),7.8119006)</f>
        <v>7.8119006</v>
      </c>
      <c r="D1971" s="7">
        <f>IFERROR(__xludf.DUMMYFUNCTION("""COMPUTED_VALUE"""),0.435483870967741)</f>
        <v>0.435483871</v>
      </c>
    </row>
    <row r="1972">
      <c r="A1972" s="10" t="s">
        <v>3411</v>
      </c>
      <c r="B1972" s="7" t="str">
        <f>IFERROR(__xludf.DUMMYFUNCTION("SPLIT(A1972,"" "")"),"CC1CC(c2cccc(CN(C)C3CCC(N(C)Cc4ccccn4)CC3)n2)C1")</f>
        <v>CC1CC(c2cccc(CN(C)C3CCC(N(C)Cc4ccccn4)CC3)n2)C1</v>
      </c>
      <c r="C1972" s="7">
        <f>IFERROR(__xludf.DUMMYFUNCTION("""COMPUTED_VALUE"""),7.8119)</f>
        <v>7.8119</v>
      </c>
      <c r="D1972" s="7">
        <f>IFERROR(__xludf.DUMMYFUNCTION("""COMPUTED_VALUE"""),0.5)</f>
        <v>0.5</v>
      </c>
    </row>
    <row r="1973">
      <c r="A1973" s="10" t="s">
        <v>3412</v>
      </c>
      <c r="B1973" s="7" t="str">
        <f>IFERROR(__xludf.DUMMYFUNCTION("SPLIT(A1973,"" "")"),"COC(=O)C(=O)C(=O)C(C)NCc1cc(CN2CCN(C)CCN(C)CC2)ccn1")</f>
        <v>COC(=O)C(=O)C(=O)C(C)NCc1cc(CN2CCN(C)CCN(C)CC2)ccn1</v>
      </c>
      <c r="C1973" s="7">
        <f>IFERROR(__xludf.DUMMYFUNCTION("""COMPUTED_VALUE"""),7.811898)</f>
        <v>7.811898</v>
      </c>
      <c r="D1973" s="7">
        <f>IFERROR(__xludf.DUMMYFUNCTION("""COMPUTED_VALUE"""),0.435483870967741)</f>
        <v>0.435483871</v>
      </c>
    </row>
    <row r="1974">
      <c r="A1974" s="10" t="s">
        <v>3413</v>
      </c>
      <c r="B1974" s="7" t="str">
        <f>IFERROR(__xludf.DUMMYFUNCTION("SPLIT(A1974,"" "")"),"C=CCN(C)CCN(Cc1ccccn1)C(C)(C)c1cnccc1-c1ccc2c(c1)OCCOCCOCCOCCOCCO2")</f>
        <v>C=CCN(C)CCN(Cc1ccccn1)C(C)(C)c1cnccc1-c1ccc2c(c1)OCCOCCOCCOCCOCCO2</v>
      </c>
      <c r="C1974" s="7">
        <f>IFERROR(__xludf.DUMMYFUNCTION("""COMPUTED_VALUE"""),7.8118973)</f>
        <v>7.8118973</v>
      </c>
      <c r="D1974" s="7">
        <f>IFERROR(__xludf.DUMMYFUNCTION("""COMPUTED_VALUE"""),0.308641975308641)</f>
        <v>0.3086419753</v>
      </c>
    </row>
    <row r="1975">
      <c r="A1975" s="10" t="s">
        <v>3414</v>
      </c>
      <c r="B1975" s="7" t="str">
        <f>IFERROR(__xludf.DUMMYFUNCTION("SPLIT(A1975,"" "")"),"CC1CC(N)C1CN(C)Cc1cccc(F)n1")</f>
        <v>CC1CC(N)C1CN(C)Cc1cccc(F)n1</v>
      </c>
      <c r="C1975" s="7">
        <f>IFERROR(__xludf.DUMMYFUNCTION("""COMPUTED_VALUE"""),7.8118887)</f>
        <v>7.8118887</v>
      </c>
      <c r="D1975" s="7">
        <f>IFERROR(__xludf.DUMMYFUNCTION("""COMPUTED_VALUE"""),0.387755102040816)</f>
        <v>0.387755102</v>
      </c>
    </row>
    <row r="1976">
      <c r="A1976" s="10" t="s">
        <v>3415</v>
      </c>
      <c r="B1976" s="7" t="str">
        <f>IFERROR(__xludf.DUMMYFUNCTION("SPLIT(A1976,"" "")"),"Cc1cccnc1CN(C)C1CCC(N(C)C2=CCC=CN2)CC1")</f>
        <v>Cc1cccnc1CN(C)C1CCC(N(C)C2=CCC=CN2)CC1</v>
      </c>
      <c r="C1976" s="7">
        <f>IFERROR(__xludf.DUMMYFUNCTION("""COMPUTED_VALUE"""),7.8118854)</f>
        <v>7.8118854</v>
      </c>
      <c r="D1976" s="7">
        <f>IFERROR(__xludf.DUMMYFUNCTION("""COMPUTED_VALUE"""),0.35)</f>
        <v>0.35</v>
      </c>
    </row>
    <row r="1977">
      <c r="A1977" s="10" t="s">
        <v>3416</v>
      </c>
      <c r="B1977" s="7" t="str">
        <f>IFERROR(__xludf.DUMMYFUNCTION("SPLIT(A1977,"" "")"),"CN(Cc1cccc(CN(Cc2ccccn2)Cc2cccc(C(C)(C)C)n2)n1)Cc1cccc(C2CC3OCCOCCOCCOCCOCCOC32)n1")</f>
        <v>CN(Cc1cccc(CN(Cc2ccccn2)Cc2cccc(C(C)(C)C)n2)n1)Cc1cccc(C2CC3OCCOCCOCCOCCOCCOC32)n1</v>
      </c>
      <c r="C1977" s="7">
        <f>IFERROR(__xludf.DUMMYFUNCTION("""COMPUTED_VALUE"""),7.8118844)</f>
        <v>7.8118844</v>
      </c>
      <c r="D1977" s="7">
        <f>IFERROR(__xludf.DUMMYFUNCTION("""COMPUTED_VALUE"""),0.40625)</f>
        <v>0.40625</v>
      </c>
    </row>
    <row r="1978">
      <c r="A1978" s="10" t="s">
        <v>3417</v>
      </c>
      <c r="B1978" s="7" t="str">
        <f>IFERROR(__xludf.DUMMYFUNCTION("SPLIT(A1978,"" "")"),"CNc1cccnc1CN1CCN(C)CCN(Cc2cncc(C)c2C)CC1")</f>
        <v>CNc1cccnc1CN1CCN(C)CCN(Cc2cncc(C)c2C)CC1</v>
      </c>
      <c r="C1978" s="7">
        <f>IFERROR(__xludf.DUMMYFUNCTION("""COMPUTED_VALUE"""),7.811873)</f>
        <v>7.811873</v>
      </c>
      <c r="D1978" s="7">
        <f>IFERROR(__xludf.DUMMYFUNCTION("""COMPUTED_VALUE"""),0.403508771929824)</f>
        <v>0.4035087719</v>
      </c>
    </row>
    <row r="1979">
      <c r="A1979" s="10" t="s">
        <v>3418</v>
      </c>
      <c r="B1979" s="7" t="str">
        <f>IFERROR(__xludf.DUMMYFUNCTION("SPLIT(A1979,"" "")"),"Cc1cnc(CN(Cc2cccnn2)C2CCCCC2)cc1C")</f>
        <v>Cc1cnc(CN(Cc2cccnn2)C2CCCCC2)cc1C</v>
      </c>
      <c r="C1979" s="7">
        <f>IFERROR(__xludf.DUMMYFUNCTION("""COMPUTED_VALUE"""),7.81187)</f>
        <v>7.81187</v>
      </c>
      <c r="D1979" s="7">
        <f>IFERROR(__xludf.DUMMYFUNCTION("""COMPUTED_VALUE"""),0.408163265306122)</f>
        <v>0.4081632653</v>
      </c>
    </row>
    <row r="1980">
      <c r="A1980" s="10" t="s">
        <v>3419</v>
      </c>
      <c r="B1980" s="7" t="str">
        <f>IFERROR(__xludf.DUMMYFUNCTION("SPLIT(A1980,"" "")"),"C=Cc1cc2c(cc1N(C)Cc1ccccn1)OCCOCCOCCOCCOCCO2")</f>
        <v>C=Cc1cc2c(cc1N(C)Cc1ccccn1)OCCOCCOCCOCCOCCO2</v>
      </c>
      <c r="C1980" s="7">
        <f>IFERROR(__xludf.DUMMYFUNCTION("""COMPUTED_VALUE"""),7.811854)</f>
        <v>7.811854</v>
      </c>
      <c r="D1980" s="7">
        <f>IFERROR(__xludf.DUMMYFUNCTION("""COMPUTED_VALUE"""),0.48)</f>
        <v>0.48</v>
      </c>
    </row>
    <row r="1981">
      <c r="A1981" s="10" t="s">
        <v>3420</v>
      </c>
      <c r="B1981" s="7" t="str">
        <f>IFERROR(__xludf.DUMMYFUNCTION("SPLIT(A1981,"" "")"),"CC(C)N(Cc1cccc(C(C)(C)C)n1)C1CCC(N(C)Cc2cccc(-c3ccc4c(c3)OCCOCCOCCOCCOCCO4)n2)CC1")</f>
        <v>CC(C)N(Cc1cccc(C(C)(C)C)n1)C1CCC(N(C)Cc2cccc(-c3ccc4c(c3)OCCOCCOCCOCCOCCO4)n2)CC1</v>
      </c>
      <c r="C1981" s="7">
        <f>IFERROR(__xludf.DUMMYFUNCTION("""COMPUTED_VALUE"""),7.811835)</f>
        <v>7.811835</v>
      </c>
      <c r="D1981" s="7">
        <f>IFERROR(__xludf.DUMMYFUNCTION("""COMPUTED_VALUE"""),0.316455696202531)</f>
        <v>0.3164556962</v>
      </c>
    </row>
    <row r="1982">
      <c r="A1982" s="10" t="s">
        <v>3421</v>
      </c>
      <c r="B1982" s="7" t="str">
        <f>IFERROR(__xludf.DUMMYFUNCTION("SPLIT(A1982,"" "")"),"CNCc1cccc(CN(C)C2CCC(N(C)Cc3ccon3)CC2)n1")</f>
        <v>CNCc1cccc(CN(C)C2CCC(N(C)Cc3ccon3)CC2)n1</v>
      </c>
      <c r="C1982" s="7">
        <f>IFERROR(__xludf.DUMMYFUNCTION("""COMPUTED_VALUE"""),7.811834)</f>
        <v>7.811834</v>
      </c>
      <c r="D1982" s="7">
        <f>IFERROR(__xludf.DUMMYFUNCTION("""COMPUTED_VALUE"""),0.413043478260869)</f>
        <v>0.4130434783</v>
      </c>
    </row>
    <row r="1983">
      <c r="A1983" s="10" t="s">
        <v>3422</v>
      </c>
      <c r="B1983" s="7" t="str">
        <f>IFERROR(__xludf.DUMMYFUNCTION("SPLIT(A1983,"" "")"),"CCNCCN(C)Cc1cncc(C)c1")</f>
        <v>CCNCCN(C)Cc1cncc(C)c1</v>
      </c>
      <c r="C1983" s="7">
        <f>IFERROR(__xludf.DUMMYFUNCTION("""COMPUTED_VALUE"""),7.8118277)</f>
        <v>7.8118277</v>
      </c>
      <c r="D1983" s="7">
        <f>IFERROR(__xludf.DUMMYFUNCTION("""COMPUTED_VALUE"""),0.318181818181818)</f>
        <v>0.3181818182</v>
      </c>
    </row>
    <row r="1984">
      <c r="A1984" s="10" t="s">
        <v>3423</v>
      </c>
      <c r="B1984" s="7" t="str">
        <f>IFERROR(__xludf.DUMMYFUNCTION("SPLIT(A1984,"" "")"),"CC1=CC(C)C(C)(N(C)Cc2ccccn2)CC1C")</f>
        <v>CC1=CC(C)C(C)(N(C)Cc2ccccn2)CC1C</v>
      </c>
      <c r="C1984" s="7">
        <f>IFERROR(__xludf.DUMMYFUNCTION("""COMPUTED_VALUE"""),7.8118258)</f>
        <v>7.8118258</v>
      </c>
      <c r="D1984" s="7">
        <f>IFERROR(__xludf.DUMMYFUNCTION("""COMPUTED_VALUE"""),0.428571428571428)</f>
        <v>0.4285714286</v>
      </c>
    </row>
    <row r="1985">
      <c r="A1985" s="10" t="s">
        <v>3424</v>
      </c>
      <c r="B1985" s="7" t="str">
        <f>IFERROR(__xludf.DUMMYFUNCTION("SPLIT(A1985,"" "")"),"CN(CCNCc1ccccn1)Cc1cc(-c2ccc3c(c2)OCCOCCOCCOCCOCCO3)ccn1")</f>
        <v>CN(CCNCc1ccccn1)Cc1cc(-c2ccc3c(c2)OCCOCCOCCOCCOCCO3)ccn1</v>
      </c>
      <c r="C1985" s="7">
        <f>IFERROR(__xludf.DUMMYFUNCTION("""COMPUTED_VALUE"""),7.811823)</f>
        <v>7.811823</v>
      </c>
      <c r="D1985" s="7">
        <f>IFERROR(__xludf.DUMMYFUNCTION("""COMPUTED_VALUE"""),0.388888888888888)</f>
        <v>0.3888888889</v>
      </c>
    </row>
    <row r="1986">
      <c r="A1986" s="10" t="s">
        <v>3425</v>
      </c>
      <c r="B1986" s="7" t="str">
        <f>IFERROR(__xludf.DUMMYFUNCTION("SPLIT(A1986,"" "")"),"C=CCN(C)CCN(Cc1ccccn1)C(C)(C)c1cncc(-c2cccc3c2OCCOCCOCCOCCOCCO3)c1")</f>
        <v>C=CCN(C)CCN(Cc1ccccn1)C(C)(C)c1cncc(-c2cccc3c2OCCOCCOCCOCCOCCO3)c1</v>
      </c>
      <c r="C1986" s="7">
        <f>IFERROR(__xludf.DUMMYFUNCTION("""COMPUTED_VALUE"""),7.8118196)</f>
        <v>7.8118196</v>
      </c>
      <c r="D1986" s="7">
        <f>IFERROR(__xludf.DUMMYFUNCTION("""COMPUTED_VALUE"""),0.301204819277108)</f>
        <v>0.3012048193</v>
      </c>
    </row>
    <row r="1987">
      <c r="A1987" s="10" t="s">
        <v>3426</v>
      </c>
      <c r="B1987" s="7" t="str">
        <f>IFERROR(__xludf.DUMMYFUNCTION("SPLIT(A1987,"" "")"),"CN(CCN(CC(C)(C)C)CC(C)(C)C)CC(C)(C)C")</f>
        <v>CN(CCN(CC(C)(C)C)CC(C)(C)C)CC(C)(C)C</v>
      </c>
      <c r="C1987" s="7">
        <f>IFERROR(__xludf.DUMMYFUNCTION("""COMPUTED_VALUE"""),7.8118196)</f>
        <v>7.8118196</v>
      </c>
      <c r="D1987" s="7">
        <f>IFERROR(__xludf.DUMMYFUNCTION("""COMPUTED_VALUE"""),0.342857142857142)</f>
        <v>0.3428571429</v>
      </c>
    </row>
    <row r="1988">
      <c r="A1988" s="10" t="s">
        <v>3427</v>
      </c>
      <c r="B1988" s="7" t="str">
        <f>IFERROR(__xludf.DUMMYFUNCTION("SPLIT(A1988,"" "")"),"Cc1ccc(N2CCN(C)CCN(C)CC2)cc1C")</f>
        <v>Cc1ccc(N2CCN(C)CCN(C)CC2)cc1C</v>
      </c>
      <c r="C1988" s="7">
        <f>IFERROR(__xludf.DUMMYFUNCTION("""COMPUTED_VALUE"""),7.811818)</f>
        <v>7.811818</v>
      </c>
      <c r="D1988" s="7">
        <f>IFERROR(__xludf.DUMMYFUNCTION("""COMPUTED_VALUE"""),0.333333333333333)</f>
        <v>0.3333333333</v>
      </c>
    </row>
    <row r="1989">
      <c r="A1989" s="10" t="s">
        <v>3428</v>
      </c>
      <c r="B1989" s="7" t="str">
        <f>IFERROR(__xludf.DUMMYFUNCTION("SPLIT(A1989,"" "")"),"Cc1cc(CN(C)C2CCCCC2N(C)C)nc(C)c1C")</f>
        <v>Cc1cc(CN(C)C2CCCCC2N(C)C)nc(C)c1C</v>
      </c>
      <c r="C1989" s="7">
        <f>IFERROR(__xludf.DUMMYFUNCTION("""COMPUTED_VALUE"""),7.8118157)</f>
        <v>7.8118157</v>
      </c>
      <c r="D1989" s="7">
        <f>IFERROR(__xludf.DUMMYFUNCTION("""COMPUTED_VALUE"""),0.5)</f>
        <v>0.5</v>
      </c>
    </row>
    <row r="1990">
      <c r="A1990" s="10" t="s">
        <v>3429</v>
      </c>
      <c r="B1990" s="7" t="str">
        <f>IFERROR(__xludf.DUMMYFUNCTION("SPLIT(A1990,"" "")"),"CCNCC1=NCC(C)(C)O1")</f>
        <v>CCNCC1=NCC(C)(C)O1</v>
      </c>
      <c r="C1990" s="7">
        <f>IFERROR(__xludf.DUMMYFUNCTION("""COMPUTED_VALUE"""),7.811788)</f>
        <v>7.811788</v>
      </c>
      <c r="D1990" s="7">
        <f>IFERROR(__xludf.DUMMYFUNCTION("""COMPUTED_VALUE"""),0.181818181818181)</f>
        <v>0.1818181818</v>
      </c>
    </row>
    <row r="1991">
      <c r="A1991" s="10" t="s">
        <v>3430</v>
      </c>
      <c r="B1991" s="7" t="str">
        <f>IFERROR(__xludf.DUMMYFUNCTION("SPLIT(A1991,"" "")"),"CC(C)C(C)(c1cccnc1)N(Cc1ccccn1)C1CCC(N(C)Cc2cccc(-c3ccc4c(c3)OCCOCCOCCOCCOCCO4)n2)CC1")</f>
        <v>CC(C)C(C)(c1cccnc1)N(Cc1ccccn1)C1CCC(N(C)Cc2cccc(-c3ccc4c(c3)OCCOCCOCCOCCOCCO4)n2)CC1</v>
      </c>
      <c r="C1991" s="7">
        <f>IFERROR(__xludf.DUMMYFUNCTION("""COMPUTED_VALUE"""),7.811782)</f>
        <v>7.811782</v>
      </c>
      <c r="D1991" s="7">
        <f>IFERROR(__xludf.DUMMYFUNCTION("""COMPUTED_VALUE"""),0.329411764705882)</f>
        <v>0.3294117647</v>
      </c>
    </row>
    <row r="1992">
      <c r="A1992" s="10" t="s">
        <v>3431</v>
      </c>
      <c r="B1992" s="7" t="str">
        <f>IFERROR(__xludf.DUMMYFUNCTION("SPLIT(A1992,"" "")"),"Cc1cccnc1CN(C)C1=CNC(CN2CCN(C)CCN(C)CC2)=CC1")</f>
        <v>Cc1cccnc1CN(C)C1=CNC(CN2CCN(C)CCN(C)CC2)=CC1</v>
      </c>
      <c r="C1992" s="7">
        <f>IFERROR(__xludf.DUMMYFUNCTION("""COMPUTED_VALUE"""),7.811779)</f>
        <v>7.811779</v>
      </c>
      <c r="D1992" s="7">
        <f>IFERROR(__xludf.DUMMYFUNCTION("""COMPUTED_VALUE"""),0.375)</f>
        <v>0.375</v>
      </c>
    </row>
    <row r="1993">
      <c r="A1993" s="10" t="s">
        <v>3432</v>
      </c>
      <c r="B1993" s="7" t="str">
        <f>IFERROR(__xludf.DUMMYFUNCTION("SPLIT(A1993,"" "")"),"Cc1ccc(CN(C)C2CCCC(N(Cc3ccccn3)C(C)N)C2)nc1")</f>
        <v>Cc1ccc(CN(C)C2CCCC(N(Cc3ccccn3)C(C)N)C2)nc1</v>
      </c>
      <c r="C1993" s="7">
        <f>IFERROR(__xludf.DUMMYFUNCTION("""COMPUTED_VALUE"""),7.811777)</f>
        <v>7.811777</v>
      </c>
      <c r="D1993" s="7">
        <f>IFERROR(__xludf.DUMMYFUNCTION("""COMPUTED_VALUE"""),0.481481481481481)</f>
        <v>0.4814814815</v>
      </c>
    </row>
    <row r="1994">
      <c r="A1994" s="10" t="s">
        <v>3433</v>
      </c>
      <c r="B1994" s="7" t="str">
        <f>IFERROR(__xludf.DUMMYFUNCTION("SPLIT(A1994,"" "")"),"CC1=CC(C)C(C)(N(C)Cc2ccccn2)C(C)C1")</f>
        <v>CC1=CC(C)C(C)(N(C)Cc2ccccn2)C(C)C1</v>
      </c>
      <c r="C1994" s="7">
        <f>IFERROR(__xludf.DUMMYFUNCTION("""COMPUTED_VALUE"""),7.8117485)</f>
        <v>7.8117485</v>
      </c>
      <c r="D1994" s="7">
        <f>IFERROR(__xludf.DUMMYFUNCTION("""COMPUTED_VALUE"""),0.4375)</f>
        <v>0.4375</v>
      </c>
    </row>
    <row r="1995">
      <c r="A1995" s="10" t="s">
        <v>3434</v>
      </c>
      <c r="B1995" s="7" t="str">
        <f>IFERROR(__xludf.DUMMYFUNCTION("SPLIT(A1995,"" "")"),"CCNCc1cccc(CN(Cc2ccccn2)C2CCC(N(C)Cc3cccc(-c4ccc5c(c4)OCCOCCOCCOCCOCCO5)n3)CC2)n1")</f>
        <v>CCNCc1cccc(CN(Cc2ccccn2)C2CCC(N(C)Cc3cccc(-c4ccc5c(c4)OCCOCCOCCOCCOCCO5)n3)CC2)n1</v>
      </c>
      <c r="C1995" s="7">
        <f>IFERROR(__xludf.DUMMYFUNCTION("""COMPUTED_VALUE"""),7.811747)</f>
        <v>7.811747</v>
      </c>
      <c r="D1995" s="7">
        <f>IFERROR(__xludf.DUMMYFUNCTION("""COMPUTED_VALUE"""),0.358974358974359)</f>
        <v>0.358974359</v>
      </c>
    </row>
    <row r="1996">
      <c r="A1996" s="10" t="s">
        <v>3435</v>
      </c>
      <c r="B1996" s="7" t="str">
        <f>IFERROR(__xludf.DUMMYFUNCTION("SPLIT(A1996,"" "")"),"CN(Cc1ncccc1-c1cccc2c1OCCOCCOCCOCCOCCO2)C1CCCCC1N(Cc1ccccn1)Cc1ccc(F)cn1")</f>
        <v>CN(Cc1ncccc1-c1cccc2c1OCCOCCOCCOCCOCCO2)C1CCCCC1N(Cc1ccccn1)Cc1ccc(F)cn1</v>
      </c>
      <c r="C1996" s="7">
        <f>IFERROR(__xludf.DUMMYFUNCTION("""COMPUTED_VALUE"""),7.8117337)</f>
        <v>7.8117337</v>
      </c>
      <c r="D1996" s="7">
        <f>IFERROR(__xludf.DUMMYFUNCTION("""COMPUTED_VALUE"""),0.432835820895522)</f>
        <v>0.4328358209</v>
      </c>
    </row>
    <row r="1997">
      <c r="A1997" s="10" t="s">
        <v>3436</v>
      </c>
      <c r="B1997" s="7" t="str">
        <f>IFERROR(__xludf.DUMMYFUNCTION("SPLIT(A1997,"" "")"),"Cc1ccc(CN(C)C2CCC(N(C)C3=CCC=CN3)CC2)nc1")</f>
        <v>Cc1ccc(CN(C)C2CCC(N(C)C3=CCC=CN3)CC2)nc1</v>
      </c>
      <c r="C1997" s="7">
        <f>IFERROR(__xludf.DUMMYFUNCTION("""COMPUTED_VALUE"""),7.8117266)</f>
        <v>7.8117266</v>
      </c>
      <c r="D1997" s="7">
        <f>IFERROR(__xludf.DUMMYFUNCTION("""COMPUTED_VALUE"""),0.490196078431372)</f>
        <v>0.4901960784</v>
      </c>
    </row>
    <row r="1998">
      <c r="A1998" s="10" t="s">
        <v>3437</v>
      </c>
      <c r="B1998" s="7" t="str">
        <f>IFERROR(__xludf.DUMMYFUNCTION("SPLIT(A1998,"" "")"),"Cc1nc(CN(C)C2CCC(N(CCN)Cc3ccccn3)CC2)c(C)c(C)c1C")</f>
        <v>Cc1nc(CN(C)C2CCC(N(CCN)Cc3ccccn3)CC2)c(C)c(C)c1C</v>
      </c>
      <c r="C1998" s="7">
        <f>IFERROR(__xludf.DUMMYFUNCTION("""COMPUTED_VALUE"""),7.811717)</f>
        <v>7.811717</v>
      </c>
      <c r="D1998" s="7">
        <f>IFERROR(__xludf.DUMMYFUNCTION("""COMPUTED_VALUE"""),0.410714285714285)</f>
        <v>0.4107142857</v>
      </c>
    </row>
    <row r="1999">
      <c r="A1999" s="10" t="s">
        <v>3438</v>
      </c>
      <c r="B1999" s="7" t="str">
        <f>IFERROR(__xludf.DUMMYFUNCTION("SPLIT(A1999,"" "")"),"CC1=CC(C)CC(C)C1N(C)Cc1cccc(-c2ccc3c(c2)OCCOCCOCCOCCOCCO3)n1")</f>
        <v>CC1=CC(C)CC(C)C1N(C)Cc1cccc(-c2ccc3c(c2)OCCOCCOCCOCCOCCO3)n1</v>
      </c>
      <c r="C1999" s="7">
        <f>IFERROR(__xludf.DUMMYFUNCTION("""COMPUTED_VALUE"""),7.811687)</f>
        <v>7.811687</v>
      </c>
      <c r="D1999" s="7">
        <f>IFERROR(__xludf.DUMMYFUNCTION("""COMPUTED_VALUE"""),0.337837837837837)</f>
        <v>0.3378378378</v>
      </c>
    </row>
    <row r="2000">
      <c r="A2000" s="10" t="s">
        <v>3439</v>
      </c>
      <c r="B2000" s="7" t="str">
        <f>IFERROR(__xludf.DUMMYFUNCTION("SPLIT(A2000,"" "")"),"CC(C)N(C)Cc1cccc(CN(Cc2ccccn2)C2CCC(N(C)Cc3cccc(-c4ccc5c(c4)OCCOCCOCCOCCOCCO5)n3)CC2)n1")</f>
        <v>CC(C)N(C)Cc1cccc(CN(Cc2ccccn2)C2CCC(N(C)Cc3cccc(-c4ccc5c(c4)OCCOCCOCCOCCOCCO5)n3)CC2)n1</v>
      </c>
      <c r="C2000" s="7">
        <f>IFERROR(__xludf.DUMMYFUNCTION("""COMPUTED_VALUE"""),7.8116765)</f>
        <v>7.8116765</v>
      </c>
      <c r="D2000" s="7">
        <f>IFERROR(__xludf.DUMMYFUNCTION("""COMPUTED_VALUE"""),0.368421052631578)</f>
        <v>0.3684210526</v>
      </c>
    </row>
    <row r="2001">
      <c r="A2001" s="10" t="s">
        <v>3440</v>
      </c>
      <c r="B2001" s="7" t="str">
        <f>IFERROR(__xludf.DUMMYFUNCTION("SPLIT(A2001,"" "")"),"CC1=C(C)C(C)C(C)(N(C)Cc2ccccn2)CC1")</f>
        <v>CC1=C(C)C(C)C(C)(N(C)Cc2ccccn2)CC1</v>
      </c>
      <c r="C2001" s="7">
        <f>IFERROR(__xludf.DUMMYFUNCTION("""COMPUTED_VALUE"""),7.811675)</f>
        <v>7.811675</v>
      </c>
      <c r="D2001" s="7">
        <f>IFERROR(__xludf.DUMMYFUNCTION("""COMPUTED_VALUE"""),0.458333333333333)</f>
        <v>0.4583333333</v>
      </c>
    </row>
    <row r="2002">
      <c r="A2002" s="10" t="s">
        <v>3441</v>
      </c>
      <c r="B2002" s="7" t="str">
        <f>IFERROR(__xludf.DUMMYFUNCTION("SPLIT(A2002,"" "")"),"CN(Cc1cc(-c2ccc3c(c2)OCCOCCOCCOCCOCCO3)ccn1)C1CCCCC1N(Cc1ccccn1)Cc1cccc(CF)n1")</f>
        <v>CN(Cc1cc(-c2ccc3c(c2)OCCOCCOCCOCCOCCO3)ccn1)C1CCCCC1N(Cc1ccccn1)Cc1cccc(CF)n1</v>
      </c>
      <c r="C2002" s="7">
        <f>IFERROR(__xludf.DUMMYFUNCTION("""COMPUTED_VALUE"""),7.811666)</f>
        <v>7.811666</v>
      </c>
      <c r="D2002" s="7">
        <f>IFERROR(__xludf.DUMMYFUNCTION("""COMPUTED_VALUE"""),0.46875)</f>
        <v>0.46875</v>
      </c>
    </row>
    <row r="2003">
      <c r="A2003" s="10" t="s">
        <v>3442</v>
      </c>
      <c r="B2003" s="7" t="str">
        <f>IFERROR(__xludf.DUMMYFUNCTION("SPLIT(A2003,"" "")"),"CNCc1cccc(CN(Cc2ccccn2)C2CCCCC2N(C)Cc2cc(-c3ccc4c(c3)OCCOCCOCCOCCOCCO4)ccn2)n1")</f>
        <v>CNCc1cccc(CN(Cc2ccccn2)C2CCCCC2N(C)Cc2cc(-c3ccc4c(c3)OCCOCCOCCOCCOCCO4)ccn2)n1</v>
      </c>
      <c r="C2003" s="7">
        <f>IFERROR(__xludf.DUMMYFUNCTION("""COMPUTED_VALUE"""),7.8116646)</f>
        <v>7.8116646</v>
      </c>
      <c r="D2003" s="7">
        <f>IFERROR(__xludf.DUMMYFUNCTION("""COMPUTED_VALUE"""),0.454545454545454)</f>
        <v>0.4545454545</v>
      </c>
    </row>
    <row r="2004">
      <c r="A2004" s="10" t="s">
        <v>3443</v>
      </c>
      <c r="B2004" s="7" t="str">
        <f>IFERROR(__xludf.DUMMYFUNCTION("SPLIT(A2004,"" "")"),"Cc1nc(CN(C)C2CCCCC2N(CCN)Cc2cccc(F)n2)c(C)c(C)c1C")</f>
        <v>Cc1nc(CN(C)C2CCCCC2N(CCN)Cc2cccc(F)n2)c(C)c(C)c1C</v>
      </c>
      <c r="C2004" s="7">
        <f>IFERROR(__xludf.DUMMYFUNCTION("""COMPUTED_VALUE"""),7.8116646)</f>
        <v>7.8116646</v>
      </c>
      <c r="D2004" s="7">
        <f>IFERROR(__xludf.DUMMYFUNCTION("""COMPUTED_VALUE"""),0.456140350877192)</f>
        <v>0.4561403509</v>
      </c>
    </row>
    <row r="2005">
      <c r="A2005" s="10" t="s">
        <v>3444</v>
      </c>
      <c r="B2005" s="7" t="str">
        <f>IFERROR(__xludf.DUMMYFUNCTION("SPLIT(A2005,"" "")"),"CCNC1=C(C)C(C)CC(N(C)Cc2ccccn2)C1")</f>
        <v>CCNC1=C(C)C(C)CC(N(C)Cc2ccccn2)C1</v>
      </c>
      <c r="C2005" s="7">
        <f>IFERROR(__xludf.DUMMYFUNCTION("""COMPUTED_VALUE"""),7.811663)</f>
        <v>7.811663</v>
      </c>
      <c r="D2005" s="7">
        <f>IFERROR(__xludf.DUMMYFUNCTION("""COMPUTED_VALUE"""),0.450980392156862)</f>
        <v>0.4509803922</v>
      </c>
    </row>
    <row r="2006">
      <c r="A2006" s="10" t="s">
        <v>3445</v>
      </c>
      <c r="B2006" s="7" t="str">
        <f>IFERROR(__xludf.DUMMYFUNCTION("SPLIT(A2006,"" "")"),"CNCCN(Cc1ccccn1)Cc1cc(-c2cccc3c2OCCOCCOCCOCCOCCO3)ccn1")</f>
        <v>CNCCN(Cc1ccccn1)Cc1cc(-c2cccc3c2OCCOCCOCCOCCOCCO3)ccn1</v>
      </c>
      <c r="C2006" s="7">
        <f>IFERROR(__xludf.DUMMYFUNCTION("""COMPUTED_VALUE"""),7.811654)</f>
        <v>7.811654</v>
      </c>
      <c r="D2006" s="7">
        <f>IFERROR(__xludf.DUMMYFUNCTION("""COMPUTED_VALUE"""),0.366666666666666)</f>
        <v>0.3666666667</v>
      </c>
    </row>
    <row r="2007">
      <c r="A2007" s="10" t="s">
        <v>3446</v>
      </c>
      <c r="B2007" s="7" t="str">
        <f>IFERROR(__xludf.DUMMYFUNCTION("SPLIT(A2007,"" "")"),"CCCN(Cc1ccccn1)C1CCCC(N(C)Cc2ncc(C)c(C)c2C)C1")</f>
        <v>CCCN(Cc1ccccn1)C1CCCC(N(C)Cc2ncc(C)c(C)c2C)C1</v>
      </c>
      <c r="C2007" s="7">
        <f>IFERROR(__xludf.DUMMYFUNCTION("""COMPUTED_VALUE"""),7.811644)</f>
        <v>7.811644</v>
      </c>
      <c r="D2007" s="7">
        <f>IFERROR(__xludf.DUMMYFUNCTION("""COMPUTED_VALUE"""),0.428571428571428)</f>
        <v>0.4285714286</v>
      </c>
    </row>
    <row r="2008">
      <c r="A2008" s="10" t="s">
        <v>3447</v>
      </c>
      <c r="B2008" s="7" t="str">
        <f>IFERROR(__xludf.DUMMYFUNCTION("SPLIT(A2008,"" "")"),"COC(=O)C(=O)C(=O)C(C)NCc1ncccc1CN1CCN(C)CCN(C)CC1")</f>
        <v>COC(=O)C(=O)C(=O)C(C)NCc1ncccc1CN1CCN(C)CCN(C)CC1</v>
      </c>
      <c r="C2008" s="7">
        <f>IFERROR(__xludf.DUMMYFUNCTION("""COMPUTED_VALUE"""),7.81164)</f>
        <v>7.81164</v>
      </c>
      <c r="D2008" s="7">
        <f>IFERROR(__xludf.DUMMYFUNCTION("""COMPUTED_VALUE"""),0.368421052631578)</f>
        <v>0.3684210526</v>
      </c>
    </row>
    <row r="2009">
      <c r="A2009" s="10" t="s">
        <v>3448</v>
      </c>
      <c r="B2009" s="7" t="str">
        <f>IFERROR(__xludf.DUMMYFUNCTION("SPLIT(A2009,"" "")"),"c1ccc(CN(Cc2cccnc2)c2ccc3c(c2)OCCOCCOCCOCCOCCO3)nc1")</f>
        <v>c1ccc(CN(Cc2cccnc2)c2ccc3c(c2)OCCOCCOCCOCCOCCO3)nc1</v>
      </c>
      <c r="C2009" s="7">
        <f>IFERROR(__xludf.DUMMYFUNCTION("""COMPUTED_VALUE"""),7.8116236)</f>
        <v>7.8116236</v>
      </c>
      <c r="D2009" s="7">
        <f>IFERROR(__xludf.DUMMYFUNCTION("""COMPUTED_VALUE"""),0.333333333333333)</f>
        <v>0.3333333333</v>
      </c>
    </row>
    <row r="2010">
      <c r="A2010" s="10" t="s">
        <v>3449</v>
      </c>
      <c r="B2010" s="7" t="str">
        <f>IFERROR(__xludf.DUMMYFUNCTION("SPLIT(A2010,"" "")"),"CC(C)c1ccncc1CN1CCN(C)CCN(Cc2cccc(CN(C)C)n2)CC1")</f>
        <v>CC(C)c1ccncc1CN1CCN(C)CCN(Cc2cccc(CN(C)C)n2)CC1</v>
      </c>
      <c r="C2010" s="7">
        <f>IFERROR(__xludf.DUMMYFUNCTION("""COMPUTED_VALUE"""),7.8116226)</f>
        <v>7.8116226</v>
      </c>
      <c r="D2010" s="7">
        <f>IFERROR(__xludf.DUMMYFUNCTION("""COMPUTED_VALUE"""),0.452830188679245)</f>
        <v>0.4528301887</v>
      </c>
    </row>
    <row r="2011">
      <c r="A2011" s="10" t="s">
        <v>3450</v>
      </c>
      <c r="B2011" s="7" t="str">
        <f>IFERROR(__xludf.DUMMYFUNCTION("SPLIT(A2011,"" "")"),"CNCc1ncccc1CN(Cc1ccccn1)C1CCCCC1N(C)Cc1ncccc1-c1cccc2c1OCCOCCOCCOCCOCCO2")</f>
        <v>CNCc1ncccc1CN(Cc1ccccn1)C1CCCCC1N(C)Cc1ncccc1-c1cccc2c1OCCOCCOCCOCCOCCO2</v>
      </c>
      <c r="C2011" s="7">
        <f>IFERROR(__xludf.DUMMYFUNCTION("""COMPUTED_VALUE"""),7.8116207)</f>
        <v>7.8116207</v>
      </c>
      <c r="D2011" s="7">
        <f>IFERROR(__xludf.DUMMYFUNCTION("""COMPUTED_VALUE"""),0.420289855072463)</f>
        <v>0.4202898551</v>
      </c>
    </row>
    <row r="2012">
      <c r="A2012" s="10" t="s">
        <v>3451</v>
      </c>
      <c r="B2012" s="7" t="str">
        <f>IFERROR(__xludf.DUMMYFUNCTION("SPLIT(A2012,"" "")"),"Cc1ccc(CN(C)C2CCC(N(C)Cc3cccc(-c4ccc5c(c4)OCCOCCOCCOCCOCCO5)n3)CC2)nc1C")</f>
        <v>Cc1ccc(CN(C)C2CCC(N(C)Cc3cccc(-c4ccc5c(c4)OCCOCCOCCOCCOCCO5)n3)CC2)nc1C</v>
      </c>
      <c r="C2012" s="7">
        <f>IFERROR(__xludf.DUMMYFUNCTION("""COMPUTED_VALUE"""),7.811611)</f>
        <v>7.811611</v>
      </c>
      <c r="D2012" s="7">
        <f>IFERROR(__xludf.DUMMYFUNCTION("""COMPUTED_VALUE"""),0.366197183098591)</f>
        <v>0.3661971831</v>
      </c>
    </row>
    <row r="2013">
      <c r="A2013" s="10" t="s">
        <v>3452</v>
      </c>
      <c r="B2013" s="7" t="str">
        <f>IFERROR(__xludf.DUMMYFUNCTION("SPLIT(A2013,"" "")"),"CN(C)Cc1ccc(CN(C)C2CCCC(N(C)Cc3cccc(-c4cccc5c4OCCOCCOCCOCCOCCO5)n3)C2)cn1")</f>
        <v>CN(C)Cc1ccc(CN(C)C2CCCC(N(C)Cc3cccc(-c4cccc5c4OCCOCCOCCOCCOCCO5)n3)C2)cn1</v>
      </c>
      <c r="C2013" s="7">
        <f>IFERROR(__xludf.DUMMYFUNCTION("""COMPUTED_VALUE"""),7.811607)</f>
        <v>7.811607</v>
      </c>
      <c r="D2013" s="7">
        <f>IFERROR(__xludf.DUMMYFUNCTION("""COMPUTED_VALUE"""),0.3)</f>
        <v>0.3</v>
      </c>
    </row>
    <row r="2014">
      <c r="A2014" s="10" t="s">
        <v>3453</v>
      </c>
      <c r="B2014" s="7" t="str">
        <f>IFERROR(__xludf.DUMMYFUNCTION("SPLIT(A2014,"" "")"),"CC1=C(CN(C)Cc2ccccn2)C(C)C(C)CC1")</f>
        <v>CC1=C(CN(C)Cc2ccccn2)C(C)C(C)CC1</v>
      </c>
      <c r="C2014" s="7">
        <f>IFERROR(__xludf.DUMMYFUNCTION("""COMPUTED_VALUE"""),7.81159)</f>
        <v>7.81159</v>
      </c>
      <c r="D2014" s="7">
        <f>IFERROR(__xludf.DUMMYFUNCTION("""COMPUTED_VALUE"""),0.468085106382978)</f>
        <v>0.4680851064</v>
      </c>
    </row>
    <row r="2015">
      <c r="A2015" s="10" t="s">
        <v>3454</v>
      </c>
      <c r="B2015" s="7" t="str">
        <f>IFERROR(__xludf.DUMMYFUNCTION("SPLIT(A2015,"" "")"),"c1cncc(CN(Cc2cccnn2)c2cccc3c2OCCOCCOCCOCCOCCO3)c1")</f>
        <v>c1cncc(CN(Cc2cccnn2)c2cccc3c2OCCOCCOCCOCCOCCO3)c1</v>
      </c>
      <c r="C2015" s="7">
        <f>IFERROR(__xludf.DUMMYFUNCTION("""COMPUTED_VALUE"""),7.811565)</f>
        <v>7.811565</v>
      </c>
      <c r="D2015" s="7">
        <f>IFERROR(__xludf.DUMMYFUNCTION("""COMPUTED_VALUE"""),0.321428571428571)</f>
        <v>0.3214285714</v>
      </c>
    </row>
    <row r="2016">
      <c r="A2016" s="10" t="s">
        <v>3455</v>
      </c>
      <c r="B2016" s="7" t="str">
        <f>IFERROR(__xludf.DUMMYFUNCTION("SPLIT(A2016,"" "")"),"FCCN(Cc1ccccn1)Cc1cccc(-c2cccc3c2OCCOCCOCCOCCOCCO3)n1")</f>
        <v>FCCN(Cc1ccccn1)Cc1cccc(-c2cccc3c2OCCOCCOCCOCCOCCO3)n1</v>
      </c>
      <c r="C2016" s="7">
        <f>IFERROR(__xludf.DUMMYFUNCTION("""COMPUTED_VALUE"""),7.8115625)</f>
        <v>7.8115625</v>
      </c>
      <c r="D2016" s="7">
        <f>IFERROR(__xludf.DUMMYFUNCTION("""COMPUTED_VALUE"""),0.413793103448275)</f>
        <v>0.4137931034</v>
      </c>
    </row>
    <row r="2017">
      <c r="A2017" s="10" t="s">
        <v>3456</v>
      </c>
      <c r="B2017" s="7" t="str">
        <f>IFERROR(__xludf.DUMMYFUNCTION("SPLIT(A2017,"" "")"),"CC1=CC(C)CC(C)C1CN(C)Cc1ccccn1")</f>
        <v>CC1=CC(C)CC(C)C1CN(C)Cc1ccccn1</v>
      </c>
      <c r="C2017" s="7">
        <f>IFERROR(__xludf.DUMMYFUNCTION("""COMPUTED_VALUE"""),7.8115616)</f>
        <v>7.8115616</v>
      </c>
      <c r="D2017" s="7">
        <f>IFERROR(__xludf.DUMMYFUNCTION("""COMPUTED_VALUE"""),0.454545454545454)</f>
        <v>0.4545454545</v>
      </c>
    </row>
    <row r="2018">
      <c r="A2018" s="10" t="s">
        <v>3457</v>
      </c>
      <c r="B2018" s="7" t="str">
        <f>IFERROR(__xludf.DUMMYFUNCTION("SPLIT(A2018,"" "")"),"COC(=O)C(=O)C(=O)C(C)NCc1ccc(CN2CCN(C)CCN(C)CC2)cn1")</f>
        <v>COC(=O)C(=O)C(=O)C(C)NCc1ccc(CN2CCN(C)CCN(C)CC2)cn1</v>
      </c>
      <c r="C2018" s="7">
        <f>IFERROR(__xludf.DUMMYFUNCTION("""COMPUTED_VALUE"""),7.811559)</f>
        <v>7.811559</v>
      </c>
      <c r="D2018" s="7">
        <f>IFERROR(__xludf.DUMMYFUNCTION("""COMPUTED_VALUE"""),0.348484848484848)</f>
        <v>0.3484848485</v>
      </c>
    </row>
    <row r="2019">
      <c r="A2019" s="10" t="s">
        <v>3458</v>
      </c>
      <c r="B2019" s="7" t="str">
        <f>IFERROR(__xludf.DUMMYFUNCTION("SPLIT(A2019,"" "")"),"Cc1ccc2c(c1N(Cc1ccccn1)Cc1ncccc1-c1cccc3c1OCCOCCOCCOCCOCCO3)OCCOCCOCCOCCOCCO2")</f>
        <v>Cc1ccc2c(c1N(Cc1ccccn1)Cc1ncccc1-c1cccc3c1OCCOCCOCCOCCOCCO3)OCCOCCOCCOCCOCCO2</v>
      </c>
      <c r="C2019" s="7">
        <f>IFERROR(__xludf.DUMMYFUNCTION("""COMPUTED_VALUE"""),7.811556)</f>
        <v>7.811556</v>
      </c>
      <c r="D2019" s="7">
        <f>IFERROR(__xludf.DUMMYFUNCTION("""COMPUTED_VALUE"""),0.298245614035087)</f>
        <v>0.298245614</v>
      </c>
    </row>
    <row r="2020">
      <c r="A2020" s="10" t="s">
        <v>3459</v>
      </c>
      <c r="B2020" s="7" t="str">
        <f>IFERROR(__xludf.DUMMYFUNCTION("SPLIT(A2020,"" "")"),"CNC1C(N(C)Cc2cc(C)ccn2)CCCC1N(Cc1cc(C)ccn1)C(C)C")</f>
        <v>CNC1C(N(C)Cc2cc(C)ccn2)CCCC1N(Cc1cc(C)ccn1)C(C)C</v>
      </c>
      <c r="C2020" s="7">
        <f>IFERROR(__xludf.DUMMYFUNCTION("""COMPUTED_VALUE"""),7.8115544)</f>
        <v>7.8115544</v>
      </c>
      <c r="D2020" s="7">
        <f>IFERROR(__xludf.DUMMYFUNCTION("""COMPUTED_VALUE"""),0.407407407407407)</f>
        <v>0.4074074074</v>
      </c>
    </row>
    <row r="2021">
      <c r="A2021" s="10" t="s">
        <v>3460</v>
      </c>
      <c r="B2021" s="7" t="str">
        <f>IFERROR(__xludf.DUMMYFUNCTION("SPLIT(A2021,"" "")"),"Cc1cnc(CN(C)C2CCC(N(C)Cc3cccc(-c4ccc5c(c4)OCCOCCOCCOCCOCCO5)n3)CC2)c(C)c1")</f>
        <v>Cc1cnc(CN(C)C2CCC(N(C)Cc3cccc(-c4ccc5c(c4)OCCOCCOCCOCCOCCO5)n3)CC2)c(C)c1</v>
      </c>
      <c r="C2021" s="7">
        <f>IFERROR(__xludf.DUMMYFUNCTION("""COMPUTED_VALUE"""),7.8115535)</f>
        <v>7.8115535</v>
      </c>
      <c r="D2021" s="7">
        <f>IFERROR(__xludf.DUMMYFUNCTION("""COMPUTED_VALUE"""),0.36)</f>
        <v>0.36</v>
      </c>
    </row>
    <row r="2022">
      <c r="A2022" s="10" t="s">
        <v>3461</v>
      </c>
      <c r="B2022" s="7" t="str">
        <f>IFERROR(__xludf.DUMMYFUNCTION("SPLIT(A2022,"" "")"),"C1=COCCOC(N(Cc2ccccn2)Cc2cccc(-c3ccc4c(c3)OCCOCCOCCOCCOCCO4)n2)COCCOc2ccccc2OCCO1")</f>
        <v>C1=COCCOC(N(Cc2ccccn2)Cc2cccc(-c3ccc4c(c3)OCCOCCOCCOCCOCCO4)n2)COCCOc2ccccc2OCCO1</v>
      </c>
      <c r="C2022" s="7">
        <f>IFERROR(__xludf.DUMMYFUNCTION("""COMPUTED_VALUE"""),7.811545)</f>
        <v>7.811545</v>
      </c>
      <c r="D2022" s="7">
        <f>IFERROR(__xludf.DUMMYFUNCTION("""COMPUTED_VALUE"""),0.36986301369863)</f>
        <v>0.3698630137</v>
      </c>
    </row>
    <row r="2023">
      <c r="A2023" s="10" t="s">
        <v>3462</v>
      </c>
      <c r="B2023" s="7" t="str">
        <f>IFERROR(__xludf.DUMMYFUNCTION("SPLIT(A2023,"" "")"),"Cc1ccccc1N(Cc1ccccn1)C1CCCC(N(C)C(C)C)C1")</f>
        <v>Cc1ccccc1N(Cc1ccccn1)C1CCCC(N(C)C(C)C)C1</v>
      </c>
      <c r="C2023" s="7">
        <f>IFERROR(__xludf.DUMMYFUNCTION("""COMPUTED_VALUE"""),7.8115425)</f>
        <v>7.8115425</v>
      </c>
      <c r="D2023" s="7">
        <f>IFERROR(__xludf.DUMMYFUNCTION("""COMPUTED_VALUE"""),0.442307692307692)</f>
        <v>0.4423076923</v>
      </c>
    </row>
    <row r="2024">
      <c r="A2024" s="10" t="s">
        <v>3463</v>
      </c>
      <c r="B2024" s="7" t="str">
        <f>IFERROR(__xludf.DUMMYFUNCTION("SPLIT(A2024,"" "")"),"CC(N)c1ccccc1")</f>
        <v>CC(N)c1ccccc1</v>
      </c>
      <c r="C2024" s="7">
        <f>IFERROR(__xludf.DUMMYFUNCTION("""COMPUTED_VALUE"""),7.8115425)</f>
        <v>7.8115425</v>
      </c>
      <c r="D2024" s="7">
        <f>IFERROR(__xludf.DUMMYFUNCTION("""COMPUTED_VALUE"""),0.35)</f>
        <v>0.35</v>
      </c>
    </row>
    <row r="2025">
      <c r="A2025" s="10" t="s">
        <v>3464</v>
      </c>
      <c r="B2025" s="7" t="str">
        <f>IFERROR(__xludf.DUMMYFUNCTION("SPLIT(A2025,"" "")"),"Cc1cccnc1CN(C)C1CCC(N(C)CCN(C)Cc2nccc(C)c2C)CC1")</f>
        <v>Cc1cccnc1CN(C)C1CCC(N(C)CCN(C)Cc2nccc(C)c2C)CC1</v>
      </c>
      <c r="C2025" s="7">
        <f>IFERROR(__xludf.DUMMYFUNCTION("""COMPUTED_VALUE"""),7.8115387)</f>
        <v>7.8115387</v>
      </c>
      <c r="D2025" s="7">
        <f>IFERROR(__xludf.DUMMYFUNCTION("""COMPUTED_VALUE"""),0.333333333333333)</f>
        <v>0.3333333333</v>
      </c>
    </row>
    <row r="2026">
      <c r="A2026" s="10" t="s">
        <v>3465</v>
      </c>
      <c r="B2026" s="7" t="str">
        <f>IFERROR(__xludf.DUMMYFUNCTION("SPLIT(A2026,"" "")"),"CC(C)NC1=CC=CCN1")</f>
        <v>CC(C)NC1=CC=CCN1</v>
      </c>
      <c r="C2026" s="7">
        <f>IFERROR(__xludf.DUMMYFUNCTION("""COMPUTED_VALUE"""),7.8115177)</f>
        <v>7.8115177</v>
      </c>
      <c r="D2026" s="7">
        <f>IFERROR(__xludf.DUMMYFUNCTION("""COMPUTED_VALUE"""),0.145833333333333)</f>
        <v>0.1458333333</v>
      </c>
    </row>
    <row r="2027">
      <c r="A2027" s="10" t="s">
        <v>3466</v>
      </c>
      <c r="B2027" s="7" t="str">
        <f>IFERROR(__xludf.DUMMYFUNCTION("SPLIT(A2027,"" "")"),"CC1=C(NCc2ccccn2)CCCC1C")</f>
        <v>CC1=C(NCc2ccccn2)CCCC1C</v>
      </c>
      <c r="C2027" s="7">
        <f>IFERROR(__xludf.DUMMYFUNCTION("""COMPUTED_VALUE"""),7.8115087)</f>
        <v>7.8115087</v>
      </c>
      <c r="D2027" s="7">
        <f>IFERROR(__xludf.DUMMYFUNCTION("""COMPUTED_VALUE"""),0.404761904761904)</f>
        <v>0.4047619048</v>
      </c>
    </row>
    <row r="2028">
      <c r="A2028" s="10" t="s">
        <v>3467</v>
      </c>
      <c r="B2028" s="7" t="str">
        <f>IFERROR(__xludf.DUMMYFUNCTION("SPLIT(A2028,"" "")"),"CC1=CC(C)CC(C)C1(C)NCc1ccccn1")</f>
        <v>CC1=CC(C)CC(C)C1(C)NCc1ccccn1</v>
      </c>
      <c r="C2028" s="7">
        <f>IFERROR(__xludf.DUMMYFUNCTION("""COMPUTED_VALUE"""),7.811495)</f>
        <v>7.811495</v>
      </c>
      <c r="D2028" s="7">
        <f>IFERROR(__xludf.DUMMYFUNCTION("""COMPUTED_VALUE"""),0.41860465116279)</f>
        <v>0.4186046512</v>
      </c>
    </row>
    <row r="2029">
      <c r="A2029" s="10" t="s">
        <v>3468</v>
      </c>
      <c r="B2029" s="7" t="str">
        <f>IFERROR(__xludf.DUMMYFUNCTION("SPLIT(A2029,"" "")"),"CC(C)C(C)N(Cc1ccccn1)Cc1ncccc1-c1ccc2c(c1)OCCOCCOCCOCCOCCO2")</f>
        <v>CC(C)C(C)N(Cc1ccccn1)Cc1ncccc1-c1ccc2c(c1)OCCOCCOCCOCCOCCO2</v>
      </c>
      <c r="C2029" s="7">
        <f>IFERROR(__xludf.DUMMYFUNCTION("""COMPUTED_VALUE"""),7.811491)</f>
        <v>7.811491</v>
      </c>
      <c r="D2029" s="7">
        <f>IFERROR(__xludf.DUMMYFUNCTION("""COMPUTED_VALUE"""),0.385964912280701)</f>
        <v>0.3859649123</v>
      </c>
    </row>
    <row r="2030">
      <c r="A2030" s="10" t="s">
        <v>3469</v>
      </c>
      <c r="B2030" s="7" t="str">
        <f>IFERROR(__xludf.DUMMYFUNCTION("SPLIT(A2030,"" "")"),"CNc1ccc(-c2ccc(CN(C)C3CCC(N(C)Cc4ccccn4)CC3)cn2)c2c1OCCOCCOCCOCCOCCO2")</f>
        <v>CNc1ccc(-c2ccc(CN(C)C3CCC(N(C)Cc4ccccn4)CC3)cn2)c2c1OCCOCCOCCOCCOCCO2</v>
      </c>
      <c r="C2030" s="7">
        <f>IFERROR(__xludf.DUMMYFUNCTION("""COMPUTED_VALUE"""),7.8114896)</f>
        <v>7.8114896</v>
      </c>
      <c r="D2030" s="7">
        <f>IFERROR(__xludf.DUMMYFUNCTION("""COMPUTED_VALUE"""),0.375)</f>
        <v>0.375</v>
      </c>
    </row>
    <row r="2031">
      <c r="A2031" s="10" t="s">
        <v>3470</v>
      </c>
      <c r="B2031" s="7" t="str">
        <f>IFERROR(__xludf.DUMMYFUNCTION("SPLIT(A2031,"" "")"),"Cc1ccc(CN(Cc2cccc(CN(C)C3CCC(N(C)Cc4cccc(-c5ccc6c(c5)OCCOCCOCCOCCOCCO6)n4)CC3)n2)C2CCCCC2N(C)Cc2cccc(-c3ccc4c(c3)OCCOCCOCCOCCOCCO4)n2)nc1C")</f>
        <v>Cc1ccc(CN(Cc2cccc(CN(C)C3CCC(N(C)Cc4cccc(-c5ccc6c(c5)OCCOCCOCCOCCOCCO6)n4)CC3)n2)C2CCCCC2N(C)Cc2cccc(-c3ccc4c(c3)OCCOCCOCCOCCOCCO4)n2)nc1C</v>
      </c>
      <c r="C2031" s="7">
        <f>IFERROR(__xludf.DUMMYFUNCTION("""COMPUTED_VALUE"""),7.8114777)</f>
        <v>7.8114777</v>
      </c>
      <c r="D2031" s="7">
        <f>IFERROR(__xludf.DUMMYFUNCTION("""COMPUTED_VALUE"""),0.397058823529411)</f>
        <v>0.3970588235</v>
      </c>
    </row>
    <row r="2032">
      <c r="A2032" s="10" t="s">
        <v>3471</v>
      </c>
      <c r="B2032" s="7" t="str">
        <f>IFERROR(__xludf.DUMMYFUNCTION("SPLIT(A2032,"" "")"),"Cc1cncc(CN(C)C2CCCC(N(C)CC3=CCC(N(C)C(C)C)=CN3)C2)c1")</f>
        <v>Cc1cncc(CN(C)C2CCCC(N(C)CC3=CCC(N(C)C(C)C)=CN3)C2)c1</v>
      </c>
      <c r="C2032" s="7">
        <f>IFERROR(__xludf.DUMMYFUNCTION("""COMPUTED_VALUE"""),7.8114696)</f>
        <v>7.8114696</v>
      </c>
      <c r="D2032" s="7">
        <f>IFERROR(__xludf.DUMMYFUNCTION("""COMPUTED_VALUE"""),0.238805970149253)</f>
        <v>0.2388059701</v>
      </c>
    </row>
    <row r="2033">
      <c r="A2033" s="10" t="s">
        <v>3472</v>
      </c>
      <c r="B2033" s="7" t="str">
        <f>IFERROR(__xludf.DUMMYFUNCTION("SPLIT(A2033,"" "")"),"Cc1ccncc1C(C)(C)N(C)Cc1ccncc1CN1CCN(C)CCN(C)CC1")</f>
        <v>Cc1ccncc1C(C)(C)N(C)Cc1ccncc1CN1CCN(C)CCN(C)CC1</v>
      </c>
      <c r="C2033" s="7">
        <f>IFERROR(__xludf.DUMMYFUNCTION("""COMPUTED_VALUE"""),7.8114467)</f>
        <v>7.8114467</v>
      </c>
      <c r="D2033" s="7">
        <f>IFERROR(__xludf.DUMMYFUNCTION("""COMPUTED_VALUE"""),0.339285714285714)</f>
        <v>0.3392857143</v>
      </c>
    </row>
    <row r="2034">
      <c r="A2034" s="10" t="s">
        <v>3473</v>
      </c>
      <c r="B2034" s="7" t="str">
        <f>IFERROR(__xludf.DUMMYFUNCTION("SPLIT(A2034,"" "")"),"CC1C=CC(C)(N(Cc2ccccn2)Cc2ccccn2)C(C)C1C")</f>
        <v>CC1C=CC(C)(N(Cc2ccccn2)Cc2ccccn2)C(C)C1C</v>
      </c>
      <c r="C2034" s="7">
        <f>IFERROR(__xludf.DUMMYFUNCTION("""COMPUTED_VALUE"""),7.8114233)</f>
        <v>7.8114233</v>
      </c>
      <c r="D2034" s="7">
        <f>IFERROR(__xludf.DUMMYFUNCTION("""COMPUTED_VALUE"""),0.435897435897435)</f>
        <v>0.4358974359</v>
      </c>
    </row>
    <row r="2035">
      <c r="A2035" s="10" t="s">
        <v>3474</v>
      </c>
      <c r="B2035" s="7" t="str">
        <f>IFERROR(__xludf.DUMMYFUNCTION("SPLIT(A2035,"" "")"),"Cc1cnc(CN2CCN(C)CCN(Cc3cccnc3C(C)N)CC2)c(C)c1")</f>
        <v>Cc1cnc(CN2CCN(C)CCN(Cc3cccnc3C(C)N)CC2)c(C)c1</v>
      </c>
      <c r="C2035" s="7">
        <f>IFERROR(__xludf.DUMMYFUNCTION("""COMPUTED_VALUE"""),7.81142)</f>
        <v>7.81142</v>
      </c>
      <c r="D2035" s="7">
        <f>IFERROR(__xludf.DUMMYFUNCTION("""COMPUTED_VALUE"""),0.392857142857142)</f>
        <v>0.3928571429</v>
      </c>
    </row>
    <row r="2036">
      <c r="A2036" s="10" t="s">
        <v>3475</v>
      </c>
      <c r="B2036" s="7" t="str">
        <f>IFERROR(__xludf.DUMMYFUNCTION("SPLIT(A2036,"" "")"),"Cc1cncc(CN2CCN(C)CCN(Cc3cc(C)c(C)c(C)n3)CC2)c1")</f>
        <v>Cc1cncc(CN2CCN(C)CCN(Cc3cc(C)c(C)c(C)n3)CC2)c1</v>
      </c>
      <c r="C2036" s="7">
        <f>IFERROR(__xludf.DUMMYFUNCTION("""COMPUTED_VALUE"""),7.8113947)</f>
        <v>7.8113947</v>
      </c>
      <c r="D2036" s="7">
        <f>IFERROR(__xludf.DUMMYFUNCTION("""COMPUTED_VALUE"""),0.489361702127659)</f>
        <v>0.4893617021</v>
      </c>
    </row>
    <row r="2037">
      <c r="A2037" s="10" t="s">
        <v>3476</v>
      </c>
      <c r="B2037" s="7" t="str">
        <f>IFERROR(__xludf.DUMMYFUNCTION("SPLIT(A2037,"" "")"),"CN(CCF)CCN(C)Cc1ccc(F)nc1")</f>
        <v>CN(CCF)CCN(C)Cc1ccc(F)nc1</v>
      </c>
      <c r="C2037" s="7">
        <f>IFERROR(__xludf.DUMMYFUNCTION("""COMPUTED_VALUE"""),7.811386)</f>
        <v>7.811386</v>
      </c>
      <c r="D2037" s="7">
        <f>IFERROR(__xludf.DUMMYFUNCTION("""COMPUTED_VALUE"""),0.4)</f>
        <v>0.4</v>
      </c>
    </row>
    <row r="2038">
      <c r="A2038" s="10" t="s">
        <v>3477</v>
      </c>
      <c r="B2038" s="7" t="str">
        <f>IFERROR(__xludf.DUMMYFUNCTION("SPLIT(A2038,"" "")"),"CNCCN(Cc1ccccn1)Cc1ncccc1-c1cccc2c1OCCOCCOCCOCCOCCO2")</f>
        <v>CNCCN(Cc1ccccn1)Cc1ncccc1-c1cccc2c1OCCOCCOCCOCCOCCO2</v>
      </c>
      <c r="C2038" s="7">
        <f>IFERROR(__xludf.DUMMYFUNCTION("""COMPUTED_VALUE"""),7.811343)</f>
        <v>7.811343</v>
      </c>
      <c r="D2038" s="7">
        <f>IFERROR(__xludf.DUMMYFUNCTION("""COMPUTED_VALUE"""),0.372881355932203)</f>
        <v>0.3728813559</v>
      </c>
    </row>
    <row r="2039">
      <c r="A2039" s="10" t="s">
        <v>3478</v>
      </c>
      <c r="B2039" s="7" t="str">
        <f>IFERROR(__xludf.DUMMYFUNCTION("SPLIT(A2039,"" "")"),"COC(=O)C(=O)C(=O)C(C)NCc1cccc(CN2CCN(C)CCN(C)CC2)n1")</f>
        <v>COC(=O)C(=O)C(=O)C(C)NCc1cccc(CN2CCN(C)CCN(C)CC2)n1</v>
      </c>
      <c r="C2039" s="7">
        <f>IFERROR(__xludf.DUMMYFUNCTION("""COMPUTED_VALUE"""),7.811337)</f>
        <v>7.811337</v>
      </c>
      <c r="D2039" s="7">
        <f>IFERROR(__xludf.DUMMYFUNCTION("""COMPUTED_VALUE"""),0.461538461538461)</f>
        <v>0.4615384615</v>
      </c>
    </row>
    <row r="2040">
      <c r="A2040" s="10" t="s">
        <v>3479</v>
      </c>
      <c r="B2040" s="7" t="str">
        <f>IFERROR(__xludf.DUMMYFUNCTION("SPLIT(A2040,"" "")"),"CC(C)N(Cc1cccc(C(C)(C)C)n1)C1CCC(N(C)Cc2ncccc2-c2ccc3c(c2)OCCOCCOCCOCCOCCO3)CC1")</f>
        <v>CC(C)N(Cc1cccc(C(C)(C)C)n1)C1CCC(N(C)Cc2ncccc2-c2ccc3c(c2)OCCOCCOCCOCCOCCO3)CC1</v>
      </c>
      <c r="C2040" s="7">
        <f>IFERROR(__xludf.DUMMYFUNCTION("""COMPUTED_VALUE"""),7.811329)</f>
        <v>7.811329</v>
      </c>
      <c r="D2040" s="7">
        <f>IFERROR(__xludf.DUMMYFUNCTION("""COMPUTED_VALUE"""),0.309523809523809)</f>
        <v>0.3095238095</v>
      </c>
    </row>
    <row r="2041">
      <c r="A2041" s="10" t="s">
        <v>3480</v>
      </c>
      <c r="B2041" s="7" t="str">
        <f>IFERROR(__xludf.DUMMYFUNCTION("SPLIT(A2041,"" "")"),"CC(C)N(Cc1ccc(N)cn1)Cc1ccc(CN2CCN(C)CCN(C)CC2)cn1")</f>
        <v>CC(C)N(Cc1ccc(N)cn1)Cc1ccc(CN2CCN(C)CCN(C)CC2)cn1</v>
      </c>
      <c r="C2041" s="7">
        <f>IFERROR(__xludf.DUMMYFUNCTION("""COMPUTED_VALUE"""),7.8113146)</f>
        <v>7.8113146</v>
      </c>
      <c r="D2041" s="7">
        <f>IFERROR(__xludf.DUMMYFUNCTION("""COMPUTED_VALUE"""),0.365384615384615)</f>
        <v>0.3653846154</v>
      </c>
    </row>
    <row r="2042">
      <c r="A2042" s="10" t="s">
        <v>3481</v>
      </c>
      <c r="B2042" s="7" t="str">
        <f>IFERROR(__xludf.DUMMYFUNCTION("SPLIT(A2042,"" "")"),"C=CCNCCN(C)Cc1cncc(C)c1")</f>
        <v>C=CCNCCN(C)Cc1cncc(C)c1</v>
      </c>
      <c r="C2042" s="7">
        <f>IFERROR(__xludf.DUMMYFUNCTION("""COMPUTED_VALUE"""),7.8113036)</f>
        <v>7.8113036</v>
      </c>
      <c r="D2042" s="7">
        <f>IFERROR(__xludf.DUMMYFUNCTION("""COMPUTED_VALUE"""),0.297872340425531)</f>
        <v>0.2978723404</v>
      </c>
    </row>
    <row r="2043">
      <c r="A2043" s="10" t="s">
        <v>3482</v>
      </c>
      <c r="B2043" s="7" t="str">
        <f>IFERROR(__xludf.DUMMYFUNCTION("SPLIT(A2043,"" "")"),"CC(C)NCc1ncccc1-c1ccc2c(c1)OCCOCCOCCOCCOCCO2")</f>
        <v>CC(C)NCc1ncccc1-c1ccc2c(c1)OCCOCCOCCOCCOCCO2</v>
      </c>
      <c r="C2043" s="7">
        <f>IFERROR(__xludf.DUMMYFUNCTION("""COMPUTED_VALUE"""),7.8113008)</f>
        <v>7.8113008</v>
      </c>
      <c r="D2043" s="7">
        <f>IFERROR(__xludf.DUMMYFUNCTION("""COMPUTED_VALUE"""),0.375)</f>
        <v>0.375</v>
      </c>
    </row>
    <row r="2044">
      <c r="A2044" s="10" t="s">
        <v>3483</v>
      </c>
      <c r="B2044" s="7" t="str">
        <f>IFERROR(__xludf.DUMMYFUNCTION("SPLIT(A2044,"" "")"),"CNCc1ncccc1CN(C)C1CCCCC1N(C)Cc1nccc(C)c1C")</f>
        <v>CNCc1ncccc1CN(C)C1CCCCC1N(C)Cc1nccc(C)c1C</v>
      </c>
      <c r="C2044" s="7">
        <f>IFERROR(__xludf.DUMMYFUNCTION("""COMPUTED_VALUE"""),7.811287)</f>
        <v>7.811287</v>
      </c>
      <c r="D2044" s="7">
        <f>IFERROR(__xludf.DUMMYFUNCTION("""COMPUTED_VALUE"""),0.433962264150943)</f>
        <v>0.4339622642</v>
      </c>
    </row>
    <row r="2045">
      <c r="A2045" s="10" t="s">
        <v>3484</v>
      </c>
      <c r="B2045" s="7" t="str">
        <f>IFERROR(__xludf.DUMMYFUNCTION("SPLIT(A2045,"" "")"),"Cc1cc2c(c(C)c1N(C)Cc1ccccn1)OCCOCCOCCOCCOCCO2")</f>
        <v>Cc1cc2c(c(C)c1N(C)Cc1ccccn1)OCCOCCOCCOCCOCCO2</v>
      </c>
      <c r="C2045" s="7">
        <f>IFERROR(__xludf.DUMMYFUNCTION("""COMPUTED_VALUE"""),7.8112855)</f>
        <v>7.8112855</v>
      </c>
      <c r="D2045" s="7">
        <f>IFERROR(__xludf.DUMMYFUNCTION("""COMPUTED_VALUE"""),0.431372549019607)</f>
        <v>0.431372549</v>
      </c>
    </row>
    <row r="2046">
      <c r="A2046" s="10" t="s">
        <v>3485</v>
      </c>
      <c r="B2046" s="7" t="str">
        <f>IFERROR(__xludf.DUMMYFUNCTION("SPLIT(A2046,"" "")"),"Cc1cc(C)c(CN(C)C2CCCCC2N(C)C)nc1C")</f>
        <v>Cc1cc(C)c(CN(C)C2CCCCC2N(C)C)nc1C</v>
      </c>
      <c r="C2046" s="7">
        <f>IFERROR(__xludf.DUMMYFUNCTION("""COMPUTED_VALUE"""),7.811279)</f>
        <v>7.811279</v>
      </c>
      <c r="D2046" s="7">
        <f>IFERROR(__xludf.DUMMYFUNCTION("""COMPUTED_VALUE"""),0.444444444444444)</f>
        <v>0.4444444444</v>
      </c>
    </row>
    <row r="2047">
      <c r="A2047" s="10" t="s">
        <v>3486</v>
      </c>
      <c r="B2047" s="7" t="str">
        <f>IFERROR(__xludf.DUMMYFUNCTION("SPLIT(A2047,"" "")"),"CN(C)CCN(C)Cc1ncccc1-c1ccc2c(c1)OCCOCCOCCOCCOCCO2")</f>
        <v>CN(C)CCN(C)Cc1ncccc1-c1ccc2c(c1)OCCOCCOCCOCCOCCO2</v>
      </c>
      <c r="C2047" s="7">
        <f>IFERROR(__xludf.DUMMYFUNCTION("""COMPUTED_VALUE"""),7.8112745)</f>
        <v>7.8112745</v>
      </c>
      <c r="D2047" s="7">
        <f>IFERROR(__xludf.DUMMYFUNCTION("""COMPUTED_VALUE"""),0.343283582089552)</f>
        <v>0.3432835821</v>
      </c>
    </row>
    <row r="2048">
      <c r="A2048" s="10" t="s">
        <v>3487</v>
      </c>
      <c r="B2048" s="7" t="str">
        <f>IFERROR(__xludf.DUMMYFUNCTION("SPLIT(A2048,"" "")"),"Cc1cnc(CN2CCN(C)CCN(Cc3cncc(C)c3C)CC2)c(C)c1")</f>
        <v>Cc1cnc(CN2CCN(C)CCN(Cc3cncc(C)c3C)CC2)c(C)c1</v>
      </c>
      <c r="C2048" s="7">
        <f>IFERROR(__xludf.DUMMYFUNCTION("""COMPUTED_VALUE"""),7.811269)</f>
        <v>7.811269</v>
      </c>
      <c r="D2048" s="7">
        <f>IFERROR(__xludf.DUMMYFUNCTION("""COMPUTED_VALUE"""),0.48)</f>
        <v>0.48</v>
      </c>
    </row>
    <row r="2049">
      <c r="A2049" s="10" t="s">
        <v>3488</v>
      </c>
      <c r="B2049" s="7" t="str">
        <f>IFERROR(__xludf.DUMMYFUNCTION("SPLIT(A2049,"" "")"),"CCNCc1cccc(CN(Cc2ccccn2)C2CCCC(N(C)Cc3cccc(-c4cccc5c4OCCOCCOCCOCCOCCO5)n3)C2)n1")</f>
        <v>CCNCc1cccc(CN(Cc2ccccn2)C2CCCC(N(C)Cc3cccc(-c4cccc5c4OCCOCCOCCOCCOCCO5)n3)C2)n1</v>
      </c>
      <c r="C2049" s="7">
        <f>IFERROR(__xludf.DUMMYFUNCTION("""COMPUTED_VALUE"""),7.811262)</f>
        <v>7.811262</v>
      </c>
      <c r="D2049" s="7">
        <f>IFERROR(__xludf.DUMMYFUNCTION("""COMPUTED_VALUE"""),0.342465753424657)</f>
        <v>0.3424657534</v>
      </c>
    </row>
    <row r="2050">
      <c r="A2050" s="10" t="s">
        <v>3489</v>
      </c>
      <c r="B2050" s="7" t="str">
        <f>IFERROR(__xludf.DUMMYFUNCTION("SPLIT(A2050,"" "")"),"CC(C)CN(CCN(C)CC(C)(C)C)Cc1cccnc1")</f>
        <v>CC(C)CN(CCN(C)CC(C)(C)C)Cc1cccnc1</v>
      </c>
      <c r="C2050" s="7">
        <f>IFERROR(__xludf.DUMMYFUNCTION("""COMPUTED_VALUE"""),7.811252)</f>
        <v>7.811252</v>
      </c>
      <c r="D2050" s="7">
        <f>IFERROR(__xludf.DUMMYFUNCTION("""COMPUTED_VALUE"""),0.352941176470588)</f>
        <v>0.3529411765</v>
      </c>
    </row>
    <row r="2051">
      <c r="A2051" s="10" t="s">
        <v>3490</v>
      </c>
      <c r="B2051" s="7" t="str">
        <f>IFERROR(__xludf.DUMMYFUNCTION("SPLIT(A2051,"" "")"),"CCN(Cc1cccc(CN(C)C2CCC(N(C)Cc3cccc(-c4ccc5c(c4)OCCOCCOCCOCCOCCO5)n3)CC2)n1)Cc1cccc(-c2ccc3c(c2)OCCOCCOCCOCCOCCO3)n1")</f>
        <v>CCN(Cc1cccc(CN(C)C2CCC(N(C)Cc3cccc(-c4ccc5c(c4)OCCOCCOCCOCCOCCO5)n3)CC2)n1)Cc1cccc(-c2ccc3c(c2)OCCOCCOCCOCCOCCO3)n1</v>
      </c>
      <c r="C2051" s="7">
        <f>IFERROR(__xludf.DUMMYFUNCTION("""COMPUTED_VALUE"""),7.8112493)</f>
        <v>7.8112493</v>
      </c>
      <c r="D2051" s="7">
        <f>IFERROR(__xludf.DUMMYFUNCTION("""COMPUTED_VALUE"""),0.352112676056338)</f>
        <v>0.3521126761</v>
      </c>
    </row>
    <row r="2052">
      <c r="A2052" s="10" t="s">
        <v>3491</v>
      </c>
      <c r="B2052" s="7" t="str">
        <f>IFERROR(__xludf.DUMMYFUNCTION("SPLIT(A2052,"" "")"),"CC(c1ccccn1)(c1ccccn1)c1cccnc1C1COC(Nc2ccccc2)COCCOCCOCCOCCO1")</f>
        <v>CC(c1ccccn1)(c1ccccn1)c1cccnc1C1COC(Nc2ccccc2)COCCOCCOCCOCCO1</v>
      </c>
      <c r="C2052" s="7">
        <f>IFERROR(__xludf.DUMMYFUNCTION("""COMPUTED_VALUE"""),7.8112235)</f>
        <v>7.8112235</v>
      </c>
      <c r="D2052" s="7">
        <f>IFERROR(__xludf.DUMMYFUNCTION("""COMPUTED_VALUE"""),0.296875)</f>
        <v>0.296875</v>
      </c>
    </row>
    <row r="2053">
      <c r="A2053" s="10" t="s">
        <v>3492</v>
      </c>
      <c r="B2053" s="7" t="str">
        <f>IFERROR(__xludf.DUMMYFUNCTION("SPLIT(A2053,"" "")"),"Cc1cc(CN2CCN(C)CCN(Cc3cc(C)c(C)c(C)n3)CC2)ccn1")</f>
        <v>Cc1cc(CN2CCN(C)CCN(Cc3cc(C)c(C)c(C)n3)CC2)ccn1</v>
      </c>
      <c r="C2053" s="7">
        <f>IFERROR(__xludf.DUMMYFUNCTION("""COMPUTED_VALUE"""),7.81122)</f>
        <v>7.81122</v>
      </c>
      <c r="D2053" s="7">
        <f>IFERROR(__xludf.DUMMYFUNCTION("""COMPUTED_VALUE"""),0.5)</f>
        <v>0.5</v>
      </c>
    </row>
    <row r="2054">
      <c r="A2054" s="10" t="s">
        <v>3493</v>
      </c>
      <c r="B2054" s="7" t="str">
        <f>IFERROR(__xludf.DUMMYFUNCTION("SPLIT(A2054,"" "")"),"CN(C)CCN1CCN(C)CCN(Cc2ccc3ncccc3c2)CC1")</f>
        <v>CN(C)CCN1CCN(C)CCN(Cc2ccc3ncccc3c2)CC1</v>
      </c>
      <c r="C2054" s="7">
        <f>IFERROR(__xludf.DUMMYFUNCTION("""COMPUTED_VALUE"""),7.8112154)</f>
        <v>7.8112154</v>
      </c>
      <c r="D2054" s="7">
        <f>IFERROR(__xludf.DUMMYFUNCTION("""COMPUTED_VALUE"""),0.452830188679245)</f>
        <v>0.4528301887</v>
      </c>
    </row>
    <row r="2055">
      <c r="A2055" s="10" t="s">
        <v>3494</v>
      </c>
      <c r="B2055" s="7" t="str">
        <f>IFERROR(__xludf.DUMMYFUNCTION("SPLIT(A2055,"" "")"),"Cc1cc(CN2CCN(C)CCN(Cc3ncccc3C)CC2)c(C)nc1C")</f>
        <v>Cc1cc(CN2CCN(C)CCN(Cc3ncccc3C)CC2)c(C)nc1C</v>
      </c>
      <c r="C2055" s="7">
        <f>IFERROR(__xludf.DUMMYFUNCTION("""COMPUTED_VALUE"""),7.811214)</f>
        <v>7.811214</v>
      </c>
      <c r="D2055" s="7">
        <f>IFERROR(__xludf.DUMMYFUNCTION("""COMPUTED_VALUE"""),0.4375)</f>
        <v>0.4375</v>
      </c>
    </row>
    <row r="2056">
      <c r="A2056" s="10" t="s">
        <v>3495</v>
      </c>
      <c r="B2056" s="7" t="str">
        <f>IFERROR(__xludf.DUMMYFUNCTION("SPLIT(A2056,"" "")"),"Cc1ccc(CN(Cc2ccccn2)C2CCCCC2N(C)Cc2cccc(-c3ccc4c(c3)OCCOCCOCCOCCOCCO4)n2)nc1")</f>
        <v>Cc1ccc(CN(Cc2ccccn2)C2CCCCC2N(C)Cc2cccc(-c3ccc4c(c3)OCCOCCOCCOCCOCCO4)n2)nc1</v>
      </c>
      <c r="C2056" s="7">
        <f>IFERROR(__xludf.DUMMYFUNCTION("""COMPUTED_VALUE"""),7.811209)</f>
        <v>7.811209</v>
      </c>
      <c r="D2056" s="7">
        <f>IFERROR(__xludf.DUMMYFUNCTION("""COMPUTED_VALUE"""),0.469696969696969)</f>
        <v>0.4696969697</v>
      </c>
    </row>
    <row r="2057">
      <c r="A2057" s="10" t="s">
        <v>3496</v>
      </c>
      <c r="B2057" s="7" t="str">
        <f>IFERROR(__xludf.DUMMYFUNCTION("SPLIT(A2057,"" "")"),"Cc1cccnc1CN(C)CCCN(C)C(C)(C)C")</f>
        <v>Cc1cccnc1CN(C)CCCN(C)C(C)(C)C</v>
      </c>
      <c r="C2057" s="7">
        <f>IFERROR(__xludf.DUMMYFUNCTION("""COMPUTED_VALUE"""),7.8112073)</f>
        <v>7.8112073</v>
      </c>
      <c r="D2057" s="7">
        <f>IFERROR(__xludf.DUMMYFUNCTION("""COMPUTED_VALUE"""),0.361702127659574)</f>
        <v>0.3617021277</v>
      </c>
    </row>
    <row r="2058">
      <c r="A2058" s="10" t="s">
        <v>3497</v>
      </c>
      <c r="B2058" s="7" t="str">
        <f>IFERROR(__xludf.DUMMYFUNCTION("SPLIT(A2058,"" "")"),"Cc1cnc(CN(C)C2CCCC(N(CCN)Cc3ccon3)C2)c(C)c1")</f>
        <v>Cc1cnc(CN(C)C2CCCC(N(CCN)Cc3ccon3)C2)c(C)c1</v>
      </c>
      <c r="C2058" s="7">
        <f>IFERROR(__xludf.DUMMYFUNCTION("""COMPUTED_VALUE"""),7.811203)</f>
        <v>7.811203</v>
      </c>
      <c r="D2058" s="7">
        <f>IFERROR(__xludf.DUMMYFUNCTION("""COMPUTED_VALUE"""),0.344827586206896)</f>
        <v>0.3448275862</v>
      </c>
    </row>
    <row r="2059">
      <c r="A2059" s="10" t="s">
        <v>3498</v>
      </c>
      <c r="B2059" s="7" t="str">
        <f>IFERROR(__xludf.DUMMYFUNCTION("SPLIT(A2059,"" "")"),"Cc1cccnc1CN(C)c1c(C)ccc2c1OCCOCCOCCOCCOCCO2")</f>
        <v>Cc1cccnc1CN(C)c1c(C)ccc2c1OCCOCCOCCOCCOCCO2</v>
      </c>
      <c r="C2059" s="7">
        <f>IFERROR(__xludf.DUMMYFUNCTION("""COMPUTED_VALUE"""),7.8112)</f>
        <v>7.8112</v>
      </c>
      <c r="D2059" s="7">
        <f>IFERROR(__xludf.DUMMYFUNCTION("""COMPUTED_VALUE"""),0.260869565217391)</f>
        <v>0.2608695652</v>
      </c>
    </row>
    <row r="2060">
      <c r="A2060" s="10" t="s">
        <v>3499</v>
      </c>
      <c r="B2060" s="7" t="str">
        <f>IFERROR(__xludf.DUMMYFUNCTION("SPLIT(A2060,"" "")"),"CN1CCN(CC(C)(C)C)CCN(C(C)(c2ccccn2)c2ccccn2)CC1")</f>
        <v>CN1CCN(CC(C)(C)C)CCN(C(C)(c2ccccn2)c2ccccn2)CC1</v>
      </c>
      <c r="C2060" s="7">
        <f>IFERROR(__xludf.DUMMYFUNCTION("""COMPUTED_VALUE"""),7.8111734)</f>
        <v>7.8111734</v>
      </c>
      <c r="D2060" s="7">
        <f>IFERROR(__xludf.DUMMYFUNCTION("""COMPUTED_VALUE"""),0.477272727272727)</f>
        <v>0.4772727273</v>
      </c>
    </row>
    <row r="2061">
      <c r="A2061" s="10" t="s">
        <v>3500</v>
      </c>
      <c r="B2061" s="7" t="str">
        <f>IFERROR(__xludf.DUMMYFUNCTION("SPLIT(A2061,"" "")"),"CC1=CC(c2cccc(CN(C)C3CCC(N(Cc4ccccn4)Cc4ncccc4-c4ccc5c(c4)OCCOCCOCCOCCOCCO5)CC3)n2)CCC1C")</f>
        <v>CC1=CC(c2cccc(CN(C)C3CCC(N(Cc4ccccn4)Cc4ncccc4-c4ccc5c(c4)OCCOCCOCCOCCOCCO5)CC3)n2)CCC1C</v>
      </c>
      <c r="C2061" s="7">
        <f>IFERROR(__xludf.DUMMYFUNCTION("""COMPUTED_VALUE"""),7.811158)</f>
        <v>7.811158</v>
      </c>
      <c r="D2061" s="7">
        <f>IFERROR(__xludf.DUMMYFUNCTION("""COMPUTED_VALUE"""),0.292682926829268)</f>
        <v>0.2926829268</v>
      </c>
    </row>
    <row r="2062">
      <c r="A2062" s="10" t="s">
        <v>3501</v>
      </c>
      <c r="B2062" s="7" t="str">
        <f>IFERROR(__xludf.DUMMYFUNCTION("SPLIT(A2062,"" "")"),"Cc1cccc(CN(Cc2ccccn2)C2CCCCC2N(C)Cc2cccc(-c3cccc4c3OCCOCCOCCOCCOCCO4)n2)n1")</f>
        <v>Cc1cccc(CN(Cc2ccccn2)C2CCCCC2N(C)Cc2cccc(-c3cccc4c3OCCOCCOCCOCCOCCO4)n2)n1</v>
      </c>
      <c r="C2062" s="7">
        <f>IFERROR(__xludf.DUMMYFUNCTION("""COMPUTED_VALUE"""),7.8111486)</f>
        <v>7.8111486</v>
      </c>
      <c r="D2062" s="7">
        <f>IFERROR(__xludf.DUMMYFUNCTION("""COMPUTED_VALUE"""),0.492063492063492)</f>
        <v>0.4920634921</v>
      </c>
    </row>
    <row r="2063">
      <c r="A2063" s="10" t="s">
        <v>3502</v>
      </c>
      <c r="B2063" s="7" t="str">
        <f>IFERROR(__xludf.DUMMYFUNCTION("SPLIT(A2063,"" "")"),"CN1CCN(C)CCN(C(c2ccccn2)c2ccccn2)CC1")</f>
        <v>CN1CCN(C)CCN(C(c2ccccn2)c2ccccn2)CC1</v>
      </c>
      <c r="C2063" s="7">
        <f>IFERROR(__xludf.DUMMYFUNCTION("""COMPUTED_VALUE"""),7.811146)</f>
        <v>7.811146</v>
      </c>
      <c r="D2063" s="7">
        <f>IFERROR(__xludf.DUMMYFUNCTION("""COMPUTED_VALUE"""),0.473684210526315)</f>
        <v>0.4736842105</v>
      </c>
    </row>
    <row r="2064">
      <c r="A2064" s="10" t="s">
        <v>3503</v>
      </c>
      <c r="B2064" s="7" t="str">
        <f>IFERROR(__xludf.DUMMYFUNCTION("SPLIT(A2064,"" "")"),"CC1C=CC(C)C(C)(N(Cc2ccccn2)Cc2ccccn2)C1C")</f>
        <v>CC1C=CC(C)C(C)(N(Cc2ccccn2)Cc2ccccn2)C1C</v>
      </c>
      <c r="C2064" s="7">
        <f>IFERROR(__xludf.DUMMYFUNCTION("""COMPUTED_VALUE"""),7.8111377)</f>
        <v>7.8111377</v>
      </c>
      <c r="D2064" s="7">
        <f>IFERROR(__xludf.DUMMYFUNCTION("""COMPUTED_VALUE"""),0.435897435897435)</f>
        <v>0.4358974359</v>
      </c>
    </row>
    <row r="2065">
      <c r="A2065" s="10" t="s">
        <v>3504</v>
      </c>
      <c r="B2065" s="7" t="str">
        <f>IFERROR(__xludf.DUMMYFUNCTION("SPLIT(A2065,"" "")"),"CNC1CCCCC1N(Cc1cc(C)c(C)cn1)Cc1cccc(F)n1")</f>
        <v>CNC1CCCCC1N(Cc1cc(C)c(C)cn1)Cc1cccc(F)n1</v>
      </c>
      <c r="C2065" s="7">
        <f>IFERROR(__xludf.DUMMYFUNCTION("""COMPUTED_VALUE"""),7.8111305)</f>
        <v>7.8111305</v>
      </c>
      <c r="D2065" s="7">
        <f>IFERROR(__xludf.DUMMYFUNCTION("""COMPUTED_VALUE"""),0.379310344827586)</f>
        <v>0.3793103448</v>
      </c>
    </row>
    <row r="2066">
      <c r="A2066" s="10" t="s">
        <v>3505</v>
      </c>
      <c r="B2066" s="7" t="str">
        <f>IFERROR(__xludf.DUMMYFUNCTION("SPLIT(A2066,"" "")"),"CN(Cc1cccc(-c2ccc3c(c2)OCCOCCOCCOCCOCCO3)n1)C1=CNC(CN(C)C2CCCCC2N(C)Cc2ccccn2)=CC1")</f>
        <v>CN(Cc1cccc(-c2ccc3c(c2)OCCOCCOCCOCCOCCO3)n1)C1=CNC(CN(C)C2CCCCC2N(C)Cc2ccccn2)=CC1</v>
      </c>
      <c r="C2066" s="7">
        <f>IFERROR(__xludf.DUMMYFUNCTION("""COMPUTED_VALUE"""),7.811123)</f>
        <v>7.811123</v>
      </c>
      <c r="D2066" s="7">
        <f>IFERROR(__xludf.DUMMYFUNCTION("""COMPUTED_VALUE"""),0.428571428571428)</f>
        <v>0.4285714286</v>
      </c>
    </row>
    <row r="2067">
      <c r="A2067" s="10" t="s">
        <v>3506</v>
      </c>
      <c r="B2067" s="7" t="str">
        <f>IFERROR(__xludf.DUMMYFUNCTION("SPLIT(A2067,"" "")"),"CCCNCC1=C(C)CCC(C)C1c1ccccn1")</f>
        <v>CCCNCC1=C(C)CCC(C)C1c1ccccn1</v>
      </c>
      <c r="C2067" s="7">
        <f>IFERROR(__xludf.DUMMYFUNCTION("""COMPUTED_VALUE"""),7.8111143)</f>
        <v>7.8111143</v>
      </c>
      <c r="D2067" s="7">
        <f>IFERROR(__xludf.DUMMYFUNCTION("""COMPUTED_VALUE"""),0.333333333333333)</f>
        <v>0.3333333333</v>
      </c>
    </row>
    <row r="2068">
      <c r="A2068" s="10" t="s">
        <v>3507</v>
      </c>
      <c r="B2068" s="7" t="str">
        <f>IFERROR(__xludf.DUMMYFUNCTION("SPLIT(A2068,"" "")"),"CC1=CC(C)C(C)C(C)(C)C1N(C)Cc1ccccn1")</f>
        <v>CC1=CC(C)C(C)C(C)(C)C1N(C)Cc1ccccn1</v>
      </c>
      <c r="C2068" s="7">
        <f>IFERROR(__xludf.DUMMYFUNCTION("""COMPUTED_VALUE"""),7.81111)</f>
        <v>7.81111</v>
      </c>
      <c r="D2068" s="7">
        <f>IFERROR(__xludf.DUMMYFUNCTION("""COMPUTED_VALUE"""),0.468085106382978)</f>
        <v>0.4680851064</v>
      </c>
    </row>
    <row r="2069">
      <c r="A2069" s="10" t="s">
        <v>3508</v>
      </c>
      <c r="B2069" s="7" t="str">
        <f>IFERROR(__xludf.DUMMYFUNCTION("SPLIT(A2069,"" "")"),"CC1=CC(C)C(C)C(N(C)Cc2ccccn2)C1(C)C")</f>
        <v>CC1=CC(C)C(C)C(N(C)Cc2ccccn2)C1(C)C</v>
      </c>
      <c r="C2069" s="7">
        <f>IFERROR(__xludf.DUMMYFUNCTION("""COMPUTED_VALUE"""),7.8111053)</f>
        <v>7.8111053</v>
      </c>
      <c r="D2069" s="7">
        <f>IFERROR(__xludf.DUMMYFUNCTION("""COMPUTED_VALUE"""),0.468085106382978)</f>
        <v>0.4680851064</v>
      </c>
    </row>
    <row r="2070">
      <c r="A2070" s="10" t="s">
        <v>3509</v>
      </c>
      <c r="B2070" s="7" t="str">
        <f>IFERROR(__xludf.DUMMYFUNCTION("SPLIT(A2070,"" "")"),"Cc1cccc(CN(C)C2CCCC(N(C)C3=CCC=CN3)C2)n1")</f>
        <v>Cc1cccc(CN(C)C2CCCC(N(C)C3=CCC=CN3)C2)n1</v>
      </c>
      <c r="C2070" s="7">
        <f>IFERROR(__xludf.DUMMYFUNCTION("""COMPUTED_VALUE"""),7.8111033)</f>
        <v>7.8111033</v>
      </c>
      <c r="D2070" s="7">
        <f>IFERROR(__xludf.DUMMYFUNCTION("""COMPUTED_VALUE"""),0.490566037735849)</f>
        <v>0.4905660377</v>
      </c>
    </row>
    <row r="2071">
      <c r="A2071" s="10" t="s">
        <v>3510</v>
      </c>
      <c r="B2071" s="7" t="str">
        <f>IFERROR(__xludf.DUMMYFUNCTION("SPLIT(A2071,"" "")"),"CNCc1ncc(CN(C)C2CCCC(N(C)Cc3ccccn3)C2)cc1C")</f>
        <v>CNCc1ncc(CN(C)C2CCCC(N(C)Cc3ccccn3)C2)cc1C</v>
      </c>
      <c r="C2071" s="7">
        <f>IFERROR(__xludf.DUMMYFUNCTION("""COMPUTED_VALUE"""),7.811099)</f>
        <v>7.811099</v>
      </c>
      <c r="D2071" s="7">
        <f>IFERROR(__xludf.DUMMYFUNCTION("""COMPUTED_VALUE"""),0.454545454545454)</f>
        <v>0.4545454545</v>
      </c>
    </row>
    <row r="2072">
      <c r="A2072" s="10" t="s">
        <v>3511</v>
      </c>
      <c r="B2072" s="7" t="str">
        <f>IFERROR(__xludf.DUMMYFUNCTION("SPLIT(A2072,"" "")"),"CN(Cc1cc(-c2ccc3c(c2)OCCOCCOCCOCCOCCO3)ccn1)C1CCC(N(C)Cc2cccc(C3CC(C)(C)C3)n2)CC1")</f>
        <v>CN(Cc1cc(-c2ccc3c(c2)OCCOCCOCCOCCOCCO3)ccn1)C1CCC(N(C)Cc2cccc(C3CC(C)(C)C3)n2)CC1</v>
      </c>
      <c r="C2072" s="7">
        <f>IFERROR(__xludf.DUMMYFUNCTION("""COMPUTED_VALUE"""),7.81109)</f>
        <v>7.81109</v>
      </c>
      <c r="D2072" s="7">
        <f>IFERROR(__xludf.DUMMYFUNCTION("""COMPUTED_VALUE"""),0.368421052631578)</f>
        <v>0.3684210526</v>
      </c>
    </row>
    <row r="2073">
      <c r="A2073" s="10" t="s">
        <v>3512</v>
      </c>
      <c r="B2073" s="7" t="str">
        <f>IFERROR(__xludf.DUMMYFUNCTION("SPLIT(A2073,"" "")"),"CC(C)N(Cc1cc(C(C)(C)C)ccn1)C1CCC(N(C)Cc2cc(-c3ccc4c(c3)OCCOCCOCCOCCOCCO4)ccn2)CC1")</f>
        <v>CC(C)N(Cc1cc(C(C)(C)C)ccn1)C1CCC(N(C)Cc2cc(-c3ccc4c(c3)OCCOCCOCCOCCOCCO4)ccn2)CC1</v>
      </c>
      <c r="C2073" s="7">
        <f>IFERROR(__xludf.DUMMYFUNCTION("""COMPUTED_VALUE"""),7.8110886)</f>
        <v>7.8110886</v>
      </c>
      <c r="D2073" s="7">
        <f>IFERROR(__xludf.DUMMYFUNCTION("""COMPUTED_VALUE"""),0.364864864864864)</f>
        <v>0.3648648649</v>
      </c>
    </row>
    <row r="2074">
      <c r="A2074" s="10" t="s">
        <v>3513</v>
      </c>
      <c r="B2074" s="7" t="str">
        <f>IFERROR(__xludf.DUMMYFUNCTION("SPLIT(A2074,"" "")"),"Cc1cc(CN2CCN(C)CCN(C)CC2)cnc1C1CC(C)(C)C1")</f>
        <v>Cc1cc(CN2CCN(C)CCN(C)CC2)cnc1C1CC(C)(C)C1</v>
      </c>
      <c r="C2074" s="7">
        <f>IFERROR(__xludf.DUMMYFUNCTION("""COMPUTED_VALUE"""),7.811077)</f>
        <v>7.811077</v>
      </c>
      <c r="D2074" s="7">
        <f>IFERROR(__xludf.DUMMYFUNCTION("""COMPUTED_VALUE"""),0.403846153846153)</f>
        <v>0.4038461538</v>
      </c>
    </row>
    <row r="2075">
      <c r="A2075" s="10" t="s">
        <v>3514</v>
      </c>
      <c r="B2075" s="7" t="str">
        <f>IFERROR(__xludf.DUMMYFUNCTION("SPLIT(A2075,"" "")"),"Cc1cccnc1CN(C)C1CCC(N(C)Cc2cccnc2CNC(C)C)CC1")</f>
        <v>Cc1cccnc1CN(C)C1CCC(N(C)Cc2cccnc2CNC(C)C)CC1</v>
      </c>
      <c r="C2075" s="7">
        <f>IFERROR(__xludf.DUMMYFUNCTION("""COMPUTED_VALUE"""),7.811065)</f>
        <v>7.811065</v>
      </c>
      <c r="D2075" s="7">
        <f>IFERROR(__xludf.DUMMYFUNCTION("""COMPUTED_VALUE"""),0.321428571428571)</f>
        <v>0.3214285714</v>
      </c>
    </row>
    <row r="2076">
      <c r="A2076" s="10" t="s">
        <v>3515</v>
      </c>
      <c r="B2076" s="7" t="str">
        <f>IFERROR(__xludf.DUMMYFUNCTION("SPLIT(A2076,"" "")"),"CC1=CC(C)C(CN(C)CC2=CC(N(C)Cc3ccccn3)C=CN2)CC1")</f>
        <v>CC1=CC(C)C(CN(C)CC2=CC(N(C)Cc3ccccn3)C=CN2)CC1</v>
      </c>
      <c r="C2076" s="7">
        <f>IFERROR(__xludf.DUMMYFUNCTION("""COMPUTED_VALUE"""),7.811059)</f>
        <v>7.811059</v>
      </c>
      <c r="D2076" s="7">
        <f>IFERROR(__xludf.DUMMYFUNCTION("""COMPUTED_VALUE"""),0.393442622950819)</f>
        <v>0.393442623</v>
      </c>
    </row>
    <row r="2077">
      <c r="A2077" s="10" t="s">
        <v>3516</v>
      </c>
      <c r="B2077" s="7" t="str">
        <f>IFERROR(__xludf.DUMMYFUNCTION("SPLIT(A2077,"" "")"),"Fc1ccccc1N(Cc1ccccn1)C1CCCCC1N(Cc1ccccn1)c1ccc2c(c1)OCCOCCOCCOCCOCCO2")</f>
        <v>Fc1ccccc1N(Cc1ccccn1)C1CCCCC1N(Cc1ccccn1)c1ccc2c(c1)OCCOCCOCCOCCOCCO2</v>
      </c>
      <c r="C2077" s="7">
        <f>IFERROR(__xludf.DUMMYFUNCTION("""COMPUTED_VALUE"""),7.8110533)</f>
        <v>7.8110533</v>
      </c>
      <c r="D2077" s="7">
        <f>IFERROR(__xludf.DUMMYFUNCTION("""COMPUTED_VALUE"""),0.4)</f>
        <v>0.4</v>
      </c>
    </row>
    <row r="2078">
      <c r="A2078" s="10" t="s">
        <v>3517</v>
      </c>
      <c r="B2078" s="7" t="str">
        <f>IFERROR(__xludf.DUMMYFUNCTION("SPLIT(A2078,"" "")"),"c1ccc(CN(Cc2cccnn2)c2cccc3c2OCCOCCOCCOCCOCCO3)nc1")</f>
        <v>c1ccc(CN(Cc2cccnn2)c2cccc3c2OCCOCCOCCOCCOCCO3)nc1</v>
      </c>
      <c r="C2078" s="7">
        <f>IFERROR(__xludf.DUMMYFUNCTION("""COMPUTED_VALUE"""),7.81104)</f>
        <v>7.81104</v>
      </c>
      <c r="D2078" s="7">
        <f>IFERROR(__xludf.DUMMYFUNCTION("""COMPUTED_VALUE"""),0.489795918367346)</f>
        <v>0.4897959184</v>
      </c>
    </row>
    <row r="2079">
      <c r="A2079" s="10" t="s">
        <v>3518</v>
      </c>
      <c r="B2079" s="7" t="str">
        <f>IFERROR(__xludf.DUMMYFUNCTION("SPLIT(A2079,"" "")"),"CC1=CCC(C)(c2ccccn2)C(C)C1C")</f>
        <v>CC1=CCC(C)(c2ccccn2)C(C)C1C</v>
      </c>
      <c r="C2079" s="7">
        <f>IFERROR(__xludf.DUMMYFUNCTION("""COMPUTED_VALUE"""),7.8110337)</f>
        <v>7.8110337</v>
      </c>
      <c r="D2079" s="7">
        <f>IFERROR(__xludf.DUMMYFUNCTION("""COMPUTED_VALUE"""),0.26)</f>
        <v>0.26</v>
      </c>
    </row>
    <row r="2080">
      <c r="A2080" s="10" t="s">
        <v>3519</v>
      </c>
      <c r="B2080" s="7" t="str">
        <f>IFERROR(__xludf.DUMMYFUNCTION("SPLIT(A2080,"" "")"),"Cc1cccnc1CN(O)C1=CNC(CN2CCN(C)CCN(C)CC2)=CC1")</f>
        <v>Cc1cccnc1CN(O)C1=CNC(CN2CCN(C)CCN(C)CC2)=CC1</v>
      </c>
      <c r="C2080" s="7">
        <f>IFERROR(__xludf.DUMMYFUNCTION("""COMPUTED_VALUE"""),7.8110313)</f>
        <v>7.8110313</v>
      </c>
      <c r="D2080" s="7">
        <f>IFERROR(__xludf.DUMMYFUNCTION("""COMPUTED_VALUE"""),0.368421052631578)</f>
        <v>0.3684210526</v>
      </c>
    </row>
    <row r="2081">
      <c r="A2081" s="10" t="s">
        <v>3520</v>
      </c>
      <c r="B2081" s="7" t="str">
        <f>IFERROR(__xludf.DUMMYFUNCTION("SPLIT(A2081,"" "")"),"Cc1cc(-c2ccc(CN(Cc3ccccn3)C3CCCCC3N(C)Cc3cccc(-c4ccc5c(c4)OCCOCCOCCOCCOCCO5)n3)cn2)cc2c1OCCOCCOCCOCCOCCO2")</f>
        <v>Cc1cc(-c2ccc(CN(Cc3ccccn3)C3CCCCC3N(C)Cc3cccc(-c4ccc5c(c4)OCCOCCOCCOCCOCCO5)n3)cn2)cc2c1OCCOCCOCCOCCOCCO2</v>
      </c>
      <c r="C2081" s="7">
        <f>IFERROR(__xludf.DUMMYFUNCTION("""COMPUTED_VALUE"""),7.8110294)</f>
        <v>7.8110294</v>
      </c>
      <c r="D2081" s="7">
        <f>IFERROR(__xludf.DUMMYFUNCTION("""COMPUTED_VALUE"""),0.394736842105263)</f>
        <v>0.3947368421</v>
      </c>
    </row>
    <row r="2082">
      <c r="A2082" s="10" t="s">
        <v>3521</v>
      </c>
      <c r="B2082" s="7" t="str">
        <f>IFERROR(__xludf.DUMMYFUNCTION("SPLIT(A2082,"" "")"),"CN(Cc1cccc(-c2cccc3c2OCCOCCOCCOCCOCCO3)n1)C1CCC(N(Cc2ccccn2)Cc2ccccn2)CC1")</f>
        <v>CN(Cc1cccc(-c2cccc3c2OCCOCCOCCOCCOCCO3)n1)C1CCC(N(Cc2ccccn2)Cc2ccccn2)CC1</v>
      </c>
      <c r="C2082" s="7">
        <f>IFERROR(__xludf.DUMMYFUNCTION("""COMPUTED_VALUE"""),7.811029)</f>
        <v>7.811029</v>
      </c>
      <c r="D2082" s="7">
        <f>IFERROR(__xludf.DUMMYFUNCTION("""COMPUTED_VALUE"""),0.403225806451612)</f>
        <v>0.4032258065</v>
      </c>
    </row>
    <row r="2083">
      <c r="A2083" s="10" t="s">
        <v>3522</v>
      </c>
      <c r="B2083" s="7" t="str">
        <f>IFERROR(__xludf.DUMMYFUNCTION("SPLIT(A2083,"" "")"),"CC1(C)CC(c2cccc(CN(Cc3ccccn3)C3CCCCC3)n2)C1")</f>
        <v>CC1(C)CC(c2cccc(CN(Cc3ccccn3)C3CCCCC3)n2)C1</v>
      </c>
      <c r="C2083" s="7">
        <f>IFERROR(__xludf.DUMMYFUNCTION("""COMPUTED_VALUE"""),7.8110256)</f>
        <v>7.8110256</v>
      </c>
      <c r="D2083" s="7">
        <f>IFERROR(__xludf.DUMMYFUNCTION("""COMPUTED_VALUE"""),0.442307692307692)</f>
        <v>0.4423076923</v>
      </c>
    </row>
    <row r="2084">
      <c r="A2084" s="10" t="s">
        <v>3523</v>
      </c>
      <c r="B2084" s="7" t="str">
        <f>IFERROR(__xludf.DUMMYFUNCTION("SPLIT(A2084,"" "")"),"CC(C)C(C)(c1cccnc1)N(Cc1ccccn1)C1CCCC(N(C)Cc2cccc(-c3ccc4c(c3)OCCOCCOCCOCCOCCO4)n2)C1")</f>
        <v>CC(C)C(C)(c1cccnc1)N(Cc1ccccn1)C1CCCC(N(C)Cc2cccc(-c3ccc4c(c3)OCCOCCOCCOCCOCCO4)n2)C1</v>
      </c>
      <c r="C2084" s="7">
        <f>IFERROR(__xludf.DUMMYFUNCTION("""COMPUTED_VALUE"""),7.811012)</f>
        <v>7.811012</v>
      </c>
      <c r="D2084" s="7">
        <f>IFERROR(__xludf.DUMMYFUNCTION("""COMPUTED_VALUE"""),0.318181818181818)</f>
        <v>0.3181818182</v>
      </c>
    </row>
    <row r="2085">
      <c r="A2085" s="10" t="s">
        <v>3524</v>
      </c>
      <c r="B2085" s="7" t="str">
        <f>IFERROR(__xludf.DUMMYFUNCTION("SPLIT(A2085,"" "")"),"CCNCc1cc(CN(Cc2ccccn2)C2CCC(N(C)Cc3ncccc3-c3ccc4c(c3)OCCOCCOCCOCCOCCO4)CC2)ccn1")</f>
        <v>CCNCc1cc(CN(Cc2ccccn2)C2CCC(N(C)Cc3ncccc3-c3ccc4c(c3)OCCOCCOCCOCCOCCO4)CC2)ccn1</v>
      </c>
      <c r="C2085" s="7">
        <f>IFERROR(__xludf.DUMMYFUNCTION("""COMPUTED_VALUE"""),7.8110037)</f>
        <v>7.8110037</v>
      </c>
      <c r="D2085" s="7">
        <f>IFERROR(__xludf.DUMMYFUNCTION("""COMPUTED_VALUE"""),0.298701298701298)</f>
        <v>0.2987012987</v>
      </c>
    </row>
    <row r="2086">
      <c r="A2086" s="10" t="s">
        <v>3525</v>
      </c>
      <c r="B2086" s="7" t="str">
        <f>IFERROR(__xludf.DUMMYFUNCTION("SPLIT(A2086,"" "")"),"CC(C)N(CC1=C(N(C)Cc2ccccn2)CC=CN1)c1ccc2c(c1)OCCOCCOCCOCCOCCO2")</f>
        <v>CC(C)N(CC1=C(N(C)Cc2ccccn2)CC=CN1)c1ccc2c(c1)OCCOCCOCCOCCOCCO2</v>
      </c>
      <c r="C2086" s="7">
        <f>IFERROR(__xludf.DUMMYFUNCTION("""COMPUTED_VALUE"""),7.8109956)</f>
        <v>7.8109956</v>
      </c>
      <c r="D2086" s="7">
        <f>IFERROR(__xludf.DUMMYFUNCTION("""COMPUTED_VALUE"""),0.333333333333333)</f>
        <v>0.3333333333</v>
      </c>
    </row>
    <row r="2087">
      <c r="A2087" s="10" t="s">
        <v>3526</v>
      </c>
      <c r="B2087" s="7" t="str">
        <f>IFERROR(__xludf.DUMMYFUNCTION("SPLIT(A2087,"" "")"),"CCNCc1cccc(CN(Cc2ccccn2)C2CCC(N(C)Cc3ncccc3-c3ccc4c(c3)OCCOCCOCCOCCOCCO4)CC2)n1")</f>
        <v>CCNCc1cccc(CN(Cc2ccccn2)C2CCC(N(C)Cc3ncccc3-c3ccc4c(c3)OCCOCCOCCOCCOCCO4)CC2)n1</v>
      </c>
      <c r="C2087" s="7">
        <f>IFERROR(__xludf.DUMMYFUNCTION("""COMPUTED_VALUE"""),7.8109903)</f>
        <v>7.8109903</v>
      </c>
      <c r="D2087" s="7">
        <f>IFERROR(__xludf.DUMMYFUNCTION("""COMPUTED_VALUE"""),0.302631578947368)</f>
        <v>0.3026315789</v>
      </c>
    </row>
    <row r="2088">
      <c r="A2088" s="10" t="s">
        <v>3527</v>
      </c>
      <c r="B2088" s="7" t="str">
        <f>IFERROR(__xludf.DUMMYFUNCTION("SPLIT(A2088,"" "")"),"CN(CN(Cc1ccccn1)Cc1cc(N)ccn1)c1cccc2c1OCCOCCOCCOCCOCCO2")</f>
        <v>CN(CN(Cc1ccccn1)Cc1cc(N)ccn1)c1cccc2c1OCCOCCOCCOCCOCCO2</v>
      </c>
      <c r="C2088" s="7">
        <f>IFERROR(__xludf.DUMMYFUNCTION("""COMPUTED_VALUE"""),7.810988)</f>
        <v>7.810988</v>
      </c>
      <c r="D2088" s="7">
        <f>IFERROR(__xludf.DUMMYFUNCTION("""COMPUTED_VALUE"""),0.360655737704918)</f>
        <v>0.3606557377</v>
      </c>
    </row>
    <row r="2089">
      <c r="A2089" s="10" t="s">
        <v>3528</v>
      </c>
      <c r="B2089" s="7" t="str">
        <f>IFERROR(__xludf.DUMMYFUNCTION("SPLIT(A2089,"" "")"),"CC(C)N(CC1=CCC(N(C)Cc2ccccn2)=CN1)c1cccc2c1OCCOCCOCCOCCOCCO2")</f>
        <v>CC(C)N(CC1=CCC(N(C)Cc2ccccn2)=CN1)c1cccc2c1OCCOCCOCCOCCOCCO2</v>
      </c>
      <c r="C2089" s="7">
        <f>IFERROR(__xludf.DUMMYFUNCTION("""COMPUTED_VALUE"""),7.8109584)</f>
        <v>7.8109584</v>
      </c>
      <c r="D2089" s="7">
        <f>IFERROR(__xludf.DUMMYFUNCTION("""COMPUTED_VALUE"""),0.328358208955223)</f>
        <v>0.328358209</v>
      </c>
    </row>
    <row r="2090">
      <c r="A2090" s="10" t="s">
        <v>3529</v>
      </c>
      <c r="B2090" s="7" t="str">
        <f>IFERROR(__xludf.DUMMYFUNCTION("SPLIT(A2090,"" "")"),"CC1C=CC(C)C(C)(c2cc(CN3CCN(C)CCN(Cc4ccc(C(C)(C)C)cn4)CC3)ccn2)C1")</f>
        <v>CC1C=CC(C)C(C)(c2cc(CN3CCN(C)CCN(Cc4ccc(C(C)(C)C)cn4)CC3)ccn2)C1</v>
      </c>
      <c r="C2090" s="7">
        <f>IFERROR(__xludf.DUMMYFUNCTION("""COMPUTED_VALUE"""),7.8109465)</f>
        <v>7.8109465</v>
      </c>
      <c r="D2090" s="7">
        <f>IFERROR(__xludf.DUMMYFUNCTION("""COMPUTED_VALUE"""),0.353846153846153)</f>
        <v>0.3538461538</v>
      </c>
    </row>
    <row r="2091">
      <c r="A2091" s="10" t="s">
        <v>3530</v>
      </c>
      <c r="B2091" s="7" t="str">
        <f>IFERROR(__xludf.DUMMYFUNCTION("SPLIT(A2091,"" "")"),"Cc1cnc(CN(C)C2CCC(N(C)Cc3cc(-c4ccc5c(c4)OCCOCCOCCOCCOCCO5)ccn3)CC2)c(C)c1")</f>
        <v>Cc1cnc(CN(C)C2CCC(N(C)Cc3cc(-c4ccc5c(c4)OCCOCCOCCOCCOCCO5)ccn3)CC2)c(C)c1</v>
      </c>
      <c r="C2091" s="7">
        <f>IFERROR(__xludf.DUMMYFUNCTION("""COMPUTED_VALUE"""),7.8109455)</f>
        <v>7.8109455</v>
      </c>
      <c r="D2091" s="7">
        <f>IFERROR(__xludf.DUMMYFUNCTION("""COMPUTED_VALUE"""),0.394366197183098)</f>
        <v>0.3943661972</v>
      </c>
    </row>
    <row r="2092">
      <c r="A2092" s="10" t="s">
        <v>3531</v>
      </c>
      <c r="B2092" s="7" t="str">
        <f>IFERROR(__xludf.DUMMYFUNCTION("SPLIT(A2092,"" "")"),"CC(C)C(C)(c1cccnc1)N(Cc1ccccn1)C1CCC(N(C)Cc2ncccc2-c2ccc3c(c2)OCCOCCOCCOCCOCCO3)CC1")</f>
        <v>CC(C)C(C)(c1cccnc1)N(Cc1ccccn1)C1CCC(N(C)Cc2ncccc2-c2ccc3c(c2)OCCOCCOCCOCCOCCO3)CC1</v>
      </c>
      <c r="C2092" s="7">
        <f>IFERROR(__xludf.DUMMYFUNCTION("""COMPUTED_VALUE"""),7.810936)</f>
        <v>7.810936</v>
      </c>
      <c r="D2092" s="7">
        <f>IFERROR(__xludf.DUMMYFUNCTION("""COMPUTED_VALUE"""),0.303370786516853)</f>
        <v>0.3033707865</v>
      </c>
    </row>
    <row r="2093">
      <c r="A2093" s="10" t="s">
        <v>3532</v>
      </c>
      <c r="B2093" s="7" t="str">
        <f>IFERROR(__xludf.DUMMYFUNCTION("SPLIT(A2093,"" "")"),"CN1CCN(C)CCN(Cc2ccc(N(C)C(C)(C)c3ccc(CN(C)C4CCC(N(C)Cc5ccccn5)CC4)nc3)cn2)CC1")</f>
        <v>CN1CCN(C)CCN(Cc2ccc(N(C)C(C)(C)c3ccc(CN(C)C4CCC(N(C)Cc5ccccn5)CC4)nc3)cn2)CC1</v>
      </c>
      <c r="C2093" s="7">
        <f>IFERROR(__xludf.DUMMYFUNCTION("""COMPUTED_VALUE"""),7.810936)</f>
        <v>7.810936</v>
      </c>
      <c r="D2093" s="7">
        <f>IFERROR(__xludf.DUMMYFUNCTION("""COMPUTED_VALUE"""),0.491228070175438)</f>
        <v>0.4912280702</v>
      </c>
    </row>
    <row r="2094">
      <c r="A2094" s="10" t="s">
        <v>3533</v>
      </c>
      <c r="B2094" s="7" t="str">
        <f>IFERROR(__xludf.DUMMYFUNCTION("SPLIT(A2094,"" "")"),"CC1C=CC(c2cccc(CN(Cc3ccccn3)C3CCC(N(C)Cc4cccc(-c5ccc6c(c5)OCCOCCOCCOCCOCCO6)n4)CC3)n2)C(C)(C)C1")</f>
        <v>CC1C=CC(c2cccc(CN(Cc3ccccn3)C3CCC(N(C)Cc4cccc(-c5ccc6c(c5)OCCOCCOCCOCCOCCO6)n4)CC3)n2)C(C)(C)C1</v>
      </c>
      <c r="C2094" s="7">
        <f>IFERROR(__xludf.DUMMYFUNCTION("""COMPUTED_VALUE"""),7.8109355)</f>
        <v>7.8109355</v>
      </c>
      <c r="D2094" s="7">
        <f>IFERROR(__xludf.DUMMYFUNCTION("""COMPUTED_VALUE"""),0.329411764705882)</f>
        <v>0.3294117647</v>
      </c>
    </row>
    <row r="2095">
      <c r="A2095" s="10" t="s">
        <v>3534</v>
      </c>
      <c r="B2095" s="7" t="str">
        <f>IFERROR(__xludf.DUMMYFUNCTION("SPLIT(A2095,"" "")"),"CN(Cc1cccc(CF)n1)C1CCC(N(Cc2ccc(-c3cccc4c3OCCOCCOCCOCCOCCO4)cn2)Cc2ccc(-c3cccc4c3OCCOCCOCCOCCOCCO4)cn2)CC1")</f>
        <v>CN(Cc1cccc(CF)n1)C1CCC(N(Cc2ccc(-c3cccc4c3OCCOCCOCCOCCOCCO4)cn2)Cc2ccc(-c3cccc4c3OCCOCCOCCOCCOCCO4)cn2)CC1</v>
      </c>
      <c r="C2095" s="7">
        <f>IFERROR(__xludf.DUMMYFUNCTION("""COMPUTED_VALUE"""),7.810921)</f>
        <v>7.810921</v>
      </c>
      <c r="D2095" s="7">
        <f>IFERROR(__xludf.DUMMYFUNCTION("""COMPUTED_VALUE"""),0.316455696202531)</f>
        <v>0.3164556962</v>
      </c>
    </row>
    <row r="2096">
      <c r="A2096" s="10" t="s">
        <v>3535</v>
      </c>
      <c r="B2096" s="7" t="str">
        <f>IFERROR(__xludf.DUMMYFUNCTION("SPLIT(A2096,"" "")"),"CCNCc1ccc(CN(Cc2ccccn2)C2CCCC(N(C)Cc3cccc(-c4cccc5c4OCCOCCOCCOCCOCCO5)n3)C2)cn1")</f>
        <v>CCNCc1ccc(CN(Cc2ccccn2)C2CCCC(N(C)Cc3cccc(-c4cccc5c4OCCOCCOCCOCCOCCO5)n3)C2)cn1</v>
      </c>
      <c r="C2096" s="7">
        <f>IFERROR(__xludf.DUMMYFUNCTION("""COMPUTED_VALUE"""),7.8109174)</f>
        <v>7.8109174</v>
      </c>
      <c r="D2096" s="7">
        <f>IFERROR(__xludf.DUMMYFUNCTION("""COMPUTED_VALUE"""),0.3125)</f>
        <v>0.3125</v>
      </c>
    </row>
    <row r="2097">
      <c r="A2097" s="10" t="s">
        <v>3536</v>
      </c>
      <c r="B2097" s="7" t="str">
        <f>IFERROR(__xludf.DUMMYFUNCTION("SPLIT(A2097,"" "")"),"CC1C(N)CC1c1cccc(CN(Cc2ccccn2)C2CCCC(N(C)Cc3cccc(-c4ccc5c(c4)OCCOCCOCCOCCOCCO5)n3)C2)n1")</f>
        <v>CC1C(N)CC1c1cccc(CN(Cc2ccccn2)C2CCCC(N(C)Cc3cccc(-c4ccc5c(c4)OCCOCCOCCOCCOCCO5)n3)C2)n1</v>
      </c>
      <c r="C2097" s="7">
        <f>IFERROR(__xludf.DUMMYFUNCTION("""COMPUTED_VALUE"""),7.810914)</f>
        <v>7.810914</v>
      </c>
      <c r="D2097" s="7">
        <f>IFERROR(__xludf.DUMMYFUNCTION("""COMPUTED_VALUE"""),0.349397590361445)</f>
        <v>0.3493975904</v>
      </c>
    </row>
    <row r="2098">
      <c r="A2098" s="10" t="s">
        <v>3537</v>
      </c>
      <c r="B2098" s="7" t="str">
        <f>IFERROR(__xludf.DUMMYFUNCTION("SPLIT(A2098,"" "")"),"CCNCc1cccc(CN(Cc2ccccn2)C2CCCC(N(C)Cc3cccc(-c4ccc5c(c4)OCCOCCOCCOCCOCCO5)n3)C2)n1")</f>
        <v>CCNCc1cccc(CN(Cc2ccccn2)C2CCCC(N(C)Cc3cccc(-c4ccc5c(c4)OCCOCCOCCOCCOCCO5)n3)C2)n1</v>
      </c>
      <c r="C2098" s="7">
        <f>IFERROR(__xludf.DUMMYFUNCTION("""COMPUTED_VALUE"""),7.810909)</f>
        <v>7.810909</v>
      </c>
      <c r="D2098" s="7">
        <f>IFERROR(__xludf.DUMMYFUNCTION("""COMPUTED_VALUE"""),0.3625)</f>
        <v>0.3625</v>
      </c>
    </row>
    <row r="2099">
      <c r="A2099" s="10" t="s">
        <v>3538</v>
      </c>
      <c r="B2099" s="7" t="str">
        <f>IFERROR(__xludf.DUMMYFUNCTION("SPLIT(A2099,"" "")"),"CC1=CC(C)C(NCc2ccccn2)C(C)C1")</f>
        <v>CC1=CC(C)C(NCc2ccccn2)C(C)C1</v>
      </c>
      <c r="C2099" s="7">
        <f>IFERROR(__xludf.DUMMYFUNCTION("""COMPUTED_VALUE"""),7.8108935)</f>
        <v>7.8108935</v>
      </c>
      <c r="D2099" s="7">
        <f>IFERROR(__xludf.DUMMYFUNCTION("""COMPUTED_VALUE"""),0.404761904761904)</f>
        <v>0.4047619048</v>
      </c>
    </row>
    <row r="2100">
      <c r="A2100" s="10" t="s">
        <v>3539</v>
      </c>
      <c r="B2100" s="7" t="str">
        <f>IFERROR(__xludf.DUMMYFUNCTION("SPLIT(A2100,"" "")"),"CNCC1=CC(N(C)Cc2cccc(-c3ccc4c(c3)OCCOCCOCCOCCOCCO4)n2)C=CN1")</f>
        <v>CNCC1=CC(N(C)Cc2cccc(-c3ccc4c(c3)OCCOCCOCCOCCOCCO4)n2)C=CN1</v>
      </c>
      <c r="C2100" s="7">
        <f>IFERROR(__xludf.DUMMYFUNCTION("""COMPUTED_VALUE"""),7.810891)</f>
        <v>7.810891</v>
      </c>
      <c r="D2100" s="7">
        <f>IFERROR(__xludf.DUMMYFUNCTION("""COMPUTED_VALUE"""),0.30379746835443)</f>
        <v>0.3037974684</v>
      </c>
    </row>
    <row r="2101">
      <c r="A2101" s="10" t="s">
        <v>3540</v>
      </c>
      <c r="B2101" s="7" t="str">
        <f>IFERROR(__xludf.DUMMYFUNCTION("SPLIT(A2101,"" "")"),"CC(C)C(C)N(C)Cc1cccc(C2CCC2(C)C)n1")</f>
        <v>CC(C)C(C)N(C)Cc1cccc(C2CCC2(C)C)n1</v>
      </c>
      <c r="C2101" s="7">
        <f>IFERROR(__xludf.DUMMYFUNCTION("""COMPUTED_VALUE"""),7.8108835)</f>
        <v>7.8108835</v>
      </c>
      <c r="D2101" s="7">
        <f>IFERROR(__xludf.DUMMYFUNCTION("""COMPUTED_VALUE"""),0.339622641509433)</f>
        <v>0.3396226415</v>
      </c>
    </row>
    <row r="2102">
      <c r="A2102" s="10" t="s">
        <v>3541</v>
      </c>
      <c r="B2102" s="7" t="str">
        <f>IFERROR(__xludf.DUMMYFUNCTION("SPLIT(A2102,"" "")"),"CC(C)C(C)c1cccnc1CN1CCN(C)CCN(Cc2cccnc2C2OC=NC2(C)C)CC1")</f>
        <v>CC(C)C(C)c1cccnc1CN1CCN(C)CCN(Cc2cccnc2C2OC=NC2(C)C)CC1</v>
      </c>
      <c r="C2102" s="7">
        <f>IFERROR(__xludf.DUMMYFUNCTION("""COMPUTED_VALUE"""),7.8108745)</f>
        <v>7.8108745</v>
      </c>
      <c r="D2102" s="7">
        <f>IFERROR(__xludf.DUMMYFUNCTION("""COMPUTED_VALUE"""),0.354838709677419)</f>
        <v>0.3548387097</v>
      </c>
    </row>
    <row r="2103">
      <c r="A2103" s="10" t="s">
        <v>3542</v>
      </c>
      <c r="B2103" s="7" t="str">
        <f>IFERROR(__xludf.DUMMYFUNCTION("SPLIT(A2103,"" "")"),"Cc1cncc(CN2CCN(C)CCN(CCN(C)Cc3cc(C)c(C)c(C)n3)CC2)c1C")</f>
        <v>Cc1cncc(CN2CCN(C)CCN(CCN(C)Cc3cc(C)c(C)c(C)n3)CC2)c1C</v>
      </c>
      <c r="C2103" s="7">
        <f>IFERROR(__xludf.DUMMYFUNCTION("""COMPUTED_VALUE"""),7.810862)</f>
        <v>7.810862</v>
      </c>
      <c r="D2103" s="7">
        <f>IFERROR(__xludf.DUMMYFUNCTION("""COMPUTED_VALUE"""),0.350877192982456)</f>
        <v>0.350877193</v>
      </c>
    </row>
    <row r="2104">
      <c r="A2104" s="10" t="s">
        <v>3543</v>
      </c>
      <c r="B2104" s="7" t="str">
        <f>IFERROR(__xludf.DUMMYFUNCTION("SPLIT(A2104,"" "")"),"Cc1cnc(CN(C)C2CCC(N(C)Cc3ncccc3-c3ccc4c(c3)OCCOCCOCCOCCOCCO4)CC2)c(C)c1")</f>
        <v>Cc1cnc(CN(C)C2CCC(N(C)Cc3ncccc3-c3ccc4c(c3)OCCOCCOCCOCCOCCO4)CC2)c(C)c1</v>
      </c>
      <c r="C2104" s="7">
        <f>IFERROR(__xludf.DUMMYFUNCTION("""COMPUTED_VALUE"""),7.8108478)</f>
        <v>7.8108478</v>
      </c>
      <c r="D2104" s="7">
        <f>IFERROR(__xludf.DUMMYFUNCTION("""COMPUTED_VALUE"""),0.351351351351351)</f>
        <v>0.3513513514</v>
      </c>
    </row>
    <row r="2105">
      <c r="A2105" s="10" t="s">
        <v>3544</v>
      </c>
      <c r="B2105" s="7" t="str">
        <f>IFERROR(__xludf.DUMMYFUNCTION("SPLIT(A2105,"" "")"),"Cc1cccnc1CN(Cc1ccccn1)C1CCCCC1N(C)Cc1cccc(-c2ccc3c(c2)OCCOCCOCCOCCOCCO3)n1")</f>
        <v>Cc1cccnc1CN(Cc1ccccn1)C1CCCCC1N(C)Cc1cccc(-c2ccc3c(c2)OCCOCCOCCOCCOCCO3)n1</v>
      </c>
      <c r="C2105" s="7">
        <f>IFERROR(__xludf.DUMMYFUNCTION("""COMPUTED_VALUE"""),7.8108425)</f>
        <v>7.8108425</v>
      </c>
      <c r="D2105" s="7">
        <f>IFERROR(__xludf.DUMMYFUNCTION("""COMPUTED_VALUE"""),0.44776119402985)</f>
        <v>0.447761194</v>
      </c>
    </row>
    <row r="2106">
      <c r="A2106" s="10" t="s">
        <v>3545</v>
      </c>
      <c r="B2106" s="7" t="str">
        <f>IFERROR(__xludf.DUMMYFUNCTION("SPLIT(A2106,"" "")"),"CC1=CCC2(C(C)C1C)C(C)(C)C=CC(c1nccc(CN(Cc3ccccn3)C3CCCCC3)c1C)C21CCC(C)=C(C)C1C")</f>
        <v>CC1=CCC2(C(C)C1C)C(C)(C)C=CC(c1nccc(CN(Cc3ccccn3)C3CCCCC3)c1C)C21CCC(C)=C(C)C1C</v>
      </c>
      <c r="C2106" s="7">
        <f>IFERROR(__xludf.DUMMYFUNCTION("""COMPUTED_VALUE"""),7.810841)</f>
        <v>7.810841</v>
      </c>
      <c r="D2106" s="7">
        <f>IFERROR(__xludf.DUMMYFUNCTION("""COMPUTED_VALUE"""),0.280487804878048)</f>
        <v>0.2804878049</v>
      </c>
    </row>
    <row r="2107">
      <c r="A2107" s="10" t="s">
        <v>3546</v>
      </c>
      <c r="B2107" s="7" t="str">
        <f>IFERROR(__xludf.DUMMYFUNCTION("SPLIT(A2107,"" "")"),"CC(C)N(CCN(C)Cc1cccc(-c2ccc3c(c2)OCCOCCOCCOCCOCCO3)n1)Cc1cccc(-c2ccc3c(c2)OCCOCCOCCOCCOCCO3)n1")</f>
        <v>CC(C)N(CCN(C)Cc1cccc(-c2ccc3c(c2)OCCOCCOCCOCCOCCO3)n1)Cc1cccc(-c2ccc3c(c2)OCCOCCOCCOCCOCCO3)n1</v>
      </c>
      <c r="C2107" s="7">
        <f>IFERROR(__xludf.DUMMYFUNCTION("""COMPUTED_VALUE"""),7.8108315)</f>
        <v>7.8108315</v>
      </c>
      <c r="D2107" s="7">
        <f>IFERROR(__xludf.DUMMYFUNCTION("""COMPUTED_VALUE"""),0.363636363636363)</f>
        <v>0.3636363636</v>
      </c>
    </row>
    <row r="2108">
      <c r="A2108" s="10" t="s">
        <v>3547</v>
      </c>
      <c r="B2108" s="7" t="str">
        <f>IFERROR(__xludf.DUMMYFUNCTION("SPLIT(A2108,"" "")"),"FCN(Cc1ccccn1)C1CCCCC1N(Cc1ccccn1)Cc1ncccc1F")</f>
        <v>FCN(Cc1ccccn1)C1CCCCC1N(Cc1ccccn1)Cc1ncccc1F</v>
      </c>
      <c r="C2108" s="7">
        <f>IFERROR(__xludf.DUMMYFUNCTION("""COMPUTED_VALUE"""),7.8108253)</f>
        <v>7.8108253</v>
      </c>
      <c r="D2108" s="7">
        <f>IFERROR(__xludf.DUMMYFUNCTION("""COMPUTED_VALUE"""),0.5)</f>
        <v>0.5</v>
      </c>
    </row>
    <row r="2109">
      <c r="A2109" s="10" t="s">
        <v>3548</v>
      </c>
      <c r="B2109" s="7" t="str">
        <f>IFERROR(__xludf.DUMMYFUNCTION("SPLIT(A2109,"" "")"),"CNC1CCCC(N(C)Cc2cc(C)c(C)c(C)n2)C1")</f>
        <v>CNC1CCCC(N(C)Cc2cc(C)c(C)c(C)n2)C1</v>
      </c>
      <c r="C2109" s="7">
        <f>IFERROR(__xludf.DUMMYFUNCTION("""COMPUTED_VALUE"""),7.8108244)</f>
        <v>7.8108244</v>
      </c>
      <c r="D2109" s="7">
        <f>IFERROR(__xludf.DUMMYFUNCTION("""COMPUTED_VALUE"""),0.314814814814814)</f>
        <v>0.3148148148</v>
      </c>
    </row>
    <row r="2110">
      <c r="A2110" s="10" t="s">
        <v>3549</v>
      </c>
      <c r="B2110" s="7" t="str">
        <f>IFERROR(__xludf.DUMMYFUNCTION("SPLIT(A2110,"" "")"),"CC1(C)CC(c2ncccc2CN(Cc2ccccn2)C2CCCCC2)C1")</f>
        <v>CC1(C)CC(c2ncccc2CN(Cc2ccccn2)C2CCCCC2)C1</v>
      </c>
      <c r="C2110" s="7">
        <f>IFERROR(__xludf.DUMMYFUNCTION("""COMPUTED_VALUE"""),7.810808)</f>
        <v>7.810808</v>
      </c>
      <c r="D2110" s="7">
        <f>IFERROR(__xludf.DUMMYFUNCTION("""COMPUTED_VALUE"""),0.433962264150943)</f>
        <v>0.4339622642</v>
      </c>
    </row>
    <row r="2111">
      <c r="A2111" s="10" t="s">
        <v>3550</v>
      </c>
      <c r="B2111" s="7" t="str">
        <f>IFERROR(__xludf.DUMMYFUNCTION("SPLIT(A2111,"" "")"),"FCCN(Cc1ccccn1)Cc1ncccc1-c1cccc2c1OCCOCCOCCOCCOCCO2")</f>
        <v>FCCN(Cc1ccccn1)Cc1ncccc1-c1cccc2c1OCCOCCOCCOCCOCCO2</v>
      </c>
      <c r="C2111" s="7">
        <f>IFERROR(__xludf.DUMMYFUNCTION("""COMPUTED_VALUE"""),7.810805)</f>
        <v>7.810805</v>
      </c>
      <c r="D2111" s="7">
        <f>IFERROR(__xludf.DUMMYFUNCTION("""COMPUTED_VALUE"""),0.368421052631578)</f>
        <v>0.3684210526</v>
      </c>
    </row>
    <row r="2112">
      <c r="A2112" s="10" t="s">
        <v>3551</v>
      </c>
      <c r="B2112" s="7" t="str">
        <f>IFERROR(__xludf.DUMMYFUNCTION("SPLIT(A2112,"" "")"),"CCNCc1ncccc1CN(Cc1ccccn1)C1CCC(N(C)Cc2ncccc2-c2ccc3c(c2)OCCOCCOCCOCCOCCO3)CC1")</f>
        <v>CCNCc1ncccc1CN(Cc1ccccn1)C1CCC(N(C)Cc2ncccc2-c2ccc3c(c2)OCCOCCOCCOCCOCCO3)CC1</v>
      </c>
      <c r="C2112" s="7">
        <f>IFERROR(__xludf.DUMMYFUNCTION("""COMPUTED_VALUE"""),7.8107786)</f>
        <v>7.8107786</v>
      </c>
      <c r="D2112" s="7">
        <f>IFERROR(__xludf.DUMMYFUNCTION("""COMPUTED_VALUE"""),0.302631578947368)</f>
        <v>0.3026315789</v>
      </c>
    </row>
    <row r="2113">
      <c r="A2113" s="10" t="s">
        <v>3552</v>
      </c>
      <c r="B2113" s="7" t="str">
        <f>IFERROR(__xludf.DUMMYFUNCTION("SPLIT(A2113,"" "")"),"CN(CCN(C)C(C)(C)c1ccccn1)Cc1cccc(-c2cccc3c2OCCOCCOCCOCCOCCO3)n1")</f>
        <v>CN(CCN(C)C(C)(C)c1ccccn1)Cc1cccc(-c2cccc3c2OCCOCCOCCOCCOCCO3)n1</v>
      </c>
      <c r="C2113" s="7">
        <f>IFERROR(__xludf.DUMMYFUNCTION("""COMPUTED_VALUE"""),7.8107734)</f>
        <v>7.8107734</v>
      </c>
      <c r="D2113" s="7">
        <f>IFERROR(__xludf.DUMMYFUNCTION("""COMPUTED_VALUE"""),0.396825396825396)</f>
        <v>0.3968253968</v>
      </c>
    </row>
    <row r="2114">
      <c r="A2114" s="10" t="s">
        <v>3553</v>
      </c>
      <c r="B2114" s="7" t="str">
        <f>IFERROR(__xludf.DUMMYFUNCTION("SPLIT(A2114,"" "")"),"Cc1cnc(CN(C)C2CCCC(N(C)Cc3cccc(-c4cccc5c4OCCOCCOCCOCCOCCO5)n3)C2)c(C)c1")</f>
        <v>Cc1cnc(CN(C)C2CCCC(N(C)Cc3cccc(-c4cccc5c4OCCOCCOCCOCCOCCO5)n3)C2)c(C)c1</v>
      </c>
      <c r="C2114" s="7">
        <f>IFERROR(__xludf.DUMMYFUNCTION("""COMPUTED_VALUE"""),7.810772)</f>
        <v>7.810772</v>
      </c>
      <c r="D2114" s="7">
        <f>IFERROR(__xludf.DUMMYFUNCTION("""COMPUTED_VALUE"""),0.314285714285714)</f>
        <v>0.3142857143</v>
      </c>
    </row>
    <row r="2115">
      <c r="A2115" s="10" t="s">
        <v>3554</v>
      </c>
      <c r="B2115" s="7" t="str">
        <f>IFERROR(__xludf.DUMMYFUNCTION("SPLIT(A2115,"" "")"),"CN(c1cccc(Cl)n1)C1CCC(N(C)C2C=CC=CN2)CC1")</f>
        <v>CN(c1cccc(Cl)n1)C1CCC(N(C)C2C=CC=CN2)CC1</v>
      </c>
      <c r="C2115" s="7">
        <f>IFERROR(__xludf.DUMMYFUNCTION("""COMPUTED_VALUE"""),7.810765)</f>
        <v>7.810765</v>
      </c>
      <c r="D2115" s="7">
        <f>IFERROR(__xludf.DUMMYFUNCTION("""COMPUTED_VALUE"""),0.241935483870967)</f>
        <v>0.2419354839</v>
      </c>
    </row>
    <row r="2116">
      <c r="A2116" s="10" t="s">
        <v>3555</v>
      </c>
      <c r="B2116" s="7" t="str">
        <f>IFERROR(__xludf.DUMMYFUNCTION("SPLIT(A2116,"" "")"),"CN(CCN(C)Cc1ncccc1-c1cccc2c1OCCOCCOCCOCCOCCO2)Cc1ncccc1-c1cccc2c1OCCOCCOCCOCCOCCO2")</f>
        <v>CN(CCN(C)Cc1ncccc1-c1cccc2c1OCCOCCOCCOCCOCCO2)Cc1ncccc1-c1cccc2c1OCCOCCOCCOCCOCCO2</v>
      </c>
      <c r="C2116" s="7">
        <f>IFERROR(__xludf.DUMMYFUNCTION("""COMPUTED_VALUE"""),7.810748)</f>
        <v>7.810748</v>
      </c>
      <c r="D2116" s="7">
        <f>IFERROR(__xludf.DUMMYFUNCTION("""COMPUTED_VALUE"""),0.365384615384615)</f>
        <v>0.3653846154</v>
      </c>
    </row>
    <row r="2117">
      <c r="A2117" s="10" t="s">
        <v>3556</v>
      </c>
      <c r="B2117" s="7" t="str">
        <f>IFERROR(__xludf.DUMMYFUNCTION("SPLIT(A2117,"" "")"),"CCN(C)C1CCC(N(C)Cc2nc(C)c(C)c(C)c2C)CC1")</f>
        <v>CCN(C)C1CCC(N(C)Cc2nc(C)c(C)c(C)c2C)CC1</v>
      </c>
      <c r="C2117" s="7">
        <f>IFERROR(__xludf.DUMMYFUNCTION("""COMPUTED_VALUE"""),7.810742)</f>
        <v>7.810742</v>
      </c>
      <c r="D2117" s="7">
        <f>IFERROR(__xludf.DUMMYFUNCTION("""COMPUTED_VALUE"""),0.265306122448979)</f>
        <v>0.2653061224</v>
      </c>
    </row>
    <row r="2118">
      <c r="A2118" s="10" t="s">
        <v>3557</v>
      </c>
      <c r="B2118" s="7" t="str">
        <f>IFERROR(__xludf.DUMMYFUNCTION("SPLIT(A2118,"" "")"),"Cc1cccc(CN(Cc2ccccn2)C2CCCCC2N(C)Cc2cccc(-c3ccc4c(c3)OCCOCCOCCOCCOCCO4)n2)n1")</f>
        <v>Cc1cccc(CN(Cc2ccccn2)C2CCCCC2N(C)Cc2cccc(-c3ccc4c(c3)OCCOCCOCCOCCOCCO4)n2)n1</v>
      </c>
      <c r="C2118" s="7">
        <f>IFERROR(__xludf.DUMMYFUNCTION("""COMPUTED_VALUE"""),7.81074)</f>
        <v>7.81074</v>
      </c>
      <c r="D2118" s="7">
        <f>IFERROR(__xludf.DUMMYFUNCTION("""COMPUTED_VALUE"""),0.492063492063492)</f>
        <v>0.4920634921</v>
      </c>
    </row>
    <row r="2119">
      <c r="A2119" s="10" t="s">
        <v>3558</v>
      </c>
      <c r="B2119" s="7" t="str">
        <f>IFERROR(__xludf.DUMMYFUNCTION("SPLIT(A2119,"" "")"),"c1ccc(CN(Cc2ccccn2)c2ccc3c(c2)OCCOCCOCCOCCOCCO3)nc1")</f>
        <v>c1ccc(CN(Cc2ccccn2)c2ccc3c(c2)OCCOCCOCCOCCOCCO3)nc1</v>
      </c>
      <c r="C2119" s="7">
        <f>IFERROR(__xludf.DUMMYFUNCTION("""COMPUTED_VALUE"""),7.8107305)</f>
        <v>7.8107305</v>
      </c>
      <c r="D2119" s="7">
        <f>IFERROR(__xludf.DUMMYFUNCTION("""COMPUTED_VALUE"""),0.414634146341463)</f>
        <v>0.4146341463</v>
      </c>
    </row>
    <row r="2120">
      <c r="A2120" s="10" t="s">
        <v>3559</v>
      </c>
      <c r="B2120" s="7" t="str">
        <f>IFERROR(__xludf.DUMMYFUNCTION("SPLIT(A2120,"" "")"),"Cc1cncc(CN2CCN(C)CCN(C)CC2)c1N(C)C(C)C")</f>
        <v>Cc1cncc(CN2CCN(C)CCN(C)CC2)c1N(C)C(C)C</v>
      </c>
      <c r="C2120" s="7">
        <f>IFERROR(__xludf.DUMMYFUNCTION("""COMPUTED_VALUE"""),7.81073)</f>
        <v>7.81073</v>
      </c>
      <c r="D2120" s="7">
        <f>IFERROR(__xludf.DUMMYFUNCTION("""COMPUTED_VALUE"""),0.365384615384615)</f>
        <v>0.3653846154</v>
      </c>
    </row>
    <row r="2121">
      <c r="A2121" s="10" t="s">
        <v>3560</v>
      </c>
      <c r="B2121" s="7" t="str">
        <f>IFERROR(__xludf.DUMMYFUNCTION("SPLIT(A2121,"" "")"),"CCCN(Cc1ccccn1)C1CCC(N(C)Cc2cc(C)c(C)c(C)n2)CC1")</f>
        <v>CCCN(Cc1ccccn1)C1CCC(N(C)Cc2cc(C)c(C)c(C)n2)CC1</v>
      </c>
      <c r="C2121" s="7">
        <f>IFERROR(__xludf.DUMMYFUNCTION("""COMPUTED_VALUE"""),7.810726)</f>
        <v>7.810726</v>
      </c>
      <c r="D2121" s="7">
        <f>IFERROR(__xludf.DUMMYFUNCTION("""COMPUTED_VALUE"""),0.436363636363636)</f>
        <v>0.4363636364</v>
      </c>
    </row>
    <row r="2122">
      <c r="A2122" s="10" t="s">
        <v>3561</v>
      </c>
      <c r="B2122" s="7" t="str">
        <f>IFERROR(__xludf.DUMMYFUNCTION("SPLIT(A2122,"" "")"),"CN1CCN(C)CCN(C2CCC(N(C)c3ccc4cccnc4c3)CC2)CC1")</f>
        <v>CN1CCN(C)CCN(C2CCC(N(C)c3ccc4cccnc4c3)CC2)CC1</v>
      </c>
      <c r="C2122" s="7">
        <f>IFERROR(__xludf.DUMMYFUNCTION("""COMPUTED_VALUE"""),7.810719)</f>
        <v>7.810719</v>
      </c>
      <c r="D2122" s="7">
        <f>IFERROR(__xludf.DUMMYFUNCTION("""COMPUTED_VALUE"""),0.31578947368421)</f>
        <v>0.3157894737</v>
      </c>
    </row>
    <row r="2123">
      <c r="A2123" s="10" t="s">
        <v>3562</v>
      </c>
      <c r="B2123" s="7" t="str">
        <f>IFERROR(__xludf.DUMMYFUNCTION("SPLIT(A2123,"" "")"),"CN(CC1=CCC=CN1)C1C=CC=CN1")</f>
        <v>CN(CC1=CCC=CN1)C1C=CC=CN1</v>
      </c>
      <c r="C2123" s="7">
        <f>IFERROR(__xludf.DUMMYFUNCTION("""COMPUTED_VALUE"""),7.8107104)</f>
        <v>7.8107104</v>
      </c>
      <c r="D2123" s="7">
        <f>IFERROR(__xludf.DUMMYFUNCTION("""COMPUTED_VALUE"""),0.372549019607843)</f>
        <v>0.3725490196</v>
      </c>
    </row>
    <row r="2124">
      <c r="A2124" s="10" t="s">
        <v>3563</v>
      </c>
      <c r="B2124" s="7" t="str">
        <f>IFERROR(__xludf.DUMMYFUNCTION("SPLIT(A2124,"" "")"),"Cc1cncc(CN(C)C2CCC(N(C)Cc3ncccc3C)CC2)c1")</f>
        <v>Cc1cncc(CN(C)C2CCC(N(C)Cc3ncccc3C)CC2)c1</v>
      </c>
      <c r="C2124" s="7">
        <f>IFERROR(__xludf.DUMMYFUNCTION("""COMPUTED_VALUE"""),7.810708)</f>
        <v>7.810708</v>
      </c>
      <c r="D2124" s="7">
        <f>IFERROR(__xludf.DUMMYFUNCTION("""COMPUTED_VALUE"""),0.309090909090909)</f>
        <v>0.3090909091</v>
      </c>
    </row>
    <row r="2125">
      <c r="A2125" s="10" t="s">
        <v>3564</v>
      </c>
      <c r="B2125" s="7" t="str">
        <f>IFERROR(__xludf.DUMMYFUNCTION("SPLIT(A2125,"" "")"),"CC(C)N(Cc1ccc(CN2CCN(C)CCN(C)CC2)cn1)Cc1ncccc1N")</f>
        <v>CC(C)N(Cc1ccc(CN2CCN(C)CCN(C)CC2)cn1)Cc1ncccc1N</v>
      </c>
      <c r="C2125" s="7">
        <f>IFERROR(__xludf.DUMMYFUNCTION("""COMPUTED_VALUE"""),7.8107014)</f>
        <v>7.8107014</v>
      </c>
      <c r="D2125" s="7">
        <f>IFERROR(__xludf.DUMMYFUNCTION("""COMPUTED_VALUE"""),0.4)</f>
        <v>0.4</v>
      </c>
    </row>
    <row r="2126">
      <c r="A2126" s="10" t="s">
        <v>3565</v>
      </c>
      <c r="B2126" s="7" t="str">
        <f>IFERROR(__xludf.DUMMYFUNCTION("SPLIT(A2126,"" "")"),"CN(Cc1cccc(CN(C)C2CCCCC2N(C)Cc2cccc(-c3ccc4c(c3)OCCOCCOCCOCCOCCO4)n2)n1)Cc1cccc(-c2ccc3c(c2)OCCOCCOCCOCCOCCO3)n1")</f>
        <v>CN(Cc1cccc(CN(C)C2CCCCC2N(C)Cc2cccc(-c3ccc4c(c3)OCCOCCOCCOCCOCCO4)n2)n1)Cc1cccc(-c2ccc3c(c2)OCCOCCOCCOCCOCCO3)n1</v>
      </c>
      <c r="C2126" s="7">
        <f>IFERROR(__xludf.DUMMYFUNCTION("""COMPUTED_VALUE"""),7.8107)</f>
        <v>7.8107</v>
      </c>
      <c r="D2126" s="7">
        <f>IFERROR(__xludf.DUMMYFUNCTION("""COMPUTED_VALUE"""),0.464285714285714)</f>
        <v>0.4642857143</v>
      </c>
    </row>
    <row r="2127">
      <c r="A2127" s="10" t="s">
        <v>3566</v>
      </c>
      <c r="B2127" s="7" t="str">
        <f>IFERROR(__xludf.DUMMYFUNCTION("SPLIT(A2127,"" "")"),"Cc1ccc(CN(Cc2ccccn2)C2CCCCC2N(C)Cc2cc(-c3ccc4c(c3)OCCOCCOCCOCCOCCO4)ccn2)nc1")</f>
        <v>Cc1ccc(CN(Cc2ccccn2)C2CCCCC2N(C)Cc2cc(-c3ccc4c(c3)OCCOCCOCCOCCOCCO4)ccn2)nc1</v>
      </c>
      <c r="C2127" s="7">
        <f>IFERROR(__xludf.DUMMYFUNCTION("""COMPUTED_VALUE"""),7.8106885)</f>
        <v>7.8106885</v>
      </c>
      <c r="D2127" s="7">
        <f>IFERROR(__xludf.DUMMYFUNCTION("""COMPUTED_VALUE"""),0.492063492063492)</f>
        <v>0.4920634921</v>
      </c>
    </row>
    <row r="2128">
      <c r="A2128" s="10" t="s">
        <v>3567</v>
      </c>
      <c r="B2128" s="7" t="str">
        <f>IFERROR(__xludf.DUMMYFUNCTION("SPLIT(A2128,"" "")"),"Cc1cnc(CN2CCN(C)CCN(Cc3cnc(C)c(C)c3)CC2)cc1C")</f>
        <v>Cc1cnc(CN2CCN(C)CCN(Cc3cnc(C)c(C)c3)CC2)cc1C</v>
      </c>
      <c r="C2128" s="7">
        <f>IFERROR(__xludf.DUMMYFUNCTION("""COMPUTED_VALUE"""),7.8106794)</f>
        <v>7.8106794</v>
      </c>
      <c r="D2128" s="7">
        <f>IFERROR(__xludf.DUMMYFUNCTION("""COMPUTED_VALUE"""),0.478260869565217)</f>
        <v>0.4782608696</v>
      </c>
    </row>
    <row r="2129">
      <c r="A2129" s="10" t="s">
        <v>3568</v>
      </c>
      <c r="B2129" s="7" t="str">
        <f>IFERROR(__xludf.DUMMYFUNCTION("SPLIT(A2129,"" "")"),"Cc1cccnc1CN(C)C1CCCC(N(C)CC2=CCC(N(C)C(C)C)=CN2)C1")</f>
        <v>Cc1cccnc1CN(C)C1CCCC(N(C)CC2=CCC(N(C)C(C)C)=CN2)C1</v>
      </c>
      <c r="C2129" s="7">
        <f>IFERROR(__xludf.DUMMYFUNCTION("""COMPUTED_VALUE"""),7.81067)</f>
        <v>7.81067</v>
      </c>
      <c r="D2129" s="7">
        <f>IFERROR(__xludf.DUMMYFUNCTION("""COMPUTED_VALUE"""),0.28125)</f>
        <v>0.28125</v>
      </c>
    </row>
    <row r="2130">
      <c r="A2130" s="10" t="s">
        <v>3569</v>
      </c>
      <c r="B2130" s="7" t="str">
        <f>IFERROR(__xludf.DUMMYFUNCTION("SPLIT(A2130,"" "")"),"CNCCN(Cc1ccccn1)C(C)(C)c1cnccc1-c1cccc2c1OCCOCCOCCOCCOCCO2")</f>
        <v>CNCCN(Cc1ccccn1)C(C)(C)c1cnccc1-c1cccc2c1OCCOCCOCCOCCOCCO2</v>
      </c>
      <c r="C2130" s="7">
        <f>IFERROR(__xludf.DUMMYFUNCTION("""COMPUTED_VALUE"""),7.8106575)</f>
        <v>7.8106575</v>
      </c>
      <c r="D2130" s="7">
        <f>IFERROR(__xludf.DUMMYFUNCTION("""COMPUTED_VALUE"""),0.304347826086956)</f>
        <v>0.3043478261</v>
      </c>
    </row>
    <row r="2131">
      <c r="A2131" s="10" t="s">
        <v>3570</v>
      </c>
      <c r="B2131" s="7" t="str">
        <f>IFERROR(__xludf.DUMMYFUNCTION("SPLIT(A2131,"" "")"),"C1=CC(CN(Cc2ccccn2)Cc2ccccn2)C=C(c2ccc3c(c2)OCCOCCOCCOCCOCCO3)N1")</f>
        <v>C1=CC(CN(Cc2ccccn2)Cc2ccccn2)C=C(c2ccc3c(c2)OCCOCCOCCOCCOCCO3)N1</v>
      </c>
      <c r="C2131" s="7">
        <f>IFERROR(__xludf.DUMMYFUNCTION("""COMPUTED_VALUE"""),7.810648)</f>
        <v>7.810648</v>
      </c>
      <c r="D2131" s="7">
        <f>IFERROR(__xludf.DUMMYFUNCTION("""COMPUTED_VALUE"""),0.369230769230769)</f>
        <v>0.3692307692</v>
      </c>
    </row>
    <row r="2132">
      <c r="A2132" s="10" t="s">
        <v>3571</v>
      </c>
      <c r="B2132" s="7" t="str">
        <f>IFERROR(__xludf.DUMMYFUNCTION("SPLIT(A2132,"" "")"),"CC(N)c1ncccc1CN(C)C1CCCC(N(C)Cc2ccccn2)C1")</f>
        <v>CC(N)c1ncccc1CN(C)C1CCCC(N(C)Cc2ccccn2)C1</v>
      </c>
      <c r="C2132" s="7">
        <f>IFERROR(__xludf.DUMMYFUNCTION("""COMPUTED_VALUE"""),7.810647)</f>
        <v>7.810647</v>
      </c>
      <c r="D2132" s="7">
        <f>IFERROR(__xludf.DUMMYFUNCTION("""COMPUTED_VALUE"""),0.5)</f>
        <v>0.5</v>
      </c>
    </row>
    <row r="2133">
      <c r="A2133" s="10" t="s">
        <v>3572</v>
      </c>
      <c r="B2133" s="7" t="str">
        <f>IFERROR(__xludf.DUMMYFUNCTION("SPLIT(A2133,"" "")"),"CC(C)C1COC(C2C=CNC=C2)=N1")</f>
        <v>CC(C)C1COC(C2C=CNC=C2)=N1</v>
      </c>
      <c r="C2133" s="7">
        <f>IFERROR(__xludf.DUMMYFUNCTION("""COMPUTED_VALUE"""),7.8106375)</f>
        <v>7.8106375</v>
      </c>
      <c r="D2133" s="7">
        <f>IFERROR(__xludf.DUMMYFUNCTION("""COMPUTED_VALUE"""),0.142857142857142)</f>
        <v>0.1428571429</v>
      </c>
    </row>
    <row r="2134">
      <c r="A2134" s="10" t="s">
        <v>3573</v>
      </c>
      <c r="B2134" s="7" t="str">
        <f>IFERROR(__xludf.DUMMYFUNCTION("SPLIT(A2134,"" "")"),"Cc1cc2c(c(-c3cccc(CN(Cc4ccccn4)C4CCC(N(C)Cc5cccc(-c6ccc7c(c6)OCCOCCOCCOCCOCCO7)n5)CC4)n3)c1)OCCOCCOCCOCCOCCO2")</f>
        <v>Cc1cc2c(c(-c3cccc(CN(Cc4ccccn4)C4CCC(N(C)Cc5cccc(-c6ccc7c(c6)OCCOCCOCCOCCOCCO7)n5)CC4)n3)c1)OCCOCCOCCOCCOCCO2</v>
      </c>
      <c r="C2134" s="7">
        <f>IFERROR(__xludf.DUMMYFUNCTION("""COMPUTED_VALUE"""),7.8106256)</f>
        <v>7.8106256</v>
      </c>
      <c r="D2134" s="7">
        <f>IFERROR(__xludf.DUMMYFUNCTION("""COMPUTED_VALUE"""),0.35)</f>
        <v>0.35</v>
      </c>
    </row>
    <row r="2135">
      <c r="A2135" s="10" t="s">
        <v>3574</v>
      </c>
      <c r="B2135" s="7" t="str">
        <f>IFERROR(__xludf.DUMMYFUNCTION("SPLIT(A2135,"" "")"),"Cc1ccc(CN(C)C2CCCC(N(C)CN(C)Cc3cccc(C4CC(Cl)C4Cl)n3)C2)nc1")</f>
        <v>Cc1ccc(CN(C)C2CCCC(N(C)CN(C)Cc3cccc(C4CC(Cl)C4Cl)n3)C2)nc1</v>
      </c>
      <c r="C2135" s="7">
        <f>IFERROR(__xludf.DUMMYFUNCTION("""COMPUTED_VALUE"""),7.8106256)</f>
        <v>7.8106256</v>
      </c>
      <c r="D2135" s="7">
        <f>IFERROR(__xludf.DUMMYFUNCTION("""COMPUTED_VALUE"""),0.426229508196721)</f>
        <v>0.4262295082</v>
      </c>
    </row>
    <row r="2136">
      <c r="A2136" s="10" t="s">
        <v>3575</v>
      </c>
      <c r="B2136" s="7" t="str">
        <f>IFERROR(__xludf.DUMMYFUNCTION("SPLIT(A2136,"" "")"),"CCNCc1cccc(CN(C)C2CCC(N(C)Cc3nccc(C)c3C)CC2)n1")</f>
        <v>CCNCc1cccc(CN(C)C2CCC(N(C)Cc3nccc(C)c3C)CC2)n1</v>
      </c>
      <c r="C2136" s="7">
        <f>IFERROR(__xludf.DUMMYFUNCTION("""COMPUTED_VALUE"""),7.810584)</f>
        <v>7.810584</v>
      </c>
      <c r="D2136" s="7">
        <f>IFERROR(__xludf.DUMMYFUNCTION("""COMPUTED_VALUE"""),0.368421052631578)</f>
        <v>0.3684210526</v>
      </c>
    </row>
    <row r="2137">
      <c r="A2137" s="10" t="s">
        <v>3576</v>
      </c>
      <c r="B2137" s="7" t="str">
        <f>IFERROR(__xludf.DUMMYFUNCTION("SPLIT(A2137,"" "")"),"CN(Cc1ccccn1)C1CCC(N(Cc2ccccn2)Cc2cccc(-c3ccc4c(c3)OCCOCCOCCOCCOCCO4)n2)CC1")</f>
        <v>CN(Cc1ccccn1)C1CCC(N(Cc2ccccn2)Cc2cccc(-c3ccc4c(c3)OCCOCCOCCOCCOCCO4)n2)CC1</v>
      </c>
      <c r="C2137" s="7">
        <f>IFERROR(__xludf.DUMMYFUNCTION("""COMPUTED_VALUE"""),7.8105817)</f>
        <v>7.8105817</v>
      </c>
      <c r="D2137" s="7">
        <f>IFERROR(__xludf.DUMMYFUNCTION("""COMPUTED_VALUE"""),0.411764705882352)</f>
        <v>0.4117647059</v>
      </c>
    </row>
    <row r="2138">
      <c r="A2138" s="10" t="s">
        <v>3577</v>
      </c>
      <c r="B2138" s="7" t="str">
        <f>IFERROR(__xludf.DUMMYFUNCTION("SPLIT(A2138,"" "")"),"CC1=NCC(c2cc(CN3CCN(C)CCN(C)CC3)ccn2)O1")</f>
        <v>CC1=NCC(c2cc(CN3CCN(C)CCN(C)CC3)ccn2)O1</v>
      </c>
      <c r="C2138" s="7">
        <f>IFERROR(__xludf.DUMMYFUNCTION("""COMPUTED_VALUE"""),7.810576)</f>
        <v>7.810576</v>
      </c>
      <c r="D2138" s="7">
        <f>IFERROR(__xludf.DUMMYFUNCTION("""COMPUTED_VALUE"""),0.44)</f>
        <v>0.44</v>
      </c>
    </row>
    <row r="2139">
      <c r="A2139" s="10" t="s">
        <v>3578</v>
      </c>
      <c r="B2139" s="7" t="str">
        <f>IFERROR(__xludf.DUMMYFUNCTION("SPLIT(A2139,"" "")"),"C=CCN(C)CCN(C)Cc1cccnc1")</f>
        <v>C=CCN(C)CCN(C)Cc1cccnc1</v>
      </c>
      <c r="C2139" s="7">
        <f>IFERROR(__xludf.DUMMYFUNCTION("""COMPUTED_VALUE"""),7.8105702)</f>
        <v>7.8105702</v>
      </c>
      <c r="D2139" s="7">
        <f>IFERROR(__xludf.DUMMYFUNCTION("""COMPUTED_VALUE"""),0.38095238095238)</f>
        <v>0.380952381</v>
      </c>
    </row>
    <row r="2140">
      <c r="A2140" s="10" t="s">
        <v>3579</v>
      </c>
      <c r="B2140" s="7" t="str">
        <f>IFERROR(__xludf.DUMMYFUNCTION("SPLIT(A2140,"" "")"),"CN(Cc1cccc(-c2ccc3c(c2)OCCOCCOCCOCCOCCO3)n1)C1CCC(N(Cc2ccc(N)cn2)Cc2cccc(-c3ccc4c(c3)OCCOCCOCCOCCOCCO4)n2)CC1")</f>
        <v>CN(Cc1cccc(-c2ccc3c(c2)OCCOCCOCCOCCOCCO3)n1)C1CCC(N(Cc2ccc(N)cn2)Cc2cccc(-c3ccc4c(c3)OCCOCCOCCOCCOCCO4)n2)CC1</v>
      </c>
      <c r="C2140" s="7">
        <f>IFERROR(__xludf.DUMMYFUNCTION("""COMPUTED_VALUE"""),7.810568)</f>
        <v>7.810568</v>
      </c>
      <c r="D2140" s="7">
        <f>IFERROR(__xludf.DUMMYFUNCTION("""COMPUTED_VALUE"""),0.386666666666666)</f>
        <v>0.3866666667</v>
      </c>
    </row>
    <row r="2141">
      <c r="A2141" s="10" t="s">
        <v>3580</v>
      </c>
      <c r="B2141" s="7" t="str">
        <f>IFERROR(__xludf.DUMMYFUNCTION("SPLIT(A2141,"" "")"),"CCNCCN(Cc1ccccn1)C(C)(N)N(CCN(C)C(C)C)C(C)C")</f>
        <v>CCNCCN(Cc1ccccn1)C(C)(N)N(CCN(C)C(C)C)C(C)C</v>
      </c>
      <c r="C2141" s="7">
        <f>IFERROR(__xludf.DUMMYFUNCTION("""COMPUTED_VALUE"""),7.810558)</f>
        <v>7.810558</v>
      </c>
      <c r="D2141" s="7">
        <f>IFERROR(__xludf.DUMMYFUNCTION("""COMPUTED_VALUE"""),0.407407407407407)</f>
        <v>0.4074074074</v>
      </c>
    </row>
    <row r="2142">
      <c r="A2142" s="10" t="s">
        <v>3581</v>
      </c>
      <c r="B2142" s="7" t="str">
        <f>IFERROR(__xludf.DUMMYFUNCTION("SPLIT(A2142,"" "")"),"CN(Cc1cccc(-c2ccc3c(c2)OCCOCCOCCOCCOCCO3)n1)C1CCC(N(Cc2ccccn2)Cc2ccccn2)CC1")</f>
        <v>CN(Cc1cccc(-c2ccc3c(c2)OCCOCCOCCOCCOCCO3)n1)C1CCC(N(Cc2ccccn2)Cc2ccccn2)CC1</v>
      </c>
      <c r="C2142" s="7">
        <f>IFERROR(__xludf.DUMMYFUNCTION("""COMPUTED_VALUE"""),7.810558)</f>
        <v>7.810558</v>
      </c>
      <c r="D2142" s="7">
        <f>IFERROR(__xludf.DUMMYFUNCTION("""COMPUTED_VALUE"""),0.411764705882352)</f>
        <v>0.4117647059</v>
      </c>
    </row>
    <row r="2143">
      <c r="A2143" s="10" t="s">
        <v>3582</v>
      </c>
      <c r="B2143" s="7" t="str">
        <f>IFERROR(__xludf.DUMMYFUNCTION("SPLIT(A2143,"" "")"),"CNC1CCCCC1N(Cc1ccccn1)Cc1cccc(C2C(Cl)CC2Cl)n1")</f>
        <v>CNC1CCCCC1N(Cc1ccccn1)Cc1cccc(C2C(Cl)CC2Cl)n1</v>
      </c>
      <c r="C2143" s="7">
        <f>IFERROR(__xludf.DUMMYFUNCTION("""COMPUTED_VALUE"""),7.810556)</f>
        <v>7.810556</v>
      </c>
      <c r="D2143" s="7">
        <f>IFERROR(__xludf.DUMMYFUNCTION("""COMPUTED_VALUE"""),0.454545454545454)</f>
        <v>0.4545454545</v>
      </c>
    </row>
    <row r="2144">
      <c r="A2144" s="10" t="s">
        <v>3583</v>
      </c>
      <c r="B2144" s="7" t="str">
        <f>IFERROR(__xludf.DUMMYFUNCTION("SPLIT(A2144,"" "")"),"Cc1cccnc1CN1CCN(C)CCN(Cc2cc(C)c(C)c(C)n2)CC1")</f>
        <v>Cc1cccnc1CN1CCN(C)CCN(Cc2cc(C)c(C)c(C)n2)CC1</v>
      </c>
      <c r="C2144" s="7">
        <f>IFERROR(__xludf.DUMMYFUNCTION("""COMPUTED_VALUE"""),7.8105507)</f>
        <v>7.8105507</v>
      </c>
      <c r="D2144" s="7">
        <f>IFERROR(__xludf.DUMMYFUNCTION("""COMPUTED_VALUE"""),0.489361702127659)</f>
        <v>0.4893617021</v>
      </c>
    </row>
    <row r="2145">
      <c r="A2145" s="10" t="s">
        <v>3584</v>
      </c>
      <c r="B2145" s="7" t="str">
        <f>IFERROR(__xludf.DUMMYFUNCTION("SPLIT(A2145,"" "")"),"CC(C)N(CCN(C)Cc1cccc(-c2ccc3c(c2)OCCOCCOCCOCCOCCO3)n1)Cc1ccccn1")</f>
        <v>CC(C)N(CCN(C)Cc1cccc(-c2ccc3c(c2)OCCOCCOCCOCCOCCO3)n1)Cc1ccccn1</v>
      </c>
      <c r="C2145" s="7">
        <f>IFERROR(__xludf.DUMMYFUNCTION("""COMPUTED_VALUE"""),7.8105483)</f>
        <v>7.8105483</v>
      </c>
      <c r="D2145" s="7">
        <f>IFERROR(__xludf.DUMMYFUNCTION("""COMPUTED_VALUE"""),0.473684210526315)</f>
        <v>0.4736842105</v>
      </c>
    </row>
    <row r="2146">
      <c r="A2146" s="10" t="s">
        <v>3585</v>
      </c>
      <c r="B2146" s="7" t="str">
        <f>IFERROR(__xludf.DUMMYFUNCTION("SPLIT(A2146,"" "")"),"Cc1cncc(CN(C)C2CCC(N(Cc3cccc(-c4ccc5c(c4)OCCOCCOCCOCCOCCO5)n3)Cc3cccc(-c4ccc5c(c4)OCCOCCOCCOCCOCCO5)n3)CC2)c1")</f>
        <v>Cc1cncc(CN(C)C2CCC(N(Cc3cccc(-c4ccc5c(c4)OCCOCCOCCOCCOCCO5)n3)Cc3cccc(-c4ccc5c(c4)OCCOCCOCCOCCOCCO5)n3)CC2)c1</v>
      </c>
      <c r="C2146" s="7">
        <f>IFERROR(__xludf.DUMMYFUNCTION("""COMPUTED_VALUE"""),7.810545)</f>
        <v>7.810545</v>
      </c>
      <c r="D2146" s="7">
        <f>IFERROR(__xludf.DUMMYFUNCTION("""COMPUTED_VALUE"""),0.333333333333333)</f>
        <v>0.3333333333</v>
      </c>
    </row>
    <row r="2147">
      <c r="A2147" s="10" t="s">
        <v>3586</v>
      </c>
      <c r="B2147" s="7" t="str">
        <f>IFERROR(__xludf.DUMMYFUNCTION("SPLIT(A2147,"" "")"),"Cc1nc(CN(C)C2CCCC(N(C)CCN(C)C(C)C)C2)c(C)c(C)c1C")</f>
        <v>Cc1nc(CN(C)C2CCCC(N(C)CCN(C)C(C)C)C2)c(C)c(C)c1C</v>
      </c>
      <c r="C2147" s="7">
        <f>IFERROR(__xludf.DUMMYFUNCTION("""COMPUTED_VALUE"""),7.810532)</f>
        <v>7.810532</v>
      </c>
      <c r="D2147" s="7">
        <f>IFERROR(__xludf.DUMMYFUNCTION("""COMPUTED_VALUE"""),0.245614035087719)</f>
        <v>0.2456140351</v>
      </c>
    </row>
    <row r="2148">
      <c r="A2148" s="10" t="s">
        <v>3587</v>
      </c>
      <c r="B2148" s="7" t="str">
        <f>IFERROR(__xludf.DUMMYFUNCTION("SPLIT(A2148,"" "")"),"CC1C=CC2(C=CC(C)C(N(Cc3ccccn3)Cc3ccccn3)C2C)CC1")</f>
        <v>CC1C=CC2(C=CC(C)C(N(Cc3ccccn3)Cc3ccccn3)C2C)CC1</v>
      </c>
      <c r="C2148" s="7">
        <f>IFERROR(__xludf.DUMMYFUNCTION("""COMPUTED_VALUE"""),7.810524)</f>
        <v>7.810524</v>
      </c>
      <c r="D2148" s="7">
        <f>IFERROR(__xludf.DUMMYFUNCTION("""COMPUTED_VALUE"""),0.403846153846153)</f>
        <v>0.4038461538</v>
      </c>
    </row>
    <row r="2149">
      <c r="A2149" s="10" t="s">
        <v>3588</v>
      </c>
      <c r="B2149" s="7" t="str">
        <f>IFERROR(__xludf.DUMMYFUNCTION("SPLIT(A2149,"" "")"),"c1ccc(CN(Cc2ccncc2)c2ccc3c(c2)OCCOCCOCCOCCOCCO3)nc1")</f>
        <v>c1ccc(CN(Cc2ccncc2)c2ccc3c(c2)OCCOCCOCCOCCOCCO3)nc1</v>
      </c>
      <c r="C2149" s="7">
        <f>IFERROR(__xludf.DUMMYFUNCTION("""COMPUTED_VALUE"""),7.8105063)</f>
        <v>7.8105063</v>
      </c>
      <c r="D2149" s="7">
        <f>IFERROR(__xludf.DUMMYFUNCTION("""COMPUTED_VALUE"""),0.354166666666666)</f>
        <v>0.3541666667</v>
      </c>
    </row>
    <row r="2150">
      <c r="A2150" s="10" t="s">
        <v>3589</v>
      </c>
      <c r="B2150" s="7" t="str">
        <f>IFERROR(__xludf.DUMMYFUNCTION("SPLIT(A2150,"" "")"),"Cc1cccnc1CN(C)C1CCC(N(C)Cc2cccnc2C)CC1")</f>
        <v>Cc1cccnc1CN(C)C1CCC(N(C)Cc2cccnc2C)CC1</v>
      </c>
      <c r="C2150" s="7">
        <f>IFERROR(__xludf.DUMMYFUNCTION("""COMPUTED_VALUE"""),7.8104897)</f>
        <v>7.8104897</v>
      </c>
      <c r="D2150" s="7">
        <f>IFERROR(__xludf.DUMMYFUNCTION("""COMPUTED_VALUE"""),0.34)</f>
        <v>0.34</v>
      </c>
    </row>
    <row r="2151">
      <c r="A2151" s="10" t="s">
        <v>3590</v>
      </c>
      <c r="B2151" s="7" t="str">
        <f>IFERROR(__xludf.DUMMYFUNCTION("SPLIT(A2151,"" "")"),"CNCc1cccc(CN(Cc2ccccn2)C2CCC(N(C)Cc3cccc(-c4cccc5c4OCCOCCOCCOCCOCCO5)n3)CC2)n1")</f>
        <v>CNCc1cccc(CN(Cc2ccccn2)C2CCC(N(C)Cc3cccc(-c4cccc5c4OCCOCCOCCOCCOCCO5)n3)CC2)n1</v>
      </c>
      <c r="C2151" s="7">
        <f>IFERROR(__xludf.DUMMYFUNCTION("""COMPUTED_VALUE"""),7.810465)</f>
        <v>7.810465</v>
      </c>
      <c r="D2151" s="7">
        <f>IFERROR(__xludf.DUMMYFUNCTION("""COMPUTED_VALUE"""),0.357142857142857)</f>
        <v>0.3571428571</v>
      </c>
    </row>
    <row r="2152">
      <c r="A2152" s="10" t="s">
        <v>3591</v>
      </c>
      <c r="B2152" s="7" t="str">
        <f>IFERROR(__xludf.DUMMYFUNCTION("SPLIT(A2152,"" "")"),"Cc1ccc(-c2cccc(CN(C)C3CCC(N(Cc4ccccn4)Cc4cccc(-c5ccc6c(c5)OCCOCCOCCOCCOCCO6)n4)CC3)n2)c2c1OCCOCCOCCOCCOCCO2")</f>
        <v>Cc1ccc(-c2cccc(CN(C)C3CCC(N(Cc4ccccn4)Cc4cccc(-c5ccc6c(c5)OCCOCCOCCOCCOCCO6)n4)CC3)n2)c2c1OCCOCCOCCOCCOCCO2</v>
      </c>
      <c r="C2152" s="7">
        <f>IFERROR(__xludf.DUMMYFUNCTION("""COMPUTED_VALUE"""),7.8104606)</f>
        <v>7.8104606</v>
      </c>
      <c r="D2152" s="7">
        <f>IFERROR(__xludf.DUMMYFUNCTION("""COMPUTED_VALUE"""),0.35)</f>
        <v>0.35</v>
      </c>
    </row>
    <row r="2153">
      <c r="A2153" s="10" t="s">
        <v>3592</v>
      </c>
      <c r="B2153" s="7" t="str">
        <f>IFERROR(__xludf.DUMMYFUNCTION("SPLIT(A2153,"" "")"),"CC1C=CC2(C=CNC(C(C)C)=C2)C(C)(C)C1")</f>
        <v>CC1C=CC2(C=CNC(C(C)C)=C2)C(C)(C)C1</v>
      </c>
      <c r="C2153" s="7">
        <f>IFERROR(__xludf.DUMMYFUNCTION("""COMPUTED_VALUE"""),7.8104463)</f>
        <v>7.8104463</v>
      </c>
      <c r="D2153" s="7">
        <f>IFERROR(__xludf.DUMMYFUNCTION("""COMPUTED_VALUE"""),0.172413793103448)</f>
        <v>0.1724137931</v>
      </c>
    </row>
    <row r="2154">
      <c r="A2154" s="10" t="s">
        <v>3593</v>
      </c>
      <c r="B2154" s="7" t="str">
        <f>IFERROR(__xludf.DUMMYFUNCTION("SPLIT(A2154,"" "")"),"Cc1cccc(CN(C)C2CCCCC2N(Cc2ccccn2)Cc2ccc(-c3ccc4c(c3)OCCOCCOCCOCCOCCO4)cn2)n1")</f>
        <v>Cc1cccc(CN(C)C2CCCCC2N(Cc2ccccn2)Cc2ccc(-c3ccc4c(c3)OCCOCCOCCOCCOCCO4)cn2)n1</v>
      </c>
      <c r="C2154" s="7">
        <f>IFERROR(__xludf.DUMMYFUNCTION("""COMPUTED_VALUE"""),7.8104415)</f>
        <v>7.8104415</v>
      </c>
      <c r="D2154" s="7">
        <f>IFERROR(__xludf.DUMMYFUNCTION("""COMPUTED_VALUE"""),0.484375)</f>
        <v>0.484375</v>
      </c>
    </row>
    <row r="2155">
      <c r="A2155" s="10" t="s">
        <v>3594</v>
      </c>
      <c r="B2155" s="7" t="str">
        <f>IFERROR(__xludf.DUMMYFUNCTION("SPLIT(A2155,"" "")"),"Cc1ccncc1CN(C)CCN(C)CCN")</f>
        <v>Cc1ccncc1CN(C)CCN(C)CCN</v>
      </c>
      <c r="C2155" s="7">
        <f>IFERROR(__xludf.DUMMYFUNCTION("""COMPUTED_VALUE"""),7.81044)</f>
        <v>7.81044</v>
      </c>
      <c r="D2155" s="7">
        <f>IFERROR(__xludf.DUMMYFUNCTION("""COMPUTED_VALUE"""),0.357142857142857)</f>
        <v>0.3571428571</v>
      </c>
    </row>
    <row r="2156">
      <c r="A2156" s="10" t="s">
        <v>3595</v>
      </c>
      <c r="B2156" s="7" t="str">
        <f>IFERROR(__xludf.DUMMYFUNCTION("SPLIT(A2156,"" "")"),"CN(CCF)C1CCCCC1N(C)Cc1ccc2ncccc2c1")</f>
        <v>CN(CCF)C1CCCCC1N(C)Cc1ccc2ncccc2c1</v>
      </c>
      <c r="C2156" s="7">
        <f>IFERROR(__xludf.DUMMYFUNCTION("""COMPUTED_VALUE"""),7.8104296)</f>
        <v>7.8104296</v>
      </c>
      <c r="D2156" s="7">
        <f>IFERROR(__xludf.DUMMYFUNCTION("""COMPUTED_VALUE"""),0.450980392156862)</f>
        <v>0.4509803922</v>
      </c>
    </row>
    <row r="2157">
      <c r="A2157" s="10" t="s">
        <v>3596</v>
      </c>
      <c r="B2157" s="7" t="str">
        <f>IFERROR(__xludf.DUMMYFUNCTION("SPLIT(A2157,"" "")"),"CC(C)N(CCN(C)Cc1ncccc1-c1cccc2c1OCCOCCOCCOCCOCCO2)Cc1ccccn1")</f>
        <v>CC(C)N(CCN(C)Cc1ncccc1-c1cccc2c1OCCOCCOCCOCCOCCO2)Cc1ccccn1</v>
      </c>
      <c r="C2157" s="7">
        <f>IFERROR(__xludf.DUMMYFUNCTION("""COMPUTED_VALUE"""),7.810428)</f>
        <v>7.810428</v>
      </c>
      <c r="D2157" s="7">
        <f>IFERROR(__xludf.DUMMYFUNCTION("""COMPUTED_VALUE"""),0.482142857142857)</f>
        <v>0.4821428571</v>
      </c>
    </row>
    <row r="2158">
      <c r="A2158" s="10" t="s">
        <v>3597</v>
      </c>
      <c r="B2158" s="7" t="str">
        <f>IFERROR(__xludf.DUMMYFUNCTION("SPLIT(A2158,"" "")"),"Cc1cccnc1CN(C)C1CCCC(N(C)Cc2cccnc2CNC(C)C)C1")</f>
        <v>Cc1cccnc1CN(C)C1CCCC(N(C)Cc2cccnc2CNC(C)C)C1</v>
      </c>
      <c r="C2158" s="7">
        <f>IFERROR(__xludf.DUMMYFUNCTION("""COMPUTED_VALUE"""),7.810426)</f>
        <v>7.810426</v>
      </c>
      <c r="D2158" s="7">
        <f>IFERROR(__xludf.DUMMYFUNCTION("""COMPUTED_VALUE"""),0.310344827586206)</f>
        <v>0.3103448276</v>
      </c>
    </row>
    <row r="2159">
      <c r="A2159" s="10" t="s">
        <v>3598</v>
      </c>
      <c r="B2159" s="7" t="str">
        <f>IFERROR(__xludf.DUMMYFUNCTION("SPLIT(A2159,"" "")"),"CNCc1ncccc1CN(C)C1CCCCC1N(C)Cc1nc(C)ccc1C")</f>
        <v>CNCc1ncccc1CN(C)C1CCCCC1N(C)Cc1nc(C)ccc1C</v>
      </c>
      <c r="C2159" s="7">
        <f>IFERROR(__xludf.DUMMYFUNCTION("""COMPUTED_VALUE"""),7.8104115)</f>
        <v>7.8104115</v>
      </c>
      <c r="D2159" s="7">
        <f>IFERROR(__xludf.DUMMYFUNCTION("""COMPUTED_VALUE"""),0.436363636363636)</f>
        <v>0.4363636364</v>
      </c>
    </row>
    <row r="2160">
      <c r="A2160" s="10" t="s">
        <v>3599</v>
      </c>
      <c r="B2160" s="7" t="str">
        <f>IFERROR(__xludf.DUMMYFUNCTION("SPLIT(A2160,"" "")"),"CNC1CCCCC1N(Cc1ccccn1)Cc1ncc(C)c(C)c1C")</f>
        <v>CNC1CCCCC1N(Cc1ccccn1)Cc1ncc(C)c(C)c1C</v>
      </c>
      <c r="C2160" s="7">
        <f>IFERROR(__xludf.DUMMYFUNCTION("""COMPUTED_VALUE"""),7.810403)</f>
        <v>7.810403</v>
      </c>
      <c r="D2160" s="7">
        <f>IFERROR(__xludf.DUMMYFUNCTION("""COMPUTED_VALUE"""),0.48076923076923)</f>
        <v>0.4807692308</v>
      </c>
    </row>
    <row r="2161">
      <c r="A2161" s="10" t="s">
        <v>3600</v>
      </c>
      <c r="B2161" s="7" t="str">
        <f>IFERROR(__xludf.DUMMYFUNCTION("SPLIT(A2161,"" "")"),"CC(N)C(C)N(C)Cc1ncccc1N")</f>
        <v>CC(N)C(C)N(C)Cc1ncccc1N</v>
      </c>
      <c r="C2161" s="7">
        <f>IFERROR(__xludf.DUMMYFUNCTION("""COMPUTED_VALUE"""),7.810395)</f>
        <v>7.810395</v>
      </c>
      <c r="D2161" s="7">
        <f>IFERROR(__xludf.DUMMYFUNCTION("""COMPUTED_VALUE"""),0.311111111111111)</f>
        <v>0.3111111111</v>
      </c>
    </row>
    <row r="2162">
      <c r="A2162" s="10" t="s">
        <v>3601</v>
      </c>
      <c r="B2162" s="7" t="str">
        <f>IFERROR(__xludf.DUMMYFUNCTION("SPLIT(A2162,"" "")"),"CN(Cc1ncccc1-c1cccc2c1OCCOCCOCCOCCOCCO2)C1CCC(N(Cc2ccccn2)Cc2ccccn2)CC1")</f>
        <v>CN(Cc1ncccc1-c1cccc2c1OCCOCCOCCOCCOCCO2)C1CCC(N(Cc2ccccn2)Cc2ccccn2)CC1</v>
      </c>
      <c r="C2162" s="7">
        <f>IFERROR(__xludf.DUMMYFUNCTION("""COMPUTED_VALUE"""),7.8103933)</f>
        <v>7.8103933</v>
      </c>
      <c r="D2162" s="7">
        <f>IFERROR(__xludf.DUMMYFUNCTION("""COMPUTED_VALUE"""),0.370967741935483)</f>
        <v>0.3709677419</v>
      </c>
    </row>
    <row r="2163">
      <c r="A2163" s="10" t="s">
        <v>3602</v>
      </c>
      <c r="B2163" s="7" t="str">
        <f>IFERROR(__xludf.DUMMYFUNCTION("SPLIT(A2163,"" "")"),"CC1C=CC(Cl)CC1SCc1ccccn1")</f>
        <v>CC1C=CC(Cl)CC1SCc1ccccn1</v>
      </c>
      <c r="C2163" s="7">
        <f>IFERROR(__xludf.DUMMYFUNCTION("""COMPUTED_VALUE"""),7.81039)</f>
        <v>7.81039</v>
      </c>
      <c r="D2163" s="7">
        <f>IFERROR(__xludf.DUMMYFUNCTION("""COMPUTED_VALUE"""),0.439024390243902)</f>
        <v>0.4390243902</v>
      </c>
    </row>
    <row r="2164">
      <c r="A2164" s="10" t="s">
        <v>3603</v>
      </c>
      <c r="B2164" s="7" t="str">
        <f>IFERROR(__xludf.DUMMYFUNCTION("SPLIT(A2164,"" "")"),"CN(CCN(C)Cc1ccc2ncccc2c1)Cc1ccc2c(c1)OCCOCCOCCOCCOCCO2")</f>
        <v>CN(CCN(C)Cc1ccc2ncccc2c1)Cc1ccc2c(c1)OCCOCCOCCOCCOCCO2</v>
      </c>
      <c r="C2164" s="7">
        <f>IFERROR(__xludf.DUMMYFUNCTION("""COMPUTED_VALUE"""),7.8103867)</f>
        <v>7.8103867</v>
      </c>
      <c r="D2164" s="7">
        <f>IFERROR(__xludf.DUMMYFUNCTION("""COMPUTED_VALUE"""),0.37037037037037)</f>
        <v>0.3703703704</v>
      </c>
    </row>
    <row r="2165">
      <c r="A2165" s="10" t="s">
        <v>3604</v>
      </c>
      <c r="B2165" s="7" t="str">
        <f>IFERROR(__xludf.DUMMYFUNCTION("SPLIT(A2165,"" "")"),"CN(CCN(C)Cc1cccc(-c2ccc3c(c2)OCCOCCOCCOCCOCCO3)n1)Cc1cccc(-c2ccc3c(c2)OCCOCCOCCOCCOCCO3)n1")</f>
        <v>CN(CCN(C)Cc1cccc(-c2ccc3c(c2)OCCOCCOCCOCCOCCO3)n1)Cc1cccc(-c2ccc3c(c2)OCCOCCOCCOCCOCCO3)n1</v>
      </c>
      <c r="C2165" s="7">
        <f>IFERROR(__xludf.DUMMYFUNCTION("""COMPUTED_VALUE"""),7.810383)</f>
        <v>7.810383</v>
      </c>
      <c r="D2165" s="7">
        <f>IFERROR(__xludf.DUMMYFUNCTION("""COMPUTED_VALUE"""),0.425531914893617)</f>
        <v>0.4255319149</v>
      </c>
    </row>
    <row r="2166">
      <c r="A2166" s="10" t="s">
        <v>3605</v>
      </c>
      <c r="B2166" s="7" t="str">
        <f>IFERROR(__xludf.DUMMYFUNCTION("SPLIT(A2166,"" "")"),"Cc1cccnc1CN(Cc1ncccc1C)C1CCCCC1N(C)C")</f>
        <v>Cc1cccnc1CN(Cc1ncccc1C)C1CCCCC1N(C)C</v>
      </c>
      <c r="C2166" s="7">
        <f>IFERROR(__xludf.DUMMYFUNCTION("""COMPUTED_VALUE"""),7.810381)</f>
        <v>7.810381</v>
      </c>
      <c r="D2166" s="7">
        <f>IFERROR(__xludf.DUMMYFUNCTION("""COMPUTED_VALUE"""),0.444444444444444)</f>
        <v>0.4444444444</v>
      </c>
    </row>
    <row r="2167">
      <c r="A2167" s="10" t="s">
        <v>3606</v>
      </c>
      <c r="B2167" s="7" t="str">
        <f>IFERROR(__xludf.DUMMYFUNCTION("SPLIT(A2167,"" "")"),"Cc1cnc(CN(Cc2cccnn2)C2CCCCC2)c(C)c1")</f>
        <v>Cc1cnc(CN(Cc2cccnn2)C2CCCCC2)c(C)c1</v>
      </c>
      <c r="C2167" s="7">
        <f>IFERROR(__xludf.DUMMYFUNCTION("""COMPUTED_VALUE"""),7.8103743)</f>
        <v>7.8103743</v>
      </c>
      <c r="D2167" s="7">
        <f>IFERROR(__xludf.DUMMYFUNCTION("""COMPUTED_VALUE"""),0.372549019607843)</f>
        <v>0.3725490196</v>
      </c>
    </row>
    <row r="2168">
      <c r="A2168" s="10" t="s">
        <v>3607</v>
      </c>
      <c r="B2168" s="7" t="str">
        <f>IFERROR(__xludf.DUMMYFUNCTION("SPLIT(A2168,"" "")"),"CN(CC1=CCC=C(N(C)c2cccc3c2OCCOCCOCCOCCOCCO3)N1)Cc1ccccn1")</f>
        <v>CN(CC1=CCC=C(N(C)c2cccc3c2OCCOCCOCCOCCOCCO3)N1)Cc1ccccn1</v>
      </c>
      <c r="C2168" s="7">
        <f>IFERROR(__xludf.DUMMYFUNCTION("""COMPUTED_VALUE"""),7.81036)</f>
        <v>7.81036</v>
      </c>
      <c r="D2168" s="7">
        <f>IFERROR(__xludf.DUMMYFUNCTION("""COMPUTED_VALUE"""),0.359375)</f>
        <v>0.359375</v>
      </c>
    </row>
    <row r="2169">
      <c r="A2169" s="10" t="s">
        <v>3608</v>
      </c>
      <c r="B2169" s="7" t="str">
        <f>IFERROR(__xludf.DUMMYFUNCTION("SPLIT(A2169,"" "")"),"CCN(Cc1ccccn1)CN(C)C1CCCC(N(C)Cc2nc(C)c(C)cc2C)C1")</f>
        <v>CCN(Cc1ccccn1)CN(C)C1CCCC(N(C)Cc2nc(C)c(C)cc2C)C1</v>
      </c>
      <c r="C2169" s="7">
        <f>IFERROR(__xludf.DUMMYFUNCTION("""COMPUTED_VALUE"""),7.8103585)</f>
        <v>7.8103585</v>
      </c>
      <c r="D2169" s="7">
        <f>IFERROR(__xludf.DUMMYFUNCTION("""COMPUTED_VALUE"""),0.413793103448275)</f>
        <v>0.4137931034</v>
      </c>
    </row>
    <row r="2170">
      <c r="A2170" s="10" t="s">
        <v>3609</v>
      </c>
      <c r="B2170" s="7" t="str">
        <f>IFERROR(__xludf.DUMMYFUNCTION("SPLIT(A2170,"" "")"),"CN(CCN(C)C(C)(C)c1cncc(-c2cccc3c2OCCOCCOCCOCCOCCO3)c1)Cc1cc(-c2ccc3c(c2)OCCOCCOCCOCCOCCO3)ccn1")</f>
        <v>CN(CCN(C)C(C)(C)c1cncc(-c2cccc3c2OCCOCCOCCOCCOCCO3)c1)Cc1cc(-c2ccc3c(c2)OCCOCCOCCOCCOCCO3)ccn1</v>
      </c>
      <c r="C2170" s="7">
        <f>IFERROR(__xludf.DUMMYFUNCTION("""COMPUTED_VALUE"""),7.810358)</f>
        <v>7.810358</v>
      </c>
      <c r="D2170" s="7">
        <f>IFERROR(__xludf.DUMMYFUNCTION("""COMPUTED_VALUE"""),0.309523809523809)</f>
        <v>0.3095238095</v>
      </c>
    </row>
    <row r="2171">
      <c r="A2171" s="10" t="s">
        <v>3610</v>
      </c>
      <c r="B2171" s="7" t="str">
        <f>IFERROR(__xludf.DUMMYFUNCTION("SPLIT(A2171,"" "")"),"COC(=O)C(C)NCc1ccc(C(=O)C(=O)C(C)N2CCN(C)CCN(C(C)OC)CC2)cn1")</f>
        <v>COC(=O)C(C)NCc1ccc(C(=O)C(=O)C(C)N2CCN(C)CCN(C(C)OC)CC2)cn1</v>
      </c>
      <c r="C2171" s="7">
        <f>IFERROR(__xludf.DUMMYFUNCTION("""COMPUTED_VALUE"""),7.8103566)</f>
        <v>7.8103566</v>
      </c>
      <c r="D2171" s="7">
        <f>IFERROR(__xludf.DUMMYFUNCTION("""COMPUTED_VALUE"""),0.287671232876712)</f>
        <v>0.2876712329</v>
      </c>
    </row>
    <row r="2172">
      <c r="A2172" s="10" t="s">
        <v>3611</v>
      </c>
      <c r="B2172" s="7" t="str">
        <f>IFERROR(__xludf.DUMMYFUNCTION("SPLIT(A2172,"" "")"),"CCCN(C)Cc1cccc(CN(Cc2ccccn2)C2CCCC(N(C)Cc3cccc(-c4ccc5c(c4)OCCOCCOCCOCCOCCO5)n3)C2)n1")</f>
        <v>CCCN(C)Cc1cccc(CN(Cc2ccccn2)C2CCCC(N(C)Cc3cccc(-c4ccc5c(c4)OCCOCCOCCOCCOCCO5)n3)C2)n1</v>
      </c>
      <c r="C2172" s="7">
        <f>IFERROR(__xludf.DUMMYFUNCTION("""COMPUTED_VALUE"""),7.8103566)</f>
        <v>7.8103566</v>
      </c>
      <c r="D2172" s="7">
        <f>IFERROR(__xludf.DUMMYFUNCTION("""COMPUTED_VALUE"""),0.375)</f>
        <v>0.375</v>
      </c>
    </row>
    <row r="2173">
      <c r="A2173" s="10" t="s">
        <v>3612</v>
      </c>
      <c r="B2173" s="7" t="str">
        <f>IFERROR(__xludf.DUMMYFUNCTION("SPLIT(A2173,"" "")"),"CN1CCN(C)CCN(Cc2cccnc2CN(C)Cc2ccon2)CC1")</f>
        <v>CN1CCN(C)CCN(Cc2cccnc2CN(C)Cc2ccon2)CC1</v>
      </c>
      <c r="C2173" s="7">
        <f>IFERROR(__xludf.DUMMYFUNCTION("""COMPUTED_VALUE"""),7.8103495)</f>
        <v>7.8103495</v>
      </c>
      <c r="D2173" s="7">
        <f>IFERROR(__xludf.DUMMYFUNCTION("""COMPUTED_VALUE"""),0.4375)</f>
        <v>0.4375</v>
      </c>
    </row>
    <row r="2174">
      <c r="A2174" s="10" t="s">
        <v>3613</v>
      </c>
      <c r="B2174" s="7" t="str">
        <f>IFERROR(__xludf.DUMMYFUNCTION("SPLIT(A2174,"" "")"),"CC(C)N(Cc1cc(C(C)(C)C)ccn1)C1CCCC(N(C)Cc2cc(-c3ccc4c(c3)OCCOCCOCCOCCOCCO4)ccn2)C1")</f>
        <v>CC(C)N(Cc1cc(C(C)(C)C)ccn1)C1CCCC(N(C)Cc2cc(-c3ccc4c(c3)OCCOCCOCCOCCOCCO4)ccn2)C1</v>
      </c>
      <c r="C2174" s="7">
        <f>IFERROR(__xludf.DUMMYFUNCTION("""COMPUTED_VALUE"""),7.810348)</f>
        <v>7.810348</v>
      </c>
      <c r="D2174" s="7">
        <f>IFERROR(__xludf.DUMMYFUNCTION("""COMPUTED_VALUE"""),0.368421052631578)</f>
        <v>0.3684210526</v>
      </c>
    </row>
    <row r="2175">
      <c r="A2175" s="10" t="s">
        <v>3614</v>
      </c>
      <c r="B2175" s="7" t="str">
        <f>IFERROR(__xludf.DUMMYFUNCTION("SPLIT(A2175,"" "")"),"Cc1ccnc(CN(C)C2CCCC(N(C)Cc3ccc(CNC(C)C)nc3)C2)c1")</f>
        <v>Cc1ccnc(CN(C)C2CCCC(N(C)Cc3ccc(CNC(C)C)nc3)C2)c1</v>
      </c>
      <c r="C2175" s="7">
        <f>IFERROR(__xludf.DUMMYFUNCTION("""COMPUTED_VALUE"""),7.8103275)</f>
        <v>7.8103275</v>
      </c>
      <c r="D2175" s="7">
        <f>IFERROR(__xludf.DUMMYFUNCTION("""COMPUTED_VALUE"""),0.372881355932203)</f>
        <v>0.3728813559</v>
      </c>
    </row>
    <row r="2176">
      <c r="A2176" s="10" t="s">
        <v>3615</v>
      </c>
      <c r="B2176" s="7" t="str">
        <f>IFERROR(__xludf.DUMMYFUNCTION("SPLIT(A2176,"" "")"),"Cc1ccc(C)c(CN(C)C2CCCC(N(C)CN(C)C3CCCC(N(C)Cc4nc(C)c(C)c(C)c4C)C3)C2)n1")</f>
        <v>Cc1ccc(C)c(CN(C)C2CCCC(N(C)CN(C)C3CCCC(N(C)Cc4nc(C)c(C)c(C)c4C)C3)C2)n1</v>
      </c>
      <c r="C2176" s="7">
        <f>IFERROR(__xludf.DUMMYFUNCTION("""COMPUTED_VALUE"""),7.810308)</f>
        <v>7.810308</v>
      </c>
      <c r="D2176" s="7">
        <f>IFERROR(__xludf.DUMMYFUNCTION("""COMPUTED_VALUE"""),0.321428571428571)</f>
        <v>0.3214285714</v>
      </c>
    </row>
    <row r="2177">
      <c r="A2177" s="10" t="s">
        <v>3616</v>
      </c>
      <c r="B2177" s="7" t="str">
        <f>IFERROR(__xludf.DUMMYFUNCTION("SPLIT(A2177,"" "")"),"CNCC(C)(C)C")</f>
        <v>CNCC(C)(C)C</v>
      </c>
      <c r="C2177" s="7">
        <f>IFERROR(__xludf.DUMMYFUNCTION("""COMPUTED_VALUE"""),7.8103004)</f>
        <v>7.8103004</v>
      </c>
      <c r="D2177" s="7">
        <f>IFERROR(__xludf.DUMMYFUNCTION("""COMPUTED_VALUE"""),0.138888888888888)</f>
        <v>0.1388888889</v>
      </c>
    </row>
    <row r="2178">
      <c r="A2178" s="10" t="s">
        <v>3617</v>
      </c>
      <c r="B2178" s="7" t="str">
        <f>IFERROR(__xludf.DUMMYFUNCTION("SPLIT(A2178,"" "")"),"CN1CCN(Cc2cccc(-c3ccc4c(c3)OCCOCCOCCOCCOCCO4)n2)CCN(Cc2cccc(C(C)(C)c3ccccn3)n2)CC1")</f>
        <v>CN1CCN(Cc2cccc(-c3ccc4c(c3)OCCOCCOCCOCCOCCO4)n2)CCN(Cc2cccc(C(C)(C)c3ccccn3)n2)CC1</v>
      </c>
      <c r="C2178" s="7">
        <f>IFERROR(__xludf.DUMMYFUNCTION("""COMPUTED_VALUE"""),7.8102946)</f>
        <v>7.8102946</v>
      </c>
      <c r="D2178" s="7">
        <f>IFERROR(__xludf.DUMMYFUNCTION("""COMPUTED_VALUE"""),0.419354838709677)</f>
        <v>0.4193548387</v>
      </c>
    </row>
    <row r="2179">
      <c r="A2179" s="10" t="s">
        <v>3618</v>
      </c>
      <c r="B2179" s="7" t="str">
        <f>IFERROR(__xludf.DUMMYFUNCTION("SPLIT(A2179,"" "")"),"CN1CCN(Cc2ccc(-c3ccc4c(c3)OCCOCCOCCOCCOCCO4)cn2)CCN(C(c2ccccn2)c2ccccn2)CC1")</f>
        <v>CN1CCN(Cc2ccc(-c3ccc4c(c3)OCCOCCOCCOCCOCCO4)cn2)CCN(C(c2ccccn2)c2ccccn2)CC1</v>
      </c>
      <c r="C2179" s="7">
        <f>IFERROR(__xludf.DUMMYFUNCTION("""COMPUTED_VALUE"""),7.810287)</f>
        <v>7.810287</v>
      </c>
      <c r="D2179" s="7">
        <f>IFERROR(__xludf.DUMMYFUNCTION("""COMPUTED_VALUE"""),0.5)</f>
        <v>0.5</v>
      </c>
    </row>
    <row r="2180">
      <c r="A2180" s="10" t="s">
        <v>3619</v>
      </c>
      <c r="B2180" s="7" t="str">
        <f>IFERROR(__xludf.DUMMYFUNCTION("SPLIT(A2180,"" "")"),"CNCc1cc(CN(Cc2ccccn2)C2CCC(N(C)Cc3cc(-c4cccc5c4OCCOCCOCCOCCOCCO5)ccn3)CC2)ccn1")</f>
        <v>CNCc1cc(CN(Cc2ccccn2)C2CCC(N(C)Cc3cc(-c4cccc5c4OCCOCCOCCOCCOCCO5)ccn3)CC2)ccn1</v>
      </c>
      <c r="C2180" s="7">
        <f>IFERROR(__xludf.DUMMYFUNCTION("""COMPUTED_VALUE"""),7.8102837)</f>
        <v>7.8102837</v>
      </c>
      <c r="D2180" s="7">
        <f>IFERROR(__xludf.DUMMYFUNCTION("""COMPUTED_VALUE"""),0.324324324324324)</f>
        <v>0.3243243243</v>
      </c>
    </row>
    <row r="2181">
      <c r="A2181" s="10" t="s">
        <v>3620</v>
      </c>
      <c r="B2181" s="7" t="str">
        <f>IFERROR(__xludf.DUMMYFUNCTION("SPLIT(A2181,"" "")"),"CC(C)N1CCN(C)CCN(C(C)(c2cccnc2)c2ccccn2)CC1")</f>
        <v>CC(C)N1CCN(C)CCN(C(C)(c2cccnc2)c2ccccn2)CC1</v>
      </c>
      <c r="C2181" s="7">
        <f>IFERROR(__xludf.DUMMYFUNCTION("""COMPUTED_VALUE"""),7.8102736)</f>
        <v>7.8102736</v>
      </c>
      <c r="D2181" s="7">
        <f>IFERROR(__xludf.DUMMYFUNCTION("""COMPUTED_VALUE"""),0.381818181818181)</f>
        <v>0.3818181818</v>
      </c>
    </row>
    <row r="2182">
      <c r="A2182" s="10" t="s">
        <v>3621</v>
      </c>
      <c r="B2182" s="7" t="str">
        <f>IFERROR(__xludf.DUMMYFUNCTION("SPLIT(A2182,"" "")"),"Cc1cccc(CN(C)C2=CCC=C(CN(C)Cc3ccc4c(c3)OCCOCCOCCOCCOCCO4)N2)n1")</f>
        <v>Cc1cccc(CN(C)C2=CCC=C(CN(C)Cc3ccc4c(c3)OCCOCCOCCOCCOCCO4)N2)n1</v>
      </c>
      <c r="C2182" s="7">
        <f>IFERROR(__xludf.DUMMYFUNCTION("""COMPUTED_VALUE"""),7.810271)</f>
        <v>7.810271</v>
      </c>
      <c r="D2182" s="7">
        <f>IFERROR(__xludf.DUMMYFUNCTION("""COMPUTED_VALUE"""),0.344262295081967)</f>
        <v>0.3442622951</v>
      </c>
    </row>
    <row r="2183">
      <c r="A2183" s="10" t="s">
        <v>3622</v>
      </c>
      <c r="B2183" s="7" t="str">
        <f>IFERROR(__xludf.DUMMYFUNCTION("SPLIT(A2183,"" "")"),"Cc1cccnc1CN(C)C1C(C)C=CC(C)C1C")</f>
        <v>Cc1cccnc1CN(C)C1C(C)C=CC(C)C1C</v>
      </c>
      <c r="C2183" s="7">
        <f>IFERROR(__xludf.DUMMYFUNCTION("""COMPUTED_VALUE"""),7.8102627)</f>
        <v>7.8102627</v>
      </c>
      <c r="D2183" s="7">
        <f>IFERROR(__xludf.DUMMYFUNCTION("""COMPUTED_VALUE"""),0.3)</f>
        <v>0.3</v>
      </c>
    </row>
    <row r="2184">
      <c r="A2184" s="10" t="s">
        <v>3623</v>
      </c>
      <c r="B2184" s="7" t="str">
        <f>IFERROR(__xludf.DUMMYFUNCTION("SPLIT(A2184,"" "")"),"CN(CNCc1ncccc1-c1cccc2c1OCCOCCOCCOCCOCCO2)Cc1ccccn1")</f>
        <v>CN(CNCc1ncccc1-c1cccc2c1OCCOCCOCCOCCOCCO2)Cc1ccccn1</v>
      </c>
      <c r="C2184" s="7">
        <f>IFERROR(__xludf.DUMMYFUNCTION("""COMPUTED_VALUE"""),7.810235)</f>
        <v>7.810235</v>
      </c>
      <c r="D2184" s="7">
        <f>IFERROR(__xludf.DUMMYFUNCTION("""COMPUTED_VALUE"""),0.354838709677419)</f>
        <v>0.3548387097</v>
      </c>
    </row>
    <row r="2185">
      <c r="A2185" s="10" t="s">
        <v>3624</v>
      </c>
      <c r="B2185" s="7" t="str">
        <f>IFERROR(__xludf.DUMMYFUNCTION("SPLIT(A2185,"" "")"),"CC(C)NCc1cccc(CN(Cc2ccccn2)C2CCC(N(C)Cc3cccc(-c4cccc5c4OCCOCCOCCOCCOCCO5)n3)CC2)n1")</f>
        <v>CC(C)NCc1cccc(CN(Cc2ccccn2)C2CCC(N(C)Cc3cccc(-c4cccc5c4OCCOCCOCCOCCOCCO5)n3)CC2)n1</v>
      </c>
      <c r="C2185" s="7">
        <f>IFERROR(__xludf.DUMMYFUNCTION("""COMPUTED_VALUE"""),7.8102202)</f>
        <v>7.8102202</v>
      </c>
      <c r="D2185" s="7">
        <f>IFERROR(__xludf.DUMMYFUNCTION("""COMPUTED_VALUE"""),0.347222222222222)</f>
        <v>0.3472222222</v>
      </c>
    </row>
    <row r="2186">
      <c r="A2186" s="10" t="s">
        <v>3625</v>
      </c>
      <c r="B2186" s="7" t="str">
        <f>IFERROR(__xludf.DUMMYFUNCTION("SPLIT(A2186,"" "")"),"CNCc1cccc(CN(Cc2ccccn2)C2CCC(N(C)Cc3cc(-c4cccc5c4OCCOCCOCCOCCOCCO5)ccn3)CC2)n1")</f>
        <v>CNCc1cccc(CN(Cc2ccccn2)C2CCC(N(C)Cc3cc(-c4cccc5c4OCCOCCOCCOCCOCCO5)ccn3)CC2)n1</v>
      </c>
      <c r="C2186" s="7">
        <f>IFERROR(__xludf.DUMMYFUNCTION("""COMPUTED_VALUE"""),7.8102026)</f>
        <v>7.8102026</v>
      </c>
      <c r="D2186" s="7">
        <f>IFERROR(__xludf.DUMMYFUNCTION("""COMPUTED_VALUE"""),0.328767123287671)</f>
        <v>0.3287671233</v>
      </c>
    </row>
    <row r="2187">
      <c r="A2187" s="10" t="s">
        <v>3626</v>
      </c>
      <c r="B2187" s="7" t="str">
        <f>IFERROR(__xludf.DUMMYFUNCTION("SPLIT(A2187,"" "")"),"CC(c1ccccn1)(c1ccccn1)c1cccc(CNC23C=CC=CC2OCCOCCOCCOC=COCCO3)n1")</f>
        <v>CC(c1ccccn1)(c1ccccn1)c1cccc(CNC23C=CC=CC2OCCOCCOCCOC=COCCO3)n1</v>
      </c>
      <c r="C2187" s="7">
        <f>IFERROR(__xludf.DUMMYFUNCTION("""COMPUTED_VALUE"""),7.8101892)</f>
        <v>7.8101892</v>
      </c>
      <c r="D2187" s="7">
        <f>IFERROR(__xludf.DUMMYFUNCTION("""COMPUTED_VALUE"""),0.32)</f>
        <v>0.32</v>
      </c>
    </row>
    <row r="2188">
      <c r="A2188" s="10" t="s">
        <v>3627</v>
      </c>
      <c r="B2188" s="7" t="str">
        <f>IFERROR(__xludf.DUMMYFUNCTION("SPLIT(A2188,"" "")"),"CNCc1ncccc1CN(Cc1ccccn1)C1CCC(N(C)Cc2cccc(-c3cccc4c3OCCOCCOCCOCCOCCO4)n2)CC1")</f>
        <v>CNCc1ncccc1CN(Cc1ccccn1)C1CCC(N(C)Cc2cccc(-c3cccc4c3OCCOCCOCCOCCOCCO4)n2)CC1</v>
      </c>
      <c r="C2188" s="7">
        <f>IFERROR(__xludf.DUMMYFUNCTION("""COMPUTED_VALUE"""),7.810187)</f>
        <v>7.810187</v>
      </c>
      <c r="D2188" s="7">
        <f>IFERROR(__xludf.DUMMYFUNCTION("""COMPUTED_VALUE"""),0.328947368421052)</f>
        <v>0.3289473684</v>
      </c>
    </row>
    <row r="2189">
      <c r="A2189" s="10" t="s">
        <v>3628</v>
      </c>
      <c r="B2189" s="7" t="str">
        <f>IFERROR(__xludf.DUMMYFUNCTION("SPLIT(A2189,"" "")"),"CNCc1cc(CN(Cc2ccccn2)C2CCC(N(C)Cc3cccc(-c4ccc5c(c4)OCCOCCOCCOCCOCCO5)n3)CC2)ccn1")</f>
        <v>CNCc1cc(CN(Cc2ccccn2)C2CCC(N(C)Cc3cccc(-c4ccc5c(c4)OCCOCCOCCOCCOCCO5)n3)CC2)ccn1</v>
      </c>
      <c r="C2189" s="7">
        <f>IFERROR(__xludf.DUMMYFUNCTION("""COMPUTED_VALUE"""),7.810179)</f>
        <v>7.810179</v>
      </c>
      <c r="D2189" s="7">
        <f>IFERROR(__xludf.DUMMYFUNCTION("""COMPUTED_VALUE"""),0.35)</f>
        <v>0.35</v>
      </c>
    </row>
    <row r="2190">
      <c r="A2190" s="10" t="s">
        <v>3629</v>
      </c>
      <c r="B2190" s="7" t="str">
        <f>IFERROR(__xludf.DUMMYFUNCTION("SPLIT(A2190,"" "")"),"Cc1cc(CN(C)C2CCC(N(Cc3ccc(CN4CCN(C)CCN(C)CC4)cn3)Cc3cccc(F)n3)CC2)nc(C)c1C")</f>
        <v>Cc1cc(CN(C)C2CCC(N(Cc3ccc(CN4CCN(C)CCN(C)CC4)cn3)Cc3cccc(F)n3)CC2)nc(C)c1C</v>
      </c>
      <c r="C2190" s="7">
        <f>IFERROR(__xludf.DUMMYFUNCTION("""COMPUTED_VALUE"""),7.8101635)</f>
        <v>7.8101635</v>
      </c>
      <c r="D2190" s="7">
        <f>IFERROR(__xludf.DUMMYFUNCTION("""COMPUTED_VALUE"""),0.417910447761194)</f>
        <v>0.4179104478</v>
      </c>
    </row>
    <row r="2191">
      <c r="A2191" s="10" t="s">
        <v>3630</v>
      </c>
      <c r="B2191" s="7" t="str">
        <f>IFERROR(__xludf.DUMMYFUNCTION("SPLIT(A2191,"" "")"),"Cc1cncc(CN(C)C2CCCC(N(C)Cc3ncccc3C)C2)c1")</f>
        <v>Cc1cncc(CN(C)C2CCCC(N(C)Cc3ncccc3C)C2)c1</v>
      </c>
      <c r="C2191" s="7">
        <f>IFERROR(__xludf.DUMMYFUNCTION("""COMPUTED_VALUE"""),7.810155)</f>
        <v>7.810155</v>
      </c>
      <c r="D2191" s="7">
        <f>IFERROR(__xludf.DUMMYFUNCTION("""COMPUTED_VALUE"""),0.31578947368421)</f>
        <v>0.3157894737</v>
      </c>
    </row>
    <row r="2192">
      <c r="A2192" s="10" t="s">
        <v>3631</v>
      </c>
      <c r="B2192" s="7" t="str">
        <f>IFERROR(__xludf.DUMMYFUNCTION("SPLIT(A2192,"" "")"),"CC(C)C1=CC(N(C)Cc2cccc(-c3ccc4c(c3)OCCOCCOCCOCCOCCO4)n2)C=CN1")</f>
        <v>CC(C)C1=CC(N(C)Cc2cccc(-c3ccc4c(c3)OCCOCCOCCOCCOCCO4)n2)C=CN1</v>
      </c>
      <c r="C2192" s="7">
        <f>IFERROR(__xludf.DUMMYFUNCTION("""COMPUTED_VALUE"""),7.810153)</f>
        <v>7.810153</v>
      </c>
      <c r="D2192" s="7">
        <f>IFERROR(__xludf.DUMMYFUNCTION("""COMPUTED_VALUE"""),0.311688311688311)</f>
        <v>0.3116883117</v>
      </c>
    </row>
    <row r="2193">
      <c r="A2193" s="10" t="s">
        <v>3632</v>
      </c>
      <c r="B2193" s="7" t="str">
        <f>IFERROR(__xludf.DUMMYFUNCTION("SPLIT(A2193,"" "")"),"CCNCc1ncccc1C(C)(C)C(C)N")</f>
        <v>CCNCc1ncccc1C(C)(C)C(C)N</v>
      </c>
      <c r="C2193" s="7">
        <f>IFERROR(__xludf.DUMMYFUNCTION("""COMPUTED_VALUE"""),7.8101497)</f>
        <v>7.8101497</v>
      </c>
      <c r="D2193" s="7">
        <f>IFERROR(__xludf.DUMMYFUNCTION("""COMPUTED_VALUE"""),0.295454545454545)</f>
        <v>0.2954545455</v>
      </c>
    </row>
    <row r="2194">
      <c r="A2194" s="10" t="s">
        <v>3633</v>
      </c>
      <c r="B2194" s="7" t="str">
        <f>IFERROR(__xludf.DUMMYFUNCTION("SPLIT(A2194,"" "")"),"Cc1cc(CN(C)C2CCCCC2N(C)Cc2cccc(-c3ccc4c(c3)OCCOCCOCCOCCOCCO4)n2)nc(C)c1C")</f>
        <v>Cc1cc(CN(C)C2CCCCC2N(C)Cc2cccc(-c3ccc4c(c3)OCCOCCOCCOCCOCCO4)n2)nc(C)c1C</v>
      </c>
      <c r="C2194" s="7">
        <f>IFERROR(__xludf.DUMMYFUNCTION("""COMPUTED_VALUE"""),7.8101497)</f>
        <v>7.8101497</v>
      </c>
      <c r="D2194" s="7">
        <f>IFERROR(__xludf.DUMMYFUNCTION("""COMPUTED_VALUE"""),0.442622950819672)</f>
        <v>0.4426229508</v>
      </c>
    </row>
    <row r="2195">
      <c r="A2195" s="10" t="s">
        <v>3634</v>
      </c>
      <c r="B2195" s="7" t="str">
        <f>IFERROR(__xludf.DUMMYFUNCTION("SPLIT(A2195,"" "")"),"CC(C)C(C)c1cccnn1")</f>
        <v>CC(C)C(C)c1cccnn1</v>
      </c>
      <c r="C2195" s="7">
        <f>IFERROR(__xludf.DUMMYFUNCTION("""COMPUTED_VALUE"""),7.8101397)</f>
        <v>7.8101397</v>
      </c>
      <c r="D2195" s="7">
        <f>IFERROR(__xludf.DUMMYFUNCTION("""COMPUTED_VALUE"""),0.393939393939393)</f>
        <v>0.3939393939</v>
      </c>
    </row>
    <row r="2196">
      <c r="A2196" s="10" t="s">
        <v>3635</v>
      </c>
      <c r="B2196" s="7" t="str">
        <f>IFERROR(__xludf.DUMMYFUNCTION("SPLIT(A2196,"" "")"),"Cc1ccc(C2CCC2)nc1")</f>
        <v>Cc1ccc(C2CCC2)nc1</v>
      </c>
      <c r="C2196" s="7">
        <f>IFERROR(__xludf.DUMMYFUNCTION("""COMPUTED_VALUE"""),7.810134)</f>
        <v>7.810134</v>
      </c>
      <c r="D2196" s="7">
        <f>IFERROR(__xludf.DUMMYFUNCTION("""COMPUTED_VALUE"""),0.41025641025641)</f>
        <v>0.4102564103</v>
      </c>
    </row>
    <row r="2197">
      <c r="A2197" s="10" t="s">
        <v>3636</v>
      </c>
      <c r="B2197" s="7" t="str">
        <f>IFERROR(__xludf.DUMMYFUNCTION("SPLIT(A2197,"" "")"),"CCCN(Cc1ccccn1)Cc1cccc(-c2cccc3c2OCCOCCOCCOCCOCCO3)n1")</f>
        <v>CCCN(Cc1ccccn1)Cc1cccc(-c2cccc3c2OCCOCCOCCOCCOCCO3)n1</v>
      </c>
      <c r="C2197" s="7">
        <f>IFERROR(__xludf.DUMMYFUNCTION("""COMPUTED_VALUE"""),7.81013)</f>
        <v>7.81013</v>
      </c>
      <c r="D2197" s="7">
        <f>IFERROR(__xludf.DUMMYFUNCTION("""COMPUTED_VALUE"""),0.413793103448275)</f>
        <v>0.4137931034</v>
      </c>
    </row>
    <row r="2198">
      <c r="A2198" s="10" t="s">
        <v>3637</v>
      </c>
      <c r="B2198" s="7" t="str">
        <f>IFERROR(__xludf.DUMMYFUNCTION("SPLIT(A2198,"" "")"),"CC1=C(C)C(c2ncccc2CN(Cc2ccccn2)C2CCCCC2)CC(C)C1")</f>
        <v>CC1=C(C)C(c2ncccc2CN(Cc2ccccn2)C2CCCCC2)CC(C)C1</v>
      </c>
      <c r="C2198" s="7">
        <f>IFERROR(__xludf.DUMMYFUNCTION("""COMPUTED_VALUE"""),7.8101206)</f>
        <v>7.8101206</v>
      </c>
      <c r="D2198" s="7">
        <f>IFERROR(__xludf.DUMMYFUNCTION("""COMPUTED_VALUE"""),0.389830508474576)</f>
        <v>0.3898305085</v>
      </c>
    </row>
    <row r="2199">
      <c r="A2199" s="10" t="s">
        <v>3638</v>
      </c>
      <c r="B2199" s="7" t="str">
        <f>IFERROR(__xludf.DUMMYFUNCTION("SPLIT(A2199,"" "")"),"CC1=CC(C)CC(C)C1c1ccc(CN(Cc2ccccn2)C2CCCCC2)cn1")</f>
        <v>CC1=CC(C)CC(C)C1c1ccc(CN(Cc2ccccn2)C2CCCCC2)cn1</v>
      </c>
      <c r="C2199" s="7">
        <f>IFERROR(__xludf.DUMMYFUNCTION("""COMPUTED_VALUE"""),7.810118)</f>
        <v>7.810118</v>
      </c>
      <c r="D2199" s="7">
        <f>IFERROR(__xludf.DUMMYFUNCTION("""COMPUTED_VALUE"""),0.389830508474576)</f>
        <v>0.3898305085</v>
      </c>
    </row>
    <row r="2200">
      <c r="A2200" s="10" t="s">
        <v>3639</v>
      </c>
      <c r="B2200" s="7" t="str">
        <f>IFERROR(__xludf.DUMMYFUNCTION("SPLIT(A2200,"" "")"),"CC(C)c1cc(CN(C)C2CCC(N(C)Cc3ccccn3)CC2)ccn1")</f>
        <v>CC(C)c1cc(CN(C)C2CCC(N(C)Cc3ccccn3)CC2)ccn1</v>
      </c>
      <c r="C2200" s="7">
        <f>IFERROR(__xludf.DUMMYFUNCTION("""COMPUTED_VALUE"""),7.8101025)</f>
        <v>7.8101025</v>
      </c>
      <c r="D2200" s="7">
        <f>IFERROR(__xludf.DUMMYFUNCTION("""COMPUTED_VALUE"""),0.5)</f>
        <v>0.5</v>
      </c>
    </row>
    <row r="2201">
      <c r="A2201" s="10" t="s">
        <v>3640</v>
      </c>
      <c r="B2201" s="7" t="str">
        <f>IFERROR(__xludf.DUMMYFUNCTION("SPLIT(A2201,"" "")"),"CN(Cc1cccc(-c2ccc3c(c2)OCCOCCOCCOCCOCCO3)n1)C1C=CNC(C(C)(C)C)=C1")</f>
        <v>CN(Cc1cccc(-c2ccc3c(c2)OCCOCCOCCOCCOCCO3)n1)C1C=CNC(C(C)(C)C)=C1</v>
      </c>
      <c r="C2201" s="7">
        <f>IFERROR(__xludf.DUMMYFUNCTION("""COMPUTED_VALUE"""),7.8101006)</f>
        <v>7.8101006</v>
      </c>
      <c r="D2201" s="7">
        <f>IFERROR(__xludf.DUMMYFUNCTION("""COMPUTED_VALUE"""),0.311688311688311)</f>
        <v>0.3116883117</v>
      </c>
    </row>
    <row r="2202">
      <c r="A2202" s="10" t="s">
        <v>3641</v>
      </c>
      <c r="B2202" s="7" t="str">
        <f>IFERROR(__xludf.DUMMYFUNCTION("SPLIT(A2202,"" "")"),"CN1CCN(Cc2cc(-c3ccc4c(c3)OCCOCCOCCOCCOCCO4)ccn2)CCN(C(c2ccccn2)c2ccccn2)CC1")</f>
        <v>CN1CCN(Cc2cc(-c3ccc4c(c3)OCCOCCOCCOCCOCCO4)ccn2)CCN(C(c2ccccn2)c2ccccn2)CC1</v>
      </c>
      <c r="C2202" s="7">
        <f>IFERROR(__xludf.DUMMYFUNCTION("""COMPUTED_VALUE"""),7.8100996)</f>
        <v>7.8100996</v>
      </c>
      <c r="D2202" s="7">
        <f>IFERROR(__xludf.DUMMYFUNCTION("""COMPUTED_VALUE"""),0.440677966101694)</f>
        <v>0.4406779661</v>
      </c>
    </row>
    <row r="2203">
      <c r="A2203" s="10" t="s">
        <v>3642</v>
      </c>
      <c r="B2203" s="7" t="str">
        <f>IFERROR(__xludf.DUMMYFUNCTION("SPLIT(A2203,"" "")"),"CNCc1cccc(CN(Cc2ccccn2)C2CCC(N(C)Cc3cccc(-c4ccc5c(c4)OCCOCCOCCOCCOCCO5)n3)CC2)n1")</f>
        <v>CNCc1cccc(CN(Cc2ccccn2)C2CCC(N(C)Cc3cccc(-c4ccc5c(c4)OCCOCCOCCOCCOCCO5)n3)CC2)n1</v>
      </c>
      <c r="C2203" s="7">
        <f>IFERROR(__xludf.DUMMYFUNCTION("""COMPUTED_VALUE"""),7.8100863)</f>
        <v>7.8100863</v>
      </c>
      <c r="D2203" s="7">
        <f>IFERROR(__xludf.DUMMYFUNCTION("""COMPUTED_VALUE"""),0.368421052631578)</f>
        <v>0.3684210526</v>
      </c>
    </row>
    <row r="2204">
      <c r="A2204" s="10" t="s">
        <v>3643</v>
      </c>
      <c r="B2204" s="7" t="str">
        <f>IFERROR(__xludf.DUMMYFUNCTION("SPLIT(A2204,"" "")"),"Cc1cccnc1CN(C)c1ccc2c(c1C)OCCOCCOCCOCCOCCO2")</f>
        <v>Cc1cccnc1CN(C)c1ccc2c(c1C)OCCOCCOCCOCCOCCO2</v>
      </c>
      <c r="C2204" s="7">
        <f>IFERROR(__xludf.DUMMYFUNCTION("""COMPUTED_VALUE"""),7.810076)</f>
        <v>7.810076</v>
      </c>
      <c r="D2204" s="7">
        <f>IFERROR(__xludf.DUMMYFUNCTION("""COMPUTED_VALUE"""),0.280701754385964)</f>
        <v>0.2807017544</v>
      </c>
    </row>
    <row r="2205">
      <c r="A2205" s="10" t="s">
        <v>3644</v>
      </c>
      <c r="B2205" s="7" t="str">
        <f>IFERROR(__xludf.DUMMYFUNCTION("SPLIT(A2205,"" "")"),"CC1(C)CCC1c1cc2c(cc1N(Cc1ccccn1)Cc1ccccn1)OCCOCCOCCOCCOCCO2")</f>
        <v>CC1(C)CCC1c1cc2c(cc1N(Cc1ccccn1)Cc1ccccn1)OCCOCCOCCOCCOCCO2</v>
      </c>
      <c r="C2205" s="7">
        <f>IFERROR(__xludf.DUMMYFUNCTION("""COMPUTED_VALUE"""),7.8100705)</f>
        <v>7.8100705</v>
      </c>
      <c r="D2205" s="7">
        <f>IFERROR(__xludf.DUMMYFUNCTION("""COMPUTED_VALUE"""),0.35593220338983)</f>
        <v>0.3559322034</v>
      </c>
    </row>
    <row r="2206">
      <c r="A2206" s="10" t="s">
        <v>3645</v>
      </c>
      <c r="B2206" s="7" t="str">
        <f>IFERROR(__xludf.DUMMYFUNCTION("SPLIT(A2206,"" "")"),"Cc1ccnc(CN(C)C2CCC(N(C)Cc3cc(C)ccn3)CC2)c1")</f>
        <v>Cc1ccnc(CN(C)C2CCC(N(C)Cc3cc(C)ccn3)CC2)c1</v>
      </c>
      <c r="C2206" s="7">
        <f>IFERROR(__xludf.DUMMYFUNCTION("""COMPUTED_VALUE"""),7.8100634)</f>
        <v>7.8100634</v>
      </c>
      <c r="D2206" s="7">
        <f>IFERROR(__xludf.DUMMYFUNCTION("""COMPUTED_VALUE"""),0.428571428571428)</f>
        <v>0.4285714286</v>
      </c>
    </row>
    <row r="2207">
      <c r="A2207" s="10" t="s">
        <v>3646</v>
      </c>
      <c r="B2207" s="7" t="str">
        <f>IFERROR(__xludf.DUMMYFUNCTION("SPLIT(A2207,"" "")"),"CC1(C)CC(c2ccc(CN(Cc3ccccn3)C3CCCCC3)cn2)C1")</f>
        <v>CC1(C)CC(c2ccc(CN(Cc3ccccn3)C3CCCCC3)cn2)C1</v>
      </c>
      <c r="C2207" s="7">
        <f>IFERROR(__xludf.DUMMYFUNCTION("""COMPUTED_VALUE"""),7.810058)</f>
        <v>7.810058</v>
      </c>
      <c r="D2207" s="7">
        <f>IFERROR(__xludf.DUMMYFUNCTION("""COMPUTED_VALUE"""),0.418181818181818)</f>
        <v>0.4181818182</v>
      </c>
    </row>
    <row r="2208">
      <c r="A2208" s="10" t="s">
        <v>3647</v>
      </c>
      <c r="B2208" s="7" t="str">
        <f>IFERROR(__xludf.DUMMYFUNCTION("SPLIT(A2208,"" "")"),"CCCNCc1ccon1")</f>
        <v>CCCNCc1ccon1</v>
      </c>
      <c r="C2208" s="7">
        <f>IFERROR(__xludf.DUMMYFUNCTION("""COMPUTED_VALUE"""),7.810055)</f>
        <v>7.810055</v>
      </c>
      <c r="D2208" s="7">
        <f>IFERROR(__xludf.DUMMYFUNCTION("""COMPUTED_VALUE"""),0.428571428571428)</f>
        <v>0.4285714286</v>
      </c>
    </row>
    <row r="2209">
      <c r="A2209" s="10" t="s">
        <v>3648</v>
      </c>
      <c r="B2209" s="7" t="str">
        <f>IFERROR(__xludf.DUMMYFUNCTION("SPLIT(A2209,"" "")"),"Cc1ccnc(CN(C)C2CCCC(N(C)Cc3cc(C)ccn3)C2)c1")</f>
        <v>Cc1ccnc(CN(C)C2CCCC(N(C)Cc3cc(C)ccn3)C2)c1</v>
      </c>
      <c r="C2209" s="7">
        <f>IFERROR(__xludf.DUMMYFUNCTION("""COMPUTED_VALUE"""),7.8100476)</f>
        <v>7.8100476</v>
      </c>
      <c r="D2209" s="7">
        <f>IFERROR(__xludf.DUMMYFUNCTION("""COMPUTED_VALUE"""),0.431818181818181)</f>
        <v>0.4318181818</v>
      </c>
    </row>
    <row r="2210">
      <c r="A2210" s="10" t="s">
        <v>3649</v>
      </c>
      <c r="B2210" s="7" t="str">
        <f>IFERROR(__xludf.DUMMYFUNCTION("SPLIT(A2210,"" "")"),"CNCc1cc(CN(Cc2ccccn2)C2CCC(N(C)Cc3ccc(-c4ccc5c(c4)OCCOCCOCCOCCOCCO5)cn3)CC2)ccn1")</f>
        <v>CNCc1cc(CN(Cc2ccccn2)C2CCC(N(C)Cc3ccc(-c4ccc5c(c4)OCCOCCOCCOCCOCCO5)cn3)CC2)ccn1</v>
      </c>
      <c r="C2210" s="7">
        <f>IFERROR(__xludf.DUMMYFUNCTION("""COMPUTED_VALUE"""),7.8100405)</f>
        <v>7.8100405</v>
      </c>
      <c r="D2210" s="7">
        <f>IFERROR(__xludf.DUMMYFUNCTION("""COMPUTED_VALUE"""),0.41025641025641)</f>
        <v>0.4102564103</v>
      </c>
    </row>
    <row r="2211">
      <c r="A2211" s="10" t="s">
        <v>3650</v>
      </c>
      <c r="B2211" s="7" t="str">
        <f>IFERROR(__xludf.DUMMYFUNCTION("SPLIT(A2211,"" "")"),"CCNC(C)N(Cc1ccccn1)C1CCC(N(C)C(c2ccccc2)c2ccccn2)CC1")</f>
        <v>CCNC(C)N(Cc1ccccn1)C1CCC(N(C)C(c2ccccc2)c2ccccn2)CC1</v>
      </c>
      <c r="C2211" s="7">
        <f>IFERROR(__xludf.DUMMYFUNCTION("""COMPUTED_VALUE"""),7.8100395)</f>
        <v>7.8100395</v>
      </c>
      <c r="D2211" s="7">
        <f>IFERROR(__xludf.DUMMYFUNCTION("""COMPUTED_VALUE"""),0.491228070175438)</f>
        <v>0.4912280702</v>
      </c>
    </row>
    <row r="2212">
      <c r="A2212" s="10" t="s">
        <v>3651</v>
      </c>
      <c r="B2212" s="7" t="str">
        <f>IFERROR(__xludf.DUMMYFUNCTION("SPLIT(A2212,"" "")"),"CNCc1cc(CN(Cc2cccc(F)n2)C2CCCCC2N(C)Cc2cc(-c3ccc4c(c3)OCCOCCOCCOCCOCCO4)ccn2)ccn1")</f>
        <v>CNCc1cc(CN(Cc2cccc(F)n2)C2CCCCC2N(C)Cc2cc(-c3ccc4c(c3)OCCOCCOCCOCCOCCO4)ccn2)ccn1</v>
      </c>
      <c r="C2212" s="7">
        <f>IFERROR(__xludf.DUMMYFUNCTION("""COMPUTED_VALUE"""),7.810023)</f>
        <v>7.810023</v>
      </c>
      <c r="D2212" s="7">
        <f>IFERROR(__xludf.DUMMYFUNCTION("""COMPUTED_VALUE"""),0.346666666666666)</f>
        <v>0.3466666667</v>
      </c>
    </row>
    <row r="2213">
      <c r="A2213" s="10" t="s">
        <v>3652</v>
      </c>
      <c r="B2213" s="7" t="str">
        <f>IFERROR(__xludf.DUMMYFUNCTION("SPLIT(A2213,"" "")"),"CC(C)NCCN(C)Cc1cccnc1")</f>
        <v>CC(C)NCCN(C)Cc1cccnc1</v>
      </c>
      <c r="C2213" s="7">
        <f>IFERROR(__xludf.DUMMYFUNCTION("""COMPUTED_VALUE"""),7.8100185)</f>
        <v>7.8100185</v>
      </c>
      <c r="D2213" s="7">
        <f>IFERROR(__xludf.DUMMYFUNCTION("""COMPUTED_VALUE"""),0.34090909090909)</f>
        <v>0.3409090909</v>
      </c>
    </row>
    <row r="2214">
      <c r="A2214" s="10" t="s">
        <v>3653</v>
      </c>
      <c r="B2214" s="7" t="str">
        <f>IFERROR(__xludf.DUMMYFUNCTION("SPLIT(A2214,"" "")"),"c1cncc(CN(Cc2cccnn2)c2ccc3c(c2)OCCOCCOCCOCCOCCO3)c1")</f>
        <v>c1cncc(CN(Cc2cccnn2)c2ccc3c(c2)OCCOCCOCCOCCOCCO3)c1</v>
      </c>
      <c r="C2214" s="7">
        <f>IFERROR(__xludf.DUMMYFUNCTION("""COMPUTED_VALUE"""),7.8100166)</f>
        <v>7.8100166</v>
      </c>
      <c r="D2214" s="7">
        <f>IFERROR(__xludf.DUMMYFUNCTION("""COMPUTED_VALUE"""),0.351851851851851)</f>
        <v>0.3518518519</v>
      </c>
    </row>
    <row r="2215">
      <c r="A2215" s="10" t="s">
        <v>3654</v>
      </c>
      <c r="B2215" s="7" t="str">
        <f>IFERROR(__xludf.DUMMYFUNCTION("SPLIT(A2215,"" "")"),"CN(CCN(C)Cc1cnccc1-c1cccc2c1OCCOCCOCCOCCOCCO2)Cc1ccccn1")</f>
        <v>CN(CCN(C)Cc1cnccc1-c1cccc2c1OCCOCCOCCOCCOCCO2)Cc1ccccn1</v>
      </c>
      <c r="C2215" s="7">
        <f>IFERROR(__xludf.DUMMYFUNCTION("""COMPUTED_VALUE"""),7.81001)</f>
        <v>7.81001</v>
      </c>
      <c r="D2215" s="7">
        <f>IFERROR(__xludf.DUMMYFUNCTION("""COMPUTED_VALUE"""),0.354838709677419)</f>
        <v>0.3548387097</v>
      </c>
    </row>
    <row r="2216">
      <c r="A2216" s="10" t="s">
        <v>3655</v>
      </c>
      <c r="B2216" s="7" t="str">
        <f>IFERROR(__xludf.DUMMYFUNCTION("SPLIT(A2216,"" "")"),"CC1C=CCC(C)C1c1cccc(CN(Cc2ccccn2)C2CCC(N(C)Cc3ccc(-c4ccc5c(c4)OCCOCCOCCOCCOCCO5)cn3)CC2)n1")</f>
        <v>CC1C=CCC(C)C1c1cccc(CN(Cc2ccccn2)C2CCC(N(C)Cc3ccc(-c4ccc5c(c4)OCCOCCOCCOCCOCCO5)cn3)CC2)n1</v>
      </c>
      <c r="C2216" s="7">
        <f>IFERROR(__xludf.DUMMYFUNCTION("""COMPUTED_VALUE"""),7.8100095)</f>
        <v>7.8100095</v>
      </c>
      <c r="D2216" s="7">
        <f>IFERROR(__xludf.DUMMYFUNCTION("""COMPUTED_VALUE"""),0.372093023255813)</f>
        <v>0.3720930233</v>
      </c>
    </row>
    <row r="2217">
      <c r="A2217" s="10" t="s">
        <v>3656</v>
      </c>
      <c r="B2217" s="7" t="str">
        <f>IFERROR(__xludf.DUMMYFUNCTION("SPLIT(A2217,"" "")"),"CC1C(N)CC1CN(C)CC1=CCC(N(C)C(C)C)=CN1")</f>
        <v>CC1C(N)CC1CN(C)CC1=CCC(N(C)C(C)C)=CN1</v>
      </c>
      <c r="C2217" s="7">
        <f>IFERROR(__xludf.DUMMYFUNCTION("""COMPUTED_VALUE"""),7.810009)</f>
        <v>7.810009</v>
      </c>
      <c r="D2217" s="7">
        <f>IFERROR(__xludf.DUMMYFUNCTION("""COMPUTED_VALUE"""),0.183333333333333)</f>
        <v>0.1833333333</v>
      </c>
    </row>
    <row r="2218">
      <c r="A2218" s="10" t="s">
        <v>3657</v>
      </c>
      <c r="B2218" s="7" t="str">
        <f>IFERROR(__xludf.DUMMYFUNCTION("SPLIT(A2218,"" "")"),"CNC1CCCC(N(Cc2ccccn2)Cc2cccc(C3CC(C)(C)C3)n2)C1")</f>
        <v>CNC1CCCC(N(Cc2ccccn2)Cc2cccc(C3CC(C)(C)C3)n2)C1</v>
      </c>
      <c r="C2218" s="7">
        <f>IFERROR(__xludf.DUMMYFUNCTION("""COMPUTED_VALUE"""),7.809993)</f>
        <v>7.809993</v>
      </c>
      <c r="D2218" s="7">
        <f>IFERROR(__xludf.DUMMYFUNCTION("""COMPUTED_VALUE"""),0.372881355932203)</f>
        <v>0.3728813559</v>
      </c>
    </row>
    <row r="2219">
      <c r="A2219" s="10" t="s">
        <v>3658</v>
      </c>
      <c r="B2219" s="7" t="str">
        <f>IFERROR(__xludf.DUMMYFUNCTION("SPLIT(A2219,"" "")"),"Cc1ccnc(CN(C)C2CCC(N(C)Cc3ncccc3C)CC2)c1")</f>
        <v>Cc1ccnc(CN(C)C2CCC(N(C)Cc3ncccc3C)CC2)c1</v>
      </c>
      <c r="C2219" s="7">
        <f>IFERROR(__xludf.DUMMYFUNCTION("""COMPUTED_VALUE"""),7.8099775)</f>
        <v>7.8099775</v>
      </c>
      <c r="D2219" s="7">
        <f>IFERROR(__xludf.DUMMYFUNCTION("""COMPUTED_VALUE"""),0.4)</f>
        <v>0.4</v>
      </c>
    </row>
    <row r="2220">
      <c r="A2220" s="10" t="s">
        <v>3659</v>
      </c>
      <c r="B2220" s="7" t="str">
        <f>IFERROR(__xludf.DUMMYFUNCTION("SPLIT(A2220,"" "")"),"CN(Cc1cccc(CN(C)C2CCC(N(C)Cc3cccc(-c4cccc5c4OCCOCCOCCOCCOCCO5)n3)CC2)n1)Cc1cccc(-c2cccc3c2OCCOCCOCCOCCOCCO3)n1")</f>
        <v>CN(Cc1cccc(CN(C)C2CCC(N(C)Cc3cccc(-c4cccc5c4OCCOCCOCCOCCOCCO5)n3)CC2)n1)Cc1cccc(-c2cccc3c2OCCOCCOCCOCCOCCO3)n1</v>
      </c>
      <c r="C2220" s="7">
        <f>IFERROR(__xludf.DUMMYFUNCTION("""COMPUTED_VALUE"""),7.8099504)</f>
        <v>7.8099504</v>
      </c>
      <c r="D2220" s="7">
        <f>IFERROR(__xludf.DUMMYFUNCTION("""COMPUTED_VALUE"""),0.35593220338983)</f>
        <v>0.3559322034</v>
      </c>
    </row>
    <row r="2221">
      <c r="A2221" s="10" t="s">
        <v>3660</v>
      </c>
      <c r="B2221" s="7" t="str">
        <f>IFERROR(__xludf.DUMMYFUNCTION("SPLIT(A2221,"" "")"),"CN(Cc1ccccn1)C1=C(CN(C)C2CCC(N(C)Cc3cccc(-c4ccc5c(c4)OCCOCCOCCOCCOCCO5)n3)CC2)NC=CC1")</f>
        <v>CN(Cc1ccccn1)C1=C(CN(C)C2CCC(N(C)Cc3cccc(-c4ccc5c(c4)OCCOCCOCCOCCOCCO5)n3)CC2)NC=CC1</v>
      </c>
      <c r="C2221" s="7">
        <f>IFERROR(__xludf.DUMMYFUNCTION("""COMPUTED_VALUE"""),7.809946)</f>
        <v>7.809946</v>
      </c>
      <c r="D2221" s="7">
        <f>IFERROR(__xludf.DUMMYFUNCTION("""COMPUTED_VALUE"""),0.345679012345679)</f>
        <v>0.3456790123</v>
      </c>
    </row>
    <row r="2222">
      <c r="A2222" s="10" t="s">
        <v>3661</v>
      </c>
      <c r="B2222" s="7" t="str">
        <f>IFERROR(__xludf.DUMMYFUNCTION("SPLIT(A2222,"" "")"),"CC(C)NCc1cccc(CN(Cc2ccccn2)C2CCC(N(C)Cc3cccc(-c4ccc5c(c4)OCCOCCOCCOCCOCCO5)n3)CC2)n1")</f>
        <v>CC(C)NCc1cccc(CN(Cc2ccccn2)C2CCC(N(C)Cc3cccc(-c4ccc5c(c4)OCCOCCOCCOCCOCCO5)n3)CC2)n1</v>
      </c>
      <c r="C2222" s="7">
        <f>IFERROR(__xludf.DUMMYFUNCTION("""COMPUTED_VALUE"""),7.8099456)</f>
        <v>7.8099456</v>
      </c>
      <c r="D2222" s="7">
        <f>IFERROR(__xludf.DUMMYFUNCTION("""COMPUTED_VALUE"""),0.354430379746835)</f>
        <v>0.3544303797</v>
      </c>
    </row>
    <row r="2223">
      <c r="A2223" s="10" t="s">
        <v>3662</v>
      </c>
      <c r="B2223" s="7" t="str">
        <f>IFERROR(__xludf.DUMMYFUNCTION("SPLIT(A2223,"" "")"),"CN1CCN(C)CCN(CN(C)C2=CCC(N(C)Cc3ccccn3)=CN2)CC1")</f>
        <v>CN1CCN(C)CCN(CN(C)C2=CCC(N(C)Cc3ccccn3)=CN2)CC1</v>
      </c>
      <c r="C2223" s="7">
        <f>IFERROR(__xludf.DUMMYFUNCTION("""COMPUTED_VALUE"""),7.8099337)</f>
        <v>7.8099337</v>
      </c>
      <c r="D2223" s="7">
        <f>IFERROR(__xludf.DUMMYFUNCTION("""COMPUTED_VALUE"""),0.461538461538461)</f>
        <v>0.4615384615</v>
      </c>
    </row>
    <row r="2224">
      <c r="A2224" s="10" t="s">
        <v>3663</v>
      </c>
      <c r="B2224" s="7" t="str">
        <f>IFERROR(__xludf.DUMMYFUNCTION("SPLIT(A2224,"" "")"),"CC1C=CC(N(C)Cc2cccc(C(C)(C)C)n2)C(C)C1(C)C")</f>
        <v>CC1C=CC(N(C)Cc2cccc(C(C)(C)C)n2)C(C)C1(C)C</v>
      </c>
      <c r="C2224" s="7">
        <f>IFERROR(__xludf.DUMMYFUNCTION("""COMPUTED_VALUE"""),7.809933)</f>
        <v>7.809933</v>
      </c>
      <c r="D2224" s="7">
        <f>IFERROR(__xludf.DUMMYFUNCTION("""COMPUTED_VALUE"""),0.333333333333333)</f>
        <v>0.3333333333</v>
      </c>
    </row>
    <row r="2225">
      <c r="A2225" s="10" t="s">
        <v>3664</v>
      </c>
      <c r="B2225" s="7" t="str">
        <f>IFERROR(__xludf.DUMMYFUNCTION("SPLIT(A2225,"" "")"),"CC1CC(C)C(C)C=C1c1cc(CN(Cc2ccccn2)C2CCCCC2)ccn1")</f>
        <v>CC1CC(C)C(C)C=C1c1cc(CN(Cc2ccccn2)C2CCCCC2)ccn1</v>
      </c>
      <c r="C2225" s="7">
        <f>IFERROR(__xludf.DUMMYFUNCTION("""COMPUTED_VALUE"""),7.809931)</f>
        <v>7.809931</v>
      </c>
      <c r="D2225" s="7">
        <f>IFERROR(__xludf.DUMMYFUNCTION("""COMPUTED_VALUE"""),0.383333333333333)</f>
        <v>0.3833333333</v>
      </c>
    </row>
    <row r="2226">
      <c r="A2226" s="10" t="s">
        <v>3665</v>
      </c>
      <c r="B2226" s="7" t="str">
        <f>IFERROR(__xludf.DUMMYFUNCTION("SPLIT(A2226,"" "")"),"CC1C=CC(C)C(N(C)Cc2cc(N)ccn2)C1C")</f>
        <v>CC1C=CC(C)C(N(C)Cc2cc(N)ccn2)C1C</v>
      </c>
      <c r="C2226" s="7">
        <f>IFERROR(__xludf.DUMMYFUNCTION("""COMPUTED_VALUE"""),7.8099294)</f>
        <v>7.8099294</v>
      </c>
      <c r="D2226" s="7">
        <f>IFERROR(__xludf.DUMMYFUNCTION("""COMPUTED_VALUE"""),0.32)</f>
        <v>0.32</v>
      </c>
    </row>
    <row r="2227">
      <c r="A2227" s="10" t="s">
        <v>3666</v>
      </c>
      <c r="B2227" s="7" t="str">
        <f>IFERROR(__xludf.DUMMYFUNCTION("SPLIT(A2227,"" "")"),"CNC1CCCC(N(Cc2ccccn2)Cc2nccc(C)c2C)C1")</f>
        <v>CNC1CCCC(N(Cc2ccccn2)Cc2nccc(C)c2C)C1</v>
      </c>
      <c r="C2227" s="7">
        <f>IFERROR(__xludf.DUMMYFUNCTION("""COMPUTED_VALUE"""),7.8099236)</f>
        <v>7.8099236</v>
      </c>
      <c r="D2227" s="7">
        <f>IFERROR(__xludf.DUMMYFUNCTION("""COMPUTED_VALUE"""),0.4)</f>
        <v>0.4</v>
      </c>
    </row>
    <row r="2228">
      <c r="A2228" s="10" t="s">
        <v>3667</v>
      </c>
      <c r="B2228" s="7" t="str">
        <f>IFERROR(__xludf.DUMMYFUNCTION("SPLIT(A2228,"" "")"),"Cc1cncc(CN(C)C2CCC(N(Cc3ccccn3)Cc3cccc(-c4ccc5c(c4)OCCOCCOCCOCCOCCO5)n3)CC2)c1")</f>
        <v>Cc1cncc(CN(C)C2CCC(N(Cc3ccccn3)Cc3cccc(-c4ccc5c(c4)OCCOCCOCCOCCOCCO5)n3)CC2)c1</v>
      </c>
      <c r="C2228" s="7">
        <f>IFERROR(__xludf.DUMMYFUNCTION("""COMPUTED_VALUE"""),7.8099213)</f>
        <v>7.8099213</v>
      </c>
      <c r="D2228" s="7">
        <f>IFERROR(__xludf.DUMMYFUNCTION("""COMPUTED_VALUE"""),0.354430379746835)</f>
        <v>0.3544303797</v>
      </c>
    </row>
    <row r="2229">
      <c r="A2229" s="10" t="s">
        <v>3668</v>
      </c>
      <c r="B2229" s="7" t="str">
        <f>IFERROR(__xludf.DUMMYFUNCTION("SPLIT(A2229,"" "")"),"Cc1cnc(CN(C)C2CCCC(N(C)Cc3cc(-c4ccc5c(c4)OCCOCCOCCOCCOCCO5)ccn3)C2)c(C)c1")</f>
        <v>Cc1cnc(CN(C)C2CCCC(N(C)Cc3cc(-c4ccc5c(c4)OCCOCCOCCOCCOCCO5)ccn3)C2)c(C)c1</v>
      </c>
      <c r="C2229" s="7">
        <f>IFERROR(__xludf.DUMMYFUNCTION("""COMPUTED_VALUE"""),7.80992)</f>
        <v>7.80992</v>
      </c>
      <c r="D2229" s="7">
        <f>IFERROR(__xludf.DUMMYFUNCTION("""COMPUTED_VALUE"""),0.397260273972602)</f>
        <v>0.397260274</v>
      </c>
    </row>
    <row r="2230">
      <c r="A2230" s="10" t="s">
        <v>3669</v>
      </c>
      <c r="B2230" s="7" t="str">
        <f>IFERROR(__xludf.DUMMYFUNCTION("SPLIT(A2230,"" "")"),"CN(Cc1ccccn1)C1CCC(N(C)Cc2ccc(C3CC(C)(C)C3)cn2)CC1")</f>
        <v>CN(Cc1ccccn1)C1CCC(N(C)Cc2ccc(C3CC(C)(C)C3)cn2)CC1</v>
      </c>
      <c r="C2230" s="7">
        <f>IFERROR(__xludf.DUMMYFUNCTION("""COMPUTED_VALUE"""),7.8099146)</f>
        <v>7.8099146</v>
      </c>
      <c r="D2230" s="7">
        <f>IFERROR(__xludf.DUMMYFUNCTION("""COMPUTED_VALUE"""),0.489795918367346)</f>
        <v>0.4897959184</v>
      </c>
    </row>
    <row r="2231">
      <c r="A2231" s="10" t="s">
        <v>3670</v>
      </c>
      <c r="B2231" s="7" t="str">
        <f>IFERROR(__xludf.DUMMYFUNCTION("SPLIT(A2231,"" "")"),"Cc1cc(CN(Cc2cccnn2)C2CCCCC2)cnc1C")</f>
        <v>Cc1cc(CN(Cc2cccnn2)C2CCCCC2)cnc1C</v>
      </c>
      <c r="C2231" s="7">
        <f>IFERROR(__xludf.DUMMYFUNCTION("""COMPUTED_VALUE"""),7.809911)</f>
        <v>7.809911</v>
      </c>
      <c r="D2231" s="7">
        <f>IFERROR(__xludf.DUMMYFUNCTION("""COMPUTED_VALUE"""),0.372549019607843)</f>
        <v>0.3725490196</v>
      </c>
    </row>
    <row r="2232">
      <c r="A2232" s="10" t="s">
        <v>3671</v>
      </c>
      <c r="B2232" s="7" t="str">
        <f>IFERROR(__xludf.DUMMYFUNCTION("SPLIT(A2232,"" "")"),"Cc1cnc(CN(C)C2CCCC(N(C)Cc3ccc(-c4ccc5c(c4)OCCOCCOCCOCCOCCO5)cn3)C2)c(C)c1")</f>
        <v>Cc1cnc(CN(C)C2CCCC(N(C)Cc3ccc(-c4ccc5c(c4)OCCOCCOCCOCCOCCO5)cn3)C2)c(C)c1</v>
      </c>
      <c r="C2232" s="7">
        <f>IFERROR(__xludf.DUMMYFUNCTION("""COMPUTED_VALUE"""),7.809907)</f>
        <v>7.809907</v>
      </c>
      <c r="D2232" s="7">
        <f>IFERROR(__xludf.DUMMYFUNCTION("""COMPUTED_VALUE"""),0.485294117647058)</f>
        <v>0.4852941176</v>
      </c>
    </row>
    <row r="2233">
      <c r="A2233" s="10" t="s">
        <v>3672</v>
      </c>
      <c r="B2233" s="7" t="str">
        <f>IFERROR(__xludf.DUMMYFUNCTION("SPLIT(A2233,"" "")"),"CN(CCN(C)CC(C)(C)C)CC(C)(C)C")</f>
        <v>CN(CCN(C)CC(C)(C)C)CC(C)(C)C</v>
      </c>
      <c r="C2233" s="7">
        <f>IFERROR(__xludf.DUMMYFUNCTION("""COMPUTED_VALUE"""),7.8099036)</f>
        <v>7.8099036</v>
      </c>
      <c r="D2233" s="7">
        <f>IFERROR(__xludf.DUMMYFUNCTION("""COMPUTED_VALUE"""),0.264705882352941)</f>
        <v>0.2647058824</v>
      </c>
    </row>
    <row r="2234">
      <c r="A2234" s="10" t="s">
        <v>3673</v>
      </c>
      <c r="B2234" s="7" t="str">
        <f>IFERROR(__xludf.DUMMYFUNCTION("SPLIT(A2234,"" "")"),"Cc1cccc(CN(Cc2ccccn2)C2CCCCC2N(C)Cc2ncccc2-c2ccc3c(c2)OCCOCCOCCOCCOCCO3)n1")</f>
        <v>Cc1cccc(CN(Cc2ccccn2)C2CCCCC2N(C)Cc2ncccc2-c2ccc3c(c2)OCCOCCOCCOCCOCCO3)n1</v>
      </c>
      <c r="C2234" s="7">
        <f>IFERROR(__xludf.DUMMYFUNCTION("""COMPUTED_VALUE"""),7.809901)</f>
        <v>7.809901</v>
      </c>
      <c r="D2234" s="7">
        <f>IFERROR(__xludf.DUMMYFUNCTION("""COMPUTED_VALUE"""),0.44776119402985)</f>
        <v>0.447761194</v>
      </c>
    </row>
    <row r="2235">
      <c r="A2235" s="10" t="s">
        <v>3674</v>
      </c>
      <c r="B2235" s="7" t="str">
        <f>IFERROR(__xludf.DUMMYFUNCTION("SPLIT(A2235,"" "")"),"CN(CCN(C)Cc1cccc(-c2ccc3c(c2)OCCOCCOCCOCCOCCO3)n1)Cc1ccc(-c2ccc3c(c2)OCCOCCOCCOCCOCCO3)cn1")</f>
        <v>CN(CCN(C)Cc1cccc(-c2ccc3c(c2)OCCOCCOCCOCCOCCO3)n1)Cc1ccc(-c2ccc3c(c2)OCCOCCOCCOCCOCCO3)cn1</v>
      </c>
      <c r="C2235" s="7">
        <f>IFERROR(__xludf.DUMMYFUNCTION("""COMPUTED_VALUE"""),7.809875)</f>
        <v>7.809875</v>
      </c>
      <c r="D2235" s="7">
        <f>IFERROR(__xludf.DUMMYFUNCTION("""COMPUTED_VALUE"""),0.46875)</f>
        <v>0.46875</v>
      </c>
    </row>
    <row r="2236">
      <c r="A2236" s="10" t="s">
        <v>3675</v>
      </c>
      <c r="B2236" s="7" t="str">
        <f>IFERROR(__xludf.DUMMYFUNCTION("SPLIT(A2236,"" "")"),"CN1CCN(C)CCN(C2CCCCC2N(C)c2ccc3ncc(CF)cc3c2)CC1")</f>
        <v>CN1CCN(C)CCN(C2CCCCC2N(C)c2ccc3ncc(CF)cc3c2)CC1</v>
      </c>
      <c r="C2236" s="7">
        <f>IFERROR(__xludf.DUMMYFUNCTION("""COMPUTED_VALUE"""),7.8098702)</f>
        <v>7.8098702</v>
      </c>
      <c r="D2236" s="7">
        <f>IFERROR(__xludf.DUMMYFUNCTION("""COMPUTED_VALUE"""),0.318181818181818)</f>
        <v>0.3181818182</v>
      </c>
    </row>
    <row r="2237">
      <c r="A2237" s="10" t="s">
        <v>3676</v>
      </c>
      <c r="B2237" s="7" t="str">
        <f>IFERROR(__xludf.DUMMYFUNCTION("SPLIT(A2237,"" "")"),"CN(Cc1cccc(-c2ccc3c(c2)OCCOCCOCCOCCOCCO3)n1)C1CCC(N(Cc2ccccn2)Cc2cccc(CF)n2)CC1")</f>
        <v>CN(Cc1cccc(-c2ccc3c(c2)OCCOCCOCCOCCOCCO3)n1)C1CCC(N(Cc2ccccn2)Cc2cccc(CF)n2)CC1</v>
      </c>
      <c r="C2237" s="7">
        <f>IFERROR(__xludf.DUMMYFUNCTION("""COMPUTED_VALUE"""),7.809868)</f>
        <v>7.809868</v>
      </c>
      <c r="D2237" s="7">
        <f>IFERROR(__xludf.DUMMYFUNCTION("""COMPUTED_VALUE"""),0.388059701492537)</f>
        <v>0.3880597015</v>
      </c>
    </row>
    <row r="2238">
      <c r="A2238" s="10" t="s">
        <v>3677</v>
      </c>
      <c r="B2238" s="7" t="str">
        <f>IFERROR(__xludf.DUMMYFUNCTION("SPLIT(A2238,"" "")"),"COC(=O)C(=O)C(=O)C(C)N1CCN(C)CCN(C(=O)OC)CC1")</f>
        <v>COC(=O)C(=O)C(=O)C(C)N1CCN(C)CCN(C(=O)OC)CC1</v>
      </c>
      <c r="C2238" s="7">
        <f>IFERROR(__xludf.DUMMYFUNCTION("""COMPUTED_VALUE"""),7.809843)</f>
        <v>7.809843</v>
      </c>
      <c r="D2238" s="7">
        <f>IFERROR(__xludf.DUMMYFUNCTION("""COMPUTED_VALUE"""),0.235294117647058)</f>
        <v>0.2352941176</v>
      </c>
    </row>
    <row r="2239">
      <c r="A2239" s="10" t="s">
        <v>3678</v>
      </c>
      <c r="B2239" s="7" t="str">
        <f>IFERROR(__xludf.DUMMYFUNCTION("SPLIT(A2239,"" "")"),"Cc1ccc(N(C)C2CCCC(N(C)C(C)C)C2)nc1C")</f>
        <v>Cc1ccc(N(C)C2CCCC(N(C)C(C)C)C2)nc1C</v>
      </c>
      <c r="C2239" s="7">
        <f>IFERROR(__xludf.DUMMYFUNCTION("""COMPUTED_VALUE"""),7.809835)</f>
        <v>7.809835</v>
      </c>
      <c r="D2239" s="7">
        <f>IFERROR(__xludf.DUMMYFUNCTION("""COMPUTED_VALUE"""),0.24074074074074)</f>
        <v>0.2407407407</v>
      </c>
    </row>
    <row r="2240">
      <c r="A2240" s="10" t="s">
        <v>3679</v>
      </c>
      <c r="B2240" s="7" t="str">
        <f>IFERROR(__xludf.DUMMYFUNCTION("SPLIT(A2240,"" "")"),"CNCc1ncccc1CN(C)C1CCCCC1N(C)Cc1ncc(C)cc1C")</f>
        <v>CNCc1ncccc1CN(C)C1CCCCC1N(C)Cc1ncc(C)cc1C</v>
      </c>
      <c r="C2240" s="7">
        <f>IFERROR(__xludf.DUMMYFUNCTION("""COMPUTED_VALUE"""),7.8098187)</f>
        <v>7.8098187</v>
      </c>
      <c r="D2240" s="7">
        <f>IFERROR(__xludf.DUMMYFUNCTION("""COMPUTED_VALUE"""),0.428571428571428)</f>
        <v>0.4285714286</v>
      </c>
    </row>
    <row r="2241">
      <c r="A2241" s="10" t="s">
        <v>3680</v>
      </c>
      <c r="B2241" s="7" t="str">
        <f>IFERROR(__xludf.DUMMYFUNCTION("SPLIT(A2241,"" "")"),"Cc1ccc(C)c(CN(C)C2CCC(N(C)C3CCCCC3N(Cc3nc(C)ccc3C)Cc3nc(C)ccc3C)CC2)n1")</f>
        <v>Cc1ccc(C)c(CN(C)C2CCC(N(C)C3CCCCC3N(Cc3nc(C)ccc3C)Cc3nc(C)ccc3C)CC2)n1</v>
      </c>
      <c r="C2241" s="7">
        <f>IFERROR(__xludf.DUMMYFUNCTION("""COMPUTED_VALUE"""),7.809818)</f>
        <v>7.809818</v>
      </c>
      <c r="D2241" s="7">
        <f>IFERROR(__xludf.DUMMYFUNCTION("""COMPUTED_VALUE"""),0.411764705882352)</f>
        <v>0.4117647059</v>
      </c>
    </row>
    <row r="2242">
      <c r="A2242" s="10" t="s">
        <v>3681</v>
      </c>
      <c r="B2242" s="7" t="str">
        <f>IFERROR(__xludf.DUMMYFUNCTION("SPLIT(A2242,"" "")"),"CC1=CCC(C)C(N(C)CC2=CCC=CN2)C1C")</f>
        <v>CC1=CCC(C)C(N(C)CC2=CCC=CN2)C1C</v>
      </c>
      <c r="C2242" s="7">
        <f>IFERROR(__xludf.DUMMYFUNCTION("""COMPUTED_VALUE"""),7.809792)</f>
        <v>7.809792</v>
      </c>
      <c r="D2242" s="7">
        <f>IFERROR(__xludf.DUMMYFUNCTION("""COMPUTED_VALUE"""),0.358490566037735)</f>
        <v>0.358490566</v>
      </c>
    </row>
    <row r="2243">
      <c r="A2243" s="10" t="s">
        <v>3682</v>
      </c>
      <c r="B2243" s="7" t="str">
        <f>IFERROR(__xludf.DUMMYFUNCTION("SPLIT(A2243,"" "")"),"CC1C=CCC(C)C1(C)c1ccccn1")</f>
        <v>CC1C=CCC(C)C1(C)c1ccccn1</v>
      </c>
      <c r="C2243" s="7">
        <f>IFERROR(__xludf.DUMMYFUNCTION("""COMPUTED_VALUE"""),7.809792)</f>
        <v>7.809792</v>
      </c>
      <c r="D2243" s="7">
        <f>IFERROR(__xludf.DUMMYFUNCTION("""COMPUTED_VALUE"""),0.265306122448979)</f>
        <v>0.2653061224</v>
      </c>
    </row>
    <row r="2244">
      <c r="A2244" s="10" t="s">
        <v>3683</v>
      </c>
      <c r="B2244" s="7" t="str">
        <f>IFERROR(__xludf.DUMMYFUNCTION("SPLIT(A2244,"" "")"),"Cc1ccnc(CN(C)C2CCC(N(C)Cc3ccnc(C)c3)CC2)c1")</f>
        <v>Cc1ccnc(CN(C)C2CCC(N(C)Cc3ccnc(C)c3)CC2)c1</v>
      </c>
      <c r="C2244" s="7">
        <f>IFERROR(__xludf.DUMMYFUNCTION("""COMPUTED_VALUE"""),7.809792)</f>
        <v>7.809792</v>
      </c>
      <c r="D2244" s="7">
        <f>IFERROR(__xludf.DUMMYFUNCTION("""COMPUTED_VALUE"""),0.387755102040816)</f>
        <v>0.387755102</v>
      </c>
    </row>
    <row r="2245">
      <c r="A2245" s="10" t="s">
        <v>3684</v>
      </c>
      <c r="B2245" s="7" t="str">
        <f>IFERROR(__xludf.DUMMYFUNCTION("SPLIT(A2245,"" "")"),"CCNCc1ncccc1C(C)(C)c1ncccc1CN1CCN(C)CCN(C)CC1")</f>
        <v>CCNCc1ncccc1C(C)(C)c1ncccc1CN1CCN(C)CCN(C)CC1</v>
      </c>
      <c r="C2245" s="7">
        <f>IFERROR(__xludf.DUMMYFUNCTION("""COMPUTED_VALUE"""),7.80979)</f>
        <v>7.80979</v>
      </c>
      <c r="D2245" s="7">
        <f>IFERROR(__xludf.DUMMYFUNCTION("""COMPUTED_VALUE"""),0.388888888888888)</f>
        <v>0.3888888889</v>
      </c>
    </row>
    <row r="2246">
      <c r="A2246" s="10" t="s">
        <v>3685</v>
      </c>
      <c r="B2246" s="7" t="str">
        <f>IFERROR(__xludf.DUMMYFUNCTION("SPLIT(A2246,"" "")"),"CC1=CCC2(CC(N(C)Cc3ccccn3)=CC(C)C2C)CC1C")</f>
        <v>CC1=CCC2(CC(N(C)Cc3ccccn3)=CC(C)C2C)CC1C</v>
      </c>
      <c r="C2246" s="7">
        <f>IFERROR(__xludf.DUMMYFUNCTION("""COMPUTED_VALUE"""),7.8097887)</f>
        <v>7.8097887</v>
      </c>
      <c r="D2246" s="7">
        <f>IFERROR(__xludf.DUMMYFUNCTION("""COMPUTED_VALUE"""),0.385964912280701)</f>
        <v>0.3859649123</v>
      </c>
    </row>
    <row r="2247">
      <c r="A2247" s="10" t="s">
        <v>3686</v>
      </c>
      <c r="B2247" s="7" t="str">
        <f>IFERROR(__xludf.DUMMYFUNCTION("SPLIT(A2247,"" "")"),"CN(Cc1ccccn1)C1CCC(N(C)Cc2cccc(C3CC(C)(C)C3)n2)CC1")</f>
        <v>CN(Cc1ccccn1)C1CCC(N(C)Cc2cccc(C3CC(C)(C)C3)n2)CC1</v>
      </c>
      <c r="C2247" s="7">
        <f>IFERROR(__xludf.DUMMYFUNCTION("""COMPUTED_VALUE"""),7.8097816)</f>
        <v>7.8097816</v>
      </c>
      <c r="D2247" s="7">
        <f>IFERROR(__xludf.DUMMYFUNCTION("""COMPUTED_VALUE"""),0.489795918367346)</f>
        <v>0.4897959184</v>
      </c>
    </row>
    <row r="2248">
      <c r="A2248" s="10" t="s">
        <v>3687</v>
      </c>
      <c r="B2248" s="7" t="str">
        <f>IFERROR(__xludf.DUMMYFUNCTION("SPLIT(A2248,"" "")"),"CCNCC1=C(C)C(C)(C)CC(N(C)Cc2ccccn2)C1C")</f>
        <v>CCNCC1=C(C)C(C)(C)CC(N(C)Cc2ccccn2)C1C</v>
      </c>
      <c r="C2248" s="7">
        <f>IFERROR(__xludf.DUMMYFUNCTION("""COMPUTED_VALUE"""),7.8097544)</f>
        <v>7.8097544</v>
      </c>
      <c r="D2248" s="7">
        <f>IFERROR(__xludf.DUMMYFUNCTION("""COMPUTED_VALUE"""),0.48076923076923)</f>
        <v>0.4807692308</v>
      </c>
    </row>
    <row r="2249">
      <c r="A2249" s="10" t="s">
        <v>3688</v>
      </c>
      <c r="B2249" s="7" t="str">
        <f>IFERROR(__xludf.DUMMYFUNCTION("SPLIT(A2249,"" "")"),"CCNCCN(C)Cc1cc(C)ccn1")</f>
        <v>CCNCCN(C)Cc1cc(C)ccn1</v>
      </c>
      <c r="C2249" s="7">
        <f>IFERROR(__xludf.DUMMYFUNCTION("""COMPUTED_VALUE"""),7.809752)</f>
        <v>7.809752</v>
      </c>
      <c r="D2249" s="7">
        <f>IFERROR(__xludf.DUMMYFUNCTION("""COMPUTED_VALUE"""),0.422222222222222)</f>
        <v>0.4222222222</v>
      </c>
    </row>
    <row r="2250">
      <c r="A2250" s="10" t="s">
        <v>3689</v>
      </c>
      <c r="B2250" s="7" t="str">
        <f>IFERROR(__xludf.DUMMYFUNCTION("SPLIT(A2250,"" "")"),"CNC1CCCC(N(C)Cc2nc(C)c(C)cc2C)C1")</f>
        <v>CNC1CCCC(N(C)Cc2nc(C)c(C)cc2C)C1</v>
      </c>
      <c r="C2250" s="7">
        <f>IFERROR(__xludf.DUMMYFUNCTION("""COMPUTED_VALUE"""),7.8097334)</f>
        <v>7.8097334</v>
      </c>
      <c r="D2250" s="7">
        <f>IFERROR(__xludf.DUMMYFUNCTION("""COMPUTED_VALUE"""),0.277777777777777)</f>
        <v>0.2777777778</v>
      </c>
    </row>
    <row r="2251">
      <c r="A2251" s="10" t="s">
        <v>3690</v>
      </c>
      <c r="B2251" s="7" t="str">
        <f>IFERROR(__xludf.DUMMYFUNCTION("SPLIT(A2251,"" "")"),"CNCN(Cc1ccccn1)C1CCCC(N(C)Cc2cc(C)c(C)c(C)n2)C1")</f>
        <v>CNCN(Cc1ccccn1)C1CCCC(N(C)Cc2cc(C)c(C)c(C)n2)C1</v>
      </c>
      <c r="C2251" s="7">
        <f>IFERROR(__xludf.DUMMYFUNCTION("""COMPUTED_VALUE"""),7.8097153)</f>
        <v>7.8097153</v>
      </c>
      <c r="D2251" s="7">
        <f>IFERROR(__xludf.DUMMYFUNCTION("""COMPUTED_VALUE"""),0.43103448275862)</f>
        <v>0.4310344828</v>
      </c>
    </row>
    <row r="2252">
      <c r="A2252" s="10" t="s">
        <v>3691</v>
      </c>
      <c r="B2252" s="7" t="str">
        <f>IFERROR(__xludf.DUMMYFUNCTION("SPLIT(A2252,"" "")"),"CN1CCN(Cc2ccc(C3=CC4OCCOCCOCCOCCOC=COC4C=C3)cn2)CCN(Cc2cccc(C(C)(c3ccccn3)c3ccccn3)n2)CC1")</f>
        <v>CN1CCN(Cc2ccc(C3=CC4OCCOCCOCCOCCOC=COC4C=C3)cn2)CCN(Cc2cccc(C(C)(c3ccccn3)c3ccccn3)n2)CC1</v>
      </c>
      <c r="C2252" s="7">
        <f>IFERROR(__xludf.DUMMYFUNCTION("""COMPUTED_VALUE"""),7.8097153)</f>
        <v>7.8097153</v>
      </c>
      <c r="D2252" s="7">
        <f>IFERROR(__xludf.DUMMYFUNCTION("""COMPUTED_VALUE"""),0.36)</f>
        <v>0.36</v>
      </c>
    </row>
    <row r="2253">
      <c r="A2253" s="10" t="s">
        <v>3692</v>
      </c>
      <c r="B2253" s="7" t="str">
        <f>IFERROR(__xludf.DUMMYFUNCTION("SPLIT(A2253,"" "")"),"CC1=CCC(C)C(N(C)Cc2ccccn2)C1(C)C")</f>
        <v>CC1=CCC(C)C(N(C)Cc2ccccn2)C1(C)C</v>
      </c>
      <c r="C2253" s="7">
        <f>IFERROR(__xludf.DUMMYFUNCTION("""COMPUTED_VALUE"""),7.809712)</f>
        <v>7.809712</v>
      </c>
      <c r="D2253" s="7">
        <f>IFERROR(__xludf.DUMMYFUNCTION("""COMPUTED_VALUE"""),0.489361702127659)</f>
        <v>0.4893617021</v>
      </c>
    </row>
    <row r="2254">
      <c r="A2254" s="10" t="s">
        <v>3693</v>
      </c>
      <c r="B2254" s="7" t="str">
        <f>IFERROR(__xludf.DUMMYFUNCTION("SPLIT(A2254,"" "")"),"CC(C)N(C)CCN(Cc1ccccn1)C(C)(N)N(Cc1ccccn1)CN(C)C(C)C")</f>
        <v>CC(C)N(C)CCN(Cc1ccccn1)C(C)(N)N(Cc1ccccn1)CN(C)C(C)C</v>
      </c>
      <c r="C2254" s="7">
        <f>IFERROR(__xludf.DUMMYFUNCTION("""COMPUTED_VALUE"""),7.8097053)</f>
        <v>7.8097053</v>
      </c>
      <c r="D2254" s="7">
        <f>IFERROR(__xludf.DUMMYFUNCTION("""COMPUTED_VALUE"""),0.478260869565217)</f>
        <v>0.4782608696</v>
      </c>
    </row>
    <row r="2255">
      <c r="A2255" s="10" t="s">
        <v>3694</v>
      </c>
      <c r="B2255" s="7" t="str">
        <f>IFERROR(__xludf.DUMMYFUNCTION("SPLIT(A2255,"" "")"),"Cc1ccnc(CN(C)C2CCCC(N(C)Cc3ncccc3C)C2)c1")</f>
        <v>Cc1ccnc(CN(C)C2CCCC(N(C)Cc3ncccc3C)C2)c1</v>
      </c>
      <c r="C2255" s="7">
        <f>IFERROR(__xludf.DUMMYFUNCTION("""COMPUTED_VALUE"""),7.809704)</f>
        <v>7.809704</v>
      </c>
      <c r="D2255" s="7">
        <f>IFERROR(__xludf.DUMMYFUNCTION("""COMPUTED_VALUE"""),0.403846153846153)</f>
        <v>0.4038461538</v>
      </c>
    </row>
    <row r="2256">
      <c r="A2256" s="10" t="s">
        <v>3695</v>
      </c>
      <c r="B2256" s="7" t="str">
        <f>IFERROR(__xludf.DUMMYFUNCTION("SPLIT(A2256,"" "")"),"Cc1ccc(CN(C)C2CCCC(N(C)Cc3ncccc3C)C2)cn1")</f>
        <v>Cc1ccc(CN(C)C2CCCC(N(C)Cc3ncccc3C)C2)cn1</v>
      </c>
      <c r="C2256" s="7">
        <f>IFERROR(__xludf.DUMMYFUNCTION("""COMPUTED_VALUE"""),7.8096905)</f>
        <v>7.8096905</v>
      </c>
      <c r="D2256" s="7">
        <f>IFERROR(__xludf.DUMMYFUNCTION("""COMPUTED_VALUE"""),0.333333333333333)</f>
        <v>0.3333333333</v>
      </c>
    </row>
    <row r="2257">
      <c r="A2257" s="10" t="s">
        <v>3696</v>
      </c>
      <c r="B2257" s="7" t="str">
        <f>IFERROR(__xludf.DUMMYFUNCTION("SPLIT(A2257,"" "")"),"Cc1cc(CN(C)C2CCC(N(C)Cc3ncccc3C)CC2)ccn1")</f>
        <v>Cc1cc(CN(C)C2CCC(N(C)Cc3ncccc3C)CC2)ccn1</v>
      </c>
      <c r="C2257" s="7">
        <f>IFERROR(__xludf.DUMMYFUNCTION("""COMPUTED_VALUE"""),7.8096795)</f>
        <v>7.8096795</v>
      </c>
      <c r="D2257" s="7">
        <f>IFERROR(__xludf.DUMMYFUNCTION("""COMPUTED_VALUE"""),0.320754716981132)</f>
        <v>0.320754717</v>
      </c>
    </row>
    <row r="2258">
      <c r="A2258" s="10" t="s">
        <v>3697</v>
      </c>
      <c r="B2258" s="7" t="str">
        <f>IFERROR(__xludf.DUMMYFUNCTION("SPLIT(A2258,"" "")"),"CCOC(=O)C1CN(C)C(C(=O)C(C)N)C(C(=O)C(C)N)C1C(C)C")</f>
        <v>CCOC(=O)C1CN(C)C(C(=O)C(C)N)C(C(=O)C(C)N)C1C(C)C</v>
      </c>
      <c r="C2258" s="7">
        <f>IFERROR(__xludf.DUMMYFUNCTION("""COMPUTED_VALUE"""),7.8096747)</f>
        <v>7.8096747</v>
      </c>
      <c r="D2258" s="7">
        <f>IFERROR(__xludf.DUMMYFUNCTION("""COMPUTED_VALUE"""),0.212121212121212)</f>
        <v>0.2121212121</v>
      </c>
    </row>
    <row r="2259">
      <c r="A2259" s="10" t="s">
        <v>3698</v>
      </c>
      <c r="B2259" s="7" t="str">
        <f>IFERROR(__xludf.DUMMYFUNCTION("SPLIT(A2259,"" "")"),"CC(C)c1ncccc1CN1CCN(C)CCN(Cc2ncccc2C(C)(C)C)CC1")</f>
        <v>CC(C)c1ncccc1CN1CCN(C)CCN(Cc2ncccc2C(C)(C)C)CC1</v>
      </c>
      <c r="C2259" s="7">
        <f>IFERROR(__xludf.DUMMYFUNCTION("""COMPUTED_VALUE"""),7.8096666)</f>
        <v>7.8096666</v>
      </c>
      <c r="D2259" s="7">
        <f>IFERROR(__xludf.DUMMYFUNCTION("""COMPUTED_VALUE"""),0.42)</f>
        <v>0.42</v>
      </c>
    </row>
    <row r="2260">
      <c r="A2260" s="10" t="s">
        <v>3699</v>
      </c>
      <c r="B2260" s="7" t="str">
        <f>IFERROR(__xludf.DUMMYFUNCTION("SPLIT(A2260,"" "")"),"CC1=C(N)CCC(N(C)CC2=CCC=CN2)C1C")</f>
        <v>CC1=C(N)CCC(N(C)CC2=CCC=CN2)C1C</v>
      </c>
      <c r="C2260" s="7">
        <f>IFERROR(__xludf.DUMMYFUNCTION("""COMPUTED_VALUE"""),7.8096642)</f>
        <v>7.8096642</v>
      </c>
      <c r="D2260" s="7">
        <f>IFERROR(__xludf.DUMMYFUNCTION("""COMPUTED_VALUE"""),0.333333333333333)</f>
        <v>0.3333333333</v>
      </c>
    </row>
    <row r="2261">
      <c r="A2261" s="10" t="s">
        <v>3700</v>
      </c>
      <c r="B2261" s="7" t="str">
        <f>IFERROR(__xludf.DUMMYFUNCTION("SPLIT(A2261,"" "")"),"Cc1c(CN(C)C2CCC(N(C)Cc3ccccn3)CC2)nc(-c2ccc3c(c2)OCCOCCOCCOCCOCCO3)c(C)c1C")</f>
        <v>Cc1c(CN(C)C2CCC(N(C)Cc3ccccn3)CC2)nc(-c2ccc3c(c2)OCCOCCOCCOCCOCCO3)c(C)c1C</v>
      </c>
      <c r="C2261" s="7">
        <f>IFERROR(__xludf.DUMMYFUNCTION("""COMPUTED_VALUE"""),7.8096633)</f>
        <v>7.8096633</v>
      </c>
      <c r="D2261" s="7">
        <f>IFERROR(__xludf.DUMMYFUNCTION("""COMPUTED_VALUE"""),0.38095238095238)</f>
        <v>0.380952381</v>
      </c>
    </row>
    <row r="2262">
      <c r="A2262" s="10" t="s">
        <v>3701</v>
      </c>
      <c r="B2262" s="7" t="str">
        <f>IFERROR(__xludf.DUMMYFUNCTION("SPLIT(A2262,"" "")"),"CNCc1ncccc1CN(Cc1ccccn1)C1CCC(N(C)Cc2ncccc2-c2cccc3c2OCCOCCOCCOCCOCCO3)CC1")</f>
        <v>CNCc1ncccc1CN(Cc1ccccn1)C1CCC(N(C)Cc2ncccc2-c2cccc3c2OCCOCCOCCOCCOCCO3)CC1</v>
      </c>
      <c r="C2262" s="7">
        <f>IFERROR(__xludf.DUMMYFUNCTION("""COMPUTED_VALUE"""),7.8096533)</f>
        <v>7.8096533</v>
      </c>
      <c r="D2262" s="7">
        <f>IFERROR(__xludf.DUMMYFUNCTION("""COMPUTED_VALUE"""),0.315068493150684)</f>
        <v>0.3150684932</v>
      </c>
    </row>
    <row r="2263">
      <c r="A2263" s="10" t="s">
        <v>3702</v>
      </c>
      <c r="B2263" s="7" t="str">
        <f>IFERROR(__xludf.DUMMYFUNCTION("SPLIT(A2263,"" "")"),"Cc1cnc(CN(C)C2CCCC(N(C)CNCc3ncccc3C)C2)c(C)c1")</f>
        <v>Cc1cnc(CN(C)C2CCCC(N(C)CNCc3ncccc3C)C2)c(C)c1</v>
      </c>
      <c r="C2263" s="7">
        <f>IFERROR(__xludf.DUMMYFUNCTION("""COMPUTED_VALUE"""),7.8096447)</f>
        <v>7.8096447</v>
      </c>
      <c r="D2263" s="7">
        <f>IFERROR(__xludf.DUMMYFUNCTION("""COMPUTED_VALUE"""),0.306451612903225)</f>
        <v>0.3064516129</v>
      </c>
    </row>
    <row r="2264">
      <c r="A2264" s="10" t="s">
        <v>3703</v>
      </c>
      <c r="B2264" s="7" t="str">
        <f>IFERROR(__xludf.DUMMYFUNCTION("SPLIT(A2264,"" "")"),"CNCc1cccc(CN(Cc2ccccn2)C2CCCC(N(C)Cc3cccc(-c4cccc5c4OCCOCCOCCOCCOCCO5)n3)C2)n1")</f>
        <v>CNCc1cccc(CN(Cc2ccccn2)C2CCCC(N(C)Cc3cccc(-c4cccc5c4OCCOCCOCCOCCOCCO5)n3)C2)n1</v>
      </c>
      <c r="C2264" s="7">
        <f>IFERROR(__xludf.DUMMYFUNCTION("""COMPUTED_VALUE"""),7.8096437)</f>
        <v>7.8096437</v>
      </c>
      <c r="D2264" s="7">
        <f>IFERROR(__xludf.DUMMYFUNCTION("""COMPUTED_VALUE"""),0.352112676056338)</f>
        <v>0.3521126761</v>
      </c>
    </row>
    <row r="2265">
      <c r="A2265" s="10" t="s">
        <v>3704</v>
      </c>
      <c r="B2265" s="7" t="str">
        <f>IFERROR(__xludf.DUMMYFUNCTION("SPLIT(A2265,"" "")"),"Cc1cccnc1CN(C)C1CCC(N(C)Cc2ncccc2C)CC1")</f>
        <v>Cc1cccnc1CN(C)C1CCC(N(C)Cc2ncccc2C)CC1</v>
      </c>
      <c r="C2265" s="7">
        <f>IFERROR(__xludf.DUMMYFUNCTION("""COMPUTED_VALUE"""),7.8096266)</f>
        <v>7.8096266</v>
      </c>
      <c r="D2265" s="7">
        <f>IFERROR(__xludf.DUMMYFUNCTION("""COMPUTED_VALUE"""),0.395348837209302)</f>
        <v>0.3953488372</v>
      </c>
    </row>
    <row r="2266">
      <c r="A2266" s="10" t="s">
        <v>3705</v>
      </c>
      <c r="B2266" s="7" t="str">
        <f>IFERROR(__xludf.DUMMYFUNCTION("SPLIT(A2266,"" "")"),"CN(CCF)CCN(Cc1cccc(-c2ccc3c(c2)OCCOCCOCCOCCOCCO3)n1)C1CCCCC1N(C)Cc1ccc2ncccc2c1")</f>
        <v>CN(CCF)CCN(Cc1cccc(-c2ccc3c(c2)OCCOCCOCCOCCOCCO3)n1)C1CCCCC1N(C)Cc1ccc2ncccc2c1</v>
      </c>
      <c r="C2266" s="7">
        <f>IFERROR(__xludf.DUMMYFUNCTION("""COMPUTED_VALUE"""),7.8096232)</f>
        <v>7.8096232</v>
      </c>
      <c r="D2266" s="7">
        <f>IFERROR(__xludf.DUMMYFUNCTION("""COMPUTED_VALUE"""),0.3125)</f>
        <v>0.3125</v>
      </c>
    </row>
    <row r="2267">
      <c r="A2267" s="10" t="s">
        <v>3706</v>
      </c>
      <c r="B2267" s="7" t="str">
        <f>IFERROR(__xludf.DUMMYFUNCTION("SPLIT(A2267,"" "")"),"COC(=O)C(=O)N1CCN(C)CCN(C(=O)OC)CC1")</f>
        <v>COC(=O)C(=O)N1CCN(C)CCN(C(=O)OC)CC1</v>
      </c>
      <c r="C2267" s="7">
        <f>IFERROR(__xludf.DUMMYFUNCTION("""COMPUTED_VALUE"""),7.8096194)</f>
        <v>7.8096194</v>
      </c>
      <c r="D2267" s="7">
        <f>IFERROR(__xludf.DUMMYFUNCTION("""COMPUTED_VALUE"""),0.307692307692307)</f>
        <v>0.3076923077</v>
      </c>
    </row>
    <row r="2268">
      <c r="A2268" s="10" t="s">
        <v>3707</v>
      </c>
      <c r="B2268" s="7" t="str">
        <f>IFERROR(__xludf.DUMMYFUNCTION("SPLIT(A2268,"" "")"),"CC(C)N(CCN(Cc1ccccn1)Cc1ncccc1-c1cccc2c1OCCOCCOCCOCCOCCO2)C(C)C")</f>
        <v>CC(C)N(CCN(Cc1ccccn1)Cc1ncccc1-c1cccc2c1OCCOCCOCCOCCOCCO2)C(C)C</v>
      </c>
      <c r="C2268" s="7">
        <f>IFERROR(__xludf.DUMMYFUNCTION("""COMPUTED_VALUE"""),7.8096046)</f>
        <v>7.8096046</v>
      </c>
      <c r="D2268" s="7">
        <f>IFERROR(__xludf.DUMMYFUNCTION("""COMPUTED_VALUE"""),0.389830508474576)</f>
        <v>0.3898305085</v>
      </c>
    </row>
    <row r="2269">
      <c r="A2269" s="10" t="s">
        <v>3708</v>
      </c>
      <c r="B2269" s="7" t="str">
        <f>IFERROR(__xludf.DUMMYFUNCTION("SPLIT(A2269,"" "")"),"Cc1cncc(CN(C)C2CCC(N(C)Cc3cccnn3)CC2)c1C")</f>
        <v>Cc1cncc(CN(C)C2CCC(N(C)Cc3cccnn3)CC2)c1C</v>
      </c>
      <c r="C2269" s="7">
        <f>IFERROR(__xludf.DUMMYFUNCTION("""COMPUTED_VALUE"""),7.8096046)</f>
        <v>7.8096046</v>
      </c>
      <c r="D2269" s="7">
        <f>IFERROR(__xludf.DUMMYFUNCTION("""COMPUTED_VALUE"""),0.425531914893617)</f>
        <v>0.4255319149</v>
      </c>
    </row>
    <row r="2270">
      <c r="A2270" s="10" t="s">
        <v>3709</v>
      </c>
      <c r="B2270" s="7" t="str">
        <f>IFERROR(__xludf.DUMMYFUNCTION("SPLIT(A2270,"" "")"),"CC(C)Nc1ncccc1CN1CCN(C)CCN(Cc2ncccc2C(C)(C)C)CC1")</f>
        <v>CC(C)Nc1ncccc1CN1CCN(C)CCN(Cc2ncccc2C(C)(C)C)CC1</v>
      </c>
      <c r="C2270" s="7">
        <f>IFERROR(__xludf.DUMMYFUNCTION("""COMPUTED_VALUE"""),7.8096)</f>
        <v>7.8096</v>
      </c>
      <c r="D2270" s="7">
        <f>IFERROR(__xludf.DUMMYFUNCTION("""COMPUTED_VALUE"""),0.388888888888888)</f>
        <v>0.3888888889</v>
      </c>
    </row>
    <row r="2271">
      <c r="A2271" s="10" t="s">
        <v>3710</v>
      </c>
      <c r="B2271" s="7" t="str">
        <f>IFERROR(__xludf.DUMMYFUNCTION("SPLIT(A2271,"" "")"),"CC1=C(C)C(C)(C)C(C)(N(C)Cc2ccccn2)C(C)C1C")</f>
        <v>CC1=C(C)C(C)(C)C(C)(N(C)Cc2ccccn2)C(C)C1C</v>
      </c>
      <c r="C2271" s="7">
        <f>IFERROR(__xludf.DUMMYFUNCTION("""COMPUTED_VALUE"""),7.8095913)</f>
        <v>7.8095913</v>
      </c>
      <c r="D2271" s="7">
        <f>IFERROR(__xludf.DUMMYFUNCTION("""COMPUTED_VALUE"""),0.408163265306122)</f>
        <v>0.4081632653</v>
      </c>
    </row>
    <row r="2272">
      <c r="A2272" s="10" t="s">
        <v>3711</v>
      </c>
      <c r="B2272" s="7" t="str">
        <f>IFERROR(__xludf.DUMMYFUNCTION("SPLIT(A2272,"" "")"),"CN(Cc1cccc(CN(C)C2CCC(N(C)Cc3ccc(-c4cccc5c4OCCOCCOCCOCCOCCO5)cn3)CC2)n1)Cc1cccc(-c2cccc3c2OCCOCCOCCOCCOCCO3)n1")</f>
        <v>CN(Cc1cccc(CN(C)C2CCC(N(C)Cc3ccc(-c4cccc5c4OCCOCCOCCOCCOCCO5)cn3)CC2)n1)Cc1cccc(-c2cccc3c2OCCOCCOCCOCCOCCO3)n1</v>
      </c>
      <c r="C2272" s="7">
        <f>IFERROR(__xludf.DUMMYFUNCTION("""COMPUTED_VALUE"""),7.8095903)</f>
        <v>7.8095903</v>
      </c>
      <c r="D2272" s="7">
        <f>IFERROR(__xludf.DUMMYFUNCTION("""COMPUTED_VALUE"""),0.343283582089552)</f>
        <v>0.3432835821</v>
      </c>
    </row>
    <row r="2273">
      <c r="A2273" s="10" t="s">
        <v>3712</v>
      </c>
      <c r="B2273" s="7" t="str">
        <f>IFERROR(__xludf.DUMMYFUNCTION("SPLIT(A2273,"" "")"),"CCN(Cc1cccc(-c2ccc3c(c2)OCCOCCOCCOCCOCCO3)n1)Cc1cccc(-c2ccc3c(c2)OCCOCCOCCOCCOCCO3)n1")</f>
        <v>CCN(Cc1cccc(-c2ccc3c(c2)OCCOCCOCCOCCOCCO3)n1)Cc1cccc(-c2ccc3c(c2)OCCOCCOCCOCCOCCO3)n1</v>
      </c>
      <c r="C2273" s="7">
        <f>IFERROR(__xludf.DUMMYFUNCTION("""COMPUTED_VALUE"""),7.80958)</f>
        <v>7.80958</v>
      </c>
      <c r="D2273" s="7">
        <f>IFERROR(__xludf.DUMMYFUNCTION("""COMPUTED_VALUE"""),0.389830508474576)</f>
        <v>0.3898305085</v>
      </c>
    </row>
    <row r="2274">
      <c r="A2274" s="10" t="s">
        <v>3713</v>
      </c>
      <c r="B2274" s="7" t="str">
        <f>IFERROR(__xludf.DUMMYFUNCTION("SPLIT(A2274,"" "")"),"Cc1cccnc1CN(CN(C)C(C)C)C1CCCCC1N(C)Cc1ncc(C)c(C)c1C")</f>
        <v>Cc1cccnc1CN(CN(C)C(C)C)C1CCCCC1N(C)Cc1ncc(C)c(C)c1C</v>
      </c>
      <c r="C2274" s="7">
        <f>IFERROR(__xludf.DUMMYFUNCTION("""COMPUTED_VALUE"""),7.809568)</f>
        <v>7.809568</v>
      </c>
      <c r="D2274" s="7">
        <f>IFERROR(__xludf.DUMMYFUNCTION("""COMPUTED_VALUE"""),0.413793103448275)</f>
        <v>0.4137931034</v>
      </c>
    </row>
    <row r="2275">
      <c r="A2275" s="10" t="s">
        <v>3714</v>
      </c>
      <c r="B2275" s="7" t="str">
        <f>IFERROR(__xludf.DUMMYFUNCTION("SPLIT(A2275,"" "")"),"CC1C=CC(N(C)Cc2cc(C(C)(C)C)ccn2)C(C)C1C")</f>
        <v>CC1C=CC(N(C)Cc2cc(C(C)(C)C)ccn2)C(C)C1C</v>
      </c>
      <c r="C2275" s="7">
        <f>IFERROR(__xludf.DUMMYFUNCTION("""COMPUTED_VALUE"""),7.809557)</f>
        <v>7.809557</v>
      </c>
      <c r="D2275" s="7">
        <f>IFERROR(__xludf.DUMMYFUNCTION("""COMPUTED_VALUE"""),0.30188679245283)</f>
        <v>0.3018867925</v>
      </c>
    </row>
    <row r="2276">
      <c r="A2276" s="10" t="s">
        <v>3715</v>
      </c>
      <c r="B2276" s="7" t="str">
        <f>IFERROR(__xludf.DUMMYFUNCTION("SPLIT(A2276,"" "")"),"CC1CCC=C(c2cc(CN(C)C3CCC(N(C)Cc4ccon4)CC3)ccn2)C1C")</f>
        <v>CC1CCC=C(c2cc(CN(C)C3CCC(N(C)Cc4ccon4)CC3)ccn2)C1C</v>
      </c>
      <c r="C2276" s="7">
        <f>IFERROR(__xludf.DUMMYFUNCTION("""COMPUTED_VALUE"""),7.809556)</f>
        <v>7.809556</v>
      </c>
      <c r="D2276" s="7">
        <f>IFERROR(__xludf.DUMMYFUNCTION("""COMPUTED_VALUE"""),0.339285714285714)</f>
        <v>0.3392857143</v>
      </c>
    </row>
    <row r="2277">
      <c r="A2277" s="10" t="s">
        <v>3716</v>
      </c>
      <c r="B2277" s="7" t="str">
        <f>IFERROR(__xludf.DUMMYFUNCTION("SPLIT(A2277,"" "")"),"CC(C)(C)CN(Cc1ccccn1)Cc1ncccc1-c1cccc2c1OCCOCCOCCOCCOCCO2")</f>
        <v>CC(C)(C)CN(Cc1ccccn1)Cc1ncccc1-c1cccc2c1OCCOCCOCCOCCOCCO2</v>
      </c>
      <c r="C2277" s="7">
        <f>IFERROR(__xludf.DUMMYFUNCTION("""COMPUTED_VALUE"""),7.809552)</f>
        <v>7.809552</v>
      </c>
      <c r="D2277" s="7">
        <f>IFERROR(__xludf.DUMMYFUNCTION("""COMPUTED_VALUE"""),0.472727272727272)</f>
        <v>0.4727272727</v>
      </c>
    </row>
    <row r="2278">
      <c r="A2278" s="10" t="s">
        <v>3717</v>
      </c>
      <c r="B2278" s="7" t="str">
        <f>IFERROR(__xludf.DUMMYFUNCTION("SPLIT(A2278,"" "")"),"CC(C)C1=CC(N(C)Cc2ccc(-c3ccc4c(c3)OCCOCCOCCOCCOCCO4)cn2)C=CN1")</f>
        <v>CC(C)C1=CC(N(C)Cc2ccc(-c3ccc4c(c3)OCCOCCOCCOCCOCCO4)cn2)C=CN1</v>
      </c>
      <c r="C2278" s="7">
        <f>IFERROR(__xludf.DUMMYFUNCTION("""COMPUTED_VALUE"""),7.80953)</f>
        <v>7.80953</v>
      </c>
      <c r="D2278" s="7">
        <f>IFERROR(__xludf.DUMMYFUNCTION("""COMPUTED_VALUE"""),0.44927536231884)</f>
        <v>0.4492753623</v>
      </c>
    </row>
    <row r="2279">
      <c r="A2279" s="10" t="s">
        <v>3718</v>
      </c>
      <c r="B2279" s="7" t="str">
        <f>IFERROR(__xludf.DUMMYFUNCTION("SPLIT(A2279,"" "")"),"CC(C)NCc1cccc(CN(Cc2ccccn2)C2CCC(N(C)Cc3ccc(-c4ccc5c(c4)OCCOCCOCCOCCOCCO5)cn3)CC2)n1")</f>
        <v>CC(C)NCc1cccc(CN(Cc2ccccn2)C2CCC(N(C)Cc3ccc(-c4ccc5c(c4)OCCOCCOCCOCCOCCO5)cn3)CC2)n1</v>
      </c>
      <c r="C2279" s="7">
        <f>IFERROR(__xludf.DUMMYFUNCTION("""COMPUTED_VALUE"""),7.8095293)</f>
        <v>7.8095293</v>
      </c>
      <c r="D2279" s="7">
        <f>IFERROR(__xludf.DUMMYFUNCTION("""COMPUTED_VALUE"""),0.417721518987341)</f>
        <v>0.417721519</v>
      </c>
    </row>
    <row r="2280">
      <c r="A2280" s="10" t="s">
        <v>3719</v>
      </c>
      <c r="B2280" s="7" t="str">
        <f>IFERROR(__xludf.DUMMYFUNCTION("SPLIT(A2280,"" "")"),"CNCc1cc(CN2CCN(C)CCN(Cc3nc(C)c(C)c(C)c3C)CC2)ccn1")</f>
        <v>CNCc1cc(CN2CCN(C)CCN(Cc3nc(C)c(C)c(C)c3C)CC2)ccn1</v>
      </c>
      <c r="C2280" s="7">
        <f>IFERROR(__xludf.DUMMYFUNCTION("""COMPUTED_VALUE"""),7.809527)</f>
        <v>7.809527</v>
      </c>
      <c r="D2280" s="7">
        <f>IFERROR(__xludf.DUMMYFUNCTION("""COMPUTED_VALUE"""),0.461538461538461)</f>
        <v>0.4615384615</v>
      </c>
    </row>
    <row r="2281">
      <c r="A2281" s="10" t="s">
        <v>3720</v>
      </c>
      <c r="B2281" s="7" t="str">
        <f>IFERROR(__xludf.DUMMYFUNCTION("SPLIT(A2281,"" "")"),"CCNCCN(C)Cc1ncccc1C")</f>
        <v>CCNCCN(C)Cc1ncccc1C</v>
      </c>
      <c r="C2281" s="7">
        <f>IFERROR(__xludf.DUMMYFUNCTION("""COMPUTED_VALUE"""),7.809519)</f>
        <v>7.809519</v>
      </c>
      <c r="D2281" s="7">
        <f>IFERROR(__xludf.DUMMYFUNCTION("""COMPUTED_VALUE"""),0.369565217391304)</f>
        <v>0.3695652174</v>
      </c>
    </row>
    <row r="2282">
      <c r="A2282" s="10" t="s">
        <v>3721</v>
      </c>
      <c r="B2282" s="7" t="str">
        <f>IFERROR(__xludf.DUMMYFUNCTION("SPLIT(A2282,"" "")"),"CC1=CC(C)C2(C=C(C)C3(CC(c4ncccc4CN4CCN(C)CCN(C)CC4)C(C)=CC34CC(C)=C(C)C(C)C4)C(C)C2)CC1")</f>
        <v>CC1=CC(C)C2(C=C(C)C3(CC(c4ncccc4CN4CCN(C)CCN(C)CC4)C(C)=CC34CC(C)=C(C)C(C)C4)C(C)C2)CC1</v>
      </c>
      <c r="C2282" s="7">
        <f>IFERROR(__xludf.DUMMYFUNCTION("""COMPUTED_VALUE"""),7.80951)</f>
        <v>7.80951</v>
      </c>
      <c r="D2282" s="7">
        <f>IFERROR(__xludf.DUMMYFUNCTION("""COMPUTED_VALUE"""),0.269230769230769)</f>
        <v>0.2692307692</v>
      </c>
    </row>
    <row r="2283">
      <c r="A2283" s="10" t="s">
        <v>3722</v>
      </c>
      <c r="B2283" s="7" t="str">
        <f>IFERROR(__xludf.DUMMYFUNCTION("SPLIT(A2283,"" "")"),"C=CCN(Cc1ccccn1)Cc1cccc(-c2ccc3c(c2)OCCOCCOCCOCCOCCO3)n1")</f>
        <v>C=CCN(Cc1ccccn1)Cc1cccc(-c2ccc3c(c2)OCCOCCOCCOCCOCCO3)n1</v>
      </c>
      <c r="C2283" s="7">
        <f>IFERROR(__xludf.DUMMYFUNCTION("""COMPUTED_VALUE"""),7.8094926)</f>
        <v>7.8094926</v>
      </c>
      <c r="D2283" s="7">
        <f>IFERROR(__xludf.DUMMYFUNCTION("""COMPUTED_VALUE"""),0.46031746031746)</f>
        <v>0.4603174603</v>
      </c>
    </row>
    <row r="2284">
      <c r="A2284" s="10" t="s">
        <v>3723</v>
      </c>
      <c r="B2284" s="7" t="str">
        <f>IFERROR(__xludf.DUMMYFUNCTION("SPLIT(A2284,"" "")"),"Cc1ccc(CN(Cc2ccccn2)C2CCC(N(C)Cc3cccc(-c4cccc5c4OCCOCCOCCOCCOCCO5)n3)CC2)nc1")</f>
        <v>Cc1ccc(CN(Cc2ccccn2)C2CCC(N(C)Cc3cccc(-c4cccc5c4OCCOCCOCCOCCOCCO5)n3)CC2)nc1</v>
      </c>
      <c r="C2284" s="7">
        <f>IFERROR(__xludf.DUMMYFUNCTION("""COMPUTED_VALUE"""),7.809485)</f>
        <v>7.809485</v>
      </c>
      <c r="D2284" s="7">
        <f>IFERROR(__xludf.DUMMYFUNCTION("""COMPUTED_VALUE"""),0.357142857142857)</f>
        <v>0.3571428571</v>
      </c>
    </row>
    <row r="2285">
      <c r="A2285" s="10" t="s">
        <v>3724</v>
      </c>
      <c r="B2285" s="7" t="str">
        <f>IFERROR(__xludf.DUMMYFUNCTION("SPLIT(A2285,"" "")"),"Fc1ccccc1")</f>
        <v>Fc1ccccc1</v>
      </c>
      <c r="C2285" s="7">
        <f>IFERROR(__xludf.DUMMYFUNCTION("""COMPUTED_VALUE"""),7.809483)</f>
        <v>7.809483</v>
      </c>
      <c r="D2285" s="7">
        <f>IFERROR(__xludf.DUMMYFUNCTION("""COMPUTED_VALUE"""),0.375)</f>
        <v>0.375</v>
      </c>
    </row>
    <row r="2286">
      <c r="A2286" s="10" t="s">
        <v>3725</v>
      </c>
      <c r="B2286" s="7" t="str">
        <f>IFERROR(__xludf.DUMMYFUNCTION("SPLIT(A2286,"" "")"),"Cc1ccc(CN(C)C2CCC(N(C)Cc3cccc(-c4ccc5c(c4)OCCOCCOCCOCCOCCO5)n3)CC2N(C)Cc2cccc(-c3ccc4c(c3)OCCOCCOCCOCCOCCO4)n2)nc1")</f>
        <v>Cc1ccc(CN(C)C2CCC(N(C)Cc3cccc(-c4ccc5c(c4)OCCOCCOCCOCCOCCO5)n3)CC2N(C)Cc2cccc(-c3ccc4c(c3)OCCOCCOCCOCCOCCO4)n2)nc1</v>
      </c>
      <c r="C2286" s="7">
        <f>IFERROR(__xludf.DUMMYFUNCTION("""COMPUTED_VALUE"""),7.8094807)</f>
        <v>7.8094807</v>
      </c>
      <c r="D2286" s="7">
        <f>IFERROR(__xludf.DUMMYFUNCTION("""COMPUTED_VALUE"""),0.43076923076923)</f>
        <v>0.4307692308</v>
      </c>
    </row>
    <row r="2287">
      <c r="A2287" s="10" t="s">
        <v>3726</v>
      </c>
      <c r="B2287" s="7" t="str">
        <f>IFERROR(__xludf.DUMMYFUNCTION("SPLIT(A2287,"" "")"),"CC(NCc1cccc(CN2CCN(C)CCN(C)CC2)n1)C(=O)c1cccc(C2CCC2(C)C)n1")</f>
        <v>CC(NCc1cccc(CN2CCN(C)CCN(C)CC2)n1)C(=O)c1cccc(C2CCC2(C)C)n1</v>
      </c>
      <c r="C2287" s="7">
        <f>IFERROR(__xludf.DUMMYFUNCTION("""COMPUTED_VALUE"""),7.8094788)</f>
        <v>7.8094788</v>
      </c>
      <c r="D2287" s="7">
        <f>IFERROR(__xludf.DUMMYFUNCTION("""COMPUTED_VALUE"""),0.396825396825396)</f>
        <v>0.3968253968</v>
      </c>
    </row>
    <row r="2288">
      <c r="A2288" s="10" t="s">
        <v>3727</v>
      </c>
      <c r="B2288" s="7" t="str">
        <f>IFERROR(__xludf.DUMMYFUNCTION("SPLIT(A2288,"" "")"),"CC(C)NCCN(C)C(C)C")</f>
        <v>CC(C)NCCN(C)C(C)C</v>
      </c>
      <c r="C2288" s="7">
        <f>IFERROR(__xludf.DUMMYFUNCTION("""COMPUTED_VALUE"""),7.8094745)</f>
        <v>7.8094745</v>
      </c>
      <c r="D2288" s="7">
        <f>IFERROR(__xludf.DUMMYFUNCTION("""COMPUTED_VALUE"""),0.179487179487179)</f>
        <v>0.1794871795</v>
      </c>
    </row>
    <row r="2289">
      <c r="A2289" s="10" t="s">
        <v>3728</v>
      </c>
      <c r="B2289" s="7" t="str">
        <f>IFERROR(__xludf.DUMMYFUNCTION("SPLIT(A2289,"" "")"),"Cc1ccc(CN(C)C2CCC(N(Cc3ccccn3)Cc3cccc(-c4cccc5c4OCCOCCOCCOCCOCCO5)n3)CC2)nc1")</f>
        <v>Cc1ccc(CN(C)C2CCC(N(Cc3ccccn3)Cc3cccc(-c4cccc5c4OCCOCCOCCOCCOCCO5)n3)CC2)nc1</v>
      </c>
      <c r="C2289" s="7">
        <f>IFERROR(__xludf.DUMMYFUNCTION("""COMPUTED_VALUE"""),7.8094726)</f>
        <v>7.8094726</v>
      </c>
      <c r="D2289" s="7">
        <f>IFERROR(__xludf.DUMMYFUNCTION("""COMPUTED_VALUE"""),0.357142857142857)</f>
        <v>0.3571428571</v>
      </c>
    </row>
    <row r="2290">
      <c r="A2290" s="10" t="s">
        <v>3729</v>
      </c>
      <c r="B2290" s="7" t="str">
        <f>IFERROR(__xludf.DUMMYFUNCTION("SPLIT(A2290,"" "")"),"CCCN(Cc1ccccn1)C1CCC(N(C)Cc2nccc(C)c2C(C)(C)C)CC1")</f>
        <v>CCCN(Cc1ccccn1)C1CCC(N(C)Cc2nccc(C)c2C(C)(C)C)CC1</v>
      </c>
      <c r="C2290" s="7">
        <f>IFERROR(__xludf.DUMMYFUNCTION("""COMPUTED_VALUE"""),7.809472)</f>
        <v>7.809472</v>
      </c>
      <c r="D2290" s="7">
        <f>IFERROR(__xludf.DUMMYFUNCTION("""COMPUTED_VALUE"""),0.396551724137931)</f>
        <v>0.3965517241</v>
      </c>
    </row>
    <row r="2291">
      <c r="A2291" s="10" t="s">
        <v>3730</v>
      </c>
      <c r="B2291" s="7" t="str">
        <f>IFERROR(__xludf.DUMMYFUNCTION("SPLIT(A2291,"" "")"),"Cc1cncc(CN(Cc2ccccn2)C2CCC(N(C)Cc3ncccc3-c3cccc4c3OCCOCCOCCOCCOCCO4)CC2)c1")</f>
        <v>Cc1cncc(CN(Cc2ccccn2)C2CCC(N(C)Cc3ncccc3-c3cccc4c3OCCOCCOCCOCCOCCO4)CC2)c1</v>
      </c>
      <c r="C2291" s="7">
        <f>IFERROR(__xludf.DUMMYFUNCTION("""COMPUTED_VALUE"""),7.809471)</f>
        <v>7.809471</v>
      </c>
      <c r="D2291" s="7">
        <f>IFERROR(__xludf.DUMMYFUNCTION("""COMPUTED_VALUE"""),0.306666666666666)</f>
        <v>0.3066666667</v>
      </c>
    </row>
    <row r="2292">
      <c r="A2292" s="10" t="s">
        <v>3731</v>
      </c>
      <c r="B2292" s="7" t="str">
        <f>IFERROR(__xludf.DUMMYFUNCTION("SPLIT(A2292,"" "")"),"CN(CC1=CCC=CN1)Cc1cccc(-c2ccc3c(c2)OCCOCCOCCOCCOCCO3)n1")</f>
        <v>CN(CC1=CCC=CN1)Cc1cccc(-c2ccc3c(c2)OCCOCCOCCOCCOCCO3)n1</v>
      </c>
      <c r="C2292" s="7">
        <f>IFERROR(__xludf.DUMMYFUNCTION("""COMPUTED_VALUE"""),7.809464)</f>
        <v>7.809464</v>
      </c>
      <c r="D2292" s="7">
        <f>IFERROR(__xludf.DUMMYFUNCTION("""COMPUTED_VALUE"""),0.369230769230769)</f>
        <v>0.3692307692</v>
      </c>
    </row>
    <row r="2293">
      <c r="A2293" s="10" t="s">
        <v>3732</v>
      </c>
      <c r="B2293" s="7" t="str">
        <f>IFERROR(__xludf.DUMMYFUNCTION("SPLIT(A2293,"" "")"),"CC(C)C1=CC(N(C)Cc2cc(-c3ccc4c(c3)OCCOCCOCCOCCOCCO4)ccn2)C=CN1")</f>
        <v>CC(C)C1=CC(N(C)Cc2cc(-c3ccc4c(c3)OCCOCCOCCOCCOCCO4)ccn2)C=CN1</v>
      </c>
      <c r="C2293" s="7">
        <f>IFERROR(__xludf.DUMMYFUNCTION("""COMPUTED_VALUE"""),7.809464)</f>
        <v>7.809464</v>
      </c>
      <c r="D2293" s="7">
        <f>IFERROR(__xludf.DUMMYFUNCTION("""COMPUTED_VALUE"""),0.351351351351351)</f>
        <v>0.3513513514</v>
      </c>
    </row>
    <row r="2294">
      <c r="A2294" s="10" t="s">
        <v>3733</v>
      </c>
      <c r="B2294" s="7" t="str">
        <f>IFERROR(__xludf.DUMMYFUNCTION("SPLIT(A2294,"" "")"),"Cc1cncc(CN(C)C2CCCC(N(Cc3ccccn3)Cc3cccc(-c4cccc5c4OCCOCCOCCOCCOCCO5)n3)C2)c1")</f>
        <v>Cc1cncc(CN(C)C2CCCC(N(Cc3ccccn3)Cc3cccc(-c4cccc5c4OCCOCCOCCOCCOCCO5)n3)C2)c1</v>
      </c>
      <c r="C2294" s="7">
        <f>IFERROR(__xludf.DUMMYFUNCTION("""COMPUTED_VALUE"""),7.809458)</f>
        <v>7.809458</v>
      </c>
      <c r="D2294" s="7">
        <f>IFERROR(__xludf.DUMMYFUNCTION("""COMPUTED_VALUE"""),0.328947368421052)</f>
        <v>0.3289473684</v>
      </c>
    </row>
    <row r="2295">
      <c r="A2295" s="10" t="s">
        <v>3734</v>
      </c>
      <c r="B2295" s="7" t="str">
        <f>IFERROR(__xludf.DUMMYFUNCTION("SPLIT(A2295,"" "")"),"Cc1ccnc(CN(C)C2CCC(N(Cc3ccccn3)C(C)C)CC2)c1C")</f>
        <v>Cc1ccnc(CN(C)C2CCC(N(Cc3ccccn3)C(C)C)CC2)c1C</v>
      </c>
      <c r="C2295" s="7">
        <f>IFERROR(__xludf.DUMMYFUNCTION("""COMPUTED_VALUE"""),7.8094563)</f>
        <v>7.8094563</v>
      </c>
      <c r="D2295" s="7">
        <f>IFERROR(__xludf.DUMMYFUNCTION("""COMPUTED_VALUE"""),0.433962264150943)</f>
        <v>0.4339622642</v>
      </c>
    </row>
    <row r="2296">
      <c r="A2296" s="10" t="s">
        <v>3735</v>
      </c>
      <c r="B2296" s="7" t="str">
        <f>IFERROR(__xludf.DUMMYFUNCTION("SPLIT(A2296,"" "")"),"Cc1cccnc1CN(C)C1CCCCC1N(C)Cc1cccnc1CN(C)C")</f>
        <v>Cc1cccnc1CN(C)C1CCCCC1N(C)Cc1cccnc1CN(C)C</v>
      </c>
      <c r="C2296" s="7">
        <f>IFERROR(__xludf.DUMMYFUNCTION("""COMPUTED_VALUE"""),7.8094482)</f>
        <v>7.8094482</v>
      </c>
      <c r="D2296" s="7">
        <f>IFERROR(__xludf.DUMMYFUNCTION("""COMPUTED_VALUE"""),0.489361702127659)</f>
        <v>0.4893617021</v>
      </c>
    </row>
    <row r="2297">
      <c r="A2297" s="10" t="s">
        <v>3736</v>
      </c>
      <c r="B2297" s="7" t="str">
        <f>IFERROR(__xludf.DUMMYFUNCTION("SPLIT(A2297,"" "")"),"CNCc1cc(CN(Cc2ccccn2)C2CCC(N(C)Cc3ncccc3-c3ccc4c(c3)OCCOCCOCCOCCOCCO4)CC2)ccn1")</f>
        <v>CNCc1cc(CN(Cc2ccccn2)C2CCC(N(C)Cc3ncccc3-c3ccc4c(c3)OCCOCCOCCOCCOCCO4)CC2)ccn1</v>
      </c>
      <c r="C2297" s="7">
        <f>IFERROR(__xludf.DUMMYFUNCTION("""COMPUTED_VALUE"""),7.8094416)</f>
        <v>7.8094416</v>
      </c>
      <c r="D2297" s="7">
        <f>IFERROR(__xludf.DUMMYFUNCTION("""COMPUTED_VALUE"""),0.306666666666666)</f>
        <v>0.3066666667</v>
      </c>
    </row>
    <row r="2298">
      <c r="A2298" s="10" t="s">
        <v>3737</v>
      </c>
      <c r="B2298" s="7" t="str">
        <f>IFERROR(__xludf.DUMMYFUNCTION("SPLIT(A2298,"" "")"),"CC1=CC(N(C)Cc2cc(N)ccn2)CC(C)C1C")</f>
        <v>CC1=CC(N(C)Cc2cc(N)ccn2)CC(C)C1C</v>
      </c>
      <c r="C2298" s="7">
        <f>IFERROR(__xludf.DUMMYFUNCTION("""COMPUTED_VALUE"""),7.8094397)</f>
        <v>7.8094397</v>
      </c>
      <c r="D2298" s="7">
        <f>IFERROR(__xludf.DUMMYFUNCTION("""COMPUTED_VALUE"""),0.320754716981132)</f>
        <v>0.320754717</v>
      </c>
    </row>
    <row r="2299">
      <c r="A2299" s="10" t="s">
        <v>3738</v>
      </c>
      <c r="B2299" s="7" t="str">
        <f>IFERROR(__xludf.DUMMYFUNCTION("SPLIT(A2299,"" "")"),"CC1C=CC(C)(C)C(C)C1(C)N(Cc1ccccn1)Cc1ccccn1")</f>
        <v>CC1C=CC(C)(C)C(C)C1(C)N(Cc1ccccn1)Cc1ccccn1</v>
      </c>
      <c r="C2299" s="7">
        <f>IFERROR(__xludf.DUMMYFUNCTION("""COMPUTED_VALUE"""),7.8094373)</f>
        <v>7.8094373</v>
      </c>
      <c r="D2299" s="7">
        <f>IFERROR(__xludf.DUMMYFUNCTION("""COMPUTED_VALUE"""),0.425)</f>
        <v>0.425</v>
      </c>
    </row>
    <row r="2300">
      <c r="A2300" s="10" t="s">
        <v>3739</v>
      </c>
      <c r="B2300" s="7" t="str">
        <f>IFERROR(__xludf.DUMMYFUNCTION("SPLIT(A2300,"" "")"),"CC(C)CN(C)Cc1ncccc1-c1ccc2c(c1)OCCOCCOCCOCCOCCO2")</f>
        <v>CC(C)CN(C)Cc1ncccc1-c1ccc2c(c1)OCCOCCOCCOCCOCCO2</v>
      </c>
      <c r="C2300" s="7">
        <f>IFERROR(__xludf.DUMMYFUNCTION("""COMPUTED_VALUE"""),7.8094273)</f>
        <v>7.8094273</v>
      </c>
      <c r="D2300" s="7">
        <f>IFERROR(__xludf.DUMMYFUNCTION("""COMPUTED_VALUE"""),0.343283582089552)</f>
        <v>0.3432835821</v>
      </c>
    </row>
    <row r="2301">
      <c r="A2301" s="10" t="s">
        <v>3740</v>
      </c>
      <c r="B2301" s="7" t="str">
        <f>IFERROR(__xludf.DUMMYFUNCTION("SPLIT(A2301,"" "")"),"C=CCN(C)CCN(C)Cc1ccccc1C")</f>
        <v>C=CCN(C)CCN(C)Cc1ccccc1C</v>
      </c>
      <c r="C2301" s="7">
        <f>IFERROR(__xludf.DUMMYFUNCTION("""COMPUTED_VALUE"""),7.809409)</f>
        <v>7.809409</v>
      </c>
      <c r="D2301" s="7">
        <f>IFERROR(__xludf.DUMMYFUNCTION("""COMPUTED_VALUE"""),0.372093023255813)</f>
        <v>0.3720930233</v>
      </c>
    </row>
    <row r="2302">
      <c r="A2302" s="10" t="s">
        <v>3741</v>
      </c>
      <c r="B2302" s="7" t="str">
        <f>IFERROR(__xludf.DUMMYFUNCTION("SPLIT(A2302,"" "")"),"CN(Cc1ccccn1)C(C)(C)C(C)(C)NCc1ccccn1")</f>
        <v>CN(Cc1ccccn1)C(C)(C)C(C)(C)NCc1ccccn1</v>
      </c>
      <c r="C2302" s="7">
        <f>IFERROR(__xludf.DUMMYFUNCTION("""COMPUTED_VALUE"""),7.809399)</f>
        <v>7.809399</v>
      </c>
      <c r="D2302" s="7">
        <f>IFERROR(__xludf.DUMMYFUNCTION("""COMPUTED_VALUE"""),0.465116279069767)</f>
        <v>0.4651162791</v>
      </c>
    </row>
    <row r="2303">
      <c r="A2303" s="10" t="s">
        <v>3742</v>
      </c>
      <c r="B2303" s="7" t="str">
        <f>IFERROR(__xludf.DUMMYFUNCTION("SPLIT(A2303,"" "")"),"CC(C)C(C)(C1C=CCC(C)(C)C1)N(Cc1ccccn1)Cc1ccccn1")</f>
        <v>CC(C)C(C)(C1C=CCC(C)(C)C1)N(Cc1ccccn1)Cc1ccccn1</v>
      </c>
      <c r="C2303" s="7">
        <f>IFERROR(__xludf.DUMMYFUNCTION("""COMPUTED_VALUE"""),7.8093967)</f>
        <v>7.8093967</v>
      </c>
      <c r="D2303" s="7">
        <f>IFERROR(__xludf.DUMMYFUNCTION("""COMPUTED_VALUE"""),0.384615384615384)</f>
        <v>0.3846153846</v>
      </c>
    </row>
    <row r="2304">
      <c r="A2304" s="10" t="s">
        <v>3743</v>
      </c>
      <c r="B2304" s="7" t="str">
        <f>IFERROR(__xludf.DUMMYFUNCTION("SPLIT(A2304,"" "")"),"CN(CCN(C)Cc1ncccc1-c1cccc2c1OCCOCCOCCOCCOCCO2)Cc1ccccn1")</f>
        <v>CN(CCN(C)Cc1ncccc1-c1cccc2c1OCCOCCOCCOCCOCCO2)Cc1ccccn1</v>
      </c>
      <c r="C2304" s="7">
        <f>IFERROR(__xludf.DUMMYFUNCTION("""COMPUTED_VALUE"""),7.809388)</f>
        <v>7.809388</v>
      </c>
      <c r="D2304" s="7">
        <f>IFERROR(__xludf.DUMMYFUNCTION("""COMPUTED_VALUE"""),0.379310344827586)</f>
        <v>0.3793103448</v>
      </c>
    </row>
    <row r="2305">
      <c r="A2305" s="10" t="s">
        <v>3744</v>
      </c>
      <c r="B2305" s="7" t="str">
        <f>IFERROR(__xludf.DUMMYFUNCTION("SPLIT(A2305,"" "")"),"CNCc1ncccc1CN(Cc1ccccn1)C1CCCC(N(C)Cc2cccc(-c3cccc4c3OCCOCCOCCOCCOCCO4)n2)C1")</f>
        <v>CNCc1ncccc1CN(Cc1ccccn1)C1CCCC(N(C)Cc2cccc(-c3cccc4c3OCCOCCOCCOCCOCCO4)n2)C1</v>
      </c>
      <c r="C2305" s="7">
        <f>IFERROR(__xludf.DUMMYFUNCTION("""COMPUTED_VALUE"""),7.8093863)</f>
        <v>7.8093863</v>
      </c>
      <c r="D2305" s="7">
        <f>IFERROR(__xludf.DUMMYFUNCTION("""COMPUTED_VALUE"""),0.324675324675324)</f>
        <v>0.3246753247</v>
      </c>
    </row>
    <row r="2306">
      <c r="A2306" s="10" t="s">
        <v>3745</v>
      </c>
      <c r="B2306" s="7" t="str">
        <f>IFERROR(__xludf.DUMMYFUNCTION("SPLIT(A2306,"" "")"),"Cc1cccnc1CN(C)C1CCC(N(C)Cc2cccc(-c3ccc4c(c3)OCCOCCOCCOCCOCCO4)n2)CC1N(C)Cc1cccc(-c2ccc3c(c2)OCCOCCOCCOCCOCCO3)n1")</f>
        <v>Cc1cccnc1CN(C)C1CCC(N(C)Cc2cccc(-c3ccc4c(c3)OCCOCCOCCOCCOCCO4)n2)CC1N(C)Cc1cccc(-c2ccc3c(c2)OCCOCCOCCOCCOCCO3)n1</v>
      </c>
      <c r="C2306" s="7">
        <f>IFERROR(__xludf.DUMMYFUNCTION("""COMPUTED_VALUE"""),7.809372)</f>
        <v>7.809372</v>
      </c>
      <c r="D2306" s="7">
        <f>IFERROR(__xludf.DUMMYFUNCTION("""COMPUTED_VALUE"""),0.338028169014084)</f>
        <v>0.338028169</v>
      </c>
    </row>
    <row r="2307">
      <c r="A2307" s="10" t="s">
        <v>3746</v>
      </c>
      <c r="B2307" s="7" t="str">
        <f>IFERROR(__xludf.DUMMYFUNCTION("SPLIT(A2307,"" "")"),"CNC1CCCCC1N(C)Cc1nc(C)c(C)c(C)c1C")</f>
        <v>CNC1CCCCC1N(C)Cc1nc(C)c(C)c(C)c1C</v>
      </c>
      <c r="C2307" s="7">
        <f>IFERROR(__xludf.DUMMYFUNCTION("""COMPUTED_VALUE"""),7.809372)</f>
        <v>7.809372</v>
      </c>
      <c r="D2307" s="7">
        <f>IFERROR(__xludf.DUMMYFUNCTION("""COMPUTED_VALUE"""),0.36734693877551)</f>
        <v>0.3673469388</v>
      </c>
    </row>
    <row r="2308">
      <c r="A2308" s="10" t="s">
        <v>3747</v>
      </c>
      <c r="B2308" s="7" t="str">
        <f>IFERROR(__xludf.DUMMYFUNCTION("SPLIT(A2308,"" "")"),"CN(Cc1ccccn1)C1C=CNC(CN(Cc2ccccn2)c2cccc3c2OCCOCCOCCOCCOCCO3)=C1")</f>
        <v>CN(Cc1ccccn1)C1C=CNC(CN(Cc2ccccn2)c2cccc3c2OCCOCCOCCOCCOCCO3)=C1</v>
      </c>
      <c r="C2308" s="7">
        <f>IFERROR(__xludf.DUMMYFUNCTION("""COMPUTED_VALUE"""),7.8093348)</f>
        <v>7.8093348</v>
      </c>
      <c r="D2308" s="7">
        <f>IFERROR(__xludf.DUMMYFUNCTION("""COMPUTED_VALUE"""),0.348484848484848)</f>
        <v>0.3484848485</v>
      </c>
    </row>
    <row r="2309">
      <c r="A2309" s="10" t="s">
        <v>3748</v>
      </c>
      <c r="B2309" s="7" t="str">
        <f>IFERROR(__xludf.DUMMYFUNCTION("SPLIT(A2309,"" "")"),"CC(N)C(C)c1cccnn1")</f>
        <v>CC(N)C(C)c1cccnn1</v>
      </c>
      <c r="C2309" s="7">
        <f>IFERROR(__xludf.DUMMYFUNCTION("""COMPUTED_VALUE"""),7.809326)</f>
        <v>7.809326</v>
      </c>
      <c r="D2309" s="7">
        <f>IFERROR(__xludf.DUMMYFUNCTION("""COMPUTED_VALUE"""),0.371428571428571)</f>
        <v>0.3714285714</v>
      </c>
    </row>
    <row r="2310">
      <c r="A2310" s="10" t="s">
        <v>3749</v>
      </c>
      <c r="B2310" s="7" t="str">
        <f>IFERROR(__xludf.DUMMYFUNCTION("SPLIT(A2310,"" "")"),"Cc1cncc(CN(C)CC2=CC(N(C)C3CCCC(N(C)Cc4ccccn4)C3)C=CN2)c1")</f>
        <v>Cc1cncc(CN(C)CC2=CC(N(C)C3CCCC(N(C)Cc4ccccn4)C3)C=CN2)c1</v>
      </c>
      <c r="C2310" s="7">
        <f>IFERROR(__xludf.DUMMYFUNCTION("""COMPUTED_VALUE"""),7.80932)</f>
        <v>7.80932</v>
      </c>
      <c r="D2310" s="7">
        <f>IFERROR(__xludf.DUMMYFUNCTION("""COMPUTED_VALUE"""),0.367647058823529)</f>
        <v>0.3676470588</v>
      </c>
    </row>
    <row r="2311">
      <c r="A2311" s="10" t="s">
        <v>3750</v>
      </c>
      <c r="B2311" s="7" t="str">
        <f>IFERROR(__xludf.DUMMYFUNCTION("SPLIT(A2311,"" "")"),"CCOC(C)NCc1ccccn1")</f>
        <v>CCOC(C)NCc1ccccn1</v>
      </c>
      <c r="C2311" s="7">
        <f>IFERROR(__xludf.DUMMYFUNCTION("""COMPUTED_VALUE"""),7.809318)</f>
        <v>7.809318</v>
      </c>
      <c r="D2311" s="7">
        <f>IFERROR(__xludf.DUMMYFUNCTION("""COMPUTED_VALUE"""),0.472222222222222)</f>
        <v>0.4722222222</v>
      </c>
    </row>
    <row r="2312">
      <c r="A2312" s="10" t="s">
        <v>3751</v>
      </c>
      <c r="B2312" s="7" t="str">
        <f>IFERROR(__xludf.DUMMYFUNCTION("SPLIT(A2312,"" "")"),"CCCN(Cc1ccccn1)Cc1cccc(-c2ccc3c(c2)OCCOCCOCCOCCOCCO3)n1")</f>
        <v>CCCN(Cc1ccccn1)Cc1cccc(-c2ccc3c(c2)OCCOCCOCCOCCOCCO3)n1</v>
      </c>
      <c r="C2312" s="7">
        <f>IFERROR(__xludf.DUMMYFUNCTION("""COMPUTED_VALUE"""),7.809314)</f>
        <v>7.809314</v>
      </c>
      <c r="D2312" s="7">
        <f>IFERROR(__xludf.DUMMYFUNCTION("""COMPUTED_VALUE"""),0.491803278688524)</f>
        <v>0.4918032787</v>
      </c>
    </row>
    <row r="2313">
      <c r="A2313" s="10" t="s">
        <v>3752</v>
      </c>
      <c r="B2313" s="7" t="str">
        <f>IFERROR(__xludf.DUMMYFUNCTION("SPLIT(A2313,"" "")"),"CNC1=CC=CCN1")</f>
        <v>CNC1=CC=CCN1</v>
      </c>
      <c r="C2313" s="7">
        <f>IFERROR(__xludf.DUMMYFUNCTION("""COMPUTED_VALUE"""),7.8093133)</f>
        <v>7.8093133</v>
      </c>
      <c r="D2313" s="7">
        <f>IFERROR(__xludf.DUMMYFUNCTION("""COMPUTED_VALUE"""),0.133333333333333)</f>
        <v>0.1333333333</v>
      </c>
    </row>
    <row r="2314">
      <c r="A2314" s="10" t="s">
        <v>3753</v>
      </c>
      <c r="B2314" s="7" t="str">
        <f>IFERROR(__xludf.DUMMYFUNCTION("SPLIT(A2314,"" "")"),"CN(CCN(C)Cc1ccc(-c2ccc3c(c2)OCCOCCOCCOCCOCCO3)cn1)Cc1ccccn1")</f>
        <v>CN(CCN(C)Cc1ccc(-c2ccc3c(c2)OCCOCCOCCOCCOCCO3)cn1)Cc1ccccn1</v>
      </c>
      <c r="C2314" s="7">
        <f>IFERROR(__xludf.DUMMYFUNCTION("""COMPUTED_VALUE"""),7.8093085)</f>
        <v>7.8093085</v>
      </c>
      <c r="D2314" s="7">
        <f>IFERROR(__xludf.DUMMYFUNCTION("""COMPUTED_VALUE"""),0.491803278688524)</f>
        <v>0.4918032787</v>
      </c>
    </row>
    <row r="2315">
      <c r="A2315" s="10" t="s">
        <v>3754</v>
      </c>
      <c r="B2315" s="7" t="str">
        <f>IFERROR(__xludf.DUMMYFUNCTION("SPLIT(A2315,"" "")"),"CNCc1cccc(CN(Cc2ccccn2)C2CCC(N(C)Cc3ncccc3-c3ccc4c(c3)OCCOCCOCCOCCOCCO4)CC2)n1")</f>
        <v>CNCc1cccc(CN(Cc2ccccn2)C2CCC(N(C)Cc3ncccc3-c3ccc4c(c3)OCCOCCOCCOCCOCCO4)CC2)n1</v>
      </c>
      <c r="C2315" s="7">
        <f>IFERROR(__xludf.DUMMYFUNCTION("""COMPUTED_VALUE"""),7.8092995)</f>
        <v>7.8092995</v>
      </c>
      <c r="D2315" s="7">
        <f>IFERROR(__xludf.DUMMYFUNCTION("""COMPUTED_VALUE"""),0.31081081081081)</f>
        <v>0.3108108108</v>
      </c>
    </row>
    <row r="2316">
      <c r="A2316" s="10" t="s">
        <v>3755</v>
      </c>
      <c r="B2316" s="7" t="str">
        <f>IFERROR(__xludf.DUMMYFUNCTION("SPLIT(A2316,"" "")"),"Cc1cc(CN(C)C2CCCC(N(C)c3cncc(CN4CCN(C)CCN(C)CC4)c3)C2)nc(C)c1C")</f>
        <v>Cc1cc(CN(C)C2CCCC(N(C)c3cncc(CN4CCN(C)CCN(C)CC4)c3)C2)nc(C)c1C</v>
      </c>
      <c r="C2316" s="7">
        <f>IFERROR(__xludf.DUMMYFUNCTION("""COMPUTED_VALUE"""),7.809298)</f>
        <v>7.809298</v>
      </c>
      <c r="D2316" s="7">
        <f>IFERROR(__xludf.DUMMYFUNCTION("""COMPUTED_VALUE"""),0.303030303030303)</f>
        <v>0.303030303</v>
      </c>
    </row>
    <row r="2317">
      <c r="A2317" s="10" t="s">
        <v>3756</v>
      </c>
      <c r="B2317" s="7" t="str">
        <f>IFERROR(__xludf.DUMMYFUNCTION("SPLIT(A2317,"" "")"),"Cc1nc(CN(C)C2CCCC(N(C)C(C)C)C2)c(C)c(C)c1C")</f>
        <v>Cc1nc(CN(C)C2CCCC(N(C)C(C)C)C2)c(C)c(C)c1C</v>
      </c>
      <c r="C2317" s="7">
        <f>IFERROR(__xludf.DUMMYFUNCTION("""COMPUTED_VALUE"""),7.809282)</f>
        <v>7.809282</v>
      </c>
      <c r="D2317" s="7">
        <f>IFERROR(__xludf.DUMMYFUNCTION("""COMPUTED_VALUE"""),0.259259259259259)</f>
        <v>0.2592592593</v>
      </c>
    </row>
    <row r="2318">
      <c r="A2318" s="10" t="s">
        <v>3757</v>
      </c>
      <c r="B2318" s="7" t="str">
        <f>IFERROR(__xludf.DUMMYFUNCTION("SPLIT(A2318,"" "")"),"CN(CCF)CCN(Cc1ccccn1)C(C)(N)N")</f>
        <v>CN(CCF)CCN(Cc1ccccn1)C(C)(N)N</v>
      </c>
      <c r="C2318" s="7">
        <f>IFERROR(__xludf.DUMMYFUNCTION("""COMPUTED_VALUE"""),7.8092804)</f>
        <v>7.8092804</v>
      </c>
      <c r="D2318" s="7">
        <f>IFERROR(__xludf.DUMMYFUNCTION("""COMPUTED_VALUE"""),0.456521739130434)</f>
        <v>0.4565217391</v>
      </c>
    </row>
    <row r="2319">
      <c r="A2319" s="10" t="s">
        <v>3758</v>
      </c>
      <c r="B2319" s="7" t="str">
        <f>IFERROR(__xludf.DUMMYFUNCTION("SPLIT(A2319,"" "")"),"CNCc1cccc(CN(Cc2cccc(C)n2)C2CCCCC2N(C)Cc2cccc(-c3ccc4c(c3)OCCOCCOCCOCCOCCO4)n2)n1")</f>
        <v>CNCc1cccc(CN(Cc2cccc(C)n2)C2CCCCC2N(C)Cc2cccc(-c3ccc4c(c3)OCCOCCOCCOCCOCCO4)n2)n1</v>
      </c>
      <c r="C2319" s="7">
        <f>IFERROR(__xludf.DUMMYFUNCTION("""COMPUTED_VALUE"""),7.809271)</f>
        <v>7.809271</v>
      </c>
      <c r="D2319" s="7">
        <f>IFERROR(__xludf.DUMMYFUNCTION("""COMPUTED_VALUE"""),0.484375)</f>
        <v>0.484375</v>
      </c>
    </row>
    <row r="2320">
      <c r="A2320" s="10" t="s">
        <v>3759</v>
      </c>
      <c r="B2320" s="7" t="str">
        <f>IFERROR(__xludf.DUMMYFUNCTION("SPLIT(A2320,"" "")"),"CC1=C(C)C(C)C(C)(N(C)Cc2ccccn2)C(C)(C)C1C")</f>
        <v>CC1=C(C)C(C)C(C)(N(C)Cc2ccccn2)C(C)(C)C1C</v>
      </c>
      <c r="C2320" s="7">
        <f>IFERROR(__xludf.DUMMYFUNCTION("""COMPUTED_VALUE"""),7.8092694)</f>
        <v>7.8092694</v>
      </c>
      <c r="D2320" s="7">
        <f>IFERROR(__xludf.DUMMYFUNCTION("""COMPUTED_VALUE"""),0.435897435897435)</f>
        <v>0.4358974359</v>
      </c>
    </row>
    <row r="2321">
      <c r="A2321" s="10" t="s">
        <v>3760</v>
      </c>
      <c r="B2321" s="7" t="str">
        <f>IFERROR(__xludf.DUMMYFUNCTION("SPLIT(A2321,"" "")"),"CNC1CCCC(N(Cc2ccccn2)Cc2nc(C)ccc2C)C1")</f>
        <v>CNC1CCCC(N(Cc2ccccn2)Cc2nc(C)ccc2C)C1</v>
      </c>
      <c r="C2321" s="7">
        <f>IFERROR(__xludf.DUMMYFUNCTION("""COMPUTED_VALUE"""),7.8092604)</f>
        <v>7.8092604</v>
      </c>
      <c r="D2321" s="7">
        <f>IFERROR(__xludf.DUMMYFUNCTION("""COMPUTED_VALUE"""),0.385964912280701)</f>
        <v>0.3859649123</v>
      </c>
    </row>
    <row r="2322">
      <c r="A2322" s="10" t="s">
        <v>3761</v>
      </c>
      <c r="B2322" s="7" t="str">
        <f>IFERROR(__xludf.DUMMYFUNCTION("SPLIT(A2322,"" "")"),"CN(Cc1cccc(CN(Cc2ccccn2)Cc2cccc(C(C)(C)C)n2)n1)Cc1cccc(C23CCC2OCCOCCOCCOCCOCCO3)n1")</f>
        <v>CN(Cc1cccc(CN(Cc2ccccn2)Cc2cccc(C(C)(C)C)n2)n1)Cc1cccc(C23CCC2OCCOCCOCCOCCOCCO3)n1</v>
      </c>
      <c r="C2322" s="7">
        <f>IFERROR(__xludf.DUMMYFUNCTION("""COMPUTED_VALUE"""),7.80926)</f>
        <v>7.80926</v>
      </c>
      <c r="D2322" s="7">
        <f>IFERROR(__xludf.DUMMYFUNCTION("""COMPUTED_VALUE"""),0.36231884057971)</f>
        <v>0.3623188406</v>
      </c>
    </row>
    <row r="2323">
      <c r="A2323" s="10" t="s">
        <v>3762</v>
      </c>
      <c r="B2323" s="7" t="str">
        <f>IFERROR(__xludf.DUMMYFUNCTION("SPLIT(A2323,"" "")"),"CN(CCN(C)Cc1ncccc1-c1ccc2c(c1)OCCOCCOCCOCCOCCO2)Cc1ncccc1-c1ccc2c(c1)OCCOCCOCCOCCOCCO2")</f>
        <v>CN(CCN(C)Cc1ncccc1-c1ccc2c(c1)OCCOCCOCCOCCOCCO2)Cc1ncccc1-c1ccc2c(c1)OCCOCCOCCOCCOCCO2</v>
      </c>
      <c r="C2323" s="7">
        <f>IFERROR(__xludf.DUMMYFUNCTION("""COMPUTED_VALUE"""),7.8092566)</f>
        <v>7.8092566</v>
      </c>
      <c r="D2323" s="7">
        <f>IFERROR(__xludf.DUMMYFUNCTION("""COMPUTED_VALUE"""),0.359375)</f>
        <v>0.359375</v>
      </c>
    </row>
    <row r="2324">
      <c r="A2324" s="10" t="s">
        <v>3763</v>
      </c>
      <c r="B2324" s="7" t="str">
        <f>IFERROR(__xludf.DUMMYFUNCTION("SPLIT(A2324,"" "")"),"c1ccc(CN(Cc2cccnn2)c2ccc3c(c2)OCCOCCOCCOCCOCCO3)nc1")</f>
        <v>c1ccc(CN(Cc2cccnn2)c2ccc3c(c2)OCCOCCOCCOCCOCCO3)nc1</v>
      </c>
      <c r="C2324" s="7">
        <f>IFERROR(__xludf.DUMMYFUNCTION("""COMPUTED_VALUE"""),7.8092403)</f>
        <v>7.8092403</v>
      </c>
      <c r="D2324" s="7">
        <f>IFERROR(__xludf.DUMMYFUNCTION("""COMPUTED_VALUE"""),0.5)</f>
        <v>0.5</v>
      </c>
    </row>
    <row r="2325">
      <c r="A2325" s="10" t="s">
        <v>3764</v>
      </c>
      <c r="B2325" s="7" t="str">
        <f>IFERROR(__xludf.DUMMYFUNCTION("SPLIT(A2325,"" "")"),"CN(Cc1cccc(-c2ccc3c(c2)OCCOCCOCCOCCOCCO3)n1)C1CCC(N(Cc2ccccn2)Cc2cccc(F)n2)CC1")</f>
        <v>CN(Cc1cccc(-c2ccc3c(c2)OCCOCCOCCOCCOCCO3)n1)C1CCC(N(Cc2ccccn2)Cc2cccc(F)n2)CC1</v>
      </c>
      <c r="C2325" s="7">
        <f>IFERROR(__xludf.DUMMYFUNCTION("""COMPUTED_VALUE"""),7.809239)</f>
        <v>7.809239</v>
      </c>
      <c r="D2325" s="7">
        <f>IFERROR(__xludf.DUMMYFUNCTION("""COMPUTED_VALUE"""),0.388059701492537)</f>
        <v>0.3880597015</v>
      </c>
    </row>
    <row r="2326">
      <c r="A2326" s="10" t="s">
        <v>3765</v>
      </c>
      <c r="B2326" s="7" t="str">
        <f>IFERROR(__xludf.DUMMYFUNCTION("SPLIT(A2326,"" "")"),"CC1=CC(C)C(N)C=C1CN(C)CCN(C)C(C)(C)C")</f>
        <v>CC1=CC(C)C(N)C=C1CN(C)CCN(C)C(C)(C)C</v>
      </c>
      <c r="C2326" s="7">
        <f>IFERROR(__xludf.DUMMYFUNCTION("""COMPUTED_VALUE"""),7.809215)</f>
        <v>7.809215</v>
      </c>
      <c r="D2326" s="7">
        <f>IFERROR(__xludf.DUMMYFUNCTION("""COMPUTED_VALUE"""),0.25)</f>
        <v>0.25</v>
      </c>
    </row>
    <row r="2327">
      <c r="A2327" s="10" t="s">
        <v>3766</v>
      </c>
      <c r="B2327" s="7" t="str">
        <f>IFERROR(__xludf.DUMMYFUNCTION("SPLIT(A2327,"" "")"),"CNCc1cc(CN(Cc2ccccn2)c2ccc3c(c2)OCCOCCOCCOCCOCCO3)ccn1")</f>
        <v>CNCc1cc(CN(Cc2ccccn2)c2ccc3c(c2)OCCOCCOCCOCCOCCO3)ccn1</v>
      </c>
      <c r="C2327" s="7">
        <f>IFERROR(__xludf.DUMMYFUNCTION("""COMPUTED_VALUE"""),7.80921)</f>
        <v>7.80921</v>
      </c>
      <c r="D2327" s="7">
        <f>IFERROR(__xludf.DUMMYFUNCTION("""COMPUTED_VALUE"""),0.314814814814814)</f>
        <v>0.3148148148</v>
      </c>
    </row>
    <row r="2328">
      <c r="A2328" s="10" t="s">
        <v>3767</v>
      </c>
      <c r="B2328" s="7" t="str">
        <f>IFERROR(__xludf.DUMMYFUNCTION("SPLIT(A2328,"" "")"),"CC(N)C(C)N(C)CCN(C)C(c1ccccc1)c1ccccn1")</f>
        <v>CC(N)C(C)N(C)CCN(C)C(c1ccccc1)c1ccccn1</v>
      </c>
      <c r="C2328" s="7">
        <f>IFERROR(__xludf.DUMMYFUNCTION("""COMPUTED_VALUE"""),7.809208)</f>
        <v>7.809208</v>
      </c>
      <c r="D2328" s="7">
        <f>IFERROR(__xludf.DUMMYFUNCTION("""COMPUTED_VALUE"""),0.479166666666666)</f>
        <v>0.4791666667</v>
      </c>
    </row>
    <row r="2329">
      <c r="A2329" s="10" t="s">
        <v>3768</v>
      </c>
      <c r="B2329" s="7" t="str">
        <f>IFERROR(__xludf.DUMMYFUNCTION("SPLIT(A2329,"" "")"),"Cc1cnc(CN(C)C2CCCC(N(Cc3ccccn3)C(C)C)C2)cc1C")</f>
        <v>Cc1cnc(CN(C)C2CCCC(N(Cc3ccccn3)C(C)C)C2)cc1C</v>
      </c>
      <c r="C2329" s="7">
        <f>IFERROR(__xludf.DUMMYFUNCTION("""COMPUTED_VALUE"""),7.809194)</f>
        <v>7.809194</v>
      </c>
      <c r="D2329" s="7">
        <f>IFERROR(__xludf.DUMMYFUNCTION("""COMPUTED_VALUE"""),0.48076923076923)</f>
        <v>0.4807692308</v>
      </c>
    </row>
    <row r="2330">
      <c r="A2330" s="10" t="s">
        <v>3769</v>
      </c>
      <c r="B2330" s="7" t="str">
        <f>IFERROR(__xludf.DUMMYFUNCTION("SPLIT(A2330,"" "")"),"CC(C)NCc1cccc(CN(Cc2ccccn2)C2CCCC(N(C)Cc3cccc(-c4ccc5c(c4)OCCOCCOCCOCCOCCO5)n3)C2)n1")</f>
        <v>CC(C)NCc1cccc(CN(Cc2ccccn2)C2CCCC(N(C)Cc3cccc(-c4ccc5c(c4)OCCOCCOCCOCCOCCO5)n3)C2)n1</v>
      </c>
      <c r="C2330" s="7">
        <f>IFERROR(__xludf.DUMMYFUNCTION("""COMPUTED_VALUE"""),7.8091927)</f>
        <v>7.8091927</v>
      </c>
      <c r="D2330" s="7">
        <f>IFERROR(__xludf.DUMMYFUNCTION("""COMPUTED_VALUE"""),0.3625)</f>
        <v>0.3625</v>
      </c>
    </row>
    <row r="2331">
      <c r="A2331" s="10" t="s">
        <v>3770</v>
      </c>
      <c r="B2331" s="7" t="str">
        <f>IFERROR(__xludf.DUMMYFUNCTION("SPLIT(A2331,"" "")"),"Cc1cc(CN(C)C2CCCCC2N(C)Cc2cccnc2C2CCC2)nc(C)c1C")</f>
        <v>Cc1cc(CN(C)C2CCCCC2N(C)Cc2cccnc2C2CCC2)nc(C)c1C</v>
      </c>
      <c r="C2331" s="7">
        <f>IFERROR(__xludf.DUMMYFUNCTION("""COMPUTED_VALUE"""),7.809192)</f>
        <v>7.809192</v>
      </c>
      <c r="D2331" s="7">
        <f>IFERROR(__xludf.DUMMYFUNCTION("""COMPUTED_VALUE"""),0.462962962962962)</f>
        <v>0.462962963</v>
      </c>
    </row>
    <row r="2332">
      <c r="A2332" s="10" t="s">
        <v>3771</v>
      </c>
      <c r="B2332" s="7" t="str">
        <f>IFERROR(__xludf.DUMMYFUNCTION("SPLIT(A2332,"" "")"),"CC1=CC(C)CC(C)(c2ccc(CN(Cc3ccccn3)C3CCCCC3)cn2)C1")</f>
        <v>CC1=CC(C)CC(C)(c2ccc(CN(Cc3ccccn3)C3CCCCC3)cn2)C1</v>
      </c>
      <c r="C2332" s="7">
        <f>IFERROR(__xludf.DUMMYFUNCTION("""COMPUTED_VALUE"""),7.80919)</f>
        <v>7.80919</v>
      </c>
      <c r="D2332" s="7">
        <f>IFERROR(__xludf.DUMMYFUNCTION("""COMPUTED_VALUE"""),0.365079365079365)</f>
        <v>0.3650793651</v>
      </c>
    </row>
    <row r="2333">
      <c r="A2333" s="10" t="s">
        <v>3772</v>
      </c>
      <c r="B2333" s="7" t="str">
        <f>IFERROR(__xludf.DUMMYFUNCTION("SPLIT(A2333,"" "")"),"Cc1cnc(CN(C)C2CCC(N(C)Cc3ncccc3-c3cccc4c3OCCOCCOCCOCCOCCO4)CC2)c(C)c1C")</f>
        <v>Cc1cnc(CN(C)C2CCC(N(C)Cc3ncccc3-c3cccc4c3OCCOCCOCCOCCOCCO4)CC2)c(C)c1C</v>
      </c>
      <c r="C2333" s="7">
        <f>IFERROR(__xludf.DUMMYFUNCTION("""COMPUTED_VALUE"""),7.8091884)</f>
        <v>7.8091884</v>
      </c>
      <c r="D2333" s="7">
        <f>IFERROR(__xludf.DUMMYFUNCTION("""COMPUTED_VALUE"""),0.26865671641791)</f>
        <v>0.2686567164</v>
      </c>
    </row>
    <row r="2334">
      <c r="A2334" s="10" t="s">
        <v>3773</v>
      </c>
      <c r="B2334" s="7" t="str">
        <f>IFERROR(__xludf.DUMMYFUNCTION("SPLIT(A2334,"" "")"),"CN(CC1=CCC=C(N(C)C2C=CC=CN2)N1)C1CCCC(N(C)Cc2ccccn2)C1")</f>
        <v>CN(CC1=CCC=C(N(C)C2C=CC=CN2)N1)C1CCCC(N(C)Cc2ccccn2)C1</v>
      </c>
      <c r="C2334" s="7">
        <f>IFERROR(__xludf.DUMMYFUNCTION("""COMPUTED_VALUE"""),7.809184)</f>
        <v>7.809184</v>
      </c>
      <c r="D2334" s="7">
        <f>IFERROR(__xludf.DUMMYFUNCTION("""COMPUTED_VALUE"""),0.403225806451612)</f>
        <v>0.4032258065</v>
      </c>
    </row>
    <row r="2335">
      <c r="A2335" s="10" t="s">
        <v>3774</v>
      </c>
      <c r="B2335" s="7" t="str">
        <f>IFERROR(__xludf.DUMMYFUNCTION("SPLIT(A2335,"" "")"),"CC1=CC(C)CC(C)C1NCc1ccccn1")</f>
        <v>CC1=CC(C)CC(C)C1NCc1ccccn1</v>
      </c>
      <c r="C2335" s="7">
        <f>IFERROR(__xludf.DUMMYFUNCTION("""COMPUTED_VALUE"""),7.809174)</f>
        <v>7.809174</v>
      </c>
      <c r="D2335" s="7">
        <f>IFERROR(__xludf.DUMMYFUNCTION("""COMPUTED_VALUE"""),0.404761904761904)</f>
        <v>0.4047619048</v>
      </c>
    </row>
    <row r="2336">
      <c r="A2336" s="10" t="s">
        <v>3775</v>
      </c>
      <c r="B2336" s="7" t="str">
        <f>IFERROR(__xludf.DUMMYFUNCTION("SPLIT(A2336,"" "")"),"CC(C)C1=CC2(C=CN1)C=CC(C)(C)CC2C")</f>
        <v>CC(C)C1=CC2(C=CN1)C=CC(C)(C)CC2C</v>
      </c>
      <c r="C2336" s="7">
        <f>IFERROR(__xludf.DUMMYFUNCTION("""COMPUTED_VALUE"""),7.8091693)</f>
        <v>7.8091693</v>
      </c>
      <c r="D2336" s="7">
        <f>IFERROR(__xludf.DUMMYFUNCTION("""COMPUTED_VALUE"""),0.135593220338983)</f>
        <v>0.1355932203</v>
      </c>
    </row>
    <row r="2337">
      <c r="A2337" s="10" t="s">
        <v>3776</v>
      </c>
      <c r="B2337" s="7" t="str">
        <f>IFERROR(__xludf.DUMMYFUNCTION("SPLIT(A2337,"" "")"),"CNC1COCCOCCOCCOCCOCC(c2cccc(CN(Cc3ccccn3)C3CCC(N(C)c4ccc5nc(CF)ccc5c4)CC3)n2)O1")</f>
        <v>CNC1COCCOCCOCCOCCOCC(c2cccc(CN(Cc3ccccn3)C3CCC(N(C)c4ccc5nc(CF)ccc5c4)CC3)n2)O1</v>
      </c>
      <c r="C2337" s="7">
        <f>IFERROR(__xludf.DUMMYFUNCTION("""COMPUTED_VALUE"""),7.8091545)</f>
        <v>7.8091545</v>
      </c>
      <c r="D2337" s="7">
        <f>IFERROR(__xludf.DUMMYFUNCTION("""COMPUTED_VALUE"""),0.307692307692307)</f>
        <v>0.3076923077</v>
      </c>
    </row>
    <row r="2338">
      <c r="A2338" s="10" t="s">
        <v>3777</v>
      </c>
      <c r="B2338" s="7" t="str">
        <f>IFERROR(__xludf.DUMMYFUNCTION("SPLIT(A2338,"" "")"),"Cc1ccc(CN(Cc2ccccn2)C2CCC(N(C)Cc3cccc(-c4ccc5c(c4)OCCOCCOCCOCCOCCO5)n3)CC2)nc1")</f>
        <v>Cc1ccc(CN(Cc2ccccn2)C2CCC(N(C)Cc3cccc(-c4ccc5c(c4)OCCOCCOCCOCCOCCO5)n3)CC2)nc1</v>
      </c>
      <c r="C2338" s="7">
        <f>IFERROR(__xludf.DUMMYFUNCTION("""COMPUTED_VALUE"""),7.8091245)</f>
        <v>7.8091245</v>
      </c>
      <c r="D2338" s="7">
        <f>IFERROR(__xludf.DUMMYFUNCTION("""COMPUTED_VALUE"""),0.368421052631578)</f>
        <v>0.3684210526</v>
      </c>
    </row>
    <row r="2339">
      <c r="A2339" s="10" t="s">
        <v>3778</v>
      </c>
      <c r="B2339" s="7" t="str">
        <f>IFERROR(__xludf.DUMMYFUNCTION("SPLIT(A2339,"" "")"),"Cc1ccc(CN(C)C2CCC(N(Cc3ccccn3)Cc3cccc(-c4ccc5c(c4)OCCOCCOCCOCCOCCO5)n3)CC2)nc1")</f>
        <v>Cc1ccc(CN(C)C2CCC(N(Cc3ccccn3)Cc3cccc(-c4ccc5c(c4)OCCOCCOCCOCCOCCO5)n3)CC2)nc1</v>
      </c>
      <c r="C2339" s="7">
        <f>IFERROR(__xludf.DUMMYFUNCTION("""COMPUTED_VALUE"""),7.8091154)</f>
        <v>7.8091154</v>
      </c>
      <c r="D2339" s="7">
        <f>IFERROR(__xludf.DUMMYFUNCTION("""COMPUTED_VALUE"""),0.368421052631578)</f>
        <v>0.3684210526</v>
      </c>
    </row>
    <row r="2340">
      <c r="A2340" s="10" t="s">
        <v>3779</v>
      </c>
      <c r="B2340" s="7" t="str">
        <f>IFERROR(__xludf.DUMMYFUNCTION("SPLIT(A2340,"" "")"),"CC1C=CC(C)C(C)(c2cccc(CN(Cc3ccccn3)C3CCC(N(C)Cc4cccc(-c5ccc6c(c5)OCCOCCOCCOCCOCCO6)n4)CC3)n2)C1")</f>
        <v>CC1C=CC(C)C(C)(c2cccc(CN(Cc3ccccn3)C3CCC(N(C)Cc4cccc(-c5ccc6c(c5)OCCOCCOCCOCCOCCO6)n4)CC3)n2)C1</v>
      </c>
      <c r="C2340" s="7">
        <f>IFERROR(__xludf.DUMMYFUNCTION("""COMPUTED_VALUE"""),7.8091083)</f>
        <v>7.8091083</v>
      </c>
      <c r="D2340" s="7">
        <f>IFERROR(__xludf.DUMMYFUNCTION("""COMPUTED_VALUE"""),0.325581395348837)</f>
        <v>0.3255813953</v>
      </c>
    </row>
    <row r="2341">
      <c r="A2341" s="10" t="s">
        <v>3780</v>
      </c>
      <c r="B2341" s="7" t="str">
        <f>IFERROR(__xludf.DUMMYFUNCTION("SPLIT(A2341,"" "")"),"CNCc1cc(CN(Cc2cccc(C)n2)C2CCCCC2N(C)Cc2cc(-c3ccc4c(c3)OCCOCCOCCOCCOCCO4)ccn2)ccn1")</f>
        <v>CNCc1cc(CN(Cc2cccc(C)n2)C2CCCCC2N(C)Cc2cc(-c3ccc4c(c3)OCCOCCOCCOCCOCCO4)ccn2)ccn1</v>
      </c>
      <c r="C2341" s="7">
        <f>IFERROR(__xludf.DUMMYFUNCTION("""COMPUTED_VALUE"""),7.8091073)</f>
        <v>7.8091073</v>
      </c>
      <c r="D2341" s="7">
        <f>IFERROR(__xludf.DUMMYFUNCTION("""COMPUTED_VALUE"""),0.442857142857142)</f>
        <v>0.4428571429</v>
      </c>
    </row>
    <row r="2342">
      <c r="A2342" s="10" t="s">
        <v>3781</v>
      </c>
      <c r="B2342" s="7" t="str">
        <f>IFERROR(__xludf.DUMMYFUNCTION("SPLIT(A2342,"" "")"),"CC(c1ccnc(CNCF)c1)N(C)Cc1cc(-c2ccc3c(c2)OCCOCCOCCOCCOCCO3)ccn1")</f>
        <v>CC(c1ccnc(CNCF)c1)N(C)Cc1cc(-c2ccc3c(c2)OCCOCCOCCOCCOCCO3)ccn1</v>
      </c>
      <c r="C2342" s="7">
        <f>IFERROR(__xludf.DUMMYFUNCTION("""COMPUTED_VALUE"""),7.809099)</f>
        <v>7.809099</v>
      </c>
      <c r="D2342" s="7">
        <f>IFERROR(__xludf.DUMMYFUNCTION("""COMPUTED_VALUE"""),0.333333333333333)</f>
        <v>0.3333333333</v>
      </c>
    </row>
    <row r="2343">
      <c r="A2343" s="10" t="s">
        <v>3782</v>
      </c>
      <c r="B2343" s="7" t="str">
        <f>IFERROR(__xludf.DUMMYFUNCTION("SPLIT(A2343,"" "")"),"Cc1cc(CN2CCN(C)CCN(CN(C)C3C(N(C)Cc4ccccn4)CCCC3N(Cc3ccccn3)Cc3cc(C)c(C)c(C)n3)CC2)c(C)nc1C")</f>
        <v>Cc1cc(CN2CCN(C)CCN(CN(C)C3C(N(C)Cc4ccccn4)CCCC3N(Cc3ccccn3)Cc3cc(C)c(C)c(C)n3)CC2)c(C)nc1C</v>
      </c>
      <c r="C2343" s="7">
        <f>IFERROR(__xludf.DUMMYFUNCTION("""COMPUTED_VALUE"""),7.809095)</f>
        <v>7.809095</v>
      </c>
      <c r="D2343" s="7">
        <f>IFERROR(__xludf.DUMMYFUNCTION("""COMPUTED_VALUE"""),0.388888888888888)</f>
        <v>0.3888888889</v>
      </c>
    </row>
    <row r="2344">
      <c r="A2344" s="10" t="s">
        <v>3783</v>
      </c>
      <c r="B2344" s="7" t="str">
        <f>IFERROR(__xludf.DUMMYFUNCTION("SPLIT(A2344,"" "")"),"Cc1cncc(CN(C)C2CCC(N(C)Cc3ccon3)CC2)c1")</f>
        <v>Cc1cncc(CN(C)C2CCC(N(C)Cc3ccon3)CC2)c1</v>
      </c>
      <c r="C2344" s="7">
        <f>IFERROR(__xludf.DUMMYFUNCTION("""COMPUTED_VALUE"""),7.8090835)</f>
        <v>7.8090835</v>
      </c>
      <c r="D2344" s="7">
        <f>IFERROR(__xludf.DUMMYFUNCTION("""COMPUTED_VALUE"""),0.422222222222222)</f>
        <v>0.4222222222</v>
      </c>
    </row>
    <row r="2345">
      <c r="A2345" s="10" t="s">
        <v>3784</v>
      </c>
      <c r="B2345" s="7" t="str">
        <f>IFERROR(__xludf.DUMMYFUNCTION("SPLIT(A2345,"" "")"),"CNCN(Cc1ccccn1)C1CCCC(N(C)Cc2nc(C)c(C)cc2C)C1")</f>
        <v>CNCN(Cc1ccccn1)C1CCCC(N(C)Cc2nc(C)c(C)cc2C)C1</v>
      </c>
      <c r="C2345" s="7">
        <f>IFERROR(__xludf.DUMMYFUNCTION("""COMPUTED_VALUE"""),7.809083)</f>
        <v>7.809083</v>
      </c>
      <c r="D2345" s="7">
        <f>IFERROR(__xludf.DUMMYFUNCTION("""COMPUTED_VALUE"""),0.413793103448275)</f>
        <v>0.4137931034</v>
      </c>
    </row>
    <row r="2346">
      <c r="A2346" s="10" t="s">
        <v>3785</v>
      </c>
      <c r="B2346" s="7" t="str">
        <f>IFERROR(__xludf.DUMMYFUNCTION("SPLIT(A2346,"" "")"),"Cc1cncc(CN(C)C2CCC(N(C)Cc3cccc(CF)n3)CC2)c1C")</f>
        <v>Cc1cncc(CN(C)C2CCC(N(C)Cc3cccc(CF)n3)CC2)c1C</v>
      </c>
      <c r="C2346" s="7">
        <f>IFERROR(__xludf.DUMMYFUNCTION("""COMPUTED_VALUE"""),7.8090744)</f>
        <v>7.8090744</v>
      </c>
      <c r="D2346" s="7">
        <f>IFERROR(__xludf.DUMMYFUNCTION("""COMPUTED_VALUE"""),0.396226415094339)</f>
        <v>0.3962264151</v>
      </c>
    </row>
    <row r="2347">
      <c r="A2347" s="10" t="s">
        <v>3786</v>
      </c>
      <c r="B2347" s="7" t="str">
        <f>IFERROR(__xludf.DUMMYFUNCTION("SPLIT(A2347,"" "")"),"CN(CCN(Cc1ccccn1)C1(C)CCC1)Cc1ccccn1")</f>
        <v>CN(CCN(Cc1ccccn1)C1(C)CCC1)Cc1ccccn1</v>
      </c>
      <c r="C2347" s="7">
        <f>IFERROR(__xludf.DUMMYFUNCTION("""COMPUTED_VALUE"""),7.809072)</f>
        <v>7.809072</v>
      </c>
      <c r="D2347" s="7">
        <f>IFERROR(__xludf.DUMMYFUNCTION("""COMPUTED_VALUE"""),0.461538461538461)</f>
        <v>0.4615384615</v>
      </c>
    </row>
    <row r="2348">
      <c r="A2348" s="10" t="s">
        <v>3787</v>
      </c>
      <c r="B2348" s="7" t="str">
        <f>IFERROR(__xludf.DUMMYFUNCTION("SPLIT(A2348,"" "")"),"CCc1cccc(CN(Cc2ccccn2)C2CCC(N(C)Cc3cccc(-c4ccc5c(c4)OCCOCCOCCOCCOCCO5)n3)CC2)n1")</f>
        <v>CCc1cccc(CN(Cc2ccccn2)C2CCC(N(C)Cc3cccc(-c4ccc5c(c4)OCCOCCOCCOCCOCCO5)n3)CC2)n1</v>
      </c>
      <c r="C2348" s="7">
        <f>IFERROR(__xludf.DUMMYFUNCTION("""COMPUTED_VALUE"""),7.8090634)</f>
        <v>7.8090634</v>
      </c>
      <c r="D2348" s="7">
        <f>IFERROR(__xludf.DUMMYFUNCTION("""COMPUTED_VALUE"""),0.383561643835616)</f>
        <v>0.3835616438</v>
      </c>
    </row>
    <row r="2349">
      <c r="A2349" s="10" t="s">
        <v>3788</v>
      </c>
      <c r="B2349" s="7" t="str">
        <f>IFERROR(__xludf.DUMMYFUNCTION("SPLIT(A2349,"" "")"),"Cc1cncc(CN(C)C2CCCC(N(Cc3ccccn3)Cc3cccc(-c4ccc5c(c4)OCCOCCOCCOCCOCCO5)n3)C2)c1")</f>
        <v>Cc1cncc(CN(C)C2CCCC(N(Cc3ccccn3)Cc3cccc(-c4ccc5c(c4)OCCOCCOCCOCCOCCO5)n3)C2)c1</v>
      </c>
      <c r="C2349" s="7">
        <f>IFERROR(__xludf.DUMMYFUNCTION("""COMPUTED_VALUE"""),7.809053)</f>
        <v>7.809053</v>
      </c>
      <c r="D2349" s="7">
        <f>IFERROR(__xludf.DUMMYFUNCTION("""COMPUTED_VALUE"""),0.358024691358024)</f>
        <v>0.3580246914</v>
      </c>
    </row>
    <row r="2350">
      <c r="A2350" s="10" t="s">
        <v>3789</v>
      </c>
      <c r="B2350" s="7" t="str">
        <f>IFERROR(__xludf.DUMMYFUNCTION("SPLIT(A2350,"" "")"),"CC1=CCC(C)(C)C(N(C)Cc2ccccn2)C1C")</f>
        <v>CC1=CCC(C)(C)C(N(C)Cc2ccccn2)C1C</v>
      </c>
      <c r="C2350" s="7">
        <f>IFERROR(__xludf.DUMMYFUNCTION("""COMPUTED_VALUE"""),7.8090487)</f>
        <v>7.8090487</v>
      </c>
      <c r="D2350" s="7">
        <f>IFERROR(__xludf.DUMMYFUNCTION("""COMPUTED_VALUE"""),0.489361702127659)</f>
        <v>0.4893617021</v>
      </c>
    </row>
    <row r="2351">
      <c r="A2351" s="10" t="s">
        <v>3790</v>
      </c>
      <c r="B2351" s="7" t="str">
        <f>IFERROR(__xludf.DUMMYFUNCTION("SPLIT(A2351,"" "")"),"CC(C)NC1=CNCC=C1")</f>
        <v>CC(C)NC1=CNCC=C1</v>
      </c>
      <c r="C2351" s="7">
        <f>IFERROR(__xludf.DUMMYFUNCTION("""COMPUTED_VALUE"""),7.809047)</f>
        <v>7.809047</v>
      </c>
      <c r="D2351" s="7">
        <f>IFERROR(__xludf.DUMMYFUNCTION("""COMPUTED_VALUE"""),0.132075471698113)</f>
        <v>0.1320754717</v>
      </c>
    </row>
    <row r="2352">
      <c r="A2352" s="10" t="s">
        <v>3791</v>
      </c>
      <c r="B2352" s="7" t="str">
        <f>IFERROR(__xludf.DUMMYFUNCTION("SPLIT(A2352,"" "")"),"COC(=O)C1CN(C)C(C(C)(C)NCc2ccccn2)C(C(C)C)C1C(C)C")</f>
        <v>COC(=O)C1CN(C)C(C(C)(C)NCc2ccccn2)C(C(C)C)C1C(C)C</v>
      </c>
      <c r="C2352" s="7">
        <f>IFERROR(__xludf.DUMMYFUNCTION("""COMPUTED_VALUE"""),7.8090434)</f>
        <v>7.8090434</v>
      </c>
      <c r="D2352" s="7">
        <f>IFERROR(__xludf.DUMMYFUNCTION("""COMPUTED_VALUE"""),0.305555555555555)</f>
        <v>0.3055555556</v>
      </c>
    </row>
    <row r="2353">
      <c r="A2353" s="10" t="s">
        <v>3792</v>
      </c>
      <c r="B2353" s="7" t="str">
        <f>IFERROR(__xludf.DUMMYFUNCTION("SPLIT(A2353,"" "")"),"CN(C)Cc1cccnc1-c1cccc2c1OCCOCCOCCOCCOCCO2")</f>
        <v>CN(C)Cc1cccnc1-c1cccc2c1OCCOCCOCCOCCOCCO2</v>
      </c>
      <c r="C2353" s="7">
        <f>IFERROR(__xludf.DUMMYFUNCTION("""COMPUTED_VALUE"""),7.80904)</f>
        <v>7.80904</v>
      </c>
      <c r="D2353" s="7">
        <f>IFERROR(__xludf.DUMMYFUNCTION("""COMPUTED_VALUE"""),0.314814814814814)</f>
        <v>0.3148148148</v>
      </c>
    </row>
    <row r="2354">
      <c r="A2354" s="10" t="s">
        <v>3793</v>
      </c>
      <c r="B2354" s="7" t="str">
        <f>IFERROR(__xludf.DUMMYFUNCTION("SPLIT(A2354,"" "")"),"CC1C=CC(N(C)Cc2ccccn2)C(C)C1c1cnccc1CN(C)C1CCCC(N(C)Cc2ccccn2)C1")</f>
        <v>CC1C=CC(N(C)Cc2ccccn2)C(C)C1c1cnccc1CN(C)C1CCCC(N(C)Cc2ccccn2)C1</v>
      </c>
      <c r="C2354" s="7">
        <f>IFERROR(__xludf.DUMMYFUNCTION("""COMPUTED_VALUE"""),7.809039)</f>
        <v>7.809039</v>
      </c>
      <c r="D2354" s="7">
        <f>IFERROR(__xludf.DUMMYFUNCTION("""COMPUTED_VALUE"""),0.423728813559322)</f>
        <v>0.4237288136</v>
      </c>
    </row>
    <row r="2355">
      <c r="A2355" s="10" t="s">
        <v>3794</v>
      </c>
      <c r="B2355" s="7" t="str">
        <f>IFERROR(__xludf.DUMMYFUNCTION("SPLIT(A2355,"" "")"),"CN(C)CCN(C)CF")</f>
        <v>CN(C)CCN(C)CF</v>
      </c>
      <c r="C2355" s="7">
        <f>IFERROR(__xludf.DUMMYFUNCTION("""COMPUTED_VALUE"""),7.809034)</f>
        <v>7.809034</v>
      </c>
      <c r="D2355" s="7">
        <f>IFERROR(__xludf.DUMMYFUNCTION("""COMPUTED_VALUE"""),0.258064516129032)</f>
        <v>0.2580645161</v>
      </c>
    </row>
    <row r="2356">
      <c r="A2356" s="10" t="s">
        <v>3795</v>
      </c>
      <c r="B2356" s="7" t="str">
        <f>IFERROR(__xludf.DUMMYFUNCTION("SPLIT(A2356,"" "")"),"CC1=CC2(C=CNC(C(C)C)=C2)C(C)C(C)(C)C1")</f>
        <v>CC1=CC2(C=CNC(C(C)C)=C2)C(C)C(C)(C)C1</v>
      </c>
      <c r="C2356" s="7">
        <f>IFERROR(__xludf.DUMMYFUNCTION("""COMPUTED_VALUE"""),7.8090253)</f>
        <v>7.8090253</v>
      </c>
      <c r="D2356" s="7">
        <f>IFERROR(__xludf.DUMMYFUNCTION("""COMPUTED_VALUE"""),0.137931034482758)</f>
        <v>0.1379310345</v>
      </c>
    </row>
    <row r="2357">
      <c r="A2357" s="10" t="s">
        <v>3796</v>
      </c>
      <c r="B2357" s="7" t="str">
        <f>IFERROR(__xludf.DUMMYFUNCTION("SPLIT(A2357,"" "")"),"Cc1cc(C)c(C)c(CN(C)C2CCCCC2N(Cc2ccccn2)CC2C=CNC=C2)n1")</f>
        <v>Cc1cc(C)c(C)c(CN(C)C2CCCCC2N(Cc2ccccn2)CC2C=CNC=C2)n1</v>
      </c>
      <c r="C2357" s="7">
        <f>IFERROR(__xludf.DUMMYFUNCTION("""COMPUTED_VALUE"""),7.8090224)</f>
        <v>7.8090224</v>
      </c>
      <c r="D2357" s="7">
        <f>IFERROR(__xludf.DUMMYFUNCTION("""COMPUTED_VALUE"""),0.491525423728813)</f>
        <v>0.4915254237</v>
      </c>
    </row>
    <row r="2358">
      <c r="A2358" s="10" t="s">
        <v>3797</v>
      </c>
      <c r="B2358" s="7" t="str">
        <f>IFERROR(__xludf.DUMMYFUNCTION("SPLIT(A2358,"" "")"),"CCCN(C)CCN(C)CC(C)(C)C")</f>
        <v>CCCN(C)CCN(C)CC(C)(C)C</v>
      </c>
      <c r="C2358" s="7">
        <f>IFERROR(__xludf.DUMMYFUNCTION("""COMPUTED_VALUE"""),7.809022)</f>
        <v>7.809022</v>
      </c>
      <c r="D2358" s="7">
        <f>IFERROR(__xludf.DUMMYFUNCTION("""COMPUTED_VALUE"""),0.23076923076923)</f>
        <v>0.2307692308</v>
      </c>
    </row>
    <row r="2359">
      <c r="A2359" s="10" t="s">
        <v>3798</v>
      </c>
      <c r="B2359" s="7" t="str">
        <f>IFERROR(__xludf.DUMMYFUNCTION("SPLIT(A2359,"" "")"),"CCNCC(C)(C)C")</f>
        <v>CCNCC(C)(C)C</v>
      </c>
      <c r="C2359" s="7">
        <f>IFERROR(__xludf.DUMMYFUNCTION("""COMPUTED_VALUE"""),7.8090196)</f>
        <v>7.8090196</v>
      </c>
      <c r="D2359" s="7">
        <f>IFERROR(__xludf.DUMMYFUNCTION("""COMPUTED_VALUE"""),0.159090909090909)</f>
        <v>0.1590909091</v>
      </c>
    </row>
    <row r="2360">
      <c r="A2360" s="10" t="s">
        <v>3799</v>
      </c>
      <c r="B2360" s="7" t="str">
        <f>IFERROR(__xludf.DUMMYFUNCTION("SPLIT(A2360,"" "")"),"Cc1ccnc(CN(C)C(C)(C)C(C)N)c1")</f>
        <v>Cc1ccnc(CN(C)C(C)(C)C(C)N)c1</v>
      </c>
      <c r="C2360" s="7">
        <f>IFERROR(__xludf.DUMMYFUNCTION("""COMPUTED_VALUE"""),7.8089786)</f>
        <v>7.8089786</v>
      </c>
      <c r="D2360" s="7">
        <f>IFERROR(__xludf.DUMMYFUNCTION("""COMPUTED_VALUE"""),0.361702127659574)</f>
        <v>0.3617021277</v>
      </c>
    </row>
    <row r="2361">
      <c r="A2361" s="10" t="s">
        <v>3800</v>
      </c>
      <c r="B2361" s="7" t="str">
        <f>IFERROR(__xludf.DUMMYFUNCTION("SPLIT(A2361,"" "")"),"COC(=O)C(C)NCc1ncc(CN2CCN(C)CCN(C)CC2)c(C)c1C")</f>
        <v>COC(=O)C(C)NCc1ncc(CN2CCN(C)CCN(C)CC2)c(C)c1C</v>
      </c>
      <c r="C2361" s="7">
        <f>IFERROR(__xludf.DUMMYFUNCTION("""COMPUTED_VALUE"""),7.8089776)</f>
        <v>7.8089776</v>
      </c>
      <c r="D2361" s="7">
        <f>IFERROR(__xludf.DUMMYFUNCTION("""COMPUTED_VALUE"""),0.428571428571428)</f>
        <v>0.4285714286</v>
      </c>
    </row>
    <row r="2362">
      <c r="A2362" s="10" t="s">
        <v>3801</v>
      </c>
      <c r="B2362" s="7" t="str">
        <f>IFERROR(__xludf.DUMMYFUNCTION("SPLIT(A2362,"" "")"),"CCN(Cc1ccccn1)C1CCCC(N(C)CN(C)c2ccccn2)C1")</f>
        <v>CCN(Cc1ccccn1)C1CCCC(N(C)CN(C)c2ccccn2)C1</v>
      </c>
      <c r="C2362" s="7">
        <f>IFERROR(__xludf.DUMMYFUNCTION("""COMPUTED_VALUE"""),7.80897)</f>
        <v>7.80897</v>
      </c>
      <c r="D2362" s="7">
        <f>IFERROR(__xludf.DUMMYFUNCTION("""COMPUTED_VALUE"""),0.470588235294117)</f>
        <v>0.4705882353</v>
      </c>
    </row>
    <row r="2363">
      <c r="A2363" s="10" t="s">
        <v>3802</v>
      </c>
      <c r="B2363" s="7" t="str">
        <f>IFERROR(__xludf.DUMMYFUNCTION("SPLIT(A2363,"" "")"),"CNCc1cc(CN(C)C2CCCCC2N(C)Cc2nc(-c3ccc4c(c3)OCCOCCOCCOCCOCCO4)c(C)c(C)c2C)ccn1")</f>
        <v>CNCc1cc(CN(C)C2CCCCC2N(C)Cc2nc(-c3ccc4c(c3)OCCOCCOCCOCCOCCO4)c(C)c(C)c2C)ccn1</v>
      </c>
      <c r="C2363" s="7">
        <f>IFERROR(__xludf.DUMMYFUNCTION("""COMPUTED_VALUE"""),7.808967)</f>
        <v>7.808967</v>
      </c>
      <c r="D2363" s="7">
        <f>IFERROR(__xludf.DUMMYFUNCTION("""COMPUTED_VALUE"""),0.333333333333333)</f>
        <v>0.3333333333</v>
      </c>
    </row>
    <row r="2364">
      <c r="A2364" s="10" t="s">
        <v>3803</v>
      </c>
      <c r="B2364" s="7" t="str">
        <f>IFERROR(__xludf.DUMMYFUNCTION("SPLIT(A2364,"" "")"),"CN(CCN(C)Cc1cc(-c2ccc3c(c2)OCCOCCOCCOCCOCCO3)ccn1)Cc1ccccn1")</f>
        <v>CN(CCN(C)Cc1cc(-c2ccc3c(c2)OCCOCCOCCOCCOCCO3)ccn1)Cc1ccccn1</v>
      </c>
      <c r="C2364" s="7">
        <f>IFERROR(__xludf.DUMMYFUNCTION("""COMPUTED_VALUE"""),7.8089647)</f>
        <v>7.8089647</v>
      </c>
      <c r="D2364" s="7">
        <f>IFERROR(__xludf.DUMMYFUNCTION("""COMPUTED_VALUE"""),0.387096774193548)</f>
        <v>0.3870967742</v>
      </c>
    </row>
    <row r="2365">
      <c r="A2365" s="10" t="s">
        <v>3804</v>
      </c>
      <c r="B2365" s="7" t="str">
        <f>IFERROR(__xludf.DUMMYFUNCTION("SPLIT(A2365,"" "")"),"CCNCc1cccc(CN(Cc2cccc(C)n2)C2CCC(N(C)Cc3cccc(-c4ccc5c(c4)OCCOCCOCCOCCOCCO5)n3)CC2)n1")</f>
        <v>CCNCc1cccc(CN(Cc2cccc(C)n2)C2CCC(N(C)Cc3cccc(-c4ccc5c(c4)OCCOCCOCCOCCOCCO5)n3)CC2)n1</v>
      </c>
      <c r="C2365" s="7">
        <f>IFERROR(__xludf.DUMMYFUNCTION("""COMPUTED_VALUE"""),7.8089623)</f>
        <v>7.8089623</v>
      </c>
      <c r="D2365" s="7">
        <f>IFERROR(__xludf.DUMMYFUNCTION("""COMPUTED_VALUE"""),0.357142857142857)</f>
        <v>0.3571428571</v>
      </c>
    </row>
    <row r="2366">
      <c r="A2366" s="10" t="s">
        <v>3805</v>
      </c>
      <c r="B2366" s="7" t="str">
        <f>IFERROR(__xludf.DUMMYFUNCTION("SPLIT(A2366,"" "")"),"CC1=C(C)C(C)CC(CN(C)Cc2ccccn2)C1")</f>
        <v>CC1=C(C)C(C)CC(CN(C)Cc2ccccn2)C1</v>
      </c>
      <c r="C2366" s="7">
        <f>IFERROR(__xludf.DUMMYFUNCTION("""COMPUTED_VALUE"""),7.808955)</f>
        <v>7.808955</v>
      </c>
      <c r="D2366" s="7">
        <f>IFERROR(__xludf.DUMMYFUNCTION("""COMPUTED_VALUE"""),0.454545454545454)</f>
        <v>0.4545454545</v>
      </c>
    </row>
    <row r="2367">
      <c r="A2367" s="10" t="s">
        <v>3806</v>
      </c>
      <c r="B2367" s="7" t="str">
        <f>IFERROR(__xludf.DUMMYFUNCTION("SPLIT(A2367,"" "")"),"Cc1cncc(CN(Cc2ccccn2)C2CCCC(N(C)Cc3cccc(-c4ccc5c(c4)OCCOCCOCCOCCOCCO5)n3)C2)c1")</f>
        <v>Cc1cncc(CN(Cc2ccccn2)C2CCCC(N(C)Cc3cccc(-c4ccc5c(c4)OCCOCCOCCOCCOCCO5)n3)C2)c1</v>
      </c>
      <c r="C2367" s="7">
        <f>IFERROR(__xludf.DUMMYFUNCTION("""COMPUTED_VALUE"""),7.808934)</f>
        <v>7.808934</v>
      </c>
      <c r="D2367" s="7">
        <f>IFERROR(__xludf.DUMMYFUNCTION("""COMPUTED_VALUE"""),0.353658536585365)</f>
        <v>0.3536585366</v>
      </c>
    </row>
    <row r="2368">
      <c r="A2368" s="10" t="s">
        <v>3807</v>
      </c>
      <c r="B2368" s="7" t="str">
        <f>IFERROR(__xludf.DUMMYFUNCTION("SPLIT(A2368,"" "")"),"CC(C)(c1cccc(CNCNCF)n1)c1cccc(-c2ccc3c(c2)OCCOCCOCCOCCOCCO3)n1")</f>
        <v>CC(C)(c1cccc(CNCNCF)n1)c1cccc(-c2ccc3c(c2)OCCOCCOCCOCCOCCO3)n1</v>
      </c>
      <c r="C2368" s="7">
        <f>IFERROR(__xludf.DUMMYFUNCTION("""COMPUTED_VALUE"""),7.8089314)</f>
        <v>7.8089314</v>
      </c>
      <c r="D2368" s="7">
        <f>IFERROR(__xludf.DUMMYFUNCTION("""COMPUTED_VALUE"""),0.31081081081081)</f>
        <v>0.3108108108</v>
      </c>
    </row>
    <row r="2369">
      <c r="A2369" s="10" t="s">
        <v>3808</v>
      </c>
      <c r="B2369" s="7" t="str">
        <f>IFERROR(__xludf.DUMMYFUNCTION("SPLIT(A2369,"" "")"),"CCN(C)C1CCCC(N(C)Cc2nc(C)c(C)c(C)c2C)C1")</f>
        <v>CCN(C)C1CCCC(N(C)Cc2nc(C)c(C)c(C)c2C)C1</v>
      </c>
      <c r="C2369" s="7">
        <f>IFERROR(__xludf.DUMMYFUNCTION("""COMPUTED_VALUE"""),7.808887)</f>
        <v>7.808887</v>
      </c>
      <c r="D2369" s="7">
        <f>IFERROR(__xludf.DUMMYFUNCTION("""COMPUTED_VALUE"""),0.274509803921568)</f>
        <v>0.2745098039</v>
      </c>
    </row>
    <row r="2370">
      <c r="A2370" s="10" t="s">
        <v>3809</v>
      </c>
      <c r="B2370" s="7" t="str">
        <f>IFERROR(__xludf.DUMMYFUNCTION("SPLIT(A2370,"" "")"),"CCNCc1cccc(C(C)C(C)N)n1")</f>
        <v>CCNCc1cccc(C(C)C(C)N)n1</v>
      </c>
      <c r="C2370" s="7">
        <f>IFERROR(__xludf.DUMMYFUNCTION("""COMPUTED_VALUE"""),7.8088818)</f>
        <v>7.8088818</v>
      </c>
      <c r="D2370" s="7">
        <f>IFERROR(__xludf.DUMMYFUNCTION("""COMPUTED_VALUE"""),0.292682926829268)</f>
        <v>0.2926829268</v>
      </c>
    </row>
    <row r="2371">
      <c r="A2371" s="10" t="s">
        <v>3810</v>
      </c>
      <c r="B2371" s="7" t="str">
        <f>IFERROR(__xludf.DUMMYFUNCTION("SPLIT(A2371,"" "")"),"CNCCN(Cc1ccccn1)C1CCC(N(C)Cc2nc(C)c(C)c(C)c2C)CC1")</f>
        <v>CNCCN(Cc1ccccn1)C1CCC(N(C)Cc2nc(C)c(C)c(C)c2C)CC1</v>
      </c>
      <c r="C2371" s="7">
        <f>IFERROR(__xludf.DUMMYFUNCTION("""COMPUTED_VALUE"""),7.808872)</f>
        <v>7.808872</v>
      </c>
      <c r="D2371" s="7">
        <f>IFERROR(__xludf.DUMMYFUNCTION("""COMPUTED_VALUE"""),0.396551724137931)</f>
        <v>0.3965517241</v>
      </c>
    </row>
    <row r="2372">
      <c r="A2372" s="10" t="s">
        <v>3811</v>
      </c>
      <c r="B2372" s="7" t="str">
        <f>IFERROR(__xludf.DUMMYFUNCTION("SPLIT(A2372,"" "")"),"Cc1ccc(C)c(N(C)C2CCCCC2N(C)Cc2cccc(-c3ccc4c(c3)OCCOCCOCCOCCOCCO4)n2)c1")</f>
        <v>Cc1ccc(C)c(N(C)C2CCCCC2N(C)Cc2cccc(-c3ccc4c(c3)OCCOCCOCCOCCOCCO4)n2)c1</v>
      </c>
      <c r="C2372" s="7">
        <f>IFERROR(__xludf.DUMMYFUNCTION("""COMPUTED_VALUE"""),7.8088574)</f>
        <v>7.8088574</v>
      </c>
      <c r="D2372" s="7">
        <f>IFERROR(__xludf.DUMMYFUNCTION("""COMPUTED_VALUE"""),0.428571428571428)</f>
        <v>0.4285714286</v>
      </c>
    </row>
    <row r="2373">
      <c r="A2373" s="10" t="s">
        <v>3812</v>
      </c>
      <c r="B2373" s="7" t="str">
        <f>IFERROR(__xludf.DUMMYFUNCTION("SPLIT(A2373,"" "")"),"Cc1cccnc1CN(C)C1CCCC(N(C)Cc2ncccc2C)C1")</f>
        <v>Cc1cccnc1CN(C)C1CCCC(N(C)Cc2ncccc2C)C1</v>
      </c>
      <c r="C2373" s="7">
        <f>IFERROR(__xludf.DUMMYFUNCTION("""COMPUTED_VALUE"""),7.8088546)</f>
        <v>7.8088546</v>
      </c>
      <c r="D2373" s="7">
        <f>IFERROR(__xludf.DUMMYFUNCTION("""COMPUTED_VALUE"""),0.4)</f>
        <v>0.4</v>
      </c>
    </row>
    <row r="2374">
      <c r="A2374" s="10" t="s">
        <v>3813</v>
      </c>
      <c r="B2374" s="7" t="str">
        <f>IFERROR(__xludf.DUMMYFUNCTION("SPLIT(A2374,"" "")"),"CN1CCN(C)CCN(C2CCCCC2N(C)c2cccc3ncc(CF)cc23)CC1")</f>
        <v>CN1CCN(C)CCN(C2CCCCC2N(C)c2cccc3ncc(CF)cc23)CC1</v>
      </c>
      <c r="C2374" s="7">
        <f>IFERROR(__xludf.DUMMYFUNCTION("""COMPUTED_VALUE"""),7.8088474)</f>
        <v>7.8088474</v>
      </c>
      <c r="D2374" s="7">
        <f>IFERROR(__xludf.DUMMYFUNCTION("""COMPUTED_VALUE"""),0.375)</f>
        <v>0.375</v>
      </c>
    </row>
    <row r="2375">
      <c r="A2375" s="10" t="s">
        <v>3814</v>
      </c>
      <c r="B2375" s="7" t="str">
        <f>IFERROR(__xludf.DUMMYFUNCTION("SPLIT(A2375,"" "")"),"CC(C)C(C)(C)c1cccnc1")</f>
        <v>CC(C)C(C)(C)c1cccnc1</v>
      </c>
      <c r="C2375" s="7">
        <f>IFERROR(__xludf.DUMMYFUNCTION("""COMPUTED_VALUE"""),7.8088474)</f>
        <v>7.8088474</v>
      </c>
      <c r="D2375" s="7">
        <f>IFERROR(__xludf.DUMMYFUNCTION("""COMPUTED_VALUE"""),0.24390243902439)</f>
        <v>0.243902439</v>
      </c>
    </row>
    <row r="2376">
      <c r="A2376" s="10" t="s">
        <v>3815</v>
      </c>
      <c r="B2376" s="7" t="str">
        <f>IFERROR(__xludf.DUMMYFUNCTION("SPLIT(A2376,"" "")"),"CCNCc1cc(CN(C)C2CCCC(N(C)Cc3ncc(C)cc3C)C2)ccn1")</f>
        <v>CCNCc1cc(CN(C)C2CCCC(N(C)Cc3ncc(C)cc3C)C2)ccn1</v>
      </c>
      <c r="C2376" s="7">
        <f>IFERROR(__xludf.DUMMYFUNCTION("""COMPUTED_VALUE"""),7.808825)</f>
        <v>7.808825</v>
      </c>
      <c r="D2376" s="7">
        <f>IFERROR(__xludf.DUMMYFUNCTION("""COMPUTED_VALUE"""),0.32258064516129)</f>
        <v>0.3225806452</v>
      </c>
    </row>
    <row r="2377">
      <c r="A2377" s="10" t="s">
        <v>3816</v>
      </c>
      <c r="B2377" s="7" t="str">
        <f>IFERROR(__xludf.DUMMYFUNCTION("SPLIT(A2377,"" "")"),"CCCN(CCN(Cc1ccccn1)Cc1cccc(-c2cccc3c2OCCOCCOCCOCCOCCO3)n1)Cc1ccccn1")</f>
        <v>CCCN(CCN(Cc1ccccn1)Cc1cccc(-c2cccc3c2OCCOCCOCCOCCOCCO3)n1)Cc1ccccn1</v>
      </c>
      <c r="C2377" s="7">
        <f>IFERROR(__xludf.DUMMYFUNCTION("""COMPUTED_VALUE"""),7.808815)</f>
        <v>7.808815</v>
      </c>
      <c r="D2377" s="7">
        <f>IFERROR(__xludf.DUMMYFUNCTION("""COMPUTED_VALUE"""),0.403508771929824)</f>
        <v>0.4035087719</v>
      </c>
    </row>
    <row r="2378">
      <c r="A2378" s="10" t="s">
        <v>3817</v>
      </c>
      <c r="B2378" s="7" t="str">
        <f>IFERROR(__xludf.DUMMYFUNCTION("SPLIT(A2378,"" "")"),"CNCCN(Cc1cc(C)ccn1)C1CCC(N(C)Cc2ncc(C)c(C)c2C)CC1")</f>
        <v>CNCCN(Cc1cc(C)ccn1)C1CCC(N(C)Cc2ncc(C)c(C)c2C)CC1</v>
      </c>
      <c r="C2378" s="7">
        <f>IFERROR(__xludf.DUMMYFUNCTION("""COMPUTED_VALUE"""),7.8088074)</f>
        <v>7.8088074</v>
      </c>
      <c r="D2378" s="7">
        <f>IFERROR(__xludf.DUMMYFUNCTION("""COMPUTED_VALUE"""),0.296875)</f>
        <v>0.296875</v>
      </c>
    </row>
    <row r="2379">
      <c r="A2379" s="10" t="s">
        <v>3818</v>
      </c>
      <c r="B2379" s="7" t="str">
        <f>IFERROR(__xludf.DUMMYFUNCTION("SPLIT(A2379,"" "")"),"CC1=CCC(C)C(C)C12C=CNC(C(C)C)=C2")</f>
        <v>CC1=CCC(C)C(C)C12C=CNC(C(C)C)=C2</v>
      </c>
      <c r="C2379" s="7">
        <f>IFERROR(__xludf.DUMMYFUNCTION("""COMPUTED_VALUE"""),7.808804)</f>
        <v>7.808804</v>
      </c>
      <c r="D2379" s="7">
        <f>IFERROR(__xludf.DUMMYFUNCTION("""COMPUTED_VALUE"""),0.133333333333333)</f>
        <v>0.1333333333</v>
      </c>
    </row>
    <row r="2380">
      <c r="A2380" s="10" t="s">
        <v>3819</v>
      </c>
      <c r="B2380" s="7" t="str">
        <f>IFERROR(__xludf.DUMMYFUNCTION("SPLIT(A2380,"" "")"),"CNC1CCCCC1N(Cc1ccccn1)Cc1cc(C)c(C)c(C)n1")</f>
        <v>CNC1CCCCC1N(Cc1ccccn1)Cc1cc(C)c(C)c(C)n1</v>
      </c>
      <c r="C2380" s="7">
        <f>IFERROR(__xludf.DUMMYFUNCTION("""COMPUTED_VALUE"""),7.808801)</f>
        <v>7.808801</v>
      </c>
      <c r="D2380" s="7">
        <f>IFERROR(__xludf.DUMMYFUNCTION("""COMPUTED_VALUE"""),0.471698113207547)</f>
        <v>0.4716981132</v>
      </c>
    </row>
    <row r="2381">
      <c r="A2381" s="10" t="s">
        <v>3820</v>
      </c>
      <c r="B2381" s="7" t="str">
        <f>IFERROR(__xludf.DUMMYFUNCTION("SPLIT(A2381,"" "")"),"Cc1cncc(CN(Cc2ccccn2)C2CCC(N(C)Cc3ncccc3-c3ccc4c(c3)OCCOCCOCCOCCOCCO4)CC2)c1")</f>
        <v>Cc1cncc(CN(Cc2ccccn2)C2CCC(N(C)Cc3ncccc3-c3ccc4c(c3)OCCOCCOCCOCCOCCO4)CC2)c1</v>
      </c>
      <c r="C2381" s="7">
        <f>IFERROR(__xludf.DUMMYFUNCTION("""COMPUTED_VALUE"""),7.808789)</f>
        <v>7.808789</v>
      </c>
      <c r="D2381" s="7">
        <f>IFERROR(__xludf.DUMMYFUNCTION("""COMPUTED_VALUE"""),0.317647058823529)</f>
        <v>0.3176470588</v>
      </c>
    </row>
    <row r="2382">
      <c r="A2382" s="10" t="s">
        <v>3821</v>
      </c>
      <c r="B2382" s="7" t="str">
        <f>IFERROR(__xludf.DUMMYFUNCTION("SPLIT(A2382,"" "")"),"Cc1ccnc(CN(Cc2nc(C)c(C)c(C)c2C)C2CCCCC2NCF)c1")</f>
        <v>Cc1ccnc(CN(Cc2nc(C)c(C)c(C)c2C)C2CCCCC2NCF)c1</v>
      </c>
      <c r="C2382" s="7">
        <f>IFERROR(__xludf.DUMMYFUNCTION("""COMPUTED_VALUE"""),7.8087816)</f>
        <v>7.8087816</v>
      </c>
      <c r="D2382" s="7">
        <f>IFERROR(__xludf.DUMMYFUNCTION("""COMPUTED_VALUE"""),0.301587301587301)</f>
        <v>0.3015873016</v>
      </c>
    </row>
    <row r="2383">
      <c r="A2383" s="10" t="s">
        <v>3822</v>
      </c>
      <c r="B2383" s="7" t="str">
        <f>IFERROR(__xludf.DUMMYFUNCTION("SPLIT(A2383,"" "")"),"Cc1cccc(CN(C)C2=C(CN(C)C3CCCCC3N(C)Cc3cccc(-c4ccc5c(c4)OCCOCCOCCOCCOCCO5)n3)NC=CC2)n1")</f>
        <v>Cc1cccc(CN(C)C2=C(CN(C)C3CCCCC3N(C)Cc3cccc(-c4ccc5c(c4)OCCOCCOCCOCCOCCO5)n3)NC=CC2)n1</v>
      </c>
      <c r="C2383" s="7">
        <f>IFERROR(__xludf.DUMMYFUNCTION("""COMPUTED_VALUE"""),7.808772)</f>
        <v>7.808772</v>
      </c>
      <c r="D2383" s="7">
        <f>IFERROR(__xludf.DUMMYFUNCTION("""COMPUTED_VALUE"""),0.44927536231884)</f>
        <v>0.4492753623</v>
      </c>
    </row>
    <row r="2384">
      <c r="A2384" s="10" t="s">
        <v>3823</v>
      </c>
      <c r="B2384" s="7" t="str">
        <f>IFERROR(__xludf.DUMMYFUNCTION("SPLIT(A2384,"" "")"),"C=C1C=CNC(CN(C)C2CCCC(N(C)Cc3ccc(C)cn3)C2)=C1")</f>
        <v>C=C1C=CNC(CN(C)C2CCCC(N(C)Cc3ccc(C)cn3)C2)=C1</v>
      </c>
      <c r="C2384" s="7">
        <f>IFERROR(__xludf.DUMMYFUNCTION("""COMPUTED_VALUE"""),7.80877)</f>
        <v>7.80877</v>
      </c>
      <c r="D2384" s="7">
        <f>IFERROR(__xludf.DUMMYFUNCTION("""COMPUTED_VALUE"""),0.490566037735849)</f>
        <v>0.4905660377</v>
      </c>
    </row>
    <row r="2385">
      <c r="A2385" s="10" t="s">
        <v>3824</v>
      </c>
      <c r="B2385" s="7" t="str">
        <f>IFERROR(__xludf.DUMMYFUNCTION("SPLIT(A2385,"" "")"),"CN(C)Cc1cnccc1-c1cccc2c1OCCOCCOCCOCCOCCO2")</f>
        <v>CN(C)Cc1cnccc1-c1cccc2c1OCCOCCOCCOCCOCCO2</v>
      </c>
      <c r="C2385" s="7">
        <f>IFERROR(__xludf.DUMMYFUNCTION("""COMPUTED_VALUE"""),7.8087616)</f>
        <v>7.8087616</v>
      </c>
      <c r="D2385" s="7">
        <f>IFERROR(__xludf.DUMMYFUNCTION("""COMPUTED_VALUE"""),0.228571428571428)</f>
        <v>0.2285714286</v>
      </c>
    </row>
    <row r="2386">
      <c r="A2386" s="10" t="s">
        <v>3825</v>
      </c>
      <c r="B2386" s="7" t="str">
        <f>IFERROR(__xludf.DUMMYFUNCTION("SPLIT(A2386,"" "")"),"CC1C=C(C(C)(C)c2ccccn2)CC(C)C1C")</f>
        <v>CC1C=C(C(C)(C)c2ccccn2)CC(C)C1C</v>
      </c>
      <c r="C2386" s="7">
        <f>IFERROR(__xludf.DUMMYFUNCTION("""COMPUTED_VALUE"""),7.8087435)</f>
        <v>7.8087435</v>
      </c>
      <c r="D2386" s="7">
        <f>IFERROR(__xludf.DUMMYFUNCTION("""COMPUTED_VALUE"""),0.326530612244897)</f>
        <v>0.3265306122</v>
      </c>
    </row>
    <row r="2387">
      <c r="A2387" s="10" t="s">
        <v>3826</v>
      </c>
      <c r="B2387" s="7" t="str">
        <f>IFERROR(__xludf.DUMMYFUNCTION("SPLIT(A2387,"" "")"),"CN1CCN(Cc2cccc(-c3ccc4c(c3)OCCOCCOCCOCCOCCO4)n2)CCN(C(C)(C)c2ccc(CN(Cc3cccc(-c4ccc5c(c4)OCCOCCOCCOCCOCCO5)n3)Cc3cccc(-c4ccc5c(c4)OCCOCCOCCOCCOCCO5)n3)nc2)CC1")</f>
        <v>CN1CCN(Cc2cccc(-c3ccc4c(c3)OCCOCCOCCOCCOCCO4)n2)CCN(C(C)(C)c2ccc(CN(Cc3cccc(-c4ccc5c(c4)OCCOCCOCCOCCOCCO5)n3)Cc3cccc(-c4ccc5c(c4)OCCOCCOCCOCCOCCO5)n3)nc2)CC1</v>
      </c>
      <c r="C2387" s="7">
        <f>IFERROR(__xludf.DUMMYFUNCTION("""COMPUTED_VALUE"""),7.8087378)</f>
        <v>7.8087378</v>
      </c>
      <c r="D2387" s="7">
        <f>IFERROR(__xludf.DUMMYFUNCTION("""COMPUTED_VALUE"""),0.37037037037037)</f>
        <v>0.3703703704</v>
      </c>
    </row>
    <row r="2388">
      <c r="A2388" s="10" t="s">
        <v>3827</v>
      </c>
      <c r="B2388" s="7" t="str">
        <f>IFERROR(__xludf.DUMMYFUNCTION("SPLIT(A2388,"" "")"),"CNCc1cc(CN(Cc2cccc(-c3ccc4c(c3)OCCOCCOCCOCCOCCO4)n2)C2CCC(N(C)Cc3cc(CF)ccn3)CC2)ccn1")</f>
        <v>CNCc1cc(CN(Cc2cccc(-c3ccc4c(c3)OCCOCCOCCOCCOCCO4)n2)C2CCC(N(C)Cc3cc(CF)ccn3)CC2)ccn1</v>
      </c>
      <c r="C2388" s="7">
        <f>IFERROR(__xludf.DUMMYFUNCTION("""COMPUTED_VALUE"""),7.80873)</f>
        <v>7.80873</v>
      </c>
      <c r="D2388" s="7">
        <f>IFERROR(__xludf.DUMMYFUNCTION("""COMPUTED_VALUE"""),0.295454545454545)</f>
        <v>0.2954545455</v>
      </c>
    </row>
    <row r="2389">
      <c r="A2389" s="10" t="s">
        <v>3828</v>
      </c>
      <c r="B2389" s="7" t="str">
        <f>IFERROR(__xludf.DUMMYFUNCTION("SPLIT(A2389,"" "")"),"CN(CCN(C)Cc1ncccc1-c1ccc2c(c1)OCCOCCOCCOCCOCCO2)Cc1ccccn1")</f>
        <v>CN(CCN(C)Cc1ncccc1-c1ccc2c(c1)OCCOCCOCCOCCOCCO2)Cc1ccccn1</v>
      </c>
      <c r="C2389" s="7">
        <f>IFERROR(__xludf.DUMMYFUNCTION("""COMPUTED_VALUE"""),7.8087144)</f>
        <v>7.8087144</v>
      </c>
      <c r="D2389" s="7">
        <f>IFERROR(__xludf.DUMMYFUNCTION("""COMPUTED_VALUE"""),0.363636363636363)</f>
        <v>0.3636363636</v>
      </c>
    </row>
    <row r="2390">
      <c r="A2390" s="10" t="s">
        <v>3829</v>
      </c>
      <c r="B2390" s="7" t="str">
        <f>IFERROR(__xludf.DUMMYFUNCTION("SPLIT(A2390,"" "")"),"Cc1cc(C)c(CN(C)CN2CCN(C)CCN(Cc3cncc(C)c3C)CC2)nc1C")</f>
        <v>Cc1cc(C)c(CN(C)CN2CCN(C)CCN(Cc3cncc(C)c3C)CC2)nc1C</v>
      </c>
      <c r="C2390" s="7">
        <f>IFERROR(__xludf.DUMMYFUNCTION("""COMPUTED_VALUE"""),7.808709)</f>
        <v>7.808709</v>
      </c>
      <c r="D2390" s="7">
        <f>IFERROR(__xludf.DUMMYFUNCTION("""COMPUTED_VALUE"""),0.35)</f>
        <v>0.35</v>
      </c>
    </row>
    <row r="2391">
      <c r="A2391" s="10" t="s">
        <v>3830</v>
      </c>
      <c r="B2391" s="7" t="str">
        <f>IFERROR(__xludf.DUMMYFUNCTION("SPLIT(A2391,"" "")"),"CC(C)(C)CN(Cc1cccnc1)Cc1ncccc1-c1ccc2c(c1)OCCOCCOCCOCCOCCO2")</f>
        <v>CC(C)(C)CN(Cc1cccnc1)Cc1ncccc1-c1ccc2c(c1)OCCOCCOCCOCCOCCO2</v>
      </c>
      <c r="C2391" s="7">
        <f>IFERROR(__xludf.DUMMYFUNCTION("""COMPUTED_VALUE"""),7.8087063)</f>
        <v>7.8087063</v>
      </c>
      <c r="D2391" s="7">
        <f>IFERROR(__xludf.DUMMYFUNCTION("""COMPUTED_VALUE"""),0.32)</f>
        <v>0.32</v>
      </c>
    </row>
    <row r="2392">
      <c r="A2392" s="10" t="s">
        <v>3831</v>
      </c>
      <c r="B2392" s="7" t="str">
        <f>IFERROR(__xludf.DUMMYFUNCTION("SPLIT(A2392,"" "")"),"CC(C)N1CCN(C)CCN(C(C)(c2ccccn2)c2ccccn2)CC1")</f>
        <v>CC(C)N1CCN(C)CCN(C(C)(c2ccccn2)c2ccccn2)CC1</v>
      </c>
      <c r="C2392" s="7">
        <f>IFERROR(__xludf.DUMMYFUNCTION("""COMPUTED_VALUE"""),7.8087044)</f>
        <v>7.8087044</v>
      </c>
      <c r="D2392" s="7">
        <f>IFERROR(__xludf.DUMMYFUNCTION("""COMPUTED_VALUE"""),0.456521739130434)</f>
        <v>0.4565217391</v>
      </c>
    </row>
    <row r="2393">
      <c r="A2393" s="10" t="s">
        <v>3832</v>
      </c>
      <c r="B2393" s="7" t="str">
        <f>IFERROR(__xludf.DUMMYFUNCTION("SPLIT(A2393,"" "")"),"CN(C)Cc1cccc(-c2cccc3c2OCCOCCOCCOCCOCCO3)n1")</f>
        <v>CN(C)Cc1cccc(-c2cccc3c2OCCOCCOCCOCCOCCO3)n1</v>
      </c>
      <c r="C2393" s="7">
        <f>IFERROR(__xludf.DUMMYFUNCTION("""COMPUTED_VALUE"""),7.8086996)</f>
        <v>7.8086996</v>
      </c>
      <c r="D2393" s="7">
        <f>IFERROR(__xludf.DUMMYFUNCTION("""COMPUTED_VALUE"""),0.339622641509433)</f>
        <v>0.3396226415</v>
      </c>
    </row>
    <row r="2394">
      <c r="A2394" s="10" t="s">
        <v>3833</v>
      </c>
      <c r="B2394" s="7" t="str">
        <f>IFERROR(__xludf.DUMMYFUNCTION("SPLIT(A2394,"" "")"),"Cc1ccc(CN(Cc2ccccn2)C2CCCC(N(C)Cc3cccc(-c4cccc5c4OCCOCCOCCOCCOCCO5)n3)C2)nc1")</f>
        <v>Cc1ccc(CN(Cc2ccccn2)C2CCCC(N(C)Cc3cccc(-c4cccc5c4OCCOCCOCCOCCOCCO5)n3)C2)nc1</v>
      </c>
      <c r="C2394" s="7">
        <f>IFERROR(__xludf.DUMMYFUNCTION("""COMPUTED_VALUE"""),7.8086824)</f>
        <v>7.8086824</v>
      </c>
      <c r="D2394" s="7">
        <f>IFERROR(__xludf.DUMMYFUNCTION("""COMPUTED_VALUE"""),0.366197183098591)</f>
        <v>0.3661971831</v>
      </c>
    </row>
    <row r="2395">
      <c r="A2395" s="10" t="s">
        <v>3834</v>
      </c>
      <c r="B2395" s="7" t="str">
        <f>IFERROR(__xludf.DUMMYFUNCTION("SPLIT(A2395,"" "")"),"Cc1ccc(CN(C)C2CCCC(N(Cc3ccccn3)Cc3cccc(-c4cccc5c4OCCOCCOCCOCCOCCO5)n3)C2)nc1")</f>
        <v>Cc1ccc(CN(C)C2CCCC(N(Cc3ccccn3)Cc3cccc(-c4cccc5c4OCCOCCOCCOCCOCCO5)n3)C2)nc1</v>
      </c>
      <c r="C2395" s="7">
        <f>IFERROR(__xludf.DUMMYFUNCTION("""COMPUTED_VALUE"""),7.8086724)</f>
        <v>7.8086724</v>
      </c>
      <c r="D2395" s="7">
        <f>IFERROR(__xludf.DUMMYFUNCTION("""COMPUTED_VALUE"""),0.366197183098591)</f>
        <v>0.3661971831</v>
      </c>
    </row>
    <row r="2396">
      <c r="A2396" s="10" t="s">
        <v>3835</v>
      </c>
      <c r="B2396" s="7" t="str">
        <f>IFERROR(__xludf.DUMMYFUNCTION("SPLIT(A2396,"" "")"),"Cc1cc(C)c(CN(C)C2CCCCC2N(C)Cc2ncccc2CN(C)CCN)nc1C")</f>
        <v>Cc1cc(C)c(CN(C)C2CCCCC2N(C)Cc2ncccc2CN(C)CCN)nc1C</v>
      </c>
      <c r="C2396" s="7">
        <f>IFERROR(__xludf.DUMMYFUNCTION("""COMPUTED_VALUE"""),7.8086715)</f>
        <v>7.8086715</v>
      </c>
      <c r="D2396" s="7">
        <f>IFERROR(__xludf.DUMMYFUNCTION("""COMPUTED_VALUE"""),0.396551724137931)</f>
        <v>0.3965517241</v>
      </c>
    </row>
    <row r="2397">
      <c r="A2397" s="10" t="s">
        <v>3836</v>
      </c>
      <c r="B2397" s="7" t="str">
        <f>IFERROR(__xludf.DUMMYFUNCTION("SPLIT(A2397,"" "")"),"CCOC(=O)c1ccc(CN(Cc2ccccn2)C2CCCCC2N(C)C2CCC(N(C)Cc3ncc(C)c(C)c3C)CC2)cn1")</f>
        <v>CCOC(=O)c1ccc(CN(Cc2ccccn2)C2CCCCC2N(C)C2CCC(N(C)Cc3ncc(C)c(C)c3C)CC2)cn1</v>
      </c>
      <c r="C2397" s="7">
        <f>IFERROR(__xludf.DUMMYFUNCTION("""COMPUTED_VALUE"""),7.8086696)</f>
        <v>7.8086696</v>
      </c>
      <c r="D2397" s="7">
        <f>IFERROR(__xludf.DUMMYFUNCTION("""COMPUTED_VALUE"""),0.375)</f>
        <v>0.375</v>
      </c>
    </row>
    <row r="2398">
      <c r="A2398" s="10" t="s">
        <v>3837</v>
      </c>
      <c r="B2398" s="7" t="str">
        <f>IFERROR(__xludf.DUMMYFUNCTION("SPLIT(A2398,"" "")"),"C=CCN(Cc1ccccn1)C1CCCCC1N(Cc1ccccn1)Cc1ncccc1C")</f>
        <v>C=CCN(Cc1ccccn1)C1CCCCC1N(Cc1ccccn1)Cc1ncccc1C</v>
      </c>
      <c r="C2398" s="7">
        <f>IFERROR(__xludf.DUMMYFUNCTION("""COMPUTED_VALUE"""),7.8086557)</f>
        <v>7.8086557</v>
      </c>
      <c r="D2398" s="7">
        <f>IFERROR(__xludf.DUMMYFUNCTION("""COMPUTED_VALUE"""),0.490196078431372)</f>
        <v>0.4901960784</v>
      </c>
    </row>
    <row r="2399">
      <c r="A2399" s="10" t="s">
        <v>3838</v>
      </c>
      <c r="B2399" s="7" t="str">
        <f>IFERROR(__xludf.DUMMYFUNCTION("SPLIT(A2399,"" "")"),"CCN(Cc1cc(-c2ccc3c(c2)OCCOCCOCCOCCOCCO3)ccn1)Cc1ncccc1-c1ccc2c(c1)OCCOCCOCCOCCOCCO2")</f>
        <v>CCN(Cc1cc(-c2ccc3c(c2)OCCOCCOCCOCCOCCO3)ccn1)Cc1ncccc1-c1ccc2c(c1)OCCOCCOCCOCCOCCO2</v>
      </c>
      <c r="C2399" s="7">
        <f>IFERROR(__xludf.DUMMYFUNCTION("""COMPUTED_VALUE"""),7.808635)</f>
        <v>7.808635</v>
      </c>
      <c r="D2399" s="7">
        <f>IFERROR(__xludf.DUMMYFUNCTION("""COMPUTED_VALUE"""),0.357142857142857)</f>
        <v>0.3571428571</v>
      </c>
    </row>
    <row r="2400">
      <c r="A2400" s="10" t="s">
        <v>3839</v>
      </c>
      <c r="B2400" s="7" t="str">
        <f>IFERROR(__xludf.DUMMYFUNCTION("SPLIT(A2400,"" "")"),"Cc1cc(CN(C)C2CCC(N(Cc3ncccc3C)C(C)C)CC2)ccn1")</f>
        <v>Cc1cc(CN(C)C2CCC(N(Cc3ncccc3C)C(C)C)CC2)ccn1</v>
      </c>
      <c r="C2400" s="7">
        <f>IFERROR(__xludf.DUMMYFUNCTION("""COMPUTED_VALUE"""),7.808632)</f>
        <v>7.808632</v>
      </c>
      <c r="D2400" s="7">
        <f>IFERROR(__xludf.DUMMYFUNCTION("""COMPUTED_VALUE"""),0.288135593220339)</f>
        <v>0.2881355932</v>
      </c>
    </row>
    <row r="2401">
      <c r="A2401" s="10" t="s">
        <v>3840</v>
      </c>
      <c r="B2401" s="7" t="str">
        <f>IFERROR(__xludf.DUMMYFUNCTION("SPLIT(A2401,"" "")"),"CNC1CCCC(N(Cc2cccc(C)n2)Cc2ncccc2C)C1")</f>
        <v>CNC1CCCC(N(Cc2cccc(C)n2)Cc2ncccc2C)C1</v>
      </c>
      <c r="C2401" s="7">
        <f>IFERROR(__xludf.DUMMYFUNCTION("""COMPUTED_VALUE"""),7.808631)</f>
        <v>7.808631</v>
      </c>
      <c r="D2401" s="7">
        <f>IFERROR(__xludf.DUMMYFUNCTION("""COMPUTED_VALUE"""),0.403508771929824)</f>
        <v>0.4035087719</v>
      </c>
    </row>
    <row r="2402">
      <c r="A2402" s="10" t="s">
        <v>3841</v>
      </c>
      <c r="B2402" s="7" t="str">
        <f>IFERROR(__xludf.DUMMYFUNCTION("SPLIT(A2402,"" "")"),"Cc1cc(CN(C)C2CCC(N(C)Cc3ccc(-c4cccc5c4OCCOCCOCCOCCOCCO5)cn3)CC2)nc(C)c1C")</f>
        <v>Cc1cc(CN(C)C2CCC(N(C)Cc3ccc(-c4cccc5c4OCCOCCOCCOCCOCCO5)cn3)CC2)nc(C)c1C</v>
      </c>
      <c r="C2402" s="7">
        <f>IFERROR(__xludf.DUMMYFUNCTION("""COMPUTED_VALUE"""),7.8086243)</f>
        <v>7.8086243</v>
      </c>
      <c r="D2402" s="7">
        <f>IFERROR(__xludf.DUMMYFUNCTION("""COMPUTED_VALUE"""),0.337662337662337)</f>
        <v>0.3376623377</v>
      </c>
    </row>
    <row r="2403">
      <c r="A2403" s="10" t="s">
        <v>3842</v>
      </c>
      <c r="B2403" s="7" t="str">
        <f>IFERROR(__xludf.DUMMYFUNCTION("SPLIT(A2403,"" "")"),"CN1CCN(Cc2ccc3c(c2)OCCOCCOCCOCCOCCO3)CCN(Cc2cnccc2-c2ccccc2N=Cc2ccccn2)CC1")</f>
        <v>CN1CCN(Cc2ccc3c(c2)OCCOCCOCCOCCOCCO3)CCN(Cc2cnccc2-c2ccccc2N=Cc2ccccn2)CC1</v>
      </c>
      <c r="C2403" s="7">
        <f>IFERROR(__xludf.DUMMYFUNCTION("""COMPUTED_VALUE"""),7.808617)</f>
        <v>7.808617</v>
      </c>
      <c r="D2403" s="7">
        <f>IFERROR(__xludf.DUMMYFUNCTION("""COMPUTED_VALUE"""),0.319444444444444)</f>
        <v>0.3194444444</v>
      </c>
    </row>
    <row r="2404">
      <c r="A2404" s="10" t="s">
        <v>3843</v>
      </c>
      <c r="B2404" s="7" t="str">
        <f>IFERROR(__xludf.DUMMYFUNCTION("SPLIT(A2404,"" "")"),"FCN(Cc1ccccn1)Cc1cc(-c2cccc3c2OCCOCCOCCOCCOCCO3)ccn1")</f>
        <v>FCN(Cc1ccccn1)Cc1cc(-c2cccc3c2OCCOCCOCCOCCOCCO3)ccn1</v>
      </c>
      <c r="C2404" s="7">
        <f>IFERROR(__xludf.DUMMYFUNCTION("""COMPUTED_VALUE"""),7.808615)</f>
        <v>7.808615</v>
      </c>
      <c r="D2404" s="7">
        <f>IFERROR(__xludf.DUMMYFUNCTION("""COMPUTED_VALUE"""),0.372549019607843)</f>
        <v>0.3725490196</v>
      </c>
    </row>
    <row r="2405">
      <c r="A2405" s="10" t="s">
        <v>3844</v>
      </c>
      <c r="B2405" s="7" t="str">
        <f>IFERROR(__xludf.DUMMYFUNCTION("SPLIT(A2405,"" "")"),"CCCN(Cc1ccccn1)Cc1cc(-c2ccc3c(c2)OCCOCCOCCOCCOCCO3)ccn1")</f>
        <v>CCCN(Cc1ccccn1)Cc1cc(-c2ccc3c(c2)OCCOCCOCCOCCOCCO3)ccn1</v>
      </c>
      <c r="C2405" s="7">
        <f>IFERROR(__xludf.DUMMYFUNCTION("""COMPUTED_VALUE"""),7.808607)</f>
        <v>7.808607</v>
      </c>
      <c r="D2405" s="7">
        <f>IFERROR(__xludf.DUMMYFUNCTION("""COMPUTED_VALUE"""),0.415094339622641)</f>
        <v>0.4150943396</v>
      </c>
    </row>
    <row r="2406">
      <c r="A2406" s="10" t="s">
        <v>3845</v>
      </c>
      <c r="B2406" s="7" t="str">
        <f>IFERROR(__xludf.DUMMYFUNCTION("SPLIT(A2406,"" "")"),"CN(C)Cc1cncc(-c2ccc3c(c2)OCCOCCOCCOCCOCCO3)c1")</f>
        <v>CN(C)Cc1cncc(-c2ccc3c(c2)OCCOCCOCCOCCOCCO3)c1</v>
      </c>
      <c r="C2406" s="7">
        <f>IFERROR(__xludf.DUMMYFUNCTION("""COMPUTED_VALUE"""),7.808606)</f>
        <v>7.808606</v>
      </c>
      <c r="D2406" s="7">
        <f>IFERROR(__xludf.DUMMYFUNCTION("""COMPUTED_VALUE"""),0.406779661016949)</f>
        <v>0.406779661</v>
      </c>
    </row>
    <row r="2407">
      <c r="A2407" s="10" t="s">
        <v>3846</v>
      </c>
      <c r="B2407" s="7" t="str">
        <f>IFERROR(__xludf.DUMMYFUNCTION("SPLIT(A2407,"" "")"),"Cc1cccnc1CN(Cc1ccccn1)C1CCC(N(C)Cc2cccc(-c3ccc4c(c3)OCCOCCOCCOCCOCCO4)n2)CC1")</f>
        <v>Cc1cccnc1CN(Cc1ccccn1)C1CCC(N(C)Cc2cccc(-c3ccc4c(c3)OCCOCCOCCOCCOCCO4)n2)CC1</v>
      </c>
      <c r="C2407" s="7">
        <f>IFERROR(__xludf.DUMMYFUNCTION("""COMPUTED_VALUE"""),7.808605)</f>
        <v>7.808605</v>
      </c>
      <c r="D2407" s="7">
        <f>IFERROR(__xludf.DUMMYFUNCTION("""COMPUTED_VALUE"""),0.363636363636363)</f>
        <v>0.3636363636</v>
      </c>
    </row>
    <row r="2408">
      <c r="A2408" s="10" t="s">
        <v>3847</v>
      </c>
      <c r="B2408" s="7" t="str">
        <f>IFERROR(__xludf.DUMMYFUNCTION("SPLIT(A2408,"" "")"),"CNC1=CC(N(C)C(C)C)NC=C1")</f>
        <v>CNC1=CC(N(C)C(C)C)NC=C1</v>
      </c>
      <c r="C2408" s="7">
        <f>IFERROR(__xludf.DUMMYFUNCTION("""COMPUTED_VALUE"""),7.8086033)</f>
        <v>7.8086033</v>
      </c>
      <c r="D2408" s="7">
        <f>IFERROR(__xludf.DUMMYFUNCTION("""COMPUTED_VALUE"""),0.166666666666666)</f>
        <v>0.1666666667</v>
      </c>
    </row>
    <row r="2409">
      <c r="A2409" s="10" t="s">
        <v>3848</v>
      </c>
      <c r="B2409" s="7" t="str">
        <f>IFERROR(__xludf.DUMMYFUNCTION("SPLIT(A2409,"" "")"),"CNCCN(C)CC(C)(C)C")</f>
        <v>CNCCN(C)CC(C)(C)C</v>
      </c>
      <c r="C2409" s="7">
        <f>IFERROR(__xludf.DUMMYFUNCTION("""COMPUTED_VALUE"""),7.8086)</f>
        <v>7.8086</v>
      </c>
      <c r="D2409" s="7">
        <f>IFERROR(__xludf.DUMMYFUNCTION("""COMPUTED_VALUE"""),0.225)</f>
        <v>0.225</v>
      </c>
    </row>
    <row r="2410">
      <c r="A2410" s="10" t="s">
        <v>3849</v>
      </c>
      <c r="B2410" s="7" t="str">
        <f>IFERROR(__xludf.DUMMYFUNCTION("SPLIT(A2410,"" "")"),"CC1(C)CCC1C(C)(C)c1ccccn1")</f>
        <v>CC1(C)CCC1C(C)(C)c1ccccn1</v>
      </c>
      <c r="C2410" s="7">
        <f>IFERROR(__xludf.DUMMYFUNCTION("""COMPUTED_VALUE"""),7.8085837)</f>
        <v>7.8085837</v>
      </c>
      <c r="D2410" s="7">
        <f>IFERROR(__xludf.DUMMYFUNCTION("""COMPUTED_VALUE"""),0.347826086956521)</f>
        <v>0.347826087</v>
      </c>
    </row>
    <row r="2411">
      <c r="A2411" s="10" t="s">
        <v>3850</v>
      </c>
      <c r="B2411" s="7" t="str">
        <f>IFERROR(__xludf.DUMMYFUNCTION("SPLIT(A2411,"" "")"),"Cc1ccc(CN(Cc2ccccn2)C2CCC(N(C)Cc3cc(-c4ccc5c(c4)OCCOCCOCCOCCOCCO5)ccn3)CC2)nc1")</f>
        <v>Cc1ccc(CN(Cc2ccccn2)C2CCC(N(C)Cc3cc(-c4ccc5c(c4)OCCOCCOCCOCCOCCO5)ccn3)CC2)nc1</v>
      </c>
      <c r="C2411" s="7">
        <f>IFERROR(__xludf.DUMMYFUNCTION("""COMPUTED_VALUE"""),7.8085694)</f>
        <v>7.8085694</v>
      </c>
      <c r="D2411" s="7">
        <f>IFERROR(__xludf.DUMMYFUNCTION("""COMPUTED_VALUE"""),0.4)</f>
        <v>0.4</v>
      </c>
    </row>
    <row r="2412">
      <c r="A2412" s="10" t="s">
        <v>3851</v>
      </c>
      <c r="B2412" s="7" t="str">
        <f>IFERROR(__xludf.DUMMYFUNCTION("SPLIT(A2412,"" "")"),"CCNCc1ccc(CN(C)C2CCCC(N(C)Cc3nc(C)ccc3C)C2)cn1")</f>
        <v>CCNCc1ccc(CN(C)C2CCCC(N(C)Cc3nc(C)ccc3C)C2)cn1</v>
      </c>
      <c r="C2412" s="7">
        <f>IFERROR(__xludf.DUMMYFUNCTION("""COMPUTED_VALUE"""),7.808568)</f>
        <v>7.808568</v>
      </c>
      <c r="D2412" s="7">
        <f>IFERROR(__xludf.DUMMYFUNCTION("""COMPUTED_VALUE"""),0.32258064516129)</f>
        <v>0.3225806452</v>
      </c>
    </row>
    <row r="2413">
      <c r="A2413" s="10" t="s">
        <v>3852</v>
      </c>
      <c r="B2413" s="7" t="str">
        <f>IFERROR(__xludf.DUMMYFUNCTION("SPLIT(A2413,"" "")"),"Cc1cccc(CN(C)C2CCC(N(Cc3ccccn3)Cc3cccc(-c4ccc5c(c4)OCCOCCOCCOCCOCCO5)n3)CC2)n1")</f>
        <v>Cc1cccc(CN(C)C2CCC(N(Cc3ccccn3)Cc3cccc(-c4ccc5c(c4)OCCOCCOCCOCCOCCO5)n3)CC2)n1</v>
      </c>
      <c r="C2413" s="7">
        <f>IFERROR(__xludf.DUMMYFUNCTION("""COMPUTED_VALUE"""),7.808559)</f>
        <v>7.808559</v>
      </c>
      <c r="D2413" s="7">
        <f>IFERROR(__xludf.DUMMYFUNCTION("""COMPUTED_VALUE"""),0.383561643835616)</f>
        <v>0.3835616438</v>
      </c>
    </row>
    <row r="2414">
      <c r="A2414" s="10" t="s">
        <v>3853</v>
      </c>
      <c r="B2414" s="7" t="str">
        <f>IFERROR(__xludf.DUMMYFUNCTION("SPLIT(A2414,"" "")"),"CC1C=CC2C=CC=NC2C1N(C)Cc1ccccn1")</f>
        <v>CC1C=CC2C=CC=NC2C1N(C)Cc1ccccn1</v>
      </c>
      <c r="C2414" s="7">
        <f>IFERROR(__xludf.DUMMYFUNCTION("""COMPUTED_VALUE"""),7.808557)</f>
        <v>7.808557</v>
      </c>
      <c r="D2414" s="7">
        <f>IFERROR(__xludf.DUMMYFUNCTION("""COMPUTED_VALUE"""),0.44)</f>
        <v>0.44</v>
      </c>
    </row>
    <row r="2415">
      <c r="A2415" s="10" t="s">
        <v>3854</v>
      </c>
      <c r="B2415" s="7" t="str">
        <f>IFERROR(__xludf.DUMMYFUNCTION("SPLIT(A2415,"" "")"),"CC1(C)CCC1c1ccccn1")</f>
        <v>CC1(C)CCC1c1ccccn1</v>
      </c>
      <c r="C2415" s="7">
        <f>IFERROR(__xludf.DUMMYFUNCTION("""COMPUTED_VALUE"""),7.808556)</f>
        <v>7.808556</v>
      </c>
      <c r="D2415" s="7">
        <f>IFERROR(__xludf.DUMMYFUNCTION("""COMPUTED_VALUE"""),0.326923076923076)</f>
        <v>0.3269230769</v>
      </c>
    </row>
    <row r="2416">
      <c r="A2416" s="10" t="s">
        <v>3855</v>
      </c>
      <c r="B2416" s="7" t="str">
        <f>IFERROR(__xludf.DUMMYFUNCTION("SPLIT(A2416,"" "")"),"CN(Cc1ccccn1)C1CCC(N(Cc2ccccn2)Cc2cccc(C3C=CCCC3(C)C)n2)CC1")</f>
        <v>CN(Cc1ccccn1)C1CCC(N(Cc2ccccn2)Cc2cccc(C3C=CCCC3(C)C)n2)CC1</v>
      </c>
      <c r="C2416" s="7">
        <f>IFERROR(__xludf.DUMMYFUNCTION("""COMPUTED_VALUE"""),7.8085427)</f>
        <v>7.8085427</v>
      </c>
      <c r="D2416" s="7">
        <f>IFERROR(__xludf.DUMMYFUNCTION("""COMPUTED_VALUE"""),0.406779661016949)</f>
        <v>0.406779661</v>
      </c>
    </row>
    <row r="2417">
      <c r="A2417" s="10" t="s">
        <v>3856</v>
      </c>
      <c r="B2417" s="7" t="str">
        <f>IFERROR(__xludf.DUMMYFUNCTION("SPLIT(A2417,"" "")"),"Cc1cccc(CN(Cc2ccccn2)C2CCC(N(C)Cc3cccc(-c4ccc5c(c4)OCCOCCOCCOCCOCCO5)n3)CC2)n1")</f>
        <v>Cc1cccc(CN(Cc2ccccn2)C2CCC(N(C)Cc3cccc(-c4ccc5c(c4)OCCOCCOCCOCCOCCO5)n3)CC2)n1</v>
      </c>
      <c r="C2417" s="7">
        <f>IFERROR(__xludf.DUMMYFUNCTION("""COMPUTED_VALUE"""),7.8085423)</f>
        <v>7.8085423</v>
      </c>
      <c r="D2417" s="7">
        <f>IFERROR(__xludf.DUMMYFUNCTION("""COMPUTED_VALUE"""),0.383561643835616)</f>
        <v>0.3835616438</v>
      </c>
    </row>
    <row r="2418">
      <c r="A2418" s="10" t="s">
        <v>3857</v>
      </c>
      <c r="B2418" s="7" t="str">
        <f>IFERROR(__xludf.DUMMYFUNCTION("SPLIT(A2418,"" "")"),"CNC1CCCC(N(Cc2ccccn2)Cc2ncc(C)cc2C)C1")</f>
        <v>CNC1CCCC(N(Cc2ccccn2)Cc2ncc(C)cc2C)C1</v>
      </c>
      <c r="C2418" s="7">
        <f>IFERROR(__xludf.DUMMYFUNCTION("""COMPUTED_VALUE"""),7.808536)</f>
        <v>7.808536</v>
      </c>
      <c r="D2418" s="7">
        <f>IFERROR(__xludf.DUMMYFUNCTION("""COMPUTED_VALUE"""),0.379310344827586)</f>
        <v>0.3793103448</v>
      </c>
    </row>
    <row r="2419">
      <c r="A2419" s="10" t="s">
        <v>3858</v>
      </c>
      <c r="B2419" s="7" t="str">
        <f>IFERROR(__xludf.DUMMYFUNCTION("SPLIT(A2419,"" "")"),"CC(C)(C)CN(Cc1ccccn1)Cc1ncccc1-c1ccc2c(c1)OCCOCCOCCOCCOCCO2")</f>
        <v>CC(C)(C)CN(Cc1ccccn1)Cc1ncccc1-c1ccc2c(c1)OCCOCCOCCOCCOCCO2</v>
      </c>
      <c r="C2419" s="7">
        <f>IFERROR(__xludf.DUMMYFUNCTION("""COMPUTED_VALUE"""),7.8085265)</f>
        <v>7.8085265</v>
      </c>
      <c r="D2419" s="7">
        <f>IFERROR(__xludf.DUMMYFUNCTION("""COMPUTED_VALUE"""),0.464285714285714)</f>
        <v>0.4642857143</v>
      </c>
    </row>
    <row r="2420">
      <c r="A2420" s="10" t="s">
        <v>3859</v>
      </c>
      <c r="B2420" s="7" t="str">
        <f>IFERROR(__xludf.DUMMYFUNCTION("SPLIT(A2420,"" "")"),"Cc1cccnc1CN(C)C1CCC(N(C)Cc2cc(-c3cccc4c3OCCOCCOCCOCCOCCO4)ccn2)C(N(C)Cc2ccccn2)C1")</f>
        <v>Cc1cccnc1CN(C)C1CCC(N(C)Cc2cc(-c3cccc4c3OCCOCCOCCOCCOCCO4)ccn2)C(N(C)Cc2ccccn2)C1</v>
      </c>
      <c r="C2420" s="7">
        <f>IFERROR(__xludf.DUMMYFUNCTION("""COMPUTED_VALUE"""),7.808526)</f>
        <v>7.808526</v>
      </c>
      <c r="D2420" s="7">
        <f>IFERROR(__xludf.DUMMYFUNCTION("""COMPUTED_VALUE"""),0.375)</f>
        <v>0.375</v>
      </c>
    </row>
    <row r="2421">
      <c r="A2421" s="10" t="s">
        <v>3860</v>
      </c>
      <c r="B2421" s="7" t="str">
        <f>IFERROR(__xludf.DUMMYFUNCTION("SPLIT(A2421,"" "")"),"CN(Cc1cccc(-c2cccc3c2OCCOCCOCCOCCOCCO3)n1)Cc1cccc(-c2cccc3c2OCCOCCOCCOCCOCCO3)n1")</f>
        <v>CN(Cc1cccc(-c2cccc3c2OCCOCCOCCOCCOCCO3)n1)Cc1cccc(-c2cccc3c2OCCOCCOCCOCCOCCO3)n1</v>
      </c>
      <c r="C2421" s="7">
        <f>IFERROR(__xludf.DUMMYFUNCTION("""COMPUTED_VALUE"""),7.80851)</f>
        <v>7.80851</v>
      </c>
      <c r="D2421" s="7">
        <f>IFERROR(__xludf.DUMMYFUNCTION("""COMPUTED_VALUE"""),0.42)</f>
        <v>0.42</v>
      </c>
    </row>
    <row r="2422">
      <c r="A2422" s="10" t="s">
        <v>3861</v>
      </c>
      <c r="B2422" s="7" t="str">
        <f>IFERROR(__xludf.DUMMYFUNCTION("SPLIT(A2422,"" "")"),"CCNC1CC(N(C)Cc2ncc(C)c(C)c2C)CCC1N(C)Cc1ccccn1")</f>
        <v>CCNC1CC(N(C)Cc2ncc(C)c(C)c2C)CCC1N(C)Cc1ccccn1</v>
      </c>
      <c r="C2422" s="7">
        <f>IFERROR(__xludf.DUMMYFUNCTION("""COMPUTED_VALUE"""),7.808492)</f>
        <v>7.808492</v>
      </c>
      <c r="D2422" s="7">
        <f>IFERROR(__xludf.DUMMYFUNCTION("""COMPUTED_VALUE"""),0.456140350877192)</f>
        <v>0.4561403509</v>
      </c>
    </row>
    <row r="2423">
      <c r="A2423" s="10" t="s">
        <v>3862</v>
      </c>
      <c r="B2423" s="7" t="str">
        <f>IFERROR(__xludf.DUMMYFUNCTION("SPLIT(A2423,"" "")"),"CC(C)N(Cc1cccc(-c2ccc3c(c2)OCCOCCOCCOCCOCCO3)n1)Cc1cccc(-c2ccc3c(c2)OCCOCCOCCOCCOCCO3)n1")</f>
        <v>CC(C)N(Cc1cccc(-c2ccc3c(c2)OCCOCCOCCOCCOCCO3)n1)Cc1cccc(-c2ccc3c(c2)OCCOCCOCCOCCOCCO3)n1</v>
      </c>
      <c r="C2423" s="7">
        <f>IFERROR(__xludf.DUMMYFUNCTION("""COMPUTED_VALUE"""),7.808486)</f>
        <v>7.808486</v>
      </c>
      <c r="D2423" s="7">
        <f>IFERROR(__xludf.DUMMYFUNCTION("""COMPUTED_VALUE"""),0.359375)</f>
        <v>0.359375</v>
      </c>
    </row>
    <row r="2424">
      <c r="A2424" s="10" t="s">
        <v>3863</v>
      </c>
      <c r="B2424" s="7" t="str">
        <f>IFERROR(__xludf.DUMMYFUNCTION("SPLIT(A2424,"" "")"),"CC1=CC(C)(c2cccc(CN(Cc3ccccn3)C3CCC(N(C)Cc4cccc(-c5ccc6c(c5)OCCOCCOCCOCCOCCO6)n4)CC3)n2)C(C)CC1C")</f>
        <v>CC1=CC(C)(c2cccc(CN(Cc3ccccn3)C3CCC(N(C)Cc4cccc(-c5ccc6c(c5)OCCOCCOCCOCCOCCO6)n4)CC3)n2)C(C)CC1C</v>
      </c>
      <c r="C2424" s="7">
        <f>IFERROR(__xludf.DUMMYFUNCTION("""COMPUTED_VALUE"""),7.808477)</f>
        <v>7.808477</v>
      </c>
      <c r="D2424" s="7">
        <f>IFERROR(__xludf.DUMMYFUNCTION("""COMPUTED_VALUE"""),0.318181818181818)</f>
        <v>0.3181818182</v>
      </c>
    </row>
    <row r="2425">
      <c r="A2425" s="10" t="s">
        <v>3864</v>
      </c>
      <c r="B2425" s="7" t="str">
        <f>IFERROR(__xludf.DUMMYFUNCTION("SPLIT(A2425,"" "")"),"c1ccc(CNCc2cccc(-c3ccc4c(c3)OCCOCCOCCOCCOCCO4)n2)nc1")</f>
        <v>c1ccc(CNCc2cccc(-c3ccc4c(c3)OCCOCCOCCOCCOCCO4)n2)nc1</v>
      </c>
      <c r="C2425" s="7">
        <f>IFERROR(__xludf.DUMMYFUNCTION("""COMPUTED_VALUE"""),7.8084764)</f>
        <v>7.8084764</v>
      </c>
      <c r="D2425" s="7">
        <f>IFERROR(__xludf.DUMMYFUNCTION("""COMPUTED_VALUE"""),0.395833333333333)</f>
        <v>0.3958333333</v>
      </c>
    </row>
    <row r="2426">
      <c r="A2426" s="10" t="s">
        <v>3865</v>
      </c>
      <c r="B2426" s="7" t="str">
        <f>IFERROR(__xludf.DUMMYFUNCTION("SPLIT(A2426,"" "")"),"Cc1cccnc1CN(C)C1CCC(N(Cc2ccccn2)Cc2cccc(-c3ccc4c(c3)OCCOCCOCCOCCOCCO4)n2)CC1")</f>
        <v>Cc1cccnc1CN(C)C1CCC(N(Cc2ccccn2)Cc2cccc(-c3ccc4c(c3)OCCOCCOCCOCCOCCO4)n2)CC1</v>
      </c>
      <c r="C2426" s="7">
        <f>IFERROR(__xludf.DUMMYFUNCTION("""COMPUTED_VALUE"""),7.8084764)</f>
        <v>7.8084764</v>
      </c>
      <c r="D2426" s="7">
        <f>IFERROR(__xludf.DUMMYFUNCTION("""COMPUTED_VALUE"""),0.368421052631578)</f>
        <v>0.3684210526</v>
      </c>
    </row>
    <row r="2427">
      <c r="A2427" s="10" t="s">
        <v>3866</v>
      </c>
      <c r="B2427" s="7" t="str">
        <f>IFERROR(__xludf.DUMMYFUNCTION("SPLIT(A2427,"" "")"),"CC1=C(c2cc(CN(Cc3ccccn3)C3CCCCC3)ccn2)C(C)CCC1C")</f>
        <v>CC1=C(c2cc(CN(Cc3ccccn3)C3CCCCC3)ccn2)C(C)CCC1C</v>
      </c>
      <c r="C2427" s="7">
        <f>IFERROR(__xludf.DUMMYFUNCTION("""COMPUTED_VALUE"""),7.8084693)</f>
        <v>7.8084693</v>
      </c>
      <c r="D2427" s="7">
        <f>IFERROR(__xludf.DUMMYFUNCTION("""COMPUTED_VALUE"""),0.403508771929824)</f>
        <v>0.4035087719</v>
      </c>
    </row>
    <row r="2428">
      <c r="A2428" s="10" t="s">
        <v>3867</v>
      </c>
      <c r="B2428" s="7" t="str">
        <f>IFERROR(__xludf.DUMMYFUNCTION("SPLIT(A2428,"" "")"),"Cc1cc(C)c(CN(C)C2CCC(N(C)Cc3cccc(-c4ccc5c(c4)OCCOCCOCCOCCOCCO5)n3)CC2)nc1C")</f>
        <v>Cc1cc(C)c(CN(C)C2CCC(N(C)Cc3cccc(-c4ccc5c(c4)OCCOCCOCCOCCOCCO5)n3)CC2)nc1C</v>
      </c>
      <c r="C2428" s="7">
        <f>IFERROR(__xludf.DUMMYFUNCTION("""COMPUTED_VALUE"""),7.808458)</f>
        <v>7.808458</v>
      </c>
      <c r="D2428" s="7">
        <f>IFERROR(__xludf.DUMMYFUNCTION("""COMPUTED_VALUE"""),0.333333333333333)</f>
        <v>0.3333333333</v>
      </c>
    </row>
    <row r="2429">
      <c r="A2429" s="10" t="s">
        <v>3868</v>
      </c>
      <c r="B2429" s="7" t="str">
        <f>IFERROR(__xludf.DUMMYFUNCTION("SPLIT(A2429,"" "")"),"Cc1cncc(CN(Cc2ccccn2)C2CCCC(N(C)Cc3cc(-c4ccc5c(c4)OCCOCCOCCOCCOCCO5)ccn3)C2)c1")</f>
        <v>Cc1cncc(CN(Cc2ccccn2)C2CCCC(N(C)Cc3cc(-c4ccc5c(c4)OCCOCCOCCOCCOCCO5)ccn3)C2)c1</v>
      </c>
      <c r="C2429" s="7">
        <f>IFERROR(__xludf.DUMMYFUNCTION("""COMPUTED_VALUE"""),7.8084526)</f>
        <v>7.8084526</v>
      </c>
      <c r="D2429" s="7">
        <f>IFERROR(__xludf.DUMMYFUNCTION("""COMPUTED_VALUE"""),0.349397590361445)</f>
        <v>0.3493975904</v>
      </c>
    </row>
    <row r="2430">
      <c r="A2430" s="10" t="s">
        <v>3869</v>
      </c>
      <c r="B2430" s="7" t="str">
        <f>IFERROR(__xludf.DUMMYFUNCTION("SPLIT(A2430,"" "")"),"CN(O)C1C=CNC(CN(C)C2C=CC=CN2)=C1")</f>
        <v>CN(O)C1C=CNC(CN(C)C2C=CC=CN2)=C1</v>
      </c>
      <c r="C2430" s="7">
        <f>IFERROR(__xludf.DUMMYFUNCTION("""COMPUTED_VALUE"""),7.8084435)</f>
        <v>7.8084435</v>
      </c>
      <c r="D2430" s="7">
        <f>IFERROR(__xludf.DUMMYFUNCTION("""COMPUTED_VALUE"""),0.339622641509433)</f>
        <v>0.3396226415</v>
      </c>
    </row>
    <row r="2431">
      <c r="A2431" s="10" t="s">
        <v>3870</v>
      </c>
      <c r="B2431" s="7" t="str">
        <f>IFERROR(__xludf.DUMMYFUNCTION("SPLIT(A2431,"" "")"),"C1=CC(CN(Cc2ccccn2)Cc2cccc(-c3cccc4c3OCCOCCOCCOCCOCCO4)n2)C=CN1")</f>
        <v>C1=CC(CN(Cc2ccccn2)Cc2cccc(-c3cccc4c3OCCOCCOCCOCCOCCO4)n2)C=CN1</v>
      </c>
      <c r="C2431" s="7">
        <f>IFERROR(__xludf.DUMMYFUNCTION("""COMPUTED_VALUE"""),7.808442)</f>
        <v>7.808442</v>
      </c>
      <c r="D2431" s="7">
        <f>IFERROR(__xludf.DUMMYFUNCTION("""COMPUTED_VALUE"""),0.366197183098591)</f>
        <v>0.3661971831</v>
      </c>
    </row>
    <row r="2432">
      <c r="A2432" s="10" t="s">
        <v>3871</v>
      </c>
      <c r="B2432" s="7" t="str">
        <f>IFERROR(__xludf.DUMMYFUNCTION("SPLIT(A2432,"" "")"),"CN(C)Cc1ccc(-c2cccc3c2OCCOCCOCCOCCOCCO3)nc1")</f>
        <v>CN(C)Cc1ccc(-c2cccc3c2OCCOCCOCCOCCOCCO3)nc1</v>
      </c>
      <c r="C2432" s="7">
        <f>IFERROR(__xludf.DUMMYFUNCTION("""COMPUTED_VALUE"""),7.808438)</f>
        <v>7.808438</v>
      </c>
      <c r="D2432" s="7">
        <f>IFERROR(__xludf.DUMMYFUNCTION("""COMPUTED_VALUE"""),0.246376811594202)</f>
        <v>0.2463768116</v>
      </c>
    </row>
    <row r="2433">
      <c r="A2433" s="10" t="s">
        <v>3872</v>
      </c>
      <c r="B2433" s="7" t="str">
        <f>IFERROR(__xludf.DUMMYFUNCTION("SPLIT(A2433,"" "")"),"CC(C)N(C)CCN(CC(C)(C)C)C(C)C")</f>
        <v>CC(C)N(C)CCN(CC(C)(C)C)C(C)C</v>
      </c>
      <c r="C2433" s="7">
        <f>IFERROR(__xludf.DUMMYFUNCTION("""COMPUTED_VALUE"""),7.8084364)</f>
        <v>7.8084364</v>
      </c>
      <c r="D2433" s="7">
        <f>IFERROR(__xludf.DUMMYFUNCTION("""COMPUTED_VALUE"""),0.256410256410256)</f>
        <v>0.2564102564</v>
      </c>
    </row>
    <row r="2434">
      <c r="A2434" s="10" t="s">
        <v>3873</v>
      </c>
      <c r="B2434" s="7" t="str">
        <f>IFERROR(__xludf.DUMMYFUNCTION("SPLIT(A2434,"" "")"),"CN(CCSCc1ccccn1)Cc1cccc(-c2ccc3c(c2)OCCOCCOCCOCCOCCO3)n1")</f>
        <v>CN(CCSCc1ccccn1)Cc1cccc(-c2ccc3c(c2)OCCOCCOCCOCCOCCO3)n1</v>
      </c>
      <c r="C2434" s="7">
        <f>IFERROR(__xludf.DUMMYFUNCTION("""COMPUTED_VALUE"""),7.80843)</f>
        <v>7.80843</v>
      </c>
      <c r="D2434" s="7">
        <f>IFERROR(__xludf.DUMMYFUNCTION("""COMPUTED_VALUE"""),0.426229508196721)</f>
        <v>0.4262295082</v>
      </c>
    </row>
    <row r="2435">
      <c r="A2435" s="10" t="s">
        <v>3874</v>
      </c>
      <c r="B2435" s="7" t="str">
        <f>IFERROR(__xludf.DUMMYFUNCTION("SPLIT(A2435,"" "")"),"Cc1cncc(CN(C)CCN(C)C2CCCC(N(Cc3ccccn3)Cc3ccccn3)C2)c1")</f>
        <v>Cc1cncc(CN(C)CCN(C)C2CCCC(N(Cc3ccccn3)Cc3ccccn3)C2)c1</v>
      </c>
      <c r="C2435" s="7">
        <f>IFERROR(__xludf.DUMMYFUNCTION("""COMPUTED_VALUE"""),7.8084297)</f>
        <v>7.8084297</v>
      </c>
      <c r="D2435" s="7">
        <f>IFERROR(__xludf.DUMMYFUNCTION("""COMPUTED_VALUE"""),0.413793103448275)</f>
        <v>0.4137931034</v>
      </c>
    </row>
    <row r="2436">
      <c r="A2436" s="10" t="s">
        <v>3875</v>
      </c>
      <c r="B2436" s="7" t="str">
        <f>IFERROR(__xludf.DUMMYFUNCTION("SPLIT(A2436,"" "")"),"Cc1ccc(CN(Cc2ccccn2)C2CCCCC2N(C)Cc2cccc(-c3ccc4c(c3)OCCOCCOCCOCCOCCO4)n2)nc1C")</f>
        <v>Cc1ccc(CN(Cc2ccccn2)C2CCCCC2N(C)Cc2cccc(-c3ccc4c(c3)OCCOCCOCCOCCOCCO4)n2)nc1C</v>
      </c>
      <c r="C2436" s="7">
        <f>IFERROR(__xludf.DUMMYFUNCTION("""COMPUTED_VALUE"""),7.8084126)</f>
        <v>7.8084126</v>
      </c>
      <c r="D2436" s="7">
        <f>IFERROR(__xludf.DUMMYFUNCTION("""COMPUTED_VALUE"""),0.454545454545454)</f>
        <v>0.4545454545</v>
      </c>
    </row>
    <row r="2437">
      <c r="A2437" s="10" t="s">
        <v>3876</v>
      </c>
      <c r="B2437" s="7" t="str">
        <f>IFERROR(__xludf.DUMMYFUNCTION("SPLIT(A2437,"" "")"),"COC(=O)C1C(C(C)C)C(C(C)(C)NCc2ccccn2)CN(C)C1C(=O)C(C)N")</f>
        <v>COC(=O)C1C(C(C)C)C(C(C)(C)NCc2ccccn2)CN(C)C1C(=O)C(C)N</v>
      </c>
      <c r="C2437" s="7">
        <f>IFERROR(__xludf.DUMMYFUNCTION("""COMPUTED_VALUE"""),7.8084087)</f>
        <v>7.8084087</v>
      </c>
      <c r="D2437" s="7">
        <f>IFERROR(__xludf.DUMMYFUNCTION("""COMPUTED_VALUE"""),0.285714285714285)</f>
        <v>0.2857142857</v>
      </c>
    </row>
    <row r="2438">
      <c r="A2438" s="10" t="s">
        <v>3877</v>
      </c>
      <c r="B2438" s="7" t="str">
        <f>IFERROR(__xludf.DUMMYFUNCTION("SPLIT(A2438,"" "")"),"Cc1ccc(CN(C)C2=CCC=C(CN3CCN(C)CCN(C)CC3)N2)nc1")</f>
        <v>Cc1ccc(CN(C)C2=CCC=C(CN3CCN(C)CCN(C)CC3)N2)nc1</v>
      </c>
      <c r="C2438" s="7">
        <f>IFERROR(__xludf.DUMMYFUNCTION("""COMPUTED_VALUE"""),7.8084064)</f>
        <v>7.8084064</v>
      </c>
      <c r="D2438" s="7">
        <f>IFERROR(__xludf.DUMMYFUNCTION("""COMPUTED_VALUE"""),0.411764705882352)</f>
        <v>0.4117647059</v>
      </c>
    </row>
    <row r="2439">
      <c r="A2439" s="10" t="s">
        <v>3878</v>
      </c>
      <c r="B2439" s="7" t="str">
        <f>IFERROR(__xludf.DUMMYFUNCTION("SPLIT(A2439,"" "")"),"CCN(C)Cc1cccc(C2CCC2(C)C)n1")</f>
        <v>CCN(C)Cc1cccc(C2CCC2(C)C)n1</v>
      </c>
      <c r="C2439" s="7">
        <f>IFERROR(__xludf.DUMMYFUNCTION("""COMPUTED_VALUE"""),7.808398)</f>
        <v>7.808398</v>
      </c>
      <c r="D2439" s="7">
        <f>IFERROR(__xludf.DUMMYFUNCTION("""COMPUTED_VALUE"""),0.377777777777777)</f>
        <v>0.3777777778</v>
      </c>
    </row>
    <row r="2440">
      <c r="A2440" s="10" t="s">
        <v>3879</v>
      </c>
      <c r="B2440" s="7" t="str">
        <f>IFERROR(__xludf.DUMMYFUNCTION("SPLIT(A2440,"" "")"),"CNCc1cc(CN(C)C2CCC(N(C)Cc3cc(C)c(C)cn3)CC2)ccn1")</f>
        <v>CNCc1cc(CN(C)C2CCC(N(C)Cc3cc(C)c(C)cn3)CC2)ccn1</v>
      </c>
      <c r="C2440" s="7">
        <f>IFERROR(__xludf.DUMMYFUNCTION("""COMPUTED_VALUE"""),7.8083854)</f>
        <v>7.8083854</v>
      </c>
      <c r="D2440" s="7">
        <f>IFERROR(__xludf.DUMMYFUNCTION("""COMPUTED_VALUE"""),0.363636363636363)</f>
        <v>0.3636363636</v>
      </c>
    </row>
    <row r="2441">
      <c r="A2441" s="10" t="s">
        <v>3880</v>
      </c>
      <c r="B2441" s="7" t="str">
        <f>IFERROR(__xludf.DUMMYFUNCTION("SPLIT(A2441,"" "")"),"CCOC(C)c1cccc(CN(Cc2ccccn2)C2CCCCC2N(C)Cc2cccc(-c3ccc4c(c3)OCCOCCOCCOCCOCCO4)n2)n1")</f>
        <v>CCOC(C)c1cccc(CN(Cc2ccccn2)C2CCCCC2N(C)Cc2cccc(-c3ccc4c(c3)OCCOCCOCCOCCOCCO4)n2)n1</v>
      </c>
      <c r="C2441" s="7">
        <f>IFERROR(__xludf.DUMMYFUNCTION("""COMPUTED_VALUE"""),7.80837)</f>
        <v>7.80837</v>
      </c>
      <c r="D2441" s="7">
        <f>IFERROR(__xludf.DUMMYFUNCTION("""COMPUTED_VALUE"""),0.416666666666666)</f>
        <v>0.4166666667</v>
      </c>
    </row>
    <row r="2442">
      <c r="A2442" s="10" t="s">
        <v>3881</v>
      </c>
      <c r="B2442" s="7" t="str">
        <f>IFERROR(__xludf.DUMMYFUNCTION("SPLIT(A2442,"" "")"),"Cc1cc(CN(C)Cc2cccc(C(C)(C)c3ccccn3)n2)cc2c1OCCOCCOCCOCCOCCO2")</f>
        <v>Cc1cc(CN(C)Cc2cccc(C(C)(C)c3ccccn3)n2)cc2c1OCCOCCOCCOCCOCCO2</v>
      </c>
      <c r="C2442" s="7">
        <f>IFERROR(__xludf.DUMMYFUNCTION("""COMPUTED_VALUE"""),7.808369)</f>
        <v>7.808369</v>
      </c>
      <c r="D2442" s="7">
        <f>IFERROR(__xludf.DUMMYFUNCTION("""COMPUTED_VALUE"""),0.359375)</f>
        <v>0.359375</v>
      </c>
    </row>
    <row r="2443">
      <c r="A2443" s="10" t="s">
        <v>3882</v>
      </c>
      <c r="B2443" s="7" t="str">
        <f>IFERROR(__xludf.DUMMYFUNCTION("SPLIT(A2443,"" "")"),"CNC1CCCCC1N(Cc1ccccn1)Cc1nc(C)c(C)cc1C")</f>
        <v>CNC1CCCCC1N(Cc1ccccn1)Cc1nc(C)c(C)cc1C</v>
      </c>
      <c r="C2443" s="7">
        <f>IFERROR(__xludf.DUMMYFUNCTION("""COMPUTED_VALUE"""),7.8083634)</f>
        <v>7.8083634</v>
      </c>
      <c r="D2443" s="7">
        <f>IFERROR(__xludf.DUMMYFUNCTION("""COMPUTED_VALUE"""),0.471698113207547)</f>
        <v>0.4716981132</v>
      </c>
    </row>
    <row r="2444">
      <c r="A2444" s="10" t="s">
        <v>3883</v>
      </c>
      <c r="B2444" s="7" t="str">
        <f>IFERROR(__xludf.DUMMYFUNCTION("SPLIT(A2444,"" "")"),"Cc1ccc(N2CCN(C)CCN(C(C)C)CC2)c(C)c1C")</f>
        <v>Cc1ccc(N2CCN(C)CCN(C(C)C)CC2)c(C)c1C</v>
      </c>
      <c r="C2444" s="7">
        <f>IFERROR(__xludf.DUMMYFUNCTION("""COMPUTED_VALUE"""),7.8083506)</f>
        <v>7.8083506</v>
      </c>
      <c r="D2444" s="7">
        <f>IFERROR(__xludf.DUMMYFUNCTION("""COMPUTED_VALUE"""),0.292682926829268)</f>
        <v>0.2926829268</v>
      </c>
    </row>
    <row r="2445">
      <c r="A2445" s="10" t="s">
        <v>3884</v>
      </c>
      <c r="B2445" s="7" t="str">
        <f>IFERROR(__xludf.DUMMYFUNCTION("SPLIT(A2445,"" "")"),"CNCc1cccc(CN(Cc2cccc(F)n2)C2CCC(N(C)Cc3cccc(-c4ccc5c(c4)OCCOCCOCCOCCOCCO5)n3)CC2)n1")</f>
        <v>CNCc1cccc(CN(Cc2cccc(F)n2)C2CCC(N(C)Cc3cccc(-c4ccc5c(c4)OCCOCCOCCOCCOCCO5)n3)CC2)n1</v>
      </c>
      <c r="C2445" s="7">
        <f>IFERROR(__xludf.DUMMYFUNCTION("""COMPUTED_VALUE"""),7.8083415)</f>
        <v>7.8083415</v>
      </c>
      <c r="D2445" s="7">
        <f>IFERROR(__xludf.DUMMYFUNCTION("""COMPUTED_VALUE"""),0.304878048780487)</f>
        <v>0.3048780488</v>
      </c>
    </row>
    <row r="2446">
      <c r="A2446" s="10" t="s">
        <v>3885</v>
      </c>
      <c r="B2446" s="7" t="str">
        <f>IFERROR(__xludf.DUMMYFUNCTION("SPLIT(A2446,"" "")"),"Cc1cc(CN(C)C2CCC(N(C)Cc3cc(-c4ccc5c(c4)OCCOCCOCCOCCOCCO5)ccn3)CC2)c(C)nc1C")</f>
        <v>Cc1cc(CN(C)C2CCC(N(C)Cc3cc(-c4ccc5c(c4)OCCOCCOCCOCCOCCO5)ccn3)CC2)c(C)nc1C</v>
      </c>
      <c r="C2446" s="7">
        <f>IFERROR(__xludf.DUMMYFUNCTION("""COMPUTED_VALUE"""),7.808339)</f>
        <v>7.808339</v>
      </c>
      <c r="D2446" s="7">
        <f>IFERROR(__xludf.DUMMYFUNCTION("""COMPUTED_VALUE"""),0.375)</f>
        <v>0.375</v>
      </c>
    </row>
    <row r="2447">
      <c r="A2447" s="10" t="s">
        <v>3886</v>
      </c>
      <c r="B2447" s="7" t="str">
        <f>IFERROR(__xludf.DUMMYFUNCTION("SPLIT(A2447,"" "")"),"CN(C)Cc1cccc(-c2ccc3c(c2)OCCOCCOCCOCCOCCO3)n1")</f>
        <v>CN(C)Cc1cccc(-c2ccc3c(c2)OCCOCCOCCOCCOCCO3)n1</v>
      </c>
      <c r="C2447" s="7">
        <f>IFERROR(__xludf.DUMMYFUNCTION("""COMPUTED_VALUE"""),7.8083167)</f>
        <v>7.8083167</v>
      </c>
      <c r="D2447" s="7">
        <f>IFERROR(__xludf.DUMMYFUNCTION("""COMPUTED_VALUE"""),0.377049180327868)</f>
        <v>0.3770491803</v>
      </c>
    </row>
    <row r="2448">
      <c r="A2448" s="10" t="s">
        <v>3887</v>
      </c>
      <c r="B2448" s="7" t="str">
        <f>IFERROR(__xludf.DUMMYFUNCTION("SPLIT(A2448,"" "")"),"CC1=CC(N(C)CC2=CC(N(C)Cc3ccccn3)C=CN2)CC(C)C1C")</f>
        <v>CC1=CC(N(C)CC2=CC(N(C)Cc3ccccn3)C=CN2)CC(C)C1C</v>
      </c>
      <c r="C2448" s="7">
        <f>IFERROR(__xludf.DUMMYFUNCTION("""COMPUTED_VALUE"""),7.8083076)</f>
        <v>7.8083076</v>
      </c>
      <c r="D2448" s="7">
        <f>IFERROR(__xludf.DUMMYFUNCTION("""COMPUTED_VALUE"""),0.396551724137931)</f>
        <v>0.3965517241</v>
      </c>
    </row>
    <row r="2449">
      <c r="A2449" s="10" t="s">
        <v>3888</v>
      </c>
      <c r="B2449" s="7" t="str">
        <f>IFERROR(__xludf.DUMMYFUNCTION("SPLIT(A2449,"" "")"),"Cc1cccnc1CN(C)C1CCC(N(C)Cc2cccc(-c3ccc4c(c3)OCCOCCOCCOCCOCCO4)n2)CC1N(C)Cc1ccccn1")</f>
        <v>Cc1cccnc1CN(C)C1CCC(N(C)Cc2cccc(-c3ccc4c(c3)OCCOCCOCCOCCOCCO4)n2)CC1N(C)Cc1ccccn1</v>
      </c>
      <c r="C2449" s="7">
        <f>IFERROR(__xludf.DUMMYFUNCTION("""COMPUTED_VALUE"""),7.8083057)</f>
        <v>7.8083057</v>
      </c>
      <c r="D2449" s="7">
        <f>IFERROR(__xludf.DUMMYFUNCTION("""COMPUTED_VALUE"""),0.380281690140845)</f>
        <v>0.3802816901</v>
      </c>
    </row>
    <row r="2450">
      <c r="A2450" s="10" t="s">
        <v>3889</v>
      </c>
      <c r="B2450" s="7" t="str">
        <f>IFERROR(__xludf.DUMMYFUNCTION("SPLIT(A2450,"" "")"),"Cc1cnc(N(C)C2CCCC(N(C)C(C)C)C2)c(C)c1")</f>
        <v>Cc1cnc(N(C)C2CCCC(N(C)C(C)C)C2)c(C)c1</v>
      </c>
      <c r="C2450" s="7">
        <f>IFERROR(__xludf.DUMMYFUNCTION("""COMPUTED_VALUE"""),7.808304)</f>
        <v>7.808304</v>
      </c>
      <c r="D2450" s="7">
        <f>IFERROR(__xludf.DUMMYFUNCTION("""COMPUTED_VALUE"""),0.283018867924528)</f>
        <v>0.2830188679</v>
      </c>
    </row>
    <row r="2451">
      <c r="A2451" s="10" t="s">
        <v>3890</v>
      </c>
      <c r="B2451" s="7" t="str">
        <f>IFERROR(__xludf.DUMMYFUNCTION("SPLIT(A2451,"" "")"),"COC(=O)C1CN(C)C(C(C)C)C(C(=O)C(C)N)C1C(=O)C(C)N")</f>
        <v>COC(=O)C1CN(C)C(C(C)C)C(C(=O)C(C)N)C1C(=O)C(C)N</v>
      </c>
      <c r="C2451" s="7">
        <f>IFERROR(__xludf.DUMMYFUNCTION("""COMPUTED_VALUE"""),7.8082952)</f>
        <v>7.8082952</v>
      </c>
      <c r="D2451" s="7">
        <f>IFERROR(__xludf.DUMMYFUNCTION("""COMPUTED_VALUE"""),0.225806451612903)</f>
        <v>0.2258064516</v>
      </c>
    </row>
    <row r="2452">
      <c r="A2452" s="10" t="s">
        <v>3891</v>
      </c>
      <c r="B2452" s="7" t="str">
        <f>IFERROR(__xludf.DUMMYFUNCTION("SPLIT(A2452,"" "")"),"Cc1ccc(CN(Cc2nc(C)ccc2C)C2CCCCC2)nc1")</f>
        <v>Cc1ccc(CN(Cc2nc(C)ccc2C)C2CCCCC2)nc1</v>
      </c>
      <c r="C2452" s="7">
        <f>IFERROR(__xludf.DUMMYFUNCTION("""COMPUTED_VALUE"""),7.808291)</f>
        <v>7.808291</v>
      </c>
      <c r="D2452" s="7">
        <f>IFERROR(__xludf.DUMMYFUNCTION("""COMPUTED_VALUE"""),0.489795918367346)</f>
        <v>0.4897959184</v>
      </c>
    </row>
    <row r="2453">
      <c r="A2453" s="10" t="s">
        <v>3892</v>
      </c>
      <c r="B2453" s="7" t="str">
        <f>IFERROR(__xludf.DUMMYFUNCTION("SPLIT(A2453,"" "")"),"Fc1ccc(CN(Cc2ccccn2)C2CCCCC2N(Cc2cccc(-c3ccc4c(c3)OCCOCCOCCOCCOCCO4)n2)Cc2cccc(-c3ccc4c(c3)OCCOCCOCCOCCOCCO4)n2)nc1")</f>
        <v>Fc1ccc(CN(Cc2ccccn2)C2CCCCC2N(Cc2cccc(-c3ccc4c(c3)OCCOCCOCCOCCOCCO4)n2)Cc2cccc(-c3ccc4c(c3)OCCOCCOCCOCCOCCO4)n2)nc1</v>
      </c>
      <c r="C2453" s="7">
        <f>IFERROR(__xludf.DUMMYFUNCTION("""COMPUTED_VALUE"""),7.808284)</f>
        <v>7.808284</v>
      </c>
      <c r="D2453" s="7">
        <f>IFERROR(__xludf.DUMMYFUNCTION("""COMPUTED_VALUE"""),0.4)</f>
        <v>0.4</v>
      </c>
    </row>
    <row r="2454">
      <c r="A2454" s="10" t="s">
        <v>3893</v>
      </c>
      <c r="B2454" s="7" t="str">
        <f>IFERROR(__xludf.DUMMYFUNCTION("SPLIT(A2454,"" "")"),"Cc1ccc(CN(Cc2ccccn2)C2CCC(N(C)Cc3ncccc3-c3ccc4c(c3)OCCOCCOCCOCCOCCO4)CC2)nc1")</f>
        <v>Cc1ccc(CN(Cc2ccccn2)C2CCC(N(C)Cc3ncccc3-c3ccc4c(c3)OCCOCCOCCOCCOCCO4)CC2)nc1</v>
      </c>
      <c r="C2454" s="7">
        <f>IFERROR(__xludf.DUMMYFUNCTION("""COMPUTED_VALUE"""),7.808263)</f>
        <v>7.808263</v>
      </c>
      <c r="D2454" s="7">
        <f>IFERROR(__xludf.DUMMYFUNCTION("""COMPUTED_VALUE"""),0.367088607594936)</f>
        <v>0.3670886076</v>
      </c>
    </row>
    <row r="2455">
      <c r="A2455" s="10" t="s">
        <v>3894</v>
      </c>
      <c r="B2455" s="7" t="str">
        <f>IFERROR(__xludf.DUMMYFUNCTION("SPLIT(A2455,"" "")"),"C=C1C=CNC(CN(C)C2CCC(N(C)Cc3ncccc3C)CC2)=C1")</f>
        <v>C=C1C=CNC(CN(C)C2CCC(N(C)Cc3ncccc3C)CC2)=C1</v>
      </c>
      <c r="C2455" s="7">
        <f>IFERROR(__xludf.DUMMYFUNCTION("""COMPUTED_VALUE"""),7.808261)</f>
        <v>7.808261</v>
      </c>
      <c r="D2455" s="7">
        <f>IFERROR(__xludf.DUMMYFUNCTION("""COMPUTED_VALUE"""),0.333333333333333)</f>
        <v>0.3333333333</v>
      </c>
    </row>
    <row r="2456">
      <c r="A2456" s="10" t="s">
        <v>3895</v>
      </c>
      <c r="B2456" s="7" t="str">
        <f>IFERROR(__xludf.DUMMYFUNCTION("SPLIT(A2456,"" "")"),"CNCCN(Cc1ccccn1)C1CCCC(N(C)Cc2nc(C)c(C)c(C)c2C)C1")</f>
        <v>CNCCN(Cc1ccccn1)C1CCCC(N(C)Cc2nc(C)c(C)c(C)c2C)C1</v>
      </c>
      <c r="C2456" s="7">
        <f>IFERROR(__xludf.DUMMYFUNCTION("""COMPUTED_VALUE"""),7.8082485)</f>
        <v>7.8082485</v>
      </c>
      <c r="D2456" s="7">
        <f>IFERROR(__xludf.DUMMYFUNCTION("""COMPUTED_VALUE"""),0.4)</f>
        <v>0.4</v>
      </c>
    </row>
    <row r="2457">
      <c r="A2457" s="10" t="s">
        <v>3896</v>
      </c>
      <c r="B2457" s="7" t="str">
        <f>IFERROR(__xludf.DUMMYFUNCTION("SPLIT(A2457,"" "")"),"Cc1ccc(CN(Cc2ccccn2)C2CCCC(N(C)Cc3cccc(-c4ccc5c(c4)OCCOCCOCCOCCOCCO5)n3)C2)nc1")</f>
        <v>Cc1ccc(CN(Cc2ccccn2)C2CCCC(N(C)Cc3cccc(-c4ccc5c(c4)OCCOCCOCCOCCOCCO5)n3)C2)nc1</v>
      </c>
      <c r="C2457" s="7">
        <f>IFERROR(__xludf.DUMMYFUNCTION("""COMPUTED_VALUE"""),7.808247)</f>
        <v>7.808247</v>
      </c>
      <c r="D2457" s="7">
        <f>IFERROR(__xludf.DUMMYFUNCTION("""COMPUTED_VALUE"""),0.371794871794871)</f>
        <v>0.3717948718</v>
      </c>
    </row>
    <row r="2458">
      <c r="A2458" s="10" t="s">
        <v>3897</v>
      </c>
      <c r="B2458" s="7" t="str">
        <f>IFERROR(__xludf.DUMMYFUNCTION("SPLIT(A2458,"" "")"),"COC(C)c1ncccc1CN1CCN(C)CCN(Cc2cccc(C(C)NCc3ccccn3)n2)CC1")</f>
        <v>COC(C)c1ncccc1CN1CCN(C)CCN(Cc2cccc(C(C)NCc3ccccn3)n2)CC1</v>
      </c>
      <c r="C2458" s="7">
        <f>IFERROR(__xludf.DUMMYFUNCTION("""COMPUTED_VALUE"""),7.8082457)</f>
        <v>7.8082457</v>
      </c>
      <c r="D2458" s="7">
        <f>IFERROR(__xludf.DUMMYFUNCTION("""COMPUTED_VALUE"""),0.457627118644067)</f>
        <v>0.4576271186</v>
      </c>
    </row>
    <row r="2459">
      <c r="A2459" s="10" t="s">
        <v>3898</v>
      </c>
      <c r="B2459" s="7" t="str">
        <f>IFERROR(__xludf.DUMMYFUNCTION("SPLIT(A2459,"" "")"),"CNCCN(Cc1ccccn1)C(C)(C)c1cc(-c2ccc3c(c2)OCCOCCOCCOCCOCCO3)ccn1")</f>
        <v>CNCCN(Cc1ccccn1)C(C)(C)c1cc(-c2ccc3c(c2)OCCOCCOCCOCCOCCO3)ccn1</v>
      </c>
      <c r="C2459" s="7">
        <f>IFERROR(__xludf.DUMMYFUNCTION("""COMPUTED_VALUE"""),7.8082433)</f>
        <v>7.8082433</v>
      </c>
      <c r="D2459" s="7">
        <f>IFERROR(__xludf.DUMMYFUNCTION("""COMPUTED_VALUE"""),0.328947368421052)</f>
        <v>0.3289473684</v>
      </c>
    </row>
    <row r="2460">
      <c r="A2460" s="10" t="s">
        <v>3899</v>
      </c>
      <c r="B2460" s="7" t="str">
        <f>IFERROR(__xludf.DUMMYFUNCTION("SPLIT(A2460,"" "")"),"Cc1ccnc(CN(C)CCNCc2ccc(-c3ccc4c(c3)OCCOCCOCCOCCOCCO4)cn2)c1")</f>
        <v>Cc1ccnc(CN(C)CCNCc2ccc(-c3ccc4c(c3)OCCOCCOCCOCCOCCO4)cn2)c1</v>
      </c>
      <c r="C2460" s="7">
        <f>IFERROR(__xludf.DUMMYFUNCTION("""COMPUTED_VALUE"""),7.808241)</f>
        <v>7.808241</v>
      </c>
      <c r="D2460" s="7">
        <f>IFERROR(__xludf.DUMMYFUNCTION("""COMPUTED_VALUE"""),0.428571428571428)</f>
        <v>0.4285714286</v>
      </c>
    </row>
    <row r="2461">
      <c r="A2461" s="10" t="s">
        <v>3900</v>
      </c>
      <c r="B2461" s="7" t="str">
        <f>IFERROR(__xludf.DUMMYFUNCTION("SPLIT(A2461,"" "")"),"Cc1cncc(CN2CCN(C)CCN(C3CCC(N(C)Cc4cc(-c5ccccn5)ccn4)CC3)CC2)c1C")</f>
        <v>Cc1cncc(CN2CCN(C)CCN(C3CCC(N(C)Cc4cc(-c5ccccn5)ccn4)CC3)CC2)c1C</v>
      </c>
      <c r="C2461" s="7">
        <f>IFERROR(__xludf.DUMMYFUNCTION("""COMPUTED_VALUE"""),7.8082366)</f>
        <v>7.8082366</v>
      </c>
      <c r="D2461" s="7">
        <f>IFERROR(__xludf.DUMMYFUNCTION("""COMPUTED_VALUE"""),0.36231884057971)</f>
        <v>0.3623188406</v>
      </c>
    </row>
    <row r="2462">
      <c r="A2462" s="10" t="s">
        <v>3901</v>
      </c>
      <c r="B2462" s="7" t="str">
        <f>IFERROR(__xludf.DUMMYFUNCTION("SPLIT(A2462,"" "")"),"Cc1ccc(CN(C)C2CCCC(N(Cc3ccccn3)Cc3cccc(-c4ccc5c(c4)OCCOCCOCCOCCOCCO5)n3)C2)nc1")</f>
        <v>Cc1ccc(CN(C)C2CCCC(N(Cc3ccccn3)Cc3cccc(-c4ccc5c(c4)OCCOCCOCCOCCOCCO5)n3)C2)nc1</v>
      </c>
      <c r="C2462" s="7">
        <f>IFERROR(__xludf.DUMMYFUNCTION("""COMPUTED_VALUE"""),7.8082314)</f>
        <v>7.8082314</v>
      </c>
      <c r="D2462" s="7">
        <f>IFERROR(__xludf.DUMMYFUNCTION("""COMPUTED_VALUE"""),0.371794871794871)</f>
        <v>0.3717948718</v>
      </c>
    </row>
    <row r="2463">
      <c r="A2463" s="10" t="s">
        <v>3902</v>
      </c>
      <c r="B2463" s="7" t="str">
        <f>IFERROR(__xludf.DUMMYFUNCTION("SPLIT(A2463,"" "")"),"Cc1cccc(CN(C)C2CCCC(N(Cc3ccccn3)Cc3cccc(-c4cccc5c4OCCOCCOCCOCCOCCO5)n3)C2)n1")</f>
        <v>Cc1cccc(CN(C)C2CCCC(N(Cc3ccccn3)Cc3cccc(-c4cccc5c4OCCOCCOCCOCCOCCO5)n3)C2)n1</v>
      </c>
      <c r="C2463" s="7">
        <f>IFERROR(__xludf.DUMMYFUNCTION("""COMPUTED_VALUE"""),7.808207)</f>
        <v>7.808207</v>
      </c>
      <c r="D2463" s="7">
        <f>IFERROR(__xludf.DUMMYFUNCTION("""COMPUTED_VALUE"""),0.38235294117647)</f>
        <v>0.3823529412</v>
      </c>
    </row>
    <row r="2464">
      <c r="A2464" s="10" t="s">
        <v>3903</v>
      </c>
      <c r="B2464" s="7" t="str">
        <f>IFERROR(__xludf.DUMMYFUNCTION("SPLIT(A2464,"" "")"),"Cc1cncc(CN(C)C2CCCC(N(C)Cc3ccon3)C2)c1")</f>
        <v>Cc1cncc(CN(C)C2CCCC(N(C)Cc3ccon3)C2)c1</v>
      </c>
      <c r="C2464" s="7">
        <f>IFERROR(__xludf.DUMMYFUNCTION("""COMPUTED_VALUE"""),7.8081923)</f>
        <v>7.8081923</v>
      </c>
      <c r="D2464" s="7">
        <f>IFERROR(__xludf.DUMMYFUNCTION("""COMPUTED_VALUE"""),0.395833333333333)</f>
        <v>0.3958333333</v>
      </c>
    </row>
    <row r="2465">
      <c r="A2465" s="10" t="s">
        <v>3904</v>
      </c>
      <c r="B2465" s="7" t="str">
        <f>IFERROR(__xludf.DUMMYFUNCTION("SPLIT(A2465,"" "")"),"Cc1cnccc1CN(C)CCN(C)C1CCCC(N(Cc2ccccn2)Cc2ccccn2)C1")</f>
        <v>Cc1cnccc1CN(C)CCN(C)C1CCCC(N(Cc2ccccn2)Cc2ccccn2)C1</v>
      </c>
      <c r="C2465" s="7">
        <f>IFERROR(__xludf.DUMMYFUNCTION("""COMPUTED_VALUE"""),7.8081913)</f>
        <v>7.8081913</v>
      </c>
      <c r="D2465" s="7">
        <f>IFERROR(__xludf.DUMMYFUNCTION("""COMPUTED_VALUE"""),0.421052631578947)</f>
        <v>0.4210526316</v>
      </c>
    </row>
    <row r="2466">
      <c r="A2466" s="10" t="s">
        <v>3905</v>
      </c>
      <c r="B2466" s="7" t="str">
        <f>IFERROR(__xludf.DUMMYFUNCTION("SPLIT(A2466,"" "")"),"CC(C)C1=CC2C=CC3(C=CC(C)C(C)(C)C3)C(c3cccc(CN(Cc4ccccn4)C4CCCCC4)n3)C2=CN1")</f>
        <v>CC(C)C1=CC2C=CC3(C=CC(C)C(C)(C)C3)C(c3cccc(CN(Cc4ccccn4)C4CCCCC4)n3)C2=CN1</v>
      </c>
      <c r="C2466" s="7">
        <f>IFERROR(__xludf.DUMMYFUNCTION("""COMPUTED_VALUE"""),7.808172)</f>
        <v>7.808172</v>
      </c>
      <c r="D2466" s="7">
        <f>IFERROR(__xludf.DUMMYFUNCTION("""COMPUTED_VALUE"""),0.294871794871794)</f>
        <v>0.2948717949</v>
      </c>
    </row>
    <row r="2467">
      <c r="A2467" s="10" t="s">
        <v>3906</v>
      </c>
      <c r="B2467" s="7" t="str">
        <f>IFERROR(__xludf.DUMMYFUNCTION("SPLIT(A2467,"" "")"),"CN(Cc1cccc(C2CC3OCCOCCOCCOCCOCCOC32)n1)c1cccnc1CN(Cc1ccccn1)Cc1cccnc1C1CCC1(C)C")</f>
        <v>CN(Cc1cccc(C2CC3OCCOCCOCCOCCOCCOC32)n1)c1cccnc1CN(Cc1ccccn1)Cc1cccnc1C1CCC1(C)C</v>
      </c>
      <c r="C2467" s="7">
        <f>IFERROR(__xludf.DUMMYFUNCTION("""COMPUTED_VALUE"""),7.8081717)</f>
        <v>7.8081717</v>
      </c>
      <c r="D2467" s="7">
        <f>IFERROR(__xludf.DUMMYFUNCTION("""COMPUTED_VALUE"""),0.28395061728395)</f>
        <v>0.2839506173</v>
      </c>
    </row>
    <row r="2468">
      <c r="A2468" s="10" t="s">
        <v>3907</v>
      </c>
      <c r="B2468" s="7" t="str">
        <f>IFERROR(__xludf.DUMMYFUNCTION("SPLIT(A2468,"" "")"),"CN1CCN(C)CCN(Cc2cnccc2C(C)(C)c2ccccn2)CC1")</f>
        <v>CN1CCN(C)CCN(Cc2cnccc2C(C)(C)c2ccccn2)CC1</v>
      </c>
      <c r="C2468" s="7">
        <f>IFERROR(__xludf.DUMMYFUNCTION("""COMPUTED_VALUE"""),7.80816)</f>
        <v>7.80816</v>
      </c>
      <c r="D2468" s="7">
        <f>IFERROR(__xludf.DUMMYFUNCTION("""COMPUTED_VALUE"""),0.489361702127659)</f>
        <v>0.4893617021</v>
      </c>
    </row>
    <row r="2469">
      <c r="A2469" s="10" t="s">
        <v>3908</v>
      </c>
      <c r="B2469" s="7" t="str">
        <f>IFERROR(__xludf.DUMMYFUNCTION("SPLIT(A2469,"" "")"),"FCCN(CC1=CCC=CN1)Cc1cccnc1")</f>
        <v>FCCN(CC1=CCC=CN1)Cc1cccnc1</v>
      </c>
      <c r="C2469" s="7">
        <f>IFERROR(__xludf.DUMMYFUNCTION("""COMPUTED_VALUE"""),7.8081594)</f>
        <v>7.8081594</v>
      </c>
      <c r="D2469" s="7">
        <f>IFERROR(__xludf.DUMMYFUNCTION("""COMPUTED_VALUE"""),0.48076923076923)</f>
        <v>0.4807692308</v>
      </c>
    </row>
    <row r="2470">
      <c r="A2470" s="10" t="s">
        <v>3909</v>
      </c>
      <c r="B2470" s="7" t="str">
        <f>IFERROR(__xludf.DUMMYFUNCTION("SPLIT(A2470,"" "")"),"Cc1cnc(CN(C)C2CCCC(N(C)C)C2)c(C)c1C")</f>
        <v>Cc1cnc(CN(C)C2CCCC(N(C)C)C2)c(C)c1C</v>
      </c>
      <c r="C2470" s="7">
        <f>IFERROR(__xludf.DUMMYFUNCTION("""COMPUTED_VALUE"""),7.808157)</f>
        <v>7.808157</v>
      </c>
      <c r="D2470" s="7">
        <f>IFERROR(__xludf.DUMMYFUNCTION("""COMPUTED_VALUE"""),0.346938775510204)</f>
        <v>0.3469387755</v>
      </c>
    </row>
    <row r="2471">
      <c r="A2471" s="10" t="s">
        <v>3910</v>
      </c>
      <c r="B2471" s="7" t="str">
        <f>IFERROR(__xludf.DUMMYFUNCTION("SPLIT(A2471,"" "")"),"Cc1cc2c(c(N(Cc3ccccn3)Cc3ccccn3)c1)OCCOCCOCCOCCOCCO2")</f>
        <v>Cc1cc2c(c(N(Cc3ccccn3)Cc3ccccn3)c1)OCCOCCOCCOCCOCCO2</v>
      </c>
      <c r="C2471" s="7">
        <f>IFERROR(__xludf.DUMMYFUNCTION("""COMPUTED_VALUE"""),7.8081555)</f>
        <v>7.8081555</v>
      </c>
      <c r="D2471" s="7">
        <f>IFERROR(__xludf.DUMMYFUNCTION("""COMPUTED_VALUE"""),0.392156862745098)</f>
        <v>0.3921568627</v>
      </c>
    </row>
    <row r="2472">
      <c r="A2472" s="10" t="s">
        <v>3911</v>
      </c>
      <c r="B2472" s="7" t="str">
        <f>IFERROR(__xludf.DUMMYFUNCTION("SPLIT(A2472,"" "")"),"Cc1cnc(CN(C)C2CCC(N(Cc3ccccn3)C(C)C)CC2)c(C)c1")</f>
        <v>Cc1cnc(CN(C)C2CCC(N(Cc3ccccn3)C(C)C)CC2)c(C)c1</v>
      </c>
      <c r="C2472" s="7">
        <f>IFERROR(__xludf.DUMMYFUNCTION("""COMPUTED_VALUE"""),7.8081493)</f>
        <v>7.8081493</v>
      </c>
      <c r="D2472" s="7">
        <f>IFERROR(__xludf.DUMMYFUNCTION("""COMPUTED_VALUE"""),0.425925925925925)</f>
        <v>0.4259259259</v>
      </c>
    </row>
    <row r="2473">
      <c r="A2473" s="10" t="s">
        <v>3912</v>
      </c>
      <c r="B2473" s="7" t="str">
        <f>IFERROR(__xludf.DUMMYFUNCTION("SPLIT(A2473,"" "")"),"Cc1cccnc1CN(C)C1CCC(N(Cc2ccccn2)Cc2ccc(-c3ccc4c(c3)OCCOCCOCCOCCOCCO4)cn2)CC1")</f>
        <v>Cc1cccnc1CN(C)C1CCC(N(Cc2ccccn2)Cc2ccc(-c3ccc4c(c3)OCCOCCOCCOCCOCCO4)cn2)CC1</v>
      </c>
      <c r="C2473" s="7">
        <f>IFERROR(__xludf.DUMMYFUNCTION("""COMPUTED_VALUE"""),7.8081436)</f>
        <v>7.8081436</v>
      </c>
      <c r="D2473" s="7">
        <f>IFERROR(__xludf.DUMMYFUNCTION("""COMPUTED_VALUE"""),0.432432432432432)</f>
        <v>0.4324324324</v>
      </c>
    </row>
    <row r="2474">
      <c r="A2474" s="10" t="s">
        <v>3913</v>
      </c>
      <c r="B2474" s="7" t="str">
        <f>IFERROR(__xludf.DUMMYFUNCTION("SPLIT(A2474,"" "")"),"Cc1ccc(CN(Cc2ccccn2)C2CCCC(N(C)Cc3ncccc3-c3cccc4c3OCCOCCOCCOCCOCCO4)C2)nc1")</f>
        <v>Cc1ccc(CN(Cc2ccccn2)C2CCCC(N(C)Cc3ncccc3-c3cccc4c3OCCOCCOCCOCCOCCO4)C2)nc1</v>
      </c>
      <c r="C2474" s="7">
        <f>IFERROR(__xludf.DUMMYFUNCTION("""COMPUTED_VALUE"""),7.808126)</f>
        <v>7.808126</v>
      </c>
      <c r="D2474" s="7">
        <f>IFERROR(__xludf.DUMMYFUNCTION("""COMPUTED_VALUE"""),0.352112676056338)</f>
        <v>0.3521126761</v>
      </c>
    </row>
    <row r="2475">
      <c r="A2475" s="10" t="s">
        <v>3914</v>
      </c>
      <c r="B2475" s="7" t="str">
        <f>IFERROR(__xludf.DUMMYFUNCTION("SPLIT(A2475,"" "")"),"CC(C)C(C)N(C)CC1=C(N(C)Cc2cccc(-c3ccc4c(c3)OCCOCCOCCOCCOCCO4)n2)CC=CN1")</f>
        <v>CC(C)C(C)N(C)CC1=C(N(C)Cc2cccc(-c3ccc4c(c3)OCCOCCOCCOCCOCCO4)n2)CC=CN1</v>
      </c>
      <c r="C2475" s="7">
        <f>IFERROR(__xludf.DUMMYFUNCTION("""COMPUTED_VALUE"""),7.8081255)</f>
        <v>7.8081255</v>
      </c>
      <c r="D2475" s="7">
        <f>IFERROR(__xludf.DUMMYFUNCTION("""COMPUTED_VALUE"""),0.280487804878048)</f>
        <v>0.2804878049</v>
      </c>
    </row>
    <row r="2476">
      <c r="A2476" s="10" t="s">
        <v>3915</v>
      </c>
      <c r="B2476" s="7" t="str">
        <f>IFERROR(__xludf.DUMMYFUNCTION("SPLIT(A2476,"" "")"),"Fc1cccc(CN(Cc2ccccn2)C2CCCCC2N(Cc2cccc(-c3ccc4c(c3)OCCOCCOCCOCCOCCO4)n2)Cc2cccc(-c3ccc4c(c3)OCCOCCOCCOCCOCCO4)n2)n1")</f>
        <v>Fc1cccc(CN(Cc2ccccn2)C2CCCCC2N(Cc2cccc(-c3ccc4c(c3)OCCOCCOCCOCCOCCO4)n2)Cc2cccc(-c3ccc4c(c3)OCCOCCOCCOCCOCCO4)n2)n1</v>
      </c>
      <c r="C2476" s="7">
        <f>IFERROR(__xludf.DUMMYFUNCTION("""COMPUTED_VALUE"""),7.808125)</f>
        <v>7.808125</v>
      </c>
      <c r="D2476" s="7">
        <f>IFERROR(__xludf.DUMMYFUNCTION("""COMPUTED_VALUE"""),0.380281690140845)</f>
        <v>0.3802816901</v>
      </c>
    </row>
    <row r="2477">
      <c r="A2477" s="10" t="s">
        <v>3916</v>
      </c>
      <c r="B2477" s="7" t="str">
        <f>IFERROR(__xludf.DUMMYFUNCTION("SPLIT(A2477,"" "")"),"CC(C)CN(Cc1ccccn1)Cc1cccc(-c2cccc3c2OCCOCCOCCOCCOCCO3)n1")</f>
        <v>CC(C)CN(Cc1ccccn1)Cc1cccc(-c2cccc3c2OCCOCCOCCOCCOCCO3)n1</v>
      </c>
      <c r="C2477" s="7">
        <f>IFERROR(__xludf.DUMMYFUNCTION("""COMPUTED_VALUE"""),7.808114)</f>
        <v>7.808114</v>
      </c>
      <c r="D2477" s="7">
        <f>IFERROR(__xludf.DUMMYFUNCTION("""COMPUTED_VALUE"""),0.413793103448275)</f>
        <v>0.4137931034</v>
      </c>
    </row>
    <row r="2478">
      <c r="A2478" s="10" t="s">
        <v>3917</v>
      </c>
      <c r="B2478" s="7" t="str">
        <f>IFERROR(__xludf.DUMMYFUNCTION("SPLIT(A2478,"" "")"),"CN(Cc1ccccn1)C1=C(CN(C)c2cccc3c2OCCOCCOCCOCCOCCO3)NC=CC1")</f>
        <v>CN(Cc1ccccn1)C1=C(CN(C)c2cccc3c2OCCOCCOCCOCCOCCO3)NC=CC1</v>
      </c>
      <c r="C2478" s="7">
        <f>IFERROR(__xludf.DUMMYFUNCTION("""COMPUTED_VALUE"""),7.808108)</f>
        <v>7.808108</v>
      </c>
      <c r="D2478" s="7">
        <f>IFERROR(__xludf.DUMMYFUNCTION("""COMPUTED_VALUE"""),0.370967741935483)</f>
        <v>0.3709677419</v>
      </c>
    </row>
    <row r="2479">
      <c r="A2479" s="10" t="s">
        <v>3918</v>
      </c>
      <c r="B2479" s="7" t="str">
        <f>IFERROR(__xludf.DUMMYFUNCTION("SPLIT(A2479,"" "")"),"CCCN(Cc1ccccn1)Cc1ncccc1-c1ccc2c(c1)OCCOCCOCCOCCOCCO2")</f>
        <v>CCCN(Cc1ccccn1)Cc1ncccc1-c1ccc2c(c1)OCCOCCOCCOCCOCCO2</v>
      </c>
      <c r="C2479" s="7">
        <f>IFERROR(__xludf.DUMMYFUNCTION("""COMPUTED_VALUE"""),7.808106)</f>
        <v>7.808106</v>
      </c>
      <c r="D2479" s="7">
        <f>IFERROR(__xludf.DUMMYFUNCTION("""COMPUTED_VALUE"""),0.385964912280701)</f>
        <v>0.3859649123</v>
      </c>
    </row>
    <row r="2480">
      <c r="A2480" s="10" t="s">
        <v>3919</v>
      </c>
      <c r="B2480" s="7" t="str">
        <f>IFERROR(__xludf.DUMMYFUNCTION("SPLIT(A2480,"" "")"),"CC(C)C1(C)COC(c2cccc(CN3CCN(C)CCN(C)CC3)n2)=N1")</f>
        <v>CC(C)C1(C)COC(c2cccc(CN3CCN(C)CCN(C)CC3)n2)=N1</v>
      </c>
      <c r="C2480" s="7">
        <f>IFERROR(__xludf.DUMMYFUNCTION("""COMPUTED_VALUE"""),7.808098)</f>
        <v>7.808098</v>
      </c>
      <c r="D2480" s="7">
        <f>IFERROR(__xludf.DUMMYFUNCTION("""COMPUTED_VALUE"""),0.48)</f>
        <v>0.48</v>
      </c>
    </row>
    <row r="2481">
      <c r="A2481" s="10" t="s">
        <v>3920</v>
      </c>
      <c r="B2481" s="7" t="str">
        <f>IFERROR(__xludf.DUMMYFUNCTION("SPLIT(A2481,"" "")"),"CC(C)C1CN=C(C2N=C(C3C4(CC=CC35C=CCCC5(C)C)C(C)C=CCC4C)OC2C)O1")</f>
        <v>CC(C)C1CN=C(C2N=C(C3C4(CC=CC35C=CCCC5(C)C)C(C)C=CCC4C)OC2C)O1</v>
      </c>
      <c r="C2481" s="7">
        <f>IFERROR(__xludf.DUMMYFUNCTION("""COMPUTED_VALUE"""),7.8080926)</f>
        <v>7.8080926</v>
      </c>
      <c r="D2481" s="7">
        <f>IFERROR(__xludf.DUMMYFUNCTION("""COMPUTED_VALUE"""),0.119047619047619)</f>
        <v>0.119047619</v>
      </c>
    </row>
    <row r="2482">
      <c r="A2482" s="10" t="s">
        <v>3921</v>
      </c>
      <c r="B2482" s="7" t="str">
        <f>IFERROR(__xludf.DUMMYFUNCTION("SPLIT(A2482,"" "")"),"Cc1cncc(CN(C)C2=CNC=C(CN3CCN(C)CCN(Cc4ccccn4)CC3)C2)c1")</f>
        <v>Cc1cncc(CN(C)C2=CNC=C(CN3CCN(C)CCN(Cc4ccccn4)CC3)C2)c1</v>
      </c>
      <c r="C2482" s="7">
        <f>IFERROR(__xludf.DUMMYFUNCTION("""COMPUTED_VALUE"""),7.8080783)</f>
        <v>7.8080783</v>
      </c>
      <c r="D2482" s="7">
        <f>IFERROR(__xludf.DUMMYFUNCTION("""COMPUTED_VALUE"""),0.47457627118644)</f>
        <v>0.4745762712</v>
      </c>
    </row>
    <row r="2483">
      <c r="A2483" s="10" t="s">
        <v>3922</v>
      </c>
      <c r="B2483" s="7" t="str">
        <f>IFERROR(__xludf.DUMMYFUNCTION("SPLIT(A2483,"" "")"),"CN(C)Cc1cc(-c2cccc3c2OCCOCCOCCOCCOCCO3)ccn1")</f>
        <v>CN(C)Cc1cc(-c2cccc3c2OCCOCCOCCOCCOCCO3)ccn1</v>
      </c>
      <c r="C2483" s="7">
        <f>IFERROR(__xludf.DUMMYFUNCTION("""COMPUTED_VALUE"""),7.808075)</f>
        <v>7.808075</v>
      </c>
      <c r="D2483" s="7">
        <f>IFERROR(__xludf.DUMMYFUNCTION("""COMPUTED_VALUE"""),0.279411764705882)</f>
        <v>0.2794117647</v>
      </c>
    </row>
    <row r="2484">
      <c r="A2484" s="10" t="s">
        <v>3923</v>
      </c>
      <c r="B2484" s="7" t="str">
        <f>IFERROR(__xludf.DUMMYFUNCTION("SPLIT(A2484,"" "")"),"CN(C)Cc1ncccc1-c1cccc2c1OCCOCCOCCOCCOCCO2")</f>
        <v>CN(C)Cc1ncccc1-c1cccc2c1OCCOCCOCCOCCOCCO2</v>
      </c>
      <c r="C2484" s="7">
        <f>IFERROR(__xludf.DUMMYFUNCTION("""COMPUTED_VALUE"""),7.80807)</f>
        <v>7.80807</v>
      </c>
      <c r="D2484" s="7">
        <f>IFERROR(__xludf.DUMMYFUNCTION("""COMPUTED_VALUE"""),0.277777777777777)</f>
        <v>0.2777777778</v>
      </c>
    </row>
    <row r="2485">
      <c r="A2485" s="10" t="s">
        <v>3924</v>
      </c>
      <c r="B2485" s="7" t="str">
        <f>IFERROR(__xludf.DUMMYFUNCTION("SPLIT(A2485,"" "")"),"CN(C)Cc1ccc(-c2cccc3c2OCCOCCOCCOCCOCCO3)cn1")</f>
        <v>CN(C)Cc1ccc(-c2cccc3c2OCCOCCOCCOCCOCCO3)cn1</v>
      </c>
      <c r="C2485" s="7">
        <f>IFERROR(__xludf.DUMMYFUNCTION("""COMPUTED_VALUE"""),7.8080697)</f>
        <v>7.8080697</v>
      </c>
      <c r="D2485" s="7">
        <f>IFERROR(__xludf.DUMMYFUNCTION("""COMPUTED_VALUE"""),0.365079365079365)</f>
        <v>0.3650793651</v>
      </c>
    </row>
    <row r="2486">
      <c r="A2486" s="10" t="s">
        <v>3925</v>
      </c>
      <c r="B2486" s="7" t="str">
        <f>IFERROR(__xludf.DUMMYFUNCTION("SPLIT(A2486,"" "")"),"CNCc1cccc(N(C)C2CCCC(N(C)Cc3cccc(-c4cccc5c4OCCOCCOCCOCCOCCO5)n3)C2)n1")</f>
        <v>CNCc1cccc(N(C)C2CCCC(N(C)Cc3cccc(-c4cccc5c4OCCOCCOCCOCCOCCO5)n3)C2)n1</v>
      </c>
      <c r="C2486" s="7">
        <f>IFERROR(__xludf.DUMMYFUNCTION("""COMPUTED_VALUE"""),7.808066)</f>
        <v>7.808066</v>
      </c>
      <c r="D2486" s="7">
        <f>IFERROR(__xludf.DUMMYFUNCTION("""COMPUTED_VALUE"""),0.295774647887323)</f>
        <v>0.2957746479</v>
      </c>
    </row>
    <row r="2487">
      <c r="A2487" s="10" t="s">
        <v>3926</v>
      </c>
      <c r="B2487" s="7" t="str">
        <f>IFERROR(__xludf.DUMMYFUNCTION("SPLIT(A2487,"" "")"),"CC1=C(C)C(C)C(C)C(C)(N(C)Cc2ccccn2)C1")</f>
        <v>CC1=C(C)C(C)C(C)C(C)(N(C)Cc2ccccn2)C1</v>
      </c>
      <c r="C2487" s="7">
        <f>IFERROR(__xludf.DUMMYFUNCTION("""COMPUTED_VALUE"""),7.8080554)</f>
        <v>7.8080554</v>
      </c>
      <c r="D2487" s="7">
        <f>IFERROR(__xludf.DUMMYFUNCTION("""COMPUTED_VALUE"""),0.428571428571428)</f>
        <v>0.4285714286</v>
      </c>
    </row>
    <row r="2488">
      <c r="A2488" s="10" t="s">
        <v>3927</v>
      </c>
      <c r="B2488" s="7" t="str">
        <f>IFERROR(__xludf.DUMMYFUNCTION("SPLIT(A2488,"" "")"),"CC1=CC(N(C)Cc2ccccn2)C(C)(C)C(C)C1")</f>
        <v>CC1=CC(N(C)Cc2ccccn2)C(C)(C)C(C)C1</v>
      </c>
      <c r="C2488" s="7">
        <f>IFERROR(__xludf.DUMMYFUNCTION("""COMPUTED_VALUE"""),7.8080535)</f>
        <v>7.8080535</v>
      </c>
      <c r="D2488" s="7">
        <f>IFERROR(__xludf.DUMMYFUNCTION("""COMPUTED_VALUE"""),0.5)</f>
        <v>0.5</v>
      </c>
    </row>
    <row r="2489">
      <c r="A2489" s="10" t="s">
        <v>3928</v>
      </c>
      <c r="B2489" s="7" t="str">
        <f>IFERROR(__xludf.DUMMYFUNCTION("SPLIT(A2489,"" "")"),"CC(c1cccc(-c2cccc(NCF)n2)n1)C(C)N1CCN(C)CCN(C(C)C)CC1")</f>
        <v>CC(c1cccc(-c2cccc(NCF)n2)n1)C(C)N1CCN(C)CCN(C(C)C)CC1</v>
      </c>
      <c r="C2489" s="7">
        <f>IFERROR(__xludf.DUMMYFUNCTION("""COMPUTED_VALUE"""),7.808043)</f>
        <v>7.808043</v>
      </c>
      <c r="D2489" s="7">
        <f>IFERROR(__xludf.DUMMYFUNCTION("""COMPUTED_VALUE"""),0.310344827586206)</f>
        <v>0.3103448276</v>
      </c>
    </row>
    <row r="2490">
      <c r="A2490" s="10" t="s">
        <v>3929</v>
      </c>
      <c r="B2490" s="7" t="str">
        <f>IFERROR(__xludf.DUMMYFUNCTION("SPLIT(A2490,"" "")"),"CC(C)Nc1cccc(CN2CCN(C)CCN(Cc3cccc(C(C)(C)C)n3)CC2)n1")</f>
        <v>CC(C)Nc1cccc(CN2CCN(C)CCN(Cc3cccc(C(C)(C)C)n3)CC2)n1</v>
      </c>
      <c r="C2490" s="7">
        <f>IFERROR(__xludf.DUMMYFUNCTION("""COMPUTED_VALUE"""),7.8080325)</f>
        <v>7.8080325</v>
      </c>
      <c r="D2490" s="7">
        <f>IFERROR(__xludf.DUMMYFUNCTION("""COMPUTED_VALUE"""),0.5)</f>
        <v>0.5</v>
      </c>
    </row>
    <row r="2491">
      <c r="A2491" s="10" t="s">
        <v>3930</v>
      </c>
      <c r="B2491" s="7" t="str">
        <f>IFERROR(__xludf.DUMMYFUNCTION("SPLIT(A2491,"" "")"),"CC1=C(C)C(C)(N(C)Cc2ccccn2)C(C)(C)C(C)C1C")</f>
        <v>CC1=C(C)C(C)(N(C)Cc2ccccn2)C(C)(C)C(C)C1C</v>
      </c>
      <c r="C2491" s="7">
        <f>IFERROR(__xludf.DUMMYFUNCTION("""COMPUTED_VALUE"""),7.808031)</f>
        <v>7.808031</v>
      </c>
      <c r="D2491" s="7">
        <f>IFERROR(__xludf.DUMMYFUNCTION("""COMPUTED_VALUE"""),0.408163265306122)</f>
        <v>0.4081632653</v>
      </c>
    </row>
    <row r="2492">
      <c r="A2492" s="10" t="s">
        <v>3931</v>
      </c>
      <c r="B2492" s="7" t="str">
        <f>IFERROR(__xludf.DUMMYFUNCTION("SPLIT(A2492,"" "")"),"CCN(C)CCN(C)CCN(C)CCN(C)CCN(C)CCN(C)CCN(C)CCN(C)CCN(C)CCN(C)CCN(C)CCN(C)CCN(C)CCN(C)CCN(C)CCN(C)CCN(C)CCN(C)CCN(C)CCN(C)CCN(C)CCN(C)CCN(C)CCN(C)C1=CNC(CN(C)C)=CC1")</f>
        <v>CCN(C)CCN(C)CCN(C)CCN(C)CCN(C)CCN(C)CCN(C)CCN(C)CCN(C)CCN(C)CCN(C)CCN(C)CCN(C)CCN(C)CCN(C)CCN(C)CCN(C)CCN(C)CCN(C)CCN(C)CCN(C)CCN(C)CCN(C)CCN(C)C1=CNC(CN(C)C)=CC1</v>
      </c>
      <c r="C2492" s="7">
        <f>IFERROR(__xludf.DUMMYFUNCTION("""COMPUTED_VALUE"""),7.808018)</f>
        <v>7.808018</v>
      </c>
      <c r="D2492" s="7">
        <f>IFERROR(__xludf.DUMMYFUNCTION("""COMPUTED_VALUE"""),0.224489795918367)</f>
        <v>0.2244897959</v>
      </c>
    </row>
    <row r="2493">
      <c r="A2493" s="10" t="s">
        <v>3932</v>
      </c>
      <c r="B2493" s="7" t="str">
        <f>IFERROR(__xludf.DUMMYFUNCTION("SPLIT(A2493,"" "")"),"Cc1ccc(CN(Cc2ccccn2)C2CCCCC2N(C)Cc2cc(-c3ccc4c(c3)OCCOCCOCCOCCOCCO4)ccn2)nc1C")</f>
        <v>Cc1ccc(CN(Cc2ccccn2)C2CCCCC2N(C)Cc2cc(-c3ccc4c(c3)OCCOCCOCCOCCOCCO4)ccn2)nc1C</v>
      </c>
      <c r="C2493" s="7">
        <f>IFERROR(__xludf.DUMMYFUNCTION("""COMPUTED_VALUE"""),7.8080173)</f>
        <v>7.8080173</v>
      </c>
      <c r="D2493" s="7">
        <f>IFERROR(__xludf.DUMMYFUNCTION("""COMPUTED_VALUE"""),0.461538461538461)</f>
        <v>0.4615384615</v>
      </c>
    </row>
    <row r="2494">
      <c r="A2494" s="10" t="s">
        <v>3933</v>
      </c>
      <c r="B2494" s="7" t="str">
        <f>IFERROR(__xludf.DUMMYFUNCTION("SPLIT(A2494,"" "")"),"CN(C)Cc1cccnc1-c1ccc2c(c1)OCCOCCOCCOCCOCCO2")</f>
        <v>CN(C)Cc1cccnc1-c1ccc2c(c1)OCCOCCOCCOCCOCCO2</v>
      </c>
      <c r="C2494" s="7">
        <f>IFERROR(__xludf.DUMMYFUNCTION("""COMPUTED_VALUE"""),7.8080144)</f>
        <v>7.8080144</v>
      </c>
      <c r="D2494" s="7">
        <f>IFERROR(__xludf.DUMMYFUNCTION("""COMPUTED_VALUE"""),0.370967741935483)</f>
        <v>0.3709677419</v>
      </c>
    </row>
    <row r="2495">
      <c r="A2495" s="10" t="s">
        <v>3934</v>
      </c>
      <c r="B2495" s="7" t="str">
        <f>IFERROR(__xludf.DUMMYFUNCTION("SPLIT(A2495,"" "")"),"Cc1cnc(CN(C)C2CCCC(N(C)Cc3cccnn3)C2)cc1C")</f>
        <v>Cc1cnc(CN(C)C2CCCC(N(C)Cc3cccnn3)C2)cc1C</v>
      </c>
      <c r="C2495" s="7">
        <f>IFERROR(__xludf.DUMMYFUNCTION("""COMPUTED_VALUE"""),7.8080034)</f>
        <v>7.8080034</v>
      </c>
      <c r="D2495" s="7">
        <f>IFERROR(__xludf.DUMMYFUNCTION("""COMPUTED_VALUE"""),0.416666666666666)</f>
        <v>0.4166666667</v>
      </c>
    </row>
    <row r="2496">
      <c r="A2496" s="10" t="s">
        <v>3935</v>
      </c>
      <c r="B2496" s="7" t="str">
        <f>IFERROR(__xludf.DUMMYFUNCTION("SPLIT(A2496,"" "")"),"CNCCN(Cc1cc(C)ccn1)C1CCC(N(C)Cc2cc(C)c(C)c(C)n2)CC1")</f>
        <v>CNCCN(Cc1cc(C)ccn1)C1CCC(N(C)Cc2cc(C)c(C)c(C)n2)CC1</v>
      </c>
      <c r="C2496" s="7">
        <f>IFERROR(__xludf.DUMMYFUNCTION("""COMPUTED_VALUE"""),7.80799)</f>
        <v>7.80799</v>
      </c>
      <c r="D2496" s="7">
        <f>IFERROR(__xludf.DUMMYFUNCTION("""COMPUTED_VALUE"""),0.28125)</f>
        <v>0.28125</v>
      </c>
    </row>
    <row r="2497">
      <c r="A2497" s="10" t="s">
        <v>3936</v>
      </c>
      <c r="B2497" s="7" t="str">
        <f>IFERROR(__xludf.DUMMYFUNCTION("SPLIT(A2497,"" "")"),"CC1C=CC(N(C)Cc2ccc(C(C)(C)C)cn2)C(C)C1(C)C")</f>
        <v>CC1C=CC(N(C)Cc2ccc(C(C)(C)C)cn2)C(C)C1(C)C</v>
      </c>
      <c r="C2497" s="7">
        <f>IFERROR(__xludf.DUMMYFUNCTION("""COMPUTED_VALUE"""),7.8079853)</f>
        <v>7.8079853</v>
      </c>
      <c r="D2497" s="7">
        <f>IFERROR(__xludf.DUMMYFUNCTION("""COMPUTED_VALUE"""),0.333333333333333)</f>
        <v>0.3333333333</v>
      </c>
    </row>
    <row r="2498">
      <c r="A2498" s="10" t="s">
        <v>3937</v>
      </c>
      <c r="B2498" s="7" t="str">
        <f>IFERROR(__xludf.DUMMYFUNCTION("SPLIT(A2498,"" "")"),"Cc1cc(C)c(CN(Cc2ccccn2)C2CCCCC2N(C)Cc2cc(-c3ccc4c(c3)OCCOCCOCCOCCOCCO4)ccn2)cn1")</f>
        <v>Cc1cc(C)c(CN(Cc2ccccn2)C2CCCCC2N(C)Cc2cc(-c3ccc4c(c3)OCCOCCOCCOCCOCCO4)ccn2)cn1</v>
      </c>
      <c r="C2498" s="7">
        <f>IFERROR(__xludf.DUMMYFUNCTION("""COMPUTED_VALUE"""),7.807975)</f>
        <v>7.807975</v>
      </c>
      <c r="D2498" s="7">
        <f>IFERROR(__xludf.DUMMYFUNCTION("""COMPUTED_VALUE"""),0.44776119402985)</f>
        <v>0.447761194</v>
      </c>
    </row>
    <row r="2499">
      <c r="A2499" s="10" t="s">
        <v>3938</v>
      </c>
      <c r="B2499" s="7" t="str">
        <f>IFERROR(__xludf.DUMMYFUNCTION("SPLIT(A2499,"" "")"),"CN(Cc1ccccn1)C1=C(CN(C)c2ccc3c(c2)OCCOCCOCCOCCOCCO3)NC=CC1")</f>
        <v>CN(Cc1ccccn1)C1=C(CN(C)c2ccc3c(c2)OCCOCCOCCOCCOCCO3)NC=CC1</v>
      </c>
      <c r="C2499" s="7">
        <f>IFERROR(__xludf.DUMMYFUNCTION("""COMPUTED_VALUE"""),7.807971)</f>
        <v>7.807971</v>
      </c>
      <c r="D2499" s="7">
        <f>IFERROR(__xludf.DUMMYFUNCTION("""COMPUTED_VALUE"""),0.354838709677419)</f>
        <v>0.3548387097</v>
      </c>
    </row>
    <row r="2500">
      <c r="A2500" s="10" t="s">
        <v>3939</v>
      </c>
      <c r="B2500" s="7" t="str">
        <f>IFERROR(__xludf.DUMMYFUNCTION("SPLIT(A2500,"" "")"),"Cc1ccc2c(c1N(Cc1ccccn1)Cc1ccccn1)OCCOCCOCCOCCOCCO2")</f>
        <v>Cc1ccc2c(c1N(Cc1ccccn1)Cc1ccccn1)OCCOCCOCCOCCOCCO2</v>
      </c>
      <c r="C2500" s="7">
        <f>IFERROR(__xludf.DUMMYFUNCTION("""COMPUTED_VALUE"""),7.807957)</f>
        <v>7.807957</v>
      </c>
      <c r="D2500" s="7">
        <f>IFERROR(__xludf.DUMMYFUNCTION("""COMPUTED_VALUE"""),0.377777777777777)</f>
        <v>0.3777777778</v>
      </c>
    </row>
    <row r="2501">
      <c r="A2501" s="10" t="s">
        <v>3940</v>
      </c>
      <c r="B2501" s="7" t="str">
        <f>IFERROR(__xludf.DUMMYFUNCTION("SPLIT(A2501,"" "")"),"CNC1CCCC(N(Cc2cccc(C)n2)Cc2cccc(C)n2)C1")</f>
        <v>CNC1CCCC(N(Cc2cccc(C)n2)Cc2cccc(C)n2)C1</v>
      </c>
      <c r="C2501" s="7">
        <f>IFERROR(__xludf.DUMMYFUNCTION("""COMPUTED_VALUE"""),7.8079557)</f>
        <v>7.8079557</v>
      </c>
      <c r="D2501" s="7">
        <f>IFERROR(__xludf.DUMMYFUNCTION("""COMPUTED_VALUE"""),0.5)</f>
        <v>0.5</v>
      </c>
    </row>
    <row r="2502">
      <c r="A2502" s="10" t="s">
        <v>3941</v>
      </c>
      <c r="B2502" s="7" t="str">
        <f>IFERROR(__xludf.DUMMYFUNCTION("SPLIT(A2502,"" "")"),"CNCc1cc(CN(Cc2cc(C)ccn2)C2CCC(N(C)Cc3cc(-c4ccc5c(c4)OCCOCCOCCOCCOCCO5)ccn3)CC2)ccn1")</f>
        <v>CNCc1cc(CN(Cc2cc(C)ccn2)C2CCC(N(C)Cc3cc(-c4ccc5c(c4)OCCOCCOCCOCCOCCO5)ccn3)CC2)ccn1</v>
      </c>
      <c r="C2502" s="7">
        <f>IFERROR(__xludf.DUMMYFUNCTION("""COMPUTED_VALUE"""),7.807953)</f>
        <v>7.807953</v>
      </c>
      <c r="D2502" s="7">
        <f>IFERROR(__xludf.DUMMYFUNCTION("""COMPUTED_VALUE"""),0.3375)</f>
        <v>0.3375</v>
      </c>
    </row>
    <row r="2503">
      <c r="A2503" s="10" t="s">
        <v>3942</v>
      </c>
      <c r="B2503" s="7" t="str">
        <f>IFERROR(__xludf.DUMMYFUNCTION("SPLIT(A2503,"" "")"),"Cc1cc(C)c(C)c(CN(C)C2CCCCC2N(C)Cc2ccon2)c1")</f>
        <v>Cc1cc(C)c(C)c(CN(C)C2CCCCC2N(C)Cc2ccon2)c1</v>
      </c>
      <c r="C2503" s="7">
        <f>IFERROR(__xludf.DUMMYFUNCTION("""COMPUTED_VALUE"""),7.807946)</f>
        <v>7.807946</v>
      </c>
      <c r="D2503" s="7">
        <f>IFERROR(__xludf.DUMMYFUNCTION("""COMPUTED_VALUE"""),0.450980392156862)</f>
        <v>0.4509803922</v>
      </c>
    </row>
    <row r="2504">
      <c r="A2504" s="10" t="s">
        <v>3943</v>
      </c>
      <c r="B2504" s="7" t="str">
        <f>IFERROR(__xludf.DUMMYFUNCTION("SPLIT(A2504,"" "")"),"CC(C)N(C)CN(Cc1ccc(N)cn1)C(C)(C)N(C)C(C)C")</f>
        <v>CC(C)N(C)CN(Cc1ccc(N)cn1)C(C)(C)N(C)C(C)C</v>
      </c>
      <c r="C2504" s="7">
        <f>IFERROR(__xludf.DUMMYFUNCTION("""COMPUTED_VALUE"""),7.8079424)</f>
        <v>7.8079424</v>
      </c>
      <c r="D2504" s="7">
        <f>IFERROR(__xludf.DUMMYFUNCTION("""COMPUTED_VALUE"""),0.333333333333333)</f>
        <v>0.3333333333</v>
      </c>
    </row>
    <row r="2505">
      <c r="A2505" s="10" t="s">
        <v>3944</v>
      </c>
      <c r="B2505" s="7" t="str">
        <f>IFERROR(__xludf.DUMMYFUNCTION("SPLIT(A2505,"" "")"),"CN1CCN(C)CCN(Cc2cccnc2CNC(C)(C)c2cccnc2C2CC(C)(C)C2)CC1")</f>
        <v>CN1CCN(C)CCN(Cc2cccnc2CNC(C)(C)c2cccnc2C2CC(C)(C)C2)CC1</v>
      </c>
      <c r="C2505" s="7">
        <f>IFERROR(__xludf.DUMMYFUNCTION("""COMPUTED_VALUE"""),7.8079414)</f>
        <v>7.8079414</v>
      </c>
      <c r="D2505" s="7">
        <f>IFERROR(__xludf.DUMMYFUNCTION("""COMPUTED_VALUE"""),0.35)</f>
        <v>0.35</v>
      </c>
    </row>
    <row r="2506">
      <c r="A2506" s="10" t="s">
        <v>3945</v>
      </c>
      <c r="B2506" s="7" t="str">
        <f>IFERROR(__xludf.DUMMYFUNCTION("SPLIT(A2506,"" "")"),"CC1=CC(C)(C)C(N(C)Cc2ccccn2)CC1C")</f>
        <v>CC1=CC(C)(C)C(N(C)Cc2ccccn2)CC1C</v>
      </c>
      <c r="C2506" s="7">
        <f>IFERROR(__xludf.DUMMYFUNCTION("""COMPUTED_VALUE"""),7.8079176)</f>
        <v>7.8079176</v>
      </c>
      <c r="D2506" s="7">
        <f>IFERROR(__xludf.DUMMYFUNCTION("""COMPUTED_VALUE"""),0.489361702127659)</f>
        <v>0.4893617021</v>
      </c>
    </row>
    <row r="2507">
      <c r="A2507" s="10" t="s">
        <v>3946</v>
      </c>
      <c r="B2507" s="7" t="str">
        <f>IFERROR(__xludf.DUMMYFUNCTION("SPLIT(A2507,"" "")"),"C=CCN(Cc1ccccn1)Cc1ncccc1CN(Cc1ccccn1)C1CCCCC1N(C)Cc1cccc(-c2ccc3c(c2)OCCOCCOCCOCCOCCO3)n1")</f>
        <v>C=CCN(Cc1ccccn1)Cc1ncccc1CN(Cc1ccccn1)C1CCCCC1N(C)Cc1cccc(-c2ccc3c(c2)OCCOCCOCCOCCOCCO3)n1</v>
      </c>
      <c r="C2507" s="7">
        <f>IFERROR(__xludf.DUMMYFUNCTION("""COMPUTED_VALUE"""),7.8079085)</f>
        <v>7.8079085</v>
      </c>
      <c r="D2507" s="7">
        <f>IFERROR(__xludf.DUMMYFUNCTION("""COMPUTED_VALUE"""),0.389610389610389)</f>
        <v>0.3896103896</v>
      </c>
    </row>
    <row r="2508">
      <c r="A2508" s="10" t="s">
        <v>3947</v>
      </c>
      <c r="B2508" s="7" t="str">
        <f>IFERROR(__xludf.DUMMYFUNCTION("SPLIT(A2508,"" "")"),"Cc1cnccc1CN(C)C1CCCC(N(C)Cc2ccon2)C1")</f>
        <v>Cc1cnccc1CN(C)C1CCCC(N(C)Cc2ccon2)C1</v>
      </c>
      <c r="C2508" s="7">
        <f>IFERROR(__xludf.DUMMYFUNCTION("""COMPUTED_VALUE"""),7.8079047)</f>
        <v>7.8079047</v>
      </c>
      <c r="D2508" s="7">
        <f>IFERROR(__xludf.DUMMYFUNCTION("""COMPUTED_VALUE"""),0.387755102040816)</f>
        <v>0.387755102</v>
      </c>
    </row>
    <row r="2509">
      <c r="A2509" s="10" t="s">
        <v>3948</v>
      </c>
      <c r="B2509" s="7" t="str">
        <f>IFERROR(__xludf.DUMMYFUNCTION("SPLIT(A2509,"" "")"),"CC1=CC(N(C)Cc2ccccn2)C(C)CC12CCC(C)=C(C)C2")</f>
        <v>CC1=CC(N(C)Cc2ccccn2)C(C)CC12CCC(C)=C(C)C2</v>
      </c>
      <c r="C2509" s="7">
        <f>IFERROR(__xludf.DUMMYFUNCTION("""COMPUTED_VALUE"""),7.8078985)</f>
        <v>7.8078985</v>
      </c>
      <c r="D2509" s="7">
        <f>IFERROR(__xludf.DUMMYFUNCTION("""COMPUTED_VALUE"""),0.418181818181818)</f>
        <v>0.4181818182</v>
      </c>
    </row>
    <row r="2510">
      <c r="A2510" s="10" t="s">
        <v>3949</v>
      </c>
      <c r="B2510" s="7" t="str">
        <f>IFERROR(__xludf.DUMMYFUNCTION("SPLIT(A2510,"" "")"),"CN(Cc1cccc(CF)n1)C1CCC(N(C)Cc2cccc(C3CC(C)(C)C3)n2)CC1")</f>
        <v>CN(Cc1cccc(CF)n1)C1CCC(N(C)Cc2cccc(C3CC(C)(C)C3)n2)CC1</v>
      </c>
      <c r="C2510" s="7">
        <f>IFERROR(__xludf.DUMMYFUNCTION("""COMPUTED_VALUE"""),7.807891)</f>
        <v>7.807891</v>
      </c>
      <c r="D2510" s="7">
        <f>IFERROR(__xludf.DUMMYFUNCTION("""COMPUTED_VALUE"""),0.377358490566037)</f>
        <v>0.3773584906</v>
      </c>
    </row>
    <row r="2511">
      <c r="A2511" s="10" t="s">
        <v>3950</v>
      </c>
      <c r="B2511" s="7" t="str">
        <f>IFERROR(__xludf.DUMMYFUNCTION("SPLIT(A2511,"" "")"),"CC1=CC(c2cccc(CN(Cc3cccc(C(C)(C)C)n3)C3CCC(N(C)Cc4ccc(-c5ccc6c(c5)OCCOCCOCCOCCOCCO6)cn4)CC3)n2)CC(C)(C)C1(C)C")</f>
        <v>CC1=CC(c2cccc(CN(Cc3cccc(C(C)(C)C)n3)C3CCC(N(C)Cc4ccc(-c5ccc6c(c5)OCCOCCOCCOCCOCCO6)cn4)CC3)n2)CC(C)(C)C1(C)C</v>
      </c>
      <c r="C2511" s="7">
        <f>IFERROR(__xludf.DUMMYFUNCTION("""COMPUTED_VALUE"""),7.807889)</f>
        <v>7.807889</v>
      </c>
      <c r="D2511" s="7">
        <f>IFERROR(__xludf.DUMMYFUNCTION("""COMPUTED_VALUE"""),0.351648351648351)</f>
        <v>0.3516483516</v>
      </c>
    </row>
    <row r="2512">
      <c r="A2512" s="10" t="s">
        <v>3951</v>
      </c>
      <c r="B2512" s="7" t="str">
        <f>IFERROR(__xludf.DUMMYFUNCTION("SPLIT(A2512,"" "")"),"CC(c1ccccn1)(c1ccccn1)c1cccc(CNC2C=C3OCCOCCOCCOCCOCCOC3=CN2)n1")</f>
        <v>CC(c1ccccn1)(c1ccccn1)c1cccc(CNC2C=C3OCCOCCOCCOCCOCCOC3=CN2)n1</v>
      </c>
      <c r="C2512" s="7">
        <f>IFERROR(__xludf.DUMMYFUNCTION("""COMPUTED_VALUE"""),7.8078756)</f>
        <v>7.8078756</v>
      </c>
      <c r="D2512" s="7">
        <f>IFERROR(__xludf.DUMMYFUNCTION("""COMPUTED_VALUE"""),0.35820895522388)</f>
        <v>0.3582089552</v>
      </c>
    </row>
    <row r="2513">
      <c r="A2513" s="10" t="s">
        <v>3952</v>
      </c>
      <c r="B2513" s="7" t="str">
        <f>IFERROR(__xludf.DUMMYFUNCTION("SPLIT(A2513,"" "")"),"Cc1cc(CN(Cc2ccccn2)C2CCC(N(C)Cc3ncccc3-c3ccc4c(c3)OCCOCCOCCOCCOCCO4)CC2)ccn1")</f>
        <v>Cc1cc(CN(Cc2ccccn2)C2CCC(N(C)Cc3ncccc3-c3ccc4c(c3)OCCOCCOCCOCCOCCO4)CC2)ccn1</v>
      </c>
      <c r="C2513" s="7">
        <f>IFERROR(__xludf.DUMMYFUNCTION("""COMPUTED_VALUE"""),7.8078713)</f>
        <v>7.8078713</v>
      </c>
      <c r="D2513" s="7">
        <f>IFERROR(__xludf.DUMMYFUNCTION("""COMPUTED_VALUE"""),0.315068493150684)</f>
        <v>0.3150684932</v>
      </c>
    </row>
    <row r="2514">
      <c r="A2514" s="10" t="s">
        <v>3953</v>
      </c>
      <c r="B2514" s="7" t="str">
        <f>IFERROR(__xludf.DUMMYFUNCTION("SPLIT(A2514,"" "")"),"CCN(Cc1ccccn1)Cc1cccc(-c2cccc3c2OCCOCCOCCOCCOCCO3)n1")</f>
        <v>CCN(Cc1ccccn1)Cc1cccc(-c2cccc3c2OCCOCCOCCOCCOCCO3)n1</v>
      </c>
      <c r="C2514" s="7">
        <f>IFERROR(__xludf.DUMMYFUNCTION("""COMPUTED_VALUE"""),7.807859)</f>
        <v>7.807859</v>
      </c>
      <c r="D2514" s="7">
        <f>IFERROR(__xludf.DUMMYFUNCTION("""COMPUTED_VALUE"""),0.428571428571428)</f>
        <v>0.4285714286</v>
      </c>
    </row>
    <row r="2515">
      <c r="A2515" s="10" t="s">
        <v>3954</v>
      </c>
      <c r="B2515" s="7" t="str">
        <f>IFERROR(__xludf.DUMMYFUNCTION("SPLIT(A2515,"" "")"),"Cc1cc(CN(C)C2CCC(N(C)C)CC2)nc(C)c1C")</f>
        <v>Cc1cc(CN(C)C2CCC(N(C)C)CC2)nc(C)c1C</v>
      </c>
      <c r="C2515" s="7">
        <f>IFERROR(__xludf.DUMMYFUNCTION("""COMPUTED_VALUE"""),7.8078585)</f>
        <v>7.8078585</v>
      </c>
      <c r="D2515" s="7">
        <f>IFERROR(__xludf.DUMMYFUNCTION("""COMPUTED_VALUE"""),0.333333333333333)</f>
        <v>0.3333333333</v>
      </c>
    </row>
    <row r="2516">
      <c r="A2516" s="10" t="s">
        <v>3955</v>
      </c>
      <c r="B2516" s="7" t="str">
        <f>IFERROR(__xludf.DUMMYFUNCTION("SPLIT(A2516,"" "")"),"Cc1cccnc1CN(C)CCNCc1cc(-c2ccc3c(c2)OCCOCCOCCOCCOCCO3)ccn1")</f>
        <v>Cc1cccnc1CN(C)CCNCc1cc(-c2ccc3c(c2)OCCOCCOCCOCCOCCO3)ccn1</v>
      </c>
      <c r="C2516" s="7">
        <f>IFERROR(__xludf.DUMMYFUNCTION("""COMPUTED_VALUE"""),7.8078566)</f>
        <v>7.8078566</v>
      </c>
      <c r="D2516" s="7">
        <f>IFERROR(__xludf.DUMMYFUNCTION("""COMPUTED_VALUE"""),0.328947368421052)</f>
        <v>0.3289473684</v>
      </c>
    </row>
    <row r="2517">
      <c r="A2517" s="10" t="s">
        <v>3956</v>
      </c>
      <c r="B2517" s="7" t="str">
        <f>IFERROR(__xludf.DUMMYFUNCTION("SPLIT(A2517,"" "")"),"CN(Cc1ccc(Cl)cn1)C1CCCC(N(C)C2=CCC=CN2)C1")</f>
        <v>CN(Cc1ccc(Cl)cn1)C1CCCC(N(C)C2=CCC=CN2)C1</v>
      </c>
      <c r="C2517" s="7">
        <f>IFERROR(__xludf.DUMMYFUNCTION("""COMPUTED_VALUE"""),7.807839)</f>
        <v>7.807839</v>
      </c>
      <c r="D2517" s="7">
        <f>IFERROR(__xludf.DUMMYFUNCTION("""COMPUTED_VALUE"""),0.35593220338983)</f>
        <v>0.3559322034</v>
      </c>
    </row>
    <row r="2518">
      <c r="A2518" s="10" t="s">
        <v>3957</v>
      </c>
      <c r="B2518" s="7" t="str">
        <f>IFERROR(__xludf.DUMMYFUNCTION("SPLIT(A2518,"" "")"),"CCNCc1ncccc1C(C)(C)C(C)C")</f>
        <v>CCNCc1ncccc1C(C)(C)C(C)C</v>
      </c>
      <c r="C2518" s="7">
        <f>IFERROR(__xludf.DUMMYFUNCTION("""COMPUTED_VALUE"""),7.807837)</f>
        <v>7.807837</v>
      </c>
      <c r="D2518" s="7">
        <f>IFERROR(__xludf.DUMMYFUNCTION("""COMPUTED_VALUE"""),0.309523809523809)</f>
        <v>0.3095238095</v>
      </c>
    </row>
    <row r="2519">
      <c r="A2519" s="10" t="s">
        <v>3958</v>
      </c>
      <c r="B2519" s="7" t="str">
        <f>IFERROR(__xludf.DUMMYFUNCTION("SPLIT(A2519,"" "")"),"CN(Cc1ccc(C2CC(C)(C)C2)cn1)C1CCC(N(C)Cc2cccc(CF)n2)CC1")</f>
        <v>CN(Cc1ccc(C2CC(C)(C)C2)cn1)C1CCC(N(C)Cc2cccc(CF)n2)CC1</v>
      </c>
      <c r="C2519" s="7">
        <f>IFERROR(__xludf.DUMMYFUNCTION("""COMPUTED_VALUE"""),7.807835)</f>
        <v>7.807835</v>
      </c>
      <c r="D2519" s="7">
        <f>IFERROR(__xludf.DUMMYFUNCTION("""COMPUTED_VALUE"""),0.344827586206896)</f>
        <v>0.3448275862</v>
      </c>
    </row>
    <row r="2520">
      <c r="A2520" s="10" t="s">
        <v>3959</v>
      </c>
      <c r="B2520" s="7" t="str">
        <f>IFERROR(__xludf.DUMMYFUNCTION("SPLIT(A2520,"" "")"),"CC(C)C1(C)COC(c2cc(CN3CCN(C)CCN(C)CC3)ccn2)=N1")</f>
        <v>CC(C)C1(C)COC(c2cc(CN3CCN(C)CCN(C)CC3)ccn2)=N1</v>
      </c>
      <c r="C2520" s="7">
        <f>IFERROR(__xludf.DUMMYFUNCTION("""COMPUTED_VALUE"""),7.8078294)</f>
        <v>7.8078294</v>
      </c>
      <c r="D2520" s="7">
        <f>IFERROR(__xludf.DUMMYFUNCTION("""COMPUTED_VALUE"""),0.381818181818181)</f>
        <v>0.3818181818</v>
      </c>
    </row>
    <row r="2521">
      <c r="A2521" s="10" t="s">
        <v>3960</v>
      </c>
      <c r="B2521" s="7" t="str">
        <f>IFERROR(__xludf.DUMMYFUNCTION("SPLIT(A2521,"" "")"),"Cc1cc(CN(C)C2CCC(N(C)Cc3ccon3)CC2)ccn1")</f>
        <v>Cc1cc(CN(C)C2CCC(N(C)Cc3ccon3)CC2)ccn1</v>
      </c>
      <c r="C2521" s="7">
        <f>IFERROR(__xludf.DUMMYFUNCTION("""COMPUTED_VALUE"""),7.8078203)</f>
        <v>7.8078203</v>
      </c>
      <c r="D2521" s="7">
        <f>IFERROR(__xludf.DUMMYFUNCTION("""COMPUTED_VALUE"""),0.422222222222222)</f>
        <v>0.4222222222</v>
      </c>
    </row>
    <row r="2522">
      <c r="A2522" s="10" t="s">
        <v>3961</v>
      </c>
      <c r="B2522" s="7" t="str">
        <f>IFERROR(__xludf.DUMMYFUNCTION("SPLIT(A2522,"" "")"),"CC1C=CC(N(C)Cc2ncccc2C(C)(C)C)C(C)(C)C1C")</f>
        <v>CC1C=CC(N(C)Cc2ncccc2C(C)(C)C)C(C)(C)C1C</v>
      </c>
      <c r="C2522" s="7">
        <f>IFERROR(__xludf.DUMMYFUNCTION("""COMPUTED_VALUE"""),7.8078117)</f>
        <v>7.8078117</v>
      </c>
      <c r="D2522" s="7">
        <f>IFERROR(__xludf.DUMMYFUNCTION("""COMPUTED_VALUE"""),0.263157894736842)</f>
        <v>0.2631578947</v>
      </c>
    </row>
    <row r="2523">
      <c r="A2523" s="10" t="s">
        <v>3962</v>
      </c>
      <c r="B2523" s="7" t="str">
        <f>IFERROR(__xludf.DUMMYFUNCTION("SPLIT(A2523,"" "")"),"CC1=CCC2(C=CCC3(C=CC(C(C)(CN(Cc4ccccn4)Cc4ccccn4)c4ccccn4)CC34C(C)C=CCC4C)C2C)CC12CC=CC(C)C2C")</f>
        <v>CC1=CCC2(C=CCC3(C=CC(C(C)(CN(Cc4ccccn4)Cc4ccccn4)c4ccccn4)CC34C(C)C=CCC4C)C2C)CC12CC=CC(C)C2C</v>
      </c>
      <c r="C2523" s="7">
        <f>IFERROR(__xludf.DUMMYFUNCTION("""COMPUTED_VALUE"""),7.8078046)</f>
        <v>7.8078046</v>
      </c>
      <c r="D2523" s="7">
        <f>IFERROR(__xludf.DUMMYFUNCTION("""COMPUTED_VALUE"""),0.285714285714285)</f>
        <v>0.2857142857</v>
      </c>
    </row>
    <row r="2524">
      <c r="A2524" s="10" t="s">
        <v>3963</v>
      </c>
      <c r="B2524" s="7" t="str">
        <f>IFERROR(__xludf.DUMMYFUNCTION("SPLIT(A2524,"" "")"),"Cc1cccc(CN(C)C2CCCC(N(Cc3ccccn3)Cc3cccc(-c4ccc5c(c4)OCCOCCOCCOCCOCCO5)n3)C2)n1")</f>
        <v>Cc1cccc(CN(C)C2CCCC(N(Cc3ccccn3)Cc3cccc(-c4ccc5c(c4)OCCOCCOCCOCCOCCO5)n3)C2)n1</v>
      </c>
      <c r="C2524" s="7">
        <f>IFERROR(__xludf.DUMMYFUNCTION("""COMPUTED_VALUE"""),7.8078036)</f>
        <v>7.8078036</v>
      </c>
      <c r="D2524" s="7">
        <f>IFERROR(__xludf.DUMMYFUNCTION("""COMPUTED_VALUE"""),0.386666666666666)</f>
        <v>0.3866666667</v>
      </c>
    </row>
    <row r="2525">
      <c r="A2525" s="10" t="s">
        <v>3964</v>
      </c>
      <c r="B2525" s="7" t="str">
        <f>IFERROR(__xludf.DUMMYFUNCTION("SPLIT(A2525,"" "")"),"CC(C)C(C)N(C)CC1=CC(N(C)Cc2ccccn2)C=CN1")</f>
        <v>CC(C)C(C)N(C)CC1=CC(N(C)Cc2ccccn2)C=CN1</v>
      </c>
      <c r="C2525" s="7">
        <f>IFERROR(__xludf.DUMMYFUNCTION("""COMPUTED_VALUE"""),7.807796)</f>
        <v>7.807796</v>
      </c>
      <c r="D2525" s="7">
        <f>IFERROR(__xludf.DUMMYFUNCTION("""COMPUTED_VALUE"""),0.415094339622641)</f>
        <v>0.4150943396</v>
      </c>
    </row>
    <row r="2526">
      <c r="A2526" s="10" t="s">
        <v>3965</v>
      </c>
      <c r="B2526" s="7" t="str">
        <f>IFERROR(__xludf.DUMMYFUNCTION("SPLIT(A2526,"" "")"),"CC(C)N(CC1=CCC=C(N(C)Cc2ccccn2)N1)c1ccc2c(c1)OCCOCCOCCOCCOCCO2")</f>
        <v>CC(C)N(CC1=CCC=C(N(C)Cc2ccccn2)N1)c1ccc2c(c1)OCCOCCOCCOCCOCCO2</v>
      </c>
      <c r="C2526" s="7">
        <f>IFERROR(__xludf.DUMMYFUNCTION("""COMPUTED_VALUE"""),7.807791)</f>
        <v>7.807791</v>
      </c>
      <c r="D2526" s="7">
        <f>IFERROR(__xludf.DUMMYFUNCTION("""COMPUTED_VALUE"""),0.333333333333333)</f>
        <v>0.3333333333</v>
      </c>
    </row>
    <row r="2527">
      <c r="A2527" s="10" t="s">
        <v>3966</v>
      </c>
      <c r="B2527" s="7" t="str">
        <f>IFERROR(__xludf.DUMMYFUNCTION("SPLIT(A2527,"" "")"),"Fc1ccc(N(Cc2cccnn2)C2CCCCC2)cc1")</f>
        <v>Fc1ccc(N(Cc2cccnn2)C2CCCCC2)cc1</v>
      </c>
      <c r="C2527" s="7">
        <f>IFERROR(__xludf.DUMMYFUNCTION("""COMPUTED_VALUE"""),7.8077893)</f>
        <v>7.8077893</v>
      </c>
      <c r="D2527" s="7">
        <f>IFERROR(__xludf.DUMMYFUNCTION("""COMPUTED_VALUE"""),0.431818181818181)</f>
        <v>0.4318181818</v>
      </c>
    </row>
    <row r="2528">
      <c r="A2528" s="10" t="s">
        <v>3967</v>
      </c>
      <c r="B2528" s="7" t="str">
        <f>IFERROR(__xludf.DUMMYFUNCTION("SPLIT(A2528,"" "")"),"Cc1nc(CN(C)C2CCCCC2N(C)Cc2cccc(-c3ccc4c(c3)OCCOCCOCCOCCOCCO4)n2)c(C)c(C)c1C")</f>
        <v>Cc1nc(CN(C)C2CCCCC2N(C)Cc2cccc(-c3ccc4c(c3)OCCOCCOCCOCCOCCO4)n2)c(C)c(C)c1C</v>
      </c>
      <c r="C2528" s="7">
        <f>IFERROR(__xludf.DUMMYFUNCTION("""COMPUTED_VALUE"""),7.8077826)</f>
        <v>7.8077826</v>
      </c>
      <c r="D2528" s="7">
        <f>IFERROR(__xludf.DUMMYFUNCTION("""COMPUTED_VALUE"""),0.435483870967741)</f>
        <v>0.435483871</v>
      </c>
    </row>
    <row r="2529">
      <c r="A2529" s="10" t="s">
        <v>3968</v>
      </c>
      <c r="B2529" s="7" t="str">
        <f>IFERROR(__xludf.DUMMYFUNCTION("SPLIT(A2529,"" "")"),"CN1CCN(Cc2cccc(C3CC(C)(C)C3)n2)CCN(Cc2cccc(C(C)(C)C)n2)CC1")</f>
        <v>CN1CCN(Cc2cccc(C3CC(C)(C)C3)n2)CCN(Cc2cccc(C(C)(C)C)n2)CC1</v>
      </c>
      <c r="C2529" s="7">
        <f>IFERROR(__xludf.DUMMYFUNCTION("""COMPUTED_VALUE"""),7.8077745)</f>
        <v>7.8077745</v>
      </c>
      <c r="D2529" s="7">
        <f>IFERROR(__xludf.DUMMYFUNCTION("""COMPUTED_VALUE"""),0.48)</f>
        <v>0.48</v>
      </c>
    </row>
    <row r="2530">
      <c r="A2530" s="10" t="s">
        <v>3969</v>
      </c>
      <c r="B2530" s="7" t="str">
        <f>IFERROR(__xludf.DUMMYFUNCTION("SPLIT(A2530,"" "")"),"CNc1c(C)cc(C)nc1CN1CCN(C)CCN(C)CC1")</f>
        <v>CNc1c(C)cc(C)nc1CN1CCN(C)CCN(C)CC1</v>
      </c>
      <c r="C2530" s="7">
        <f>IFERROR(__xludf.DUMMYFUNCTION("""COMPUTED_VALUE"""),7.80776)</f>
        <v>7.80776</v>
      </c>
      <c r="D2530" s="7">
        <f>IFERROR(__xludf.DUMMYFUNCTION("""COMPUTED_VALUE"""),0.5)</f>
        <v>0.5</v>
      </c>
    </row>
    <row r="2531">
      <c r="A2531" s="10" t="s">
        <v>3970</v>
      </c>
      <c r="B2531" s="7" t="str">
        <f>IFERROR(__xludf.DUMMYFUNCTION("SPLIT(A2531,"" "")"),"CNCc1ccc(-c2cc(CN(C)C3CCCCC3)c(-c3cccc4c3OCCOCCOCCOCCOCCO4)cn2)c(-c2cccc3c2OCCOCCOCCOCCOCCO3)n1")</f>
        <v>CNCc1ccc(-c2cc(CN(C)C3CCCCC3)c(-c3cccc4c3OCCOCCOCCOCCOCCO4)cn2)c(-c2cccc3c2OCCOCCOCCOCCOCCO3)n1</v>
      </c>
      <c r="C2531" s="7">
        <f>IFERROR(__xludf.DUMMYFUNCTION("""COMPUTED_VALUE"""),7.807751)</f>
        <v>7.807751</v>
      </c>
      <c r="D2531" s="7">
        <f>IFERROR(__xludf.DUMMYFUNCTION("""COMPUTED_VALUE"""),0.267441860465116)</f>
        <v>0.2674418605</v>
      </c>
    </row>
    <row r="2532">
      <c r="A2532" s="10" t="s">
        <v>3971</v>
      </c>
      <c r="B2532" s="7" t="str">
        <f>IFERROR(__xludf.DUMMYFUNCTION("SPLIT(A2532,"" "")"),"Cc1cnc(C)c(CN(C)C2CCCC(N(C)Cc3cccnn3)C2)c1")</f>
        <v>Cc1cnc(C)c(CN(C)C2CCCC(N(C)Cc3cccnn3)C2)c1</v>
      </c>
      <c r="C2532" s="7">
        <f>IFERROR(__xludf.DUMMYFUNCTION("""COMPUTED_VALUE"""),7.8077354)</f>
        <v>7.8077354</v>
      </c>
      <c r="D2532" s="7">
        <f>IFERROR(__xludf.DUMMYFUNCTION("""COMPUTED_VALUE"""),0.392156862745098)</f>
        <v>0.3921568627</v>
      </c>
    </row>
    <row r="2533">
      <c r="A2533" s="10" t="s">
        <v>3972</v>
      </c>
      <c r="B2533" s="7" t="str">
        <f>IFERROR(__xludf.DUMMYFUNCTION("SPLIT(A2533,"" "")"),"CN(Cc1ncccc1-c1cccc2c1OCCOCCOCCOCCOCCO2)Cc1ncccc1-c1cccc2c1OCCOCCOCCOCCOCCO2")</f>
        <v>CN(Cc1ncccc1-c1cccc2c1OCCOCCOCCOCCOCCO2)Cc1ncccc1-c1cccc2c1OCCOCCOCCOCCOCCO2</v>
      </c>
      <c r="C2533" s="7">
        <f>IFERROR(__xludf.DUMMYFUNCTION("""COMPUTED_VALUE"""),7.8077335)</f>
        <v>7.8077335</v>
      </c>
      <c r="D2533" s="7">
        <f>IFERROR(__xludf.DUMMYFUNCTION("""COMPUTED_VALUE"""),0.30188679245283)</f>
        <v>0.3018867925</v>
      </c>
    </row>
    <row r="2534">
      <c r="A2534" s="10" t="s">
        <v>3973</v>
      </c>
      <c r="B2534" s="7" t="str">
        <f>IFERROR(__xludf.DUMMYFUNCTION("SPLIT(A2534,"" "")"),"Cc1cccnc1CN(C)C1CCCC(N(Cc2ccccn2)Cc2cccc(-c3ccc4c(c3)OCCOCCOCCOCCOCCO4)n2)C1")</f>
        <v>Cc1cccnc1CN(C)C1CCCC(N(Cc2ccccn2)Cc2cccc(-c3ccc4c(c3)OCCOCCOCCOCCOCCO4)n2)C1</v>
      </c>
      <c r="C2534" s="7">
        <f>IFERROR(__xludf.DUMMYFUNCTION("""COMPUTED_VALUE"""),7.807722)</f>
        <v>7.807722</v>
      </c>
      <c r="D2534" s="7">
        <f>IFERROR(__xludf.DUMMYFUNCTION("""COMPUTED_VALUE"""),0.371794871794871)</f>
        <v>0.3717948718</v>
      </c>
    </row>
    <row r="2535">
      <c r="A2535" s="10" t="s">
        <v>3974</v>
      </c>
      <c r="B2535" s="7" t="str">
        <f>IFERROR(__xludf.DUMMYFUNCTION("SPLIT(A2535,"" "")"),"COC(=O)C1CN(C)C(C(C)(C)NCc2ccccn2)C(C(C)(C)C)C1C(C)C")</f>
        <v>COC(=O)C1CN(C)C(C(C)(C)NCc2ccccn2)C(C(C)(C)C)C1C(C)C</v>
      </c>
      <c r="C2535" s="7">
        <f>IFERROR(__xludf.DUMMYFUNCTION("""COMPUTED_VALUE"""),7.807709)</f>
        <v>7.807709</v>
      </c>
      <c r="D2535" s="7">
        <f>IFERROR(__xludf.DUMMYFUNCTION("""COMPUTED_VALUE"""),0.307692307692307)</f>
        <v>0.3076923077</v>
      </c>
    </row>
    <row r="2536">
      <c r="A2536" s="10" t="s">
        <v>3975</v>
      </c>
      <c r="B2536" s="7" t="str">
        <f>IFERROR(__xludf.DUMMYFUNCTION("SPLIT(A2536,"" "")"),"Cc1ccc(CN(Cc2ccccn2)C2CCCCC2N(C)Cc2ncccc2-c2ccc3c(c2)OCCOCCOCCOCCOCCO3)nc1C")</f>
        <v>Cc1ccc(CN(Cc2ccccn2)C2CCCCC2N(C)Cc2ncccc2-c2ccc3c(c2)OCCOCCOCCOCCOCCO3)nc1C</v>
      </c>
      <c r="C2536" s="7">
        <f>IFERROR(__xludf.DUMMYFUNCTION("""COMPUTED_VALUE"""),7.8076863)</f>
        <v>7.8076863</v>
      </c>
      <c r="D2536" s="7">
        <f>IFERROR(__xludf.DUMMYFUNCTION("""COMPUTED_VALUE"""),0.420289855072463)</f>
        <v>0.4202898551</v>
      </c>
    </row>
    <row r="2537">
      <c r="A2537" s="10" t="s">
        <v>3976</v>
      </c>
      <c r="B2537" s="7" t="str">
        <f>IFERROR(__xludf.DUMMYFUNCTION("SPLIT(A2537,"" "")"),"CC1=CCC(CN(Cc2ccccn2)C2CCCC(N(C)Cc3ccccn3)C2)=CN1")</f>
        <v>CC1=CCC(CN(Cc2ccccn2)C2CCCC(N(C)Cc3ccccn3)C2)=CN1</v>
      </c>
      <c r="C2537" s="7">
        <f>IFERROR(__xludf.DUMMYFUNCTION("""COMPUTED_VALUE"""),7.807685)</f>
        <v>7.807685</v>
      </c>
      <c r="D2537" s="7">
        <f>IFERROR(__xludf.DUMMYFUNCTION("""COMPUTED_VALUE"""),0.462962962962962)</f>
        <v>0.462962963</v>
      </c>
    </row>
    <row r="2538">
      <c r="A2538" s="10" t="s">
        <v>3977</v>
      </c>
      <c r="B2538" s="7" t="str">
        <f>IFERROR(__xludf.DUMMYFUNCTION("SPLIT(A2538,"" "")"),"Cc1cccnc1CN(C)C1=CCC=C(CN2CCN(C)CCN(C)CC2)N1")</f>
        <v>Cc1cccnc1CN(C)C1=CCC=C(CN2CCN(C)CCN(C)CC2)N1</v>
      </c>
      <c r="C2538" s="7">
        <f>IFERROR(__xludf.DUMMYFUNCTION("""COMPUTED_VALUE"""),7.807672)</f>
        <v>7.807672</v>
      </c>
      <c r="D2538" s="7">
        <f>IFERROR(__xludf.DUMMYFUNCTION("""COMPUTED_VALUE"""),0.381818181818181)</f>
        <v>0.3818181818</v>
      </c>
    </row>
    <row r="2539">
      <c r="A2539" s="10" t="s">
        <v>3978</v>
      </c>
      <c r="B2539" s="7" t="str">
        <f>IFERROR(__xludf.DUMMYFUNCTION("SPLIT(A2539,"" "")"),"Cc1ncccc1CN(C)C1CCC(N(Cc2ccccn2)Cc2ncccc2-c2ccc3c(c2)OCCOCCOCCOCCOCCO3)CC1")</f>
        <v>Cc1ncccc1CN(C)C1CCC(N(Cc2ccccn2)Cc2ncccc2-c2ccc3c(c2)OCCOCCOCCOCCOCCO3)CC1</v>
      </c>
      <c r="C2539" s="7">
        <f>IFERROR(__xludf.DUMMYFUNCTION("""COMPUTED_VALUE"""),7.807659)</f>
        <v>7.807659</v>
      </c>
      <c r="D2539" s="7">
        <f>IFERROR(__xludf.DUMMYFUNCTION("""COMPUTED_VALUE"""),0.323943661971831)</f>
        <v>0.323943662</v>
      </c>
    </row>
    <row r="2540">
      <c r="A2540" s="10" t="s">
        <v>3979</v>
      </c>
      <c r="B2540" s="7" t="str">
        <f>IFERROR(__xludf.DUMMYFUNCTION("SPLIT(A2540,"" "")"),"CCOC(=O)C1CC(C(C)(C)C)C(C(=O)C(C)C)N(C)C1C(=O)C(C)N")</f>
        <v>CCOC(=O)C1CC(C(C)(C)C)C(C(=O)C(C)C)N(C)C1C(=O)C(C)N</v>
      </c>
      <c r="C2540" s="7">
        <f>IFERROR(__xludf.DUMMYFUNCTION("""COMPUTED_VALUE"""),7.8076587)</f>
        <v>7.8076587</v>
      </c>
      <c r="D2540" s="7">
        <f>IFERROR(__xludf.DUMMYFUNCTION("""COMPUTED_VALUE"""),0.208955223880597)</f>
        <v>0.2089552239</v>
      </c>
    </row>
    <row r="2541">
      <c r="A2541" s="10" t="s">
        <v>3980</v>
      </c>
      <c r="B2541" s="7" t="str">
        <f>IFERROR(__xludf.DUMMYFUNCTION("SPLIT(A2541,"" "")"),"CN(Cc1cccc(-c2ccc3c(c2)OCCOCCOCCOCCOCCO3)n1)C1=CNC(CN(C)C2CCCCC2N(Cc2ccccn2)Cc2cccc(-c3ccc4c(c3)OCCOCCOCCOCCOCCO4)n2)=CC1")</f>
        <v>CN(Cc1cccc(-c2ccc3c(c2)OCCOCCOCCOCCOCCO3)n1)C1=CNC(CN(C)C2CCCCC2N(Cc2ccccn2)Cc2cccc(-c3ccc4c(c3)OCCOCCOCCOCCOCCO4)n2)=CC1</v>
      </c>
      <c r="C2541" s="7">
        <f>IFERROR(__xludf.DUMMYFUNCTION("""COMPUTED_VALUE"""),7.807654)</f>
        <v>7.807654</v>
      </c>
      <c r="D2541" s="7">
        <f>IFERROR(__xludf.DUMMYFUNCTION("""COMPUTED_VALUE"""),0.391891891891891)</f>
        <v>0.3918918919</v>
      </c>
    </row>
    <row r="2542">
      <c r="A2542" s="10" t="s">
        <v>3981</v>
      </c>
      <c r="B2542" s="7" t="str">
        <f>IFERROR(__xludf.DUMMYFUNCTION("SPLIT(A2542,"" "")"),"CC(C)N(CCN(C)CC(C)(C)C)Cc1cccnc1")</f>
        <v>CC(C)N(CCN(C)CC(C)(C)C)Cc1cccnc1</v>
      </c>
      <c r="C2542" s="7">
        <f>IFERROR(__xludf.DUMMYFUNCTION("""COMPUTED_VALUE"""),7.807648)</f>
        <v>7.807648</v>
      </c>
      <c r="D2542" s="7">
        <f>IFERROR(__xludf.DUMMYFUNCTION("""COMPUTED_VALUE"""),0.391304347826087)</f>
        <v>0.3913043478</v>
      </c>
    </row>
    <row r="2543">
      <c r="A2543" s="10" t="s">
        <v>3982</v>
      </c>
      <c r="B2543" s="7" t="str">
        <f>IFERROR(__xludf.DUMMYFUNCTION("SPLIT(A2543,"" "")"),"Cc1cnc(CN(C)C2CCCC(N(Cc3ccccn3)C(C)C)C2)c(C)c1")</f>
        <v>Cc1cnc(CN(C)C2CCCC(N(Cc3ccccn3)C(C)C)C2)c(C)c1</v>
      </c>
      <c r="C2543" s="7">
        <f>IFERROR(__xludf.DUMMYFUNCTION("""COMPUTED_VALUE"""),7.8076425)</f>
        <v>7.8076425</v>
      </c>
      <c r="D2543" s="7">
        <f>IFERROR(__xludf.DUMMYFUNCTION("""COMPUTED_VALUE"""),0.428571428571428)</f>
        <v>0.4285714286</v>
      </c>
    </row>
    <row r="2544">
      <c r="A2544" s="10" t="s">
        <v>3983</v>
      </c>
      <c r="B2544" s="7" t="str">
        <f>IFERROR(__xludf.DUMMYFUNCTION("SPLIT(A2544,"" "")"),"CC(C)c1cc(CN2CCN(C)CCN(Cc3cc(C(C)(C)C)ccn3)CC2)ccn1")</f>
        <v>CC(C)c1cc(CN2CCN(C)CCN(Cc3cc(C(C)(C)C)ccn3)CC2)ccn1</v>
      </c>
      <c r="C2544" s="7">
        <f>IFERROR(__xludf.DUMMYFUNCTION("""COMPUTED_VALUE"""),7.807641)</f>
        <v>7.807641</v>
      </c>
      <c r="D2544" s="7">
        <f>IFERROR(__xludf.DUMMYFUNCTION("""COMPUTED_VALUE"""),0.5)</f>
        <v>0.5</v>
      </c>
    </row>
    <row r="2545">
      <c r="A2545" s="10" t="s">
        <v>3984</v>
      </c>
      <c r="B2545" s="7" t="str">
        <f>IFERROR(__xludf.DUMMYFUNCTION("SPLIT(A2545,"" "")"),"CNCc1cccc(CN(Cc2cccc(C)n2)C2CCC(N(C)Cc3ncccc3-c3cccc4c3OCCOCCOCCOCCOCCO4)CC2)n1")</f>
        <v>CNCc1cccc(CN(Cc2cccc(C)n2)C2CCC(N(C)Cc3ncccc3-c3cccc4c3OCCOCCOCCOCCOCCO4)CC2)n1</v>
      </c>
      <c r="C2545" s="7">
        <f>IFERROR(__xludf.DUMMYFUNCTION("""COMPUTED_VALUE"""),7.8076377)</f>
        <v>7.8076377</v>
      </c>
      <c r="D2545" s="7">
        <f>IFERROR(__xludf.DUMMYFUNCTION("""COMPUTED_VALUE"""),0.328767123287671)</f>
        <v>0.3287671233</v>
      </c>
    </row>
    <row r="2546">
      <c r="A2546" s="10" t="s">
        <v>3985</v>
      </c>
      <c r="B2546" s="7" t="str">
        <f>IFERROR(__xludf.DUMMYFUNCTION("SPLIT(A2546,"" "")"),"CC(C)c1cccc(CN(Cc2ccccn2)C2CCC(N(C)Cc3cccc(-c4ccc5c(c4)OCCOCCOCCOCCOCCO5)n3)CC2)n1")</f>
        <v>CC(C)c1cccc(CN(Cc2ccccn2)C2CCC(N(C)Cc3cccc(-c4ccc5c(c4)OCCOCCOCCOCCOCCO5)n3)CC2)n1</v>
      </c>
      <c r="C2546" s="7">
        <f>IFERROR(__xludf.DUMMYFUNCTION("""COMPUTED_VALUE"""),7.8076262)</f>
        <v>7.8076262</v>
      </c>
      <c r="D2546" s="7">
        <f>IFERROR(__xludf.DUMMYFUNCTION("""COMPUTED_VALUE"""),0.368421052631578)</f>
        <v>0.3684210526</v>
      </c>
    </row>
    <row r="2547">
      <c r="A2547" s="10" t="s">
        <v>3986</v>
      </c>
      <c r="B2547" s="7" t="str">
        <f>IFERROR(__xludf.DUMMYFUNCTION("SPLIT(A2547,"" "")"),"CNCc1cccc(CN(Cc2cccc(C)n2)C2CCC(N(C)Cc3cccc(-c4ccc5c(c4)OCCOCCOCCOCCOCCO5)n3)CC2)n1")</f>
        <v>CNCc1cccc(CN(Cc2cccc(C)n2)C2CCC(N(C)Cc3cccc(-c4ccc5c(c4)OCCOCCOCCOCCOCCO5)n3)CC2)n1</v>
      </c>
      <c r="C2547" s="7">
        <f>IFERROR(__xludf.DUMMYFUNCTION("""COMPUTED_VALUE"""),7.8076224)</f>
        <v>7.8076224</v>
      </c>
      <c r="D2547" s="7">
        <f>IFERROR(__xludf.DUMMYFUNCTION("""COMPUTED_VALUE"""),0.367647058823529)</f>
        <v>0.3676470588</v>
      </c>
    </row>
    <row r="2548">
      <c r="A2548" s="10" t="s">
        <v>3987</v>
      </c>
      <c r="B2548" s="7" t="str">
        <f>IFERROR(__xludf.DUMMYFUNCTION("SPLIT(A2548,"" "")"),"CCCN(Cc1ccccn1)C1CCC(N(C)Cc2ccccn2)CC1N(C)Cc1ncccc1C")</f>
        <v>CCCN(Cc1ccccn1)C1CCC(N(C)Cc2ccccn2)CC1N(C)Cc1ncccc1C</v>
      </c>
      <c r="C2548" s="7">
        <f>IFERROR(__xludf.DUMMYFUNCTION("""COMPUTED_VALUE"""),7.8076215)</f>
        <v>7.8076215</v>
      </c>
      <c r="D2548" s="7">
        <f>IFERROR(__xludf.DUMMYFUNCTION("""COMPUTED_VALUE"""),0.464285714285714)</f>
        <v>0.4642857143</v>
      </c>
    </row>
    <row r="2549">
      <c r="A2549" s="10" t="s">
        <v>3988</v>
      </c>
      <c r="B2549" s="7" t="str">
        <f>IFERROR(__xludf.DUMMYFUNCTION("SPLIT(A2549,"" "")"),"CCNCc1cc(C(C)(C)C(C)N)ccn1")</f>
        <v>CCNCc1cc(C(C)(C)C(C)N)ccn1</v>
      </c>
      <c r="C2549" s="7">
        <f>IFERROR(__xludf.DUMMYFUNCTION("""COMPUTED_VALUE"""),7.8076215)</f>
        <v>7.8076215</v>
      </c>
      <c r="D2549" s="7">
        <f>IFERROR(__xludf.DUMMYFUNCTION("""COMPUTED_VALUE"""),0.325581395348837)</f>
        <v>0.3255813953</v>
      </c>
    </row>
    <row r="2550">
      <c r="A2550" s="10" t="s">
        <v>3989</v>
      </c>
      <c r="B2550" s="7" t="str">
        <f>IFERROR(__xludf.DUMMYFUNCTION("SPLIT(A2550,"" "")"),"CNCc1cc(CN(Cc2cccc(C)n2)C2CCC(N(C)Cc3cccc(-c4ccc5c(c4)OCCOCCOCCOCCOCCO5)n3)CC2)ccn1")</f>
        <v>CNCc1cc(CN(Cc2cccc(C)n2)C2CCC(N(C)Cc3cccc(-c4ccc5c(c4)OCCOCCOCCOCCOCCO5)n3)CC2)ccn1</v>
      </c>
      <c r="C2550" s="7">
        <f>IFERROR(__xludf.DUMMYFUNCTION("""COMPUTED_VALUE"""),7.8076124)</f>
        <v>7.8076124</v>
      </c>
      <c r="D2550" s="7">
        <f>IFERROR(__xludf.DUMMYFUNCTION("""COMPUTED_VALUE"""),0.333333333333333)</f>
        <v>0.3333333333</v>
      </c>
    </row>
    <row r="2551">
      <c r="A2551" s="10" t="s">
        <v>3990</v>
      </c>
      <c r="B2551" s="7" t="str">
        <f>IFERROR(__xludf.DUMMYFUNCTION("SPLIT(A2551,"" "")"),"Cc1cnc(CN(Cc2ccccn2)C2CCCCC2N(C)Cc2ncccc2-c2ccc3c(c2)OCCOCCOCCOCCOCCO3)c(C)c1")</f>
        <v>Cc1cnc(CN(Cc2ccccn2)C2CCCCC2N(C)Cc2ncccc2-c2ccc3c(c2)OCCOCCOCCOCCOCCO3)c(C)c1</v>
      </c>
      <c r="C2551" s="7">
        <f>IFERROR(__xludf.DUMMYFUNCTION("""COMPUTED_VALUE"""),7.8076067)</f>
        <v>7.8076067</v>
      </c>
      <c r="D2551" s="7">
        <f>IFERROR(__xludf.DUMMYFUNCTION("""COMPUTED_VALUE"""),0.414285714285714)</f>
        <v>0.4142857143</v>
      </c>
    </row>
    <row r="2552">
      <c r="A2552" s="10" t="s">
        <v>3991</v>
      </c>
      <c r="B2552" s="7" t="str">
        <f>IFERROR(__xludf.DUMMYFUNCTION("SPLIT(A2552,"" "")"),"CC(C)C(C)(N)c1cccnc1")</f>
        <v>CC(C)C(C)(N)c1cccnc1</v>
      </c>
      <c r="C2552" s="7">
        <f>IFERROR(__xludf.DUMMYFUNCTION("""COMPUTED_VALUE"""),7.807602)</f>
        <v>7.807602</v>
      </c>
      <c r="D2552" s="7">
        <f>IFERROR(__xludf.DUMMYFUNCTION("""COMPUTED_VALUE"""),0.212765957446808)</f>
        <v>0.2127659574</v>
      </c>
    </row>
    <row r="2553">
      <c r="A2553" s="10" t="s">
        <v>3992</v>
      </c>
      <c r="B2553" s="7" t="str">
        <f>IFERROR(__xludf.DUMMYFUNCTION("SPLIT(A2553,"" "")"),"CN1CCN(C)CCN(C(C)(C)c2ccc(C3CC(C)(C)C3)nc2)CC1")</f>
        <v>CN1CCN(C)CCN(C(C)(C)c2ccc(C3CC(C)(C)C3)nc2)CC1</v>
      </c>
      <c r="C2553" s="7">
        <f>IFERROR(__xludf.DUMMYFUNCTION("""COMPUTED_VALUE"""),7.807597)</f>
        <v>7.807597</v>
      </c>
      <c r="D2553" s="7">
        <f>IFERROR(__xludf.DUMMYFUNCTION("""COMPUTED_VALUE"""),0.25)</f>
        <v>0.25</v>
      </c>
    </row>
    <row r="2554">
      <c r="A2554" s="10" t="s">
        <v>3993</v>
      </c>
      <c r="B2554" s="7" t="str">
        <f>IFERROR(__xludf.DUMMYFUNCTION("SPLIT(A2554,"" "")"),"Cc1cccnc1CN(C)C(C)(C)C(C)N")</f>
        <v>Cc1cccnc1CN(C)C(C)(C)C(C)N</v>
      </c>
      <c r="C2554" s="7">
        <f>IFERROR(__xludf.DUMMYFUNCTION("""COMPUTED_VALUE"""),7.807596)</f>
        <v>7.807596</v>
      </c>
      <c r="D2554" s="7">
        <f>IFERROR(__xludf.DUMMYFUNCTION("""COMPUTED_VALUE"""),0.297872340425531)</f>
        <v>0.2978723404</v>
      </c>
    </row>
    <row r="2555">
      <c r="A2555" s="10" t="s">
        <v>3994</v>
      </c>
      <c r="B2555" s="7" t="str">
        <f>IFERROR(__xludf.DUMMYFUNCTION("SPLIT(A2555,"" "")"),"CC(C)c1ncccc1CN1CCN(C)CCN(Cc2ccc(C(C)(C)C)cn2)CC1")</f>
        <v>CC(C)c1ncccc1CN1CCN(C)CCN(Cc2ccc(C(C)(C)C)cn2)CC1</v>
      </c>
      <c r="C2555" s="7">
        <f>IFERROR(__xludf.DUMMYFUNCTION("""COMPUTED_VALUE"""),7.80759)</f>
        <v>7.80759</v>
      </c>
      <c r="D2555" s="7">
        <f>IFERROR(__xludf.DUMMYFUNCTION("""COMPUTED_VALUE"""),0.48)</f>
        <v>0.48</v>
      </c>
    </row>
    <row r="2556">
      <c r="A2556" s="10" t="s">
        <v>3995</v>
      </c>
      <c r="B2556" s="7" t="str">
        <f>IFERROR(__xludf.DUMMYFUNCTION("SPLIT(A2556,"" "")"),"CN(Cc1cccc(C2=CCC=CN2)n1)C1CCC(N(C)C2C=CC=CN2)CC1")</f>
        <v>CN(Cc1cccc(C2=CCC=CN2)n1)C1CCC(N(C)C2C=CC=CN2)CC1</v>
      </c>
      <c r="C2556" s="7">
        <f>IFERROR(__xludf.DUMMYFUNCTION("""COMPUTED_VALUE"""),7.807587)</f>
        <v>7.807587</v>
      </c>
      <c r="D2556" s="7">
        <f>IFERROR(__xludf.DUMMYFUNCTION("""COMPUTED_VALUE"""),0.307692307692307)</f>
        <v>0.3076923077</v>
      </c>
    </row>
    <row r="2557">
      <c r="A2557" s="10" t="s">
        <v>3996</v>
      </c>
      <c r="B2557" s="7" t="str">
        <f>IFERROR(__xludf.DUMMYFUNCTION("SPLIT(A2557,"" "")"),"CNC1CCC(N(C)Cc2nc(C)c(C)c(C)c2C)CC1")</f>
        <v>CNC1CCC(N(C)Cc2nc(C)c(C)c(C)c2C)CC1</v>
      </c>
      <c r="C2557" s="7">
        <f>IFERROR(__xludf.DUMMYFUNCTION("""COMPUTED_VALUE"""),7.807586)</f>
        <v>7.807586</v>
      </c>
      <c r="D2557" s="7">
        <f>IFERROR(__xludf.DUMMYFUNCTION("""COMPUTED_VALUE"""),0.25)</f>
        <v>0.25</v>
      </c>
    </row>
    <row r="2558">
      <c r="A2558" s="10" t="s">
        <v>3997</v>
      </c>
      <c r="B2558" s="7" t="str">
        <f>IFERROR(__xludf.DUMMYFUNCTION("SPLIT(A2558,"" "")"),"Cc1ccc2c(c1)OCCOCCOCCOCCOC(C(C)(c1ccccn1)c1ccccn1)CO2")</f>
        <v>Cc1ccc2c(c1)OCCOCCOCCOCCOC(C(C)(c1ccccn1)c1ccccn1)CO2</v>
      </c>
      <c r="C2558" s="7">
        <f>IFERROR(__xludf.DUMMYFUNCTION("""COMPUTED_VALUE"""),7.807586)</f>
        <v>7.807586</v>
      </c>
      <c r="D2558" s="7">
        <f>IFERROR(__xludf.DUMMYFUNCTION("""COMPUTED_VALUE"""),0.285714285714285)</f>
        <v>0.2857142857</v>
      </c>
    </row>
    <row r="2559">
      <c r="A2559" s="10" t="s">
        <v>3998</v>
      </c>
      <c r="B2559" s="7" t="str">
        <f>IFERROR(__xludf.DUMMYFUNCTION("SPLIT(A2559,"" "")"),"CN(C)Cc1cnccc1-c1ccc2c(c1)OCCOCCOCCOCCOCCO2")</f>
        <v>CN(C)Cc1cnccc1-c1ccc2c(c1)OCCOCCOCCOCCOCCO2</v>
      </c>
      <c r="C2559" s="7">
        <f>IFERROR(__xludf.DUMMYFUNCTION("""COMPUTED_VALUE"""),7.807585)</f>
        <v>7.807585</v>
      </c>
      <c r="D2559" s="7">
        <f>IFERROR(__xludf.DUMMYFUNCTION("""COMPUTED_VALUE"""),0.370967741935483)</f>
        <v>0.3709677419</v>
      </c>
    </row>
    <row r="2560">
      <c r="A2560" s="10" t="s">
        <v>3999</v>
      </c>
      <c r="B2560" s="7" t="str">
        <f>IFERROR(__xludf.DUMMYFUNCTION("SPLIT(A2560,"" "")"),"C1=CC(CN(Cc2ccccn2)Cc2ccc(-c3ccc4c(c3)OCCOCCOCCOCCOCCO4)cn2)C=CN1")</f>
        <v>C1=CC(CN(Cc2ccccn2)Cc2ccc(-c3ccc4c(c3)OCCOCCOCCOCCOCCO4)cn2)C=CN1</v>
      </c>
      <c r="C2560" s="7">
        <f>IFERROR(__xludf.DUMMYFUNCTION("""COMPUTED_VALUE"""),7.8075843)</f>
        <v>7.8075843</v>
      </c>
      <c r="D2560" s="7">
        <f>IFERROR(__xludf.DUMMYFUNCTION("""COMPUTED_VALUE"""),0.455882352941176)</f>
        <v>0.4558823529</v>
      </c>
    </row>
    <row r="2561">
      <c r="A2561" s="10" t="s">
        <v>4000</v>
      </c>
      <c r="B2561" s="7" t="str">
        <f>IFERROR(__xludf.DUMMYFUNCTION("SPLIT(A2561,"" "")"),"CNCc1ccc(CN(Cc2cc(C)ccn2)C2CCC(N(C)Cc3cc(-c4ccc5c(c4)OCCOCCOCCOCCOCCO5)ccn3)CC2)cn1")</f>
        <v>CNCc1ccc(CN(Cc2cc(C)ccn2)C2CCC(N(C)Cc3cc(-c4ccc5c(c4)OCCOCCOCCOCCOCCO5)ccn3)CC2)cn1</v>
      </c>
      <c r="C2561" s="7">
        <f>IFERROR(__xludf.DUMMYFUNCTION("""COMPUTED_VALUE"""),7.807564)</f>
        <v>7.807564</v>
      </c>
      <c r="D2561" s="7">
        <f>IFERROR(__xludf.DUMMYFUNCTION("""COMPUTED_VALUE"""),0.37037037037037)</f>
        <v>0.3703703704</v>
      </c>
    </row>
    <row r="2562">
      <c r="A2562" s="10" t="s">
        <v>4001</v>
      </c>
      <c r="B2562" s="7" t="str">
        <f>IFERROR(__xludf.DUMMYFUNCTION("SPLIT(A2562,"" "")"),"CC1=C(C)C(C)CC(NCc2ccccn2)C1")</f>
        <v>CC1=C(C)C(C)CC(NCc2ccccn2)C1</v>
      </c>
      <c r="C2562" s="7">
        <f>IFERROR(__xludf.DUMMYFUNCTION("""COMPUTED_VALUE"""),7.8075633)</f>
        <v>7.8075633</v>
      </c>
      <c r="D2562" s="7">
        <f>IFERROR(__xludf.DUMMYFUNCTION("""COMPUTED_VALUE"""),0.404761904761904)</f>
        <v>0.4047619048</v>
      </c>
    </row>
    <row r="2563">
      <c r="A2563" s="10" t="s">
        <v>4002</v>
      </c>
      <c r="B2563" s="7" t="str">
        <f>IFERROR(__xludf.DUMMYFUNCTION("SPLIT(A2563,"" "")"),"Cc1c(C)c(C)c(N(C)CN2CCN(C)CCN(Cc3ncccc3-c3cccc4c3OCCOCCOCCOCCOCCO4)CC2)c(C)c1C")</f>
        <v>Cc1c(C)c(C)c(N(C)CN2CCN(C)CCN(Cc3ncccc3-c3cccc4c3OCCOCCOCCOCCOCCO4)CC2)c(C)c1C</v>
      </c>
      <c r="C2563" s="7">
        <f>IFERROR(__xludf.DUMMYFUNCTION("""COMPUTED_VALUE"""),7.8075514)</f>
        <v>7.8075514</v>
      </c>
      <c r="D2563" s="7">
        <f>IFERROR(__xludf.DUMMYFUNCTION("""COMPUTED_VALUE"""),0.323076923076923)</f>
        <v>0.3230769231</v>
      </c>
    </row>
    <row r="2564">
      <c r="A2564" s="10" t="s">
        <v>4003</v>
      </c>
      <c r="B2564" s="7" t="str">
        <f>IFERROR(__xludf.DUMMYFUNCTION("SPLIT(A2564,"" "")"),"C1=CC(CN(Cc2ccccn2)Cc2ncccc2-c2cccc3c2OCCOCCOCCOCCOCCO3)C=CN1")</f>
        <v>C1=CC(CN(Cc2ccccn2)Cc2ncccc2-c2cccc3c2OCCOCCOCCOCCOCCO3)C=CN1</v>
      </c>
      <c r="C2564" s="7">
        <f>IFERROR(__xludf.DUMMYFUNCTION("""COMPUTED_VALUE"""),7.8075476)</f>
        <v>7.8075476</v>
      </c>
      <c r="D2564" s="7">
        <f>IFERROR(__xludf.DUMMYFUNCTION("""COMPUTED_VALUE"""),0.352941176470588)</f>
        <v>0.3529411765</v>
      </c>
    </row>
    <row r="2565">
      <c r="A2565" s="10" t="s">
        <v>4004</v>
      </c>
      <c r="B2565" s="7" t="str">
        <f>IFERROR(__xludf.DUMMYFUNCTION("SPLIT(A2565,"" "")"),"C=CCNCNCc1cccc(C(C)(C)C)n1")</f>
        <v>C=CCNCNCc1cccc(C(C)(C)C)n1</v>
      </c>
      <c r="C2565" s="7">
        <f>IFERROR(__xludf.DUMMYFUNCTION("""COMPUTED_VALUE"""),7.8075333)</f>
        <v>7.8075333</v>
      </c>
      <c r="D2565" s="7">
        <f>IFERROR(__xludf.DUMMYFUNCTION("""COMPUTED_VALUE"""),0.266666666666666)</f>
        <v>0.2666666667</v>
      </c>
    </row>
    <row r="2566">
      <c r="A2566" s="10" t="s">
        <v>4005</v>
      </c>
      <c r="B2566" s="7" t="str">
        <f>IFERROR(__xludf.DUMMYFUNCTION("SPLIT(A2566,"" "")"),"CN1CCN(C)CCN(C2CCC(N(C)c3ccc4cc(CF)cnc4c3)CC2)CC1")</f>
        <v>CN1CCN(C)CCN(C2CCC(N(C)c3ccc4cc(CF)cnc4c3)CC2)CC1</v>
      </c>
      <c r="C2566" s="7">
        <f>IFERROR(__xludf.DUMMYFUNCTION("""COMPUTED_VALUE"""),7.807531)</f>
        <v>7.807531</v>
      </c>
      <c r="D2566" s="7">
        <f>IFERROR(__xludf.DUMMYFUNCTION("""COMPUTED_VALUE"""),0.265625)</f>
        <v>0.265625</v>
      </c>
    </row>
    <row r="2567">
      <c r="A2567" s="10" t="s">
        <v>4006</v>
      </c>
      <c r="B2567" s="7" t="str">
        <f>IFERROR(__xludf.DUMMYFUNCTION("SPLIT(A2567,"" "")"),"CNC1CCC(N(C)Cc2ncccc2C)CC1N(C(C)C)C(C)C")</f>
        <v>CNC1CCC(N(C)Cc2ncccc2C)CC1N(C(C)C)C(C)C</v>
      </c>
      <c r="C2567" s="7">
        <f>IFERROR(__xludf.DUMMYFUNCTION("""COMPUTED_VALUE"""),7.807527)</f>
        <v>7.807527</v>
      </c>
      <c r="D2567" s="7">
        <f>IFERROR(__xludf.DUMMYFUNCTION("""COMPUTED_VALUE"""),0.305084745762711)</f>
        <v>0.3050847458</v>
      </c>
    </row>
    <row r="2568">
      <c r="A2568" s="10" t="s">
        <v>4007</v>
      </c>
      <c r="B2568" s="7" t="str">
        <f>IFERROR(__xludf.DUMMYFUNCTION("SPLIT(A2568,"" "")"),"Cc1cnc(CN2CCN(C)CCN(Cc3cncc(C(C)C)c3)CC2)c(C)c1C")</f>
        <v>Cc1cnc(CN2CCN(C)CCN(Cc3cncc(C(C)C)c3)CC2)c(C)c1C</v>
      </c>
      <c r="C2568" s="7">
        <f>IFERROR(__xludf.DUMMYFUNCTION("""COMPUTED_VALUE"""),7.8075247)</f>
        <v>7.8075247</v>
      </c>
      <c r="D2568" s="7">
        <f>IFERROR(__xludf.DUMMYFUNCTION("""COMPUTED_VALUE"""),0.5)</f>
        <v>0.5</v>
      </c>
    </row>
    <row r="2569">
      <c r="A2569" s="10" t="s">
        <v>4008</v>
      </c>
      <c r="B2569" s="7" t="str">
        <f>IFERROR(__xludf.DUMMYFUNCTION("SPLIT(A2569,"" "")"),"CC(C)CN(CCN(C)CC(C)(C)C)CC(C)(C)C")</f>
        <v>CC(C)CN(CCN(C)CC(C)(C)C)CC(C)(C)C</v>
      </c>
      <c r="C2569" s="7">
        <f>IFERROR(__xludf.DUMMYFUNCTION("""COMPUTED_VALUE"""),7.807518)</f>
        <v>7.807518</v>
      </c>
      <c r="D2569" s="7">
        <f>IFERROR(__xludf.DUMMYFUNCTION("""COMPUTED_VALUE"""),0.292682926829268)</f>
        <v>0.2926829268</v>
      </c>
    </row>
    <row r="2570">
      <c r="A2570" s="10" t="s">
        <v>4009</v>
      </c>
      <c r="B2570" s="7" t="str">
        <f>IFERROR(__xludf.DUMMYFUNCTION("SPLIT(A2570,"" "")"),"CNCc1ncccc1CN(C)C1CCCC(N(C)Cc2nccc(C)c2C)C1")</f>
        <v>CNCc1ncccc1CN(C)C1CCCC(N(C)Cc2nccc(C)c2C)C1</v>
      </c>
      <c r="C2570" s="7">
        <f>IFERROR(__xludf.DUMMYFUNCTION("""COMPUTED_VALUE"""),7.8075137)</f>
        <v>7.8075137</v>
      </c>
      <c r="D2570" s="7">
        <f>IFERROR(__xludf.DUMMYFUNCTION("""COMPUTED_VALUE"""),0.305084745762711)</f>
        <v>0.3050847458</v>
      </c>
    </row>
    <row r="2571">
      <c r="A2571" s="10" t="s">
        <v>4010</v>
      </c>
      <c r="B2571" s="7" t="str">
        <f>IFERROR(__xludf.DUMMYFUNCTION("SPLIT(A2571,"" "")"),"CN(Cc1cc(-c2ccc3c(c2)OCCOCCOCCOCCOCCO3)ccn1)CN(C)Cc1ncccc1-c1ccc2c(c1)OCCOCCOCCOCCOCCO2")</f>
        <v>CN(Cc1cc(-c2ccc3c(c2)OCCOCCOCCOCCOCCO3)ccn1)CN(C)Cc1ncccc1-c1ccc2c(c1)OCCOCCOCCOCCOCCO2</v>
      </c>
      <c r="C2571" s="7">
        <f>IFERROR(__xludf.DUMMYFUNCTION("""COMPUTED_VALUE"""),7.807513)</f>
        <v>7.807513</v>
      </c>
      <c r="D2571" s="7">
        <f>IFERROR(__xludf.DUMMYFUNCTION("""COMPUTED_VALUE"""),0.357142857142857)</f>
        <v>0.3571428571</v>
      </c>
    </row>
    <row r="2572">
      <c r="A2572" s="10" t="s">
        <v>4011</v>
      </c>
      <c r="B2572" s="7" t="str">
        <f>IFERROR(__xludf.DUMMYFUNCTION("SPLIT(A2572,"" "")"),"CN(Cc1ccccn1)C1CCC(N(C)CN(Cc2ccccn2)C2CCC(N(C)Cc3ccccn3)CC2N(Cc2ccccn2)C(C)(C)c2ccccn2)CC1")</f>
        <v>CN(Cc1ccccn1)C1CCC(N(C)CN(Cc2ccccn2)C2CCC(N(C)Cc3ccccn3)CC2N(Cc2ccccn2)C(C)(C)c2ccccn2)CC1</v>
      </c>
      <c r="C2572" s="7">
        <f>IFERROR(__xludf.DUMMYFUNCTION("""COMPUTED_VALUE"""),7.8075023)</f>
        <v>7.8075023</v>
      </c>
      <c r="D2572" s="7">
        <f>IFERROR(__xludf.DUMMYFUNCTION("""COMPUTED_VALUE"""),0.43859649122807)</f>
        <v>0.4385964912</v>
      </c>
    </row>
    <row r="2573">
      <c r="A2573" s="10" t="s">
        <v>4012</v>
      </c>
      <c r="B2573" s="7" t="str">
        <f>IFERROR(__xludf.DUMMYFUNCTION("SPLIT(A2573,"" "")"),"CNCc1cccc(CN(Cc2cccc(N)n2)C2CCC(N(C)Cc3cc(-c4ccc5c(c4)OCCOCCOCCOCCOCCO5)ccn3)CC2)n1")</f>
        <v>CNCc1cccc(CN(Cc2cccc(N)n2)C2CCC(N(C)Cc3cc(-c4ccc5c(c4)OCCOCCOCCOCCOCCO5)ccn3)CC2)n1</v>
      </c>
      <c r="C2573" s="7">
        <f>IFERROR(__xludf.DUMMYFUNCTION("""COMPUTED_VALUE"""),7.807495)</f>
        <v>7.807495</v>
      </c>
      <c r="D2573" s="7">
        <f>IFERROR(__xludf.DUMMYFUNCTION("""COMPUTED_VALUE"""),0.325301204819277)</f>
        <v>0.3253012048</v>
      </c>
    </row>
    <row r="2574">
      <c r="A2574" s="10" t="s">
        <v>4013</v>
      </c>
      <c r="B2574" s="7" t="str">
        <f>IFERROR(__xludf.DUMMYFUNCTION("SPLIT(A2574,"" "")"),"Cc1cccc2c1OCCOCCOc1ccccc1OCCOCCO2")</f>
        <v>Cc1cccc2c1OCCOCCOc1ccccc1OCCOCCO2</v>
      </c>
      <c r="C2574" s="7">
        <f>IFERROR(__xludf.DUMMYFUNCTION("""COMPUTED_VALUE"""),7.8074923)</f>
        <v>7.8074923</v>
      </c>
      <c r="D2574" s="7">
        <f>IFERROR(__xludf.DUMMYFUNCTION("""COMPUTED_VALUE"""),0.245614035087719)</f>
        <v>0.2456140351</v>
      </c>
    </row>
    <row r="2575">
      <c r="A2575" s="10" t="s">
        <v>4014</v>
      </c>
      <c r="B2575" s="7" t="str">
        <f>IFERROR(__xludf.DUMMYFUNCTION("SPLIT(A2575,"" "")"),"CN(Cc1ccccc1)Cc1cc(-c2cccc3c2OCCOCCOCCOCCOCCO3)ccn1")</f>
        <v>CN(Cc1ccccc1)Cc1cc(-c2cccc3c2OCCOCCOCCOCCOCCO3)ccn1</v>
      </c>
      <c r="C2575" s="7">
        <f>IFERROR(__xludf.DUMMYFUNCTION("""COMPUTED_VALUE"""),7.8074865)</f>
        <v>7.8074865</v>
      </c>
      <c r="D2575" s="7">
        <f>IFERROR(__xludf.DUMMYFUNCTION("""COMPUTED_VALUE"""),0.311475409836065)</f>
        <v>0.3114754098</v>
      </c>
    </row>
    <row r="2576">
      <c r="A2576" s="10" t="s">
        <v>4015</v>
      </c>
      <c r="B2576" s="7" t="str">
        <f>IFERROR(__xludf.DUMMYFUNCTION("SPLIT(A2576,"" "")"),"C=Cc1ccc(CN(Cc2ccccn2)C2CCCCC2N(C)Cc2cccc(-c3ccc4c(c3)OCCOCCOCCOCCOCCO4)n2)nc1")</f>
        <v>C=Cc1ccc(CN(Cc2ccccn2)C2CCCCC2N(C)Cc2cccc(-c3ccc4c(c3)OCCOCCOCCOCCOCCO4)n2)nc1</v>
      </c>
      <c r="C2576" s="7">
        <f>IFERROR(__xludf.DUMMYFUNCTION("""COMPUTED_VALUE"""),7.807473)</f>
        <v>7.807473</v>
      </c>
      <c r="D2576" s="7">
        <f>IFERROR(__xludf.DUMMYFUNCTION("""COMPUTED_VALUE"""),0.434782608695652)</f>
        <v>0.4347826087</v>
      </c>
    </row>
    <row r="2577">
      <c r="A2577" s="10" t="s">
        <v>4016</v>
      </c>
      <c r="B2577" s="7" t="str">
        <f>IFERROR(__xludf.DUMMYFUNCTION("SPLIT(A2577,"" "")"),"Cc1cncc(CN(C)C2CCC(N(Cc3ccccn3)Cc3cccc(-c4ccc5c(c4)OCCOCCOCCOCCOCCO5)n3)CC2)c1C")</f>
        <v>Cc1cncc(CN(C)C2CCC(N(Cc3ccccn3)Cc3cccc(-c4ccc5c(c4)OCCOCCOCCOCCOCCO5)n3)CC2)c1C</v>
      </c>
      <c r="C2577" s="7">
        <f>IFERROR(__xludf.DUMMYFUNCTION("""COMPUTED_VALUE"""),7.8074694)</f>
        <v>7.8074694</v>
      </c>
      <c r="D2577" s="7">
        <f>IFERROR(__xludf.DUMMYFUNCTION("""COMPUTED_VALUE"""),0.35)</f>
        <v>0.35</v>
      </c>
    </row>
    <row r="2578">
      <c r="A2578" s="10" t="s">
        <v>4017</v>
      </c>
      <c r="B2578" s="7" t="str">
        <f>IFERROR(__xludf.DUMMYFUNCTION("SPLIT(A2578,"" "")"),"CN1CCN(C)CCN(C2CCC(N(C)c3ccc4ncc(CF)cc4c3)CC2)CC1")</f>
        <v>CN1CCN(C)CCN(C2CCC(N(C)c3ccc4ncc(CF)cc4c3)CC2)CC1</v>
      </c>
      <c r="C2578" s="7">
        <f>IFERROR(__xludf.DUMMYFUNCTION("""COMPUTED_VALUE"""),7.8074565)</f>
        <v>7.8074565</v>
      </c>
      <c r="D2578" s="7">
        <f>IFERROR(__xludf.DUMMYFUNCTION("""COMPUTED_VALUE"""),0.28125)</f>
        <v>0.28125</v>
      </c>
    </row>
    <row r="2579">
      <c r="A2579" s="10" t="s">
        <v>4018</v>
      </c>
      <c r="B2579" s="7" t="str">
        <f>IFERROR(__xludf.DUMMYFUNCTION("SPLIT(A2579,"" "")"),"CN1CCN(C)CCN(C2CCCCC2N(C)c2ccc3c(CF)ccnc3c2)CC1")</f>
        <v>CN1CCN(C)CCN(C2CCCCC2N(C)c2ccc3c(CF)ccnc3c2)CC1</v>
      </c>
      <c r="C2579" s="7">
        <f>IFERROR(__xludf.DUMMYFUNCTION("""COMPUTED_VALUE"""),7.807435)</f>
        <v>7.807435</v>
      </c>
      <c r="D2579" s="7">
        <f>IFERROR(__xludf.DUMMYFUNCTION("""COMPUTED_VALUE"""),0.303030303030303)</f>
        <v>0.303030303</v>
      </c>
    </row>
    <row r="2580">
      <c r="A2580" s="10" t="s">
        <v>4019</v>
      </c>
      <c r="B2580" s="7" t="str">
        <f>IFERROR(__xludf.DUMMYFUNCTION("SPLIT(A2580,"" "")"),"CN(Cc1ccccn1)C1=CCC=C(CN(C)C2CCC(N(C)Cc3cccc(-c4ccc5c(c4)OCCOCCOCCOCCOCCO5)n3)CC2)N1")</f>
        <v>CN(Cc1ccccn1)C1=CCC=C(CN(C)C2CCC(N(C)Cc3cccc(-c4ccc5c(c4)OCCOCCOCCOCCOCCO5)n3)CC2)N1</v>
      </c>
      <c r="C2580" s="7">
        <f>IFERROR(__xludf.DUMMYFUNCTION("""COMPUTED_VALUE"""),7.8074293)</f>
        <v>7.8074293</v>
      </c>
      <c r="D2580" s="7">
        <f>IFERROR(__xludf.DUMMYFUNCTION("""COMPUTED_VALUE"""),0.35)</f>
        <v>0.35</v>
      </c>
    </row>
    <row r="2581">
      <c r="A2581" s="10" t="s">
        <v>4020</v>
      </c>
      <c r="B2581" s="7" t="str">
        <f>IFERROR(__xludf.DUMMYFUNCTION("SPLIT(A2581,"" "")"),"CC(N)C(C)N(C)CC1=CCC(N(C)C2C=CC=CN2)=CN1")</f>
        <v>CC(N)C(C)N(C)CC1=CCC(N(C)C2C=CC=CN2)=CN1</v>
      </c>
      <c r="C2581" s="7">
        <f>IFERROR(__xludf.DUMMYFUNCTION("""COMPUTED_VALUE"""),7.8074236)</f>
        <v>7.8074236</v>
      </c>
      <c r="D2581" s="7">
        <f>IFERROR(__xludf.DUMMYFUNCTION("""COMPUTED_VALUE"""),0.212121212121212)</f>
        <v>0.2121212121</v>
      </c>
    </row>
    <row r="2582">
      <c r="A2582" s="10" t="s">
        <v>4021</v>
      </c>
      <c r="B2582" s="7" t="str">
        <f>IFERROR(__xludf.DUMMYFUNCTION("SPLIT(A2582,"" "")"),"CC(C)CN(Cc1ccccn1)Cc1cccc(-c2ccc3c(c2)OCCOCCOCCOCCOCCO3)n1")</f>
        <v>CC(C)CN(Cc1ccccn1)Cc1cccc(-c2ccc3c(c2)OCCOCCOCCOCCOCCO3)n1</v>
      </c>
      <c r="C2582" s="7">
        <f>IFERROR(__xludf.DUMMYFUNCTION("""COMPUTED_VALUE"""),7.8074126)</f>
        <v>7.8074126</v>
      </c>
      <c r="D2582" s="7">
        <f>IFERROR(__xludf.DUMMYFUNCTION("""COMPUTED_VALUE"""),0.491803278688524)</f>
        <v>0.4918032787</v>
      </c>
    </row>
    <row r="2583">
      <c r="A2583" s="10" t="s">
        <v>4022</v>
      </c>
      <c r="B2583" s="7" t="str">
        <f>IFERROR(__xludf.DUMMYFUNCTION("SPLIT(A2583,"" "")"),"CN1CCN(C)CCN(C2CCC(N(C)c3cccc4cc(CF)cnc34)CC2)CC1")</f>
        <v>CN1CCN(C)CCN(C2CCC(N(C)c3cccc4cc(CF)cnc34)CC2)CC1</v>
      </c>
      <c r="C2583" s="7">
        <f>IFERROR(__xludf.DUMMYFUNCTION("""COMPUTED_VALUE"""),7.8074107)</f>
        <v>7.8074107</v>
      </c>
      <c r="D2583" s="7">
        <f>IFERROR(__xludf.DUMMYFUNCTION("""COMPUTED_VALUE"""),0.359375)</f>
        <v>0.359375</v>
      </c>
    </row>
    <row r="2584">
      <c r="A2584" s="10" t="s">
        <v>4023</v>
      </c>
      <c r="B2584" s="7" t="str">
        <f>IFERROR(__xludf.DUMMYFUNCTION("SPLIT(A2584,"" "")"),"Cc1ncccc1CN(C)C1CCCC(N(C)Cc2ccon2)C1")</f>
        <v>Cc1ncccc1CN(C)C1CCCC(N(C)Cc2ccon2)C1</v>
      </c>
      <c r="C2584" s="7">
        <f>IFERROR(__xludf.DUMMYFUNCTION("""COMPUTED_VALUE"""),7.807406)</f>
        <v>7.807406</v>
      </c>
      <c r="D2584" s="7">
        <f>IFERROR(__xludf.DUMMYFUNCTION("""COMPUTED_VALUE"""),0.387755102040816)</f>
        <v>0.387755102</v>
      </c>
    </row>
    <row r="2585">
      <c r="A2585" s="10" t="s">
        <v>4024</v>
      </c>
      <c r="B2585" s="7" t="str">
        <f>IFERROR(__xludf.DUMMYFUNCTION("SPLIT(A2585,"" "")"),"CCNCc1cccc(CN(Cc2ccccn2)C2CCCC(N(C)Cc3ccccn3)C2)n1")</f>
        <v>CCNCc1cccc(CN(Cc2ccccn2)C2CCCC(N(C)Cc3ccccn3)C2)n1</v>
      </c>
      <c r="C2585" s="7">
        <f>IFERROR(__xludf.DUMMYFUNCTION("""COMPUTED_VALUE"""),7.8074026)</f>
        <v>7.8074026</v>
      </c>
      <c r="D2585" s="7">
        <f>IFERROR(__xludf.DUMMYFUNCTION("""COMPUTED_VALUE"""),0.471698113207547)</f>
        <v>0.4716981132</v>
      </c>
    </row>
    <row r="2586">
      <c r="A2586" s="10" t="s">
        <v>4025</v>
      </c>
      <c r="B2586" s="7" t="str">
        <f>IFERROR(__xludf.DUMMYFUNCTION("SPLIT(A2586,"" "")"),"COC(=O)C(=O)NCc1ncc(CN2CCN(C)CCN(C)CC2)cc1C")</f>
        <v>COC(=O)C(=O)NCc1ncc(CN2CCN(C)CCN(C)CC2)cc1C</v>
      </c>
      <c r="C2586" s="7">
        <f>IFERROR(__xludf.DUMMYFUNCTION("""COMPUTED_VALUE"""),7.8073993)</f>
        <v>7.8073993</v>
      </c>
      <c r="D2586" s="7">
        <f>IFERROR(__xludf.DUMMYFUNCTION("""COMPUTED_VALUE"""),0.436363636363636)</f>
        <v>0.4363636364</v>
      </c>
    </row>
    <row r="2587">
      <c r="A2587" s="10" t="s">
        <v>4026</v>
      </c>
      <c r="B2587" s="7" t="str">
        <f>IFERROR(__xludf.DUMMYFUNCTION("SPLIT(A2587,"" "")"),"CN(Cc1cccc(-c2ccc3c(c2)OCCOCCOCCOCCOCCO3)n1)C1=CNC=CC1C(C)(C)C")</f>
        <v>CN(Cc1cccc(-c2ccc3c(c2)OCCOCCOCCOCCOCCO3)n1)C1=CNC=CC1C(C)(C)C</v>
      </c>
      <c r="C2587" s="7">
        <f>IFERROR(__xludf.DUMMYFUNCTION("""COMPUTED_VALUE"""),7.807399)</f>
        <v>7.807399</v>
      </c>
      <c r="D2587" s="7">
        <f>IFERROR(__xludf.DUMMYFUNCTION("""COMPUTED_VALUE"""),0.307692307692307)</f>
        <v>0.3076923077</v>
      </c>
    </row>
    <row r="2588">
      <c r="A2588" s="10" t="s">
        <v>4027</v>
      </c>
      <c r="B2588" s="7" t="str">
        <f>IFERROR(__xludf.DUMMYFUNCTION("SPLIT(A2588,"" "")"),"CN1CCN(C)CCN(Cc2ccc(C3=NCC(C)(C)O3)nc2)CC1")</f>
        <v>CN1CCN(C)CCN(Cc2ccc(C3=NCC(C)(C)O3)nc2)CC1</v>
      </c>
      <c r="C2588" s="7">
        <f>IFERROR(__xludf.DUMMYFUNCTION("""COMPUTED_VALUE"""),7.807398)</f>
        <v>7.807398</v>
      </c>
      <c r="D2588" s="7">
        <f>IFERROR(__xludf.DUMMYFUNCTION("""COMPUTED_VALUE"""),0.352941176470588)</f>
        <v>0.3529411765</v>
      </c>
    </row>
    <row r="2589">
      <c r="A2589" s="10" t="s">
        <v>4028</v>
      </c>
      <c r="B2589" s="7" t="str">
        <f>IFERROR(__xludf.DUMMYFUNCTION("SPLIT(A2589,"" "")"),"C1=CC(CN(Cc2ccccn2)Cc2cc(-c3ccc4c(c3)OCCOCCOCCOCCOCCO4)ccn2)C=CN1")</f>
        <v>C1=CC(CN(Cc2ccccn2)Cc2cc(-c3ccc4c(c3)OCCOCCOCCOCCOCCO4)ccn2)C=CN1</v>
      </c>
      <c r="C2589" s="7">
        <f>IFERROR(__xludf.DUMMYFUNCTION("""COMPUTED_VALUE"""),7.8073936)</f>
        <v>7.8073936</v>
      </c>
      <c r="D2589" s="7">
        <f>IFERROR(__xludf.DUMMYFUNCTION("""COMPUTED_VALUE"""),0.369230769230769)</f>
        <v>0.3692307692</v>
      </c>
    </row>
    <row r="2590">
      <c r="A2590" s="10" t="s">
        <v>4029</v>
      </c>
      <c r="B2590" s="7" t="str">
        <f>IFERROR(__xludf.DUMMYFUNCTION("SPLIT(A2590,"" "")"),"CC(C)C1=CC2(C=CN1)C=CC(C)(C)CC2(C)C")</f>
        <v>CC(C)C1=CC2(C=CN1)C=CC(C)(C)CC2(C)C</v>
      </c>
      <c r="C2590" s="7">
        <f>IFERROR(__xludf.DUMMYFUNCTION("""COMPUTED_VALUE"""),7.8073826)</f>
        <v>7.8073826</v>
      </c>
      <c r="D2590" s="7">
        <f>IFERROR(__xludf.DUMMYFUNCTION("""COMPUTED_VALUE"""),0.148148148148148)</f>
        <v>0.1481481481</v>
      </c>
    </row>
    <row r="2591">
      <c r="A2591" s="10" t="s">
        <v>4030</v>
      </c>
      <c r="B2591" s="7" t="str">
        <f>IFERROR(__xludf.DUMMYFUNCTION("SPLIT(A2591,"" "")"),"CN(CCN(C)C(C)(C)c1ccccn1)CC(C)(C)C")</f>
        <v>CN(CCN(C)C(C)(C)c1ccccn1)CC(C)(C)C</v>
      </c>
      <c r="C2591" s="7">
        <f>IFERROR(__xludf.DUMMYFUNCTION("""COMPUTED_VALUE"""),7.8073688)</f>
        <v>7.8073688</v>
      </c>
      <c r="D2591" s="7">
        <f>IFERROR(__xludf.DUMMYFUNCTION("""COMPUTED_VALUE"""),0.452380952380952)</f>
        <v>0.4523809524</v>
      </c>
    </row>
    <row r="2592">
      <c r="A2592" s="10" t="s">
        <v>4031</v>
      </c>
      <c r="B2592" s="7" t="str">
        <f>IFERROR(__xludf.DUMMYFUNCTION("SPLIT(A2592,"" "")"),"CCCN(C)C1CCC(N(Cc2ccccn2)Cc2nc(C)c(C)c(C)c2C)CC1")</f>
        <v>CCCN(C)C1CCC(N(Cc2ccccn2)Cc2nc(C)c(C)c(C)c2C)CC1</v>
      </c>
      <c r="C2592" s="7">
        <f>IFERROR(__xludf.DUMMYFUNCTION("""COMPUTED_VALUE"""),7.8073654)</f>
        <v>7.8073654</v>
      </c>
      <c r="D2592" s="7">
        <f>IFERROR(__xludf.DUMMYFUNCTION("""COMPUTED_VALUE"""),0.418181818181818)</f>
        <v>0.4181818182</v>
      </c>
    </row>
    <row r="2593">
      <c r="A2593" s="10" t="s">
        <v>4032</v>
      </c>
      <c r="B2593" s="7" t="str">
        <f>IFERROR(__xludf.DUMMYFUNCTION("SPLIT(A2593,"" "")"),"CN(Cc1cccc(C2=CCC=CN2)n1)C1CCCCC1N(C)Cc1cccc(-c2ccc3c(c2)OCCOCCOCCOCCOCCO3)n1")</f>
        <v>CN(Cc1cccc(C2=CCC=CN2)n1)C1CCCCC1N(C)Cc1cccc(-c2ccc3c(c2)OCCOCCOCCOCCOCCO3)n1</v>
      </c>
      <c r="C2593" s="7">
        <f>IFERROR(__xludf.DUMMYFUNCTION("""COMPUTED_VALUE"""),7.8073597)</f>
        <v>7.8073597</v>
      </c>
      <c r="D2593" s="7">
        <f>IFERROR(__xludf.DUMMYFUNCTION("""COMPUTED_VALUE"""),0.393939393939393)</f>
        <v>0.3939393939</v>
      </c>
    </row>
    <row r="2594">
      <c r="A2594" s="10" t="s">
        <v>4033</v>
      </c>
      <c r="B2594" s="7" t="str">
        <f>IFERROR(__xludf.DUMMYFUNCTION("SPLIT(A2594,"" "")"),"Cc1cc2c(c(N(C)Cc3ncccc3C(C)(C)C)c1)OCCOCCOCCOCCOCCO2")</f>
        <v>Cc1cc2c(c(N(C)Cc3ncccc3C(C)(C)C)c1)OCCOCCOCCOCCOCCO2</v>
      </c>
      <c r="C2594" s="7">
        <f>IFERROR(__xludf.DUMMYFUNCTION("""COMPUTED_VALUE"""),7.807359)</f>
        <v>7.807359</v>
      </c>
      <c r="D2594" s="7">
        <f>IFERROR(__xludf.DUMMYFUNCTION("""COMPUTED_VALUE"""),0.278688524590163)</f>
        <v>0.2786885246</v>
      </c>
    </row>
    <row r="2595">
      <c r="A2595" s="10" t="s">
        <v>4034</v>
      </c>
      <c r="B2595" s="7" t="str">
        <f>IFERROR(__xludf.DUMMYFUNCTION("SPLIT(A2595,"" "")"),"CN(C)Cc1cc(-c2ccc3c(c2)OCCOCCOCCOCCOCCO3)ccn1")</f>
        <v>CN(C)Cc1cc(-c2ccc3c(c2)OCCOCCOCCOCCOCCO3)ccn1</v>
      </c>
      <c r="C2595" s="7">
        <f>IFERROR(__xludf.DUMMYFUNCTION("""COMPUTED_VALUE"""),7.8073497)</f>
        <v>7.8073497</v>
      </c>
      <c r="D2595" s="7">
        <f>IFERROR(__xludf.DUMMYFUNCTION("""COMPUTED_VALUE"""),0.43859649122807)</f>
        <v>0.4385964912</v>
      </c>
    </row>
    <row r="2596">
      <c r="A2596" s="10" t="s">
        <v>4035</v>
      </c>
      <c r="B2596" s="7" t="str">
        <f>IFERROR(__xludf.DUMMYFUNCTION("SPLIT(A2596,"" "")"),"CNCc1cc(CN(C)C2CCC(N(C)Cc3nc(C)ccc3C)CC2)ccn1")</f>
        <v>CNCc1cc(CN(C)C2CCC(N(C)Cc3nc(C)ccc3C)CC2)ccn1</v>
      </c>
      <c r="C2596" s="7">
        <f>IFERROR(__xludf.DUMMYFUNCTION("""COMPUTED_VALUE"""),7.807344)</f>
        <v>7.807344</v>
      </c>
      <c r="D2596" s="7">
        <f>IFERROR(__xludf.DUMMYFUNCTION("""COMPUTED_VALUE"""),0.305084745762711)</f>
        <v>0.3050847458</v>
      </c>
    </row>
    <row r="2597">
      <c r="A2597" s="10" t="s">
        <v>4036</v>
      </c>
      <c r="B2597" s="7" t="str">
        <f>IFERROR(__xludf.DUMMYFUNCTION("SPLIT(A2597,"" "")"),"CN1CCN(C)CCN(Cc2cncc(C(C)(C)c3ccccn3)c2)CC1")</f>
        <v>CN1CCN(C)CCN(Cc2cncc(C(C)(C)c3ccccn3)c2)CC1</v>
      </c>
      <c r="C2597" s="7">
        <f>IFERROR(__xludf.DUMMYFUNCTION("""COMPUTED_VALUE"""),7.807342)</f>
        <v>7.807342</v>
      </c>
      <c r="D2597" s="7">
        <f>IFERROR(__xludf.DUMMYFUNCTION("""COMPUTED_VALUE"""),0.479166666666666)</f>
        <v>0.4791666667</v>
      </c>
    </row>
    <row r="2598">
      <c r="A2598" s="10" t="s">
        <v>4037</v>
      </c>
      <c r="B2598" s="7" t="str">
        <f>IFERROR(__xludf.DUMMYFUNCTION("SPLIT(A2598,"" "")"),"Cc1ccncc1CN(C)CCN(C)C(C)C")</f>
        <v>Cc1ccncc1CN(C)CCN(C)C(C)C</v>
      </c>
      <c r="C2598" s="7">
        <f>IFERROR(__xludf.DUMMYFUNCTION("""COMPUTED_VALUE"""),7.8073397)</f>
        <v>7.8073397</v>
      </c>
      <c r="D2598" s="7">
        <f>IFERROR(__xludf.DUMMYFUNCTION("""COMPUTED_VALUE"""),0.348837209302325)</f>
        <v>0.3488372093</v>
      </c>
    </row>
    <row r="2599">
      <c r="A2599" s="10" t="s">
        <v>4038</v>
      </c>
      <c r="B2599" s="7" t="str">
        <f>IFERROR(__xludf.DUMMYFUNCTION("SPLIT(A2599,"" "")"),"CC1=CC(C)C(C)C(N(C)CC2=CC(N(C)Cc3ccccn3)C=CN2)C1")</f>
        <v>CC1=CC(C)C(C)C(N(C)CC2=CC(N(C)Cc3ccccn3)C=CN2)C1</v>
      </c>
      <c r="C2599" s="7">
        <f>IFERROR(__xludf.DUMMYFUNCTION("""COMPUTED_VALUE"""),7.8073196)</f>
        <v>7.8073196</v>
      </c>
      <c r="D2599" s="7">
        <f>IFERROR(__xludf.DUMMYFUNCTION("""COMPUTED_VALUE"""),0.446428571428571)</f>
        <v>0.4464285714</v>
      </c>
    </row>
    <row r="2600">
      <c r="A2600" s="10" t="s">
        <v>4039</v>
      </c>
      <c r="B2600" s="7" t="str">
        <f>IFERROR(__xludf.DUMMYFUNCTION("SPLIT(A2600,"" "")"),"CCN(C)CCN(C)CN(C)CCN(C)CCN(C)CCN(C)CCN(C)CN(C)CCN(C)CCN(C)CCN(C)CCN(C)CN(C)CCN(C)CCN(C)CCN(C)CCN(C)CN(C)CCN(C)CCN(C)CCN(C)CCN(C)CN(C)CCN(C)CCN(C)CCN(C)C")</f>
        <v>CCN(C)CCN(C)CN(C)CCN(C)CCN(C)CCN(C)CCN(C)CN(C)CCN(C)CCN(C)CCN(C)CCN(C)CN(C)CCN(C)CCN(C)CCN(C)CCN(C)CN(C)CCN(C)CCN(C)CCN(C)CCN(C)CN(C)CCN(C)CCN(C)CCN(C)C</v>
      </c>
      <c r="C2600" s="7">
        <f>IFERROR(__xludf.DUMMYFUNCTION("""COMPUTED_VALUE"""),7.807309)</f>
        <v>7.807309</v>
      </c>
      <c r="D2600" s="7">
        <f>IFERROR(__xludf.DUMMYFUNCTION("""COMPUTED_VALUE"""),0.216216216216216)</f>
        <v>0.2162162162</v>
      </c>
    </row>
    <row r="2601">
      <c r="A2601" s="10" t="s">
        <v>4040</v>
      </c>
      <c r="B2601" s="7" t="str">
        <f>IFERROR(__xludf.DUMMYFUNCTION("SPLIT(A2601,"" "")"),"COC(=O)C(C)NCc1cc(C)c(CN2CCN(C)CCN(C)CC2)c(C)n1")</f>
        <v>COC(=O)C(C)NCc1cc(C)c(CN2CCN(C)CCN(C)CC2)c(C)n1</v>
      </c>
      <c r="C2601" s="7">
        <f>IFERROR(__xludf.DUMMYFUNCTION("""COMPUTED_VALUE"""),7.8073077)</f>
        <v>7.8073077</v>
      </c>
      <c r="D2601" s="7">
        <f>IFERROR(__xludf.DUMMYFUNCTION("""COMPUTED_VALUE"""),0.38095238095238)</f>
        <v>0.380952381</v>
      </c>
    </row>
    <row r="2602">
      <c r="A2602" s="10" t="s">
        <v>4041</v>
      </c>
      <c r="B2602" s="7" t="str">
        <f>IFERROR(__xludf.DUMMYFUNCTION("SPLIT(A2602,"" "")"),"CN(Cc1cccc(C2=CCC=CN2)n1)C1CCCCC1N(C)Cc1cccc(-c2cccc3c2OCCOCCOCCOCCOCCO3)n1")</f>
        <v>CN(Cc1cccc(C2=CCC=CN2)n1)C1CCCCC1N(C)Cc1cccc(-c2cccc3c2OCCOCCOCCOCCOCCO3)n1</v>
      </c>
      <c r="C2602" s="7">
        <f>IFERROR(__xludf.DUMMYFUNCTION("""COMPUTED_VALUE"""),7.807306)</f>
        <v>7.807306</v>
      </c>
      <c r="D2602" s="7">
        <f>IFERROR(__xludf.DUMMYFUNCTION("""COMPUTED_VALUE"""),0.393939393939393)</f>
        <v>0.3939393939</v>
      </c>
    </row>
    <row r="2603">
      <c r="A2603" s="10" t="s">
        <v>4042</v>
      </c>
      <c r="B2603" s="7" t="str">
        <f>IFERROR(__xludf.DUMMYFUNCTION("SPLIT(A2603,"" "")"),"CCNCc1ncccc1CN(Cc1ccccn1)C1CCCC(N(C)Cc2ccccn2)C1")</f>
        <v>CCNCc1ncccc1CN(Cc1ccccn1)C1CCCC(N(C)Cc2ccccn2)C1</v>
      </c>
      <c r="C2603" s="7">
        <f>IFERROR(__xludf.DUMMYFUNCTION("""COMPUTED_VALUE"""),7.807306)</f>
        <v>7.807306</v>
      </c>
      <c r="D2603" s="7">
        <f>IFERROR(__xludf.DUMMYFUNCTION("""COMPUTED_VALUE"""),0.446428571428571)</f>
        <v>0.4464285714</v>
      </c>
    </row>
    <row r="2604">
      <c r="A2604" s="10" t="s">
        <v>4043</v>
      </c>
      <c r="B2604" s="7" t="str">
        <f>IFERROR(__xludf.DUMMYFUNCTION("SPLIT(A2604,"" "")"),"CC(C)N(C)Cc1cccc(N(C)C2CCC(N(C)Cc3ccccn3)CC2)n1")</f>
        <v>CC(C)N(C)Cc1cccc(N(C)C2CCC(N(C)Cc3ccccn3)CC2)n1</v>
      </c>
      <c r="C2604" s="7">
        <f>IFERROR(__xludf.DUMMYFUNCTION("""COMPUTED_VALUE"""),7.8073015)</f>
        <v>7.8073015</v>
      </c>
      <c r="D2604" s="7">
        <f>IFERROR(__xludf.DUMMYFUNCTION("""COMPUTED_VALUE"""),0.470588235294117)</f>
        <v>0.4705882353</v>
      </c>
    </row>
    <row r="2605">
      <c r="A2605" s="10" t="s">
        <v>4044</v>
      </c>
      <c r="B2605" s="7" t="str">
        <f>IFERROR(__xludf.DUMMYFUNCTION("SPLIT(A2605,"" "")"),"CNCN(CCN(C)C(C)C)C(C)C")</f>
        <v>CNCN(CCN(C)C(C)C)C(C)C</v>
      </c>
      <c r="C2605" s="7">
        <f>IFERROR(__xludf.DUMMYFUNCTION("""COMPUTED_VALUE"""),7.8072963)</f>
        <v>7.8072963</v>
      </c>
      <c r="D2605" s="7">
        <f>IFERROR(__xludf.DUMMYFUNCTION("""COMPUTED_VALUE"""),0.256410256410256)</f>
        <v>0.2564102564</v>
      </c>
    </row>
    <row r="2606">
      <c r="A2606" s="10" t="s">
        <v>4045</v>
      </c>
      <c r="B2606" s="7" t="str">
        <f>IFERROR(__xludf.DUMMYFUNCTION("SPLIT(A2606,"" "")"),"Cc1cccnc1CN(C)C1CCCC(N(C)Cc2ncccc2C(C)C)C1")</f>
        <v>Cc1cccnc1CN(C)C1CCCC(N(C)Cc2ncccc2C(C)C)C1</v>
      </c>
      <c r="C2606" s="7">
        <f>IFERROR(__xludf.DUMMYFUNCTION("""COMPUTED_VALUE"""),7.8072915)</f>
        <v>7.8072915</v>
      </c>
      <c r="D2606" s="7">
        <f>IFERROR(__xludf.DUMMYFUNCTION("""COMPUTED_VALUE"""),0.339622641509433)</f>
        <v>0.3396226415</v>
      </c>
    </row>
    <row r="2607">
      <c r="A2607" s="10" t="s">
        <v>4046</v>
      </c>
      <c r="B2607" s="7" t="str">
        <f>IFERROR(__xludf.DUMMYFUNCTION("SPLIT(A2607,"" "")"),"Cc1cc(C)c(CN(C)C2CCCC(N(C)Cc3ncccc3N3CCN(C)CCN(C)CC3)C2)nc1C")</f>
        <v>Cc1cc(C)c(CN(C)C2CCCC(N(C)Cc3ncccc3N3CCN(C)CCN(C)CC3)C2)nc1C</v>
      </c>
      <c r="C2607" s="7">
        <f>IFERROR(__xludf.DUMMYFUNCTION("""COMPUTED_VALUE"""),7.807288)</f>
        <v>7.807288</v>
      </c>
      <c r="D2607" s="7">
        <f>IFERROR(__xludf.DUMMYFUNCTION("""COMPUTED_VALUE"""),0.285714285714285)</f>
        <v>0.2857142857</v>
      </c>
    </row>
    <row r="2608">
      <c r="A2608" s="10" t="s">
        <v>4047</v>
      </c>
      <c r="B2608" s="7" t="str">
        <f>IFERROR(__xludf.DUMMYFUNCTION("SPLIT(A2608,"" "")"),"Cc1cc(C)c(CN(C)C2CCCC(N(C)Cc3cccnn3)C2)cn1")</f>
        <v>Cc1cc(C)c(CN(C)C2CCCC(N(C)Cc3cccnn3)C2)cn1</v>
      </c>
      <c r="C2608" s="7">
        <f>IFERROR(__xludf.DUMMYFUNCTION("""COMPUTED_VALUE"""),7.807287)</f>
        <v>7.807287</v>
      </c>
      <c r="D2608" s="7">
        <f>IFERROR(__xludf.DUMMYFUNCTION("""COMPUTED_VALUE"""),0.392156862745098)</f>
        <v>0.3921568627</v>
      </c>
    </row>
    <row r="2609">
      <c r="A2609" s="10" t="s">
        <v>4048</v>
      </c>
      <c r="B2609" s="7" t="str">
        <f>IFERROR(__xludf.DUMMYFUNCTION("SPLIT(A2609,"" "")"),"CNC1C(N(Cc2ccccn2)Cc2ncccc2C)CCCC1N(Cc1ncccc1C)C1(C)CCC1")</f>
        <v>CNC1C(N(Cc2ccccn2)Cc2ncccc2C)CCCC1N(Cc1ncccc1C)C1(C)CCC1</v>
      </c>
      <c r="C2609" s="7">
        <f>IFERROR(__xludf.DUMMYFUNCTION("""COMPUTED_VALUE"""),7.807278)</f>
        <v>7.807278</v>
      </c>
      <c r="D2609" s="7">
        <f>IFERROR(__xludf.DUMMYFUNCTION("""COMPUTED_VALUE"""),0.4)</f>
        <v>0.4</v>
      </c>
    </row>
    <row r="2610">
      <c r="A2610" s="10" t="s">
        <v>4049</v>
      </c>
      <c r="B2610" s="7" t="str">
        <f>IFERROR(__xludf.DUMMYFUNCTION("SPLIT(A2610,"" "")"),"CN(C)Cc1cccc(CN(Cc2ccccn2)C2CCC(N(C)Cc3cccc(-c4ccc5c(c4)OCCOCCOCCOCCOCCO5)n3)CC2)n1")</f>
        <v>CN(C)Cc1cccc(CN(Cc2ccccn2)C2CCC(N(C)Cc3cccc(-c4ccc5c(c4)OCCOCCOCCOCCOCCO5)n3)CC2)n1</v>
      </c>
      <c r="C2610" s="7">
        <f>IFERROR(__xludf.DUMMYFUNCTION("""COMPUTED_VALUE"""),7.8072753)</f>
        <v>7.8072753</v>
      </c>
      <c r="D2610" s="7">
        <f>IFERROR(__xludf.DUMMYFUNCTION("""COMPUTED_VALUE"""),0.388888888888888)</f>
        <v>0.3888888889</v>
      </c>
    </row>
    <row r="2611">
      <c r="A2611" s="10" t="s">
        <v>4050</v>
      </c>
      <c r="B2611" s="7" t="str">
        <f>IFERROR(__xludf.DUMMYFUNCTION("SPLIT(A2611,"" "")"),"CN(Cc1ccccn1)C1=CNC(CN(C)c2cccc3c2OCCOCCOCCOCCOCCO3)=CC1")</f>
        <v>CN(Cc1ccccn1)C1=CNC(CN(C)c2cccc3c2OCCOCCOCCOCCOCCO3)=CC1</v>
      </c>
      <c r="C2611" s="7">
        <f>IFERROR(__xludf.DUMMYFUNCTION("""COMPUTED_VALUE"""),7.8072705)</f>
        <v>7.8072705</v>
      </c>
      <c r="D2611" s="7">
        <f>IFERROR(__xludf.DUMMYFUNCTION("""COMPUTED_VALUE"""),0.370967741935483)</f>
        <v>0.3709677419</v>
      </c>
    </row>
    <row r="2612">
      <c r="A2612" s="10" t="s">
        <v>4051</v>
      </c>
      <c r="B2612" s="7" t="str">
        <f>IFERROR(__xludf.DUMMYFUNCTION("SPLIT(A2612,"" "")"),"CC1CC(C)C(C)C=C1CN(C)CC1=CCC=CN1")</f>
        <v>CC1CC(C)C(C)C=C1CN(C)CC1=CCC=CN1</v>
      </c>
      <c r="C2612" s="7">
        <f>IFERROR(__xludf.DUMMYFUNCTION("""COMPUTED_VALUE"""),7.807242)</f>
        <v>7.807242</v>
      </c>
      <c r="D2612" s="7">
        <f>IFERROR(__xludf.DUMMYFUNCTION("""COMPUTED_VALUE"""),0.345454545454545)</f>
        <v>0.3454545455</v>
      </c>
    </row>
    <row r="2613">
      <c r="A2613" s="10" t="s">
        <v>4052</v>
      </c>
      <c r="B2613" s="7" t="str">
        <f>IFERROR(__xludf.DUMMYFUNCTION("SPLIT(A2613,"" "")"),"CCC1CC(C)(c2ccccn2)CC=C1C")</f>
        <v>CCC1CC(C)(c2ccccn2)CC=C1C</v>
      </c>
      <c r="C2613" s="7">
        <f>IFERROR(__xludf.DUMMYFUNCTION("""COMPUTED_VALUE"""),7.807237)</f>
        <v>7.807237</v>
      </c>
      <c r="D2613" s="7">
        <f>IFERROR(__xludf.DUMMYFUNCTION("""COMPUTED_VALUE"""),0.269230769230769)</f>
        <v>0.2692307692</v>
      </c>
    </row>
    <row r="2614">
      <c r="A2614" s="10" t="s">
        <v>4053</v>
      </c>
      <c r="B2614" s="7" t="str">
        <f>IFERROR(__xludf.DUMMYFUNCTION("SPLIT(A2614,"" "")"),"CN(Cc1cccc(-c2ccc3c(c2)OCCOCCOCCOCCOCCO3)n1)Cc1cccc(-c2ccc3c(c2)OCCOCCOCCOCCOCCO3)n1")</f>
        <v>CN(Cc1cccc(-c2ccc3c(c2)OCCOCCOCCOCCOCCO3)n1)Cc1cccc(-c2ccc3c(c2)OCCOCCOCCOCCOCCO3)n1</v>
      </c>
      <c r="C2614" s="7">
        <f>IFERROR(__xludf.DUMMYFUNCTION("""COMPUTED_VALUE"""),7.807229)</f>
        <v>7.807229</v>
      </c>
      <c r="D2614" s="7">
        <f>IFERROR(__xludf.DUMMYFUNCTION("""COMPUTED_VALUE"""),0.42)</f>
        <v>0.42</v>
      </c>
    </row>
    <row r="2615">
      <c r="A2615" s="10" t="s">
        <v>4054</v>
      </c>
      <c r="B2615" s="7" t="str">
        <f>IFERROR(__xludf.DUMMYFUNCTION("SPLIT(A2615,"" "")"),"Cc1cc(CNCc2ccc(CN3CCN(C)CCN(C)CC3)cn2)nc(C)c1C")</f>
        <v>Cc1cc(CNCc2ccc(CN3CCN(C)CCN(C)CC3)cn2)nc(C)c1C</v>
      </c>
      <c r="C2615" s="7">
        <f>IFERROR(__xludf.DUMMYFUNCTION("""COMPUTED_VALUE"""),7.807228)</f>
        <v>7.807228</v>
      </c>
      <c r="D2615" s="7">
        <f>IFERROR(__xludf.DUMMYFUNCTION("""COMPUTED_VALUE"""),0.388888888888888)</f>
        <v>0.3888888889</v>
      </c>
    </row>
    <row r="2616">
      <c r="A2616" s="10" t="s">
        <v>4055</v>
      </c>
      <c r="B2616" s="7" t="str">
        <f>IFERROR(__xludf.DUMMYFUNCTION("SPLIT(A2616,"" "")"),"CN(Cc1cc(-c2cccc3c2OCCOCCOCCOCCOCCO3)ccn1)C1CCCCC1N(C)Cc1cccc(C2=CCC=CN2)n1")</f>
        <v>CN(Cc1cc(-c2cccc3c2OCCOCCOCCOCCOCCO3)ccn1)C1CCCCC1N(C)Cc1cccc(C2=CCC=CN2)n1</v>
      </c>
      <c r="C2616" s="7">
        <f>IFERROR(__xludf.DUMMYFUNCTION("""COMPUTED_VALUE"""),7.8072248)</f>
        <v>7.8072248</v>
      </c>
      <c r="D2616" s="7">
        <f>IFERROR(__xludf.DUMMYFUNCTION("""COMPUTED_VALUE"""),0.351351351351351)</f>
        <v>0.3513513514</v>
      </c>
    </row>
    <row r="2617">
      <c r="A2617" s="10" t="s">
        <v>4056</v>
      </c>
      <c r="B2617" s="7" t="str">
        <f>IFERROR(__xludf.DUMMYFUNCTION("SPLIT(A2617,"" "")"),"CNC1CCC(N(Cc2ccc(C)cn2)Cc2nc(C)ccc2C)CC1")</f>
        <v>CNC1CCC(N(Cc2ccc(C)cn2)Cc2nc(C)ccc2C)CC1</v>
      </c>
      <c r="C2617" s="7">
        <f>IFERROR(__xludf.DUMMYFUNCTION("""COMPUTED_VALUE"""),7.807223)</f>
        <v>7.807223</v>
      </c>
      <c r="D2617" s="7">
        <f>IFERROR(__xludf.DUMMYFUNCTION("""COMPUTED_VALUE"""),0.4)</f>
        <v>0.4</v>
      </c>
    </row>
    <row r="2618">
      <c r="A2618" s="10" t="s">
        <v>4057</v>
      </c>
      <c r="B2618" s="7" t="str">
        <f>IFERROR(__xludf.DUMMYFUNCTION("SPLIT(A2618,"" "")"),"CNC1CCCC(N(Cc2ccccn2)Cc2ncc(C)c(C)c2C)C1")</f>
        <v>CNC1CCCC(N(Cc2ccccn2)Cc2ncc(C)c(C)c2C)C1</v>
      </c>
      <c r="C2618" s="7">
        <f>IFERROR(__xludf.DUMMYFUNCTION("""COMPUTED_VALUE"""),7.8071947)</f>
        <v>7.8071947</v>
      </c>
      <c r="D2618" s="7">
        <f>IFERROR(__xludf.DUMMYFUNCTION("""COMPUTED_VALUE"""),0.392857142857142)</f>
        <v>0.3928571429</v>
      </c>
    </row>
    <row r="2619">
      <c r="A2619" s="10" t="s">
        <v>4058</v>
      </c>
      <c r="B2619" s="7" t="str">
        <f>IFERROR(__xludf.DUMMYFUNCTION("SPLIT(A2619,"" "")"),"Cc1cccnc1CN(C)C1CCC(N(C)Cc2ccon2)CC1")</f>
        <v>Cc1cccnc1CN(C)C1CCC(N(C)Cc2ccon2)CC1</v>
      </c>
      <c r="C2619" s="7">
        <f>IFERROR(__xludf.DUMMYFUNCTION("""COMPUTED_VALUE"""),7.807193)</f>
        <v>7.807193</v>
      </c>
      <c r="D2619" s="7">
        <f>IFERROR(__xludf.DUMMYFUNCTION("""COMPUTED_VALUE"""),0.413043478260869)</f>
        <v>0.4130434783</v>
      </c>
    </row>
    <row r="2620">
      <c r="A2620" s="10" t="s">
        <v>4059</v>
      </c>
      <c r="B2620" s="7" t="str">
        <f>IFERROR(__xludf.DUMMYFUNCTION("SPLIT(A2620,"" "")"),"CC(C)Nc1cccc(CN2CCN(C)CCN(Cc3cc(C(C)(C)C)ccn3)CC2)n1")</f>
        <v>CC(C)Nc1cccc(CN2CCN(C)CCN(Cc3cc(C(C)(C)C)ccn3)CC2)n1</v>
      </c>
      <c r="C2620" s="7">
        <f>IFERROR(__xludf.DUMMYFUNCTION("""COMPUTED_VALUE"""),7.807185)</f>
        <v>7.807185</v>
      </c>
      <c r="D2620" s="7">
        <f>IFERROR(__xludf.DUMMYFUNCTION("""COMPUTED_VALUE"""),0.462962962962962)</f>
        <v>0.462962963</v>
      </c>
    </row>
    <row r="2621">
      <c r="A2621" s="10" t="s">
        <v>4060</v>
      </c>
      <c r="B2621" s="7" t="str">
        <f>IFERROR(__xludf.DUMMYFUNCTION("SPLIT(A2621,"" "")"),"CN1CCN(Cc2ccccn2)CCN(Cc2cccc(N(C)Cc3ncccc3-c3cccc4c3OCCOCCOCCOCCOCCO4)n2)CC1")</f>
        <v>CN1CCN(Cc2ccccn2)CCN(Cc2cccc(N(C)Cc3ncccc3-c3cccc4c3OCCOCCOCCOCCOCCO4)n2)CC1</v>
      </c>
      <c r="C2621" s="7">
        <f>IFERROR(__xludf.DUMMYFUNCTION("""COMPUTED_VALUE"""),7.807179)</f>
        <v>7.807179</v>
      </c>
      <c r="D2621" s="7">
        <f>IFERROR(__xludf.DUMMYFUNCTION("""COMPUTED_VALUE"""),0.444444444444444)</f>
        <v>0.4444444444</v>
      </c>
    </row>
    <row r="2622">
      <c r="A2622" s="10" t="s">
        <v>4061</v>
      </c>
      <c r="B2622" s="7" t="str">
        <f>IFERROR(__xludf.DUMMYFUNCTION("SPLIT(A2622,"" "")"),"CCCN(Cc1ccccn1)C1CCC(N(C)Cc2nc(C)c(C)c(C)c2C)CC1")</f>
        <v>CCCN(Cc1ccccn1)C1CCC(N(C)Cc2nc(C)c(C)c(C)c2C)CC1</v>
      </c>
      <c r="C2622" s="7">
        <f>IFERROR(__xludf.DUMMYFUNCTION("""COMPUTED_VALUE"""),7.8071723)</f>
        <v>7.8071723</v>
      </c>
      <c r="D2622" s="7">
        <f>IFERROR(__xludf.DUMMYFUNCTION("""COMPUTED_VALUE"""),0.418181818181818)</f>
        <v>0.4181818182</v>
      </c>
    </row>
    <row r="2623">
      <c r="A2623" s="10" t="s">
        <v>4062</v>
      </c>
      <c r="B2623" s="7" t="str">
        <f>IFERROR(__xludf.DUMMYFUNCTION("SPLIT(A2623,"" "")"),"CN(CCN(Cc1ccccn1)Cc1cccc(-c2ccc3c(c2)OCCOCCOCCOCCOCCO3)n1)Cc1cccc(-c2ccc3c(c2)OCCOCCOCCOCCOCCO3)n1")</f>
        <v>CN(CCN(Cc1ccccn1)Cc1cccc(-c2ccc3c(c2)OCCOCCOCCOCCOCCO3)n1)Cc1cccc(-c2ccc3c(c2)OCCOCCOCCOCCOCCO3)n1</v>
      </c>
      <c r="C2623" s="7">
        <f>IFERROR(__xludf.DUMMYFUNCTION("""COMPUTED_VALUE"""),7.8071685)</f>
        <v>7.8071685</v>
      </c>
      <c r="D2623" s="7">
        <f>IFERROR(__xludf.DUMMYFUNCTION("""COMPUTED_VALUE"""),0.476190476190476)</f>
        <v>0.4761904762</v>
      </c>
    </row>
    <row r="2624">
      <c r="A2624" s="10" t="s">
        <v>4063</v>
      </c>
      <c r="B2624" s="7" t="str">
        <f>IFERROR(__xludf.DUMMYFUNCTION("SPLIT(A2624,"" "")"),"CN(Cc1ccc(-c2ccc3c(c2)OCCOCCOCCOCCOCCO3)cn1)C1CCC(N(Cc2ccccn2)Cc2cccc(C(C)(C)C)n2)CC1")</f>
        <v>CN(Cc1ccc(-c2ccc3c(c2)OCCOCCOCCOCCOCCO3)cn1)C1CCC(N(Cc2ccccn2)Cc2cccc(C(C)(C)C)n2)CC1</v>
      </c>
      <c r="C2624" s="7">
        <f>IFERROR(__xludf.DUMMYFUNCTION("""COMPUTED_VALUE"""),7.8071547)</f>
        <v>7.8071547</v>
      </c>
      <c r="D2624" s="7">
        <f>IFERROR(__xludf.DUMMYFUNCTION("""COMPUTED_VALUE"""),0.415584415584415)</f>
        <v>0.4155844156</v>
      </c>
    </row>
    <row r="2625">
      <c r="A2625" s="10" t="s">
        <v>4064</v>
      </c>
      <c r="B2625" s="7" t="str">
        <f>IFERROR(__xludf.DUMMYFUNCTION("SPLIT(A2625,"" "")"),"CC(C)c1cccc(CN(Cc2ccccn2)C2CCC(N(C)Cc3cc(-c4ccc5c(c4)OCCOCCOCCOCCOCCO5)ccn3)CC2)n1")</f>
        <v>CC(C)c1cccc(CN(Cc2ccccn2)C2CCC(N(C)Cc3cc(-c4ccc5c(c4)OCCOCCOCCOCCOCCO5)ccn3)CC2)n1</v>
      </c>
      <c r="C2625" s="7">
        <f>IFERROR(__xludf.DUMMYFUNCTION("""COMPUTED_VALUE"""),7.8071456)</f>
        <v>7.8071456</v>
      </c>
      <c r="D2625" s="7">
        <f>IFERROR(__xludf.DUMMYFUNCTION("""COMPUTED_VALUE"""),0.342857142857142)</f>
        <v>0.3428571429</v>
      </c>
    </row>
    <row r="2626">
      <c r="A2626" s="10" t="s">
        <v>4065</v>
      </c>
      <c r="B2626" s="7" t="str">
        <f>IFERROR(__xludf.DUMMYFUNCTION("SPLIT(A2626,"" "")"),"CN(Cc1ccccn1)C1CCCC(N(C)c2cccc(F)c2)C1")</f>
        <v>CN(Cc1ccccn1)C1CCCC(N(C)c2cccc(F)c2)C1</v>
      </c>
      <c r="C2626" s="7">
        <f>IFERROR(__xludf.DUMMYFUNCTION("""COMPUTED_VALUE"""),7.8071337)</f>
        <v>7.8071337</v>
      </c>
      <c r="D2626" s="7">
        <f>IFERROR(__xludf.DUMMYFUNCTION("""COMPUTED_VALUE"""),0.5)</f>
        <v>0.5</v>
      </c>
    </row>
    <row r="2627">
      <c r="A2627" s="10" t="s">
        <v>4066</v>
      </c>
      <c r="B2627" s="7" t="str">
        <f>IFERROR(__xludf.DUMMYFUNCTION("SPLIT(A2627,"" "")"),"CC1=C(C)CC(C)CC1")</f>
        <v>CC1=C(C)CC(C)CC1</v>
      </c>
      <c r="C2627" s="7">
        <f>IFERROR(__xludf.DUMMYFUNCTION("""COMPUTED_VALUE"""),7.8071303)</f>
        <v>7.8071303</v>
      </c>
      <c r="D2627" s="7">
        <f>IFERROR(__xludf.DUMMYFUNCTION("""COMPUTED_VALUE"""),0.142857142857142)</f>
        <v>0.1428571429</v>
      </c>
    </row>
    <row r="2628">
      <c r="A2628" s="10" t="s">
        <v>4067</v>
      </c>
      <c r="B2628" s="7" t="str">
        <f>IFERROR(__xludf.DUMMYFUNCTION("SPLIT(A2628,"" "")"),"CCNCc1cccc(CF)n1")</f>
        <v>CCNCc1cccc(CF)n1</v>
      </c>
      <c r="C2628" s="7">
        <f>IFERROR(__xludf.DUMMYFUNCTION("""COMPUTED_VALUE"""),7.80713)</f>
        <v>7.80713</v>
      </c>
      <c r="D2628" s="7">
        <f>IFERROR(__xludf.DUMMYFUNCTION("""COMPUTED_VALUE"""),0.333333333333333)</f>
        <v>0.3333333333</v>
      </c>
    </row>
    <row r="2629">
      <c r="A2629" s="10" t="s">
        <v>4068</v>
      </c>
      <c r="B2629" s="7" t="str">
        <f>IFERROR(__xludf.DUMMYFUNCTION("SPLIT(A2629,"" "")"),"Cc1cc(CN(C)C2CCCC(N(C)Cc3ccon3)C2)ccn1")</f>
        <v>Cc1cc(CN(C)C2CCCC(N(C)Cc3ccon3)C2)ccn1</v>
      </c>
      <c r="C2629" s="7">
        <f>IFERROR(__xludf.DUMMYFUNCTION("""COMPUTED_VALUE"""),7.807125)</f>
        <v>7.807125</v>
      </c>
      <c r="D2629" s="7">
        <f>IFERROR(__xludf.DUMMYFUNCTION("""COMPUTED_VALUE"""),0.395833333333333)</f>
        <v>0.3958333333</v>
      </c>
    </row>
    <row r="2630">
      <c r="A2630" s="10" t="s">
        <v>4069</v>
      </c>
      <c r="B2630" s="7" t="str">
        <f>IFERROR(__xludf.DUMMYFUNCTION("SPLIT(A2630,"" "")"),"CN(Cc1ccon1)C1CCC(N(Cc2ccccn2)Cc2ccc(-c3cccc4c3OCCOCCOCCOCCOCCO4)cn2)CC1")</f>
        <v>CN(Cc1ccon1)C1CCC(N(Cc2ccccn2)Cc2ccc(-c3cccc4c3OCCOCCOCCOCCOCCO4)cn2)CC1</v>
      </c>
      <c r="C2630" s="7">
        <f>IFERROR(__xludf.DUMMYFUNCTION("""COMPUTED_VALUE"""),7.8070817)</f>
        <v>7.8070817</v>
      </c>
      <c r="D2630" s="7">
        <f>IFERROR(__xludf.DUMMYFUNCTION("""COMPUTED_VALUE"""),0.338028169014084)</f>
        <v>0.338028169</v>
      </c>
    </row>
    <row r="2631">
      <c r="A2631" s="10" t="s">
        <v>4070</v>
      </c>
      <c r="B2631" s="7" t="str">
        <f>IFERROR(__xludf.DUMMYFUNCTION("SPLIT(A2631,"" "")"),"CN(C)Cc1ncccc1-c1ccc2c(c1)OCCOCCOCCOCCOCCO2")</f>
        <v>CN(C)Cc1ncccc1-c1ccc2c(c1)OCCOCCOCCOCCOCCO2</v>
      </c>
      <c r="C2631" s="7">
        <f>IFERROR(__xludf.DUMMYFUNCTION("""COMPUTED_VALUE"""),7.807078)</f>
        <v>7.807078</v>
      </c>
      <c r="D2631" s="7">
        <f>IFERROR(__xludf.DUMMYFUNCTION("""COMPUTED_VALUE"""),0.370967741935483)</f>
        <v>0.3709677419</v>
      </c>
    </row>
    <row r="2632">
      <c r="A2632" s="10" t="s">
        <v>4071</v>
      </c>
      <c r="B2632" s="7" t="str">
        <f>IFERROR(__xludf.DUMMYFUNCTION("SPLIT(A2632,"" "")"),"CCCN(C)C1CCCCC1N(Cc1cccc(F)n1)Cc1nc(C)c(C)c(C)c1C")</f>
        <v>CCCN(C)C1CCCCC1N(Cc1cccc(F)n1)Cc1nc(C)c(C)c(C)c1C</v>
      </c>
      <c r="C2632" s="7">
        <f>IFERROR(__xludf.DUMMYFUNCTION("""COMPUTED_VALUE"""),7.807072)</f>
        <v>7.807072</v>
      </c>
      <c r="D2632" s="7">
        <f>IFERROR(__xludf.DUMMYFUNCTION("""COMPUTED_VALUE"""),0.43859649122807)</f>
        <v>0.4385964912</v>
      </c>
    </row>
    <row r="2633">
      <c r="A2633" s="10" t="s">
        <v>4072</v>
      </c>
      <c r="B2633" s="7" t="str">
        <f>IFERROR(__xludf.DUMMYFUNCTION("SPLIT(A2633,"" "")"),"CN(Cc1ccccn1)C1=CNC(CN(C)c2ccc3c(c2)OCCOCCOCCOCCOCCO3)=CC1")</f>
        <v>CN(Cc1ccccn1)C1=CNC(CN(C)c2ccc3c(c2)OCCOCCOCCOCCOCCO3)=CC1</v>
      </c>
      <c r="C2633" s="7">
        <f>IFERROR(__xludf.DUMMYFUNCTION("""COMPUTED_VALUE"""),7.80707)</f>
        <v>7.80707</v>
      </c>
      <c r="D2633" s="7">
        <f>IFERROR(__xludf.DUMMYFUNCTION("""COMPUTED_VALUE"""),0.354838709677419)</f>
        <v>0.3548387097</v>
      </c>
    </row>
    <row r="2634">
      <c r="A2634" s="10" t="s">
        <v>4073</v>
      </c>
      <c r="B2634" s="7" t="str">
        <f>IFERROR(__xludf.DUMMYFUNCTION("SPLIT(A2634,"" "")"),"CC(C)c1cc(CN2CCN(C)CCN(Cc3ccc(C(C)(C)C)cn3)CC2)ccn1")</f>
        <v>CC(C)c1cc(CN2CCN(C)CCN(Cc3ccc(C(C)(C)C)cn3)CC2)ccn1</v>
      </c>
      <c r="C2634" s="7">
        <f>IFERROR(__xludf.DUMMYFUNCTION("""COMPUTED_VALUE"""),7.807061)</f>
        <v>7.807061</v>
      </c>
      <c r="D2634" s="7">
        <f>IFERROR(__xludf.DUMMYFUNCTION("""COMPUTED_VALUE"""),0.425925925925925)</f>
        <v>0.4259259259</v>
      </c>
    </row>
    <row r="2635">
      <c r="A2635" s="10" t="s">
        <v>4074</v>
      </c>
      <c r="B2635" s="7" t="str">
        <f>IFERROR(__xludf.DUMMYFUNCTION("SPLIT(A2635,"" "")"),"CC1=C(C)C(C)C(C)(N(C)CC2=CCC=CN2)CC1C")</f>
        <v>CC1=C(C)C(C)C(C)(N(C)CC2=CCC=CN2)CC1C</v>
      </c>
      <c r="C2635" s="7">
        <f>IFERROR(__xludf.DUMMYFUNCTION("""COMPUTED_VALUE"""),7.807056)</f>
        <v>7.807056</v>
      </c>
      <c r="D2635" s="7">
        <f>IFERROR(__xludf.DUMMYFUNCTION("""COMPUTED_VALUE"""),0.339285714285714)</f>
        <v>0.3392857143</v>
      </c>
    </row>
    <row r="2636">
      <c r="A2636" s="10" t="s">
        <v>4075</v>
      </c>
      <c r="B2636" s="7" t="str">
        <f>IFERROR(__xludf.DUMMYFUNCTION("SPLIT(A2636,"" "")"),"Cc1ccc2c(c1)OCCOCCOc1ccccc1OCCOCCO2")</f>
        <v>Cc1ccc2c(c1)OCCOCCOc1ccccc1OCCOCCO2</v>
      </c>
      <c r="C2636" s="7">
        <f>IFERROR(__xludf.DUMMYFUNCTION("""COMPUTED_VALUE"""),7.807049)</f>
        <v>7.807049</v>
      </c>
      <c r="D2636" s="7">
        <f>IFERROR(__xludf.DUMMYFUNCTION("""COMPUTED_VALUE"""),0.320754716981132)</f>
        <v>0.320754717</v>
      </c>
    </row>
    <row r="2637">
      <c r="A2637" s="10" t="s">
        <v>4076</v>
      </c>
      <c r="B2637" s="7" t="str">
        <f>IFERROR(__xludf.DUMMYFUNCTION("SPLIT(A2637,"" "")"),"CC(C)CN(Cc1ccccn1)Cc1ccc(-c2ccc3c(c2)OCCOCCOCCOCCOCCO3)cn1")</f>
        <v>CC(C)CN(Cc1ccccn1)Cc1ccc(-c2ccc3c(c2)OCCOCCOCCOCCOCCO3)cn1</v>
      </c>
      <c r="C2637" s="7">
        <f>IFERROR(__xludf.DUMMYFUNCTION("""COMPUTED_VALUE"""),7.807046)</f>
        <v>7.807046</v>
      </c>
      <c r="D2637" s="7">
        <f>IFERROR(__xludf.DUMMYFUNCTION("""COMPUTED_VALUE"""),0.476190476190476)</f>
        <v>0.4761904762</v>
      </c>
    </row>
    <row r="2638">
      <c r="A2638" s="10" t="s">
        <v>4077</v>
      </c>
      <c r="B2638" s="7" t="str">
        <f>IFERROR(__xludf.DUMMYFUNCTION("SPLIT(A2638,"" "")"),"CC1CC=C(N(C)Cc2ccccn2)C2(C=CC(C)C(C)(C)C2)C1C")</f>
        <v>CC1CC=C(N(C)Cc2ccccn2)C2(C=CC(C)C(C)(C)C2)C1C</v>
      </c>
      <c r="C2638" s="7">
        <f>IFERROR(__xludf.DUMMYFUNCTION("""COMPUTED_VALUE"""),7.8070455)</f>
        <v>7.8070455</v>
      </c>
      <c r="D2638" s="7">
        <f>IFERROR(__xludf.DUMMYFUNCTION("""COMPUTED_VALUE"""),0.392857142857142)</f>
        <v>0.3928571429</v>
      </c>
    </row>
    <row r="2639">
      <c r="A2639" s="10" t="s">
        <v>4078</v>
      </c>
      <c r="B2639" s="7" t="str">
        <f>IFERROR(__xludf.DUMMYFUNCTION("SPLIT(A2639,"" "")"),"Cc1c(N(C)Cc2cc(N)ccn2)cc2c(c1C)OCCOCCOCCOCCOCCO2")</f>
        <v>Cc1c(N(C)Cc2cc(N)ccn2)cc2c(c1C)OCCOCCOCCOCCOCCO2</v>
      </c>
      <c r="C2639" s="7">
        <f>IFERROR(__xludf.DUMMYFUNCTION("""COMPUTED_VALUE"""),7.8070445)</f>
        <v>7.8070445</v>
      </c>
      <c r="D2639" s="7">
        <f>IFERROR(__xludf.DUMMYFUNCTION("""COMPUTED_VALUE"""),0.31578947368421)</f>
        <v>0.3157894737</v>
      </c>
    </row>
    <row r="2640">
      <c r="A2640" s="10" t="s">
        <v>4079</v>
      </c>
      <c r="B2640" s="7" t="str">
        <f>IFERROR(__xludf.DUMMYFUNCTION("SPLIT(A2640,"" "")"),"CCCN(CCN(C)CC(C)(C)C)C(C)C")</f>
        <v>CCCN(CCN(C)CC(C)(C)C)C(C)C</v>
      </c>
      <c r="C2640" s="7">
        <f>IFERROR(__xludf.DUMMYFUNCTION("""COMPUTED_VALUE"""),7.807043)</f>
        <v>7.807043</v>
      </c>
      <c r="D2640" s="7">
        <f>IFERROR(__xludf.DUMMYFUNCTION("""COMPUTED_VALUE"""),0.268292682926829)</f>
        <v>0.2682926829</v>
      </c>
    </row>
    <row r="2641">
      <c r="A2641" s="10" t="s">
        <v>4080</v>
      </c>
      <c r="B2641" s="7" t="str">
        <f>IFERROR(__xludf.DUMMYFUNCTION("SPLIT(A2641,"" "")"),"CCNc1cccc(CN(Cc2cccc(C)n2)C2CCC(N(C)Cc3cccc(-c4ccc5c(c4)OCCOCCOCCOCCOCCO5)n3)CC2)n1")</f>
        <v>CCNc1cccc(CN(Cc2cccc(C)n2)C2CCC(N(C)Cc3cccc(-c4ccc5c(c4)OCCOCCOCCOCCOCCO5)n3)CC2)n1</v>
      </c>
      <c r="C2641" s="7">
        <f>IFERROR(__xludf.DUMMYFUNCTION("""COMPUTED_VALUE"""),7.807033)</f>
        <v>7.807033</v>
      </c>
      <c r="D2641" s="7">
        <f>IFERROR(__xludf.DUMMYFUNCTION("""COMPUTED_VALUE"""),0.36231884057971)</f>
        <v>0.3623188406</v>
      </c>
    </row>
    <row r="2642">
      <c r="A2642" s="10" t="s">
        <v>4081</v>
      </c>
      <c r="B2642" s="7" t="str">
        <f>IFERROR(__xludf.DUMMYFUNCTION("SPLIT(A2642,"" "")"),"CCNCc1cccc(CN(Cc2ccccn2)C2CCCC(N(C)Cc3cccnn3)C2)n1")</f>
        <v>CCNCc1cccc(CN(Cc2ccccn2)C2CCCC(N(C)Cc3cccnn3)C2)n1</v>
      </c>
      <c r="C2642" s="7">
        <f>IFERROR(__xludf.DUMMYFUNCTION("""COMPUTED_VALUE"""),7.807023)</f>
        <v>7.807023</v>
      </c>
      <c r="D2642" s="7">
        <f>IFERROR(__xludf.DUMMYFUNCTION("""COMPUTED_VALUE"""),0.416666666666666)</f>
        <v>0.4166666667</v>
      </c>
    </row>
    <row r="2643">
      <c r="A2643" s="10" t="s">
        <v>4082</v>
      </c>
      <c r="B2643" s="7" t="str">
        <f>IFERROR(__xludf.DUMMYFUNCTION("SPLIT(A2643,"" "")"),"C1=CNC(CN(Cc2ccccn2)Cc2ccccn2)=C(c2ccc3c(c2)OCCOCCOCCOCCOCCO3)C1")</f>
        <v>C1=CNC(CN(Cc2ccccn2)Cc2ccccn2)=C(c2ccc3c(c2)OCCOCCOCCOCCOCCO3)C1</v>
      </c>
      <c r="C2643" s="7">
        <f>IFERROR(__xludf.DUMMYFUNCTION("""COMPUTED_VALUE"""),7.807003)</f>
        <v>7.807003</v>
      </c>
      <c r="D2643" s="7">
        <f>IFERROR(__xludf.DUMMYFUNCTION("""COMPUTED_VALUE"""),0.426229508196721)</f>
        <v>0.4262295082</v>
      </c>
    </row>
    <row r="2644">
      <c r="A2644" s="10" t="s">
        <v>4083</v>
      </c>
      <c r="B2644" s="7" t="str">
        <f>IFERROR(__xludf.DUMMYFUNCTION("SPLIT(A2644,"" "")"),"CN1CCN(C)CCN(C2CCC(N(C)c3ccc4cc5c(nc4c3)CCCC5)CC2)CC1")</f>
        <v>CN1CCN(C)CCN(C2CCC(N(C)c3ccc4cc5c(nc4c3)CCCC5)CC2)CC1</v>
      </c>
      <c r="C2644" s="7">
        <f>IFERROR(__xludf.DUMMYFUNCTION("""COMPUTED_VALUE"""),7.8069854)</f>
        <v>7.8069854</v>
      </c>
      <c r="D2644" s="7">
        <f>IFERROR(__xludf.DUMMYFUNCTION("""COMPUTED_VALUE"""),0.383333333333333)</f>
        <v>0.3833333333</v>
      </c>
    </row>
    <row r="2645">
      <c r="A2645" s="10" t="s">
        <v>4084</v>
      </c>
      <c r="B2645" s="7" t="str">
        <f>IFERROR(__xludf.DUMMYFUNCTION("SPLIT(A2645,"" "")"),"Cc1cc(CN(C)C2CCC(N(Cc3ccccn3)Cc3cccnc3CN(C)C3(C)CC=CC(C)C3C)CC2)nc(C)c1C")</f>
        <v>Cc1cc(CN(C)C2CCC(N(Cc3ccccn3)Cc3cccnc3CN(C)C3(C)CC=CC(C)C3C)CC2)nc(C)c1C</v>
      </c>
      <c r="C2645" s="7">
        <f>IFERROR(__xludf.DUMMYFUNCTION("""COMPUTED_VALUE"""),7.8069844)</f>
        <v>7.8069844</v>
      </c>
      <c r="D2645" s="7">
        <f>IFERROR(__xludf.DUMMYFUNCTION("""COMPUTED_VALUE"""),0.31578947368421)</f>
        <v>0.3157894737</v>
      </c>
    </row>
    <row r="2646">
      <c r="A2646" s="10" t="s">
        <v>4085</v>
      </c>
      <c r="B2646" s="7" t="str">
        <f>IFERROR(__xludf.DUMMYFUNCTION("SPLIT(A2646,"" "")"),"CNCc1cccc(CN(Cc2cccc(C)n2)C2CCC(N(C)Cc3ncccc3-c3ccc4c(c3)OCCOCCOCCOCCOCCO4)CC2)n1")</f>
        <v>CNCc1cccc(CN(Cc2cccc(C)n2)C2CCC(N(C)Cc3ncccc3-c3ccc4c(c3)OCCOCCOCCOCCOCCO4)CC2)n1</v>
      </c>
      <c r="C2646" s="7">
        <f>IFERROR(__xludf.DUMMYFUNCTION("""COMPUTED_VALUE"""),7.8069825)</f>
        <v>7.8069825</v>
      </c>
      <c r="D2646" s="7">
        <f>IFERROR(__xludf.DUMMYFUNCTION("""COMPUTED_VALUE"""),0.32)</f>
        <v>0.32</v>
      </c>
    </row>
    <row r="2647">
      <c r="A2647" s="10" t="s">
        <v>4086</v>
      </c>
      <c r="B2647" s="7" t="str">
        <f>IFERROR(__xludf.DUMMYFUNCTION("SPLIT(A2647,"" "")"),"COC(=O)C1CN(C)C(C(=O)C(C)N)C(c2cccc(CN3CCN(C)CCN(C)CC3)n2)C1c1ccccn1")</f>
        <v>COC(=O)C1CN(C)C(C(=O)C(C)N)C(c2cccc(CN3CCN(C)CCN(C)CC3)n2)C1c1ccccn1</v>
      </c>
      <c r="C2647" s="7">
        <f>IFERROR(__xludf.DUMMYFUNCTION("""COMPUTED_VALUE"""),7.806977)</f>
        <v>7.806977</v>
      </c>
      <c r="D2647" s="7">
        <f>IFERROR(__xludf.DUMMYFUNCTION("""COMPUTED_VALUE"""),0.4)</f>
        <v>0.4</v>
      </c>
    </row>
    <row r="2648">
      <c r="A2648" s="10" t="s">
        <v>4087</v>
      </c>
      <c r="B2648" s="7" t="str">
        <f>IFERROR(__xludf.DUMMYFUNCTION("SPLIT(A2648,"" "")"),"Cc1ccc(CNCN(C)C2CCCC(N(C)Cc3ncc(C)c(C)c3C)C2)nc1")</f>
        <v>Cc1ccc(CNCN(C)C2CCCC(N(C)Cc3ncc(C)c(C)c3C)C2)nc1</v>
      </c>
      <c r="C2648" s="7">
        <f>IFERROR(__xludf.DUMMYFUNCTION("""COMPUTED_VALUE"""),7.8069725)</f>
        <v>7.8069725</v>
      </c>
      <c r="D2648" s="7">
        <f>IFERROR(__xludf.DUMMYFUNCTION("""COMPUTED_VALUE"""),0.454545454545454)</f>
        <v>0.4545454545</v>
      </c>
    </row>
    <row r="2649">
      <c r="A2649" s="10" t="s">
        <v>4088</v>
      </c>
      <c r="B2649" s="7" t="str">
        <f>IFERROR(__xludf.DUMMYFUNCTION("SPLIT(A2649,"" "")"),"CC1=CC2(C=CNC(C(C)C)=C2)C(C)(C)CC1")</f>
        <v>CC1=CC2(C=CNC(C(C)C)=C2)C(C)(C)CC1</v>
      </c>
      <c r="C2649" s="7">
        <f>IFERROR(__xludf.DUMMYFUNCTION("""COMPUTED_VALUE"""),7.8069615)</f>
        <v>7.8069615</v>
      </c>
      <c r="D2649" s="7">
        <f>IFERROR(__xludf.DUMMYFUNCTION("""COMPUTED_VALUE"""),0.142857142857142)</f>
        <v>0.1428571429</v>
      </c>
    </row>
    <row r="2650">
      <c r="A2650" s="10" t="s">
        <v>4089</v>
      </c>
      <c r="B2650" s="7" t="str">
        <f>IFERROR(__xludf.DUMMYFUNCTION("SPLIT(A2650,"" "")"),"Cc1cccnc1CN(Cc1ccccn1)C1CCCC(N(C)Cc2ncccc2-c2ccc3c(c2)OCCOCCOCCOCCOCCO3)C1")</f>
        <v>Cc1cccnc1CN(Cc1ccccn1)C1CCCC(N(C)Cc2ncccc2-c2ccc3c(c2)OCCOCCOCCOCCOCCO3)C1</v>
      </c>
      <c r="C2650" s="7">
        <f>IFERROR(__xludf.DUMMYFUNCTION("""COMPUTED_VALUE"""),7.806948)</f>
        <v>7.806948</v>
      </c>
      <c r="D2650" s="7">
        <f>IFERROR(__xludf.DUMMYFUNCTION("""COMPUTED_VALUE"""),0.338028169014084)</f>
        <v>0.338028169</v>
      </c>
    </row>
    <row r="2651">
      <c r="A2651" s="10" t="s">
        <v>4090</v>
      </c>
      <c r="B2651" s="7" t="str">
        <f>IFERROR(__xludf.DUMMYFUNCTION("SPLIT(A2651,"" "")"),"CC(C)N(C)C1=CCC=C(CN(C)C2C=CC(C)C(C)(C)C2)N1")</f>
        <v>CC(C)N(C)C1=CCC=C(CN(C)C2C=CC(C)C(C)(C)C2)N1</v>
      </c>
      <c r="C2651" s="7">
        <f>IFERROR(__xludf.DUMMYFUNCTION("""COMPUTED_VALUE"""),7.8069477)</f>
        <v>7.8069477</v>
      </c>
      <c r="D2651" s="7">
        <f>IFERROR(__xludf.DUMMYFUNCTION("""COMPUTED_VALUE"""),0.184615384615384)</f>
        <v>0.1846153846</v>
      </c>
    </row>
    <row r="2652">
      <c r="A2652" s="10" t="s">
        <v>4091</v>
      </c>
      <c r="B2652" s="7" t="str">
        <f>IFERROR(__xludf.DUMMYFUNCTION("SPLIT(A2652,"" "")"),"CNCc1ccc2c(n1)CCCC2")</f>
        <v>CNCc1ccc2c(n1)CCCC2</v>
      </c>
      <c r="C2652" s="7">
        <f>IFERROR(__xludf.DUMMYFUNCTION("""COMPUTED_VALUE"""),7.8069377)</f>
        <v>7.8069377</v>
      </c>
      <c r="D2652" s="7">
        <f>IFERROR(__xludf.DUMMYFUNCTION("""COMPUTED_VALUE"""),0.294117647058823)</f>
        <v>0.2941176471</v>
      </c>
    </row>
    <row r="2653">
      <c r="A2653" s="10" t="s">
        <v>4092</v>
      </c>
      <c r="B2653" s="7" t="str">
        <f>IFERROR(__xludf.DUMMYFUNCTION("SPLIT(A2653,"" "")"),"CN(Cc1cccc(-c2ccc3c(c2)OCCOCCOCCOCCOCCO3)n1)C1C=CNC(CN(Cc2ccccn2)CC(C)(C)C)=C1")</f>
        <v>CN(Cc1cccc(-c2ccc3c(c2)OCCOCCOCCOCCOCCO3)n1)C1C=CNC(CN(Cc2ccccn2)CC(C)(C)C)=C1</v>
      </c>
      <c r="C2653" s="7">
        <f>IFERROR(__xludf.DUMMYFUNCTION("""COMPUTED_VALUE"""),7.806908)</f>
        <v>7.806908</v>
      </c>
      <c r="D2653" s="7">
        <f>IFERROR(__xludf.DUMMYFUNCTION("""COMPUTED_VALUE"""),0.375)</f>
        <v>0.375</v>
      </c>
    </row>
    <row r="2654">
      <c r="A2654" s="10" t="s">
        <v>4093</v>
      </c>
      <c r="B2654" s="7" t="str">
        <f>IFERROR(__xludf.DUMMYFUNCTION("SPLIT(A2654,"" "")"),"CN(Cc1cc(-c2ccc3c(c2)OCCOCCOCCOCCOCCO3)ccn1)CN(Cc1cc(-c2ccc3c(c2)OCCOCCOCCOCCOCCO3)ccn1)Cc1cc(-c2ccc3c(c2)OCCOCCOCCOCCOCCO3)ccn1")</f>
        <v>CN(Cc1cc(-c2ccc3c(c2)OCCOCCOCCOCCOCCO3)ccn1)CN(Cc1cc(-c2ccc3c(c2)OCCOCCOCCOCCOCCO3)ccn1)Cc1cc(-c2ccc3c(c2)OCCOCCOCCOCCOCCO3)ccn1</v>
      </c>
      <c r="C2654" s="7">
        <f>IFERROR(__xludf.DUMMYFUNCTION("""COMPUTED_VALUE"""),7.8068924)</f>
        <v>7.8068924</v>
      </c>
      <c r="D2654" s="7">
        <f>IFERROR(__xludf.DUMMYFUNCTION("""COMPUTED_VALUE"""),0.403225806451612)</f>
        <v>0.4032258065</v>
      </c>
    </row>
    <row r="2655">
      <c r="A2655" s="10" t="s">
        <v>4094</v>
      </c>
      <c r="B2655" s="7" t="str">
        <f>IFERROR(__xludf.DUMMYFUNCTION("SPLIT(A2655,"" "")"),"CNC1=CNC2(C=C1)CCC2C")</f>
        <v>CNC1=CNC2(C=C1)CCC2C</v>
      </c>
      <c r="C2655" s="7">
        <f>IFERROR(__xludf.DUMMYFUNCTION("""COMPUTED_VALUE"""),7.8068905)</f>
        <v>7.8068905</v>
      </c>
      <c r="D2655" s="7">
        <f>IFERROR(__xludf.DUMMYFUNCTION("""COMPUTED_VALUE"""),0.160714285714285)</f>
        <v>0.1607142857</v>
      </c>
    </row>
    <row r="2656">
      <c r="A2656" s="10" t="s">
        <v>4095</v>
      </c>
      <c r="B2656" s="7" t="str">
        <f>IFERROR(__xludf.DUMMYFUNCTION("SPLIT(A2656,"" "")"),"CNCc1ncccc1CN(C)C1CCCC(N(C)Cc2nc(C)ccc2C)C1")</f>
        <v>CNCc1ncccc1CN(C)C1CCCC(N(C)Cc2nc(C)ccc2C)C1</v>
      </c>
      <c r="C2656" s="7">
        <f>IFERROR(__xludf.DUMMYFUNCTION("""COMPUTED_VALUE"""),7.8068833)</f>
        <v>7.8068833</v>
      </c>
      <c r="D2656" s="7">
        <f>IFERROR(__xludf.DUMMYFUNCTION("""COMPUTED_VALUE"""),0.311475409836065)</f>
        <v>0.3114754098</v>
      </c>
    </row>
    <row r="2657">
      <c r="A2657" s="10" t="s">
        <v>4096</v>
      </c>
      <c r="B2657" s="7" t="str">
        <f>IFERROR(__xludf.DUMMYFUNCTION("SPLIT(A2657,"" "")"),"CN(Cc1cccnn1)C1CCCC(N(C)c2cccc(F)c2)C1")</f>
        <v>CN(Cc1cccnn1)C1CCCC(N(C)c2cccc(F)c2)C1</v>
      </c>
      <c r="C2657" s="7">
        <f>IFERROR(__xludf.DUMMYFUNCTION("""COMPUTED_VALUE"""),7.806882)</f>
        <v>7.806882</v>
      </c>
      <c r="D2657" s="7">
        <f>IFERROR(__xludf.DUMMYFUNCTION("""COMPUTED_VALUE"""),0.42)</f>
        <v>0.42</v>
      </c>
    </row>
    <row r="2658">
      <c r="A2658" s="10" t="s">
        <v>4097</v>
      </c>
      <c r="B2658" s="7" t="str">
        <f>IFERROR(__xludf.DUMMYFUNCTION("SPLIT(A2658,"" "")"),"CCN(Cc1ccccn1)Cc1ncccc1-c1cccc2c1OCCOCCOCCOCCOCCO2")</f>
        <v>CCN(Cc1ccccn1)Cc1ncccc1-c1cccc2c1OCCOCCOCCOCCOCCO2</v>
      </c>
      <c r="C2658" s="7">
        <f>IFERROR(__xludf.DUMMYFUNCTION("""COMPUTED_VALUE"""),7.8068814)</f>
        <v>7.8068814</v>
      </c>
      <c r="D2658" s="7">
        <f>IFERROR(__xludf.DUMMYFUNCTION("""COMPUTED_VALUE"""),0.38)</f>
        <v>0.38</v>
      </c>
    </row>
    <row r="2659">
      <c r="A2659" s="10" t="s">
        <v>4098</v>
      </c>
      <c r="B2659" s="7" t="str">
        <f>IFERROR(__xludf.DUMMYFUNCTION("SPLIT(A2659,"" "")"),"CNC1CCC(N(Cc2ccccn2)Cc2ccccn2)C2CCCCC12N(Cc1ccccn1)Cc1ccccn1")</f>
        <v>CNC1CCC(N(Cc2ccccn2)Cc2ccccn2)C2CCCCC12N(Cc1ccccn1)Cc1ccccn1</v>
      </c>
      <c r="C2659" s="7">
        <f>IFERROR(__xludf.DUMMYFUNCTION("""COMPUTED_VALUE"""),7.8068748)</f>
        <v>7.8068748</v>
      </c>
      <c r="D2659" s="7">
        <f>IFERROR(__xludf.DUMMYFUNCTION("""COMPUTED_VALUE"""),0.452830188679245)</f>
        <v>0.4528301887</v>
      </c>
    </row>
    <row r="2660">
      <c r="A2660" s="10" t="s">
        <v>4099</v>
      </c>
      <c r="B2660" s="7" t="str">
        <f>IFERROR(__xludf.DUMMYFUNCTION("SPLIT(A2660,"" "")"),"CC1=CC(CN(C)C)CC(C)(C)C1")</f>
        <v>CC1=CC(CN(C)C)CC(C)(C)C1</v>
      </c>
      <c r="C2660" s="7">
        <f>IFERROR(__xludf.DUMMYFUNCTION("""COMPUTED_VALUE"""),7.806829)</f>
        <v>7.806829</v>
      </c>
      <c r="D2660" s="7">
        <f>IFERROR(__xludf.DUMMYFUNCTION("""COMPUTED_VALUE"""),0.1875)</f>
        <v>0.1875</v>
      </c>
    </row>
    <row r="2661">
      <c r="A2661" s="10" t="s">
        <v>4100</v>
      </c>
      <c r="B2661" s="7" t="str">
        <f>IFERROR(__xludf.DUMMYFUNCTION("SPLIT(A2661,"" "")"),"COC(=O)C1CN(C)C(C(C)C)C(C(C)(C)NCc2ccccn2)C1C(C)(C)C")</f>
        <v>COC(=O)C1CN(C)C(C(C)C)C(C(C)(C)NCc2ccccn2)C1C(C)(C)C</v>
      </c>
      <c r="C2661" s="7">
        <f>IFERROR(__xludf.DUMMYFUNCTION("""COMPUTED_VALUE"""),7.806826)</f>
        <v>7.806826</v>
      </c>
      <c r="D2661" s="7">
        <f>IFERROR(__xludf.DUMMYFUNCTION("""COMPUTED_VALUE"""),0.301369863013698)</f>
        <v>0.301369863</v>
      </c>
    </row>
    <row r="2662">
      <c r="A2662" s="10" t="s">
        <v>4101</v>
      </c>
      <c r="B2662" s="7" t="str">
        <f>IFERROR(__xludf.DUMMYFUNCTION("SPLIT(A2662,"" "")"),"CN(C)CC1=CC(N(C)Cc2ncccc2-c2cccc3c2OCCOCCOCCOCCOCCO3)C=CN1")</f>
        <v>CN(C)CC1=CC(N(C)Cc2ncccc2-c2cccc3c2OCCOCCOCCOCCOCCO3)C=CN1</v>
      </c>
      <c r="C2662" s="7">
        <f>IFERROR(__xludf.DUMMYFUNCTION("""COMPUTED_VALUE"""),7.806811)</f>
        <v>7.806811</v>
      </c>
      <c r="D2662" s="7">
        <f>IFERROR(__xludf.DUMMYFUNCTION("""COMPUTED_VALUE"""),0.263888888888888)</f>
        <v>0.2638888889</v>
      </c>
    </row>
    <row r="2663">
      <c r="A2663" s="10" t="s">
        <v>4102</v>
      </c>
      <c r="B2663" s="7" t="str">
        <f>IFERROR(__xludf.DUMMYFUNCTION("SPLIT(A2663,"" "")"),"Cc1cnc(CN2CCN(C)CCN(Cc3cncc(N(C)C(C)C)c3)CC2)cc1C")</f>
        <v>Cc1cnc(CN2CCN(C)CCN(Cc3cncc(N(C)C(C)C)c3)CC2)cc1C</v>
      </c>
      <c r="C2663" s="7">
        <f>IFERROR(__xludf.DUMMYFUNCTION("""COMPUTED_VALUE"""),7.8068085)</f>
        <v>7.8068085</v>
      </c>
      <c r="D2663" s="7">
        <f>IFERROR(__xludf.DUMMYFUNCTION("""COMPUTED_VALUE"""),0.4)</f>
        <v>0.4</v>
      </c>
    </row>
    <row r="2664">
      <c r="A2664" s="10" t="s">
        <v>4103</v>
      </c>
      <c r="B2664" s="7" t="str">
        <f>IFERROR(__xludf.DUMMYFUNCTION("SPLIT(A2664,"" "")"),"COCC(C)NCc1ccccn1")</f>
        <v>COCC(C)NCc1ccccn1</v>
      </c>
      <c r="C2664" s="7">
        <f>IFERROR(__xludf.DUMMYFUNCTION("""COMPUTED_VALUE"""),7.8067865)</f>
        <v>7.8067865</v>
      </c>
      <c r="D2664" s="7">
        <f>IFERROR(__xludf.DUMMYFUNCTION("""COMPUTED_VALUE"""),0.472222222222222)</f>
        <v>0.4722222222</v>
      </c>
    </row>
    <row r="2665">
      <c r="A2665" s="10" t="s">
        <v>4104</v>
      </c>
      <c r="B2665" s="7" t="str">
        <f>IFERROR(__xludf.DUMMYFUNCTION("SPLIT(A2665,"" "")"),"Cc1cc(CN(C)C2=C(CN3CCN(C)CCN(C)CC3)NC=CC2)cnc1C")</f>
        <v>Cc1cc(CN(C)C2=C(CN3CCN(C)CCN(C)CC3)NC=CC2)cnc1C</v>
      </c>
      <c r="C2665" s="7">
        <f>IFERROR(__xludf.DUMMYFUNCTION("""COMPUTED_VALUE"""),7.80675)</f>
        <v>7.80675</v>
      </c>
      <c r="D2665" s="7">
        <f>IFERROR(__xludf.DUMMYFUNCTION("""COMPUTED_VALUE"""),0.317460317460317)</f>
        <v>0.3174603175</v>
      </c>
    </row>
    <row r="2666">
      <c r="A2666" s="10" t="s">
        <v>4105</v>
      </c>
      <c r="B2666" s="7" t="str">
        <f>IFERROR(__xludf.DUMMYFUNCTION("SPLIT(A2666,"" "")"),"CN(C)C1CCCC(N(Cc2ccccn2)Cc2ncccc2C(C)(C)C)C1")</f>
        <v>CN(C)C1CCCC(N(Cc2ccccn2)Cc2ncccc2C(C)(C)C)C1</v>
      </c>
      <c r="C2666" s="7">
        <f>IFERROR(__xludf.DUMMYFUNCTION("""COMPUTED_VALUE"""),7.806746)</f>
        <v>7.806746</v>
      </c>
      <c r="D2666" s="7">
        <f>IFERROR(__xludf.DUMMYFUNCTION("""COMPUTED_VALUE"""),0.433962264150943)</f>
        <v>0.4339622642</v>
      </c>
    </row>
    <row r="2667">
      <c r="A2667" s="10" t="s">
        <v>4106</v>
      </c>
      <c r="B2667" s="7" t="str">
        <f>IFERROR(__xludf.DUMMYFUNCTION("SPLIT(A2667,"" "")"),"CNCc1nccc2c1CCCC2")</f>
        <v>CNCc1nccc2c1CCCC2</v>
      </c>
      <c r="C2667" s="7">
        <f>IFERROR(__xludf.DUMMYFUNCTION("""COMPUTED_VALUE"""),7.806744)</f>
        <v>7.806744</v>
      </c>
      <c r="D2667" s="7">
        <f>IFERROR(__xludf.DUMMYFUNCTION("""COMPUTED_VALUE"""),0.229166666666666)</f>
        <v>0.2291666667</v>
      </c>
    </row>
    <row r="2668">
      <c r="A2668" s="10" t="s">
        <v>4107</v>
      </c>
      <c r="B2668" s="7" t="str">
        <f>IFERROR(__xludf.DUMMYFUNCTION("SPLIT(A2668,"" "")"),"CN(Cc1ccc(-c2ccc3c(c2)OCCOCCOCCOCCOCCO3)cn1)Cc1cccc(-c2ccc3c(c2)OCCOCCOCCOCCOCCO3)n1")</f>
        <v>CN(Cc1ccc(-c2ccc3c(c2)OCCOCCOCCOCCOCCO3)cn1)Cc1cccc(-c2ccc3c(c2)OCCOCCOCCOCCOCCO3)n1</v>
      </c>
      <c r="C2668" s="7">
        <f>IFERROR(__xludf.DUMMYFUNCTION("""COMPUTED_VALUE"""),7.8067226)</f>
        <v>7.8067226</v>
      </c>
      <c r="D2668" s="7">
        <f>IFERROR(__xludf.DUMMYFUNCTION("""COMPUTED_VALUE"""),0.483870967741935)</f>
        <v>0.4838709677</v>
      </c>
    </row>
    <row r="2669">
      <c r="A2669" s="10" t="s">
        <v>4108</v>
      </c>
      <c r="B2669" s="7" t="str">
        <f>IFERROR(__xludf.DUMMYFUNCTION("SPLIT(A2669,"" "")"),"Cc1cnc(C)c(CN(Cc2ccccn2)C2CCC(N(C)Cc3cccc(-c4ccc5c(c4)OCCOCCOCCOCCOCCO5)n3)CC2)c1")</f>
        <v>Cc1cnc(C)c(CN(Cc2ccccn2)C2CCC(N(C)Cc3cccc(-c4ccc5c(c4)OCCOCCOCCOCCOCCO5)n3)CC2)c1</v>
      </c>
      <c r="C2669" s="7">
        <f>IFERROR(__xludf.DUMMYFUNCTION("""COMPUTED_VALUE"""),7.806722)</f>
        <v>7.806722</v>
      </c>
      <c r="D2669" s="7">
        <f>IFERROR(__xludf.DUMMYFUNCTION("""COMPUTED_VALUE"""),0.367088607594936)</f>
        <v>0.3670886076</v>
      </c>
    </row>
    <row r="2670">
      <c r="A2670" s="10" t="s">
        <v>4109</v>
      </c>
      <c r="B2670" s="7" t="str">
        <f>IFERROR(__xludf.DUMMYFUNCTION("SPLIT(A2670,"" "")"),"CCOC(=O)C1CN(C)C(C(=O)C2(C)COC(c3cccc(CN4CCN(C)CCN(C)CC4)n3)=N2)C(C(C)C)C1C(C)C")</f>
        <v>CCOC(=O)C1CN(C)C(C(=O)C2(C)COC(c3cccc(CN4CCN(C)CCN(C)CC4)n3)=N2)C(C(C)C)C1C(C)C</v>
      </c>
      <c r="C2670" s="7">
        <f>IFERROR(__xludf.DUMMYFUNCTION("""COMPUTED_VALUE"""),7.8066883)</f>
        <v>7.8066883</v>
      </c>
      <c r="D2670" s="7">
        <f>IFERROR(__xludf.DUMMYFUNCTION("""COMPUTED_VALUE"""),0.337837837837837)</f>
        <v>0.3378378378</v>
      </c>
    </row>
    <row r="2671">
      <c r="A2671" s="10" t="s">
        <v>4110</v>
      </c>
      <c r="B2671" s="7" t="str">
        <f>IFERROR(__xludf.DUMMYFUNCTION("SPLIT(A2671,"" "")"),"Cc1cccc(CN(C)C2CCCC(N(Cc3ccccn3)Cc3cccc(CN4CCN(C)CCN(Cc5ccc(C)c(C)n5)CC4)n3)C2)n1")</f>
        <v>Cc1cccc(CN(C)C2CCCC(N(Cc3ccccn3)Cc3cccc(CN4CCN(C)CCN(Cc5ccc(C)c(C)n5)CC4)n3)C2)n1</v>
      </c>
      <c r="C2671" s="7">
        <f>IFERROR(__xludf.DUMMYFUNCTION("""COMPUTED_VALUE"""),7.806686)</f>
        <v>7.806686</v>
      </c>
      <c r="D2671" s="7">
        <f>IFERROR(__xludf.DUMMYFUNCTION("""COMPUTED_VALUE"""),0.46031746031746)</f>
        <v>0.4603174603</v>
      </c>
    </row>
    <row r="2672">
      <c r="A2672" s="10" t="s">
        <v>4111</v>
      </c>
      <c r="B2672" s="7" t="str">
        <f>IFERROR(__xludf.DUMMYFUNCTION("SPLIT(A2672,"" "")"),"CN(Cc1ccc(Cl)cn1)C1=CNC(CN(C)C2CCCCC2N(C)Cc2cccc(-c3ccc4c(c3)OCCOCCOCCOCCOCCO4)n2)=CC1")</f>
        <v>CN(Cc1ccc(Cl)cn1)C1=CNC(CN(C)C2CCCCC2N(C)Cc2cccc(-c3ccc4c(c3)OCCOCCOCCOCCOCCO4)n2)=CC1</v>
      </c>
      <c r="C2672" s="7">
        <f>IFERROR(__xludf.DUMMYFUNCTION("""COMPUTED_VALUE"""),7.806678)</f>
        <v>7.806678</v>
      </c>
      <c r="D2672" s="7">
        <f>IFERROR(__xludf.DUMMYFUNCTION("""COMPUTED_VALUE"""),0.34090909090909)</f>
        <v>0.3409090909</v>
      </c>
    </row>
    <row r="2673">
      <c r="A2673" s="10" t="s">
        <v>4112</v>
      </c>
      <c r="B2673" s="7" t="str">
        <f>IFERROR(__xludf.DUMMYFUNCTION("SPLIT(A2673,"" "")"),"CN(Cc1cccc(-c2ccc3c(c2)OCCOCCOCCOCCOCCO3)n1)C1CCCCC1N(Cc1ccccn1)c1cccc(F)c1")</f>
        <v>CN(Cc1cccc(-c2ccc3c(c2)OCCOCCOCCOCCOCCO3)n1)C1CCCCC1N(Cc1ccccn1)c1cccc(F)c1</v>
      </c>
      <c r="C2673" s="7">
        <f>IFERROR(__xludf.DUMMYFUNCTION("""COMPUTED_VALUE"""),7.806665)</f>
        <v>7.806665</v>
      </c>
      <c r="D2673" s="7">
        <f>IFERROR(__xludf.DUMMYFUNCTION("""COMPUTED_VALUE"""),0.44776119402985)</f>
        <v>0.447761194</v>
      </c>
    </row>
    <row r="2674">
      <c r="A2674" s="10" t="s">
        <v>4113</v>
      </c>
      <c r="B2674" s="7" t="str">
        <f>IFERROR(__xludf.DUMMYFUNCTION("SPLIT(A2674,"" "")"),"Cc1cnc(CN(C)C2CCCC(N(C)Cc3cccnn3)C2)c(C)c1")</f>
        <v>Cc1cnc(CN(C)C2CCCC(N(C)Cc3cccnn3)C2)c(C)c1</v>
      </c>
      <c r="C2674" s="7">
        <f>IFERROR(__xludf.DUMMYFUNCTION("""COMPUTED_VALUE"""),7.8066597)</f>
        <v>7.8066597</v>
      </c>
      <c r="D2674" s="7">
        <f>IFERROR(__xludf.DUMMYFUNCTION("""COMPUTED_VALUE"""),0.392156862745098)</f>
        <v>0.3921568627</v>
      </c>
    </row>
    <row r="2675">
      <c r="A2675" s="10" t="s">
        <v>4114</v>
      </c>
      <c r="B2675" s="7" t="str">
        <f>IFERROR(__xludf.DUMMYFUNCTION("SPLIT(A2675,"" "")"),"CN1CCN(C)CCN(C2CCC(N(C)c3ccc4ccc(CF)nc4c3)CC2)CC1")</f>
        <v>CN1CCN(C)CCN(C2CCC(N(C)c3ccc4ccc(CF)nc4c3)CC2)CC1</v>
      </c>
      <c r="C2675" s="7">
        <f>IFERROR(__xludf.DUMMYFUNCTION("""COMPUTED_VALUE"""),7.8066564)</f>
        <v>7.8066564</v>
      </c>
      <c r="D2675" s="7">
        <f>IFERROR(__xludf.DUMMYFUNCTION("""COMPUTED_VALUE"""),0.35)</f>
        <v>0.35</v>
      </c>
    </row>
    <row r="2676">
      <c r="A2676" s="10" t="s">
        <v>4115</v>
      </c>
      <c r="B2676" s="7" t="str">
        <f>IFERROR(__xludf.DUMMYFUNCTION("SPLIT(A2676,"" "")"),"CNCCN(Cc1cccc(C)n1)C1CCC(N(C)Cc2nc(C)c(C)cc2C)CC1")</f>
        <v>CNCCN(Cc1cccc(C)n1)C1CCC(N(C)Cc2nc(C)c(C)cc2C)CC1</v>
      </c>
      <c r="C2676" s="7">
        <f>IFERROR(__xludf.DUMMYFUNCTION("""COMPUTED_VALUE"""),7.80665)</f>
        <v>7.80665</v>
      </c>
      <c r="D2676" s="7">
        <f>IFERROR(__xludf.DUMMYFUNCTION("""COMPUTED_VALUE"""),0.421052631578947)</f>
        <v>0.4210526316</v>
      </c>
    </row>
    <row r="2677">
      <c r="A2677" s="10" t="s">
        <v>4116</v>
      </c>
      <c r="B2677" s="7" t="str">
        <f>IFERROR(__xludf.DUMMYFUNCTION("SPLIT(A2677,"" "")"),"CC1C=C(N(C)CC2=CCC=CN2)CCC1C")</f>
        <v>CC1C=C(N(C)CC2=CCC=CN2)CCC1C</v>
      </c>
      <c r="C2677" s="7">
        <f>IFERROR(__xludf.DUMMYFUNCTION("""COMPUTED_VALUE"""),7.806648)</f>
        <v>7.806648</v>
      </c>
      <c r="D2677" s="7">
        <f>IFERROR(__xludf.DUMMYFUNCTION("""COMPUTED_VALUE"""),0.351851851851851)</f>
        <v>0.3518518519</v>
      </c>
    </row>
    <row r="2678">
      <c r="A2678" s="10" t="s">
        <v>4117</v>
      </c>
      <c r="B2678" s="7" t="str">
        <f>IFERROR(__xludf.DUMMYFUNCTION("SPLIT(A2678,"" "")"),"C=Cc1ccc(CN(Cc2ccccn2)C2CCCCC2N(C)Cc2ncccc2-c2ccc3c(c2)OCCOCCOCCOCCOCCO3)nc1")</f>
        <v>C=Cc1ccc(CN(Cc2ccccn2)C2CCCCC2N(C)Cc2ncccc2-c2ccc3c(c2)OCCOCCOCCOCCOCCO3)nc1</v>
      </c>
      <c r="C2678" s="7">
        <f>IFERROR(__xludf.DUMMYFUNCTION("""COMPUTED_VALUE"""),7.806647)</f>
        <v>7.806647</v>
      </c>
      <c r="D2678" s="7">
        <f>IFERROR(__xludf.DUMMYFUNCTION("""COMPUTED_VALUE"""),0.414285714285714)</f>
        <v>0.4142857143</v>
      </c>
    </row>
    <row r="2679">
      <c r="A2679" s="10" t="s">
        <v>4118</v>
      </c>
      <c r="B2679" s="7" t="str">
        <f>IFERROR(__xludf.DUMMYFUNCTION("SPLIT(A2679,"" "")"),"CNCc1cccc(CN(Cc2ccccn2)C2CCC(N(C)Cc3cccc(C4CCC4C)n3)CC2)n1")</f>
        <v>CNCc1cccc(CN(Cc2ccccn2)C2CCC(N(C)Cc3cccc(C4CCC4C)n3)CC2)n1</v>
      </c>
      <c r="C2679" s="7">
        <f>IFERROR(__xludf.DUMMYFUNCTION("""COMPUTED_VALUE"""),7.806643)</f>
        <v>7.806643</v>
      </c>
      <c r="D2679" s="7">
        <f>IFERROR(__xludf.DUMMYFUNCTION("""COMPUTED_VALUE"""),0.406779661016949)</f>
        <v>0.406779661</v>
      </c>
    </row>
    <row r="2680">
      <c r="A2680" s="10" t="s">
        <v>4119</v>
      </c>
      <c r="B2680" s="7" t="str">
        <f>IFERROR(__xludf.DUMMYFUNCTION("SPLIT(A2680,"" "")"),"CC1=C(C)C(C)(N(Cc2ccccn2)C2CCCC(N(C)Cc3nc(C)cc(C)c3C)C2)CC(C)C1C")</f>
        <v>CC1=C(C)C(C)(N(Cc2ccccn2)C2CCCC(N(C)Cc3nc(C)cc(C)c3C)C2)CC(C)C1C</v>
      </c>
      <c r="C2680" s="7">
        <f>IFERROR(__xludf.DUMMYFUNCTION("""COMPUTED_VALUE"""),7.8066344)</f>
        <v>7.8066344</v>
      </c>
      <c r="D2680" s="7">
        <f>IFERROR(__xludf.DUMMYFUNCTION("""COMPUTED_VALUE"""),0.347826086956521)</f>
        <v>0.347826087</v>
      </c>
    </row>
    <row r="2681">
      <c r="A2681" s="10" t="s">
        <v>4120</v>
      </c>
      <c r="B2681" s="7" t="str">
        <f>IFERROR(__xludf.DUMMYFUNCTION("SPLIT(A2681,"" "")"),"Cc1ccc(CN(Cc2ncccc2C)C2CCC(N(C)Cc3cccc(-c4ccc5c(c4)OCCOCCOCCOCCOCCO5)n3)CC2)nc1")</f>
        <v>Cc1ccc(CN(Cc2ncccc2C)C2CCC(N(C)Cc3cccc(-c4ccc5c(c4)OCCOCCOCCOCCOCCO5)n3)CC2)nc1</v>
      </c>
      <c r="C2681" s="7">
        <f>IFERROR(__xludf.DUMMYFUNCTION("""COMPUTED_VALUE"""),7.8066306)</f>
        <v>7.8066306</v>
      </c>
      <c r="D2681" s="7">
        <f>IFERROR(__xludf.DUMMYFUNCTION("""COMPUTED_VALUE"""),0.345238095238095)</f>
        <v>0.3452380952</v>
      </c>
    </row>
    <row r="2682">
      <c r="A2682" s="10" t="s">
        <v>4121</v>
      </c>
      <c r="B2682" s="7" t="str">
        <f>IFERROR(__xludf.DUMMYFUNCTION("SPLIT(A2682,"" "")"),"CN(C)C1CCCC(N(Cc2ccccn2)Cc2cccc(C3CC(C)(C)C3)n2)C1")</f>
        <v>CN(C)C1CCCC(N(Cc2ccccn2)Cc2cccc(C3CC(C)(C)C3)n2)C1</v>
      </c>
      <c r="C2682" s="7">
        <f>IFERROR(__xludf.DUMMYFUNCTION("""COMPUTED_VALUE"""),7.8066216)</f>
        <v>7.8066216</v>
      </c>
      <c r="D2682" s="7">
        <f>IFERROR(__xludf.DUMMYFUNCTION("""COMPUTED_VALUE"""),0.410714285714285)</f>
        <v>0.4107142857</v>
      </c>
    </row>
    <row r="2683">
      <c r="A2683" s="10" t="s">
        <v>4122</v>
      </c>
      <c r="B2683" s="7" t="str">
        <f>IFERROR(__xludf.DUMMYFUNCTION("SPLIT(A2683,"" "")"),"CC1C=CC(N(C)Cc2cccc(C(C)(C)C)n2)C(C)(C)C1C")</f>
        <v>CC1C=CC(N(C)Cc2cccc(C(C)(C)C)n2)C(C)(C)C1C</v>
      </c>
      <c r="C2683" s="7">
        <f>IFERROR(__xludf.DUMMYFUNCTION("""COMPUTED_VALUE"""),7.8066206)</f>
        <v>7.8066206</v>
      </c>
      <c r="D2683" s="7">
        <f>IFERROR(__xludf.DUMMYFUNCTION("""COMPUTED_VALUE"""),0.333333333333333)</f>
        <v>0.3333333333</v>
      </c>
    </row>
    <row r="2684">
      <c r="A2684" s="10" t="s">
        <v>4123</v>
      </c>
      <c r="B2684" s="7" t="str">
        <f>IFERROR(__xludf.DUMMYFUNCTION("SPLIT(A2684,"" "")"),"Cc1cc(CN(C)C2CCCC(N(C)Cc3cccnn3)C2)cnc1C")</f>
        <v>Cc1cc(CN(C)C2CCCC(N(C)Cc3cccnn3)C2)cnc1C</v>
      </c>
      <c r="C2684" s="7">
        <f>IFERROR(__xludf.DUMMYFUNCTION("""COMPUTED_VALUE"""),7.8066015)</f>
        <v>7.8066015</v>
      </c>
      <c r="D2684" s="7">
        <f>IFERROR(__xludf.DUMMYFUNCTION("""COMPUTED_VALUE"""),0.392156862745098)</f>
        <v>0.3921568627</v>
      </c>
    </row>
    <row r="2685">
      <c r="A2685" s="10" t="s">
        <v>4124</v>
      </c>
      <c r="B2685" s="7" t="str">
        <f>IFERROR(__xludf.DUMMYFUNCTION("SPLIT(A2685,"" "")"),"Cc1ccc(CN(C)C2CCC(N(Cc3ccccn3)Cc3cccc(-c4ccc5c(c4)OCCOCCOCCOCCOCCO5)n3)CC2)nc1C")</f>
        <v>Cc1ccc(CN(C)C2CCC(N(Cc3ccccn3)Cc3cccc(-c4ccc5c(c4)OCCOCCOCCOCCOCCO5)n3)CC2)nc1C</v>
      </c>
      <c r="C2685" s="7">
        <f>IFERROR(__xludf.DUMMYFUNCTION("""COMPUTED_VALUE"""),7.8066)</f>
        <v>7.8066</v>
      </c>
      <c r="D2685" s="7">
        <f>IFERROR(__xludf.DUMMYFUNCTION("""COMPUTED_VALUE"""),0.368421052631578)</f>
        <v>0.3684210526</v>
      </c>
    </row>
    <row r="2686">
      <c r="A2686" s="10" t="s">
        <v>4125</v>
      </c>
      <c r="B2686" s="7" t="str">
        <f>IFERROR(__xludf.DUMMYFUNCTION("SPLIT(A2686,"" "")"),"CC(C)N(C)Cc1cccc(N(C)C2CCCC(N(C)Cc3ccccn3)C2)n1")</f>
        <v>CC(C)N(C)Cc1cccc(N(C)C2CCCC(N(C)Cc3ccccn3)C2)n1</v>
      </c>
      <c r="C2686" s="7">
        <f>IFERROR(__xludf.DUMMYFUNCTION("""COMPUTED_VALUE"""),7.8065987)</f>
        <v>7.8065987</v>
      </c>
      <c r="D2686" s="7">
        <f>IFERROR(__xludf.DUMMYFUNCTION("""COMPUTED_VALUE"""),0.471698113207547)</f>
        <v>0.4716981132</v>
      </c>
    </row>
    <row r="2687">
      <c r="A2687" s="10" t="s">
        <v>4126</v>
      </c>
      <c r="B2687" s="7" t="str">
        <f>IFERROR(__xludf.DUMMYFUNCTION("SPLIT(A2687,"" "")"),"Cc1ccc(CN(Cc2ccccn2)C2CCC(N(C)Cc3cccc(-c4ccc5c(c4)OCCOCCOCCOCCOCCO5)n3)CC2)nc1C")</f>
        <v>Cc1ccc(CN(Cc2ccccn2)C2CCC(N(C)Cc3cccc(-c4ccc5c(c4)OCCOCCOCCOCCOCCO5)n3)CC2)nc1C</v>
      </c>
      <c r="C2687" s="7">
        <f>IFERROR(__xludf.DUMMYFUNCTION("""COMPUTED_VALUE"""),7.8065906)</f>
        <v>7.8065906</v>
      </c>
      <c r="D2687" s="7">
        <f>IFERROR(__xludf.DUMMYFUNCTION("""COMPUTED_VALUE"""),0.368421052631578)</f>
        <v>0.3684210526</v>
      </c>
    </row>
    <row r="2688">
      <c r="A2688" s="10" t="s">
        <v>4127</v>
      </c>
      <c r="B2688" s="7" t="str">
        <f>IFERROR(__xludf.DUMMYFUNCTION("SPLIT(A2688,"" "")"),"CN(Cc1ncccc1-c1cccc2c1OCCOCCOCCOCCOCCO2)C1CCCCC1N(Cc1ccccn1)c1ccccc1F")</f>
        <v>CN(Cc1ncccc1-c1cccc2c1OCCOCCOCCOCCOCCO2)C1CCCCC1N(Cc1ccccn1)c1ccccc1F</v>
      </c>
      <c r="C2688" s="7">
        <f>IFERROR(__xludf.DUMMYFUNCTION("""COMPUTED_VALUE"""),7.806587)</f>
        <v>7.806587</v>
      </c>
      <c r="D2688" s="7">
        <f>IFERROR(__xludf.DUMMYFUNCTION("""COMPUTED_VALUE"""),0.439393939393939)</f>
        <v>0.4393939394</v>
      </c>
    </row>
    <row r="2689">
      <c r="A2689" s="10" t="s">
        <v>4128</v>
      </c>
      <c r="B2689" s="7" t="str">
        <f>IFERROR(__xludf.DUMMYFUNCTION("SPLIT(A2689,"" "")"),"CC1C=CCC(C)(N(Cc2ccccn2)Cc2ccccn2)C1C")</f>
        <v>CC1C=CCC(C)(N(Cc2ccccn2)Cc2ccccn2)C1C</v>
      </c>
      <c r="C2689" s="7">
        <f>IFERROR(__xludf.DUMMYFUNCTION("""COMPUTED_VALUE"""),7.806586)</f>
        <v>7.806586</v>
      </c>
      <c r="D2689" s="7">
        <f>IFERROR(__xludf.DUMMYFUNCTION("""COMPUTED_VALUE"""),0.416666666666666)</f>
        <v>0.4166666667</v>
      </c>
    </row>
    <row r="2690">
      <c r="A2690" s="10" t="s">
        <v>4129</v>
      </c>
      <c r="B2690" s="7" t="str">
        <f>IFERROR(__xludf.DUMMYFUNCTION("SPLIT(A2690,"" "")"),"CN(c1ccc(Cl)cn1)C1CCCCC1N(C)C1CCCCC1N(C)c1ccc(Cl)cn1")</f>
        <v>CN(c1ccc(Cl)cn1)C1CCCCC1N(C)C1CCCCC1N(C)c1ccc(Cl)cn1</v>
      </c>
      <c r="C2690" s="7">
        <f>IFERROR(__xludf.DUMMYFUNCTION("""COMPUTED_VALUE"""),7.806582)</f>
        <v>7.806582</v>
      </c>
      <c r="D2690" s="7">
        <f>IFERROR(__xludf.DUMMYFUNCTION("""COMPUTED_VALUE"""),0.369565217391304)</f>
        <v>0.3695652174</v>
      </c>
    </row>
    <row r="2691">
      <c r="A2691" s="10" t="s">
        <v>4130</v>
      </c>
      <c r="B2691" s="7" t="str">
        <f>IFERROR(__xludf.DUMMYFUNCTION("SPLIT(A2691,"" "")"),"CCN(Cc1cccc(-c2ccc3c(c2)OCCOCCOCCOCCOCCO3)n1)Cc1cccc(C2CCC2(C)C)n1")</f>
        <v>CCN(Cc1cccc(-c2ccc3c(c2)OCCOCCOCCOCCOCCO3)n1)Cc1cccc(C2CCC2(C)C)n1</v>
      </c>
      <c r="C2691" s="7">
        <f>IFERROR(__xludf.DUMMYFUNCTION("""COMPUTED_VALUE"""),7.806572)</f>
        <v>7.806572</v>
      </c>
      <c r="D2691" s="7">
        <f>IFERROR(__xludf.DUMMYFUNCTION("""COMPUTED_VALUE"""),0.333333333333333)</f>
        <v>0.3333333333</v>
      </c>
    </row>
    <row r="2692">
      <c r="A2692" s="10" t="s">
        <v>4131</v>
      </c>
      <c r="B2692" s="7" t="str">
        <f>IFERROR(__xludf.DUMMYFUNCTION("SPLIT(A2692,"" "")"),"CCOC(C)c1cccc(CN(Cc2ccccn2)C2CCC(N(C)Cc3ccc(-c4ccc5c(c4)OCCOCCOCCOCCOCCO5)cn3)CC2)n1")</f>
        <v>CCOC(C)c1cccc(CN(Cc2ccccn2)C2CCC(N(C)Cc3ccc(-c4ccc5c(c4)OCCOCCOCCOCCOCCO5)cn3)CC2)n1</v>
      </c>
      <c r="C2692" s="7">
        <f>IFERROR(__xludf.DUMMYFUNCTION("""COMPUTED_VALUE"""),7.806558)</f>
        <v>7.806558</v>
      </c>
      <c r="D2692" s="7">
        <f>IFERROR(__xludf.DUMMYFUNCTION("""COMPUTED_VALUE"""),0.385542168674698)</f>
        <v>0.3855421687</v>
      </c>
    </row>
    <row r="2693">
      <c r="A2693" s="10" t="s">
        <v>4132</v>
      </c>
      <c r="B2693" s="7" t="str">
        <f>IFERROR(__xludf.DUMMYFUNCTION("SPLIT(A2693,"" "")"),"CN(Cc1cccc(-c2ccc3c(c2)OCCOCCOCCOCCOCCO3)n1)Cc1ncccc1-c1ccc2c(c1)OCCOCCOCCOCCOCCO2")</f>
        <v>CN(Cc1cccc(-c2ccc3c(c2)OCCOCCOCCOCCOCCO3)n1)Cc1ncccc1-c1ccc2c(c1)OCCOCCOCCOCCOCCO2</v>
      </c>
      <c r="C2693" s="7">
        <f>IFERROR(__xludf.DUMMYFUNCTION("""COMPUTED_VALUE"""),7.8065557)</f>
        <v>7.8065557</v>
      </c>
      <c r="D2693" s="7">
        <f>IFERROR(__xludf.DUMMYFUNCTION("""COMPUTED_VALUE"""),0.406779661016949)</f>
        <v>0.406779661</v>
      </c>
    </row>
    <row r="2694">
      <c r="A2694" s="10" t="s">
        <v>4133</v>
      </c>
      <c r="B2694" s="7" t="str">
        <f>IFERROR(__xludf.DUMMYFUNCTION("SPLIT(A2694,"" "")"),"Fc1ccccc1CN(Cc1ccccn1)C1CCCCC1N(Cc1ccccn1)Cc1ncccc1-c1ccc2c(c1)OCCOCCOCCOCCOCCO2")</f>
        <v>Fc1ccccc1CN(Cc1ccccn1)C1CCCCC1N(Cc1ccccn1)Cc1ncccc1-c1ccc2c(c1)OCCOCCOCCOCCOCCO2</v>
      </c>
      <c r="C2694" s="7">
        <f>IFERROR(__xludf.DUMMYFUNCTION("""COMPUTED_VALUE"""),7.806545)</f>
        <v>7.806545</v>
      </c>
      <c r="D2694" s="7">
        <f>IFERROR(__xludf.DUMMYFUNCTION("""COMPUTED_VALUE"""),0.35820895522388)</f>
        <v>0.3582089552</v>
      </c>
    </row>
    <row r="2695">
      <c r="A2695" s="10" t="s">
        <v>4134</v>
      </c>
      <c r="B2695" s="7" t="str">
        <f>IFERROR(__xludf.DUMMYFUNCTION("SPLIT(A2695,"" "")"),"CN(Cc1ccc(-c2ccc3c(c2)OCCOCCOCCOCCOCCO3)cn1)Cc1cccnc1-c1ccc2c(c1)OCCOCCOCCOCCOCCO2")</f>
        <v>CN(Cc1ccc(-c2ccc3c(c2)OCCOCCOCCOCCOCCO3)cn1)Cc1cccnc1-c1ccc2c(c1)OCCOCCOCCOCCOCCO2</v>
      </c>
      <c r="C2695" s="7">
        <f>IFERROR(__xludf.DUMMYFUNCTION("""COMPUTED_VALUE"""),7.806545)</f>
        <v>7.806545</v>
      </c>
      <c r="D2695" s="7">
        <f>IFERROR(__xludf.DUMMYFUNCTION("""COMPUTED_VALUE"""),0.46875)</f>
        <v>0.46875</v>
      </c>
    </row>
    <row r="2696">
      <c r="A2696" s="10" t="s">
        <v>4135</v>
      </c>
      <c r="B2696" s="7" t="str">
        <f>IFERROR(__xludf.DUMMYFUNCTION("SPLIT(A2696,"" "")"),"CN(C)Cc1ccc(CN(Cc2ccccn2)C2CCC(N(C)Cc3ccc(-c4ccc5c(c4)OCCOCCOCCOCCOCCO5)cn3)CC2)cn1")</f>
        <v>CN(C)Cc1ccc(CN(Cc2ccccn2)C2CCC(N(C)Cc3ccc(-c4ccc5c(c4)OCCOCCOCCOCCOCCO5)cn3)CC2)cn1</v>
      </c>
      <c r="C2696" s="7">
        <f>IFERROR(__xludf.DUMMYFUNCTION("""COMPUTED_VALUE"""),7.8065352)</f>
        <v>7.8065352</v>
      </c>
      <c r="D2696" s="7">
        <f>IFERROR(__xludf.DUMMYFUNCTION("""COMPUTED_VALUE"""),0.432432432432432)</f>
        <v>0.4324324324</v>
      </c>
    </row>
    <row r="2697">
      <c r="A2697" s="10" t="s">
        <v>4136</v>
      </c>
      <c r="B2697" s="7" t="str">
        <f>IFERROR(__xludf.DUMMYFUNCTION("SPLIT(A2697,"" "")"),"CC(C1=CCC=CN1)c1ccc(CNCNCc2cc(-c3ccc4c(c3)OCCOCCOCCOCCOCCO4)ccn2)nc1")</f>
        <v>CC(C1=CCC=CN1)c1ccc(CNCNCc2cc(-c3ccc4c(c3)OCCOCCOCCOCCOCCO4)ccn2)nc1</v>
      </c>
      <c r="C2697" s="7">
        <f>IFERROR(__xludf.DUMMYFUNCTION("""COMPUTED_VALUE"""),7.8065224)</f>
        <v>7.8065224</v>
      </c>
      <c r="D2697" s="7">
        <f>IFERROR(__xludf.DUMMYFUNCTION("""COMPUTED_VALUE"""),0.35)</f>
        <v>0.35</v>
      </c>
    </row>
    <row r="2698">
      <c r="A2698" s="10" t="s">
        <v>4137</v>
      </c>
      <c r="B2698" s="7" t="str">
        <f>IFERROR(__xludf.DUMMYFUNCTION("SPLIT(A2698,"" "")"),"Cc1ccc(CN(C)C2CCC(N(Cc3cccc(C)n3)Cc3cccc(-c4ccc5c(c4)OCCOCCOCCOCCOCCO5)n3)CC2)nc1")</f>
        <v>Cc1ccc(CN(C)C2CCC(N(Cc3cccc(C)n3)Cc3cccc(-c4ccc5c(c4)OCCOCCOCCOCCOCCO5)n3)CC2)nc1</v>
      </c>
      <c r="C2698" s="7">
        <f>IFERROR(__xludf.DUMMYFUNCTION("""COMPUTED_VALUE"""),7.806522)</f>
        <v>7.806522</v>
      </c>
      <c r="D2698" s="7">
        <f>IFERROR(__xludf.DUMMYFUNCTION("""COMPUTED_VALUE"""),0.371794871794871)</f>
        <v>0.3717948718</v>
      </c>
    </row>
    <row r="2699">
      <c r="A2699" s="10" t="s">
        <v>4138</v>
      </c>
      <c r="B2699" s="7" t="str">
        <f>IFERROR(__xludf.DUMMYFUNCTION("SPLIT(A2699,"" "")"),"CC1=CC(C)(C)C(C)CC12C=CNC(C(C)C)=C2")</f>
        <v>CC1=CC(C)(C)C(C)CC12C=CNC(C(C)C)=C2</v>
      </c>
      <c r="C2699" s="7">
        <f>IFERROR(__xludf.DUMMYFUNCTION("""COMPUTED_VALUE"""),7.806517)</f>
        <v>7.806517</v>
      </c>
      <c r="D2699" s="7">
        <f>IFERROR(__xludf.DUMMYFUNCTION("""COMPUTED_VALUE"""),0.131147540983606)</f>
        <v>0.131147541</v>
      </c>
    </row>
    <row r="2700">
      <c r="A2700" s="10" t="s">
        <v>4139</v>
      </c>
      <c r="B2700" s="7" t="str">
        <f>IFERROR(__xludf.DUMMYFUNCTION("SPLIT(A2700,"" "")"),"CN(C)Cc1cccc(CN(Cc2ccccn2)C2CCC(N(C)Cc3ncccc3-c3ccc4c(c3)OCCOCCOCCOCCOCCO4)CC2)n1")</f>
        <v>CN(C)Cc1cccc(CN(Cc2ccccn2)C2CCC(N(C)Cc3ncccc3-c3ccc4c(c3)OCCOCCOCCOCCOCCO4)CC2)n1</v>
      </c>
      <c r="C2700" s="7">
        <f>IFERROR(__xludf.DUMMYFUNCTION("""COMPUTED_VALUE"""),7.806513)</f>
        <v>7.806513</v>
      </c>
      <c r="D2700" s="7">
        <f>IFERROR(__xludf.DUMMYFUNCTION("""COMPUTED_VALUE"""),0.328571428571428)</f>
        <v>0.3285714286</v>
      </c>
    </row>
    <row r="2701">
      <c r="A2701" s="10" t="s">
        <v>4140</v>
      </c>
      <c r="B2701" s="7" t="str">
        <f>IFERROR(__xludf.DUMMYFUNCTION("SPLIT(A2701,"" "")"),"Cc1cccc(-c2ccc3c(c2)OCCOCCOCC(N)OCCOCCO3)n1")</f>
        <v>Cc1cccc(-c2ccc3c(c2)OCCOCCOCC(N)OCCOCCO3)n1</v>
      </c>
      <c r="C2701" s="7">
        <f>IFERROR(__xludf.DUMMYFUNCTION("""COMPUTED_VALUE"""),7.8064976)</f>
        <v>7.8064976</v>
      </c>
      <c r="D2701" s="7">
        <f>IFERROR(__xludf.DUMMYFUNCTION("""COMPUTED_VALUE"""),0.328358208955223)</f>
        <v>0.328358209</v>
      </c>
    </row>
    <row r="2702">
      <c r="A2702" s="10" t="s">
        <v>4141</v>
      </c>
      <c r="B2702" s="7" t="str">
        <f>IFERROR(__xludf.DUMMYFUNCTION("SPLIT(A2702,"" "")"),"Cc1ccc(CN(Cc2ccccn2)C2CCC(N(C)C3CCC(N(Cc4cccc(F)n4)Cc4cccnc4F)CC3)CC2)nc1C")</f>
        <v>Cc1ccc(CN(Cc2ccccn2)C2CCC(N(C)C3CCC(N(Cc4cccc(F)n4)Cc4cccnc4F)CC3)CC2)nc1C</v>
      </c>
      <c r="C2702" s="7">
        <f>IFERROR(__xludf.DUMMYFUNCTION("""COMPUTED_VALUE"""),7.8064833)</f>
        <v>7.8064833</v>
      </c>
      <c r="D2702" s="7">
        <f>IFERROR(__xludf.DUMMYFUNCTION("""COMPUTED_VALUE"""),0.36986301369863)</f>
        <v>0.3698630137</v>
      </c>
    </row>
    <row r="2703">
      <c r="A2703" s="10" t="s">
        <v>4142</v>
      </c>
      <c r="B2703" s="7" t="str">
        <f>IFERROR(__xludf.DUMMYFUNCTION("SPLIT(A2703,"" "")"),"CC(C)C1COC(C(C)C(C)C)=N1")</f>
        <v>CC(C)C1COC(C(C)C(C)C)=N1</v>
      </c>
      <c r="C2703" s="7">
        <f>IFERROR(__xludf.DUMMYFUNCTION("""COMPUTED_VALUE"""),7.806483)</f>
        <v>7.806483</v>
      </c>
      <c r="D2703" s="7">
        <f>IFERROR(__xludf.DUMMYFUNCTION("""COMPUTED_VALUE"""),0.160714285714285)</f>
        <v>0.1607142857</v>
      </c>
    </row>
    <row r="2704">
      <c r="A2704" s="10" t="s">
        <v>4143</v>
      </c>
      <c r="B2704" s="7" t="str">
        <f>IFERROR(__xludf.DUMMYFUNCTION("SPLIT(A2704,"" "")"),"Cc1cc(C)c(CN(C)C2=C(CN3CCN(C)CCN(C)CC3)NC=CC2)cn1")</f>
        <v>Cc1cc(C)c(CN(C)C2=C(CN3CCN(C)CCN(C)CC3)NC=CC2)cn1</v>
      </c>
      <c r="C2704" s="7">
        <f>IFERROR(__xludf.DUMMYFUNCTION("""COMPUTED_VALUE"""),7.8064733)</f>
        <v>7.8064733</v>
      </c>
      <c r="D2704" s="7">
        <f>IFERROR(__xludf.DUMMYFUNCTION("""COMPUTED_VALUE"""),0.322033898305084)</f>
        <v>0.3220338983</v>
      </c>
    </row>
    <row r="2705">
      <c r="A2705" s="10" t="s">
        <v>4144</v>
      </c>
      <c r="B2705" s="7" t="str">
        <f>IFERROR(__xludf.DUMMYFUNCTION("SPLIT(A2705,"" "")"),"CC1=CC(C)C(N(C)Cc2ccccn2)C(CN(C)Cc2ccccn2)C1C")</f>
        <v>CC1=CC(C)C(N(C)Cc2ccccn2)C(CN(C)Cc2ccccn2)C1C</v>
      </c>
      <c r="C2705" s="7">
        <f>IFERROR(__xludf.DUMMYFUNCTION("""COMPUTED_VALUE"""),7.806455)</f>
        <v>7.806455</v>
      </c>
      <c r="D2705" s="7">
        <f>IFERROR(__xludf.DUMMYFUNCTION("""COMPUTED_VALUE"""),0.44)</f>
        <v>0.44</v>
      </c>
    </row>
    <row r="2706">
      <c r="A2706" s="10" t="s">
        <v>4145</v>
      </c>
      <c r="B2706" s="7" t="str">
        <f>IFERROR(__xludf.DUMMYFUNCTION("SPLIT(A2706,"" "")"),"Cc1cncc(CN(C)C2CCCC(N(C)Cc3cccc(C4CC(C)(C)C4)n3)C2)c1")</f>
        <v>Cc1cncc(CN(C)C2CCCC(N(C)Cc3cccc(C4CC(C)(C)C4)n3)C2)c1</v>
      </c>
      <c r="C2706" s="7">
        <f>IFERROR(__xludf.DUMMYFUNCTION("""COMPUTED_VALUE"""),7.806437)</f>
        <v>7.806437</v>
      </c>
      <c r="D2706" s="7">
        <f>IFERROR(__xludf.DUMMYFUNCTION("""COMPUTED_VALUE"""),0.360655737704918)</f>
        <v>0.3606557377</v>
      </c>
    </row>
    <row r="2707">
      <c r="A2707" s="10" t="s">
        <v>4146</v>
      </c>
      <c r="B2707" s="7" t="str">
        <f>IFERROR(__xludf.DUMMYFUNCTION("SPLIT(A2707,"" "")"),"CN(Cc1cccc(F)n1)C1CCC(N(Cc2cccc(F)n2)C2CCC(N(Cc3cccc(F)n3)Cc3cccc(F)n3)CC2)CC1")</f>
        <v>CN(Cc1cccc(F)n1)C1CCC(N(Cc2cccc(F)n2)C2CCC(N(Cc3cccc(F)n3)Cc3cccc(F)n3)CC2)CC1</v>
      </c>
      <c r="C2707" s="7">
        <f>IFERROR(__xludf.DUMMYFUNCTION("""COMPUTED_VALUE"""),7.8064313)</f>
        <v>7.8064313</v>
      </c>
      <c r="D2707" s="7">
        <f>IFERROR(__xludf.DUMMYFUNCTION("""COMPUTED_VALUE"""),0.408163265306122)</f>
        <v>0.4081632653</v>
      </c>
    </row>
    <row r="2708">
      <c r="A2708" s="10" t="s">
        <v>4147</v>
      </c>
      <c r="B2708" s="7" t="str">
        <f>IFERROR(__xludf.DUMMYFUNCTION("SPLIT(A2708,"" "")"),"Cc1cccnc1CN(C)C1CCCC(N(C)Cc2ccon2)C1")</f>
        <v>Cc1cccnc1CN(C)C1CCCC(N(C)Cc2ccon2)C1</v>
      </c>
      <c r="C2708" s="7">
        <f>IFERROR(__xludf.DUMMYFUNCTION("""COMPUTED_VALUE"""),7.80643)</f>
        <v>7.80643</v>
      </c>
      <c r="D2708" s="7">
        <f>IFERROR(__xludf.DUMMYFUNCTION("""COMPUTED_VALUE"""),0.387755102040816)</f>
        <v>0.387755102</v>
      </c>
    </row>
    <row r="2709">
      <c r="A2709" s="10" t="s">
        <v>4148</v>
      </c>
      <c r="B2709" s="7" t="str">
        <f>IFERROR(__xludf.DUMMYFUNCTION("SPLIT(A2709,"" "")"),"CC(C)C(C)(c1cccnc1)N(C)Cc1cccc(-c2ccc3c(c2)OCCOCCOCCOCCOCCO3)n1")</f>
        <v>CC(C)C(C)(c1cccnc1)N(C)Cc1cccc(-c2ccc3c(c2)OCCOCCOCCOCCOCCO3)n1</v>
      </c>
      <c r="C2709" s="7">
        <f>IFERROR(__xludf.DUMMYFUNCTION("""COMPUTED_VALUE"""),7.8064294)</f>
        <v>7.8064294</v>
      </c>
      <c r="D2709" s="7">
        <f>IFERROR(__xludf.DUMMYFUNCTION("""COMPUTED_VALUE"""),0.307692307692307)</f>
        <v>0.3076923077</v>
      </c>
    </row>
    <row r="2710">
      <c r="A2710" s="10" t="s">
        <v>4149</v>
      </c>
      <c r="B2710" s="7" t="str">
        <f>IFERROR(__xludf.DUMMYFUNCTION("SPLIT(A2710,"" "")"),"CCCN(Cc1ccccn1)C1CCCC(N(C)Cc2nc(C)c(C)c(C)c2C)C1")</f>
        <v>CCCN(Cc1ccccn1)C1CCCC(N(C)Cc2nc(C)c(C)c(C)c2C)C1</v>
      </c>
      <c r="C2710" s="7">
        <f>IFERROR(__xludf.DUMMYFUNCTION("""COMPUTED_VALUE"""),7.8064284)</f>
        <v>7.8064284</v>
      </c>
      <c r="D2710" s="7">
        <f>IFERROR(__xludf.DUMMYFUNCTION("""COMPUTED_VALUE"""),0.421052631578947)</f>
        <v>0.4210526316</v>
      </c>
    </row>
    <row r="2711">
      <c r="A2711" s="10" t="s">
        <v>4150</v>
      </c>
      <c r="B2711" s="7" t="str">
        <f>IFERROR(__xludf.DUMMYFUNCTION("SPLIT(A2711,"" "")"),"CC(C)N(Cc1ccccn1)Cc1cccc(-c2cccc3c2OCCOCCOCCOCCOCCO3)n1")</f>
        <v>CC(C)N(Cc1ccccn1)Cc1cccc(-c2cccc3c2OCCOCCOCCOCCOCCO3)n1</v>
      </c>
      <c r="C2711" s="7">
        <f>IFERROR(__xludf.DUMMYFUNCTION("""COMPUTED_VALUE"""),7.806428)</f>
        <v>7.806428</v>
      </c>
      <c r="D2711" s="7">
        <f>IFERROR(__xludf.DUMMYFUNCTION("""COMPUTED_VALUE"""),0.452830188679245)</f>
        <v>0.4528301887</v>
      </c>
    </row>
    <row r="2712">
      <c r="A2712" s="10" t="s">
        <v>4151</v>
      </c>
      <c r="B2712" s="7" t="str">
        <f>IFERROR(__xludf.DUMMYFUNCTION("SPLIT(A2712,"" "")"),"COC(=O)C(=O)C(C)C1(C)N=COC1c1cccnc1CN1CCN(C)CCN(C)CC1")</f>
        <v>COC(=O)C(=O)C(C)C1(C)N=COC1c1cccnc1CN1CCN(C)CCN(C)CC1</v>
      </c>
      <c r="C2712" s="7">
        <f>IFERROR(__xludf.DUMMYFUNCTION("""COMPUTED_VALUE"""),7.8064113)</f>
        <v>7.8064113</v>
      </c>
      <c r="D2712" s="7">
        <f>IFERROR(__xludf.DUMMYFUNCTION("""COMPUTED_VALUE"""),0.328767123287671)</f>
        <v>0.3287671233</v>
      </c>
    </row>
    <row r="2713">
      <c r="A2713" s="10" t="s">
        <v>4152</v>
      </c>
      <c r="B2713" s="7" t="str">
        <f>IFERROR(__xludf.DUMMYFUNCTION("SPLIT(A2713,"" "")"),"C1=CNC(NC2C=CC=CN2)C=C1")</f>
        <v>C1=CNC(NC2C=CC=CN2)C=C1</v>
      </c>
      <c r="C2713" s="7">
        <f>IFERROR(__xludf.DUMMYFUNCTION("""COMPUTED_VALUE"""),7.806407)</f>
        <v>7.806407</v>
      </c>
      <c r="D2713" s="7">
        <f>IFERROR(__xludf.DUMMYFUNCTION("""COMPUTED_VALUE"""),0.238095238095238)</f>
        <v>0.2380952381</v>
      </c>
    </row>
    <row r="2714">
      <c r="A2714" s="10" t="s">
        <v>4153</v>
      </c>
      <c r="B2714" s="7" t="str">
        <f>IFERROR(__xludf.DUMMYFUNCTION("SPLIT(A2714,"" "")"),"Cc1cncc(CN(C)C2CCCC(N(Cc3ccccn3)Cc3cccc(CNCF)n3)C2)c1")</f>
        <v>Cc1cncc(CN(C)C2CCCC(N(Cc3ccccn3)Cc3cccc(CNCF)n3)C2)c1</v>
      </c>
      <c r="C2714" s="7">
        <f>IFERROR(__xludf.DUMMYFUNCTION("""COMPUTED_VALUE"""),7.8063974)</f>
        <v>7.8063974</v>
      </c>
      <c r="D2714" s="7">
        <f>IFERROR(__xludf.DUMMYFUNCTION("""COMPUTED_VALUE"""),0.35820895522388)</f>
        <v>0.3582089552</v>
      </c>
    </row>
    <row r="2715">
      <c r="A2715" s="10" t="s">
        <v>4154</v>
      </c>
      <c r="B2715" s="7" t="str">
        <f>IFERROR(__xludf.DUMMYFUNCTION("SPLIT(A2715,"" "")"),"Cc1cncc(CN(Cc2ncccc2C)C2CCC(N(C)Cc3ncccc3-c3ccc4c(c3)OCCOCCOCCOCCOCCO4)CC2)c1")</f>
        <v>Cc1cncc(CN(Cc2ncccc2C)C2CCC(N(C)Cc3ncccc3-c3ccc4c(c3)OCCOCCOCCOCCOCCO4)CC2)c1</v>
      </c>
      <c r="C2715" s="7">
        <f>IFERROR(__xludf.DUMMYFUNCTION("""COMPUTED_VALUE"""),7.8063936)</f>
        <v>7.8063936</v>
      </c>
      <c r="D2715" s="7">
        <f>IFERROR(__xludf.DUMMYFUNCTION("""COMPUTED_VALUE"""),0.309523809523809)</f>
        <v>0.3095238095</v>
      </c>
    </row>
    <row r="2716">
      <c r="A2716" s="10" t="s">
        <v>4155</v>
      </c>
      <c r="B2716" s="7" t="str">
        <f>IFERROR(__xludf.DUMMYFUNCTION("SPLIT(A2716,"" "")"),"Cc1cnc(CN(C)C2CCCCC2N(C)Cc2ncccc2CF)c(C)c1C")</f>
        <v>Cc1cnc(CN(C)C2CCCCC2N(C)Cc2ncccc2CF)c(C)c1C</v>
      </c>
      <c r="C2716" s="7">
        <f>IFERROR(__xludf.DUMMYFUNCTION("""COMPUTED_VALUE"""),7.8063846)</f>
        <v>7.8063846</v>
      </c>
      <c r="D2716" s="7">
        <f>IFERROR(__xludf.DUMMYFUNCTION("""COMPUTED_VALUE"""),0.470588235294117)</f>
        <v>0.4705882353</v>
      </c>
    </row>
    <row r="2717">
      <c r="A2717" s="10" t="s">
        <v>4156</v>
      </c>
      <c r="B2717" s="7" t="str">
        <f>IFERROR(__xludf.DUMMYFUNCTION("SPLIT(A2717,"" "")"),"Cc1cnc(CN(C)C2CCC(N(Cc3ccccn3)Cc3cccc(-c4ccc5c(c4)OCCOCCOCCOCCOCCO5)n3)CC2)c(C)c1")</f>
        <v>Cc1cnc(CN(C)C2CCC(N(Cc3ccccn3)Cc3cccc(-c4ccc5c(c4)OCCOCCOCCOCCOCCO5)n3)CC2)c(C)c1</v>
      </c>
      <c r="C2717" s="7">
        <f>IFERROR(__xludf.DUMMYFUNCTION("""COMPUTED_VALUE"""),7.806384)</f>
        <v>7.806384</v>
      </c>
      <c r="D2717" s="7">
        <f>IFERROR(__xludf.DUMMYFUNCTION("""COMPUTED_VALUE"""),0.354430379746835)</f>
        <v>0.3544303797</v>
      </c>
    </row>
    <row r="2718">
      <c r="A2718" s="10" t="s">
        <v>4157</v>
      </c>
      <c r="B2718" s="7" t="str">
        <f>IFERROR(__xludf.DUMMYFUNCTION("SPLIT(A2718,"" "")"),"COC(=O)C1CN(C)C(C(C)C)C(C(C)(C)C)C1C(C)(C)NCc1ccccn1")</f>
        <v>COC(=O)C1CN(C)C(C(C)C)C(C(C)(C)C)C1C(C)(C)NCc1ccccn1</v>
      </c>
      <c r="C2718" s="7">
        <f>IFERROR(__xludf.DUMMYFUNCTION("""COMPUTED_VALUE"""),7.8063765)</f>
        <v>7.8063765</v>
      </c>
      <c r="D2718" s="7">
        <f>IFERROR(__xludf.DUMMYFUNCTION("""COMPUTED_VALUE"""),0.3125)</f>
        <v>0.3125</v>
      </c>
    </row>
    <row r="2719">
      <c r="A2719" s="10" t="s">
        <v>4158</v>
      </c>
      <c r="B2719" s="7" t="str">
        <f>IFERROR(__xludf.DUMMYFUNCTION("SPLIT(A2719,"" "")"),"Cc1cccnc1CN(C)C1CCCC(N(Cc2ccccn2)Cc2cccc(C3(C)C(C)C=CC(C)C3(C)C)n2)C1")</f>
        <v>Cc1cccnc1CN(C)C1CCCC(N(Cc2ccccn2)Cc2cccc(C3(C)C(C)C=CC(C)C3(C)C)n2)C1</v>
      </c>
      <c r="C2719" s="7">
        <f>IFERROR(__xludf.DUMMYFUNCTION("""COMPUTED_VALUE"""),7.8063707)</f>
        <v>7.8063707</v>
      </c>
      <c r="D2719" s="7">
        <f>IFERROR(__xludf.DUMMYFUNCTION("""COMPUTED_VALUE"""),0.352941176470588)</f>
        <v>0.3529411765</v>
      </c>
    </row>
    <row r="2720">
      <c r="A2720" s="10" t="s">
        <v>4159</v>
      </c>
      <c r="B2720" s="7" t="str">
        <f>IFERROR(__xludf.DUMMYFUNCTION("SPLIT(A2720,"" "")"),"CCN(Cc1ccccn1)Cc1cc(-c2ccc3c(c2)OCCOCCOCCOCCOCCO3)ccn1")</f>
        <v>CCN(Cc1ccccn1)Cc1cc(-c2ccc3c(c2)OCCOCCOCCOCCOCCO3)ccn1</v>
      </c>
      <c r="C2720" s="7">
        <f>IFERROR(__xludf.DUMMYFUNCTION("""COMPUTED_VALUE"""),7.806367)</f>
        <v>7.806367</v>
      </c>
      <c r="D2720" s="7">
        <f>IFERROR(__xludf.DUMMYFUNCTION("""COMPUTED_VALUE"""),0.404255319148936)</f>
        <v>0.4042553191</v>
      </c>
    </row>
    <row r="2721">
      <c r="A2721" s="10" t="s">
        <v>4160</v>
      </c>
      <c r="B2721" s="7" t="str">
        <f>IFERROR(__xludf.DUMMYFUNCTION("SPLIT(A2721,"" "")"),"C=CCN(C)CCN(Cc1cncc(-c2ccccc2N(C)C)c1)Cc1cccc2c1OCCOCCOCCOCCOCCO2")</f>
        <v>C=CCN(C)CCN(Cc1cncc(-c2ccccc2N(C)C)c1)Cc1cccc2c1OCCOCCOCCOCCOCCO2</v>
      </c>
      <c r="C2721" s="7">
        <f>IFERROR(__xludf.DUMMYFUNCTION("""COMPUTED_VALUE"""),7.806362)</f>
        <v>7.806362</v>
      </c>
      <c r="D2721" s="7">
        <f>IFERROR(__xludf.DUMMYFUNCTION("""COMPUTED_VALUE"""),0.268292682926829)</f>
        <v>0.2682926829</v>
      </c>
    </row>
    <row r="2722">
      <c r="A2722" s="10" t="s">
        <v>4161</v>
      </c>
      <c r="B2722" s="7" t="str">
        <f>IFERROR(__xludf.DUMMYFUNCTION("SPLIT(A2722,"" "")"),"CN1CCN(C)CCN(CCc2ccc3ncccc3c2)CC1")</f>
        <v>CN1CCN(C)CCN(CCc2ccc3ncccc3c2)CC1</v>
      </c>
      <c r="C2722" s="7">
        <f>IFERROR(__xludf.DUMMYFUNCTION("""COMPUTED_VALUE"""),7.8063436)</f>
        <v>7.8063436</v>
      </c>
      <c r="D2722" s="7">
        <f>IFERROR(__xludf.DUMMYFUNCTION("""COMPUTED_VALUE"""),0.422222222222222)</f>
        <v>0.4222222222</v>
      </c>
    </row>
    <row r="2723">
      <c r="A2723" s="10" t="s">
        <v>4162</v>
      </c>
      <c r="B2723" s="7" t="str">
        <f>IFERROR(__xludf.DUMMYFUNCTION("SPLIT(A2723,"" "")"),"CCN(Cc1cc(C)ccn1)C1CCCCC1N(C)Cc1cc(C)c(C)c(C)n1")</f>
        <v>CCN(Cc1cc(C)ccn1)C1CCCCC1N(C)Cc1cc(C)c(C)c(C)n1</v>
      </c>
      <c r="C2723" s="7">
        <f>IFERROR(__xludf.DUMMYFUNCTION("""COMPUTED_VALUE"""),7.8063426)</f>
        <v>7.8063426</v>
      </c>
      <c r="D2723" s="7">
        <f>IFERROR(__xludf.DUMMYFUNCTION("""COMPUTED_VALUE"""),0.436363636363636)</f>
        <v>0.4363636364</v>
      </c>
    </row>
    <row r="2724">
      <c r="A2724" s="10" t="s">
        <v>4163</v>
      </c>
      <c r="B2724" s="7" t="str">
        <f>IFERROR(__xludf.DUMMYFUNCTION("SPLIT(A2724,"" "")"),"CN(Cc1ccccc1)Cc1cc(-c2ccc3c(c2)OCCOCCOCCOCCOCCO3)ccn1")</f>
        <v>CN(Cc1ccccc1)Cc1cc(-c2ccc3c(c2)OCCOCCOCCOCCOCCO3)ccn1</v>
      </c>
      <c r="C2724" s="7">
        <f>IFERROR(__xludf.DUMMYFUNCTION("""COMPUTED_VALUE"""),7.8063416)</f>
        <v>7.8063416</v>
      </c>
      <c r="D2724" s="7">
        <f>IFERROR(__xludf.DUMMYFUNCTION("""COMPUTED_VALUE"""),0.390625)</f>
        <v>0.390625</v>
      </c>
    </row>
    <row r="2725">
      <c r="A2725" s="10" t="s">
        <v>4164</v>
      </c>
      <c r="B2725" s="7" t="str">
        <f>IFERROR(__xludf.DUMMYFUNCTION("SPLIT(A2725,"" "")"),"CC1=CCCC(C)(C)C12C=CNC(C(C)C)=C2")</f>
        <v>CC1=CCCC(C)(C)C12C=CNC(C(C)C)=C2</v>
      </c>
      <c r="C2725" s="7">
        <f>IFERROR(__xludf.DUMMYFUNCTION("""COMPUTED_VALUE"""),7.8063126)</f>
        <v>7.8063126</v>
      </c>
      <c r="D2725" s="7">
        <f>IFERROR(__xludf.DUMMYFUNCTION("""COMPUTED_VALUE"""),0.140350877192982)</f>
        <v>0.1403508772</v>
      </c>
    </row>
    <row r="2726">
      <c r="A2726" s="10" t="s">
        <v>4165</v>
      </c>
      <c r="B2726" s="7" t="str">
        <f>IFERROR(__xludf.DUMMYFUNCTION("SPLIT(A2726,"" "")"),"Cc1ccc(CN(C)C2CCC(N(C)Cc3cccc(-c4ccc5c(c4)OCCOCCOCCOCCOCCO5)n3)CC2N(C)Cc2ccc(C)cn2)nc1")</f>
        <v>Cc1ccc(CN(C)C2CCC(N(C)Cc3cccc(-c4ccc5c(c4)OCCOCCOCCOCCOCCO5)n3)CC2N(C)Cc2ccc(C)cn2)nc1</v>
      </c>
      <c r="C2726" s="7">
        <f>IFERROR(__xludf.DUMMYFUNCTION("""COMPUTED_VALUE"""),7.8063073)</f>
        <v>7.8063073</v>
      </c>
      <c r="D2726" s="7">
        <f>IFERROR(__xludf.DUMMYFUNCTION("""COMPUTED_VALUE"""),0.43076923076923)</f>
        <v>0.4307692308</v>
      </c>
    </row>
    <row r="2727">
      <c r="A2727" s="10" t="s">
        <v>4166</v>
      </c>
      <c r="B2727" s="7" t="str">
        <f>IFERROR(__xludf.DUMMYFUNCTION("SPLIT(A2727,"" "")"),"CC1=C(C)C2(C)OCCOCCOCCOCCOCCOC2(c2cccc(CN(Cc3ccccn3)Cc3ccccn3)n2)C2=CNC(C(C)(C)C)=CC21")</f>
        <v>CC1=C(C)C2(C)OCCOCCOCCOCCOCCOC2(c2cccc(CN(Cc3ccccn3)Cc3ccccn3)n2)C2=CNC(C(C)(C)C)=CC21</v>
      </c>
      <c r="C2727" s="7">
        <f>IFERROR(__xludf.DUMMYFUNCTION("""COMPUTED_VALUE"""),7.806304)</f>
        <v>7.806304</v>
      </c>
      <c r="D2727" s="7">
        <f>IFERROR(__xludf.DUMMYFUNCTION("""COMPUTED_VALUE"""),0.304878048780487)</f>
        <v>0.3048780488</v>
      </c>
    </row>
    <row r="2728">
      <c r="A2728" s="10" t="s">
        <v>4167</v>
      </c>
      <c r="B2728" s="7" t="str">
        <f>IFERROR(__xludf.DUMMYFUNCTION("SPLIT(A2728,"" "")"),"CC(C)N(C)Cc1ncccc1N(C)C1CCCC(N(C)Cc2ccccn2)C1")</f>
        <v>CC(C)N(C)Cc1ncccc1N(C)C1CCCC(N(C)Cc2ccccn2)C1</v>
      </c>
      <c r="C2728" s="7">
        <f>IFERROR(__xludf.DUMMYFUNCTION("""COMPUTED_VALUE"""),7.8062983)</f>
        <v>7.8062983</v>
      </c>
      <c r="D2728" s="7">
        <f>IFERROR(__xludf.DUMMYFUNCTION("""COMPUTED_VALUE"""),0.471698113207547)</f>
        <v>0.4716981132</v>
      </c>
    </row>
    <row r="2729">
      <c r="A2729" s="10" t="s">
        <v>4168</v>
      </c>
      <c r="B2729" s="7" t="str">
        <f>IFERROR(__xludf.DUMMYFUNCTION("SPLIT(A2729,"" "")"),"Cc1cccnc1CN(C)CCN(C)CCF")</f>
        <v>Cc1cccnc1CN(C)CCN(C)CCF</v>
      </c>
      <c r="C2729" s="7">
        <f>IFERROR(__xludf.DUMMYFUNCTION("""COMPUTED_VALUE"""),7.806296)</f>
        <v>7.806296</v>
      </c>
      <c r="D2729" s="7">
        <f>IFERROR(__xludf.DUMMYFUNCTION("""COMPUTED_VALUE"""),0.425)</f>
        <v>0.425</v>
      </c>
    </row>
    <row r="2730">
      <c r="A2730" s="10" t="s">
        <v>4169</v>
      </c>
      <c r="B2730" s="7" t="str">
        <f>IFERROR(__xludf.DUMMYFUNCTION("SPLIT(A2730,"" "")"),"CN1CCN(C)CCN(CC2CCC(N(C)c3ccc4ncccc4c3)N2C)CC1")</f>
        <v>CN1CCN(C)CCN(CC2CCC(N(C)c3ccc4ncccc4c3)N2C)CC1</v>
      </c>
      <c r="C2730" s="7">
        <f>IFERROR(__xludf.DUMMYFUNCTION("""COMPUTED_VALUE"""),7.8062906)</f>
        <v>7.8062906</v>
      </c>
      <c r="D2730" s="7">
        <f>IFERROR(__xludf.DUMMYFUNCTION("""COMPUTED_VALUE"""),0.344262295081967)</f>
        <v>0.3442622951</v>
      </c>
    </row>
    <row r="2731">
      <c r="A2731" s="10" t="s">
        <v>4170</v>
      </c>
      <c r="B2731" s="7" t="str">
        <f>IFERROR(__xludf.DUMMYFUNCTION("SPLIT(A2731,"" "")"),"Cc1ccc(CN(C)C2CCC(N(Cc3ccccn3)Cc3ccc(-c4ccc5c(c4)OCCOCCOCCOCCOCCO5)cn3)CC2)nc1C")</f>
        <v>Cc1ccc(CN(C)C2CCC(N(Cc3ccccn3)Cc3ccc(-c4ccc5c(c4)OCCOCCOCCOCCOCCO5)cn3)CC2)nc1C</v>
      </c>
      <c r="C2731" s="7">
        <f>IFERROR(__xludf.DUMMYFUNCTION("""COMPUTED_VALUE"""),7.806278)</f>
        <v>7.806278</v>
      </c>
      <c r="D2731" s="7">
        <f>IFERROR(__xludf.DUMMYFUNCTION("""COMPUTED_VALUE"""),0.426666666666666)</f>
        <v>0.4266666667</v>
      </c>
    </row>
    <row r="2732">
      <c r="A2732" s="10" t="s">
        <v>4171</v>
      </c>
      <c r="B2732" s="7" t="str">
        <f>IFERROR(__xludf.DUMMYFUNCTION("SPLIT(A2732,"" "")"),"CNC1CCCC(N(Cc2ccccn2)Cc2nc(C)cc(C)c2C)C1")</f>
        <v>CNC1CCCC(N(Cc2ccccn2)Cc2nc(C)cc(C)c2C)C1</v>
      </c>
      <c r="C2732" s="7">
        <f>IFERROR(__xludf.DUMMYFUNCTION("""COMPUTED_VALUE"""),7.806254)</f>
        <v>7.806254</v>
      </c>
      <c r="D2732" s="7">
        <f>IFERROR(__xludf.DUMMYFUNCTION("""COMPUTED_VALUE"""),0.372881355932203)</f>
        <v>0.3728813559</v>
      </c>
    </row>
    <row r="2733">
      <c r="A2733" s="10" t="s">
        <v>4172</v>
      </c>
      <c r="B2733" s="7" t="str">
        <f>IFERROR(__xludf.DUMMYFUNCTION("SPLIT(A2733,"" "")"),"Cc1cnc(CN(C)C2CCCC(N(Cc3ccccn3)CC3C=CNC=C3)C2)c(C)c1C")</f>
        <v>Cc1cnc(CN(C)C2CCCC(N(Cc3ccccn3)CC3C=CNC=C3)C2)c(C)c1C</v>
      </c>
      <c r="C2733" s="7">
        <f>IFERROR(__xludf.DUMMYFUNCTION("""COMPUTED_VALUE"""),7.8062487)</f>
        <v>7.8062487</v>
      </c>
      <c r="D2733" s="7">
        <f>IFERROR(__xludf.DUMMYFUNCTION("""COMPUTED_VALUE"""),0.387096774193548)</f>
        <v>0.3870967742</v>
      </c>
    </row>
    <row r="2734">
      <c r="A2734" s="10" t="s">
        <v>4173</v>
      </c>
      <c r="B2734" s="7" t="str">
        <f>IFERROR(__xludf.DUMMYFUNCTION("SPLIT(A2734,"" "")"),"Cc1cc(CNC(C)(C)NCc2ccc(CN3CCN(C)CCN(C)CC3)cn2)nc(C)c1C")</f>
        <v>Cc1cc(CNC(C)(C)NCc2ccc(CN3CCN(C)CCN(C)CC3)cn2)nc(C)c1C</v>
      </c>
      <c r="C2734" s="7">
        <f>IFERROR(__xludf.DUMMYFUNCTION("""COMPUTED_VALUE"""),7.80623)</f>
        <v>7.80623</v>
      </c>
      <c r="D2734" s="7">
        <f>IFERROR(__xludf.DUMMYFUNCTION("""COMPUTED_VALUE"""),0.362068965517241)</f>
        <v>0.3620689655</v>
      </c>
    </row>
    <row r="2735">
      <c r="A2735" s="10" t="s">
        <v>4174</v>
      </c>
      <c r="B2735" s="7" t="str">
        <f>IFERROR(__xludf.DUMMYFUNCTION("SPLIT(A2735,"" "")"),"CC(C)N(C)Cc1ccc(N(C)C2CCCC(N(C)Cc3ccccn3)C2)cn1")</f>
        <v>CC(C)N(C)Cc1ccc(N(C)C2CCCC(N(C)Cc3ccccn3)C2)cn1</v>
      </c>
      <c r="C2735" s="7">
        <f>IFERROR(__xludf.DUMMYFUNCTION("""COMPUTED_VALUE"""),7.8062277)</f>
        <v>7.8062277</v>
      </c>
      <c r="D2735" s="7">
        <f>IFERROR(__xludf.DUMMYFUNCTION("""COMPUTED_VALUE"""),0.471698113207547)</f>
        <v>0.4716981132</v>
      </c>
    </row>
    <row r="2736">
      <c r="A2736" s="10" t="s">
        <v>4175</v>
      </c>
      <c r="B2736" s="7" t="str">
        <f>IFERROR(__xludf.DUMMYFUNCTION("SPLIT(A2736,"" "")"),"CCN(Cc1ccccn1)C1CCC(N(C)Cc2cc(C)c(C)c(C)n2)CC1")</f>
        <v>CCN(Cc1ccccn1)C1CCC(N(C)Cc2cc(C)c(C)c(C)n2)CC1</v>
      </c>
      <c r="C2736" s="7">
        <f>IFERROR(__xludf.DUMMYFUNCTION("""COMPUTED_VALUE"""),7.806224)</f>
        <v>7.806224</v>
      </c>
      <c r="D2736" s="7">
        <f>IFERROR(__xludf.DUMMYFUNCTION("""COMPUTED_VALUE"""),0.452830188679245)</f>
        <v>0.4528301887</v>
      </c>
    </row>
    <row r="2737">
      <c r="A2737" s="10" t="s">
        <v>4176</v>
      </c>
      <c r="B2737" s="7" t="str">
        <f>IFERROR(__xludf.DUMMYFUNCTION("SPLIT(A2737,"" "")"),"CN1CCN(C)CCN(CC2CCC(N(C)c3ccc4cccnc4c3)N2C)CC1")</f>
        <v>CN1CCN(C)CCN(CC2CCC(N(C)c3ccc4cccnc4c3)N2C)CC1</v>
      </c>
      <c r="C2737" s="7">
        <f>IFERROR(__xludf.DUMMYFUNCTION("""COMPUTED_VALUE"""),7.8062205)</f>
        <v>7.8062205</v>
      </c>
      <c r="D2737" s="7">
        <f>IFERROR(__xludf.DUMMYFUNCTION("""COMPUTED_VALUE"""),0.327586206896551)</f>
        <v>0.3275862069</v>
      </c>
    </row>
    <row r="2738">
      <c r="A2738" s="10" t="s">
        <v>4177</v>
      </c>
      <c r="B2738" s="7" t="str">
        <f>IFERROR(__xludf.DUMMYFUNCTION("SPLIT(A2738,"" "")"),"CN1CCN(C)CCN(C2CCCC(N(C)c3cccc4cc(CF)cnc34)C2)CC1")</f>
        <v>CN1CCN(C)CCN(C2CCCC(N(C)c3cccc4cc(CF)cnc34)C2)CC1</v>
      </c>
      <c r="C2738" s="7">
        <f>IFERROR(__xludf.DUMMYFUNCTION("""COMPUTED_VALUE"""),7.806214)</f>
        <v>7.806214</v>
      </c>
      <c r="D2738" s="7">
        <f>IFERROR(__xludf.DUMMYFUNCTION("""COMPUTED_VALUE"""),0.363636363636363)</f>
        <v>0.3636363636</v>
      </c>
    </row>
    <row r="2739">
      <c r="A2739" s="10" t="s">
        <v>4178</v>
      </c>
      <c r="B2739" s="7" t="str">
        <f>IFERROR(__xludf.DUMMYFUNCTION("SPLIT(A2739,"" "")"),"CC1=CCC=C(N(C)C2CCCC(N(C)Cc3cccc(C)n3)C2)N1")</f>
        <v>CC1=CCC=C(N(C)C2CCCC(N(C)Cc3cccc(C)n3)C2)N1</v>
      </c>
      <c r="C2739" s="7">
        <f>IFERROR(__xludf.DUMMYFUNCTION("""COMPUTED_VALUE"""),7.8062053)</f>
        <v>7.8062053</v>
      </c>
      <c r="D2739" s="7">
        <f>IFERROR(__xludf.DUMMYFUNCTION("""COMPUTED_VALUE"""),0.5)</f>
        <v>0.5</v>
      </c>
    </row>
    <row r="2740">
      <c r="A2740" s="10" t="s">
        <v>4179</v>
      </c>
      <c r="B2740" s="7" t="str">
        <f>IFERROR(__xludf.DUMMYFUNCTION("SPLIT(A2740,"" "")"),"CC1N=COC1CN(C)CCN(C)CC(C)(C)C")</f>
        <v>CC1N=COC1CN(C)CCN(C)CC(C)(C)C</v>
      </c>
      <c r="C2740" s="7">
        <f>IFERROR(__xludf.DUMMYFUNCTION("""COMPUTED_VALUE"""),7.806191)</f>
        <v>7.806191</v>
      </c>
      <c r="D2740" s="7">
        <f>IFERROR(__xludf.DUMMYFUNCTION("""COMPUTED_VALUE"""),0.224489795918367)</f>
        <v>0.2244897959</v>
      </c>
    </row>
    <row r="2741">
      <c r="A2741" s="10" t="s">
        <v>4180</v>
      </c>
      <c r="B2741" s="7" t="str">
        <f>IFERROR(__xludf.DUMMYFUNCTION("SPLIT(A2741,"" "")"),"CCOC(=O)C1CN(C)C(C(=O)C(C)N)C(C(C)(C)NCc2ccccn2)C1C(C)C")</f>
        <v>CCOC(=O)C1CN(C)C(C(=O)C(C)N)C(C(C)(C)NCc2ccccn2)C1C(C)C</v>
      </c>
      <c r="C2741" s="7">
        <f>IFERROR(__xludf.DUMMYFUNCTION("""COMPUTED_VALUE"""),7.806181)</f>
        <v>7.806181</v>
      </c>
      <c r="D2741" s="7">
        <f>IFERROR(__xludf.DUMMYFUNCTION("""COMPUTED_VALUE"""),0.269230769230769)</f>
        <v>0.2692307692</v>
      </c>
    </row>
    <row r="2742">
      <c r="A2742" s="10" t="s">
        <v>4181</v>
      </c>
      <c r="B2742" s="7" t="str">
        <f>IFERROR(__xludf.DUMMYFUNCTION("SPLIT(A2742,"" "")"),"Cc1cc(CN(C)C2CCC(N(Cc3ccccn3)Cc3cc(-c4ccc5c(c4)OCCOCCOCCOCCOCCO5)ccn3)CC2)c(C)cn1")</f>
        <v>Cc1cc(CN(C)C2CCC(N(Cc3ccccn3)Cc3cc(-c4ccc5c(c4)OCCOCCOCCOCCOCCO5)ccn3)CC2)c(C)cn1</v>
      </c>
      <c r="C2742" s="7">
        <f>IFERROR(__xludf.DUMMYFUNCTION("""COMPUTED_VALUE"""),7.806179)</f>
        <v>7.806179</v>
      </c>
      <c r="D2742" s="7">
        <f>IFERROR(__xludf.DUMMYFUNCTION("""COMPUTED_VALUE"""),0.354430379746835)</f>
        <v>0.3544303797</v>
      </c>
    </row>
    <row r="2743">
      <c r="A2743" s="10" t="s">
        <v>4182</v>
      </c>
      <c r="B2743" s="7" t="str">
        <f>IFERROR(__xludf.DUMMYFUNCTION("SPLIT(A2743,"" "")"),"CN1CCN(C)CCN(C2CCC(N(C)c3cccc4nccc(CF)c34)CC2)CC1")</f>
        <v>CN1CCN(C)CCN(C2CCC(N(C)c3cccc4nccc(CF)c34)CC2)CC1</v>
      </c>
      <c r="C2743" s="7">
        <f>IFERROR(__xludf.DUMMYFUNCTION("""COMPUTED_VALUE"""),7.806177)</f>
        <v>7.806177</v>
      </c>
      <c r="D2743" s="7">
        <f>IFERROR(__xludf.DUMMYFUNCTION("""COMPUTED_VALUE"""),0.283582089552238)</f>
        <v>0.2835820896</v>
      </c>
    </row>
    <row r="2744">
      <c r="A2744" s="10" t="s">
        <v>4183</v>
      </c>
      <c r="B2744" s="7" t="str">
        <f>IFERROR(__xludf.DUMMYFUNCTION("SPLIT(A2744,"" "")"),"CCOC(=O)C(C)NCc1nc(CN2CCN(C)CCN(C)CC2)c(C)c(C)c1C")</f>
        <v>CCOC(=O)C(C)NCc1nc(CN2CCN(C)CCN(C)CC2)c(C)c(C)c1C</v>
      </c>
      <c r="C2744" s="7">
        <f>IFERROR(__xludf.DUMMYFUNCTION("""COMPUTED_VALUE"""),7.8061666)</f>
        <v>7.8061666</v>
      </c>
      <c r="D2744" s="7">
        <f>IFERROR(__xludf.DUMMYFUNCTION("""COMPUTED_VALUE"""),0.383333333333333)</f>
        <v>0.3833333333</v>
      </c>
    </row>
    <row r="2745">
      <c r="A2745" s="10" t="s">
        <v>4184</v>
      </c>
      <c r="B2745" s="7" t="str">
        <f>IFERROR(__xludf.DUMMYFUNCTION("SPLIT(A2745,"" "")"),"CC1=C(C)C(C)C(N(C)Cc2cc(C)ccn2)CC1")</f>
        <v>CC1=C(C)C(C)C(N(C)Cc2cc(C)ccn2)CC1</v>
      </c>
      <c r="C2745" s="7">
        <f>IFERROR(__xludf.DUMMYFUNCTION("""COMPUTED_VALUE"""),7.8061495)</f>
        <v>7.8061495</v>
      </c>
      <c r="D2745" s="7">
        <f>IFERROR(__xludf.DUMMYFUNCTION("""COMPUTED_VALUE"""),0.408163265306122)</f>
        <v>0.4081632653</v>
      </c>
    </row>
    <row r="2746">
      <c r="A2746" s="10" t="s">
        <v>4185</v>
      </c>
      <c r="B2746" s="7" t="str">
        <f>IFERROR(__xludf.DUMMYFUNCTION("SPLIT(A2746,"" "")"),"CN1CCN(C)CCN(C2CCC(N(C)c3cccc4ncc(CF)cc34)CC2)CC1")</f>
        <v>CN1CCN(C)CCN(C2CCC(N(C)c3cccc4ncc(CF)cc34)CC2)CC1</v>
      </c>
      <c r="C2746" s="7">
        <f>IFERROR(__xludf.DUMMYFUNCTION("""COMPUTED_VALUE"""),7.8061385)</f>
        <v>7.8061385</v>
      </c>
      <c r="D2746" s="7">
        <f>IFERROR(__xludf.DUMMYFUNCTION("""COMPUTED_VALUE"""),0.279411764705882)</f>
        <v>0.2794117647</v>
      </c>
    </row>
    <row r="2747">
      <c r="A2747" s="10" t="s">
        <v>4186</v>
      </c>
      <c r="B2747" s="7" t="str">
        <f>IFERROR(__xludf.DUMMYFUNCTION("SPLIT(A2747,"" "")"),"CN1CCN(C)CCN(Cc2cccc(N=Cc3ccccn3)c2)CC1")</f>
        <v>CN1CCN(C)CCN(Cc2cccc(N=Cc3ccccn3)c2)CC1</v>
      </c>
      <c r="C2747" s="7">
        <f>IFERROR(__xludf.DUMMYFUNCTION("""COMPUTED_VALUE"""),7.8061247)</f>
        <v>7.8061247</v>
      </c>
      <c r="D2747" s="7">
        <f>IFERROR(__xludf.DUMMYFUNCTION("""COMPUTED_VALUE"""),0.479166666666666)</f>
        <v>0.4791666667</v>
      </c>
    </row>
    <row r="2748">
      <c r="A2748" s="10" t="s">
        <v>4187</v>
      </c>
      <c r="B2748" s="7" t="str">
        <f>IFERROR(__xludf.DUMMYFUNCTION("SPLIT(A2748,"" "")"),"Cc1ccnc(CN(C)C2=CNC(CN3CCN(C)CCN(C)CC3)=CC2)c1C")</f>
        <v>Cc1ccnc(CN(C)C2=CNC(CN3CCN(C)CCN(C)CC3)=CC2)c1C</v>
      </c>
      <c r="C2748" s="7">
        <f>IFERROR(__xludf.DUMMYFUNCTION("""COMPUTED_VALUE"""),7.8061233)</f>
        <v>7.8061233</v>
      </c>
      <c r="D2748" s="7">
        <f>IFERROR(__xludf.DUMMYFUNCTION("""COMPUTED_VALUE"""),0.362068965517241)</f>
        <v>0.3620689655</v>
      </c>
    </row>
    <row r="2749">
      <c r="A2749" s="10" t="s">
        <v>4188</v>
      </c>
      <c r="B2749" s="7" t="str">
        <f>IFERROR(__xludf.DUMMYFUNCTION("SPLIT(A2749,"" "")"),"CCOC(C)c1ncccc1CN(Cc1ccccn1)C1CCC(N(C)Cc2ncccc2-c2cccc3c2OCCOCCOCCOCCOCCO3)CC1")</f>
        <v>CCOC(C)c1ncccc1CN(Cc1ccccn1)C1CCC(N(C)Cc2ncccc2-c2cccc3c2OCCOCCOCCOCCOCCO3)CC1</v>
      </c>
      <c r="C2749" s="7">
        <f>IFERROR(__xludf.DUMMYFUNCTION("""COMPUTED_VALUE"""),7.8061223)</f>
        <v>7.8061223</v>
      </c>
      <c r="D2749" s="7">
        <f>IFERROR(__xludf.DUMMYFUNCTION("""COMPUTED_VALUE"""),0.291139240506329)</f>
        <v>0.2911392405</v>
      </c>
    </row>
    <row r="2750">
      <c r="A2750" s="10" t="s">
        <v>4189</v>
      </c>
      <c r="B2750" s="7" t="str">
        <f>IFERROR(__xludf.DUMMYFUNCTION("SPLIT(A2750,"" "")"),"Cc1ccc(C)c(CN(Cc2ccccn2)C2CCC(N(C)Cc3ccc(-c4ccc5c(c4)OCCOCCOCCOCCOCCO5)cn3)CC2)n1")</f>
        <v>Cc1ccc(C)c(CN(Cc2ccccn2)C2CCC(N(C)Cc3ccc(-c4ccc5c(c4)OCCOCCOCCOCCOCCO5)cn3)CC2)n1</v>
      </c>
      <c r="C2750" s="7">
        <f>IFERROR(__xludf.DUMMYFUNCTION("""COMPUTED_VALUE"""),7.8061213)</f>
        <v>7.8061213</v>
      </c>
      <c r="D2750" s="7">
        <f>IFERROR(__xludf.DUMMYFUNCTION("""COMPUTED_VALUE"""),0.41025641025641)</f>
        <v>0.4102564103</v>
      </c>
    </row>
    <row r="2751">
      <c r="A2751" s="10" t="s">
        <v>4190</v>
      </c>
      <c r="B2751" s="7" t="str">
        <f>IFERROR(__xludf.DUMMYFUNCTION("SPLIT(A2751,"" "")"),"CCN(Cc1ccccn1)C1CCC(N(C)Cc2nc(C)c(C)cc2C)CC1")</f>
        <v>CCN(Cc1ccccn1)C1CCC(N(C)Cc2nc(C)c(C)cc2C)CC1</v>
      </c>
      <c r="C2751" s="7">
        <f>IFERROR(__xludf.DUMMYFUNCTION("""COMPUTED_VALUE"""),7.8061194)</f>
        <v>7.8061194</v>
      </c>
      <c r="D2751" s="7">
        <f>IFERROR(__xludf.DUMMYFUNCTION("""COMPUTED_VALUE"""),0.425925925925925)</f>
        <v>0.4259259259</v>
      </c>
    </row>
    <row r="2752">
      <c r="A2752" s="10" t="s">
        <v>4191</v>
      </c>
      <c r="B2752" s="7" t="str">
        <f>IFERROR(__xludf.DUMMYFUNCTION("SPLIT(A2752,"" "")"),"CNCCNC(C)C")</f>
        <v>CNCCNC(C)C</v>
      </c>
      <c r="C2752" s="7">
        <f>IFERROR(__xludf.DUMMYFUNCTION("""COMPUTED_VALUE"""),7.806111)</f>
        <v>7.806111</v>
      </c>
      <c r="D2752" s="7">
        <f>IFERROR(__xludf.DUMMYFUNCTION("""COMPUTED_VALUE"""),0.108695652173913)</f>
        <v>0.1086956522</v>
      </c>
    </row>
    <row r="2753">
      <c r="A2753" s="10" t="s">
        <v>4192</v>
      </c>
      <c r="B2753" s="7" t="str">
        <f>IFERROR(__xludf.DUMMYFUNCTION("SPLIT(A2753,"" "")"),"CNCc1ncccc1CN(C)C1CCCCC1N(C)Cc1ncc(C)c(C)c1C")</f>
        <v>CNCc1ncccc1CN(C)C1CCCCC1N(C)Cc1ncc(C)c(C)c1C</v>
      </c>
      <c r="C2753" s="7">
        <f>IFERROR(__xludf.DUMMYFUNCTION("""COMPUTED_VALUE"""),7.806104)</f>
        <v>7.806104</v>
      </c>
      <c r="D2753" s="7">
        <f>IFERROR(__xludf.DUMMYFUNCTION("""COMPUTED_VALUE"""),0.444444444444444)</f>
        <v>0.4444444444</v>
      </c>
    </row>
    <row r="2754">
      <c r="A2754" s="10" t="s">
        <v>4193</v>
      </c>
      <c r="B2754" s="7" t="str">
        <f>IFERROR(__xludf.DUMMYFUNCTION("SPLIT(A2754,"" "")"),"CC1=CC(C(C)(C)c2cc(CN3CCN(C)CCN(C)CC3)ccn2)CC=C1NCc1ccccn1")</f>
        <v>CC1=CC(C(C)(C)c2cc(CN3CCN(C)CCN(C)CC3)ccn2)CC=C1NCc1ccccn1</v>
      </c>
      <c r="C2754" s="7">
        <f>IFERROR(__xludf.DUMMYFUNCTION("""COMPUTED_VALUE"""),7.806089)</f>
        <v>7.806089</v>
      </c>
      <c r="D2754" s="7">
        <f>IFERROR(__xludf.DUMMYFUNCTION("""COMPUTED_VALUE"""),0.426229508196721)</f>
        <v>0.4262295082</v>
      </c>
    </row>
    <row r="2755">
      <c r="A2755" s="10" t="s">
        <v>4194</v>
      </c>
      <c r="B2755" s="7" t="str">
        <f>IFERROR(__xludf.DUMMYFUNCTION("SPLIT(A2755,"" "")"),"CNCc1nc(CN(C)C2CCC(N(C)Cc3ccccn3)CC2)c(C)cc1C")</f>
        <v>CNCc1nc(CN(C)C2CCC(N(C)Cc3ccccn3)CC2)c(C)cc1C</v>
      </c>
      <c r="C2755" s="7">
        <f>IFERROR(__xludf.DUMMYFUNCTION("""COMPUTED_VALUE"""),7.806088)</f>
        <v>7.806088</v>
      </c>
      <c r="D2755" s="7">
        <f>IFERROR(__xludf.DUMMYFUNCTION("""COMPUTED_VALUE"""),0.470588235294117)</f>
        <v>0.4705882353</v>
      </c>
    </row>
    <row r="2756">
      <c r="A2756" s="10" t="s">
        <v>4195</v>
      </c>
      <c r="B2756" s="7" t="str">
        <f>IFERROR(__xludf.DUMMYFUNCTION("SPLIT(A2756,"" "")"),"Cc1ccc(CN(Cc2ncccc2C)C2CCC(N(C)Cc3cc(-c4ccc5c(c4)OCCOCCOCCOCCOCCO5)ccn3)CC2)nc1")</f>
        <v>Cc1ccc(CN(Cc2ncccc2C)C2CCC(N(C)Cc3cc(-c4ccc5c(c4)OCCOCCOCCOCCOCCO5)ccn3)CC2)nc1</v>
      </c>
      <c r="C2756" s="7">
        <f>IFERROR(__xludf.DUMMYFUNCTION("""COMPUTED_VALUE"""),7.806079)</f>
        <v>7.806079</v>
      </c>
      <c r="D2756" s="7">
        <f>IFERROR(__xludf.DUMMYFUNCTION("""COMPUTED_VALUE"""),0.375)</f>
        <v>0.375</v>
      </c>
    </row>
    <row r="2757">
      <c r="A2757" s="10" t="s">
        <v>4196</v>
      </c>
      <c r="B2757" s="7" t="str">
        <f>IFERROR(__xludf.DUMMYFUNCTION("SPLIT(A2757,"" "")"),"Cc1cc(CN(C)C2CCCC(N(C)C)C2)nc(C)c1C")</f>
        <v>Cc1cc(CN(C)C2CCCC(N(C)C)C2)nc(C)c1C</v>
      </c>
      <c r="C2757" s="7">
        <f>IFERROR(__xludf.DUMMYFUNCTION("""COMPUTED_VALUE"""),7.8060784)</f>
        <v>7.8060784</v>
      </c>
      <c r="D2757" s="7">
        <f>IFERROR(__xludf.DUMMYFUNCTION("""COMPUTED_VALUE"""),0.34)</f>
        <v>0.34</v>
      </c>
    </row>
    <row r="2758">
      <c r="A2758" s="10" t="s">
        <v>4197</v>
      </c>
      <c r="B2758" s="7" t="str">
        <f>IFERROR(__xludf.DUMMYFUNCTION("SPLIT(A2758,"" "")"),"Cc1ccc(CN(Cc2ccccn2)C2CCCC(N(C)Cc3cccc(-c4cccc5c4OCCOCCOCCOCCOCCO5)n3)C2)nc1C")</f>
        <v>Cc1ccc(CN(Cc2ccccn2)C2CCCC(N(C)Cc3cccc(-c4cccc5c4OCCOCCOCCOCCOCCO5)n3)C2)nc1C</v>
      </c>
      <c r="C2758" s="7">
        <f>IFERROR(__xludf.DUMMYFUNCTION("""COMPUTED_VALUE"""),7.8060775)</f>
        <v>7.8060775</v>
      </c>
      <c r="D2758" s="7">
        <f>IFERROR(__xludf.DUMMYFUNCTION("""COMPUTED_VALUE"""),0.352112676056338)</f>
        <v>0.3521126761</v>
      </c>
    </row>
    <row r="2759">
      <c r="A2759" s="10" t="s">
        <v>4198</v>
      </c>
      <c r="B2759" s="7" t="str">
        <f>IFERROR(__xludf.DUMMYFUNCTION("SPLIT(A2759,"" "")"),"CN(Cc1ccon1)C1CCC(N(Cc2ccccn2)Cc2ncccc2-c2ccc3c(c2)OCCOCCOCCOCCOCCO3)CC1")</f>
        <v>CN(Cc1ccon1)C1CCC(N(Cc2ccccn2)Cc2ncccc2-c2ccc3c(c2)OCCOCCOCCOCCOCCO3)CC1</v>
      </c>
      <c r="C2759" s="7">
        <f>IFERROR(__xludf.DUMMYFUNCTION("""COMPUTED_VALUE"""),7.8060765)</f>
        <v>7.8060765</v>
      </c>
      <c r="D2759" s="7">
        <f>IFERROR(__xludf.DUMMYFUNCTION("""COMPUTED_VALUE"""),0.342857142857142)</f>
        <v>0.3428571429</v>
      </c>
    </row>
    <row r="2760">
      <c r="A2760" s="10" t="s">
        <v>4199</v>
      </c>
      <c r="B2760" s="7" t="str">
        <f>IFERROR(__xludf.DUMMYFUNCTION("SPLIT(A2760,"" "")"),"CN(Cc1ccc([SiH3])cn1)C1CCC(N(C)Cc2cc([SiH3])c([SiH3])cn2)CC1")</f>
        <v>CN(Cc1ccc([SiH3])cn1)C1CCC(N(C)Cc2cc([SiH3])c([SiH3])cn2)CC1</v>
      </c>
      <c r="C2760" s="7">
        <f>IFERROR(__xludf.DUMMYFUNCTION("""COMPUTED_VALUE"""),7.806073)</f>
        <v>7.806073</v>
      </c>
      <c r="D2760" s="7">
        <f>IFERROR(__xludf.DUMMYFUNCTION("""COMPUTED_VALUE"""),0.425531914893617)</f>
        <v>0.4255319149</v>
      </c>
    </row>
    <row r="2761">
      <c r="A2761" s="10" t="s">
        <v>4200</v>
      </c>
      <c r="B2761" s="7" t="str">
        <f>IFERROR(__xludf.DUMMYFUNCTION("SPLIT(A2761,"" "")"),"FCN(Cc1ccccn1)C1CCCC(N(Cc2ccccn2)Cc2cccc(F)n2)C1")</f>
        <v>FCN(Cc1ccccn1)C1CCCC(N(Cc2ccccn2)Cc2cccc(F)n2)C1</v>
      </c>
      <c r="C2761" s="7">
        <f>IFERROR(__xludf.DUMMYFUNCTION("""COMPUTED_VALUE"""),7.806073)</f>
        <v>7.806073</v>
      </c>
      <c r="D2761" s="7">
        <f>IFERROR(__xludf.DUMMYFUNCTION("""COMPUTED_VALUE"""),0.45)</f>
        <v>0.45</v>
      </c>
    </row>
    <row r="2762">
      <c r="A2762" s="10" t="s">
        <v>4201</v>
      </c>
      <c r="B2762" s="7" t="str">
        <f>IFERROR(__xludf.DUMMYFUNCTION("SPLIT(A2762,"" "")"),"Cc1ccnc(CN(Cc2ccccn2)C2CCCC(N(C)C)C2)c1C")</f>
        <v>Cc1ccnc(CN(Cc2ccccn2)C2CCCC(N(C)C)C2)c1C</v>
      </c>
      <c r="C2762" s="7">
        <f>IFERROR(__xludf.DUMMYFUNCTION("""COMPUTED_VALUE"""),7.806071)</f>
        <v>7.806071</v>
      </c>
      <c r="D2762" s="7">
        <f>IFERROR(__xludf.DUMMYFUNCTION("""COMPUTED_VALUE"""),0.450980392156862)</f>
        <v>0.4509803922</v>
      </c>
    </row>
    <row r="2763">
      <c r="A2763" s="10" t="s">
        <v>4202</v>
      </c>
      <c r="B2763" s="7" t="str">
        <f>IFERROR(__xludf.DUMMYFUNCTION("SPLIT(A2763,"" "")"),"CN(Cc1ccccc1)Cc1ncccc1-c1ccc2c(c1)OCCOCCOCCOCCOCCO2")</f>
        <v>CN(Cc1ccccc1)Cc1ncccc1-c1ccc2c(c1)OCCOCCOCCOCCOCCO2</v>
      </c>
      <c r="C2763" s="7">
        <f>IFERROR(__xludf.DUMMYFUNCTION("""COMPUTED_VALUE"""),7.80607)</f>
        <v>7.80607</v>
      </c>
      <c r="D2763" s="7">
        <f>IFERROR(__xludf.DUMMYFUNCTION("""COMPUTED_VALUE"""),0.338235294117647)</f>
        <v>0.3382352941</v>
      </c>
    </row>
    <row r="2764">
      <c r="A2764" s="10" t="s">
        <v>4203</v>
      </c>
      <c r="B2764" s="7" t="str">
        <f>IFERROR(__xludf.DUMMYFUNCTION("SPLIT(A2764,"" "")"),"CNCc1cc(CN(C)C2CCCCC2N(C)Cc2ncc(C)c(C)c2C)ccn1")</f>
        <v>CNCc1cc(CN(C)C2CCCCC2N(C)Cc2ncc(C)c(C)c2C)ccn1</v>
      </c>
      <c r="C2764" s="7">
        <f>IFERROR(__xludf.DUMMYFUNCTION("""COMPUTED_VALUE"""),7.806051)</f>
        <v>7.806051</v>
      </c>
      <c r="D2764" s="7">
        <f>IFERROR(__xludf.DUMMYFUNCTION("""COMPUTED_VALUE"""),0.444444444444444)</f>
        <v>0.4444444444</v>
      </c>
    </row>
    <row r="2765">
      <c r="A2765" s="10" t="s">
        <v>4204</v>
      </c>
      <c r="B2765" s="7" t="str">
        <f>IFERROR(__xludf.DUMMYFUNCTION("SPLIT(A2765,"" "")"),"Cc1ccc(CN(Cc2ccccn2)C2CCC(N(C)Cc3cc(-c4ccc5c(c4)OCCOCCOCCOCCOCCO5)ccn3)CC2)nc1C")</f>
        <v>Cc1ccc(CN(Cc2ccccn2)C2CCC(N(C)Cc3cc(-c4ccc5c(c4)OCCOCCOCCOCCOCCO5)ccn3)CC2)nc1C</v>
      </c>
      <c r="C2765" s="7">
        <f>IFERROR(__xludf.DUMMYFUNCTION("""COMPUTED_VALUE"""),7.806048)</f>
        <v>7.806048</v>
      </c>
      <c r="D2765" s="7">
        <f>IFERROR(__xludf.DUMMYFUNCTION("""COMPUTED_VALUE"""),0.354430379746835)</f>
        <v>0.3544303797</v>
      </c>
    </row>
    <row r="2766">
      <c r="A2766" s="10" t="s">
        <v>4205</v>
      </c>
      <c r="B2766" s="7" t="str">
        <f>IFERROR(__xludf.DUMMYFUNCTION("SPLIT(A2766,"" "")"),"Cc1ccc(CN(C)C2CCC(N(Cc3ccccn3)Cc3cc(-c4ccc5c(c4)OCCOCCOCCOCCOCCO5)ccn3)CC2)nc1C")</f>
        <v>Cc1ccc(CN(C)C2CCC(N(Cc3ccccn3)Cc3cc(-c4ccc5c(c4)OCCOCCOCCOCCOCCO5)ccn3)CC2)nc1C</v>
      </c>
      <c r="C2766" s="7">
        <f>IFERROR(__xludf.DUMMYFUNCTION("""COMPUTED_VALUE"""),7.8060436)</f>
        <v>7.8060436</v>
      </c>
      <c r="D2766" s="7">
        <f>IFERROR(__xludf.DUMMYFUNCTION("""COMPUTED_VALUE"""),0.354430379746835)</f>
        <v>0.3544303797</v>
      </c>
    </row>
    <row r="2767">
      <c r="A2767" s="10" t="s">
        <v>4206</v>
      </c>
      <c r="B2767" s="7" t="str">
        <f>IFERROR(__xludf.DUMMYFUNCTION("SPLIT(A2767,"" "")"),"CN(Cc1cc(-c2ccc3c(c2)OCCOCCOCCOCCOCCO3)ccn1)Cc1ncccc1-c1ccc2c(c1)OCCOCCOCCOCCOCCO2")</f>
        <v>CN(Cc1cc(-c2ccc3c(c2)OCCOCCOCCOCCOCCO3)ccn1)Cc1ncccc1-c1ccc2c(c1)OCCOCCOCCOCCOCCO2</v>
      </c>
      <c r="C2767" s="7">
        <f>IFERROR(__xludf.DUMMYFUNCTION("""COMPUTED_VALUE"""),7.806042)</f>
        <v>7.806042</v>
      </c>
      <c r="D2767" s="7">
        <f>IFERROR(__xludf.DUMMYFUNCTION("""COMPUTED_VALUE"""),0.367647058823529)</f>
        <v>0.3676470588</v>
      </c>
    </row>
    <row r="2768">
      <c r="A2768" s="10" t="s">
        <v>4207</v>
      </c>
      <c r="B2768" s="7" t="str">
        <f>IFERROR(__xludf.DUMMYFUNCTION("SPLIT(A2768,"" "")"),"Cc1cccnc1CN(C)Cc1cccc(CN(C)C2CCC(N(C)Cc3cccc(-c4ccc5c(c4)OCCOCCOCCOCCOCCO5)n3)CC2)n1")</f>
        <v>Cc1cccnc1CN(C)Cc1cccc(CN(C)C2CCC(N(C)Cc3cccc(-c4ccc5c(c4)OCCOCCOCCOCCOCCO5)n3)CC2)n1</v>
      </c>
      <c r="C2768" s="7">
        <f>IFERROR(__xludf.DUMMYFUNCTION("""COMPUTED_VALUE"""),7.8060403)</f>
        <v>7.8060403</v>
      </c>
      <c r="D2768" s="7">
        <f>IFERROR(__xludf.DUMMYFUNCTION("""COMPUTED_VALUE"""),0.352941176470588)</f>
        <v>0.3529411765</v>
      </c>
    </row>
    <row r="2769">
      <c r="A2769" s="10" t="s">
        <v>4208</v>
      </c>
      <c r="B2769" s="7" t="str">
        <f>IFERROR(__xludf.DUMMYFUNCTION("SPLIT(A2769,"" "")"),"CC(C)N(Cc1ccccn1)C1CCC(N(Cc2ccncc2)Cc2ccccn2)CC1")</f>
        <v>CC(C)N(Cc1ccccn1)C1CCC(N(Cc2ccncc2)Cc2ccccn2)CC1</v>
      </c>
      <c r="C2769" s="7">
        <f>IFERROR(__xludf.DUMMYFUNCTION("""COMPUTED_VALUE"""),7.806034)</f>
        <v>7.806034</v>
      </c>
      <c r="D2769" s="7">
        <f>IFERROR(__xludf.DUMMYFUNCTION("""COMPUTED_VALUE"""),0.4375)</f>
        <v>0.4375</v>
      </c>
    </row>
    <row r="2770">
      <c r="A2770" s="10" t="s">
        <v>4209</v>
      </c>
      <c r="B2770" s="7" t="str">
        <f>IFERROR(__xludf.DUMMYFUNCTION("SPLIT(A2770,"" "")"),"CN(Cc1cccc(-c2ccc3c(c2)OCCOCCOCCOCCOCCO3)n1)C1CCC(N(Cc2ccccn2)Cc2cccc(C3CC(C)(C)C3)n2)CC1")</f>
        <v>CN(Cc1cccc(-c2ccc3c(c2)OCCOCCOCCOCCOCCO3)n1)C1CCC(N(Cc2ccccn2)Cc2cccc(C3CC(C)(C)C3)n2)CC1</v>
      </c>
      <c r="C2770" s="7">
        <f>IFERROR(__xludf.DUMMYFUNCTION("""COMPUTED_VALUE"""),7.8060303)</f>
        <v>7.8060303</v>
      </c>
      <c r="D2770" s="7">
        <f>IFERROR(__xludf.DUMMYFUNCTION("""COMPUTED_VALUE"""),0.354430379746835)</f>
        <v>0.3544303797</v>
      </c>
    </row>
    <row r="2771">
      <c r="A2771" s="10" t="s">
        <v>4210</v>
      </c>
      <c r="B2771" s="7" t="str">
        <f>IFERROR(__xludf.DUMMYFUNCTION("SPLIT(A2771,"" "")"),"CC1=C(C)CC(CN(C)Cc2ccccn2)C(C)C1")</f>
        <v>CC1=C(C)CC(CN(C)Cc2ccccn2)C(C)C1</v>
      </c>
      <c r="C2771" s="7">
        <f>IFERROR(__xludf.DUMMYFUNCTION("""COMPUTED_VALUE"""),7.806028)</f>
        <v>7.806028</v>
      </c>
      <c r="D2771" s="7">
        <f>IFERROR(__xludf.DUMMYFUNCTION("""COMPUTED_VALUE"""),0.48076923076923)</f>
        <v>0.4807692308</v>
      </c>
    </row>
    <row r="2772">
      <c r="A2772" s="10" t="s">
        <v>4211</v>
      </c>
      <c r="B2772" s="7" t="str">
        <f>IFERROR(__xludf.DUMMYFUNCTION("SPLIT(A2772,"" "")"),"Cc1cncc(CN2CCN(C)CCN(C)CC2)c1N(C)C")</f>
        <v>Cc1cncc(CN2CCN(C)CCN(C)CC2)c1N(C)C</v>
      </c>
      <c r="C2772" s="7">
        <f>IFERROR(__xludf.DUMMYFUNCTION("""COMPUTED_VALUE"""),7.806026)</f>
        <v>7.806026</v>
      </c>
      <c r="D2772" s="7">
        <f>IFERROR(__xludf.DUMMYFUNCTION("""COMPUTED_VALUE"""),0.395833333333333)</f>
        <v>0.3958333333</v>
      </c>
    </row>
    <row r="2773">
      <c r="A2773" s="10" t="s">
        <v>4212</v>
      </c>
      <c r="B2773" s="7" t="str">
        <f>IFERROR(__xludf.DUMMYFUNCTION("SPLIT(A2773,"" "")"),"CCN(Cc1ccccn1)C1CCCC(N(C)Cc2cc(C)c(C)c(C)n2)C1")</f>
        <v>CCN(Cc1ccccn1)C1CCCC(N(C)Cc2cc(C)c(C)c(C)n2)C1</v>
      </c>
      <c r="C2773" s="7">
        <f>IFERROR(__xludf.DUMMYFUNCTION("""COMPUTED_VALUE"""),7.8060203)</f>
        <v>7.8060203</v>
      </c>
      <c r="D2773" s="7">
        <f>IFERROR(__xludf.DUMMYFUNCTION("""COMPUTED_VALUE"""),0.454545454545454)</f>
        <v>0.4545454545</v>
      </c>
    </row>
    <row r="2774">
      <c r="A2774" s="10" t="s">
        <v>4213</v>
      </c>
      <c r="B2774" s="7" t="str">
        <f>IFERROR(__xludf.DUMMYFUNCTION("SPLIT(A2774,"" "")"),"CN(Cc1cc(-c2ccc3c(c2)OCCOCCOCCOCCOCCO3)ccn1)Cc1cc(-c2ccc3c(c2)OCCOCCOCCOCCOCCO3)ccn1")</f>
        <v>CN(Cc1cc(-c2ccc3c(c2)OCCOCCOCCOCCOCCO3)ccn1)Cc1cc(-c2ccc3c(c2)OCCOCCOCCOCCOCCO3)ccn1</v>
      </c>
      <c r="C2774" s="7">
        <f>IFERROR(__xludf.DUMMYFUNCTION("""COMPUTED_VALUE"""),7.8060074)</f>
        <v>7.8060074</v>
      </c>
      <c r="D2774" s="7">
        <f>IFERROR(__xludf.DUMMYFUNCTION("""COMPUTED_VALUE"""),0.43859649122807)</f>
        <v>0.4385964912</v>
      </c>
    </row>
    <row r="2775">
      <c r="A2775" s="10" t="s">
        <v>4214</v>
      </c>
      <c r="B2775" s="7" t="str">
        <f>IFERROR(__xludf.DUMMYFUNCTION("SPLIT(A2775,"" "")"),"COC(=O)C1CC(C(C)C)C(C(C)C)N(C)C1C(C)(C)NCc1ccccn1")</f>
        <v>COC(=O)C1CC(C(C)C)C(C(C)C)N(C)C1C(C)(C)NCc1ccccn1</v>
      </c>
      <c r="C2775" s="7">
        <f>IFERROR(__xludf.DUMMYFUNCTION("""COMPUTED_VALUE"""),7.805994)</f>
        <v>7.805994</v>
      </c>
      <c r="D2775" s="7">
        <f>IFERROR(__xludf.DUMMYFUNCTION("""COMPUTED_VALUE"""),0.301369863013698)</f>
        <v>0.301369863</v>
      </c>
    </row>
    <row r="2776">
      <c r="A2776" s="10" t="s">
        <v>4215</v>
      </c>
      <c r="B2776" s="7" t="str">
        <f>IFERROR(__xludf.DUMMYFUNCTION("SPLIT(A2776,"" "")"),"CNC1CCCC(NCc2nc(C)c(C)c(C)c2C)C1")</f>
        <v>CNC1CCCC(NCc2nc(C)c(C)c(C)c2C)C1</v>
      </c>
      <c r="C2776" s="7">
        <f>IFERROR(__xludf.DUMMYFUNCTION("""COMPUTED_VALUE"""),7.805994)</f>
        <v>7.805994</v>
      </c>
      <c r="D2776" s="7">
        <f>IFERROR(__xludf.DUMMYFUNCTION("""COMPUTED_VALUE"""),0.181818181818181)</f>
        <v>0.1818181818</v>
      </c>
    </row>
    <row r="2777">
      <c r="A2777" s="10" t="s">
        <v>4216</v>
      </c>
      <c r="B2777" s="7" t="str">
        <f>IFERROR(__xludf.DUMMYFUNCTION("SPLIT(A2777,"" "")"),"CCNCC1=NC(C(C)C)CO1")</f>
        <v>CCNCC1=NC(C(C)C)CO1</v>
      </c>
      <c r="C2777" s="7">
        <f>IFERROR(__xludf.DUMMYFUNCTION("""COMPUTED_VALUE"""),7.8059874)</f>
        <v>7.8059874</v>
      </c>
      <c r="D2777" s="7">
        <f>IFERROR(__xludf.DUMMYFUNCTION("""COMPUTED_VALUE"""),0.145833333333333)</f>
        <v>0.1458333333</v>
      </c>
    </row>
    <row r="2778">
      <c r="A2778" s="10" t="s">
        <v>4217</v>
      </c>
      <c r="B2778" s="7" t="str">
        <f>IFERROR(__xludf.DUMMYFUNCTION("SPLIT(A2778,"" "")"),"FCc1cccc(CN(Cc2ccccn2)C2CCCCC2N(Cc2ccccn2)Cc2cccc(-c3ccc4c(c3)OCCOCCOCCOCCOCCO4)n2)n1")</f>
        <v>FCc1cccc(CN(Cc2ccccn2)C2CCCCC2N(Cc2ccccn2)Cc2cccc(-c3ccc4c(c3)OCCOCCOCCOCCOCCO4)n2)n1</v>
      </c>
      <c r="C2778" s="7">
        <f>IFERROR(__xludf.DUMMYFUNCTION("""COMPUTED_VALUE"""),7.805984)</f>
        <v>7.805984</v>
      </c>
      <c r="D2778" s="7">
        <f>IFERROR(__xludf.DUMMYFUNCTION("""COMPUTED_VALUE"""),0.380281690140845)</f>
        <v>0.3802816901</v>
      </c>
    </row>
    <row r="2779">
      <c r="A2779" s="10" t="s">
        <v>4218</v>
      </c>
      <c r="B2779" s="7" t="str">
        <f>IFERROR(__xludf.DUMMYFUNCTION("SPLIT(A2779,"" "")"),"CNCc1ncccc1C(C)C(C)C")</f>
        <v>CNCc1ncccc1C(C)C(C)C</v>
      </c>
      <c r="C2779" s="7">
        <f>IFERROR(__xludf.DUMMYFUNCTION("""COMPUTED_VALUE"""),7.805983)</f>
        <v>7.805983</v>
      </c>
      <c r="D2779" s="7">
        <f>IFERROR(__xludf.DUMMYFUNCTION("""COMPUTED_VALUE"""),0.307692307692307)</f>
        <v>0.3076923077</v>
      </c>
    </row>
    <row r="2780">
      <c r="A2780" s="10" t="s">
        <v>4219</v>
      </c>
      <c r="B2780" s="7" t="str">
        <f>IFERROR(__xludf.DUMMYFUNCTION("SPLIT(A2780,"" "")"),"CC1CC(c2ccc(CN(Cc3ccccn3)C3CCC(N(C)Cc4cccc(-c5ccc6c(c5)OCCOCCOCCOCCOCCO6)n4)CC3)nc2)C1")</f>
        <v>CC1CC(c2ccc(CN(Cc3ccccn3)C3CCC(N(C)Cc4cccc(-c5ccc6c(c5)OCCOCCOCCOCCOCCO6)n4)CC3)nc2)C1</v>
      </c>
      <c r="C2780" s="7">
        <f>IFERROR(__xludf.DUMMYFUNCTION("""COMPUTED_VALUE"""),7.805983)</f>
        <v>7.805983</v>
      </c>
      <c r="D2780" s="7">
        <f>IFERROR(__xludf.DUMMYFUNCTION("""COMPUTED_VALUE"""),0.341463414634146)</f>
        <v>0.3414634146</v>
      </c>
    </row>
    <row r="2781">
      <c r="A2781" s="10" t="s">
        <v>4220</v>
      </c>
      <c r="B2781" s="7" t="str">
        <f>IFERROR(__xludf.DUMMYFUNCTION("SPLIT(A2781,"" "")"),"CC(C)(C)N(Cc1ccccn1)Cc1ncccc1-c1cccc2c1OCCOCCOCCOCCOCCO2")</f>
        <v>CC(C)(C)N(Cc1ccccn1)Cc1ncccc1-c1cccc2c1OCCOCCOCCOCCOCCO2</v>
      </c>
      <c r="C2781" s="7">
        <f>IFERROR(__xludf.DUMMYFUNCTION("""COMPUTED_VALUE"""),7.805982)</f>
        <v>7.805982</v>
      </c>
      <c r="D2781" s="7">
        <f>IFERROR(__xludf.DUMMYFUNCTION("""COMPUTED_VALUE"""),0.338983050847457)</f>
        <v>0.3389830508</v>
      </c>
    </row>
    <row r="2782">
      <c r="A2782" s="10" t="s">
        <v>4221</v>
      </c>
      <c r="B2782" s="7" t="str">
        <f>IFERROR(__xludf.DUMMYFUNCTION("SPLIT(A2782,"" "")"),"CC1C=CC(N(C)Cc2cc(C(C)(C)C)ccn2)C(C)(C)C1C")</f>
        <v>CC1C=CC(N(C)Cc2cc(C(C)(C)C)ccn2)C(C)(C)C1C</v>
      </c>
      <c r="C2782" s="7">
        <f>IFERROR(__xludf.DUMMYFUNCTION("""COMPUTED_VALUE"""),7.8059764)</f>
        <v>7.8059764</v>
      </c>
      <c r="D2782" s="7">
        <f>IFERROR(__xludf.DUMMYFUNCTION("""COMPUTED_VALUE"""),0.285714285714285)</f>
        <v>0.2857142857</v>
      </c>
    </row>
    <row r="2783">
      <c r="A2783" s="10" t="s">
        <v>4222</v>
      </c>
      <c r="B2783" s="7" t="str">
        <f>IFERROR(__xludf.DUMMYFUNCTION("SPLIT(A2783,"" "")"),"CNC1C=CC(F)=CN1")</f>
        <v>CNC1C=CC(F)=CN1</v>
      </c>
      <c r="C2783" s="7">
        <f>IFERROR(__xludf.DUMMYFUNCTION("""COMPUTED_VALUE"""),7.805973)</f>
        <v>7.805973</v>
      </c>
      <c r="D2783" s="7">
        <f>IFERROR(__xludf.DUMMYFUNCTION("""COMPUTED_VALUE"""),0.12)</f>
        <v>0.12</v>
      </c>
    </row>
    <row r="2784">
      <c r="A2784" s="10" t="s">
        <v>4223</v>
      </c>
      <c r="B2784" s="7" t="str">
        <f>IFERROR(__xludf.DUMMYFUNCTION("SPLIT(A2784,"" "")"),"CNCC1CCC(N(C)Cc2ncccc2C)N1C(C)C")</f>
        <v>CNCC1CCC(N(C)Cc2ncccc2C)N1C(C)C</v>
      </c>
      <c r="C2784" s="7">
        <f>IFERROR(__xludf.DUMMYFUNCTION("""COMPUTED_VALUE"""),7.8059688)</f>
        <v>7.8059688</v>
      </c>
      <c r="D2784" s="7">
        <f>IFERROR(__xludf.DUMMYFUNCTION("""COMPUTED_VALUE"""),0.293103448275862)</f>
        <v>0.2931034483</v>
      </c>
    </row>
    <row r="2785">
      <c r="A2785" s="10" t="s">
        <v>4224</v>
      </c>
      <c r="B2785" s="7" t="str">
        <f>IFERROR(__xludf.DUMMYFUNCTION("SPLIT(A2785,"" "")"),"Cc1cncc(CN(C)C2=CNC(CN3CCN(C)CCN(Cc4cncc(F)c4)CC3)=CC2)c1")</f>
        <v>Cc1cncc(CN(C)C2=CNC(CN3CCN(C)CCN(Cc4cncc(F)c4)CC3)=CC2)c1</v>
      </c>
      <c r="C2785" s="7">
        <f>IFERROR(__xludf.DUMMYFUNCTION("""COMPUTED_VALUE"""),7.8059525)</f>
        <v>7.8059525</v>
      </c>
      <c r="D2785" s="7">
        <f>IFERROR(__xludf.DUMMYFUNCTION("""COMPUTED_VALUE"""),0.307692307692307)</f>
        <v>0.3076923077</v>
      </c>
    </row>
    <row r="2786">
      <c r="A2786" s="10" t="s">
        <v>4225</v>
      </c>
      <c r="B2786" s="7" t="str">
        <f>IFERROR(__xludf.DUMMYFUNCTION("SPLIT(A2786,"" "")"),"CC1=CCC2(CC(C)=CCC23C=CC(C)CC32C=CC(C)C(C)C23C=CC(C)C(C)C3N(C)Cc2ccccn2)C2(CC=C(C)C(C)C2)C1")</f>
        <v>CC1=CCC2(CC(C)=CCC23C=CC(C)CC32C=CC(C)C(C)C23C=CC(C)C(C)C3N(C)Cc2ccccn2)C2(CC=C(C)C(C)C2)C1</v>
      </c>
      <c r="C2786" s="7">
        <f>IFERROR(__xludf.DUMMYFUNCTION("""COMPUTED_VALUE"""),7.80595)</f>
        <v>7.80595</v>
      </c>
      <c r="D2786" s="7">
        <f>IFERROR(__xludf.DUMMYFUNCTION("""COMPUTED_VALUE"""),0.291139240506329)</f>
        <v>0.2911392405</v>
      </c>
    </row>
    <row r="2787">
      <c r="A2787" s="10" t="s">
        <v>4226</v>
      </c>
      <c r="B2787" s="7" t="str">
        <f>IFERROR(__xludf.DUMMYFUNCTION("SPLIT(A2787,"" "")"),"CN(Cc1ncccc1-c1ccc2c(c1)OCCOCCOCCOCCOCCO2)Cc1ncccc1-c1ccc2c(c1)OCCOCCOCCOCCOCCO2")</f>
        <v>CN(Cc1ncccc1-c1ccc2c(c1)OCCOCCOCCOCCOCCO2)Cc1ncccc1-c1ccc2c(c1)OCCOCCOCCOCCOCCO2</v>
      </c>
      <c r="C2787" s="7">
        <f>IFERROR(__xludf.DUMMYFUNCTION("""COMPUTED_VALUE"""),7.8059444)</f>
        <v>7.8059444</v>
      </c>
      <c r="D2787" s="7">
        <f>IFERROR(__xludf.DUMMYFUNCTION("""COMPUTED_VALUE"""),0.370967741935483)</f>
        <v>0.3709677419</v>
      </c>
    </row>
    <row r="2788">
      <c r="A2788" s="10" t="s">
        <v>4227</v>
      </c>
      <c r="B2788" s="7" t="str">
        <f>IFERROR(__xludf.DUMMYFUNCTION("SPLIT(A2788,"" "")"),"CNC1CCCC(N(Cc2cc(C)cc(C)n2)Cc2cccc(F)n2)C1")</f>
        <v>CNC1CCCC(N(Cc2cc(C)cc(C)n2)Cc2cccc(F)n2)C1</v>
      </c>
      <c r="C2788" s="7">
        <f>IFERROR(__xludf.DUMMYFUNCTION("""COMPUTED_VALUE"""),7.8059444)</f>
        <v>7.8059444</v>
      </c>
      <c r="D2788" s="7">
        <f>IFERROR(__xludf.DUMMYFUNCTION("""COMPUTED_VALUE"""),0.35593220338983)</f>
        <v>0.3559322034</v>
      </c>
    </row>
    <row r="2789">
      <c r="A2789" s="10" t="s">
        <v>4228</v>
      </c>
      <c r="B2789" s="7" t="str">
        <f>IFERROR(__xludf.DUMMYFUNCTION("SPLIT(A2789,"" "")"),"CN(C)CCN(C)CCF")</f>
        <v>CN(C)CCN(C)CCF</v>
      </c>
      <c r="C2789" s="7">
        <f>IFERROR(__xludf.DUMMYFUNCTION("""COMPUTED_VALUE"""),7.805941)</f>
        <v>7.805941</v>
      </c>
      <c r="D2789" s="7">
        <f>IFERROR(__xludf.DUMMYFUNCTION("""COMPUTED_VALUE"""),0.25)</f>
        <v>0.25</v>
      </c>
    </row>
    <row r="2790">
      <c r="A2790" s="10" t="s">
        <v>4229</v>
      </c>
      <c r="B2790" s="7" t="str">
        <f>IFERROR(__xludf.DUMMYFUNCTION("SPLIT(A2790,"" "")"),"Cc1cccnc1CN(C)CCN(C)Cc1cncc(-c2cccc3c2OCCOCCOCCOCCOCCO3)c1")</f>
        <v>Cc1cccnc1CN(C)CCN(C)Cc1cncc(-c2cccc3c2OCCOCCOCCOCCOCCO3)c1</v>
      </c>
      <c r="C2790" s="7">
        <f>IFERROR(__xludf.DUMMYFUNCTION("""COMPUTED_VALUE"""),7.80594)</f>
        <v>7.80594</v>
      </c>
      <c r="D2790" s="7">
        <f>IFERROR(__xludf.DUMMYFUNCTION("""COMPUTED_VALUE"""),0.283582089552238)</f>
        <v>0.2835820896</v>
      </c>
    </row>
    <row r="2791">
      <c r="A2791" s="10" t="s">
        <v>4230</v>
      </c>
      <c r="B2791" s="7" t="str">
        <f>IFERROR(__xludf.DUMMYFUNCTION("SPLIT(A2791,"" "")"),"Cc1ccccc1N(Cc1cccnn1)C1CCCCC1")</f>
        <v>Cc1ccccc1N(Cc1cccnn1)C1CCCCC1</v>
      </c>
      <c r="C2791" s="7">
        <f>IFERROR(__xludf.DUMMYFUNCTION("""COMPUTED_VALUE"""),7.805938)</f>
        <v>7.805938</v>
      </c>
      <c r="D2791" s="7">
        <f>IFERROR(__xludf.DUMMYFUNCTION("""COMPUTED_VALUE"""),0.422222222222222)</f>
        <v>0.4222222222</v>
      </c>
    </row>
    <row r="2792">
      <c r="A2792" s="10" t="s">
        <v>4231</v>
      </c>
      <c r="B2792" s="7" t="str">
        <f>IFERROR(__xludf.DUMMYFUNCTION("SPLIT(A2792,"" "")"),"Cc1cccnc1CN(Cc1ncccc1C)C1CCC(N(C)Cc2ncccc2-c2cccc3c2OCCOCCOCCOCCOCCO3)CC1")</f>
        <v>Cc1cccnc1CN(Cc1ncccc1C)C1CCC(N(C)Cc2ncccc2-c2cccc3c2OCCOCCOCCOCCOCCO3)CC1</v>
      </c>
      <c r="C2792" s="7">
        <f>IFERROR(__xludf.DUMMYFUNCTION("""COMPUTED_VALUE"""),7.8059278)</f>
        <v>7.8059278</v>
      </c>
      <c r="D2792" s="7">
        <f>IFERROR(__xludf.DUMMYFUNCTION("""COMPUTED_VALUE"""),0.253731343283582)</f>
        <v>0.2537313433</v>
      </c>
    </row>
    <row r="2793">
      <c r="A2793" s="10" t="s">
        <v>4232</v>
      </c>
      <c r="B2793" s="7" t="str">
        <f>IFERROR(__xludf.DUMMYFUNCTION("SPLIT(A2793,"" "")"),"Cc1ccnc(CN(C)C2CC(N(C)Cc3cc(-c4ccc5c(c4)OCCOCCOCCOCCOCCO5)ccn3)CCC2N(C)Cc2ncccc2C)c1")</f>
        <v>Cc1ccnc(CN(C)C2CC(N(C)Cc3cc(-c4ccc5c(c4)OCCOCCOCCOCCOCCO5)ccn3)CCC2N(C)Cc2ncccc2C)c1</v>
      </c>
      <c r="C2793" s="7">
        <f>IFERROR(__xludf.DUMMYFUNCTION("""COMPUTED_VALUE"""),7.8059173)</f>
        <v>7.8059173</v>
      </c>
      <c r="D2793" s="7">
        <f>IFERROR(__xludf.DUMMYFUNCTION("""COMPUTED_VALUE"""),0.329268292682926)</f>
        <v>0.3292682927</v>
      </c>
    </row>
    <row r="2794">
      <c r="A2794" s="10" t="s">
        <v>4233</v>
      </c>
      <c r="B2794" s="7" t="str">
        <f>IFERROR(__xludf.DUMMYFUNCTION("SPLIT(A2794,"" "")"),"Cc1cccnc1CN(C)CCN(C)Cc1cccc(-c2cccc3c2OCCOCCOCCOCCOCCO3)n1")</f>
        <v>Cc1cccnc1CN(C)CCN(C)Cc1cccc(-c2cccc3c2OCCOCCOCCOCCOCCO3)n1</v>
      </c>
      <c r="C2794" s="7">
        <f>IFERROR(__xludf.DUMMYFUNCTION("""COMPUTED_VALUE"""),7.805916)</f>
        <v>7.805916</v>
      </c>
      <c r="D2794" s="7">
        <f>IFERROR(__xludf.DUMMYFUNCTION("""COMPUTED_VALUE"""),0.370967741935483)</f>
        <v>0.3709677419</v>
      </c>
    </row>
    <row r="2795">
      <c r="A2795" s="10" t="s">
        <v>4234</v>
      </c>
      <c r="B2795" s="7" t="str">
        <f>IFERROR(__xludf.DUMMYFUNCTION("SPLIT(A2795,"" "")"),"Cc1cc(CN(C)C2CCCC(N(Cc3ccccn3)Cc3ccc(-c4cccc5c4OCCOCCOCCOCCOCCO5)cn3)C2)cnc1C")</f>
        <v>Cc1cc(CN(C)C2CCCC(N(Cc3ccccn3)Cc3ccc(-c4cccc5c4OCCOCCOCCOCCOCCO5)cn3)C2)cnc1C</v>
      </c>
      <c r="C2795" s="7">
        <f>IFERROR(__xludf.DUMMYFUNCTION("""COMPUTED_VALUE"""),7.805906)</f>
        <v>7.805906</v>
      </c>
      <c r="D2795" s="7">
        <f>IFERROR(__xludf.DUMMYFUNCTION("""COMPUTED_VALUE"""),0.31578947368421)</f>
        <v>0.3157894737</v>
      </c>
    </row>
    <row r="2796">
      <c r="A2796" s="10" t="s">
        <v>4235</v>
      </c>
      <c r="B2796" s="7" t="str">
        <f>IFERROR(__xludf.DUMMYFUNCTION("SPLIT(A2796,"" "")"),"Cc1cncc(CNCC2CCCN2Cc2ncccc2C)c1")</f>
        <v>Cc1cncc(CNCC2CCCN2Cc2ncccc2C)c1</v>
      </c>
      <c r="C2796" s="7">
        <f>IFERROR(__xludf.DUMMYFUNCTION("""COMPUTED_VALUE"""),7.8059)</f>
        <v>7.8059</v>
      </c>
      <c r="D2796" s="7">
        <f>IFERROR(__xludf.DUMMYFUNCTION("""COMPUTED_VALUE"""),0.338235294117647)</f>
        <v>0.3382352941</v>
      </c>
    </row>
    <row r="2797">
      <c r="A2797" s="10" t="s">
        <v>4236</v>
      </c>
      <c r="B2797" s="7" t="str">
        <f>IFERROR(__xludf.DUMMYFUNCTION("SPLIT(A2797,"" "")"),"CC(C)N(Cc1ccnc(C(C)(C)N2CCN(C)CCN(C)CC2)c1)Cc1ccccn1")</f>
        <v>CC(C)N(Cc1ccnc(C(C)(C)N2CCN(C)CCN(C)CC2)c1)Cc1ccccn1</v>
      </c>
      <c r="C2797" s="7">
        <f>IFERROR(__xludf.DUMMYFUNCTION("""COMPUTED_VALUE"""),7.805899)</f>
        <v>7.805899</v>
      </c>
      <c r="D2797" s="7">
        <f>IFERROR(__xludf.DUMMYFUNCTION("""COMPUTED_VALUE"""),0.470588235294117)</f>
        <v>0.4705882353</v>
      </c>
    </row>
    <row r="2798">
      <c r="A2798" s="10" t="s">
        <v>4237</v>
      </c>
      <c r="B2798" s="7" t="str">
        <f>IFERROR(__xludf.DUMMYFUNCTION("SPLIT(A2798,"" "")"),"CCNCc1cccc(CN(Cc2ccc3c(c2)OCCOCCOCCOCCOCCO3)C2CCC(N(C)c3ccc4ncccc4c3)CC2)n1")</f>
        <v>CCNCc1cccc(CN(Cc2ccc3c(c2)OCCOCCOCCOCCOCCO3)C2CCC(N(C)c3ccc4ncccc4c3)CC2)n1</v>
      </c>
      <c r="C2798" s="7">
        <f>IFERROR(__xludf.DUMMYFUNCTION("""COMPUTED_VALUE"""),7.8058896)</f>
        <v>7.8058896</v>
      </c>
      <c r="D2798" s="7">
        <f>IFERROR(__xludf.DUMMYFUNCTION("""COMPUTED_VALUE"""),0.258426966292134)</f>
        <v>0.2584269663</v>
      </c>
    </row>
    <row r="2799">
      <c r="A2799" s="10" t="s">
        <v>4238</v>
      </c>
      <c r="B2799" s="7" t="str">
        <f>IFERROR(__xludf.DUMMYFUNCTION("SPLIT(A2799,"" "")"),"C=CCN(C)Cc1cc(CN(C)C2CCCCC2N(C)Cc2cc(C)c(C)c(C)n2)ccn1")</f>
        <v>C=CCN(C)Cc1cc(CN(C)C2CCCCC2N(C)Cc2cc(C)c(C)c(C)n2)ccn1</v>
      </c>
      <c r="C2799" s="7">
        <f>IFERROR(__xludf.DUMMYFUNCTION("""COMPUTED_VALUE"""),7.8058677)</f>
        <v>7.8058677</v>
      </c>
      <c r="D2799" s="7">
        <f>IFERROR(__xludf.DUMMYFUNCTION("""COMPUTED_VALUE"""),0.413793103448275)</f>
        <v>0.4137931034</v>
      </c>
    </row>
    <row r="2800">
      <c r="A2800" s="10" t="s">
        <v>4239</v>
      </c>
      <c r="B2800" s="7" t="str">
        <f>IFERROR(__xludf.DUMMYFUNCTION("SPLIT(A2800,"" "")"),"Cc1ccc(CN(C)C2=CNC(CN3CCN(C)CCN(C)CC3)=CC2)nc1C")</f>
        <v>Cc1ccc(CN(C)C2=CNC(CN3CCN(C)CCN(C)CC3)=CC2)nc1C</v>
      </c>
      <c r="C2800" s="7">
        <f>IFERROR(__xludf.DUMMYFUNCTION("""COMPUTED_VALUE"""),7.8058634)</f>
        <v>7.8058634</v>
      </c>
      <c r="D2800" s="7">
        <f>IFERROR(__xludf.DUMMYFUNCTION("""COMPUTED_VALUE"""),0.357142857142857)</f>
        <v>0.3571428571</v>
      </c>
    </row>
    <row r="2801">
      <c r="A2801" s="10" t="s">
        <v>4240</v>
      </c>
      <c r="B2801" s="7" t="str">
        <f>IFERROR(__xludf.DUMMYFUNCTION("SPLIT(A2801,"" "")"),"CN(C1=CC=CNC1N(Cc1ccccn1)Cc1ccccn1)c1cccc2c1OCCOCCOCCOCCOCCO2")</f>
        <v>CN(C1=CC=CNC1N(Cc1ccccn1)Cc1ccccn1)c1cccc2c1OCCOCCOCCOCCOCCO2</v>
      </c>
      <c r="C2801" s="7">
        <f>IFERROR(__xludf.DUMMYFUNCTION("""COMPUTED_VALUE"""),7.8058624)</f>
        <v>7.8058624</v>
      </c>
      <c r="D2801" s="7">
        <f>IFERROR(__xludf.DUMMYFUNCTION("""COMPUTED_VALUE"""),0.338235294117647)</f>
        <v>0.3382352941</v>
      </c>
    </row>
    <row r="2802">
      <c r="A2802" s="10" t="s">
        <v>4241</v>
      </c>
      <c r="B2802" s="7" t="str">
        <f>IFERROR(__xludf.DUMMYFUNCTION("SPLIT(A2802,"" "")"),"Cc1cc(C)c(C)c(CN(C)C2CCCC(N(C)Cc3ccccn3)C2)n1")</f>
        <v>Cc1cc(C)c(C)c(CN(C)C2CCCC(N(C)Cc3ccccn3)C2)n1</v>
      </c>
      <c r="C2802" s="7">
        <f>IFERROR(__xludf.DUMMYFUNCTION("""COMPUTED_VALUE"""),7.80586)</f>
        <v>7.80586</v>
      </c>
      <c r="D2802" s="7">
        <f>IFERROR(__xludf.DUMMYFUNCTION("""COMPUTED_VALUE"""),0.5)</f>
        <v>0.5</v>
      </c>
    </row>
    <row r="2803">
      <c r="A2803" s="10" t="s">
        <v>4242</v>
      </c>
      <c r="B2803" s="7" t="str">
        <f>IFERROR(__xludf.DUMMYFUNCTION("SPLIT(A2803,"" "")"),"COC(=O)C(=O)C(C)C1(C)N=COC1c1cccc(CN2CCN(C)CCN(C)CC2)n1")</f>
        <v>COC(=O)C(=O)C(C)C1(C)N=COC1c1cccc(CN2CCN(C)CCN(C)CC2)n1</v>
      </c>
      <c r="C2803" s="7">
        <f>IFERROR(__xludf.DUMMYFUNCTION("""COMPUTED_VALUE"""),7.805858)</f>
        <v>7.805858</v>
      </c>
      <c r="D2803" s="7">
        <f>IFERROR(__xludf.DUMMYFUNCTION("""COMPUTED_VALUE"""),0.393442622950819)</f>
        <v>0.393442623</v>
      </c>
    </row>
    <row r="2804">
      <c r="A2804" s="10" t="s">
        <v>4243</v>
      </c>
      <c r="B2804" s="7" t="str">
        <f>IFERROR(__xludf.DUMMYFUNCTION("SPLIT(A2804,"" "")"),"CNCN(Cc1ccccn1)C1CCC(N(C)Cc2nc(C)c(C)c(C)c2C)CC1")</f>
        <v>CNCN(Cc1ccccn1)C1CCC(N(C)Cc2nc(C)c(C)c(C)c2C)CC1</v>
      </c>
      <c r="C2804" s="7">
        <f>IFERROR(__xludf.DUMMYFUNCTION("""COMPUTED_VALUE"""),7.805856)</f>
        <v>7.805856</v>
      </c>
      <c r="D2804" s="7">
        <f>IFERROR(__xludf.DUMMYFUNCTION("""COMPUTED_VALUE"""),0.410714285714285)</f>
        <v>0.4107142857</v>
      </c>
    </row>
    <row r="2805">
      <c r="A2805" s="10" t="s">
        <v>4244</v>
      </c>
      <c r="B2805" s="7" t="str">
        <f>IFERROR(__xludf.DUMMYFUNCTION("SPLIT(A2805,"" "")"),"Cc1cccc(CN(C)C2CCCC(N(Cc3ccccn3)Cc3ccc(C(C)(C)N(C)Cc4ccc(CN5CCN(C)CCN(C)CC5)cn4)cn3)C2)n1")</f>
        <v>Cc1cccc(CN(C)C2CCCC(N(Cc3ccccn3)Cc3ccc(C(C)(C)N(C)Cc4ccc(CN5CCN(C)CCN(C)CC5)cn4)cn3)C2)n1</v>
      </c>
      <c r="C2805" s="7">
        <f>IFERROR(__xludf.DUMMYFUNCTION("""COMPUTED_VALUE"""),7.8058505)</f>
        <v>7.8058505</v>
      </c>
      <c r="D2805" s="7">
        <f>IFERROR(__xludf.DUMMYFUNCTION("""COMPUTED_VALUE"""),0.364864864864864)</f>
        <v>0.3648648649</v>
      </c>
    </row>
    <row r="2806">
      <c r="A2806" s="10" t="s">
        <v>4245</v>
      </c>
      <c r="B2806" s="7" t="str">
        <f>IFERROR(__xludf.DUMMYFUNCTION("SPLIT(A2806,"" "")"),"Cc1cncc(CN(C)CCN(C)C(C)C)c1")</f>
        <v>Cc1cncc(CN(C)CCN(C)C(C)C)c1</v>
      </c>
      <c r="C2806" s="7">
        <f>IFERROR(__xludf.DUMMYFUNCTION("""COMPUTED_VALUE"""),7.8058357)</f>
        <v>7.8058357</v>
      </c>
      <c r="D2806" s="7">
        <f>IFERROR(__xludf.DUMMYFUNCTION("""COMPUTED_VALUE"""),0.357142857142857)</f>
        <v>0.3571428571</v>
      </c>
    </row>
    <row r="2807">
      <c r="A2807" s="10" t="s">
        <v>4246</v>
      </c>
      <c r="B2807" s="7" t="str">
        <f>IFERROR(__xludf.DUMMYFUNCTION("SPLIT(A2807,"" "")"),"Cc1ccc(CN(Cc2ccccn2)C2CCCCC2N(C)Cc2cccc(-c3ccc4c(c3)OCCOCCOCCOCCOCCO4)n2)nc1C(C)(C)C")</f>
        <v>Cc1ccc(CN(Cc2ccccn2)C2CCCCC2N(C)Cc2cccc(-c3ccc4c(c3)OCCOCCOCCOCCOCCO4)n2)nc1C(C)(C)C</v>
      </c>
      <c r="C2807" s="7">
        <f>IFERROR(__xludf.DUMMYFUNCTION("""COMPUTED_VALUE"""),7.8058357)</f>
        <v>7.8058357</v>
      </c>
      <c r="D2807" s="7">
        <f>IFERROR(__xludf.DUMMYFUNCTION("""COMPUTED_VALUE"""),0.428571428571428)</f>
        <v>0.4285714286</v>
      </c>
    </row>
    <row r="2808">
      <c r="A2808" s="10" t="s">
        <v>4247</v>
      </c>
      <c r="B2808" s="7" t="str">
        <f>IFERROR(__xludf.DUMMYFUNCTION("SPLIT(A2808,"" "")"),"CN(Cc1cccc(-c2ccc3c(c2)OCCOCCOCCOCCOCCO3)n1)C(C)(C)c1cccnc1")</f>
        <v>CN(Cc1cccc(-c2ccc3c(c2)OCCOCCOCCOCCOCCO3)n1)C(C)(C)c1cccnc1</v>
      </c>
      <c r="C2808" s="7">
        <f>IFERROR(__xludf.DUMMYFUNCTION("""COMPUTED_VALUE"""),7.80582)</f>
        <v>7.80582</v>
      </c>
      <c r="D2808" s="7">
        <f>IFERROR(__xludf.DUMMYFUNCTION("""COMPUTED_VALUE"""),0.324324324324324)</f>
        <v>0.3243243243</v>
      </c>
    </row>
    <row r="2809">
      <c r="A2809" s="10" t="s">
        <v>4248</v>
      </c>
      <c r="B2809" s="7" t="str">
        <f>IFERROR(__xludf.DUMMYFUNCTION("SPLIT(A2809,"" "")"),"CC(C)C(C)(c1cccnc1)N(C)Cc1cc(-c2ccc3c(c2)OCCOCCOCCOCCOCCO3)ccn1")</f>
        <v>CC(C)C(C)(c1cccnc1)N(C)Cc1cc(-c2ccc3c(c2)OCCOCCOCCOCCOCCO3)ccn1</v>
      </c>
      <c r="C2809" s="7">
        <f>IFERROR(__xludf.DUMMYFUNCTION("""COMPUTED_VALUE"""),7.805819)</f>
        <v>7.805819</v>
      </c>
      <c r="D2809" s="7">
        <f>IFERROR(__xludf.DUMMYFUNCTION("""COMPUTED_VALUE"""),0.351351351351351)</f>
        <v>0.3513513514</v>
      </c>
    </row>
    <row r="2810">
      <c r="A2810" s="10" t="s">
        <v>4249</v>
      </c>
      <c r="B2810" s="7" t="str">
        <f>IFERROR(__xludf.DUMMYFUNCTION("SPLIT(A2810,"" "")"),"Cc1cc(CN(C)C2=CNC(CN3CCN(C)CCN(C)CC3)=CC2)cnc1C")</f>
        <v>Cc1cc(CN(C)C2=CNC(CN3CCN(C)CCN(C)CC3)=CC2)cnc1C</v>
      </c>
      <c r="C2810" s="7">
        <f>IFERROR(__xludf.DUMMYFUNCTION("""COMPUTED_VALUE"""),7.80581)</f>
        <v>7.80581</v>
      </c>
      <c r="D2810" s="7">
        <f>IFERROR(__xludf.DUMMYFUNCTION("""COMPUTED_VALUE"""),0.338709677419354)</f>
        <v>0.3387096774</v>
      </c>
    </row>
    <row r="2811">
      <c r="A2811" s="10" t="s">
        <v>4250</v>
      </c>
      <c r="B2811" s="7" t="str">
        <f>IFERROR(__xludf.DUMMYFUNCTION("SPLIT(A2811,"" "")"),"CC(C)NC(C)(C)N(CCN(C)C(C)C)Cc1ccccn1")</f>
        <v>CC(C)NC(C)(C)N(CCN(C)C(C)C)Cc1ccccn1</v>
      </c>
      <c r="C2811" s="7">
        <f>IFERROR(__xludf.DUMMYFUNCTION("""COMPUTED_VALUE"""),7.805801)</f>
        <v>7.805801</v>
      </c>
      <c r="D2811" s="7">
        <f>IFERROR(__xludf.DUMMYFUNCTION("""COMPUTED_VALUE"""),0.488888888888888)</f>
        <v>0.4888888889</v>
      </c>
    </row>
    <row r="2812">
      <c r="A2812" s="10" t="s">
        <v>4251</v>
      </c>
      <c r="B2812" s="7" t="str">
        <f>IFERROR(__xludf.DUMMYFUNCTION("SPLIT(A2812,"" "")"),"Cc1nc(CN(C)C2CCCCC2N(C)C)c(C)c(C)c1C")</f>
        <v>Cc1nc(CN(C)C2CCCCC2N(C)C)c(C)c(C)c1C</v>
      </c>
      <c r="C2812" s="7">
        <f>IFERROR(__xludf.DUMMYFUNCTION("""COMPUTED_VALUE"""),7.8057923)</f>
        <v>7.8057923</v>
      </c>
      <c r="D2812" s="7">
        <f>IFERROR(__xludf.DUMMYFUNCTION("""COMPUTED_VALUE"""),0.431818181818181)</f>
        <v>0.4318181818</v>
      </c>
    </row>
    <row r="2813">
      <c r="A2813" s="10" t="s">
        <v>4252</v>
      </c>
      <c r="B2813" s="7" t="str">
        <f>IFERROR(__xludf.DUMMYFUNCTION("SPLIT(A2813,"" "")"),"CC(C)(c1cccc(CNC2COCCOCCOCCOCCOc3ccccc3O2)n1)c1cccc(CN(Cc2cccc(-c3ccc4c(c3)OCCOCCOCCOCCOCCO4)n2)Cc2cccc(-c3ccc4c(c3)OCCOCCOCCOCCOCCO4)n2)n1")</f>
        <v>CC(C)(c1cccc(CNC2COCCOCCOCCOCCOc3ccccc3O2)n1)c1cccc(CN(Cc2cccc(-c3ccc4c(c3)OCCOCCOCCOCCOCCO4)n2)Cc2cccc(-c3ccc4c(c3)OCCOCCOCCOCCOCCO4)n2)n1</v>
      </c>
      <c r="C2813" s="7">
        <f>IFERROR(__xludf.DUMMYFUNCTION("""COMPUTED_VALUE"""),7.8057923)</f>
        <v>7.8057923</v>
      </c>
      <c r="D2813" s="7">
        <f>IFERROR(__xludf.DUMMYFUNCTION("""COMPUTED_VALUE"""),0.324675324675324)</f>
        <v>0.3246753247</v>
      </c>
    </row>
    <row r="2814">
      <c r="A2814" s="10" t="s">
        <v>4253</v>
      </c>
      <c r="B2814" s="7" t="str">
        <f>IFERROR(__xludf.DUMMYFUNCTION("SPLIT(A2814,"" "")"),"CCC(C)c1cccc(C2CCC2(C)C)n1")</f>
        <v>CCC(C)c1cccc(C2CCC2(C)C)n1</v>
      </c>
      <c r="C2814" s="7">
        <f>IFERROR(__xludf.DUMMYFUNCTION("""COMPUTED_VALUE"""),7.80579)</f>
        <v>7.80579</v>
      </c>
      <c r="D2814" s="7">
        <f>IFERROR(__xludf.DUMMYFUNCTION("""COMPUTED_VALUE"""),0.244897959183673)</f>
        <v>0.2448979592</v>
      </c>
    </row>
    <row r="2815">
      <c r="A2815" s="10" t="s">
        <v>4254</v>
      </c>
      <c r="B2815" s="7" t="str">
        <f>IFERROR(__xludf.DUMMYFUNCTION("SPLIT(A2815,"" "")"),"Cc1cncc(CN(C)CCN(Cc2ccccn2)C2CCCC(N(C)Cc3cncc(C)c3)C2)c1")</f>
        <v>Cc1cncc(CN(C)CCN(Cc2ccccn2)C2CCCC(N(C)Cc3cncc(C)c3)C2)c1</v>
      </c>
      <c r="C2815" s="7">
        <f>IFERROR(__xludf.DUMMYFUNCTION("""COMPUTED_VALUE"""),7.805787)</f>
        <v>7.805787</v>
      </c>
      <c r="D2815" s="7">
        <f>IFERROR(__xludf.DUMMYFUNCTION("""COMPUTED_VALUE"""),0.406779661016949)</f>
        <v>0.406779661</v>
      </c>
    </row>
    <row r="2816">
      <c r="A2816" s="10" t="s">
        <v>4255</v>
      </c>
      <c r="B2816" s="7" t="str">
        <f>IFERROR(__xludf.DUMMYFUNCTION("SPLIT(A2816,"" "")"),"Cc1c(C)c(C)c(N(C)CCN(Cc2ccccn2)C(C)(N)N(Cc2cccc3c2OCCOCCOCCOCCOCCO3)C(C)C)c(C)c1C")</f>
        <v>Cc1c(C)c(C)c(N(C)CCN(Cc2ccccn2)C(C)(N)N(Cc2cccc3c2OCCOCCOCCOCCOCCO3)C(C)C)c(C)c1C</v>
      </c>
      <c r="C2816" s="7">
        <f>IFERROR(__xludf.DUMMYFUNCTION("""COMPUTED_VALUE"""),7.805786)</f>
        <v>7.805786</v>
      </c>
      <c r="D2816" s="7">
        <f>IFERROR(__xludf.DUMMYFUNCTION("""COMPUTED_VALUE"""),0.314285714285714)</f>
        <v>0.3142857143</v>
      </c>
    </row>
    <row r="2817">
      <c r="A2817" s="10" t="s">
        <v>4256</v>
      </c>
      <c r="B2817" s="7" t="str">
        <f>IFERROR(__xludf.DUMMYFUNCTION("SPLIT(A2817,"" "")"),"Cc1cc(NCc2ccccn2)ccc1CN(C)C1CCCC(N(C)Cc2cccc(-c3cccc4c3OCCOCCOCCOCCOCCO4)n2)C1")</f>
        <v>Cc1cc(NCc2ccccn2)ccc1CN(C)C1CCCC(N(C)Cc2cccc(-c3cccc4c3OCCOCCOCCOCCOCCO4)n2)C1</v>
      </c>
      <c r="C2817" s="7">
        <f>IFERROR(__xludf.DUMMYFUNCTION("""COMPUTED_VALUE"""),7.8057847)</f>
        <v>7.8057847</v>
      </c>
      <c r="D2817" s="7">
        <f>IFERROR(__xludf.DUMMYFUNCTION("""COMPUTED_VALUE"""),0.311688311688311)</f>
        <v>0.3116883117</v>
      </c>
    </row>
    <row r="2818">
      <c r="A2818" s="10" t="s">
        <v>4257</v>
      </c>
      <c r="B2818" s="7" t="str">
        <f>IFERROR(__xludf.DUMMYFUNCTION("SPLIT(A2818,"" "")"),"CNC1CCCC(N(Cc2ccccn2)Cc2cc(C)c(C)c(C)n2)C1")</f>
        <v>CNC1CCCC(N(Cc2ccccn2)Cc2cc(C)c(C)c(C)n2)C1</v>
      </c>
      <c r="C2818" s="7">
        <f>IFERROR(__xludf.DUMMYFUNCTION("""COMPUTED_VALUE"""),7.8057833)</f>
        <v>7.8057833</v>
      </c>
      <c r="D2818" s="7">
        <f>IFERROR(__xludf.DUMMYFUNCTION("""COMPUTED_VALUE"""),0.385964912280701)</f>
        <v>0.3859649123</v>
      </c>
    </row>
    <row r="2819">
      <c r="A2819" s="10" t="s">
        <v>4258</v>
      </c>
      <c r="B2819" s="7" t="str">
        <f>IFERROR(__xludf.DUMMYFUNCTION("SPLIT(A2819,"" "")"),"Cc1cccc(N(Cc2cccnn2)C2CCCCC2)c1")</f>
        <v>Cc1cccc(N(Cc2cccnn2)C2CCCCC2)c1</v>
      </c>
      <c r="C2819" s="7">
        <f>IFERROR(__xludf.DUMMYFUNCTION("""COMPUTED_VALUE"""),7.805778)</f>
        <v>7.805778</v>
      </c>
      <c r="D2819" s="7">
        <f>IFERROR(__xludf.DUMMYFUNCTION("""COMPUTED_VALUE"""),0.404255319148936)</f>
        <v>0.4042553191</v>
      </c>
    </row>
    <row r="2820">
      <c r="A2820" s="10" t="s">
        <v>4259</v>
      </c>
      <c r="B2820" s="7" t="str">
        <f>IFERROR(__xludf.DUMMYFUNCTION("SPLIT(A2820,"" "")"),"CNCc1cccc(C2CCC2(C)C)n1")</f>
        <v>CNCc1cccc(C2CCC2(C)C)n1</v>
      </c>
      <c r="C2820" s="7">
        <f>IFERROR(__xludf.DUMMYFUNCTION("""COMPUTED_VALUE"""),7.8057766)</f>
        <v>7.8057766</v>
      </c>
      <c r="D2820" s="7">
        <f>IFERROR(__xludf.DUMMYFUNCTION("""COMPUTED_VALUE"""),0.274509803921568)</f>
        <v>0.2745098039</v>
      </c>
    </row>
    <row r="2821">
      <c r="A2821" s="10" t="s">
        <v>4260</v>
      </c>
      <c r="B2821" s="7" t="str">
        <f>IFERROR(__xludf.DUMMYFUNCTION("SPLIT(A2821,"" "")"),"Cc1cccc(CN(C)C2CCCC(N(Cc3ccccn3)Cc3cccc(-c4cc(C)c5c(c4)OCCOCCOCCOCCOCCO5)n3)C2)n1")</f>
        <v>Cc1cccc(CN(C)C2CCCC(N(Cc3ccccn3)Cc3cccc(-c4cc(C)c5c(c4)OCCOCCOCCOCCOCCO5)n3)C2)n1</v>
      </c>
      <c r="C2821" s="7">
        <f>IFERROR(__xludf.DUMMYFUNCTION("""COMPUTED_VALUE"""),7.8057766)</f>
        <v>7.8057766</v>
      </c>
      <c r="D2821" s="7">
        <f>IFERROR(__xludf.DUMMYFUNCTION("""COMPUTED_VALUE"""),0.361111111111111)</f>
        <v>0.3611111111</v>
      </c>
    </row>
    <row r="2822">
      <c r="A2822" s="10" t="s">
        <v>4261</v>
      </c>
      <c r="B2822" s="7" t="str">
        <f>IFERROR(__xludf.DUMMYFUNCTION("SPLIT(A2822,"" "")"),"CN(Cc1ccc(N(C)C)cn1)Cc1ccncc1C1=CC2OCCOCCOCCOCCOC=COC2C=C1")</f>
        <v>CN(Cc1ccc(N(C)C)cn1)Cc1ccncc1C1=CC2OCCOCCOCCOCCOC=COC2C=C1</v>
      </c>
      <c r="C2822" s="7">
        <f>IFERROR(__xludf.DUMMYFUNCTION("""COMPUTED_VALUE"""),7.805774)</f>
        <v>7.805774</v>
      </c>
      <c r="D2822" s="7">
        <f>IFERROR(__xludf.DUMMYFUNCTION("""COMPUTED_VALUE"""),0.253521126760563)</f>
        <v>0.2535211268</v>
      </c>
    </row>
    <row r="2823">
      <c r="A2823" s="10" t="s">
        <v>4262</v>
      </c>
      <c r="B2823" s="7" t="str">
        <f>IFERROR(__xludf.DUMMYFUNCTION("SPLIT(A2823,"" "")"),"CC1=CC(C)C(CN(C)Cc2ccccn2)C=C1")</f>
        <v>CC1=CC(C)C(CN(C)Cc2ccccn2)C=C1</v>
      </c>
      <c r="C2823" s="7">
        <f>IFERROR(__xludf.DUMMYFUNCTION("""COMPUTED_VALUE"""),7.805773)</f>
        <v>7.805773</v>
      </c>
      <c r="D2823" s="7">
        <f>IFERROR(__xludf.DUMMYFUNCTION("""COMPUTED_VALUE"""),0.436363636363636)</f>
        <v>0.4363636364</v>
      </c>
    </row>
    <row r="2824">
      <c r="A2824" s="10" t="s">
        <v>4263</v>
      </c>
      <c r="B2824" s="7" t="str">
        <f>IFERROR(__xludf.DUMMYFUNCTION("SPLIT(A2824,"" "")"),"CC(N)C(C)C(C)N(C)Cc1ncccc1C(C)(C)C")</f>
        <v>CC(N)C(C)C(C)N(C)Cc1ncccc1C(C)(C)C</v>
      </c>
      <c r="C2824" s="7">
        <f>IFERROR(__xludf.DUMMYFUNCTION("""COMPUTED_VALUE"""),7.8057666)</f>
        <v>7.8057666</v>
      </c>
      <c r="D2824" s="7">
        <f>IFERROR(__xludf.DUMMYFUNCTION("""COMPUTED_VALUE"""),0.294117647058823)</f>
        <v>0.2941176471</v>
      </c>
    </row>
    <row r="2825">
      <c r="A2825" s="10" t="s">
        <v>4264</v>
      </c>
      <c r="B2825" s="7" t="str">
        <f>IFERROR(__xludf.DUMMYFUNCTION("SPLIT(A2825,"" "")"),"Cc1cc2c(cc1N(C)Cc1ncccc1C(C)(C)C)OCCOCCOCCOCCOCCO2")</f>
        <v>Cc1cc2c(cc1N(C)Cc1ncccc1C(C)(C)C)OCCOCCOCCOCCOCCO2</v>
      </c>
      <c r="C2825" s="7">
        <f>IFERROR(__xludf.DUMMYFUNCTION("""COMPUTED_VALUE"""),7.805754)</f>
        <v>7.805754</v>
      </c>
      <c r="D2825" s="7">
        <f>IFERROR(__xludf.DUMMYFUNCTION("""COMPUTED_VALUE"""),0.293103448275862)</f>
        <v>0.2931034483</v>
      </c>
    </row>
    <row r="2826">
      <c r="A2826" s="10" t="s">
        <v>4265</v>
      </c>
      <c r="B2826" s="7" t="str">
        <f>IFERROR(__xludf.DUMMYFUNCTION("SPLIT(A2826,"" "")"),"CCN(Cc1ccccn1)C1CCCC(N(C)Cc2nc(C)c(C)cc2C)C1")</f>
        <v>CCN(Cc1ccccn1)C1CCCC(N(C)Cc2nc(C)c(C)cc2C)C1</v>
      </c>
      <c r="C2826" s="7">
        <f>IFERROR(__xludf.DUMMYFUNCTION("""COMPUTED_VALUE"""),7.8057494)</f>
        <v>7.8057494</v>
      </c>
      <c r="D2826" s="7">
        <f>IFERROR(__xludf.DUMMYFUNCTION("""COMPUTED_VALUE"""),0.428571428571428)</f>
        <v>0.4285714286</v>
      </c>
    </row>
    <row r="2827">
      <c r="A2827" s="10" t="s">
        <v>4266</v>
      </c>
      <c r="B2827" s="7" t="str">
        <f>IFERROR(__xludf.DUMMYFUNCTION("SPLIT(A2827,"" "")"),"CCCN(Cc1ccccn1)c1cc2c(cc1CN(Cc1ccccn1)Cc1ccccn1)OCCOCCOCCOCCOCCO2")</f>
        <v>CCCN(Cc1ccccn1)c1cc2c(cc1CN(Cc1ccccn1)Cc1ccccn1)OCCOCCOCCOCCOCCO2</v>
      </c>
      <c r="C2827" s="7">
        <f>IFERROR(__xludf.DUMMYFUNCTION("""COMPUTED_VALUE"""),7.805741)</f>
        <v>7.805741</v>
      </c>
      <c r="D2827" s="7">
        <f>IFERROR(__xludf.DUMMYFUNCTION("""COMPUTED_VALUE"""),0.416666666666666)</f>
        <v>0.4166666667</v>
      </c>
    </row>
    <row r="2828">
      <c r="A2828" s="10" t="s">
        <v>4267</v>
      </c>
      <c r="B2828" s="7" t="str">
        <f>IFERROR(__xludf.DUMMYFUNCTION("SPLIT(A2828,"" "")"),"Cc1ccc(CN(Cc2ccccn2)C2CCCC(N(C)Cc3cccc(-c4ccc5c(c4)OCCOCCOCCOCCOCCO5)n3)C2)nc1C")</f>
        <v>Cc1ccc(CN(Cc2ccccn2)C2CCCC(N(C)Cc3cccc(-c4ccc5c(c4)OCCOCCOCCOCCOCCO5)n3)C2)nc1C</v>
      </c>
      <c r="C2828" s="7">
        <f>IFERROR(__xludf.DUMMYFUNCTION("""COMPUTED_VALUE"""),7.8057394)</f>
        <v>7.8057394</v>
      </c>
      <c r="D2828" s="7">
        <f>IFERROR(__xludf.DUMMYFUNCTION("""COMPUTED_VALUE"""),0.371794871794871)</f>
        <v>0.3717948718</v>
      </c>
    </row>
    <row r="2829">
      <c r="A2829" s="10" t="s">
        <v>4268</v>
      </c>
      <c r="B2829" s="7" t="str">
        <f>IFERROR(__xludf.DUMMYFUNCTION("SPLIT(A2829,"" "")"),"Cc1cnc(CN(C)C2CCC(N(Cc3ccccn3)Cc3cc(-c4ccc5c(c4)OCCOCCOCCOCCOCCO5)ccn3)CC2)c(C)c1")</f>
        <v>Cc1cnc(CN(C)C2CCC(N(Cc3ccccn3)Cc3cc(-c4ccc5c(c4)OCCOCCOCCOCCOCCO5)ccn3)CC2)c(C)c1</v>
      </c>
      <c r="C2829" s="7">
        <f>IFERROR(__xludf.DUMMYFUNCTION("""COMPUTED_VALUE"""),7.8057384)</f>
        <v>7.8057384</v>
      </c>
      <c r="D2829" s="7">
        <f>IFERROR(__xludf.DUMMYFUNCTION("""COMPUTED_VALUE"""),0.35)</f>
        <v>0.35</v>
      </c>
    </row>
    <row r="2830">
      <c r="A2830" s="10" t="s">
        <v>4269</v>
      </c>
      <c r="B2830" s="7" t="str">
        <f>IFERROR(__xludf.DUMMYFUNCTION("SPLIT(A2830,"" "")"),"COC(=O)C(=O)C(C)C1(C)N=COC1c1cc(CN2CCN(C)CCN(C)CC2)ccn1")</f>
        <v>COC(=O)C(=O)C(C)C1(C)N=COC1c1cc(CN2CCN(C)CCN(C)CC2)ccn1</v>
      </c>
      <c r="C2830" s="7">
        <f>IFERROR(__xludf.DUMMYFUNCTION("""COMPUTED_VALUE"""),7.805725)</f>
        <v>7.805725</v>
      </c>
      <c r="D2830" s="7">
        <f>IFERROR(__xludf.DUMMYFUNCTION("""COMPUTED_VALUE"""),0.366197183098591)</f>
        <v>0.3661971831</v>
      </c>
    </row>
    <row r="2831">
      <c r="A2831" s="10" t="s">
        <v>4270</v>
      </c>
      <c r="B2831" s="7" t="str">
        <f>IFERROR(__xludf.DUMMYFUNCTION("SPLIT(A2831,"" "")"),"CN(Cc1cccc(-c2ccc3c(c2)OCCOCCOCCOCCOCCO3)n1)C1CCC(N(Cc2ccccn2)Cc2cccc(CSC3C=CC=CN3)n2)CC1")</f>
        <v>CN(Cc1cccc(-c2ccc3c(c2)OCCOCCOCCOCCOCCO3)n1)C1CCC(N(Cc2ccccn2)Cc2cccc(CSC3C=CC=CN3)n2)CC1</v>
      </c>
      <c r="C2831" s="7">
        <f>IFERROR(__xludf.DUMMYFUNCTION("""COMPUTED_VALUE"""),7.8057184)</f>
        <v>7.8057184</v>
      </c>
      <c r="D2831" s="7">
        <f>IFERROR(__xludf.DUMMYFUNCTION("""COMPUTED_VALUE"""),0.32183908045977)</f>
        <v>0.3218390805</v>
      </c>
    </row>
    <row r="2832">
      <c r="A2832" s="10" t="s">
        <v>4271</v>
      </c>
      <c r="B2832" s="7" t="str">
        <f>IFERROR(__xludf.DUMMYFUNCTION("SPLIT(A2832,"" "")"),"Cc1ccc(CN(C)C2CCC(N(Cc3ccccn3)Cc3ncccc3-c3ccc4c(c3)OCCOCCOCCOCCOCCO4)CC2)nc1C")</f>
        <v>Cc1ccc(CN(C)C2CCC(N(Cc3ccccn3)Cc3ncccc3-c3ccc4c(c3)OCCOCCOCCOCCOCCO4)CC2)nc1C</v>
      </c>
      <c r="C2832" s="7">
        <f>IFERROR(__xludf.DUMMYFUNCTION("""COMPUTED_VALUE"""),7.805718)</f>
        <v>7.805718</v>
      </c>
      <c r="D2832" s="7">
        <f>IFERROR(__xludf.DUMMYFUNCTION("""COMPUTED_VALUE"""),0.328767123287671)</f>
        <v>0.3287671233</v>
      </c>
    </row>
    <row r="2833">
      <c r="A2833" s="10" t="s">
        <v>4272</v>
      </c>
      <c r="B2833" s="7" t="str">
        <f>IFERROR(__xludf.DUMMYFUNCTION("SPLIT(A2833,"" "")"),"Cc1ccnc(CN(C)CCN(C)CCF)c1")</f>
        <v>Cc1ccnc(CN(C)CCN(C)CCF)c1</v>
      </c>
      <c r="C2833" s="7">
        <f>IFERROR(__xludf.DUMMYFUNCTION("""COMPUTED_VALUE"""),7.8057156)</f>
        <v>7.8057156</v>
      </c>
      <c r="D2833" s="7">
        <f>IFERROR(__xludf.DUMMYFUNCTION("""COMPUTED_VALUE"""),0.473684210526315)</f>
        <v>0.4736842105</v>
      </c>
    </row>
    <row r="2834">
      <c r="A2834" s="10" t="s">
        <v>4273</v>
      </c>
      <c r="B2834" s="7" t="str">
        <f>IFERROR(__xludf.DUMMYFUNCTION("SPLIT(A2834,"" "")"),"CC1C(Cl)=CC(N(C)Cc2ccccn2)CC1(C)C")</f>
        <v>CC1C(Cl)=CC(N(C)Cc2ccccn2)CC1(C)C</v>
      </c>
      <c r="C2834" s="7">
        <f>IFERROR(__xludf.DUMMYFUNCTION("""COMPUTED_VALUE"""),7.80571)</f>
        <v>7.80571</v>
      </c>
      <c r="D2834" s="7">
        <f>IFERROR(__xludf.DUMMYFUNCTION("""COMPUTED_VALUE"""),0.479166666666666)</f>
        <v>0.4791666667</v>
      </c>
    </row>
    <row r="2835">
      <c r="A2835" s="10" t="s">
        <v>4274</v>
      </c>
      <c r="B2835" s="7" t="str">
        <f>IFERROR(__xludf.DUMMYFUNCTION("SPLIT(A2835,"" "")"),"COC(=O)C(=O)C(C)C(C)NCc1cc(C)c(CN2CCN(C)CCN(C)CC2)c(C)n1")</f>
        <v>COC(=O)C(=O)C(C)C(C)NCc1cc(C)c(CN2CCN(C)CCN(C)CC2)c(C)n1</v>
      </c>
      <c r="C2835" s="7">
        <f>IFERROR(__xludf.DUMMYFUNCTION("""COMPUTED_VALUE"""),7.8057065)</f>
        <v>7.8057065</v>
      </c>
      <c r="D2835" s="7">
        <f>IFERROR(__xludf.DUMMYFUNCTION("""COMPUTED_VALUE"""),0.338235294117647)</f>
        <v>0.3382352941</v>
      </c>
    </row>
    <row r="2836">
      <c r="A2836" s="10" t="s">
        <v>4275</v>
      </c>
      <c r="B2836" s="7" t="str">
        <f>IFERROR(__xludf.DUMMYFUNCTION("SPLIT(A2836,"" "")"),"Cc1cc(CN(C)C2CCC(N(C)Cc3nc(C)ccc3C)CC2)ccn1")</f>
        <v>Cc1cc(CN(C)C2CCC(N(C)Cc3nc(C)ccc3C)CC2)ccn1</v>
      </c>
      <c r="C2836" s="7">
        <f>IFERROR(__xludf.DUMMYFUNCTION("""COMPUTED_VALUE"""),7.805706)</f>
        <v>7.805706</v>
      </c>
      <c r="D2836" s="7">
        <f>IFERROR(__xludf.DUMMYFUNCTION("""COMPUTED_VALUE"""),0.314814814814814)</f>
        <v>0.3148148148</v>
      </c>
    </row>
    <row r="2837">
      <c r="A2837" s="10" t="s">
        <v>4276</v>
      </c>
      <c r="B2837" s="7" t="str">
        <f>IFERROR(__xludf.DUMMYFUNCTION("SPLIT(A2837,"" "")"),"Cc1cccnc1CNCN(C)C1CCCC(N(C)Cc2cc(C)c(C)c(C)n2)C1")</f>
        <v>Cc1cccnc1CNCN(C)C1CCCC(N(C)Cc2cc(C)c(C)c(C)n2)C1</v>
      </c>
      <c r="C2837" s="7">
        <f>IFERROR(__xludf.DUMMYFUNCTION("""COMPUTED_VALUE"""),7.805704)</f>
        <v>7.805704</v>
      </c>
      <c r="D2837" s="7">
        <f>IFERROR(__xludf.DUMMYFUNCTION("""COMPUTED_VALUE"""),0.32258064516129)</f>
        <v>0.3225806452</v>
      </c>
    </row>
    <row r="2838">
      <c r="A2838" s="10" t="s">
        <v>4277</v>
      </c>
      <c r="B2838" s="7" t="str">
        <f>IFERROR(__xludf.DUMMYFUNCTION("SPLIT(A2838,"" "")"),"Cc1cc(CN(Cc2cccnc2)C2CCCC(N(C)CCN(C)C)C2)nc(C)c1C")</f>
        <v>Cc1cc(CN(Cc2cccnc2)C2CCCC(N(C)CCN(C)C)C2)nc(C)c1C</v>
      </c>
      <c r="C2838" s="7">
        <f>IFERROR(__xludf.DUMMYFUNCTION("""COMPUTED_VALUE"""),7.805702)</f>
        <v>7.805702</v>
      </c>
      <c r="D2838" s="7">
        <f>IFERROR(__xludf.DUMMYFUNCTION("""COMPUTED_VALUE"""),0.26865671641791)</f>
        <v>0.2686567164</v>
      </c>
    </row>
    <row r="2839">
      <c r="A2839" s="10" t="s">
        <v>4278</v>
      </c>
      <c r="B2839" s="7" t="str">
        <f>IFERROR(__xludf.DUMMYFUNCTION("SPLIT(A2839,"" "")"),"Cc1cncc(CN(C)C2CCCC(N(C)CCN(C)Cc3nc(C)c(C)cc3C)C2)c1")</f>
        <v>Cc1cncc(CN(C)C2CCCC(N(C)CCN(C)Cc3nc(C)c(C)cc3C)C2)c1</v>
      </c>
      <c r="C2839" s="7">
        <f>IFERROR(__xludf.DUMMYFUNCTION("""COMPUTED_VALUE"""),7.8057)</f>
        <v>7.8057</v>
      </c>
      <c r="D2839" s="7">
        <f>IFERROR(__xludf.DUMMYFUNCTION("""COMPUTED_VALUE"""),0.254237288135593)</f>
        <v>0.2542372881</v>
      </c>
    </row>
    <row r="2840">
      <c r="A2840" s="10" t="s">
        <v>4279</v>
      </c>
      <c r="B2840" s="7" t="str">
        <f>IFERROR(__xludf.DUMMYFUNCTION("SPLIT(A2840,"" "")"),"Cc1cnc(CN(C)C2CCCC(N(Cc3ccccn3)Cc3cccc(-c4ccc5c(c4)OCCOCCOCCOCCOCCO5)n3)C2)c(C)c1")</f>
        <v>Cc1cnc(CN(C)C2CCCC(N(Cc3ccccn3)Cc3cccc(-c4ccc5c(c4)OCCOCCOCCOCCOCCO5)n3)C2)c(C)c1</v>
      </c>
      <c r="C2840" s="7">
        <f>IFERROR(__xludf.DUMMYFUNCTION("""COMPUTED_VALUE"""),7.805689)</f>
        <v>7.805689</v>
      </c>
      <c r="D2840" s="7">
        <f>IFERROR(__xludf.DUMMYFUNCTION("""COMPUTED_VALUE"""),0.358024691358024)</f>
        <v>0.3580246914</v>
      </c>
    </row>
    <row r="2841">
      <c r="A2841" s="10" t="s">
        <v>4280</v>
      </c>
      <c r="B2841" s="7" t="str">
        <f>IFERROR(__xludf.DUMMYFUNCTION("SPLIT(A2841,"" "")"),"CC1=CC(C)C2(CC(C)C(c3ccc(CN(Cc4ccccn4)C4CCCCC4)cn3)=CC23CC(C)C(C)=CC3C)C(C)C1")</f>
        <v>CC1=CC(C)C2(CC(C)C(c3ccc(CN(Cc4ccccn4)C4CCCCC4)cn3)=CC23CC(C)C(C)=CC3C)C(C)C1</v>
      </c>
      <c r="C2841" s="7">
        <f>IFERROR(__xludf.DUMMYFUNCTION("""COMPUTED_VALUE"""),7.805689)</f>
        <v>7.805689</v>
      </c>
      <c r="D2841" s="7">
        <f>IFERROR(__xludf.DUMMYFUNCTION("""COMPUTED_VALUE"""),0.298701298701298)</f>
        <v>0.2987012987</v>
      </c>
    </row>
    <row r="2842">
      <c r="A2842" s="10" t="s">
        <v>4281</v>
      </c>
      <c r="B2842" s="7" t="str">
        <f>IFERROR(__xludf.DUMMYFUNCTION("SPLIT(A2842,"" "")"),"Cc1cc(C)c(CN(C)C2CCCCC2N(Cc2ccccn2)Cc2cccc(-c3ccc4c(c3)OCCOCCOCCOCCOCCO4)n2)nc1C")</f>
        <v>Cc1cc(C)c(CN(C)C2CCCCC2N(Cc2ccccn2)Cc2cccc(-c3ccc4c(c3)OCCOCCOCCOCCOCCO4)n2)nc1C</v>
      </c>
      <c r="C2842" s="7">
        <f>IFERROR(__xludf.DUMMYFUNCTION("""COMPUTED_VALUE"""),7.805671)</f>
        <v>7.805671</v>
      </c>
      <c r="D2842" s="7">
        <f>IFERROR(__xludf.DUMMYFUNCTION("""COMPUTED_VALUE"""),0.420289855072463)</f>
        <v>0.4202898551</v>
      </c>
    </row>
    <row r="2843">
      <c r="A2843" s="10" t="s">
        <v>4282</v>
      </c>
      <c r="B2843" s="7" t="str">
        <f>IFERROR(__xludf.DUMMYFUNCTION("SPLIT(A2843,"" "")"),"Clc1ccc2c(c1N(Cc1ccccn1)Cc1ccccn1)OCCOCCOCCOCCOCCO2")</f>
        <v>Clc1ccc2c(c1N(Cc1ccccn1)Cc1ccccn1)OCCOCCOCCOCCOCCO2</v>
      </c>
      <c r="C2843" s="7">
        <f>IFERROR(__xludf.DUMMYFUNCTION("""COMPUTED_VALUE"""),7.805652)</f>
        <v>7.805652</v>
      </c>
      <c r="D2843" s="7">
        <f>IFERROR(__xludf.DUMMYFUNCTION("""COMPUTED_VALUE"""),0.392156862745098)</f>
        <v>0.3921568627</v>
      </c>
    </row>
    <row r="2844">
      <c r="A2844" s="10" t="s">
        <v>4283</v>
      </c>
      <c r="B2844" s="7" t="str">
        <f>IFERROR(__xludf.DUMMYFUNCTION("SPLIT(A2844,"" "")"),"CC(C)N(Cc1ccccn1)Cc1cccc(-c2ccc3c(c2)OCCOCCOCCOCCOCCO3)n1")</f>
        <v>CC(C)N(Cc1ccccn1)Cc1cccc(-c2ccc3c(c2)OCCOCCOCCOCCOCCO3)n1</v>
      </c>
      <c r="C2844" s="7">
        <f>IFERROR(__xludf.DUMMYFUNCTION("""COMPUTED_VALUE"""),7.805645)</f>
        <v>7.805645</v>
      </c>
      <c r="D2844" s="7">
        <f>IFERROR(__xludf.DUMMYFUNCTION("""COMPUTED_VALUE"""),0.452830188679245)</f>
        <v>0.4528301887</v>
      </c>
    </row>
    <row r="2845">
      <c r="A2845" s="10" t="s">
        <v>4284</v>
      </c>
      <c r="B2845" s="7" t="str">
        <f>IFERROR(__xludf.DUMMYFUNCTION("SPLIT(A2845,"" "")"),"Cc1cnc(CN(Cc2ccccn2)C2CCC(N(C)Cc3ncccc3-c3ccc4c(c3)OCCOCCOCCOCCOCCO4)CC2)c(C)c1")</f>
        <v>Cc1cnc(CN(Cc2ccccn2)C2CCC(N(C)Cc3ncccc3-c3ccc4c(c3)OCCOCCOCCOCCOCCO4)CC2)c(C)c1</v>
      </c>
      <c r="C2845" s="7">
        <f>IFERROR(__xludf.DUMMYFUNCTION("""COMPUTED_VALUE"""),7.805642)</f>
        <v>7.805642</v>
      </c>
      <c r="D2845" s="7">
        <f>IFERROR(__xludf.DUMMYFUNCTION("""COMPUTED_VALUE"""),0.321428571428571)</f>
        <v>0.3214285714</v>
      </c>
    </row>
    <row r="2846">
      <c r="A2846" s="10" t="s">
        <v>4285</v>
      </c>
      <c r="B2846" s="7" t="str">
        <f>IFERROR(__xludf.DUMMYFUNCTION("SPLIT(A2846,"" "")"),"CC(C)C(C)(c1cccnc1)N(C)Cc1ncccc1-c1ccc2c(c1)OCCOCCOCCOCCOCCO2")</f>
        <v>CC(C)C(C)(c1cccnc1)N(C)Cc1ncccc1-c1ccc2c(c1)OCCOCCOCCOCCOCCO2</v>
      </c>
      <c r="C2846" s="7">
        <f>IFERROR(__xludf.DUMMYFUNCTION("""COMPUTED_VALUE"""),7.8056397)</f>
        <v>7.8056397</v>
      </c>
      <c r="D2846" s="7">
        <f>IFERROR(__xludf.DUMMYFUNCTION("""COMPUTED_VALUE"""),0.31578947368421)</f>
        <v>0.3157894737</v>
      </c>
    </row>
    <row r="2847">
      <c r="A2847" s="10" t="s">
        <v>4286</v>
      </c>
      <c r="B2847" s="7" t="str">
        <f>IFERROR(__xludf.DUMMYFUNCTION("SPLIT(A2847,"" "")"),"CCN(Cc1ccccn1)Cc1ncccc1-c1ccc2c(c1)OCCOCCOCCOCCOCCO2")</f>
        <v>CCN(Cc1ccccn1)Cc1ncccc1-c1ccc2c(c1)OCCOCCOCCOCCOCCO2</v>
      </c>
      <c r="C2847" s="7">
        <f>IFERROR(__xludf.DUMMYFUNCTION("""COMPUTED_VALUE"""),7.805632)</f>
        <v>7.805632</v>
      </c>
      <c r="D2847" s="7">
        <f>IFERROR(__xludf.DUMMYFUNCTION("""COMPUTED_VALUE"""),0.372549019607843)</f>
        <v>0.3725490196</v>
      </c>
    </row>
    <row r="2848">
      <c r="A2848" s="10" t="s">
        <v>4287</v>
      </c>
      <c r="B2848" s="7" t="str">
        <f>IFERROR(__xludf.DUMMYFUNCTION("SPLIT(A2848,"" "")"),"CN(Cc1cccc(C2=CCC=CN2)n1)C1CCC(N(C)Cc2cccc(-c3ccc4c(c3)OCCOCCOCCOCCOCCO4)n2)CC1")</f>
        <v>CN(Cc1cccc(C2=CCC=CN2)n1)C1CCC(N(C)Cc2cccc(-c3ccc4c(c3)OCCOCCOCCOCCOCCO4)n2)CC1</v>
      </c>
      <c r="C2848" s="7">
        <f>IFERROR(__xludf.DUMMYFUNCTION("""COMPUTED_VALUE"""),7.80561)</f>
        <v>7.80561</v>
      </c>
      <c r="D2848" s="7">
        <f>IFERROR(__xludf.DUMMYFUNCTION("""COMPUTED_VALUE"""),0.32051282051282)</f>
        <v>0.3205128205</v>
      </c>
    </row>
    <row r="2849">
      <c r="A2849" s="10" t="s">
        <v>4288</v>
      </c>
      <c r="B2849" s="7" t="str">
        <f>IFERROR(__xludf.DUMMYFUNCTION("SPLIT(A2849,"" "")"),"Cc1ccc(CN(C)CCN(C)Cc2cccc(-c3ccc4c(c3)OCCOCCOCCOCCOCCO4)n2)nc1")</f>
        <v>Cc1ccc(CN(C)CCN(C)Cc2cccc(-c3ccc4c(c3)OCCOCCOCCOCCOCCO4)n2)nc1</v>
      </c>
      <c r="C2849" s="7">
        <f>IFERROR(__xludf.DUMMYFUNCTION("""COMPUTED_VALUE"""),7.805607)</f>
        <v>7.805607</v>
      </c>
      <c r="D2849" s="7">
        <f>IFERROR(__xludf.DUMMYFUNCTION("""COMPUTED_VALUE"""),0.48076923076923)</f>
        <v>0.4807692308</v>
      </c>
    </row>
    <row r="2850">
      <c r="A2850" s="10" t="s">
        <v>4289</v>
      </c>
      <c r="B2850" s="7" t="str">
        <f>IFERROR(__xludf.DUMMYFUNCTION("SPLIT(A2850,"" "")"),"Cc1ccc(C)c(CN(Cc2ccc(CN3CCN(C)CCN(C)CC3)cn2)C2CCCC(N(C)Cc3ncc(C)c(C)c3C)C2)n1")</f>
        <v>Cc1ccc(C)c(CN(Cc2ccc(CN3CCN(C)CCN(C)CC3)cn2)C2CCCC(N(C)Cc3ncc(C)c(C)c3C)C2)n1</v>
      </c>
      <c r="C2850" s="7">
        <f>IFERROR(__xludf.DUMMYFUNCTION("""COMPUTED_VALUE"""),7.805606)</f>
        <v>7.805606</v>
      </c>
      <c r="D2850" s="7">
        <f>IFERROR(__xludf.DUMMYFUNCTION("""COMPUTED_VALUE"""),0.342465753424657)</f>
        <v>0.3424657534</v>
      </c>
    </row>
    <row r="2851">
      <c r="A2851" s="10" t="s">
        <v>4290</v>
      </c>
      <c r="B2851" s="7" t="str">
        <f>IFERROR(__xludf.DUMMYFUNCTION("SPLIT(A2851,"" "")"),"Cc1cncc(CN2CCN(C)CCN(Cc3ccc(N(C)C)cn3)CC2)c1")</f>
        <v>Cc1cncc(CN2CCN(C)CCN(Cc3ccc(N(C)C)cn3)CC2)c1</v>
      </c>
      <c r="C2851" s="7">
        <f>IFERROR(__xludf.DUMMYFUNCTION("""COMPUTED_VALUE"""),7.80559)</f>
        <v>7.80559</v>
      </c>
      <c r="D2851" s="7">
        <f>IFERROR(__xludf.DUMMYFUNCTION("""COMPUTED_VALUE"""),0.450980392156862)</f>
        <v>0.4509803922</v>
      </c>
    </row>
    <row r="2852">
      <c r="A2852" s="10" t="s">
        <v>4291</v>
      </c>
      <c r="B2852" s="7" t="str">
        <f>IFERROR(__xludf.DUMMYFUNCTION("SPLIT(A2852,"" "")"),"CC1=C(C)C(C)C(CN(Cc2ccccn2)Cc2ccccn2)CC1")</f>
        <v>CC1=C(C)C(C)C(CN(Cc2ccccn2)Cc2ccccn2)CC1</v>
      </c>
      <c r="C2852" s="7">
        <f>IFERROR(__xludf.DUMMYFUNCTION("""COMPUTED_VALUE"""),7.80559)</f>
        <v>7.80559</v>
      </c>
      <c r="D2852" s="7">
        <f>IFERROR(__xludf.DUMMYFUNCTION("""COMPUTED_VALUE"""),0.475)</f>
        <v>0.475</v>
      </c>
    </row>
    <row r="2853">
      <c r="A2853" s="10" t="s">
        <v>4292</v>
      </c>
      <c r="B2853" s="7" t="str">
        <f>IFERROR(__xludf.DUMMYFUNCTION("SPLIT(A2853,"" "")"),"CC(C)N(C)Cc1cccc(CN(Cc2ccccn2)C2CCCC(N(C)Cc3ccccn3)C2)n1")</f>
        <v>CC(C)N(C)Cc1cccc(CN(Cc2ccccn2)C2CCCC(N(C)Cc3ccccn3)C2)n1</v>
      </c>
      <c r="C2853" s="7">
        <f>IFERROR(__xludf.DUMMYFUNCTION("""COMPUTED_VALUE"""),7.80559)</f>
        <v>7.80559</v>
      </c>
      <c r="D2853" s="7">
        <f>IFERROR(__xludf.DUMMYFUNCTION("""COMPUTED_VALUE"""),0.490196078431372)</f>
        <v>0.4901960784</v>
      </c>
    </row>
    <row r="2854">
      <c r="A2854" s="10" t="s">
        <v>4293</v>
      </c>
      <c r="B2854" s="7" t="str">
        <f>IFERROR(__xludf.DUMMYFUNCTION("SPLIT(A2854,"" "")"),"CC(NCc1ccccn1)C1C=CNC=C1")</f>
        <v>CC(NCc1ccccn1)C1C=CNC=C1</v>
      </c>
      <c r="C2854" s="7">
        <f>IFERROR(__xludf.DUMMYFUNCTION("""COMPUTED_VALUE"""),7.8055854)</f>
        <v>7.8055854</v>
      </c>
      <c r="D2854" s="7">
        <f>IFERROR(__xludf.DUMMYFUNCTION("""COMPUTED_VALUE"""),0.425)</f>
        <v>0.425</v>
      </c>
    </row>
    <row r="2855">
      <c r="A2855" s="10" t="s">
        <v>4294</v>
      </c>
      <c r="B2855" s="7" t="str">
        <f>IFERROR(__xludf.DUMMYFUNCTION("SPLIT(A2855,"" "")"),"CCNCc1cccc(C(C)(C)C(C)C)n1")</f>
        <v>CCNCc1cccc(C(C)(C)C(C)C)n1</v>
      </c>
      <c r="C2855" s="7">
        <f>IFERROR(__xludf.DUMMYFUNCTION("""COMPUTED_VALUE"""),7.8055835)</f>
        <v>7.8055835</v>
      </c>
      <c r="D2855" s="7">
        <f>IFERROR(__xludf.DUMMYFUNCTION("""COMPUTED_VALUE"""),0.307692307692307)</f>
        <v>0.3076923077</v>
      </c>
    </row>
    <row r="2856">
      <c r="A2856" s="10" t="s">
        <v>4295</v>
      </c>
      <c r="B2856" s="7" t="str">
        <f>IFERROR(__xludf.DUMMYFUNCTION("SPLIT(A2856,"" "")"),"Cc1cnccc1CN(C)CCN(C)C(C)(C)C")</f>
        <v>Cc1cnccc1CN(C)CCN(C)C(C)(C)C</v>
      </c>
      <c r="C2856" s="7">
        <f>IFERROR(__xludf.DUMMYFUNCTION("""COMPUTED_VALUE"""),7.8055816)</f>
        <v>7.8055816</v>
      </c>
      <c r="D2856" s="7">
        <f>IFERROR(__xludf.DUMMYFUNCTION("""COMPUTED_VALUE"""),0.348837209302325)</f>
        <v>0.3488372093</v>
      </c>
    </row>
    <row r="2857">
      <c r="A2857" s="10" t="s">
        <v>4296</v>
      </c>
      <c r="B2857" s="7" t="str">
        <f>IFERROR(__xludf.DUMMYFUNCTION("SPLIT(A2857,"" "")"),"CCN=Cc1ccccc1")</f>
        <v>CCN=Cc1ccccc1</v>
      </c>
      <c r="C2857" s="7">
        <f>IFERROR(__xludf.DUMMYFUNCTION("""COMPUTED_VALUE"""),7.8055744)</f>
        <v>7.8055744</v>
      </c>
      <c r="D2857" s="7">
        <f>IFERROR(__xludf.DUMMYFUNCTION("""COMPUTED_VALUE"""),0.291666666666666)</f>
        <v>0.2916666667</v>
      </c>
    </row>
    <row r="2858">
      <c r="A2858" s="10" t="s">
        <v>4297</v>
      </c>
      <c r="B2858" s="7" t="str">
        <f>IFERROR(__xludf.DUMMYFUNCTION("SPLIT(A2858,"" "")"),"CCNC(C)c1ccccn1")</f>
        <v>CCNC(C)c1ccccn1</v>
      </c>
      <c r="C2858" s="7">
        <f>IFERROR(__xludf.DUMMYFUNCTION("""COMPUTED_VALUE"""),7.805566)</f>
        <v>7.805566</v>
      </c>
      <c r="D2858" s="7">
        <f>IFERROR(__xludf.DUMMYFUNCTION("""COMPUTED_VALUE"""),0.394736842105263)</f>
        <v>0.3947368421</v>
      </c>
    </row>
    <row r="2859">
      <c r="A2859" s="10" t="s">
        <v>4298</v>
      </c>
      <c r="B2859" s="7" t="str">
        <f>IFERROR(__xludf.DUMMYFUNCTION("SPLIT(A2859,"" "")"),"CN(Cc1ccc(-c2ccc3c(c2)OCCOCCOCCOCCOCCO3)cn1)C(C)(C)c1cccnc1")</f>
        <v>CN(Cc1ccc(-c2ccc3c(c2)OCCOCCOCCOCCOCCO3)cn1)C(C)(C)c1cccnc1</v>
      </c>
      <c r="C2859" s="7">
        <f>IFERROR(__xludf.DUMMYFUNCTION("""COMPUTED_VALUE"""),7.805557)</f>
        <v>7.805557</v>
      </c>
      <c r="D2859" s="7">
        <f>IFERROR(__xludf.DUMMYFUNCTION("""COMPUTED_VALUE"""),0.454545454545454)</f>
        <v>0.4545454545</v>
      </c>
    </row>
    <row r="2860">
      <c r="A2860" s="10" t="s">
        <v>4299</v>
      </c>
      <c r="B2860" s="7" t="str">
        <f>IFERROR(__xludf.DUMMYFUNCTION("SPLIT(A2860,"" "")"),"CNC1CCCC(N(Cc2ccccn2)Cc2nc(C)c(C)cc2C)C1")</f>
        <v>CNC1CCCC(N(Cc2ccccn2)Cc2nc(C)c(C)cc2C)C1</v>
      </c>
      <c r="C2860" s="7">
        <f>IFERROR(__xludf.DUMMYFUNCTION("""COMPUTED_VALUE"""),7.805535)</f>
        <v>7.805535</v>
      </c>
      <c r="D2860" s="7">
        <f>IFERROR(__xludf.DUMMYFUNCTION("""COMPUTED_VALUE"""),0.385964912280701)</f>
        <v>0.3859649123</v>
      </c>
    </row>
    <row r="2861">
      <c r="A2861" s="10" t="s">
        <v>4300</v>
      </c>
      <c r="B2861" s="7" t="str">
        <f>IFERROR(__xludf.DUMMYFUNCTION("SPLIT(A2861,"" "")"),"Cc1cncc(CN(C)C2CCCC(N(CC3=CCC=CN3)Cc3ccccn3)C2)c1")</f>
        <v>Cc1cncc(CN(C)C2CCCC(N(CC3=CCC=CN3)Cc3ccccn3)C2)c1</v>
      </c>
      <c r="C2861" s="7">
        <f>IFERROR(__xludf.DUMMYFUNCTION("""COMPUTED_VALUE"""),7.8055344)</f>
        <v>7.8055344</v>
      </c>
      <c r="D2861" s="7">
        <f>IFERROR(__xludf.DUMMYFUNCTION("""COMPUTED_VALUE"""),0.476923076923076)</f>
        <v>0.4769230769</v>
      </c>
    </row>
    <row r="2862">
      <c r="A2862" s="10" t="s">
        <v>4301</v>
      </c>
      <c r="B2862" s="7" t="str">
        <f>IFERROR(__xludf.DUMMYFUNCTION("SPLIT(A2862,"" "")"),"CC1=C(C)C(C)(N(C)Cc2ccccn2)CC(C)C1C")</f>
        <v>CC1=C(C)C(C)(N(C)Cc2ccccn2)CC(C)C1C</v>
      </c>
      <c r="C2862" s="7">
        <f>IFERROR(__xludf.DUMMYFUNCTION("""COMPUTED_VALUE"""),7.8055143)</f>
        <v>7.8055143</v>
      </c>
      <c r="D2862" s="7">
        <f>IFERROR(__xludf.DUMMYFUNCTION("""COMPUTED_VALUE"""),0.428571428571428)</f>
        <v>0.4285714286</v>
      </c>
    </row>
    <row r="2863">
      <c r="A2863" s="10" t="s">
        <v>4302</v>
      </c>
      <c r="B2863" s="7" t="str">
        <f>IFERROR(__xludf.DUMMYFUNCTION("SPLIT(A2863,"" "")"),"CN(Cc1cccc(-c2ccc3c(c2)OCCOCCOCCOCCOCCO3)n1)C1=C(CN(C)C(C)(C)C)NC=CC1")</f>
        <v>CN(Cc1cccc(-c2ccc3c(c2)OCCOCCOCCOCCOCCO3)n1)C1=C(CN(C)C(C)(C)C)NC=CC1</v>
      </c>
      <c r="C2863" s="7">
        <f>IFERROR(__xludf.DUMMYFUNCTION("""COMPUTED_VALUE"""),7.805514)</f>
        <v>7.805514</v>
      </c>
      <c r="D2863" s="7">
        <f>IFERROR(__xludf.DUMMYFUNCTION("""COMPUTED_VALUE"""),0.28395061728395)</f>
        <v>0.2839506173</v>
      </c>
    </row>
    <row r="2864">
      <c r="A2864" s="10" t="s">
        <v>4303</v>
      </c>
      <c r="B2864" s="7" t="str">
        <f>IFERROR(__xludf.DUMMYFUNCTION("SPLIT(A2864,"" "")"),"CN1CCN(C)CCN(C2CCC(N(C)c3cccc4nc(CF)ccc34)CC2)CC1")</f>
        <v>CN1CCN(C)CCN(C2CCC(N(C)c3cccc4nc(CF)ccc34)CC2)CC1</v>
      </c>
      <c r="C2864" s="7">
        <f>IFERROR(__xludf.DUMMYFUNCTION("""COMPUTED_VALUE"""),7.805513)</f>
        <v>7.805513</v>
      </c>
      <c r="D2864" s="7">
        <f>IFERROR(__xludf.DUMMYFUNCTION("""COMPUTED_VALUE"""),0.393442622950819)</f>
        <v>0.393442623</v>
      </c>
    </row>
    <row r="2865">
      <c r="A2865" s="10" t="s">
        <v>4304</v>
      </c>
      <c r="B2865" s="7" t="str">
        <f>IFERROR(__xludf.DUMMYFUNCTION("SPLIT(A2865,"" "")"),"CN1CCN(C)CCN(C2CCC(N(C)c3cccc4c(CF)ccnc34)CC2)CC1")</f>
        <v>CN1CCN(C)CCN(C2CCC(N(C)c3cccc4c(CF)ccnc34)CC2)CC1</v>
      </c>
      <c r="C2865" s="7">
        <f>IFERROR(__xludf.DUMMYFUNCTION("""COMPUTED_VALUE"""),7.805511)</f>
        <v>7.805511</v>
      </c>
      <c r="D2865" s="7">
        <f>IFERROR(__xludf.DUMMYFUNCTION("""COMPUTED_VALUE"""),0.327868852459016)</f>
        <v>0.3278688525</v>
      </c>
    </row>
    <row r="2866">
      <c r="A2866" s="10" t="s">
        <v>4305</v>
      </c>
      <c r="B2866" s="7" t="str">
        <f>IFERROR(__xludf.DUMMYFUNCTION("SPLIT(A2866,"" "")"),"Cc1cccnc1CN1CCN(C)CCN(Cc2cccnc2N(C)C)CC1")</f>
        <v>Cc1cccnc1CN1CCN(C)CCN(Cc2cccnc2N(C)C)CC1</v>
      </c>
      <c r="C2866" s="7">
        <f>IFERROR(__xludf.DUMMYFUNCTION("""COMPUTED_VALUE"""),7.805511)</f>
        <v>7.805511</v>
      </c>
      <c r="D2866" s="7">
        <f>IFERROR(__xludf.DUMMYFUNCTION("""COMPUTED_VALUE"""),0.4375)</f>
        <v>0.4375</v>
      </c>
    </row>
    <row r="2867">
      <c r="A2867" s="10" t="s">
        <v>4306</v>
      </c>
      <c r="B2867" s="7" t="str">
        <f>IFERROR(__xludf.DUMMYFUNCTION("SPLIT(A2867,"" "")"),"Cc1cc(C)c(CN(C)C2CCC(N(C)Cc3ncccc3C)CC2)cn1")</f>
        <v>Cc1cc(C)c(CN(C)C2CCC(N(C)Cc3ncccc3C)CC2)cn1</v>
      </c>
      <c r="C2867" s="7">
        <f>IFERROR(__xludf.DUMMYFUNCTION("""COMPUTED_VALUE"""),7.805509)</f>
        <v>7.805509</v>
      </c>
      <c r="D2867" s="7">
        <f>IFERROR(__xludf.DUMMYFUNCTION("""COMPUTED_VALUE"""),0.314814814814814)</f>
        <v>0.3148148148</v>
      </c>
    </row>
    <row r="2868">
      <c r="A2868" s="10" t="s">
        <v>4307</v>
      </c>
      <c r="B2868" s="7" t="str">
        <f>IFERROR(__xludf.DUMMYFUNCTION("SPLIT(A2868,"" "")"),"Cc1ccc(CN(Cc2ccccn2)C2CCCC(N(C)Cc3ccc(-c4ccc5c(c4)OCCOCCOCCOCCOCCO5)cn3)C2)nc1C")</f>
        <v>Cc1ccc(CN(Cc2ccccn2)C2CCCC(N(C)Cc3ccc(-c4ccc5c(c4)OCCOCCOCCOCCOCCO5)cn3)C2)nc1C</v>
      </c>
      <c r="C2868" s="7">
        <f>IFERROR(__xludf.DUMMYFUNCTION("""COMPUTED_VALUE"""),7.805507)</f>
        <v>7.805507</v>
      </c>
      <c r="D2868" s="7">
        <f>IFERROR(__xludf.DUMMYFUNCTION("""COMPUTED_VALUE"""),0.428571428571428)</f>
        <v>0.4285714286</v>
      </c>
    </row>
    <row r="2869">
      <c r="A2869" s="10" t="s">
        <v>4308</v>
      </c>
      <c r="B2869" s="7" t="str">
        <f>IFERROR(__xludf.DUMMYFUNCTION("SPLIT(A2869,"" "")"),"Cc1cncc(CN(C)CCN(Cc2ccccn2)C2CCC(N(C)Cc3ncccc3C)CC2)c1")</f>
        <v>Cc1cncc(CN(C)CCN(Cc2ccccn2)C2CCC(N(C)Cc3ncccc3C)CC2)c1</v>
      </c>
      <c r="C2869" s="7">
        <f>IFERROR(__xludf.DUMMYFUNCTION("""COMPUTED_VALUE"""),7.8055024)</f>
        <v>7.8055024</v>
      </c>
      <c r="D2869" s="7">
        <f>IFERROR(__xludf.DUMMYFUNCTION("""COMPUTED_VALUE"""),0.359375)</f>
        <v>0.359375</v>
      </c>
    </row>
    <row r="2870">
      <c r="A2870" s="10" t="s">
        <v>4309</v>
      </c>
      <c r="B2870" s="7" t="str">
        <f>IFERROR(__xludf.DUMMYFUNCTION("SPLIT(A2870,"" "")"),"Cc1cnc(C)c(CN(C)C2CCCC(N(Cc3ccccn3)Cc3cc(-c4ccc5c(c4)OCCOCCOCCOCCOCCO5)ccn3)C2)c1")</f>
        <v>Cc1cnc(C)c(CN(C)C2CCCC(N(Cc3ccccn3)Cc3cc(-c4ccc5c(c4)OCCOCCOCCOCCOCCO5)ccn3)C2)c1</v>
      </c>
      <c r="C2870" s="7">
        <f>IFERROR(__xludf.DUMMYFUNCTION("""COMPUTED_VALUE"""),7.805501)</f>
        <v>7.805501</v>
      </c>
      <c r="D2870" s="7">
        <f>IFERROR(__xludf.DUMMYFUNCTION("""COMPUTED_VALUE"""),0.353658536585365)</f>
        <v>0.3536585366</v>
      </c>
    </row>
    <row r="2871">
      <c r="A2871" s="10" t="s">
        <v>4310</v>
      </c>
      <c r="B2871" s="7" t="str">
        <f>IFERROR(__xludf.DUMMYFUNCTION("SPLIT(A2871,"" "")"),"CN(Cc1cccc(C2=CCC=CN2)n1)C1CCC(N(C)Cc2cccc(-c3cccc4c3OCCOCCOCCOCCOCCO4)n2)CC1")</f>
        <v>CN(Cc1cccc(C2=CCC=CN2)n1)C1CCC(N(C)Cc2cccc(-c3cccc4c3OCCOCCOCCOCCOCCO4)n2)CC1</v>
      </c>
      <c r="C2871" s="7">
        <f>IFERROR(__xludf.DUMMYFUNCTION("""COMPUTED_VALUE"""),7.805498)</f>
        <v>7.805498</v>
      </c>
      <c r="D2871" s="7">
        <f>IFERROR(__xludf.DUMMYFUNCTION("""COMPUTED_VALUE"""),0.285714285714285)</f>
        <v>0.2857142857</v>
      </c>
    </row>
    <row r="2872">
      <c r="A2872" s="10" t="s">
        <v>4311</v>
      </c>
      <c r="B2872" s="7" t="str">
        <f>IFERROR(__xludf.DUMMYFUNCTION("SPLIT(A2872,"" "")"),"CC(C)C(C)(N)N(CCN(C)Cc1ccccn1)Cc1ccccn1")</f>
        <v>CC(C)C(C)(N)N(CCN(C)Cc1ccccn1)Cc1ccccn1</v>
      </c>
      <c r="C2872" s="7">
        <f>IFERROR(__xludf.DUMMYFUNCTION("""COMPUTED_VALUE"""),7.805488)</f>
        <v>7.805488</v>
      </c>
      <c r="D2872" s="7">
        <f>IFERROR(__xludf.DUMMYFUNCTION("""COMPUTED_VALUE"""),0.477272727272727)</f>
        <v>0.4772727273</v>
      </c>
    </row>
    <row r="2873">
      <c r="A2873" s="10" t="s">
        <v>4312</v>
      </c>
      <c r="B2873" s="7" t="str">
        <f>IFERROR(__xludf.DUMMYFUNCTION("SPLIT(A2873,"" "")"),"CN(Cc1cc(-c2ccc3c(c2)OCCOCCOCCOCCOCCO3)ccn1)C1CCC(N(C)Cc2cccc(C3=CCC=CN3)n2)CC1")</f>
        <v>CN(Cc1cc(-c2ccc3c(c2)OCCOCCOCCOCCOCCO3)ccn1)C1CCC(N(C)Cc2cccc(C3=CCC=CN3)n2)CC1</v>
      </c>
      <c r="C2873" s="7">
        <f>IFERROR(__xludf.DUMMYFUNCTION("""COMPUTED_VALUE"""),7.8054843)</f>
        <v>7.8054843</v>
      </c>
      <c r="D2873" s="7">
        <f>IFERROR(__xludf.DUMMYFUNCTION("""COMPUTED_VALUE"""),0.329268292682926)</f>
        <v>0.3292682927</v>
      </c>
    </row>
    <row r="2874">
      <c r="A2874" s="10" t="s">
        <v>4313</v>
      </c>
      <c r="B2874" s="7" t="str">
        <f>IFERROR(__xludf.DUMMYFUNCTION("SPLIT(A2874,"" "")"),"CN(Cc1cc(C2=CCC=CN2)ccn1)C1CCC(N(C)Cc2cc(-c3ccc4c(c3)OCCOCCOCCOCCOCCO4)ccn2)CC1")</f>
        <v>CN(Cc1cc(C2=CCC=CN2)ccn1)C1CCC(N(C)Cc2cc(-c3ccc4c(c3)OCCOCCOCCOCCOCCO4)ccn2)CC1</v>
      </c>
      <c r="C2874" s="7">
        <f>IFERROR(__xludf.DUMMYFUNCTION("""COMPUTED_VALUE"""),7.80548)</f>
        <v>7.80548</v>
      </c>
      <c r="D2874" s="7">
        <f>IFERROR(__xludf.DUMMYFUNCTION("""COMPUTED_VALUE"""),0.364864864864864)</f>
        <v>0.3648648649</v>
      </c>
    </row>
    <row r="2875">
      <c r="A2875" s="10" t="s">
        <v>4314</v>
      </c>
      <c r="B2875" s="7" t="str">
        <f>IFERROR(__xludf.DUMMYFUNCTION("SPLIT(A2875,"" "")"),"CN1CCN(C)CCN(Cc2cccnc2C2=NC(C)(C)CO2)CC1")</f>
        <v>CN1CCN(C)CCN(Cc2cccnc2C2=NC(C)(C)CO2)CC1</v>
      </c>
      <c r="C2875" s="7">
        <f>IFERROR(__xludf.DUMMYFUNCTION("""COMPUTED_VALUE"""),7.8054795)</f>
        <v>7.8054795</v>
      </c>
      <c r="D2875" s="7">
        <f>IFERROR(__xludf.DUMMYFUNCTION("""COMPUTED_VALUE"""),0.428571428571428)</f>
        <v>0.4285714286</v>
      </c>
    </row>
    <row r="2876">
      <c r="A2876" s="10" t="s">
        <v>4315</v>
      </c>
      <c r="B2876" s="7" t="str">
        <f>IFERROR(__xludf.DUMMYFUNCTION("SPLIT(A2876,"" "")"),"C=CCN(C)Cc1ncccc1C(C)C(C)C")</f>
        <v>C=CCN(C)Cc1ncccc1C(C)C(C)C</v>
      </c>
      <c r="C2876" s="7">
        <f>IFERROR(__xludf.DUMMYFUNCTION("""COMPUTED_VALUE"""),7.805478)</f>
        <v>7.805478</v>
      </c>
      <c r="D2876" s="7">
        <f>IFERROR(__xludf.DUMMYFUNCTION("""COMPUTED_VALUE"""),0.3125)</f>
        <v>0.3125</v>
      </c>
    </row>
    <row r="2877">
      <c r="A2877" s="10" t="s">
        <v>4316</v>
      </c>
      <c r="B2877" s="7" t="str">
        <f>IFERROR(__xludf.DUMMYFUNCTION("SPLIT(A2877,"" "")"),"Cc1c(CN(C)C2CCCCC2N(C)Cc2ccon2)nc(-c2ccc3c(c2)OCCOCCOCCOCCOCCO3)c(C)c1C")</f>
        <v>Cc1c(CN(C)C2CCCCC2N(C)Cc2ccon2)nc(-c2ccc3c(c2)OCCOCCOCCOCCOCCO3)c(C)c1C</v>
      </c>
      <c r="C2877" s="7">
        <f>IFERROR(__xludf.DUMMYFUNCTION("""COMPUTED_VALUE"""),7.805478)</f>
        <v>7.805478</v>
      </c>
      <c r="D2877" s="7">
        <f>IFERROR(__xludf.DUMMYFUNCTION("""COMPUTED_VALUE"""),0.353846153846153)</f>
        <v>0.3538461538</v>
      </c>
    </row>
    <row r="2878">
      <c r="A2878" s="10" t="s">
        <v>4317</v>
      </c>
      <c r="B2878" s="7" t="str">
        <f>IFERROR(__xludf.DUMMYFUNCTION("SPLIT(A2878,"" "")"),"CNCN(Cc1ccccn1)C1CCCC(N(C)Cc2nc(C)c(C)c(C)c2C)C1")</f>
        <v>CNCN(Cc1ccccn1)C1CCCC(N(C)Cc2nc(C)c(C)c(C)c2C)C1</v>
      </c>
      <c r="C2878" s="7">
        <f>IFERROR(__xludf.DUMMYFUNCTION("""COMPUTED_VALUE"""),7.805476)</f>
        <v>7.805476</v>
      </c>
      <c r="D2878" s="7">
        <f>IFERROR(__xludf.DUMMYFUNCTION("""COMPUTED_VALUE"""),0.413793103448275)</f>
        <v>0.4137931034</v>
      </c>
    </row>
    <row r="2879">
      <c r="A2879" s="10" t="s">
        <v>4318</v>
      </c>
      <c r="B2879" s="7" t="str">
        <f>IFERROR(__xludf.DUMMYFUNCTION("SPLIT(A2879,"" "")"),"Cc1cc(CN(C)C2CCCCC2N(C)Cc2cc(CF)ccn2)nc(C)c1C")</f>
        <v>Cc1cc(CN(C)C2CCCCC2N(C)Cc2cc(CF)ccn2)nc(C)c1C</v>
      </c>
      <c r="C2879" s="7">
        <f>IFERROR(__xludf.DUMMYFUNCTION("""COMPUTED_VALUE"""),7.8054743)</f>
        <v>7.8054743</v>
      </c>
      <c r="D2879" s="7">
        <f>IFERROR(__xludf.DUMMYFUNCTION("""COMPUTED_VALUE"""),0.470588235294117)</f>
        <v>0.4705882353</v>
      </c>
    </row>
    <row r="2880">
      <c r="A2880" s="10" t="s">
        <v>4319</v>
      </c>
      <c r="B2880" s="7" t="str">
        <f>IFERROR(__xludf.DUMMYFUNCTION("SPLIT(A2880,"" "")"),"Cc1ccnc(CN(C)C2CCC(N(C)Cc3cc(C)cc(C)n3)CC2)c1")</f>
        <v>Cc1ccnc(CN(C)C2CCC(N(C)Cc3cc(C)cc(C)n3)CC2)c1</v>
      </c>
      <c r="C2880" s="7">
        <f>IFERROR(__xludf.DUMMYFUNCTION("""COMPUTED_VALUE"""),7.8054705)</f>
        <v>7.8054705</v>
      </c>
      <c r="D2880" s="7">
        <f>IFERROR(__xludf.DUMMYFUNCTION("""COMPUTED_VALUE"""),0.387755102040816)</f>
        <v>0.387755102</v>
      </c>
    </row>
    <row r="2881">
      <c r="A2881" s="10" t="s">
        <v>4320</v>
      </c>
      <c r="B2881" s="7" t="str">
        <f>IFERROR(__xludf.DUMMYFUNCTION("SPLIT(A2881,"" "")"),"Cc1cncc(CN(C)C2CCCC(N(C)Cc3nc(C)ccc3C)C2)c1")</f>
        <v>Cc1cncc(CN(C)C2CCCC(N(C)Cc3nc(C)ccc3C)C2)c1</v>
      </c>
      <c r="C2881" s="7">
        <f>IFERROR(__xludf.DUMMYFUNCTION("""COMPUTED_VALUE"""),7.8054676)</f>
        <v>7.8054676</v>
      </c>
      <c r="D2881" s="7">
        <f>IFERROR(__xludf.DUMMYFUNCTION("""COMPUTED_VALUE"""),0.31578947368421)</f>
        <v>0.3157894737</v>
      </c>
    </row>
    <row r="2882">
      <c r="A2882" s="10" t="s">
        <v>4321</v>
      </c>
      <c r="B2882" s="7" t="str">
        <f>IFERROR(__xludf.DUMMYFUNCTION("SPLIT(A2882,"" "")"),"Cc1cnc(CN2CCN(C)CCN(Cc3ccc(CN(C)C)nc3)CC2)c(C)c1C")</f>
        <v>Cc1cnc(CN2CCN(C)CCN(Cc3ccc(CN(C)C)nc3)CC2)c(C)c1C</v>
      </c>
      <c r="C2882" s="7">
        <f>IFERROR(__xludf.DUMMYFUNCTION("""COMPUTED_VALUE"""),7.8054643)</f>
        <v>7.8054643</v>
      </c>
      <c r="D2882" s="7">
        <f>IFERROR(__xludf.DUMMYFUNCTION("""COMPUTED_VALUE"""),0.5)</f>
        <v>0.5</v>
      </c>
    </row>
    <row r="2883">
      <c r="A2883" s="10" t="s">
        <v>4322</v>
      </c>
      <c r="B2883" s="7" t="str">
        <f>IFERROR(__xludf.DUMMYFUNCTION("SPLIT(A2883,"" "")"),"CN(C)CCF")</f>
        <v>CN(C)CCF</v>
      </c>
      <c r="C2883" s="7">
        <f>IFERROR(__xludf.DUMMYFUNCTION("""COMPUTED_VALUE"""),7.8054605)</f>
        <v>7.8054605</v>
      </c>
      <c r="D2883" s="7">
        <f>IFERROR(__xludf.DUMMYFUNCTION("""COMPUTED_VALUE"""),0.21875)</f>
        <v>0.21875</v>
      </c>
    </row>
    <row r="2884">
      <c r="A2884" s="10" t="s">
        <v>4323</v>
      </c>
      <c r="B2884" s="7" t="str">
        <f>IFERROR(__xludf.DUMMYFUNCTION("SPLIT(A2884,"" "")"),"CN1CCN(C)CCN(CC2C(N(C)c3ccc4ncccc4c3)CCN2C)CC1")</f>
        <v>CN1CCN(C)CCN(CC2C(N(C)c3ccc4ncccc4c3)CCN2C)CC1</v>
      </c>
      <c r="C2884" s="7">
        <f>IFERROR(__xludf.DUMMYFUNCTION("""COMPUTED_VALUE"""),7.80546)</f>
        <v>7.80546</v>
      </c>
      <c r="D2884" s="7">
        <f>IFERROR(__xludf.DUMMYFUNCTION("""COMPUTED_VALUE"""),0.344262295081967)</f>
        <v>0.3442622951</v>
      </c>
    </row>
    <row r="2885">
      <c r="A2885" s="10" t="s">
        <v>4324</v>
      </c>
      <c r="B2885" s="7" t="str">
        <f>IFERROR(__xludf.DUMMYFUNCTION("SPLIT(A2885,"" "")"),"CC(C)C(C)N=Cc1ccccn1")</f>
        <v>CC(C)C(C)N=Cc1ccccn1</v>
      </c>
      <c r="C2885" s="7">
        <f>IFERROR(__xludf.DUMMYFUNCTION("""COMPUTED_VALUE"""),7.8054585)</f>
        <v>7.8054585</v>
      </c>
      <c r="D2885" s="7">
        <f>IFERROR(__xludf.DUMMYFUNCTION("""COMPUTED_VALUE"""),0.45)</f>
        <v>0.45</v>
      </c>
    </row>
    <row r="2886">
      <c r="A2886" s="10" t="s">
        <v>4325</v>
      </c>
      <c r="B2886" s="7" t="str">
        <f>IFERROR(__xludf.DUMMYFUNCTION("SPLIT(A2886,"" "")"),"Cc1ccc(CN(CCN(C)Cc2cc(-c3ccc4c(c3)OCCOCCOCCOCCOCCO4)ccn2)C(C)C)nc1")</f>
        <v>Cc1ccc(CN(CCN(C)Cc2cc(-c3ccc4c(c3)OCCOCCOCCOCCOCCO4)ccn2)C(C)C)nc1</v>
      </c>
      <c r="C2886" s="7">
        <f>IFERROR(__xludf.DUMMYFUNCTION("""COMPUTED_VALUE"""),7.8054585)</f>
        <v>7.8054585</v>
      </c>
      <c r="D2886" s="7">
        <f>IFERROR(__xludf.DUMMYFUNCTION("""COMPUTED_VALUE"""),0.43859649122807)</f>
        <v>0.4385964912</v>
      </c>
    </row>
    <row r="2887">
      <c r="A2887" s="10" t="s">
        <v>4326</v>
      </c>
      <c r="B2887" s="7" t="str">
        <f>IFERROR(__xludf.DUMMYFUNCTION("SPLIT(A2887,"" "")"),"Cc1cccnc1CN(C)CCN(C)Cc1ncccc1-c1cccc2c1OCCOCCOCCOCCOCCO2")</f>
        <v>Cc1cccnc1CN(C)CCN(C)Cc1ncccc1-c1cccc2c1OCCOCCOCCOCCOCCO2</v>
      </c>
      <c r="C2887" s="7">
        <f>IFERROR(__xludf.DUMMYFUNCTION("""COMPUTED_VALUE"""),7.8054466)</f>
        <v>7.8054466</v>
      </c>
      <c r="D2887" s="7">
        <f>IFERROR(__xludf.DUMMYFUNCTION("""COMPUTED_VALUE"""),0.333333333333333)</f>
        <v>0.3333333333</v>
      </c>
    </row>
    <row r="2888">
      <c r="A2888" s="10" t="s">
        <v>4327</v>
      </c>
      <c r="B2888" s="7" t="str">
        <f>IFERROR(__xludf.DUMMYFUNCTION("SPLIT(A2888,"" "")"),"Cc1cc(C)c(CN(C)CC2CCCN2C(C)C)cn1")</f>
        <v>Cc1cc(C)c(CN(C)CC2CCCN2C(C)C)cn1</v>
      </c>
      <c r="C2888" s="7">
        <f>IFERROR(__xludf.DUMMYFUNCTION("""COMPUTED_VALUE"""),7.805446)</f>
        <v>7.805446</v>
      </c>
      <c r="D2888" s="7">
        <f>IFERROR(__xludf.DUMMYFUNCTION("""COMPUTED_VALUE"""),0.366666666666666)</f>
        <v>0.3666666667</v>
      </c>
    </row>
    <row r="2889">
      <c r="A2889" s="10" t="s">
        <v>4328</v>
      </c>
      <c r="B2889" s="7" t="str">
        <f>IFERROR(__xludf.DUMMYFUNCTION("SPLIT(A2889,"" "")"),"CCN(C)CCN(C)Cc1ncccc1C")</f>
        <v>CCN(C)CCN(C)Cc1ncccc1C</v>
      </c>
      <c r="C2889" s="7">
        <f>IFERROR(__xludf.DUMMYFUNCTION("""COMPUTED_VALUE"""),7.8054395)</f>
        <v>7.8054395</v>
      </c>
      <c r="D2889" s="7">
        <f>IFERROR(__xludf.DUMMYFUNCTION("""COMPUTED_VALUE"""),0.439024390243902)</f>
        <v>0.4390243902</v>
      </c>
    </row>
    <row r="2890">
      <c r="A2890" s="10" t="s">
        <v>4329</v>
      </c>
      <c r="B2890" s="7" t="str">
        <f>IFERROR(__xludf.DUMMYFUNCTION("SPLIT(A2890,"" "")"),"CNC1CCCCC1N(Cc1ccccn1)Cc1nc(C)c(C)c(C)c1C")</f>
        <v>CNC1CCCCC1N(Cc1ccccn1)Cc1nc(C)c(C)c(C)c1C</v>
      </c>
      <c r="C2890" s="7">
        <f>IFERROR(__xludf.DUMMYFUNCTION("""COMPUTED_VALUE"""),7.8054385)</f>
        <v>7.8054385</v>
      </c>
      <c r="D2890" s="7">
        <f>IFERROR(__xludf.DUMMYFUNCTION("""COMPUTED_VALUE"""),0.471698113207547)</f>
        <v>0.4716981132</v>
      </c>
    </row>
    <row r="2891">
      <c r="A2891" s="10" t="s">
        <v>4330</v>
      </c>
      <c r="B2891" s="7" t="str">
        <f>IFERROR(__xludf.DUMMYFUNCTION("SPLIT(A2891,"" "")"),"CCOC(=O)C1CN(C)C(C(=O)C(C)N)C(C(=O)C(C)N)C1C(=O)C(C)N")</f>
        <v>CCOC(=O)C1CN(C)C(C(=O)C(C)N)C(C(=O)C(C)N)C1C(=O)C(C)N</v>
      </c>
      <c r="C2891" s="7">
        <f>IFERROR(__xludf.DUMMYFUNCTION("""COMPUTED_VALUE"""),7.8054194)</f>
        <v>7.8054194</v>
      </c>
      <c r="D2891" s="7">
        <f>IFERROR(__xludf.DUMMYFUNCTION("""COMPUTED_VALUE"""),0.222222222222222)</f>
        <v>0.2222222222</v>
      </c>
    </row>
    <row r="2892">
      <c r="A2892" s="10" t="s">
        <v>4331</v>
      </c>
      <c r="B2892" s="7" t="str">
        <f>IFERROR(__xludf.DUMMYFUNCTION("SPLIT(A2892,"" "")"),"CN(Cc1ccc(C2=CCC=CN2)cn1)C1CCC(N(C)Cc2cc(-c3ccc4c(c3)OCCOCCOCCOCCOCCO4)ccn2)CC1")</f>
        <v>CN(Cc1ccc(C2=CCC=CN2)cn1)C1CCC(N(C)Cc2cc(-c3ccc4c(c3)OCCOCCOCCOCCOCCO4)ccn2)CC1</v>
      </c>
      <c r="C2892" s="7">
        <f>IFERROR(__xludf.DUMMYFUNCTION("""COMPUTED_VALUE"""),7.8054175)</f>
        <v>7.8054175</v>
      </c>
      <c r="D2892" s="7">
        <f>IFERROR(__xludf.DUMMYFUNCTION("""COMPUTED_VALUE"""),0.413333333333333)</f>
        <v>0.4133333333</v>
      </c>
    </row>
    <row r="2893">
      <c r="A2893" s="10" t="s">
        <v>4332</v>
      </c>
      <c r="B2893" s="7" t="str">
        <f>IFERROR(__xludf.DUMMYFUNCTION("SPLIT(A2893,"" "")"),"CNCc1ncccc1CN(C)C1CCCCC1N(C)Cc1cc(C)c(C)c(C)n1")</f>
        <v>CNCc1ncccc1CN(C)C1CCCCC1N(C)Cc1cc(C)c(C)c(C)n1</v>
      </c>
      <c r="C2893" s="7">
        <f>IFERROR(__xludf.DUMMYFUNCTION("""COMPUTED_VALUE"""),7.805414)</f>
        <v>7.805414</v>
      </c>
      <c r="D2893" s="7">
        <f>IFERROR(__xludf.DUMMYFUNCTION("""COMPUTED_VALUE"""),0.446428571428571)</f>
        <v>0.4464285714</v>
      </c>
    </row>
    <row r="2894">
      <c r="A2894" s="10" t="s">
        <v>4333</v>
      </c>
      <c r="B2894" s="7" t="str">
        <f>IFERROR(__xludf.DUMMYFUNCTION("SPLIT(A2894,"" "")"),"c1ccc2c(c1)OCCOCCOCCOCCOc1ccccc1O2")</f>
        <v>c1ccc2c(c1)OCCOCCOCCOCCOc1ccccc1O2</v>
      </c>
      <c r="C2894" s="7">
        <f>IFERROR(__xludf.DUMMYFUNCTION("""COMPUTED_VALUE"""),7.8054137)</f>
        <v>7.8054137</v>
      </c>
      <c r="D2894" s="7">
        <f>IFERROR(__xludf.DUMMYFUNCTION("""COMPUTED_VALUE"""),0.28)</f>
        <v>0.28</v>
      </c>
    </row>
    <row r="2895">
      <c r="A2895" s="10" t="s">
        <v>4334</v>
      </c>
      <c r="B2895" s="7" t="str">
        <f>IFERROR(__xludf.DUMMYFUNCTION("SPLIT(A2895,"" "")"),"Cc1cnc(CN(Cc2ccc(CN3CCN(C)CCN(C)CC3)cn2)C2CCCC(N(C)Cc3cc(C)c(C)c(C)n3)C2)cc1C")</f>
        <v>Cc1cnc(CN(Cc2ccc(CN3CCN(C)CCN(C)CC3)cn2)C2CCCC(N(C)Cc3cc(C)c(C)c(C)n3)C2)cc1C</v>
      </c>
      <c r="C2895" s="7">
        <f>IFERROR(__xludf.DUMMYFUNCTION("""COMPUTED_VALUE"""),7.8054037)</f>
        <v>7.8054037</v>
      </c>
      <c r="D2895" s="7">
        <f>IFERROR(__xludf.DUMMYFUNCTION("""COMPUTED_VALUE"""),0.319444444444444)</f>
        <v>0.3194444444</v>
      </c>
    </row>
    <row r="2896">
      <c r="A2896" s="10" t="s">
        <v>4335</v>
      </c>
      <c r="B2896" s="7" t="str">
        <f>IFERROR(__xludf.DUMMYFUNCTION("SPLIT(A2896,"" "")"),"CNc1cncc(CN2CCN(C)CCN(Cc3nc(C)c(C)cc3C)CC2)c1")</f>
        <v>CNc1cncc(CN2CCN(C)CCN(Cc3nc(C)c(C)cc3C)CC2)c1</v>
      </c>
      <c r="C2896" s="7">
        <f>IFERROR(__xludf.DUMMYFUNCTION("""COMPUTED_VALUE"""),7.8054037)</f>
        <v>7.8054037</v>
      </c>
      <c r="D2896" s="7">
        <f>IFERROR(__xludf.DUMMYFUNCTION("""COMPUTED_VALUE"""),0.375)</f>
        <v>0.375</v>
      </c>
    </row>
    <row r="2897">
      <c r="A2897" s="10" t="s">
        <v>4336</v>
      </c>
      <c r="B2897" s="7" t="str">
        <f>IFERROR(__xludf.DUMMYFUNCTION("SPLIT(A2897,"" "")"),"CNC1CCCCC1N(Cc1cc(C)c(C)cn1)Cc1cc(C)c(C)cn1")</f>
        <v>CNC1CCCCC1N(Cc1cc(C)c(C)cn1)Cc1cc(C)c(C)cn1</v>
      </c>
      <c r="C2897" s="7">
        <f>IFERROR(__xludf.DUMMYFUNCTION("""COMPUTED_VALUE"""),7.805402)</f>
        <v>7.805402</v>
      </c>
      <c r="D2897" s="7">
        <f>IFERROR(__xludf.DUMMYFUNCTION("""COMPUTED_VALUE"""),0.416666666666666)</f>
        <v>0.4166666667</v>
      </c>
    </row>
    <row r="2898">
      <c r="A2898" s="10" t="s">
        <v>4337</v>
      </c>
      <c r="B2898" s="7" t="str">
        <f>IFERROR(__xludf.DUMMYFUNCTION("SPLIT(A2898,"" "")"),"CN1CCN(C)CCN(CC2C(N(C)c3ccc4cccnc4c3)CCN2C)CC1")</f>
        <v>CN1CCN(C)CCN(CC2C(N(C)c3ccc4cccnc4c3)CCN2C)CC1</v>
      </c>
      <c r="C2898" s="7">
        <f>IFERROR(__xludf.DUMMYFUNCTION("""COMPUTED_VALUE"""),7.805399)</f>
        <v>7.805399</v>
      </c>
      <c r="D2898" s="7">
        <f>IFERROR(__xludf.DUMMYFUNCTION("""COMPUTED_VALUE"""),0.327868852459016)</f>
        <v>0.3278688525</v>
      </c>
    </row>
    <row r="2899">
      <c r="A2899" s="10" t="s">
        <v>4338</v>
      </c>
      <c r="B2899" s="7" t="str">
        <f>IFERROR(__xludf.DUMMYFUNCTION("SPLIT(A2899,"" "")"),"Cc1cccnc1CN(C)C1CCC(N(Cc2ccccn2)Cc2cccc(CNCF)n2)CC1")</f>
        <v>Cc1cccnc1CN(C)C1CCC(N(Cc2ccccn2)Cc2cccc(CNCF)n2)CC1</v>
      </c>
      <c r="C2899" s="7">
        <f>IFERROR(__xludf.DUMMYFUNCTION("""COMPUTED_VALUE"""),7.8053937)</f>
        <v>7.8053937</v>
      </c>
      <c r="D2899" s="7">
        <f>IFERROR(__xludf.DUMMYFUNCTION("""COMPUTED_VALUE"""),0.377049180327868)</f>
        <v>0.3770491803</v>
      </c>
    </row>
    <row r="2900">
      <c r="A2900" s="10" t="s">
        <v>4339</v>
      </c>
      <c r="B2900" s="7" t="str">
        <f>IFERROR(__xludf.DUMMYFUNCTION("SPLIT(A2900,"" "")"),"Cc1ccc(C)c(CN(C)C2=CNC(CN3CCN(C)CCN(C)CC3)=CC2)n1")</f>
        <v>Cc1ccc(C)c(CN(C)C2=CNC(CN3CCN(C)CCN(C)CC3)=CC2)n1</v>
      </c>
      <c r="C2900" s="7">
        <f>IFERROR(__xludf.DUMMYFUNCTION("""COMPUTED_VALUE"""),7.805391)</f>
        <v>7.805391</v>
      </c>
      <c r="D2900" s="7">
        <f>IFERROR(__xludf.DUMMYFUNCTION("""COMPUTED_VALUE"""),0.381818181818181)</f>
        <v>0.3818181818</v>
      </c>
    </row>
    <row r="2901">
      <c r="A2901" s="10" t="s">
        <v>4340</v>
      </c>
      <c r="B2901" s="7" t="str">
        <f>IFERROR(__xludf.DUMMYFUNCTION("SPLIT(A2901,"" "")"),"Cc1cccc(CN(C)CCN(C)Cc2ccc(-c3cccc4c3OCCOCCOCCOCCOCCO4)cn2)n1")</f>
        <v>Cc1cccc(CN(C)CCN(C)Cc2ccc(-c3cccc4c3OCCOCCOCCOCCOCCO4)cn2)n1</v>
      </c>
      <c r="C2901" s="7">
        <f>IFERROR(__xludf.DUMMYFUNCTION("""COMPUTED_VALUE"""),7.8053875)</f>
        <v>7.8053875</v>
      </c>
      <c r="D2901" s="7">
        <f>IFERROR(__xludf.DUMMYFUNCTION("""COMPUTED_VALUE"""),0.48076923076923)</f>
        <v>0.4807692308</v>
      </c>
    </row>
    <row r="2902">
      <c r="A2902" s="10" t="s">
        <v>4341</v>
      </c>
      <c r="B2902" s="7" t="str">
        <f>IFERROR(__xludf.DUMMYFUNCTION("SPLIT(A2902,"" "")"),"Cc1cnc(C)c(C)c1CN(Cc1cccnn1)C1CCCCC1")</f>
        <v>Cc1cnc(C)c(C)c1CN(Cc1cccnn1)C1CCCCC1</v>
      </c>
      <c r="C2902" s="7">
        <f>IFERROR(__xludf.DUMMYFUNCTION("""COMPUTED_VALUE"""),7.805386)</f>
        <v>7.805386</v>
      </c>
      <c r="D2902" s="7">
        <f>IFERROR(__xludf.DUMMYFUNCTION("""COMPUTED_VALUE"""),0.384615384615384)</f>
        <v>0.3846153846</v>
      </c>
    </row>
    <row r="2903">
      <c r="A2903" s="10" t="s">
        <v>4342</v>
      </c>
      <c r="B2903" s="7" t="str">
        <f>IFERROR(__xludf.DUMMYFUNCTION("SPLIT(A2903,"" "")"),"CN(Cc1ccc(C2=CCC=CN2)cn1)C1CCC(N(C)Cc2cc(-c3cccc4c3OCCOCCOCCOCCOCCO4)ccn2)CC1")</f>
        <v>CN(Cc1ccc(C2=CCC=CN2)cn1)C1CCC(N(C)Cc2cc(-c3cccc4c3OCCOCCOCCOCCOCCO4)ccn2)CC1</v>
      </c>
      <c r="C2903" s="7">
        <f>IFERROR(__xludf.DUMMYFUNCTION("""COMPUTED_VALUE"""),7.8053827)</f>
        <v>7.8053827</v>
      </c>
      <c r="D2903" s="7">
        <f>IFERROR(__xludf.DUMMYFUNCTION("""COMPUTED_VALUE"""),0.302325581395348)</f>
        <v>0.3023255814</v>
      </c>
    </row>
    <row r="2904">
      <c r="A2904" s="10" t="s">
        <v>4343</v>
      </c>
      <c r="B2904" s="7" t="str">
        <f>IFERROR(__xludf.DUMMYFUNCTION("SPLIT(A2904,"" "")"),"Cc1cccc(CN(Cc2ccccn2)C2CCCCC2N(C)c2cc(Cl)ncc2CN2CCN(C)CCN(C)CC2)n1")</f>
        <v>Cc1cccc(CN(Cc2ccccn2)C2CCCCC2N(C)c2cc(Cl)ncc2CN2CCN(C)CCN(C)CC2)n1</v>
      </c>
      <c r="C2904" s="7">
        <f>IFERROR(__xludf.DUMMYFUNCTION("""COMPUTED_VALUE"""),7.805382)</f>
        <v>7.805382</v>
      </c>
      <c r="D2904" s="7">
        <f>IFERROR(__xludf.DUMMYFUNCTION("""COMPUTED_VALUE"""),0.402985074626865)</f>
        <v>0.4029850746</v>
      </c>
    </row>
    <row r="2905">
      <c r="A2905" s="10" t="s">
        <v>4344</v>
      </c>
      <c r="B2905" s="7" t="str">
        <f>IFERROR(__xludf.DUMMYFUNCTION("SPLIT(A2905,"" "")"),"Cc1cc(C)c(CN(C)C2CCCC(N(C)C)C2)nc1C")</f>
        <v>Cc1cc(C)c(CN(C)C2CCCC(N(C)C)C2)nc1C</v>
      </c>
      <c r="C2905" s="7">
        <f>IFERROR(__xludf.DUMMYFUNCTION("""COMPUTED_VALUE"""),7.805381)</f>
        <v>7.805381</v>
      </c>
      <c r="D2905" s="7">
        <f>IFERROR(__xludf.DUMMYFUNCTION("""COMPUTED_VALUE"""),0.294117647058823)</f>
        <v>0.2941176471</v>
      </c>
    </row>
    <row r="2906">
      <c r="A2906" s="10" t="s">
        <v>4345</v>
      </c>
      <c r="B2906" s="7" t="str">
        <f>IFERROR(__xludf.DUMMYFUNCTION("SPLIT(A2906,"" "")"),"Cc1cccnc1CN(C)CCN(C)Cc1cccc(-c2ccc3c(c2)OCCOCCOCCOCCOCCO3)n1")</f>
        <v>Cc1cccnc1CN(C)CCN(C)Cc1cccc(-c2ccc3c(c2)OCCOCCOCCOCCOCCO3)n1</v>
      </c>
      <c r="C2906" s="7">
        <f>IFERROR(__xludf.DUMMYFUNCTION("""COMPUTED_VALUE"""),7.805377)</f>
        <v>7.805377</v>
      </c>
      <c r="D2906" s="7">
        <f>IFERROR(__xludf.DUMMYFUNCTION("""COMPUTED_VALUE"""),0.370967741935483)</f>
        <v>0.3709677419</v>
      </c>
    </row>
    <row r="2907">
      <c r="A2907" s="10" t="s">
        <v>4346</v>
      </c>
      <c r="B2907" s="7" t="str">
        <f>IFERROR(__xludf.DUMMYFUNCTION("SPLIT(A2907,"" "")"),"Cc1cncc(CN(CC2=CCC=CN2)C2CCCC(N(C)Cc3ccccn3)C2)c1")</f>
        <v>Cc1cncc(CN(CC2=CCC=CN2)C2CCCC(N(C)Cc3ccccn3)C2)c1</v>
      </c>
      <c r="C2907" s="7">
        <f>IFERROR(__xludf.DUMMYFUNCTION("""COMPUTED_VALUE"""),7.8053746)</f>
        <v>7.8053746</v>
      </c>
      <c r="D2907" s="7">
        <f>IFERROR(__xludf.DUMMYFUNCTION("""COMPUTED_VALUE"""),0.476923076923076)</f>
        <v>0.4769230769</v>
      </c>
    </row>
    <row r="2908">
      <c r="A2908" s="10" t="s">
        <v>4347</v>
      </c>
      <c r="B2908" s="7" t="str">
        <f>IFERROR(__xludf.DUMMYFUNCTION("SPLIT(A2908,"" "")"),"CN(Cc1ccc(-c2ccc3c(c2)OCCOCCOCCOCCOCCO3)cn1)C1CCC(N(C)Cc2cccc(C3=CCC=CN3)n2)CC1")</f>
        <v>CN(Cc1ccc(-c2ccc3c(c2)OCCOCCOCCOCCOCCO3)cn1)C1CCC(N(C)Cc2cccc(C3=CCC=CN3)n2)CC1</v>
      </c>
      <c r="C2908" s="7">
        <f>IFERROR(__xludf.DUMMYFUNCTION("""COMPUTED_VALUE"""),7.8053718)</f>
        <v>7.8053718</v>
      </c>
      <c r="D2908" s="7">
        <f>IFERROR(__xludf.DUMMYFUNCTION("""COMPUTED_VALUE"""),0.415584415584415)</f>
        <v>0.4155844156</v>
      </c>
    </row>
    <row r="2909">
      <c r="A2909" s="10" t="s">
        <v>4348</v>
      </c>
      <c r="B2909" s="7" t="str">
        <f>IFERROR(__xludf.DUMMYFUNCTION("SPLIT(A2909,"" "")"),"Cc1cccnc1CN(C)CCN(C)C1CCCC(N(C)Cc2cc(C)c(C)c(C)n2)C1")</f>
        <v>Cc1cccnc1CN(C)CCN(C)C1CCCC(N(C)Cc2cc(C)c(C)c(C)n2)C1</v>
      </c>
      <c r="C2909" s="7">
        <f>IFERROR(__xludf.DUMMYFUNCTION("""COMPUTED_VALUE"""),7.8053665)</f>
        <v>7.8053665</v>
      </c>
      <c r="D2909" s="7">
        <f>IFERROR(__xludf.DUMMYFUNCTION("""COMPUTED_VALUE"""),0.327868852459016)</f>
        <v>0.3278688525</v>
      </c>
    </row>
    <row r="2910">
      <c r="A2910" s="10" t="s">
        <v>4349</v>
      </c>
      <c r="B2910" s="7" t="str">
        <f>IFERROR(__xludf.DUMMYFUNCTION("SPLIT(A2910,"" "")"),"Cc1cnccc1CN(C)CCN(C)C(C)C")</f>
        <v>Cc1cnccc1CN(C)CCN(C)C(C)C</v>
      </c>
      <c r="C2910" s="7">
        <f>IFERROR(__xludf.DUMMYFUNCTION("""COMPUTED_VALUE"""),7.805365)</f>
        <v>7.805365</v>
      </c>
      <c r="D2910" s="7">
        <f>IFERROR(__xludf.DUMMYFUNCTION("""COMPUTED_VALUE"""),0.348837209302325)</f>
        <v>0.3488372093</v>
      </c>
    </row>
    <row r="2911">
      <c r="A2911" s="10" t="s">
        <v>4350</v>
      </c>
      <c r="B2911" s="7" t="str">
        <f>IFERROR(__xludf.DUMMYFUNCTION("SPLIT(A2911,"" "")"),"CC1=CC(C)C(C)(C)C(C)C1N(C)Cc1ccc(C)cn1")</f>
        <v>CC1=CC(C)C(C)(C)C(C)C1N(C)Cc1ccc(C)cn1</v>
      </c>
      <c r="C2911" s="7">
        <f>IFERROR(__xludf.DUMMYFUNCTION("""COMPUTED_VALUE"""),7.8053584)</f>
        <v>7.8053584</v>
      </c>
      <c r="D2911" s="7">
        <f>IFERROR(__xludf.DUMMYFUNCTION("""COMPUTED_VALUE"""),0.489361702127659)</f>
        <v>0.4893617021</v>
      </c>
    </row>
    <row r="2912">
      <c r="A2912" s="10" t="s">
        <v>4351</v>
      </c>
      <c r="B2912" s="7" t="str">
        <f>IFERROR(__xludf.DUMMYFUNCTION("SPLIT(A2912,"" "")"),"CCCN(C)CCN(C)Cc1cnccc1C")</f>
        <v>CCCN(C)CCN(C)Cc1cnccc1C</v>
      </c>
      <c r="C2912" s="7">
        <f>IFERROR(__xludf.DUMMYFUNCTION("""COMPUTED_VALUE"""),7.805345)</f>
        <v>7.805345</v>
      </c>
      <c r="D2912" s="7">
        <f>IFERROR(__xludf.DUMMYFUNCTION("""COMPUTED_VALUE"""),0.365853658536585)</f>
        <v>0.3658536585</v>
      </c>
    </row>
    <row r="2913">
      <c r="A2913" s="10" t="s">
        <v>4352</v>
      </c>
      <c r="B2913" s="7" t="str">
        <f>IFERROR(__xludf.DUMMYFUNCTION("SPLIT(A2913,"" "")"),"Cc1cnc(CN(C)C2CCC(N(Cc3ccccn3)C(C)C)CC2)c(C)c1C")</f>
        <v>Cc1cnc(CN(C)C2CCC(N(Cc3ccccn3)C(C)C)CC2)c(C)c1C</v>
      </c>
      <c r="C2913" s="7">
        <f>IFERROR(__xludf.DUMMYFUNCTION("""COMPUTED_VALUE"""),7.8053255)</f>
        <v>7.8053255</v>
      </c>
      <c r="D2913" s="7">
        <f>IFERROR(__xludf.DUMMYFUNCTION("""COMPUTED_VALUE"""),0.433962264150943)</f>
        <v>0.4339622642</v>
      </c>
    </row>
    <row r="2914">
      <c r="A2914" s="10" t="s">
        <v>4353</v>
      </c>
      <c r="B2914" s="7" t="str">
        <f>IFERROR(__xludf.DUMMYFUNCTION("SPLIT(A2914,"" "")"),"Cc1nc(N(C)O)ccc1CN1CCN(C)CCN(C)CC1")</f>
        <v>Cc1nc(N(C)O)ccc1CN1CCN(C)CCN(C)CC1</v>
      </c>
      <c r="C2914" s="7">
        <f>IFERROR(__xludf.DUMMYFUNCTION("""COMPUTED_VALUE"""),7.8053203)</f>
        <v>7.8053203</v>
      </c>
      <c r="D2914" s="7">
        <f>IFERROR(__xludf.DUMMYFUNCTION("""COMPUTED_VALUE"""),0.422222222222222)</f>
        <v>0.4222222222</v>
      </c>
    </row>
    <row r="2915">
      <c r="A2915" s="10" t="s">
        <v>4354</v>
      </c>
      <c r="B2915" s="7" t="str">
        <f>IFERROR(__xludf.DUMMYFUNCTION("SPLIT(A2915,"" "")"),"CC(C)N(Cc1ccccn1)Cc1ccc(-c2ccc3c(c2)OCCOCCOCCOCCOCCO3)cn1")</f>
        <v>CC(C)N(Cc1ccccn1)Cc1ccc(-c2ccc3c(c2)OCCOCCOCCOCCOCCO3)cn1</v>
      </c>
      <c r="C2915" s="7">
        <f>IFERROR(__xludf.DUMMYFUNCTION("""COMPUTED_VALUE"""),7.8053055)</f>
        <v>7.8053055</v>
      </c>
      <c r="D2915" s="7">
        <f>IFERROR(__xludf.DUMMYFUNCTION("""COMPUTED_VALUE"""),0.483870967741935)</f>
        <v>0.4838709677</v>
      </c>
    </row>
    <row r="2916">
      <c r="A2916" s="10" t="s">
        <v>4355</v>
      </c>
      <c r="B2916" s="7" t="str">
        <f>IFERROR(__xludf.DUMMYFUNCTION("SPLIT(A2916,"" "")"),"Cc1cncc(CN(C)C2CCCC(N(C)Cc3ncccc3C(C)(C)C)C2)c1")</f>
        <v>Cc1cncc(CN(C)C2CCCC(N(C)Cc3ncccc3C(C)(C)C)C2)c1</v>
      </c>
      <c r="C2916" s="7">
        <f>IFERROR(__xludf.DUMMYFUNCTION("""COMPUTED_VALUE"""),7.8052874)</f>
        <v>7.8052874</v>
      </c>
      <c r="D2916" s="7">
        <f>IFERROR(__xludf.DUMMYFUNCTION("""COMPUTED_VALUE"""),0.295081967213114)</f>
        <v>0.2950819672</v>
      </c>
    </row>
    <row r="2917">
      <c r="A2917" s="10" t="s">
        <v>4356</v>
      </c>
      <c r="B2917" s="7" t="str">
        <f>IFERROR(__xludf.DUMMYFUNCTION("SPLIT(A2917,"" "")"),"CNCc1cc(CN(C)C2CCCCC2N(C)Cc2cc(C)c(C)c(C)n2)ccn1")</f>
        <v>CNCc1cc(CN(C)C2CCCCC2N(C)Cc2cc(C)c(C)c(C)n2)ccn1</v>
      </c>
      <c r="C2917" s="7">
        <f>IFERROR(__xludf.DUMMYFUNCTION("""COMPUTED_VALUE"""),7.805278)</f>
        <v>7.805278</v>
      </c>
      <c r="D2917" s="7">
        <f>IFERROR(__xludf.DUMMYFUNCTION("""COMPUTED_VALUE"""),0.444444444444444)</f>
        <v>0.4444444444</v>
      </c>
    </row>
    <row r="2918">
      <c r="A2918" s="10" t="s">
        <v>4357</v>
      </c>
      <c r="B2918" s="7" t="str">
        <f>IFERROR(__xludf.DUMMYFUNCTION("SPLIT(A2918,"" "")"),"Cc1cc(CN(Cc2ccccn2)C2CCCCC2)cnc1C1CC(C)(C)C1")</f>
        <v>Cc1cc(CN(Cc2ccccn2)C2CCCCC2)cnc1C1CC(C)(C)C1</v>
      </c>
      <c r="C2918" s="7">
        <f>IFERROR(__xludf.DUMMYFUNCTION("""COMPUTED_VALUE"""),7.805276)</f>
        <v>7.805276</v>
      </c>
      <c r="D2918" s="7">
        <f>IFERROR(__xludf.DUMMYFUNCTION("""COMPUTED_VALUE"""),0.396551724137931)</f>
        <v>0.3965517241</v>
      </c>
    </row>
    <row r="2919">
      <c r="A2919" s="10" t="s">
        <v>4358</v>
      </c>
      <c r="B2919" s="7" t="str">
        <f>IFERROR(__xludf.DUMMYFUNCTION("SPLIT(A2919,"" "")"),"CCN(Cc1ccccn1)C1=CCC(CN(C)C2CCC(N(C)Cc3ncccc3C)CC2)C(C)=C1C")</f>
        <v>CCN(Cc1ccccn1)C1=CCC(CN(C)C2CCC(N(C)Cc3ncccc3C)CC2)C(C)=C1C</v>
      </c>
      <c r="C2919" s="7">
        <f>IFERROR(__xludf.DUMMYFUNCTION("""COMPUTED_VALUE"""),7.8052745)</f>
        <v>7.8052745</v>
      </c>
      <c r="D2919" s="7">
        <f>IFERROR(__xludf.DUMMYFUNCTION("""COMPUTED_VALUE"""),0.365079365079365)</f>
        <v>0.3650793651</v>
      </c>
    </row>
    <row r="2920">
      <c r="A2920" s="10" t="s">
        <v>4359</v>
      </c>
      <c r="B2920" s="7" t="str">
        <f>IFERROR(__xludf.DUMMYFUNCTION("SPLIT(A2920,"" "")"),"CCCN(Cc1cccnn1)C1C=CC=CN1")</f>
        <v>CCCN(Cc1cccnn1)C1C=CC=CN1</v>
      </c>
      <c r="C2920" s="7">
        <f>IFERROR(__xludf.DUMMYFUNCTION("""COMPUTED_VALUE"""),7.8052487)</f>
        <v>7.8052487</v>
      </c>
      <c r="D2920" s="7">
        <f>IFERROR(__xludf.DUMMYFUNCTION("""COMPUTED_VALUE"""),0.444444444444444)</f>
        <v>0.4444444444</v>
      </c>
    </row>
    <row r="2921">
      <c r="A2921" s="10" t="s">
        <v>4360</v>
      </c>
      <c r="B2921" s="7" t="str">
        <f>IFERROR(__xludf.DUMMYFUNCTION("SPLIT(A2921,"" "")"),"Cc1cccnc1CN(Cc1ccccn1)C1CCC(N(CF)Cc2ccccn2)CC1")</f>
        <v>Cc1cccnc1CN(Cc1ccccn1)C1CCC(N(CF)Cc2ccccn2)CC1</v>
      </c>
      <c r="C2921" s="7">
        <f>IFERROR(__xludf.DUMMYFUNCTION("""COMPUTED_VALUE"""),7.805234)</f>
        <v>7.805234</v>
      </c>
      <c r="D2921" s="7">
        <f>IFERROR(__xludf.DUMMYFUNCTION("""COMPUTED_VALUE"""),0.42)</f>
        <v>0.42</v>
      </c>
    </row>
    <row r="2922">
      <c r="A2922" s="10" t="s">
        <v>4361</v>
      </c>
      <c r="B2922" s="7" t="str">
        <f>IFERROR(__xludf.DUMMYFUNCTION("SPLIT(A2922,"" "")"),"COC(=O)C1CN(C)C(C(=O)C(C)N)C(C(C)(C)NCc2ccccn2)C1C(C)C")</f>
        <v>COC(=O)C1CN(C)C(C(=O)C(C)N)C(C(C)(C)NCc2ccccn2)C1C(C)C</v>
      </c>
      <c r="C2922" s="7">
        <f>IFERROR(__xludf.DUMMYFUNCTION("""COMPUTED_VALUE"""),7.8052154)</f>
        <v>7.8052154</v>
      </c>
      <c r="D2922" s="7">
        <f>IFERROR(__xludf.DUMMYFUNCTION("""COMPUTED_VALUE"""),0.289473684210526)</f>
        <v>0.2894736842</v>
      </c>
    </row>
    <row r="2923">
      <c r="A2923" s="10" t="s">
        <v>4362</v>
      </c>
      <c r="B2923" s="7" t="str">
        <f>IFERROR(__xludf.DUMMYFUNCTION("SPLIT(A2923,"" "")"),"CN(Cc1cc(-c2ccc3c(c2)OCCOCCOCCOCCOCCO3)ccn1)C(C)(C)c1cccnc1")</f>
        <v>CN(Cc1cc(-c2ccc3c(c2)OCCOCCOCCOCCOCCO3)ccn1)C(C)(C)c1cccnc1</v>
      </c>
      <c r="C2923" s="7">
        <f>IFERROR(__xludf.DUMMYFUNCTION("""COMPUTED_VALUE"""),7.805211)</f>
        <v>7.805211</v>
      </c>
      <c r="D2923" s="7">
        <f>IFERROR(__xludf.DUMMYFUNCTION("""COMPUTED_VALUE"""),0.371428571428571)</f>
        <v>0.3714285714</v>
      </c>
    </row>
    <row r="2924">
      <c r="A2924" s="10" t="s">
        <v>4363</v>
      </c>
      <c r="B2924" s="7" t="str">
        <f>IFERROR(__xludf.DUMMYFUNCTION("SPLIT(A2924,"" "")"),"FC1=CNC=CC1CN(Cc1ccccn1)Cc1cccc(-c2ccc3c(c2)OCCOCCOCCOCCOCCO3)n1")</f>
        <v>FC1=CNC=CC1CN(Cc1ccccn1)Cc1cccc(-c2ccc3c(c2)OCCOCCOCCOCCOCCO3)n1</v>
      </c>
      <c r="C2924" s="7">
        <f>IFERROR(__xludf.DUMMYFUNCTION("""COMPUTED_VALUE"""),7.8052073)</f>
        <v>7.8052073</v>
      </c>
      <c r="D2924" s="7">
        <f>IFERROR(__xludf.DUMMYFUNCTION("""COMPUTED_VALUE"""),0.410958904109589)</f>
        <v>0.4109589041</v>
      </c>
    </row>
    <row r="2925">
      <c r="A2925" s="10" t="s">
        <v>4364</v>
      </c>
      <c r="B2925" s="7" t="str">
        <f>IFERROR(__xludf.DUMMYFUNCTION("SPLIT(A2925,"" "")"),"CC(C)N(Cc1ccccn1)Cc1ncccc1-c1cccc2c1OCCOCCOCCOCCOCCO2")</f>
        <v>CC(C)N(Cc1ccccn1)Cc1ncccc1-c1cccc2c1OCCOCCOCCOCCOCCO2</v>
      </c>
      <c r="C2925" s="7">
        <f>IFERROR(__xludf.DUMMYFUNCTION("""COMPUTED_VALUE"""),7.805204)</f>
        <v>7.805204</v>
      </c>
      <c r="D2925" s="7">
        <f>IFERROR(__xludf.DUMMYFUNCTION("""COMPUTED_VALUE"""),0.461538461538461)</f>
        <v>0.4615384615</v>
      </c>
    </row>
    <row r="2926">
      <c r="A2926" s="10" t="s">
        <v>4365</v>
      </c>
      <c r="B2926" s="7" t="str">
        <f>IFERROR(__xludf.DUMMYFUNCTION("SPLIT(A2926,"" "")"),"Cc1cncc(CN(Cc2ccccn2)C2CCC(N(C)Cc3ncccc3C)CC2N(C)C(C)C)c1")</f>
        <v>Cc1cncc(CN(Cc2ccccn2)C2CCC(N(C)Cc3ncccc3C)CC2N(C)C(C)C)c1</v>
      </c>
      <c r="C2926" s="7">
        <f>IFERROR(__xludf.DUMMYFUNCTION("""COMPUTED_VALUE"""),7.805202)</f>
        <v>7.805202</v>
      </c>
      <c r="D2926" s="7">
        <f>IFERROR(__xludf.DUMMYFUNCTION("""COMPUTED_VALUE"""),0.347826086956521)</f>
        <v>0.347826087</v>
      </c>
    </row>
    <row r="2927">
      <c r="A2927" s="10" t="s">
        <v>4366</v>
      </c>
      <c r="B2927" s="7" t="str">
        <f>IFERROR(__xludf.DUMMYFUNCTION("SPLIT(A2927,"" "")"),"CC1C(N(C)Cc2ccccn2)=CCC(C)(C)C1(C)C")</f>
        <v>CC1C(N(C)Cc2ccccn2)=CCC(C)(C)C1(C)C</v>
      </c>
      <c r="C2927" s="7">
        <f>IFERROR(__xludf.DUMMYFUNCTION("""COMPUTED_VALUE"""),7.8052015)</f>
        <v>7.8052015</v>
      </c>
      <c r="D2927" s="7">
        <f>IFERROR(__xludf.DUMMYFUNCTION("""COMPUTED_VALUE"""),0.446808510638297)</f>
        <v>0.4468085106</v>
      </c>
    </row>
    <row r="2928">
      <c r="A2928" s="10" t="s">
        <v>4367</v>
      </c>
      <c r="B2928" s="7" t="str">
        <f>IFERROR(__xludf.DUMMYFUNCTION("SPLIT(A2928,"" "")"),"Cc1cnc(CN(C)CC2CCCN2C(C)C)c(C)c1")</f>
        <v>Cc1cnc(CN(C)CC2CCCN2C(C)C)c(C)c1</v>
      </c>
      <c r="C2928" s="7">
        <f>IFERROR(__xludf.DUMMYFUNCTION("""COMPUTED_VALUE"""),7.805198)</f>
        <v>7.805198</v>
      </c>
      <c r="D2928" s="7">
        <f>IFERROR(__xludf.DUMMYFUNCTION("""COMPUTED_VALUE"""),0.360655737704918)</f>
        <v>0.3606557377</v>
      </c>
    </row>
    <row r="2929">
      <c r="A2929" s="10" t="s">
        <v>4368</v>
      </c>
      <c r="B2929" s="7" t="str">
        <f>IFERROR(__xludf.DUMMYFUNCTION("SPLIT(A2929,"" "")"),"CN(CCF)CCN(Cc1ccccn1)C1CCCCC1N(C)Cc1ccc2cccnc2c1")</f>
        <v>CN(CCF)CCN(Cc1ccccn1)C1CCCCC1N(C)Cc1ccc2cccnc2c1</v>
      </c>
      <c r="C2929" s="7">
        <f>IFERROR(__xludf.DUMMYFUNCTION("""COMPUTED_VALUE"""),7.8051953)</f>
        <v>7.8051953</v>
      </c>
      <c r="D2929" s="7">
        <f>IFERROR(__xludf.DUMMYFUNCTION("""COMPUTED_VALUE"""),0.5)</f>
        <v>0.5</v>
      </c>
    </row>
    <row r="2930">
      <c r="A2930" s="10" t="s">
        <v>4369</v>
      </c>
      <c r="B2930" s="7" t="str">
        <f>IFERROR(__xludf.DUMMYFUNCTION("SPLIT(A2930,"" "")"),"Cc1cnc(CN(C)C2=C(CN3CCN(C)CCN(C)CC3)NC=CC2)c(C)c1")</f>
        <v>Cc1cnc(CN(C)C2=C(CN3CCN(C)CCN(C)CC3)NC=CC2)c(C)c1</v>
      </c>
      <c r="C2930" s="7">
        <f>IFERROR(__xludf.DUMMYFUNCTION("""COMPUTED_VALUE"""),7.8051896)</f>
        <v>7.8051896</v>
      </c>
      <c r="D2930" s="7">
        <f>IFERROR(__xludf.DUMMYFUNCTION("""COMPUTED_VALUE"""),0.360655737704918)</f>
        <v>0.3606557377</v>
      </c>
    </row>
    <row r="2931">
      <c r="A2931" s="10" t="s">
        <v>4370</v>
      </c>
      <c r="B2931" s="7" t="str">
        <f>IFERROR(__xludf.DUMMYFUNCTION("SPLIT(A2931,"" "")"),"Cc1cc(CN(C)C2CCCC(N(C)Cc3ccccn3)C2)c(C)c(C)c1N")</f>
        <v>Cc1cc(CN(C)C2CCCC(N(C)Cc3ccccn3)C2)c(C)c(C)c1N</v>
      </c>
      <c r="C2931" s="7">
        <f>IFERROR(__xludf.DUMMYFUNCTION("""COMPUTED_VALUE"""),7.8051867)</f>
        <v>7.8051867</v>
      </c>
      <c r="D2931" s="7">
        <f>IFERROR(__xludf.DUMMYFUNCTION("""COMPUTED_VALUE"""),0.490196078431372)</f>
        <v>0.4901960784</v>
      </c>
    </row>
    <row r="2932">
      <c r="A2932" s="10" t="s">
        <v>4371</v>
      </c>
      <c r="B2932" s="7" t="str">
        <f>IFERROR(__xludf.DUMMYFUNCTION("SPLIT(A2932,"" "")"),"Cc1cncc(CN(C)CCN(C)C(C)(C)C)c1")</f>
        <v>Cc1cncc(CN(C)CCN(C)C(C)(C)C)c1</v>
      </c>
      <c r="C2932" s="7">
        <f>IFERROR(__xludf.DUMMYFUNCTION("""COMPUTED_VALUE"""),7.805178)</f>
        <v>7.805178</v>
      </c>
      <c r="D2932" s="7">
        <f>IFERROR(__xludf.DUMMYFUNCTION("""COMPUTED_VALUE"""),0.357142857142857)</f>
        <v>0.3571428571</v>
      </c>
    </row>
    <row r="2933">
      <c r="A2933" s="10" t="s">
        <v>4372</v>
      </c>
      <c r="B2933" s="7" t="str">
        <f>IFERROR(__xludf.DUMMYFUNCTION("SPLIT(A2933,"" "")"),"CC(C)N(Cc1ccccn1)Cc1cc(-c2ccc3c(c2)OCCOCCOCCOCCOCCO3)ccn1")</f>
        <v>CC(C)N(Cc1ccccn1)Cc1cc(-c2ccc3c(c2)OCCOCCOCCOCCOCCO3)ccn1</v>
      </c>
      <c r="C2933" s="7">
        <f>IFERROR(__xludf.DUMMYFUNCTION("""COMPUTED_VALUE"""),7.8051686)</f>
        <v>7.8051686</v>
      </c>
      <c r="D2933" s="7">
        <f>IFERROR(__xludf.DUMMYFUNCTION("""COMPUTED_VALUE"""),0.48)</f>
        <v>0.48</v>
      </c>
    </row>
    <row r="2934">
      <c r="A2934" s="10" t="s">
        <v>4373</v>
      </c>
      <c r="B2934" s="7" t="str">
        <f>IFERROR(__xludf.DUMMYFUNCTION("SPLIT(A2934,"" "")"),"CC1C=C(NCc2ccccn2)C(C)C(C)C1")</f>
        <v>CC1C=C(NCc2ccccn2)C(C)C(C)C1</v>
      </c>
      <c r="C2934" s="7">
        <f>IFERROR(__xludf.DUMMYFUNCTION("""COMPUTED_VALUE"""),7.8051615)</f>
        <v>7.8051615</v>
      </c>
      <c r="D2934" s="7">
        <f>IFERROR(__xludf.DUMMYFUNCTION("""COMPUTED_VALUE"""),0.414634146341463)</f>
        <v>0.4146341463</v>
      </c>
    </row>
    <row r="2935">
      <c r="A2935" s="10" t="s">
        <v>4374</v>
      </c>
      <c r="B2935" s="7" t="str">
        <f>IFERROR(__xludf.DUMMYFUNCTION("SPLIT(A2935,"" "")"),"Cc1cc(CN(C)C2CCCCC2N(C)Cc2ncccc2F)nc(C)c1C")</f>
        <v>Cc1cc(CN(C)C2CCCCC2N(C)Cc2ncccc2F)nc(C)c1C</v>
      </c>
      <c r="C2935" s="7">
        <f>IFERROR(__xludf.DUMMYFUNCTION("""COMPUTED_VALUE"""),7.8051424)</f>
        <v>7.8051424</v>
      </c>
      <c r="D2935" s="7">
        <f>IFERROR(__xludf.DUMMYFUNCTION("""COMPUTED_VALUE"""),0.48076923076923)</f>
        <v>0.4807692308</v>
      </c>
    </row>
    <row r="2936">
      <c r="A2936" s="10" t="s">
        <v>4375</v>
      </c>
      <c r="B2936" s="7" t="str">
        <f>IFERROR(__xludf.DUMMYFUNCTION("SPLIT(A2936,"" "")"),"Cc1cccnc1CN(CCN(C)CCF)C(C)C")</f>
        <v>Cc1cccnc1CN(CCN(C)CCF)C(C)C</v>
      </c>
      <c r="C2936" s="7">
        <f>IFERROR(__xludf.DUMMYFUNCTION("""COMPUTED_VALUE"""),7.8051295)</f>
        <v>7.8051295</v>
      </c>
      <c r="D2936" s="7">
        <f>IFERROR(__xludf.DUMMYFUNCTION("""COMPUTED_VALUE"""),0.477272727272727)</f>
        <v>0.4772727273</v>
      </c>
    </row>
    <row r="2937">
      <c r="A2937" s="10" t="s">
        <v>4376</v>
      </c>
      <c r="B2937" s="7" t="str">
        <f>IFERROR(__xludf.DUMMYFUNCTION("SPLIT(A2937,"" "")"),"Cc1cncc(CN(C)C2CCCC(N(Cc3ccccn3)C(C)C)C2N(C)Cc2ccccn2)c1")</f>
        <v>Cc1cncc(CN(C)C2CCCC(N(Cc3ccccn3)C(C)C)C2N(C)Cc2ccccn2)c1</v>
      </c>
      <c r="C2937" s="7">
        <f>IFERROR(__xludf.DUMMYFUNCTION("""COMPUTED_VALUE"""),7.8051214)</f>
        <v>7.8051214</v>
      </c>
      <c r="D2937" s="7">
        <f>IFERROR(__xludf.DUMMYFUNCTION("""COMPUTED_VALUE"""),0.5)</f>
        <v>0.5</v>
      </c>
    </row>
    <row r="2938">
      <c r="A2938" s="10" t="s">
        <v>4377</v>
      </c>
      <c r="B2938" s="7" t="str">
        <f>IFERROR(__xludf.DUMMYFUNCTION("SPLIT(A2938,"" "")"),"CC(C)C1=CC2C=CC(C)(C)C(C)(C)C2=CN1")</f>
        <v>CC(C)C1=CC2C=CC(C)(C)C(C)(C)C2=CN1</v>
      </c>
      <c r="C2938" s="7">
        <f>IFERROR(__xludf.DUMMYFUNCTION("""COMPUTED_VALUE"""),7.805117)</f>
        <v>7.805117</v>
      </c>
      <c r="D2938" s="7">
        <f>IFERROR(__xludf.DUMMYFUNCTION("""COMPUTED_VALUE"""),0.142857142857142)</f>
        <v>0.1428571429</v>
      </c>
    </row>
    <row r="2939">
      <c r="A2939" s="10" t="s">
        <v>4378</v>
      </c>
      <c r="B2939" s="7" t="str">
        <f>IFERROR(__xludf.DUMMYFUNCTION("SPLIT(A2939,"" "")"),"Cc1ccnc(C2CCC2(C)C)c1C(=O)C(C)NCc1cc(CN2CCN(C)CCN(C)CC2)ccn1")</f>
        <v>Cc1ccnc(C2CCC2(C)C)c1C(=O)C(C)NCc1cc(CN2CCN(C)CCN(C)CC2)ccn1</v>
      </c>
      <c r="C2939" s="7">
        <f>IFERROR(__xludf.DUMMYFUNCTION("""COMPUTED_VALUE"""),7.8051043)</f>
        <v>7.8051043</v>
      </c>
      <c r="D2939" s="7">
        <f>IFERROR(__xludf.DUMMYFUNCTION("""COMPUTED_VALUE"""),0.36)</f>
        <v>0.36</v>
      </c>
    </row>
    <row r="2940">
      <c r="A2940" s="10" t="s">
        <v>4379</v>
      </c>
      <c r="B2940" s="7" t="str">
        <f>IFERROR(__xludf.DUMMYFUNCTION("SPLIT(A2940,"" "")"),"CC(C)[Si](c1ccc(CN(Cc2ccccn2)C2CCC(N(C)Cc3ccc(-c4ccc5c(c4)OCCOCCOCCOCCOCCO5)cn3)CC2)nc1)(C(C)C)C(C)C")</f>
        <v>CC(C)[Si](c1ccc(CN(Cc2ccccn2)C2CCC(N(C)Cc3ccc(-c4ccc5c(c4)OCCOCCOCCOCCOCCO5)cn3)CC2)nc1)(C(C)C)C(C)C</v>
      </c>
      <c r="C2940" s="7">
        <f>IFERROR(__xludf.DUMMYFUNCTION("""COMPUTED_VALUE"""),7.805101)</f>
        <v>7.805101</v>
      </c>
      <c r="D2940" s="7">
        <f>IFERROR(__xludf.DUMMYFUNCTION("""COMPUTED_VALUE"""),0.421052631578947)</f>
        <v>0.4210526316</v>
      </c>
    </row>
    <row r="2941">
      <c r="A2941" s="10" t="s">
        <v>4380</v>
      </c>
      <c r="B2941" s="7" t="str">
        <f>IFERROR(__xludf.DUMMYFUNCTION("SPLIT(A2941,"" "")"),"CN(C)CCCN(C)CC(C)(C)C")</f>
        <v>CN(C)CCCN(C)CC(C)(C)C</v>
      </c>
      <c r="C2941" s="7">
        <f>IFERROR(__xludf.DUMMYFUNCTION("""COMPUTED_VALUE"""),7.8050885)</f>
        <v>7.8050885</v>
      </c>
      <c r="D2941" s="7">
        <f>IFERROR(__xludf.DUMMYFUNCTION("""COMPUTED_VALUE"""),0.23076923076923)</f>
        <v>0.2307692308</v>
      </c>
    </row>
    <row r="2942">
      <c r="A2942" s="10" t="s">
        <v>4381</v>
      </c>
      <c r="B2942" s="7" t="str">
        <f>IFERROR(__xludf.DUMMYFUNCTION("SPLIT(A2942,"" "")"),"CN1CCN(C)CCN(C2CCC(N(C)c3ccc4nccc(CF)c4c3)CC2)CC1")</f>
        <v>CN1CCN(C)CCN(C2CCC(N(C)c3ccc4nccc(CF)c4c3)CC2)CC1</v>
      </c>
      <c r="C2942" s="7">
        <f>IFERROR(__xludf.DUMMYFUNCTION("""COMPUTED_VALUE"""),7.805076)</f>
        <v>7.805076</v>
      </c>
      <c r="D2942" s="7">
        <f>IFERROR(__xludf.DUMMYFUNCTION("""COMPUTED_VALUE"""),0.301587301587301)</f>
        <v>0.3015873016</v>
      </c>
    </row>
    <row r="2943">
      <c r="A2943" s="10" t="s">
        <v>4382</v>
      </c>
      <c r="B2943" s="7" t="str">
        <f>IFERROR(__xludf.DUMMYFUNCTION("SPLIT(A2943,"" "")"),"COC(=O)C(=O)N1CCN(C)CCN(C(=O)C(C)N=Cc2ccccn2)CC1")</f>
        <v>COC(=O)C(=O)N1CCN(C)CCN(C(=O)C(C)N=Cc2ccccn2)CC1</v>
      </c>
      <c r="C2943" s="7">
        <f>IFERROR(__xludf.DUMMYFUNCTION("""COMPUTED_VALUE"""),7.805065)</f>
        <v>7.805065</v>
      </c>
      <c r="D2943" s="7">
        <f>IFERROR(__xludf.DUMMYFUNCTION("""COMPUTED_VALUE"""),0.338235294117647)</f>
        <v>0.3382352941</v>
      </c>
    </row>
    <row r="2944">
      <c r="A2944" s="10" t="s">
        <v>4383</v>
      </c>
      <c r="B2944" s="7" t="str">
        <f>IFERROR(__xludf.DUMMYFUNCTION("SPLIT(A2944,"" "")"),"CC(C)N(CCN(C)CC(C)(C)C)CC(C)(C)C")</f>
        <v>CC(C)N(CCN(C)CC(C)(C)C)CC(C)(C)C</v>
      </c>
      <c r="C2944" s="7">
        <f>IFERROR(__xludf.DUMMYFUNCTION("""COMPUTED_VALUE"""),7.805061)</f>
        <v>7.805061</v>
      </c>
      <c r="D2944" s="7">
        <f>IFERROR(__xludf.DUMMYFUNCTION("""COMPUTED_VALUE"""),0.289473684210526)</f>
        <v>0.2894736842</v>
      </c>
    </row>
    <row r="2945">
      <c r="A2945" s="10" t="s">
        <v>4384</v>
      </c>
      <c r="B2945" s="7" t="str">
        <f>IFERROR(__xludf.DUMMYFUNCTION("SPLIT(A2945,"" "")"),"CC(C)C(C)N(C)CC1=CCC=C(N(C)Cc2cccc(-c3ccc4c(c3)OCCOCCOCCOCCOCCO4)n2)N1")</f>
        <v>CC(C)C(C)N(C)CC1=CCC=C(N(C)Cc2cccc(-c3ccc4c(c3)OCCOCCOCCOCCOCCO4)n2)N1</v>
      </c>
      <c r="C2945" s="7">
        <f>IFERROR(__xludf.DUMMYFUNCTION("""COMPUTED_VALUE"""),7.805057)</f>
        <v>7.805057</v>
      </c>
      <c r="D2945" s="7">
        <f>IFERROR(__xludf.DUMMYFUNCTION("""COMPUTED_VALUE"""),0.280487804878048)</f>
        <v>0.2804878049</v>
      </c>
    </row>
    <row r="2946">
      <c r="A2946" s="10" t="s">
        <v>4385</v>
      </c>
      <c r="B2946" s="7" t="str">
        <f>IFERROR(__xludf.DUMMYFUNCTION("SPLIT(A2946,"" "")"),"Cc1cnc(CN(Cc2cc(C)c(C)c(C)n2)C2CCCCC2N(C)C2CCCCC2N(C)Cc2cc(C)c(C)c(C)n2)cc1C")</f>
        <v>Cc1cnc(CN(Cc2cc(C)c(C)c(C)n2)C2CCCCC2N(C)C2CCCCC2N(C)Cc2cc(C)c(C)c(C)n2)cc1C</v>
      </c>
      <c r="C2946" s="7">
        <f>IFERROR(__xludf.DUMMYFUNCTION("""COMPUTED_VALUE"""),7.805052)</f>
        <v>7.805052</v>
      </c>
      <c r="D2946" s="7">
        <f>IFERROR(__xludf.DUMMYFUNCTION("""COMPUTED_VALUE"""),0.48076923076923)</f>
        <v>0.4807692308</v>
      </c>
    </row>
    <row r="2947">
      <c r="A2947" s="10" t="s">
        <v>4386</v>
      </c>
      <c r="B2947" s="7" t="str">
        <f>IFERROR(__xludf.DUMMYFUNCTION("SPLIT(A2947,"" "")"),"C=Cc1ccc(CN(Cc2ccccn2)C2CCC(N(C)Cc3cccc(-c4ccc5c(c4)OCCOCCOCCOCCOCCO5)n3)CC2)nc1")</f>
        <v>C=Cc1ccc(CN(Cc2ccccn2)C2CCC(N(C)Cc3cccc(-c4ccc5c(c4)OCCOCCOCCOCCOCCO5)n3)CC2)nc1</v>
      </c>
      <c r="C2947" s="7">
        <f>IFERROR(__xludf.DUMMYFUNCTION("""COMPUTED_VALUE"""),7.8050494)</f>
        <v>7.8050494</v>
      </c>
      <c r="D2947" s="7">
        <f>IFERROR(__xludf.DUMMYFUNCTION("""COMPUTED_VALUE"""),0.354430379746835)</f>
        <v>0.3544303797</v>
      </c>
    </row>
    <row r="2948">
      <c r="A2948" s="10" t="s">
        <v>4387</v>
      </c>
      <c r="B2948" s="7" t="str">
        <f>IFERROR(__xludf.DUMMYFUNCTION("SPLIT(A2948,"" "")"),"CCN(Cc1ccccn1)C1=C(C23CCC2OCCOCCOCCOCCOCCO3)C(Cl)C(Cl)C(N(C)Cc2ccccn2)=C1N(C)Cc1ccccn1")</f>
        <v>CCN(Cc1ccccn1)C1=C(C23CCC2OCCOCCOCCOCCOCCO3)C(Cl)C(Cl)C(N(C)Cc2ccccn2)=C1N(C)Cc1ccccn1</v>
      </c>
      <c r="C2948" s="7">
        <f>IFERROR(__xludf.DUMMYFUNCTION("""COMPUTED_VALUE"""),7.8050427)</f>
        <v>7.8050427</v>
      </c>
      <c r="D2948" s="7">
        <f>IFERROR(__xludf.DUMMYFUNCTION("""COMPUTED_VALUE"""),0.314285714285714)</f>
        <v>0.3142857143</v>
      </c>
    </row>
    <row r="2949">
      <c r="A2949" s="10" t="s">
        <v>4388</v>
      </c>
      <c r="B2949" s="7" t="str">
        <f>IFERROR(__xludf.DUMMYFUNCTION("SPLIT(A2949,"" "")"),"CC(C)N(Cc1ccccn1)Cc1ncc(C(C)(C)C)cc1CN1CCN(C)CCN(C)CC1")</f>
        <v>CC(C)N(Cc1ccccn1)Cc1ncc(C(C)(C)C)cc1CN1CCN(C)CCN(C)CC1</v>
      </c>
      <c r="C2949" s="7">
        <f>IFERROR(__xludf.DUMMYFUNCTION("""COMPUTED_VALUE"""),7.8050284)</f>
        <v>7.8050284</v>
      </c>
      <c r="D2949" s="7">
        <f>IFERROR(__xludf.DUMMYFUNCTION("""COMPUTED_VALUE"""),0.481481481481481)</f>
        <v>0.4814814815</v>
      </c>
    </row>
    <row r="2950">
      <c r="A2950" s="10" t="s">
        <v>4389</v>
      </c>
      <c r="B2950" s="7" t="str">
        <f>IFERROR(__xludf.DUMMYFUNCTION("SPLIT(A2950,"" "")"),"CN1CCN(C)CCN(C2CCC(N(C)c3ccc4c(CF)ccnc4c3)CC2)CC1")</f>
        <v>CN1CCN(C)CCN(C2CCC(N(C)c3ccc4c(CF)ccnc4c3)CC2)CC1</v>
      </c>
      <c r="C2950" s="7">
        <f>IFERROR(__xludf.DUMMYFUNCTION("""COMPUTED_VALUE"""),7.8050246)</f>
        <v>7.8050246</v>
      </c>
      <c r="D2950" s="7">
        <f>IFERROR(__xludf.DUMMYFUNCTION("""COMPUTED_VALUE"""),0.306451612903225)</f>
        <v>0.3064516129</v>
      </c>
    </row>
    <row r="2951">
      <c r="A2951" s="10" t="s">
        <v>4390</v>
      </c>
      <c r="B2951" s="7" t="str">
        <f>IFERROR(__xludf.DUMMYFUNCTION("SPLIT(A2951,"" "")"),"CC(c1ncccc1CN(Cc1ccccn1)Cc1ccccn1)C(C)(N)c1ccc2c(c1)OCCOCCOCC(N)OCCOCCO2")</f>
        <v>CC(c1ncccc1CN(Cc1ccccn1)Cc1ccccn1)C(C)(N)c1ccc2c(c1)OCCOCCOCC(N)OCCOCCO2</v>
      </c>
      <c r="C2951" s="7">
        <f>IFERROR(__xludf.DUMMYFUNCTION("""COMPUTED_VALUE"""),7.8050175)</f>
        <v>7.8050175</v>
      </c>
      <c r="D2951" s="7">
        <f>IFERROR(__xludf.DUMMYFUNCTION("""COMPUTED_VALUE"""),0.298507462686567)</f>
        <v>0.2985074627</v>
      </c>
    </row>
    <row r="2952">
      <c r="A2952" s="10" t="s">
        <v>4391</v>
      </c>
      <c r="B2952" s="7" t="str">
        <f>IFERROR(__xludf.DUMMYFUNCTION("SPLIT(A2952,"" "")"),"C=Cc1ccc(CN(Cc2ccccn2)C2CCCC(N(C)Cc3cccc(-c4cccc5c4OCCOCCOCCOCCOCCO5)n3)C2)nc1")</f>
        <v>C=Cc1ccc(CN(Cc2ccccn2)C2CCCC(N(C)Cc3cccc(-c4cccc5c4OCCOCCOCCOCCOCCO5)n3)C2)nc1</v>
      </c>
      <c r="C2952" s="7">
        <f>IFERROR(__xludf.DUMMYFUNCTION("""COMPUTED_VALUE"""),7.805001)</f>
        <v>7.805001</v>
      </c>
      <c r="D2952" s="7">
        <f>IFERROR(__xludf.DUMMYFUNCTION("""COMPUTED_VALUE"""),0.337837837837837)</f>
        <v>0.3378378378</v>
      </c>
    </row>
    <row r="2953">
      <c r="A2953" s="10" t="s">
        <v>4392</v>
      </c>
      <c r="B2953" s="7" t="str">
        <f>IFERROR(__xludf.DUMMYFUNCTION("SPLIT(A2953,"" "")"),"Cc1ccc(C)c(CN(C)C2CCCC(N(C)Cc3ncccc3C)C2)n1")</f>
        <v>Cc1ccc(C)c(CN(C)C2CCCC(N(C)Cc3ncccc3C)C2)n1</v>
      </c>
      <c r="C2953" s="7">
        <f>IFERROR(__xludf.DUMMYFUNCTION("""COMPUTED_VALUE"""),7.804987)</f>
        <v>7.804987</v>
      </c>
      <c r="D2953" s="7">
        <f>IFERROR(__xludf.DUMMYFUNCTION("""COMPUTED_VALUE"""),0.365384615384615)</f>
        <v>0.3653846154</v>
      </c>
    </row>
    <row r="2954">
      <c r="A2954" s="10" t="s">
        <v>4393</v>
      </c>
      <c r="B2954" s="7" t="str">
        <f>IFERROR(__xludf.DUMMYFUNCTION("SPLIT(A2954,"" "")"),"Cc1ccc(CN(Cc2cccc(C(C)(C)C)n2)C2CCC(N(C)Cc3cccc(-c4ccc5c(c4)OCCOCCOCCOCCOCCO5)n3)CC2)nc1")</f>
        <v>Cc1ccc(CN(Cc2cccc(C(C)(C)C)n2)C2CCC(N(C)Cc3cccc(-c4ccc5c(c4)OCCOCCOCCOCCOCCO5)n3)CC2)nc1</v>
      </c>
      <c r="C2954" s="7">
        <f>IFERROR(__xludf.DUMMYFUNCTION("""COMPUTED_VALUE"""),7.8049808)</f>
        <v>7.8049808</v>
      </c>
      <c r="D2954" s="7">
        <f>IFERROR(__xludf.DUMMYFUNCTION("""COMPUTED_VALUE"""),0.358024691358024)</f>
        <v>0.3580246914</v>
      </c>
    </row>
    <row r="2955">
      <c r="A2955" s="10" t="s">
        <v>4394</v>
      </c>
      <c r="B2955" s="7" t="str">
        <f>IFERROR(__xludf.DUMMYFUNCTION("SPLIT(A2955,"" "")"),"CNCc1ncccc1C(C)(C)C(C)N")</f>
        <v>CNCc1ncccc1C(C)(C)C(C)N</v>
      </c>
      <c r="C2955" s="7">
        <f>IFERROR(__xludf.DUMMYFUNCTION("""COMPUTED_VALUE"""),7.8049726)</f>
        <v>7.8049726</v>
      </c>
      <c r="D2955" s="7">
        <f>IFERROR(__xludf.DUMMYFUNCTION("""COMPUTED_VALUE"""),0.27906976744186)</f>
        <v>0.2790697674</v>
      </c>
    </row>
    <row r="2956">
      <c r="A2956" s="10" t="s">
        <v>4395</v>
      </c>
      <c r="B2956" s="7" t="str">
        <f>IFERROR(__xludf.DUMMYFUNCTION("SPLIT(A2956,"" "")"),"CN(Cc1ccc(-c2cccc3c2OCCOCCOCCOCCOCCO3)cn1)C1CCC(N(C)c2cccnc2Cl)CC1")</f>
        <v>CN(Cc1ccc(-c2cccc3c2OCCOCCOCCOCCOCCO3)cn1)C1CCC(N(C)c2cccnc2Cl)CC1</v>
      </c>
      <c r="C2956" s="7">
        <f>IFERROR(__xludf.DUMMYFUNCTION("""COMPUTED_VALUE"""),7.8049674)</f>
        <v>7.8049674</v>
      </c>
      <c r="D2956" s="7">
        <f>IFERROR(__xludf.DUMMYFUNCTION("""COMPUTED_VALUE"""),0.32051282051282)</f>
        <v>0.3205128205</v>
      </c>
    </row>
    <row r="2957">
      <c r="A2957" s="10" t="s">
        <v>4396</v>
      </c>
      <c r="B2957" s="7" t="str">
        <f>IFERROR(__xludf.DUMMYFUNCTION("SPLIT(A2957,"" "")"),"CC1=CCC(C)C(C)(C)C12C=CNC(C(C)C)=C2")</f>
        <v>CC1=CCC(C)C(C)(C)C12C=CNC(C(C)C)=C2</v>
      </c>
      <c r="C2957" s="7">
        <f>IFERROR(__xludf.DUMMYFUNCTION("""COMPUTED_VALUE"""),7.804964)</f>
        <v>7.804964</v>
      </c>
      <c r="D2957" s="7">
        <f>IFERROR(__xludf.DUMMYFUNCTION("""COMPUTED_VALUE"""),0.131147540983606)</f>
        <v>0.131147541</v>
      </c>
    </row>
    <row r="2958">
      <c r="A2958" s="10" t="s">
        <v>4397</v>
      </c>
      <c r="B2958" s="7" t="str">
        <f>IFERROR(__xludf.DUMMYFUNCTION("SPLIT(A2958,"" "")"),"Cc1cc(C)c(C)c(CN(C)C2CCCC(N(Cc3ccccn3)CC3C=CNC=C3)C2)n1")</f>
        <v>Cc1cc(C)c(C)c(CN(C)C2CCCC(N(Cc3ccccn3)CC3C=CNC=C3)C2)n1</v>
      </c>
      <c r="C2958" s="7">
        <f>IFERROR(__xludf.DUMMYFUNCTION("""COMPUTED_VALUE"""),7.804959)</f>
        <v>7.804959</v>
      </c>
      <c r="D2958" s="7">
        <f>IFERROR(__xludf.DUMMYFUNCTION("""COMPUTED_VALUE"""),0.369230769230769)</f>
        <v>0.3692307692</v>
      </c>
    </row>
    <row r="2959">
      <c r="A2959" s="10" t="s">
        <v>4398</v>
      </c>
      <c r="B2959" s="7" t="str">
        <f>IFERROR(__xludf.DUMMYFUNCTION("SPLIT(A2959,"" "")"),"Cc1cc(C)c(CN(C)C2CCCC(N(C)Cc3ncccc3C)C2)cn1")</f>
        <v>Cc1cc(C)c(CN(C)C2CCCC(N(C)Cc3ncccc3C)C2)cn1</v>
      </c>
      <c r="C2959" s="7">
        <f>IFERROR(__xludf.DUMMYFUNCTION("""COMPUTED_VALUE"""),7.8049464)</f>
        <v>7.8049464</v>
      </c>
      <c r="D2959" s="7">
        <f>IFERROR(__xludf.DUMMYFUNCTION("""COMPUTED_VALUE"""),0.321428571428571)</f>
        <v>0.3214285714</v>
      </c>
    </row>
    <row r="2960">
      <c r="A2960" s="10" t="s">
        <v>4399</v>
      </c>
      <c r="B2960" s="7" t="str">
        <f>IFERROR(__xludf.DUMMYFUNCTION("SPLIT(A2960,"" "")"),"CN1CCN(C)CCN(C2CCCC(N(C)c3cccc4ncc(CF)cc34)C2)CC1")</f>
        <v>CN1CCN(C)CCN(C2CCCC(N(C)c3cccc4ncc(CF)cc34)C2)CC1</v>
      </c>
      <c r="C2960" s="7">
        <f>IFERROR(__xludf.DUMMYFUNCTION("""COMPUTED_VALUE"""),7.804945)</f>
        <v>7.804945</v>
      </c>
      <c r="D2960" s="7">
        <f>IFERROR(__xludf.DUMMYFUNCTION("""COMPUTED_VALUE"""),0.285714285714285)</f>
        <v>0.2857142857</v>
      </c>
    </row>
    <row r="2961">
      <c r="A2961" s="10" t="s">
        <v>4400</v>
      </c>
      <c r="B2961" s="7" t="str">
        <f>IFERROR(__xludf.DUMMYFUNCTION("SPLIT(A2961,"" "")"),"CN(Cc1ncccc1-c1ccc2c(c1)OCCOCCOCCOCCOCCO2)C(C)(C)c1cccnc1")</f>
        <v>CN(Cc1ncccc1-c1ccc2c(c1)OCCOCCOCCOCCOCCO2)C(C)(C)c1cccnc1</v>
      </c>
      <c r="C2961" s="7">
        <f>IFERROR(__xludf.DUMMYFUNCTION("""COMPUTED_VALUE"""),7.804935)</f>
        <v>7.804935</v>
      </c>
      <c r="D2961" s="7">
        <f>IFERROR(__xludf.DUMMYFUNCTION("""COMPUTED_VALUE"""),0.328767123287671)</f>
        <v>0.3287671233</v>
      </c>
    </row>
    <row r="2962">
      <c r="A2962" s="10" t="s">
        <v>4401</v>
      </c>
      <c r="B2962" s="7" t="str">
        <f>IFERROR(__xludf.DUMMYFUNCTION("SPLIT(A2962,"" "")"),"CN(Cc1ncccc1-c1cccc2c1OCCOCCOCCOCCOCCO2)C(C)(C)c1ccccn1")</f>
        <v>CN(Cc1ncccc1-c1cccc2c1OCCOCCOCCOCCOCCO2)C(C)(C)c1ccccn1</v>
      </c>
      <c r="C2962" s="7">
        <f>IFERROR(__xludf.DUMMYFUNCTION("""COMPUTED_VALUE"""),7.8049316)</f>
        <v>7.8049316</v>
      </c>
      <c r="D2962" s="7">
        <f>IFERROR(__xludf.DUMMYFUNCTION("""COMPUTED_VALUE"""),0.285714285714285)</f>
        <v>0.2857142857</v>
      </c>
    </row>
    <row r="2963">
      <c r="A2963" s="10" t="s">
        <v>4402</v>
      </c>
      <c r="B2963" s="7" t="str">
        <f>IFERROR(__xludf.DUMMYFUNCTION("SPLIT(A2963,"" "")"),"CC(C)CN(CC1=CCC=CN1)CC1=CCC=CN1")</f>
        <v>CC(C)CN(CC1=CCC=CN1)CC1=CCC=CN1</v>
      </c>
      <c r="C2963" s="7">
        <f>IFERROR(__xludf.DUMMYFUNCTION("""COMPUTED_VALUE"""),7.804915)</f>
        <v>7.804915</v>
      </c>
      <c r="D2963" s="7">
        <f>IFERROR(__xludf.DUMMYFUNCTION("""COMPUTED_VALUE"""),0.5)</f>
        <v>0.5</v>
      </c>
    </row>
    <row r="2964">
      <c r="A2964" s="10" t="s">
        <v>4403</v>
      </c>
      <c r="B2964" s="7" t="str">
        <f>IFERROR(__xludf.DUMMYFUNCTION("SPLIT(A2964,"" "")"),"CCC(C)C1=NCC(C)(C)O1")</f>
        <v>CCC(C)C1=NCC(C)(C)O1</v>
      </c>
      <c r="C2964" s="7">
        <f>IFERROR(__xludf.DUMMYFUNCTION("""COMPUTED_VALUE"""),7.8049145)</f>
        <v>7.8049145</v>
      </c>
      <c r="D2964" s="7">
        <f>IFERROR(__xludf.DUMMYFUNCTION("""COMPUTED_VALUE"""),0.159090909090909)</f>
        <v>0.1590909091</v>
      </c>
    </row>
    <row r="2965">
      <c r="A2965" s="10" t="s">
        <v>4404</v>
      </c>
      <c r="B2965" s="7" t="str">
        <f>IFERROR(__xludf.DUMMYFUNCTION("SPLIT(A2965,"" "")"),"Cc1cnc(CN(C)C2CCC(N(C)Cc3ccnc(CNC(C)C)c3)CC2)cc1C")</f>
        <v>Cc1cnc(CN(C)C2CCC(N(C)Cc3ccnc(CNC(C)C)c3)CC2)cc1C</v>
      </c>
      <c r="C2965" s="7">
        <f>IFERROR(__xludf.DUMMYFUNCTION("""COMPUTED_VALUE"""),7.804908)</f>
        <v>7.804908</v>
      </c>
      <c r="D2965" s="7">
        <f>IFERROR(__xludf.DUMMYFUNCTION("""COMPUTED_VALUE"""),0.368421052631578)</f>
        <v>0.3684210526</v>
      </c>
    </row>
    <row r="2966">
      <c r="A2966" s="10" t="s">
        <v>4405</v>
      </c>
      <c r="B2966" s="7" t="str">
        <f>IFERROR(__xludf.DUMMYFUNCTION("SPLIT(A2966,"" "")"),"CNCc1ncccc1CN(C)C1CCCCC1N(C)Cc1nc(C)c(C)cc1C")</f>
        <v>CNCc1ncccc1CN(C)C1CCCCC1N(C)Cc1nc(C)c(C)cc1C</v>
      </c>
      <c r="C2966" s="7">
        <f>IFERROR(__xludf.DUMMYFUNCTION("""COMPUTED_VALUE"""),7.804905)</f>
        <v>7.804905</v>
      </c>
      <c r="D2966" s="7">
        <f>IFERROR(__xludf.DUMMYFUNCTION("""COMPUTED_VALUE"""),0.418181818181818)</f>
        <v>0.4181818182</v>
      </c>
    </row>
    <row r="2967">
      <c r="A2967" s="10" t="s">
        <v>4406</v>
      </c>
      <c r="B2967" s="7" t="str">
        <f>IFERROR(__xludf.DUMMYFUNCTION("SPLIT(A2967,"" "")"),"CC1=C(C)C(C)CC2(CCC(c3cc(C)c(CN4CCN(C)CCN(C)CC4)c(C)n3)=CC23CC(C(C)(C)C)C=CC3(C)C)C1")</f>
        <v>CC1=C(C)C(C)CC2(CCC(c3cc(C)c(CN4CCN(C)CCN(C)CC4)c(C)n3)=CC23CC(C(C)(C)C)C=CC3(C)C)C1</v>
      </c>
      <c r="C2967" s="7">
        <f>IFERROR(__xludf.DUMMYFUNCTION("""COMPUTED_VALUE"""),7.804882)</f>
        <v>7.804882</v>
      </c>
      <c r="D2967" s="7">
        <f>IFERROR(__xludf.DUMMYFUNCTION("""COMPUTED_VALUE"""),0.256410256410256)</f>
        <v>0.2564102564</v>
      </c>
    </row>
    <row r="2968">
      <c r="A2968" s="10" t="s">
        <v>4407</v>
      </c>
      <c r="B2968" s="7" t="str">
        <f>IFERROR(__xludf.DUMMYFUNCTION("SPLIT(A2968,"" "")"),"CCNCc1ccc(CN(C)C2CCCC(N(C)Cc3ncc(C)c(C)c3C)C2)cn1")</f>
        <v>CCNCc1ccc(CN(C)C2CCCC(N(C)Cc3ncc(C)c(C)c3C)C2)cn1</v>
      </c>
      <c r="C2968" s="7">
        <f>IFERROR(__xludf.DUMMYFUNCTION("""COMPUTED_VALUE"""),7.804882)</f>
        <v>7.804882</v>
      </c>
      <c r="D2968" s="7">
        <f>IFERROR(__xludf.DUMMYFUNCTION("""COMPUTED_VALUE"""),0.35)</f>
        <v>0.35</v>
      </c>
    </row>
    <row r="2969">
      <c r="A2969" s="10" t="s">
        <v>4408</v>
      </c>
      <c r="B2969" s="7" t="str">
        <f>IFERROR(__xludf.DUMMYFUNCTION("SPLIT(A2969,"" "")"),"Cc1cccnc1CN(C)C1CCCCC1N(C)c1cccc(CN(C)C(C)C)n1")</f>
        <v>Cc1cccnc1CN(C)C1CCCCC1N(C)c1cccc(CN(C)C(C)C)n1</v>
      </c>
      <c r="C2969" s="7">
        <f>IFERROR(__xludf.DUMMYFUNCTION("""COMPUTED_VALUE"""),7.804881)</f>
        <v>7.804881</v>
      </c>
      <c r="D2969" s="7">
        <f>IFERROR(__xludf.DUMMYFUNCTION("""COMPUTED_VALUE"""),0.464285714285714)</f>
        <v>0.4642857143</v>
      </c>
    </row>
    <row r="2970">
      <c r="A2970" s="10" t="s">
        <v>4409</v>
      </c>
      <c r="B2970" s="7" t="str">
        <f>IFERROR(__xludf.DUMMYFUNCTION("SPLIT(A2970,"" "")"),"CCN1CCN(C)CCN(Cc2cnccc2-c2cccc(N)c2)CC1")</f>
        <v>CCN1CCN(C)CCN(Cc2cnccc2-c2cccc(N)c2)CC1</v>
      </c>
      <c r="C2970" s="7">
        <f>IFERROR(__xludf.DUMMYFUNCTION("""COMPUTED_VALUE"""),7.804879)</f>
        <v>7.804879</v>
      </c>
      <c r="D2970" s="7">
        <f>IFERROR(__xludf.DUMMYFUNCTION("""COMPUTED_VALUE"""),0.351851851851851)</f>
        <v>0.3518518519</v>
      </c>
    </row>
    <row r="2971">
      <c r="A2971" s="10" t="s">
        <v>4410</v>
      </c>
      <c r="B2971" s="7" t="str">
        <f>IFERROR(__xludf.DUMMYFUNCTION("SPLIT(A2971,"" "")"),"CC1N=COC1CN(C)CCSCc1ccccn1")</f>
        <v>CC1N=COC1CN(C)CCSCc1ccccn1</v>
      </c>
      <c r="C2971" s="7">
        <f>IFERROR(__xludf.DUMMYFUNCTION("""COMPUTED_VALUE"""),7.804873)</f>
        <v>7.804873</v>
      </c>
      <c r="D2971" s="7">
        <f>IFERROR(__xludf.DUMMYFUNCTION("""COMPUTED_VALUE"""),0.477272727272727)</f>
        <v>0.4772727273</v>
      </c>
    </row>
    <row r="2972">
      <c r="A2972" s="10" t="s">
        <v>4411</v>
      </c>
      <c r="B2972" s="7" t="str">
        <f>IFERROR(__xludf.DUMMYFUNCTION("SPLIT(A2972,"" "")"),"CCNCc1cccc(CN(C)Cc2cccc(-c3ccc4c(c3)OCCOCCOCCOCCOCCO4)n2)n1")</f>
        <v>CCNCc1cccc(CN(C)Cc2cccc(-c3ccc4c(c3)OCCOCCOCCOCCOCCO4)n2)n1</v>
      </c>
      <c r="C2972" s="7">
        <f>IFERROR(__xludf.DUMMYFUNCTION("""COMPUTED_VALUE"""),7.8048706)</f>
        <v>7.8048706</v>
      </c>
      <c r="D2972" s="7">
        <f>IFERROR(__xludf.DUMMYFUNCTION("""COMPUTED_VALUE"""),0.35)</f>
        <v>0.35</v>
      </c>
    </row>
    <row r="2973">
      <c r="A2973" s="10" t="s">
        <v>4412</v>
      </c>
      <c r="B2973" s="7" t="str">
        <f>IFERROR(__xludf.DUMMYFUNCTION("SPLIT(A2973,"" "")"),"CNCc1cc2c(cn1)CCCC2")</f>
        <v>CNCc1cc2c(cn1)CCCC2</v>
      </c>
      <c r="C2973" s="7">
        <f>IFERROR(__xludf.DUMMYFUNCTION("""COMPUTED_VALUE"""),7.8048673)</f>
        <v>7.8048673</v>
      </c>
      <c r="D2973" s="7">
        <f>IFERROR(__xludf.DUMMYFUNCTION("""COMPUTED_VALUE"""),0.25)</f>
        <v>0.25</v>
      </c>
    </row>
    <row r="2974">
      <c r="A2974" s="10" t="s">
        <v>4413</v>
      </c>
      <c r="B2974" s="7" t="str">
        <f>IFERROR(__xludf.DUMMYFUNCTION("SPLIT(A2974,"" "")"),"Cc1cnc(CN(C)C2CCCC(N(Cc3ccccn3)Cc3ncccc3-c3ccc4c(c3)OCCOCCOCCOCCOCCO4)C2)c(C)c1")</f>
        <v>Cc1cnc(CN(C)C2CCCC(N(Cc3ccccn3)Cc3ncccc3-c3ccc4c(c3)OCCOCCOCCOCCOCCO4)C2)c(C)c1</v>
      </c>
      <c r="C2974" s="7">
        <f>IFERROR(__xludf.DUMMYFUNCTION("""COMPUTED_VALUE"""),7.804866)</f>
        <v>7.804866</v>
      </c>
      <c r="D2974" s="7">
        <f>IFERROR(__xludf.DUMMYFUNCTION("""COMPUTED_VALUE"""),0.325581395348837)</f>
        <v>0.3255813953</v>
      </c>
    </row>
    <row r="2975">
      <c r="A2975" s="10" t="s">
        <v>4414</v>
      </c>
      <c r="B2975" s="7" t="str">
        <f>IFERROR(__xludf.DUMMYFUNCTION("SPLIT(A2975,"" "")"),"CNc1ccc(C)nc1CN(Cc1ccccn1)C1CCCCC1")</f>
        <v>CNc1ccc(C)nc1CN(Cc1ccccn1)C1CCCCC1</v>
      </c>
      <c r="C2975" s="7">
        <f>IFERROR(__xludf.DUMMYFUNCTION("""COMPUTED_VALUE"""),7.804862)</f>
        <v>7.804862</v>
      </c>
      <c r="D2975" s="7">
        <f>IFERROR(__xludf.DUMMYFUNCTION("""COMPUTED_VALUE"""),0.433962264150943)</f>
        <v>0.4339622642</v>
      </c>
    </row>
    <row r="2976">
      <c r="A2976" s="10" t="s">
        <v>4415</v>
      </c>
      <c r="B2976" s="7" t="str">
        <f>IFERROR(__xludf.DUMMYFUNCTION("SPLIT(A2976,"" "")"),"CNCc1cc(CN(C)C2CCCCC2N(C)Cc2nc(C)c(C)cc2C)ccn1")</f>
        <v>CNCc1cc(CN(C)C2CCCCC2N(C)Cc2nc(C)c(C)cc2C)ccn1</v>
      </c>
      <c r="C2976" s="7">
        <f>IFERROR(__xludf.DUMMYFUNCTION("""COMPUTED_VALUE"""),7.8048296)</f>
        <v>7.8048296</v>
      </c>
      <c r="D2976" s="7">
        <f>IFERROR(__xludf.DUMMYFUNCTION("""COMPUTED_VALUE"""),0.425925925925925)</f>
        <v>0.4259259259</v>
      </c>
    </row>
    <row r="2977">
      <c r="A2977" s="10" t="s">
        <v>4416</v>
      </c>
      <c r="B2977" s="7" t="str">
        <f>IFERROR(__xludf.DUMMYFUNCTION("SPLIT(A2977,"" "")"),"COC(=O)C1CN(C)C(C(=O)C(C)N)C(C(=O)C(C)N)C1C(=O)C(C)N")</f>
        <v>COC(=O)C1CN(C)C(C(=O)C(C)N)C(C(=O)C(C)N)C1C(=O)C(C)N</v>
      </c>
      <c r="C2977" s="7">
        <f>IFERROR(__xludf.DUMMYFUNCTION("""COMPUTED_VALUE"""),7.8048253)</f>
        <v>7.8048253</v>
      </c>
      <c r="D2977" s="7">
        <f>IFERROR(__xludf.DUMMYFUNCTION("""COMPUTED_VALUE"""),0.225806451612903)</f>
        <v>0.2258064516</v>
      </c>
    </row>
    <row r="2978">
      <c r="A2978" s="10" t="s">
        <v>4417</v>
      </c>
      <c r="B2978" s="7" t="str">
        <f>IFERROR(__xludf.DUMMYFUNCTION("SPLIT(A2978,"" "")"),"c1ccc(CNCN(Cc2ccccn2)Cc2cccc(-c3ccc4c(c3)OCCOCCOCCOCCOCCO4)n2)nc1")</f>
        <v>c1ccc(CNCN(Cc2ccccn2)Cc2cccc(-c3ccc4c(c3)OCCOCCOCCOCCOCCO4)n2)nc1</v>
      </c>
      <c r="C2978" s="7">
        <f>IFERROR(__xludf.DUMMYFUNCTION("""COMPUTED_VALUE"""),7.80482)</f>
        <v>7.80482</v>
      </c>
      <c r="D2978" s="7">
        <f>IFERROR(__xludf.DUMMYFUNCTION("""COMPUTED_VALUE"""),0.453125)</f>
        <v>0.453125</v>
      </c>
    </row>
    <row r="2979">
      <c r="A2979" s="10" t="s">
        <v>4418</v>
      </c>
      <c r="B2979" s="7" t="str">
        <f>IFERROR(__xludf.DUMMYFUNCTION("SPLIT(A2979,"" "")"),"CC(C)N(CCN(Cc1ccccn1)Cc1cccc(-c2ccc3c(c2)OCCOCCOCCOCCOCCO3)n1)Cc1ccccn1")</f>
        <v>CC(C)N(CCN(Cc1ccccn1)Cc1cccc(-c2ccc3c(c2)OCCOCCOCCOCCOCCO3)n1)Cc1ccccn1</v>
      </c>
      <c r="C2979" s="7">
        <f>IFERROR(__xludf.DUMMYFUNCTION("""COMPUTED_VALUE"""),7.8048153)</f>
        <v>7.8048153</v>
      </c>
      <c r="D2979" s="7">
        <f>IFERROR(__xludf.DUMMYFUNCTION("""COMPUTED_VALUE"""),0.482142857142857)</f>
        <v>0.4821428571</v>
      </c>
    </row>
    <row r="2980">
      <c r="A2980" s="10" t="s">
        <v>4419</v>
      </c>
      <c r="B2980" s="7" t="str">
        <f>IFERROR(__xludf.DUMMYFUNCTION("SPLIT(A2980,"" "")"),"CC(N)C(C)N(C)CC1=C(N(C)C(C)C)CC=CN1")</f>
        <v>CC(N)C(C)N(C)CC1=C(N(C)C(C)C)CC=CN1</v>
      </c>
      <c r="C2980" s="7">
        <f>IFERROR(__xludf.DUMMYFUNCTION("""COMPUTED_VALUE"""),7.804801)</f>
        <v>7.804801</v>
      </c>
      <c r="D2980" s="7">
        <f>IFERROR(__xludf.DUMMYFUNCTION("""COMPUTED_VALUE"""),0.192307692307692)</f>
        <v>0.1923076923</v>
      </c>
    </row>
    <row r="2981">
      <c r="A2981" s="10" t="s">
        <v>4420</v>
      </c>
      <c r="B2981" s="7" t="str">
        <f>IFERROR(__xludf.DUMMYFUNCTION("SPLIT(A2981,"" "")"),"Cc1cc(C)c(C2CC(C)(C)C2)nc1CN1CCN(C)CCN(C)CC1")</f>
        <v>Cc1cc(C)c(C2CC(C)(C)C2)nc1CN1CCN(C)CCN(C)CC1</v>
      </c>
      <c r="C2981" s="7">
        <f>IFERROR(__xludf.DUMMYFUNCTION("""COMPUTED_VALUE"""),7.804798)</f>
        <v>7.804798</v>
      </c>
      <c r="D2981" s="7">
        <f>IFERROR(__xludf.DUMMYFUNCTION("""COMPUTED_VALUE"""),0.395833333333333)</f>
        <v>0.3958333333</v>
      </c>
    </row>
    <row r="2982">
      <c r="A2982" s="10" t="s">
        <v>4421</v>
      </c>
      <c r="B2982" s="7" t="str">
        <f>IFERROR(__xludf.DUMMYFUNCTION("SPLIT(A2982,"" "")"),"Cc1cccnc1CN(C(C)C)C1CCC(N(C)Cc2cncc(C)c2C)CC1")</f>
        <v>Cc1cccnc1CN(C(C)C)C1CCC(N(C)Cc2cncc(C)c2C)CC1</v>
      </c>
      <c r="C2982" s="7">
        <f>IFERROR(__xludf.DUMMYFUNCTION("""COMPUTED_VALUE"""),7.804772)</f>
        <v>7.804772</v>
      </c>
      <c r="D2982" s="7">
        <f>IFERROR(__xludf.DUMMYFUNCTION("""COMPUTED_VALUE"""),0.278688524590163)</f>
        <v>0.2786885246</v>
      </c>
    </row>
    <row r="2983">
      <c r="A2983" s="10" t="s">
        <v>4422</v>
      </c>
      <c r="B2983" s="7" t="str">
        <f>IFERROR(__xludf.DUMMYFUNCTION("SPLIT(A2983,"" "")"),"CNC1=CCNC=C1")</f>
        <v>CNC1=CCNC=C1</v>
      </c>
      <c r="C2983" s="7">
        <f>IFERROR(__xludf.DUMMYFUNCTION("""COMPUTED_VALUE"""),7.8047566)</f>
        <v>7.8047566</v>
      </c>
      <c r="D2983" s="7">
        <f>IFERROR(__xludf.DUMMYFUNCTION("""COMPUTED_VALUE"""),0.155555555555555)</f>
        <v>0.1555555556</v>
      </c>
    </row>
    <row r="2984">
      <c r="A2984" s="10" t="s">
        <v>4423</v>
      </c>
      <c r="B2984" s="7" t="str">
        <f>IFERROR(__xludf.DUMMYFUNCTION("SPLIT(A2984,"" "")"),"CN(CC1=CC(N(C)C(c2ccccc2)c2ccccn2)C=CN1)c1ccc2c(c1)OCCOCCOCCOCCOCCO2")</f>
        <v>CN(CC1=CC(N(C)C(c2ccccc2)c2ccccn2)C=CN1)c1ccc2c(c1)OCCOCCOCCOCCOCCO2</v>
      </c>
      <c r="C2984" s="7">
        <f>IFERROR(__xludf.DUMMYFUNCTION("""COMPUTED_VALUE"""),7.8047485)</f>
        <v>7.8047485</v>
      </c>
      <c r="D2984" s="7">
        <f>IFERROR(__xludf.DUMMYFUNCTION("""COMPUTED_VALUE"""),0.385714285714285)</f>
        <v>0.3857142857</v>
      </c>
    </row>
    <row r="2985">
      <c r="A2985" s="10" t="s">
        <v>4424</v>
      </c>
      <c r="B2985" s="7" t="str">
        <f>IFERROR(__xludf.DUMMYFUNCTION("SPLIT(A2985,"" "")"),"CC1C(N(C)Cc2ccccn2)=CCC(C)(C)C1C")</f>
        <v>CC1C(N(C)Cc2ccccn2)=CCC(C)(C)C1C</v>
      </c>
      <c r="C2985" s="7">
        <f>IFERROR(__xludf.DUMMYFUNCTION("""COMPUTED_VALUE"""),7.8047466)</f>
        <v>7.8047466</v>
      </c>
      <c r="D2985" s="7">
        <f>IFERROR(__xludf.DUMMYFUNCTION("""COMPUTED_VALUE"""),0.446808510638297)</f>
        <v>0.4468085106</v>
      </c>
    </row>
    <row r="2986">
      <c r="A2986" s="10" t="s">
        <v>4425</v>
      </c>
      <c r="B2986" s="7" t="str">
        <f>IFERROR(__xludf.DUMMYFUNCTION("SPLIT(A2986,"" "")"),"CC(C)N(C)CC1=C(N(C)Cc2cccc(-c3ccc4c(c3)OCCOCCOCCOCCOCCO4)n2)CC=CN1")</f>
        <v>CC(C)N(C)CC1=C(N(C)Cc2cccc(-c3ccc4c(c3)OCCOCCOCCOCCOCCO4)n2)CC=CN1</v>
      </c>
      <c r="C2986" s="7">
        <f>IFERROR(__xludf.DUMMYFUNCTION("""COMPUTED_VALUE"""),7.804743)</f>
        <v>7.804743</v>
      </c>
      <c r="D2986" s="7">
        <f>IFERROR(__xludf.DUMMYFUNCTION("""COMPUTED_VALUE"""),0.2875)</f>
        <v>0.2875</v>
      </c>
    </row>
    <row r="2987">
      <c r="A2987" s="10" t="s">
        <v>4426</v>
      </c>
      <c r="B2987" s="7" t="str">
        <f>IFERROR(__xludf.DUMMYFUNCTION("SPLIT(A2987,"" "")"),"Cc1c(N(Cc2ccccn2)Cc2cccnn2)ccc2c1OCCOCCOCCOCCOCCO2")</f>
        <v>Cc1c(N(Cc2ccccn2)Cc2cccnn2)ccc2c1OCCOCCOCCOCCOCCO2</v>
      </c>
      <c r="C2987" s="7">
        <f>IFERROR(__xludf.DUMMYFUNCTION("""COMPUTED_VALUE"""),7.8047347)</f>
        <v>7.8047347</v>
      </c>
      <c r="D2987" s="7">
        <f>IFERROR(__xludf.DUMMYFUNCTION("""COMPUTED_VALUE"""),0.461538461538461)</f>
        <v>0.4615384615</v>
      </c>
    </row>
    <row r="2988">
      <c r="A2988" s="10" t="s">
        <v>4427</v>
      </c>
      <c r="B2988" s="7" t="str">
        <f>IFERROR(__xludf.DUMMYFUNCTION("SPLIT(A2988,"" "")"),"Cc1cnc(CN(C)C2CCCC(N(Cc3cccnc3)C(C)C)C2)c(C)c1C")</f>
        <v>Cc1cnc(CN(C)C2CCCC(N(Cc3cccnc3)C(C)C)C2)c(C)c1C</v>
      </c>
      <c r="C2988" s="7">
        <f>IFERROR(__xludf.DUMMYFUNCTION("""COMPUTED_VALUE"""),7.8047123)</f>
        <v>7.8047123</v>
      </c>
      <c r="D2988" s="7">
        <f>IFERROR(__xludf.DUMMYFUNCTION("""COMPUTED_VALUE"""),0.285714285714285)</f>
        <v>0.2857142857</v>
      </c>
    </row>
    <row r="2989">
      <c r="A2989" s="10" t="s">
        <v>4428</v>
      </c>
      <c r="B2989" s="7" t="str">
        <f>IFERROR(__xludf.DUMMYFUNCTION("SPLIT(A2989,"" "")"),"CN(Cc1ccccn1)C1=CCC=C(CN(C)c2cccc3c2OCCOCCOCCOCCOCCO3)N1")</f>
        <v>CN(Cc1ccccn1)C1=CCC=C(CN(C)c2cccc3c2OCCOCCOCCOCCOCCO3)N1</v>
      </c>
      <c r="C2989" s="7">
        <f>IFERROR(__xludf.DUMMYFUNCTION("""COMPUTED_VALUE"""),7.804709)</f>
        <v>7.804709</v>
      </c>
      <c r="D2989" s="7">
        <f>IFERROR(__xludf.DUMMYFUNCTION("""COMPUTED_VALUE"""),0.377049180327868)</f>
        <v>0.3770491803</v>
      </c>
    </row>
    <row r="2990">
      <c r="A2990" s="10" t="s">
        <v>4429</v>
      </c>
      <c r="B2990" s="7" t="str">
        <f>IFERROR(__xludf.DUMMYFUNCTION("SPLIT(A2990,"" "")"),"CC(C)C1=CC2(C=CN1)C=CC(NCc1ccc(CN(Cc3ccccn3)Cc3cccc(-c4ccc5c(c4)OCCOCCOCCOCCOCCO5)n3)cn1)C(C)C2(C)C")</f>
        <v>CC(C)C1=CC2(C=CN1)C=CC(NCc1ccc(CN(Cc3ccccn3)Cc3cccc(-c4ccc5c(c4)OCCOCCOCCOCCOCCO5)n3)cn1)C(C)C2(C)C</v>
      </c>
      <c r="C2990" s="7">
        <f>IFERROR(__xludf.DUMMYFUNCTION("""COMPUTED_VALUE"""),7.8046985)</f>
        <v>7.8046985</v>
      </c>
      <c r="D2990" s="7">
        <f>IFERROR(__xludf.DUMMYFUNCTION("""COMPUTED_VALUE"""),0.313131313131313)</f>
        <v>0.3131313131</v>
      </c>
    </row>
    <row r="2991">
      <c r="A2991" s="10" t="s">
        <v>4430</v>
      </c>
      <c r="B2991" s="7" t="str">
        <f>IFERROR(__xludf.DUMMYFUNCTION("SPLIT(A2991,"" "")"),"CN(Cc1cccc(C2=CCC=CN2)n1)C1CCCC(N(C)Cc2cccc(-c3ccc4c(c3)OCCOCCOCCOCCOCCO4)n2)C1")</f>
        <v>CN(Cc1cccc(C2=CCC=CN2)n1)C1CCCC(N(C)Cc2cccc(-c3ccc4c(c3)OCCOCCOCCOCCOCCO4)n2)C1</v>
      </c>
      <c r="C2991" s="7">
        <f>IFERROR(__xludf.DUMMYFUNCTION("""COMPUTED_VALUE"""),7.8046927)</f>
        <v>7.8046927</v>
      </c>
      <c r="D2991" s="7">
        <f>IFERROR(__xludf.DUMMYFUNCTION("""COMPUTED_VALUE"""),0.325)</f>
        <v>0.325</v>
      </c>
    </row>
    <row r="2992">
      <c r="A2992" s="10" t="s">
        <v>4431</v>
      </c>
      <c r="B2992" s="7" t="str">
        <f>IFERROR(__xludf.DUMMYFUNCTION("SPLIT(A2992,"" "")"),"CC1=C(C)C(C)(C)CC(N(C)Cc2ccccn2)C1")</f>
        <v>CC1=C(C)C(C)(C)CC(N(C)Cc2ccccn2)C1</v>
      </c>
      <c r="C2992" s="7">
        <f>IFERROR(__xludf.DUMMYFUNCTION("""COMPUTED_VALUE"""),7.804689)</f>
        <v>7.804689</v>
      </c>
      <c r="D2992" s="7">
        <f>IFERROR(__xludf.DUMMYFUNCTION("""COMPUTED_VALUE"""),0.5)</f>
        <v>0.5</v>
      </c>
    </row>
    <row r="2993">
      <c r="A2993" s="10" t="s">
        <v>4432</v>
      </c>
      <c r="B2993" s="7" t="str">
        <f>IFERROR(__xludf.DUMMYFUNCTION("SPLIT(A2993,"" "")"),"Cc1ccc(CNCC2CCCN2Cc2ncccc2C)nc1")</f>
        <v>Cc1ccc(CNCC2CCCN2Cc2ncccc2C)nc1</v>
      </c>
      <c r="C2993" s="7">
        <f>IFERROR(__xludf.DUMMYFUNCTION("""COMPUTED_VALUE"""),7.804687)</f>
        <v>7.804687</v>
      </c>
      <c r="D2993" s="7">
        <f>IFERROR(__xludf.DUMMYFUNCTION("""COMPUTED_VALUE"""),0.369230769230769)</f>
        <v>0.3692307692</v>
      </c>
    </row>
    <row r="2994">
      <c r="A2994" s="10" t="s">
        <v>4433</v>
      </c>
      <c r="B2994" s="7" t="str">
        <f>IFERROR(__xludf.DUMMYFUNCTION("SPLIT(A2994,"" "")"),"Cc1cnc(CN(C)C2CCC(N(C)Cc3ncccc3C)CC2)c(C)c1")</f>
        <v>Cc1cnc(CN(C)C2CCC(N(C)Cc3ncccc3C)CC2)c(C)c1</v>
      </c>
      <c r="C2994" s="7">
        <f>IFERROR(__xludf.DUMMYFUNCTION("""COMPUTED_VALUE"""),7.8046484)</f>
        <v>7.8046484</v>
      </c>
      <c r="D2994" s="7">
        <f>IFERROR(__xludf.DUMMYFUNCTION("""COMPUTED_VALUE"""),0.352941176470588)</f>
        <v>0.3529411765</v>
      </c>
    </row>
    <row r="2995">
      <c r="A2995" s="10" t="s">
        <v>4434</v>
      </c>
      <c r="B2995" s="7" t="str">
        <f>IFERROR(__xludf.DUMMYFUNCTION("SPLIT(A2995,"" "")"),"Cc1cc(CN2CCN(C)CCN(Cc3ccnc(C(C)C)c3)CC2)nc(C)c1C")</f>
        <v>Cc1cc(CN2CCN(C)CCN(Cc3ccnc(C(C)C)c3)CC2)nc(C)c1C</v>
      </c>
      <c r="C2995" s="7">
        <f>IFERROR(__xludf.DUMMYFUNCTION("""COMPUTED_VALUE"""),7.804647)</f>
        <v>7.804647</v>
      </c>
      <c r="D2995" s="7">
        <f>IFERROR(__xludf.DUMMYFUNCTION("""COMPUTED_VALUE"""),0.461538461538461)</f>
        <v>0.4615384615</v>
      </c>
    </row>
    <row r="2996">
      <c r="A2996" s="10" t="s">
        <v>4435</v>
      </c>
      <c r="B2996" s="7" t="str">
        <f>IFERROR(__xludf.DUMMYFUNCTION("SPLIT(A2996,"" "")"),"CC1=C(CN(C)Cc2cc(C)ccn2)C(C)C(C)CC1")</f>
        <v>CC1=C(CN(C)Cc2cc(C)ccn2)C(C)C(C)CC1</v>
      </c>
      <c r="C2996" s="7">
        <f>IFERROR(__xludf.DUMMYFUNCTION("""COMPUTED_VALUE"""),7.804643)</f>
        <v>7.804643</v>
      </c>
      <c r="D2996" s="7">
        <f>IFERROR(__xludf.DUMMYFUNCTION("""COMPUTED_VALUE"""),0.372549019607843)</f>
        <v>0.3725490196</v>
      </c>
    </row>
    <row r="2997">
      <c r="A2997" s="10" t="s">
        <v>4436</v>
      </c>
      <c r="B2997" s="7" t="str">
        <f>IFERROR(__xludf.DUMMYFUNCTION("SPLIT(A2997,"" "")"),"CNCCN(C)Cc1cnccc1C")</f>
        <v>CNCCN(C)Cc1cnccc1C</v>
      </c>
      <c r="C2997" s="7">
        <f>IFERROR(__xludf.DUMMYFUNCTION("""COMPUTED_VALUE"""),7.804642)</f>
        <v>7.804642</v>
      </c>
      <c r="D2997" s="7">
        <f>IFERROR(__xludf.DUMMYFUNCTION("""COMPUTED_VALUE"""),0.326086956521739)</f>
        <v>0.3260869565</v>
      </c>
    </row>
    <row r="2998">
      <c r="A2998" s="10" t="s">
        <v>4437</v>
      </c>
      <c r="B2998" s="7" t="str">
        <f>IFERROR(__xludf.DUMMYFUNCTION("SPLIT(A2998,"" "")"),"CC(C)N(CCN(Cc1ccccn1)Cc1ncccc1-c1cccc2c1OCCOCCOCCOCCOCCO2)Cc1ccccn1")</f>
        <v>CC(C)N(CCN(Cc1ccccn1)Cc1ncccc1-c1cccc2c1OCCOCCOCCOCCOCCO2)Cc1ccccn1</v>
      </c>
      <c r="C2998" s="7">
        <f>IFERROR(__xludf.DUMMYFUNCTION("""COMPUTED_VALUE"""),7.804641)</f>
        <v>7.804641</v>
      </c>
      <c r="D2998" s="7">
        <f>IFERROR(__xludf.DUMMYFUNCTION("""COMPUTED_VALUE"""),0.482142857142857)</f>
        <v>0.4821428571</v>
      </c>
    </row>
    <row r="2999">
      <c r="A2999" s="10" t="s">
        <v>4438</v>
      </c>
      <c r="B2999" s="7" t="str">
        <f>IFERROR(__xludf.DUMMYFUNCTION("SPLIT(A2999,"" "")"),"CNCc1ccc(CN(C)C2CCCCC2N(C)Cc2cc(C)c(C)c(C)n2)cn1")</f>
        <v>CNCc1ccc(CN(C)C2CCCCC2N(C)Cc2cc(C)c(C)c(C)n2)cn1</v>
      </c>
      <c r="C2999" s="7">
        <f>IFERROR(__xludf.DUMMYFUNCTION("""COMPUTED_VALUE"""),7.804639)</f>
        <v>7.804639</v>
      </c>
      <c r="D2999" s="7">
        <f>IFERROR(__xludf.DUMMYFUNCTION("""COMPUTED_VALUE"""),0.481481481481481)</f>
        <v>0.4814814815</v>
      </c>
    </row>
    <row r="3000">
      <c r="A3000" s="10" t="s">
        <v>4439</v>
      </c>
      <c r="B3000" s="7" t="str">
        <f>IFERROR(__xludf.DUMMYFUNCTION("SPLIT(A3000,"" "")"),"Cc1c(CN(C)CCN)nc(-c2ccc3c(c2)OCCOCCOCCOCCOCCO3)c(C)c1C")</f>
        <v>Cc1c(CN(C)CCN)nc(-c2ccc3c(c2)OCCOCCOCCOCCOCCO3)c(C)c1C</v>
      </c>
      <c r="C3000" s="7">
        <f>IFERROR(__xludf.DUMMYFUNCTION("""COMPUTED_VALUE"""),7.8046384)</f>
        <v>7.8046384</v>
      </c>
      <c r="D3000" s="7">
        <f>IFERROR(__xludf.DUMMYFUNCTION("""COMPUTED_VALUE"""),0.318840579710144)</f>
        <v>0.3188405797</v>
      </c>
    </row>
    <row r="3001">
      <c r="A3001" s="10" t="s">
        <v>4440</v>
      </c>
      <c r="B3001" s="7" t="str">
        <f>IFERROR(__xludf.DUMMYFUNCTION("SPLIT(A3001,"" "")"),"CN(CCNCc1ccc(C(C)(C)C)cn1)Cc1ccc(-c2ccc3c(c2)OCCOCCOCCOCCOCCO3)cn1")</f>
        <v>CN(CCNCc1ccc(C(C)(C)C)cn1)Cc1ccc(-c2ccc3c(c2)OCCOCCOCCOCCOCCO3)cn1</v>
      </c>
      <c r="C3001" s="7">
        <f>IFERROR(__xludf.DUMMYFUNCTION("""COMPUTED_VALUE"""),7.8046308)</f>
        <v>7.8046308</v>
      </c>
      <c r="D3001" s="7">
        <f>IFERROR(__xludf.DUMMYFUNCTION("""COMPUTED_VALUE"""),0.428571428571428)</f>
        <v>0.4285714286</v>
      </c>
    </row>
    <row r="3002">
      <c r="A3002" s="10" t="s">
        <v>4441</v>
      </c>
      <c r="B3002" s="7" t="str">
        <f>IFERROR(__xludf.DUMMYFUNCTION("SPLIT(A3002,"" "")"),"CN(Cc1cccc(CN(C)C2C(N(C)Cc3ccccn3)CCCC2N(C)Cc2ccccn2)n1)C1CCC(N(C)Cc2ccccn2)C(N(Cc2ccccn2)Cc2cccc(-c3ccc4c(c3)OCCOCCOCCOCCOCCO4)n2)C1")</f>
        <v>CN(Cc1cccc(CN(C)C2C(N(C)Cc3ccccn3)CCCC2N(C)Cc2ccccn2)n1)C1CCC(N(C)Cc2ccccn2)C(N(Cc2ccccn2)Cc2cccc(-c3ccc4c(c3)OCCOCCOCCOCCOCCO4)n2)C1</v>
      </c>
      <c r="C3002" s="7">
        <f>IFERROR(__xludf.DUMMYFUNCTION("""COMPUTED_VALUE"""),7.804623)</f>
        <v>7.804623</v>
      </c>
      <c r="D3002" s="7">
        <f>IFERROR(__xludf.DUMMYFUNCTION("""COMPUTED_VALUE"""),0.408450704225352)</f>
        <v>0.4084507042</v>
      </c>
    </row>
    <row r="3003">
      <c r="A3003" s="10" t="s">
        <v>4442</v>
      </c>
      <c r="B3003" s="7" t="str">
        <f>IFERROR(__xludf.DUMMYFUNCTION("SPLIT(A3003,"" "")"),"Cc1cccnc1CN(C)CCN(C)C(C)(C)C")</f>
        <v>Cc1cccnc1CN(C)CCN(C)C(C)(C)C</v>
      </c>
      <c r="C3003" s="7">
        <f>IFERROR(__xludf.DUMMYFUNCTION("""COMPUTED_VALUE"""),7.804621)</f>
        <v>7.804621</v>
      </c>
      <c r="D3003" s="7">
        <f>IFERROR(__xludf.DUMMYFUNCTION("""COMPUTED_VALUE"""),0.409090909090909)</f>
        <v>0.4090909091</v>
      </c>
    </row>
    <row r="3004">
      <c r="A3004" s="10" t="s">
        <v>4443</v>
      </c>
      <c r="B3004" s="7" t="str">
        <f>IFERROR(__xludf.DUMMYFUNCTION("SPLIT(A3004,"" "")"),"CN(CCN(Cc1ccccn1)Cc1cccc(-c2cccc3c2OCCOCCOCCOCCOCCO3)n1)Cc1ccccn1")</f>
        <v>CN(CCN(Cc1ccccn1)Cc1cccc(-c2cccc3c2OCCOCCOCCOCCOCCO3)n1)Cc1ccccn1</v>
      </c>
      <c r="C3004" s="7">
        <f>IFERROR(__xludf.DUMMYFUNCTION("""COMPUTED_VALUE"""),7.804607)</f>
        <v>7.804607</v>
      </c>
      <c r="D3004" s="7">
        <f>IFERROR(__xludf.DUMMYFUNCTION("""COMPUTED_VALUE"""),0.473684210526315)</f>
        <v>0.4736842105</v>
      </c>
    </row>
    <row r="3005">
      <c r="A3005" s="10" t="s">
        <v>4444</v>
      </c>
      <c r="B3005" s="7" t="str">
        <f>IFERROR(__xludf.DUMMYFUNCTION("SPLIT(A3005,"" "")"),"Cc1ccc(CNCC2CCCN2Cc2ncccc2C)cn1")</f>
        <v>Cc1ccc(CNCC2CCCN2Cc2ncccc2C)cn1</v>
      </c>
      <c r="C3005" s="7">
        <f>IFERROR(__xludf.DUMMYFUNCTION("""COMPUTED_VALUE"""),7.8046036)</f>
        <v>7.8046036</v>
      </c>
      <c r="D3005" s="7">
        <f>IFERROR(__xludf.DUMMYFUNCTION("""COMPUTED_VALUE"""),0.353846153846153)</f>
        <v>0.3538461538</v>
      </c>
    </row>
    <row r="3006">
      <c r="A3006" s="10" t="s">
        <v>4445</v>
      </c>
      <c r="B3006" s="7" t="str">
        <f>IFERROR(__xludf.DUMMYFUNCTION("SPLIT(A3006,"" "")"),"Cc1cccnc1CN(Cc1ccccn1)C1CCCC(N(CF)Cc2ccccn2)C1")</f>
        <v>Cc1cccnc1CN(Cc1ccccn1)C1CCCC(N(CF)Cc2ccccn2)C1</v>
      </c>
      <c r="C3006" s="7">
        <f>IFERROR(__xludf.DUMMYFUNCTION("""COMPUTED_VALUE"""),7.8046)</f>
        <v>7.8046</v>
      </c>
      <c r="D3006" s="7">
        <f>IFERROR(__xludf.DUMMYFUNCTION("""COMPUTED_VALUE"""),0.423076923076923)</f>
        <v>0.4230769231</v>
      </c>
    </row>
    <row r="3007">
      <c r="A3007" s="10" t="s">
        <v>4446</v>
      </c>
      <c r="B3007" s="7" t="str">
        <f>IFERROR(__xludf.DUMMYFUNCTION("SPLIT(A3007,"" "")"),"CNC1CCCC(N(C)Cc2nc(C)c(C)c(C)c2C)C1")</f>
        <v>CNC1CCCC(N(C)Cc2nc(C)c(C)c(C)c2C)C1</v>
      </c>
      <c r="C3007" s="7">
        <f>IFERROR(__xludf.DUMMYFUNCTION("""COMPUTED_VALUE"""),7.8045754)</f>
        <v>7.8045754</v>
      </c>
      <c r="D3007" s="7">
        <f>IFERROR(__xludf.DUMMYFUNCTION("""COMPUTED_VALUE"""),0.259259259259259)</f>
        <v>0.2592592593</v>
      </c>
    </row>
    <row r="3008">
      <c r="A3008" s="10" t="s">
        <v>4447</v>
      </c>
      <c r="B3008" s="7" t="str">
        <f>IFERROR(__xludf.DUMMYFUNCTION("SPLIT(A3008,"" "")"),"CN1CCN(Cc2cc(C(C)(C)C)ccn2)CCN(c2ccccc2F)CC1")</f>
        <v>CN1CCN(Cc2cc(C(C)(C)C)ccn2)CCN(c2ccccc2F)CC1</v>
      </c>
      <c r="C3008" s="7">
        <f>IFERROR(__xludf.DUMMYFUNCTION("""COMPUTED_VALUE"""),7.8045692)</f>
        <v>7.8045692</v>
      </c>
      <c r="D3008" s="7">
        <f>IFERROR(__xludf.DUMMYFUNCTION("""COMPUTED_VALUE"""),0.490196078431372)</f>
        <v>0.4901960784</v>
      </c>
    </row>
    <row r="3009">
      <c r="A3009" s="10" t="s">
        <v>4448</v>
      </c>
      <c r="B3009" s="7" t="str">
        <f>IFERROR(__xludf.DUMMYFUNCTION("SPLIT(A3009,"" "")"),"CNCc1cccc(N(C)C2CCCC(N(C)Cc3ccccn3)C2)n1")</f>
        <v>CNCc1cccc(N(C)C2CCCC(N(C)Cc3ccccn3)C2)n1</v>
      </c>
      <c r="C3009" s="7">
        <f>IFERROR(__xludf.DUMMYFUNCTION("""COMPUTED_VALUE"""),7.8045573)</f>
        <v>7.8045573</v>
      </c>
      <c r="D3009" s="7">
        <f>IFERROR(__xludf.DUMMYFUNCTION("""COMPUTED_VALUE"""),0.48076923076923)</f>
        <v>0.4807692308</v>
      </c>
    </row>
    <row r="3010">
      <c r="A3010" s="10" t="s">
        <v>4449</v>
      </c>
      <c r="B3010" s="7" t="str">
        <f>IFERROR(__xludf.DUMMYFUNCTION("SPLIT(A3010,"" "")"),"Cc1cc(C)nc(CN(C)C2CCCC(N(C)Cc3ccnc(C)c3)C2)c1")</f>
        <v>Cc1cc(C)nc(CN(C)C2CCCC(N(C)Cc3ccnc(C)c3)C2)c1</v>
      </c>
      <c r="C3010" s="7">
        <f>IFERROR(__xludf.DUMMYFUNCTION("""COMPUTED_VALUE"""),7.804554)</f>
        <v>7.804554</v>
      </c>
      <c r="D3010" s="7">
        <f>IFERROR(__xludf.DUMMYFUNCTION("""COMPUTED_VALUE"""),0.37037037037037)</f>
        <v>0.3703703704</v>
      </c>
    </row>
    <row r="3011">
      <c r="A3011" s="10" t="s">
        <v>4450</v>
      </c>
      <c r="B3011" s="7" t="str">
        <f>IFERROR(__xludf.DUMMYFUNCTION("SPLIT(A3011,"" "")"),"CC(C)(C)CN(CC1=CCC=CN1)CC1=CCC=CN1")</f>
        <v>CC(C)(C)CN(CC1=CCC=CN1)CC1=CCC=CN1</v>
      </c>
      <c r="C3011" s="7">
        <f>IFERROR(__xludf.DUMMYFUNCTION("""COMPUTED_VALUE"""),7.804546)</f>
        <v>7.804546</v>
      </c>
      <c r="D3011" s="7">
        <f>IFERROR(__xludf.DUMMYFUNCTION("""COMPUTED_VALUE"""),0.5)</f>
        <v>0.5</v>
      </c>
    </row>
    <row r="3012">
      <c r="A3012" s="10" t="s">
        <v>4451</v>
      </c>
      <c r="B3012" s="7" t="str">
        <f>IFERROR(__xludf.DUMMYFUNCTION("SPLIT(A3012,"" "")"),"Cc1cncc(CN(C)CCN(Cc2ccccn2)C2(C)CCC2)c1")</f>
        <v>Cc1cncc(CN(C)CCN(Cc2ccccn2)C2(C)CCC2)c1</v>
      </c>
      <c r="C3012" s="7">
        <f>IFERROR(__xludf.DUMMYFUNCTION("""COMPUTED_VALUE"""),7.804544)</f>
        <v>7.804544</v>
      </c>
      <c r="D3012" s="7">
        <f>IFERROR(__xludf.DUMMYFUNCTION("""COMPUTED_VALUE"""),0.369230769230769)</f>
        <v>0.3692307692</v>
      </c>
    </row>
    <row r="3013">
      <c r="A3013" s="10" t="s">
        <v>4452</v>
      </c>
      <c r="B3013" s="7" t="str">
        <f>IFERROR(__xludf.DUMMYFUNCTION("SPLIT(A3013,"" "")"),"C1=CNC(C2C=CNC=C2)=CC1")</f>
        <v>C1=CNC(C2C=CNC=C2)=CC1</v>
      </c>
      <c r="C3013" s="7">
        <f>IFERROR(__xludf.DUMMYFUNCTION("""COMPUTED_VALUE"""),7.804543)</f>
        <v>7.804543</v>
      </c>
      <c r="D3013" s="7">
        <f>IFERROR(__xludf.DUMMYFUNCTION("""COMPUTED_VALUE"""),0.25531914893617)</f>
        <v>0.2553191489</v>
      </c>
    </row>
    <row r="3014">
      <c r="A3014" s="10" t="s">
        <v>4453</v>
      </c>
      <c r="B3014" s="7" t="str">
        <f>IFERROR(__xludf.DUMMYFUNCTION("SPLIT(A3014,"" "")"),"CN(CCN(Cc1ccccn1)Cc1ccccn1)Cc1cccc(-c2cccc3c2OCCOCCOCCOCCOCCO3)n1")</f>
        <v>CN(CCN(Cc1ccccn1)Cc1ccccn1)Cc1cccc(-c2cccc3c2OCCOCCOCCOCCOCCO3)n1</v>
      </c>
      <c r="C3014" s="7">
        <f>IFERROR(__xludf.DUMMYFUNCTION("""COMPUTED_VALUE"""),7.804543)</f>
        <v>7.804543</v>
      </c>
      <c r="D3014" s="7">
        <f>IFERROR(__xludf.DUMMYFUNCTION("""COMPUTED_VALUE"""),0.473684210526315)</f>
        <v>0.4736842105</v>
      </c>
    </row>
    <row r="3015">
      <c r="A3015" s="10" t="s">
        <v>4454</v>
      </c>
      <c r="B3015" s="7" t="str">
        <f>IFERROR(__xludf.DUMMYFUNCTION("SPLIT(A3015,"" "")"),"CC1=C(C)C(C)C2(CC(C)C=CC2C)C(C)C1N(C)Cc1ccccn1")</f>
        <v>CC1=C(C)C(C)C2(CC(C)C=CC2C)C(C)C1N(C)Cc1ccccn1</v>
      </c>
      <c r="C3015" s="7">
        <f>IFERROR(__xludf.DUMMYFUNCTION("""COMPUTED_VALUE"""),7.8045106)</f>
        <v>7.8045106</v>
      </c>
      <c r="D3015" s="7">
        <f>IFERROR(__xludf.DUMMYFUNCTION("""COMPUTED_VALUE"""),0.433962264150943)</f>
        <v>0.4339622642</v>
      </c>
    </row>
    <row r="3016">
      <c r="A3016" s="10" t="s">
        <v>4455</v>
      </c>
      <c r="B3016" s="7" t="str">
        <f>IFERROR(__xludf.DUMMYFUNCTION("SPLIT(A3016,"" "")"),"Cc1ccnc(CN(C)C2=CNC(CN(C)c3ccc4c(c3)OCCOCCOCCOCCOCCO4)=CC2)c1")</f>
        <v>Cc1ccnc(CN(C)C2=CNC(CN(C)c3ccc4c(c3)OCCOCCOCCOCCOCCO4)=CC2)c1</v>
      </c>
      <c r="C3016" s="7">
        <f>IFERROR(__xludf.DUMMYFUNCTION("""COMPUTED_VALUE"""),7.804509)</f>
        <v>7.804509</v>
      </c>
      <c r="D3016" s="7">
        <f>IFERROR(__xludf.DUMMYFUNCTION("""COMPUTED_VALUE"""),0.265822784810126)</f>
        <v>0.2658227848</v>
      </c>
    </row>
    <row r="3017">
      <c r="A3017" s="10" t="s">
        <v>4456</v>
      </c>
      <c r="B3017" s="7" t="str">
        <f>IFERROR(__xludf.DUMMYFUNCTION("SPLIT(A3017,"" "")"),"CN(Cc1ccc(-c2cccc3c2OCCOCCOCCOCCOCCO3)nc1)Cc1ccccn1")</f>
        <v>CN(Cc1ccc(-c2cccc3c2OCCOCCOCCOCCOCCO3)nc1)Cc1ccccn1</v>
      </c>
      <c r="C3017" s="7">
        <f>IFERROR(__xludf.DUMMYFUNCTION("""COMPUTED_VALUE"""),7.8045)</f>
        <v>7.8045</v>
      </c>
      <c r="D3017" s="7">
        <f>IFERROR(__xludf.DUMMYFUNCTION("""COMPUTED_VALUE"""),0.413793103448275)</f>
        <v>0.4137931034</v>
      </c>
    </row>
    <row r="3018">
      <c r="A3018" s="10" t="s">
        <v>4457</v>
      </c>
      <c r="B3018" s="7" t="str">
        <f>IFERROR(__xludf.DUMMYFUNCTION("SPLIT(A3018,"" "")"),"CC1C=CC(=O)CC1(C)c1ccc(CN(Cc2ccccn2)C2CCCCC2)cn1")</f>
        <v>CC1C=CC(=O)CC1(C)c1ccc(CN(Cc2ccccn2)C2CCCCC2)cn1</v>
      </c>
      <c r="C3018" s="7">
        <f>IFERROR(__xludf.DUMMYFUNCTION("""COMPUTED_VALUE"""),7.8044987)</f>
        <v>7.8044987</v>
      </c>
      <c r="D3018" s="7">
        <f>IFERROR(__xludf.DUMMYFUNCTION("""COMPUTED_VALUE"""),0.359375)</f>
        <v>0.359375</v>
      </c>
    </row>
    <row r="3019">
      <c r="A3019" s="10" t="s">
        <v>4458</v>
      </c>
      <c r="B3019" s="7" t="str">
        <f>IFERROR(__xludf.DUMMYFUNCTION("SPLIT(A3019,"" "")"),"Cc1cnc(CN(C)C2CCC(N(Cc3ccccn3)Cc3cccc(-c4ccc5c(c4)OCCOCCOCCOCCOCCO5)n3)CC2)c(C)c1C")</f>
        <v>Cc1cnc(CN(C)C2CCC(N(Cc3ccccn3)Cc3cccc(-c4ccc5c(c4)OCCOCCOCCOCCOCCO5)n3)CC2)c(C)c1C</v>
      </c>
      <c r="C3019" s="7">
        <f>IFERROR(__xludf.DUMMYFUNCTION("""COMPUTED_VALUE"""),7.804492)</f>
        <v>7.804492</v>
      </c>
      <c r="D3019" s="7">
        <f>IFERROR(__xludf.DUMMYFUNCTION("""COMPUTED_VALUE"""),0.358974358974359)</f>
        <v>0.358974359</v>
      </c>
    </row>
    <row r="3020">
      <c r="A3020" s="10" t="s">
        <v>4459</v>
      </c>
      <c r="B3020" s="7" t="str">
        <f>IFERROR(__xludf.DUMMYFUNCTION("SPLIT(A3020,"" "")"),"CN(Cc1ccccn1)Cc1cnccc1-c1cccc2c1OCCOCCOCCOCCOCCO2")</f>
        <v>CN(Cc1ccccn1)Cc1cnccc1-c1cccc2c1OCCOCCOCCOCCOCCO2</v>
      </c>
      <c r="C3020" s="7">
        <f>IFERROR(__xludf.DUMMYFUNCTION("""COMPUTED_VALUE"""),7.8044915)</f>
        <v>7.8044915</v>
      </c>
      <c r="D3020" s="7">
        <f>IFERROR(__xludf.DUMMYFUNCTION("""COMPUTED_VALUE"""),0.389830508474576)</f>
        <v>0.3898305085</v>
      </c>
    </row>
    <row r="3021">
      <c r="A3021" s="10" t="s">
        <v>4460</v>
      </c>
      <c r="B3021" s="7" t="str">
        <f>IFERROR(__xludf.DUMMYFUNCTION("SPLIT(A3021,"" "")"),"CC1=CC(C)C(N(C)CC2=CCC=CN2)C(C)C1")</f>
        <v>CC1=CC(C)C(N(C)CC2=CCC=CN2)C(C)C1</v>
      </c>
      <c r="C3021" s="7">
        <f>IFERROR(__xludf.DUMMYFUNCTION("""COMPUTED_VALUE"""),7.8044906)</f>
        <v>7.8044906</v>
      </c>
      <c r="D3021" s="7">
        <f>IFERROR(__xludf.DUMMYFUNCTION("""COMPUTED_VALUE"""),0.351851851851851)</f>
        <v>0.3518518519</v>
      </c>
    </row>
    <row r="3022">
      <c r="A3022" s="10" t="s">
        <v>4461</v>
      </c>
      <c r="B3022" s="7" t="str">
        <f>IFERROR(__xludf.DUMMYFUNCTION("SPLIT(A3022,"" "")"),"CN(Cc1ccccn1)C1=CCC=C(CN(C)c2ccc3c(c2)OCCOCCOCCOCCOCCO3)N1")</f>
        <v>CN(Cc1ccccn1)C1=CCC=C(CN(C)c2ccc3c(c2)OCCOCCOCCOCCOCCO3)N1</v>
      </c>
      <c r="C3022" s="7">
        <f>IFERROR(__xludf.DUMMYFUNCTION("""COMPUTED_VALUE"""),7.8044906)</f>
        <v>7.8044906</v>
      </c>
      <c r="D3022" s="7">
        <f>IFERROR(__xludf.DUMMYFUNCTION("""COMPUTED_VALUE"""),0.360655737704918)</f>
        <v>0.3606557377</v>
      </c>
    </row>
    <row r="3023">
      <c r="A3023" s="10" t="s">
        <v>4462</v>
      </c>
      <c r="B3023" s="7" t="str">
        <f>IFERROR(__xludf.DUMMYFUNCTION("SPLIT(A3023,"" "")"),"Cc1ccnc(CN(C)C2CCCCC2N(C)Cc2cc(C)c(C)c(C)n2)c1")</f>
        <v>Cc1ccnc(CN(C)C2CCCCC2N(C)Cc2cc(C)c(C)c(C)n2)c1</v>
      </c>
      <c r="C3023" s="7">
        <f>IFERROR(__xludf.DUMMYFUNCTION("""COMPUTED_VALUE"""),7.804482)</f>
        <v>7.804482</v>
      </c>
      <c r="D3023" s="7">
        <f>IFERROR(__xludf.DUMMYFUNCTION("""COMPUTED_VALUE"""),0.5)</f>
        <v>0.5</v>
      </c>
    </row>
    <row r="3024">
      <c r="A3024" s="10" t="s">
        <v>4463</v>
      </c>
      <c r="B3024" s="7" t="str">
        <f>IFERROR(__xludf.DUMMYFUNCTION("SPLIT(A3024,"" "")"),"Cc1cnc(CN(C)C2CCCC(N(Cc3ccccn3)C(C)C)C2)c(C)c1C")</f>
        <v>Cc1cnc(CN(C)C2CCCC(N(Cc3ccccn3)C(C)C)C2)c(C)c1C</v>
      </c>
      <c r="C3024" s="7">
        <f>IFERROR(__xludf.DUMMYFUNCTION("""COMPUTED_VALUE"""),7.8044744)</f>
        <v>7.8044744</v>
      </c>
      <c r="D3024" s="7">
        <f>IFERROR(__xludf.DUMMYFUNCTION("""COMPUTED_VALUE"""),0.436363636363636)</f>
        <v>0.4363636364</v>
      </c>
    </row>
    <row r="3025">
      <c r="A3025" s="10" t="s">
        <v>4464</v>
      </c>
      <c r="B3025" s="7" t="str">
        <f>IFERROR(__xludf.DUMMYFUNCTION("SPLIT(A3025,"" "")"),"Cc1ccc(CN(Cc2cccc(C(C)(C)C)n2)C2CCC(N(C)Cc3ccc(-c4ccc5c(c4)OCCOCCOCCOCCOCCO5)cn3)CC2)nc1")</f>
        <v>Cc1ccc(CN(Cc2cccc(C(C)(C)C)n2)C2CCC(N(C)Cc3ccc(-c4ccc5c(c4)OCCOCCOCCOCCOCCO5)cn3)CC2)nc1</v>
      </c>
      <c r="C3025" s="7">
        <f>IFERROR(__xludf.DUMMYFUNCTION("""COMPUTED_VALUE"""),7.804467)</f>
        <v>7.804467</v>
      </c>
      <c r="D3025" s="7">
        <f>IFERROR(__xludf.DUMMYFUNCTION("""COMPUTED_VALUE"""),0.421052631578947)</f>
        <v>0.4210526316</v>
      </c>
    </row>
    <row r="3026">
      <c r="A3026" s="10" t="s">
        <v>4465</v>
      </c>
      <c r="B3026" s="7" t="str">
        <f>IFERROR(__xludf.DUMMYFUNCTION("SPLIT(A3026,"" "")"),"CCN(Cc1cccc(C2CCC2(C)C)n1)C1CCC(N(C)Cc2cc(C)c(C)c(C)n2)CC1")</f>
        <v>CCN(Cc1cccc(C2CCC2(C)C)n1)C1CCC(N(C)Cc2cc(C)c(C)c(C)n2)CC1</v>
      </c>
      <c r="C3026" s="7">
        <f>IFERROR(__xludf.DUMMYFUNCTION("""COMPUTED_VALUE"""),7.8044662)</f>
        <v>7.8044662</v>
      </c>
      <c r="D3026" s="7">
        <f>IFERROR(__xludf.DUMMYFUNCTION("""COMPUTED_VALUE"""),0.323076923076923)</f>
        <v>0.3230769231</v>
      </c>
    </row>
    <row r="3027">
      <c r="A3027" s="10" t="s">
        <v>4466</v>
      </c>
      <c r="B3027" s="7" t="str">
        <f>IFERROR(__xludf.DUMMYFUNCTION("SPLIT(A3027,"" "")"),"CCOC1(C)COC(c2ncccc2CN2CCN(C)CCN(C)CC2)=N1")</f>
        <v>CCOC1(C)COC(c2ncccc2CN2CCN(C)CCN(C)CC2)=N1</v>
      </c>
      <c r="C3027" s="7">
        <f>IFERROR(__xludf.DUMMYFUNCTION("""COMPUTED_VALUE"""),7.804454)</f>
        <v>7.804454</v>
      </c>
      <c r="D3027" s="7">
        <f>IFERROR(__xludf.DUMMYFUNCTION("""COMPUTED_VALUE"""),0.381818181818181)</f>
        <v>0.3818181818</v>
      </c>
    </row>
    <row r="3028">
      <c r="A3028" s="10" t="s">
        <v>4467</v>
      </c>
      <c r="B3028" s="7" t="str">
        <f>IFERROR(__xludf.DUMMYFUNCTION("SPLIT(A3028,"" "")"),"CCNCc1cc(CN(C)Cc2cc(-c3ccc4c(c3)OCCOCCOCCOCCOCCO4)ccn2)ccn1")</f>
        <v>CCNCc1cc(CN(C)Cc2cc(-c3ccc4c(c3)OCCOCCOCCOCCOCCO4)ccn2)ccn1</v>
      </c>
      <c r="C3028" s="7">
        <f>IFERROR(__xludf.DUMMYFUNCTION("""COMPUTED_VALUE"""),7.8044467)</f>
        <v>7.8044467</v>
      </c>
      <c r="D3028" s="7">
        <f>IFERROR(__xludf.DUMMYFUNCTION("""COMPUTED_VALUE"""),0.357142857142857)</f>
        <v>0.3571428571</v>
      </c>
    </row>
    <row r="3029">
      <c r="A3029" s="10" t="s">
        <v>4468</v>
      </c>
      <c r="B3029" s="7" t="str">
        <f>IFERROR(__xludf.DUMMYFUNCTION("SPLIT(A3029,"" "")"),"CC(C)NCC1=CCC=CN1")</f>
        <v>CC(C)NCC1=CCC=CN1</v>
      </c>
      <c r="C3029" s="7">
        <f>IFERROR(__xludf.DUMMYFUNCTION("""COMPUTED_VALUE"""),7.8044405)</f>
        <v>7.8044405</v>
      </c>
      <c r="D3029" s="7">
        <f>IFERROR(__xludf.DUMMYFUNCTION("""COMPUTED_VALUE"""),0.347826086956521)</f>
        <v>0.347826087</v>
      </c>
    </row>
    <row r="3030">
      <c r="A3030" s="10" t="s">
        <v>4469</v>
      </c>
      <c r="B3030" s="7" t="str">
        <f>IFERROR(__xludf.DUMMYFUNCTION("SPLIT(A3030,"" "")"),"CCNCc1cc(CN(C)C2CCCC(N(C)Cc3nc(C)cc(C)c3C)C2)ccn1")</f>
        <v>CCNCc1cc(CN(C)C2CCCC(N(C)Cc3nc(C)cc(C)c3C)C2)ccn1</v>
      </c>
      <c r="C3030" s="7">
        <f>IFERROR(__xludf.DUMMYFUNCTION("""COMPUTED_VALUE"""),7.8044353)</f>
        <v>7.8044353</v>
      </c>
      <c r="D3030" s="7">
        <f>IFERROR(__xludf.DUMMYFUNCTION("""COMPUTED_VALUE"""),0.28125)</f>
        <v>0.28125</v>
      </c>
    </row>
    <row r="3031">
      <c r="A3031" s="10" t="s">
        <v>4470</v>
      </c>
      <c r="B3031" s="7" t="str">
        <f>IFERROR(__xludf.DUMMYFUNCTION("SPLIT(A3031,"" "")"),"Cc1ccc(N2CCN(C)CCN(Cc3ccc(C)cn3)CC2)cc1")</f>
        <v>Cc1ccc(N2CCN(C)CCN(Cc3ccc(C)cn3)CC2)cc1</v>
      </c>
      <c r="C3031" s="7">
        <f>IFERROR(__xludf.DUMMYFUNCTION("""COMPUTED_VALUE"""),7.8044324)</f>
        <v>7.8044324</v>
      </c>
      <c r="D3031" s="7">
        <f>IFERROR(__xludf.DUMMYFUNCTION("""COMPUTED_VALUE"""),0.5)</f>
        <v>0.5</v>
      </c>
    </row>
    <row r="3032">
      <c r="A3032" s="10" t="s">
        <v>4471</v>
      </c>
      <c r="B3032" s="7" t="str">
        <f>IFERROR(__xludf.DUMMYFUNCTION("SPLIT(A3032,"" "")"),"C=CCN(C)CC1=C(N(C)Cc2cccc(-c3ccc4c(c3)OCCOCCOCCOCCOCCO4)n2)CC=CN1")</f>
        <v>C=CCN(C)CC1=C(N(C)Cc2cccc(-c3ccc4c(c3)OCCOCCOCCOCCOCCO4)n2)CC=CN1</v>
      </c>
      <c r="C3032" s="7">
        <f>IFERROR(__xludf.DUMMYFUNCTION("""COMPUTED_VALUE"""),7.804431)</f>
        <v>7.804431</v>
      </c>
      <c r="D3032" s="7">
        <f>IFERROR(__xludf.DUMMYFUNCTION("""COMPUTED_VALUE"""),0.273809523809523)</f>
        <v>0.2738095238</v>
      </c>
    </row>
    <row r="3033">
      <c r="A3033" s="10" t="s">
        <v>4472</v>
      </c>
      <c r="B3033" s="7" t="str">
        <f>IFERROR(__xludf.DUMMYFUNCTION("SPLIT(A3033,"" "")"),"Cc1cc(CN(C)CCN(C)C(C)C)ccn1")</f>
        <v>Cc1cc(CN(C)CCN(C)C(C)C)ccn1</v>
      </c>
      <c r="C3033" s="7">
        <f>IFERROR(__xludf.DUMMYFUNCTION("""COMPUTED_VALUE"""),7.804428)</f>
        <v>7.804428</v>
      </c>
      <c r="D3033" s="7">
        <f>IFERROR(__xludf.DUMMYFUNCTION("""COMPUTED_VALUE"""),0.348837209302325)</f>
        <v>0.3488372093</v>
      </c>
    </row>
    <row r="3034">
      <c r="A3034" s="10" t="s">
        <v>4473</v>
      </c>
      <c r="B3034" s="7" t="str">
        <f>IFERROR(__xludf.DUMMYFUNCTION("SPLIT(A3034,"" "")"),"CNCc1ncccc1N(C)C1CCCC(N(C)Cc2ccccn2)C1")</f>
        <v>CNCc1ncccc1N(C)C1CCCC(N(C)Cc2ccccn2)C1</v>
      </c>
      <c r="C3034" s="7">
        <f>IFERROR(__xludf.DUMMYFUNCTION("""COMPUTED_VALUE"""),7.804426)</f>
        <v>7.804426</v>
      </c>
      <c r="D3034" s="7">
        <f>IFERROR(__xludf.DUMMYFUNCTION("""COMPUTED_VALUE"""),0.48076923076923)</f>
        <v>0.4807692308</v>
      </c>
    </row>
    <row r="3035">
      <c r="A3035" s="10" t="s">
        <v>4474</v>
      </c>
      <c r="B3035" s="7" t="str">
        <f>IFERROR(__xludf.DUMMYFUNCTION("SPLIT(A3035,"" "")"),"CNCc1cccc(CN(Cc2ccccn2)C2CCC(N(C)Cc3cccc(C4CCC4(C)C)n3)CC2)n1")</f>
        <v>CNCc1cccc(CN(Cc2ccccn2)C2CCC(N(C)Cc3cccc(C4CCC4(C)C)n3)CC2)n1</v>
      </c>
      <c r="C3035" s="7">
        <f>IFERROR(__xludf.DUMMYFUNCTION("""COMPUTED_VALUE"""),7.8044243)</f>
        <v>7.8044243</v>
      </c>
      <c r="D3035" s="7">
        <f>IFERROR(__xludf.DUMMYFUNCTION("""COMPUTED_VALUE"""),0.387096774193548)</f>
        <v>0.3870967742</v>
      </c>
    </row>
    <row r="3036">
      <c r="A3036" s="10" t="s">
        <v>4475</v>
      </c>
      <c r="B3036" s="7" t="str">
        <f>IFERROR(__xludf.DUMMYFUNCTION("SPLIT(A3036,"" "")"),"CN(Cc1ccccn1)C1C=CNC(C(C)(C)C2CCC2(C)C)=C1")</f>
        <v>CN(Cc1ccccn1)C1C=CNC(C(C)(C)C2CCC2(C)C)=C1</v>
      </c>
      <c r="C3036" s="7">
        <f>IFERROR(__xludf.DUMMYFUNCTION("""COMPUTED_VALUE"""),7.8044147)</f>
        <v>7.8044147</v>
      </c>
      <c r="D3036" s="7">
        <f>IFERROR(__xludf.DUMMYFUNCTION("""COMPUTED_VALUE"""),0.421052631578947)</f>
        <v>0.4210526316</v>
      </c>
    </row>
    <row r="3037">
      <c r="A3037" s="10" t="s">
        <v>4476</v>
      </c>
      <c r="B3037" s="7" t="str">
        <f>IFERROR(__xludf.DUMMYFUNCTION("SPLIT(A3037,"" "")"),"CC1=C(c2cc(CN(Cc3ccccn3)C3CCCCC3)ccn2)CC(C)CC1C")</f>
        <v>CC1=C(c2cc(CN(Cc3ccccn3)C3CCCCC3)ccn2)CC(C)CC1C</v>
      </c>
      <c r="C3037" s="7">
        <f>IFERROR(__xludf.DUMMYFUNCTION("""COMPUTED_VALUE"""),7.8043985)</f>
        <v>7.8043985</v>
      </c>
      <c r="D3037" s="7">
        <f>IFERROR(__xludf.DUMMYFUNCTION("""COMPUTED_VALUE"""),0.377049180327868)</f>
        <v>0.3770491803</v>
      </c>
    </row>
    <row r="3038">
      <c r="A3038" s="10" t="s">
        <v>4477</v>
      </c>
      <c r="B3038" s="7" t="str">
        <f>IFERROR(__xludf.DUMMYFUNCTION("SPLIT(A3038,"" "")"),"CC(C)C(C)(c1cccnc1)N(C)CC1=CC(N(C)Cc2cccc(-c3ccc4c(c3)OCCOCCOCCOCCOCCO4)n2)C=CN1")</f>
        <v>CC(C)C(C)(c1cccnc1)N(C)CC1=CC(N(C)Cc2cccc(-c3ccc4c(c3)OCCOCCOCCOCCOCCO4)n2)C=CN1</v>
      </c>
      <c r="C3038" s="7">
        <f>IFERROR(__xludf.DUMMYFUNCTION("""COMPUTED_VALUE"""),7.8043976)</f>
        <v>7.8043976</v>
      </c>
      <c r="D3038" s="7">
        <f>IFERROR(__xludf.DUMMYFUNCTION("""COMPUTED_VALUE"""),0.268817204301075)</f>
        <v>0.2688172043</v>
      </c>
    </row>
    <row r="3039">
      <c r="A3039" s="10" t="s">
        <v>4478</v>
      </c>
      <c r="B3039" s="7" t="str">
        <f>IFERROR(__xludf.DUMMYFUNCTION("SPLIT(A3039,"" "")"),"CCN(CCN(C)CC(C)(C)C)Cc1ncccc1C")</f>
        <v>CCN(CCN(C)CC(C)(C)C)Cc1ncccc1C</v>
      </c>
      <c r="C3039" s="7">
        <f>IFERROR(__xludf.DUMMYFUNCTION("""COMPUTED_VALUE"""),7.8043737)</f>
        <v>7.8043737</v>
      </c>
      <c r="D3039" s="7">
        <f>IFERROR(__xludf.DUMMYFUNCTION("""COMPUTED_VALUE"""),0.425531914893617)</f>
        <v>0.4255319149</v>
      </c>
    </row>
    <row r="3040">
      <c r="A3040" s="10" t="s">
        <v>4479</v>
      </c>
      <c r="B3040" s="7" t="str">
        <f>IFERROR(__xludf.DUMMYFUNCTION("SPLIT(A3040,"" "")"),"CN(Cc1cccc(-c2ccc3c(c2)OCCOCCOCCOCCOCCO3)n1)C1CCCCC1N(Cc1ccccn1)c1cccc(CF)n1")</f>
        <v>CN(Cc1cccc(-c2ccc3c(c2)OCCOCCOCCOCCOCCO3)n1)C1CCCCC1N(Cc1ccccn1)c1cccc(CF)n1</v>
      </c>
      <c r="C3040" s="7">
        <f>IFERROR(__xludf.DUMMYFUNCTION("""COMPUTED_VALUE"""),7.80437)</f>
        <v>7.80437</v>
      </c>
      <c r="D3040" s="7">
        <f>IFERROR(__xludf.DUMMYFUNCTION("""COMPUTED_VALUE"""),0.44776119402985)</f>
        <v>0.447761194</v>
      </c>
    </row>
    <row r="3041">
      <c r="A3041" s="10" t="s">
        <v>4480</v>
      </c>
      <c r="B3041" s="7" t="str">
        <f>IFERROR(__xludf.DUMMYFUNCTION("SPLIT(A3041,"" "")"),"CNCc1cccc(CN(Cc2ccccn2)C2CCC(N(C)Cc3ccccn3)CC2)n1")</f>
        <v>CNCc1cccc(CN(Cc2ccccn2)C2CCC(N(C)Cc3ccccn3)CC2)n1</v>
      </c>
      <c r="C3041" s="7">
        <f>IFERROR(__xludf.DUMMYFUNCTION("""COMPUTED_VALUE"""),7.8043547)</f>
        <v>7.8043547</v>
      </c>
      <c r="D3041" s="7">
        <f>IFERROR(__xludf.DUMMYFUNCTION("""COMPUTED_VALUE"""),0.489795918367346)</f>
        <v>0.4897959184</v>
      </c>
    </row>
    <row r="3042">
      <c r="A3042" s="10" t="s">
        <v>4481</v>
      </c>
      <c r="B3042" s="7" t="str">
        <f>IFERROR(__xludf.DUMMYFUNCTION("SPLIT(A3042,"" "")"),"CC1=CC(C)C(C)C(N(C)C2CC(N(C)Cc3ccccn3)CC(N(Cc3ccccn3)Cc3nc(C)c(C)cc3C)C2)C1")</f>
        <v>CC1=CC(C)C(C)C(N(C)C2CC(N(C)Cc3ccccn3)CC(N(Cc3ccccn3)Cc3nc(C)c(C)cc3C)C2)C1</v>
      </c>
      <c r="C3042" s="7">
        <f>IFERROR(__xludf.DUMMYFUNCTION("""COMPUTED_VALUE"""),7.8043537)</f>
        <v>7.8043537</v>
      </c>
      <c r="D3042" s="7">
        <f>IFERROR(__xludf.DUMMYFUNCTION("""COMPUTED_VALUE"""),0.35820895522388)</f>
        <v>0.3582089552</v>
      </c>
    </row>
    <row r="3043">
      <c r="A3043" s="10" t="s">
        <v>4482</v>
      </c>
      <c r="B3043" s="7" t="str">
        <f>IFERROR(__xludf.DUMMYFUNCTION("SPLIT(A3043,"" "")"),"CNCc1ncccc1CN(Cc1ccccn1)C1CCC(N(C)Cc2ccccn2)CC1")</f>
        <v>CNCc1ncccc1CN(Cc1ccccn1)C1CCC(N(C)Cc2ccccn2)CC1</v>
      </c>
      <c r="C3043" s="7">
        <f>IFERROR(__xludf.DUMMYFUNCTION("""COMPUTED_VALUE"""),7.8043513)</f>
        <v>7.8043513</v>
      </c>
      <c r="D3043" s="7">
        <f>IFERROR(__xludf.DUMMYFUNCTION("""COMPUTED_VALUE"""),0.461538461538461)</f>
        <v>0.4615384615</v>
      </c>
    </row>
    <row r="3044">
      <c r="A3044" s="10" t="s">
        <v>4483</v>
      </c>
      <c r="B3044" s="7" t="str">
        <f>IFERROR(__xludf.DUMMYFUNCTION("SPLIT(A3044,"" "")"),"COC(=O)C(C)NCc1nc(CN2CCN(C)CCN(C)CC2)c(C)c(C)c1C")</f>
        <v>COC(=O)C(C)NCc1nc(CN2CCN(C)CCN(C)CC2)c(C)c(C)c1C</v>
      </c>
      <c r="C3044" s="7">
        <f>IFERROR(__xludf.DUMMYFUNCTION("""COMPUTED_VALUE"""),7.8043075)</f>
        <v>7.8043075</v>
      </c>
      <c r="D3044" s="7">
        <f>IFERROR(__xludf.DUMMYFUNCTION("""COMPUTED_VALUE"""),0.381818181818181)</f>
        <v>0.3818181818</v>
      </c>
    </row>
    <row r="3045">
      <c r="A3045" s="10" t="s">
        <v>4484</v>
      </c>
      <c r="B3045" s="7" t="str">
        <f>IFERROR(__xludf.DUMMYFUNCTION("SPLIT(A3045,"" "")"),"Cc1cccnc1CN(Cc1ccccn1)C1CCC(N(C)Cc2ncccc2C(C)C(C)C)CC1")</f>
        <v>Cc1cccnc1CN(Cc1ccccn1)C1CCC(N(C)Cc2ncccc2C(C)C(C)C)CC1</v>
      </c>
      <c r="C3045" s="7">
        <f>IFERROR(__xludf.DUMMYFUNCTION("""COMPUTED_VALUE"""),7.804294)</f>
        <v>7.804294</v>
      </c>
      <c r="D3045" s="7">
        <f>IFERROR(__xludf.DUMMYFUNCTION("""COMPUTED_VALUE"""),0.403508771929824)</f>
        <v>0.4035087719</v>
      </c>
    </row>
    <row r="3046">
      <c r="A3046" s="10" t="s">
        <v>4485</v>
      </c>
      <c r="B3046" s="7" t="str">
        <f>IFERROR(__xludf.DUMMYFUNCTION("SPLIT(A3046,"" "")"),"CN(CCN(Cc1ccccn1)Cc1ncccc1-c1cccc2c1OCCOCCOCCOCCOCCO2)Cc1cccnc1")</f>
        <v>CN(CCN(Cc1ccccn1)Cc1ncccc1-c1cccc2c1OCCOCCOCCOCCOCCO2)Cc1cccnc1</v>
      </c>
      <c r="C3046" s="7">
        <f>IFERROR(__xludf.DUMMYFUNCTION("""COMPUTED_VALUE"""),7.8042912)</f>
        <v>7.8042912</v>
      </c>
      <c r="D3046" s="7">
        <f>IFERROR(__xludf.DUMMYFUNCTION("""COMPUTED_VALUE"""),0.383561643835616)</f>
        <v>0.3835616438</v>
      </c>
    </row>
    <row r="3047">
      <c r="A3047" s="10" t="s">
        <v>4486</v>
      </c>
      <c r="B3047" s="7" t="str">
        <f>IFERROR(__xludf.DUMMYFUNCTION("SPLIT(A3047,"" "")"),"Cc1cc(C)c(N(C)C2CCC(N(C)Cc3cccc(-c4ccc5c(c4)OCCOCCOCCOCCOCCO5)n3)CC2)c(C)c1")</f>
        <v>Cc1cc(C)c(N(C)C2CCC(N(C)Cc3cccc(-c4ccc5c(c4)OCCOCCOCCOCCOCCO5)n3)CC2)c(C)c1</v>
      </c>
      <c r="C3047" s="7">
        <f>IFERROR(__xludf.DUMMYFUNCTION("""COMPUTED_VALUE"""),7.804283)</f>
        <v>7.804283</v>
      </c>
      <c r="D3047" s="7">
        <f>IFERROR(__xludf.DUMMYFUNCTION("""COMPUTED_VALUE"""),0.337837837837837)</f>
        <v>0.3378378378</v>
      </c>
    </row>
    <row r="3048">
      <c r="A3048" s="10" t="s">
        <v>4487</v>
      </c>
      <c r="B3048" s="7" t="str">
        <f>IFERROR(__xludf.DUMMYFUNCTION("SPLIT(A3048,"" "")"),"CCNCc1cc(C(C)(C)C(C)C)ccn1")</f>
        <v>CCNCc1cc(C(C)(C)C(C)C)ccn1</v>
      </c>
      <c r="C3048" s="7">
        <f>IFERROR(__xludf.DUMMYFUNCTION("""COMPUTED_VALUE"""),7.8042808)</f>
        <v>7.8042808</v>
      </c>
      <c r="D3048" s="7">
        <f>IFERROR(__xludf.DUMMYFUNCTION("""COMPUTED_VALUE"""),0.341463414634146)</f>
        <v>0.3414634146</v>
      </c>
    </row>
    <row r="3049">
      <c r="A3049" s="10" t="s">
        <v>4488</v>
      </c>
      <c r="B3049" s="7" t="str">
        <f>IFERROR(__xludf.DUMMYFUNCTION("SPLIT(A3049,"" "")"),"CC1=CC(C)C(=O)C(C(C)(C)NCc2ccccn2)C1")</f>
        <v>CC1=CC(C)C(=O)C(C(C)(C)NCc2ccccn2)C1</v>
      </c>
      <c r="C3049" s="7">
        <f>IFERROR(__xludf.DUMMYFUNCTION("""COMPUTED_VALUE"""),7.804277)</f>
        <v>7.804277</v>
      </c>
      <c r="D3049" s="7">
        <f>IFERROR(__xludf.DUMMYFUNCTION("""COMPUTED_VALUE"""),0.354166666666666)</f>
        <v>0.3541666667</v>
      </c>
    </row>
    <row r="3050">
      <c r="A3050" s="10" t="s">
        <v>4489</v>
      </c>
      <c r="B3050" s="7" t="str">
        <f>IFERROR(__xludf.DUMMYFUNCTION("SPLIT(A3050,"" "")"),"CN1CCN(C)CCN(Cc2ccnc(C3=NC(C)(C)CO3)c2)CC1")</f>
        <v>CN1CCN(C)CCN(Cc2ccnc(C3=NC(C)(C)CO3)c2)CC1</v>
      </c>
      <c r="C3050" s="7">
        <f>IFERROR(__xludf.DUMMYFUNCTION("""COMPUTED_VALUE"""),7.804272)</f>
        <v>7.804272</v>
      </c>
      <c r="D3050" s="7">
        <f>IFERROR(__xludf.DUMMYFUNCTION("""COMPUTED_VALUE"""),0.416666666666666)</f>
        <v>0.4166666667</v>
      </c>
    </row>
    <row r="3051">
      <c r="A3051" s="10" t="s">
        <v>4490</v>
      </c>
      <c r="B3051" s="7" t="str">
        <f>IFERROR(__xludf.DUMMYFUNCTION("SPLIT(A3051,"" "")"),"Cc1cncc(CN(C)C2CCCCC2N(C)Cc2cc(C)c(C)c(C)n2)c1")</f>
        <v>Cc1cncc(CN(C)C2CCCCC2N(C)Cc2cc(C)c(C)c(C)n2)c1</v>
      </c>
      <c r="C3051" s="7">
        <f>IFERROR(__xludf.DUMMYFUNCTION("""COMPUTED_VALUE"""),7.80427)</f>
        <v>7.80427</v>
      </c>
      <c r="D3051" s="7">
        <f>IFERROR(__xludf.DUMMYFUNCTION("""COMPUTED_VALUE"""),0.450980392156862)</f>
        <v>0.4509803922</v>
      </c>
    </row>
    <row r="3052">
      <c r="A3052" s="10" t="s">
        <v>4491</v>
      </c>
      <c r="B3052" s="7" t="str">
        <f>IFERROR(__xludf.DUMMYFUNCTION("SPLIT(A3052,"" "")"),"CN(Cc1ccccn1)Cc1cc(-c2cccc3c2OCCOCCOCCOCCOCCO3)ccn1")</f>
        <v>CN(Cc1ccccn1)Cc1cc(-c2cccc3c2OCCOCCOCCOCCOCCO3)ccn1</v>
      </c>
      <c r="C3052" s="7">
        <f>IFERROR(__xludf.DUMMYFUNCTION("""COMPUTED_VALUE"""),7.8042564)</f>
        <v>7.8042564</v>
      </c>
      <c r="D3052" s="7">
        <f>IFERROR(__xludf.DUMMYFUNCTION("""COMPUTED_VALUE"""),0.410714285714285)</f>
        <v>0.4107142857</v>
      </c>
    </row>
    <row r="3053">
      <c r="A3053" s="10" t="s">
        <v>4492</v>
      </c>
      <c r="B3053" s="7" t="str">
        <f>IFERROR(__xludf.DUMMYFUNCTION("SPLIT(A3053,"" "")"),"CN(CCN(Cc1ccccn1)Cc1cccc2c1OCCOCCOCCOCCOCCO2)Cc1cccc2ncccc12")</f>
        <v>CN(CCN(Cc1ccccn1)Cc1cccc2c1OCCOCCOCCOCCOCCO2)Cc1cccc2ncccc12</v>
      </c>
      <c r="C3053" s="7">
        <f>IFERROR(__xludf.DUMMYFUNCTION("""COMPUTED_VALUE"""),7.804256)</f>
        <v>7.804256</v>
      </c>
      <c r="D3053" s="7">
        <f>IFERROR(__xludf.DUMMYFUNCTION("""COMPUTED_VALUE"""),0.411764705882352)</f>
        <v>0.4117647059</v>
      </c>
    </row>
    <row r="3054">
      <c r="A3054" s="10" t="s">
        <v>4493</v>
      </c>
      <c r="B3054" s="7" t="str">
        <f>IFERROR(__xludf.DUMMYFUNCTION("SPLIT(A3054,"" "")"),"CN(Cc1ccc2c(c1)OCCOCCOCCOCCOCCO2)Cc1ccc2ncccc2c1")</f>
        <v>CN(Cc1ccc2c(c1)OCCOCCOCCOCCOCCO2)Cc1ccc2ncccc2c1</v>
      </c>
      <c r="C3054" s="7">
        <f>IFERROR(__xludf.DUMMYFUNCTION("""COMPUTED_VALUE"""),7.8042545)</f>
        <v>7.8042545</v>
      </c>
      <c r="D3054" s="7">
        <f>IFERROR(__xludf.DUMMYFUNCTION("""COMPUTED_VALUE"""),0.309090909090909)</f>
        <v>0.3090909091</v>
      </c>
    </row>
    <row r="3055">
      <c r="A3055" s="10" t="s">
        <v>4494</v>
      </c>
      <c r="B3055" s="7" t="str">
        <f>IFERROR(__xludf.DUMMYFUNCTION("SPLIT(A3055,"" "")"),"CCNCc1ncccc1CN(C)C1CCCC(N(C)Cc2nc(C)c(C)cc2C)C1")</f>
        <v>CCNCc1ncccc1CN(C)C1CCCC(N(C)Cc2nc(C)c(C)cc2C)C1</v>
      </c>
      <c r="C3055" s="7">
        <f>IFERROR(__xludf.DUMMYFUNCTION("""COMPUTED_VALUE"""),7.804242)</f>
        <v>7.804242</v>
      </c>
      <c r="D3055" s="7">
        <f>IFERROR(__xludf.DUMMYFUNCTION("""COMPUTED_VALUE"""),0.28125)</f>
        <v>0.28125</v>
      </c>
    </row>
    <row r="3056">
      <c r="A3056" s="10" t="s">
        <v>4495</v>
      </c>
      <c r="B3056" s="7" t="str">
        <f>IFERROR(__xludf.DUMMYFUNCTION("SPLIT(A3056,"" "")"),"Cc1cnccc1CN(C)CCN(Cc1ccccn1)C1(C)CCC1")</f>
        <v>Cc1cnccc1CN(C)CCN(Cc1ccccn1)C1(C)CCC1</v>
      </c>
      <c r="C3056" s="7">
        <f>IFERROR(__xludf.DUMMYFUNCTION("""COMPUTED_VALUE"""),7.8042407)</f>
        <v>7.8042407</v>
      </c>
      <c r="D3056" s="7">
        <f>IFERROR(__xludf.DUMMYFUNCTION("""COMPUTED_VALUE"""),0.368421052631578)</f>
        <v>0.3684210526</v>
      </c>
    </row>
    <row r="3057">
      <c r="A3057" s="10" t="s">
        <v>4496</v>
      </c>
      <c r="B3057" s="7" t="str">
        <f>IFERROR(__xludf.DUMMYFUNCTION("SPLIT(A3057,"" "")"),"C1=CC(N(Cc2ccccn2)Cc2cccc(-c3ccc4c(c3)OCCOCCOCCOCCOCCO4)n2)C=CN1")</f>
        <v>C1=CC(N(Cc2ccccn2)Cc2cccc(-c3ccc4c(c3)OCCOCCOCCOCCOCCO4)n2)C=CN1</v>
      </c>
      <c r="C3057" s="7">
        <f>IFERROR(__xludf.DUMMYFUNCTION("""COMPUTED_VALUE"""),7.8042355)</f>
        <v>7.8042355</v>
      </c>
      <c r="D3057" s="7">
        <f>IFERROR(__xludf.DUMMYFUNCTION("""COMPUTED_VALUE"""),0.397058823529411)</f>
        <v>0.3970588235</v>
      </c>
    </row>
    <row r="3058">
      <c r="A3058" s="10" t="s">
        <v>4497</v>
      </c>
      <c r="B3058" s="7" t="str">
        <f>IFERROR(__xludf.DUMMYFUNCTION("SPLIT(A3058,"" "")"),"CNCN(Cc1ncccc1C)C1CCCCC1N(C)Cc1nc(C)c(C)c(C)c1C")</f>
        <v>CNCN(Cc1ncccc1C)C1CCCCC1N(C)Cc1nc(C)c(C)c(C)c1C</v>
      </c>
      <c r="C3058" s="7">
        <f>IFERROR(__xludf.DUMMYFUNCTION("""COMPUTED_VALUE"""),7.8042336)</f>
        <v>7.8042336</v>
      </c>
      <c r="D3058" s="7">
        <f>IFERROR(__xludf.DUMMYFUNCTION("""COMPUTED_VALUE"""),0.396551724137931)</f>
        <v>0.3965517241</v>
      </c>
    </row>
    <row r="3059">
      <c r="A3059" s="10" t="s">
        <v>4498</v>
      </c>
      <c r="B3059" s="7" t="str">
        <f>IFERROR(__xludf.DUMMYFUNCTION("SPLIT(A3059,"" "")"),"CC(C)C(C)(c1cccnc1)N(Cc1cccc(-c2ccc3c(c2)OCCOCCOCCOCCOCCO3)n1)Cc1cccc(-c2ccc3c(c2)OCCOCCOCCOCCOCCO3)n1")</f>
        <v>CC(C)C(C)(c1cccnc1)N(Cc1cccc(-c2ccc3c(c2)OCCOCCOCCOCCOCCO3)n1)Cc1cccc(-c2ccc3c(c2)OCCOCCOCCOCCOCCO3)n1</v>
      </c>
      <c r="C3059" s="7">
        <f>IFERROR(__xludf.DUMMYFUNCTION("""COMPUTED_VALUE"""),7.8042235)</f>
        <v>7.8042235</v>
      </c>
      <c r="D3059" s="7">
        <f>IFERROR(__xludf.DUMMYFUNCTION("""COMPUTED_VALUE"""),0.311688311688311)</f>
        <v>0.3116883117</v>
      </c>
    </row>
    <row r="3060">
      <c r="A3060" s="10" t="s">
        <v>4499</v>
      </c>
      <c r="B3060" s="7" t="str">
        <f>IFERROR(__xludf.DUMMYFUNCTION("SPLIT(A3060,"" "")"),"CCCNCC1=CC(N(C)Cc2ccccn2)C=CN1")</f>
        <v>CCCNCC1=CC(N(C)Cc2ccccn2)C=CN1</v>
      </c>
      <c r="C3060" s="7">
        <f>IFERROR(__xludf.DUMMYFUNCTION("""COMPUTED_VALUE"""),7.8042154)</f>
        <v>7.8042154</v>
      </c>
      <c r="D3060" s="7">
        <f>IFERROR(__xludf.DUMMYFUNCTION("""COMPUTED_VALUE"""),0.407407407407407)</f>
        <v>0.4074074074</v>
      </c>
    </row>
    <row r="3061">
      <c r="A3061" s="10" t="s">
        <v>4500</v>
      </c>
      <c r="B3061" s="7" t="str">
        <f>IFERROR(__xludf.DUMMYFUNCTION("SPLIT(A3061,"" "")"),"CN(CCN(Cc1ccccn1)Cc1cccc(-c2ccc3c(c2)OCCOCCOCCOCCOCCO3)n1)C(C)(C)c1ccccn1")</f>
        <v>CN(CCN(Cc1ccccn1)Cc1cccc(-c2ccc3c(c2)OCCOCCOCCOCCOCCO3)n1)C(C)(C)c1ccccn1</v>
      </c>
      <c r="C3061" s="7">
        <f>IFERROR(__xludf.DUMMYFUNCTION("""COMPUTED_VALUE"""),7.804212)</f>
        <v>7.804212</v>
      </c>
      <c r="D3061" s="7">
        <f>IFERROR(__xludf.DUMMYFUNCTION("""COMPUTED_VALUE"""),0.428571428571428)</f>
        <v>0.4285714286</v>
      </c>
    </row>
    <row r="3062">
      <c r="A3062" s="10" t="s">
        <v>4501</v>
      </c>
      <c r="B3062" s="7" t="str">
        <f>IFERROR(__xludf.DUMMYFUNCTION("SPLIT(A3062,"" "")"),"CC(C)N(Cc1ccccn1)Cc1ncccc1-c1ccc2c(c1)OCCOCCOCCOCCOCCO2")</f>
        <v>CC(C)N(Cc1ccccn1)Cc1ncccc1-c1ccc2c(c1)OCCOCCOCCOCCOCCO2</v>
      </c>
      <c r="C3062" s="7">
        <f>IFERROR(__xludf.DUMMYFUNCTION("""COMPUTED_VALUE"""),7.8042107)</f>
        <v>7.8042107</v>
      </c>
      <c r="D3062" s="7">
        <f>IFERROR(__xludf.DUMMYFUNCTION("""COMPUTED_VALUE"""),0.452830188679245)</f>
        <v>0.4528301887</v>
      </c>
    </row>
    <row r="3063">
      <c r="A3063" s="10" t="s">
        <v>4502</v>
      </c>
      <c r="B3063" s="7" t="str">
        <f>IFERROR(__xludf.DUMMYFUNCTION("SPLIT(A3063,"" "")"),"CN1CCN(C)CCN(CC2C(N(C)c3cccc4ncccc34)CCN2C)CC1")</f>
        <v>CN1CCN(C)CCN(CC2C(N(C)c3cccc4ncccc34)CCN2C)CC1</v>
      </c>
      <c r="C3063" s="7">
        <f>IFERROR(__xludf.DUMMYFUNCTION("""COMPUTED_VALUE"""),7.804204)</f>
        <v>7.804204</v>
      </c>
      <c r="D3063" s="7">
        <f>IFERROR(__xludf.DUMMYFUNCTION("""COMPUTED_VALUE"""),0.35593220338983)</f>
        <v>0.3559322034</v>
      </c>
    </row>
    <row r="3064">
      <c r="A3064" s="10" t="s">
        <v>4503</v>
      </c>
      <c r="B3064" s="7" t="str">
        <f>IFERROR(__xludf.DUMMYFUNCTION("SPLIT(A3064,"" "")"),"CN(CC1=CC(N(C)Cc2cccc(-c3ccc4c(c3)OCCOCCOCCOCCOCCO4)n2)C=CN1)Cc1ccccc1")</f>
        <v>CN(CC1=CC(N(C)Cc2cccc(-c3ccc4c(c3)OCCOCCOCCOCCOCCO4)n2)C=CN1)Cc1ccccc1</v>
      </c>
      <c r="C3064" s="7">
        <f>IFERROR(__xludf.DUMMYFUNCTION("""COMPUTED_VALUE"""),7.8042026)</f>
        <v>7.8042026</v>
      </c>
      <c r="D3064" s="7">
        <f>IFERROR(__xludf.DUMMYFUNCTION("""COMPUTED_VALUE"""),0.292682926829268)</f>
        <v>0.2926829268</v>
      </c>
    </row>
    <row r="3065">
      <c r="A3065" s="10" t="s">
        <v>4504</v>
      </c>
      <c r="B3065" s="7" t="str">
        <f>IFERROR(__xludf.DUMMYFUNCTION("SPLIT(A3065,"" "")"),"CN1CCN(C)CCN(Cc2ccc(C3=NC(C)(C)CO3)nc2)CC1")</f>
        <v>CN1CCN(C)CCN(Cc2ccc(C3=NC(C)(C)CO3)nc2)CC1</v>
      </c>
      <c r="C3065" s="7">
        <f>IFERROR(__xludf.DUMMYFUNCTION("""COMPUTED_VALUE"""),7.804198)</f>
        <v>7.804198</v>
      </c>
      <c r="D3065" s="7">
        <f>IFERROR(__xludf.DUMMYFUNCTION("""COMPUTED_VALUE"""),0.425531914893617)</f>
        <v>0.4255319149</v>
      </c>
    </row>
    <row r="3066">
      <c r="A3066" s="10" t="s">
        <v>4505</v>
      </c>
      <c r="B3066" s="7" t="str">
        <f>IFERROR(__xludf.DUMMYFUNCTION("SPLIT(A3066,"" "")"),"Cc1cccnc1CN(C)C1CCC(N(Cc2ccccn2)Cc2ncccc2C(C)C(C)C)CC1")</f>
        <v>Cc1cccnc1CN(C)C1CCC(N(Cc2ccccn2)Cc2ncccc2C(C)C(C)C)CC1</v>
      </c>
      <c r="C3066" s="7">
        <f>IFERROR(__xludf.DUMMYFUNCTION("""COMPUTED_VALUE"""),7.804188)</f>
        <v>7.804188</v>
      </c>
      <c r="D3066" s="7">
        <f>IFERROR(__xludf.DUMMYFUNCTION("""COMPUTED_VALUE"""),0.403508771929824)</f>
        <v>0.4035087719</v>
      </c>
    </row>
    <row r="3067">
      <c r="A3067" s="10" t="s">
        <v>4506</v>
      </c>
      <c r="B3067" s="7" t="str">
        <f>IFERROR(__xludf.DUMMYFUNCTION("SPLIT(A3067,"" "")"),"CN1CCN(C)CCN(C2CCCC(N(C)c3cccc4nc(CF)ccc34)C2)CC1")</f>
        <v>CN1CCN(C)CCN(C2CCCC(N(C)c3cccc4nc(CF)ccc34)C2)CC1</v>
      </c>
      <c r="C3067" s="7">
        <f>IFERROR(__xludf.DUMMYFUNCTION("""COMPUTED_VALUE"""),7.804185)</f>
        <v>7.804185</v>
      </c>
      <c r="D3067" s="7">
        <f>IFERROR(__xludf.DUMMYFUNCTION("""COMPUTED_VALUE"""),0.396825396825396)</f>
        <v>0.3968253968</v>
      </c>
    </row>
    <row r="3068">
      <c r="A3068" s="10" t="s">
        <v>4507</v>
      </c>
      <c r="B3068" s="7" t="str">
        <f>IFERROR(__xludf.DUMMYFUNCTION("SPLIT(A3068,"" "")"),"Cc1cc(CN(C)C2CCCC(N(C)Cc3ncccc3C)C2)cnc1C")</f>
        <v>Cc1cc(CN(C)C2CCCC(N(C)Cc3ncccc3C)C2)cnc1C</v>
      </c>
      <c r="C3068" s="7">
        <f>IFERROR(__xludf.DUMMYFUNCTION("""COMPUTED_VALUE"""),7.804185)</f>
        <v>7.804185</v>
      </c>
      <c r="D3068" s="7">
        <f>IFERROR(__xludf.DUMMYFUNCTION("""COMPUTED_VALUE"""),0.321428571428571)</f>
        <v>0.3214285714</v>
      </c>
    </row>
    <row r="3069">
      <c r="A3069" s="10" t="s">
        <v>4508</v>
      </c>
      <c r="B3069" s="7" t="str">
        <f>IFERROR(__xludf.DUMMYFUNCTION("SPLIT(A3069,"" "")"),"Cc1cnc(CN(C)C2=CNC(CN3CCN(C)CCN(C)CC3)=CC2)c(C)c1")</f>
        <v>Cc1cnc(CN(C)C2=CNC(CN3CCN(C)CCN(C)CC3)=CC2)c(C)c1</v>
      </c>
      <c r="C3069" s="7">
        <f>IFERROR(__xludf.DUMMYFUNCTION("""COMPUTED_VALUE"""),7.804178)</f>
        <v>7.804178</v>
      </c>
      <c r="D3069" s="7">
        <f>IFERROR(__xludf.DUMMYFUNCTION("""COMPUTED_VALUE"""),0.360655737704918)</f>
        <v>0.3606557377</v>
      </c>
    </row>
    <row r="3070">
      <c r="A3070" s="10" t="s">
        <v>4509</v>
      </c>
      <c r="B3070" s="7" t="str">
        <f>IFERROR(__xludf.DUMMYFUNCTION("SPLIT(A3070,"" "")"),"CNCc1ccc(CN(Cc2cccc(-c3ccc4c(c3)OCCOCCOCCOCCOCCO4)n2)C(C)C)nc1")</f>
        <v>CNCc1ccc(CN(Cc2cccc(-c3ccc4c(c3)OCCOCCOCCOCCOCCO4)n2)C(C)C)nc1</v>
      </c>
      <c r="C3070" s="7">
        <f>IFERROR(__xludf.DUMMYFUNCTION("""COMPUTED_VALUE"""),7.804173)</f>
        <v>7.804173</v>
      </c>
      <c r="D3070" s="7">
        <f>IFERROR(__xludf.DUMMYFUNCTION("""COMPUTED_VALUE"""),0.36)</f>
        <v>0.36</v>
      </c>
    </row>
    <row r="3071">
      <c r="A3071" s="10" t="s">
        <v>4510</v>
      </c>
      <c r="B3071" s="7" t="str">
        <f>IFERROR(__xludf.DUMMYFUNCTION("SPLIT(A3071,"" "")"),"CC1C=CC(c2cc(CN(C)CC3=CCC=CN3)ccn2)C(C)C1N")</f>
        <v>CC1C=CC(c2cc(CN(C)CC3=CCC=CN3)ccn2)C(C)C1N</v>
      </c>
      <c r="C3071" s="7">
        <f>IFERROR(__xludf.DUMMYFUNCTION("""COMPUTED_VALUE"""),7.8041625)</f>
        <v>7.8041625</v>
      </c>
      <c r="D3071" s="7">
        <f>IFERROR(__xludf.DUMMYFUNCTION("""COMPUTED_VALUE"""),0.353846153846153)</f>
        <v>0.3538461538</v>
      </c>
    </row>
    <row r="3072">
      <c r="A3072" s="10" t="s">
        <v>4511</v>
      </c>
      <c r="B3072" s="7" t="str">
        <f>IFERROR(__xludf.DUMMYFUNCTION("SPLIT(A3072,"" "")"),"Cc1cc2c(c(N(C)CC3=CCC(N(C)Cc4ccccn4)=CN3)c1)OCCOCCOCCOCCOCCO2")</f>
        <v>Cc1cc2c(c(N(C)CC3=CCC(N(C)Cc4ccccn4)=CN3)c1)OCCOCCOCCOCCOCCO2</v>
      </c>
      <c r="C3072" s="7">
        <f>IFERROR(__xludf.DUMMYFUNCTION("""COMPUTED_VALUE"""),7.8041406)</f>
        <v>7.8041406</v>
      </c>
      <c r="D3072" s="7">
        <f>IFERROR(__xludf.DUMMYFUNCTION("""COMPUTED_VALUE"""),0.375)</f>
        <v>0.375</v>
      </c>
    </row>
    <row r="3073">
      <c r="A3073" s="10" t="s">
        <v>4512</v>
      </c>
      <c r="B3073" s="7" t="str">
        <f>IFERROR(__xludf.DUMMYFUNCTION("SPLIT(A3073,"" "")"),"Cc1cnc(CN(C)C2CCCC(N(C)C3=CCC=CN3)C2)c(C)c1")</f>
        <v>Cc1cnc(CN(C)C2CCCC(N(C)C3=CCC=CN3)C2)c(C)c1</v>
      </c>
      <c r="C3073" s="7">
        <f>IFERROR(__xludf.DUMMYFUNCTION("""COMPUTED_VALUE"""),7.8041315)</f>
        <v>7.8041315</v>
      </c>
      <c r="D3073" s="7">
        <f>IFERROR(__xludf.DUMMYFUNCTION("""COMPUTED_VALUE"""),0.290322580645161)</f>
        <v>0.2903225806</v>
      </c>
    </row>
    <row r="3074">
      <c r="A3074" s="10" t="s">
        <v>4513</v>
      </c>
      <c r="B3074" s="7" t="str">
        <f>IFERROR(__xludf.DUMMYFUNCTION("SPLIT(A3074,"" "")"),"CNC1CCCC(N(Cc2ncccc2C)Cc2ncc(C)cc2C)C1")</f>
        <v>CNC1CCCC(N(Cc2ncccc2C)Cc2ncc(C)cc2C)C1</v>
      </c>
      <c r="C3074" s="7">
        <f>IFERROR(__xludf.DUMMYFUNCTION("""COMPUTED_VALUE"""),7.804123)</f>
        <v>7.804123</v>
      </c>
      <c r="D3074" s="7">
        <f>IFERROR(__xludf.DUMMYFUNCTION("""COMPUTED_VALUE"""),0.278688524590163)</f>
        <v>0.2786885246</v>
      </c>
    </row>
    <row r="3075">
      <c r="A3075" s="10" t="s">
        <v>4514</v>
      </c>
      <c r="B3075" s="7" t="str">
        <f>IFERROR(__xludf.DUMMYFUNCTION("SPLIT(A3075,"" "")"),"CC(C)N(C)CC1=C(N(C)Cc2ccc(-c3ccc4c(c3)OCCOCCOCCOCCOCCO4)cn2)CC=CN1")</f>
        <v>CC(C)N(C)CC1=C(N(C)Cc2ccc(-c3ccc4c(c3)OCCOCCOCCOCCOCCO4)cn2)CC=CN1</v>
      </c>
      <c r="C3075" s="7">
        <f>IFERROR(__xludf.DUMMYFUNCTION("""COMPUTED_VALUE"""),7.8041115)</f>
        <v>7.8041115</v>
      </c>
      <c r="D3075" s="7">
        <f>IFERROR(__xludf.DUMMYFUNCTION("""COMPUTED_VALUE"""),0.422535211267605)</f>
        <v>0.4225352113</v>
      </c>
    </row>
    <row r="3076">
      <c r="A3076" s="10" t="s">
        <v>4515</v>
      </c>
      <c r="B3076" s="7" t="str">
        <f>IFERROR(__xludf.DUMMYFUNCTION("SPLIT(A3076,"" "")"),"CC1=C(C(C)(C)C)CC(NCc2ccccn2)CC1C")</f>
        <v>CC1=C(C(C)(C)C)CC(NCc2ccccn2)CC1C</v>
      </c>
      <c r="C3076" s="7">
        <f>IFERROR(__xludf.DUMMYFUNCTION("""COMPUTED_VALUE"""),7.8041105)</f>
        <v>7.8041105</v>
      </c>
      <c r="D3076" s="7">
        <f>IFERROR(__xludf.DUMMYFUNCTION("""COMPUTED_VALUE"""),0.369565217391304)</f>
        <v>0.3695652174</v>
      </c>
    </row>
    <row r="3077">
      <c r="A3077" s="10" t="s">
        <v>4516</v>
      </c>
      <c r="B3077" s="7" t="str">
        <f>IFERROR(__xludf.DUMMYFUNCTION("SPLIT(A3077,"" "")"),"Cc1cncc(CN2CCN(C)CCN(CN(C)c3ccc(Cl)c(Cl)c3)CC2)c1")</f>
        <v>Cc1cncc(CN2CCN(C)CCN(CN(C)c3ccc(Cl)c(Cl)c3)CC2)c1</v>
      </c>
      <c r="C3077" s="7">
        <f>IFERROR(__xludf.DUMMYFUNCTION("""COMPUTED_VALUE"""),7.804095)</f>
        <v>7.804095</v>
      </c>
      <c r="D3077" s="7">
        <f>IFERROR(__xludf.DUMMYFUNCTION("""COMPUTED_VALUE"""),0.350877192982456)</f>
        <v>0.350877193</v>
      </c>
    </row>
    <row r="3078">
      <c r="A3078" s="10" t="s">
        <v>4517</v>
      </c>
      <c r="B3078" s="7" t="str">
        <f>IFERROR(__xludf.DUMMYFUNCTION("SPLIT(A3078,"" "")"),"Cc1ncccc1CN(C)CCN(Cc1ccccn1)C(C)(N)C1CCC1(C)C")</f>
        <v>Cc1ncccc1CN(C)CCN(Cc1ccccn1)C(C)(N)C1CCC1(C)C</v>
      </c>
      <c r="C3078" s="7">
        <f>IFERROR(__xludf.DUMMYFUNCTION("""COMPUTED_VALUE"""),7.8040915)</f>
        <v>7.8040915</v>
      </c>
      <c r="D3078" s="7">
        <f>IFERROR(__xludf.DUMMYFUNCTION("""COMPUTED_VALUE"""),0.354838709677419)</f>
        <v>0.3548387097</v>
      </c>
    </row>
    <row r="3079">
      <c r="A3079" s="10" t="s">
        <v>4518</v>
      </c>
      <c r="B3079" s="7" t="str">
        <f>IFERROR(__xludf.DUMMYFUNCTION("SPLIT(A3079,"" "")"),"CC(C)N(CC1=CC(N(C)Cc2cccc(-c3ccc4c(c3)OCCOCCOCCOCCOCCO4)n2)C=CN1)Cc1ccccn1")</f>
        <v>CC(C)N(CC1=CC(N(C)Cc2cccc(-c3ccc4c(c3)OCCOCCOCCOCCOCCO4)n2)C=CN1)Cc1ccccn1</v>
      </c>
      <c r="C3079" s="7">
        <f>IFERROR(__xludf.DUMMYFUNCTION("""COMPUTED_VALUE"""),7.8040895)</f>
        <v>7.8040895</v>
      </c>
      <c r="D3079" s="7">
        <f>IFERROR(__xludf.DUMMYFUNCTION("""COMPUTED_VALUE"""),0.35)</f>
        <v>0.35</v>
      </c>
    </row>
    <row r="3080">
      <c r="A3080" s="10" t="s">
        <v>4519</v>
      </c>
      <c r="B3080" s="7" t="str">
        <f>IFERROR(__xludf.DUMMYFUNCTION("SPLIT(A3080,"" "")"),"CC1=CNC=CC1CN(Cc1ccccn1)C1CCCC(N(C)Cc2ncc(C)c(C)c2C)C1")</f>
        <v>CC1=CNC=CC1CN(Cc1ccccn1)C1CCCC(N(C)Cc2ncc(C)c(C)c2C)C1</v>
      </c>
      <c r="C3080" s="7">
        <f>IFERROR(__xludf.DUMMYFUNCTION("""COMPUTED_VALUE"""),7.804086)</f>
        <v>7.804086</v>
      </c>
      <c r="D3080" s="7">
        <f>IFERROR(__xludf.DUMMYFUNCTION("""COMPUTED_VALUE"""),0.363636363636363)</f>
        <v>0.3636363636</v>
      </c>
    </row>
    <row r="3081">
      <c r="A3081" s="10" t="s">
        <v>4520</v>
      </c>
      <c r="B3081" s="7" t="str">
        <f>IFERROR(__xludf.DUMMYFUNCTION("SPLIT(A3081,"" "")"),"Cc1cccc(CN(C)Cc2cccc(-c3ccc4c(c3)OCCOCCOCCOCCOCCO4)n2)c1")</f>
        <v>Cc1cccc(CN(C)Cc2cccc(-c3ccc4c(c3)OCCOCCOCCOCCOCCO4)n2)c1</v>
      </c>
      <c r="C3081" s="7">
        <f>IFERROR(__xludf.DUMMYFUNCTION("""COMPUTED_VALUE"""),7.8040385)</f>
        <v>7.8040385</v>
      </c>
      <c r="D3081" s="7">
        <f>IFERROR(__xludf.DUMMYFUNCTION("""COMPUTED_VALUE"""),0.35593220338983)</f>
        <v>0.3559322034</v>
      </c>
    </row>
    <row r="3082">
      <c r="A3082" s="10" t="s">
        <v>4521</v>
      </c>
      <c r="B3082" s="7" t="str">
        <f>IFERROR(__xludf.DUMMYFUNCTION("SPLIT(A3082,"" "")"),"C1=CNC(N(Cc2ccccn2)Cc2cccc(-c3ccc4c(c3)OCCOCCOCCOCCOCCO4)n2)C=C1")</f>
        <v>C1=CNC(N(Cc2ccccn2)Cc2cccc(-c3ccc4c(c3)OCCOCCOCCOCCOCCO4)n2)C=C1</v>
      </c>
      <c r="C3082" s="7">
        <f>IFERROR(__xludf.DUMMYFUNCTION("""COMPUTED_VALUE"""),7.8040376)</f>
        <v>7.8040376</v>
      </c>
      <c r="D3082" s="7">
        <f>IFERROR(__xludf.DUMMYFUNCTION("""COMPUTED_VALUE"""),0.388059701492537)</f>
        <v>0.3880597015</v>
      </c>
    </row>
    <row r="3083">
      <c r="A3083" s="10" t="s">
        <v>4522</v>
      </c>
      <c r="B3083" s="7" t="str">
        <f>IFERROR(__xludf.DUMMYFUNCTION("SPLIT(A3083,"" "")"),"CN(Cc1cccc(-c2ccccc2)n1)C1CCCCC1")</f>
        <v>CN(Cc1cccc(-c2ccccc2)n1)C1CCCCC1</v>
      </c>
      <c r="C3083" s="7">
        <f>IFERROR(__xludf.DUMMYFUNCTION("""COMPUTED_VALUE"""),7.8040366)</f>
        <v>7.8040366</v>
      </c>
      <c r="D3083" s="7">
        <f>IFERROR(__xludf.DUMMYFUNCTION("""COMPUTED_VALUE"""),0.488888888888888)</f>
        <v>0.4888888889</v>
      </c>
    </row>
    <row r="3084">
      <c r="A3084" s="10" t="s">
        <v>4523</v>
      </c>
      <c r="B3084" s="7" t="str">
        <f>IFERROR(__xludf.DUMMYFUNCTION("SPLIT(A3084,"" "")"),"CC(C)N(C)Cc1cccc(CN(C)Cc2cccc(-c3ccc4c(c3)OCCOCCOCCOCCOCCO4)n2)n1")</f>
        <v>CC(C)N(C)Cc1cccc(CN(C)Cc2cccc(-c3ccc4c(c3)OCCOCCOCCOCCOCCO4)n2)n1</v>
      </c>
      <c r="C3084" s="7">
        <f>IFERROR(__xludf.DUMMYFUNCTION("""COMPUTED_VALUE"""),7.8040204)</f>
        <v>7.8040204</v>
      </c>
      <c r="D3084" s="7">
        <f>IFERROR(__xludf.DUMMYFUNCTION("""COMPUTED_VALUE"""),0.362068965517241)</f>
        <v>0.3620689655</v>
      </c>
    </row>
    <row r="3085">
      <c r="A3085" s="10" t="s">
        <v>4524</v>
      </c>
      <c r="B3085" s="7" t="str">
        <f>IFERROR(__xludf.DUMMYFUNCTION("SPLIT(A3085,"" "")"),"CC1COC(c2cc(CN3CCN(C)CCN(C)CC3)ccn2)=N1")</f>
        <v>CC1COC(c2cc(CN3CCN(C)CCN(C)CC3)ccn2)=N1</v>
      </c>
      <c r="C3085" s="7">
        <f>IFERROR(__xludf.DUMMYFUNCTION("""COMPUTED_VALUE"""),7.804014)</f>
        <v>7.804014</v>
      </c>
      <c r="D3085" s="7">
        <f>IFERROR(__xludf.DUMMYFUNCTION("""COMPUTED_VALUE"""),0.411764705882352)</f>
        <v>0.4117647059</v>
      </c>
    </row>
    <row r="3086">
      <c r="A3086" s="10" t="s">
        <v>4525</v>
      </c>
      <c r="B3086" s="7" t="str">
        <f>IFERROR(__xludf.DUMMYFUNCTION("SPLIT(A3086,"" "")"),"CN(CC1=CCC=C(N(C)C(c2ccccc2)c2ccccn2)N1)Cc1ccc2c(c1)OCCOCCOCCOCCOCCO2")</f>
        <v>CN(CC1=CCC=C(N(C)C(c2ccccc2)c2ccccn2)N1)Cc1ccc2c(c1)OCCOCCOCCOCCOCCO2</v>
      </c>
      <c r="C3086" s="7">
        <f>IFERROR(__xludf.DUMMYFUNCTION("""COMPUTED_VALUE"""),7.804002)</f>
        <v>7.804002</v>
      </c>
      <c r="D3086" s="7">
        <f>IFERROR(__xludf.DUMMYFUNCTION("""COMPUTED_VALUE"""),0.333333333333333)</f>
        <v>0.3333333333</v>
      </c>
    </row>
    <row r="3087">
      <c r="A3087" s="10" t="s">
        <v>4526</v>
      </c>
      <c r="B3087" s="7" t="str">
        <f>IFERROR(__xludf.DUMMYFUNCTION("SPLIT(A3087,"" "")"),"C1=CC(N(Cc2ccccn2)Cc2ccc(-c3ccc4c(c3)OCCOCCOCCOCCOCCO4)cn2)C=CN1")</f>
        <v>C1=CC(N(Cc2ccccn2)Cc2ccc(-c3ccc4c(c3)OCCOCCOCCOCCOCCO4)cn2)C=CN1</v>
      </c>
      <c r="C3087" s="7">
        <f>IFERROR(__xludf.DUMMYFUNCTION("""COMPUTED_VALUE"""),7.804001)</f>
        <v>7.804001</v>
      </c>
      <c r="D3087" s="7">
        <f>IFERROR(__xludf.DUMMYFUNCTION("""COMPUTED_VALUE"""),0.469696969696969)</f>
        <v>0.4696969697</v>
      </c>
    </row>
    <row r="3088">
      <c r="A3088" s="10" t="s">
        <v>4527</v>
      </c>
      <c r="B3088" s="7" t="str">
        <f>IFERROR(__xludf.DUMMYFUNCTION("SPLIT(A3088,"" "")"),"Cc1cnc(CN(C)C2CCCC(N(C)Cc3ncccc3C)C2)c(C)c1")</f>
        <v>Cc1cnc(CN(C)C2CCCC(N(C)Cc3ncccc3C)C2)c(C)c1</v>
      </c>
      <c r="C3088" s="7">
        <f>IFERROR(__xludf.DUMMYFUNCTION("""COMPUTED_VALUE"""),7.8039927)</f>
        <v>7.8039927</v>
      </c>
      <c r="D3088" s="7">
        <f>IFERROR(__xludf.DUMMYFUNCTION("""COMPUTED_VALUE"""),0.358490566037735)</f>
        <v>0.358490566</v>
      </c>
    </row>
    <row r="3089">
      <c r="A3089" s="10" t="s">
        <v>4528</v>
      </c>
      <c r="B3089" s="7" t="str">
        <f>IFERROR(__xludf.DUMMYFUNCTION("SPLIT(A3089,"" "")"),"Cc1ccc(CN2CCCC2CNCc2ncccc2C)nc1")</f>
        <v>Cc1ccc(CN2CCCC2CNCc2ncccc2C)nc1</v>
      </c>
      <c r="C3089" s="7">
        <f>IFERROR(__xludf.DUMMYFUNCTION("""COMPUTED_VALUE"""),7.803988)</f>
        <v>7.803988</v>
      </c>
      <c r="D3089" s="7">
        <f>IFERROR(__xludf.DUMMYFUNCTION("""COMPUTED_VALUE"""),0.412698412698412)</f>
        <v>0.4126984127</v>
      </c>
    </row>
    <row r="3090">
      <c r="A3090" s="10" t="s">
        <v>4529</v>
      </c>
      <c r="B3090" s="7" t="str">
        <f>IFERROR(__xludf.DUMMYFUNCTION("SPLIT(A3090,"" "")"),"Cc1ccnc(CN(C)CCN(C)C(C)C)c1")</f>
        <v>Cc1ccnc(CN(C)CCN(C)C(C)C)c1</v>
      </c>
      <c r="C3090" s="7">
        <f>IFERROR(__xludf.DUMMYFUNCTION("""COMPUTED_VALUE"""),7.8039823)</f>
        <v>7.8039823</v>
      </c>
      <c r="D3090" s="7">
        <f>IFERROR(__xludf.DUMMYFUNCTION("""COMPUTED_VALUE"""),0.45)</f>
        <v>0.45</v>
      </c>
    </row>
    <row r="3091">
      <c r="A3091" s="10" t="s">
        <v>4530</v>
      </c>
      <c r="B3091" s="7" t="str">
        <f>IFERROR(__xludf.DUMMYFUNCTION("SPLIT(A3091,"" "")"),"CC(C)N(CC1=CC(N(C)Cc2ccccn2)C=CN1)Cc1ccc(-c2ccc3c(c2)OCCOCCOCCOCCOCCO3)nc1")</f>
        <v>CC(C)N(CC1=CC(N(C)Cc2ccccn2)C=CN1)Cc1ccc(-c2ccc3c(c2)OCCOCCOCCOCCOCCO3)nc1</v>
      </c>
      <c r="C3091" s="7">
        <f>IFERROR(__xludf.DUMMYFUNCTION("""COMPUTED_VALUE"""),7.8039804)</f>
        <v>7.8039804</v>
      </c>
      <c r="D3091" s="7">
        <f>IFERROR(__xludf.DUMMYFUNCTION("""COMPUTED_VALUE"""),0.306666666666666)</f>
        <v>0.3066666667</v>
      </c>
    </row>
    <row r="3092">
      <c r="A3092" s="10" t="s">
        <v>4531</v>
      </c>
      <c r="B3092" s="7" t="str">
        <f>IFERROR(__xludf.DUMMYFUNCTION("SPLIT(A3092,"" "")"),"Cc1ccnc(CN2CCCC2CNCc2ccnc(C)c2)c1")</f>
        <v>Cc1ccnc(CN2CCCC2CNCc2ccnc(C)c2)c1</v>
      </c>
      <c r="C3092" s="7">
        <f>IFERROR(__xludf.DUMMYFUNCTION("""COMPUTED_VALUE"""),7.803978)</f>
        <v>7.803978</v>
      </c>
      <c r="D3092" s="7">
        <f>IFERROR(__xludf.DUMMYFUNCTION("""COMPUTED_VALUE"""),0.413793103448275)</f>
        <v>0.4137931034</v>
      </c>
    </row>
    <row r="3093">
      <c r="A3093" s="10" t="s">
        <v>4532</v>
      </c>
      <c r="B3093" s="7" t="str">
        <f>IFERROR(__xludf.DUMMYFUNCTION("SPLIT(A3093,"" "")"),"CNCc1ncccc1CN(Cc1ccccn1)C1CCC(N(C)Cc2cccnn2)CC1")</f>
        <v>CNCc1ncccc1CN(Cc1ccccn1)C1CCC(N(C)Cc2cccnn2)CC1</v>
      </c>
      <c r="C3093" s="7">
        <f>IFERROR(__xludf.DUMMYFUNCTION("""COMPUTED_VALUE"""),7.803973)</f>
        <v>7.803973</v>
      </c>
      <c r="D3093" s="7">
        <f>IFERROR(__xludf.DUMMYFUNCTION("""COMPUTED_VALUE"""),0.436363636363636)</f>
        <v>0.4363636364</v>
      </c>
    </row>
    <row r="3094">
      <c r="A3094" s="10" t="s">
        <v>4533</v>
      </c>
      <c r="B3094" s="7" t="str">
        <f>IFERROR(__xludf.DUMMYFUNCTION("SPLIT(A3094,"" "")"),"CN(Cc1cccc(-c2ccc3c(c2)OCCOCCOCCOCCOCCO3)n1)C1=CC=CNC1")</f>
        <v>CN(Cc1cccc(-c2ccc3c(c2)OCCOCCOCCOCCOCCO3)n1)C1=CC=CNC1</v>
      </c>
      <c r="C3094" s="7">
        <f>IFERROR(__xludf.DUMMYFUNCTION("""COMPUTED_VALUE"""),7.8039722)</f>
        <v>7.8039722</v>
      </c>
      <c r="D3094" s="7">
        <f>IFERROR(__xludf.DUMMYFUNCTION("""COMPUTED_VALUE"""),0.333333333333333)</f>
        <v>0.3333333333</v>
      </c>
    </row>
    <row r="3095">
      <c r="A3095" s="10" t="s">
        <v>4534</v>
      </c>
      <c r="B3095" s="7" t="str">
        <f>IFERROR(__xludf.DUMMYFUNCTION("SPLIT(A3095,"" "")"),"CC1=CCC=C(CN(Cc2ccccn2)C2CCCC(N(C)Cc3ccccn3)C2)N1")</f>
        <v>CC1=CCC=C(CN(Cc2ccccn2)C2CCCC(N(C)Cc3ccccn3)C2)N1</v>
      </c>
      <c r="C3095" s="7">
        <f>IFERROR(__xludf.DUMMYFUNCTION("""COMPUTED_VALUE"""),7.803959)</f>
        <v>7.803959</v>
      </c>
      <c r="D3095" s="7">
        <f>IFERROR(__xludf.DUMMYFUNCTION("""COMPUTED_VALUE"""),0.462962962962962)</f>
        <v>0.462962963</v>
      </c>
    </row>
    <row r="3096">
      <c r="A3096" s="10" t="s">
        <v>4535</v>
      </c>
      <c r="B3096" s="7" t="str">
        <f>IFERROR(__xludf.DUMMYFUNCTION("SPLIT(A3096,"" "")"),"CNC1CCC(N(Cc2ccccn2)Cc2nc(C)c(C)c(C)c2C)CC1")</f>
        <v>CNC1CCC(N(Cc2ccccn2)Cc2nc(C)c(C)c(C)c2C)CC1</v>
      </c>
      <c r="C3096" s="7">
        <f>IFERROR(__xludf.DUMMYFUNCTION("""COMPUTED_VALUE"""),7.8039384)</f>
        <v>7.8039384</v>
      </c>
      <c r="D3096" s="7">
        <f>IFERROR(__xludf.DUMMYFUNCTION("""COMPUTED_VALUE"""),0.381818181818181)</f>
        <v>0.3818181818</v>
      </c>
    </row>
    <row r="3097">
      <c r="A3097" s="10" t="s">
        <v>4536</v>
      </c>
      <c r="B3097" s="7" t="str">
        <f>IFERROR(__xludf.DUMMYFUNCTION("SPLIT(A3097,"" "")"),"CC1=C(C)C(N(C)Cc2ccccn2)C(C)(C)C(C)(C)C1C")</f>
        <v>CC1=C(C)C(N(C)Cc2ccccn2)C(C)(C)C(C)(C)C1C</v>
      </c>
      <c r="C3097" s="7">
        <f>IFERROR(__xludf.DUMMYFUNCTION("""COMPUTED_VALUE"""),7.8039365)</f>
        <v>7.8039365</v>
      </c>
      <c r="D3097" s="7">
        <f>IFERROR(__xludf.DUMMYFUNCTION("""COMPUTED_VALUE"""),0.488888888888888)</f>
        <v>0.4888888889</v>
      </c>
    </row>
    <row r="3098">
      <c r="A3098" s="10" t="s">
        <v>4537</v>
      </c>
      <c r="B3098" s="7" t="str">
        <f>IFERROR(__xludf.DUMMYFUNCTION("SPLIT(A3098,"" "")"),"CCN(Cc1cc(CF)ccn1)C1CCC(N(C)Cc2ncc(C)c(C)c2C)CC1")</f>
        <v>CCN(Cc1cc(CF)ccn1)C1CCC(N(C)Cc2ncc(C)c(C)c2C)CC1</v>
      </c>
      <c r="C3098" s="7">
        <f>IFERROR(__xludf.DUMMYFUNCTION("""COMPUTED_VALUE"""),7.803927)</f>
        <v>7.803927</v>
      </c>
      <c r="D3098" s="7">
        <f>IFERROR(__xludf.DUMMYFUNCTION("""COMPUTED_VALUE"""),0.290322580645161)</f>
        <v>0.2903225806</v>
      </c>
    </row>
    <row r="3099">
      <c r="A3099" s="10" t="s">
        <v>4538</v>
      </c>
      <c r="B3099" s="7" t="str">
        <f>IFERROR(__xludf.DUMMYFUNCTION("SPLIT(A3099,"" "")"),"CCN(CC1=CC(N(C)Cc2ncccc2-c2ccc3c(c2)OCCOCCOCCOCCOCCO3)C=CN1)Cc1ccccn1")</f>
        <v>CCN(CC1=CC(N(C)Cc2ncccc2-c2ccc3c(c2)OCCOCCOCCOCCOCCO3)C=CN1)Cc1ccccn1</v>
      </c>
      <c r="C3099" s="7">
        <f>IFERROR(__xludf.DUMMYFUNCTION("""COMPUTED_VALUE"""),7.803926)</f>
        <v>7.803926</v>
      </c>
      <c r="D3099" s="7">
        <f>IFERROR(__xludf.DUMMYFUNCTION("""COMPUTED_VALUE"""),0.337662337662337)</f>
        <v>0.3376623377</v>
      </c>
    </row>
    <row r="3100">
      <c r="A3100" s="10" t="s">
        <v>4539</v>
      </c>
      <c r="B3100" s="7" t="str">
        <f>IFERROR(__xludf.DUMMYFUNCTION("SPLIT(A3100,"" "")"),"CN(Cc1ccccn1)Cc1ncccc1-c1cccc2c1OCCOCCOCCOCCOCCO2")</f>
        <v>CN(Cc1ccccn1)Cc1ncccc1-c1cccc2c1OCCOCCOCCOCCOCCO2</v>
      </c>
      <c r="C3100" s="7">
        <f>IFERROR(__xludf.DUMMYFUNCTION("""COMPUTED_VALUE"""),7.8039207)</f>
        <v>7.8039207</v>
      </c>
      <c r="D3100" s="7">
        <f>IFERROR(__xludf.DUMMYFUNCTION("""COMPUTED_VALUE"""),0.418181818181818)</f>
        <v>0.4181818182</v>
      </c>
    </row>
    <row r="3101">
      <c r="A3101" s="10" t="s">
        <v>4540</v>
      </c>
      <c r="B3101" s="7" t="str">
        <f>IFERROR(__xludf.DUMMYFUNCTION("SPLIT(A3101,"" "")"),"CN(Cc1ccccn1)C1CCCC(N(Cc2cncc(F)c2)Cc2ccccn2)C1")</f>
        <v>CN(Cc1ccccn1)C1CCCC(N(Cc2cncc(F)c2)Cc2ccccn2)C1</v>
      </c>
      <c r="C3101" s="7">
        <f>IFERROR(__xludf.DUMMYFUNCTION("""COMPUTED_VALUE"""),7.803909)</f>
        <v>7.803909</v>
      </c>
      <c r="D3101" s="7">
        <f>IFERROR(__xludf.DUMMYFUNCTION("""COMPUTED_VALUE"""),0.462962962962962)</f>
        <v>0.462962963</v>
      </c>
    </row>
    <row r="3102">
      <c r="A3102" s="10" t="s">
        <v>4541</v>
      </c>
      <c r="B3102" s="7" t="str">
        <f>IFERROR(__xludf.DUMMYFUNCTION("SPLIT(A3102,"" "")"),"Cc1ccccc1CN(C)Cc1cccc(-c2ccc3c(c2)OCCOCCOCCOCCOCCO3)n1")</f>
        <v>Cc1ccccc1CN(C)Cc1cccc(-c2ccc3c(c2)OCCOCCOCCOCCOCCO3)n1</v>
      </c>
      <c r="C3102" s="7">
        <f>IFERROR(__xludf.DUMMYFUNCTION("""COMPUTED_VALUE"""),7.803909)</f>
        <v>7.803909</v>
      </c>
      <c r="D3102" s="7">
        <f>IFERROR(__xludf.DUMMYFUNCTION("""COMPUTED_VALUE"""),0.379310344827586)</f>
        <v>0.3793103448</v>
      </c>
    </row>
    <row r="3103">
      <c r="A3103" s="10" t="s">
        <v>4542</v>
      </c>
      <c r="B3103" s="7" t="str">
        <f>IFERROR(__xludf.DUMMYFUNCTION("SPLIT(A3103,"" "")"),"CCCN(Cc1ccccn1)C1CCC(N(C)Cc2ncccc2C)CC1N(C)Cc1ncccc1C")</f>
        <v>CCCN(Cc1ccccn1)C1CCC(N(C)Cc2ncccc2C)CC1N(C)Cc1ncccc1C</v>
      </c>
      <c r="C3103" s="7">
        <f>IFERROR(__xludf.DUMMYFUNCTION("""COMPUTED_VALUE"""),7.803907)</f>
        <v>7.803907</v>
      </c>
      <c r="D3103" s="7">
        <f>IFERROR(__xludf.DUMMYFUNCTION("""COMPUTED_VALUE"""),0.446428571428571)</f>
        <v>0.4464285714</v>
      </c>
    </row>
    <row r="3104">
      <c r="A3104" s="10" t="s">
        <v>4543</v>
      </c>
      <c r="B3104" s="7" t="str">
        <f>IFERROR(__xludf.DUMMYFUNCTION("SPLIT(A3104,"" "")"),"COc1cc(C)nc(C)c1CN1CCN(C)CCN(C)CC1")</f>
        <v>COc1cc(C)nc(C)c1CN1CCN(C)CCN(C)CC1</v>
      </c>
      <c r="C3104" s="7">
        <f>IFERROR(__xludf.DUMMYFUNCTION("""COMPUTED_VALUE"""),7.8039055)</f>
        <v>7.8039055</v>
      </c>
      <c r="D3104" s="7">
        <f>IFERROR(__xludf.DUMMYFUNCTION("""COMPUTED_VALUE"""),0.5)</f>
        <v>0.5</v>
      </c>
    </row>
    <row r="3105">
      <c r="A3105" s="10" t="s">
        <v>4544</v>
      </c>
      <c r="B3105" s="7" t="str">
        <f>IFERROR(__xludf.DUMMYFUNCTION("SPLIT(A3105,"" "")"),"Cc1cccc(CN(C)C2=C(CN(C)c3ccc4c(c3)OCCOCCOCCOCCOCCO4)NC=CC2)n1")</f>
        <v>Cc1cccc(CN(C)C2=C(CN(C)c3ccc4c(c3)OCCOCCOCCOCCOCCO4)NC=CC2)n1</v>
      </c>
      <c r="C3105" s="7">
        <f>IFERROR(__xludf.DUMMYFUNCTION("""COMPUTED_VALUE"""),7.8039045)</f>
        <v>7.8039045</v>
      </c>
      <c r="D3105" s="7">
        <f>IFERROR(__xludf.DUMMYFUNCTION("""COMPUTED_VALUE"""),0.327868852459016)</f>
        <v>0.3278688525</v>
      </c>
    </row>
    <row r="3106">
      <c r="A3106" s="10" t="s">
        <v>4545</v>
      </c>
      <c r="B3106" s="7" t="str">
        <f>IFERROR(__xludf.DUMMYFUNCTION("SPLIT(A3106,"" "")"),"Cc1cccnc1CN(C)CCN(C)C(C)C")</f>
        <v>Cc1cccnc1CN(C)CCN(C)C(C)C</v>
      </c>
      <c r="C3106" s="7">
        <f>IFERROR(__xludf.DUMMYFUNCTION("""COMPUTED_VALUE"""),7.803903)</f>
        <v>7.803903</v>
      </c>
      <c r="D3106" s="7">
        <f>IFERROR(__xludf.DUMMYFUNCTION("""COMPUTED_VALUE"""),0.409090909090909)</f>
        <v>0.4090909091</v>
      </c>
    </row>
    <row r="3107">
      <c r="A3107" s="10" t="s">
        <v>4546</v>
      </c>
      <c r="B3107" s="7" t="str">
        <f>IFERROR(__xludf.DUMMYFUNCTION("SPLIT(A3107,"" "")"),"CNCN(Cc1ncccc1C)C1CCCC(N(C)Cc2nc(C)cc(C)c2C)C1")</f>
        <v>CNCN(Cc1ncccc1C)C1CCCC(N(C)Cc2nc(C)cc(C)c2C)C1</v>
      </c>
      <c r="C3107" s="7">
        <f>IFERROR(__xludf.DUMMYFUNCTION("""COMPUTED_VALUE"""),7.8039026)</f>
        <v>7.8039026</v>
      </c>
      <c r="D3107" s="7">
        <f>IFERROR(__xludf.DUMMYFUNCTION("""COMPUTED_VALUE"""),0.276923076923076)</f>
        <v>0.2769230769</v>
      </c>
    </row>
    <row r="3108">
      <c r="A3108" s="10" t="s">
        <v>4547</v>
      </c>
      <c r="B3108" s="7" t="str">
        <f>IFERROR(__xludf.DUMMYFUNCTION("SPLIT(A3108,"" "")"),"Cc1cccc(CNCC2CCCN2Cc2ncccc2C)n1")</f>
        <v>Cc1cccc(CNCC2CCCN2Cc2ncccc2C)n1</v>
      </c>
      <c r="C3108" s="7">
        <f>IFERROR(__xludf.DUMMYFUNCTION("""COMPUTED_VALUE"""),7.8038974)</f>
        <v>7.8038974</v>
      </c>
      <c r="D3108" s="7">
        <f>IFERROR(__xludf.DUMMYFUNCTION("""COMPUTED_VALUE"""),0.481481481481481)</f>
        <v>0.4814814815</v>
      </c>
    </row>
    <row r="3109">
      <c r="A3109" s="10" t="s">
        <v>4548</v>
      </c>
      <c r="B3109" s="7" t="str">
        <f>IFERROR(__xludf.DUMMYFUNCTION("SPLIT(A3109,"" "")"),"Cc1ccnc(CN(C)C2CCCCC2N(C)Cc2cccnc2CN(C)C)c1C")</f>
        <v>Cc1ccnc(CN(C)C2CCCCC2N(C)Cc2cccnc2CN(C)C)c1C</v>
      </c>
      <c r="C3109" s="7">
        <f>IFERROR(__xludf.DUMMYFUNCTION("""COMPUTED_VALUE"""),7.8038898)</f>
        <v>7.8038898</v>
      </c>
      <c r="D3109" s="7">
        <f>IFERROR(__xludf.DUMMYFUNCTION("""COMPUTED_VALUE"""),0.46)</f>
        <v>0.46</v>
      </c>
    </row>
    <row r="3110">
      <c r="A3110" s="10" t="s">
        <v>4549</v>
      </c>
      <c r="B3110" s="7" t="str">
        <f>IFERROR(__xludf.DUMMYFUNCTION("SPLIT(A3110,"" "")"),"CN(CCN(Cc1ccccn1)Cc1cccc(-c2ccc3c(c2)OCCOCCOCCOCCOCCO3)n1)Cc1ccccn1")</f>
        <v>CN(CCN(Cc1ccccn1)Cc1cccc(-c2ccc3c(c2)OCCOCCOCCOCCOCCO3)n1)Cc1ccccn1</v>
      </c>
      <c r="C3110" s="7">
        <f>IFERROR(__xludf.DUMMYFUNCTION("""COMPUTED_VALUE"""),7.8038335)</f>
        <v>7.8038335</v>
      </c>
      <c r="D3110" s="7">
        <f>IFERROR(__xludf.DUMMYFUNCTION("""COMPUTED_VALUE"""),0.476190476190476)</f>
        <v>0.4761904762</v>
      </c>
    </row>
    <row r="3111">
      <c r="A3111" s="10" t="s">
        <v>4550</v>
      </c>
      <c r="B3111" s="7" t="str">
        <f>IFERROR(__xludf.DUMMYFUNCTION("SPLIT(A3111,"" "")"),"Cc1cc(CN(C)CCN(C)C(C)(C)C)ccn1")</f>
        <v>Cc1cc(CN(C)CCN(C)C(C)(C)C)ccn1</v>
      </c>
      <c r="C3111" s="7">
        <f>IFERROR(__xludf.DUMMYFUNCTION("""COMPUTED_VALUE"""),7.8038335)</f>
        <v>7.8038335</v>
      </c>
      <c r="D3111" s="7">
        <f>IFERROR(__xludf.DUMMYFUNCTION("""COMPUTED_VALUE"""),0.348837209302325)</f>
        <v>0.3488372093</v>
      </c>
    </row>
    <row r="3112">
      <c r="A3112" s="10" t="s">
        <v>4551</v>
      </c>
      <c r="B3112" s="7" t="str">
        <f>IFERROR(__xludf.DUMMYFUNCTION("SPLIT(A3112,"" "")"),"Cc1ccnc(CN2CCCC2CNCc2ncccc2C)c1")</f>
        <v>Cc1ccnc(CN2CCCC2CNCc2ncccc2C)c1</v>
      </c>
      <c r="C3112" s="7">
        <f>IFERROR(__xludf.DUMMYFUNCTION("""COMPUTED_VALUE"""),7.80382)</f>
        <v>7.80382</v>
      </c>
      <c r="D3112" s="7">
        <f>IFERROR(__xludf.DUMMYFUNCTION("""COMPUTED_VALUE"""),0.412698412698412)</f>
        <v>0.4126984127</v>
      </c>
    </row>
    <row r="3113">
      <c r="A3113" s="10" t="s">
        <v>4552</v>
      </c>
      <c r="B3113" s="7" t="str">
        <f>IFERROR(__xludf.DUMMYFUNCTION("SPLIT(A3113,"" "")"),"Cc1nc(CN(C)C2CCCC(N(Cc3ccccn3)CC3C=CNC=C3)C2)c(C)c(C)c1C")</f>
        <v>Cc1nc(CN(C)C2CCCC(N(Cc3ccccn3)CC3C=CNC=C3)C2)c(C)c(C)c1C</v>
      </c>
      <c r="C3113" s="7">
        <f>IFERROR(__xludf.DUMMYFUNCTION("""COMPUTED_VALUE"""),7.803818)</f>
        <v>7.803818</v>
      </c>
      <c r="D3113" s="7">
        <f>IFERROR(__xludf.DUMMYFUNCTION("""COMPUTED_VALUE"""),0.38095238095238)</f>
        <v>0.380952381</v>
      </c>
    </row>
    <row r="3114">
      <c r="A3114" s="10" t="s">
        <v>4553</v>
      </c>
      <c r="B3114" s="7" t="str">
        <f>IFERROR(__xludf.DUMMYFUNCTION("SPLIT(A3114,"" "")"),"Cc1cccnc1CNCN(C)C(C)C")</f>
        <v>Cc1cccnc1CNCN(C)C(C)C</v>
      </c>
      <c r="C3114" s="7">
        <f>IFERROR(__xludf.DUMMYFUNCTION("""COMPUTED_VALUE"""),7.803811)</f>
        <v>7.803811</v>
      </c>
      <c r="D3114" s="7">
        <f>IFERROR(__xludf.DUMMYFUNCTION("""COMPUTED_VALUE"""),0.304347826086956)</f>
        <v>0.3043478261</v>
      </c>
    </row>
    <row r="3115">
      <c r="A3115" s="10" t="s">
        <v>4554</v>
      </c>
      <c r="B3115" s="7" t="str">
        <f>IFERROR(__xludf.DUMMYFUNCTION("SPLIT(A3115,"" "")"),"Cc1cccc(CN(Cc2cccc(CN(C)C)n2)C2CCC(N(C)Cc3ncccc3-c3ccc4c(c3)OCCOCCOCCOCCOCCO4)CC2)n1")</f>
        <v>Cc1cccc(CN(Cc2cccc(CN(C)C)n2)C2CCC(N(C)Cc3ncccc3-c3ccc4c(c3)OCCOCCOCCOCCOCCO4)CC2)n1</v>
      </c>
      <c r="C3115" s="7">
        <f>IFERROR(__xludf.DUMMYFUNCTION("""COMPUTED_VALUE"""),7.8038077)</f>
        <v>7.8038077</v>
      </c>
      <c r="D3115" s="7">
        <f>IFERROR(__xludf.DUMMYFUNCTION("""COMPUTED_VALUE"""),0.338028169014084)</f>
        <v>0.338028169</v>
      </c>
    </row>
    <row r="3116">
      <c r="A3116" s="10" t="s">
        <v>4555</v>
      </c>
      <c r="B3116" s="7" t="str">
        <f>IFERROR(__xludf.DUMMYFUNCTION("SPLIT(A3116,"" "")"),"Cc1cnc(CN(C)C2CCCC(N(C)CCN(C)Cc3nc(C)ccc3C)C2)c(C)c1")</f>
        <v>Cc1cnc(CN(C)C2CCCC(N(C)CCN(C)Cc3nc(C)ccc3C)C2)c(C)c1</v>
      </c>
      <c r="C3116" s="7">
        <f>IFERROR(__xludf.DUMMYFUNCTION("""COMPUTED_VALUE"""),7.8038006)</f>
        <v>7.8038006</v>
      </c>
      <c r="D3116" s="7">
        <f>IFERROR(__xludf.DUMMYFUNCTION("""COMPUTED_VALUE"""),0.321428571428571)</f>
        <v>0.3214285714</v>
      </c>
    </row>
    <row r="3117">
      <c r="A3117" s="10" t="s">
        <v>4556</v>
      </c>
      <c r="B3117" s="7" t="str">
        <f>IFERROR(__xludf.DUMMYFUNCTION("SPLIT(A3117,"" "")"),"CN(CCN(Cc1ccccn1)Cc1ncccc1-c1cccc2c1OCCOCCOCCOCCOCCO2)Cc1ccccn1")</f>
        <v>CN(CCN(Cc1ccccn1)Cc1ncccc1-c1cccc2c1OCCOCCOCCOCCOCCO2)Cc1ccccn1</v>
      </c>
      <c r="C3117" s="7">
        <f>IFERROR(__xludf.DUMMYFUNCTION("""COMPUTED_VALUE"""),7.8037977)</f>
        <v>7.8037977</v>
      </c>
      <c r="D3117" s="7">
        <f>IFERROR(__xludf.DUMMYFUNCTION("""COMPUTED_VALUE"""),0.43076923076923)</f>
        <v>0.4307692308</v>
      </c>
    </row>
    <row r="3118">
      <c r="A3118" s="10" t="s">
        <v>4557</v>
      </c>
      <c r="B3118" s="7" t="str">
        <f>IFERROR(__xludf.DUMMYFUNCTION("SPLIT(A3118,"" "")"),"Cc1cc(CN(C)C2CCCCC2N(C)Cc2nc(C)cc(C)c2C)ccn1")</f>
        <v>Cc1cc(CN(C)C2CCCCC2N(C)Cc2nc(C)cc(C)c2C)ccn1</v>
      </c>
      <c r="C3118" s="7">
        <f>IFERROR(__xludf.DUMMYFUNCTION("""COMPUTED_VALUE"""),7.8037906)</f>
        <v>7.8037906</v>
      </c>
      <c r="D3118" s="7">
        <f>IFERROR(__xludf.DUMMYFUNCTION("""COMPUTED_VALUE"""),0.423076923076923)</f>
        <v>0.4230769231</v>
      </c>
    </row>
    <row r="3119">
      <c r="A3119" s="10" t="s">
        <v>4558</v>
      </c>
      <c r="B3119" s="7" t="str">
        <f>IFERROR(__xludf.DUMMYFUNCTION("SPLIT(A3119,"" "")"),"CN(CCN(C)Cc1ncccc1C(C)(C)C)Cc1cccnc1-c1ccc2c(c1)OCCOCCOCCOCCOCCO2")</f>
        <v>CN(CCN(C)Cc1ncccc1C(C)(C)C)Cc1cccnc1-c1ccc2c(c1)OCCOCCOCCOCCOCCO2</v>
      </c>
      <c r="C3119" s="7">
        <f>IFERROR(__xludf.DUMMYFUNCTION("""COMPUTED_VALUE"""),7.8037896)</f>
        <v>7.8037896</v>
      </c>
      <c r="D3119" s="7">
        <f>IFERROR(__xludf.DUMMYFUNCTION("""COMPUTED_VALUE"""),0.338709677419354)</f>
        <v>0.3387096774</v>
      </c>
    </row>
    <row r="3120">
      <c r="A3120" s="10" t="s">
        <v>4559</v>
      </c>
      <c r="B3120" s="7" t="str">
        <f>IFERROR(__xludf.DUMMYFUNCTION("SPLIT(A3120,"" "")"),"Cc1cc(C)c(CN(C)C2CCC(N(Cc3ccccn3)Cc3cccc(-c4ccc5c(c4)OCCOCCOCCOCCOCCO5)n3)CC2)nc1C")</f>
        <v>Cc1cc(C)c(CN(C)C2CCC(N(Cc3ccccn3)Cc3cccc(-c4ccc5c(c4)OCCOCCOCCOCCOCCO5)n3)CC2)nc1C</v>
      </c>
      <c r="C3120" s="7">
        <f>IFERROR(__xludf.DUMMYFUNCTION("""COMPUTED_VALUE"""),7.8037796)</f>
        <v>7.8037796</v>
      </c>
      <c r="D3120" s="7">
        <f>IFERROR(__xludf.DUMMYFUNCTION("""COMPUTED_VALUE"""),0.358974358974359)</f>
        <v>0.358974359</v>
      </c>
    </row>
    <row r="3121">
      <c r="A3121" s="10" t="s">
        <v>4560</v>
      </c>
      <c r="B3121" s="7" t="str">
        <f>IFERROR(__xludf.DUMMYFUNCTION("SPLIT(A3121,"" "")"),"CN(Cc1cccc(-c2ccc3c(c2)OCCOCCOCCOCCOCCO3)n1)Cc1cccc(C2CCC2(C)C)n1")</f>
        <v>CN(Cc1cccc(-c2ccc3c(c2)OCCOCCOCCOCCOCCO3)n1)Cc1cccc(C2CCC2(C)C)n1</v>
      </c>
      <c r="C3121" s="7">
        <f>IFERROR(__xludf.DUMMYFUNCTION("""COMPUTED_VALUE"""),7.8037777)</f>
        <v>7.8037777</v>
      </c>
      <c r="D3121" s="7">
        <f>IFERROR(__xludf.DUMMYFUNCTION("""COMPUTED_VALUE"""),0.342465753424657)</f>
        <v>0.3424657534</v>
      </c>
    </row>
    <row r="3122">
      <c r="A3122" s="10" t="s">
        <v>4561</v>
      </c>
      <c r="B3122" s="7" t="str">
        <f>IFERROR(__xludf.DUMMYFUNCTION("SPLIT(A3122,"" "")"),"Cc1cccnc1CN(C)C1CCCCC1N(C)c1ccccc1F")</f>
        <v>Cc1cccnc1CN(C)C1CCCCC1N(C)c1ccccc1F</v>
      </c>
      <c r="C3122" s="7">
        <f>IFERROR(__xludf.DUMMYFUNCTION("""COMPUTED_VALUE"""),7.8037734)</f>
        <v>7.8037734</v>
      </c>
      <c r="D3122" s="7">
        <f>IFERROR(__xludf.DUMMYFUNCTION("""COMPUTED_VALUE"""),0.48)</f>
        <v>0.48</v>
      </c>
    </row>
    <row r="3123">
      <c r="A3123" s="10" t="s">
        <v>4562</v>
      </c>
      <c r="B3123" s="7" t="str">
        <f>IFERROR(__xludf.DUMMYFUNCTION("SPLIT(A3123,"" "")"),"CCOC(=O)C(=O)C(C)C1(C)COC(c2cncc(CN3CCN(C)CCN(C)CC3)c2)=N1")</f>
        <v>CCOC(=O)C(=O)C(C)C1(C)COC(c2cncc(CN3CCN(C)CCN(C)CC3)c2)=N1</v>
      </c>
      <c r="C3123" s="7">
        <f>IFERROR(__xludf.DUMMYFUNCTION("""COMPUTED_VALUE"""),7.8037558)</f>
        <v>7.8037558</v>
      </c>
      <c r="D3123" s="7">
        <f>IFERROR(__xludf.DUMMYFUNCTION("""COMPUTED_VALUE"""),0.342465753424657)</f>
        <v>0.3424657534</v>
      </c>
    </row>
    <row r="3124">
      <c r="A3124" s="10" t="s">
        <v>4563</v>
      </c>
      <c r="B3124" s="7" t="str">
        <f>IFERROR(__xludf.DUMMYFUNCTION("SPLIT(A3124,"" "")"),"CC(c1ccccn1)(c1ccccn1)c1cccc(CNCc2ccc3c(c2)OCCOCCOCCOCCOCCO3)n1")</f>
        <v>CC(c1ccccn1)(c1ccccn1)c1cccc(CNCc2ccc3c(c2)OCCOCCOCCOCCOCCO3)n1</v>
      </c>
      <c r="C3124" s="7">
        <f>IFERROR(__xludf.DUMMYFUNCTION("""COMPUTED_VALUE"""),7.803743)</f>
        <v>7.803743</v>
      </c>
      <c r="D3124" s="7">
        <f>IFERROR(__xludf.DUMMYFUNCTION("""COMPUTED_VALUE"""),0.375)</f>
        <v>0.375</v>
      </c>
    </row>
    <row r="3125">
      <c r="A3125" s="10" t="s">
        <v>4564</v>
      </c>
      <c r="B3125" s="7" t="str">
        <f>IFERROR(__xludf.DUMMYFUNCTION("SPLIT(A3125,"" "")"),"CNCc1ncccc1CN(Cc1ccccn1)C1CCCC(N(C)Cc2ccccn2)C1")</f>
        <v>CNCc1ncccc1CN(Cc1ccccn1)C1CCCC(N(C)Cc2ccccn2)C1</v>
      </c>
      <c r="C3125" s="7">
        <f>IFERROR(__xludf.DUMMYFUNCTION("""COMPUTED_VALUE"""),7.803741)</f>
        <v>7.803741</v>
      </c>
      <c r="D3125" s="7">
        <f>IFERROR(__xludf.DUMMYFUNCTION("""COMPUTED_VALUE"""),0.462962962962962)</f>
        <v>0.462962963</v>
      </c>
    </row>
    <row r="3126">
      <c r="A3126" s="10" t="s">
        <v>4565</v>
      </c>
      <c r="B3126" s="7" t="str">
        <f>IFERROR(__xludf.DUMMYFUNCTION("SPLIT(A3126,"" "")"),"CC(C)(CN(Cc1ccccn1)Cc1cccc(-c2ccc3c(c2)OCCOCCOCCOCCOCCO3)n1)c1ccc(-c2ccc3c(c2)OCCOCCOCCOCCOCCO3)cn1")</f>
        <v>CC(C)(CN(Cc1ccccn1)Cc1cccc(-c2ccc3c(c2)OCCOCCOCCOCCOCCO3)n1)c1ccc(-c2ccc3c(c2)OCCOCCOCCOCCOCCO3)cn1</v>
      </c>
      <c r="C3126" s="7">
        <f>IFERROR(__xludf.DUMMYFUNCTION("""COMPUTED_VALUE"""),7.80373)</f>
        <v>7.80373</v>
      </c>
      <c r="D3126" s="7">
        <f>IFERROR(__xludf.DUMMYFUNCTION("""COMPUTED_VALUE"""),0.428571428571428)</f>
        <v>0.4285714286</v>
      </c>
    </row>
    <row r="3127">
      <c r="A3127" s="10" t="s">
        <v>4566</v>
      </c>
      <c r="B3127" s="7" t="str">
        <f>IFERROR(__xludf.DUMMYFUNCTION("SPLIT(A3127,"" "")"),"Cc1ccc(CN(CC2=CC(N(C)Cc3ccccn3)C=CN2)c2cccc3c2OCCOCCOCCOCCOCCO3)nc1C")</f>
        <v>Cc1ccc(CN(CC2=CC(N(C)Cc3ccccn3)C=CN2)c2cccc3c2OCCOCCOCCOCCOCCO3)nc1C</v>
      </c>
      <c r="C3127" s="7">
        <f>IFERROR(__xludf.DUMMYFUNCTION("""COMPUTED_VALUE"""),7.803719)</f>
        <v>7.803719</v>
      </c>
      <c r="D3127" s="7">
        <f>IFERROR(__xludf.DUMMYFUNCTION("""COMPUTED_VALUE"""),0.302631578947368)</f>
        <v>0.3026315789</v>
      </c>
    </row>
    <row r="3128">
      <c r="A3128" s="10" t="s">
        <v>4567</v>
      </c>
      <c r="B3128" s="7" t="str">
        <f>IFERROR(__xludf.DUMMYFUNCTION("SPLIT(A3128,"" "")"),"Cc1cccnc1CN(C)C1=CNC(CN(C)c2cccc3c2OCCOCCOCCOCCOCCO3)=CC1")</f>
        <v>Cc1cccnc1CN(C)C1=CNC(CN(C)c2cccc3c2OCCOCCOCCOCCOCCO3)=CC1</v>
      </c>
      <c r="C3128" s="7">
        <f>IFERROR(__xludf.DUMMYFUNCTION("""COMPUTED_VALUE"""),7.8037176)</f>
        <v>7.8037176</v>
      </c>
      <c r="D3128" s="7">
        <f>IFERROR(__xludf.DUMMYFUNCTION("""COMPUTED_VALUE"""),0.26865671641791)</f>
        <v>0.2686567164</v>
      </c>
    </row>
    <row r="3129">
      <c r="A3129" s="10" t="s">
        <v>4568</v>
      </c>
      <c r="B3129" s="7" t="str">
        <f>IFERROR(__xludf.DUMMYFUNCTION("SPLIT(A3129,"" "")"),"Cc1ccnc(CN(C)CCN(Cc2ccccn2)C2(C)CCC2)c1")</f>
        <v>Cc1ccnc(CN(C)CCN(Cc2ccccn2)C2(C)CCC2)c1</v>
      </c>
      <c r="C3129" s="7">
        <f>IFERROR(__xludf.DUMMYFUNCTION("""COMPUTED_VALUE"""),7.8036885)</f>
        <v>7.8036885</v>
      </c>
      <c r="D3129" s="7">
        <f>IFERROR(__xludf.DUMMYFUNCTION("""COMPUTED_VALUE"""),0.396226415094339)</f>
        <v>0.3962264151</v>
      </c>
    </row>
    <row r="3130">
      <c r="A3130" s="10" t="s">
        <v>4569</v>
      </c>
      <c r="B3130" s="7" t="str">
        <f>IFERROR(__xludf.DUMMYFUNCTION("SPLIT(A3130,"" "")"),"Cc1cccnc1CN(C)C1CCCCC1N(C)Cc1nc(C2CCC2(C)C)c(C)cc1C")</f>
        <v>Cc1cccnc1CN(C)C1CCCCC1N(C)Cc1nc(C2CCC2(C)C)c(C)cc1C</v>
      </c>
      <c r="C3130" s="7">
        <f>IFERROR(__xludf.DUMMYFUNCTION("""COMPUTED_VALUE"""),7.8036876)</f>
        <v>7.8036876</v>
      </c>
      <c r="D3130" s="7">
        <f>IFERROR(__xludf.DUMMYFUNCTION("""COMPUTED_VALUE"""),0.403508771929824)</f>
        <v>0.4035087719</v>
      </c>
    </row>
    <row r="3131">
      <c r="A3131" s="10" t="s">
        <v>4570</v>
      </c>
      <c r="B3131" s="7" t="str">
        <f>IFERROR(__xludf.DUMMYFUNCTION("SPLIT(A3131,"" "")"),"CCN(Cc1cc(CF)ccn1)C1CCCCC1N(C)Cc1nc(C)c(C)c(C)c1C")</f>
        <v>CCN(Cc1cc(CF)ccn1)C1CCCCC1N(C)Cc1nc(C)c(C)c(C)c1C</v>
      </c>
      <c r="C3131" s="7">
        <f>IFERROR(__xludf.DUMMYFUNCTION("""COMPUTED_VALUE"""),7.8036866)</f>
        <v>7.8036866</v>
      </c>
      <c r="D3131" s="7">
        <f>IFERROR(__xludf.DUMMYFUNCTION("""COMPUTED_VALUE"""),0.389830508474576)</f>
        <v>0.3898305085</v>
      </c>
    </row>
    <row r="3132">
      <c r="A3132" s="10" t="s">
        <v>4571</v>
      </c>
      <c r="B3132" s="7" t="str">
        <f>IFERROR(__xludf.DUMMYFUNCTION("SPLIT(A3132,"" "")"),"Cc1ccnc(CN(Cc2ccc(C)c(C)n2)C2CCC(N(C)Cc3cc(-c4ccc5c(c4)OCCOCCOCCOCCOCCO5)ccn3)CC2)c1")</f>
        <v>Cc1ccnc(CN(Cc2ccc(C)c(C)n2)C2CCC(N(C)Cc3cc(-c4ccc5c(c4)OCCOCCOCCOCCOCCO5)ccn3)CC2)c1</v>
      </c>
      <c r="C3132" s="7">
        <f>IFERROR(__xludf.DUMMYFUNCTION("""COMPUTED_VALUE"""),7.8036757)</f>
        <v>7.8036757</v>
      </c>
      <c r="D3132" s="7">
        <f>IFERROR(__xludf.DUMMYFUNCTION("""COMPUTED_VALUE"""),0.363636363636363)</f>
        <v>0.3636363636</v>
      </c>
    </row>
    <row r="3133">
      <c r="A3133" s="10" t="s">
        <v>4572</v>
      </c>
      <c r="B3133" s="7" t="str">
        <f>IFERROR(__xludf.DUMMYFUNCTION("SPLIT(A3133,"" "")"),"CNCc1ncccc1N(C)C1CCCCC1N(C)Cc1cc(C)ccn1")</f>
        <v>CNCc1ncccc1N(C)C1CCCCC1N(C)Cc1cc(C)ccn1</v>
      </c>
      <c r="C3133" s="7">
        <f>IFERROR(__xludf.DUMMYFUNCTION("""COMPUTED_VALUE"""),7.803674)</f>
        <v>7.803674</v>
      </c>
      <c r="D3133" s="7">
        <f>IFERROR(__xludf.DUMMYFUNCTION("""COMPUTED_VALUE"""),0.481481481481481)</f>
        <v>0.4814814815</v>
      </c>
    </row>
    <row r="3134">
      <c r="A3134" s="10" t="s">
        <v>4573</v>
      </c>
      <c r="B3134" s="7" t="str">
        <f>IFERROR(__xludf.DUMMYFUNCTION("SPLIT(A3134,"" "")"),"CC(N)C(C)(c1cccnc1)C(C)N(C)Cc1ccccn1")</f>
        <v>CC(N)C(C)(c1cccnc1)C(C)N(C)Cc1ccccn1</v>
      </c>
      <c r="C3134" s="7">
        <f>IFERROR(__xludf.DUMMYFUNCTION("""COMPUTED_VALUE"""),7.8036714)</f>
        <v>7.8036714</v>
      </c>
      <c r="D3134" s="7">
        <f>IFERROR(__xludf.DUMMYFUNCTION("""COMPUTED_VALUE"""),0.4)</f>
        <v>0.4</v>
      </c>
    </row>
    <row r="3135">
      <c r="A3135" s="10" t="s">
        <v>4574</v>
      </c>
      <c r="B3135" s="7" t="str">
        <f>IFERROR(__xludf.DUMMYFUNCTION("SPLIT(A3135,"" "")"),"Cc1cnc(CN(C)C2CCC(N(C)Cc3ncccc3CF)CC2)c(C)c1C")</f>
        <v>Cc1cnc(CN(C)C2CCC(N(C)Cc3ncccc3CF)CC2)c(C)c1C</v>
      </c>
      <c r="C3135" s="7">
        <f>IFERROR(__xludf.DUMMYFUNCTION("""COMPUTED_VALUE"""),7.803657)</f>
        <v>7.803657</v>
      </c>
      <c r="D3135" s="7">
        <f>IFERROR(__xludf.DUMMYFUNCTION("""COMPUTED_VALUE"""),0.327272727272727)</f>
        <v>0.3272727273</v>
      </c>
    </row>
    <row r="3136">
      <c r="A3136" s="10" t="s">
        <v>4575</v>
      </c>
      <c r="B3136" s="7" t="str">
        <f>IFERROR(__xludf.DUMMYFUNCTION("SPLIT(A3136,"" "")"),"CNCc1cccc(CN(Cc2cccc(-c3ccc4c(c3)OCCOCCOCCOCCOCCO4)n2)C2C=CC=CN2)n1")</f>
        <v>CNCc1cccc(CN(Cc2cccc(-c3ccc4c(c3)OCCOCCOCCOCCOCCO4)n2)C2C=CC=CN2)n1</v>
      </c>
      <c r="C3136" s="7">
        <f>IFERROR(__xludf.DUMMYFUNCTION("""COMPUTED_VALUE"""),7.803651)</f>
        <v>7.803651</v>
      </c>
      <c r="D3136" s="7">
        <f>IFERROR(__xludf.DUMMYFUNCTION("""COMPUTED_VALUE"""),0.316455696202531)</f>
        <v>0.3164556962</v>
      </c>
    </row>
    <row r="3137">
      <c r="A3137" s="10" t="s">
        <v>4576</v>
      </c>
      <c r="B3137" s="7" t="str">
        <f>IFERROR(__xludf.DUMMYFUNCTION("SPLIT(A3137,"" "")"),"C1=CNC(N(Cc2ccccn2)Cc2ncccc2-c2cccc3c2OCCOCCOCCOCCOCCO3)C=C1")</f>
        <v>C1=CNC(N(Cc2ccccn2)Cc2ncccc2-c2cccc3c2OCCOCCOCCOCCOCCO3)C=C1</v>
      </c>
      <c r="C3137" s="7">
        <f>IFERROR(__xludf.DUMMYFUNCTION("""COMPUTED_VALUE"""),7.8036375)</f>
        <v>7.8036375</v>
      </c>
      <c r="D3137" s="7">
        <f>IFERROR(__xludf.DUMMYFUNCTION("""COMPUTED_VALUE"""),0.388059701492537)</f>
        <v>0.3880597015</v>
      </c>
    </row>
    <row r="3138">
      <c r="A3138" s="10" t="s">
        <v>4577</v>
      </c>
      <c r="B3138" s="7" t="str">
        <f>IFERROR(__xludf.DUMMYFUNCTION("SPLIT(A3138,"" "")"),"CC1C=CC2(CC1)CC(C)C=CC21CCC(N(C)Cc2ccccn2)=C(C(C)(C)C)C1C")</f>
        <v>CC1C=CC2(CC1)CC(C)C=CC21CCC(N(C)Cc2ccccn2)=C(C(C)(C)C)C1C</v>
      </c>
      <c r="C3138" s="7">
        <f>IFERROR(__xludf.DUMMYFUNCTION("""COMPUTED_VALUE"""),7.803636)</f>
        <v>7.803636</v>
      </c>
      <c r="D3138" s="7">
        <f>IFERROR(__xludf.DUMMYFUNCTION("""COMPUTED_VALUE"""),0.349206349206349)</f>
        <v>0.3492063492</v>
      </c>
    </row>
    <row r="3139">
      <c r="A3139" s="10" t="s">
        <v>4578</v>
      </c>
      <c r="B3139" s="7" t="str">
        <f>IFERROR(__xludf.DUMMYFUNCTION("SPLIT(A3139,"" "")"),"Cc1cc(CN(Cc2ccccn2)C2CCC(N(CNCF)Cc3ccccn3)CC2)nc(C)c1C")</f>
        <v>Cc1cc(CN(Cc2ccccn2)C2CCC(N(CNCF)Cc3ccccn3)CC2)nc(C)c1C</v>
      </c>
      <c r="C3139" s="7">
        <f>IFERROR(__xludf.DUMMYFUNCTION("""COMPUTED_VALUE"""),7.803628)</f>
        <v>7.803628</v>
      </c>
      <c r="D3139" s="7">
        <f>IFERROR(__xludf.DUMMYFUNCTION("""COMPUTED_VALUE"""),0.362068965517241)</f>
        <v>0.3620689655</v>
      </c>
    </row>
    <row r="3140">
      <c r="A3140" s="10" t="s">
        <v>4579</v>
      </c>
      <c r="B3140" s="7" t="str">
        <f>IFERROR(__xludf.DUMMYFUNCTION("SPLIT(A3140,"" "")"),"Cc1ccc(CN(C)C2CCCC(N(Cc3ccccn3)Cc3cccc(-c4ccc5c(c4)OCCOCCOCCOCCOCCO5)n3)C2N(C)Cc2ccccn2)nc1")</f>
        <v>Cc1ccc(CN(C)C2CCCC(N(Cc3ccccn3)Cc3cccc(-c4ccc5c(c4)OCCOCCOCCOCCOCCO5)n3)C2N(C)Cc2ccccn2)nc1</v>
      </c>
      <c r="C3140" s="7">
        <f>IFERROR(__xludf.DUMMYFUNCTION("""COMPUTED_VALUE"""),7.8036203)</f>
        <v>7.8036203</v>
      </c>
      <c r="D3140" s="7">
        <f>IFERROR(__xludf.DUMMYFUNCTION("""COMPUTED_VALUE"""),0.408450704225352)</f>
        <v>0.4084507042</v>
      </c>
    </row>
    <row r="3141">
      <c r="A3141" s="10" t="s">
        <v>4580</v>
      </c>
      <c r="B3141" s="7" t="str">
        <f>IFERROR(__xludf.DUMMYFUNCTION("SPLIT(A3141,"" "")"),"Cc1cnc(C)c(CN(C)CCN(C)C2CCCC(N(Cc3ccccn3)Cc3ccccn3)C2)c1")</f>
        <v>Cc1cnc(C)c(CN(C)CCN(C)C2CCCC(N(Cc3ccccn3)Cc3ccccn3)C2)c1</v>
      </c>
      <c r="C3141" s="7">
        <f>IFERROR(__xludf.DUMMYFUNCTION("""COMPUTED_VALUE"""),7.803598)</f>
        <v>7.803598</v>
      </c>
      <c r="D3141" s="7">
        <f>IFERROR(__xludf.DUMMYFUNCTION("""COMPUTED_VALUE"""),0.413793103448275)</f>
        <v>0.4137931034</v>
      </c>
    </row>
    <row r="3142">
      <c r="A3142" s="10" t="s">
        <v>4581</v>
      </c>
      <c r="B3142" s="7" t="str">
        <f>IFERROR(__xludf.DUMMYFUNCTION("SPLIT(A3142,"" "")"),"Cc1ccccc1CN(C)Cc1ccc(-c2ccc3c(c2)OCCOCCOCCOCCOCCO3)cn1")</f>
        <v>Cc1ccccc1CN(C)Cc1ccc(-c2ccc3c(c2)OCCOCCOCCOCCOCCO3)cn1</v>
      </c>
      <c r="C3142" s="7">
        <f>IFERROR(__xludf.DUMMYFUNCTION("""COMPUTED_VALUE"""),7.803586)</f>
        <v>7.803586</v>
      </c>
      <c r="D3142" s="7">
        <f>IFERROR(__xludf.DUMMYFUNCTION("""COMPUTED_VALUE"""),0.483870967741935)</f>
        <v>0.4838709677</v>
      </c>
    </row>
    <row r="3143">
      <c r="A3143" s="10" t="s">
        <v>4582</v>
      </c>
      <c r="B3143" s="7" t="str">
        <f>IFERROR(__xludf.DUMMYFUNCTION("SPLIT(A3143,"" "")"),"CNCC1CC(N(C)Cc2ccc(C)cn2)CN1Cc1ccccn1")</f>
        <v>CNCC1CC(N(C)Cc2ccc(C)cn2)CN1Cc1ccccn1</v>
      </c>
      <c r="C3143" s="7">
        <f>IFERROR(__xludf.DUMMYFUNCTION("""COMPUTED_VALUE"""),7.80358)</f>
        <v>7.80358</v>
      </c>
      <c r="D3143" s="7">
        <f>IFERROR(__xludf.DUMMYFUNCTION("""COMPUTED_VALUE"""),0.421875)</f>
        <v>0.421875</v>
      </c>
    </row>
    <row r="3144">
      <c r="A3144" s="10" t="s">
        <v>4583</v>
      </c>
      <c r="B3144" s="7" t="str">
        <f>IFERROR(__xludf.DUMMYFUNCTION("SPLIT(A3144,"" "")"),"CNCc1nc(CN(C)C2CCC(N(C)Cc3cccnn3)CC2)c(C)cc1C")</f>
        <v>CNCc1nc(CN(C)C2CCC(N(C)Cc3cccnn3)CC2)c(C)cc1C</v>
      </c>
      <c r="C3144" s="7">
        <f>IFERROR(__xludf.DUMMYFUNCTION("""COMPUTED_VALUE"""),7.8035703)</f>
        <v>7.8035703</v>
      </c>
      <c r="D3144" s="7">
        <f>IFERROR(__xludf.DUMMYFUNCTION("""COMPUTED_VALUE"""),0.392156862745098)</f>
        <v>0.3921568627</v>
      </c>
    </row>
    <row r="3145">
      <c r="A3145" s="10" t="s">
        <v>4584</v>
      </c>
      <c r="B3145" s="7" t="str">
        <f>IFERROR(__xludf.DUMMYFUNCTION("SPLIT(A3145,"" "")"),"CC1=C(C)C(C)C(N(C)Cc2ccccn2)C(CN(C)Cc2ccccn2)C1C")</f>
        <v>CC1=C(C)C(C)C(N(C)Cc2ccccn2)C(CN(C)Cc2ccccn2)C1C</v>
      </c>
      <c r="C3145" s="7">
        <f>IFERROR(__xludf.DUMMYFUNCTION("""COMPUTED_VALUE"""),7.8035626)</f>
        <v>7.8035626</v>
      </c>
      <c r="D3145" s="7">
        <f>IFERROR(__xludf.DUMMYFUNCTION("""COMPUTED_VALUE"""),0.468085106382978)</f>
        <v>0.4680851064</v>
      </c>
    </row>
    <row r="3146">
      <c r="A3146" s="10" t="s">
        <v>4585</v>
      </c>
      <c r="B3146" s="7" t="str">
        <f>IFERROR(__xludf.DUMMYFUNCTION("SPLIT(A3146,"" "")"),"COC(=O)C1CC(C(C)(C)NCc2ccccn2)C(C(=O)C(C)N)N(C)C1C(C)C")</f>
        <v>COC(=O)C1CC(C(C)(C)NCc2ccccn2)C(C(=O)C(C)N)N(C)C1C(C)C</v>
      </c>
      <c r="C3146" s="7">
        <f>IFERROR(__xludf.DUMMYFUNCTION("""COMPUTED_VALUE"""),7.8035607)</f>
        <v>7.8035607</v>
      </c>
      <c r="D3146" s="7">
        <f>IFERROR(__xludf.DUMMYFUNCTION("""COMPUTED_VALUE"""),0.289473684210526)</f>
        <v>0.2894736842</v>
      </c>
    </row>
    <row r="3147">
      <c r="A3147" s="10" t="s">
        <v>4586</v>
      </c>
      <c r="B3147" s="7" t="str">
        <f>IFERROR(__xludf.DUMMYFUNCTION("SPLIT(A3147,"" "")"),"CNC1CCCCC1N(Cc1ncccc1C)Cc1nc(C)c(C)cc1C")</f>
        <v>CNC1CCCCC1N(Cc1ncccc1C)Cc1nc(C)c(C)cc1C</v>
      </c>
      <c r="C3147" s="7">
        <f>IFERROR(__xludf.DUMMYFUNCTION("""COMPUTED_VALUE"""),7.803553)</f>
        <v>7.803553</v>
      </c>
      <c r="D3147" s="7">
        <f>IFERROR(__xludf.DUMMYFUNCTION("""COMPUTED_VALUE"""),0.333333333333333)</f>
        <v>0.3333333333</v>
      </c>
    </row>
    <row r="3148">
      <c r="A3148" s="10" t="s">
        <v>4587</v>
      </c>
      <c r="B3148" s="7" t="str">
        <f>IFERROR(__xludf.DUMMYFUNCTION("SPLIT(A3148,"" "")"),"Cc1cnc(CN(C)C2CCCCC2N(CC2=CCC=CN2)Cc2ccccn2)c(C)c1C")</f>
        <v>Cc1cnc(CN(C)C2CCCCC2N(CC2=CCC=CN2)Cc2ccccn2)c(C)c1C</v>
      </c>
      <c r="C3148" s="7">
        <f>IFERROR(__xludf.DUMMYFUNCTION("""COMPUTED_VALUE"""),7.803551)</f>
        <v>7.803551</v>
      </c>
      <c r="D3148" s="7">
        <f>IFERROR(__xludf.DUMMYFUNCTION("""COMPUTED_VALUE"""),0.5)</f>
        <v>0.5</v>
      </c>
    </row>
    <row r="3149">
      <c r="A3149" s="10" t="s">
        <v>4588</v>
      </c>
      <c r="B3149" s="7" t="str">
        <f>IFERROR(__xludf.DUMMYFUNCTION("SPLIT(A3149,"" "")"),"C1=CNC(N(Cc2ccccn2)Cc2cc(-c3ccc4c(c3)OCCOCCOCCOCCOCCO4)ccn2)C=C1")</f>
        <v>C1=CNC(N(Cc2ccccn2)Cc2cc(-c3ccc4c(c3)OCCOCCOCCOCCOCCO4)ccn2)C=C1</v>
      </c>
      <c r="C3149" s="7">
        <f>IFERROR(__xludf.DUMMYFUNCTION("""COMPUTED_VALUE"""),7.8035445)</f>
        <v>7.8035445</v>
      </c>
      <c r="D3149" s="7">
        <f>IFERROR(__xludf.DUMMYFUNCTION("""COMPUTED_VALUE"""),0.40625)</f>
        <v>0.40625</v>
      </c>
    </row>
    <row r="3150">
      <c r="A3150" s="10" t="s">
        <v>4589</v>
      </c>
      <c r="B3150" s="7" t="str">
        <f>IFERROR(__xludf.DUMMYFUNCTION("SPLIT(A3150,"" "")"),"C1=CNC(N(Cc2ccccn2)c2ccc3c(c2)OCCOCCOCCOCCOCCO3)C(NCc2ccccn2)=C1")</f>
        <v>C1=CNC(N(Cc2ccccn2)c2ccc3c(c2)OCCOCCOCCOCCOCCO3)C(NCc2ccccn2)=C1</v>
      </c>
      <c r="C3150" s="7">
        <f>IFERROR(__xludf.DUMMYFUNCTION("""COMPUTED_VALUE"""),7.8035345)</f>
        <v>7.8035345</v>
      </c>
      <c r="D3150" s="7">
        <f>IFERROR(__xludf.DUMMYFUNCTION("""COMPUTED_VALUE"""),0.328571428571428)</f>
        <v>0.3285714286</v>
      </c>
    </row>
    <row r="3151">
      <c r="A3151" s="10" t="s">
        <v>4590</v>
      </c>
      <c r="B3151" s="7" t="str">
        <f>IFERROR(__xludf.DUMMYFUNCTION("SPLIT(A3151,"" "")"),"CCOC(C)c1cc(C)c(CN(Cc2ccccn2)C2CCCCC2)c(C)n1")</f>
        <v>CCOC(C)c1cc(C)c(CN(Cc2ccccn2)C2CCCCC2)c(C)n1</v>
      </c>
      <c r="C3151" s="7">
        <f>IFERROR(__xludf.DUMMYFUNCTION("""COMPUTED_VALUE"""),7.8035197)</f>
        <v>7.8035197</v>
      </c>
      <c r="D3151" s="7">
        <f>IFERROR(__xludf.DUMMYFUNCTION("""COMPUTED_VALUE"""),0.377049180327868)</f>
        <v>0.3770491803</v>
      </c>
    </row>
    <row r="3152">
      <c r="A3152" s="10" t="s">
        <v>4591</v>
      </c>
      <c r="B3152" s="7" t="str">
        <f>IFERROR(__xludf.DUMMYFUNCTION("SPLIT(A3152,"" "")"),"c1ccc(CN(Cc2ccc(-c3ccc4c(c3)OCCOCCOCCOCCOCCO4)cn2)Cc2cccc(-c3ccc4c(c3)OCCOCCOCCOCCOCCO4)n2)nc1")</f>
        <v>c1ccc(CN(Cc2ccc(-c3ccc4c(c3)OCCOCCOCCOCCOCCO4)cn2)Cc2cccc(-c3ccc4c(c3)OCCOCCOCCOCCOCCO4)n2)nc1</v>
      </c>
      <c r="C3152" s="7">
        <f>IFERROR(__xludf.DUMMYFUNCTION("""COMPUTED_VALUE"""),7.803512)</f>
        <v>7.803512</v>
      </c>
      <c r="D3152" s="7">
        <f>IFERROR(__xludf.DUMMYFUNCTION("""COMPUTED_VALUE"""),0.491803278688524)</f>
        <v>0.4918032787</v>
      </c>
    </row>
    <row r="3153">
      <c r="A3153" s="10" t="s">
        <v>4592</v>
      </c>
      <c r="B3153" s="7" t="str">
        <f>IFERROR(__xludf.DUMMYFUNCTION("SPLIT(A3153,"" "")"),"Cc1cc(C)c(CN(C)C2CCCC(N(Cc3ccccn3)Cc3cccc(-c4cccc5c4OCCOCCOCCOCCOCCO5)n3)C2)nc1C")</f>
        <v>Cc1cc(C)c(CN(C)C2CCCC(N(Cc3ccccn3)Cc3cccc(-c4cccc5c4OCCOCCOCCOCCOCCO5)n3)C2)nc1C</v>
      </c>
      <c r="C3153" s="7">
        <f>IFERROR(__xludf.DUMMYFUNCTION("""COMPUTED_VALUE"""),7.803507)</f>
        <v>7.803507</v>
      </c>
      <c r="D3153" s="7">
        <f>IFERROR(__xludf.DUMMYFUNCTION("""COMPUTED_VALUE"""),0.333333333333333)</f>
        <v>0.3333333333</v>
      </c>
    </row>
    <row r="3154">
      <c r="A3154" s="10" t="s">
        <v>4593</v>
      </c>
      <c r="B3154" s="7" t="str">
        <f>IFERROR(__xludf.DUMMYFUNCTION("SPLIT(A3154,"" "")"),"CC1C=CC(C)C(C)(c2ccccn2)C1")</f>
        <v>CC1C=CC(C)C(C)(c2ccccn2)C1</v>
      </c>
      <c r="C3154" s="7">
        <f>IFERROR(__xludf.DUMMYFUNCTION("""COMPUTED_VALUE"""),7.8034973)</f>
        <v>7.8034973</v>
      </c>
      <c r="D3154" s="7">
        <f>IFERROR(__xludf.DUMMYFUNCTION("""COMPUTED_VALUE"""),0.270833333333333)</f>
        <v>0.2708333333</v>
      </c>
    </row>
    <row r="3155">
      <c r="A3155" s="10" t="s">
        <v>4594</v>
      </c>
      <c r="B3155" s="7" t="str">
        <f>IFERROR(__xludf.DUMMYFUNCTION("SPLIT(A3155,"" "")"),"C=CCN(C)Cc1nc(CN(C)C2CCCCC2N(C)Cc2nccc(C)c2C)cc(C)c1C")</f>
        <v>C=CCN(C)Cc1nc(CN(C)C2CCCCC2N(C)Cc2nccc(C)c2C)cc(C)c1C</v>
      </c>
      <c r="C3155" s="7">
        <f>IFERROR(__xludf.DUMMYFUNCTION("""COMPUTED_VALUE"""),7.8034873)</f>
        <v>7.8034873</v>
      </c>
      <c r="D3155" s="7">
        <f>IFERROR(__xludf.DUMMYFUNCTION("""COMPUTED_VALUE"""),0.396551724137931)</f>
        <v>0.3965517241</v>
      </c>
    </row>
    <row r="3156">
      <c r="A3156" s="10" t="s">
        <v>4595</v>
      </c>
      <c r="B3156" s="7" t="str">
        <f>IFERROR(__xludf.DUMMYFUNCTION("SPLIT(A3156,"" "")"),"CC1=CC(CN(C)Cc2cccc(C(C)(C)C)n2)CC(C)C1C")</f>
        <v>CC1=CC(CN(C)Cc2cccc(C(C)(C)C)n2)CC(C)C1C</v>
      </c>
      <c r="C3156" s="7">
        <f>IFERROR(__xludf.DUMMYFUNCTION("""COMPUTED_VALUE"""),7.8034835)</f>
        <v>7.8034835</v>
      </c>
      <c r="D3156" s="7">
        <f>IFERROR(__xludf.DUMMYFUNCTION("""COMPUTED_VALUE"""),0.352941176470588)</f>
        <v>0.3529411765</v>
      </c>
    </row>
    <row r="3157">
      <c r="A3157" s="10" t="s">
        <v>4596</v>
      </c>
      <c r="B3157" s="7" t="str">
        <f>IFERROR(__xludf.DUMMYFUNCTION("SPLIT(A3157,"" "")"),"Cc1ccc(CN(C)Cc2cccc(-c3ccc4c(c3)OCCOCCOCCOCCOCCO4)n2)cc1")</f>
        <v>Cc1ccc(CN(C)Cc2cccc(-c3ccc4c(c3)OCCOCCOCCOCCOCCO4)n2)cc1</v>
      </c>
      <c r="C3157" s="7">
        <f>IFERROR(__xludf.DUMMYFUNCTION("""COMPUTED_VALUE"""),7.8034744)</f>
        <v>7.8034744</v>
      </c>
      <c r="D3157" s="7">
        <f>IFERROR(__xludf.DUMMYFUNCTION("""COMPUTED_VALUE"""),0.362068965517241)</f>
        <v>0.3620689655</v>
      </c>
    </row>
    <row r="3158">
      <c r="A3158" s="10" t="s">
        <v>4597</v>
      </c>
      <c r="B3158" s="7" t="str">
        <f>IFERROR(__xludf.DUMMYFUNCTION("SPLIT(A3158,"" "")"),"Cc1cc(CN(C)C2CCC(N(C)Cc3cccnn3)CC2)nc(C)c1C")</f>
        <v>Cc1cc(CN(C)C2CCC(N(C)Cc3cccnn3)CC2)nc(C)c1C</v>
      </c>
      <c r="C3158" s="7">
        <f>IFERROR(__xludf.DUMMYFUNCTION("""COMPUTED_VALUE"""),7.8034625)</f>
        <v>7.8034625</v>
      </c>
      <c r="D3158" s="7">
        <f>IFERROR(__xludf.DUMMYFUNCTION("""COMPUTED_VALUE"""),0.434782608695652)</f>
        <v>0.4347826087</v>
      </c>
    </row>
    <row r="3159">
      <c r="A3159" s="10" t="s">
        <v>4598</v>
      </c>
      <c r="B3159" s="7" t="str">
        <f>IFERROR(__xludf.DUMMYFUNCTION("SPLIT(A3159,"" "")"),"COC(C)c1ccccn1")</f>
        <v>COC(C)c1ccccn1</v>
      </c>
      <c r="C3159" s="7">
        <f>IFERROR(__xludf.DUMMYFUNCTION("""COMPUTED_VALUE"""),7.803438)</f>
        <v>7.803438</v>
      </c>
      <c r="D3159" s="7">
        <f>IFERROR(__xludf.DUMMYFUNCTION("""COMPUTED_VALUE"""),0.388888888888888)</f>
        <v>0.3888888889</v>
      </c>
    </row>
    <row r="3160">
      <c r="A3160" s="10" t="s">
        <v>4599</v>
      </c>
      <c r="B3160" s="7" t="str">
        <f>IFERROR(__xludf.DUMMYFUNCTION("SPLIT(A3160,"" "")"),"Cc1cc(CN(C)C2CCC(N(Cc3ccccn3)C(C)C)CC2)nc(C)c1C")</f>
        <v>Cc1cc(CN(C)C2CCC(N(Cc3ccccn3)C(C)C)CC2)nc(C)c1C</v>
      </c>
      <c r="C3160" s="7">
        <f>IFERROR(__xludf.DUMMYFUNCTION("""COMPUTED_VALUE"""),7.803429)</f>
        <v>7.803429</v>
      </c>
      <c r="D3160" s="7">
        <f>IFERROR(__xludf.DUMMYFUNCTION("""COMPUTED_VALUE"""),0.452830188679245)</f>
        <v>0.4528301887</v>
      </c>
    </row>
    <row r="3161">
      <c r="A3161" s="10" t="s">
        <v>4600</v>
      </c>
      <c r="B3161" s="7" t="str">
        <f>IFERROR(__xludf.DUMMYFUNCTION("SPLIT(A3161,"" "")"),"CNc1cccc(CN(Cc2ccccn2)c2cccc3c2OCCOCCOCCOCCOCCO3)n1")</f>
        <v>CNc1cccc(CN(Cc2ccccn2)c2cccc3c2OCCOCCOCCOCCOCCO3)n1</v>
      </c>
      <c r="C3161" s="7">
        <f>IFERROR(__xludf.DUMMYFUNCTION("""COMPUTED_VALUE"""),7.803418)</f>
        <v>7.803418</v>
      </c>
      <c r="D3161" s="7">
        <f>IFERROR(__xludf.DUMMYFUNCTION("""COMPUTED_VALUE"""),0.362068965517241)</f>
        <v>0.3620689655</v>
      </c>
    </row>
    <row r="3162">
      <c r="A3162" s="10" t="s">
        <v>4601</v>
      </c>
      <c r="B3162" s="7" t="str">
        <f>IFERROR(__xludf.DUMMYFUNCTION("SPLIT(A3162,"" "")"),"CC(C)NCN(C)C(C)C")</f>
        <v>CC(C)NCN(C)C(C)C</v>
      </c>
      <c r="C3162" s="7">
        <f>IFERROR(__xludf.DUMMYFUNCTION("""COMPUTED_VALUE"""),7.8034167)</f>
        <v>7.8034167</v>
      </c>
      <c r="D3162" s="7">
        <f>IFERROR(__xludf.DUMMYFUNCTION("""COMPUTED_VALUE"""),0.189189189189189)</f>
        <v>0.1891891892</v>
      </c>
    </row>
    <row r="3163">
      <c r="A3163" s="10" t="s">
        <v>4602</v>
      </c>
      <c r="B3163" s="7" t="str">
        <f>IFERROR(__xludf.DUMMYFUNCTION("SPLIT(A3163,"" "")"),"CNCc1cc(CN(C)C2CCC(N(C)Cc3ncc(C)c(C)c3C)CC2)ccn1")</f>
        <v>CNCc1cc(CN(C)C2CCC(N(C)Cc3ncc(C)c(C)c3C)CC2)ccn1</v>
      </c>
      <c r="C3163" s="7">
        <f>IFERROR(__xludf.DUMMYFUNCTION("""COMPUTED_VALUE"""),7.8033924)</f>
        <v>7.8033924</v>
      </c>
      <c r="D3163" s="7">
        <f>IFERROR(__xludf.DUMMYFUNCTION("""COMPUTED_VALUE"""),0.310344827586206)</f>
        <v>0.3103448276</v>
      </c>
    </row>
    <row r="3164">
      <c r="A3164" s="10" t="s">
        <v>4603</v>
      </c>
      <c r="B3164" s="7" t="str">
        <f>IFERROR(__xludf.DUMMYFUNCTION("SPLIT(A3164,"" "")"),"CN1CCN(C)CCN(CC2CCC(N(C)c3ccc4cc(CF)cnc4c3)N2C)CC1")</f>
        <v>CN1CCN(C)CCN(CC2CCC(N(C)c3ccc4cc(CF)cnc4c3)N2C)CC1</v>
      </c>
      <c r="C3164" s="7">
        <f>IFERROR(__xludf.DUMMYFUNCTION("""COMPUTED_VALUE"""),7.803391)</f>
        <v>7.803391</v>
      </c>
      <c r="D3164" s="7">
        <f>IFERROR(__xludf.DUMMYFUNCTION("""COMPUTED_VALUE"""),0.283582089552238)</f>
        <v>0.2835820896</v>
      </c>
    </row>
    <row r="3165">
      <c r="A3165" s="10" t="s">
        <v>4604</v>
      </c>
      <c r="B3165" s="7" t="str">
        <f>IFERROR(__xludf.DUMMYFUNCTION("SPLIT(A3165,"" "")"),"CNCC1CCC(N(C)Cc2cc(C)ccn2)N1Cc1ccccn1")</f>
        <v>CNCC1CCC(N(C)Cc2cc(C)ccn2)N1Cc1ccccn1</v>
      </c>
      <c r="C3165" s="7">
        <f>IFERROR(__xludf.DUMMYFUNCTION("""COMPUTED_VALUE"""),7.8033752)</f>
        <v>7.8033752</v>
      </c>
      <c r="D3165" s="7">
        <f>IFERROR(__xludf.DUMMYFUNCTION("""COMPUTED_VALUE"""),0.403508771929824)</f>
        <v>0.4035087719</v>
      </c>
    </row>
    <row r="3166">
      <c r="A3166" s="10" t="s">
        <v>4605</v>
      </c>
      <c r="B3166" s="7" t="str">
        <f>IFERROR(__xludf.DUMMYFUNCTION("SPLIT(A3166,"" "")"),"COCC(C)c1ccccn1")</f>
        <v>COCC(C)c1ccccn1</v>
      </c>
      <c r="C3166" s="7">
        <f>IFERROR(__xludf.DUMMYFUNCTION("""COMPUTED_VALUE"""),7.8033752)</f>
        <v>7.8033752</v>
      </c>
      <c r="D3166" s="7">
        <f>IFERROR(__xludf.DUMMYFUNCTION("""COMPUTED_VALUE"""),0.394736842105263)</f>
        <v>0.3947368421</v>
      </c>
    </row>
    <row r="3167">
      <c r="A3167" s="10" t="s">
        <v>4606</v>
      </c>
      <c r="B3167" s="7" t="str">
        <f>IFERROR(__xludf.DUMMYFUNCTION("SPLIT(A3167,"" "")"),"CN(Cc1ncccc1-c1cccc2c1OCCOCCOCCOCCOCCO2)C1=CC=CCN1")</f>
        <v>CN(Cc1ncccc1-c1cccc2c1OCCOCCOCCOCCOCCO2)C1=CC=CCN1</v>
      </c>
      <c r="C3167" s="7">
        <f>IFERROR(__xludf.DUMMYFUNCTION("""COMPUTED_VALUE"""),7.8033614)</f>
        <v>7.8033614</v>
      </c>
      <c r="D3167" s="7">
        <f>IFERROR(__xludf.DUMMYFUNCTION("""COMPUTED_VALUE"""),0.234375)</f>
        <v>0.234375</v>
      </c>
    </row>
    <row r="3168">
      <c r="A3168" s="10" t="s">
        <v>4607</v>
      </c>
      <c r="B3168" s="7" t="str">
        <f>IFERROR(__xludf.DUMMYFUNCTION("SPLIT(A3168,"" "")"),"Cc1cccnc1CNCC1CCCN1Cc1ncccc1C")</f>
        <v>Cc1cccnc1CNCC1CCCN1Cc1ncccc1C</v>
      </c>
      <c r="C3168" s="7">
        <f>IFERROR(__xludf.DUMMYFUNCTION("""COMPUTED_VALUE"""),7.8033595)</f>
        <v>7.8033595</v>
      </c>
      <c r="D3168" s="7">
        <f>IFERROR(__xludf.DUMMYFUNCTION("""COMPUTED_VALUE"""),0.396551724137931)</f>
        <v>0.3965517241</v>
      </c>
    </row>
    <row r="3169">
      <c r="A3169" s="10" t="s">
        <v>4608</v>
      </c>
      <c r="B3169" s="7" t="str">
        <f>IFERROR(__xludf.DUMMYFUNCTION("SPLIT(A3169,"" "")"),"CC(C)NCc1ncccc1N(C)C1CCCC(N(C)Cc2ccccn2)C1")</f>
        <v>CC(C)NCc1ncccc1N(C)C1CCCC(N(C)Cc2ccccn2)C1</v>
      </c>
      <c r="C3169" s="7">
        <f>IFERROR(__xludf.DUMMYFUNCTION("""COMPUTED_VALUE"""),7.8033543)</f>
        <v>7.8033543</v>
      </c>
      <c r="D3169" s="7">
        <f>IFERROR(__xludf.DUMMYFUNCTION("""COMPUTED_VALUE"""),0.462962962962962)</f>
        <v>0.462962963</v>
      </c>
    </row>
    <row r="3170">
      <c r="A3170" s="10" t="s">
        <v>4609</v>
      </c>
      <c r="B3170" s="7" t="str">
        <f>IFERROR(__xludf.DUMMYFUNCTION("SPLIT(A3170,"" "")"),"CNCc1cccc(C(C)C(C)N)n1")</f>
        <v>CNCc1cccc(C(C)C(C)N)n1</v>
      </c>
      <c r="C3170" s="7">
        <f>IFERROR(__xludf.DUMMYFUNCTION("""COMPUTED_VALUE"""),7.803349)</f>
        <v>7.803349</v>
      </c>
      <c r="D3170" s="7">
        <f>IFERROR(__xludf.DUMMYFUNCTION("""COMPUTED_VALUE"""),0.285714285714285)</f>
        <v>0.2857142857</v>
      </c>
    </row>
    <row r="3171">
      <c r="A3171" s="10" t="s">
        <v>4610</v>
      </c>
      <c r="B3171" s="7" t="str">
        <f>IFERROR(__xludf.DUMMYFUNCTION("SPLIT(A3171,"" "")"),"Cc1cc(C)c(CN(Cc2ccccn2)C2CCC(N(C)Cc3cc(-c4ccc5c(c4)OCCOCCOCCOCCOCCO5)ccn3)CC2)nc1C")</f>
        <v>Cc1cc(C)c(CN(Cc2ccccn2)C2CCC(N(C)Cc3cc(-c4ccc5c(c4)OCCOCCOCCOCCOCCO5)ccn3)CC2)nc1C</v>
      </c>
      <c r="C3171" s="7">
        <f>IFERROR(__xludf.DUMMYFUNCTION("""COMPUTED_VALUE"""),7.8033366)</f>
        <v>7.8033366</v>
      </c>
      <c r="D3171" s="7">
        <f>IFERROR(__xludf.DUMMYFUNCTION("""COMPUTED_VALUE"""),0.338028169014084)</f>
        <v>0.338028169</v>
      </c>
    </row>
    <row r="3172">
      <c r="A3172" s="10" t="s">
        <v>4611</v>
      </c>
      <c r="B3172" s="7" t="str">
        <f>IFERROR(__xludf.DUMMYFUNCTION("SPLIT(A3172,"" "")"),"CC(C)N(C)C1C=CNC(CN(C)Cc2ccccn2)=C1")</f>
        <v>CC(C)N(C)C1C=CNC(CN(C)Cc2ccccn2)=C1</v>
      </c>
      <c r="C3172" s="7">
        <f>IFERROR(__xludf.DUMMYFUNCTION("""COMPUTED_VALUE"""),7.803329)</f>
        <v>7.803329</v>
      </c>
      <c r="D3172" s="7">
        <f>IFERROR(__xludf.DUMMYFUNCTION("""COMPUTED_VALUE"""),0.428571428571428)</f>
        <v>0.4285714286</v>
      </c>
    </row>
    <row r="3173">
      <c r="A3173" s="10" t="s">
        <v>4612</v>
      </c>
      <c r="B3173" s="7" t="str">
        <f>IFERROR(__xludf.DUMMYFUNCTION("SPLIT(A3173,"" "")"),"Cc1cccc(CN(Cc2ccccn2)C2CCC(N(C)Cc3cccc(C4CCC4C)n3)CC2)n1")</f>
        <v>Cc1cccc(CN(Cc2ccccn2)C2CCC(N(C)Cc3cccc(C4CCC4C)n3)CC2)n1</v>
      </c>
      <c r="C3173" s="7">
        <f>IFERROR(__xludf.DUMMYFUNCTION("""COMPUTED_VALUE"""),7.803328)</f>
        <v>7.803328</v>
      </c>
      <c r="D3173" s="7">
        <f>IFERROR(__xludf.DUMMYFUNCTION("""COMPUTED_VALUE"""),0.43859649122807)</f>
        <v>0.4385964912</v>
      </c>
    </row>
    <row r="3174">
      <c r="A3174" s="10" t="s">
        <v>4613</v>
      </c>
      <c r="B3174" s="7" t="str">
        <f>IFERROR(__xludf.DUMMYFUNCTION("SPLIT(A3174,"" "")"),"C#Cc1ccc(NCc2ccccn2)c(CN(Cc2ccccn2)C2CCCCC2N(C)Cc2cccc(-c3ccc4c(c3)OCCOCCOCCOCCOCCO4)n2)c1")</f>
        <v>C#Cc1ccc(NCc2ccccn2)c(CN(Cc2ccccn2)C2CCCCC2N(C)Cc2cccc(-c3ccc4c(c3)OCCOCCOCCOCCOCCO4)n2)c1</v>
      </c>
      <c r="C3174" s="7">
        <f>IFERROR(__xludf.DUMMYFUNCTION("""COMPUTED_VALUE"""),7.8033094)</f>
        <v>7.8033094</v>
      </c>
      <c r="D3174" s="7">
        <f>IFERROR(__xludf.DUMMYFUNCTION("""COMPUTED_VALUE"""),0.384615384615384)</f>
        <v>0.3846153846</v>
      </c>
    </row>
    <row r="3175">
      <c r="A3175" s="10" t="s">
        <v>4614</v>
      </c>
      <c r="B3175" s="7" t="str">
        <f>IFERROR(__xludf.DUMMYFUNCTION("SPLIT(A3175,"" "")"),"CN(Cc1ccc(-c2ccc3c(c2)OCCOCCOCCOCCOCCO3)cn1)C1CCCC(N(Cc2ccccn2)c2ccccc2F)C1")</f>
        <v>CN(Cc1ccc(-c2ccc3c(c2)OCCOCCOCCOCCOCCO3)cn1)C1CCCC(N(Cc2ccccn2)c2ccccc2F)C1</v>
      </c>
      <c r="C3175" s="7">
        <f>IFERROR(__xludf.DUMMYFUNCTION("""COMPUTED_VALUE"""),7.803302)</f>
        <v>7.803302</v>
      </c>
      <c r="D3175" s="7">
        <f>IFERROR(__xludf.DUMMYFUNCTION("""COMPUTED_VALUE"""),0.434210526315789)</f>
        <v>0.4342105263</v>
      </c>
    </row>
    <row r="3176">
      <c r="A3176" s="10" t="s">
        <v>4615</v>
      </c>
      <c r="B3176" s="7" t="str">
        <f>IFERROR(__xludf.DUMMYFUNCTION("SPLIT(A3176,"" "")"),"CC(N)C(C)N(C)CC1=CCC(N(C)C(C)C)=CN1")</f>
        <v>CC(N)C(C)N(C)CC1=CCC(N(C)C(C)C)=CN1</v>
      </c>
      <c r="C3176" s="7">
        <f>IFERROR(__xludf.DUMMYFUNCTION("""COMPUTED_VALUE"""),7.8032975)</f>
        <v>7.8032975</v>
      </c>
      <c r="D3176" s="7">
        <f>IFERROR(__xludf.DUMMYFUNCTION("""COMPUTED_VALUE"""),0.188679245283018)</f>
        <v>0.1886792453</v>
      </c>
    </row>
    <row r="3177">
      <c r="A3177" s="10" t="s">
        <v>4616</v>
      </c>
      <c r="B3177" s="7" t="str">
        <f>IFERROR(__xludf.DUMMYFUNCTION("SPLIT(A3177,"" "")"),"CC1=CC(C)C(C)C(C)(c2ccccn2)C1")</f>
        <v>CC1=CC(C)C(C)C(C)(c2ccccn2)C1</v>
      </c>
      <c r="C3177" s="7">
        <f>IFERROR(__xludf.DUMMYFUNCTION("""COMPUTED_VALUE"""),7.803295)</f>
        <v>7.803295</v>
      </c>
      <c r="D3177" s="7">
        <f>IFERROR(__xludf.DUMMYFUNCTION("""COMPUTED_VALUE"""),0.26)</f>
        <v>0.26</v>
      </c>
    </row>
    <row r="3178">
      <c r="A3178" s="10" t="s">
        <v>4617</v>
      </c>
      <c r="B3178" s="7" t="str">
        <f>IFERROR(__xludf.DUMMYFUNCTION("SPLIT(A3178,"" "")"),"CN(C)CCN(C)C(C)(C)C")</f>
        <v>CN(C)CCN(C)C(C)(C)C</v>
      </c>
      <c r="C3178" s="7">
        <f>IFERROR(__xludf.DUMMYFUNCTION("""COMPUTED_VALUE"""),7.803293)</f>
        <v>7.803293</v>
      </c>
      <c r="D3178" s="7">
        <f>IFERROR(__xludf.DUMMYFUNCTION("""COMPUTED_VALUE"""),0.235294117647058)</f>
        <v>0.2352941176</v>
      </c>
    </row>
    <row r="3179">
      <c r="A3179" s="10" t="s">
        <v>4618</v>
      </c>
      <c r="B3179" s="7" t="str">
        <f>IFERROR(__xludf.DUMMYFUNCTION("SPLIT(A3179,"" "")"),"Cc1cccnc1CN(C)CCN(Cc1ccccn1)C1(C)CCC1")</f>
        <v>Cc1cccnc1CN(C)CCN(Cc1ccccn1)C1(C)CCC1</v>
      </c>
      <c r="C3179" s="7">
        <f>IFERROR(__xludf.DUMMYFUNCTION("""COMPUTED_VALUE"""),7.803291)</f>
        <v>7.803291</v>
      </c>
      <c r="D3179" s="7">
        <f>IFERROR(__xludf.DUMMYFUNCTION("""COMPUTED_VALUE"""),0.388888888888888)</f>
        <v>0.3888888889</v>
      </c>
    </row>
    <row r="3180">
      <c r="A3180" s="10" t="s">
        <v>4619</v>
      </c>
      <c r="B3180" s="7" t="str">
        <f>IFERROR(__xludf.DUMMYFUNCTION("SPLIT(A3180,"" "")"),"CC1CC=C(N(C)Cc2ccccn2)C(C)C1(C)C")</f>
        <v>CC1CC=C(N(C)Cc2ccccn2)C(C)C1(C)C</v>
      </c>
      <c r="C3180" s="7">
        <f>IFERROR(__xludf.DUMMYFUNCTION("""COMPUTED_VALUE"""),7.8032846)</f>
        <v>7.8032846</v>
      </c>
      <c r="D3180" s="7">
        <f>IFERROR(__xludf.DUMMYFUNCTION("""COMPUTED_VALUE"""),0.446808510638297)</f>
        <v>0.4468085106</v>
      </c>
    </row>
    <row r="3181">
      <c r="A3181" s="10" t="s">
        <v>4620</v>
      </c>
      <c r="B3181" s="7" t="str">
        <f>IFERROR(__xludf.DUMMYFUNCTION("SPLIT(A3181,"" "")"),"CC1=CC(CN(Cc2ccccn2)C2CCCC(N(C)Cc3cc(C)c(C)c(C)n3)C2)C=CN1")</f>
        <v>CC1=CC(CN(Cc2ccccn2)C2CCCC(N(C)Cc3cc(C)c(C)c(C)n3)C2)C=CN1</v>
      </c>
      <c r="C3181" s="7">
        <f>IFERROR(__xludf.DUMMYFUNCTION("""COMPUTED_VALUE"""),7.8032794)</f>
        <v>7.8032794</v>
      </c>
      <c r="D3181" s="7">
        <f>IFERROR(__xludf.DUMMYFUNCTION("""COMPUTED_VALUE"""),0.373134328358209)</f>
        <v>0.3731343284</v>
      </c>
    </row>
    <row r="3182">
      <c r="A3182" s="10" t="s">
        <v>4621</v>
      </c>
      <c r="B3182" s="7" t="str">
        <f>IFERROR(__xludf.DUMMYFUNCTION("SPLIT(A3182,"" "")"),"CNC1CCC(N(Cc2cc(C)c(C)cn2)Cc2cc(C)c(C)cn2)CC1")</f>
        <v>CNC1CCC(N(Cc2cc(C)c(C)cn2)Cc2cc(C)c(C)cn2)CC1</v>
      </c>
      <c r="C3182" s="7">
        <f>IFERROR(__xludf.DUMMYFUNCTION("""COMPUTED_VALUE"""),7.8032775)</f>
        <v>7.8032775</v>
      </c>
      <c r="D3182" s="7">
        <f>IFERROR(__xludf.DUMMYFUNCTION("""COMPUTED_VALUE"""),0.32)</f>
        <v>0.32</v>
      </c>
    </row>
    <row r="3183">
      <c r="A3183" s="10" t="s">
        <v>4622</v>
      </c>
      <c r="B3183" s="7" t="str">
        <f>IFERROR(__xludf.DUMMYFUNCTION("SPLIT(A3183,"" "")"),"Cc1ccc(C2=CCC=CN2)nc1CN(CC1=CCC=CN1)C1CCCCC1")</f>
        <v>Cc1ccc(C2=CCC=CN2)nc1CN(CC1=CCC=CN1)C1CCCCC1</v>
      </c>
      <c r="C3183" s="7">
        <f>IFERROR(__xludf.DUMMYFUNCTION("""COMPUTED_VALUE"""),7.8032494)</f>
        <v>7.8032494</v>
      </c>
      <c r="D3183" s="7">
        <f>IFERROR(__xludf.DUMMYFUNCTION("""COMPUTED_VALUE"""),0.333333333333333)</f>
        <v>0.3333333333</v>
      </c>
    </row>
    <row r="3184">
      <c r="A3184" s="10" t="s">
        <v>4623</v>
      </c>
      <c r="B3184" s="7" t="str">
        <f>IFERROR(__xludf.DUMMYFUNCTION("SPLIT(A3184,"" "")"),"CC1=CC(CN(C)CC2=CC(N(C)Cc3cc(C)ccn3)C=CN2)C(C)C(C)C1")</f>
        <v>CC1=CC(CN(C)CC2=CC(N(C)Cc3cc(C)ccn3)C=CN2)C(C)C(C)C1</v>
      </c>
      <c r="C3184" s="7">
        <f>IFERROR(__xludf.DUMMYFUNCTION("""COMPUTED_VALUE"""),7.803242)</f>
        <v>7.803242</v>
      </c>
      <c r="D3184" s="7">
        <f>IFERROR(__xludf.DUMMYFUNCTION("""COMPUTED_VALUE"""),0.285714285714285)</f>
        <v>0.2857142857</v>
      </c>
    </row>
    <row r="3185">
      <c r="A3185" s="10" t="s">
        <v>4624</v>
      </c>
      <c r="B3185" s="7" t="str">
        <f>IFERROR(__xludf.DUMMYFUNCTION("SPLIT(A3185,"" "")"),"CC(C)NCc1cncc(CN(C)CCN)c1")</f>
        <v>CC(C)NCc1cncc(CN(C)CCN)c1</v>
      </c>
      <c r="C3185" s="7">
        <f>IFERROR(__xludf.DUMMYFUNCTION("""COMPUTED_VALUE"""),7.8032384)</f>
        <v>7.8032384</v>
      </c>
      <c r="D3185" s="7">
        <f>IFERROR(__xludf.DUMMYFUNCTION("""COMPUTED_VALUE"""),0.25531914893617)</f>
        <v>0.2553191489</v>
      </c>
    </row>
    <row r="3186">
      <c r="A3186" s="10" t="s">
        <v>4625</v>
      </c>
      <c r="B3186" s="7" t="str">
        <f>IFERROR(__xludf.DUMMYFUNCTION("SPLIT(A3186,"" "")"),"Cc1ccc(CN2CCN(C)CCN(CN(C)c3ccc(Cl)c(Cl)c3)CC2)nc1")</f>
        <v>Cc1ccc(CN2CCN(C)CCN(CN(C)c3ccc(Cl)c(Cl)c3)CC2)nc1</v>
      </c>
      <c r="C3186" s="7">
        <f>IFERROR(__xludf.DUMMYFUNCTION("""COMPUTED_VALUE"""),7.8032255)</f>
        <v>7.8032255</v>
      </c>
      <c r="D3186" s="7">
        <f>IFERROR(__xludf.DUMMYFUNCTION("""COMPUTED_VALUE"""),0.425925925925925)</f>
        <v>0.4259259259</v>
      </c>
    </row>
    <row r="3187">
      <c r="A3187" s="10" t="s">
        <v>4626</v>
      </c>
      <c r="B3187" s="7" t="str">
        <f>IFERROR(__xludf.DUMMYFUNCTION("SPLIT(A3187,"" "")"),"Cc1cnc(C)c(CN(C)C2CCC(N(C)Cc3ccon3)CC2)c1")</f>
        <v>Cc1cnc(C)c(CN(C)C2CCC(N(C)Cc3ccon3)CC2)c1</v>
      </c>
      <c r="C3187" s="7">
        <f>IFERROR(__xludf.DUMMYFUNCTION("""COMPUTED_VALUE"""),7.803215)</f>
        <v>7.803215</v>
      </c>
      <c r="D3187" s="7">
        <f>IFERROR(__xludf.DUMMYFUNCTION("""COMPUTED_VALUE"""),0.404255319148936)</f>
        <v>0.4042553191</v>
      </c>
    </row>
    <row r="3188">
      <c r="A3188" s="10" t="s">
        <v>4627</v>
      </c>
      <c r="B3188" s="7" t="str">
        <f>IFERROR(__xludf.DUMMYFUNCTION("SPLIT(A3188,"" "")"),"CN1CCN(C)CCN(CC2CC(N(C)c3ccc4ncccc4c3)CN2C)CC1")</f>
        <v>CN1CCN(C)CCN(CC2CC(N(C)c3ccc4ncccc4c3)CN2C)CC1</v>
      </c>
      <c r="C3188" s="7">
        <f>IFERROR(__xludf.DUMMYFUNCTION("""COMPUTED_VALUE"""),7.8032107)</f>
        <v>7.8032107</v>
      </c>
      <c r="D3188" s="7">
        <f>IFERROR(__xludf.DUMMYFUNCTION("""COMPUTED_VALUE"""),0.338709677419354)</f>
        <v>0.3387096774</v>
      </c>
    </row>
    <row r="3189">
      <c r="A3189" s="10" t="s">
        <v>4628</v>
      </c>
      <c r="B3189" s="7" t="str">
        <f>IFERROR(__xludf.DUMMYFUNCTION("SPLIT(A3189,"" "")"),"C=CCN(C)Cc1cccc(CN(C)C2CCC(N(C)Cc3cc(C)c(C)c(C)n3)CC2)n1")</f>
        <v>C=CCN(C)Cc1cccc(CN(C)C2CCC(N(C)Cc3cc(C)c(C)c(C)n3)CC2)n1</v>
      </c>
      <c r="C3189" s="7">
        <f>IFERROR(__xludf.DUMMYFUNCTION("""COMPUTED_VALUE"""),7.8031898)</f>
        <v>7.8031898</v>
      </c>
      <c r="D3189" s="7">
        <f>IFERROR(__xludf.DUMMYFUNCTION("""COMPUTED_VALUE"""),0.375)</f>
        <v>0.375</v>
      </c>
    </row>
    <row r="3190">
      <c r="A3190" s="10" t="s">
        <v>4629</v>
      </c>
      <c r="B3190" s="7" t="str">
        <f>IFERROR(__xludf.DUMMYFUNCTION("SPLIT(A3190,"" "")"),"CC1=CCC(N(C)Cc2ncccc2C(C)(C)C)C(C)C1N")</f>
        <v>CC1=CCC(N(C)Cc2ncccc2C(C)(C)C)C(C)C1N</v>
      </c>
      <c r="C3190" s="7">
        <f>IFERROR(__xludf.DUMMYFUNCTION("""COMPUTED_VALUE"""),7.803176)</f>
        <v>7.803176</v>
      </c>
      <c r="D3190" s="7">
        <f>IFERROR(__xludf.DUMMYFUNCTION("""COMPUTED_VALUE"""),0.339285714285714)</f>
        <v>0.3392857143</v>
      </c>
    </row>
    <row r="3191">
      <c r="A3191" s="10" t="s">
        <v>4630</v>
      </c>
      <c r="B3191" s="7" t="str">
        <f>IFERROR(__xludf.DUMMYFUNCTION("SPLIT(A3191,"" "")"),"CN(Cc1ccccn1)Cc1cc(-c2ccc3c(c2)OCCOCCOCCOCCOCCO3)ccn1")</f>
        <v>CN(Cc1ccccn1)Cc1cc(-c2ccc3c(c2)OCCOCCOCCOCCOCCO3)ccn1</v>
      </c>
      <c r="C3191" s="7">
        <f>IFERROR(__xludf.DUMMYFUNCTION("""COMPUTED_VALUE"""),7.803175)</f>
        <v>7.803175</v>
      </c>
      <c r="D3191" s="7">
        <f>IFERROR(__xludf.DUMMYFUNCTION("""COMPUTED_VALUE"""),0.415094339622641)</f>
        <v>0.4150943396</v>
      </c>
    </row>
    <row r="3192">
      <c r="A3192" s="10" t="s">
        <v>4631</v>
      </c>
      <c r="B3192" s="7" t="str">
        <f>IFERROR(__xludf.DUMMYFUNCTION("SPLIT(A3192,"" "")"),"CC(C)N(CC1=CCC=CN1)CC1=CCC=CN1")</f>
        <v>CC(C)N(CC1=CCC=CN1)CC1=CCC=CN1</v>
      </c>
      <c r="C3192" s="7">
        <f>IFERROR(__xludf.DUMMYFUNCTION("""COMPUTED_VALUE"""),7.8031683)</f>
        <v>7.8031683</v>
      </c>
      <c r="D3192" s="7">
        <f>IFERROR(__xludf.DUMMYFUNCTION("""COMPUTED_VALUE"""),0.441860465116279)</f>
        <v>0.4418604651</v>
      </c>
    </row>
    <row r="3193">
      <c r="A3193" s="10" t="s">
        <v>4632</v>
      </c>
      <c r="B3193" s="7" t="str">
        <f>IFERROR(__xludf.DUMMYFUNCTION("SPLIT(A3193,"" "")"),"Cc1cccc(CNCN(C)C2CCC(N(C)Cc3nc(C)c(C)c(C)c3C)CC2)n1")</f>
        <v>Cc1cccc(CNCN(C)C2CCC(N(C)Cc3nc(C)c(C)c(C)c3C)CC2)n1</v>
      </c>
      <c r="C3193" s="7">
        <f>IFERROR(__xludf.DUMMYFUNCTION("""COMPUTED_VALUE"""),7.8031645)</f>
        <v>7.8031645</v>
      </c>
      <c r="D3193" s="7">
        <f>IFERROR(__xludf.DUMMYFUNCTION("""COMPUTED_VALUE"""),0.425925925925925)</f>
        <v>0.4259259259</v>
      </c>
    </row>
    <row r="3194">
      <c r="A3194" s="10" t="s">
        <v>4633</v>
      </c>
      <c r="B3194" s="7" t="str">
        <f>IFERROR(__xludf.DUMMYFUNCTION("SPLIT(A3194,"" "")"),"CNc1cc2c(c(-c3cccc(CN(C)C4CCC(N(C)Cc5cc(C)c(C)c(C)n5)CC4)n3)c1)OCCOCCOCCOCCOCCO2")</f>
        <v>CNc1cc2c(c(-c3cccc(CN(C)C4CCC(N(C)Cc5cc(C)c(C)c(C)n5)CC4)n3)c1)OCCOCCOCCOCCOCCO2</v>
      </c>
      <c r="C3194" s="7">
        <f>IFERROR(__xludf.DUMMYFUNCTION("""COMPUTED_VALUE"""),7.803164)</f>
        <v>7.803164</v>
      </c>
      <c r="D3194" s="7">
        <f>IFERROR(__xludf.DUMMYFUNCTION("""COMPUTED_VALUE"""),0.291666666666666)</f>
        <v>0.2916666667</v>
      </c>
    </row>
    <row r="3195">
      <c r="A3195" s="10" t="s">
        <v>4634</v>
      </c>
      <c r="B3195" s="7" t="str">
        <f>IFERROR(__xludf.DUMMYFUNCTION("SPLIT(A3195,"" "")"),"CC1=C(C(C)(C)C)C(C)C(C)CC1C")</f>
        <v>CC1=C(C(C)(C)C)C(C)C(C)CC1C</v>
      </c>
      <c r="C3195" s="7">
        <f>IFERROR(__xludf.DUMMYFUNCTION("""COMPUTED_VALUE"""),7.8031588)</f>
        <v>7.8031588</v>
      </c>
      <c r="D3195" s="7">
        <f>IFERROR(__xludf.DUMMYFUNCTION("""COMPUTED_VALUE"""),0.128205128205128)</f>
        <v>0.1282051282</v>
      </c>
    </row>
    <row r="3196">
      <c r="A3196" s="10" t="s">
        <v>4635</v>
      </c>
      <c r="B3196" s="7" t="str">
        <f>IFERROR(__xludf.DUMMYFUNCTION("SPLIT(A3196,"" "")"),"CC1=CC(C)(C)C(C)(C)CC12C=CNC(C(C)C)=C2")</f>
        <v>CC1=CC(C)(C)C(C)(C)CC12C=CNC(C(C)C)=C2</v>
      </c>
      <c r="C3196" s="7">
        <f>IFERROR(__xludf.DUMMYFUNCTION("""COMPUTED_VALUE"""),7.8031554)</f>
        <v>7.8031554</v>
      </c>
      <c r="D3196" s="7">
        <f>IFERROR(__xludf.DUMMYFUNCTION("""COMPUTED_VALUE"""),0.145454545454545)</f>
        <v>0.1454545455</v>
      </c>
    </row>
    <row r="3197">
      <c r="A3197" s="10" t="s">
        <v>4636</v>
      </c>
      <c r="B3197" s="7" t="str">
        <f>IFERROR(__xludf.DUMMYFUNCTION("SPLIT(A3197,"" "")"),"CC(C)N(Cc1cc(C(C)(C)c2ccccn2)ccn1)C1CCCC(N(C)Cc2cc(-c3cccc4c3OCCOCCOCCOCCOCCO4)ccn2)C1")</f>
        <v>CC(C)N(Cc1cc(C(C)(C)c2ccccn2)ccn1)C1CCCC(N(C)Cc2cc(-c3cccc4c3OCCOCCOCCOCCOCCO4)ccn2)C1</v>
      </c>
      <c r="C3197" s="7">
        <f>IFERROR(__xludf.DUMMYFUNCTION("""COMPUTED_VALUE"""),7.8031554)</f>
        <v>7.8031554</v>
      </c>
      <c r="D3197" s="7">
        <f>IFERROR(__xludf.DUMMYFUNCTION("""COMPUTED_VALUE"""),0.291139240506329)</f>
        <v>0.2911392405</v>
      </c>
    </row>
    <row r="3198">
      <c r="A3198" s="10" t="s">
        <v>4637</v>
      </c>
      <c r="B3198" s="7" t="str">
        <f>IFERROR(__xludf.DUMMYFUNCTION("SPLIT(A3198,"" "")"),"CN1CCN(C)CCN(CC2CC(N(C)c3ccc4cccnc4c3)CN2C)CC1")</f>
        <v>CN1CCN(C)CCN(CC2CC(N(C)c3ccc4cccnc4c3)CN2C)CC1</v>
      </c>
      <c r="C3198" s="7">
        <f>IFERROR(__xludf.DUMMYFUNCTION("""COMPUTED_VALUE"""),7.803151)</f>
        <v>7.803151</v>
      </c>
      <c r="D3198" s="7">
        <f>IFERROR(__xludf.DUMMYFUNCTION("""COMPUTED_VALUE"""),0.322033898305084)</f>
        <v>0.3220338983</v>
      </c>
    </row>
    <row r="3199">
      <c r="A3199" s="10" t="s">
        <v>4638</v>
      </c>
      <c r="B3199" s="7" t="str">
        <f>IFERROR(__xludf.DUMMYFUNCTION("SPLIT(A3199,"" "")"),"Cc1c(CN2CCN(C)CCN(C)CC2)nc(C2CC(C)(C)C2)c(C)c1C")</f>
        <v>Cc1c(CN2CCN(C)CCN(C)CC2)nc(C2CC(C)(C)C2)c(C)c1C</v>
      </c>
      <c r="C3199" s="7">
        <f>IFERROR(__xludf.DUMMYFUNCTION("""COMPUTED_VALUE"""),7.803135)</f>
        <v>7.803135</v>
      </c>
      <c r="D3199" s="7">
        <f>IFERROR(__xludf.DUMMYFUNCTION("""COMPUTED_VALUE"""),0.372549019607843)</f>
        <v>0.3725490196</v>
      </c>
    </row>
    <row r="3200">
      <c r="A3200" s="10" t="s">
        <v>4639</v>
      </c>
      <c r="B3200" s="7" t="str">
        <f>IFERROR(__xludf.DUMMYFUNCTION("SPLIT(A3200,"" "")"),"CC(c1ccnc(CNCc2ccc3c(c2)OCCOCCOCCOCCOCCO3)c1)(c1ccccn1)c1ccccn1")</f>
        <v>CC(c1ccnc(CNCc2ccc3c(c2)OCCOCCOCCOCCOCCO3)c1)(c1ccccn1)c1ccccn1</v>
      </c>
      <c r="C3200" s="7">
        <f>IFERROR(__xludf.DUMMYFUNCTION("""COMPUTED_VALUE"""),7.803132)</f>
        <v>7.803132</v>
      </c>
      <c r="D3200" s="7">
        <f>IFERROR(__xludf.DUMMYFUNCTION("""COMPUTED_VALUE"""),0.298245614035087)</f>
        <v>0.298245614</v>
      </c>
    </row>
    <row r="3201">
      <c r="A3201" s="10" t="s">
        <v>4640</v>
      </c>
      <c r="B3201" s="7" t="str">
        <f>IFERROR(__xludf.DUMMYFUNCTION("SPLIT(A3201,"" "")"),"FCc1cccnc1")</f>
        <v>FCc1cccnc1</v>
      </c>
      <c r="C3201" s="7">
        <f>IFERROR(__xludf.DUMMYFUNCTION("""COMPUTED_VALUE"""),7.803129)</f>
        <v>7.803129</v>
      </c>
      <c r="D3201" s="7">
        <f>IFERROR(__xludf.DUMMYFUNCTION("""COMPUTED_VALUE"""),0.25)</f>
        <v>0.25</v>
      </c>
    </row>
    <row r="3202">
      <c r="A3202" s="10" t="s">
        <v>4641</v>
      </c>
      <c r="B3202" s="7" t="str">
        <f>IFERROR(__xludf.DUMMYFUNCTION("SPLIT(A3202,"" "")"),"CC(N)C(C)C(C)N(C)Cc1ccc(C(C)(C)C)cn1")</f>
        <v>CC(N)C(C)C(C)N(C)Cc1ccc(C(C)(C)C)cn1</v>
      </c>
      <c r="C3202" s="7">
        <f>IFERROR(__xludf.DUMMYFUNCTION("""COMPUTED_VALUE"""),7.803128)</f>
        <v>7.803128</v>
      </c>
      <c r="D3202" s="7">
        <f>IFERROR(__xludf.DUMMYFUNCTION("""COMPUTED_VALUE"""),0.340425531914893)</f>
        <v>0.3404255319</v>
      </c>
    </row>
    <row r="3203">
      <c r="A3203" s="10" t="s">
        <v>4642</v>
      </c>
      <c r="B3203" s="7" t="str">
        <f>IFERROR(__xludf.DUMMYFUNCTION("SPLIT(A3203,"" "")"),"CN(Cc1cccc(-c2ccccc2)n1)C1CCCCC1N(C)Cc1cccc(-c2ccc3c(c2)OCCOCCOCCOCCOCCO3)n1")</f>
        <v>CN(Cc1cccc(-c2ccccc2)n1)C1CCCCC1N(C)Cc1cccc(-c2ccc3c(c2)OCCOCCOCCOCCOCCO3)n1</v>
      </c>
      <c r="C3203" s="7">
        <f>IFERROR(__xludf.DUMMYFUNCTION("""COMPUTED_VALUE"""),7.803115)</f>
        <v>7.803115</v>
      </c>
      <c r="D3203" s="7">
        <f>IFERROR(__xludf.DUMMYFUNCTION("""COMPUTED_VALUE"""),0.464285714285714)</f>
        <v>0.4642857143</v>
      </c>
    </row>
    <row r="3204">
      <c r="A3204" s="10" t="s">
        <v>4643</v>
      </c>
      <c r="B3204" s="7" t="str">
        <f>IFERROR(__xludf.DUMMYFUNCTION("SPLIT(A3204,"" "")"),"CC1C=CC(C)C(N(C)Cc2ncccc2C(C)(C)C)C1C")</f>
        <v>CC1C=CC(C)C(N(C)Cc2ncccc2C(C)(C)C)C1C</v>
      </c>
      <c r="C3204" s="7">
        <f>IFERROR(__xludf.DUMMYFUNCTION("""COMPUTED_VALUE"""),7.8031077)</f>
        <v>7.8031077</v>
      </c>
      <c r="D3204" s="7">
        <f>IFERROR(__xludf.DUMMYFUNCTION("""COMPUTED_VALUE"""),0.283018867924528)</f>
        <v>0.2830188679</v>
      </c>
    </row>
    <row r="3205">
      <c r="A3205" s="10" t="s">
        <v>4644</v>
      </c>
      <c r="B3205" s="7" t="str">
        <f>IFERROR(__xludf.DUMMYFUNCTION("SPLIT(A3205,"" "")"),"CN(Cc1cccc(CN(Cc2cccc(-c3cccc4c3OCCOCCOCCOCCOCCO4)n2)Cc2cccc(-c3cccc4c3OCCOCCOCCOCCOCCO4)n2)n1)Cc1cccc(-c2cccc3c2OCCOCCOCCOCCOCCO3)n1")</f>
        <v>CN(Cc1cccc(CN(Cc2cccc(-c3cccc4c3OCCOCCOCCOCCOCCO4)n2)Cc2cccc(-c3cccc4c3OCCOCCOCCOCCOCCO4)n2)n1)Cc1cccc(-c2cccc3c2OCCOCCOCCOCCOCCO3)n1</v>
      </c>
      <c r="C3205" s="7">
        <f>IFERROR(__xludf.DUMMYFUNCTION("""COMPUTED_VALUE"""),7.803103)</f>
        <v>7.803103</v>
      </c>
      <c r="D3205" s="7">
        <f>IFERROR(__xludf.DUMMYFUNCTION("""COMPUTED_VALUE"""),0.388888888888888)</f>
        <v>0.3888888889</v>
      </c>
    </row>
    <row r="3206">
      <c r="A3206" s="10" t="s">
        <v>4645</v>
      </c>
      <c r="B3206" s="7" t="str">
        <f>IFERROR(__xludf.DUMMYFUNCTION("SPLIT(A3206,"" "")"),"Cc1cc([SiH3])nc(CN(C)C2CCCCC2N(C)Cc2nccc(C)c2C)c1")</f>
        <v>Cc1cc([SiH3])nc(CN(C)C2CCCCC2N(C)Cc2nccc(C)c2C)c1</v>
      </c>
      <c r="C3206" s="7">
        <f>IFERROR(__xludf.DUMMYFUNCTION("""COMPUTED_VALUE"""),7.803098)</f>
        <v>7.803098</v>
      </c>
      <c r="D3206" s="7">
        <f>IFERROR(__xludf.DUMMYFUNCTION("""COMPUTED_VALUE"""),0.452830188679245)</f>
        <v>0.4528301887</v>
      </c>
    </row>
    <row r="3207">
      <c r="A3207" s="10" t="s">
        <v>4646</v>
      </c>
      <c r="B3207" s="7" t="str">
        <f>IFERROR(__xludf.DUMMYFUNCTION("SPLIT(A3207,"" "")"),"Cc1ccnc(CN(C)CC2=CC=NCC2)c1")</f>
        <v>Cc1ccnc(CN(C)CC2=CC=NCC2)c1</v>
      </c>
      <c r="C3207" s="7">
        <f>IFERROR(__xludf.DUMMYFUNCTION("""COMPUTED_VALUE"""),7.8030977)</f>
        <v>7.8030977</v>
      </c>
      <c r="D3207" s="7">
        <f>IFERROR(__xludf.DUMMYFUNCTION("""COMPUTED_VALUE"""),0.387755102040816)</f>
        <v>0.387755102</v>
      </c>
    </row>
    <row r="3208">
      <c r="A3208" s="10" t="s">
        <v>4647</v>
      </c>
      <c r="B3208" s="7" t="str">
        <f>IFERROR(__xludf.DUMMYFUNCTION("SPLIT(A3208,"" "")"),"CC1C=CC(C)C(C)(c2cccc(CN(Cc3ccccn3)Cc3cccc(-c4ccc5c(c4)OCCOCCOCCOCCOCCO5)n3)n2)C1(C)C")</f>
        <v>CC1C=CC(C)C(C)(c2cccc(CN(Cc3ccccn3)Cc3cccc(-c4ccc5c(c4)OCCOCCOCCOCCOCCO5)n3)n2)C1(C)C</v>
      </c>
      <c r="C3208" s="7">
        <f>IFERROR(__xludf.DUMMYFUNCTION("""COMPUTED_VALUE"""),7.8030767)</f>
        <v>7.8030767</v>
      </c>
      <c r="D3208" s="7">
        <f>IFERROR(__xludf.DUMMYFUNCTION("""COMPUTED_VALUE"""),0.430555555555555)</f>
        <v>0.4305555556</v>
      </c>
    </row>
    <row r="3209">
      <c r="A3209" s="10" t="s">
        <v>4648</v>
      </c>
      <c r="B3209" s="7" t="str">
        <f>IFERROR(__xludf.DUMMYFUNCTION("SPLIT(A3209,"" "")"),"Cc1cccc(CN(C)C2CCCC(N(Cc3ccccn3)Cc3cccc(-c4ccc5c(c4)OCCOCCOCCOCCOCCO5)n3)C2N(C)Cc2ccccn2)n1")</f>
        <v>Cc1cccc(CN(C)C2CCCC(N(Cc3ccccn3)Cc3cccc(-c4ccc5c(c4)OCCOCCOCCOCCOCCO5)n3)C2N(C)Cc2ccccn2)n1</v>
      </c>
      <c r="C3209" s="7">
        <f>IFERROR(__xludf.DUMMYFUNCTION("""COMPUTED_VALUE"""),7.803076)</f>
        <v>7.803076</v>
      </c>
      <c r="D3209" s="7">
        <f>IFERROR(__xludf.DUMMYFUNCTION("""COMPUTED_VALUE"""),0.426470588235294)</f>
        <v>0.4264705882</v>
      </c>
    </row>
    <row r="3210">
      <c r="A3210" s="10" t="s">
        <v>4649</v>
      </c>
      <c r="B3210" s="7" t="str">
        <f>IFERROR(__xludf.DUMMYFUNCTION("SPLIT(A3210,"" "")"),"Cc1cncc(CN(C)C2CCCC(N(Cc3ccccn3)Cc3ccccn3)C2)c1")</f>
        <v>Cc1cncc(CN(C)C2CCCC(N(Cc3ccccn3)Cc3ccccn3)C2)c1</v>
      </c>
      <c r="C3210" s="7">
        <f>IFERROR(__xludf.DUMMYFUNCTION("""COMPUTED_VALUE"""),7.803072)</f>
        <v>7.803072</v>
      </c>
      <c r="D3210" s="7">
        <f>IFERROR(__xludf.DUMMYFUNCTION("""COMPUTED_VALUE"""),0.452830188679245)</f>
        <v>0.4528301887</v>
      </c>
    </row>
    <row r="3211">
      <c r="A3211" s="10" t="s">
        <v>4650</v>
      </c>
      <c r="B3211" s="7" t="str">
        <f>IFERROR(__xludf.DUMMYFUNCTION("SPLIT(A3211,"" "")"),"CN(Cc1ccc(-c2ccccc2)cn1)C1CCCCC1N(C)Cc1cccc(-c2cccc3c2OCCOCCOCCOCCOCCO3)n1")</f>
        <v>CN(Cc1ccc(-c2ccccc2)cn1)C1CCCCC1N(C)Cc1cccc(-c2cccc3c2OCCOCCOCCOCCOCCO3)n1</v>
      </c>
      <c r="C3211" s="7">
        <f>IFERROR(__xludf.DUMMYFUNCTION("""COMPUTED_VALUE"""),7.8030634)</f>
        <v>7.8030634</v>
      </c>
      <c r="D3211" s="7">
        <f>IFERROR(__xludf.DUMMYFUNCTION("""COMPUTED_VALUE"""),0.40625)</f>
        <v>0.40625</v>
      </c>
    </row>
    <row r="3212">
      <c r="A3212" s="10" t="s">
        <v>4651</v>
      </c>
      <c r="B3212" s="7" t="str">
        <f>IFERROR(__xludf.DUMMYFUNCTION("SPLIT(A3212,"" "")"),"Cc1cccc(CN(Cc2cccc(-c3ccc4c(c3)OCCOCCOCCOCCOCCO4)n2)C2CCC(N(C)c3cccc(CN(C)C(C)C)n3)CC2)n1")</f>
        <v>Cc1cccc(CN(Cc2cccc(-c3ccc4c(c3)OCCOCCOCCOCCOCCO4)n2)C2CCC(N(C)c3cccc(CN(C)C(C)C)n3)CC2)n1</v>
      </c>
      <c r="C3212" s="7">
        <f>IFERROR(__xludf.DUMMYFUNCTION("""COMPUTED_VALUE"""),7.803062)</f>
        <v>7.803062</v>
      </c>
      <c r="D3212" s="7">
        <f>IFERROR(__xludf.DUMMYFUNCTION("""COMPUTED_VALUE"""),0.319444444444444)</f>
        <v>0.3194444444</v>
      </c>
    </row>
    <row r="3213">
      <c r="A3213" s="10" t="s">
        <v>4652</v>
      </c>
      <c r="B3213" s="7" t="str">
        <f>IFERROR(__xludf.DUMMYFUNCTION("SPLIT(A3213,"" "")"),"Cc1ccccc1CN(C)Cc1cc(-c2ccc3c(c2)OCCOCCOCCOCCOCCO3)ccn1")</f>
        <v>Cc1ccccc1CN(C)Cc1cc(-c2ccc3c(c2)OCCOCCOCCOCCOCCO3)ccn1</v>
      </c>
      <c r="C3213" s="7">
        <f>IFERROR(__xludf.DUMMYFUNCTION("""COMPUTED_VALUE"""),7.80306)</f>
        <v>7.80306</v>
      </c>
      <c r="D3213" s="7">
        <f>IFERROR(__xludf.DUMMYFUNCTION("""COMPUTED_VALUE"""),0.373134328358209)</f>
        <v>0.3731343284</v>
      </c>
    </row>
    <row r="3214">
      <c r="A3214" s="10" t="s">
        <v>4653</v>
      </c>
      <c r="B3214" s="7" t="str">
        <f>IFERROR(__xludf.DUMMYFUNCTION("SPLIT(A3214,"" "")"),"CCNC1=C(C)C(N(C)Cc2ccccn2)C(C)(C)C(C)C1")</f>
        <v>CCNC1=C(C)C(N(C)Cc2ccccn2)C(C)(C)C(C)C1</v>
      </c>
      <c r="C3214" s="7">
        <f>IFERROR(__xludf.DUMMYFUNCTION("""COMPUTED_VALUE"""),7.8030586)</f>
        <v>7.8030586</v>
      </c>
      <c r="D3214" s="7">
        <f>IFERROR(__xludf.DUMMYFUNCTION("""COMPUTED_VALUE"""),0.433962264150943)</f>
        <v>0.4339622642</v>
      </c>
    </row>
    <row r="3215">
      <c r="A3215" s="10" t="s">
        <v>4654</v>
      </c>
      <c r="B3215" s="7" t="str">
        <f>IFERROR(__xludf.DUMMYFUNCTION("SPLIT(A3215,"" "")"),"Cc1cccnc1CN(C)C1CCC(N(Cc2ccccn2)C(C)(c2cccnc2)C(C)C)CC1")</f>
        <v>Cc1cccnc1CN(C)C1CCC(N(Cc2ccccn2)C(C)(c2cccnc2)C(C)C)CC1</v>
      </c>
      <c r="C3215" s="7">
        <f>IFERROR(__xludf.DUMMYFUNCTION("""COMPUTED_VALUE"""),7.803052)</f>
        <v>7.803052</v>
      </c>
      <c r="D3215" s="7">
        <f>IFERROR(__xludf.DUMMYFUNCTION("""COMPUTED_VALUE"""),0.365079365079365)</f>
        <v>0.3650793651</v>
      </c>
    </row>
    <row r="3216">
      <c r="A3216" s="10" t="s">
        <v>4655</v>
      </c>
      <c r="B3216" s="7" t="str">
        <f>IFERROR(__xludf.DUMMYFUNCTION("SPLIT(A3216,"" "")"),"CNC1OCCOCCOCCOCCOc2ccccc2OC1N(Cc1nc(C)ccc1C)Cc1nc(C)ccc1C")</f>
        <v>CNC1OCCOCCOCCOCCOc2ccccc2OC1N(Cc1nc(C)ccc1C)Cc1nc(C)ccc1C</v>
      </c>
      <c r="C3216" s="7">
        <f>IFERROR(__xludf.DUMMYFUNCTION("""COMPUTED_VALUE"""),7.803042)</f>
        <v>7.803042</v>
      </c>
      <c r="D3216" s="7">
        <f>IFERROR(__xludf.DUMMYFUNCTION("""COMPUTED_VALUE"""),0.223880597014925)</f>
        <v>0.223880597</v>
      </c>
    </row>
    <row r="3217">
      <c r="A3217" s="10" t="s">
        <v>4656</v>
      </c>
      <c r="B3217" s="7" t="str">
        <f>IFERROR(__xludf.DUMMYFUNCTION("SPLIT(A3217,"" "")"),"Cc1cc(CN(Cc2ccccn2)C2CCCC(N(C)Cc3cc(-c4ccc5c(c4)OCCOCCOCCOCCOCCO5)ccn3)C2)c(C)nc1C")</f>
        <v>Cc1cc(CN(Cc2ccccn2)C2CCCC(N(C)Cc3cc(-c4ccc5c(c4)OCCOCCOCCOCCOCCO5)ccn3)C2)c(C)nc1C</v>
      </c>
      <c r="C3217" s="7">
        <f>IFERROR(__xludf.DUMMYFUNCTION("""COMPUTED_VALUE"""),7.8030305)</f>
        <v>7.8030305</v>
      </c>
      <c r="D3217" s="7">
        <f>IFERROR(__xludf.DUMMYFUNCTION("""COMPUTED_VALUE"""),0.342465753424657)</f>
        <v>0.3424657534</v>
      </c>
    </row>
    <row r="3218">
      <c r="A3218" s="10" t="s">
        <v>4657</v>
      </c>
      <c r="B3218" s="7" t="str">
        <f>IFERROR(__xludf.DUMMYFUNCTION("SPLIT(A3218,"" "")"),"Cc1cc(CN(C)C2CCC(N(Cc3cc(-c4ccc5c(c4)OCCOCCOCCOCCOCCO5)ccn3)Cc3ncccc3C)CC2)cnc1C")</f>
        <v>Cc1cc(CN(C)C2CCC(N(Cc3cc(-c4ccc5c(c4)OCCOCCOCCOCCOCCO5)ccn3)Cc3ncccc3C)CC2)cnc1C</v>
      </c>
      <c r="C3218" s="7">
        <f>IFERROR(__xludf.DUMMYFUNCTION("""COMPUTED_VALUE"""),7.8030148)</f>
        <v>7.8030148</v>
      </c>
      <c r="D3218" s="7">
        <f>IFERROR(__xludf.DUMMYFUNCTION("""COMPUTED_VALUE"""),0.337349397590361)</f>
        <v>0.3373493976</v>
      </c>
    </row>
    <row r="3219">
      <c r="A3219" s="10" t="s">
        <v>4658</v>
      </c>
      <c r="B3219" s="7" t="str">
        <f>IFERROR(__xludf.DUMMYFUNCTION("SPLIT(A3219,"" "")"),"CC1=CC(C)CC(C)C1N(C)CC1=CCC=CN1")</f>
        <v>CC1=CC(C)CC(C)C1N(C)CC1=CCC=CN1</v>
      </c>
      <c r="C3219" s="7">
        <f>IFERROR(__xludf.DUMMYFUNCTION("""COMPUTED_VALUE"""),7.803013)</f>
        <v>7.803013</v>
      </c>
      <c r="D3219" s="7">
        <f>IFERROR(__xludf.DUMMYFUNCTION("""COMPUTED_VALUE"""),0.345454545454545)</f>
        <v>0.3454545455</v>
      </c>
    </row>
    <row r="3220">
      <c r="A3220" s="10" t="s">
        <v>4659</v>
      </c>
      <c r="B3220" s="7" t="str">
        <f>IFERROR(__xludf.DUMMYFUNCTION("SPLIT(A3220,"" "")"),"CC(C)C1CCC1c1cccc(CN(Cc2ccccn2)Cc2cccc(-c3ccc4c(c3)OCCOCCOCCOCCOCCO4)n2)n1")</f>
        <v>CC(C)C1CCC1c1cccc(CN(Cc2ccccn2)Cc2cccc(-c3ccc4c(c3)OCCOCCOCCOCCOCCO4)n2)n1</v>
      </c>
      <c r="C3220" s="7">
        <f>IFERROR(__xludf.DUMMYFUNCTION("""COMPUTED_VALUE"""),7.8030043)</f>
        <v>7.8030043</v>
      </c>
      <c r="D3220" s="7">
        <f>IFERROR(__xludf.DUMMYFUNCTION("""COMPUTED_VALUE"""),0.442857142857142)</f>
        <v>0.4428571429</v>
      </c>
    </row>
    <row r="3221">
      <c r="A3221" s="10" t="s">
        <v>4660</v>
      </c>
      <c r="B3221" s="7" t="str">
        <f>IFERROR(__xludf.DUMMYFUNCTION("SPLIT(A3221,"" "")"),"Cc1cncc(CN(C)C2CCC(N(C)Cc3ccccn3)C(N(Cc3cccc(-c4ccc5c(c4)OCCOCCOCCOCCOCCO5)n3)Cc3cccc(C4CCC4(C)C)n3)C2)c1")</f>
        <v>Cc1cncc(CN(C)C2CCC(N(C)Cc3ccccn3)C(N(Cc3cccc(-c4ccc5c(c4)OCCOCCOCCOCCOCCO5)n3)Cc3cccc(C4CCC4(C)C)n3)C2)c1</v>
      </c>
      <c r="C3221" s="7">
        <f>IFERROR(__xludf.DUMMYFUNCTION("""COMPUTED_VALUE"""),7.802993)</f>
        <v>7.802993</v>
      </c>
      <c r="D3221" s="7">
        <f>IFERROR(__xludf.DUMMYFUNCTION("""COMPUTED_VALUE"""),0.303370786516853)</f>
        <v>0.3033707865</v>
      </c>
    </row>
    <row r="3222">
      <c r="A3222" s="10" t="s">
        <v>4661</v>
      </c>
      <c r="B3222" s="7" t="str">
        <f>IFERROR(__xludf.DUMMYFUNCTION("SPLIT(A3222,"" "")"),"CCC1=NC(C(C)C)CO1")</f>
        <v>CCC1=NC(C(C)C)CO1</v>
      </c>
      <c r="C3222" s="7">
        <f>IFERROR(__xludf.DUMMYFUNCTION("""COMPUTED_VALUE"""),7.802984)</f>
        <v>7.802984</v>
      </c>
      <c r="D3222" s="7">
        <f>IFERROR(__xludf.DUMMYFUNCTION("""COMPUTED_VALUE"""),0.153846153846153)</f>
        <v>0.1538461538</v>
      </c>
    </row>
    <row r="3223">
      <c r="A3223" s="10" t="s">
        <v>4662</v>
      </c>
      <c r="B3223" s="7" t="str">
        <f>IFERROR(__xludf.DUMMYFUNCTION("SPLIT(A3223,"" "")"),"CC1=C(C)C(C)(C)C(N(C)Cc2ncccc2C)CC1")</f>
        <v>CC1=C(C)C(C)(C)C(N(C)Cc2ncccc2C)CC1</v>
      </c>
      <c r="C3223" s="7">
        <f>IFERROR(__xludf.DUMMYFUNCTION("""COMPUTED_VALUE"""),7.8029685)</f>
        <v>7.8029685</v>
      </c>
      <c r="D3223" s="7">
        <f>IFERROR(__xludf.DUMMYFUNCTION("""COMPUTED_VALUE"""),0.320754716981132)</f>
        <v>0.320754717</v>
      </c>
    </row>
    <row r="3224">
      <c r="A3224" s="10" t="s">
        <v>4663</v>
      </c>
      <c r="B3224" s="7" t="str">
        <f>IFERROR(__xludf.DUMMYFUNCTION("SPLIT(A3224,"" "")"),"C=CCN(C)Cc1cccc(CN(C)C2CCCC(N(C)Cc3cc(C)c(C)c(C)n3)C2)n1")</f>
        <v>C=CCN(C)Cc1cccc(CN(C)C2CCCC(N(C)Cc3cc(C)c(C)c(C)n3)C2)n1</v>
      </c>
      <c r="C3224" s="7">
        <f>IFERROR(__xludf.DUMMYFUNCTION("""COMPUTED_VALUE"""),7.802966)</f>
        <v>7.802966</v>
      </c>
      <c r="D3224" s="7">
        <f>IFERROR(__xludf.DUMMYFUNCTION("""COMPUTED_VALUE"""),0.379310344827586)</f>
        <v>0.3793103448</v>
      </c>
    </row>
    <row r="3225">
      <c r="A3225" s="10" t="s">
        <v>4664</v>
      </c>
      <c r="B3225" s="7" t="str">
        <f>IFERROR(__xludf.DUMMYFUNCTION("SPLIT(A3225,"" "")"),"CN(Cc1ccccn1)Cc1cccnc1-c1ccc2c(c1)OCCOCCOCCOCCOCCO2")</f>
        <v>CN(Cc1ccccn1)Cc1cccnc1-c1ccc2c(c1)OCCOCCOCCOCCOCCO2</v>
      </c>
      <c r="C3225" s="7">
        <f>IFERROR(__xludf.DUMMYFUNCTION("""COMPUTED_VALUE"""),7.8029623)</f>
        <v>7.8029623</v>
      </c>
      <c r="D3225" s="7">
        <f>IFERROR(__xludf.DUMMYFUNCTION("""COMPUTED_VALUE"""),0.385964912280701)</f>
        <v>0.3859649123</v>
      </c>
    </row>
    <row r="3226">
      <c r="A3226" s="10" t="s">
        <v>4665</v>
      </c>
      <c r="B3226" s="7" t="str">
        <f>IFERROR(__xludf.DUMMYFUNCTION("SPLIT(A3226,"" "")"),"Cc1cnc(CN(C)Cc2ccncc2CN2CCN(C)CCN(C)CC2)c(C)c1C")</f>
        <v>Cc1cnc(CN(C)Cc2ccncc2CN2CCN(C)CCN(C)CC2)c(C)c1C</v>
      </c>
      <c r="C3226" s="7">
        <f>IFERROR(__xludf.DUMMYFUNCTION("""COMPUTED_VALUE"""),7.802958)</f>
        <v>7.802958</v>
      </c>
      <c r="D3226" s="7">
        <f>IFERROR(__xludf.DUMMYFUNCTION("""COMPUTED_VALUE"""),0.436363636363636)</f>
        <v>0.4363636364</v>
      </c>
    </row>
    <row r="3227">
      <c r="A3227" s="10" t="s">
        <v>4666</v>
      </c>
      <c r="B3227" s="7" t="str">
        <f>IFERROR(__xludf.DUMMYFUNCTION("SPLIT(A3227,"" "")"),"Cc1cccc(CN(Cc2cccc(-c3ccc4c(c3)OCCOCCOCCOCCOCCO4)n2)C(C)N(CCN(C)Cc2cccc(-c3ccc4c(c3)OCCOCCOCCOCCOCCO4)n2)Cc2ccccn2)n1")</f>
        <v>Cc1cccc(CN(Cc2cccc(-c3ccc4c(c3)OCCOCCOCCOCCOCCO4)n2)C(C)N(CCN(C)Cc2cccc(-c3ccc4c(c3)OCCOCCOCCOCCOCCO4)n2)Cc2ccccn2)n1</v>
      </c>
      <c r="C3227" s="7">
        <f>IFERROR(__xludf.DUMMYFUNCTION("""COMPUTED_VALUE"""),7.8029437)</f>
        <v>7.8029437</v>
      </c>
      <c r="D3227" s="7">
        <f>IFERROR(__xludf.DUMMYFUNCTION("""COMPUTED_VALUE"""),0.402985074626865)</f>
        <v>0.4029850746</v>
      </c>
    </row>
    <row r="3228">
      <c r="A3228" s="10" t="s">
        <v>4667</v>
      </c>
      <c r="B3228" s="7" t="str">
        <f>IFERROR(__xludf.DUMMYFUNCTION("SPLIT(A3228,"" "")"),"CCCN(C)C1=CCC=C(CN(C)Cc2cccc(-c3ccc4c(c3)OCCOCCOCCOCCOCCO4)n2)N1")</f>
        <v>CCCN(C)C1=CCC=C(CN(C)Cc2cccc(-c3ccc4c(c3)OCCOCCOCCOCCOCCO4)n2)N1</v>
      </c>
      <c r="C3228" s="7">
        <f>IFERROR(__xludf.DUMMYFUNCTION("""COMPUTED_VALUE"""),7.8029394)</f>
        <v>7.8029394</v>
      </c>
      <c r="D3228" s="7">
        <f>IFERROR(__xludf.DUMMYFUNCTION("""COMPUTED_VALUE"""),0.304347826086956)</f>
        <v>0.3043478261</v>
      </c>
    </row>
    <row r="3229">
      <c r="A3229" s="10" t="s">
        <v>4668</v>
      </c>
      <c r="B3229" s="7" t="str">
        <f>IFERROR(__xludf.DUMMYFUNCTION("SPLIT(A3229,"" "")"),"CC(C)N(CC1=CC(N(O)Cc2cccc(-c3ccc4c(c3)OCCOCCOCCOCCOCCO4)n2)C=CN1)Cc1ccccn1")</f>
        <v>CC(C)N(CC1=CC(N(O)Cc2cccc(-c3ccc4c(c3)OCCOCCOCCOCCOCCO4)n2)C=CN1)Cc1ccccn1</v>
      </c>
      <c r="C3229" s="7">
        <f>IFERROR(__xludf.DUMMYFUNCTION("""COMPUTED_VALUE"""),7.802939)</f>
        <v>7.802939</v>
      </c>
      <c r="D3229" s="7">
        <f>IFERROR(__xludf.DUMMYFUNCTION("""COMPUTED_VALUE"""),0.345679012345679)</f>
        <v>0.3456790123</v>
      </c>
    </row>
    <row r="3230">
      <c r="A3230" s="10" t="s">
        <v>4669</v>
      </c>
      <c r="B3230" s="7" t="str">
        <f>IFERROR(__xludf.DUMMYFUNCTION("SPLIT(A3230,"" "")"),"Cc1cc(C)c(CN(C)C2CCC(N(C)Cc3cccnn3)CC2)nc1C")</f>
        <v>Cc1cc(C)c(CN(C)C2CCC(N(C)Cc3cccnn3)CC2)nc1C</v>
      </c>
      <c r="C3230" s="7">
        <f>IFERROR(__xludf.DUMMYFUNCTION("""COMPUTED_VALUE"""),7.8029323)</f>
        <v>7.8029323</v>
      </c>
      <c r="D3230" s="7">
        <f>IFERROR(__xludf.DUMMYFUNCTION("""COMPUTED_VALUE"""),0.425531914893617)</f>
        <v>0.4255319149</v>
      </c>
    </row>
    <row r="3231">
      <c r="A3231" s="10" t="s">
        <v>4670</v>
      </c>
      <c r="B3231" s="7" t="str">
        <f>IFERROR(__xludf.DUMMYFUNCTION("SPLIT(A3231,"" "")"),"CNC1CC(N(Cc2ccccn2)Cc2cccc(F)n2)CCC1N(C)Cc1ccccn1")</f>
        <v>CNC1CC(N(Cc2ccccn2)Cc2cccc(F)n2)CCC1N(C)Cc1ccccn1</v>
      </c>
      <c r="C3231" s="7">
        <f>IFERROR(__xludf.DUMMYFUNCTION("""COMPUTED_VALUE"""),7.8029056)</f>
        <v>7.8029056</v>
      </c>
      <c r="D3231" s="7">
        <f>IFERROR(__xludf.DUMMYFUNCTION("""COMPUTED_VALUE"""),0.472727272727272)</f>
        <v>0.4727272727</v>
      </c>
    </row>
    <row r="3232">
      <c r="A3232" s="10" t="s">
        <v>4671</v>
      </c>
      <c r="B3232" s="7" t="str">
        <f>IFERROR(__xludf.DUMMYFUNCTION("SPLIT(A3232,"" "")"),"CCOC(=O)c1ncccc1CN(Cc1ccccn1)C1CCCCC1")</f>
        <v>CCOC(=O)c1ncccc1CN(Cc1ccccn1)C1CCCCC1</v>
      </c>
      <c r="C3232" s="7">
        <f>IFERROR(__xludf.DUMMYFUNCTION("""COMPUTED_VALUE"""),7.8029027)</f>
        <v>7.8029027</v>
      </c>
      <c r="D3232" s="7">
        <f>IFERROR(__xludf.DUMMYFUNCTION("""COMPUTED_VALUE"""),0.410714285714285)</f>
        <v>0.4107142857</v>
      </c>
    </row>
    <row r="3233">
      <c r="A3233" s="10" t="s">
        <v>4672</v>
      </c>
      <c r="B3233" s="7" t="str">
        <f>IFERROR(__xludf.DUMMYFUNCTION("SPLIT(A3233,"" "")"),"Cc1cnc(CN(C)C2=C(CN3CCN(C)CCN(C)CC3)NC=CC2)c(C)c1C")</f>
        <v>Cc1cnc(CN(C)C2=C(CN3CCN(C)CCN(C)CC3)NC=CC2)c(C)c1C</v>
      </c>
      <c r="C3233" s="7">
        <f>IFERROR(__xludf.DUMMYFUNCTION("""COMPUTED_VALUE"""),7.802897)</f>
        <v>7.802897</v>
      </c>
      <c r="D3233" s="7">
        <f>IFERROR(__xludf.DUMMYFUNCTION("""COMPUTED_VALUE"""),0.413793103448275)</f>
        <v>0.4137931034</v>
      </c>
    </row>
    <row r="3234">
      <c r="A3234" s="10" t="s">
        <v>4673</v>
      </c>
      <c r="B3234" s="7" t="str">
        <f>IFERROR(__xludf.DUMMYFUNCTION("SPLIT(A3234,"" "")"),"CC(C)C1=C(N(C)c2ccc(CN3CCN(C)CCN(C)CC3)cn2)CC=CN1")</f>
        <v>CC(C)C1=C(N(C)c2ccc(CN3CCN(C)CCN(C)CC3)cn2)CC=CN1</v>
      </c>
      <c r="C3234" s="7">
        <f>IFERROR(__xludf.DUMMYFUNCTION("""COMPUTED_VALUE"""),7.802892)</f>
        <v>7.802892</v>
      </c>
      <c r="D3234" s="7">
        <f>IFERROR(__xludf.DUMMYFUNCTION("""COMPUTED_VALUE"""),0.344262295081967)</f>
        <v>0.3442622951</v>
      </c>
    </row>
    <row r="3235">
      <c r="A3235" s="10" t="s">
        <v>4674</v>
      </c>
      <c r="B3235" s="7" t="str">
        <f>IFERROR(__xludf.DUMMYFUNCTION("SPLIT(A3235,"" "")"),"CC(C)C(C)N(CC1=C(N(C)Cc2cccc(-c3ccc4c(c3)OCCOCCOCCOCCOCCO4)n2)CC=CN1)Cc1ccccn1")</f>
        <v>CC(C)C(C)N(CC1=C(N(C)Cc2cccc(-c3ccc4c(c3)OCCOCCOCCOCCOCCO4)n2)CC=CN1)Cc1ccccn1</v>
      </c>
      <c r="C3235" s="7">
        <f>IFERROR(__xludf.DUMMYFUNCTION("""COMPUTED_VALUE"""),7.8028913)</f>
        <v>7.8028913</v>
      </c>
      <c r="D3235" s="7">
        <f>IFERROR(__xludf.DUMMYFUNCTION("""COMPUTED_VALUE"""),0.345679012345679)</f>
        <v>0.3456790123</v>
      </c>
    </row>
    <row r="3236">
      <c r="A3236" s="10" t="s">
        <v>4675</v>
      </c>
      <c r="B3236" s="7" t="str">
        <f>IFERROR(__xludf.DUMMYFUNCTION("SPLIT(A3236,"" "")"),"CN(Cc1ncccc1-c1ccc2c(c1)OCCOCCOCCOCCOCCO2)C1CCCC(N(C)C2CCCC(N(C)c3cccc4ncc(CF)cc34)C2)C1")</f>
        <v>CN(Cc1ncccc1-c1ccc2c(c1)OCCOCCOCCOCCOCCO2)C1CCCC(N(C)C2CCCC(N(C)c3cccc4ncc(CF)cc34)C2)C1</v>
      </c>
      <c r="C3236" s="7">
        <f>IFERROR(__xludf.DUMMYFUNCTION("""COMPUTED_VALUE"""),7.802873)</f>
        <v>7.802873</v>
      </c>
      <c r="D3236" s="7">
        <f>IFERROR(__xludf.DUMMYFUNCTION("""COMPUTED_VALUE"""),0.296703296703296)</f>
        <v>0.2967032967</v>
      </c>
    </row>
    <row r="3237">
      <c r="A3237" s="10" t="s">
        <v>4676</v>
      </c>
      <c r="B3237" s="7" t="str">
        <f>IFERROR(__xludf.DUMMYFUNCTION("SPLIT(A3237,"" "")"),"CCC(C)C(C)N(C)Cc1cc(C(C)(C)C)ccn1")</f>
        <v>CCC(C)C(C)N(C)Cc1cc(C(C)(C)C)ccn1</v>
      </c>
      <c r="C3237" s="7">
        <f>IFERROR(__xludf.DUMMYFUNCTION("""COMPUTED_VALUE"""),7.8028593)</f>
        <v>7.8028593</v>
      </c>
      <c r="D3237" s="7">
        <f>IFERROR(__xludf.DUMMYFUNCTION("""COMPUTED_VALUE"""),0.285714285714285)</f>
        <v>0.2857142857</v>
      </c>
    </row>
    <row r="3238">
      <c r="A3238" s="10" t="s">
        <v>4677</v>
      </c>
      <c r="B3238" s="7" t="str">
        <f>IFERROR(__xludf.DUMMYFUNCTION("SPLIT(A3238,"" "")"),"C=CCN(C)CCN(C)Cc1ccc(C)nc1")</f>
        <v>C=CCN(C)CCN(C)Cc1ccc(C)nc1</v>
      </c>
      <c r="C3238" s="7">
        <f>IFERROR(__xludf.DUMMYFUNCTION("""COMPUTED_VALUE"""),7.8028593)</f>
        <v>7.8028593</v>
      </c>
      <c r="D3238" s="7">
        <f>IFERROR(__xludf.DUMMYFUNCTION("""COMPUTED_VALUE"""),0.38095238095238)</f>
        <v>0.380952381</v>
      </c>
    </row>
    <row r="3239">
      <c r="A3239" s="10" t="s">
        <v>4678</v>
      </c>
      <c r="B3239" s="7" t="str">
        <f>IFERROR(__xludf.DUMMYFUNCTION("SPLIT(A3239,"" "")"),"CNCc1cc(C)c(-c2cccc3c2OCCOCCOCCOCCOCCO3)c(C)n1")</f>
        <v>CNCc1cc(C)c(-c2cccc3c2OCCOCCOCCOCCOCCO3)c(C)n1</v>
      </c>
      <c r="C3239" s="7">
        <f>IFERROR(__xludf.DUMMYFUNCTION("""COMPUTED_VALUE"""),7.802854)</f>
        <v>7.802854</v>
      </c>
      <c r="D3239" s="7">
        <f>IFERROR(__xludf.DUMMYFUNCTION("""COMPUTED_VALUE"""),0.236111111111111)</f>
        <v>0.2361111111</v>
      </c>
    </row>
    <row r="3240">
      <c r="A3240" s="10" t="s">
        <v>4679</v>
      </c>
      <c r="B3240" s="7" t="str">
        <f>IFERROR(__xludf.DUMMYFUNCTION("SPLIT(A3240,"" "")"),"CNCC1CCC(N(C)Cc2ncccc2C)N1Cc1ccccn1")</f>
        <v>CNCC1CCC(N(C)Cc2ncccc2C)N1Cc1ccccn1</v>
      </c>
      <c r="C3240" s="7">
        <f>IFERROR(__xludf.DUMMYFUNCTION("""COMPUTED_VALUE"""),7.80285)</f>
        <v>7.80285</v>
      </c>
      <c r="D3240" s="7">
        <f>IFERROR(__xludf.DUMMYFUNCTION("""COMPUTED_VALUE"""),0.384615384615384)</f>
        <v>0.3846153846</v>
      </c>
    </row>
    <row r="3241">
      <c r="A3241" s="10" t="s">
        <v>4680</v>
      </c>
      <c r="B3241" s="7" t="str">
        <f>IFERROR(__xludf.DUMMYFUNCTION("SPLIT(A3241,"" "")"),"CNC1CCCCC1N(Cc1ncc(C)cc1C)Cc1nc(C)ccc1C")</f>
        <v>CNC1CCCCC1N(Cc1ncc(C)cc1C)Cc1nc(C)ccc1C</v>
      </c>
      <c r="C3241" s="7">
        <f>IFERROR(__xludf.DUMMYFUNCTION("""COMPUTED_VALUE"""),7.8028464)</f>
        <v>7.8028464</v>
      </c>
      <c r="D3241" s="7">
        <f>IFERROR(__xludf.DUMMYFUNCTION("""COMPUTED_VALUE"""),0.344827586206896)</f>
        <v>0.3448275862</v>
      </c>
    </row>
    <row r="3242">
      <c r="A3242" s="10" t="s">
        <v>4681</v>
      </c>
      <c r="B3242" s="7" t="str">
        <f>IFERROR(__xludf.DUMMYFUNCTION("SPLIT(A3242,"" "")"),"FCNCc1cccc(CN(Cc2ccccn2)Cc2cccc(-c3cccc4c3OCCOCCOCCOCCOCCO4)n2)n1")</f>
        <v>FCNCc1cccc(CN(Cc2ccccn2)Cc2cccc(-c3cccc4c3OCCOCCOCCOCCOCCO4)n2)n1</v>
      </c>
      <c r="C3242" s="7">
        <f>IFERROR(__xludf.DUMMYFUNCTION("""COMPUTED_VALUE"""),7.8028464)</f>
        <v>7.8028464</v>
      </c>
      <c r="D3242" s="7">
        <f>IFERROR(__xludf.DUMMYFUNCTION("""COMPUTED_VALUE"""),0.38095238095238)</f>
        <v>0.380952381</v>
      </c>
    </row>
    <row r="3243">
      <c r="A3243" s="10" t="s">
        <v>4682</v>
      </c>
      <c r="B3243" s="7" t="str">
        <f>IFERROR(__xludf.DUMMYFUNCTION("SPLIT(A3243,"" "")"),"Cc1cncc(CN(C)C2CCC(N(C)Cc3ccccn3)CC2N(Cc2ccccn2)C(C)C)c1")</f>
        <v>Cc1cncc(CN(C)C2CCC(N(C)Cc3ccccn3)CC2N(Cc2ccccn2)C(C)C)c1</v>
      </c>
      <c r="C3243" s="7">
        <f>IFERROR(__xludf.DUMMYFUNCTION("""COMPUTED_VALUE"""),7.802843)</f>
        <v>7.802843</v>
      </c>
      <c r="D3243" s="7">
        <f>IFERROR(__xludf.DUMMYFUNCTION("""COMPUTED_VALUE"""),0.46551724137931)</f>
        <v>0.4655172414</v>
      </c>
    </row>
    <row r="3244">
      <c r="A3244" s="10" t="s">
        <v>4683</v>
      </c>
      <c r="B3244" s="7" t="str">
        <f>IFERROR(__xludf.DUMMYFUNCTION("SPLIT(A3244,"" "")"),"FCNc1cccc(CN(Cc2cccc(-c3ccc4c(c3)OCCOCCOCCOCCOCCO4)n2)Cc2cccc(-c3ccc4c(c3)OCCOCCOCCOCCOCCO4)n2)n1")</f>
        <v>FCNc1cccc(CN(Cc2cccc(-c3ccc4c(c3)OCCOCCOCCOCCOCCO4)n2)Cc2cccc(-c3ccc4c(c3)OCCOCCOCCOCCOCCO4)n2)n1</v>
      </c>
      <c r="C3244" s="7">
        <f>IFERROR(__xludf.DUMMYFUNCTION("""COMPUTED_VALUE"""),7.80284)</f>
        <v>7.80284</v>
      </c>
      <c r="D3244" s="7">
        <f>IFERROR(__xludf.DUMMYFUNCTION("""COMPUTED_VALUE"""),0.353846153846153)</f>
        <v>0.3538461538</v>
      </c>
    </row>
    <row r="3245">
      <c r="A3245" s="10" t="s">
        <v>4684</v>
      </c>
      <c r="B3245" s="7" t="str">
        <f>IFERROR(__xludf.DUMMYFUNCTION("SPLIT(A3245,"" "")"),"Cc1cc(C)c(CN(CN2CCN(C)CCN(Cc3nc(C)c(C)c(C)c3C)CC2)C2CCCC(N(C)Cc3cc(C)c(C)c(C)n3)C2)nc1C")</f>
        <v>Cc1cc(C)c(CN(CN2CCN(C)CCN(Cc3nc(C)c(C)c(C)c3C)CC2)C2CCCC(N(C)Cc3cc(C)c(C)c(C)n3)C2)nc1C</v>
      </c>
      <c r="C3245" s="7">
        <f>IFERROR(__xludf.DUMMYFUNCTION("""COMPUTED_VALUE"""),7.8028297)</f>
        <v>7.8028297</v>
      </c>
      <c r="D3245" s="7">
        <f>IFERROR(__xludf.DUMMYFUNCTION("""COMPUTED_VALUE"""),0.297297297297297)</f>
        <v>0.2972972973</v>
      </c>
    </row>
    <row r="3246">
      <c r="A3246" s="10" t="s">
        <v>4685</v>
      </c>
      <c r="B3246" s="7" t="str">
        <f>IFERROR(__xludf.DUMMYFUNCTION("SPLIT(A3246,"" "")"),"Cc1cc(CN(C)C2CCCC(N(Cc3ccccn3)C(C)C)C2)nc(C)c1C")</f>
        <v>Cc1cc(CN(C)C2CCCC(N(Cc3ccccn3)C(C)C)C2)nc(C)c1C</v>
      </c>
      <c r="C3246" s="7">
        <f>IFERROR(__xludf.DUMMYFUNCTION("""COMPUTED_VALUE"""),7.802829)</f>
        <v>7.802829</v>
      </c>
      <c r="D3246" s="7">
        <f>IFERROR(__xludf.DUMMYFUNCTION("""COMPUTED_VALUE"""),0.454545454545454)</f>
        <v>0.4545454545</v>
      </c>
    </row>
    <row r="3247">
      <c r="A3247" s="10" t="s">
        <v>4686</v>
      </c>
      <c r="B3247" s="7" t="str">
        <f>IFERROR(__xludf.DUMMYFUNCTION("SPLIT(A3247,"" "")"),"Cc1ccc(CN(Cc2ccccn2)C2CCCC(N(C)Cc3ncccc3-c3ccc4c(c3)OCCOCCOCCOCCOCCO4)C2N(C)Cc2ccccn2)nc1")</f>
        <v>Cc1ccc(CN(Cc2ccccn2)C2CCCC(N(C)Cc3ncccc3-c3ccc4c(c3)OCCOCCOCCOCCOCCO4)C2N(C)Cc2ccccn2)nc1</v>
      </c>
      <c r="C3247" s="7">
        <f>IFERROR(__xludf.DUMMYFUNCTION("""COMPUTED_VALUE"""),7.8028173)</f>
        <v>7.8028173</v>
      </c>
      <c r="D3247" s="7">
        <f>IFERROR(__xludf.DUMMYFUNCTION("""COMPUTED_VALUE"""),0.402777777777777)</f>
        <v>0.4027777778</v>
      </c>
    </row>
    <row r="3248">
      <c r="A3248" s="10" t="s">
        <v>4687</v>
      </c>
      <c r="B3248" s="7" t="str">
        <f>IFERROR(__xludf.DUMMYFUNCTION("SPLIT(A3248,"" "")"),"CC1C=C(N(C)Cc2ccccn2)CCC1C")</f>
        <v>CC1C=C(N(C)Cc2ccccn2)CCC1C</v>
      </c>
      <c r="C3248" s="7">
        <f>IFERROR(__xludf.DUMMYFUNCTION("""COMPUTED_VALUE"""),7.802814)</f>
        <v>7.802814</v>
      </c>
      <c r="D3248" s="7">
        <f>IFERROR(__xludf.DUMMYFUNCTION("""COMPUTED_VALUE"""),0.488888888888888)</f>
        <v>0.4888888889</v>
      </c>
    </row>
    <row r="3249">
      <c r="A3249" s="10" t="s">
        <v>4688</v>
      </c>
      <c r="B3249" s="7" t="str">
        <f>IFERROR(__xludf.DUMMYFUNCTION("SPLIT(A3249,"" "")"),"Cc1cnc(CN(C)C2CCCC(N(C)Cc3cccc(F)n3)C2)c(C)c1C")</f>
        <v>Cc1cnc(CN(C)C2CCCC(N(C)Cc3cccc(F)n3)C2)c(C)c1C</v>
      </c>
      <c r="C3249" s="7">
        <f>IFERROR(__xludf.DUMMYFUNCTION("""COMPUTED_VALUE"""),7.8027945)</f>
        <v>7.8027945</v>
      </c>
      <c r="D3249" s="7">
        <f>IFERROR(__xludf.DUMMYFUNCTION("""COMPUTED_VALUE"""),0.4)</f>
        <v>0.4</v>
      </c>
    </row>
    <row r="3250">
      <c r="A3250" s="10" t="s">
        <v>4689</v>
      </c>
      <c r="B3250" s="7" t="str">
        <f>IFERROR(__xludf.DUMMYFUNCTION("SPLIT(A3250,"" "")"),"CC1=CCC(C)(C)CC12C=CNC(C(C)C)=C2")</f>
        <v>CC1=CCC(C)(C)CC12C=CNC(C(C)C)=C2</v>
      </c>
      <c r="C3250" s="7">
        <f>IFERROR(__xludf.DUMMYFUNCTION("""COMPUTED_VALUE"""),7.802792)</f>
        <v>7.802792</v>
      </c>
      <c r="D3250" s="7">
        <f>IFERROR(__xludf.DUMMYFUNCTION("""COMPUTED_VALUE"""),0.120689655172413)</f>
        <v>0.1206896552</v>
      </c>
    </row>
    <row r="3251">
      <c r="A3251" s="10" t="s">
        <v>4690</v>
      </c>
      <c r="B3251" s="7" t="str">
        <f>IFERROR(__xludf.DUMMYFUNCTION("SPLIT(A3251,"" "")"),"Cc1ccccc1CN(C)Cc1ncccc1-c1ccc2c(c1)OCCOCCOCCOCCOCCO2")</f>
        <v>Cc1ccccc1CN(C)Cc1ncccc1-c1ccc2c(c1)OCCOCCOCCOCCOCCO2</v>
      </c>
      <c r="C3251" s="7">
        <f>IFERROR(__xludf.DUMMYFUNCTION("""COMPUTED_VALUE"""),7.80279)</f>
        <v>7.80279</v>
      </c>
      <c r="D3251" s="7">
        <f>IFERROR(__xludf.DUMMYFUNCTION("""COMPUTED_VALUE"""),0.323943661971831)</f>
        <v>0.323943662</v>
      </c>
    </row>
    <row r="3252">
      <c r="A3252" s="10" t="s">
        <v>4691</v>
      </c>
      <c r="B3252" s="7" t="str">
        <f>IFERROR(__xludf.DUMMYFUNCTION("SPLIT(A3252,"" "")"),"CCN(CC1=CC(N(C)Cc2ccccn2)C=CN1)CC(C)(C)C")</f>
        <v>CCN(CC1=CC(N(C)Cc2ccccn2)C=CN1)CC(C)(C)C</v>
      </c>
      <c r="C3252" s="7">
        <f>IFERROR(__xludf.DUMMYFUNCTION("""COMPUTED_VALUE"""),7.8027883)</f>
        <v>7.8027883</v>
      </c>
      <c r="D3252" s="7">
        <f>IFERROR(__xludf.DUMMYFUNCTION("""COMPUTED_VALUE"""),0.48076923076923)</f>
        <v>0.4807692308</v>
      </c>
    </row>
    <row r="3253">
      <c r="A3253" s="10" t="s">
        <v>4692</v>
      </c>
      <c r="B3253" s="7" t="str">
        <f>IFERROR(__xludf.DUMMYFUNCTION("SPLIT(A3253,"" "")"),"CNCc1cc(CN(C)C2CCCC(N(C)Cc3ncc(C)c(C)c3C)C2)ccn1")</f>
        <v>CNCc1cc(CN(C)C2CCCC(N(C)Cc3ncc(C)c(C)c3C)C2)ccn1</v>
      </c>
      <c r="C3253" s="7">
        <f>IFERROR(__xludf.DUMMYFUNCTION("""COMPUTED_VALUE"""),7.802777)</f>
        <v>7.802777</v>
      </c>
      <c r="D3253" s="7">
        <f>IFERROR(__xludf.DUMMYFUNCTION("""COMPUTED_VALUE"""),0.316666666666666)</f>
        <v>0.3166666667</v>
      </c>
    </row>
    <row r="3254">
      <c r="A3254" s="10" t="s">
        <v>4693</v>
      </c>
      <c r="B3254" s="7" t="str">
        <f>IFERROR(__xludf.DUMMYFUNCTION("SPLIT(A3254,"" "")"),"CN(Cc1cccc(-c2cccc3c2OCCOCCOCCOCCOCCO3)n1)C1=CNC=CC1")</f>
        <v>CN(Cc1cccc(-c2cccc3c2OCCOCCOCCOCCOCCO3)n1)C1=CNC=CC1</v>
      </c>
      <c r="C3254" s="7">
        <f>IFERROR(__xludf.DUMMYFUNCTION("""COMPUTED_VALUE"""),7.8027644)</f>
        <v>7.8027644</v>
      </c>
      <c r="D3254" s="7">
        <f>IFERROR(__xludf.DUMMYFUNCTION("""COMPUTED_VALUE"""),0.272727272727272)</f>
        <v>0.2727272727</v>
      </c>
    </row>
    <row r="3255">
      <c r="A3255" s="10" t="s">
        <v>4694</v>
      </c>
      <c r="B3255" s="7" t="str">
        <f>IFERROR(__xludf.DUMMYFUNCTION("SPLIT(A3255,"" "")"),"CNCCN(C)Cc1ccc(C)nc1")</f>
        <v>CNCCN(C)Cc1ccc(C)nc1</v>
      </c>
      <c r="C3255" s="7">
        <f>IFERROR(__xludf.DUMMYFUNCTION("""COMPUTED_VALUE"""),7.802751)</f>
        <v>7.802751</v>
      </c>
      <c r="D3255" s="7">
        <f>IFERROR(__xludf.DUMMYFUNCTION("""COMPUTED_VALUE"""),0.365853658536585)</f>
        <v>0.3658536585</v>
      </c>
    </row>
    <row r="3256">
      <c r="A3256" s="10" t="s">
        <v>4695</v>
      </c>
      <c r="B3256" s="7" t="str">
        <f>IFERROR(__xludf.DUMMYFUNCTION("SPLIT(A3256,"" "")"),"CN(CC1=CC(N(C)Cc2ccccn2)C=CN1)Cc1cccc(-c2cccc3c2OCCOCCOCCOCCOCCO3)n1")</f>
        <v>CN(CC1=CC(N(C)Cc2ccccn2)C=CN1)Cc1cccc(-c2cccc3c2OCCOCCOCCOCCOCCO3)n1</v>
      </c>
      <c r="C3256" s="7">
        <f>IFERROR(__xludf.DUMMYFUNCTION("""COMPUTED_VALUE"""),7.8027396)</f>
        <v>7.8027396</v>
      </c>
      <c r="D3256" s="7">
        <f>IFERROR(__xludf.DUMMYFUNCTION("""COMPUTED_VALUE"""),0.411764705882352)</f>
        <v>0.4117647059</v>
      </c>
    </row>
    <row r="3257">
      <c r="A3257" s="10" t="s">
        <v>4696</v>
      </c>
      <c r="B3257" s="7" t="str">
        <f>IFERROR(__xludf.DUMMYFUNCTION("SPLIT(A3257,"" "")"),"CN(Cc1cccnn1)Cc1ncccc1-c1cccc2c1OCCOCCOCCOCCOCCO2")</f>
        <v>CN(Cc1cccnn1)Cc1ncccc1-c1cccc2c1OCCOCCOCCOCCOCCO2</v>
      </c>
      <c r="C3257" s="7">
        <f>IFERROR(__xludf.DUMMYFUNCTION("""COMPUTED_VALUE"""),7.8027363)</f>
        <v>7.8027363</v>
      </c>
      <c r="D3257" s="7">
        <f>IFERROR(__xludf.DUMMYFUNCTION("""COMPUTED_VALUE"""),0.423076923076923)</f>
        <v>0.4230769231</v>
      </c>
    </row>
    <row r="3258">
      <c r="A3258" s="10" t="s">
        <v>4697</v>
      </c>
      <c r="B3258" s="7" t="str">
        <f>IFERROR(__xludf.DUMMYFUNCTION("SPLIT(A3258,"" "")"),"CNCc1ncccc1CN(C)C1CCCC(N(C)Cc2ncc(C)c(C)c2C)C1")</f>
        <v>CNCc1ncccc1CN(C)C1CCCC(N(C)Cc2ncc(C)c(C)c2C)C1</v>
      </c>
      <c r="C3258" s="7">
        <f>IFERROR(__xludf.DUMMYFUNCTION("""COMPUTED_VALUE"""),7.802736)</f>
        <v>7.802736</v>
      </c>
      <c r="D3258" s="7">
        <f>IFERROR(__xludf.DUMMYFUNCTION("""COMPUTED_VALUE"""),0.316666666666666)</f>
        <v>0.3166666667</v>
      </c>
    </row>
    <row r="3259">
      <c r="A3259" s="10" t="s">
        <v>4698</v>
      </c>
      <c r="B3259" s="7" t="str">
        <f>IFERROR(__xludf.DUMMYFUNCTION("SPLIT(A3259,"" "")"),"CN(CC1=CC(N(C)Cc2cccc(-c3cccc4c3OCCOCCOCCOCCOCCO4)n2)C=CN1)Cc1ccccn1")</f>
        <v>CN(CC1=CC(N(C)Cc2cccc(-c3cccc4c3OCCOCCOCCOCCOCCO4)n2)C=CN1)Cc1ccccn1</v>
      </c>
      <c r="C3259" s="7">
        <f>IFERROR(__xludf.DUMMYFUNCTION("""COMPUTED_VALUE"""),7.8027325)</f>
        <v>7.8027325</v>
      </c>
      <c r="D3259" s="7">
        <f>IFERROR(__xludf.DUMMYFUNCTION("""COMPUTED_VALUE"""),0.411764705882352)</f>
        <v>0.4117647059</v>
      </c>
    </row>
    <row r="3260">
      <c r="A3260" s="10" t="s">
        <v>4699</v>
      </c>
      <c r="B3260" s="7" t="str">
        <f>IFERROR(__xludf.DUMMYFUNCTION("SPLIT(A3260,"" "")"),"CCN(Cc1ccccn1)C1CCC(N(C)Cc2nc(C)c(C)c(C)c2C)CC1")</f>
        <v>CCN(Cc1ccccn1)C1CCC(N(C)Cc2nc(C)c(C)c(C)c2C)CC1</v>
      </c>
      <c r="C3260" s="7">
        <f>IFERROR(__xludf.DUMMYFUNCTION("""COMPUTED_VALUE"""),7.8027306)</f>
        <v>7.8027306</v>
      </c>
      <c r="D3260" s="7">
        <f>IFERROR(__xludf.DUMMYFUNCTION("""COMPUTED_VALUE"""),0.433962264150943)</f>
        <v>0.4339622642</v>
      </c>
    </row>
    <row r="3261">
      <c r="A3261" s="10" t="s">
        <v>4700</v>
      </c>
      <c r="B3261" s="7" t="str">
        <f>IFERROR(__xludf.DUMMYFUNCTION("SPLIT(A3261,"" "")"),"Cc1ccc(CN(CN2CCN(C)CCN(Cc3cc(N)ccn3)CC2)C2=CNC(C(C)N)=CC2)nc1C")</f>
        <v>Cc1ccc(CN(CN2CCN(C)CCN(Cc3cc(N)ccn3)CC2)C2=CNC(C(C)N)=CC2)nc1C</v>
      </c>
      <c r="C3261" s="7">
        <f>IFERROR(__xludf.DUMMYFUNCTION("""COMPUTED_VALUE"""),7.802727)</f>
        <v>7.802727</v>
      </c>
      <c r="D3261" s="7">
        <f>IFERROR(__xludf.DUMMYFUNCTION("""COMPUTED_VALUE"""),0.371428571428571)</f>
        <v>0.3714285714</v>
      </c>
    </row>
    <row r="3262">
      <c r="A3262" s="10" t="s">
        <v>4701</v>
      </c>
      <c r="B3262" s="7" t="str">
        <f>IFERROR(__xludf.DUMMYFUNCTION("SPLIT(A3262,"" "")"),"CNCc1cccc(CN(C)Cc2cccc(-c3cccc4c3OCCOCCOCCOCCOCCO4)n2)n1")</f>
        <v>CNCc1cccc(CN(C)Cc2cccc(-c3cccc4c3OCCOCCOCCOCCOCCO4)n2)n1</v>
      </c>
      <c r="C3262" s="7">
        <f>IFERROR(__xludf.DUMMYFUNCTION("""COMPUTED_VALUE"""),7.80272)</f>
        <v>7.80272</v>
      </c>
      <c r="D3262" s="7">
        <f>IFERROR(__xludf.DUMMYFUNCTION("""COMPUTED_VALUE"""),0.362068965517241)</f>
        <v>0.3620689655</v>
      </c>
    </row>
    <row r="3263">
      <c r="A3263" s="10" t="s">
        <v>4702</v>
      </c>
      <c r="B3263" s="7" t="str">
        <f>IFERROR(__xludf.DUMMYFUNCTION("SPLIT(A3263,"" "")"),"Fc1cccc(CN(Cc2ccccn2)C2CCCC(N(Cc3ccccn3)Cc3cccc(-c4cccc5c4OCCOCCOCCOCCOCCO5)n3)C2)n1")</f>
        <v>Fc1cccc(CN(Cc2ccccn2)C2CCCC(N(Cc3ccccn3)Cc3cccc(-c4cccc5c4OCCOCCOCCOCCOCCO5)n3)C2)n1</v>
      </c>
      <c r="C3263" s="7">
        <f>IFERROR(__xludf.DUMMYFUNCTION("""COMPUTED_VALUE"""),7.802719)</f>
        <v>7.802719</v>
      </c>
      <c r="D3263" s="7">
        <f>IFERROR(__xludf.DUMMYFUNCTION("""COMPUTED_VALUE"""),0.369230769230769)</f>
        <v>0.3692307692</v>
      </c>
    </row>
    <row r="3264">
      <c r="A3264" s="10" t="s">
        <v>4703</v>
      </c>
      <c r="B3264" s="7" t="str">
        <f>IFERROR(__xludf.DUMMYFUNCTION("SPLIT(A3264,"" "")"),"Cc1ccnc(CN(Cc2ccncc2C(C)(C)N2CCN(C)CCN(C)CC2)C2CCC(N(C)Cc3nc(C)c(C)c(C)c3C)CC2)c1")</f>
        <v>Cc1ccnc(CN(Cc2ccncc2C(C)(C)N2CCN(C)CCN(C)CC2)C2CCC(N(C)Cc3nc(C)c(C)c(C)c3C)CC2)c1</v>
      </c>
      <c r="C3264" s="7">
        <f>IFERROR(__xludf.DUMMYFUNCTION("""COMPUTED_VALUE"""),7.802715)</f>
        <v>7.802715</v>
      </c>
      <c r="D3264" s="7">
        <f>IFERROR(__xludf.DUMMYFUNCTION("""COMPUTED_VALUE"""),0.324324324324324)</f>
        <v>0.3243243243</v>
      </c>
    </row>
    <row r="3265">
      <c r="A3265" s="10" t="s">
        <v>4704</v>
      </c>
      <c r="B3265" s="7" t="str">
        <f>IFERROR(__xludf.DUMMYFUNCTION("SPLIT(A3265,"" "")"),"CNCc1cccc(C(C)C(C)C)n1")</f>
        <v>CNCc1cccc(C(C)C(C)C)n1</v>
      </c>
      <c r="C3265" s="7">
        <f>IFERROR(__xludf.DUMMYFUNCTION("""COMPUTED_VALUE"""),7.802707)</f>
        <v>7.802707</v>
      </c>
      <c r="D3265" s="7">
        <f>IFERROR(__xludf.DUMMYFUNCTION("""COMPUTED_VALUE"""),0.3)</f>
        <v>0.3</v>
      </c>
    </row>
    <row r="3266">
      <c r="A3266" s="10" t="s">
        <v>4705</v>
      </c>
      <c r="B3266" s="7" t="str">
        <f>IFERROR(__xludf.DUMMYFUNCTION("SPLIT(A3266,"" "")"),"CNCNCc1cccc(C)n1")</f>
        <v>CNCNCc1cccc(C)n1</v>
      </c>
      <c r="C3266" s="7">
        <f>IFERROR(__xludf.DUMMYFUNCTION("""COMPUTED_VALUE"""),7.8027062)</f>
        <v>7.8027062</v>
      </c>
      <c r="D3266" s="7">
        <f>IFERROR(__xludf.DUMMYFUNCTION("""COMPUTED_VALUE"""),0.457142857142857)</f>
        <v>0.4571428571</v>
      </c>
    </row>
    <row r="3267">
      <c r="A3267" s="10" t="s">
        <v>4706</v>
      </c>
      <c r="B3267" s="7" t="str">
        <f>IFERROR(__xludf.DUMMYFUNCTION("SPLIT(A3267,"" "")"),"CC(C)N(C)CCN(C)CCN(C)C")</f>
        <v>CC(C)N(C)CCN(C)CCN(C)C</v>
      </c>
      <c r="C3267" s="7">
        <f>IFERROR(__xludf.DUMMYFUNCTION("""COMPUTED_VALUE"""),7.8026924)</f>
        <v>7.8026924</v>
      </c>
      <c r="D3267" s="7">
        <f>IFERROR(__xludf.DUMMYFUNCTION("""COMPUTED_VALUE"""),0.216216216216216)</f>
        <v>0.2162162162</v>
      </c>
    </row>
    <row r="3268">
      <c r="A3268" s="10" t="s">
        <v>4707</v>
      </c>
      <c r="B3268" s="7" t="str">
        <f>IFERROR(__xludf.DUMMYFUNCTION("SPLIT(A3268,"" "")"),"CCOC(=O)c1cccc(CN(Cc2ccccn2)C2CCC(N(C)Cc3cccc(-c4cccc5c4OCCOCCOCCOCCOCCO5)n3)CC2)n1")</f>
        <v>CCOC(=O)c1cccc(CN(Cc2ccccn2)C2CCC(N(C)Cc3cccc(-c4cccc5c4OCCOCCOCCOCCOCCO5)n3)CC2)n1</v>
      </c>
      <c r="C3268" s="7">
        <f>IFERROR(__xludf.DUMMYFUNCTION("""COMPUTED_VALUE"""),7.8026905)</f>
        <v>7.8026905</v>
      </c>
      <c r="D3268" s="7">
        <f>IFERROR(__xludf.DUMMYFUNCTION("""COMPUTED_VALUE"""),0.324675324675324)</f>
        <v>0.3246753247</v>
      </c>
    </row>
    <row r="3269">
      <c r="A3269" s="10" t="s">
        <v>4708</v>
      </c>
      <c r="B3269" s="7" t="str">
        <f>IFERROR(__xludf.DUMMYFUNCTION("SPLIT(A3269,"" "")"),"CNCc1cccc(CN(Cc2ccccn2)C2CCC(N(C)Cc3ncccc3CF)CC2)n1")</f>
        <v>CNCc1cccc(CN(Cc2ccccn2)C2CCC(N(C)Cc3ncccc3CF)CC2)n1</v>
      </c>
      <c r="C3269" s="7">
        <f>IFERROR(__xludf.DUMMYFUNCTION("""COMPUTED_VALUE"""),7.8026905)</f>
        <v>7.8026905</v>
      </c>
      <c r="D3269" s="7">
        <f>IFERROR(__xludf.DUMMYFUNCTION("""COMPUTED_VALUE"""),0.377049180327868)</f>
        <v>0.3770491803</v>
      </c>
    </row>
    <row r="3270">
      <c r="A3270" s="10" t="s">
        <v>4709</v>
      </c>
      <c r="B3270" s="7" t="str">
        <f>IFERROR(__xludf.DUMMYFUNCTION("SPLIT(A3270,"" "")"),"Cc1cc(C)c(CN(C)C2CCC(N(C)Cc3ccon3)CC2)cn1")</f>
        <v>Cc1cc(C)c(CN(C)C2CCC(N(C)Cc3ccon3)CC2)cn1</v>
      </c>
      <c r="C3270" s="7">
        <f>IFERROR(__xludf.DUMMYFUNCTION("""COMPUTED_VALUE"""),7.802681)</f>
        <v>7.802681</v>
      </c>
      <c r="D3270" s="7">
        <f>IFERROR(__xludf.DUMMYFUNCTION("""COMPUTED_VALUE"""),0.404255319148936)</f>
        <v>0.4042553191</v>
      </c>
    </row>
    <row r="3271">
      <c r="A3271" s="10" t="s">
        <v>4710</v>
      </c>
      <c r="B3271" s="7" t="str">
        <f>IFERROR(__xludf.DUMMYFUNCTION("SPLIT(A3271,"" "")"),"C1=CNC(N(Cc2ccccn2)Cc2ncccc2-c2ccc3c(c2)OCCOCCOCCOCCOCCO3)C=C1")</f>
        <v>C1=CNC(N(Cc2ccccn2)Cc2ncccc2-c2ccc3c(c2)OCCOCCOCCOCCOCCO3)C=C1</v>
      </c>
      <c r="C3271" s="7">
        <f>IFERROR(__xludf.DUMMYFUNCTION("""COMPUTED_VALUE"""),7.802677)</f>
        <v>7.802677</v>
      </c>
      <c r="D3271" s="7">
        <f>IFERROR(__xludf.DUMMYFUNCTION("""COMPUTED_VALUE"""),0.38235294117647)</f>
        <v>0.3823529412</v>
      </c>
    </row>
    <row r="3272">
      <c r="A3272" s="10" t="s">
        <v>4711</v>
      </c>
      <c r="B3272" s="7" t="str">
        <f>IFERROR(__xludf.DUMMYFUNCTION("SPLIT(A3272,"" "")"),"CN(Cc1ccc(-c2ccc3c(c2)OCCOCCOCCOCCOCCO3)cn1)C1CCCCC1N(C)Cc1cccc(-c2ccccc2)n1")</f>
        <v>CN(Cc1ccc(-c2ccc3c(c2)OCCOCCOCCOCCOCCO3)cn1)C1CCCCC1N(C)Cc1cccc(-c2ccccc2)n1</v>
      </c>
      <c r="C3272" s="7">
        <f>IFERROR(__xludf.DUMMYFUNCTION("""COMPUTED_VALUE"""),7.802665)</f>
        <v>7.802665</v>
      </c>
      <c r="D3272" s="7">
        <f>IFERROR(__xludf.DUMMYFUNCTION("""COMPUTED_VALUE"""),0.478260869565217)</f>
        <v>0.4782608696</v>
      </c>
    </row>
    <row r="3273">
      <c r="A3273" s="10" t="s">
        <v>4712</v>
      </c>
      <c r="B3273" s="7" t="str">
        <f>IFERROR(__xludf.DUMMYFUNCTION("SPLIT(A3273,"" "")"),"CC(C)NCc1cccc(CN(Cc2cccc(-c3ccc4c(c3)OCCOCCOCCOCCOCCO4)n2)Cc2cccc(-c3ccc4c(c3)OCCOCCOCCOCCOCCO4)n2)n1")</f>
        <v>CC(C)NCc1cccc(CN(Cc2cccc(-c3ccc4c(c3)OCCOCCOCCOCCOCCO4)n2)Cc2cccc(-c3ccc4c(c3)OCCOCCOCCOCCOCCO4)n2)n1</v>
      </c>
      <c r="C3273" s="7">
        <f>IFERROR(__xludf.DUMMYFUNCTION("""COMPUTED_VALUE"""),7.802665)</f>
        <v>7.802665</v>
      </c>
      <c r="D3273" s="7">
        <f>IFERROR(__xludf.DUMMYFUNCTION("""COMPUTED_VALUE"""),0.363636363636363)</f>
        <v>0.3636363636</v>
      </c>
    </row>
    <row r="3274">
      <c r="A3274" s="10" t="s">
        <v>4713</v>
      </c>
      <c r="B3274" s="7" t="str">
        <f>IFERROR(__xludf.DUMMYFUNCTION("SPLIT(A3274,"" "")"),"CN(Cc1ccccn1)Cc1ncccc1-c1ccc2c(c1)OCCOCCOCCOCCOCCO2")</f>
        <v>CN(Cc1ccccn1)Cc1ncccc1-c1ccc2c(c1)OCCOCCOCCOCCOCCO2</v>
      </c>
      <c r="C3274" s="7">
        <f>IFERROR(__xludf.DUMMYFUNCTION("""COMPUTED_VALUE"""),7.802662)</f>
        <v>7.802662</v>
      </c>
      <c r="D3274" s="7">
        <f>IFERROR(__xludf.DUMMYFUNCTION("""COMPUTED_VALUE"""),0.385964912280701)</f>
        <v>0.3859649123</v>
      </c>
    </row>
    <row r="3275">
      <c r="A3275" s="10" t="s">
        <v>4714</v>
      </c>
      <c r="B3275" s="7" t="str">
        <f>IFERROR(__xludf.DUMMYFUNCTION("SPLIT(A3275,"" "")"),"CNCc1cccc(CN(Cc2ccccn2)C2CCC(N(C)Cc3cccc(CF)n3)CC2)n1")</f>
        <v>CNCc1cccc(CN(Cc2ccccn2)C2CCC(N(C)Cc3cccc(CF)n3)CC2)n1</v>
      </c>
      <c r="C3275" s="7">
        <f>IFERROR(__xludf.DUMMYFUNCTION("""COMPUTED_VALUE"""),7.802661)</f>
        <v>7.802661</v>
      </c>
      <c r="D3275" s="7">
        <f>IFERROR(__xludf.DUMMYFUNCTION("""COMPUTED_VALUE"""),0.444444444444444)</f>
        <v>0.4444444444</v>
      </c>
    </row>
    <row r="3276">
      <c r="A3276" s="10" t="s">
        <v>4715</v>
      </c>
      <c r="B3276" s="7" t="str">
        <f>IFERROR(__xludf.DUMMYFUNCTION("SPLIT(A3276,"" "")"),"Cc1cncc(CN(C)C2CCCC(N(C)CCN(C)Cc3nc(C)c(C)c(C)c3C)C2)c1")</f>
        <v>Cc1cncc(CN(C)C2CCCC(N(C)CCN(C)Cc3nc(C)c(C)c(C)c3C)C2)c1</v>
      </c>
      <c r="C3276" s="7">
        <f>IFERROR(__xludf.DUMMYFUNCTION("""COMPUTED_VALUE"""),7.8026466)</f>
        <v>7.8026466</v>
      </c>
      <c r="D3276" s="7">
        <f>IFERROR(__xludf.DUMMYFUNCTION("""COMPUTED_VALUE"""),0.254237288135593)</f>
        <v>0.2542372881</v>
      </c>
    </row>
    <row r="3277">
      <c r="A3277" s="10" t="s">
        <v>4716</v>
      </c>
      <c r="B3277" s="7" t="str">
        <f>IFERROR(__xludf.DUMMYFUNCTION("SPLIT(A3277,"" "")"),"CN1CCN(CCCN(C)c2ccc3cccnc3c2)CCN(C)C(F)C1")</f>
        <v>CN1CCN(CCCN(C)c2ccc3cccnc3c2)CCN(C)C(F)C1</v>
      </c>
      <c r="C3277" s="7">
        <f>IFERROR(__xludf.DUMMYFUNCTION("""COMPUTED_VALUE"""),7.8026395)</f>
        <v>7.8026395</v>
      </c>
      <c r="D3277" s="7">
        <f>IFERROR(__xludf.DUMMYFUNCTION("""COMPUTED_VALUE"""),0.306451612903225)</f>
        <v>0.3064516129</v>
      </c>
    </row>
    <row r="3278">
      <c r="A3278" s="10" t="s">
        <v>4717</v>
      </c>
      <c r="B3278" s="7" t="str">
        <f>IFERROR(__xludf.DUMMYFUNCTION("SPLIT(A3278,"" "")"),"Cc1cccnc1CN(C)C1CCC(N(Cc2cccnc2)Cc2ccccn2)CC1")</f>
        <v>Cc1cccnc1CN(C)C1CCC(N(Cc2cccnc2)Cc2ccccn2)CC1</v>
      </c>
      <c r="C3278" s="7">
        <f>IFERROR(__xludf.DUMMYFUNCTION("""COMPUTED_VALUE"""),7.8026385)</f>
        <v>7.8026385</v>
      </c>
      <c r="D3278" s="7">
        <f>IFERROR(__xludf.DUMMYFUNCTION("""COMPUTED_VALUE"""),0.410714285714285)</f>
        <v>0.4107142857</v>
      </c>
    </row>
    <row r="3279">
      <c r="A3279" s="10" t="s">
        <v>4718</v>
      </c>
      <c r="B3279" s="7" t="str">
        <f>IFERROR(__xludf.DUMMYFUNCTION("SPLIT(A3279,"" "")"),"Cc1ccc(CN(C)Cc2cc(-c3ccc4c(c3)OCCOCCOCCOCCOCCO4)ccn2)cc1")</f>
        <v>Cc1ccc(CN(C)Cc2cc(-c3ccc4c(c3)OCCOCCOCCOCCOCCO4)ccn2)cc1</v>
      </c>
      <c r="C3279" s="7">
        <f>IFERROR(__xludf.DUMMYFUNCTION("""COMPUTED_VALUE"""),7.802633)</f>
        <v>7.802633</v>
      </c>
      <c r="D3279" s="7">
        <f>IFERROR(__xludf.DUMMYFUNCTION("""COMPUTED_VALUE"""),0.384615384615384)</f>
        <v>0.3846153846</v>
      </c>
    </row>
    <row r="3280">
      <c r="A3280" s="10" t="s">
        <v>4719</v>
      </c>
      <c r="B3280" s="7" t="str">
        <f>IFERROR(__xludf.DUMMYFUNCTION("SPLIT(A3280,"" "")"),"COC(=O)C(C)NCc1ccc(C(=O)C(C)N2CCN(C)CCN(C(C)c3ccccn3)CC2)c(C)n1")</f>
        <v>COC(=O)C(C)NCc1ccc(C(=O)C(C)N2CCN(C)CCN(C(C)c3ccccn3)CC2)c(C)n1</v>
      </c>
      <c r="C3280" s="7">
        <f>IFERROR(__xludf.DUMMYFUNCTION("""COMPUTED_VALUE"""),7.8026304)</f>
        <v>7.8026304</v>
      </c>
      <c r="D3280" s="7">
        <f>IFERROR(__xludf.DUMMYFUNCTION("""COMPUTED_VALUE"""),0.289855072463768)</f>
        <v>0.2898550725</v>
      </c>
    </row>
    <row r="3281">
      <c r="A3281" s="10" t="s">
        <v>4720</v>
      </c>
      <c r="B3281" s="7" t="str">
        <f>IFERROR(__xludf.DUMMYFUNCTION("SPLIT(A3281,"" "")"),"CC(NCc1ccccn1)c1cccnc1CNCNCF")</f>
        <v>CC(NCc1ccccn1)c1cccnc1CNCNCF</v>
      </c>
      <c r="C3281" s="7">
        <f>IFERROR(__xludf.DUMMYFUNCTION("""COMPUTED_VALUE"""),7.8026257)</f>
        <v>7.8026257</v>
      </c>
      <c r="D3281" s="7">
        <f>IFERROR(__xludf.DUMMYFUNCTION("""COMPUTED_VALUE"""),0.391304347826087)</f>
        <v>0.3913043478</v>
      </c>
    </row>
    <row r="3282">
      <c r="A3282" s="10" t="s">
        <v>4721</v>
      </c>
      <c r="B3282" s="7" t="str">
        <f>IFERROR(__xludf.DUMMYFUNCTION("SPLIT(A3282,"" "")"),"FCN(Cc1ccccn1)C1CCCCC1N(Cc1ccccn1)c1ccccc1F")</f>
        <v>FCN(Cc1ccccn1)C1CCCCC1N(Cc1ccccn1)c1ccccc1F</v>
      </c>
      <c r="C3282" s="7">
        <f>IFERROR(__xludf.DUMMYFUNCTION("""COMPUTED_VALUE"""),7.8026247)</f>
        <v>7.8026247</v>
      </c>
      <c r="D3282" s="7">
        <f>IFERROR(__xludf.DUMMYFUNCTION("""COMPUTED_VALUE"""),0.489795918367346)</f>
        <v>0.4897959184</v>
      </c>
    </row>
    <row r="3283">
      <c r="A3283" s="10" t="s">
        <v>4722</v>
      </c>
      <c r="B3283" s="7" t="str">
        <f>IFERROR(__xludf.DUMMYFUNCTION("SPLIT(A3283,"" "")"),"CCN(Cc1cc(C)ccn1)C1CCCCC1N(C)Cc1nc(C)c(C)c(C)c1C")</f>
        <v>CCN(Cc1cc(C)ccn1)C1CCCCC1N(C)Cc1nc(C)c(C)c(C)c1C</v>
      </c>
      <c r="C3283" s="7">
        <f>IFERROR(__xludf.DUMMYFUNCTION("""COMPUTED_VALUE"""),7.8026247)</f>
        <v>7.8026247</v>
      </c>
      <c r="D3283" s="7">
        <f>IFERROR(__xludf.DUMMYFUNCTION("""COMPUTED_VALUE"""),0.410714285714285)</f>
        <v>0.4107142857</v>
      </c>
    </row>
    <row r="3284">
      <c r="A3284" s="10" t="s">
        <v>4723</v>
      </c>
      <c r="B3284" s="7" t="str">
        <f>IFERROR(__xludf.DUMMYFUNCTION("SPLIT(A3284,"" "")"),"CNCc1ncccc1CN(C)C1CCC(N(C)Cc2nc(C)cc(C)c2C)CC1")</f>
        <v>CNCc1ncccc1CN(C)C1CCC(N(C)Cc2nc(C)cc(C)c2C)CC1</v>
      </c>
      <c r="C3284" s="7">
        <f>IFERROR(__xludf.DUMMYFUNCTION("""COMPUTED_VALUE"""),7.8026147)</f>
        <v>7.8026147</v>
      </c>
      <c r="D3284" s="7">
        <f>IFERROR(__xludf.DUMMYFUNCTION("""COMPUTED_VALUE"""),0.283333333333333)</f>
        <v>0.2833333333</v>
      </c>
    </row>
    <row r="3285">
      <c r="A3285" s="10" t="s">
        <v>4724</v>
      </c>
      <c r="B3285" s="7" t="str">
        <f>IFERROR(__xludf.DUMMYFUNCTION("SPLIT(A3285,"" "")"),"CC(C)C1=CC2(C=CN1)C=CC(C)(C)C(c1cccc(CN(Cc3ccccn3)C3CCCCC3)n1)C2c1cccc(CN(Cc2ccccn2)C2CCCCC2)n1")</f>
        <v>CC(C)C1=CC2(C=CN1)C=CC(C)(C)C(c1cccc(CN(Cc3ccccn3)C3CCCCC3)n1)C2c1cccc(CN(Cc2ccccn2)C2CCCCC2)n1</v>
      </c>
      <c r="C3285" s="7">
        <f>IFERROR(__xludf.DUMMYFUNCTION("""COMPUTED_VALUE"""),7.8026056)</f>
        <v>7.8026056</v>
      </c>
      <c r="D3285" s="7">
        <f>IFERROR(__xludf.DUMMYFUNCTION("""COMPUTED_VALUE"""),0.333333333333333)</f>
        <v>0.3333333333</v>
      </c>
    </row>
    <row r="3286">
      <c r="A3286" s="10" t="s">
        <v>4725</v>
      </c>
      <c r="B3286" s="7" t="str">
        <f>IFERROR(__xludf.DUMMYFUNCTION("SPLIT(A3286,"" "")"),"CN(CCF)CCN(Cc1cccc(F)n1)C1CCCCC1N(C)Cc1ccc2ncccc2c1")</f>
        <v>CN(CCF)CCN(Cc1cccc(F)n1)C1CCCCC1N(C)Cc1ccc2ncccc2c1</v>
      </c>
      <c r="C3286" s="7">
        <f>IFERROR(__xludf.DUMMYFUNCTION("""COMPUTED_VALUE"""),7.8026047)</f>
        <v>7.8026047</v>
      </c>
      <c r="D3286" s="7">
        <f>IFERROR(__xludf.DUMMYFUNCTION("""COMPUTED_VALUE"""),0.384615384615384)</f>
        <v>0.3846153846</v>
      </c>
    </row>
    <row r="3287">
      <c r="A3287" s="10" t="s">
        <v>4726</v>
      </c>
      <c r="B3287" s="7" t="str">
        <f>IFERROR(__xludf.DUMMYFUNCTION("SPLIT(A3287,"" "")"),"CN(Cc1ccc2cccnc2c1)C1CCCCC1N(C)CC1C=CNC=C1")</f>
        <v>CN(Cc1ccc2cccnc2c1)C1CCCCC1N(C)CC1C=CNC=C1</v>
      </c>
      <c r="C3287" s="7">
        <f>IFERROR(__xludf.DUMMYFUNCTION("""COMPUTED_VALUE"""),7.802588)</f>
        <v>7.802588</v>
      </c>
      <c r="D3287" s="7">
        <f>IFERROR(__xludf.DUMMYFUNCTION("""COMPUTED_VALUE"""),0.418181818181818)</f>
        <v>0.4181818182</v>
      </c>
    </row>
    <row r="3288">
      <c r="A3288" s="10" t="s">
        <v>4727</v>
      </c>
      <c r="B3288" s="7" t="str">
        <f>IFERROR(__xludf.DUMMYFUNCTION("SPLIT(A3288,"" "")"),"Cc1cncc(CN(C)CCN(C)C2C=CC=CN2)c1")</f>
        <v>Cc1cncc(CN(C)CCN(C)C2C=CC=CN2)c1</v>
      </c>
      <c r="C3288" s="7">
        <f>IFERROR(__xludf.DUMMYFUNCTION("""COMPUTED_VALUE"""),7.802585)</f>
        <v>7.802585</v>
      </c>
      <c r="D3288" s="7">
        <f>IFERROR(__xludf.DUMMYFUNCTION("""COMPUTED_VALUE"""),0.294117647058823)</f>
        <v>0.2941176471</v>
      </c>
    </row>
    <row r="3289">
      <c r="A3289" s="10" t="s">
        <v>4728</v>
      </c>
      <c r="B3289" s="7" t="str">
        <f>IFERROR(__xludf.DUMMYFUNCTION("SPLIT(A3289,"" "")"),"Cc1cc(C)c(CN(C)C2CCC(N(Cc3ccccn3)C(C)C)CC2)nc1C")</f>
        <v>Cc1cc(C)c(CN(C)C2CCC(N(Cc3ccccn3)C(C)C)CC2)nc1C</v>
      </c>
      <c r="C3289" s="7">
        <f>IFERROR(__xludf.DUMMYFUNCTION("""COMPUTED_VALUE"""),7.80258)</f>
        <v>7.80258</v>
      </c>
      <c r="D3289" s="7">
        <f>IFERROR(__xludf.DUMMYFUNCTION("""COMPUTED_VALUE"""),0.425925925925925)</f>
        <v>0.4259259259</v>
      </c>
    </row>
    <row r="3290">
      <c r="A3290" s="10" t="s">
        <v>4729</v>
      </c>
      <c r="B3290" s="7" t="str">
        <f>IFERROR(__xludf.DUMMYFUNCTION("SPLIT(A3290,"" "")"),"COC(=O)C(=O)C(C)C(C)NCc1nc(CN2CCN(C)CCN(C)CC2)c(C)c(C)c1C")</f>
        <v>COC(=O)C(=O)C(C)C(C)NCc1nc(CN2CCN(C)CCN(C)CC2)c(C)c(C)c1C</v>
      </c>
      <c r="C3290" s="7">
        <f>IFERROR(__xludf.DUMMYFUNCTION("""COMPUTED_VALUE"""),7.8025794)</f>
        <v>7.8025794</v>
      </c>
      <c r="D3290" s="7">
        <f>IFERROR(__xludf.DUMMYFUNCTION("""COMPUTED_VALUE"""),0.35593220338983)</f>
        <v>0.3559322034</v>
      </c>
    </row>
    <row r="3291">
      <c r="A3291" s="10" t="s">
        <v>4730</v>
      </c>
      <c r="B3291" s="7" t="str">
        <f>IFERROR(__xludf.DUMMYFUNCTION("SPLIT(A3291,"" "")"),"CNCc1ccc(CN(C)Cc2cccc(-c3cccc4c3OCCOCCOCCOCCOCCO4)n2)cn1")</f>
        <v>CNCc1ccc(CN(C)Cc2cccc(-c3cccc4c3OCCOCCOCCOCCOCCO4)n2)cn1</v>
      </c>
      <c r="C3291" s="7">
        <f>IFERROR(__xludf.DUMMYFUNCTION("""COMPUTED_VALUE"""),7.8025756)</f>
        <v>7.8025756</v>
      </c>
      <c r="D3291" s="7">
        <f>IFERROR(__xludf.DUMMYFUNCTION("""COMPUTED_VALUE"""),0.338461538461538)</f>
        <v>0.3384615385</v>
      </c>
    </row>
    <row r="3292">
      <c r="A3292" s="10" t="s">
        <v>4731</v>
      </c>
      <c r="B3292" s="7" t="str">
        <f>IFERROR(__xludf.DUMMYFUNCTION("SPLIT(A3292,"" "")"),"Cc1cc(CN(C)C2CCCCC2N(CC2=CCC=CN2)Cc2ccccn2)nc(C)c1C")</f>
        <v>Cc1cc(CN(C)C2CCCCC2N(CC2=CCC=CN2)Cc2ccccn2)nc(C)c1C</v>
      </c>
      <c r="C3292" s="7">
        <f>IFERROR(__xludf.DUMMYFUNCTION("""COMPUTED_VALUE"""),7.8025637)</f>
        <v>7.8025637</v>
      </c>
      <c r="D3292" s="7">
        <f>IFERROR(__xludf.DUMMYFUNCTION("""COMPUTED_VALUE"""),0.5)</f>
        <v>0.5</v>
      </c>
    </row>
    <row r="3293">
      <c r="A3293" s="10" t="s">
        <v>4732</v>
      </c>
      <c r="B3293" s="7" t="str">
        <f>IFERROR(__xludf.DUMMYFUNCTION("SPLIT(A3293,"" "")"),"CCNCc1cccc(-c2cc(NCc3ccccn3)cc3c2OCCOCCOCCOCCOCCO3)n1")</f>
        <v>CCNCc1cccc(-c2cc(NCc3ccccn3)cc3c2OCCOCCOCCOCCOCCO3)n1</v>
      </c>
      <c r="C3293" s="7">
        <f>IFERROR(__xludf.DUMMYFUNCTION("""COMPUTED_VALUE"""),7.8025556)</f>
        <v>7.8025556</v>
      </c>
      <c r="D3293" s="7">
        <f>IFERROR(__xludf.DUMMYFUNCTION("""COMPUTED_VALUE"""),0.333333333333333)</f>
        <v>0.3333333333</v>
      </c>
    </row>
    <row r="3294">
      <c r="A3294" s="10" t="s">
        <v>4733</v>
      </c>
      <c r="B3294" s="7" t="str">
        <f>IFERROR(__xludf.DUMMYFUNCTION("SPLIT(A3294,"" "")"),"Cc1ccccc1N(C)C1CCCC(N(C)Cc2cccnn2)C1")</f>
        <v>Cc1ccccc1N(C)C1CCCC(N(C)Cc2cccnn2)C1</v>
      </c>
      <c r="C3294" s="7">
        <f>IFERROR(__xludf.DUMMYFUNCTION("""COMPUTED_VALUE"""),7.802527)</f>
        <v>7.802527</v>
      </c>
      <c r="D3294" s="7">
        <f>IFERROR(__xludf.DUMMYFUNCTION("""COMPUTED_VALUE"""),0.416666666666666)</f>
        <v>0.4166666667</v>
      </c>
    </row>
    <row r="3295">
      <c r="A3295" s="10" t="s">
        <v>4734</v>
      </c>
      <c r="B3295" s="7" t="str">
        <f>IFERROR(__xludf.DUMMYFUNCTION("SPLIT(A3295,"" "")"),"Cc1cc(C)c(CN(C)C2CCC(N(C)Cc3ncccc3CF)CC2)nc1C")</f>
        <v>Cc1cc(C)c(CN(C)C2CCC(N(C)Cc3ncccc3CF)CC2)nc1C</v>
      </c>
      <c r="C3295" s="7">
        <f>IFERROR(__xludf.DUMMYFUNCTION("""COMPUTED_VALUE"""),7.802516)</f>
        <v>7.802516</v>
      </c>
      <c r="D3295" s="7">
        <f>IFERROR(__xludf.DUMMYFUNCTION("""COMPUTED_VALUE"""),0.303571428571428)</f>
        <v>0.3035714286</v>
      </c>
    </row>
    <row r="3296">
      <c r="A3296" s="10" t="s">
        <v>4735</v>
      </c>
      <c r="B3296" s="7" t="str">
        <f>IFERROR(__xludf.DUMMYFUNCTION("SPLIT(A3296,"" "")"),"CCOC(=O)c1cccc(CN(Cc2ccccn2)C2CCC(N(C)Cc3cccc(-c4ccc5c(c4)OCCOCCOCCOCCOCCO5)n3)CC2)n1")</f>
        <v>CCOC(=O)c1cccc(CN(Cc2ccccn2)C2CCC(N(C)Cc3cccc(-c4ccc5c(c4)OCCOCCOCCOCCOCCO5)n3)CC2)n1</v>
      </c>
      <c r="C3296" s="7">
        <f>IFERROR(__xludf.DUMMYFUNCTION("""COMPUTED_VALUE"""),7.802513)</f>
        <v>7.802513</v>
      </c>
      <c r="D3296" s="7">
        <f>IFERROR(__xludf.DUMMYFUNCTION("""COMPUTED_VALUE"""),0.353658536585365)</f>
        <v>0.3536585366</v>
      </c>
    </row>
    <row r="3297">
      <c r="A3297" s="10" t="s">
        <v>4736</v>
      </c>
      <c r="B3297" s="7" t="str">
        <f>IFERROR(__xludf.DUMMYFUNCTION("SPLIT(A3297,"" "")"),"CNCc1ncccc1CN(C)C1CCC(N(C)Cc2cc(C)c(C)c(C)n2)CC1")</f>
        <v>CNCc1ncccc1CN(C)C1CCC(N(C)Cc2cc(C)c(C)c(C)n2)CC1</v>
      </c>
      <c r="C3297" s="7">
        <f>IFERROR(__xludf.DUMMYFUNCTION("""COMPUTED_VALUE"""),7.8025074)</f>
        <v>7.8025074</v>
      </c>
      <c r="D3297" s="7">
        <f>IFERROR(__xludf.DUMMYFUNCTION("""COMPUTED_VALUE"""),0.316666666666666)</f>
        <v>0.3166666667</v>
      </c>
    </row>
    <row r="3298">
      <c r="A3298" s="10" t="s">
        <v>4737</v>
      </c>
      <c r="B3298" s="7" t="str">
        <f>IFERROR(__xludf.DUMMYFUNCTION("SPLIT(A3298,"" "")"),"CN(Cc1ncccc1-c1cccc2c1OCCOCCOCCOCCOCCO2)C1=CNC(C(C)(C)N)=CC1")</f>
        <v>CN(Cc1ncccc1-c1cccc2c1OCCOCCOCCOCCOCCO2)C1=CNC(C(C)(C)N)=CC1</v>
      </c>
      <c r="C3298" s="7">
        <f>IFERROR(__xludf.DUMMYFUNCTION("""COMPUTED_VALUE"""),7.8025074)</f>
        <v>7.8025074</v>
      </c>
      <c r="D3298" s="7">
        <f>IFERROR(__xludf.DUMMYFUNCTION("""COMPUTED_VALUE"""),0.231884057971014)</f>
        <v>0.231884058</v>
      </c>
    </row>
    <row r="3299">
      <c r="A3299" s="10" t="s">
        <v>4738</v>
      </c>
      <c r="B3299" s="7" t="str">
        <f>IFERROR(__xludf.DUMMYFUNCTION("SPLIT(A3299,"" "")"),"Cc1cnc(CN(C)C2CCC(N(C)Cc3cccc(C4CC(C)C4)n3)CC2)c(C)c1")</f>
        <v>Cc1cnc(CN(C)C2CCC(N(C)Cc3cccc(C4CC(C)C4)n3)CC2)c(C)c1</v>
      </c>
      <c r="C3299" s="7">
        <f>IFERROR(__xludf.DUMMYFUNCTION("""COMPUTED_VALUE"""),7.802493)</f>
        <v>7.802493</v>
      </c>
      <c r="D3299" s="7">
        <f>IFERROR(__xludf.DUMMYFUNCTION("""COMPUTED_VALUE"""),0.35593220338983)</f>
        <v>0.3559322034</v>
      </c>
    </row>
    <row r="3300">
      <c r="A3300" s="10" t="s">
        <v>4739</v>
      </c>
      <c r="B3300" s="7" t="str">
        <f>IFERROR(__xludf.DUMMYFUNCTION("SPLIT(A3300,"" "")"),"CC(C)C(C)(CN(Cc1ccccn1)Cc1cccc(-c2ccc3c(c2)OCCOCCOCCOCCOCCO3)n1)c1ccccn1")</f>
        <v>CC(C)C(C)(CN(Cc1ccccn1)Cc1cccc(-c2ccc3c(c2)OCCOCCOCCOCCOCCO3)n1)c1ccccn1</v>
      </c>
      <c r="C3300" s="7">
        <f>IFERROR(__xludf.DUMMYFUNCTION("""COMPUTED_VALUE"""),7.802492)</f>
        <v>7.802492</v>
      </c>
      <c r="D3300" s="7">
        <f>IFERROR(__xludf.DUMMYFUNCTION("""COMPUTED_VALUE"""),0.434782608695652)</f>
        <v>0.4347826087</v>
      </c>
    </row>
    <row r="3301">
      <c r="A3301" s="10" t="s">
        <v>4740</v>
      </c>
      <c r="B3301" s="7" t="str">
        <f>IFERROR(__xludf.DUMMYFUNCTION("SPLIT(A3301,"" "")"),"Cc1ccc(CN(C)C2CCC(N(Cc3ccccn3)Cc3ccccn3)CC2)cn1")</f>
        <v>Cc1ccc(CN(C)C2CCC(N(Cc3ccccn3)Cc3ccccn3)CC2)cn1</v>
      </c>
      <c r="C3301" s="7">
        <f>IFERROR(__xludf.DUMMYFUNCTION("""COMPUTED_VALUE"""),7.8024607)</f>
        <v>7.8024607</v>
      </c>
      <c r="D3301" s="7">
        <f>IFERROR(__xludf.DUMMYFUNCTION("""COMPUTED_VALUE"""),0.46938775510204)</f>
        <v>0.4693877551</v>
      </c>
    </row>
    <row r="3302">
      <c r="A3302" s="10" t="s">
        <v>4741</v>
      </c>
      <c r="B3302" s="7" t="str">
        <f>IFERROR(__xludf.DUMMYFUNCTION("SPLIT(A3302,"" "")"),"CN(Cc1ccccn1)C1=CC(CN(C)C2CCCC(N(C)Cc3ccccn3)C2)C=CN1")</f>
        <v>CN(Cc1ccccn1)C1=CC(CN(C)C2CCCC(N(C)Cc3ccccn3)C2)C=CN1</v>
      </c>
      <c r="C3302" s="7">
        <f>IFERROR(__xludf.DUMMYFUNCTION("""COMPUTED_VALUE"""),7.802454)</f>
        <v>7.802454</v>
      </c>
      <c r="D3302" s="7">
        <f>IFERROR(__xludf.DUMMYFUNCTION("""COMPUTED_VALUE"""),0.454545454545454)</f>
        <v>0.4545454545</v>
      </c>
    </row>
    <row r="3303">
      <c r="A3303" s="10" t="s">
        <v>4742</v>
      </c>
      <c r="B3303" s="7" t="str">
        <f>IFERROR(__xludf.DUMMYFUNCTION("SPLIT(A3303,"" "")"),"CC1C=CC(c2ccccn2)C(N(C)Cc2ccccn2)C1C")</f>
        <v>CC1C=CC(c2ccccn2)C(N(C)Cc2ccccn2)C1C</v>
      </c>
      <c r="C3303" s="7">
        <f>IFERROR(__xludf.DUMMYFUNCTION("""COMPUTED_VALUE"""),7.8024445)</f>
        <v>7.8024445</v>
      </c>
      <c r="D3303" s="7">
        <f>IFERROR(__xludf.DUMMYFUNCTION("""COMPUTED_VALUE"""),0.468085106382978)</f>
        <v>0.4680851064</v>
      </c>
    </row>
    <row r="3304">
      <c r="A3304" s="10" t="s">
        <v>4743</v>
      </c>
      <c r="B3304" s="7" t="str">
        <f>IFERROR(__xludf.DUMMYFUNCTION("SPLIT(A3304,"" "")"),"CC1=CC(c2cccc(CN(Cc3ccccn3)C3CCC(N(C)Cc4ccon4)CC3)n2)C(C)C(C)C1")</f>
        <v>CC1=CC(c2cccc(CN(Cc3ccccn3)C3CCC(N(C)Cc4ccon4)CC3)n2)C(C)C(C)C1</v>
      </c>
      <c r="C3304" s="7">
        <f>IFERROR(__xludf.DUMMYFUNCTION("""COMPUTED_VALUE"""),7.8024216)</f>
        <v>7.8024216</v>
      </c>
      <c r="D3304" s="7">
        <f>IFERROR(__xludf.DUMMYFUNCTION("""COMPUTED_VALUE"""),0.352941176470588)</f>
        <v>0.3529411765</v>
      </c>
    </row>
    <row r="3305">
      <c r="A3305" s="10" t="s">
        <v>4744</v>
      </c>
      <c r="B3305" s="7" t="str">
        <f>IFERROR(__xludf.DUMMYFUNCTION("SPLIT(A3305,"" "")"),"c1ccc(C2=NC(C3CCCN3)CO2)nc1")</f>
        <v>c1ccc(C2=NC(C3CCCN3)CO2)nc1</v>
      </c>
      <c r="C3305" s="7">
        <f>IFERROR(__xludf.DUMMYFUNCTION("""COMPUTED_VALUE"""),7.8024178)</f>
        <v>7.8024178</v>
      </c>
      <c r="D3305" s="7">
        <f>IFERROR(__xludf.DUMMYFUNCTION("""COMPUTED_VALUE"""),0.28)</f>
        <v>0.28</v>
      </c>
    </row>
    <row r="3306">
      <c r="A3306" s="10" t="s">
        <v>4745</v>
      </c>
      <c r="B3306" s="7" t="str">
        <f>IFERROR(__xludf.DUMMYFUNCTION("SPLIT(A3306,"" "")"),"CNCc1cccc(CN(Cc2cccc(-c3ccc4c(c3)OCCOCCOCCOCCOCCO4)n2)Cc2cccc(-c3ccc4c(c3)OCCOCCOCCOCCOCCO4)n2)n1")</f>
        <v>CNCc1cccc(CN(Cc2cccc(-c3ccc4c(c3)OCCOCCOCCOCCOCCO4)n2)Cc2cccc(-c3ccc4c(c3)OCCOCCOCCOCCOCCO4)n2)n1</v>
      </c>
      <c r="C3306" s="7">
        <f>IFERROR(__xludf.DUMMYFUNCTION("""COMPUTED_VALUE"""),7.8024173)</f>
        <v>7.8024173</v>
      </c>
      <c r="D3306" s="7">
        <f>IFERROR(__xludf.DUMMYFUNCTION("""COMPUTED_VALUE"""),0.38095238095238)</f>
        <v>0.380952381</v>
      </c>
    </row>
    <row r="3307">
      <c r="A3307" s="10" t="s">
        <v>4746</v>
      </c>
      <c r="B3307" s="7" t="str">
        <f>IFERROR(__xludf.DUMMYFUNCTION("SPLIT(A3307,"" "")"),"Cc1cncc2c1CCCC2")</f>
        <v>Cc1cncc2c1CCCC2</v>
      </c>
      <c r="C3307" s="7">
        <f>IFERROR(__xludf.DUMMYFUNCTION("""COMPUTED_VALUE"""),7.8024073)</f>
        <v>7.8024073</v>
      </c>
      <c r="D3307" s="7">
        <f>IFERROR(__xludf.DUMMYFUNCTION("""COMPUTED_VALUE"""),0.204081632653061)</f>
        <v>0.2040816327</v>
      </c>
    </row>
    <row r="3308">
      <c r="A3308" s="10" t="s">
        <v>4747</v>
      </c>
      <c r="B3308" s="7" t="str">
        <f>IFERROR(__xludf.DUMMYFUNCTION("SPLIT(A3308,"" "")"),"CC1=CCC(N(C)Cc2cccc(C(C)(C)C)n2)C(C)(C)C1C")</f>
        <v>CC1=CCC(N(C)Cc2cccc(C(C)(C)C)n2)C(C)(C)C1C</v>
      </c>
      <c r="C3308" s="7">
        <f>IFERROR(__xludf.DUMMYFUNCTION("""COMPUTED_VALUE"""),7.8024063)</f>
        <v>7.8024063</v>
      </c>
      <c r="D3308" s="7">
        <f>IFERROR(__xludf.DUMMYFUNCTION("""COMPUTED_VALUE"""),0.363636363636363)</f>
        <v>0.3636363636</v>
      </c>
    </row>
    <row r="3309">
      <c r="A3309" s="10" t="s">
        <v>4748</v>
      </c>
      <c r="B3309" s="7" t="str">
        <f>IFERROR(__xludf.DUMMYFUNCTION("SPLIT(A3309,"" "")"),"CC1C=CC(C)C(N(C)Cc2cccc(C(C)(C)C)n2)C1C")</f>
        <v>CC1C=CC(C)C(N(C)Cc2cccc(C(C)(C)C)n2)C1C</v>
      </c>
      <c r="C3309" s="7">
        <f>IFERROR(__xludf.DUMMYFUNCTION("""COMPUTED_VALUE"""),7.8023915)</f>
        <v>7.8023915</v>
      </c>
      <c r="D3309" s="7">
        <f>IFERROR(__xludf.DUMMYFUNCTION("""COMPUTED_VALUE"""),0.36)</f>
        <v>0.36</v>
      </c>
    </row>
    <row r="3310">
      <c r="A3310" s="10" t="s">
        <v>4749</v>
      </c>
      <c r="B3310" s="7" t="str">
        <f>IFERROR(__xludf.DUMMYFUNCTION("SPLIT(A3310,"" "")"),"Cc1cc(CN(C)C2CCC(N(C)Cc3cc(CF)ccn3)CC2)nc(C)c1C")</f>
        <v>Cc1cc(CN(C)C2CCC(N(C)Cc3cc(CF)ccn3)CC2)nc(C)c1C</v>
      </c>
      <c r="C3310" s="7">
        <f>IFERROR(__xludf.DUMMYFUNCTION("""COMPUTED_VALUE"""),7.802386)</f>
        <v>7.802386</v>
      </c>
      <c r="D3310" s="7">
        <f>IFERROR(__xludf.DUMMYFUNCTION("""COMPUTED_VALUE"""),0.327272727272727)</f>
        <v>0.3272727273</v>
      </c>
    </row>
    <row r="3311">
      <c r="A3311" s="10" t="s">
        <v>4750</v>
      </c>
      <c r="B3311" s="7" t="str">
        <f>IFERROR(__xludf.DUMMYFUNCTION("SPLIT(A3311,"" "")"),"Cc1cnc(C2CCC2(C)C)c(C(=O)C(C)NCc2ncccc2CN2CCN(C)CCN(C)CC2)c1C")</f>
        <v>Cc1cnc(C2CCC2(C)C)c(C(=O)C(C)NCc2ncccc2CN2CCN(C)CCN(C)CC2)c1C</v>
      </c>
      <c r="C3311" s="7">
        <f>IFERROR(__xludf.DUMMYFUNCTION("""COMPUTED_VALUE"""),7.8023844)</f>
        <v>7.8023844</v>
      </c>
      <c r="D3311" s="7">
        <f>IFERROR(__xludf.DUMMYFUNCTION("""COMPUTED_VALUE"""),0.298701298701298)</f>
        <v>0.2987012987</v>
      </c>
    </row>
    <row r="3312">
      <c r="A3312" s="10" t="s">
        <v>4751</v>
      </c>
      <c r="B3312" s="7" t="str">
        <f>IFERROR(__xludf.DUMMYFUNCTION("SPLIT(A3312,"" "")"),"Cc1nccc2c1CCCC2")</f>
        <v>Cc1nccc2c1CCCC2</v>
      </c>
      <c r="C3312" s="7">
        <f>IFERROR(__xludf.DUMMYFUNCTION("""COMPUTED_VALUE"""),7.8023834)</f>
        <v>7.8023834</v>
      </c>
      <c r="D3312" s="7">
        <f>IFERROR(__xludf.DUMMYFUNCTION("""COMPUTED_VALUE"""),0.261904761904761)</f>
        <v>0.2619047619</v>
      </c>
    </row>
    <row r="3313">
      <c r="A3313" s="10" t="s">
        <v>4752</v>
      </c>
      <c r="B3313" s="7" t="str">
        <f>IFERROR(__xludf.DUMMYFUNCTION("SPLIT(A3313,"" "")"),"Cc1cc(CN(Cc2cccnc2)C2CCCC(N(C)C)C2)nc(C)c1C")</f>
        <v>Cc1cc(CN(Cc2cccnc2)C2CCCC(N(C)C)C2)nc(C)c1C</v>
      </c>
      <c r="C3313" s="7">
        <f>IFERROR(__xludf.DUMMYFUNCTION("""COMPUTED_VALUE"""),7.8023787)</f>
        <v>7.8023787</v>
      </c>
      <c r="D3313" s="7">
        <f>IFERROR(__xludf.DUMMYFUNCTION("""COMPUTED_VALUE"""),0.269841269841269)</f>
        <v>0.2698412698</v>
      </c>
    </row>
    <row r="3314">
      <c r="A3314" s="10" t="s">
        <v>4753</v>
      </c>
      <c r="B3314" s="7" t="str">
        <f>IFERROR(__xludf.DUMMYFUNCTION("SPLIT(A3314,"" "")"),"CCNC1CC(N(C)Cc2nc(C)c(C)c(C)c2C)CCC1N(C)Cc1ccccn1")</f>
        <v>CCNC1CC(N(C)Cc2nc(C)c(C)c(C)c2C)CCC1N(C)Cc1ccccn1</v>
      </c>
      <c r="C3314" s="7">
        <f>IFERROR(__xludf.DUMMYFUNCTION("""COMPUTED_VALUE"""),7.802374)</f>
        <v>7.802374</v>
      </c>
      <c r="D3314" s="7">
        <f>IFERROR(__xludf.DUMMYFUNCTION("""COMPUTED_VALUE"""),0.448275862068965)</f>
        <v>0.4482758621</v>
      </c>
    </row>
    <row r="3315">
      <c r="A3315" s="10" t="s">
        <v>4754</v>
      </c>
      <c r="B3315" s="7" t="str">
        <f>IFERROR(__xludf.DUMMYFUNCTION("SPLIT(A3315,"" "")"),"CNC1CCCC(N(Cc2ccccn2)Cc2nc(C)c(C)c(C)c2C)C1")</f>
        <v>CNC1CCCC(N(Cc2ccccn2)Cc2nc(C)c(C)c(C)c2C)C1</v>
      </c>
      <c r="C3315" s="7">
        <f>IFERROR(__xludf.DUMMYFUNCTION("""COMPUTED_VALUE"""),7.80236)</f>
        <v>7.80236</v>
      </c>
      <c r="D3315" s="7">
        <f>IFERROR(__xludf.DUMMYFUNCTION("""COMPUTED_VALUE"""),0.385964912280701)</f>
        <v>0.3859649123</v>
      </c>
    </row>
    <row r="3316">
      <c r="A3316" s="10" t="s">
        <v>4755</v>
      </c>
      <c r="B3316" s="7" t="str">
        <f>IFERROR(__xludf.DUMMYFUNCTION("SPLIT(A3316,"" "")"),"Cc1ccc(CN(CCNCF)Cc2ccccn2)nc1")</f>
        <v>Cc1ccc(CN(CCNCF)Cc2ccccn2)nc1</v>
      </c>
      <c r="C3316" s="7">
        <f>IFERROR(__xludf.DUMMYFUNCTION("""COMPUTED_VALUE"""),7.8023586)</f>
        <v>7.8023586</v>
      </c>
      <c r="D3316" s="7">
        <f>IFERROR(__xludf.DUMMYFUNCTION("""COMPUTED_VALUE"""),0.488888888888888)</f>
        <v>0.4888888889</v>
      </c>
    </row>
    <row r="3317">
      <c r="A3317" s="10" t="s">
        <v>4756</v>
      </c>
      <c r="B3317" s="7" t="str">
        <f>IFERROR(__xludf.DUMMYFUNCTION("SPLIT(A3317,"" "")"),"C=CCNCc1cccc(CN(Cc2ccccn2)C2CCC(N(C)Cc3ncccc3C)CC2)n1")</f>
        <v>C=CCNCc1cccc(CN(Cc2ccccn2)C2CCC(N(C)Cc3ncccc3C)CC2)n1</v>
      </c>
      <c r="C3317" s="7">
        <f>IFERROR(__xludf.DUMMYFUNCTION("""COMPUTED_VALUE"""),7.802336)</f>
        <v>7.802336</v>
      </c>
      <c r="D3317" s="7">
        <f>IFERROR(__xludf.DUMMYFUNCTION("""COMPUTED_VALUE"""),0.367647058823529)</f>
        <v>0.3676470588</v>
      </c>
    </row>
    <row r="3318">
      <c r="A3318" s="10" t="s">
        <v>4757</v>
      </c>
      <c r="B3318" s="7" t="str">
        <f>IFERROR(__xludf.DUMMYFUNCTION("SPLIT(A3318,"" "")"),"CNCCN(C(C)C)C(C)(N)N(Cc1ccccn1)CN(C)CNCc1ccccn1")</f>
        <v>CNCCN(C(C)C)C(C)(N)N(Cc1ccccn1)CN(C)CNCc1ccccn1</v>
      </c>
      <c r="C3318" s="7">
        <f>IFERROR(__xludf.DUMMYFUNCTION("""COMPUTED_VALUE"""),7.802329)</f>
        <v>7.802329</v>
      </c>
      <c r="D3318" s="7">
        <f>IFERROR(__xludf.DUMMYFUNCTION("""COMPUTED_VALUE"""),0.385964912280701)</f>
        <v>0.3859649123</v>
      </c>
    </row>
    <row r="3319">
      <c r="A3319" s="10" t="s">
        <v>4758</v>
      </c>
      <c r="B3319" s="7" t="str">
        <f>IFERROR(__xludf.DUMMYFUNCTION("SPLIT(A3319,"" "")"),"Cc1cnc(CN(C)C2CCCCC2N(Cc2ccccn2)Cc2cccc(CNCF)n2)c(C)c1C")</f>
        <v>Cc1cnc(CN(C)C2CCCCC2N(Cc2ccccn2)Cc2cccc(CNCF)n2)c(C)c1C</v>
      </c>
      <c r="C3319" s="7">
        <f>IFERROR(__xludf.DUMMYFUNCTION("""COMPUTED_VALUE"""),7.802318)</f>
        <v>7.802318</v>
      </c>
      <c r="D3319" s="7">
        <f>IFERROR(__xludf.DUMMYFUNCTION("""COMPUTED_VALUE"""),0.491525423728813)</f>
        <v>0.4915254237</v>
      </c>
    </row>
    <row r="3320">
      <c r="A3320" s="10" t="s">
        <v>4759</v>
      </c>
      <c r="B3320" s="7" t="str">
        <f>IFERROR(__xludf.DUMMYFUNCTION("SPLIT(A3320,"" "")"),"Cc1cncc(CN(Cc2cccc(C(C)(C)C)n2)C2CCC(N(C)Cc3ccc(-c4ccc5c(c4)OCCOCCOCCOCCOCCO5)cn3)CC2)c1C")</f>
        <v>Cc1cncc(CN(Cc2cccc(C(C)(C)C)n2)C2CCC(N(C)Cc3ccc(-c4ccc5c(c4)OCCOCCOCCOCCOCCO5)cn3)CC2)c1C</v>
      </c>
      <c r="C3320" s="7">
        <f>IFERROR(__xludf.DUMMYFUNCTION("""COMPUTED_VALUE"""),7.8023176)</f>
        <v>7.8023176</v>
      </c>
      <c r="D3320" s="7">
        <f>IFERROR(__xludf.DUMMYFUNCTION("""COMPUTED_VALUE"""),0.38095238095238)</f>
        <v>0.380952381</v>
      </c>
    </row>
    <row r="3321">
      <c r="A3321" s="10" t="s">
        <v>4760</v>
      </c>
      <c r="B3321" s="7" t="str">
        <f>IFERROR(__xludf.DUMMYFUNCTION("SPLIT(A3321,"" "")"),"CC1=NCC(C(C)NCc2ccccn2)O1")</f>
        <v>CC1=NCC(C(C)NCc2ccccn2)O1</v>
      </c>
      <c r="C3321" s="7">
        <f>IFERROR(__xludf.DUMMYFUNCTION("""COMPUTED_VALUE"""),7.8023047)</f>
        <v>7.8023047</v>
      </c>
      <c r="D3321" s="7">
        <f>IFERROR(__xludf.DUMMYFUNCTION("""COMPUTED_VALUE"""),0.386363636363636)</f>
        <v>0.3863636364</v>
      </c>
    </row>
    <row r="3322">
      <c r="A3322" s="10" t="s">
        <v>4761</v>
      </c>
      <c r="B3322" s="7" t="str">
        <f>IFERROR(__xludf.DUMMYFUNCTION("SPLIT(A3322,"" "")"),"CCNCc1cccc(CN(Cc2ccccn2)C2CCC(N(C)Cc3ncccc3C)CC2)n1")</f>
        <v>CCNCc1cccc(CN(Cc2ccccn2)C2CCC(N(C)Cc3ncccc3C)CC2)n1</v>
      </c>
      <c r="C3322" s="7">
        <f>IFERROR(__xludf.DUMMYFUNCTION("""COMPUTED_VALUE"""),7.8022976)</f>
        <v>7.8022976</v>
      </c>
      <c r="D3322" s="7">
        <f>IFERROR(__xludf.DUMMYFUNCTION("""COMPUTED_VALUE"""),0.383333333333333)</f>
        <v>0.3833333333</v>
      </c>
    </row>
    <row r="3323">
      <c r="A3323" s="10" t="s">
        <v>4762</v>
      </c>
      <c r="B3323" s="7" t="str">
        <f>IFERROR(__xludf.DUMMYFUNCTION("SPLIT(A3323,"" "")"),"CN(CC1=CC(N(C)Cc2ccccn2)C=CN1)Cc1cccc(-c2ccc3c(c2)OCCOCCOCCOCCOCCO3)n1")</f>
        <v>CN(CC1=CC(N(C)Cc2ccccn2)C=CN1)Cc1cccc(-c2ccc3c(c2)OCCOCCOCCOCCOCCO3)n1</v>
      </c>
      <c r="C3323" s="7">
        <f>IFERROR(__xludf.DUMMYFUNCTION("""COMPUTED_VALUE"""),7.8022947)</f>
        <v>7.8022947</v>
      </c>
      <c r="D3323" s="7">
        <f>IFERROR(__xludf.DUMMYFUNCTION("""COMPUTED_VALUE"""),0.417910447761194)</f>
        <v>0.4179104478</v>
      </c>
    </row>
    <row r="3324">
      <c r="A3324" s="10" t="s">
        <v>4763</v>
      </c>
      <c r="B3324" s="7" t="str">
        <f>IFERROR(__xludf.DUMMYFUNCTION("SPLIT(A3324,"" "")"),"CN(CC1=CC(N(C)Cc2cccc(-c3ccc4c(c3)OCCOCCOCCOCCOCCO4)n2)C=CN1)Cc1ccccn1")</f>
        <v>CN(CC1=CC(N(C)Cc2cccc(-c3ccc4c(c3)OCCOCCOCCOCCOCCO4)n2)C=CN1)Cc1ccccn1</v>
      </c>
      <c r="C3324" s="7">
        <f>IFERROR(__xludf.DUMMYFUNCTION("""COMPUTED_VALUE"""),7.802289)</f>
        <v>7.802289</v>
      </c>
      <c r="D3324" s="7">
        <f>IFERROR(__xludf.DUMMYFUNCTION("""COMPUTED_VALUE"""),0.417910447761194)</f>
        <v>0.4179104478</v>
      </c>
    </row>
    <row r="3325">
      <c r="A3325" s="10" t="s">
        <v>4764</v>
      </c>
      <c r="B3325" s="7" t="str">
        <f>IFERROR(__xludf.DUMMYFUNCTION("SPLIT(A3325,"" "")"),"CNCc1cc(CN(C)C2CCC(N(C)Cc3nc(C)cc(C)c3C)CC2)ccn1")</f>
        <v>CNCc1cc(CN(C)C2CCC(N(C)Cc3nc(C)cc(C)c3C)CC2)ccn1</v>
      </c>
      <c r="C3325" s="7">
        <f>IFERROR(__xludf.DUMMYFUNCTION("""COMPUTED_VALUE"""),7.802265)</f>
        <v>7.802265</v>
      </c>
      <c r="D3325" s="7">
        <f>IFERROR(__xludf.DUMMYFUNCTION("""COMPUTED_VALUE"""),0.283333333333333)</f>
        <v>0.2833333333</v>
      </c>
    </row>
    <row r="3326">
      <c r="A3326" s="10" t="s">
        <v>4765</v>
      </c>
      <c r="B3326" s="7" t="str">
        <f>IFERROR(__xludf.DUMMYFUNCTION("SPLIT(A3326,"" "")"),"CCNCc1cc(CN(Cc2ccccn2)C2CCC(N(C)Cc3ncccc3C)CC2)ccn1")</f>
        <v>CCNCc1cc(CN(Cc2ccccn2)C2CCC(N(C)Cc3ncccc3C)CC2)ccn1</v>
      </c>
      <c r="C3326" s="7">
        <f>IFERROR(__xludf.DUMMYFUNCTION("""COMPUTED_VALUE"""),7.802264)</f>
        <v>7.802264</v>
      </c>
      <c r="D3326" s="7">
        <f>IFERROR(__xludf.DUMMYFUNCTION("""COMPUTED_VALUE"""),0.370967741935483)</f>
        <v>0.3709677419</v>
      </c>
    </row>
    <row r="3327">
      <c r="A3327" s="10" t="s">
        <v>4766</v>
      </c>
      <c r="B3327" s="7" t="str">
        <f>IFERROR(__xludf.DUMMYFUNCTION("SPLIT(A3327,"" "")"),"FCNCc1cccc(CN(Cc2ccccn2)Cc2cccc(-c3ccc4c(c3)OCCOCCOCCOCCOCCO4)n2)n1")</f>
        <v>FCNCc1cccc(CN(Cc2ccccn2)Cc2cccc(-c3ccc4c(c3)OCCOCCOCCOCCOCCO4)n2)n1</v>
      </c>
      <c r="C3327" s="7">
        <f>IFERROR(__xludf.DUMMYFUNCTION("""COMPUTED_VALUE"""),7.8022547)</f>
        <v>7.8022547</v>
      </c>
      <c r="D3327" s="7">
        <f>IFERROR(__xludf.DUMMYFUNCTION("""COMPUTED_VALUE"""),0.454545454545454)</f>
        <v>0.4545454545</v>
      </c>
    </row>
    <row r="3328">
      <c r="A3328" s="10" t="s">
        <v>4767</v>
      </c>
      <c r="B3328" s="7" t="str">
        <f>IFERROR(__xludf.DUMMYFUNCTION("SPLIT(A3328,"" "")"),"CCNCc1ncccc1CN(Cc1ccccn1)C1CCC(N(C)Cc2ncccc2C)CC1")</f>
        <v>CCNCc1ncccc1CN(Cc1ccccn1)C1CCC(N(C)Cc2ncccc2C)CC1</v>
      </c>
      <c r="C3328" s="7">
        <f>IFERROR(__xludf.DUMMYFUNCTION("""COMPUTED_VALUE"""),7.8022466)</f>
        <v>7.8022466</v>
      </c>
      <c r="D3328" s="7">
        <f>IFERROR(__xludf.DUMMYFUNCTION("""COMPUTED_VALUE"""),0.383333333333333)</f>
        <v>0.3833333333</v>
      </c>
    </row>
    <row r="3329">
      <c r="A3329" s="10" t="s">
        <v>4768</v>
      </c>
      <c r="B3329" s="7" t="str">
        <f>IFERROR(__xludf.DUMMYFUNCTION("SPLIT(A3329,"" "")"),"CC1CC=C(N(C)Cc2ccccn2)C(C)C1C")</f>
        <v>CC1CC=C(N(C)Cc2ccccn2)C(C)C1C</v>
      </c>
      <c r="C3329" s="7">
        <f>IFERROR(__xludf.DUMMYFUNCTION("""COMPUTED_VALUE"""),7.8022447)</f>
        <v>7.8022447</v>
      </c>
      <c r="D3329" s="7">
        <f>IFERROR(__xludf.DUMMYFUNCTION("""COMPUTED_VALUE"""),0.466666666666666)</f>
        <v>0.4666666667</v>
      </c>
    </row>
    <row r="3330">
      <c r="A3330" s="10" t="s">
        <v>4769</v>
      </c>
      <c r="B3330" s="7" t="str">
        <f>IFERROR(__xludf.DUMMYFUNCTION("SPLIT(A3330,"" "")"),"Cc1ccc(CN(C)C2CCC(N(Cc3ccccn3)Cc3cccc(-c4ccc5c(c4)OCCOCCOCCOCCOCCO5)n3)C(N(C)Cc3ccccn3)C2)nc1")</f>
        <v>Cc1ccc(CN(C)C2CCC(N(Cc3ccccn3)Cc3cccc(-c4ccc5c(c4)OCCOCCOCCOCCOCCO5)n3)C(N(C)Cc3ccccn3)C2)nc1</v>
      </c>
      <c r="C3330" s="7">
        <f>IFERROR(__xludf.DUMMYFUNCTION("""COMPUTED_VALUE"""),7.8022394)</f>
        <v>7.8022394</v>
      </c>
      <c r="D3330" s="7">
        <f>IFERROR(__xludf.DUMMYFUNCTION("""COMPUTED_VALUE"""),0.364864864864864)</f>
        <v>0.3648648649</v>
      </c>
    </row>
    <row r="3331">
      <c r="A3331" s="10" t="s">
        <v>4770</v>
      </c>
      <c r="B3331" s="7" t="str">
        <f>IFERROR(__xludf.DUMMYFUNCTION("SPLIT(A3331,"" "")"),"Cc1ccc(N(C)C2CCCCC2N(C)Cc2cccnn2)nc1CN(C)C(C)C")</f>
        <v>Cc1ccc(N(C)C2CCCCC2N(C)Cc2cccnn2)nc1CN(C)C(C)C</v>
      </c>
      <c r="C3331" s="7">
        <f>IFERROR(__xludf.DUMMYFUNCTION("""COMPUTED_VALUE"""),7.8022385)</f>
        <v>7.8022385</v>
      </c>
      <c r="D3331" s="7">
        <f>IFERROR(__xludf.DUMMYFUNCTION("""COMPUTED_VALUE"""),0.43103448275862)</f>
        <v>0.4310344828</v>
      </c>
    </row>
    <row r="3332">
      <c r="A3332" s="10" t="s">
        <v>4771</v>
      </c>
      <c r="B3332" s="7" t="str">
        <f>IFERROR(__xludf.DUMMYFUNCTION("SPLIT(A3332,"" "")"),"CNC1NC=CC=C1N(C)Cc1cccc(-c2ccc3c(c2)OCCOCCOCCOCCOCCO3)n1")</f>
        <v>CNC1NC=CC=C1N(C)Cc1cccc(-c2ccc3c(c2)OCCOCCOCCOCCOCCO3)n1</v>
      </c>
      <c r="C3332" s="7">
        <f>IFERROR(__xludf.DUMMYFUNCTION("""COMPUTED_VALUE"""),7.8022385)</f>
        <v>7.8022385</v>
      </c>
      <c r="D3332" s="7">
        <f>IFERROR(__xludf.DUMMYFUNCTION("""COMPUTED_VALUE"""),0.342105263157894)</f>
        <v>0.3421052632</v>
      </c>
    </row>
    <row r="3333">
      <c r="A3333" s="10" t="s">
        <v>4772</v>
      </c>
      <c r="B3333" s="7" t="str">
        <f>IFERROR(__xludf.DUMMYFUNCTION("SPLIT(A3333,"" "")"),"CNCCN(C)Cc1cncc(C)c1")</f>
        <v>CNCCN(C)Cc1cncc(C)c1</v>
      </c>
      <c r="C3333" s="7">
        <f>IFERROR(__xludf.DUMMYFUNCTION("""COMPUTED_VALUE"""),7.8022375)</f>
        <v>7.8022375</v>
      </c>
      <c r="D3333" s="7">
        <f>IFERROR(__xludf.DUMMYFUNCTION("""COMPUTED_VALUE"""),0.333333333333333)</f>
        <v>0.3333333333</v>
      </c>
    </row>
    <row r="3334">
      <c r="A3334" s="10" t="s">
        <v>4773</v>
      </c>
      <c r="B3334" s="7" t="str">
        <f>IFERROR(__xludf.DUMMYFUNCTION("SPLIT(A3334,"" "")"),"CNCc1cc(CN(Cc2cc(C)c(C)c(C)n2)C2CCC(N(C)Cc3cc(-c4ccc5c(c4)OCCOCCOCCOCCOCCO5)ccn3)CC2)ccn1")</f>
        <v>CNCc1cc(CN(Cc2cc(C)c(C)c(C)n2)C2CCC(N(C)Cc3cc(-c4ccc5c(c4)OCCOCCOCCOCCOCCO5)ccn3)CC2)ccn1</v>
      </c>
      <c r="C3334" s="7">
        <f>IFERROR(__xludf.DUMMYFUNCTION("""COMPUTED_VALUE"""),7.802235)</f>
        <v>7.802235</v>
      </c>
      <c r="D3334" s="7">
        <f>IFERROR(__xludf.DUMMYFUNCTION("""COMPUTED_VALUE"""),0.313953488372093)</f>
        <v>0.3139534884</v>
      </c>
    </row>
    <row r="3335">
      <c r="A3335" s="10" t="s">
        <v>4774</v>
      </c>
      <c r="B3335" s="7" t="str">
        <f>IFERROR(__xludf.DUMMYFUNCTION("SPLIT(A3335,"" "")"),"Cc1cnc(CN(C)C2CCCCC2N(Cc2ccccn2)Cc2cccnc2CNCF)c(C)c1C")</f>
        <v>Cc1cnc(CN(C)C2CCCCC2N(Cc2ccccn2)Cc2cccnc2CNCF)c(C)c1C</v>
      </c>
      <c r="C3335" s="7">
        <f>IFERROR(__xludf.DUMMYFUNCTION("""COMPUTED_VALUE"""),7.8022327)</f>
        <v>7.8022327</v>
      </c>
      <c r="D3335" s="7">
        <f>IFERROR(__xludf.DUMMYFUNCTION("""COMPUTED_VALUE"""),0.475409836065573)</f>
        <v>0.4754098361</v>
      </c>
    </row>
    <row r="3336">
      <c r="A3336" s="10" t="s">
        <v>4775</v>
      </c>
      <c r="B3336" s="7" t="str">
        <f>IFERROR(__xludf.DUMMYFUNCTION("SPLIT(A3336,"" "")"),"Cc1cc(C)c(CN(C)C2CCCC(N(C)Cc3cccnn3)C2)nc1C")</f>
        <v>Cc1cc(C)c(CN(C)C2CCCC(N(C)Cc3cccnn3)C2)nc1C</v>
      </c>
      <c r="C3336" s="7">
        <f>IFERROR(__xludf.DUMMYFUNCTION("""COMPUTED_VALUE"""),7.802208)</f>
        <v>7.802208</v>
      </c>
      <c r="D3336" s="7">
        <f>IFERROR(__xludf.DUMMYFUNCTION("""COMPUTED_VALUE"""),0.4)</f>
        <v>0.4</v>
      </c>
    </row>
    <row r="3337">
      <c r="A3337" s="10" t="s">
        <v>4776</v>
      </c>
      <c r="B3337" s="7" t="str">
        <f>IFERROR(__xludf.DUMMYFUNCTION("SPLIT(A3337,"" "")"),"Cc1cc(CN(C)C2CCCCC2N(C)CN(Cc2cc(C)c(C)c(C)n2)C2CCCCC2N(C)Cc2cc(C)c(C)c(C)n2)nc(C)c1C")</f>
        <v>Cc1cc(CN(C)C2CCCCC2N(C)CN(Cc2cc(C)c(C)c(C)n2)C2CCCCC2N(C)Cc2cc(C)c(C)c(C)n2)nc(C)c1C</v>
      </c>
      <c r="C3337" s="7">
        <f>IFERROR(__xludf.DUMMYFUNCTION("""COMPUTED_VALUE"""),7.8022037)</f>
        <v>7.8022037</v>
      </c>
      <c r="D3337" s="7">
        <f>IFERROR(__xludf.DUMMYFUNCTION("""COMPUTED_VALUE"""),0.458333333333333)</f>
        <v>0.4583333333</v>
      </c>
    </row>
    <row r="3338">
      <c r="A3338" s="10" t="s">
        <v>4777</v>
      </c>
      <c r="B3338" s="7" t="str">
        <f>IFERROR(__xludf.DUMMYFUNCTION("SPLIT(A3338,"" "")"),"CN(CC1=CCC=CN1)CC1=CCC=CN1")</f>
        <v>CN(CC1=CCC=CN1)CC1=CCC=CN1</v>
      </c>
      <c r="C3338" s="7">
        <f>IFERROR(__xludf.DUMMYFUNCTION("""COMPUTED_VALUE"""),7.8021946)</f>
        <v>7.8021946</v>
      </c>
      <c r="D3338" s="7">
        <f>IFERROR(__xludf.DUMMYFUNCTION("""COMPUTED_VALUE"""),0.475)</f>
        <v>0.475</v>
      </c>
    </row>
    <row r="3339">
      <c r="A3339" s="10" t="s">
        <v>4778</v>
      </c>
      <c r="B3339" s="7" t="str">
        <f>IFERROR(__xludf.DUMMYFUNCTION("SPLIT(A3339,"" "")"),"CC(C)NCc1cccc(CN(C)Cc2cccc(-c3ccc4c(c3)OCCOCCOCCOCCOCCO4)n2)n1")</f>
        <v>CC(C)NCc1cccc(CN(C)Cc2cccc(-c3ccc4c(c3)OCCOCCOCCOCCOCCO4)n2)n1</v>
      </c>
      <c r="C3339" s="7">
        <f>IFERROR(__xludf.DUMMYFUNCTION("""COMPUTED_VALUE"""),7.802189)</f>
        <v>7.802189</v>
      </c>
      <c r="D3339" s="7">
        <f>IFERROR(__xludf.DUMMYFUNCTION("""COMPUTED_VALUE"""),0.344262295081967)</f>
        <v>0.3442622951</v>
      </c>
    </row>
    <row r="3340">
      <c r="A3340" s="10" t="s">
        <v>4779</v>
      </c>
      <c r="B3340" s="7" t="str">
        <f>IFERROR(__xludf.DUMMYFUNCTION("SPLIT(A3340,"" "")"),"CC1C=CCC(C)(c2cccc(CN(Cc3ccccn3)Cc3cccc(-c4ccc5c(c4)OCCOCCOCCOCCOCCO5)n3)n2)C1C")</f>
        <v>CC1C=CCC(C)(c2cccc(CN(Cc3ccccn3)Cc3cccc(-c4ccc5c(c4)OCCOCCOCCOCCOCCO5)n3)n2)C1C</v>
      </c>
      <c r="C3340" s="7">
        <f>IFERROR(__xludf.DUMMYFUNCTION("""COMPUTED_VALUE"""),7.802189)</f>
        <v>7.802189</v>
      </c>
      <c r="D3340" s="7">
        <f>IFERROR(__xludf.DUMMYFUNCTION("""COMPUTED_VALUE"""),0.413333333333333)</f>
        <v>0.4133333333</v>
      </c>
    </row>
    <row r="3341">
      <c r="A3341" s="10" t="s">
        <v>4780</v>
      </c>
      <c r="B3341" s="7" t="str">
        <f>IFERROR(__xludf.DUMMYFUNCTION("SPLIT(A3341,"" "")"),"CNCC1CCC(N(C)Cc2cccc(C)n2)N1Cc1ccccn1")</f>
        <v>CNCC1CCC(N(C)Cc2cccc(C)n2)N1Cc1ccccn1</v>
      </c>
      <c r="C3341" s="7">
        <f>IFERROR(__xludf.DUMMYFUNCTION("""COMPUTED_VALUE"""),7.802185)</f>
        <v>7.802185</v>
      </c>
      <c r="D3341" s="7">
        <f>IFERROR(__xludf.DUMMYFUNCTION("""COMPUTED_VALUE"""),0.446428571428571)</f>
        <v>0.4464285714</v>
      </c>
    </row>
    <row r="3342">
      <c r="A3342" s="10" t="s">
        <v>4781</v>
      </c>
      <c r="B3342" s="7" t="str">
        <f>IFERROR(__xludf.DUMMYFUNCTION("SPLIT(A3342,"" "")"),"CNCc1cc(CN(C)C2CCC(N(C)Cc3cc(C)c(C)c(C)n3)CC2)ccn1")</f>
        <v>CNCc1cc(CN(C)C2CCC(N(C)Cc3cc(C)c(C)c(C)n3)CC2)ccn1</v>
      </c>
      <c r="C3342" s="7">
        <f>IFERROR(__xludf.DUMMYFUNCTION("""COMPUTED_VALUE"""),7.8021774)</f>
        <v>7.8021774</v>
      </c>
      <c r="D3342" s="7">
        <f>IFERROR(__xludf.DUMMYFUNCTION("""COMPUTED_VALUE"""),0.310344827586206)</f>
        <v>0.3103448276</v>
      </c>
    </row>
    <row r="3343">
      <c r="A3343" s="10" t="s">
        <v>4782</v>
      </c>
      <c r="B3343" s="7" t="str">
        <f>IFERROR(__xludf.DUMMYFUNCTION("SPLIT(A3343,"" "")"),"C=CCN(C)CCN(C)Cc1cncc(C)c1")</f>
        <v>C=CCN(C)CCN(C)Cc1cncc(C)c1</v>
      </c>
      <c r="C3343" s="7">
        <f>IFERROR(__xludf.DUMMYFUNCTION("""COMPUTED_VALUE"""),7.8021727)</f>
        <v>7.8021727</v>
      </c>
      <c r="D3343" s="7">
        <f>IFERROR(__xludf.DUMMYFUNCTION("""COMPUTED_VALUE"""),0.348837209302325)</f>
        <v>0.3488372093</v>
      </c>
    </row>
    <row r="3344">
      <c r="A3344" s="10" t="s">
        <v>4783</v>
      </c>
      <c r="B3344" s="7" t="str">
        <f>IFERROR(__xludf.DUMMYFUNCTION("SPLIT(A3344,"" "")"),"Cc1cnc(CN(C)C2CCC(N(CCN(C)Cc3ccccn3)Cc3ccccn3)CC2)c(C)c1C")</f>
        <v>Cc1cnc(CN(C)C2CCC(N(CCN(C)Cc3ccccn3)Cc3ccccn3)CC2)c(C)c1C</v>
      </c>
      <c r="C3344" s="7">
        <f>IFERROR(__xludf.DUMMYFUNCTION("""COMPUTED_VALUE"""),7.80217)</f>
        <v>7.80217</v>
      </c>
      <c r="D3344" s="7">
        <f>IFERROR(__xludf.DUMMYFUNCTION("""COMPUTED_VALUE"""),0.418181818181818)</f>
        <v>0.4181818182</v>
      </c>
    </row>
    <row r="3345">
      <c r="A3345" s="10" t="s">
        <v>4784</v>
      </c>
      <c r="B3345" s="7" t="str">
        <f>IFERROR(__xludf.DUMMYFUNCTION("SPLIT(A3345,"" "")"),"Cc1cncc(CN(Cc2ccccn2)C2CCC(N(C)Cc3cccc(C4CCC4(C)C)n3)CC2)c1")</f>
        <v>Cc1cncc(CN(Cc2ccccn2)C2CCC(N(C)Cc3cccc(C4CCC4(C)C)n3)CC2)c1</v>
      </c>
      <c r="C3345" s="7">
        <f>IFERROR(__xludf.DUMMYFUNCTION("""COMPUTED_VALUE"""),7.8021665)</f>
        <v>7.8021665</v>
      </c>
      <c r="D3345" s="7">
        <f>IFERROR(__xludf.DUMMYFUNCTION("""COMPUTED_VALUE"""),0.35820895522388)</f>
        <v>0.3582089552</v>
      </c>
    </row>
    <row r="3346">
      <c r="A3346" s="10" t="s">
        <v>4785</v>
      </c>
      <c r="B3346" s="7" t="str">
        <f>IFERROR(__xludf.DUMMYFUNCTION("SPLIT(A3346,"" "")"),"Cc1cc(C)c(C)c(CN(C)C2CCCCC2N(CC2=CCC=CN2)Cc2ccccn2)n1")</f>
        <v>Cc1cc(C)c(C)c(CN(C)C2CCCCC2N(CC2=CCC=CN2)Cc2ccccn2)n1</v>
      </c>
      <c r="C3346" s="7">
        <f>IFERROR(__xludf.DUMMYFUNCTION("""COMPUTED_VALUE"""),7.8021655)</f>
        <v>7.8021655</v>
      </c>
      <c r="D3346" s="7">
        <f>IFERROR(__xludf.DUMMYFUNCTION("""COMPUTED_VALUE"""),0.476923076923076)</f>
        <v>0.4769230769</v>
      </c>
    </row>
    <row r="3347">
      <c r="A3347" s="10" t="s">
        <v>4786</v>
      </c>
      <c r="B3347" s="7" t="str">
        <f>IFERROR(__xludf.DUMMYFUNCTION("SPLIT(A3347,"" "")"),"CNCc1ccc(CN(Cc2ccccn2)C2CCC(N(C)Cc3cccc(C4CC(Cl)C4Cl)n3)CC2)cn1")</f>
        <v>CNCc1ccc(CN(Cc2ccccn2)C2CCC(N(C)Cc3cccc(C4CC(Cl)C4Cl)n3)CC2)cn1</v>
      </c>
      <c r="C3347" s="7">
        <f>IFERROR(__xludf.DUMMYFUNCTION("""COMPUTED_VALUE"""),7.8021636)</f>
        <v>7.8021636</v>
      </c>
      <c r="D3347" s="7">
        <f>IFERROR(__xludf.DUMMYFUNCTION("""COMPUTED_VALUE"""),0.342857142857142)</f>
        <v>0.3428571429</v>
      </c>
    </row>
    <row r="3348">
      <c r="A3348" s="10" t="s">
        <v>4787</v>
      </c>
      <c r="B3348" s="7" t="str">
        <f>IFERROR(__xludf.DUMMYFUNCTION("SPLIT(A3348,"" "")"),"CC(C)C(C)N(CC1=C(N(C)Cc2ncccc2-c2ccc3c(c2)OCCOCCOCCOCCOCCO3)CC=CN1)Cc1ccccn1")</f>
        <v>CC(C)C(C)N(CC1=C(N(C)Cc2ncccc2-c2ccc3c(c2)OCCOCCOCCOCCOCCO3)CC=CN1)Cc1ccccn1</v>
      </c>
      <c r="C3348" s="7">
        <f>IFERROR(__xludf.DUMMYFUNCTION("""COMPUTED_VALUE"""),7.802163)</f>
        <v>7.802163</v>
      </c>
      <c r="D3348" s="7">
        <f>IFERROR(__xludf.DUMMYFUNCTION("""COMPUTED_VALUE"""),0.297297297297297)</f>
        <v>0.2972972973</v>
      </c>
    </row>
    <row r="3349">
      <c r="A3349" s="10" t="s">
        <v>4788</v>
      </c>
      <c r="B3349" s="7" t="str">
        <f>IFERROR(__xludf.DUMMYFUNCTION("SPLIT(A3349,"" "")"),"Cc1cc(Cl)c2c(c1N(Cc1ccccn1)Cc1ccccn1)OCCOCCOCCOCCOCCO2")</f>
        <v>Cc1cc(Cl)c2c(c1N(Cc1ccccn1)Cc1ccccn1)OCCOCCOCCOCCOCCO2</v>
      </c>
      <c r="C3349" s="7">
        <f>IFERROR(__xludf.DUMMYFUNCTION("""COMPUTED_VALUE"""),7.80216)</f>
        <v>7.80216</v>
      </c>
      <c r="D3349" s="7">
        <f>IFERROR(__xludf.DUMMYFUNCTION("""COMPUTED_VALUE"""),0.44)</f>
        <v>0.44</v>
      </c>
    </row>
    <row r="3350">
      <c r="A3350" s="10" t="s">
        <v>4789</v>
      </c>
      <c r="B3350" s="7" t="str">
        <f>IFERROR(__xludf.DUMMYFUNCTION("SPLIT(A3350,"" "")"),"Cc1cc(CN(C)C2=C(CN3CCN(C)CCN(C)CC3)NC=CC2)nc(C)c1C")</f>
        <v>Cc1cc(CN(C)C2=C(CN3CCN(C)CCN(C)CC3)NC=CC2)nc(C)c1C</v>
      </c>
      <c r="C3350" s="7">
        <f>IFERROR(__xludf.DUMMYFUNCTION("""COMPUTED_VALUE"""),7.8021493)</f>
        <v>7.8021493</v>
      </c>
      <c r="D3350" s="7">
        <f>IFERROR(__xludf.DUMMYFUNCTION("""COMPUTED_VALUE"""),0.344827586206896)</f>
        <v>0.3448275862</v>
      </c>
    </row>
    <row r="3351">
      <c r="A3351" s="10" t="s">
        <v>4790</v>
      </c>
      <c r="B3351" s="7" t="str">
        <f>IFERROR(__xludf.DUMMYFUNCTION("SPLIT(A3351,"" "")"),"FCNCc1cc(CN(Cc2ccccn2)Cc2cccc(-c3ccc4c(c3)OCCOCCOCCOCCOCCO4)n2)ccn1")</f>
        <v>FCNCc1cc(CN(Cc2ccccn2)Cc2cccc(-c3ccc4c(c3)OCCOCCOCCOCCOCCO4)n2)ccn1</v>
      </c>
      <c r="C3351" s="7">
        <f>IFERROR(__xludf.DUMMYFUNCTION("""COMPUTED_VALUE"""),7.8021474)</f>
        <v>7.8021474</v>
      </c>
      <c r="D3351" s="7">
        <f>IFERROR(__xludf.DUMMYFUNCTION("""COMPUTED_VALUE"""),0.428571428571428)</f>
        <v>0.4285714286</v>
      </c>
    </row>
    <row r="3352">
      <c r="A3352" s="10" t="s">
        <v>4791</v>
      </c>
      <c r="B3352" s="7" t="str">
        <f>IFERROR(__xludf.DUMMYFUNCTION("SPLIT(A3352,"" "")"),"CN(Cc1ccccn1)Cc1cccc(N(C)c2ccc3c(c2)OCCOCCOCCOCCOCCO3)n1")</f>
        <v>CN(Cc1ccccn1)Cc1cccc(N(C)c2ccc3c(c2)OCCOCCOCCOCCOCCO3)n1</v>
      </c>
      <c r="C3352" s="7">
        <f>IFERROR(__xludf.DUMMYFUNCTION("""COMPUTED_VALUE"""),7.802142)</f>
        <v>7.802142</v>
      </c>
      <c r="D3352" s="7">
        <f>IFERROR(__xludf.DUMMYFUNCTION("""COMPUTED_VALUE"""),0.454545454545454)</f>
        <v>0.4545454545</v>
      </c>
    </row>
    <row r="3353">
      <c r="A3353" s="10" t="s">
        <v>4792</v>
      </c>
      <c r="B3353" s="7" t="str">
        <f>IFERROR(__xludf.DUMMYFUNCTION("SPLIT(A3353,"" "")"),"CCNC(C)N(C)Cc1cc(C)ccn1")</f>
        <v>CCNC(C)N(C)Cc1cc(C)ccn1</v>
      </c>
      <c r="C3353" s="7">
        <f>IFERROR(__xludf.DUMMYFUNCTION("""COMPUTED_VALUE"""),7.8021383)</f>
        <v>7.8021383</v>
      </c>
      <c r="D3353" s="7">
        <f>IFERROR(__xludf.DUMMYFUNCTION("""COMPUTED_VALUE"""),0.361702127659574)</f>
        <v>0.3617021277</v>
      </c>
    </row>
    <row r="3354">
      <c r="A3354" s="10" t="s">
        <v>4793</v>
      </c>
      <c r="B3354" s="7" t="str">
        <f>IFERROR(__xludf.DUMMYFUNCTION("SPLIT(A3354,"" "")"),"CCN(CC1=CC(N(C)Cc2ncccc2C)C=CN1)Cc1cccc(-c2ccc3c(c2)OCCOCCOCCOCCOCCO3)n1")</f>
        <v>CCN(CC1=CC(N(C)Cc2ncccc2C)C=CN1)Cc1cccc(-c2ccc3c(c2)OCCOCCOCCOCCOCCO3)n1</v>
      </c>
      <c r="C3354" s="7">
        <f>IFERROR(__xludf.DUMMYFUNCTION("""COMPUTED_VALUE"""),7.802136)</f>
        <v>7.802136</v>
      </c>
      <c r="D3354" s="7">
        <f>IFERROR(__xludf.DUMMYFUNCTION("""COMPUTED_VALUE"""),0.305882352941176)</f>
        <v>0.3058823529</v>
      </c>
    </row>
    <row r="3355">
      <c r="A3355" s="10" t="s">
        <v>4794</v>
      </c>
      <c r="B3355" s="7" t="str">
        <f>IFERROR(__xludf.DUMMYFUNCTION("SPLIT(A3355,"" "")"),"CN(Cc1cccc(-c2ccc3c(c2)OCCOCCOCCOCCOCCO3)n1)C1CCC(N(Cc2ccccn2)c2ccnc(CF)c2)CC1")</f>
        <v>CN(Cc1cccc(-c2ccc3c(c2)OCCOCCOCCOCCOCCO3)n1)C1CCC(N(Cc2ccccn2)c2ccnc(CF)c2)CC1</v>
      </c>
      <c r="C3355" s="7">
        <f>IFERROR(__xludf.DUMMYFUNCTION("""COMPUTED_VALUE"""),7.8021336)</f>
        <v>7.8021336</v>
      </c>
      <c r="D3355" s="7">
        <f>IFERROR(__xludf.DUMMYFUNCTION("""COMPUTED_VALUE"""),0.366197183098591)</f>
        <v>0.3661971831</v>
      </c>
    </row>
    <row r="3356">
      <c r="A3356" s="10" t="s">
        <v>4795</v>
      </c>
      <c r="B3356" s="7" t="str">
        <f>IFERROR(__xludf.DUMMYFUNCTION("SPLIT(A3356,"" "")"),"Cc1cncc(CN(C)C2CCC(N(C)Cc3ncc(C)c(C)c3C)CC2)c1")</f>
        <v>Cc1cncc(CN(C)C2CCC(N(C)Cc3ncc(C)c(C)c3C)CC2)c1</v>
      </c>
      <c r="C3356" s="7">
        <f>IFERROR(__xludf.DUMMYFUNCTION("""COMPUTED_VALUE"""),7.8021317)</f>
        <v>7.8021317</v>
      </c>
      <c r="D3356" s="7">
        <f>IFERROR(__xludf.DUMMYFUNCTION("""COMPUTED_VALUE"""),0.314814814814814)</f>
        <v>0.3148148148</v>
      </c>
    </row>
    <row r="3357">
      <c r="A3357" s="10" t="s">
        <v>4796</v>
      </c>
      <c r="B3357" s="7" t="str">
        <f>IFERROR(__xludf.DUMMYFUNCTION("SPLIT(A3357,"" "")"),"CC(C)N(Cc1cccc(CN(C)Cc2cccc(-c3ccc4c(c3)OCCOCCOCCOCCOCCO4)n2)n1)Cc1cccc(-c2ccc3c(c2)OCCOCCOCCOCCOCCO3)n1")</f>
        <v>CC(C)N(Cc1cccc(CN(C)Cc2cccc(-c3ccc4c(c3)OCCOCCOCCOCCOCCO4)n2)n1)Cc1cccc(-c2ccc3c(c2)OCCOCCOCCOCCOCCO3)n1</v>
      </c>
      <c r="C3357" s="7">
        <f>IFERROR(__xludf.DUMMYFUNCTION("""COMPUTED_VALUE"""),7.8021293)</f>
        <v>7.8021293</v>
      </c>
      <c r="D3357" s="7">
        <f>IFERROR(__xludf.DUMMYFUNCTION("""COMPUTED_VALUE"""),0.362068965517241)</f>
        <v>0.3620689655</v>
      </c>
    </row>
    <row r="3358">
      <c r="A3358" s="10" t="s">
        <v>4797</v>
      </c>
      <c r="B3358" s="7" t="str">
        <f>IFERROR(__xludf.DUMMYFUNCTION("SPLIT(A3358,"" "")"),"CC1=CC(C)(C)C(C)C(N(C)Cc2ncccc2C(C)(C)C)C1")</f>
        <v>CC1=CC(C)(C)C(C)C(N(C)Cc2ncccc2C(C)(C)C)C1</v>
      </c>
      <c r="C3358" s="7">
        <f>IFERROR(__xludf.DUMMYFUNCTION("""COMPUTED_VALUE"""),7.802116)</f>
        <v>7.802116</v>
      </c>
      <c r="D3358" s="7">
        <f>IFERROR(__xludf.DUMMYFUNCTION("""COMPUTED_VALUE"""),0.31578947368421)</f>
        <v>0.3157894737</v>
      </c>
    </row>
    <row r="3359">
      <c r="A3359" s="10" t="s">
        <v>4798</v>
      </c>
      <c r="B3359" s="7" t="str">
        <f>IFERROR(__xludf.DUMMYFUNCTION("SPLIT(A3359,"" "")"),"CC1=NCC(C(C)N(C)Cc2ccccn2)O1")</f>
        <v>CC1=NCC(C(C)N(C)Cc2ccccn2)O1</v>
      </c>
      <c r="C3359" s="7">
        <f>IFERROR(__xludf.DUMMYFUNCTION("""COMPUTED_VALUE"""),7.8021054)</f>
        <v>7.8021054</v>
      </c>
      <c r="D3359" s="7">
        <f>IFERROR(__xludf.DUMMYFUNCTION("""COMPUTED_VALUE"""),0.4375)</f>
        <v>0.4375</v>
      </c>
    </row>
    <row r="3360">
      <c r="A3360" s="10" t="s">
        <v>4799</v>
      </c>
      <c r="B3360" s="7" t="str">
        <f>IFERROR(__xludf.DUMMYFUNCTION("SPLIT(A3360,"" "")"),"CN(Cc1cccc(C2CC(C)(C)C2)n1)C1CCC(N(C)Cc2cccc(C3CC(C)(C)C3)n2)CC1")</f>
        <v>CN(Cc1cccc(C2CC(C)(C)C2)n1)C1CCC(N(C)Cc2cccc(C3CC(C)(C)C3)n2)CC1</v>
      </c>
      <c r="C3360" s="7">
        <f>IFERROR(__xludf.DUMMYFUNCTION("""COMPUTED_VALUE"""),7.8021007)</f>
        <v>7.8021007</v>
      </c>
      <c r="D3360" s="7">
        <f>IFERROR(__xludf.DUMMYFUNCTION("""COMPUTED_VALUE"""),0.425531914893617)</f>
        <v>0.4255319149</v>
      </c>
    </row>
    <row r="3361">
      <c r="A3361" s="10" t="s">
        <v>4800</v>
      </c>
      <c r="B3361" s="7" t="str">
        <f>IFERROR(__xludf.DUMMYFUNCTION("SPLIT(A3361,"" "")"),"Cc1cnccc1CN(C)C1CCCC(N(Cc2ccccn2)Cc2ccccn2)C1")</f>
        <v>Cc1cnccc1CN(C)C1CCCC(N(Cc2ccccn2)Cc2ccccn2)C1</v>
      </c>
      <c r="C3361" s="7">
        <f>IFERROR(__xludf.DUMMYFUNCTION("""COMPUTED_VALUE"""),7.8020954)</f>
        <v>7.8020954</v>
      </c>
      <c r="D3361" s="7">
        <f>IFERROR(__xludf.DUMMYFUNCTION("""COMPUTED_VALUE"""),0.461538461538461)</f>
        <v>0.4615384615</v>
      </c>
    </row>
    <row r="3362">
      <c r="A3362" s="10" t="s">
        <v>4801</v>
      </c>
      <c r="B3362" s="7" t="str">
        <f>IFERROR(__xludf.DUMMYFUNCTION("SPLIT(A3362,"" "")"),"CNCc1cccc(CN(C)Cc2cccc(-c3ccc4c(c3)OCCOCCOCCOCCOCCO4)n2)n1")</f>
        <v>CNCc1cccc(CN(C)Cc2cccc(-c3ccc4c(c3)OCCOCCOCCOCCOCCO4)n2)n1</v>
      </c>
      <c r="C3362" s="7">
        <f>IFERROR(__xludf.DUMMYFUNCTION("""COMPUTED_VALUE"""),7.8020773)</f>
        <v>7.8020773</v>
      </c>
      <c r="D3362" s="7">
        <f>IFERROR(__xludf.DUMMYFUNCTION("""COMPUTED_VALUE"""),0.362068965517241)</f>
        <v>0.3620689655</v>
      </c>
    </row>
    <row r="3363">
      <c r="A3363" s="10" t="s">
        <v>4802</v>
      </c>
      <c r="B3363" s="7" t="str">
        <f>IFERROR(__xludf.DUMMYFUNCTION("SPLIT(A3363,"" "")"),"Cc1ccnc(CN(C)C2CCCC(N(C)Cc3ncc(C)c(C)c3C)C2)c1")</f>
        <v>Cc1ccnc(CN(C)C2CCCC(N(C)Cc3ncc(C)c(C)c3C)C2)c1</v>
      </c>
      <c r="C3363" s="7">
        <f>IFERROR(__xludf.DUMMYFUNCTION("""COMPUTED_VALUE"""),7.802073)</f>
        <v>7.802073</v>
      </c>
      <c r="D3363" s="7">
        <f>IFERROR(__xludf.DUMMYFUNCTION("""COMPUTED_VALUE"""),0.388888888888888)</f>
        <v>0.3888888889</v>
      </c>
    </row>
    <row r="3364">
      <c r="A3364" s="10" t="s">
        <v>4803</v>
      </c>
      <c r="B3364" s="7" t="str">
        <f>IFERROR(__xludf.DUMMYFUNCTION("SPLIT(A3364,"" "")"),"CC1=CC(C(C)N(C)Cc2cc(C(C)(C)C)ccn2)C(C)C(C)(C)C1")</f>
        <v>CC1=CC(C(C)N(C)Cc2cc(C(C)(C)C)ccn2)C(C)C(C)(C)C1</v>
      </c>
      <c r="C3364" s="7">
        <f>IFERROR(__xludf.DUMMYFUNCTION("""COMPUTED_VALUE"""),7.8020477)</f>
        <v>7.8020477</v>
      </c>
      <c r="D3364" s="7">
        <f>IFERROR(__xludf.DUMMYFUNCTION("""COMPUTED_VALUE"""),0.238095238095238)</f>
        <v>0.2380952381</v>
      </c>
    </row>
    <row r="3365">
      <c r="A3365" s="10" t="s">
        <v>4804</v>
      </c>
      <c r="B3365" s="7" t="str">
        <f>IFERROR(__xludf.DUMMYFUNCTION("SPLIT(A3365,"" "")"),"CCN(Cc1ccccn1)C1CCCC(N(C)Cc2nc(C)c(C)c(C)c2C)C1")</f>
        <v>CCN(Cc1ccccn1)C1CCCC(N(C)Cc2nc(C)c(C)c(C)c2C)C1</v>
      </c>
      <c r="C3365" s="7">
        <f>IFERROR(__xludf.DUMMYFUNCTION("""COMPUTED_VALUE"""),7.8020473)</f>
        <v>7.8020473</v>
      </c>
      <c r="D3365" s="7">
        <f>IFERROR(__xludf.DUMMYFUNCTION("""COMPUTED_VALUE"""),0.436363636363636)</f>
        <v>0.4363636364</v>
      </c>
    </row>
    <row r="3366">
      <c r="A3366" s="10" t="s">
        <v>4805</v>
      </c>
      <c r="B3366" s="7" t="str">
        <f>IFERROR(__xludf.DUMMYFUNCTION("SPLIT(A3366,"" "")"),"Cc1cc(CN(C)C2CCCC(N(Cc3ccc(CN4CCN(C)CCN(C)CC4)cn3)Cc3cc(C)c(C)c(C)n3)C2)nc(C)c1C")</f>
        <v>Cc1cc(CN(C)C2CCCC(N(Cc3ccc(CN4CCN(C)CCN(C)CC4)cn3)Cc3cc(C)c(C)c(C)n3)C2)nc(C)c1C</v>
      </c>
      <c r="C3366" s="7">
        <f>IFERROR(__xludf.DUMMYFUNCTION("""COMPUTED_VALUE"""),7.802018)</f>
        <v>7.802018</v>
      </c>
      <c r="D3366" s="7">
        <f>IFERROR(__xludf.DUMMYFUNCTION("""COMPUTED_VALUE"""),0.333333333333333)</f>
        <v>0.3333333333</v>
      </c>
    </row>
    <row r="3367">
      <c r="A3367" s="10" t="s">
        <v>4806</v>
      </c>
      <c r="B3367" s="7" t="str">
        <f>IFERROR(__xludf.DUMMYFUNCTION("SPLIT(A3367,"" "")"),"C=CCN(C)CCN(C)Cc1cccnc1C")</f>
        <v>C=CCN(C)CCN(C)Cc1cccnc1C</v>
      </c>
      <c r="C3367" s="7">
        <f>IFERROR(__xludf.DUMMYFUNCTION("""COMPUTED_VALUE"""),7.8020177)</f>
        <v>7.8020177</v>
      </c>
      <c r="D3367" s="7">
        <f>IFERROR(__xludf.DUMMYFUNCTION("""COMPUTED_VALUE"""),0.5)</f>
        <v>0.5</v>
      </c>
    </row>
    <row r="3368">
      <c r="A3368" s="10" t="s">
        <v>4807</v>
      </c>
      <c r="B3368" s="7" t="str">
        <f>IFERROR(__xludf.DUMMYFUNCTION("SPLIT(A3368,"" "")"),"Cc1ccc(CN(C)C2CCC(N(C)Cc3ccccn3)CC2N(Cc2ccccn2)Cc2cccc(-c3ccc4c(c3)OCCOCCOCCOCCOCCO4)n2)nc1")</f>
        <v>Cc1ccc(CN(C)C2CCC(N(C)Cc3ccccn3)CC2N(Cc2ccccn2)Cc2cccc(-c3ccc4c(c3)OCCOCCOCCOCCOCCO4)n2)nc1</v>
      </c>
      <c r="C3368" s="7">
        <f>IFERROR(__xludf.DUMMYFUNCTION("""COMPUTED_VALUE"""),7.8020105)</f>
        <v>7.8020105</v>
      </c>
      <c r="D3368" s="7">
        <f>IFERROR(__xludf.DUMMYFUNCTION("""COMPUTED_VALUE"""),0.383561643835616)</f>
        <v>0.3835616438</v>
      </c>
    </row>
    <row r="3369">
      <c r="A3369" s="10" t="s">
        <v>4808</v>
      </c>
      <c r="B3369" s="7" t="str">
        <f>IFERROR(__xludf.DUMMYFUNCTION("SPLIT(A3369,"" "")"),"Cc1nc(CN(C)C2CCC(N(C)C)CC2)c(C)c(C)c1C")</f>
        <v>Cc1nc(CN(C)C2CCC(N(C)C)CC2)c(C)c(C)c1C</v>
      </c>
      <c r="C3369" s="7">
        <f>IFERROR(__xludf.DUMMYFUNCTION("""COMPUTED_VALUE"""),7.801998)</f>
        <v>7.801998</v>
      </c>
      <c r="D3369" s="7">
        <f>IFERROR(__xludf.DUMMYFUNCTION("""COMPUTED_VALUE"""),0.270833333333333)</f>
        <v>0.2708333333</v>
      </c>
    </row>
    <row r="3370">
      <c r="A3370" s="10" t="s">
        <v>4809</v>
      </c>
      <c r="B3370" s="7" t="str">
        <f>IFERROR(__xludf.DUMMYFUNCTION("SPLIT(A3370,"" "")"),"CNCc1cccnn1")</f>
        <v>CNCc1cccnn1</v>
      </c>
      <c r="C3370" s="7">
        <f>IFERROR(__xludf.DUMMYFUNCTION("""COMPUTED_VALUE"""),7.8019953)</f>
        <v>7.8019953</v>
      </c>
      <c r="D3370" s="7">
        <f>IFERROR(__xludf.DUMMYFUNCTION("""COMPUTED_VALUE"""),0.5)</f>
        <v>0.5</v>
      </c>
    </row>
    <row r="3371">
      <c r="A3371" s="10" t="s">
        <v>4810</v>
      </c>
      <c r="B3371" s="7" t="str">
        <f>IFERROR(__xludf.DUMMYFUNCTION("SPLIT(A3371,"" "")"),"CC1=C(C)C(C)CC2(C1)C(C)C(C)=C(C)C(N(C)Cc1ccccn1)C2C")</f>
        <v>CC1=C(C)C(C)CC2(C1)C(C)C(C)=C(C)C(N(C)Cc1ccccn1)C2C</v>
      </c>
      <c r="C3371" s="7">
        <f>IFERROR(__xludf.DUMMYFUNCTION("""COMPUTED_VALUE"""),7.80199)</f>
        <v>7.80199</v>
      </c>
      <c r="D3371" s="7">
        <f>IFERROR(__xludf.DUMMYFUNCTION("""COMPUTED_VALUE"""),0.425925925925925)</f>
        <v>0.4259259259</v>
      </c>
    </row>
    <row r="3372">
      <c r="A3372" s="10" t="s">
        <v>4811</v>
      </c>
      <c r="B3372" s="7" t="str">
        <f>IFERROR(__xludf.DUMMYFUNCTION("SPLIT(A3372,"" "")"),"CN(Cc1cccnn1)C1CCCC(N(Cc2ccccn2)Cc2cccnc2F)C1")</f>
        <v>CN(Cc1cccnn1)C1CCCC(N(Cc2ccccn2)Cc2cccnc2F)C1</v>
      </c>
      <c r="C3372" s="7">
        <f>IFERROR(__xludf.DUMMYFUNCTION("""COMPUTED_VALUE"""),7.801988)</f>
        <v>7.801988</v>
      </c>
      <c r="D3372" s="7">
        <f>IFERROR(__xludf.DUMMYFUNCTION("""COMPUTED_VALUE"""),0.462962962962962)</f>
        <v>0.462962963</v>
      </c>
    </row>
    <row r="3373">
      <c r="A3373" s="10" t="s">
        <v>4812</v>
      </c>
      <c r="B3373" s="7" t="str">
        <f>IFERROR(__xludf.DUMMYFUNCTION("SPLIT(A3373,"" "")"),"C=CCNCc1cccc(CN(Cc2ccccn2)C2CCC(N(C)Cc3cccc(C)n3)CC2)n1")</f>
        <v>C=CCNCc1cccc(CN(Cc2ccccn2)C2CCC(N(C)Cc3cccc(C)n3)CC2)n1</v>
      </c>
      <c r="C3373" s="7">
        <f>IFERROR(__xludf.DUMMYFUNCTION("""COMPUTED_VALUE"""),7.8019753)</f>
        <v>7.8019753</v>
      </c>
      <c r="D3373" s="7">
        <f>IFERROR(__xludf.DUMMYFUNCTION("""COMPUTED_VALUE"""),0.416666666666666)</f>
        <v>0.4166666667</v>
      </c>
    </row>
    <row r="3374">
      <c r="A3374" s="10" t="s">
        <v>4813</v>
      </c>
      <c r="B3374" s="7" t="str">
        <f>IFERROR(__xludf.DUMMYFUNCTION("SPLIT(A3374,"" "")"),"Cc1cc(CN(Cc2ccccn2)C2CCCC(N(C)C)C2)nc(C)c1C")</f>
        <v>Cc1cc(CN(Cc2ccccn2)C2CCCC(N(C)C)C2)nc(C)c1C</v>
      </c>
      <c r="C3374" s="7">
        <f>IFERROR(__xludf.DUMMYFUNCTION("""COMPUTED_VALUE"""),7.801971)</f>
        <v>7.801971</v>
      </c>
      <c r="D3374" s="7">
        <f>IFERROR(__xludf.DUMMYFUNCTION("""COMPUTED_VALUE"""),0.433962264150943)</f>
        <v>0.4339622642</v>
      </c>
    </row>
    <row r="3375">
      <c r="A3375" s="10" t="s">
        <v>4814</v>
      </c>
      <c r="B3375" s="7" t="str">
        <f>IFERROR(__xludf.DUMMYFUNCTION("SPLIT(A3375,"" "")"),"CN(Cc1cccc(-c2cccc3c2OCCOCCOCCOCCOCCO3)n1)C1=CNC(C(C)(C)C)=CC1")</f>
        <v>CN(Cc1cccc(-c2cccc3c2OCCOCCOCCOCCOCCO3)n1)C1=CNC(C(C)(C)C)=CC1</v>
      </c>
      <c r="C3375" s="7">
        <f>IFERROR(__xludf.DUMMYFUNCTION("""COMPUTED_VALUE"""),7.801964)</f>
        <v>7.801964</v>
      </c>
      <c r="D3375" s="7">
        <f>IFERROR(__xludf.DUMMYFUNCTION("""COMPUTED_VALUE"""),0.264705882352941)</f>
        <v>0.2647058824</v>
      </c>
    </row>
    <row r="3376">
      <c r="A3376" s="10" t="s">
        <v>4815</v>
      </c>
      <c r="B3376" s="7" t="str">
        <f>IFERROR(__xludf.DUMMYFUNCTION("SPLIT(A3376,"" "")"),"CN1CCN(C)CCN(CC2C(N(C)c3ccc4ncc(CF)cc4c3)CCN2C)CC1")</f>
        <v>CN1CCN(C)CCN(CC2C(N(C)c3ccc4ncc(CF)cc4c3)CCN2C)CC1</v>
      </c>
      <c r="C3376" s="7">
        <f>IFERROR(__xludf.DUMMYFUNCTION("""COMPUTED_VALUE"""),7.801946)</f>
        <v>7.801946</v>
      </c>
      <c r="D3376" s="7">
        <f>IFERROR(__xludf.DUMMYFUNCTION("""COMPUTED_VALUE"""),0.298507462686567)</f>
        <v>0.2985074627</v>
      </c>
    </row>
    <row r="3377">
      <c r="A3377" s="10" t="s">
        <v>4816</v>
      </c>
      <c r="B3377" s="7" t="str">
        <f>IFERROR(__xludf.DUMMYFUNCTION("SPLIT(A3377,"" "")"),"CNCc1cccc(CN(C)C2CCC(N(C)Cc3cc(C)c(C)c(C)n3)CC2)n1")</f>
        <v>CNCc1cccc(CN(C)C2CCC(N(C)Cc3cc(C)c(C)c(C)n3)CC2)n1</v>
      </c>
      <c r="C3377" s="7">
        <f>IFERROR(__xludf.DUMMYFUNCTION("""COMPUTED_VALUE"""),7.801946)</f>
        <v>7.801946</v>
      </c>
      <c r="D3377" s="7">
        <f>IFERROR(__xludf.DUMMYFUNCTION("""COMPUTED_VALUE"""),0.396226415094339)</f>
        <v>0.3962264151</v>
      </c>
    </row>
    <row r="3378">
      <c r="A3378" s="10" t="s">
        <v>4817</v>
      </c>
      <c r="B3378" s="7" t="str">
        <f>IFERROR(__xludf.DUMMYFUNCTION("SPLIT(A3378,"" "")"),"CN1CCN(Cc2cccnc2C2OC=NC2(C)C)CCN(Cc2ncccc2C(C)(C)C)CC1")</f>
        <v>CN1CCN(Cc2cccnc2C2OC=NC2(C)C)CCN(Cc2ncccc2C(C)(C)C)CC1</v>
      </c>
      <c r="C3378" s="7">
        <f>IFERROR(__xludf.DUMMYFUNCTION("""COMPUTED_VALUE"""),7.801936)</f>
        <v>7.801936</v>
      </c>
      <c r="D3378" s="7">
        <f>IFERROR(__xludf.DUMMYFUNCTION("""COMPUTED_VALUE"""),0.344262295081967)</f>
        <v>0.3442622951</v>
      </c>
    </row>
    <row r="3379">
      <c r="A3379" s="10" t="s">
        <v>4818</v>
      </c>
      <c r="B3379" s="7" t="str">
        <f>IFERROR(__xludf.DUMMYFUNCTION("SPLIT(A3379,"" "")"),"Cc1cnc(CN(C)C2CCC(N(C)Cc3ccon3)CC2)c(C)c1")</f>
        <v>Cc1cnc(CN(C)C2CCC(N(C)Cc3ccon3)CC2)c(C)c1</v>
      </c>
      <c r="C3379" s="7">
        <f>IFERROR(__xludf.DUMMYFUNCTION("""COMPUTED_VALUE"""),7.801933)</f>
        <v>7.801933</v>
      </c>
      <c r="D3379" s="7">
        <f>IFERROR(__xludf.DUMMYFUNCTION("""COMPUTED_VALUE"""),0.404255319148936)</f>
        <v>0.4042553191</v>
      </c>
    </row>
    <row r="3380">
      <c r="A3380" s="10" t="s">
        <v>4819</v>
      </c>
      <c r="B3380" s="7" t="str">
        <f>IFERROR(__xludf.DUMMYFUNCTION("SPLIT(A3380,"" "")"),"CC(C)(C)N1C2=CC=CC1C=NCC1=CC=CC(CN=C2)N1C(C)(C)C")</f>
        <v>CC(C)(C)N1C2=CC=CC1C=NCC1=CC=CC(CN=C2)N1C(C)(C)C</v>
      </c>
      <c r="C3380" s="7">
        <f>IFERROR(__xludf.DUMMYFUNCTION("""COMPUTED_VALUE"""),7.801931)</f>
        <v>7.801931</v>
      </c>
      <c r="D3380" s="7">
        <f>IFERROR(__xludf.DUMMYFUNCTION("""COMPUTED_VALUE"""),0.188679245283018)</f>
        <v>0.1886792453</v>
      </c>
    </row>
    <row r="3381">
      <c r="A3381" s="10" t="s">
        <v>4820</v>
      </c>
      <c r="B3381" s="7" t="str">
        <f>IFERROR(__xludf.DUMMYFUNCTION("SPLIT(A3381,"" "")"),"Cc1c(CN2CCN(C)CCN(C)CC2)nc(C(C)(C)C)c(C)c1C")</f>
        <v>Cc1c(CN2CCN(C)CCN(C)CC2)nc(C(C)(C)C)c(C)c1C</v>
      </c>
      <c r="C3381" s="7">
        <f>IFERROR(__xludf.DUMMYFUNCTION("""COMPUTED_VALUE"""),7.801929)</f>
        <v>7.801929</v>
      </c>
      <c r="D3381" s="7">
        <f>IFERROR(__xludf.DUMMYFUNCTION("""COMPUTED_VALUE"""),0.413043478260869)</f>
        <v>0.4130434783</v>
      </c>
    </row>
    <row r="3382">
      <c r="A3382" s="10" t="s">
        <v>4821</v>
      </c>
      <c r="B3382" s="7" t="str">
        <f>IFERROR(__xludf.DUMMYFUNCTION("SPLIT(A3382,"" "")"),"Cc1cncc(C(C)(C)N(C)c2cccnc2CN2CCN(C)CCN(C)CC2)c1")</f>
        <v>Cc1cncc(C(C)(C)N(C)c2cccnc2CN2CCN(C)CCN(C)CC2)c1</v>
      </c>
      <c r="C3382" s="7">
        <f>IFERROR(__xludf.DUMMYFUNCTION("""COMPUTED_VALUE"""),7.8019176)</f>
        <v>7.8019176</v>
      </c>
      <c r="D3382" s="7">
        <f>IFERROR(__xludf.DUMMYFUNCTION("""COMPUTED_VALUE"""),0.385964912280701)</f>
        <v>0.3859649123</v>
      </c>
    </row>
    <row r="3383">
      <c r="A3383" s="10" t="s">
        <v>4822</v>
      </c>
      <c r="B3383" s="7" t="str">
        <f>IFERROR(__xludf.DUMMYFUNCTION("SPLIT(A3383,"" "")"),"Cc1cc(C)c(CN(C)C2CCCC(N(Cc3ccccn3)C(C)C)C2)nc1C")</f>
        <v>Cc1cc(C)c(CN(C)C2CCCC(N(Cc3ccccn3)C(C)C)C2)nc1C</v>
      </c>
      <c r="C3383" s="7">
        <f>IFERROR(__xludf.DUMMYFUNCTION("""COMPUTED_VALUE"""),7.801902)</f>
        <v>7.801902</v>
      </c>
      <c r="D3383" s="7">
        <f>IFERROR(__xludf.DUMMYFUNCTION("""COMPUTED_VALUE"""),0.428571428571428)</f>
        <v>0.4285714286</v>
      </c>
    </row>
    <row r="3384">
      <c r="A3384" s="10" t="s">
        <v>4823</v>
      </c>
      <c r="B3384" s="7" t="str">
        <f>IFERROR(__xludf.DUMMYFUNCTION("SPLIT(A3384,"" "")"),"CNCc1ccc(CN(C)Cc2cccc(-c3ccc4c(c3)OCCOCCOCCOCCOCCO4)n2)cn1")</f>
        <v>CNCc1ccc(CN(C)Cc2cccc(-c3ccc4c(c3)OCCOCCOCCOCCOCCO4)n2)cn1</v>
      </c>
      <c r="C3384" s="7">
        <f>IFERROR(__xludf.DUMMYFUNCTION("""COMPUTED_VALUE"""),7.8019004)</f>
        <v>7.8019004</v>
      </c>
      <c r="D3384" s="7">
        <f>IFERROR(__xludf.DUMMYFUNCTION("""COMPUTED_VALUE"""),0.36986301369863)</f>
        <v>0.3698630137</v>
      </c>
    </row>
    <row r="3385">
      <c r="A3385" s="10" t="s">
        <v>4824</v>
      </c>
      <c r="B3385" s="7" t="str">
        <f>IFERROR(__xludf.DUMMYFUNCTION("SPLIT(A3385,"" "")"),"CN(CC1=CC(N(C)Cc2ccccn2)C=CN1)Cc1cc(-c2ccc3c(c2)OCCOCCOCCOCCOCCO3)ccn1")</f>
        <v>CN(CC1=CC(N(C)Cc2ccccn2)C=CN1)Cc1cc(-c2ccc3c(c2)OCCOCCOCCOCCOCCO3)ccn1</v>
      </c>
      <c r="C3385" s="7">
        <f>IFERROR(__xludf.DUMMYFUNCTION("""COMPUTED_VALUE"""),7.8018947)</f>
        <v>7.8018947</v>
      </c>
      <c r="D3385" s="7">
        <f>IFERROR(__xludf.DUMMYFUNCTION("""COMPUTED_VALUE"""),0.333333333333333)</f>
        <v>0.3333333333</v>
      </c>
    </row>
    <row r="3386">
      <c r="A3386" s="10" t="s">
        <v>4825</v>
      </c>
      <c r="B3386" s="7" t="str">
        <f>IFERROR(__xludf.DUMMYFUNCTION("SPLIT(A3386,"" "")"),"FCNCc1ccc(CN(Cc2ccccn2)Cc2cccc(-c3ccc4c(c3)OCCOCCOCCOCCOCCO4)n2)cn1")</f>
        <v>FCNCc1ccc(CN(Cc2ccccn2)Cc2cccc(-c3ccc4c(c3)OCCOCCOCCOCCOCCO4)n2)cn1</v>
      </c>
      <c r="C3386" s="7">
        <f>IFERROR(__xludf.DUMMYFUNCTION("""COMPUTED_VALUE"""),7.8018894)</f>
        <v>7.8018894</v>
      </c>
      <c r="D3386" s="7">
        <f>IFERROR(__xludf.DUMMYFUNCTION("""COMPUTED_VALUE"""),0.410958904109589)</f>
        <v>0.4109589041</v>
      </c>
    </row>
    <row r="3387">
      <c r="A3387" s="10" t="s">
        <v>4826</v>
      </c>
      <c r="B3387" s="7" t="str">
        <f>IFERROR(__xludf.DUMMYFUNCTION("SPLIT(A3387,"" "")"),"FCc1ncccc1-c1ccc2c(c1)OCCOCCOCC(NCc1ccccn1)OCCOCCO2")</f>
        <v>FCc1ncccc1-c1ccc2c(c1)OCCOCCOCC(NCc1ccccn1)OCCOCCO2</v>
      </c>
      <c r="C3387" s="7">
        <f>IFERROR(__xludf.DUMMYFUNCTION("""COMPUTED_VALUE"""),7.8018866)</f>
        <v>7.8018866</v>
      </c>
      <c r="D3387" s="7">
        <f>IFERROR(__xludf.DUMMYFUNCTION("""COMPUTED_VALUE"""),0.324675324675324)</f>
        <v>0.3246753247</v>
      </c>
    </row>
    <row r="3388">
      <c r="A3388" s="10" t="s">
        <v>4827</v>
      </c>
      <c r="B3388" s="7" t="str">
        <f>IFERROR(__xludf.DUMMYFUNCTION("SPLIT(A3388,"" "")"),"CCN(Cc1nc(C)c(C)c(C)c1C)C1CCCCC1N(C)Cc1ccc([SiH3])cn1")</f>
        <v>CCN(Cc1nc(C)c(C)c(C)c1C)C1CCCCC1N(C)Cc1ccc([SiH3])cn1</v>
      </c>
      <c r="C3388" s="7">
        <f>IFERROR(__xludf.DUMMYFUNCTION("""COMPUTED_VALUE"""),7.8018727)</f>
        <v>7.8018727</v>
      </c>
      <c r="D3388" s="7">
        <f>IFERROR(__xludf.DUMMYFUNCTION("""COMPUTED_VALUE"""),0.5)</f>
        <v>0.5</v>
      </c>
    </row>
    <row r="3389">
      <c r="A3389" s="10" t="s">
        <v>4828</v>
      </c>
      <c r="B3389" s="7" t="str">
        <f>IFERROR(__xludf.DUMMYFUNCTION("SPLIT(A3389,"" "")"),"CC1=CCC(N(C)Cc2ncccc2C(C)(C)C)CC1C")</f>
        <v>CC1=CCC(N(C)Cc2ncccc2C(C)(C)C)CC1C</v>
      </c>
      <c r="C3389" s="7">
        <f>IFERROR(__xludf.DUMMYFUNCTION("""COMPUTED_VALUE"""),7.80186)</f>
        <v>7.80186</v>
      </c>
      <c r="D3389" s="7">
        <f>IFERROR(__xludf.DUMMYFUNCTION("""COMPUTED_VALUE"""),0.280701754385964)</f>
        <v>0.2807017544</v>
      </c>
    </row>
    <row r="3390">
      <c r="A3390" s="10" t="s">
        <v>4829</v>
      </c>
      <c r="B3390" s="7" t="str">
        <f>IFERROR(__xludf.DUMMYFUNCTION("SPLIT(A3390,"" "")"),"Cc1cc(C)c(CN(C)C2CCCC(N(C)Cc3ccon3)C2)cn1")</f>
        <v>Cc1cc(C)c(CN(C)C2CCCC(N(C)Cc3ccon3)C2)cn1</v>
      </c>
      <c r="C3390" s="7">
        <f>IFERROR(__xludf.DUMMYFUNCTION("""COMPUTED_VALUE"""),7.8018594)</f>
        <v>7.8018594</v>
      </c>
      <c r="D3390" s="7">
        <f>IFERROR(__xludf.DUMMYFUNCTION("""COMPUTED_VALUE"""),0.38)</f>
        <v>0.38</v>
      </c>
    </row>
    <row r="3391">
      <c r="A3391" s="10" t="s">
        <v>4830</v>
      </c>
      <c r="B3391" s="7" t="str">
        <f>IFERROR(__xludf.DUMMYFUNCTION("SPLIT(A3391,"" "")"),"CN(Cc1cccc(-c2ccc3c(c2)OCCOCCOCCOCCOCCO3)n1)C1CCCCC1N(Cc1ccccn1)Cc1cccc(C2=CCC=CN2)n1")</f>
        <v>CN(Cc1cccc(-c2ccc3c(c2)OCCOCCOCCOCCOCCO3)n1)C1CCCCC1N(Cc1ccccn1)Cc1cccc(C2=CCC=CN2)n1</v>
      </c>
      <c r="C3391" s="7">
        <f>IFERROR(__xludf.DUMMYFUNCTION("""COMPUTED_VALUE"""),7.801837)</f>
        <v>7.801837</v>
      </c>
      <c r="D3391" s="7">
        <f>IFERROR(__xludf.DUMMYFUNCTION("""COMPUTED_VALUE"""),0.416666666666666)</f>
        <v>0.4166666667</v>
      </c>
    </row>
    <row r="3392">
      <c r="A3392" s="10" t="s">
        <v>4831</v>
      </c>
      <c r="B3392" s="7" t="str">
        <f>IFERROR(__xludf.DUMMYFUNCTION("SPLIT(A3392,"" "")"),"Cc1cccc(N2CCN(C)CCN(Cc3ncccc3C(C)(C)C)CC2)c1")</f>
        <v>Cc1cccc(N2CCN(C)CCN(Cc3ncccc3C(C)(C)C)CC2)c1</v>
      </c>
      <c r="C3392" s="7">
        <f>IFERROR(__xludf.DUMMYFUNCTION("""COMPUTED_VALUE"""),7.801835)</f>
        <v>7.801835</v>
      </c>
      <c r="D3392" s="7">
        <f>IFERROR(__xludf.DUMMYFUNCTION("""COMPUTED_VALUE"""),0.433962264150943)</f>
        <v>0.4339622642</v>
      </c>
    </row>
    <row r="3393">
      <c r="A3393" s="10" t="s">
        <v>4832</v>
      </c>
      <c r="B3393" s="7" t="str">
        <f>IFERROR(__xludf.DUMMYFUNCTION("SPLIT(A3393,"" "")"),"CCN(Cc1ccc(CF)cn1)C1CCCC(N(C)Cc2cc(C)c(C)c(C)n2)C1")</f>
        <v>CCN(Cc1ccc(CF)cn1)C1CCCC(N(C)Cc2cc(C)c(C)c(C)n2)C1</v>
      </c>
      <c r="C3393" s="7">
        <f>IFERROR(__xludf.DUMMYFUNCTION("""COMPUTED_VALUE"""),7.8018327)</f>
        <v>7.8018327</v>
      </c>
      <c r="D3393" s="7">
        <f>IFERROR(__xludf.DUMMYFUNCTION("""COMPUTED_VALUE"""),0.349206349206349)</f>
        <v>0.3492063492</v>
      </c>
    </row>
    <row r="3394">
      <c r="A3394" s="10" t="s">
        <v>4833</v>
      </c>
      <c r="B3394" s="7" t="str">
        <f>IFERROR(__xludf.DUMMYFUNCTION("SPLIT(A3394,"" "")"),"COC(=O)C(=O)C(C)C(C)NC(C)C(C)N")</f>
        <v>COC(=O)C(=O)C(C)C(C)NC(C)C(C)N</v>
      </c>
      <c r="C3394" s="7">
        <f>IFERROR(__xludf.DUMMYFUNCTION("""COMPUTED_VALUE"""),7.8018303)</f>
        <v>7.8018303</v>
      </c>
      <c r="D3394" s="7">
        <f>IFERROR(__xludf.DUMMYFUNCTION("""COMPUTED_VALUE"""),0.135593220338983)</f>
        <v>0.1355932203</v>
      </c>
    </row>
    <row r="3395">
      <c r="A3395" s="10" t="s">
        <v>4834</v>
      </c>
      <c r="B3395" s="7" t="str">
        <f>IFERROR(__xludf.DUMMYFUNCTION("SPLIT(A3395,"" "")"),"CC(N)C(C)(c1cccnc1)c1ncccc1CN(Cc1ccccn1)C1CCCCC1")</f>
        <v>CC(N)C(C)(c1cccnc1)c1ncccc1CN(Cc1ccccn1)C1CCCCC1</v>
      </c>
      <c r="C3395" s="7">
        <f>IFERROR(__xludf.DUMMYFUNCTION("""COMPUTED_VALUE"""),7.801829)</f>
        <v>7.801829</v>
      </c>
      <c r="D3395" s="7">
        <f>IFERROR(__xludf.DUMMYFUNCTION("""COMPUTED_VALUE"""),0.365079365079365)</f>
        <v>0.3650793651</v>
      </c>
    </row>
    <row r="3396">
      <c r="A3396" s="10" t="s">
        <v>4835</v>
      </c>
      <c r="B3396" s="7" t="str">
        <f>IFERROR(__xludf.DUMMYFUNCTION("SPLIT(A3396,"" "")"),"CN1CCN(C)CCN(Cc2cnccc2N(C)Cc2ncccc2CF)CC1")</f>
        <v>CN1CCN(C)CCN(Cc2cnccc2N(C)Cc2ncccc2CF)CC1</v>
      </c>
      <c r="C3396" s="7">
        <f>IFERROR(__xludf.DUMMYFUNCTION("""COMPUTED_VALUE"""),7.8018284)</f>
        <v>7.8018284</v>
      </c>
      <c r="D3396" s="7">
        <f>IFERROR(__xludf.DUMMYFUNCTION("""COMPUTED_VALUE"""),0.407407407407407)</f>
        <v>0.4074074074</v>
      </c>
    </row>
    <row r="3397">
      <c r="A3397" s="10" t="s">
        <v>4836</v>
      </c>
      <c r="B3397" s="7" t="str">
        <f>IFERROR(__xludf.DUMMYFUNCTION("SPLIT(A3397,"" "")"),"Cc1cccnc1CN(C)C1CCCCC1N(CCN(C)Cc1cc(C)c(C)c(C)n1)Cc1ccccn1")</f>
        <v>Cc1cccnc1CN(C)C1CCCCC1N(CCN(C)Cc1cc(C)c(C)c(C)n1)Cc1ccccn1</v>
      </c>
      <c r="C3397" s="7">
        <f>IFERROR(__xludf.DUMMYFUNCTION("""COMPUTED_VALUE"""),7.8018246)</f>
        <v>7.8018246</v>
      </c>
      <c r="D3397" s="7">
        <f>IFERROR(__xludf.DUMMYFUNCTION("""COMPUTED_VALUE"""),0.491525423728813)</f>
        <v>0.4915254237</v>
      </c>
    </row>
    <row r="3398">
      <c r="A3398" s="10" t="s">
        <v>4837</v>
      </c>
      <c r="B3398" s="7" t="str">
        <f>IFERROR(__xludf.DUMMYFUNCTION("SPLIT(A3398,"" "")"),"CCNCc1cccc(CN(Cc2ccccn2)C2CCC(N(C)Cc3cccc(C)n3)CC2)n1")</f>
        <v>CCNCc1cccc(CN(Cc2ccccn2)C2CCC(N(C)Cc3cccc(C)n3)CC2)n1</v>
      </c>
      <c r="C3398" s="7">
        <f>IFERROR(__xludf.DUMMYFUNCTION("""COMPUTED_VALUE"""),7.801823)</f>
        <v>7.801823</v>
      </c>
      <c r="D3398" s="7">
        <f>IFERROR(__xludf.DUMMYFUNCTION("""COMPUTED_VALUE"""),0.446428571428571)</f>
        <v>0.4464285714</v>
      </c>
    </row>
    <row r="3399">
      <c r="A3399" s="10" t="s">
        <v>4838</v>
      </c>
      <c r="B3399" s="7" t="str">
        <f>IFERROR(__xludf.DUMMYFUNCTION("SPLIT(A3399,"" "")"),"CN(Cc1cccc(-c2ccc3c(c2)OCCOCCOCCOCCOCCO3)n1)C1=CNC(C(C)(C)C)=CC1")</f>
        <v>CN(Cc1cccc(-c2ccc3c(c2)OCCOCCOCCOCCOCCO3)n1)C1=CNC(C(C)(C)C)=CC1</v>
      </c>
      <c r="C3399" s="7">
        <f>IFERROR(__xludf.DUMMYFUNCTION("""COMPUTED_VALUE"""),7.8018117)</f>
        <v>7.8018117</v>
      </c>
      <c r="D3399" s="7">
        <f>IFERROR(__xludf.DUMMYFUNCTION("""COMPUTED_VALUE"""),0.298701298701298)</f>
        <v>0.2987012987</v>
      </c>
    </row>
    <row r="3400">
      <c r="A3400" s="10" t="s">
        <v>4839</v>
      </c>
      <c r="B3400" s="7" t="str">
        <f>IFERROR(__xludf.DUMMYFUNCTION("SPLIT(A3400,"" "")"),"CNCc1cc(CN(C)C2CCCC(N(C)Cc3cc(C)c(C)c(C)n3)C2)ccn1")</f>
        <v>CNCc1cc(CN(C)C2CCCC(N(C)Cc3cc(C)c(C)c(C)n3)C2)ccn1</v>
      </c>
      <c r="C3400" s="7">
        <f>IFERROR(__xludf.DUMMYFUNCTION("""COMPUTED_VALUE"""),7.8018093)</f>
        <v>7.8018093</v>
      </c>
      <c r="D3400" s="7">
        <f>IFERROR(__xludf.DUMMYFUNCTION("""COMPUTED_VALUE"""),0.316666666666666)</f>
        <v>0.3166666667</v>
      </c>
    </row>
    <row r="3401">
      <c r="A3401" s="10" t="s">
        <v>4840</v>
      </c>
      <c r="B3401" s="7" t="str">
        <f>IFERROR(__xludf.DUMMYFUNCTION("SPLIT(A3401,"" "")"),"Cc1ccc2c(n1)CCCC2")</f>
        <v>Cc1ccc2c(n1)CCCC2</v>
      </c>
      <c r="C3401" s="7">
        <f>IFERROR(__xludf.DUMMYFUNCTION("""COMPUTED_VALUE"""),7.801801)</f>
        <v>7.801801</v>
      </c>
      <c r="D3401" s="7">
        <f>IFERROR(__xludf.DUMMYFUNCTION("""COMPUTED_VALUE"""),0.333333333333333)</f>
        <v>0.3333333333</v>
      </c>
    </row>
    <row r="3402">
      <c r="A3402" s="10" t="s">
        <v>4841</v>
      </c>
      <c r="B3402" s="7" t="str">
        <f>IFERROR(__xludf.DUMMYFUNCTION("SPLIT(A3402,"" "")"),"CCOC(=O)c1cc(CN(Cc2ccccn2)C2CCCCC2)ccn1")</f>
        <v>CCOC(=O)c1cc(CN(Cc2ccccn2)C2CCCCC2)ccn1</v>
      </c>
      <c r="C3402" s="7">
        <f>IFERROR(__xludf.DUMMYFUNCTION("""COMPUTED_VALUE"""),7.801793)</f>
        <v>7.801793</v>
      </c>
      <c r="D3402" s="7">
        <f>IFERROR(__xludf.DUMMYFUNCTION("""COMPUTED_VALUE"""),0.396551724137931)</f>
        <v>0.3965517241</v>
      </c>
    </row>
    <row r="3403">
      <c r="A3403" s="10" t="s">
        <v>4842</v>
      </c>
      <c r="B3403" s="7" t="str">
        <f>IFERROR(__xludf.DUMMYFUNCTION("SPLIT(A3403,"" "")"),"Cc1ccc(CN(C)C2CCC(N(CC3=CCC=CN3)Cc3ccon3)CC2)nc1")</f>
        <v>Cc1ccc(CN(C)C2CCC(N(CC3=CCC=CN3)Cc3ccon3)CC2)nc1</v>
      </c>
      <c r="C3403" s="7">
        <f>IFERROR(__xludf.DUMMYFUNCTION("""COMPUTED_VALUE"""),7.801782)</f>
        <v>7.801782</v>
      </c>
      <c r="D3403" s="7">
        <f>IFERROR(__xludf.DUMMYFUNCTION("""COMPUTED_VALUE"""),0.403225806451612)</f>
        <v>0.4032258065</v>
      </c>
    </row>
    <row r="3404">
      <c r="A3404" s="10" t="s">
        <v>4843</v>
      </c>
      <c r="B3404" s="7" t="str">
        <f>IFERROR(__xludf.DUMMYFUNCTION("SPLIT(A3404,"" "")"),"CN(CCF)CCN(C)C1CCCCC1N(C)c1cccc2ncccc12")</f>
        <v>CN(CCF)CCN(C)C1CCCCC1N(C)c1cccc2ncccc12</v>
      </c>
      <c r="C3404" s="7">
        <f>IFERROR(__xludf.DUMMYFUNCTION("""COMPUTED_VALUE"""),7.801779)</f>
        <v>7.801779</v>
      </c>
      <c r="D3404" s="7">
        <f>IFERROR(__xludf.DUMMYFUNCTION("""COMPUTED_VALUE"""),0.462962962962962)</f>
        <v>0.462962963</v>
      </c>
    </row>
    <row r="3405">
      <c r="A3405" s="10" t="s">
        <v>4844</v>
      </c>
      <c r="B3405" s="7" t="str">
        <f>IFERROR(__xludf.DUMMYFUNCTION("SPLIT(A3405,"" "")"),"Cc1cnc(CN(C)C2=CNC(CN3CCN(C)CCN(C)CC3)=CC2)c(C)c1C")</f>
        <v>Cc1cnc(CN(C)C2=CNC(CN3CCN(C)CCN(C)CC3)=CC2)c(C)c1C</v>
      </c>
      <c r="C3405" s="7">
        <f>IFERROR(__xludf.DUMMYFUNCTION("""COMPUTED_VALUE"""),7.8017745)</f>
        <v>7.8017745</v>
      </c>
      <c r="D3405" s="7">
        <f>IFERROR(__xludf.DUMMYFUNCTION("""COMPUTED_VALUE"""),0.413793103448275)</f>
        <v>0.4137931034</v>
      </c>
    </row>
    <row r="3406">
      <c r="A3406" s="10" t="s">
        <v>4845</v>
      </c>
      <c r="B3406" s="7" t="str">
        <f>IFERROR(__xludf.DUMMYFUNCTION("SPLIT(A3406,"" "")"),"CN(CCN(C)c1ccc2cccnc2c1)Cc1cccc2c1OCCOCCOCCOCCOCCO2")</f>
        <v>CN(CCN(C)c1ccc2cccnc2c1)Cc1cccc2c1OCCOCCOCCOCCOCCO2</v>
      </c>
      <c r="C3406" s="7">
        <f>IFERROR(__xludf.DUMMYFUNCTION("""COMPUTED_VALUE"""),7.801774)</f>
        <v>7.801774</v>
      </c>
      <c r="D3406" s="7">
        <f>IFERROR(__xludf.DUMMYFUNCTION("""COMPUTED_VALUE"""),0.413793103448275)</f>
        <v>0.4137931034</v>
      </c>
    </row>
    <row r="3407">
      <c r="A3407" s="10" t="s">
        <v>4846</v>
      </c>
      <c r="B3407" s="7" t="str">
        <f>IFERROR(__xludf.DUMMYFUNCTION("SPLIT(A3407,"" "")"),"CNC1CCC(N(C)Cc2cc(C)ccn2)CC1N(Cc1ccccn1)Cc1ccccn1")</f>
        <v>CNC1CCC(N(C)Cc2cc(C)ccn2)CC1N(Cc1ccccn1)Cc1ccccn1</v>
      </c>
      <c r="C3407" s="7">
        <f>IFERROR(__xludf.DUMMYFUNCTION("""COMPUTED_VALUE"""),7.801771)</f>
        <v>7.801771</v>
      </c>
      <c r="D3407" s="7">
        <f>IFERROR(__xludf.DUMMYFUNCTION("""COMPUTED_VALUE"""),0.454545454545454)</f>
        <v>0.4545454545</v>
      </c>
    </row>
    <row r="3408">
      <c r="A3408" s="10" t="s">
        <v>4847</v>
      </c>
      <c r="B3408" s="7" t="str">
        <f>IFERROR(__xludf.DUMMYFUNCTION("SPLIT(A3408,"" "")"),"Cc1cccnc1CN(C)C1CCCC(N(C)c2cccnc2CN(C)C(C)C)C1")</f>
        <v>Cc1cccnc1CN(C)C1CCCC(N(C)c2cccnc2CN(C)C(C)C)C1</v>
      </c>
      <c r="C3408" s="7">
        <f>IFERROR(__xludf.DUMMYFUNCTION("""COMPUTED_VALUE"""),7.801754)</f>
        <v>7.801754</v>
      </c>
      <c r="D3408" s="7">
        <f>IFERROR(__xludf.DUMMYFUNCTION("""COMPUTED_VALUE"""),0.327868852459016)</f>
        <v>0.3278688525</v>
      </c>
    </row>
    <row r="3409">
      <c r="A3409" s="10" t="s">
        <v>4848</v>
      </c>
      <c r="B3409" s="7" t="str">
        <f>IFERROR(__xludf.DUMMYFUNCTION("SPLIT(A3409,"" "")"),"Cc1cnc(CN(C)C2CCC(N(Cc3ncccc3C)C(C)C)CC2)c(C)c1")</f>
        <v>Cc1cnc(CN(C)C2CCC(N(Cc3ncccc3C)C(C)C)CC2)c(C)c1</v>
      </c>
      <c r="C3409" s="7">
        <f>IFERROR(__xludf.DUMMYFUNCTION("""COMPUTED_VALUE"""),7.8017473)</f>
        <v>7.8017473</v>
      </c>
      <c r="D3409" s="7">
        <f>IFERROR(__xludf.DUMMYFUNCTION("""COMPUTED_VALUE"""),0.310344827586206)</f>
        <v>0.3103448276</v>
      </c>
    </row>
    <row r="3410">
      <c r="A3410" s="10" t="s">
        <v>4849</v>
      </c>
      <c r="B3410" s="7" t="str">
        <f>IFERROR(__xludf.DUMMYFUNCTION("SPLIT(A3410,"" "")"),"Cc1cccnc1CN(C)C1CCC(N(C)Cc2ncc(C)c(C)c2C)CC1")</f>
        <v>Cc1cccnc1CN(C)C1CCC(N(C)Cc2ncc(C)c(C)c2C)CC1</v>
      </c>
      <c r="C3410" s="7">
        <f>IFERROR(__xludf.DUMMYFUNCTION("""COMPUTED_VALUE"""),7.801735)</f>
        <v>7.801735</v>
      </c>
      <c r="D3410" s="7">
        <f>IFERROR(__xludf.DUMMYFUNCTION("""COMPUTED_VALUE"""),0.36)</f>
        <v>0.36</v>
      </c>
    </row>
    <row r="3411">
      <c r="A3411" s="10" t="s">
        <v>4850</v>
      </c>
      <c r="B3411" s="7" t="str">
        <f>IFERROR(__xludf.DUMMYFUNCTION("SPLIT(A3411,"" "")"),"Cc1nc(CN2CCN(C)CCN(Cc3ccc(CN(C)C)nc3)CC2)c(C)c(C)c1C")</f>
        <v>Cc1nc(CN2CCN(C)CCN(Cc3ccc(CN(C)C)nc3)CC2)c(C)c(C)c1C</v>
      </c>
      <c r="C3411" s="7">
        <f>IFERROR(__xludf.DUMMYFUNCTION("""COMPUTED_VALUE"""),7.80173)</f>
        <v>7.80173</v>
      </c>
      <c r="D3411" s="7">
        <f>IFERROR(__xludf.DUMMYFUNCTION("""COMPUTED_VALUE"""),0.403508771929824)</f>
        <v>0.4035087719</v>
      </c>
    </row>
    <row r="3412">
      <c r="A3412" s="10" t="s">
        <v>4851</v>
      </c>
      <c r="B3412" s="7" t="str">
        <f>IFERROR(__xludf.DUMMYFUNCTION("SPLIT(A3412,"" "")"),"CCNCc1ccon1")</f>
        <v>CCNCc1ccon1</v>
      </c>
      <c r="C3412" s="7">
        <f>IFERROR(__xludf.DUMMYFUNCTION("""COMPUTED_VALUE"""),7.8017273)</f>
        <v>7.8017273</v>
      </c>
      <c r="D3412" s="7">
        <f>IFERROR(__xludf.DUMMYFUNCTION("""COMPUTED_VALUE"""),0.454545454545454)</f>
        <v>0.4545454545</v>
      </c>
    </row>
    <row r="3413">
      <c r="A3413" s="10" t="s">
        <v>4852</v>
      </c>
      <c r="B3413" s="7" t="str">
        <f>IFERROR(__xludf.DUMMYFUNCTION("SPLIT(A3413,"" "")"),"Cc1cc(CN(C)C2CCC(N(C)Cc3cccnc3C)CC2)nc(C)c1C")</f>
        <v>Cc1cc(CN(C)C2CCC(N(C)Cc3cccnc3C)CC2)nc(C)c1C</v>
      </c>
      <c r="C3413" s="7">
        <f>IFERROR(__xludf.DUMMYFUNCTION("""COMPUTED_VALUE"""),7.8017035)</f>
        <v>7.8017035</v>
      </c>
      <c r="D3413" s="7">
        <f>IFERROR(__xludf.DUMMYFUNCTION("""COMPUTED_VALUE"""),0.358490566037735)</f>
        <v>0.358490566</v>
      </c>
    </row>
    <row r="3414">
      <c r="A3414" s="10" t="s">
        <v>4853</v>
      </c>
      <c r="B3414" s="7" t="str">
        <f>IFERROR(__xludf.DUMMYFUNCTION("SPLIT(A3414,"" "")"),"CCNCc1ccc(CN(Cc2ccccn2)C2CCCC(N(C)Cc3ccc(C)cn3)C2)cn1")</f>
        <v>CCNCc1ccc(CN(Cc2ccccn2)C2CCCC(N(C)Cc3ccc(C)cn3)C2)cn1</v>
      </c>
      <c r="C3414" s="7">
        <f>IFERROR(__xludf.DUMMYFUNCTION("""COMPUTED_VALUE"""),7.8016977)</f>
        <v>7.8016977</v>
      </c>
      <c r="D3414" s="7">
        <f>IFERROR(__xludf.DUMMYFUNCTION("""COMPUTED_VALUE"""),0.419354838709677)</f>
        <v>0.4193548387</v>
      </c>
    </row>
    <row r="3415">
      <c r="A3415" s="10" t="s">
        <v>4854</v>
      </c>
      <c r="B3415" s="7" t="str">
        <f>IFERROR(__xludf.DUMMYFUNCTION("SPLIT(A3415,"" "")"),"CC(N)C(C)(c1cccnc1)c1ccc(CN(Cc2ccccn2)C2CCCCC2)cn1")</f>
        <v>CC(N)C(C)(c1cccnc1)c1ccc(CN(Cc2ccccn2)C2CCCCC2)cn1</v>
      </c>
      <c r="C3415" s="7">
        <f>IFERROR(__xludf.DUMMYFUNCTION("""COMPUTED_VALUE"""),7.80168)</f>
        <v>7.80168</v>
      </c>
      <c r="D3415" s="7">
        <f>IFERROR(__xludf.DUMMYFUNCTION("""COMPUTED_VALUE"""),0.353846153846153)</f>
        <v>0.3538461538</v>
      </c>
    </row>
    <row r="3416">
      <c r="A3416" s="10" t="s">
        <v>4855</v>
      </c>
      <c r="B3416" s="7" t="str">
        <f>IFERROR(__xludf.DUMMYFUNCTION("SPLIT(A3416,"" "")"),"Fc1cccc(N(Cc2ccccn2)C2CCCCC2N(Cc2cncc(-c3cccc4c3OCCOCCOCCOCCOCCO4)c2)Cc2ccccn2)c1")</f>
        <v>Fc1cccc(N(Cc2ccccn2)C2CCCCC2N(Cc2cncc(-c3cccc4c3OCCOCCOCCOCCOCCO4)c2)Cc2ccccn2)c1</v>
      </c>
      <c r="C3416" s="7">
        <f>IFERROR(__xludf.DUMMYFUNCTION("""COMPUTED_VALUE"""),7.8016796)</f>
        <v>7.8016796</v>
      </c>
      <c r="D3416" s="7">
        <f>IFERROR(__xludf.DUMMYFUNCTION("""COMPUTED_VALUE"""),0.311688311688311)</f>
        <v>0.3116883117</v>
      </c>
    </row>
    <row r="3417">
      <c r="A3417" s="10" t="s">
        <v>4856</v>
      </c>
      <c r="B3417" s="7" t="str">
        <f>IFERROR(__xludf.DUMMYFUNCTION("SPLIT(A3417,"" "")"),"CCCN(C)CCN(C)Cc1ncccc1C")</f>
        <v>CCCN(C)CCN(C)Cc1ncccc1C</v>
      </c>
      <c r="C3417" s="7">
        <f>IFERROR(__xludf.DUMMYFUNCTION("""COMPUTED_VALUE"""),7.8016787)</f>
        <v>7.8016787</v>
      </c>
      <c r="D3417" s="7">
        <f>IFERROR(__xludf.DUMMYFUNCTION("""COMPUTED_VALUE"""),0.428571428571428)</f>
        <v>0.4285714286</v>
      </c>
    </row>
    <row r="3418">
      <c r="A3418" s="10" t="s">
        <v>4857</v>
      </c>
      <c r="B3418" s="7" t="str">
        <f>IFERROR(__xludf.DUMMYFUNCTION("SPLIT(A3418,"" "")"),"Cc1cc(CN(C)C2CCCC(N(C)Cc3cc(CF)ccn3)C2)nc(C)c1C")</f>
        <v>Cc1cc(CN(C)C2CCCC(N(C)Cc3cc(CF)ccn3)C2)nc(C)c1C</v>
      </c>
      <c r="C3418" s="7">
        <f>IFERROR(__xludf.DUMMYFUNCTION("""COMPUTED_VALUE"""),7.801674)</f>
        <v>7.801674</v>
      </c>
      <c r="D3418" s="7">
        <f>IFERROR(__xludf.DUMMYFUNCTION("""COMPUTED_VALUE"""),0.333333333333333)</f>
        <v>0.3333333333</v>
      </c>
    </row>
    <row r="3419">
      <c r="A3419" s="10" t="s">
        <v>4858</v>
      </c>
      <c r="B3419" s="7" t="str">
        <f>IFERROR(__xludf.DUMMYFUNCTION("SPLIT(A3419,"" "")"),"Cc1cc(CN(Cc2ccccn2)Cc2ncccc2CN2CCN(C)CCN(C)CC2)ccn1")</f>
        <v>Cc1cc(CN(Cc2ccccn2)Cc2ncccc2CN2CCN(C)CCN(C)CC2)ccn1</v>
      </c>
      <c r="C3419" s="7">
        <f>IFERROR(__xludf.DUMMYFUNCTION("""COMPUTED_VALUE"""),7.801669)</f>
        <v>7.801669</v>
      </c>
      <c r="D3419" s="7">
        <f>IFERROR(__xludf.DUMMYFUNCTION("""COMPUTED_VALUE"""),0.490566037735849)</f>
        <v>0.4905660377</v>
      </c>
    </row>
    <row r="3420">
      <c r="A3420" s="10" t="s">
        <v>4859</v>
      </c>
      <c r="B3420" s="7" t="str">
        <f>IFERROR(__xludf.DUMMYFUNCTION("SPLIT(A3420,"" "")"),"CC1=CC(C)C(CN(Cc2ccccn2)Cc2ccccn2)C(C)C1")</f>
        <v>CC1=CC(C)C(CN(Cc2ccccn2)Cc2ccccn2)C(C)C1</v>
      </c>
      <c r="C3420" s="7">
        <f>IFERROR(__xludf.DUMMYFUNCTION("""COMPUTED_VALUE"""),7.8016586)</f>
        <v>7.8016586</v>
      </c>
      <c r="D3420" s="7">
        <f>IFERROR(__xludf.DUMMYFUNCTION("""COMPUTED_VALUE"""),0.487179487179487)</f>
        <v>0.4871794872</v>
      </c>
    </row>
    <row r="3421">
      <c r="A3421" s="10" t="s">
        <v>4860</v>
      </c>
      <c r="B3421" s="7" t="str">
        <f>IFERROR(__xludf.DUMMYFUNCTION("SPLIT(A3421,"" "")"),"CNC1CCCCC1N(Cc1cc(C)ccn1)Cc1nc(C)c(C)c(C)c1C")</f>
        <v>CNC1CCCCC1N(Cc1cc(C)ccn1)Cc1nc(C)c(C)c(C)c1C</v>
      </c>
      <c r="C3421" s="7">
        <f>IFERROR(__xludf.DUMMYFUNCTION("""COMPUTED_VALUE"""),7.801657)</f>
        <v>7.801657</v>
      </c>
      <c r="D3421" s="7">
        <f>IFERROR(__xludf.DUMMYFUNCTION("""COMPUTED_VALUE"""),0.316666666666666)</f>
        <v>0.3166666667</v>
      </c>
    </row>
    <row r="3422">
      <c r="A3422" s="10" t="s">
        <v>4861</v>
      </c>
      <c r="B3422" s="7" t="str">
        <f>IFERROR(__xludf.DUMMYFUNCTION("SPLIT(A3422,"" "")"),"Cc1ccc(CN(C)C2CCCC(N(Cc3ccc(CN(C)C(C)(C)C)nc3)Cc3ccccn3)C2)nc1")</f>
        <v>Cc1ccc(CN(C)C2CCCC(N(Cc3ccc(CN(C)C(C)(C)C)nc3)Cc3ccccn3)C2)nc1</v>
      </c>
      <c r="C3422" s="7">
        <f>IFERROR(__xludf.DUMMYFUNCTION("""COMPUTED_VALUE"""),7.8016524)</f>
        <v>7.8016524</v>
      </c>
      <c r="D3422" s="7">
        <f>IFERROR(__xludf.DUMMYFUNCTION("""COMPUTED_VALUE"""),0.433333333333333)</f>
        <v>0.4333333333</v>
      </c>
    </row>
    <row r="3423">
      <c r="A3423" s="10" t="s">
        <v>4862</v>
      </c>
      <c r="B3423" s="7" t="str">
        <f>IFERROR(__xludf.DUMMYFUNCTION("SPLIT(A3423,"" "")"),"Cc1cnc(CN(C)C2CCCC(N(C)Cc3cccnc3C)C2)c(C)c1C")</f>
        <v>Cc1cnc(CN(C)C2CCCC(N(C)Cc3cccnc3C)C2)c(C)c1C</v>
      </c>
      <c r="C3423" s="7">
        <f>IFERROR(__xludf.DUMMYFUNCTION("""COMPUTED_VALUE"""),7.8016233)</f>
        <v>7.8016233</v>
      </c>
      <c r="D3423" s="7">
        <f>IFERROR(__xludf.DUMMYFUNCTION("""COMPUTED_VALUE"""),0.345454545454545)</f>
        <v>0.3454545455</v>
      </c>
    </row>
    <row r="3424">
      <c r="A3424" s="10" t="s">
        <v>4863</v>
      </c>
      <c r="B3424" s="7" t="str">
        <f>IFERROR(__xludf.DUMMYFUNCTION("SPLIT(A3424,"" "")"),"CNCc1cc(CN(C)C2CCC(N(C)Cc3nc(C)c(C)cc3C)CC2)ccn1")</f>
        <v>CNCc1cc(CN(C)C2CCC(N(C)Cc3nc(C)c(C)cc3C)CC2)ccn1</v>
      </c>
      <c r="C3424" s="7">
        <f>IFERROR(__xludf.DUMMYFUNCTION("""COMPUTED_VALUE"""),7.8016033)</f>
        <v>7.8016033</v>
      </c>
      <c r="D3424" s="7">
        <f>IFERROR(__xludf.DUMMYFUNCTION("""COMPUTED_VALUE"""),0.293103448275862)</f>
        <v>0.2931034483</v>
      </c>
    </row>
    <row r="3425">
      <c r="A3425" s="10" t="s">
        <v>4864</v>
      </c>
      <c r="B3425" s="7" t="str">
        <f>IFERROR(__xludf.DUMMYFUNCTION("SPLIT(A3425,"" "")"),"Cc1cncc(CN(C)C2CCCC(N(C)Cc3ncc(C)c(C)c3C)C2)c1")</f>
        <v>Cc1cncc(CN(C)C2CCCC(N(C)Cc3ncc(C)c(C)c3C)C2)c1</v>
      </c>
      <c r="C3425" s="7">
        <f>IFERROR(__xludf.DUMMYFUNCTION("""COMPUTED_VALUE"""),7.801603)</f>
        <v>7.801603</v>
      </c>
      <c r="D3425" s="7">
        <f>IFERROR(__xludf.DUMMYFUNCTION("""COMPUTED_VALUE"""),0.321428571428571)</f>
        <v>0.3214285714</v>
      </c>
    </row>
    <row r="3426">
      <c r="A3426" s="10" t="s">
        <v>4865</v>
      </c>
      <c r="B3426" s="7" t="str">
        <f>IFERROR(__xludf.DUMMYFUNCTION("SPLIT(A3426,"" "")"),"CCNCc1cc(CN(C)C2CCC(N(C)Cc3nc(C)c(C)c(C)c3C)CC2)ccn1")</f>
        <v>CCNCc1cc(CN(C)C2CCC(N(C)Cc3nc(C)c(C)c(C)c3C)CC2)ccn1</v>
      </c>
      <c r="C3426" s="7">
        <f>IFERROR(__xludf.DUMMYFUNCTION("""COMPUTED_VALUE"""),7.8015947)</f>
        <v>7.8015947</v>
      </c>
      <c r="D3426" s="7">
        <f>IFERROR(__xludf.DUMMYFUNCTION("""COMPUTED_VALUE"""),0.278688524590163)</f>
        <v>0.2786885246</v>
      </c>
    </row>
    <row r="3427">
      <c r="A3427" s="10" t="s">
        <v>4866</v>
      </c>
      <c r="B3427" s="7" t="str">
        <f>IFERROR(__xludf.DUMMYFUNCTION("SPLIT(A3427,"" "")"),"Cc1ccc(C)c(CN(C)C2=CCC=C(CN3CCN(C)CCN(C)CC3)N2)n1")</f>
        <v>Cc1ccc(C)c(CN(C)C2=CCC=C(CN3CCN(C)CCN(C)CC3)N2)n1</v>
      </c>
      <c r="C3427" s="7">
        <f>IFERROR(__xludf.DUMMYFUNCTION("""COMPUTED_VALUE"""),7.8015914)</f>
        <v>7.8015914</v>
      </c>
      <c r="D3427" s="7">
        <f>IFERROR(__xludf.DUMMYFUNCTION("""COMPUTED_VALUE"""),0.381818181818181)</f>
        <v>0.3818181818</v>
      </c>
    </row>
    <row r="3428">
      <c r="A3428" s="10" t="s">
        <v>4867</v>
      </c>
      <c r="B3428" s="7" t="str">
        <f>IFERROR(__xludf.DUMMYFUNCTION("SPLIT(A3428,"" "")"),"Cc1cnccc1CN(C)C1CCCC(N(C)Cc2ncc(C)c(C)c2C)C1")</f>
        <v>Cc1cnccc1CN(C)C1CCCC(N(C)Cc2ncc(C)c(C)c2C)C1</v>
      </c>
      <c r="C3428" s="7">
        <f>IFERROR(__xludf.DUMMYFUNCTION("""COMPUTED_VALUE"""),7.80159)</f>
        <v>7.80159</v>
      </c>
      <c r="D3428" s="7">
        <f>IFERROR(__xludf.DUMMYFUNCTION("""COMPUTED_VALUE"""),0.321428571428571)</f>
        <v>0.3214285714</v>
      </c>
    </row>
    <row r="3429">
      <c r="A3429" s="10" t="s">
        <v>4868</v>
      </c>
      <c r="B3429" s="7" t="str">
        <f>IFERROR(__xludf.DUMMYFUNCTION("SPLIT(A3429,"" "")"),"C=CCN(C)Cc1cccc(C(C)C(C)C)n1")</f>
        <v>C=CCN(C)Cc1cccc(C(C)C(C)C)n1</v>
      </c>
      <c r="C3429" s="7">
        <f>IFERROR(__xludf.DUMMYFUNCTION("""COMPUTED_VALUE"""),7.8015847)</f>
        <v>7.8015847</v>
      </c>
      <c r="D3429" s="7">
        <f>IFERROR(__xludf.DUMMYFUNCTION("""COMPUTED_VALUE"""),0.439024390243902)</f>
        <v>0.4390243902</v>
      </c>
    </row>
    <row r="3430">
      <c r="A3430" s="10" t="s">
        <v>4869</v>
      </c>
      <c r="B3430" s="7" t="str">
        <f>IFERROR(__xludf.DUMMYFUNCTION("SPLIT(A3430,"" "")"),"COC(=O)C1C(C(=O)C(C)N)CC(C(=O)C(C)N)N(C)C1C(=O)C(C)N")</f>
        <v>COC(=O)C1C(C(=O)C(C)N)CC(C(=O)C(C)N)N(C)C1C(=O)C(C)N</v>
      </c>
      <c r="C3430" s="7">
        <f>IFERROR(__xludf.DUMMYFUNCTION("""COMPUTED_VALUE"""),7.801577)</f>
        <v>7.801577</v>
      </c>
      <c r="D3430" s="7">
        <f>IFERROR(__xludf.DUMMYFUNCTION("""COMPUTED_VALUE"""),0.222222222222222)</f>
        <v>0.2222222222</v>
      </c>
    </row>
    <row r="3431">
      <c r="A3431" s="10" t="s">
        <v>4870</v>
      </c>
      <c r="B3431" s="7" t="str">
        <f>IFERROR(__xludf.DUMMYFUNCTION("SPLIT(A3431,"" "")"),"Cc1ccnc(CN(C)C2CCC(N(C)Cc3cc(C)c(C)c(C)n3)CC2)c1")</f>
        <v>Cc1ccnc(CN(C)C2CCC(N(C)Cc3cc(C)c(C)c(C)n3)CC2)c1</v>
      </c>
      <c r="C3431" s="7">
        <f>IFERROR(__xludf.DUMMYFUNCTION("""COMPUTED_VALUE"""),7.801576)</f>
        <v>7.801576</v>
      </c>
      <c r="D3431" s="7">
        <f>IFERROR(__xludf.DUMMYFUNCTION("""COMPUTED_VALUE"""),0.346153846153846)</f>
        <v>0.3461538462</v>
      </c>
    </row>
    <row r="3432">
      <c r="A3432" s="10" t="s">
        <v>4871</v>
      </c>
      <c r="B3432" s="7" t="str">
        <f>IFERROR(__xludf.DUMMYFUNCTION("SPLIT(A3432,"" "")"),"CC1=CC(C)(c2ccccn2)CCC1C")</f>
        <v>CC1=CC(C)(c2ccccn2)CCC1C</v>
      </c>
      <c r="C3432" s="7">
        <f>IFERROR(__xludf.DUMMYFUNCTION("""COMPUTED_VALUE"""),7.80157)</f>
        <v>7.80157</v>
      </c>
      <c r="D3432" s="7">
        <f>IFERROR(__xludf.DUMMYFUNCTION("""COMPUTED_VALUE"""),0.285714285714285)</f>
        <v>0.2857142857</v>
      </c>
    </row>
    <row r="3433">
      <c r="A3433" s="10" t="s">
        <v>4872</v>
      </c>
      <c r="B3433" s="7" t="str">
        <f>IFERROR(__xludf.DUMMYFUNCTION("SPLIT(A3433,"" "")"),"CCNCc1ncccc1CN(Cc1ccccn1)C1CCCCC1N(C)Cc1nccc(C)c1C")</f>
        <v>CCNCc1ncccc1CN(Cc1ccccn1)C1CCCCC1N(C)Cc1nccc(C)c1C</v>
      </c>
      <c r="C3433" s="7">
        <f>IFERROR(__xludf.DUMMYFUNCTION("""COMPUTED_VALUE"""),7.801567)</f>
        <v>7.801567</v>
      </c>
      <c r="D3433" s="7">
        <f>IFERROR(__xludf.DUMMYFUNCTION("""COMPUTED_VALUE"""),0.5)</f>
        <v>0.5</v>
      </c>
    </row>
    <row r="3434">
      <c r="A3434" s="10" t="s">
        <v>4873</v>
      </c>
      <c r="B3434" s="7" t="str">
        <f>IFERROR(__xludf.DUMMYFUNCTION("SPLIT(A3434,"" "")"),"CCN(Cc1cccc(-c2ccc3c(c2)OCCOCCOCCOCCOCCO3)n1)Cc1cccc(C(C)(C)C)n1")</f>
        <v>CCN(Cc1cccc(-c2ccc3c(c2)OCCOCCOCCOCCOCCO3)n1)Cc1cccc(C(C)(C)C)n1</v>
      </c>
      <c r="C3434" s="7">
        <f>IFERROR(__xludf.DUMMYFUNCTION("""COMPUTED_VALUE"""),7.801567)</f>
        <v>7.801567</v>
      </c>
      <c r="D3434" s="7">
        <f>IFERROR(__xludf.DUMMYFUNCTION("""COMPUTED_VALUE"""),0.343283582089552)</f>
        <v>0.3432835821</v>
      </c>
    </row>
    <row r="3435">
      <c r="A3435" s="10" t="s">
        <v>4874</v>
      </c>
      <c r="B3435" s="7" t="str">
        <f>IFERROR(__xludf.DUMMYFUNCTION("SPLIT(A3435,"" "")"),"CN(CCF)CCN(C)C(c1ccccc1)c1ccccn1")</f>
        <v>CN(CCF)CCN(C)C(c1ccccc1)c1ccccn1</v>
      </c>
      <c r="C3435" s="7">
        <f>IFERROR(__xludf.DUMMYFUNCTION("""COMPUTED_VALUE"""),7.80155)</f>
        <v>7.80155</v>
      </c>
      <c r="D3435" s="7">
        <f>IFERROR(__xludf.DUMMYFUNCTION("""COMPUTED_VALUE"""),0.479166666666666)</f>
        <v>0.4791666667</v>
      </c>
    </row>
    <row r="3436">
      <c r="A3436" s="10" t="s">
        <v>4875</v>
      </c>
      <c r="B3436" s="7" t="str">
        <f>IFERROR(__xludf.DUMMYFUNCTION("SPLIT(A3436,"" "")"),"CNCc1ncccc1CN(C)C(C)C")</f>
        <v>CNCc1ncccc1CN(C)C(C)C</v>
      </c>
      <c r="C3436" s="7">
        <f>IFERROR(__xludf.DUMMYFUNCTION("""COMPUTED_VALUE"""),7.801549)</f>
        <v>7.801549</v>
      </c>
      <c r="D3436" s="7">
        <f>IFERROR(__xludf.DUMMYFUNCTION("""COMPUTED_VALUE"""),0.377777777777777)</f>
        <v>0.3777777778</v>
      </c>
    </row>
    <row r="3437">
      <c r="A3437" s="10" t="s">
        <v>4876</v>
      </c>
      <c r="B3437" s="7" t="str">
        <f>IFERROR(__xludf.DUMMYFUNCTION("SPLIT(A3437,"" "")"),"Cc1ccc(CN(C)C2CCCC(N(Cc3ccccn3)Cc3cccc(CN(C)C(C)C)n3)C2)nc1")</f>
        <v>Cc1ccc(CN(C)C2CCCC(N(Cc3ccccn3)Cc3cccc(CN(C)C(C)C)n3)C2)nc1</v>
      </c>
      <c r="C3437" s="7">
        <f>IFERROR(__xludf.DUMMYFUNCTION("""COMPUTED_VALUE"""),7.801549)</f>
        <v>7.801549</v>
      </c>
      <c r="D3437" s="7">
        <f>IFERROR(__xludf.DUMMYFUNCTION("""COMPUTED_VALUE"""),0.440677966101694)</f>
        <v>0.4406779661</v>
      </c>
    </row>
    <row r="3438">
      <c r="A3438" s="10" t="s">
        <v>4877</v>
      </c>
      <c r="B3438" s="7" t="str">
        <f>IFERROR(__xludf.DUMMYFUNCTION("SPLIT(A3438,"" "")"),"Cc1cccnc1CN(C)C1CCC(N(Cc2ccccn2)Cc2cccnc2CN(C)CN)CC1")</f>
        <v>Cc1cccnc1CN(C)C1CCC(N(Cc2ccccn2)Cc2cccnc2CN(C)CN)CC1</v>
      </c>
      <c r="C3438" s="7">
        <f>IFERROR(__xludf.DUMMYFUNCTION("""COMPUTED_VALUE"""),7.8015375)</f>
        <v>7.8015375</v>
      </c>
      <c r="D3438" s="7">
        <f>IFERROR(__xludf.DUMMYFUNCTION("""COMPUTED_VALUE"""),0.389830508474576)</f>
        <v>0.3898305085</v>
      </c>
    </row>
    <row r="3439">
      <c r="A3439" s="10" t="s">
        <v>4878</v>
      </c>
      <c r="B3439" s="7" t="str">
        <f>IFERROR(__xludf.DUMMYFUNCTION("SPLIT(A3439,"" "")"),"Cc1ccc(CN2CCN(C)CCN(CC3=CCC(N(C)Cc4cncc(C)c4C)=CN3)CC2)nc1")</f>
        <v>Cc1ccc(CN2CCN(C)CCN(CC3=CCC(N(C)Cc4cncc(C)c4C)=CN3)CC2)nc1</v>
      </c>
      <c r="C3439" s="7">
        <f>IFERROR(__xludf.DUMMYFUNCTION("""COMPUTED_VALUE"""),7.8015337)</f>
        <v>7.8015337</v>
      </c>
      <c r="D3439" s="7">
        <f>IFERROR(__xludf.DUMMYFUNCTION("""COMPUTED_VALUE"""),0.328358208955223)</f>
        <v>0.328358209</v>
      </c>
    </row>
    <row r="3440">
      <c r="A3440" s="10" t="s">
        <v>4879</v>
      </c>
      <c r="B3440" s="7" t="str">
        <f>IFERROR(__xludf.DUMMYFUNCTION("SPLIT(A3440,"" "")"),"Cc1cccnc1CN(Cc1ccccn1)C1CC(N(C)Cc2ccccn2)CCC1N(C)Cc1cccc(-c2ccc3c(c2)OCCOCCOCCOCCOCCO3)n1")</f>
        <v>Cc1cccnc1CN(Cc1ccccn1)C1CC(N(C)Cc2ccccn2)CCC1N(C)Cc1cccc(-c2ccc3c(c2)OCCOCCOCCOCCOCCO3)n1</v>
      </c>
      <c r="C3440" s="7">
        <f>IFERROR(__xludf.DUMMYFUNCTION("""COMPUTED_VALUE"""),7.801523)</f>
        <v>7.801523</v>
      </c>
      <c r="D3440" s="7">
        <f>IFERROR(__xludf.DUMMYFUNCTION("""COMPUTED_VALUE"""),0.364864864864864)</f>
        <v>0.3648648649</v>
      </c>
    </row>
    <row r="3441">
      <c r="A3441" s="10" t="s">
        <v>4880</v>
      </c>
      <c r="B3441" s="7" t="str">
        <f>IFERROR(__xludf.DUMMYFUNCTION("SPLIT(A3441,"" "")"),"CN(CC1=CC(N(C)C(c2ccccn2)c2ccccn2)C=CN1)c1ccc2c(c1)OCCOCCOCCOCCOCCO2")</f>
        <v>CN(CC1=CC(N(C)C(c2ccccn2)c2ccccn2)C=CN1)c1ccc2c(c1)OCCOCCOCCOCCOCCO2</v>
      </c>
      <c r="C3441" s="7">
        <f>IFERROR(__xludf.DUMMYFUNCTION("""COMPUTED_VALUE"""),7.8015227)</f>
        <v>7.8015227</v>
      </c>
      <c r="D3441" s="7">
        <f>IFERROR(__xludf.DUMMYFUNCTION("""COMPUTED_VALUE"""),0.309859154929577)</f>
        <v>0.3098591549</v>
      </c>
    </row>
    <row r="3442">
      <c r="A3442" s="10" t="s">
        <v>4881</v>
      </c>
      <c r="B3442" s="7" t="str">
        <f>IFERROR(__xludf.DUMMYFUNCTION("SPLIT(A3442,"" "")"),"CNCc1cc(CN(C)Cc2cc(-c3ccc4c(c3)OCCOCCOCCOCCOCCO4)ccn2)ccn1")</f>
        <v>CNCc1cc(CN(C)Cc2cc(-c3ccc4c(c3)OCCOCCOCCOCCOCCO4)ccn2)ccn1</v>
      </c>
      <c r="C3442" s="7">
        <f>IFERROR(__xludf.DUMMYFUNCTION("""COMPUTED_VALUE"""),7.801512)</f>
        <v>7.801512</v>
      </c>
      <c r="D3442" s="7">
        <f>IFERROR(__xludf.DUMMYFUNCTION("""COMPUTED_VALUE"""),0.367647058823529)</f>
        <v>0.3676470588</v>
      </c>
    </row>
    <row r="3443">
      <c r="A3443" s="10" t="s">
        <v>4882</v>
      </c>
      <c r="B3443" s="7" t="str">
        <f>IFERROR(__xludf.DUMMYFUNCTION("SPLIT(A3443,"" "")"),"Cc1nc(CN(C)C2CCC(N(C)Cc3cccc(C4CC(C)C4N)n3)CC2)c(C)c(C)c1C")</f>
        <v>Cc1nc(CN(C)C2CCC(N(C)Cc3cccc(C4CC(C)C4N)n3)CC2)c(C)c(C)c1C</v>
      </c>
      <c r="C3443" s="7">
        <f>IFERROR(__xludf.DUMMYFUNCTION("""COMPUTED_VALUE"""),7.801512)</f>
        <v>7.801512</v>
      </c>
      <c r="D3443" s="7">
        <f>IFERROR(__xludf.DUMMYFUNCTION("""COMPUTED_VALUE"""),0.35)</f>
        <v>0.35</v>
      </c>
    </row>
    <row r="3444">
      <c r="A3444" s="10" t="s">
        <v>4883</v>
      </c>
      <c r="B3444" s="7" t="str">
        <f>IFERROR(__xludf.DUMMYFUNCTION("SPLIT(A3444,"" "")"),"C=CCNCc1cccc(CN(Cc2ccccn2)C2CCCC(N(C)Cc3cccc(C)n3)C2)n1")</f>
        <v>C=CCNCc1cccc(CN(Cc2ccccn2)C2CCCC(N(C)Cc3cccc(C)n3)C2)n1</v>
      </c>
      <c r="C3444" s="7">
        <f>IFERROR(__xludf.DUMMYFUNCTION("""COMPUTED_VALUE"""),7.8015103)</f>
        <v>7.8015103</v>
      </c>
      <c r="D3444" s="7">
        <f>IFERROR(__xludf.DUMMYFUNCTION("""COMPUTED_VALUE"""),0.419354838709677)</f>
        <v>0.4193548387</v>
      </c>
    </row>
    <row r="3445">
      <c r="A3445" s="10" t="s">
        <v>4884</v>
      </c>
      <c r="B3445" s="7" t="str">
        <f>IFERROR(__xludf.DUMMYFUNCTION("SPLIT(A3445,"" "")"),"CNCc1cc(CN(C)C2CCCCC2N(C)Cc2nc(C)c(C)c(C)c2C)ccn1")</f>
        <v>CNCc1cc(CN(C)C2CCCCC2N(C)Cc2nc(C)c(C)c(C)c2C)ccn1</v>
      </c>
      <c r="C3445" s="7">
        <f>IFERROR(__xludf.DUMMYFUNCTION("""COMPUTED_VALUE"""),7.801505)</f>
        <v>7.801505</v>
      </c>
      <c r="D3445" s="7">
        <f>IFERROR(__xludf.DUMMYFUNCTION("""COMPUTED_VALUE"""),0.418181818181818)</f>
        <v>0.4181818182</v>
      </c>
    </row>
    <row r="3446">
      <c r="A3446" s="10" t="s">
        <v>4885</v>
      </c>
      <c r="B3446" s="7" t="str">
        <f>IFERROR(__xludf.DUMMYFUNCTION("SPLIT(A3446,"" "")"),"CC(C)N(C)CCN(C(C)C)C(C)N")</f>
        <v>CC(C)N(C)CCN(C(C)C)C(C)N</v>
      </c>
      <c r="C3446" s="7">
        <f>IFERROR(__xludf.DUMMYFUNCTION("""COMPUTED_VALUE"""),7.801505)</f>
        <v>7.801505</v>
      </c>
      <c r="D3446" s="7">
        <f>IFERROR(__xludf.DUMMYFUNCTION("""COMPUTED_VALUE"""),0.175)</f>
        <v>0.175</v>
      </c>
    </row>
    <row r="3447">
      <c r="A3447" s="10" t="s">
        <v>4886</v>
      </c>
      <c r="B3447" s="7" t="str">
        <f>IFERROR(__xludf.DUMMYFUNCTION("SPLIT(A3447,"" "")"),"CCN(Cc1ccccn1)Cc1ncccc1CN(C)C1CCC(N(C)Cc2ncccc2C)CC1")</f>
        <v>CCN(Cc1ccccn1)Cc1ncccc1CN(C)C1CCC(N(C)Cc2ncccc2C)CC1</v>
      </c>
      <c r="C3447" s="7">
        <f>IFERROR(__xludf.DUMMYFUNCTION("""COMPUTED_VALUE"""),7.801496)</f>
        <v>7.801496</v>
      </c>
      <c r="D3447" s="7">
        <f>IFERROR(__xludf.DUMMYFUNCTION("""COMPUTED_VALUE"""),0.418181818181818)</f>
        <v>0.4181818182</v>
      </c>
    </row>
    <row r="3448">
      <c r="A3448" s="10" t="s">
        <v>4887</v>
      </c>
      <c r="B3448" s="7" t="str">
        <f>IFERROR(__xludf.DUMMYFUNCTION("SPLIT(A3448,"" "")"),"CN1CCN(C)CCN(Cc2ccc(CN(Cc3ccc(F)nc3)Cc3ccc(F)nc3)nc2)CC1")</f>
        <v>CN1CCN(C)CCN(Cc2ccc(CN(Cc3ccc(F)nc3)Cc3ccc(F)nc3)nc2)CC1</v>
      </c>
      <c r="C3448" s="7">
        <f>IFERROR(__xludf.DUMMYFUNCTION("""COMPUTED_VALUE"""),7.801495)</f>
        <v>7.801495</v>
      </c>
      <c r="D3448" s="7">
        <f>IFERROR(__xludf.DUMMYFUNCTION("""COMPUTED_VALUE"""),0.42)</f>
        <v>0.42</v>
      </c>
    </row>
    <row r="3449">
      <c r="A3449" s="10" t="s">
        <v>4888</v>
      </c>
      <c r="B3449" s="7" t="str">
        <f>IFERROR(__xludf.DUMMYFUNCTION("SPLIT(A3449,"" "")"),"CC1C=CCC(C)(c2ncccc2CN(Cc2ccccn2)Cc2cccc(-c3ccc4c(c3)OCCOCCOCCOCCOCCO4)n2)C1C")</f>
        <v>CC1C=CCC(C)(c2ncccc2CN(Cc2ccccn2)Cc2cccc(-c3ccc4c(c3)OCCOCCOCCOCCOCCO4)n2)C1C</v>
      </c>
      <c r="C3449" s="7">
        <f>IFERROR(__xludf.DUMMYFUNCTION("""COMPUTED_VALUE"""),7.8014894)</f>
        <v>7.8014894</v>
      </c>
      <c r="D3449" s="7">
        <f>IFERROR(__xludf.DUMMYFUNCTION("""COMPUTED_VALUE"""),0.392405063291139)</f>
        <v>0.3924050633</v>
      </c>
    </row>
    <row r="3450">
      <c r="A3450" s="10" t="s">
        <v>4889</v>
      </c>
      <c r="B3450" s="7" t="str">
        <f>IFERROR(__xludf.DUMMYFUNCTION("SPLIT(A3450,"" "")"),"CNCc1ncccc1CN(C)C1CCCCC1N(C)Cc1nc(C)c(C)c(C)c1C")</f>
        <v>CNCc1ncccc1CN(C)C1CCCCC1N(C)Cc1nc(C)c(C)c(C)c1C</v>
      </c>
      <c r="C3450" s="7">
        <f>IFERROR(__xludf.DUMMYFUNCTION("""COMPUTED_VALUE"""),7.8014855)</f>
        <v>7.8014855</v>
      </c>
      <c r="D3450" s="7">
        <f>IFERROR(__xludf.DUMMYFUNCTION("""COMPUTED_VALUE"""),0.418181818181818)</f>
        <v>0.4181818182</v>
      </c>
    </row>
    <row r="3451">
      <c r="A3451" s="10" t="s">
        <v>4890</v>
      </c>
      <c r="B3451" s="7" t="str">
        <f>IFERROR(__xludf.DUMMYFUNCTION("SPLIT(A3451,"" "")"),"CCNC1CC(N(C)Cc2cc(C)ccn2)CCC1N(Cc1ccccn1)Cc1ncccc1C")</f>
        <v>CCNC1CC(N(C)Cc2cc(C)ccn2)CCC1N(Cc1ccccn1)Cc1ncccc1C</v>
      </c>
      <c r="C3451" s="7">
        <f>IFERROR(__xludf.DUMMYFUNCTION("""COMPUTED_VALUE"""),7.8014855)</f>
        <v>7.8014855</v>
      </c>
      <c r="D3451" s="7">
        <f>IFERROR(__xludf.DUMMYFUNCTION("""COMPUTED_VALUE"""),0.384615384615384)</f>
        <v>0.3846153846</v>
      </c>
    </row>
    <row r="3452">
      <c r="A3452" s="10" t="s">
        <v>4891</v>
      </c>
      <c r="B3452" s="7" t="str">
        <f>IFERROR(__xludf.DUMMYFUNCTION("SPLIT(A3452,"" "")"),"CCNCc1cc(CN(Cc2ccccn2)C2CCCC(N(C)Cc3ncccc3C)C2)ccn1")</f>
        <v>CCNCc1cc(CN(Cc2ccccn2)C2CCCC(N(C)Cc3ncccc3C)C2)ccn1</v>
      </c>
      <c r="C3452" s="7">
        <f>IFERROR(__xludf.DUMMYFUNCTION("""COMPUTED_VALUE"""),7.801477)</f>
        <v>7.801477</v>
      </c>
      <c r="D3452" s="7">
        <f>IFERROR(__xludf.DUMMYFUNCTION("""COMPUTED_VALUE"""),0.375)</f>
        <v>0.375</v>
      </c>
    </row>
    <row r="3453">
      <c r="A3453" s="10" t="s">
        <v>4892</v>
      </c>
      <c r="B3453" s="7" t="str">
        <f>IFERROR(__xludf.DUMMYFUNCTION("SPLIT(A3453,"" "")"),"CCNCc1cccc(CN(Cc2ccccn2)C2CCCC(N(C)Cc3ncccc3C)C2)n1")</f>
        <v>CCNCc1cccc(CN(Cc2ccccn2)C2CCCC(N(C)Cc3ncccc3C)C2)n1</v>
      </c>
      <c r="C3453" s="7">
        <f>IFERROR(__xludf.DUMMYFUNCTION("""COMPUTED_VALUE"""),7.801471)</f>
        <v>7.801471</v>
      </c>
      <c r="D3453" s="7">
        <f>IFERROR(__xludf.DUMMYFUNCTION("""COMPUTED_VALUE"""),0.387096774193548)</f>
        <v>0.3870967742</v>
      </c>
    </row>
    <row r="3454">
      <c r="A3454" s="10" t="s">
        <v>4893</v>
      </c>
      <c r="B3454" s="7" t="str">
        <f>IFERROR(__xludf.DUMMYFUNCTION("SPLIT(A3454,"" "")"),"Cc1cnc(C)c(C)c1CN(C)C1=CNC=C(CN2CCN(C)CCN(C)CC2)C1")</f>
        <v>Cc1cnc(C)c(C)c1CN(C)C1=CNC=C(CN2CCN(C)CCN(C)CC2)C1</v>
      </c>
      <c r="C3454" s="7">
        <f>IFERROR(__xludf.DUMMYFUNCTION("""COMPUTED_VALUE"""),7.8014607)</f>
        <v>7.8014607</v>
      </c>
      <c r="D3454" s="7">
        <f>IFERROR(__xludf.DUMMYFUNCTION("""COMPUTED_VALUE"""),0.366666666666666)</f>
        <v>0.3666666667</v>
      </c>
    </row>
    <row r="3455">
      <c r="A3455" s="10" t="s">
        <v>4894</v>
      </c>
      <c r="B3455" s="7" t="str">
        <f>IFERROR(__xludf.DUMMYFUNCTION("SPLIT(A3455,"" "")"),"c1ccc(CN(Cc2ccccn2)Cc2cccc(-c3ccc4c(c3)OCCOCCOCCOCCOCCO4)n2)cc1")</f>
        <v>c1ccc(CN(Cc2ccccn2)Cc2cccc(-c3ccc4c(c3)OCCOCCOCCOCCOCCO4)n2)cc1</v>
      </c>
      <c r="C3455" s="7">
        <f>IFERROR(__xludf.DUMMYFUNCTION("""COMPUTED_VALUE"""),7.801458)</f>
        <v>7.801458</v>
      </c>
      <c r="D3455" s="7">
        <f>IFERROR(__xludf.DUMMYFUNCTION("""COMPUTED_VALUE"""),0.5)</f>
        <v>0.5</v>
      </c>
    </row>
    <row r="3456">
      <c r="A3456" s="10" t="s">
        <v>4895</v>
      </c>
      <c r="B3456" s="7" t="str">
        <f>IFERROR(__xludf.DUMMYFUNCTION("SPLIT(A3456,"" "")"),"Cc1cccnc1CN(C)C1CCC(N(Cc2ccccn2)Cc2cccc(C3(C)C=CC(C)CC3(C)C)n2)CC1")</f>
        <v>Cc1cccnc1CN(C)C1CCC(N(Cc2ccccn2)Cc2cccc(C3(C)C=CC(C)CC3(C)C)n2)CC1</v>
      </c>
      <c r="C3456" s="7">
        <f>IFERROR(__xludf.DUMMYFUNCTION("""COMPUTED_VALUE"""),7.8014574)</f>
        <v>7.8014574</v>
      </c>
      <c r="D3456" s="7">
        <f>IFERROR(__xludf.DUMMYFUNCTION("""COMPUTED_VALUE"""),0.333333333333333)</f>
        <v>0.3333333333</v>
      </c>
    </row>
    <row r="3457">
      <c r="A3457" s="10" t="s">
        <v>4896</v>
      </c>
      <c r="B3457" s="7" t="str">
        <f>IFERROR(__xludf.DUMMYFUNCTION("SPLIT(A3457,"" "")"),"Cc1cccnc1CN(Cc1cc(C)c(C)c(C)n1)C1CCCCC1N(C)CCN(C)Cc1ccccn1")</f>
        <v>Cc1cccnc1CN(Cc1cc(C)c(C)c(C)n1)C1CCCCC1N(C)CCN(C)Cc1ccccn1</v>
      </c>
      <c r="C3457" s="7">
        <f>IFERROR(__xludf.DUMMYFUNCTION("""COMPUTED_VALUE"""),7.801455)</f>
        <v>7.801455</v>
      </c>
      <c r="D3457" s="7">
        <f>IFERROR(__xludf.DUMMYFUNCTION("""COMPUTED_VALUE"""),0.466666666666666)</f>
        <v>0.4666666667</v>
      </c>
    </row>
    <row r="3458">
      <c r="A3458" s="10" t="s">
        <v>4897</v>
      </c>
      <c r="B3458" s="7" t="str">
        <f>IFERROR(__xludf.DUMMYFUNCTION("SPLIT(A3458,"" "")"),"Cc1nccc(CN(C)C2CCCC(N(C)Cc3ccon3)C2)c1C")</f>
        <v>Cc1nccc(CN(C)C2CCCC(N(C)Cc3ccon3)C2)c1C</v>
      </c>
      <c r="C3458" s="7">
        <f>IFERROR(__xludf.DUMMYFUNCTION("""COMPUTED_VALUE"""),7.8014393)</f>
        <v>7.8014393</v>
      </c>
      <c r="D3458" s="7">
        <f>IFERROR(__xludf.DUMMYFUNCTION("""COMPUTED_VALUE"""),0.395833333333333)</f>
        <v>0.3958333333</v>
      </c>
    </row>
    <row r="3459">
      <c r="A3459" s="10" t="s">
        <v>4898</v>
      </c>
      <c r="B3459" s="7" t="str">
        <f>IFERROR(__xludf.DUMMYFUNCTION("SPLIT(A3459,"" "")"),"CN(Cc1ccccn1)Cc1cccc(CN(Cc2cccc(CN(Cc3ccccn3)Cc3cccc(CN(Cc4ccccn4)Cc4cccc(C5CC6OCCOCCOCCOCCOCCOC65)n4)n3)n2)Cc2cccc(-c3cccc4c3OCCOCCOCCOCCOCCO4)n2)n1")</f>
        <v>CN(Cc1ccccn1)Cc1cccc(CN(Cc2cccc(CN(Cc3ccccn3)Cc3cccc(CN(Cc4ccccn4)Cc4cccc(C5CC6OCCOCCOCCOCCOCCOC65)n4)n3)n2)Cc2cccc(-c3cccc4c3OCCOCCOCCOCCOCCO4)n2)n1</v>
      </c>
      <c r="C3459" s="7">
        <f>IFERROR(__xludf.DUMMYFUNCTION("""COMPUTED_VALUE"""),7.801426)</f>
        <v>7.801426</v>
      </c>
      <c r="D3459" s="7">
        <f>IFERROR(__xludf.DUMMYFUNCTION("""COMPUTED_VALUE"""),0.405797101449275)</f>
        <v>0.4057971014</v>
      </c>
    </row>
    <row r="3460">
      <c r="A3460" s="10" t="s">
        <v>4899</v>
      </c>
      <c r="B3460" s="7" t="str">
        <f>IFERROR(__xludf.DUMMYFUNCTION("SPLIT(A3460,"" "")"),"CCNCc1ncccc1-c1cc(NCc2ccccn2)cc2c1OCCOCCOCCOCCOCCO2")</f>
        <v>CCNCc1ncccc1-c1cc(NCc2ccccn2)cc2c1OCCOCCOCCOCCOCCO2</v>
      </c>
      <c r="C3460" s="7">
        <f>IFERROR(__xludf.DUMMYFUNCTION("""COMPUTED_VALUE"""),7.8014)</f>
        <v>7.8014</v>
      </c>
      <c r="D3460" s="7">
        <f>IFERROR(__xludf.DUMMYFUNCTION("""COMPUTED_VALUE"""),0.310344827586206)</f>
        <v>0.3103448276</v>
      </c>
    </row>
    <row r="3461">
      <c r="A3461" s="10" t="s">
        <v>4900</v>
      </c>
      <c r="B3461" s="7" t="str">
        <f>IFERROR(__xludf.DUMMYFUNCTION("SPLIT(A3461,"" "")"),"c1ccc(CN(Cc2ccccn2)Cc2ncccc2-c2cccc3c2OCCOCCOCCOCCOCCO3)cc1")</f>
        <v>c1ccc(CN(Cc2ccccn2)Cc2ncccc2-c2cccc3c2OCCOCCOCCOCCOCCO3)cc1</v>
      </c>
      <c r="C3461" s="7">
        <f>IFERROR(__xludf.DUMMYFUNCTION("""COMPUTED_VALUE"""),7.8014)</f>
        <v>7.8014</v>
      </c>
      <c r="D3461" s="7">
        <f>IFERROR(__xludf.DUMMYFUNCTION("""COMPUTED_VALUE"""),0.4)</f>
        <v>0.4</v>
      </c>
    </row>
    <row r="3462">
      <c r="A3462" s="10" t="s">
        <v>4901</v>
      </c>
      <c r="B3462" s="7" t="str">
        <f>IFERROR(__xludf.DUMMYFUNCTION("SPLIT(A3462,"" "")"),"Cc1cc(CN(C)C2CCC(N(C)C3=CCC=CN3)CC2)nc(C)c1C")</f>
        <v>Cc1cc(CN(C)C2CCC(N(C)C3=CCC=CN3)CC2)nc(C)c1C</v>
      </c>
      <c r="C3462" s="7">
        <f>IFERROR(__xludf.DUMMYFUNCTION("""COMPUTED_VALUE"""),7.801399)</f>
        <v>7.801399</v>
      </c>
      <c r="D3462" s="7">
        <f>IFERROR(__xludf.DUMMYFUNCTION("""COMPUTED_VALUE"""),0.265625)</f>
        <v>0.265625</v>
      </c>
    </row>
    <row r="3463">
      <c r="A3463" s="10" t="s">
        <v>4902</v>
      </c>
      <c r="B3463" s="7" t="str">
        <f>IFERROR(__xludf.DUMMYFUNCTION("SPLIT(A3463,"" "")"),"Cc1ccc(CN(C)CCN(Cc2ccccn2)Cc2cccc(-c3cccc4c3OCCOCCOCCOCCOCCO4)n2)nc1")</f>
        <v>Cc1ccc(CN(C)CCN(Cc2ccccn2)Cc2cccc(-c3cccc4c3OCCOCCOCCOCCOCCO4)n2)nc1</v>
      </c>
      <c r="C3463" s="7">
        <f>IFERROR(__xludf.DUMMYFUNCTION("""COMPUTED_VALUE"""),7.801386)</f>
        <v>7.801386</v>
      </c>
      <c r="D3463" s="7">
        <f>IFERROR(__xludf.DUMMYFUNCTION("""COMPUTED_VALUE"""),0.415384615384615)</f>
        <v>0.4153846154</v>
      </c>
    </row>
    <row r="3464">
      <c r="A3464" s="10" t="s">
        <v>4903</v>
      </c>
      <c r="B3464" s="7" t="str">
        <f>IFERROR(__xludf.DUMMYFUNCTION("SPLIT(A3464,"" "")"),"CC1C=CC(C)(c2cccc(CN(Cc3ccccn3)Cc3cccc(-c4ccc5c(c4)OCCOCCOCCOCCOCCO5)n3)n2)CC1C(C)(C)C")</f>
        <v>CC1C=CC(C)(c2cccc(CN(Cc3ccccn3)Cc3cccc(-c4ccc5c(c4)OCCOCCOCCOCCOCCO5)n3)n2)CC1C(C)(C)C</v>
      </c>
      <c r="C3464" s="7">
        <f>IFERROR(__xludf.DUMMYFUNCTION("""COMPUTED_VALUE"""),7.8013825)</f>
        <v>7.8013825</v>
      </c>
      <c r="D3464" s="7">
        <f>IFERROR(__xludf.DUMMYFUNCTION("""COMPUTED_VALUE"""),0.397435897435897)</f>
        <v>0.3974358974</v>
      </c>
    </row>
    <row r="3465">
      <c r="A3465" s="10" t="s">
        <v>4904</v>
      </c>
      <c r="B3465" s="7" t="str">
        <f>IFERROR(__xludf.DUMMYFUNCTION("SPLIT(A3465,"" "")"),"CNC(C)(C)N(Cc1cc(C)ccn1)C1CCCC(N(C)Cc2cc(C)c(C)c(C)n2)C1")</f>
        <v>CNC(C)(C)N(Cc1cc(C)ccn1)C1CCCC(N(C)Cc2cc(C)c(C)c(C)n2)C1</v>
      </c>
      <c r="C3465" s="7">
        <f>IFERROR(__xludf.DUMMYFUNCTION("""COMPUTED_VALUE"""),7.8013763)</f>
        <v>7.8013763</v>
      </c>
      <c r="D3465" s="7">
        <f>IFERROR(__xludf.DUMMYFUNCTION("""COMPUTED_VALUE"""),0.287878787878787)</f>
        <v>0.2878787879</v>
      </c>
    </row>
    <row r="3466">
      <c r="A3466" s="10" t="s">
        <v>4905</v>
      </c>
      <c r="B3466" s="7" t="str">
        <f>IFERROR(__xludf.DUMMYFUNCTION("SPLIT(A3466,"" "")"),"CCCN(C)Cc1ncccc1C(C)(C)C(C)C")</f>
        <v>CCCN(C)Cc1ncccc1C(C)(C)C(C)C</v>
      </c>
      <c r="C3466" s="7">
        <f>IFERROR(__xludf.DUMMYFUNCTION("""COMPUTED_VALUE"""),7.8013606)</f>
        <v>7.8013606</v>
      </c>
      <c r="D3466" s="7">
        <f>IFERROR(__xludf.DUMMYFUNCTION("""COMPUTED_VALUE"""),0.355555555555555)</f>
        <v>0.3555555556</v>
      </c>
    </row>
    <row r="3467">
      <c r="A3467" s="10" t="s">
        <v>4906</v>
      </c>
      <c r="B3467" s="7" t="str">
        <f>IFERROR(__xludf.DUMMYFUNCTION("SPLIT(A3467,"" "")"),"CC1=CC(C)CC2(C1)C(CN(Cc1ccccn1)Cc1ccccn1)C(CN(C)Cc1cccnn1)C=CC21CCC(C)C=C1C")</f>
        <v>CC1=CC(C)CC2(C1)C(CN(Cc1ccccn1)Cc1ccccn1)C(CN(C)Cc1cccnn1)C=CC21CCC(C)C=C1C</v>
      </c>
      <c r="C3467" s="7">
        <f>IFERROR(__xludf.DUMMYFUNCTION("""COMPUTED_VALUE"""),7.801355)</f>
        <v>7.801355</v>
      </c>
      <c r="D3467" s="7">
        <f>IFERROR(__xludf.DUMMYFUNCTION("""COMPUTED_VALUE"""),0.371428571428571)</f>
        <v>0.3714285714</v>
      </c>
    </row>
    <row r="3468">
      <c r="A3468" s="10" t="s">
        <v>4907</v>
      </c>
      <c r="B3468" s="7" t="str">
        <f>IFERROR(__xludf.DUMMYFUNCTION("SPLIT(A3468,"" "")"),"CNCCN(C)Cc1ncccc1F")</f>
        <v>CNCCN(C)Cc1ncccc1F</v>
      </c>
      <c r="C3468" s="7">
        <f>IFERROR(__xludf.DUMMYFUNCTION("""COMPUTED_VALUE"""),7.801353)</f>
        <v>7.801353</v>
      </c>
      <c r="D3468" s="7">
        <f>IFERROR(__xludf.DUMMYFUNCTION("""COMPUTED_VALUE"""),0.38095238095238)</f>
        <v>0.380952381</v>
      </c>
    </row>
    <row r="3469">
      <c r="A3469" s="10" t="s">
        <v>4908</v>
      </c>
      <c r="B3469" s="7" t="str">
        <f>IFERROR(__xludf.DUMMYFUNCTION("SPLIT(A3469,"" "")"),"Cc1cccnc1CN(Cc1ncc(C)c(C)c1C)C1CCC(N(C)Cc2cc(-c3ccc4c(c3)OCCOCCOCCOCCOCCO4)ccn2)CC1")</f>
        <v>Cc1cccnc1CN(Cc1ncc(C)c(C)c1C)C1CCC(N(C)Cc2cc(-c3ccc4c(c3)OCCOCCOCCOCCOCCO4)ccn2)CC1</v>
      </c>
      <c r="C3469" s="7">
        <f>IFERROR(__xludf.DUMMYFUNCTION("""COMPUTED_VALUE"""),7.8013506)</f>
        <v>7.8013506</v>
      </c>
      <c r="D3469" s="7">
        <f>IFERROR(__xludf.DUMMYFUNCTION("""COMPUTED_VALUE"""),0.345679012345679)</f>
        <v>0.3456790123</v>
      </c>
    </row>
    <row r="3470">
      <c r="A3470" s="10" t="s">
        <v>4909</v>
      </c>
      <c r="B3470" s="7" t="str">
        <f>IFERROR(__xludf.DUMMYFUNCTION("SPLIT(A3470,"" "")"),"CN(CC1=NCC(C)(C)O1)CC(C)(C)C")</f>
        <v>CN(CC1=NCC(C)(C)O1)CC(C)(C)C</v>
      </c>
      <c r="C3470" s="7">
        <f>IFERROR(__xludf.DUMMYFUNCTION("""COMPUTED_VALUE"""),7.8013463)</f>
        <v>7.8013463</v>
      </c>
      <c r="D3470" s="7">
        <f>IFERROR(__xludf.DUMMYFUNCTION("""COMPUTED_VALUE"""),0.260869565217391)</f>
        <v>0.2608695652</v>
      </c>
    </row>
    <row r="3471">
      <c r="A3471" s="10" t="s">
        <v>4910</v>
      </c>
      <c r="B3471" s="7" t="str">
        <f>IFERROR(__xludf.DUMMYFUNCTION("SPLIT(A3471,"" "")"),"Cc1cc(C)c(CN(C)C2=C(CN3CCN(C)CCN(C)CC3)NC=CC2)nc1C")</f>
        <v>Cc1cc(C)c(CN(C)C2=C(CN3CCN(C)CCN(C)CC3)NC=CC2)nc1C</v>
      </c>
      <c r="C3471" s="7">
        <f>IFERROR(__xludf.DUMMYFUNCTION("""COMPUTED_VALUE"""),7.801332)</f>
        <v>7.801332</v>
      </c>
      <c r="D3471" s="7">
        <f>IFERROR(__xludf.DUMMYFUNCTION("""COMPUTED_VALUE"""),0.327586206896551)</f>
        <v>0.3275862069</v>
      </c>
    </row>
    <row r="3472">
      <c r="A3472" s="10" t="s">
        <v>4911</v>
      </c>
      <c r="B3472" s="7" t="str">
        <f>IFERROR(__xludf.DUMMYFUNCTION("SPLIT(A3472,"" "")"),"CN1CCN(Cc2ccc(C3=CC4OCCOC=COCCOCCOCCOC4C=C3)cn2)CCN(Cc2cccc(-c3cccc(N=Cc4ccccn4)c3)n2)CC1")</f>
        <v>CN1CCN(Cc2ccc(C3=CC4OCCOC=COCCOCCOCCOC4C=C3)cn2)CCN(Cc2cccc(-c3cccc(N=Cc4ccccn4)c3)n2)CC1</v>
      </c>
      <c r="C3472" s="7">
        <f>IFERROR(__xludf.DUMMYFUNCTION("""COMPUTED_VALUE"""),7.801327)</f>
        <v>7.801327</v>
      </c>
      <c r="D3472" s="7">
        <f>IFERROR(__xludf.DUMMYFUNCTION("""COMPUTED_VALUE"""),0.329268292682926)</f>
        <v>0.3292682927</v>
      </c>
    </row>
    <row r="3473">
      <c r="A3473" s="10" t="s">
        <v>4912</v>
      </c>
      <c r="B3473" s="7" t="str">
        <f>IFERROR(__xludf.DUMMYFUNCTION("SPLIT(A3473,"" "")"),"CC(C)N(C)Cc1cccc(CF)n1")</f>
        <v>CC(C)N(C)Cc1cccc(CF)n1</v>
      </c>
      <c r="C3473" s="7">
        <f>IFERROR(__xludf.DUMMYFUNCTION("""COMPUTED_VALUE"""),7.8013134)</f>
        <v>7.8013134</v>
      </c>
      <c r="D3473" s="7">
        <f>IFERROR(__xludf.DUMMYFUNCTION("""COMPUTED_VALUE"""),0.432432432432432)</f>
        <v>0.4324324324</v>
      </c>
    </row>
    <row r="3474">
      <c r="A3474" s="10" t="s">
        <v>4913</v>
      </c>
      <c r="B3474" s="7" t="str">
        <f>IFERROR(__xludf.DUMMYFUNCTION("SPLIT(A3474,"" "")"),"CN(Cc1cccc(-c2ccccc2)n1)C1CCC(N(C)Cc2cccc(-c3ccc4c(c3)OCCOCCOCCOCCOCCO4)n2)CC1")</f>
        <v>CN(Cc1cccc(-c2ccccc2)n1)C1CCC(N(C)Cc2cccc(-c3ccc4c(c3)OCCOCCOCCOCCOCCO4)n2)CC1</v>
      </c>
      <c r="C3474" s="7">
        <f>IFERROR(__xludf.DUMMYFUNCTION("""COMPUTED_VALUE"""),7.801312)</f>
        <v>7.801312</v>
      </c>
      <c r="D3474" s="7">
        <f>IFERROR(__xludf.DUMMYFUNCTION("""COMPUTED_VALUE"""),0.367647058823529)</f>
        <v>0.3676470588</v>
      </c>
    </row>
    <row r="3475">
      <c r="A3475" s="10" t="s">
        <v>4914</v>
      </c>
      <c r="B3475" s="7" t="str">
        <f>IFERROR(__xludf.DUMMYFUNCTION("SPLIT(A3475,"" "")"),"Cc1cccc(CN(CCN(Cc2ccccn2)C(C)C)Cc2cccc(-c3ccc4c(c3)OCCOCCOCCOCCOCCO4)n2)n1")</f>
        <v>Cc1cccc(CN(CCN(Cc2ccccn2)C(C)C)Cc2cccc(-c3ccc4c(c3)OCCOCCOCCOCCOCCO4)n2)n1</v>
      </c>
      <c r="C3475" s="7">
        <f>IFERROR(__xludf.DUMMYFUNCTION("""COMPUTED_VALUE"""),7.801306)</f>
        <v>7.801306</v>
      </c>
      <c r="D3475" s="7">
        <f>IFERROR(__xludf.DUMMYFUNCTION("""COMPUTED_VALUE"""),0.442622950819672)</f>
        <v>0.4426229508</v>
      </c>
    </row>
    <row r="3476">
      <c r="A3476" s="10" t="s">
        <v>4915</v>
      </c>
      <c r="B3476" s="7" t="str">
        <f>IFERROR(__xludf.DUMMYFUNCTION("SPLIT(A3476,"" "")"),"CN(CC1=C(N(Cc2ccccn2)C2=CCC=CN2)CC=CN1)c1cccc2c1OCCOCCOCCOCCOCCO2")</f>
        <v>CN(CC1=C(N(Cc2ccccn2)C2=CCC=CN2)CC=CN1)c1cccc2c1OCCOCCOCCOCCOCCO2</v>
      </c>
      <c r="C3476" s="7">
        <f>IFERROR(__xludf.DUMMYFUNCTION("""COMPUTED_VALUE"""),7.801298)</f>
        <v>7.801298</v>
      </c>
      <c r="D3476" s="7">
        <f>IFERROR(__xludf.DUMMYFUNCTION("""COMPUTED_VALUE"""),0.36986301369863)</f>
        <v>0.3698630137</v>
      </c>
    </row>
    <row r="3477">
      <c r="A3477" s="10" t="s">
        <v>4916</v>
      </c>
      <c r="B3477" s="7" t="str">
        <f>IFERROR(__xludf.DUMMYFUNCTION("SPLIT(A3477,"" "")"),"CNCc1ccc(CN(C)C2CCCC(N(C)Cc3cc(C)c(C)c(C)n3)C2)cn1")</f>
        <v>CNCc1ccc(CN(C)C2CCCC(N(C)Cc3cc(C)c(C)c(C)n3)C2)cn1</v>
      </c>
      <c r="C3477" s="7">
        <f>IFERROR(__xludf.DUMMYFUNCTION("""COMPUTED_VALUE"""),7.801291)</f>
        <v>7.801291</v>
      </c>
      <c r="D3477" s="7">
        <f>IFERROR(__xludf.DUMMYFUNCTION("""COMPUTED_VALUE"""),0.35)</f>
        <v>0.35</v>
      </c>
    </row>
    <row r="3478">
      <c r="A3478" s="10" t="s">
        <v>4917</v>
      </c>
      <c r="B3478" s="7" t="str">
        <f>IFERROR(__xludf.DUMMYFUNCTION("SPLIT(A3478,"" "")"),"CNCc1nc(-c2cccc3c2OCCOCCOCCOCCOCCO3)c(C)c(C)c1C")</f>
        <v>CNCc1nc(-c2cccc3c2OCCOCCOCCOCCOCCO3)c(C)c(C)c1C</v>
      </c>
      <c r="C3478" s="7">
        <f>IFERROR(__xludf.DUMMYFUNCTION("""COMPUTED_VALUE"""),7.8012886)</f>
        <v>7.8012886</v>
      </c>
      <c r="D3478" s="7">
        <f>IFERROR(__xludf.DUMMYFUNCTION("""COMPUTED_VALUE"""),0.208333333333333)</f>
        <v>0.2083333333</v>
      </c>
    </row>
    <row r="3479">
      <c r="A3479" s="10" t="s">
        <v>4918</v>
      </c>
      <c r="B3479" s="7" t="str">
        <f>IFERROR(__xludf.DUMMYFUNCTION("SPLIT(A3479,"" "")"),"CN(CCNCc1ncccc1C(C)(C)C)CC(C)(C)C")</f>
        <v>CN(CCNCc1ncccc1C(C)(C)C)CC(C)(C)C</v>
      </c>
      <c r="C3479" s="7">
        <f>IFERROR(__xludf.DUMMYFUNCTION("""COMPUTED_VALUE"""),7.8012757)</f>
        <v>7.8012757</v>
      </c>
      <c r="D3479" s="7">
        <f>IFERROR(__xludf.DUMMYFUNCTION("""COMPUTED_VALUE"""),0.34)</f>
        <v>0.34</v>
      </c>
    </row>
    <row r="3480">
      <c r="A3480" s="10" t="s">
        <v>4919</v>
      </c>
      <c r="B3480" s="7" t="str">
        <f>IFERROR(__xludf.DUMMYFUNCTION("SPLIT(A3480,"" "")"),"CNCc1nc(CN(C)C2CCCCC2N(C)Cc2ncccc2C)c(C)c(C)c1C")</f>
        <v>CNCc1nc(CN(C)C2CCCCC2N(C)Cc2ncccc2C)c(C)c(C)c1C</v>
      </c>
      <c r="C3480" s="7">
        <f>IFERROR(__xludf.DUMMYFUNCTION("""COMPUTED_VALUE"""),7.801272)</f>
        <v>7.801272</v>
      </c>
      <c r="D3480" s="7">
        <f>IFERROR(__xludf.DUMMYFUNCTION("""COMPUTED_VALUE"""),0.442307692307692)</f>
        <v>0.4423076923</v>
      </c>
    </row>
    <row r="3481">
      <c r="A3481" s="10" t="s">
        <v>4920</v>
      </c>
      <c r="B3481" s="7" t="str">
        <f>IFERROR(__xludf.DUMMYFUNCTION("SPLIT(A3481,"" "")"),"CC1CC=C(N(C)Cc2ccccn2)C(C)(C)C1C")</f>
        <v>CC1CC=C(N(C)Cc2ccccn2)C(C)(C)C1C</v>
      </c>
      <c r="C3481" s="7">
        <f>IFERROR(__xludf.DUMMYFUNCTION("""COMPUTED_VALUE"""),7.801271)</f>
        <v>7.801271</v>
      </c>
      <c r="D3481" s="7">
        <f>IFERROR(__xludf.DUMMYFUNCTION("""COMPUTED_VALUE"""),0.446808510638297)</f>
        <v>0.4468085106</v>
      </c>
    </row>
    <row r="3482">
      <c r="A3482" s="10" t="s">
        <v>4921</v>
      </c>
      <c r="B3482" s="7" t="str">
        <f>IFERROR(__xludf.DUMMYFUNCTION("SPLIT(A3482,"" "")"),"Cc1cccnc1CN(Cc1cccc(-c2ccc3c(c2)OCCOCCOCCOCCOCCO3)n1)C(C)C")</f>
        <v>Cc1cccnc1CN(Cc1cccc(-c2ccc3c(c2)OCCOCCOCCOCCOCCO3)n1)C(C)C</v>
      </c>
      <c r="C3482" s="7">
        <f>IFERROR(__xludf.DUMMYFUNCTION("""COMPUTED_VALUE"""),7.80126)</f>
        <v>7.80126</v>
      </c>
      <c r="D3482" s="7">
        <f>IFERROR(__xludf.DUMMYFUNCTION("""COMPUTED_VALUE"""),0.342857142857142)</f>
        <v>0.3428571429</v>
      </c>
    </row>
    <row r="3483">
      <c r="A3483" s="10" t="s">
        <v>4922</v>
      </c>
      <c r="B3483" s="7" t="str">
        <f>IFERROR(__xludf.DUMMYFUNCTION("SPLIT(A3483,"" "")"),"CN(Cc1ncccc1-c1ccccc1)C1CCCCC1")</f>
        <v>CN(Cc1ncccc1-c1ccccc1)C1CCCCC1</v>
      </c>
      <c r="C3483" s="7">
        <f>IFERROR(__xludf.DUMMYFUNCTION("""COMPUTED_VALUE"""),7.801258)</f>
        <v>7.801258</v>
      </c>
      <c r="D3483" s="7">
        <f>IFERROR(__xludf.DUMMYFUNCTION("""COMPUTED_VALUE"""),0.425531914893617)</f>
        <v>0.4255319149</v>
      </c>
    </row>
    <row r="3484">
      <c r="A3484" s="10" t="s">
        <v>4923</v>
      </c>
      <c r="B3484" s="7" t="str">
        <f>IFERROR(__xludf.DUMMYFUNCTION("SPLIT(A3484,"" "")"),"Cc1cc(-c2cccc3c2OCCOCCOCCOCCOCCO3)c(C)nc1CN(C)CCN(C)C")</f>
        <v>Cc1cc(-c2cccc3c2OCCOCCOCCOCCOCCO3)c(C)nc1CN(C)CCN(C)C</v>
      </c>
      <c r="C3484" s="7">
        <f>IFERROR(__xludf.DUMMYFUNCTION("""COMPUTED_VALUE"""),7.80124)</f>
        <v>7.80124</v>
      </c>
      <c r="D3484" s="7">
        <f>IFERROR(__xludf.DUMMYFUNCTION("""COMPUTED_VALUE"""),0.298245614035087)</f>
        <v>0.298245614</v>
      </c>
    </row>
    <row r="3485">
      <c r="A3485" s="10" t="s">
        <v>4924</v>
      </c>
      <c r="B3485" s="7" t="str">
        <f>IFERROR(__xludf.DUMMYFUNCTION("SPLIT(A3485,"" "")"),"CN(Cc1ccccn1)C1=CCC=C(CN(C)C2CCC(N(Cc3ccccn3)Cc3cccc(-c4cccc5c4OCCOCCOCCOCCOCCO5)n3)CC2)N1")</f>
        <v>CN(Cc1ccccn1)C1=CCC=C(CN(C)C2CCC(N(Cc3ccccn3)Cc3cccc(-c4cccc5c4OCCOCCOCCOCCOCCO5)n3)CC2)N1</v>
      </c>
      <c r="C3485" s="7">
        <f>IFERROR(__xludf.DUMMYFUNCTION("""COMPUTED_VALUE"""),7.801234)</f>
        <v>7.801234</v>
      </c>
      <c r="D3485" s="7">
        <f>IFERROR(__xludf.DUMMYFUNCTION("""COMPUTED_VALUE"""),0.324675324675324)</f>
        <v>0.3246753247</v>
      </c>
    </row>
    <row r="3486">
      <c r="A3486" s="10" t="s">
        <v>4925</v>
      </c>
      <c r="B3486" s="7" t="str">
        <f>IFERROR(__xludf.DUMMYFUNCTION("SPLIT(A3486,"" "")"),"CN(C)Cc1ccc2ccc(N(C)C3CCCC(N(C)C4CCC(N(C)Cc5cccc(-c6ccc7c(c6)OCCOCCOCCOCCOCCO7)n5)CC4)C3)cc2n1")</f>
        <v>CN(C)Cc1ccc2ccc(N(C)C3CCCC(N(C)C4CCC(N(C)Cc5cccc(-c6ccc7c(c6)OCCOCCOCCOCCOCCO7)n5)CC4)C3)cc2n1</v>
      </c>
      <c r="C3486" s="7">
        <f>IFERROR(__xludf.DUMMYFUNCTION("""COMPUTED_VALUE"""),7.8012214)</f>
        <v>7.8012214</v>
      </c>
      <c r="D3486" s="7">
        <f>IFERROR(__xludf.DUMMYFUNCTION("""COMPUTED_VALUE"""),0.317647058823529)</f>
        <v>0.3176470588</v>
      </c>
    </row>
    <row r="3487">
      <c r="A3487" s="10" t="s">
        <v>4926</v>
      </c>
      <c r="B3487" s="7" t="str">
        <f>IFERROR(__xludf.DUMMYFUNCTION("SPLIT(A3487,"" "")"),"CC(C)C(C)N(C)Cc1cc(-c2cc3c(cc2N(C)Cc2cc(-c4ccc5c(c4)OCCOCCOCCOCCOCCO5)ccn2)OCCOCCOCCOCCOCCO3)ccn1")</f>
        <v>CC(C)C(C)N(C)Cc1cc(-c2cc3c(cc2N(C)Cc2cc(-c4ccc5c(c4)OCCOCCOCCOCCOCCO5)ccn2)OCCOCCOCCOCCOCCO3)ccn1</v>
      </c>
      <c r="C3487" s="7">
        <f>IFERROR(__xludf.DUMMYFUNCTION("""COMPUTED_VALUE"""),7.8012214)</f>
        <v>7.8012214</v>
      </c>
      <c r="D3487" s="7">
        <f>IFERROR(__xludf.DUMMYFUNCTION("""COMPUTED_VALUE"""),0.342465753424657)</f>
        <v>0.3424657534</v>
      </c>
    </row>
    <row r="3488">
      <c r="A3488" s="10" t="s">
        <v>4927</v>
      </c>
      <c r="B3488" s="7" t="str">
        <f>IFERROR(__xludf.DUMMYFUNCTION("SPLIT(A3488,"" "")"),"Cc1cccnc1CN(C)C1CCC(N(C)Cc2ccccn2)C(N(Cc2ccccn2)Cc2ccc(-c3ccc4c(c3)OCCOCCOCCOCCOCCO4)cn2)C1")</f>
        <v>Cc1cccnc1CN(C)C1CCC(N(C)Cc2ccccn2)C(N(Cc2ccccn2)Cc2ccc(-c3ccc4c(c3)OCCOCCOCCOCCOCCO4)cn2)C1</v>
      </c>
      <c r="C3488" s="7">
        <f>IFERROR(__xludf.DUMMYFUNCTION("""COMPUTED_VALUE"""),7.801217)</f>
        <v>7.801217</v>
      </c>
      <c r="D3488" s="7">
        <f>IFERROR(__xludf.DUMMYFUNCTION("""COMPUTED_VALUE"""),0.395061728395061)</f>
        <v>0.3950617284</v>
      </c>
    </row>
    <row r="3489">
      <c r="A3489" s="10" t="s">
        <v>4928</v>
      </c>
      <c r="B3489" s="7" t="str">
        <f>IFERROR(__xludf.DUMMYFUNCTION("SPLIT(A3489,"" "")"),"CNCc1cc(CN(C)C(C)C)ccn1")</f>
        <v>CNCc1cc(CN(C)C(C)C)ccn1</v>
      </c>
      <c r="C3489" s="7">
        <f>IFERROR(__xludf.DUMMYFUNCTION("""COMPUTED_VALUE"""),7.8011975)</f>
        <v>7.8011975</v>
      </c>
      <c r="D3489" s="7">
        <f>IFERROR(__xludf.DUMMYFUNCTION("""COMPUTED_VALUE"""),0.34090909090909)</f>
        <v>0.3409090909</v>
      </c>
    </row>
    <row r="3490">
      <c r="A3490" s="10" t="s">
        <v>4929</v>
      </c>
      <c r="B3490" s="7" t="str">
        <f>IFERROR(__xludf.DUMMYFUNCTION("SPLIT(A3490,"" "")"),"CN(Cc1ccc(-c2ccc3c(c2)OCCOCCOCCOCCOCCO3)cn1)C1=CNC(C(C)(C)C)=CC1")</f>
        <v>CN(Cc1ccc(-c2ccc3c(c2)OCCOCCOCCOCCOCCO3)cn1)C1=CNC(C(C)(C)C)=CC1</v>
      </c>
      <c r="C3490" s="7">
        <f>IFERROR(__xludf.DUMMYFUNCTION("""COMPUTED_VALUE"""),7.8011928)</f>
        <v>7.8011928</v>
      </c>
      <c r="D3490" s="7">
        <f>IFERROR(__xludf.DUMMYFUNCTION("""COMPUTED_VALUE"""),0.434782608695652)</f>
        <v>0.4347826087</v>
      </c>
    </row>
    <row r="3491">
      <c r="A3491" s="10" t="s">
        <v>4930</v>
      </c>
      <c r="B3491" s="7" t="str">
        <f>IFERROR(__xludf.DUMMYFUNCTION("SPLIT(A3491,"" "")"),"CN(Cc1cc(-c2ccc3c(c2)OCCOCCOCCOCCOCCO3)ccn1)Cc1nc(-c2ccc3c(c2)OCCOCCOCCOCCOCCO3)ccc1C(C)(C)C")</f>
        <v>CN(Cc1cc(-c2ccc3c(c2)OCCOCCOCCOCCOCCO3)ccn1)Cc1nc(-c2ccc3c(c2)OCCOCCOCCOCCOCCO3)ccc1C(C)(C)C</v>
      </c>
      <c r="C3491" s="7">
        <f>IFERROR(__xludf.DUMMYFUNCTION("""COMPUTED_VALUE"""),7.801191)</f>
        <v>7.801191</v>
      </c>
      <c r="D3491" s="7">
        <f>IFERROR(__xludf.DUMMYFUNCTION("""COMPUTED_VALUE"""),0.342465753424657)</f>
        <v>0.3424657534</v>
      </c>
    </row>
    <row r="3492">
      <c r="A3492" s="10" t="s">
        <v>4931</v>
      </c>
      <c r="B3492" s="7" t="str">
        <f>IFERROR(__xludf.DUMMYFUNCTION("SPLIT(A3492,"" "")"),"CNC1CCCC(N(C)Cc2cc(C)c(C)c(C)n2)C1N(C)Cc1cc(C)ccn1")</f>
        <v>CNC1CCCC(N(C)Cc2cc(C)c(C)c(C)n2)C1N(C)Cc1cc(C)ccn1</v>
      </c>
      <c r="C3492" s="7">
        <f>IFERROR(__xludf.DUMMYFUNCTION("""COMPUTED_VALUE"""),7.8011804)</f>
        <v>7.8011804</v>
      </c>
      <c r="D3492" s="7">
        <f>IFERROR(__xludf.DUMMYFUNCTION("""COMPUTED_VALUE"""),0.366666666666666)</f>
        <v>0.3666666667</v>
      </c>
    </row>
    <row r="3493">
      <c r="A3493" s="10" t="s">
        <v>4932</v>
      </c>
      <c r="B3493" s="7" t="str">
        <f>IFERROR(__xludf.DUMMYFUNCTION("SPLIT(A3493,"" "")"),"CC(C)N(Cc1cccc(-c2cccc3c2OCCOCCOCCOCCOCCO3)n1)Cc1cccc(C(C)(C)C)n1")</f>
        <v>CC(C)N(Cc1cccc(-c2cccc3c2OCCOCCOCCOCCOCCO3)n1)Cc1cccc(C(C)(C)C)n1</v>
      </c>
      <c r="C3493" s="7">
        <f>IFERROR(__xludf.DUMMYFUNCTION("""COMPUTED_VALUE"""),7.80118)</f>
        <v>7.80118</v>
      </c>
      <c r="D3493" s="7">
        <f>IFERROR(__xludf.DUMMYFUNCTION("""COMPUTED_VALUE"""),0.278688524590163)</f>
        <v>0.2786885246</v>
      </c>
    </row>
    <row r="3494">
      <c r="A3494" s="10" t="s">
        <v>4933</v>
      </c>
      <c r="B3494" s="7" t="str">
        <f>IFERROR(__xludf.DUMMYFUNCTION("SPLIT(A3494,"" "")"),"CN(Cc1cccc(CF)n1)Cc1cccc(-c2ccc3c(c2)OCCOCCOCCOCCOCCO3)n1")</f>
        <v>CN(Cc1cccc(CF)n1)Cc1cccc(-c2ccc3c(c2)OCCOCCOCCOCCOCCO3)n1</v>
      </c>
      <c r="C3494" s="7">
        <f>IFERROR(__xludf.DUMMYFUNCTION("""COMPUTED_VALUE"""),7.801178)</f>
        <v>7.801178</v>
      </c>
      <c r="D3494" s="7">
        <f>IFERROR(__xludf.DUMMYFUNCTION("""COMPUTED_VALUE"""),0.381818181818181)</f>
        <v>0.3818181818</v>
      </c>
    </row>
    <row r="3495">
      <c r="A3495" s="10" t="s">
        <v>4934</v>
      </c>
      <c r="B3495" s="7" t="str">
        <f>IFERROR(__xludf.DUMMYFUNCTION("SPLIT(A3495,"" "")"),"Cc1cccc(-c2cccc(CN(C)C3CCCCC3N(C)Cc3cccc(-c4ccc5c(c4)OCCOCCOCCOCCOCCO5)n3)n2)c1")</f>
        <v>Cc1cccc(-c2cccc(CN(C)C3CCCCC3N(C)Cc3cccc(-c4ccc5c(c4)OCCOCCOCCOCCOCCO5)n3)n2)c1</v>
      </c>
      <c r="C3495" s="7">
        <f>IFERROR(__xludf.DUMMYFUNCTION("""COMPUTED_VALUE"""),7.801178)</f>
        <v>7.801178</v>
      </c>
      <c r="D3495" s="7">
        <f>IFERROR(__xludf.DUMMYFUNCTION("""COMPUTED_VALUE"""),0.473684210526315)</f>
        <v>0.4736842105</v>
      </c>
    </row>
    <row r="3496">
      <c r="A3496" s="10" t="s">
        <v>4935</v>
      </c>
      <c r="B3496" s="7" t="str">
        <f>IFERROR(__xludf.DUMMYFUNCTION("SPLIT(A3496,"" "")"),"Cc1ccnc(CN(C)C2CCC(N(C)Cc3nc(C)c(C)cc3C)CC2)c1")</f>
        <v>Cc1ccnc(CN(C)C2CCC(N(C)Cc3nc(C)c(C)cc3C)CC2)c1</v>
      </c>
      <c r="C3496" s="7">
        <f>IFERROR(__xludf.DUMMYFUNCTION("""COMPUTED_VALUE"""),7.801177)</f>
        <v>7.801177</v>
      </c>
      <c r="D3496" s="7">
        <f>IFERROR(__xludf.DUMMYFUNCTION("""COMPUTED_VALUE"""),0.339622641509433)</f>
        <v>0.3396226415</v>
      </c>
    </row>
    <row r="3497">
      <c r="A3497" s="10" t="s">
        <v>4936</v>
      </c>
      <c r="B3497" s="7" t="str">
        <f>IFERROR(__xludf.DUMMYFUNCTION("SPLIT(A3497,"" "")"),"Cc1cccnc1CN(C)C1CCC(N(Cc2ccccn2)Cc2ccccc2F)CC1")</f>
        <v>Cc1cccnc1CN(C)C1CCC(N(Cc2ccccn2)Cc2ccccc2F)CC1</v>
      </c>
      <c r="C3497" s="7">
        <f>IFERROR(__xludf.DUMMYFUNCTION("""COMPUTED_VALUE"""),7.8011756)</f>
        <v>7.8011756</v>
      </c>
      <c r="D3497" s="7">
        <f>IFERROR(__xludf.DUMMYFUNCTION("""COMPUTED_VALUE"""),0.436363636363636)</f>
        <v>0.4363636364</v>
      </c>
    </row>
    <row r="3498">
      <c r="A3498" s="10" t="s">
        <v>4937</v>
      </c>
      <c r="B3498" s="7" t="str">
        <f>IFERROR(__xludf.DUMMYFUNCTION("SPLIT(A3498,"" "")"),"Cc1cc(C)c(CN(C)C2CCC(N(Cc3cccc(F)n3)C3CCC(N(Cc4cccc(F)n4)Cc4cccnc4F)CC3)CC2)nc1C")</f>
        <v>Cc1cc(C)c(CN(C)C2CCC(N(Cc3cccc(F)n3)C3CCC(N(Cc4cccc(F)n4)Cc4cccnc4F)CC3)CC2)nc1C</v>
      </c>
      <c r="C3498" s="7">
        <f>IFERROR(__xludf.DUMMYFUNCTION("""COMPUTED_VALUE"""),7.8011646)</f>
        <v>7.8011646</v>
      </c>
      <c r="D3498" s="7">
        <f>IFERROR(__xludf.DUMMYFUNCTION("""COMPUTED_VALUE"""),0.285714285714285)</f>
        <v>0.2857142857</v>
      </c>
    </row>
    <row r="3499">
      <c r="A3499" s="10" t="s">
        <v>4938</v>
      </c>
      <c r="B3499" s="7" t="str">
        <f>IFERROR(__xludf.DUMMYFUNCTION("SPLIT(A3499,"" "")"),"CN1CCN(C)CCN(Cc2ccc(CNCc3cccc(C4=CCC=CN4)n3)nc2)CC1")</f>
        <v>CN1CCN(C)CCN(Cc2ccc(CNCc3cccc(C4=CCC=CN4)n3)nc2)CC1</v>
      </c>
      <c r="C3499" s="7">
        <f>IFERROR(__xludf.DUMMYFUNCTION("""COMPUTED_VALUE"""),7.8011603)</f>
        <v>7.8011603</v>
      </c>
      <c r="D3499" s="7">
        <f>IFERROR(__xludf.DUMMYFUNCTION("""COMPUTED_VALUE"""),0.354838709677419)</f>
        <v>0.3548387097</v>
      </c>
    </row>
    <row r="3500">
      <c r="A3500" s="10" t="s">
        <v>4939</v>
      </c>
      <c r="B3500" s="7" t="str">
        <f>IFERROR(__xludf.DUMMYFUNCTION("SPLIT(A3500,"" "")"),"CC1C=CCC(N=Cc2ccccn2)C1CN(C)Cc1cccnn1")</f>
        <v>CC1C=CCC(N=Cc2ccccn2)C1CN(C)Cc1cccnn1</v>
      </c>
      <c r="C3500" s="7">
        <f>IFERROR(__xludf.DUMMYFUNCTION("""COMPUTED_VALUE"""),7.8011546)</f>
        <v>7.8011546</v>
      </c>
      <c r="D3500" s="7">
        <f>IFERROR(__xludf.DUMMYFUNCTION("""COMPUTED_VALUE"""),0.385964912280701)</f>
        <v>0.3859649123</v>
      </c>
    </row>
    <row r="3501">
      <c r="A3501" s="10" t="s">
        <v>4940</v>
      </c>
      <c r="B3501" s="7" t="str">
        <f>IFERROR(__xludf.DUMMYFUNCTION("SPLIT(A3501,"" "")"),"Cc1nc(CN(C)C2CCCCC2N(CC2=CCC=CN2)Cc2ccccn2)c(C)c(C)c1C")</f>
        <v>Cc1nc(CN(C)C2CCCCC2N(CC2=CCC=CN2)Cc2ccccn2)c(C)c(C)c1C</v>
      </c>
      <c r="C3501" s="7">
        <f>IFERROR(__xludf.DUMMYFUNCTION("""COMPUTED_VALUE"""),7.801138)</f>
        <v>7.801138</v>
      </c>
      <c r="D3501" s="7">
        <f>IFERROR(__xludf.DUMMYFUNCTION("""COMPUTED_VALUE"""),0.492063492063492)</f>
        <v>0.4920634921</v>
      </c>
    </row>
    <row r="3502">
      <c r="A3502" s="10" t="s">
        <v>4941</v>
      </c>
      <c r="B3502" s="7" t="str">
        <f>IFERROR(__xludf.DUMMYFUNCTION("SPLIT(A3502,"" "")"),"Cc1cc(CN(C)C2=CNC(CN3CCN(C)CCN(C)CC3)=CC2)c(C)nc1C")</f>
        <v>Cc1cc(CN(C)C2=CNC(CN3CCN(C)CCN(C)CC3)=CC2)c(C)nc1C</v>
      </c>
      <c r="C3502" s="7">
        <f>IFERROR(__xludf.DUMMYFUNCTION("""COMPUTED_VALUE"""),7.801137)</f>
        <v>7.801137</v>
      </c>
      <c r="D3502" s="7">
        <f>IFERROR(__xludf.DUMMYFUNCTION("""COMPUTED_VALUE"""),0.35593220338983)</f>
        <v>0.3559322034</v>
      </c>
    </row>
    <row r="3503">
      <c r="A3503" s="10" t="s">
        <v>4942</v>
      </c>
      <c r="B3503" s="7" t="str">
        <f>IFERROR(__xludf.DUMMYFUNCTION("SPLIT(A3503,"" "")"),"CN(CC1=CCC=C(N(C)Cc2ncccc2-c2cccc3c2OCCOCCOCCOCCOCCO3)N1)CC(C)(C)C")</f>
        <v>CN(CC1=CCC=C(N(C)Cc2ncccc2-c2cccc3c2OCCOCCOCCOCCOCCO3)N1)CC(C)(C)C</v>
      </c>
      <c r="C3503" s="7">
        <f>IFERROR(__xludf.DUMMYFUNCTION("""COMPUTED_VALUE"""),7.8011336)</f>
        <v>7.8011336</v>
      </c>
      <c r="D3503" s="7">
        <f>IFERROR(__xludf.DUMMYFUNCTION("""COMPUTED_VALUE"""),0.236111111111111)</f>
        <v>0.2361111111</v>
      </c>
    </row>
    <row r="3504">
      <c r="A3504" s="10" t="s">
        <v>4943</v>
      </c>
      <c r="B3504" s="7" t="str">
        <f>IFERROR(__xludf.DUMMYFUNCTION("SPLIT(A3504,"" "")"),"Cc1ccc(CN(C)C2CCC(N(Cc3ccccn3)Cc3cccc(-c4ccc5c(c4)OCCOCCOCCOCCOCCO5)n3)CC2N(Cc2cccc(C)n2)Cc2cccc(-c3ccc4c(c3)OCCOCCOCCOCCOCCO4)n2)nc1")</f>
        <v>Cc1ccc(CN(C)C2CCC(N(Cc3ccccn3)Cc3cccc(-c4ccc5c(c4)OCCOCCOCCOCCOCCO5)n3)CC2N(Cc2cccc(C)n2)Cc2cccc(-c3ccc4c(c3)OCCOCCOCCOCCOCCO4)n2)nc1</v>
      </c>
      <c r="C3504" s="7">
        <f>IFERROR(__xludf.DUMMYFUNCTION("""COMPUTED_VALUE"""),7.801132)</f>
        <v>7.801132</v>
      </c>
      <c r="D3504" s="7">
        <f>IFERROR(__xludf.DUMMYFUNCTION("""COMPUTED_VALUE"""),0.363636363636363)</f>
        <v>0.3636363636</v>
      </c>
    </row>
    <row r="3505">
      <c r="A3505" s="10" t="s">
        <v>4944</v>
      </c>
      <c r="B3505" s="7" t="str">
        <f>IFERROR(__xludf.DUMMYFUNCTION("SPLIT(A3505,"" "")"),"CNCCN(Cc1cc(C)ccn1)C(C)C")</f>
        <v>CNCCN(Cc1cc(C)ccn1)C(C)C</v>
      </c>
      <c r="C3505" s="7">
        <f>IFERROR(__xludf.DUMMYFUNCTION("""COMPUTED_VALUE"""),7.801128)</f>
        <v>7.801128</v>
      </c>
      <c r="D3505" s="7">
        <f>IFERROR(__xludf.DUMMYFUNCTION("""COMPUTED_VALUE"""),0.476190476190476)</f>
        <v>0.4761904762</v>
      </c>
    </row>
    <row r="3506">
      <c r="A3506" s="10" t="s">
        <v>4945</v>
      </c>
      <c r="B3506" s="7" t="str">
        <f>IFERROR(__xludf.DUMMYFUNCTION("SPLIT(A3506,"" "")"),"C=CCN(C)CC1=CCC=C(N(C)Cc2cccc(-c3ccc4c(c3)OCCOCCOCCOCCOCCO4)n2)N1")</f>
        <v>C=CCN(C)CC1=CCC=C(N(C)Cc2cccc(-c3ccc4c(c3)OCCOCCOCCOCCOCCO4)n2)N1</v>
      </c>
      <c r="C3506" s="7">
        <f>IFERROR(__xludf.DUMMYFUNCTION("""COMPUTED_VALUE"""),7.8010807)</f>
        <v>7.8010807</v>
      </c>
      <c r="D3506" s="7">
        <f>IFERROR(__xludf.DUMMYFUNCTION("""COMPUTED_VALUE"""),0.277108433734939)</f>
        <v>0.2771084337</v>
      </c>
    </row>
    <row r="3507">
      <c r="A3507" s="10" t="s">
        <v>4946</v>
      </c>
      <c r="B3507" s="7" t="str">
        <f>IFERROR(__xludf.DUMMYFUNCTION("SPLIT(A3507,"" "")"),"CC(C)N(Cc1cccc(CN(C)C2CCC(N(C)Cc3cc(-c4ccc5cccnc5c4)ccn3)CC2)n1)Cc1cccc(C2CC3OCCOCCOCCOCCOCCOC32)n1")</f>
        <v>CC(C)N(Cc1cccc(CN(C)C2CCC(N(C)Cc3cc(-c4ccc5cccnc5c4)ccn3)CC2)n1)Cc1cccc(C2CC3OCCOCCOCCOCCOCCOC32)n1</v>
      </c>
      <c r="C3507" s="7">
        <f>IFERROR(__xludf.DUMMYFUNCTION("""COMPUTED_VALUE"""),7.801073)</f>
        <v>7.801073</v>
      </c>
      <c r="D3507" s="7">
        <f>IFERROR(__xludf.DUMMYFUNCTION("""COMPUTED_VALUE"""),0.269230769230769)</f>
        <v>0.2692307692</v>
      </c>
    </row>
    <row r="3508">
      <c r="A3508" s="10" t="s">
        <v>4947</v>
      </c>
      <c r="B3508" s="7" t="str">
        <f>IFERROR(__xludf.DUMMYFUNCTION("SPLIT(A3508,"" "")"),"CCCN(Cc1ccccn1)C1=CNC(CN(C)Cc2cccc(-c3ccc4c(c3)OCCOCCOCCOCCOCCO4)n2)=CC1")</f>
        <v>CCCN(Cc1ccccn1)C1=CNC(CN(C)Cc2cccc(-c3ccc4c(c3)OCCOCCOCCOCCOCCO4)n2)=CC1</v>
      </c>
      <c r="C3508" s="7">
        <f>IFERROR(__xludf.DUMMYFUNCTION("""COMPUTED_VALUE"""),7.8010726)</f>
        <v>7.8010726</v>
      </c>
      <c r="D3508" s="7">
        <f>IFERROR(__xludf.DUMMYFUNCTION("""COMPUTED_VALUE"""),0.394366197183098)</f>
        <v>0.3943661972</v>
      </c>
    </row>
    <row r="3509">
      <c r="A3509" s="10" t="s">
        <v>4948</v>
      </c>
      <c r="B3509" s="7" t="str">
        <f>IFERROR(__xludf.DUMMYFUNCTION("SPLIT(A3509,"" "")"),"CNC1CCCCC1N(Cc1ccc(C)cn1)Cc1nc(C)c(C)c(C)c1C")</f>
        <v>CNC1CCCCC1N(Cc1ccc(C)cn1)Cc1nc(C)c(C)c(C)c1C</v>
      </c>
      <c r="C3509" s="7">
        <f>IFERROR(__xludf.DUMMYFUNCTION("""COMPUTED_VALUE"""),7.8010626)</f>
        <v>7.8010626</v>
      </c>
      <c r="D3509" s="7">
        <f>IFERROR(__xludf.DUMMYFUNCTION("""COMPUTED_VALUE"""),0.490566037735849)</f>
        <v>0.4905660377</v>
      </c>
    </row>
    <row r="3510">
      <c r="A3510" s="10" t="s">
        <v>4949</v>
      </c>
      <c r="B3510" s="7" t="str">
        <f>IFERROR(__xludf.DUMMYFUNCTION("SPLIT(A3510,"" "")"),"CCNC1=CC(C)CC(C)C1c1ccccn1")</f>
        <v>CCNC1=CC(C)CC(C)C1c1ccccn1</v>
      </c>
      <c r="C3510" s="7">
        <f>IFERROR(__xludf.DUMMYFUNCTION("""COMPUTED_VALUE"""),7.8010583)</f>
        <v>7.8010583</v>
      </c>
      <c r="D3510" s="7">
        <f>IFERROR(__xludf.DUMMYFUNCTION("""COMPUTED_VALUE"""),0.327272727272727)</f>
        <v>0.3272727273</v>
      </c>
    </row>
    <row r="3511">
      <c r="A3511" s="10" t="s">
        <v>4950</v>
      </c>
      <c r="B3511" s="7" t="str">
        <f>IFERROR(__xludf.DUMMYFUNCTION("SPLIT(A3511,"" "")"),"CCN(Cc1cccc(CN(C)C2CCC(N(C)Cc3ccccn3)CC2)n1)Cc1cccc(C2CC(C)C2)n1")</f>
        <v>CCN(Cc1cccc(CN(C)C2CCC(N(C)Cc3ccccn3)CC2)n1)Cc1cccc(C2CC(C)C2)n1</v>
      </c>
      <c r="C3511" s="7">
        <f>IFERROR(__xludf.DUMMYFUNCTION("""COMPUTED_VALUE"""),7.8010283)</f>
        <v>7.8010283</v>
      </c>
      <c r="D3511" s="7">
        <f>IFERROR(__xludf.DUMMYFUNCTION("""COMPUTED_VALUE"""),0.436363636363636)</f>
        <v>0.4363636364</v>
      </c>
    </row>
    <row r="3512">
      <c r="A3512" s="10" t="s">
        <v>4951</v>
      </c>
      <c r="B3512" s="7" t="str">
        <f>IFERROR(__xludf.DUMMYFUNCTION("SPLIT(A3512,"" "")"),"Cc1cncc(CN(C)C2CCC(N(C)Cc3cc(C)c(C)c(C)n3)CC2)c1")</f>
        <v>Cc1cncc(CN(C)C2CCC(N(C)Cc3cc(C)c(C)c(C)n3)CC2)c1</v>
      </c>
      <c r="C3512" s="7">
        <f>IFERROR(__xludf.DUMMYFUNCTION("""COMPUTED_VALUE"""),7.8010235)</f>
        <v>7.8010235</v>
      </c>
      <c r="D3512" s="7">
        <f>IFERROR(__xludf.DUMMYFUNCTION("""COMPUTED_VALUE"""),0.309090909090909)</f>
        <v>0.3090909091</v>
      </c>
    </row>
    <row r="3513">
      <c r="A3513" s="10" t="s">
        <v>4952</v>
      </c>
      <c r="B3513" s="7" t="str">
        <f>IFERROR(__xludf.DUMMYFUNCTION("SPLIT(A3513,"" "")"),"Cc1ccc(CN(C)C2CCC(N(Cc3ccccn3)Cc3cccnn3)CC2)nc1")</f>
        <v>Cc1ccc(CN(C)C2CCC(N(Cc3ccccn3)Cc3cccnn3)CC2)nc1</v>
      </c>
      <c r="C3513" s="7">
        <f>IFERROR(__xludf.DUMMYFUNCTION("""COMPUTED_VALUE"""),7.8010225)</f>
        <v>7.8010225</v>
      </c>
      <c r="D3513" s="7">
        <f>IFERROR(__xludf.DUMMYFUNCTION("""COMPUTED_VALUE"""),0.48)</f>
        <v>0.48</v>
      </c>
    </row>
    <row r="3514">
      <c r="A3514" s="10" t="s">
        <v>4953</v>
      </c>
      <c r="B3514" s="7" t="str">
        <f>IFERROR(__xludf.DUMMYFUNCTION("SPLIT(A3514,"" "")"),"Cc1ccnc(CN(C)C2CCCC(N(C)Cc3cc(C)c(C)c(C)n3)C2)c1")</f>
        <v>Cc1ccnc(CN(C)C2CCCC(N(C)Cc3cc(C)c(C)c(C)n3)C2)c1</v>
      </c>
      <c r="C3514" s="7">
        <f>IFERROR(__xludf.DUMMYFUNCTION("""COMPUTED_VALUE"""),7.801021)</f>
        <v>7.801021</v>
      </c>
      <c r="D3514" s="7">
        <f>IFERROR(__xludf.DUMMYFUNCTION("""COMPUTED_VALUE"""),0.351851851851851)</f>
        <v>0.3518518519</v>
      </c>
    </row>
    <row r="3515">
      <c r="A3515" s="10" t="s">
        <v>4954</v>
      </c>
      <c r="B3515" s="7" t="str">
        <f>IFERROR(__xludf.DUMMYFUNCTION("SPLIT(A3515,"" "")"),"CC(C)(C)CNCc1cccc(CN(Cc2ccccn2)Cc2ccc(-c3ccc4c(c3)OCCOCCOCCOCCOCCO4)cn2)n1")</f>
        <v>CC(C)(C)CNCc1cccc(CN(Cc2ccccn2)Cc2ccc(-c3ccc4c(c3)OCCOCCOCCOCCOCCO4)cn2)n1</v>
      </c>
      <c r="C3515" s="7">
        <f>IFERROR(__xludf.DUMMYFUNCTION("""COMPUTED_VALUE"""),7.8010197)</f>
        <v>7.8010197</v>
      </c>
      <c r="D3515" s="7">
        <f>IFERROR(__xludf.DUMMYFUNCTION("""COMPUTED_VALUE"""),0.405405405405405)</f>
        <v>0.4054054054</v>
      </c>
    </row>
    <row r="3516">
      <c r="A3516" s="10" t="s">
        <v>4955</v>
      </c>
      <c r="B3516" s="7" t="str">
        <f>IFERROR(__xludf.DUMMYFUNCTION("SPLIT(A3516,"" "")"),"Cc1cccnc1CN(C)C1CCCC(N(Cc2ccnc(CN(C)C(C)C)c2)Cc2ccccn2)C1")</f>
        <v>Cc1cccnc1CN(C)C1CCCC(N(Cc2ccnc(CN(C)C(C)C)c2)Cc2ccccn2)C1</v>
      </c>
      <c r="C3516" s="7">
        <f>IFERROR(__xludf.DUMMYFUNCTION("""COMPUTED_VALUE"""),7.801012)</f>
        <v>7.801012</v>
      </c>
      <c r="D3516" s="7">
        <f>IFERROR(__xludf.DUMMYFUNCTION("""COMPUTED_VALUE"""),0.38095238095238)</f>
        <v>0.380952381</v>
      </c>
    </row>
    <row r="3517">
      <c r="A3517" s="10" t="s">
        <v>4956</v>
      </c>
      <c r="B3517" s="7" t="str">
        <f>IFERROR(__xludf.DUMMYFUNCTION("SPLIT(A3517,"" "")"),"Cc1ccc(CN(C)C2CCCC(N(CC3=CCC=CN3)Cc3ccccn3)C2)nc1C")</f>
        <v>Cc1ccc(CN(C)C2CCCC(N(CC3=CCC=CN3)Cc3ccccn3)C2)nc1C</v>
      </c>
      <c r="C3517" s="7">
        <f>IFERROR(__xludf.DUMMYFUNCTION("""COMPUTED_VALUE"""),7.8010025)</f>
        <v>7.8010025</v>
      </c>
      <c r="D3517" s="7">
        <f>IFERROR(__xludf.DUMMYFUNCTION("""COMPUTED_VALUE"""),0.492063492063492)</f>
        <v>0.4920634921</v>
      </c>
    </row>
    <row r="3518">
      <c r="A3518" s="10" t="s">
        <v>4957</v>
      </c>
      <c r="B3518" s="7" t="str">
        <f>IFERROR(__xludf.DUMMYFUNCTION("SPLIT(A3518,"" "")"),"CC(C)(C)C1=C(CN(Cc2ccccn2)Cc2cccc(-c3ccc4c(c3)OCCOCCOCCOCCOCCO4)n2)NC=CC1")</f>
        <v>CC(C)(C)C1=C(CN(Cc2ccccn2)Cc2cccc(-c3ccc4c(c3)OCCOCCOCCOCCOCCO4)n2)NC=CC1</v>
      </c>
      <c r="C3518" s="7">
        <f>IFERROR(__xludf.DUMMYFUNCTION("""COMPUTED_VALUE"""),7.80099)</f>
        <v>7.80099</v>
      </c>
      <c r="D3518" s="7">
        <f>IFERROR(__xludf.DUMMYFUNCTION("""COMPUTED_VALUE"""),0.424657534246575)</f>
        <v>0.4246575342</v>
      </c>
    </row>
    <row r="3519">
      <c r="A3519" s="10" t="s">
        <v>4958</v>
      </c>
      <c r="B3519" s="7" t="str">
        <f>IFERROR(__xludf.DUMMYFUNCTION("SPLIT(A3519,"" "")"),"Cc1cc(CN(C)C2CCCC(N(C)Cc3ccon3)C2)cnc1C")</f>
        <v>Cc1cc(CN(C)C2CCCC(N(C)Cc3ccon3)C2)cnc1C</v>
      </c>
      <c r="C3519" s="7">
        <f>IFERROR(__xludf.DUMMYFUNCTION("""COMPUTED_VALUE"""),7.8009844)</f>
        <v>7.8009844</v>
      </c>
      <c r="D3519" s="7">
        <f>IFERROR(__xludf.DUMMYFUNCTION("""COMPUTED_VALUE"""),0.38)</f>
        <v>0.38</v>
      </c>
    </row>
    <row r="3520">
      <c r="A3520" s="10" t="s">
        <v>4959</v>
      </c>
      <c r="B3520" s="7" t="str">
        <f>IFERROR(__xludf.DUMMYFUNCTION("SPLIT(A3520,"" "")"),"CNCc1ccc(CN(C)C2CCC(N(C)Cc3nc(C)c(C)cc3C)CC2)cn1")</f>
        <v>CNCc1ccc(CN(C)C2CCC(N(C)Cc3nc(C)c(C)cc3C)CC2)cn1</v>
      </c>
      <c r="C3520" s="7">
        <f>IFERROR(__xludf.DUMMYFUNCTION("""COMPUTED_VALUE"""),7.8009834)</f>
        <v>7.8009834</v>
      </c>
      <c r="D3520" s="7">
        <f>IFERROR(__xludf.DUMMYFUNCTION("""COMPUTED_VALUE"""),0.327586206896551)</f>
        <v>0.3275862069</v>
      </c>
    </row>
    <row r="3521">
      <c r="A3521" s="10" t="s">
        <v>4960</v>
      </c>
      <c r="B3521" s="7" t="str">
        <f>IFERROR(__xludf.DUMMYFUNCTION("SPLIT(A3521,"" "")"),"c1ccc(CN(Cc2ccccn2)Cc2ccc(-c3ccc4c(c3)OCCOCCOCCOCCOCCO4)cn2)cc1")</f>
        <v>c1ccc(CN(Cc2ccccn2)Cc2ccc(-c3ccc4c(c3)OCCOCCOCCOCCOCCO4)cn2)cc1</v>
      </c>
      <c r="C3521" s="7">
        <f>IFERROR(__xludf.DUMMYFUNCTION("""COMPUTED_VALUE"""),7.8009834)</f>
        <v>7.8009834</v>
      </c>
      <c r="D3521" s="7">
        <f>IFERROR(__xludf.DUMMYFUNCTION("""COMPUTED_VALUE"""),0.483870967741935)</f>
        <v>0.4838709677</v>
      </c>
    </row>
    <row r="3522">
      <c r="A3522" s="10" t="s">
        <v>4961</v>
      </c>
      <c r="B3522" s="7" t="str">
        <f>IFERROR(__xludf.DUMMYFUNCTION("SPLIT(A3522,"" "")"),"CCOC(C)c1ccccn1")</f>
        <v>CCOC(C)c1ccccn1</v>
      </c>
      <c r="C3522" s="7">
        <f>IFERROR(__xludf.DUMMYFUNCTION("""COMPUTED_VALUE"""),7.800982)</f>
        <v>7.800982</v>
      </c>
      <c r="D3522" s="7">
        <f>IFERROR(__xludf.DUMMYFUNCTION("""COMPUTED_VALUE"""),0.394736842105263)</f>
        <v>0.3947368421</v>
      </c>
    </row>
    <row r="3523">
      <c r="A3523" s="10" t="s">
        <v>4962</v>
      </c>
      <c r="B3523" s="7" t="str">
        <f>IFERROR(__xludf.DUMMYFUNCTION("SPLIT(A3523,"" "")"),"CCNCc1cccc(CN(Cc2ccccn2)C2CCCC(N(C)Cc3cccc(C)n3)C2)n1")</f>
        <v>CCNCc1cccc(CN(Cc2ccccn2)C2CCCC(N(C)Cc3cccc(C)n3)C2)n1</v>
      </c>
      <c r="C3523" s="7">
        <f>IFERROR(__xludf.DUMMYFUNCTION("""COMPUTED_VALUE"""),7.8009787)</f>
        <v>7.8009787</v>
      </c>
      <c r="D3523" s="7">
        <f>IFERROR(__xludf.DUMMYFUNCTION("""COMPUTED_VALUE"""),0.448275862068965)</f>
        <v>0.4482758621</v>
      </c>
    </row>
    <row r="3524">
      <c r="A3524" s="10" t="s">
        <v>4963</v>
      </c>
      <c r="B3524" s="7" t="str">
        <f>IFERROR(__xludf.DUMMYFUNCTION("SPLIT(A3524,"" "")"),"CCCN(Cc1ccccn1)C1=C(CN(C)Cc2cccc(-c3ccc4c(c3)OCCOCCOCCOCCOCCO4)n2)NC=CC1")</f>
        <v>CCCN(Cc1ccccn1)C1=C(CN(C)Cc2cccc(-c3ccc4c(c3)OCCOCCOCCOCCOCCO4)n2)NC=CC1</v>
      </c>
      <c r="C3524" s="7">
        <f>IFERROR(__xludf.DUMMYFUNCTION("""COMPUTED_VALUE"""),7.8009753)</f>
        <v>7.8009753</v>
      </c>
      <c r="D3524" s="7">
        <f>IFERROR(__xludf.DUMMYFUNCTION("""COMPUTED_VALUE"""),0.388888888888888)</f>
        <v>0.3888888889</v>
      </c>
    </row>
    <row r="3525">
      <c r="A3525" s="10" t="s">
        <v>4964</v>
      </c>
      <c r="B3525" s="7" t="str">
        <f>IFERROR(__xludf.DUMMYFUNCTION("SPLIT(A3525,"" "")"),"Cc1cccnc1CN(C)C1CCC(N(C)Cc2cc(C)c(C)c(C)n2)CC1")</f>
        <v>Cc1cccnc1CN(C)C1CCC(N(C)Cc2cc(C)c(C)c(C)n2)CC1</v>
      </c>
      <c r="C3525" s="7">
        <f>IFERROR(__xludf.DUMMYFUNCTION("""COMPUTED_VALUE"""),7.80097)</f>
        <v>7.80097</v>
      </c>
      <c r="D3525" s="7">
        <f>IFERROR(__xludf.DUMMYFUNCTION("""COMPUTED_VALUE"""),0.358490566037735)</f>
        <v>0.358490566</v>
      </c>
    </row>
    <row r="3526">
      <c r="A3526" s="10" t="s">
        <v>4965</v>
      </c>
      <c r="B3526" s="7" t="str">
        <f>IFERROR(__xludf.DUMMYFUNCTION("SPLIT(A3526,"" "")"),"Cc1cnc(C)c(CN(C)C2CCCC(N(C)Cc3ccccn3)C2N(Cc2ccccn2)Cc2ncccc2-c2cccc3c2OCCOCCOCCOCCOCCO3)c1")</f>
        <v>Cc1cnc(C)c(CN(C)C2CCCC(N(C)Cc3ccccn3)C2N(Cc2ccccn2)Cc2ncccc2-c2cccc3c2OCCOCCOCCOCCOCCO3)c1</v>
      </c>
      <c r="C3526" s="7">
        <f>IFERROR(__xludf.DUMMYFUNCTION("""COMPUTED_VALUE"""),7.8009624)</f>
        <v>7.8009624</v>
      </c>
      <c r="D3526" s="7">
        <f>IFERROR(__xludf.DUMMYFUNCTION("""COMPUTED_VALUE"""),0.383561643835616)</f>
        <v>0.3835616438</v>
      </c>
    </row>
    <row r="3527">
      <c r="A3527" s="10" t="s">
        <v>4966</v>
      </c>
      <c r="B3527" s="7" t="str">
        <f>IFERROR(__xludf.DUMMYFUNCTION("SPLIT(A3527,"" "")"),"CNC1CCCCC1N(Cc1cccc(C)n1)Cc1nc(C)c(C)c(C)c1C")</f>
        <v>CNC1CCCCC1N(Cc1cccc(C)n1)Cc1nc(C)c(C)c(C)c1C</v>
      </c>
      <c r="C3527" s="7">
        <f>IFERROR(__xludf.DUMMYFUNCTION("""COMPUTED_VALUE"""),7.8009624)</f>
        <v>7.8009624</v>
      </c>
      <c r="D3527" s="7">
        <f>IFERROR(__xludf.DUMMYFUNCTION("""COMPUTED_VALUE"""),0.5)</f>
        <v>0.5</v>
      </c>
    </row>
    <row r="3528">
      <c r="A3528" s="10" t="s">
        <v>4967</v>
      </c>
      <c r="B3528" s="7" t="str">
        <f>IFERROR(__xludf.DUMMYFUNCTION("SPLIT(A3528,"" "")"),"CN(CCF)CN(C)Cc1cccc(N)n1")</f>
        <v>CN(CCF)CN(C)Cc1cccc(N)n1</v>
      </c>
      <c r="C3528" s="7">
        <f>IFERROR(__xludf.DUMMYFUNCTION("""COMPUTED_VALUE"""),7.8009586)</f>
        <v>7.8009586</v>
      </c>
      <c r="D3528" s="7">
        <f>IFERROR(__xludf.DUMMYFUNCTION("""COMPUTED_VALUE"""),0.461538461538461)</f>
        <v>0.4615384615</v>
      </c>
    </row>
    <row r="3529">
      <c r="A3529" s="10" t="s">
        <v>4968</v>
      </c>
      <c r="B3529" s="7" t="str">
        <f>IFERROR(__xludf.DUMMYFUNCTION("SPLIT(A3529,"" "")"),"CCN(Cc1cccc(C)n1)C1CCCC(N(C)Cc2cc(C)c(C)c(C)n2)C1")</f>
        <v>CCN(Cc1cccc(C)n1)C1CCCC(N(C)Cc2cc(C)c(C)c(C)n2)C1</v>
      </c>
      <c r="C3529" s="7">
        <f>IFERROR(__xludf.DUMMYFUNCTION("""COMPUTED_VALUE"""),7.8009567)</f>
        <v>7.8009567</v>
      </c>
      <c r="D3529" s="7">
        <f>IFERROR(__xludf.DUMMYFUNCTION("""COMPUTED_VALUE"""),0.481481481481481)</f>
        <v>0.4814814815</v>
      </c>
    </row>
    <row r="3530">
      <c r="A3530" s="10" t="s">
        <v>4969</v>
      </c>
      <c r="B3530" s="7" t="str">
        <f>IFERROR(__xludf.DUMMYFUNCTION("SPLIT(A3530,"" "")"),"CC1CC(C)C1")</f>
        <v>CC1CC(C)C1</v>
      </c>
      <c r="C3530" s="7">
        <f>IFERROR(__xludf.DUMMYFUNCTION("""COMPUTED_VALUE"""),7.8009562)</f>
        <v>7.8009562</v>
      </c>
      <c r="D3530" s="7">
        <f>IFERROR(__xludf.DUMMYFUNCTION("""COMPUTED_VALUE"""),0.142857142857142)</f>
        <v>0.1428571429</v>
      </c>
    </row>
    <row r="3531">
      <c r="A3531" s="10" t="s">
        <v>4970</v>
      </c>
      <c r="B3531" s="7" t="str">
        <f>IFERROR(__xludf.DUMMYFUNCTION("SPLIT(A3531,"" "")"),"CC1=CC(C)C(N(Cc2ccccn2)Cc2cccc(N(C)C3CCCC(N(Cc4ccccn4)Cc4cccc(-c5ccc6c(c5)OCCOCCOCCOCCOCCO6)n4)C3)n2)C(C)C1")</f>
        <v>CC1=CC(C)C(N(Cc2ccccn2)Cc2cccc(N(C)C3CCCC(N(Cc4ccccn4)Cc4cccc(-c5ccc6c(c5)OCCOCCOCCOCCOCCO6)n4)C3)n2)C(C)C1</v>
      </c>
      <c r="C3531" s="7">
        <f>IFERROR(__xludf.DUMMYFUNCTION("""COMPUTED_VALUE"""),7.8009367)</f>
        <v>7.8009367</v>
      </c>
      <c r="D3531" s="7">
        <f>IFERROR(__xludf.DUMMYFUNCTION("""COMPUTED_VALUE"""),0.329545454545454)</f>
        <v>0.3295454545</v>
      </c>
    </row>
    <row r="3532">
      <c r="A3532" s="10" t="s">
        <v>4971</v>
      </c>
      <c r="B3532" s="7" t="str">
        <f>IFERROR(__xludf.DUMMYFUNCTION("SPLIT(A3532,"" "")"),"Cc1ncccc1CN(C)C1CCCC(N(Cc2ccccn2)Cc2cccnn2)C1")</f>
        <v>Cc1ncccc1CN(C)C1CCCC(N(Cc2ccccn2)Cc2cccnn2)C1</v>
      </c>
      <c r="C3532" s="7">
        <f>IFERROR(__xludf.DUMMYFUNCTION("""COMPUTED_VALUE"""),7.8009343)</f>
        <v>7.8009343</v>
      </c>
      <c r="D3532" s="7">
        <f>IFERROR(__xludf.DUMMYFUNCTION("""COMPUTED_VALUE"""),0.461538461538461)</f>
        <v>0.4615384615</v>
      </c>
    </row>
    <row r="3533">
      <c r="A3533" s="10" t="s">
        <v>4972</v>
      </c>
      <c r="B3533" s="7" t="str">
        <f>IFERROR(__xludf.DUMMYFUNCTION("SPLIT(A3533,"" "")"),"CN(C)CCN(C)C(C)(C)c1cccnc1")</f>
        <v>CN(C)CCN(C)C(C)(C)c1cccnc1</v>
      </c>
      <c r="C3533" s="7">
        <f>IFERROR(__xludf.DUMMYFUNCTION("""COMPUTED_VALUE"""),7.800933)</f>
        <v>7.800933</v>
      </c>
      <c r="D3533" s="7">
        <f>IFERROR(__xludf.DUMMYFUNCTION("""COMPUTED_VALUE"""),0.325581395348837)</f>
        <v>0.3255813953</v>
      </c>
    </row>
    <row r="3534">
      <c r="A3534" s="10" t="s">
        <v>4973</v>
      </c>
      <c r="B3534" s="7" t="str">
        <f>IFERROR(__xludf.DUMMYFUNCTION("SPLIT(A3534,"" "")"),"Cc1cccnc1CN(Cc1ncccc1C)C1CCCCC1N(C)Cc1ccc2c(n1)CCCC2")</f>
        <v>Cc1cccnc1CN(Cc1ncccc1C)C1CCCCC1N(C)Cc1ccc2c(n1)CCCC2</v>
      </c>
      <c r="C3534" s="7">
        <f>IFERROR(__xludf.DUMMYFUNCTION("""COMPUTED_VALUE"""),7.80093)</f>
        <v>7.80093</v>
      </c>
      <c r="D3534" s="7">
        <f>IFERROR(__xludf.DUMMYFUNCTION("""COMPUTED_VALUE"""),0.454545454545454)</f>
        <v>0.4545454545</v>
      </c>
    </row>
    <row r="3535">
      <c r="A3535" s="10" t="s">
        <v>4974</v>
      </c>
      <c r="B3535" s="7" t="str">
        <f>IFERROR(__xludf.DUMMYFUNCTION("SPLIT(A3535,"" "")"),"Cc1cc(CN(C)C2CCC(N(C)Cc3cc(C)c(C)c(C)n3)CC2)ccn1")</f>
        <v>Cc1cc(CN(C)C2CCC(N(C)Cc3cc(C)c(C)c(C)n3)CC2)ccn1</v>
      </c>
      <c r="C3535" s="7">
        <f>IFERROR(__xludf.DUMMYFUNCTION("""COMPUTED_VALUE"""),7.800914)</f>
        <v>7.800914</v>
      </c>
      <c r="D3535" s="7">
        <f>IFERROR(__xludf.DUMMYFUNCTION("""COMPUTED_VALUE"""),0.327272727272727)</f>
        <v>0.3272727273</v>
      </c>
    </row>
    <row r="3536">
      <c r="A3536" s="10" t="s">
        <v>4975</v>
      </c>
      <c r="B3536" s="7" t="str">
        <f>IFERROR(__xludf.DUMMYFUNCTION("SPLIT(A3536,"" "")"),"Cc1cccc(CN(C)C2CCCC(N(Cc3ccccn3)Cc3cccc(CN(C)C(C)C)n3)C2)n1")</f>
        <v>Cc1cccc(CN(C)C2CCCC(N(Cc3ccccn3)Cc3cccc(CN(C)C(C)C)n3)C2)n1</v>
      </c>
      <c r="C3536" s="7">
        <f>IFERROR(__xludf.DUMMYFUNCTION("""COMPUTED_VALUE"""),7.8009076)</f>
        <v>7.8009076</v>
      </c>
      <c r="D3536" s="7">
        <f>IFERROR(__xludf.DUMMYFUNCTION("""COMPUTED_VALUE"""),0.464285714285714)</f>
        <v>0.4642857143</v>
      </c>
    </row>
    <row r="3537">
      <c r="A3537" s="10" t="s">
        <v>4976</v>
      </c>
      <c r="B3537" s="7" t="str">
        <f>IFERROR(__xludf.DUMMYFUNCTION("SPLIT(A3537,"" "")"),"Cc1ccc(CN(C)C2CCCC(N(Cc3ccccn3)Cc3cccc(C4CCC4(C)C)n3)C2)nc1")</f>
        <v>Cc1ccc(CN(C)C2CCCC(N(Cc3ccccn3)Cc3cccc(C4CCC4(C)C)n3)C2)nc1</v>
      </c>
      <c r="C3537" s="7">
        <f>IFERROR(__xludf.DUMMYFUNCTION("""COMPUTED_VALUE"""),7.800906)</f>
        <v>7.800906</v>
      </c>
      <c r="D3537" s="7">
        <f>IFERROR(__xludf.DUMMYFUNCTION("""COMPUTED_VALUE"""),0.40625)</f>
        <v>0.40625</v>
      </c>
    </row>
    <row r="3538">
      <c r="A3538" s="10" t="s">
        <v>4977</v>
      </c>
      <c r="B3538" s="7" t="str">
        <f>IFERROR(__xludf.DUMMYFUNCTION("SPLIT(A3538,"" "")"),"CC(C)NCCN(C)CC(C)(C)C")</f>
        <v>CC(C)NCCN(C)CC(C)(C)C</v>
      </c>
      <c r="C3538" s="7">
        <f>IFERROR(__xludf.DUMMYFUNCTION("""COMPUTED_VALUE"""),7.8008866)</f>
        <v>7.8008866</v>
      </c>
      <c r="D3538" s="7">
        <f>IFERROR(__xludf.DUMMYFUNCTION("""COMPUTED_VALUE"""),0.209302325581395)</f>
        <v>0.2093023256</v>
      </c>
    </row>
    <row r="3539">
      <c r="A3539" s="10" t="s">
        <v>4978</v>
      </c>
      <c r="B3539" s="7" t="str">
        <f>IFERROR(__xludf.DUMMYFUNCTION("SPLIT(A3539,"" "")"),"CCNC1=C(C)C(C)CC(C)C1")</f>
        <v>CCNC1=C(C)C(C)CC(C)C1</v>
      </c>
      <c r="C3539" s="7">
        <f>IFERROR(__xludf.DUMMYFUNCTION("""COMPUTED_VALUE"""),7.80088)</f>
        <v>7.80088</v>
      </c>
      <c r="D3539" s="7">
        <f>IFERROR(__xludf.DUMMYFUNCTION("""COMPUTED_VALUE"""),0.169811320754716)</f>
        <v>0.1698113208</v>
      </c>
    </row>
    <row r="3540">
      <c r="A3540" s="10" t="s">
        <v>4979</v>
      </c>
      <c r="B3540" s="7" t="str">
        <f>IFERROR(__xludf.DUMMYFUNCTION("SPLIT(A3540,"" "")"),"CN(CCN(C)c1cccc2ncccc12)Cc1cccc2c1OCCOCCOCCOCCOCCO2")</f>
        <v>CN(CCN(C)c1cccc2ncccc12)Cc1cccc2c1OCCOCCOCCOCCOCCO2</v>
      </c>
      <c r="C3540" s="7">
        <f>IFERROR(__xludf.DUMMYFUNCTION("""COMPUTED_VALUE"""),7.8008733)</f>
        <v>7.8008733</v>
      </c>
      <c r="D3540" s="7">
        <f>IFERROR(__xludf.DUMMYFUNCTION("""COMPUTED_VALUE"""),0.403508771929824)</f>
        <v>0.4035087719</v>
      </c>
    </row>
    <row r="3541">
      <c r="A3541" s="10" t="s">
        <v>4980</v>
      </c>
      <c r="B3541" s="7" t="str">
        <f>IFERROR(__xludf.DUMMYFUNCTION("SPLIT(A3541,"" "")"),"CNC1CCCC(N(C)Cc2cc(C)ccn2)C1N(Cc1ccccn1)Cc1ncccc1C")</f>
        <v>CNC1CCCC(N(C)Cc2cc(C)ccn2)C1N(Cc1ccccn1)Cc1ncccc1C</v>
      </c>
      <c r="C3541" s="7">
        <f>IFERROR(__xludf.DUMMYFUNCTION("""COMPUTED_VALUE"""),7.8008704)</f>
        <v>7.8008704</v>
      </c>
      <c r="D3541" s="7">
        <f>IFERROR(__xludf.DUMMYFUNCTION("""COMPUTED_VALUE"""),0.466666666666666)</f>
        <v>0.4666666667</v>
      </c>
    </row>
    <row r="3542">
      <c r="A3542" s="10" t="s">
        <v>4981</v>
      </c>
      <c r="B3542" s="7" t="str">
        <f>IFERROR(__xludf.DUMMYFUNCTION("SPLIT(A3542,"" "")"),"CN(CC1=CCC(N(C)Cc2cccc(-c3ccc4c(c3)OCCOCCOCCOCCOCCO4)n2)=CN1)Cc1cccc(-c2ccc3c(c2)OCCOCCOCCOCCOCCO3)n1")</f>
        <v>CN(CC1=CCC(N(C)Cc2cccc(-c3ccc4c(c3)OCCOCCOCCOCCOCCO4)n2)=CN1)Cc1cccc(-c2ccc3c(c2)OCCOCCOCCOCCOCCO3)n1</v>
      </c>
      <c r="C3542" s="7">
        <f>IFERROR(__xludf.DUMMYFUNCTION("""COMPUTED_VALUE"""),7.800848)</f>
        <v>7.800848</v>
      </c>
      <c r="D3542" s="7">
        <f>IFERROR(__xludf.DUMMYFUNCTION("""COMPUTED_VALUE"""),0.318181818181818)</f>
        <v>0.3181818182</v>
      </c>
    </row>
    <row r="3543">
      <c r="A3543" s="10" t="s">
        <v>4982</v>
      </c>
      <c r="B3543" s="7" t="str">
        <f>IFERROR(__xludf.DUMMYFUNCTION("SPLIT(A3543,"" "")"),"Cc1cccnc1CN(C)C1CCCC(N(C)Cc2ncc(C)c(C)c2C)C1")</f>
        <v>Cc1cccnc1CN(C)C1CCCC(N(C)Cc2ncc(C)c(C)c2C)C1</v>
      </c>
      <c r="C3543" s="7">
        <f>IFERROR(__xludf.DUMMYFUNCTION("""COMPUTED_VALUE"""),7.800848)</f>
        <v>7.800848</v>
      </c>
      <c r="D3543" s="7">
        <f>IFERROR(__xludf.DUMMYFUNCTION("""COMPUTED_VALUE"""),0.365384615384615)</f>
        <v>0.3653846154</v>
      </c>
    </row>
    <row r="3544">
      <c r="A3544" s="10" t="s">
        <v>4983</v>
      </c>
      <c r="B3544" s="7" t="str">
        <f>IFERROR(__xludf.DUMMYFUNCTION("SPLIT(A3544,"" "")"),"Cc1cc(CN(C)C2=CNC(CN3CCN(C)CCN(C)CC3)=CC2)nc(C)c1C")</f>
        <v>Cc1cc(CN(C)C2=CNC(CN3CCN(C)CCN(C)CC3)=CC2)nc(C)c1C</v>
      </c>
      <c r="C3544" s="7">
        <f>IFERROR(__xludf.DUMMYFUNCTION("""COMPUTED_VALUE"""),7.800841)</f>
        <v>7.800841</v>
      </c>
      <c r="D3544" s="7">
        <f>IFERROR(__xludf.DUMMYFUNCTION("""COMPUTED_VALUE"""),0.350877192982456)</f>
        <v>0.350877193</v>
      </c>
    </row>
    <row r="3545">
      <c r="A3545" s="10" t="s">
        <v>4984</v>
      </c>
      <c r="B3545" s="7" t="str">
        <f>IFERROR(__xludf.DUMMYFUNCTION("SPLIT(A3545,"" "")"),"CN(CCN(C)c1ccc2cccnc2c1)Cc1ccc2c(c1)OCCOCCOCCOCCOCCO2")</f>
        <v>CN(CCN(C)c1ccc2cccnc2c1)Cc1ccc2c(c1)OCCOCCOCCOCCOCCO2</v>
      </c>
      <c r="C3545" s="7">
        <f>IFERROR(__xludf.DUMMYFUNCTION("""COMPUTED_VALUE"""),7.8008375)</f>
        <v>7.8008375</v>
      </c>
      <c r="D3545" s="7">
        <f>IFERROR(__xludf.DUMMYFUNCTION("""COMPUTED_VALUE"""),0.333333333333333)</f>
        <v>0.3333333333</v>
      </c>
    </row>
    <row r="3546">
      <c r="A3546" s="10" t="s">
        <v>4985</v>
      </c>
      <c r="B3546" s="7" t="str">
        <f>IFERROR(__xludf.DUMMYFUNCTION("SPLIT(A3546,"" "")"),"CC1=CC(C)C(c2ccc3c(c2)OCCOCCOCCOCCOCCO3)C(c2ccc(CN(C)Cc3ccccn3)cn2)=C1")</f>
        <v>CC1=CC(C)C(c2ccc3c(c2)OCCOCCOCCOCCOCCO3)C(c2ccc(CN(C)Cc3ccccn3)cn2)=C1</v>
      </c>
      <c r="C3546" s="7">
        <f>IFERROR(__xludf.DUMMYFUNCTION("""COMPUTED_VALUE"""),7.800821)</f>
        <v>7.800821</v>
      </c>
      <c r="D3546" s="7">
        <f>IFERROR(__xludf.DUMMYFUNCTION("""COMPUTED_VALUE"""),0.319444444444444)</f>
        <v>0.3194444444</v>
      </c>
    </row>
    <row r="3547">
      <c r="A3547" s="10" t="s">
        <v>4986</v>
      </c>
      <c r="B3547" s="7" t="str">
        <f>IFERROR(__xludf.DUMMYFUNCTION("SPLIT(A3547,"" "")"),"CN(C)Cc1ncccc1N(C)C1CCCC(N(Cc2cccnc2)Cc2cccc(-c3cccc4c3OCCOCCOCCOCCOCCO4)n2)C1")</f>
        <v>CN(C)Cc1ncccc1N(C)C1CCCC(N(Cc2cccnc2)Cc2cccc(-c3cccc4c3OCCOCCOCCOCCOCCO4)n2)C1</v>
      </c>
      <c r="C3547" s="7">
        <f>IFERROR(__xludf.DUMMYFUNCTION("""COMPUTED_VALUE"""),7.8008184)</f>
        <v>7.8008184</v>
      </c>
      <c r="D3547" s="7">
        <f>IFERROR(__xludf.DUMMYFUNCTION("""COMPUTED_VALUE"""),0.256097560975609)</f>
        <v>0.256097561</v>
      </c>
    </row>
    <row r="3548">
      <c r="A3548" s="10" t="s">
        <v>4987</v>
      </c>
      <c r="B3548" s="7" t="str">
        <f>IFERROR(__xludf.DUMMYFUNCTION("SPLIT(A3548,"" "")"),"CC1C=CC=CC1N(C)CC1=CC(N(C)Cc2ccccn2)C=CN1")</f>
        <v>CC1C=CC=CC1N(C)CC1=CC(N(C)Cc2ccccn2)C=CN1</v>
      </c>
      <c r="C3548" s="7">
        <f>IFERROR(__xludf.DUMMYFUNCTION("""COMPUTED_VALUE"""),7.8008)</f>
        <v>7.8008</v>
      </c>
      <c r="D3548" s="7">
        <f>IFERROR(__xludf.DUMMYFUNCTION("""COMPUTED_VALUE"""),0.4)</f>
        <v>0.4</v>
      </c>
    </row>
    <row r="3549">
      <c r="A3549" s="10" t="s">
        <v>4988</v>
      </c>
      <c r="B3549" s="7" t="str">
        <f>IFERROR(__xludf.DUMMYFUNCTION("SPLIT(A3549,"" "")"),"CN(CCN(C)c1ccc2ncccc2c1)Cc1ccc2c(c1)OCCOCCOCCOCCOCCO2")</f>
        <v>CN(CCN(C)c1ccc2ncccc2c1)Cc1ccc2c(c1)OCCOCCOCCOCCOCCO2</v>
      </c>
      <c r="C3549" s="7">
        <f>IFERROR(__xludf.DUMMYFUNCTION("""COMPUTED_VALUE"""),7.800799)</f>
        <v>7.800799</v>
      </c>
      <c r="D3549" s="7">
        <f>IFERROR(__xludf.DUMMYFUNCTION("""COMPUTED_VALUE"""),0.338983050847457)</f>
        <v>0.3389830508</v>
      </c>
    </row>
    <row r="3550">
      <c r="A3550" s="10" t="s">
        <v>4989</v>
      </c>
      <c r="B3550" s="7" t="str">
        <f>IFERROR(__xludf.DUMMYFUNCTION("SPLIT(A3550,"" "")"),"Cc1cc(CN(C)Cc2ccc(CN3CCN(C)CCN(C)CC3)cn2)nc(C)c1C")</f>
        <v>Cc1cc(CN(C)Cc2ccc(CN3CCN(C)CCN(C)CC3)cn2)nc(C)c1C</v>
      </c>
      <c r="C3550" s="7">
        <f>IFERROR(__xludf.DUMMYFUNCTION("""COMPUTED_VALUE"""),7.800798)</f>
        <v>7.800798</v>
      </c>
      <c r="D3550" s="7">
        <f>IFERROR(__xludf.DUMMYFUNCTION("""COMPUTED_VALUE"""),0.388888888888888)</f>
        <v>0.3888888889</v>
      </c>
    </row>
    <row r="3551">
      <c r="A3551" s="10" t="s">
        <v>4990</v>
      </c>
      <c r="B3551" s="7" t="str">
        <f>IFERROR(__xludf.DUMMYFUNCTION("SPLIT(A3551,"" "")"),"Cc1cc2c(c(-c3cccnc3CN(C)Cc3ccccn3)c1)OCCOCCOCCOCCOCCO2")</f>
        <v>Cc1cc2c(c(-c3cccnc3CN(C)Cc3ccccn3)c1)OCCOCCOCCOCCOCCO2</v>
      </c>
      <c r="C3551" s="7">
        <f>IFERROR(__xludf.DUMMYFUNCTION("""COMPUTED_VALUE"""),7.8007803)</f>
        <v>7.8007803</v>
      </c>
      <c r="D3551" s="7">
        <f>IFERROR(__xludf.DUMMYFUNCTION("""COMPUTED_VALUE"""),0.366666666666666)</f>
        <v>0.3666666667</v>
      </c>
    </row>
    <row r="3552">
      <c r="A3552" s="10" t="s">
        <v>4991</v>
      </c>
      <c r="B3552" s="7" t="str">
        <f>IFERROR(__xludf.DUMMYFUNCTION("SPLIT(A3552,"" "")"),"CN(Cc1cccc(CN(C)Cc2cccc(-c3ccc4c(c3)OCCOCCOCCOCCOCCO4)n2)n1)Cc1cccc(-c2ccc3c(c2)OCCOCCOCCOCCOCCO3)n1")</f>
        <v>CN(Cc1cccc(CN(C)Cc2cccc(-c3ccc4c(c3)OCCOCCOCCOCCOCCO4)n2)n1)Cc1cccc(-c2ccc3c(c2)OCCOCCOCCOCCOCCO3)n1</v>
      </c>
      <c r="C3552" s="7">
        <f>IFERROR(__xludf.DUMMYFUNCTION("""COMPUTED_VALUE"""),7.800777)</f>
        <v>7.800777</v>
      </c>
      <c r="D3552" s="7">
        <f>IFERROR(__xludf.DUMMYFUNCTION("""COMPUTED_VALUE"""),0.411764705882352)</f>
        <v>0.4117647059</v>
      </c>
    </row>
    <row r="3553">
      <c r="A3553" s="10" t="s">
        <v>4992</v>
      </c>
      <c r="B3553" s="7" t="str">
        <f>IFERROR(__xludf.DUMMYFUNCTION("SPLIT(A3553,"" "")"),"Cc1cnc(CN(C)C2CCCC(N(C)Cc3ccon3)C2)c(C)c1")</f>
        <v>Cc1cnc(CN(C)C2CCCC(N(C)Cc3ccon3)C2)c(C)c1</v>
      </c>
      <c r="C3553" s="7">
        <f>IFERROR(__xludf.DUMMYFUNCTION("""COMPUTED_VALUE"""),7.8007655)</f>
        <v>7.8007655</v>
      </c>
      <c r="D3553" s="7">
        <f>IFERROR(__xludf.DUMMYFUNCTION("""COMPUTED_VALUE"""),0.381818181818181)</f>
        <v>0.3818181818</v>
      </c>
    </row>
    <row r="3554">
      <c r="A3554" s="10" t="s">
        <v>4993</v>
      </c>
      <c r="B3554" s="7" t="str">
        <f>IFERROR(__xludf.DUMMYFUNCTION("SPLIT(A3554,"" "")"),"CNC1C=CC=C(N(C)Cc2cccc(-c3ccc4c(c3)OCCOCCOCCOCCOCCO4)n2)N1")</f>
        <v>CNC1C=CC=C(N(C)Cc2cccc(-c3ccc4c(c3)OCCOCCOCCOCCOCCO4)n2)N1</v>
      </c>
      <c r="C3554" s="7">
        <f>IFERROR(__xludf.DUMMYFUNCTION("""COMPUTED_VALUE"""),7.800761)</f>
        <v>7.800761</v>
      </c>
      <c r="D3554" s="7">
        <f>IFERROR(__xludf.DUMMYFUNCTION("""COMPUTED_VALUE"""),0.307692307692307)</f>
        <v>0.3076923077</v>
      </c>
    </row>
    <row r="3555">
      <c r="A3555" s="10" t="s">
        <v>4994</v>
      </c>
      <c r="B3555" s="7" t="str">
        <f>IFERROR(__xludf.DUMMYFUNCTION("SPLIT(A3555,"" "")"),"CNC1C(N(Cc2ncccc2C)Cc2ncccc2C)CCCC1N(Cc1ncccc1C)C1CC(C(C)(C)C)=CC(C)(C)C1")</f>
        <v>CNC1C(N(Cc2ncccc2C)Cc2ncccc2C)CCCC1N(Cc1ncccc1C)C1CC(C(C)(C)C)=CC(C)(C)C1</v>
      </c>
      <c r="C3555" s="7">
        <f>IFERROR(__xludf.DUMMYFUNCTION("""COMPUTED_VALUE"""),7.8007517)</f>
        <v>7.8007517</v>
      </c>
      <c r="D3555" s="7">
        <f>IFERROR(__xludf.DUMMYFUNCTION("""COMPUTED_VALUE"""),0.253521126760563)</f>
        <v>0.2535211268</v>
      </c>
    </row>
    <row r="3556">
      <c r="A3556" s="10" t="s">
        <v>4995</v>
      </c>
      <c r="B3556" s="7" t="str">
        <f>IFERROR(__xludf.DUMMYFUNCTION("SPLIT(A3556,"" "")"),"Cc1cncc(CN(C)Cc2cccc(-c3ccc4c(c3)OCCOCCOCCOCCOCCO4)n2)c1")</f>
        <v>Cc1cncc(CN(C)Cc2cccc(-c3ccc4c(c3)OCCOCCOCCOCCOCCO4)n2)c1</v>
      </c>
      <c r="C3556" s="7">
        <f>IFERROR(__xludf.DUMMYFUNCTION("""COMPUTED_VALUE"""),7.800739)</f>
        <v>7.800739</v>
      </c>
      <c r="D3556" s="7">
        <f>IFERROR(__xludf.DUMMYFUNCTION("""COMPUTED_VALUE"""),0.338709677419354)</f>
        <v>0.3387096774</v>
      </c>
    </row>
    <row r="3557">
      <c r="A3557" s="10" t="s">
        <v>4996</v>
      </c>
      <c r="B3557" s="7" t="str">
        <f>IFERROR(__xludf.DUMMYFUNCTION("SPLIT(A3557,"" "")"),"CNC1CCCC(N(C)Cc2ccccn2)C1N(Cc1nc(C)c(C)c(C)c1C)C1C=CC=CN1")</f>
        <v>CNC1CCCC(N(C)Cc2ccccn2)C1N(Cc1nc(C)c(C)c(C)c1C)C1C=CC=CN1</v>
      </c>
      <c r="C3557" s="7">
        <f>IFERROR(__xludf.DUMMYFUNCTION("""COMPUTED_VALUE"""),7.8007345)</f>
        <v>7.8007345</v>
      </c>
      <c r="D3557" s="7">
        <f>IFERROR(__xludf.DUMMYFUNCTION("""COMPUTED_VALUE"""),0.417910447761194)</f>
        <v>0.4179104478</v>
      </c>
    </row>
    <row r="3558">
      <c r="A3558" s="10" t="s">
        <v>4997</v>
      </c>
      <c r="B3558" s="7" t="str">
        <f>IFERROR(__xludf.DUMMYFUNCTION("SPLIT(A3558,"" "")"),"Cc1cncc(CN(C)C2CCC(N(Cc3ccccn3)Cc3ncccc3CF)CC2)c1")</f>
        <v>Cc1cncc(CN(C)C2CCC(N(Cc3ccccn3)Cc3ncccc3CF)CC2)c1</v>
      </c>
      <c r="C3558" s="7">
        <f>IFERROR(__xludf.DUMMYFUNCTION("""COMPUTED_VALUE"""),7.800729)</f>
        <v>7.800729</v>
      </c>
      <c r="D3558" s="7">
        <f>IFERROR(__xludf.DUMMYFUNCTION("""COMPUTED_VALUE"""),0.365079365079365)</f>
        <v>0.3650793651</v>
      </c>
    </row>
    <row r="3559">
      <c r="A3559" s="10" t="s">
        <v>4998</v>
      </c>
      <c r="B3559" s="7" t="str">
        <f>IFERROR(__xludf.DUMMYFUNCTION("SPLIT(A3559,"" "")"),"Cc1cccc(CN(CCN(C)Cc2ccccn2)Cc2cccc(-c3cccc4c3OCCOCCOCCOCCOCCO4)n2)n1")</f>
        <v>Cc1cccc(CN(CCN(C)Cc2ccccn2)Cc2cccc(-c3cccc4c3OCCOCCOCCOCCOCCO4)n2)n1</v>
      </c>
      <c r="C3559" s="7">
        <f>IFERROR(__xludf.DUMMYFUNCTION("""COMPUTED_VALUE"""),7.8007283)</f>
        <v>7.8007283</v>
      </c>
      <c r="D3559" s="7">
        <f>IFERROR(__xludf.DUMMYFUNCTION("""COMPUTED_VALUE"""),0.435483870967741)</f>
        <v>0.435483871</v>
      </c>
    </row>
    <row r="3560">
      <c r="A3560" s="10" t="s">
        <v>4999</v>
      </c>
      <c r="B3560" s="7" t="str">
        <f>IFERROR(__xludf.DUMMYFUNCTION("SPLIT(A3560,"" "")"),"Cc1cc(C)c(CN(C)C2CCC(N(C)Cc3ncccc3C)CC2)nc1C")</f>
        <v>Cc1cc(C)c(CN(C)C2CCC(N(C)Cc3ncccc3C)CC2)nc1C</v>
      </c>
      <c r="C3560" s="7">
        <f>IFERROR(__xludf.DUMMYFUNCTION("""COMPUTED_VALUE"""),7.8007207)</f>
        <v>7.8007207</v>
      </c>
      <c r="D3560" s="7">
        <f>IFERROR(__xludf.DUMMYFUNCTION("""COMPUTED_VALUE"""),0.326923076923076)</f>
        <v>0.3269230769</v>
      </c>
    </row>
    <row r="3561">
      <c r="A3561" s="10" t="s">
        <v>5000</v>
      </c>
      <c r="B3561" s="7" t="str">
        <f>IFERROR(__xludf.DUMMYFUNCTION("SPLIT(A3561,"" "")"),"CCNC1CCCCC1N(Cc1cc(C)c(C)cn1)Cc1nc(C)c(C)c(C)c1C")</f>
        <v>CCNC1CCCCC1N(Cc1cc(C)c(C)cn1)Cc1nc(C)c(C)c(C)c1C</v>
      </c>
      <c r="C3561" s="7">
        <f>IFERROR(__xludf.DUMMYFUNCTION("""COMPUTED_VALUE"""),7.800715)</f>
        <v>7.800715</v>
      </c>
      <c r="D3561" s="7">
        <f>IFERROR(__xludf.DUMMYFUNCTION("""COMPUTED_VALUE"""),0.327868852459016)</f>
        <v>0.3278688525</v>
      </c>
    </row>
    <row r="3562">
      <c r="A3562" s="10" t="s">
        <v>5001</v>
      </c>
      <c r="B3562" s="7" t="str">
        <f>IFERROR(__xludf.DUMMYFUNCTION("SPLIT(A3562,"" "")"),"Cc1cnc(CN(C)CCN(C)Cc2ncccc2-c2ccc3c(c2)OCCOCCOCCOCCOCCO3)c(C)c1")</f>
        <v>Cc1cnc(CN(C)CCN(C)Cc2ncccc2-c2ccc3c(c2)OCCOCCOCCOCCOCCO3)c(C)c1</v>
      </c>
      <c r="C3562" s="7">
        <f>IFERROR(__xludf.DUMMYFUNCTION("""COMPUTED_VALUE"""),7.80071)</f>
        <v>7.80071</v>
      </c>
      <c r="D3562" s="7">
        <f>IFERROR(__xludf.DUMMYFUNCTION("""COMPUTED_VALUE"""),0.328767123287671)</f>
        <v>0.3287671233</v>
      </c>
    </row>
    <row r="3563">
      <c r="A3563" s="10" t="s">
        <v>5002</v>
      </c>
      <c r="B3563" s="7" t="str">
        <f>IFERROR(__xludf.DUMMYFUNCTION("SPLIT(A3563,"" "")"),"Cc1cncc(CN(C)C2CCC(N(C)Cc3nc(C)c(C)cc3C)CC2)c1")</f>
        <v>Cc1cncc(CN(C)C2CCC(N(C)Cc3nc(C)c(C)cc3C)CC2)c1</v>
      </c>
      <c r="C3563" s="7">
        <f>IFERROR(__xludf.DUMMYFUNCTION("""COMPUTED_VALUE"""),7.8007045)</f>
        <v>7.8007045</v>
      </c>
      <c r="D3563" s="7">
        <f>IFERROR(__xludf.DUMMYFUNCTION("""COMPUTED_VALUE"""),0.267857142857142)</f>
        <v>0.2678571429</v>
      </c>
    </row>
    <row r="3564">
      <c r="A3564" s="10" t="s">
        <v>5003</v>
      </c>
      <c r="B3564" s="7" t="str">
        <f>IFERROR(__xludf.DUMMYFUNCTION("SPLIT(A3564,"" "")"),"CN1CCN(C)CCN(CC(C)(C)Nc2cccc3cccnc23)CC1")</f>
        <v>CN1CCN(C)CCN(CC(C)(C)Nc2cccc3cccnc23)CC1</v>
      </c>
      <c r="C3564" s="7">
        <f>IFERROR(__xludf.DUMMYFUNCTION("""COMPUTED_VALUE"""),7.800693)</f>
        <v>7.800693</v>
      </c>
      <c r="D3564" s="7">
        <f>IFERROR(__xludf.DUMMYFUNCTION("""COMPUTED_VALUE"""),0.387755102040816)</f>
        <v>0.387755102</v>
      </c>
    </row>
    <row r="3565">
      <c r="A3565" s="10" t="s">
        <v>5004</v>
      </c>
      <c r="B3565" s="7" t="str">
        <f>IFERROR(__xludf.DUMMYFUNCTION("SPLIT(A3565,"" "")"),"CN(CCF)CCN(Cc1ccccn1)C(C)(C)c1ccccn1")</f>
        <v>CN(CCF)CCN(Cc1ccccn1)C(C)(C)c1ccccn1</v>
      </c>
      <c r="C3565" s="7">
        <f>IFERROR(__xludf.DUMMYFUNCTION("""COMPUTED_VALUE"""),7.800688)</f>
        <v>7.800688</v>
      </c>
      <c r="D3565" s="7">
        <f>IFERROR(__xludf.DUMMYFUNCTION("""COMPUTED_VALUE"""),0.4375)</f>
        <v>0.4375</v>
      </c>
    </row>
    <row r="3566">
      <c r="A3566" s="10" t="s">
        <v>5005</v>
      </c>
      <c r="B3566" s="7" t="str">
        <f>IFERROR(__xludf.DUMMYFUNCTION("SPLIT(A3566,"" "")"),"CN(Cc1ccccn1)C1=C(CN(Cc2ccccn2)c2cccc3c2OCCOCCOCCOCCOCCO3)NC=CC1")</f>
        <v>CN(Cc1ccccn1)C1=C(CN(Cc2ccccn2)c2cccc3c2OCCOCCOCCOCCOCCO3)NC=CC1</v>
      </c>
      <c r="C3566" s="7">
        <f>IFERROR(__xludf.DUMMYFUNCTION("""COMPUTED_VALUE"""),7.80068)</f>
        <v>7.80068</v>
      </c>
      <c r="D3566" s="7">
        <f>IFERROR(__xludf.DUMMYFUNCTION("""COMPUTED_VALUE"""),0.338461538461538)</f>
        <v>0.3384615385</v>
      </c>
    </row>
    <row r="3567">
      <c r="A3567" s="10" t="s">
        <v>5006</v>
      </c>
      <c r="B3567" s="7" t="str">
        <f>IFERROR(__xludf.DUMMYFUNCTION("SPLIT(A3567,"" "")"),"Cc1ccc(C)c(CN(C)CCN(Cc2ccccn2)C2(C)CCC2)n1")</f>
        <v>Cc1ccc(C)c(CN(C)CCN(Cc2ccccn2)C2(C)CCC2)n1</v>
      </c>
      <c r="C3567" s="7">
        <f>IFERROR(__xludf.DUMMYFUNCTION("""COMPUTED_VALUE"""),7.8006735)</f>
        <v>7.8006735</v>
      </c>
      <c r="D3567" s="7">
        <f>IFERROR(__xludf.DUMMYFUNCTION("""COMPUTED_VALUE"""),0.377358490566037)</f>
        <v>0.3773584906</v>
      </c>
    </row>
    <row r="3568">
      <c r="A3568" s="10" t="s">
        <v>5007</v>
      </c>
      <c r="B3568" s="7" t="str">
        <f>IFERROR(__xludf.DUMMYFUNCTION("SPLIT(A3568,"" "")"),"CC(C)N(C)Cc1ccc(CF)cn1")</f>
        <v>CC(C)N(C)Cc1ccc(CF)cn1</v>
      </c>
      <c r="C3568" s="7">
        <f>IFERROR(__xludf.DUMMYFUNCTION("""COMPUTED_VALUE"""),7.8006606)</f>
        <v>7.8006606</v>
      </c>
      <c r="D3568" s="7">
        <f>IFERROR(__xludf.DUMMYFUNCTION("""COMPUTED_VALUE"""),0.41025641025641)</f>
        <v>0.4102564103</v>
      </c>
    </row>
    <row r="3569">
      <c r="A3569" s="10" t="s">
        <v>5008</v>
      </c>
      <c r="B3569" s="7" t="str">
        <f>IFERROR(__xludf.DUMMYFUNCTION("SPLIT(A3569,"" "")"),"CC(C)N(C)Cc1ncc(C(C)(C)C)cc1CN(Cc1ccccn1)C1CCC(N)CC1")</f>
        <v>CC(C)N(C)Cc1ncc(C(C)(C)C)cc1CN(Cc1ccccn1)C1CCC(N)CC1</v>
      </c>
      <c r="C3569" s="7">
        <f>IFERROR(__xludf.DUMMYFUNCTION("""COMPUTED_VALUE"""),7.800655)</f>
        <v>7.800655</v>
      </c>
      <c r="D3569" s="7">
        <f>IFERROR(__xludf.DUMMYFUNCTION("""COMPUTED_VALUE"""),0.365079365079365)</f>
        <v>0.3650793651</v>
      </c>
    </row>
    <row r="3570">
      <c r="A3570" s="10" t="s">
        <v>5009</v>
      </c>
      <c r="B3570" s="7" t="str">
        <f>IFERROR(__xludf.DUMMYFUNCTION("SPLIT(A3570,"" "")"),"Cc1ccc(C2CC(C)(C)C2)c(CN(C)C2CCC(N(C)Cc3ncccc3C)CC2)n1")</f>
        <v>Cc1ccc(C2CC(C)(C)C2)c(CN(C)C2CCC(N(C)Cc3ncccc3C)CC2)n1</v>
      </c>
      <c r="C3570" s="7">
        <f>IFERROR(__xludf.DUMMYFUNCTION("""COMPUTED_VALUE"""),7.8006535)</f>
        <v>7.8006535</v>
      </c>
      <c r="D3570" s="7">
        <f>IFERROR(__xludf.DUMMYFUNCTION("""COMPUTED_VALUE"""),0.322033898305084)</f>
        <v>0.3220338983</v>
      </c>
    </row>
    <row r="3571">
      <c r="A3571" s="10" t="s">
        <v>5010</v>
      </c>
      <c r="B3571" s="7" t="str">
        <f>IFERROR(__xludf.DUMMYFUNCTION("SPLIT(A3571,"" "")"),"CC1=CCC2(C(C)=C(C)C(N(C)Cc3ccccn3)C(C)(C)C2C)C(C)C1")</f>
        <v>CC1=CCC2(C(C)=C(C)C(N(C)Cc3ccccn3)C(C)(C)C2C)C(C)C1</v>
      </c>
      <c r="C3571" s="7">
        <f>IFERROR(__xludf.DUMMYFUNCTION("""COMPUTED_VALUE"""),7.8006363)</f>
        <v>7.8006363</v>
      </c>
      <c r="D3571" s="7">
        <f>IFERROR(__xludf.DUMMYFUNCTION("""COMPUTED_VALUE"""),0.410714285714285)</f>
        <v>0.4107142857</v>
      </c>
    </row>
    <row r="3572">
      <c r="A3572" s="10" t="s">
        <v>5011</v>
      </c>
      <c r="B3572" s="7" t="str">
        <f>IFERROR(__xludf.DUMMYFUNCTION("SPLIT(A3572,"" "")"),"CC(C)N(C)CC1=CC(N(C)Cc2ccccn2)C=CN1")</f>
        <v>CC(C)N(C)CC1=CC(N(C)Cc2ccccn2)C=CN1</v>
      </c>
      <c r="C3572" s="7">
        <f>IFERROR(__xludf.DUMMYFUNCTION("""COMPUTED_VALUE"""),7.800625)</f>
        <v>7.800625</v>
      </c>
      <c r="D3572" s="7">
        <f>IFERROR(__xludf.DUMMYFUNCTION("""COMPUTED_VALUE"""),0.431372549019607)</f>
        <v>0.431372549</v>
      </c>
    </row>
    <row r="3573">
      <c r="A3573" s="10" t="s">
        <v>5012</v>
      </c>
      <c r="B3573" s="7" t="str">
        <f>IFERROR(__xludf.DUMMYFUNCTION("SPLIT(A3573,"" "")"),"Cc1cnc(-c2cccc3c2OCCOCCOCCOCCOCCO3)c(CN(C)Cc2ccccn2)c1")</f>
        <v>Cc1cnc(-c2cccc3c2OCCOCCOCCOCCOCCO3)c(CN(C)Cc2ccccn2)c1</v>
      </c>
      <c r="C3573" s="7">
        <f>IFERROR(__xludf.DUMMYFUNCTION("""COMPUTED_VALUE"""),7.8006244)</f>
        <v>7.8006244</v>
      </c>
      <c r="D3573" s="7">
        <f>IFERROR(__xludf.DUMMYFUNCTION("""COMPUTED_VALUE"""),0.370967741935483)</f>
        <v>0.3709677419</v>
      </c>
    </row>
    <row r="3574">
      <c r="A3574" s="10" t="s">
        <v>5013</v>
      </c>
      <c r="B3574" s="7" t="str">
        <f>IFERROR(__xludf.DUMMYFUNCTION("SPLIT(A3574,"" "")"),"CC(N)C(C)C(C)N(Cc1ccccn1)Cc1ncccc1C(C)(C)C")</f>
        <v>CC(N)C(C)C(C)N(Cc1ccccn1)Cc1ncccc1C(C)(C)C</v>
      </c>
      <c r="C3574" s="7">
        <f>IFERROR(__xludf.DUMMYFUNCTION("""COMPUTED_VALUE"""),7.800622)</f>
        <v>7.800622</v>
      </c>
      <c r="D3574" s="7">
        <f>IFERROR(__xludf.DUMMYFUNCTION("""COMPUTED_VALUE"""),0.468085106382978)</f>
        <v>0.4680851064</v>
      </c>
    </row>
    <row r="3575">
      <c r="A3575" s="10" t="s">
        <v>5014</v>
      </c>
      <c r="B3575" s="7" t="str">
        <f>IFERROR(__xludf.DUMMYFUNCTION("SPLIT(A3575,"" "")"),"Cc1cncc(CN(C)C2CCCC(N(C)Cc3cc(C)c(C)c(C)n3)C2)c1")</f>
        <v>Cc1cncc(CN(C)C2CCCC(N(C)Cc3cc(C)c(C)c(C)n3)C2)c1</v>
      </c>
      <c r="C3575" s="7">
        <f>IFERROR(__xludf.DUMMYFUNCTION("""COMPUTED_VALUE"""),7.8006167)</f>
        <v>7.8006167</v>
      </c>
      <c r="D3575" s="7">
        <f>IFERROR(__xludf.DUMMYFUNCTION("""COMPUTED_VALUE"""),0.31578947368421)</f>
        <v>0.3157894737</v>
      </c>
    </row>
    <row r="3576">
      <c r="A3576" s="10" t="s">
        <v>5015</v>
      </c>
      <c r="B3576" s="7" t="str">
        <f>IFERROR(__xludf.DUMMYFUNCTION("SPLIT(A3576,"" "")"),"c1ccc(CN(Cc2ccccn2)Cc2cc(-c3ccc4c(c3)OCCOCCOCCOCCOCCO4)ccn2)cc1")</f>
        <v>c1ccc(CN(Cc2ccccn2)Cc2cc(-c3ccc4c(c3)OCCOCCOCCOCCOCCO4)ccn2)cc1</v>
      </c>
      <c r="C3576" s="7">
        <f>IFERROR(__xludf.DUMMYFUNCTION("""COMPUTED_VALUE"""),7.8006086)</f>
        <v>7.8006086</v>
      </c>
      <c r="D3576" s="7">
        <f>IFERROR(__xludf.DUMMYFUNCTION("""COMPUTED_VALUE"""),0.425531914893617)</f>
        <v>0.4255319149</v>
      </c>
    </row>
    <row r="3577">
      <c r="A3577" s="10" t="s">
        <v>5016</v>
      </c>
      <c r="B3577" s="7" t="str">
        <f>IFERROR(__xludf.DUMMYFUNCTION("SPLIT(A3577,"" "")"),"Cc1ncccc1N1CCN(C)CCN(Cc2ccc(N)cn2)CC1")</f>
        <v>Cc1ncccc1N1CCN(C)CCN(Cc2ccc(N)cn2)CC1</v>
      </c>
      <c r="C3577" s="7">
        <f>IFERROR(__xludf.DUMMYFUNCTION("""COMPUTED_VALUE"""),7.8005986)</f>
        <v>7.8005986</v>
      </c>
      <c r="D3577" s="7">
        <f>IFERROR(__xludf.DUMMYFUNCTION("""COMPUTED_VALUE"""),0.5)</f>
        <v>0.5</v>
      </c>
    </row>
    <row r="3578">
      <c r="A3578" s="10" t="s">
        <v>5017</v>
      </c>
      <c r="B3578" s="7" t="str">
        <f>IFERROR(__xludf.DUMMYFUNCTION("SPLIT(A3578,"" "")"),"CNC1CCCCC1N(Cc1ncccc1C)Cc1nc(C)c(C)c(C)c1C")</f>
        <v>CNC1CCCCC1N(Cc1ncccc1C)Cc1nc(C)c(C)c(C)c1C</v>
      </c>
      <c r="C3578" s="7">
        <f>IFERROR(__xludf.DUMMYFUNCTION("""COMPUTED_VALUE"""),7.8005958)</f>
        <v>7.8005958</v>
      </c>
      <c r="D3578" s="7">
        <f>IFERROR(__xludf.DUMMYFUNCTION("""COMPUTED_VALUE"""),0.327586206896551)</f>
        <v>0.3275862069</v>
      </c>
    </row>
    <row r="3579">
      <c r="A3579" s="10" t="s">
        <v>5018</v>
      </c>
      <c r="B3579" s="7" t="str">
        <f>IFERROR(__xludf.DUMMYFUNCTION("SPLIT(A3579,"" "")"),"CNC1CCCC(N(Cc2cccc(C)n2)Cc2nc(C)c(C)cc2C)C1")</f>
        <v>CNC1CCCC(N(Cc2cccc(C)n2)Cc2nc(C)c(C)cc2C)C1</v>
      </c>
      <c r="C3579" s="7">
        <f>IFERROR(__xludf.DUMMYFUNCTION("""COMPUTED_VALUE"""),7.8005686)</f>
        <v>7.8005686</v>
      </c>
      <c r="D3579" s="7">
        <f>IFERROR(__xludf.DUMMYFUNCTION("""COMPUTED_VALUE"""),0.410714285714285)</f>
        <v>0.4107142857</v>
      </c>
    </row>
    <row r="3580">
      <c r="A3580" s="10" t="s">
        <v>5019</v>
      </c>
      <c r="B3580" s="7" t="str">
        <f>IFERROR(__xludf.DUMMYFUNCTION("SPLIT(A3580,"" "")"),"Cc1ccnc(CN(C)C2C=CNC(CN(C)C(C)C(C)C)=C2)c1")</f>
        <v>Cc1ccnc(CN(C)C2C=CNC(CN(C)C(C)C(C)C)=C2)c1</v>
      </c>
      <c r="C3580" s="7">
        <f>IFERROR(__xludf.DUMMYFUNCTION("""COMPUTED_VALUE"""),7.8005557)</f>
        <v>7.8005557</v>
      </c>
      <c r="D3580" s="7">
        <f>IFERROR(__xludf.DUMMYFUNCTION("""COMPUTED_VALUE"""),0.285714285714285)</f>
        <v>0.2857142857</v>
      </c>
    </row>
    <row r="3581">
      <c r="A3581" s="10" t="s">
        <v>5020</v>
      </c>
      <c r="B3581" s="7" t="str">
        <f>IFERROR(__xludf.DUMMYFUNCTION("SPLIT(A3581,"" "")"),"Cc1ccnc(CN(C)C2CCCCC2N(C)Cc2nc(C)c(C)c(C)c2C)c1")</f>
        <v>Cc1ccnc(CN(C)C2CCCCC2N(C)Cc2nc(C)c(C)c(C)c2C)c1</v>
      </c>
      <c r="C3581" s="7">
        <f>IFERROR(__xludf.DUMMYFUNCTION("""COMPUTED_VALUE"""),7.800554)</f>
        <v>7.800554</v>
      </c>
      <c r="D3581" s="7">
        <f>IFERROR(__xludf.DUMMYFUNCTION("""COMPUTED_VALUE"""),0.489795918367346)</f>
        <v>0.4897959184</v>
      </c>
    </row>
    <row r="3582">
      <c r="A3582" s="10" t="s">
        <v>5021</v>
      </c>
      <c r="B3582" s="7" t="str">
        <f>IFERROR(__xludf.DUMMYFUNCTION("SPLIT(A3582,"" "")"),"CC(CN(Cc1ccccn1)Cc1ccccn1)(c1ccc2c(c1)OCCOCCOCCOCCOCCO2)C(C)(c1ccccn1)c1ccccn1")</f>
        <v>CC(CN(Cc1ccccn1)Cc1ccccn1)(c1ccc2c(c1)OCCOCCOCCOCCOCCO2)C(C)(c1ccccn1)c1ccccn1</v>
      </c>
      <c r="C3582" s="7">
        <f>IFERROR(__xludf.DUMMYFUNCTION("""COMPUTED_VALUE"""),7.8005443)</f>
        <v>7.8005443</v>
      </c>
      <c r="D3582" s="7">
        <f>IFERROR(__xludf.DUMMYFUNCTION("""COMPUTED_VALUE"""),0.403508771929824)</f>
        <v>0.4035087719</v>
      </c>
    </row>
    <row r="3583">
      <c r="A3583" s="10" t="s">
        <v>5022</v>
      </c>
      <c r="B3583" s="7" t="str">
        <f>IFERROR(__xludf.DUMMYFUNCTION("SPLIT(A3583,"" "")"),"CCCN(Cc1ccccn1)c1ccc2c(c1-c1cccc(CN(Cc3ccccn3)C3CCCCC3N(C)Cc3ncccc3C)n1)OCCOCCOCCOCCOCCO2")</f>
        <v>CCCN(Cc1ccccn1)c1ccc2c(c1-c1cccc(CN(Cc3ccccn3)C3CCCCC3N(C)Cc3ncccc3C)n1)OCCOCCOCCOCCOCCO2</v>
      </c>
      <c r="C3583" s="7">
        <f>IFERROR(__xludf.DUMMYFUNCTION("""COMPUTED_VALUE"""),7.8005385)</f>
        <v>7.8005385</v>
      </c>
      <c r="D3583" s="7">
        <f>IFERROR(__xludf.DUMMYFUNCTION("""COMPUTED_VALUE"""),0.376623376623376)</f>
        <v>0.3766233766</v>
      </c>
    </row>
    <row r="3584">
      <c r="A3584" s="10" t="s">
        <v>5023</v>
      </c>
      <c r="B3584" s="7" t="str">
        <f>IFERROR(__xludf.DUMMYFUNCTION("SPLIT(A3584,"" "")"),"Cc1cc2c(c(-c3ccc(CN(C)Cc4ccccn4)cn3)c1)OCCOCCOCCOCCOCCO2")</f>
        <v>Cc1cc2c(c(-c3ccc(CN(C)Cc4ccccn4)cn3)c1)OCCOCCOCCOCCOCCO2</v>
      </c>
      <c r="C3584" s="7">
        <f>IFERROR(__xludf.DUMMYFUNCTION("""COMPUTED_VALUE"""),7.8005295)</f>
        <v>7.8005295</v>
      </c>
      <c r="D3584" s="7">
        <f>IFERROR(__xludf.DUMMYFUNCTION("""COMPUTED_VALUE"""),0.370967741935483)</f>
        <v>0.3709677419</v>
      </c>
    </row>
    <row r="3585">
      <c r="A3585" s="10" t="s">
        <v>5024</v>
      </c>
      <c r="B3585" s="7" t="str">
        <f>IFERROR(__xludf.DUMMYFUNCTION("SPLIT(A3585,"" "")"),"CCCN(Cc1ccc2ncccc2c1)c1ccc2c(c1)OCCOCCOCCOCCOCCO2")</f>
        <v>CCCN(Cc1ccc2ncccc2c1)c1ccc2c(c1)OCCOCCOCCOCCOCCO2</v>
      </c>
      <c r="C3585" s="7">
        <f>IFERROR(__xludf.DUMMYFUNCTION("""COMPUTED_VALUE"""),7.8005257)</f>
        <v>7.8005257</v>
      </c>
      <c r="D3585" s="7">
        <f>IFERROR(__xludf.DUMMYFUNCTION("""COMPUTED_VALUE"""),0.273972602739726)</f>
        <v>0.2739726027</v>
      </c>
    </row>
    <row r="3586">
      <c r="A3586" s="10" t="s">
        <v>5025</v>
      </c>
      <c r="B3586" s="7" t="str">
        <f>IFERROR(__xludf.DUMMYFUNCTION("SPLIT(A3586,"" "")"),"Cc1ccc(CN(C)CCN(Cc2ccccn2)Cc2cccc(-c3ccc4c(c3)OCCOCCOCCOCCOCCO4)n2)nc1")</f>
        <v>Cc1ccc(CN(C)CCN(Cc2ccccn2)Cc2cccc(-c3ccc4c(c3)OCCOCCOCCOCCOCCO4)n2)nc1</v>
      </c>
      <c r="C3586" s="7">
        <f>IFERROR(__xludf.DUMMYFUNCTION("""COMPUTED_VALUE"""),7.800513)</f>
        <v>7.800513</v>
      </c>
      <c r="D3586" s="7">
        <f>IFERROR(__xludf.DUMMYFUNCTION("""COMPUTED_VALUE"""),0.422535211267605)</f>
        <v>0.4225352113</v>
      </c>
    </row>
    <row r="3587">
      <c r="A3587" s="10" t="s">
        <v>5026</v>
      </c>
      <c r="B3587" s="7" t="str">
        <f>IFERROR(__xludf.DUMMYFUNCTION("SPLIT(A3587,"" "")"),"CNCN(Cc1ncccc1C)C1CCCC(N(C)Cc2nc(C)c(C)c(C)c2C)C1")</f>
        <v>CNCN(Cc1ncccc1C)C1CCCC(N(C)Cc2nc(C)c(C)c(C)c2C)C1</v>
      </c>
      <c r="C3587" s="7">
        <f>IFERROR(__xludf.DUMMYFUNCTION("""COMPUTED_VALUE"""),7.8005085)</f>
        <v>7.8005085</v>
      </c>
      <c r="D3587" s="7">
        <f>IFERROR(__xludf.DUMMYFUNCTION("""COMPUTED_VALUE"""),0.28125)</f>
        <v>0.28125</v>
      </c>
    </row>
    <row r="3588">
      <c r="A3588" s="10" t="s">
        <v>5027</v>
      </c>
      <c r="B3588" s="7" t="str">
        <f>IFERROR(__xludf.DUMMYFUNCTION("SPLIT(A3588,"" "")"),"Cc1cccnc1CN(C)C1CC(N(Cc2ccccn2)Cc2ncccc2C)CC(N(C)C(C)C)C1")</f>
        <v>Cc1cccnc1CN(C)C1CC(N(Cc2ccccn2)Cc2ncccc2C)CC(N(C)C(C)C)C1</v>
      </c>
      <c r="C3588" s="7">
        <f>IFERROR(__xludf.DUMMYFUNCTION("""COMPUTED_VALUE"""),7.8005056)</f>
        <v>7.8005056</v>
      </c>
      <c r="D3588" s="7">
        <f>IFERROR(__xludf.DUMMYFUNCTION("""COMPUTED_VALUE"""),0.392857142857142)</f>
        <v>0.3928571429</v>
      </c>
    </row>
    <row r="3589">
      <c r="A3589" s="10" t="s">
        <v>5028</v>
      </c>
      <c r="B3589" s="7" t="str">
        <f>IFERROR(__xludf.DUMMYFUNCTION("SPLIT(A3589,"" "")"),"CC(C)N(Cc1cccc(-c2ccc3c(c2)OCCOCCOCCOCCOCCO3)n1)Cc1cccc(C(C)(C)C)n1")</f>
        <v>CC(C)N(Cc1cccc(-c2ccc3c(c2)OCCOCCOCCOCCOCCO3)n1)Cc1cccc(C(C)(C)C)n1</v>
      </c>
      <c r="C3589" s="7">
        <f>IFERROR(__xludf.DUMMYFUNCTION("""COMPUTED_VALUE"""),7.800502)</f>
        <v>7.800502</v>
      </c>
      <c r="D3589" s="7">
        <f>IFERROR(__xludf.DUMMYFUNCTION("""COMPUTED_VALUE"""),0.319444444444444)</f>
        <v>0.3194444444</v>
      </c>
    </row>
    <row r="3590">
      <c r="A3590" s="10" t="s">
        <v>5029</v>
      </c>
      <c r="B3590" s="7" t="str">
        <f>IFERROR(__xludf.DUMMYFUNCTION("SPLIT(A3590,"" "")"),"CC(C)N(Cc1cccc(CN(Cc2ccccn2)C2CCC(N(C)Cc3cccc(-c4ccc5c(c4)OCCOCCOCCOCCOCCO5)n3)CC2)n1)Cc1cccc(C2CC(C)(C)C2)n1")</f>
        <v>CC(C)N(Cc1cccc(CN(Cc2ccccn2)C2CCC(N(C)Cc3cccc(-c4ccc5c(c4)OCCOCCOCCOCCOCCO5)n3)CC2)n1)Cc1cccc(C2CC(C)(C)C2)n1</v>
      </c>
      <c r="C3590" s="7">
        <f>IFERROR(__xludf.DUMMYFUNCTION("""COMPUTED_VALUE"""),7.8005013)</f>
        <v>7.8005013</v>
      </c>
      <c r="D3590" s="7">
        <f>IFERROR(__xludf.DUMMYFUNCTION("""COMPUTED_VALUE"""),0.32183908045977)</f>
        <v>0.3218390805</v>
      </c>
    </row>
    <row r="3591">
      <c r="A3591" s="10" t="s">
        <v>5030</v>
      </c>
      <c r="B3591" s="7" t="str">
        <f>IFERROR(__xludf.DUMMYFUNCTION("SPLIT(A3591,"" "")"),"Cc1cc(C)c(C)c(CN(C)C2CCCC(N(C)Cc3ncccc3C)C2)n1")</f>
        <v>Cc1cc(C)c(C)c(CN(C)C2CCCC(N(C)Cc3ncccc3C)C2)n1</v>
      </c>
      <c r="C3591" s="7">
        <f>IFERROR(__xludf.DUMMYFUNCTION("""COMPUTED_VALUE"""),7.8004985)</f>
        <v>7.8004985</v>
      </c>
      <c r="D3591" s="7">
        <f>IFERROR(__xludf.DUMMYFUNCTION("""COMPUTED_VALUE"""),0.327272727272727)</f>
        <v>0.3272727273</v>
      </c>
    </row>
    <row r="3592">
      <c r="A3592" s="10" t="s">
        <v>5031</v>
      </c>
      <c r="B3592" s="7" t="str">
        <f>IFERROR(__xludf.DUMMYFUNCTION("SPLIT(A3592,"" "")"),"CC(C)N(C)CN(C)Cc1ncccc1N")</f>
        <v>CC(C)N(C)CN(C)Cc1ncccc1N</v>
      </c>
      <c r="C3592" s="7">
        <f>IFERROR(__xludf.DUMMYFUNCTION("""COMPUTED_VALUE"""),7.8004937)</f>
        <v>7.8004937</v>
      </c>
      <c r="D3592" s="7">
        <f>IFERROR(__xludf.DUMMYFUNCTION("""COMPUTED_VALUE"""),0.333333333333333)</f>
        <v>0.3333333333</v>
      </c>
    </row>
    <row r="3593">
      <c r="A3593" s="10" t="s">
        <v>5032</v>
      </c>
      <c r="B3593" s="7" t="str">
        <f>IFERROR(__xludf.DUMMYFUNCTION("SPLIT(A3593,"" "")"),"Cc1cncc(CN(C)C2CCC(N(Cc3ccc(CF)nc3)Cc3ccccn3)CC2)c1")</f>
        <v>Cc1cncc(CN(C)C2CCC(N(Cc3ccc(CF)nc3)Cc3ccccn3)CC2)c1</v>
      </c>
      <c r="C3593" s="7">
        <f>IFERROR(__xludf.DUMMYFUNCTION("""COMPUTED_VALUE"""),7.8004923)</f>
        <v>7.8004923</v>
      </c>
      <c r="D3593" s="7">
        <f>IFERROR(__xludf.DUMMYFUNCTION("""COMPUTED_VALUE"""),0.370967741935483)</f>
        <v>0.3709677419</v>
      </c>
    </row>
    <row r="3594">
      <c r="A3594" s="10" t="s">
        <v>5033</v>
      </c>
      <c r="B3594" s="7" t="str">
        <f>IFERROR(__xludf.DUMMYFUNCTION("SPLIT(A3594,"" "")"),"CN(Cc1cccc(-c2ccc3c(c2)OCCOCCOCCOCCOCCO3)n1)C1=C(C(C)(C)C)NC=CC1")</f>
        <v>CN(Cc1cccc(-c2ccc3c(c2)OCCOCCOCCOCCOCCO3)n1)C1=C(C(C)(C)C)NC=CC1</v>
      </c>
      <c r="C3594" s="7">
        <f>IFERROR(__xludf.DUMMYFUNCTION("""COMPUTED_VALUE"""),7.800488)</f>
        <v>7.800488</v>
      </c>
      <c r="D3594" s="7">
        <f>IFERROR(__xludf.DUMMYFUNCTION("""COMPUTED_VALUE"""),0.294871794871794)</f>
        <v>0.2948717949</v>
      </c>
    </row>
    <row r="3595">
      <c r="A3595" s="10" t="s">
        <v>5034</v>
      </c>
      <c r="B3595" s="7" t="str">
        <f>IFERROR(__xludf.DUMMYFUNCTION("SPLIT(A3595,"" "")"),"CCNCc1cccc(CN(Cc2ccccn2)Cc2cccc(-c3ccc4c(c3)OCCOCCOCCOCCOCCO4)n2)n1")</f>
        <v>CCNCc1cccc(CN(Cc2ccccn2)Cc2cccc(-c3ccc4c(c3)OCCOCCOCCOCCOCCO4)n2)n1</v>
      </c>
      <c r="C3595" s="7">
        <f>IFERROR(__xludf.DUMMYFUNCTION("""COMPUTED_VALUE"""),7.800484)</f>
        <v>7.800484</v>
      </c>
      <c r="D3595" s="7">
        <f>IFERROR(__xludf.DUMMYFUNCTION("""COMPUTED_VALUE"""),0.476923076923076)</f>
        <v>0.4769230769</v>
      </c>
    </row>
    <row r="3596">
      <c r="A3596" s="10" t="s">
        <v>5035</v>
      </c>
      <c r="B3596" s="7" t="str">
        <f>IFERROR(__xludf.DUMMYFUNCTION("SPLIT(A3596,"" "")"),"COC1(C)N=COC1c1ncc(CN2CCN(C)CCN(C)CC2)c(C)c1C")</f>
        <v>COC1(C)N=COC1c1ncc(CN2CCN(C)CCN(C)CC2)c(C)c1C</v>
      </c>
      <c r="C3596" s="7">
        <f>IFERROR(__xludf.DUMMYFUNCTION("""COMPUTED_VALUE"""),7.8004746)</f>
        <v>7.8004746</v>
      </c>
      <c r="D3596" s="7">
        <f>IFERROR(__xludf.DUMMYFUNCTION("""COMPUTED_VALUE"""),0.372881355932203)</f>
        <v>0.3728813559</v>
      </c>
    </row>
    <row r="3597">
      <c r="A3597" s="10" t="s">
        <v>5036</v>
      </c>
      <c r="B3597" s="7" t="str">
        <f>IFERROR(__xludf.DUMMYFUNCTION("SPLIT(A3597,"" "")"),"CCN(Cc1cc(-c2ccc3c(c2)OCCOCCOCCOCCOCCO3)ccn1)Cc1cc(C(C)(C)C)ccn1")</f>
        <v>CCN(Cc1cc(-c2ccc3c(c2)OCCOCCOCCOCCOCCO3)ccn1)Cc1cc(C(C)(C)C)ccn1</v>
      </c>
      <c r="C3597" s="7">
        <f>IFERROR(__xludf.DUMMYFUNCTION("""COMPUTED_VALUE"""),7.8004746)</f>
        <v>7.8004746</v>
      </c>
      <c r="D3597" s="7">
        <f>IFERROR(__xludf.DUMMYFUNCTION("""COMPUTED_VALUE"""),0.378787878787878)</f>
        <v>0.3787878788</v>
      </c>
    </row>
    <row r="3598">
      <c r="A3598" s="10" t="s">
        <v>5037</v>
      </c>
      <c r="B3598" s="7" t="str">
        <f>IFERROR(__xludf.DUMMYFUNCTION("SPLIT(A3598,"" "")"),"CNCc1cccc(CN(C)C2CC(N(C)Cc3ccccn3)CC(N(C)Cc3ccccn3)C2)n1")</f>
        <v>CNCc1cccc(CN(C)C2CC(N(C)Cc3ccccn3)CC(N(C)Cc3ccccn3)C2)n1</v>
      </c>
      <c r="C3598" s="7">
        <f>IFERROR(__xludf.DUMMYFUNCTION("""COMPUTED_VALUE"""),7.8004737)</f>
        <v>7.8004737</v>
      </c>
      <c r="D3598" s="7">
        <f>IFERROR(__xludf.DUMMYFUNCTION("""COMPUTED_VALUE"""),0.5)</f>
        <v>0.5</v>
      </c>
    </row>
    <row r="3599">
      <c r="A3599" s="10" t="s">
        <v>5038</v>
      </c>
      <c r="B3599" s="7" t="str">
        <f>IFERROR(__xludf.DUMMYFUNCTION("SPLIT(A3599,"" "")"),"Cc1cncc(CN(C)C2CCC(N(Cc3ccccn3)Cc3cccnc3F)CC2)c1")</f>
        <v>Cc1cncc(CN(C)C2CCC(N(Cc3ccccn3)Cc3cccnc3F)CC2)c1</v>
      </c>
      <c r="C3599" s="7">
        <f>IFERROR(__xludf.DUMMYFUNCTION("""COMPUTED_VALUE"""),7.800457)</f>
        <v>7.800457</v>
      </c>
      <c r="D3599" s="7">
        <f>IFERROR(__xludf.DUMMYFUNCTION("""COMPUTED_VALUE"""),0.383333333333333)</f>
        <v>0.3833333333</v>
      </c>
    </row>
    <row r="3600">
      <c r="A3600" s="10" t="s">
        <v>5039</v>
      </c>
      <c r="B3600" s="7" t="str">
        <f>IFERROR(__xludf.DUMMYFUNCTION("SPLIT(A3600,"" "")"),"COC(=O)C(=O)C(C)C1(C)COC(c2cncc(CN3CCN(C)CCN(C)CC3)c2)=N1")</f>
        <v>COC(=O)C(=O)C(C)C1(C)COC(c2cncc(CN3CCN(C)CCN(C)CC3)c2)=N1</v>
      </c>
      <c r="C3600" s="7">
        <f>IFERROR(__xludf.DUMMYFUNCTION("""COMPUTED_VALUE"""),7.8004503)</f>
        <v>7.8004503</v>
      </c>
      <c r="D3600" s="7">
        <f>IFERROR(__xludf.DUMMYFUNCTION("""COMPUTED_VALUE"""),0.28)</f>
        <v>0.28</v>
      </c>
    </row>
    <row r="3601">
      <c r="A3601" s="10" t="s">
        <v>5040</v>
      </c>
      <c r="B3601" s="7" t="str">
        <f>IFERROR(__xludf.DUMMYFUNCTION("SPLIT(A3601,"" "")"),"Cc1cc(CN(C)C2CCCC(N(C)Cc3cc(C)c(C)c(C)n3)C2)ccn1")</f>
        <v>Cc1cc(CN(C)C2CCCC(N(C)Cc3cc(C)c(C)c(C)n3)C2)ccn1</v>
      </c>
      <c r="C3601" s="7">
        <f>IFERROR(__xludf.DUMMYFUNCTION("""COMPUTED_VALUE"""),7.800443)</f>
        <v>7.800443</v>
      </c>
      <c r="D3601" s="7">
        <f>IFERROR(__xludf.DUMMYFUNCTION("""COMPUTED_VALUE"""),0.333333333333333)</f>
        <v>0.3333333333</v>
      </c>
    </row>
    <row r="3602">
      <c r="A3602" s="10" t="s">
        <v>5041</v>
      </c>
      <c r="B3602" s="7" t="str">
        <f>IFERROR(__xludf.DUMMYFUNCTION("SPLIT(A3602,"" "")"),"Cc1cnc(CN(C)CCN(C)C2CCCC(N(C)Cc3ncc(C)c(C)c3C)C2)c(C)c1")</f>
        <v>Cc1cnc(CN(C)CCN(C)C2CCCC(N(C)Cc3ncc(C)c(C)c3C)C2)c(C)c1</v>
      </c>
      <c r="C3602" s="7">
        <f>IFERROR(__xludf.DUMMYFUNCTION("""COMPUTED_VALUE"""),7.8004336)</f>
        <v>7.8004336</v>
      </c>
      <c r="D3602" s="7">
        <f>IFERROR(__xludf.DUMMYFUNCTION("""COMPUTED_VALUE"""),0.339622641509433)</f>
        <v>0.3396226415</v>
      </c>
    </row>
    <row r="3603">
      <c r="A3603" s="10" t="s">
        <v>5042</v>
      </c>
      <c r="B3603" s="7" t="str">
        <f>IFERROR(__xludf.DUMMYFUNCTION("SPLIT(A3603,"" "")"),"CCNCCN(Cc1ccccn1)Cc1ccon1")</f>
        <v>CCNCCN(Cc1ccccn1)Cc1ccon1</v>
      </c>
      <c r="C3603" s="7">
        <f>IFERROR(__xludf.DUMMYFUNCTION("""COMPUTED_VALUE"""),7.8004317)</f>
        <v>7.8004317</v>
      </c>
      <c r="D3603" s="7">
        <f>IFERROR(__xludf.DUMMYFUNCTION("""COMPUTED_VALUE"""),0.488888888888888)</f>
        <v>0.4888888889</v>
      </c>
    </row>
    <row r="3604">
      <c r="A3604" s="10" t="s">
        <v>5043</v>
      </c>
      <c r="B3604" s="7" t="str">
        <f>IFERROR(__xludf.DUMMYFUNCTION("SPLIT(A3604,"" "")"),"CN1CCN(C)CCN(Cc2cccnc2CN(C)C2CCCCC2N(C)c2ccc3ccc(CF)nc3c2)CC1")</f>
        <v>CN1CCN(C)CCN(Cc2cccnc2CN(C)C2CCCCC2N(C)c2ccc3ccc(CF)nc3c2)CC1</v>
      </c>
      <c r="C3604" s="7">
        <f>IFERROR(__xludf.DUMMYFUNCTION("""COMPUTED_VALUE"""),7.8004265)</f>
        <v>7.8004265</v>
      </c>
      <c r="D3604" s="7">
        <f>IFERROR(__xludf.DUMMYFUNCTION("""COMPUTED_VALUE"""),0.394366197183098)</f>
        <v>0.3943661972</v>
      </c>
    </row>
    <row r="3605">
      <c r="A3605" s="10" t="s">
        <v>5044</v>
      </c>
      <c r="B3605" s="7" t="str">
        <f>IFERROR(__xludf.DUMMYFUNCTION("SPLIT(A3605,"" "")"),"CC(C)N(C)CCN(C)C")</f>
        <v>CC(C)N(C)CCN(C)C</v>
      </c>
      <c r="C3605" s="7">
        <f>IFERROR(__xludf.DUMMYFUNCTION("""COMPUTED_VALUE"""),7.8004155)</f>
        <v>7.8004155</v>
      </c>
      <c r="D3605" s="7">
        <f>IFERROR(__xludf.DUMMYFUNCTION("""COMPUTED_VALUE"""),0.235294117647058)</f>
        <v>0.2352941176</v>
      </c>
    </row>
    <row r="3606">
      <c r="A3606" s="10" t="s">
        <v>5045</v>
      </c>
      <c r="B3606" s="7" t="str">
        <f>IFERROR(__xludf.DUMMYFUNCTION("SPLIT(A3606,"" "")"),"CC1C=CCC(C)C1(C)c1cccc(CN(Cc2ccccn2)Cc2cccc(-c3ccc4c(c3)OCCOCCOCCOCCOCCO4)n2)n1")</f>
        <v>CC1C=CCC(C)C1(C)c1cccc(CN(Cc2ccccn2)Cc2cccc(-c3ccc4c(c3)OCCOCCOCCOCCOCCO4)n2)n1</v>
      </c>
      <c r="C3606" s="7">
        <f>IFERROR(__xludf.DUMMYFUNCTION("""COMPUTED_VALUE"""),7.800403)</f>
        <v>7.800403</v>
      </c>
      <c r="D3606" s="7">
        <f>IFERROR(__xludf.DUMMYFUNCTION("""COMPUTED_VALUE"""),0.413333333333333)</f>
        <v>0.4133333333</v>
      </c>
    </row>
    <row r="3607">
      <c r="A3607" s="10" t="s">
        <v>5046</v>
      </c>
      <c r="B3607" s="7" t="str">
        <f>IFERROR(__xludf.DUMMYFUNCTION("SPLIT(A3607,"" "")"),"Cc1ccc(CN(C)Cc2cccnc2-c2cccc3c2OCCOCCOCCOCCOCCO3)nc1")</f>
        <v>Cc1ccc(CN(C)Cc2cccnc2-c2cccc3c2OCCOCCOCCOCCOCCO3)nc1</v>
      </c>
      <c r="C3607" s="7">
        <f>IFERROR(__xludf.DUMMYFUNCTION("""COMPUTED_VALUE"""),7.800399)</f>
        <v>7.800399</v>
      </c>
      <c r="D3607" s="7">
        <f>IFERROR(__xludf.DUMMYFUNCTION("""COMPUTED_VALUE"""),0.392857142857142)</f>
        <v>0.3928571429</v>
      </c>
    </row>
    <row r="3608">
      <c r="A3608" s="10" t="s">
        <v>5047</v>
      </c>
      <c r="B3608" s="7" t="str">
        <f>IFERROR(__xludf.DUMMYFUNCTION("SPLIT(A3608,"" "")"),"CNC1C(N(C)Cc2ccccn2)CCCC1N(Cc1nc(C)c(C)c(C)c1C)C1C=CC=CN1")</f>
        <v>CNC1C(N(C)Cc2ccccn2)CCCC1N(Cc1nc(C)c(C)c(C)c1C)C1C=CC=CN1</v>
      </c>
      <c r="C3608" s="7">
        <f>IFERROR(__xludf.DUMMYFUNCTION("""COMPUTED_VALUE"""),7.8003955)</f>
        <v>7.8003955</v>
      </c>
      <c r="D3608" s="7">
        <f>IFERROR(__xludf.DUMMYFUNCTION("""COMPUTED_VALUE"""),0.43076923076923)</f>
        <v>0.4307692308</v>
      </c>
    </row>
    <row r="3609">
      <c r="A3609" s="10" t="s">
        <v>5048</v>
      </c>
      <c r="B3609" s="7" t="str">
        <f>IFERROR(__xludf.DUMMYFUNCTION("SPLIT(A3609,"" "")"),"Cc1cc(C)c(C)c(CN(C)C2CCCC(N(C)C3=CCC=CN3)C2)n1")</f>
        <v>Cc1cc(C)c(C)c(CN(C)C2CCCC(N(C)C3=CCC=CN3)C2)n1</v>
      </c>
      <c r="C3609" s="7">
        <f>IFERROR(__xludf.DUMMYFUNCTION("""COMPUTED_VALUE"""),7.8003798)</f>
        <v>7.8003798</v>
      </c>
      <c r="D3609" s="7">
        <f>IFERROR(__xludf.DUMMYFUNCTION("""COMPUTED_VALUE"""),0.25)</f>
        <v>0.25</v>
      </c>
    </row>
    <row r="3610">
      <c r="A3610" s="10" t="s">
        <v>5049</v>
      </c>
      <c r="B3610" s="7" t="str">
        <f>IFERROR(__xludf.DUMMYFUNCTION("SPLIT(A3610,"" "")"),"CC(C)N(Cc1ccccn1)Cc1ncccc1N(C)C1CCCCC1N(Cc1ccccn1)Cc1cccc(-c2cccc3c2OCCOCCOCCOCCOCCO3)n1")</f>
        <v>CC(C)N(Cc1ccccn1)Cc1ncccc1N(C)C1CCCCC1N(Cc1ccccn1)Cc1cccc(-c2cccc3c2OCCOCCOCCOCCOCCO3)n1</v>
      </c>
      <c r="C3610" s="7">
        <f>IFERROR(__xludf.DUMMYFUNCTION("""COMPUTED_VALUE"""),7.8003793)</f>
        <v>7.8003793</v>
      </c>
      <c r="D3610" s="7">
        <f>IFERROR(__xludf.DUMMYFUNCTION("""COMPUTED_VALUE"""),0.346666666666666)</f>
        <v>0.3466666667</v>
      </c>
    </row>
    <row r="3611">
      <c r="A3611" s="10" t="s">
        <v>5050</v>
      </c>
      <c r="B3611" s="7" t="str">
        <f>IFERROR(__xludf.DUMMYFUNCTION("SPLIT(A3611,"" "")"),"Cc1cccc(CN(C)C2CCC(N(Cc3ccc(C4CCC4(C)C)nc3)Cc3ccccn3)CC2)n1")</f>
        <v>Cc1cccc(CN(C)C2CCC(N(Cc3ccc(C4CCC4(C)C)nc3)Cc3ccccn3)CC2)n1</v>
      </c>
      <c r="C3611" s="7">
        <f>IFERROR(__xludf.DUMMYFUNCTION("""COMPUTED_VALUE"""),7.800379)</f>
        <v>7.800379</v>
      </c>
      <c r="D3611" s="7">
        <f>IFERROR(__xludf.DUMMYFUNCTION("""COMPUTED_VALUE"""),0.384615384615384)</f>
        <v>0.3846153846</v>
      </c>
    </row>
    <row r="3612">
      <c r="A3612" s="10" t="s">
        <v>5051</v>
      </c>
      <c r="B3612" s="7" t="str">
        <f>IFERROR(__xludf.DUMMYFUNCTION("SPLIT(A3612,"" "")"),"CCNCc1cc(CN(Cc2ccccn2)Cc2cccc(-c3ccc4c(c3)OCCOCCOCCOCCOCCO4)n2)ccn1")</f>
        <v>CCNCc1cc(CN(Cc2ccccn2)Cc2cccc(-c3ccc4c(c3)OCCOCCOCCOCCOCCO4)n2)ccn1</v>
      </c>
      <c r="C3612" s="7">
        <f>IFERROR(__xludf.DUMMYFUNCTION("""COMPUTED_VALUE"""),7.8003745)</f>
        <v>7.8003745</v>
      </c>
      <c r="D3612" s="7">
        <f>IFERROR(__xludf.DUMMYFUNCTION("""COMPUTED_VALUE"""),0.44927536231884)</f>
        <v>0.4492753623</v>
      </c>
    </row>
    <row r="3613">
      <c r="A3613" s="10" t="s">
        <v>5052</v>
      </c>
      <c r="B3613" s="7" t="str">
        <f>IFERROR(__xludf.DUMMYFUNCTION("SPLIT(A3613,"" "")"),"Cc1cnccc1CN(C)CCN(Cc1ccccn1)C(C)(C)c1cnccc1-c1cccc2c1OCCOCCOCCOCCOCCO2")</f>
        <v>Cc1cnccc1CN(C)CCN(Cc1ccccn1)C(C)(C)c1cnccc1-c1cccc2c1OCCOCCOCCOCCOCCO2</v>
      </c>
      <c r="C3613" s="7">
        <f>IFERROR(__xludf.DUMMYFUNCTION("""COMPUTED_VALUE"""),7.8003716)</f>
        <v>7.8003716</v>
      </c>
      <c r="D3613" s="7">
        <f>IFERROR(__xludf.DUMMYFUNCTION("""COMPUTED_VALUE"""),0.28)</f>
        <v>0.28</v>
      </c>
    </row>
    <row r="3614">
      <c r="A3614" s="10" t="s">
        <v>5053</v>
      </c>
      <c r="B3614" s="7" t="str">
        <f>IFERROR(__xludf.DUMMYFUNCTION("SPLIT(A3614,"" "")"),"COC(=O)C(=O)C(C)C1(C)COC(c2cnccc2CN2CCN(C)CCN(C)CC2)=N1")</f>
        <v>COC(=O)C(=O)C(C)C1(C)COC(c2cnccc2CN2CCN(C)CCN(C)CC2)=N1</v>
      </c>
      <c r="C3614" s="7">
        <f>IFERROR(__xludf.DUMMYFUNCTION("""COMPUTED_VALUE"""),7.8003654)</f>
        <v>7.8003654</v>
      </c>
      <c r="D3614" s="7">
        <f>IFERROR(__xludf.DUMMYFUNCTION("""COMPUTED_VALUE"""),0.297297297297297)</f>
        <v>0.2972972973</v>
      </c>
    </row>
    <row r="3615">
      <c r="A3615" s="10" t="s">
        <v>5054</v>
      </c>
      <c r="B3615" s="7" t="str">
        <f>IFERROR(__xludf.DUMMYFUNCTION("SPLIT(A3615,"" "")"),"Cc1cc(CN2CCN(C)CCN(Cc3cccc(C(C)(C)C)n3)CC2)nc(C2CC(C)(C)C2)c1C")</f>
        <v>Cc1cc(CN2CCN(C)CCN(Cc3cccc(C(C)(C)C)n3)CC2)nc(C2CC(C)(C)C2)c1C</v>
      </c>
      <c r="C3615" s="7">
        <f>IFERROR(__xludf.DUMMYFUNCTION("""COMPUTED_VALUE"""),7.8003583)</f>
        <v>7.8003583</v>
      </c>
      <c r="D3615" s="7">
        <f>IFERROR(__xludf.DUMMYFUNCTION("""COMPUTED_VALUE"""),0.446428571428571)</f>
        <v>0.4464285714</v>
      </c>
    </row>
    <row r="3616">
      <c r="A3616" s="10" t="s">
        <v>5055</v>
      </c>
      <c r="B3616" s="7" t="str">
        <f>IFERROR(__xludf.DUMMYFUNCTION("SPLIT(A3616,"" "")"),"Cc1cncc(CN(C)CC2=CC(N(C)Cc3cccc(-c4ccc5c(c4)OCCOCCOCCOCCOCCO5)n3)C=CN2)c1")</f>
        <v>Cc1cncc(CN(C)CC2=CC(N(C)Cc3cccc(-c4ccc5c(c4)OCCOCCOCCOCCOCCO5)n3)C=CN2)c1</v>
      </c>
      <c r="C3616" s="7">
        <f>IFERROR(__xludf.DUMMYFUNCTION("""COMPUTED_VALUE"""),7.8003564)</f>
        <v>7.8003564</v>
      </c>
      <c r="D3616" s="7">
        <f>IFERROR(__xludf.DUMMYFUNCTION("""COMPUTED_VALUE"""),0.28735632183908)</f>
        <v>0.2873563218</v>
      </c>
    </row>
    <row r="3617">
      <c r="A3617" s="10" t="s">
        <v>5056</v>
      </c>
      <c r="B3617" s="7" t="str">
        <f>IFERROR(__xludf.DUMMYFUNCTION("SPLIT(A3617,"" "")"),"CC1(C)CC(c2ccc(CN(Cc3cccc(-c4ccc5c(c4)OCCOCCOCCOCCOCCO5)n3)Cc3cccc(-c4ccc5c(c4)OCCOCCOCCOCCOCCO5)n3)c(CN(Cc3cccc(-c4ccc5c(c4)OCCOCCOCCOCCOCCO5)n3)Cc3cccc(-c4ccc5c(c4)OCCOCCOCCOCCOCCO5)n3)n2)C1")</f>
        <v>CC1(C)CC(c2ccc(CN(Cc3cccc(-c4ccc5c(c4)OCCOCCOCCOCCOCCO5)n3)Cc3cccc(-c4ccc5c(c4)OCCOCCOCCOCCOCCO5)n3)c(CN(Cc3cccc(-c4ccc5c(c4)OCCOCCOCCOCCOCCO5)n3)Cc3cccc(-c4ccc5c(c4)OCCOCCOCCOCCOCCO5)n3)n2)C1</v>
      </c>
      <c r="C3617" s="7">
        <f>IFERROR(__xludf.DUMMYFUNCTION("""COMPUTED_VALUE"""),7.8003526)</f>
        <v>7.8003526</v>
      </c>
      <c r="D3617" s="7">
        <f>IFERROR(__xludf.DUMMYFUNCTION("""COMPUTED_VALUE"""),0.324675324675324)</f>
        <v>0.3246753247</v>
      </c>
    </row>
    <row r="3618">
      <c r="A3618" s="10" t="s">
        <v>5057</v>
      </c>
      <c r="B3618" s="7" t="str">
        <f>IFERROR(__xludf.DUMMYFUNCTION("SPLIT(A3618,"" "")"),"CN1CCN(C)CCN(Cc2ccc(CN(C)C3CCCCC3N(C)c3cccc4ncccc34)nc2)CC1")</f>
        <v>CN1CCN(C)CCN(Cc2ccc(CN(C)C3CCCCC3N(C)c3cccc4ncccc34)nc2)CC1</v>
      </c>
      <c r="C3618" s="7">
        <f>IFERROR(__xludf.DUMMYFUNCTION("""COMPUTED_VALUE"""),7.800349)</f>
        <v>7.800349</v>
      </c>
      <c r="D3618" s="7">
        <f>IFERROR(__xludf.DUMMYFUNCTION("""COMPUTED_VALUE"""),0.412698412698412)</f>
        <v>0.4126984127</v>
      </c>
    </row>
    <row r="3619">
      <c r="A3619" s="10" t="s">
        <v>5058</v>
      </c>
      <c r="B3619" s="7" t="str">
        <f>IFERROR(__xludf.DUMMYFUNCTION("SPLIT(A3619,"" "")"),"CCNc1ncccc1C(C)(C(C)C)C(C)C")</f>
        <v>CCNc1ncccc1C(C)(C(C)C)C(C)C</v>
      </c>
      <c r="C3619" s="7">
        <f>IFERROR(__xludf.DUMMYFUNCTION("""COMPUTED_VALUE"""),7.800338)</f>
        <v>7.800338</v>
      </c>
      <c r="D3619" s="7">
        <f>IFERROR(__xludf.DUMMYFUNCTION("""COMPUTED_VALUE"""),0.333333333333333)</f>
        <v>0.3333333333</v>
      </c>
    </row>
    <row r="3620">
      <c r="A3620" s="10" t="s">
        <v>5059</v>
      </c>
      <c r="B3620" s="7" t="str">
        <f>IFERROR(__xludf.DUMMYFUNCTION("SPLIT(A3620,"" "")"),"C1=CCNC(NC2C=CC=CN2)=C1")</f>
        <v>C1=CCNC(NC2C=CC=CN2)=C1</v>
      </c>
      <c r="C3620" s="7">
        <f>IFERROR(__xludf.DUMMYFUNCTION("""COMPUTED_VALUE"""),7.8003345)</f>
        <v>7.8003345</v>
      </c>
      <c r="D3620" s="7">
        <f>IFERROR(__xludf.DUMMYFUNCTION("""COMPUTED_VALUE"""),0.226415094339622)</f>
        <v>0.2264150943</v>
      </c>
    </row>
    <row r="3621">
      <c r="A3621" s="10" t="s">
        <v>5060</v>
      </c>
      <c r="B3621" s="7" t="str">
        <f>IFERROR(__xludf.DUMMYFUNCTION("SPLIT(A3621,"" "")"),"Cc1ccc(CN(Cc2ccc(-c3cccc4c3OCCOCCOCCOCCOCCO4)cn2)C2CCCC(N(Cc3ccc(F)nc3)Cc3ccccn3)C2)nc1")</f>
        <v>Cc1ccc(CN(Cc2ccc(-c3cccc4c3OCCOCCOCCOCCOCCO4)cn2)C2CCCC(N(Cc3ccc(F)nc3)Cc3ccccn3)C2)nc1</v>
      </c>
      <c r="C3621" s="7">
        <f>IFERROR(__xludf.DUMMYFUNCTION("""COMPUTED_VALUE"""),7.800334)</f>
        <v>7.800334</v>
      </c>
      <c r="D3621" s="7">
        <f>IFERROR(__xludf.DUMMYFUNCTION("""COMPUTED_VALUE"""),0.295454545454545)</f>
        <v>0.2954545455</v>
      </c>
    </row>
    <row r="3622">
      <c r="A3622" s="10" t="s">
        <v>5061</v>
      </c>
      <c r="B3622" s="7" t="str">
        <f>IFERROR(__xludf.DUMMYFUNCTION("SPLIT(A3622,"" "")"),"Fc1ccc(N(Cc2ccccn2)C2CCCCC2N(Cc2ccccn2)Cc2cccc(-c3ccc4c(c3)OCCOCCOCCOCCOCCO4)n2)cc1")</f>
        <v>Fc1ccc(N(Cc2ccccn2)C2CCCCC2N(Cc2ccccn2)Cc2cccc(-c3ccc4c(c3)OCCOCCOCCOCCOCCO4)n2)cc1</v>
      </c>
      <c r="C3622" s="7">
        <f>IFERROR(__xludf.DUMMYFUNCTION("""COMPUTED_VALUE"""),7.800326)</f>
        <v>7.800326</v>
      </c>
      <c r="D3622" s="7">
        <f>IFERROR(__xludf.DUMMYFUNCTION("""COMPUTED_VALUE"""),0.35064935064935)</f>
        <v>0.3506493506</v>
      </c>
    </row>
    <row r="3623">
      <c r="A3623" s="10" t="s">
        <v>5062</v>
      </c>
      <c r="B3623" s="7" t="str">
        <f>IFERROR(__xludf.DUMMYFUNCTION("SPLIT(A3623,"" "")"),"Cc1cnc(C)c(CN(C)C2CCCC(N(CC3=CCC=CN3)Cc3ccccn3)C2)c1")</f>
        <v>Cc1cnc(C)c(CN(C)C2CCCC(N(CC3=CCC=CN3)Cc3ccccn3)C2)c1</v>
      </c>
      <c r="C3623" s="7">
        <f>IFERROR(__xludf.DUMMYFUNCTION("""COMPUTED_VALUE"""),7.800311)</f>
        <v>7.800311</v>
      </c>
      <c r="D3623" s="7">
        <f>IFERROR(__xludf.DUMMYFUNCTION("""COMPUTED_VALUE"""),0.476923076923076)</f>
        <v>0.4769230769</v>
      </c>
    </row>
    <row r="3624">
      <c r="A3624" s="10" t="s">
        <v>5063</v>
      </c>
      <c r="B3624" s="7" t="str">
        <f>IFERROR(__xludf.DUMMYFUNCTION("SPLIT(A3624,"" "")"),"Cc1cncc(CN(C)C2CCC(N(Cc3cc(C)ccn3)Cc3cc(CN(C)Cc4cccc(-c5ccc6c(c5)OCCOCCOCCOCCOCCO6)n4)ccn3)CC2)c1")</f>
        <v>Cc1cncc(CN(C)C2CCC(N(Cc3cc(C)ccn3)Cc3cc(CN(C)Cc4cccc(-c5ccc6c(c5)OCCOCCOCCOCCOCCO6)n4)ccn3)CC2)c1</v>
      </c>
      <c r="C3624" s="7">
        <f>IFERROR(__xludf.DUMMYFUNCTION("""COMPUTED_VALUE"""),7.8003078)</f>
        <v>7.8003078</v>
      </c>
      <c r="D3624" s="7">
        <f>IFERROR(__xludf.DUMMYFUNCTION("""COMPUTED_VALUE"""),0.296703296703296)</f>
        <v>0.2967032967</v>
      </c>
    </row>
    <row r="3625">
      <c r="A3625" s="10" t="s">
        <v>5064</v>
      </c>
      <c r="B3625" s="7" t="str">
        <f>IFERROR(__xludf.DUMMYFUNCTION("SPLIT(A3625,"" "")"),"Cc1ccc(-c2ccc3c(c2)OC(NCc2ccccn2)COCCOCCOCCOCCO3)nc1")</f>
        <v>Cc1ccc(-c2ccc3c(c2)OC(NCc2ccccn2)COCCOCCOCCOCCO3)nc1</v>
      </c>
      <c r="C3625" s="7">
        <f>IFERROR(__xludf.DUMMYFUNCTION("""COMPUTED_VALUE"""),7.8003073)</f>
        <v>7.8003073</v>
      </c>
      <c r="D3625" s="7">
        <f>IFERROR(__xludf.DUMMYFUNCTION("""COMPUTED_VALUE"""),0.333333333333333)</f>
        <v>0.3333333333</v>
      </c>
    </row>
    <row r="3626">
      <c r="A3626" s="10" t="s">
        <v>5065</v>
      </c>
      <c r="B3626" s="7" t="str">
        <f>IFERROR(__xludf.DUMMYFUNCTION("SPLIT(A3626,"" "")"),"CC1=NCC(C(C)(C)N(C)Cc2ccccn2)O1")</f>
        <v>CC1=NCC(C(C)(C)N(C)Cc2ccccn2)O1</v>
      </c>
      <c r="C3626" s="7">
        <f>IFERROR(__xludf.DUMMYFUNCTION("""COMPUTED_VALUE"""),7.800285)</f>
        <v>7.800285</v>
      </c>
      <c r="D3626" s="7">
        <f>IFERROR(__xludf.DUMMYFUNCTION("""COMPUTED_VALUE"""),0.4375)</f>
        <v>0.4375</v>
      </c>
    </row>
    <row r="3627">
      <c r="A3627" s="10" t="s">
        <v>5066</v>
      </c>
      <c r="B3627" s="7" t="str">
        <f>IFERROR(__xludf.DUMMYFUNCTION("SPLIT(A3627,"" "")"),"CNCCN(C)Cc1cc(C)ccn1")</f>
        <v>CNCCN(C)Cc1cc(C)ccn1</v>
      </c>
      <c r="C3627" s="7">
        <f>IFERROR(__xludf.DUMMYFUNCTION("""COMPUTED_VALUE"""),7.8002768)</f>
        <v>7.8002768</v>
      </c>
      <c r="D3627" s="7">
        <f>IFERROR(__xludf.DUMMYFUNCTION("""COMPUTED_VALUE"""),0.425)</f>
        <v>0.425</v>
      </c>
    </row>
    <row r="3628">
      <c r="A3628" s="10" t="s">
        <v>5067</v>
      </c>
      <c r="B3628" s="7" t="str">
        <f>IFERROR(__xludf.DUMMYFUNCTION("SPLIT(A3628,"" "")"),"CN(Cc1ccc2ncccc2c1)C1CCCCC1N(C)Cc1cccc(-c2ccc3c(c2)OCCOCCOCCOCCOCCO3)n1")</f>
        <v>CN(Cc1ccc2ncccc2c1)C1CCCCC1N(C)Cc1cccc(-c2ccc3c(c2)OCCOCCOCCOCCOCCO3)n1</v>
      </c>
      <c r="C3628" s="7">
        <f>IFERROR(__xludf.DUMMYFUNCTION("""COMPUTED_VALUE"""),7.8002715)</f>
        <v>7.8002715</v>
      </c>
      <c r="D3628" s="7">
        <f>IFERROR(__xludf.DUMMYFUNCTION("""COMPUTED_VALUE"""),0.393939393939393)</f>
        <v>0.3939393939</v>
      </c>
    </row>
    <row r="3629">
      <c r="A3629" s="10" t="s">
        <v>5068</v>
      </c>
      <c r="B3629" s="7" t="str">
        <f>IFERROR(__xludf.DUMMYFUNCTION("SPLIT(A3629,"" "")"),"CN(CCN(Cc1ccccn1)c1cccc2c1OCCOCCOCCOCCOCCO2)c1cc(Cl)cc(Cl)c1")</f>
        <v>CN(CCN(Cc1ccccn1)c1cccc2c1OCCOCCOCCOCCOCCO2)c1cc(Cl)cc(Cl)c1</v>
      </c>
      <c r="C3629" s="7">
        <f>IFERROR(__xludf.DUMMYFUNCTION("""COMPUTED_VALUE"""),7.800256)</f>
        <v>7.800256</v>
      </c>
      <c r="D3629" s="7">
        <f>IFERROR(__xludf.DUMMYFUNCTION("""COMPUTED_VALUE"""),0.4)</f>
        <v>0.4</v>
      </c>
    </row>
    <row r="3630">
      <c r="A3630" s="10" t="s">
        <v>5069</v>
      </c>
      <c r="B3630" s="7" t="str">
        <f>IFERROR(__xludf.DUMMYFUNCTION("SPLIT(A3630,"" "")"),"CC1=CCC(C)C(N(C)Cc2ncccc2C)C1(C)C")</f>
        <v>CC1=CCC(C)C(N(C)Cc2ncccc2C)C1(C)C</v>
      </c>
      <c r="C3630" s="7">
        <f>IFERROR(__xludf.DUMMYFUNCTION("""COMPUTED_VALUE"""),7.8002534)</f>
        <v>7.8002534</v>
      </c>
      <c r="D3630" s="7">
        <f>IFERROR(__xludf.DUMMYFUNCTION("""COMPUTED_VALUE"""),0.29090909090909)</f>
        <v>0.2909090909</v>
      </c>
    </row>
    <row r="3631">
      <c r="A3631" s="10" t="s">
        <v>5070</v>
      </c>
      <c r="B3631" s="7" t="str">
        <f>IFERROR(__xludf.DUMMYFUNCTION("SPLIT(A3631,"" "")"),"CCN(CCN(C)CC(C)(C)C)C(C)C")</f>
        <v>CCN(CCN(C)CC(C)(C)C)C(C)C</v>
      </c>
      <c r="C3631" s="7">
        <f>IFERROR(__xludf.DUMMYFUNCTION("""COMPUTED_VALUE"""),7.8002367)</f>
        <v>7.8002367</v>
      </c>
      <c r="D3631" s="7">
        <f>IFERROR(__xludf.DUMMYFUNCTION("""COMPUTED_VALUE"""),0.275)</f>
        <v>0.275</v>
      </c>
    </row>
    <row r="3632">
      <c r="A3632" s="10" t="s">
        <v>5071</v>
      </c>
      <c r="B3632" s="7" t="str">
        <f>IFERROR(__xludf.DUMMYFUNCTION("SPLIT(A3632,"" "")"),"CC1C=C(N(C)CC2=CCC=CN2)CC(C)C1C")</f>
        <v>CC1C=C(N(C)CC2=CCC=CN2)CC(C)C1C</v>
      </c>
      <c r="C3632" s="7">
        <f>IFERROR(__xludf.DUMMYFUNCTION("""COMPUTED_VALUE"""),7.8002286)</f>
        <v>7.8002286</v>
      </c>
      <c r="D3632" s="7">
        <f>IFERROR(__xludf.DUMMYFUNCTION("""COMPUTED_VALUE"""),0.351851851851851)</f>
        <v>0.3518518519</v>
      </c>
    </row>
    <row r="3633">
      <c r="A3633" s="10" t="s">
        <v>5072</v>
      </c>
      <c r="B3633" s="7" t="str">
        <f>IFERROR(__xludf.DUMMYFUNCTION("SPLIT(A3633,"" "")"),"Cc1cccnc1CN(C)C1CCCC(N(C)Cc2cc(C)c(C)c(C)n2)C1")</f>
        <v>Cc1cccnc1CN(C)C1CCCC(N(C)Cc2cc(C)c(C)c(C)n2)C1</v>
      </c>
      <c r="C3633" s="7">
        <f>IFERROR(__xludf.DUMMYFUNCTION("""COMPUTED_VALUE"""),7.800218)</f>
        <v>7.800218</v>
      </c>
      <c r="D3633" s="7">
        <f>IFERROR(__xludf.DUMMYFUNCTION("""COMPUTED_VALUE"""),0.363636363636363)</f>
        <v>0.3636363636</v>
      </c>
    </row>
    <row r="3634">
      <c r="A3634" s="10" t="s">
        <v>5073</v>
      </c>
      <c r="B3634" s="7" t="str">
        <f>IFERROR(__xludf.DUMMYFUNCTION("SPLIT(A3634,"" "")"),"CNCCN(C)Cc1ncccc1C")</f>
        <v>CNCCN(C)Cc1ncccc1C</v>
      </c>
      <c r="C3634" s="7">
        <f>IFERROR(__xludf.DUMMYFUNCTION("""COMPUTED_VALUE"""),7.8002086)</f>
        <v>7.8002086</v>
      </c>
      <c r="D3634" s="7">
        <f>IFERROR(__xludf.DUMMYFUNCTION("""COMPUTED_VALUE"""),0.386363636363636)</f>
        <v>0.3863636364</v>
      </c>
    </row>
    <row r="3635">
      <c r="A3635" s="10" t="s">
        <v>5074</v>
      </c>
      <c r="B3635" s="7" t="str">
        <f>IFERROR(__xludf.DUMMYFUNCTION("SPLIT(A3635,"" "")"),"Cc1ccc(CN(Cc2ccccn2)C2CCCC(N(C)Cc3ccccn3)C2)nc1C1CCC1(C)C")</f>
        <v>Cc1ccc(CN(Cc2ccccn2)C2CCCC(N(C)Cc3ccccn3)C2)nc1C1CCC1(C)C</v>
      </c>
      <c r="C3635" s="7">
        <f>IFERROR(__xludf.DUMMYFUNCTION("""COMPUTED_VALUE"""),7.800195)</f>
        <v>7.800195</v>
      </c>
      <c r="D3635" s="7">
        <f>IFERROR(__xludf.DUMMYFUNCTION("""COMPUTED_VALUE"""),0.423728813559322)</f>
        <v>0.4237288136</v>
      </c>
    </row>
    <row r="3636">
      <c r="A3636" s="10" t="s">
        <v>5075</v>
      </c>
      <c r="B3636" s="7" t="str">
        <f>IFERROR(__xludf.DUMMYFUNCTION("SPLIT(A3636,"" "")"),"Cc1ccnc(CN(Cc2cccnc2)C2CCCCC2N(C)Cc2ccon2)c1")</f>
        <v>Cc1ccnc(CN(Cc2cccnc2)C2CCCCC2N(C)Cc2ccon2)c1</v>
      </c>
      <c r="C3636" s="7">
        <f>IFERROR(__xludf.DUMMYFUNCTION("""COMPUTED_VALUE"""),7.800192)</f>
        <v>7.800192</v>
      </c>
      <c r="D3636" s="7">
        <f>IFERROR(__xludf.DUMMYFUNCTION("""COMPUTED_VALUE"""),0.423728813559322)</f>
        <v>0.4237288136</v>
      </c>
    </row>
    <row r="3637">
      <c r="A3637" s="10" t="s">
        <v>5076</v>
      </c>
      <c r="B3637" s="7" t="str">
        <f>IFERROR(__xludf.DUMMYFUNCTION("SPLIT(A3637,"" "")"),"Cc1cccnc1CN(C)C1CC(N(C)Cc2ccccn2)CC(N(CF)Cc2ccccn2)C1")</f>
        <v>Cc1cccnc1CN(C)C1CC(N(C)Cc2ccccn2)CC(N(CF)Cc2ccccn2)C1</v>
      </c>
      <c r="C3637" s="7">
        <f>IFERROR(__xludf.DUMMYFUNCTION("""COMPUTED_VALUE"""),7.800184)</f>
        <v>7.800184</v>
      </c>
      <c r="D3637" s="7">
        <f>IFERROR(__xludf.DUMMYFUNCTION("""COMPUTED_VALUE"""),0.442307692307692)</f>
        <v>0.4423076923</v>
      </c>
    </row>
    <row r="3638">
      <c r="A3638" s="10" t="s">
        <v>5077</v>
      </c>
      <c r="B3638" s="7" t="str">
        <f>IFERROR(__xludf.DUMMYFUNCTION("SPLIT(A3638,"" "")"),"CN1CCN(C)CCN(Cc2cnc(Cl)cc2N(C)C)CC1")</f>
        <v>CN1CCN(C)CCN(Cc2cnc(Cl)cc2N(C)C)CC1</v>
      </c>
      <c r="C3638" s="7">
        <f>IFERROR(__xludf.DUMMYFUNCTION("""COMPUTED_VALUE"""),7.800172)</f>
        <v>7.800172</v>
      </c>
      <c r="D3638" s="7">
        <f>IFERROR(__xludf.DUMMYFUNCTION("""COMPUTED_VALUE"""),0.413043478260869)</f>
        <v>0.4130434783</v>
      </c>
    </row>
    <row r="3639">
      <c r="A3639" s="10" t="s">
        <v>5078</v>
      </c>
      <c r="B3639" s="7" t="str">
        <f>IFERROR(__xludf.DUMMYFUNCTION("SPLIT(A3639,"" "")"),"COC(C)c1cccc(CN(Cc2ccccn2)C2CCCCC2N(C)Cc2ncccc2C)n1")</f>
        <v>COC(C)c1cccc(CN(Cc2ccccn2)C2CCCCC2N(C)Cc2ncccc2C)n1</v>
      </c>
      <c r="C3639" s="7">
        <f>IFERROR(__xludf.DUMMYFUNCTION("""COMPUTED_VALUE"""),7.8001604)</f>
        <v>7.8001604</v>
      </c>
      <c r="D3639" s="7">
        <f>IFERROR(__xludf.DUMMYFUNCTION("""COMPUTED_VALUE"""),0.5)</f>
        <v>0.5</v>
      </c>
    </row>
    <row r="3640">
      <c r="A3640" s="10" t="s">
        <v>5079</v>
      </c>
      <c r="B3640" s="7" t="str">
        <f>IFERROR(__xludf.DUMMYFUNCTION("SPLIT(A3640,"" "")"),"Cc1cc(CN(C)Cc2cccc(-c3ccc4c(c3)OCCOCCOCCOCCOCCO4)n2)ccn1")</f>
        <v>Cc1cc(CN(C)Cc2cccc(-c3ccc4c(c3)OCCOCCOCCOCCOCCO4)n2)ccn1</v>
      </c>
      <c r="C3640" s="7">
        <f>IFERROR(__xludf.DUMMYFUNCTION("""COMPUTED_VALUE"""),7.8001523)</f>
        <v>7.8001523</v>
      </c>
      <c r="D3640" s="7">
        <f>IFERROR(__xludf.DUMMYFUNCTION("""COMPUTED_VALUE"""),0.383333333333333)</f>
        <v>0.3833333333</v>
      </c>
    </row>
    <row r="3641">
      <c r="A3641" s="10" t="s">
        <v>5080</v>
      </c>
      <c r="B3641" s="7" t="str">
        <f>IFERROR(__xludf.DUMMYFUNCTION("SPLIT(A3641,"" "")"),"CN(Cc1ccccn1)C1=CNC(CN(Cc2ccccn2)c2cccc3c2OCCOCCOCCOCCOCCO3)=CC1")</f>
        <v>CN(Cc1ccccn1)C1=CNC(CN(Cc2ccccn2)c2cccc3c2OCCOCCOCCOCCOCCO3)=CC1</v>
      </c>
      <c r="C3641" s="7">
        <f>IFERROR(__xludf.DUMMYFUNCTION("""COMPUTED_VALUE"""),7.800152)</f>
        <v>7.800152</v>
      </c>
      <c r="D3641" s="7">
        <f>IFERROR(__xludf.DUMMYFUNCTION("""COMPUTED_VALUE"""),0.338461538461538)</f>
        <v>0.3384615385</v>
      </c>
    </row>
    <row r="3642">
      <c r="A3642" s="10" t="s">
        <v>5081</v>
      </c>
      <c r="B3642" s="7" t="str">
        <f>IFERROR(__xludf.DUMMYFUNCTION("SPLIT(A3642,"" "")"),"Fc1cccc(CN(CC2=CCC=CN2)Cc2cccc(-c3ccc4c(c3)OCCOCCOCCOCCOCCO4)n2)n1")</f>
        <v>Fc1cccc(CN(CC2=CCC=CN2)Cc2cccc(-c3ccc4c(c3)OCCOCCOCCOCCOCCO4)n2)n1</v>
      </c>
      <c r="C3642" s="7">
        <f>IFERROR(__xludf.DUMMYFUNCTION("""COMPUTED_VALUE"""),7.8001485)</f>
        <v>7.8001485</v>
      </c>
      <c r="D3642" s="7">
        <f>IFERROR(__xludf.DUMMYFUNCTION("""COMPUTED_VALUE"""),0.43076923076923)</f>
        <v>0.4307692308</v>
      </c>
    </row>
    <row r="3643">
      <c r="A3643" s="10" t="s">
        <v>5082</v>
      </c>
      <c r="B3643" s="7" t="str">
        <f>IFERROR(__xludf.DUMMYFUNCTION("SPLIT(A3643,"" "")"),"CN(CCN)Cc1ncccc1N")</f>
        <v>CN(CCN)Cc1ncccc1N</v>
      </c>
      <c r="C3643" s="7">
        <f>IFERROR(__xludf.DUMMYFUNCTION("""COMPUTED_VALUE"""),7.8001466)</f>
        <v>7.8001466</v>
      </c>
      <c r="D3643" s="7">
        <f>IFERROR(__xludf.DUMMYFUNCTION("""COMPUTED_VALUE"""),0.404761904761904)</f>
        <v>0.4047619048</v>
      </c>
    </row>
    <row r="3644">
      <c r="A3644" s="10" t="s">
        <v>5083</v>
      </c>
      <c r="B3644" s="7" t="str">
        <f>IFERROR(__xludf.DUMMYFUNCTION("SPLIT(A3644,"" "")"),"Cc1cc(C)c(CN(C)C2=CNC(CN3CCN(C)CCN(C)CC3)=CC2)nc1C")</f>
        <v>Cc1cc(C)c(CN(C)C2=CNC(CN3CCN(C)CCN(C)CC3)=CC2)nc1C</v>
      </c>
      <c r="C3644" s="7">
        <f>IFERROR(__xludf.DUMMYFUNCTION("""COMPUTED_VALUE"""),7.8001227)</f>
        <v>7.8001227</v>
      </c>
      <c r="D3644" s="7">
        <f>IFERROR(__xludf.DUMMYFUNCTION("""COMPUTED_VALUE"""),0.35)</f>
        <v>0.35</v>
      </c>
    </row>
    <row r="3645">
      <c r="A3645" s="10" t="s">
        <v>5084</v>
      </c>
      <c r="B3645" s="7" t="str">
        <f>IFERROR(__xludf.DUMMYFUNCTION("SPLIT(A3645,"" "")"),"CN(Cc1ccccn1)C(C)(C)N(CF)Cc1ccccn1")</f>
        <v>CN(Cc1ccccn1)C(C)(C)N(CF)Cc1ccccn1</v>
      </c>
      <c r="C3645" s="7">
        <f>IFERROR(__xludf.DUMMYFUNCTION("""COMPUTED_VALUE"""),7.8001204)</f>
        <v>7.8001204</v>
      </c>
      <c r="D3645" s="7">
        <f>IFERROR(__xludf.DUMMYFUNCTION("""COMPUTED_VALUE"""),0.476190476190476)</f>
        <v>0.4761904762</v>
      </c>
    </row>
    <row r="3646">
      <c r="A3646" s="10" t="s">
        <v>5085</v>
      </c>
      <c r="B3646" s="7" t="str">
        <f>IFERROR(__xludf.DUMMYFUNCTION("SPLIT(A3646,"" "")"),"Cc1nc(CN(C)C2CCCCC2N(Cc2ccccn2)Cc2cccc(CNCF)n2)c(C)c(C)c1C")</f>
        <v>Cc1nc(CN(C)C2CCCCC2N(Cc2ccccn2)Cc2cccc(CNCF)n2)c(C)c(C)c1C</v>
      </c>
      <c r="C3646" s="7">
        <f>IFERROR(__xludf.DUMMYFUNCTION("""COMPUTED_VALUE"""),7.8001113)</f>
        <v>7.8001113</v>
      </c>
      <c r="D3646" s="7">
        <f>IFERROR(__xludf.DUMMYFUNCTION("""COMPUTED_VALUE"""),0.491525423728813)</f>
        <v>0.4915254237</v>
      </c>
    </row>
    <row r="3647">
      <c r="A3647" s="10" t="s">
        <v>5086</v>
      </c>
      <c r="B3647" s="7" t="str">
        <f>IFERROR(__xludf.DUMMYFUNCTION("SPLIT(A3647,"" "")"),"Cc1nc(CN(C)C2CCCC(N(C)C)C2)c(C)c(C)c1C")</f>
        <v>Cc1nc(CN(C)C2CCCC(N(C)C)C2)c(C)c(C)c1C</v>
      </c>
      <c r="C3647" s="7">
        <f>IFERROR(__xludf.DUMMYFUNCTION("""COMPUTED_VALUE"""),7.800108)</f>
        <v>7.800108</v>
      </c>
      <c r="D3647" s="7">
        <f>IFERROR(__xludf.DUMMYFUNCTION("""COMPUTED_VALUE"""),0.28)</f>
        <v>0.28</v>
      </c>
    </row>
    <row r="3648">
      <c r="A3648" s="10" t="s">
        <v>5087</v>
      </c>
      <c r="B3648" s="7" t="str">
        <f>IFERROR(__xludf.DUMMYFUNCTION("SPLIT(A3648,"" "")"),"c1ccc(CN(Cc2ccccn2)Cc2cccc(-c3cccc4c3OCCOCCOCCOCCOCCO4)n2)nc1")</f>
        <v>c1ccc(CN(Cc2ccccn2)Cc2cccc(-c3cccc4c3OCCOCCOCCOCCOCCO4)n2)nc1</v>
      </c>
      <c r="C3648" s="7">
        <f>IFERROR(__xludf.DUMMYFUNCTION("""COMPUTED_VALUE"""),7.8001056)</f>
        <v>7.8001056</v>
      </c>
      <c r="D3648" s="7">
        <f>IFERROR(__xludf.DUMMYFUNCTION("""COMPUTED_VALUE"""),0.444444444444444)</f>
        <v>0.4444444444</v>
      </c>
    </row>
    <row r="3649">
      <c r="A3649" s="10" t="s">
        <v>5088</v>
      </c>
      <c r="B3649" s="7" t="str">
        <f>IFERROR(__xludf.DUMMYFUNCTION("SPLIT(A3649,"" "")"),"CC(N)C(C)(c1cccnc1)c1ncccc1CN(C)C1CCCC(N(C)Cc2ccccn2)C1")</f>
        <v>CC(N)C(C)(c1cccnc1)c1ncccc1CN(C)C1CCCC(N(C)Cc2ccccn2)C1</v>
      </c>
      <c r="C3649" s="7">
        <f>IFERROR(__xludf.DUMMYFUNCTION("""COMPUTED_VALUE"""),7.800104)</f>
        <v>7.800104</v>
      </c>
      <c r="D3649" s="7">
        <f>IFERROR(__xludf.DUMMYFUNCTION("""COMPUTED_VALUE"""),0.403225806451612)</f>
        <v>0.4032258065</v>
      </c>
    </row>
    <row r="3650">
      <c r="A3650" s="10" t="s">
        <v>5089</v>
      </c>
      <c r="B3650" s="7" t="str">
        <f>IFERROR(__xludf.DUMMYFUNCTION("SPLIT(A3650,"" "")"),"Cc1cnccc1CN(C)Cc1ncccc1-c1cccc2c1OCCOCCOCCOCCOCCO2")</f>
        <v>Cc1cnccc1CN(C)Cc1ncccc1-c1cccc2c1OCCOCCOCCOCCOCCO2</v>
      </c>
      <c r="C3650" s="7">
        <f>IFERROR(__xludf.DUMMYFUNCTION("""COMPUTED_VALUE"""),7.800103)</f>
        <v>7.800103</v>
      </c>
      <c r="D3650" s="7">
        <f>IFERROR(__xludf.DUMMYFUNCTION("""COMPUTED_VALUE"""),0.285714285714285)</f>
        <v>0.2857142857</v>
      </c>
    </row>
    <row r="3651">
      <c r="A3651" s="10" t="s">
        <v>5090</v>
      </c>
      <c r="B3651" s="7" t="str">
        <f>IFERROR(__xludf.DUMMYFUNCTION("SPLIT(A3651,"" "")"),"COC(=O)C(=O)C(C)c1cc(CN(Cc2ccccn2)C2CCCCC2)ccn1")</f>
        <v>COC(=O)C(=O)C(C)c1cc(CN(Cc2ccccn2)C2CCCCC2)ccn1</v>
      </c>
      <c r="C3651" s="7">
        <f>IFERROR(__xludf.DUMMYFUNCTION("""COMPUTED_VALUE"""),7.800091)</f>
        <v>7.800091</v>
      </c>
      <c r="D3651" s="7">
        <f>IFERROR(__xludf.DUMMYFUNCTION("""COMPUTED_VALUE"""),0.370967741935483)</f>
        <v>0.3709677419</v>
      </c>
    </row>
    <row r="3652">
      <c r="A3652" s="10" t="s">
        <v>5091</v>
      </c>
      <c r="B3652" s="7" t="str">
        <f>IFERROR(__xludf.DUMMYFUNCTION("SPLIT(A3652,"" "")"),"Cc1cncc(CN(C)CCN(Cc2ccccn2)C2CCCC(N(C)Cc3ncc(C)c(C)c3C)C2)c1")</f>
        <v>Cc1cncc(CN(C)CCN(Cc2ccccn2)C2CCCC(N(C)Cc3ncc(C)c(C)c3C)C2)c1</v>
      </c>
      <c r="C3652" s="7">
        <f>IFERROR(__xludf.DUMMYFUNCTION("""COMPUTED_VALUE"""),7.8000865)</f>
        <v>7.8000865</v>
      </c>
      <c r="D3652" s="7">
        <f>IFERROR(__xludf.DUMMYFUNCTION("""COMPUTED_VALUE"""),0.35820895522388)</f>
        <v>0.3582089552</v>
      </c>
    </row>
    <row r="3653">
      <c r="A3653" s="10" t="s">
        <v>5092</v>
      </c>
      <c r="B3653" s="7" t="str">
        <f>IFERROR(__xludf.DUMMYFUNCTION("SPLIT(A3653,"" "")"),"CC(C)(C)c1cccnc1CN(Cc1ccccn1)C1CCCC(N(CF)Cc2ccccn2)C1")</f>
        <v>CC(C)(C)c1cccnc1CN(Cc1ccccn1)C1CCCC(N(CF)Cc2ccccn2)C1</v>
      </c>
      <c r="C3653" s="7">
        <f>IFERROR(__xludf.DUMMYFUNCTION("""COMPUTED_VALUE"""),7.8000784)</f>
        <v>7.8000784</v>
      </c>
      <c r="D3653" s="7">
        <f>IFERROR(__xludf.DUMMYFUNCTION("""COMPUTED_VALUE"""),0.4)</f>
        <v>0.4</v>
      </c>
    </row>
    <row r="3654">
      <c r="A3654" s="10" t="s">
        <v>5093</v>
      </c>
      <c r="B3654" s="7" t="str">
        <f>IFERROR(__xludf.DUMMYFUNCTION("SPLIT(A3654,"" "")"),"Cc1cc(C)c(C)c(CN(C)C2CCCCC2N(C)Cc2ccon2)n1")</f>
        <v>Cc1cc(C)c(C)c(CN(C)C2CCCCC2N(C)Cc2ccon2)n1</v>
      </c>
      <c r="C3654" s="7">
        <f>IFERROR(__xludf.DUMMYFUNCTION("""COMPUTED_VALUE"""),7.8000684)</f>
        <v>7.8000684</v>
      </c>
      <c r="D3654" s="7">
        <f>IFERROR(__xludf.DUMMYFUNCTION("""COMPUTED_VALUE"""),0.470588235294117)</f>
        <v>0.4705882353</v>
      </c>
    </row>
    <row r="3655">
      <c r="A3655" s="10" t="s">
        <v>5094</v>
      </c>
      <c r="B3655" s="7" t="str">
        <f>IFERROR(__xludf.DUMMYFUNCTION("SPLIT(A3655,"" "")"),"C=CCN(C)CCN(Cc1ccccn1)Cc1cccc(CN(Cc2ccccn2)Cc2cccc(-c3cccc4c3OCCOCCOCCOCCOCCO4)n2)n1")</f>
        <v>C=CCN(C)CCN(Cc1ccccn1)Cc1cccc(CN(Cc2ccccn2)Cc2cccc(-c3cccc4c3OCCOCCOCCOCCOCCO4)n2)n1</v>
      </c>
      <c r="C3655" s="7">
        <f>IFERROR(__xludf.DUMMYFUNCTION("""COMPUTED_VALUE"""),7.800059)</f>
        <v>7.800059</v>
      </c>
      <c r="D3655" s="7">
        <f>IFERROR(__xludf.DUMMYFUNCTION("""COMPUTED_VALUE"""),0.405797101449275)</f>
        <v>0.4057971014</v>
      </c>
    </row>
    <row r="3656">
      <c r="A3656" s="10" t="s">
        <v>5095</v>
      </c>
      <c r="B3656" s="7" t="str">
        <f>IFERROR(__xludf.DUMMYFUNCTION("SPLIT(A3656,"" "")"),"CCN(Cc1cccc(CN(Cc2cccc(-c3ccc4c(c3)OCCOCCOCCOCCOCCO4)n2)c2ccc3ncccc3c2)n1)Cc1cccc(C2CC3OCCOCCOCCOCCOCCOC32)n1")</f>
        <v>CCN(Cc1cccc(CN(Cc2cccc(-c3ccc4c(c3)OCCOCCOCCOCCOCCO4)n2)c2ccc3ncccc3c2)n1)Cc1cccc(C2CC3OCCOCCOCCOCCOCCOC32)n1</v>
      </c>
      <c r="C3656" s="7">
        <f>IFERROR(__xludf.DUMMYFUNCTION("""COMPUTED_VALUE"""),7.800045)</f>
        <v>7.800045</v>
      </c>
      <c r="D3656" s="7">
        <f>IFERROR(__xludf.DUMMYFUNCTION("""COMPUTED_VALUE"""),0.295454545454545)</f>
        <v>0.2954545455</v>
      </c>
    </row>
    <row r="3657">
      <c r="A3657" s="10" t="s">
        <v>5096</v>
      </c>
      <c r="B3657" s="7" t="str">
        <f>IFERROR(__xludf.DUMMYFUNCTION("SPLIT(A3657,"" "")"),"Cc1ccc(CN(C)Cc2ncccc2-c2cccc3c2OCCOCCOCCOCCOCCO3)nc1")</f>
        <v>Cc1ccc(CN(C)Cc2ncccc2-c2cccc3c2OCCOCCOCCOCCOCCO3)nc1</v>
      </c>
      <c r="C3657" s="7">
        <f>IFERROR(__xludf.DUMMYFUNCTION("""COMPUTED_VALUE"""),7.8000417)</f>
        <v>7.8000417</v>
      </c>
      <c r="D3657" s="7">
        <f>IFERROR(__xludf.DUMMYFUNCTION("""COMPUTED_VALUE"""),0.407407407407407)</f>
        <v>0.4074074074</v>
      </c>
    </row>
    <row r="3658">
      <c r="A3658" s="10" t="s">
        <v>5097</v>
      </c>
      <c r="B3658" s="7" t="str">
        <f>IFERROR(__xludf.DUMMYFUNCTION("SPLIT(A3658,"" "")"),"Cc1cc(C(C)(C)c2cc(CN3CCN(C)CCN(C)CC3)ccn2)ccc1N")</f>
        <v>Cc1cc(C(C)(C)c2cc(CN3CCN(C)CCN(C)CC3)ccn2)ccc1N</v>
      </c>
      <c r="C3658" s="7">
        <f>IFERROR(__xludf.DUMMYFUNCTION("""COMPUTED_VALUE"""),7.800017)</f>
        <v>7.800017</v>
      </c>
      <c r="D3658" s="7">
        <f>IFERROR(__xludf.DUMMYFUNCTION("""COMPUTED_VALUE"""),0.431372549019607)</f>
        <v>0.431372549</v>
      </c>
    </row>
    <row r="3659">
      <c r="A3659" s="10" t="s">
        <v>5098</v>
      </c>
      <c r="B3659" s="7" t="str">
        <f>IFERROR(__xludf.DUMMYFUNCTION("SPLIT(A3659,"" "")"),"CC(N)C(C)(c1ccccn1)c1ncccc1CN(Cc1ccccn1)C1CCCCC1")</f>
        <v>CC(N)C(C)(c1ccccn1)c1ncccc1CN(Cc1ccccn1)C1CCCCC1</v>
      </c>
      <c r="C3659" s="7">
        <f>IFERROR(__xludf.DUMMYFUNCTION("""COMPUTED_VALUE"""),7.8000145)</f>
        <v>7.8000145</v>
      </c>
      <c r="D3659" s="7">
        <f>IFERROR(__xludf.DUMMYFUNCTION("""COMPUTED_VALUE"""),0.389830508474576)</f>
        <v>0.3898305085</v>
      </c>
    </row>
    <row r="3660">
      <c r="A3660" s="10" t="s">
        <v>5099</v>
      </c>
      <c r="B3660" s="7" t="str">
        <f>IFERROR(__xludf.DUMMYFUNCTION("SPLIT(A3660,"" "")"),"Cc1ccc(CN(C)Cc2cccc(-c3ccc4c(c3)OCCOCCOCCOCCOCCO4)n2)nc1")</f>
        <v>Cc1ccc(CN(C)Cc2cccc(-c3ccc4c(c3)OCCOCCOCCOCCOCCO4)n2)nc1</v>
      </c>
      <c r="C3660" s="7">
        <f>IFERROR(__xludf.DUMMYFUNCTION("""COMPUTED_VALUE"""),7.8000035)</f>
        <v>7.8000035</v>
      </c>
      <c r="D3660" s="7">
        <f>IFERROR(__xludf.DUMMYFUNCTION("""COMPUTED_VALUE"""),0.415094339622641)</f>
        <v>0.4150943396</v>
      </c>
    </row>
    <row r="3661">
      <c r="A3661" s="10" t="s">
        <v>5100</v>
      </c>
      <c r="B3661" s="7" t="str">
        <f>IFERROR(__xludf.DUMMYFUNCTION("SPLIT(A3661,"" "")"),"CCNCc1ncccc1CN(Cc1ccccn1)Cc1cc(-c2cccc3c2OCCOCCOCCOCCOCCO3)ccn1")</f>
        <v>CCNCc1ncccc1CN(Cc1ccccn1)Cc1cc(-c2cccc3c2OCCOCCOCCOCCOCCO3)ccn1</v>
      </c>
      <c r="C3661" s="7">
        <f>IFERROR(__xludf.DUMMYFUNCTION("""COMPUTED_VALUE"""),7.799993)</f>
        <v>7.799993</v>
      </c>
      <c r="D3661" s="7">
        <f>IFERROR(__xludf.DUMMYFUNCTION("""COMPUTED_VALUE"""),0.317460317460317)</f>
        <v>0.3174603175</v>
      </c>
    </row>
    <row r="3662">
      <c r="A3662" s="10" t="s">
        <v>5101</v>
      </c>
      <c r="B3662" s="7" t="str">
        <f>IFERROR(__xludf.DUMMYFUNCTION("SPLIT(A3662,"" "")"),"CC(C)C(C)(c1ccccn1)C1C=CNC=C1")</f>
        <v>CC(C)C(C)(c1ccccn1)C1C=CNC=C1</v>
      </c>
      <c r="C3662" s="7">
        <f>IFERROR(__xludf.DUMMYFUNCTION("""COMPUTED_VALUE"""),7.799992)</f>
        <v>7.799992</v>
      </c>
      <c r="D3662" s="7">
        <f>IFERROR(__xludf.DUMMYFUNCTION("""COMPUTED_VALUE"""),0.333333333333333)</f>
        <v>0.3333333333</v>
      </c>
    </row>
    <row r="3663">
      <c r="A3663" s="10" t="s">
        <v>5102</v>
      </c>
      <c r="B3663" s="7" t="str">
        <f>IFERROR(__xludf.DUMMYFUNCTION("SPLIT(A3663,"" "")"),"Cc1cnc(CN(C)CC2CCCN2C(C)C)c(C)c1C")</f>
        <v>Cc1cnc(CN(C)CC2CCCN2C(C)C)c(C)c1C</v>
      </c>
      <c r="C3663" s="7">
        <f>IFERROR(__xludf.DUMMYFUNCTION("""COMPUTED_VALUE"""),7.799989)</f>
        <v>7.799989</v>
      </c>
      <c r="D3663" s="7">
        <f>IFERROR(__xludf.DUMMYFUNCTION("""COMPUTED_VALUE"""),0.389830508474576)</f>
        <v>0.3898305085</v>
      </c>
    </row>
    <row r="3664">
      <c r="A3664" s="10" t="s">
        <v>5103</v>
      </c>
      <c r="B3664" s="7" t="str">
        <f>IFERROR(__xludf.DUMMYFUNCTION("SPLIT(A3664,"" "")"),"COC(=O)C(=O)C(C)C1(C)COC(c2ccc(CN3CCN(C)CCN(C)CC3)nc2)=N1")</f>
        <v>COC(=O)C(=O)C(C)C1(C)COC(c2ccc(CN3CCN(C)CCN(C)CC3)nc2)=N1</v>
      </c>
      <c r="C3664" s="7">
        <f>IFERROR(__xludf.DUMMYFUNCTION("""COMPUTED_VALUE"""),7.7999773)</f>
        <v>7.7999773</v>
      </c>
      <c r="D3664" s="7">
        <f>IFERROR(__xludf.DUMMYFUNCTION("""COMPUTED_VALUE"""),0.333333333333333)</f>
        <v>0.3333333333</v>
      </c>
    </row>
    <row r="3665">
      <c r="A3665" s="10" t="s">
        <v>5104</v>
      </c>
      <c r="B3665" s="7" t="str">
        <f>IFERROR(__xludf.DUMMYFUNCTION("SPLIT(A3665,"" "")"),"CC(C)N(Cc1cc(C(C)(C)C)ccn1)Cc1cccc(-c2ccc3c(c2)OCCOCCOCCOCCOCCO3)n1")</f>
        <v>CC(C)N(Cc1cc(C(C)(C)C)ccn1)Cc1cccc(-c2ccc3c(c2)OCCOCCOCCOCCOCCO3)n1</v>
      </c>
      <c r="C3665" s="7">
        <f>IFERROR(__xludf.DUMMYFUNCTION("""COMPUTED_VALUE"""),7.799975)</f>
        <v>7.799975</v>
      </c>
      <c r="D3665" s="7">
        <f>IFERROR(__xludf.DUMMYFUNCTION("""COMPUTED_VALUE"""),0.333333333333333)</f>
        <v>0.3333333333</v>
      </c>
    </row>
    <row r="3666">
      <c r="A3666" s="10" t="s">
        <v>5105</v>
      </c>
      <c r="B3666" s="7" t="str">
        <f>IFERROR(__xludf.DUMMYFUNCTION("SPLIT(A3666,"" "")"),"Cc1nc(CN(C)C2CCC(N(C)Cc3ncccc3C3(C)CCC3)CC2)c(C)c(C)c1C")</f>
        <v>Cc1nc(CN(C)C2CCC(N(C)Cc3ncccc3C3(C)CCC3)CC2)c(C)c(C)c1C</v>
      </c>
      <c r="C3666" s="7">
        <f>IFERROR(__xludf.DUMMYFUNCTION("""COMPUTED_VALUE"""),7.799974)</f>
        <v>7.799974</v>
      </c>
      <c r="D3666" s="7">
        <f>IFERROR(__xludf.DUMMYFUNCTION("""COMPUTED_VALUE"""),0.305084745762711)</f>
        <v>0.3050847458</v>
      </c>
    </row>
    <row r="3667">
      <c r="A3667" s="10" t="s">
        <v>5106</v>
      </c>
      <c r="B3667" s="7" t="str">
        <f>IFERROR(__xludf.DUMMYFUNCTION("SPLIT(A3667,"" "")"),"Cc1cc(C)c(CN(C)C2CCCC(N(C)CC3=C(N(C)C(C)C)CC=CN3)C2)nc1C")</f>
        <v>Cc1cc(C)c(CN(C)C2CCCC(N(C)CC3=C(N(C)C(C)C)CC=CN3)C2)nc1C</v>
      </c>
      <c r="C3667" s="7">
        <f>IFERROR(__xludf.DUMMYFUNCTION("""COMPUTED_VALUE"""),7.799971)</f>
        <v>7.799971</v>
      </c>
      <c r="D3667" s="7">
        <f>IFERROR(__xludf.DUMMYFUNCTION("""COMPUTED_VALUE"""),0.223880597014925)</f>
        <v>0.223880597</v>
      </c>
    </row>
    <row r="3668">
      <c r="A3668" s="10" t="s">
        <v>5107</v>
      </c>
      <c r="B3668" s="7" t="str">
        <f>IFERROR(__xludf.DUMMYFUNCTION("SPLIT(A3668,"" "")"),"CN(Cc1ccccn1)CC1C=CNC=C1")</f>
        <v>CN(Cc1ccccn1)CC1C=CNC=C1</v>
      </c>
      <c r="C3668" s="7">
        <f>IFERROR(__xludf.DUMMYFUNCTION("""COMPUTED_VALUE"""),7.799971)</f>
        <v>7.799971</v>
      </c>
      <c r="D3668" s="7">
        <f>IFERROR(__xludf.DUMMYFUNCTION("""COMPUTED_VALUE"""),0.48)</f>
        <v>0.48</v>
      </c>
    </row>
    <row r="3669">
      <c r="A3669" s="10" t="s">
        <v>5108</v>
      </c>
      <c r="B3669" s="7" t="str">
        <f>IFERROR(__xludf.DUMMYFUNCTION("SPLIT(A3669,"" "")"),"CN(Cc1ccc(-c2ccc3c(c2)OCCOCCOCCOCCOCCO3)cn1)CN(Cc1ccccn1)C(C)(C)c1cccnc1")</f>
        <v>CN(Cc1ccc(-c2ccc3c(c2)OCCOCCOCCOCCOCCO3)cn1)CN(Cc1ccccn1)C(C)(C)c1cccnc1</v>
      </c>
      <c r="C3669" s="7">
        <f>IFERROR(__xludf.DUMMYFUNCTION("""COMPUTED_VALUE"""),7.79997)</f>
        <v>7.79997</v>
      </c>
      <c r="D3669" s="7">
        <f>IFERROR(__xludf.DUMMYFUNCTION("""COMPUTED_VALUE"""),0.394736842105263)</f>
        <v>0.3947368421</v>
      </c>
    </row>
    <row r="3670">
      <c r="A3670" s="10" t="s">
        <v>5109</v>
      </c>
      <c r="B3670" s="7" t="str">
        <f>IFERROR(__xludf.DUMMYFUNCTION("SPLIT(A3670,"" "")"),"CN(Cc1ccon1)C1CCC(N(Cc2ccccn2)Cc2cccnn2)CC1")</f>
        <v>CN(Cc1ccon1)C1CCC(N(Cc2ccccn2)Cc2cccnn2)CC1</v>
      </c>
      <c r="C3670" s="7">
        <f>IFERROR(__xludf.DUMMYFUNCTION("""COMPUTED_VALUE"""),7.799969)</f>
        <v>7.799969</v>
      </c>
      <c r="D3670" s="7">
        <f>IFERROR(__xludf.DUMMYFUNCTION("""COMPUTED_VALUE"""),0.470588235294117)</f>
        <v>0.4705882353</v>
      </c>
    </row>
    <row r="3671">
      <c r="A3671" s="10" t="s">
        <v>5110</v>
      </c>
      <c r="B3671" s="7" t="str">
        <f>IFERROR(__xludf.DUMMYFUNCTION("SPLIT(A3671,"" "")"),"Cc1cccc(CN(C)C2C=CNC(CN(C)C(C)C(C)C)=C2)n1")</f>
        <v>Cc1cccc(CN(C)C2C=CNC(CN(C)C(C)C(C)C)=C2)n1</v>
      </c>
      <c r="C3671" s="7">
        <f>IFERROR(__xludf.DUMMYFUNCTION("""COMPUTED_VALUE"""),7.799953)</f>
        <v>7.799953</v>
      </c>
      <c r="D3671" s="7">
        <f>IFERROR(__xludf.DUMMYFUNCTION("""COMPUTED_VALUE"""),0.425925925925925)</f>
        <v>0.4259259259</v>
      </c>
    </row>
    <row r="3672">
      <c r="A3672" s="10" t="s">
        <v>5111</v>
      </c>
      <c r="B3672" s="7" t="str">
        <f>IFERROR(__xludf.DUMMYFUNCTION("SPLIT(A3672,"" "")"),"CNC1CCCCC1N(Cc1nc(C)ccc1C)Cc1nc(C)cc(C)c1C")</f>
        <v>CNC1CCCCC1N(Cc1nc(C)ccc1C)Cc1nc(C)cc(C)c1C</v>
      </c>
      <c r="C3672" s="7">
        <f>IFERROR(__xludf.DUMMYFUNCTION("""COMPUTED_VALUE"""),7.7999496)</f>
        <v>7.7999496</v>
      </c>
      <c r="D3672" s="7">
        <f>IFERROR(__xludf.DUMMYFUNCTION("""COMPUTED_VALUE"""),0.339285714285714)</f>
        <v>0.3392857143</v>
      </c>
    </row>
    <row r="3673">
      <c r="A3673" s="10" t="s">
        <v>5112</v>
      </c>
      <c r="B3673" s="7" t="str">
        <f>IFERROR(__xludf.DUMMYFUNCTION("SPLIT(A3673,"" "")"),"CC(C)Nc1cccc(CN(Cc2cccc(-c3ccc4c(c3)OCCOCCOCCOCCOCCO4)n2)Cc2cccc(-c3ccc4c(c3)OCCOCCOCCOCCOCCO4)n2)n1")</f>
        <v>CC(C)Nc1cccc(CN(Cc2cccc(-c3ccc4c(c3)OCCOCCOCCOCCOCCO4)n2)Cc2cccc(-c3ccc4c(c3)OCCOCCOCCOCCOCCO4)n2)n1</v>
      </c>
      <c r="C3673" s="7">
        <f>IFERROR(__xludf.DUMMYFUNCTION("""COMPUTED_VALUE"""),7.7999415)</f>
        <v>7.7999415</v>
      </c>
      <c r="D3673" s="7">
        <f>IFERROR(__xludf.DUMMYFUNCTION("""COMPUTED_VALUE"""),0.369230769230769)</f>
        <v>0.3692307692</v>
      </c>
    </row>
    <row r="3674">
      <c r="A3674" s="10" t="s">
        <v>5113</v>
      </c>
      <c r="B3674" s="7" t="str">
        <f>IFERROR(__xludf.DUMMYFUNCTION("SPLIT(A3674,"" "")"),"Cc1ccc(CN(Cc2ccccn2)C2CCCC(N(C)Cc3cccc(C)c3)C2)nc1")</f>
        <v>Cc1ccc(CN(Cc2ccccn2)C2CCCC(N(C)Cc3cccc(C)c3)C2)nc1</v>
      </c>
      <c r="C3674" s="7">
        <f>IFERROR(__xludf.DUMMYFUNCTION("""COMPUTED_VALUE"""),7.799938)</f>
        <v>7.799938</v>
      </c>
      <c r="D3674" s="7">
        <f>IFERROR(__xludf.DUMMYFUNCTION("""COMPUTED_VALUE"""),0.43859649122807)</f>
        <v>0.4385964912</v>
      </c>
    </row>
    <row r="3675">
      <c r="A3675" s="10" t="s">
        <v>5114</v>
      </c>
      <c r="B3675" s="7" t="str">
        <f>IFERROR(__xludf.DUMMYFUNCTION("SPLIT(A3675,"" "")"),"CC(C)NCc1cccc(-c2ccc(NCc3ccccn3)c3c2OCCOCCOCCOCCOCCO3)n1")</f>
        <v>CC(C)NCc1cccc(-c2ccc(NCc3ccccn3)c3c2OCCOCCOCCOCCOCCO3)n1</v>
      </c>
      <c r="C3675" s="7">
        <f>IFERROR(__xludf.DUMMYFUNCTION("""COMPUTED_VALUE"""),7.7999263)</f>
        <v>7.7999263</v>
      </c>
      <c r="D3675" s="7">
        <f>IFERROR(__xludf.DUMMYFUNCTION("""COMPUTED_VALUE"""),0.3125)</f>
        <v>0.3125</v>
      </c>
    </row>
    <row r="3676">
      <c r="A3676" s="10" t="s">
        <v>5115</v>
      </c>
      <c r="B3676" s="7" t="str">
        <f>IFERROR(__xludf.DUMMYFUNCTION("SPLIT(A3676,"" "")"),"Cc1ccc(CN(C)CC2=CC(N(C)Cc3cccc(-c4ccc5c(c4)OCCOCCOCCOCCOCCO5)n3)C=CN2)nc1")</f>
        <v>Cc1ccc(CN(C)CC2=CC(N(C)Cc3cccc(-c4ccc5c(c4)OCCOCCOCCOCCOCCO5)n3)C=CN2)nc1</v>
      </c>
      <c r="C3676" s="7">
        <f>IFERROR(__xludf.DUMMYFUNCTION("""COMPUTED_VALUE"""),7.7999144)</f>
        <v>7.7999144</v>
      </c>
      <c r="D3676" s="7">
        <f>IFERROR(__xludf.DUMMYFUNCTION("""COMPUTED_VALUE"""),0.337349397590361)</f>
        <v>0.3373493976</v>
      </c>
    </row>
    <row r="3677">
      <c r="A3677" s="10" t="s">
        <v>5116</v>
      </c>
      <c r="B3677" s="7" t="str">
        <f>IFERROR(__xludf.DUMMYFUNCTION("SPLIT(A3677,"" "")"),"CCN(Cc1ccccn1)C1CCC(N(C)Cc2ncccc2C)CC1N(C)Cc1ncccc1C")</f>
        <v>CCN(Cc1ccccn1)C1CCC(N(C)Cc2ncccc2C)CC1N(C)Cc1ncccc1C</v>
      </c>
      <c r="C3677" s="7">
        <f>IFERROR(__xludf.DUMMYFUNCTION("""COMPUTED_VALUE"""),7.7999134)</f>
        <v>7.7999134</v>
      </c>
      <c r="D3677" s="7">
        <f>IFERROR(__xludf.DUMMYFUNCTION("""COMPUTED_VALUE"""),0.462962962962962)</f>
        <v>0.462962963</v>
      </c>
    </row>
    <row r="3678">
      <c r="A3678" s="10" t="s">
        <v>5117</v>
      </c>
      <c r="B3678" s="7" t="str">
        <f>IFERROR(__xludf.DUMMYFUNCTION("SPLIT(A3678,"" "")"),"Cc1cc(CN(C)C2CCCC(N(C)Cc3nc(C)c(C)cc3C)C2)ccn1")</f>
        <v>Cc1cc(CN(C)C2CCCC(N(C)Cc3nc(C)c(C)cc3C)C2)ccn1</v>
      </c>
      <c r="C3678" s="7">
        <f>IFERROR(__xludf.DUMMYFUNCTION("""COMPUTED_VALUE"""),7.799912)</f>
        <v>7.799912</v>
      </c>
      <c r="D3678" s="7">
        <f>IFERROR(__xludf.DUMMYFUNCTION("""COMPUTED_VALUE"""),0.293103448275862)</f>
        <v>0.2931034483</v>
      </c>
    </row>
    <row r="3679">
      <c r="A3679" s="10" t="s">
        <v>5118</v>
      </c>
      <c r="B3679" s="7" t="str">
        <f>IFERROR(__xludf.DUMMYFUNCTION("SPLIT(A3679,"" "")"),"CC(N)C(C)(c1cccnc1)c1cccc(CN(Cc2ccc([SiH3])cn2)C2CCC(N(C)Cc3cccc(-c4ccc5c(c4)OCCOCCOCCOCCOCCO5)n3)CC2)n1")</f>
        <v>CC(N)C(C)(c1cccnc1)c1cccc(CN(Cc2ccc([SiH3])cn2)C2CCC(N(C)Cc3cccc(-c4ccc5c(c4)OCCOCCOCCOCCOCCO5)n3)CC2)n1</v>
      </c>
      <c r="C3679" s="7">
        <f>IFERROR(__xludf.DUMMYFUNCTION("""COMPUTED_VALUE"""),7.799901)</f>
        <v>7.799901</v>
      </c>
      <c r="D3679" s="7">
        <f>IFERROR(__xludf.DUMMYFUNCTION("""COMPUTED_VALUE"""),0.295918367346938)</f>
        <v>0.2959183673</v>
      </c>
    </row>
    <row r="3680">
      <c r="A3680" s="10" t="s">
        <v>5119</v>
      </c>
      <c r="B3680" s="7" t="str">
        <f>IFERROR(__xludf.DUMMYFUNCTION("SPLIT(A3680,"" "")"),"CC1C=CC(C)(C)C(N(C)Cc2cccc(C(C)(C)C)n2)C1C")</f>
        <v>CC1C=CC(C)(C)C(N(C)Cc2cccc(C(C)(C)C)n2)C1C</v>
      </c>
      <c r="C3680" s="7">
        <f>IFERROR(__xludf.DUMMYFUNCTION("""COMPUTED_VALUE"""),7.799901)</f>
        <v>7.799901</v>
      </c>
      <c r="D3680" s="7">
        <f>IFERROR(__xludf.DUMMYFUNCTION("""COMPUTED_VALUE"""),0.327272727272727)</f>
        <v>0.3272727273</v>
      </c>
    </row>
    <row r="3681">
      <c r="A3681" s="10" t="s">
        <v>5120</v>
      </c>
      <c r="B3681" s="7" t="str">
        <f>IFERROR(__xludf.DUMMYFUNCTION("SPLIT(A3681,"" "")"),"Cc1ccc(CN(Cc2ccccn2)C2CCC(N(C)Cc3cccc(CF)n3)CC2)nc1")</f>
        <v>Cc1ccc(CN(Cc2ccccn2)C2CCC(N(C)Cc3cccc(CF)n3)CC2)nc1</v>
      </c>
      <c r="C3681" s="7">
        <f>IFERROR(__xludf.DUMMYFUNCTION("""COMPUTED_VALUE"""),7.799882)</f>
        <v>7.799882</v>
      </c>
      <c r="D3681" s="7">
        <f>IFERROR(__xludf.DUMMYFUNCTION("""COMPUTED_VALUE"""),0.454545454545454)</f>
        <v>0.4545454545</v>
      </c>
    </row>
    <row r="3682">
      <c r="A3682" s="10" t="s">
        <v>5121</v>
      </c>
      <c r="B3682" s="7" t="str">
        <f>IFERROR(__xludf.DUMMYFUNCTION("SPLIT(A3682,"" "")"),"Cc1ccc(C)c(CN(C)Cc2cccc(-c3ccc4c(c3)OCCOCCOCCOCCOCCO4)n2)c1")</f>
        <v>Cc1ccc(C)c(CN(C)Cc2cccc(-c3ccc4c(c3)OCCOCCOCCOCCOCCO4)n2)c1</v>
      </c>
      <c r="C3682" s="7">
        <f>IFERROR(__xludf.DUMMYFUNCTION("""COMPUTED_VALUE"""),7.7998796)</f>
        <v>7.7998796</v>
      </c>
      <c r="D3682" s="7">
        <f>IFERROR(__xludf.DUMMYFUNCTION("""COMPUTED_VALUE"""),0.35)</f>
        <v>0.35</v>
      </c>
    </row>
    <row r="3683">
      <c r="A3683" s="10" t="s">
        <v>5122</v>
      </c>
      <c r="B3683" s="7" t="str">
        <f>IFERROR(__xludf.DUMMYFUNCTION("SPLIT(A3683,"" "")"),"CCNC1C(N(C)Cc2ncccc2C)CCCC1N(Cc1ncccc1C)Cc1ncccc1C")</f>
        <v>CCNC1C(N(C)Cc2ncccc2C)CCCC1N(Cc1ncccc1C)Cc1ncccc1C</v>
      </c>
      <c r="C3683" s="7">
        <f>IFERROR(__xludf.DUMMYFUNCTION("""COMPUTED_VALUE"""),7.7998796)</f>
        <v>7.7998796</v>
      </c>
      <c r="D3683" s="7">
        <f>IFERROR(__xludf.DUMMYFUNCTION("""COMPUTED_VALUE"""),0.396226415094339)</f>
        <v>0.3962264151</v>
      </c>
    </row>
    <row r="3684">
      <c r="A3684" s="10" t="s">
        <v>5123</v>
      </c>
      <c r="B3684" s="7" t="str">
        <f>IFERROR(__xludf.DUMMYFUNCTION("SPLIT(A3684,"" "")"),"CC1C=CC(C)(c2cccc(CN(Cc3ccccn3)Cc3ccc(-c4ccc5c(c4)OCCOCCOCCOCCOCCO5)cn3)n2)CC1C")</f>
        <v>CC1C=CC(C)(c2cccc(CN(Cc3ccccn3)Cc3ccc(-c4ccc5c(c4)OCCOCCOCCOCCOCCO5)cn3)n2)CC1C</v>
      </c>
      <c r="C3684" s="7">
        <f>IFERROR(__xludf.DUMMYFUNCTION("""COMPUTED_VALUE"""),7.7998724)</f>
        <v>7.7998724</v>
      </c>
      <c r="D3684" s="7">
        <f>IFERROR(__xludf.DUMMYFUNCTION("""COMPUTED_VALUE"""),0.3875)</f>
        <v>0.3875</v>
      </c>
    </row>
    <row r="3685">
      <c r="A3685" s="10" t="s">
        <v>5124</v>
      </c>
      <c r="B3685" s="7" t="str">
        <f>IFERROR(__xludf.DUMMYFUNCTION("SPLIT(A3685,"" "")"),"Cc1cccnc1CN(C)CCN(Cc1ccccn1)Cc1ncccc1-c1cccc2c1OCCOCCOCCOCCOCCO2")</f>
        <v>Cc1cccnc1CN(C)CCN(Cc1ccccn1)Cc1ncccc1-c1cccc2c1OCCOCCOCCOCCOCCO2</v>
      </c>
      <c r="C3685" s="7">
        <f>IFERROR(__xludf.DUMMYFUNCTION("""COMPUTED_VALUE"""),7.79986)</f>
        <v>7.79986</v>
      </c>
      <c r="D3685" s="7">
        <f>IFERROR(__xludf.DUMMYFUNCTION("""COMPUTED_VALUE"""),0.393442622950819)</f>
        <v>0.393442623</v>
      </c>
    </row>
    <row r="3686">
      <c r="A3686" s="10" t="s">
        <v>5125</v>
      </c>
      <c r="B3686" s="7" t="str">
        <f>IFERROR(__xludf.DUMMYFUNCTION("SPLIT(A3686,"" "")"),"Cc1ccc(CN(C)C2CCC(N(Cc3ccccn3)Cc3cccc(CF)n3)CC2)nc1")</f>
        <v>Cc1ccc(CN(C)C2CCC(N(Cc3ccccn3)Cc3cccc(CF)n3)CC2)nc1</v>
      </c>
      <c r="C3686" s="7">
        <f>IFERROR(__xludf.DUMMYFUNCTION("""COMPUTED_VALUE"""),7.7998524)</f>
        <v>7.7998524</v>
      </c>
      <c r="D3686" s="7">
        <f>IFERROR(__xludf.DUMMYFUNCTION("""COMPUTED_VALUE"""),0.454545454545454)</f>
        <v>0.4545454545</v>
      </c>
    </row>
    <row r="3687">
      <c r="A3687" s="10" t="s">
        <v>5126</v>
      </c>
      <c r="B3687" s="7" t="str">
        <f>IFERROR(__xludf.DUMMYFUNCTION("SPLIT(A3687,"" "")"),"Cc1cncc(CN(C)CCN(C)C2CCCC(N(Cc3cccc(C)n3)Cc3cccc(C)n3)C2)c1")</f>
        <v>Cc1cncc(CN(C)CCN(C)C2CCCC(N(Cc3cccc(C)n3)Cc3cccc(C)n3)C2)c1</v>
      </c>
      <c r="C3687" s="7">
        <f>IFERROR(__xludf.DUMMYFUNCTION("""COMPUTED_VALUE"""),7.7998486)</f>
        <v>7.7998486</v>
      </c>
      <c r="D3687" s="7">
        <f>IFERROR(__xludf.DUMMYFUNCTION("""COMPUTED_VALUE"""),0.452830188679245)</f>
        <v>0.4528301887</v>
      </c>
    </row>
    <row r="3688">
      <c r="A3688" s="10" t="s">
        <v>5127</v>
      </c>
      <c r="B3688" s="7" t="str">
        <f>IFERROR(__xludf.DUMMYFUNCTION("SPLIT(A3688,"" "")"),"CCN(Cc1cc(CF)ccn1)C1CCC(N(C)Cc2nc(C)c(C)c(C)c2C)CC1")</f>
        <v>CCN(Cc1cc(CF)ccn1)C1CCC(N(C)Cc2nc(C)c(C)c(C)c2C)CC1</v>
      </c>
      <c r="C3688" s="7">
        <f>IFERROR(__xludf.DUMMYFUNCTION("""COMPUTED_VALUE"""),7.799845)</f>
        <v>7.799845</v>
      </c>
      <c r="D3688" s="7">
        <f>IFERROR(__xludf.DUMMYFUNCTION("""COMPUTED_VALUE"""),0.269841269841269)</f>
        <v>0.2698412698</v>
      </c>
    </row>
    <row r="3689">
      <c r="A3689" s="10" t="s">
        <v>5128</v>
      </c>
      <c r="B3689" s="7" t="str">
        <f>IFERROR(__xludf.DUMMYFUNCTION("SPLIT(A3689,"" "")"),"CC(C)N(C)Cc1ccnc(CN(C)C(C)C)c1")</f>
        <v>CC(C)N(C)Cc1ccnc(CN(C)C(C)C)c1</v>
      </c>
      <c r="C3689" s="7">
        <f>IFERROR(__xludf.DUMMYFUNCTION("""COMPUTED_VALUE"""),7.799843)</f>
        <v>7.799843</v>
      </c>
      <c r="D3689" s="7">
        <f>IFERROR(__xludf.DUMMYFUNCTION("""COMPUTED_VALUE"""),0.384615384615384)</f>
        <v>0.3846153846</v>
      </c>
    </row>
    <row r="3690">
      <c r="A3690" s="10" t="s">
        <v>5129</v>
      </c>
      <c r="B3690" s="7" t="str">
        <f>IFERROR(__xludf.DUMMYFUNCTION("SPLIT(A3690,"" "")"),"CN(Cc1ccc(-c2ccc3c(c2)OCCOCCOCCOCCOCCO3)cn1)C1=C(C(C)(C)C)NC=CC1")</f>
        <v>CN(Cc1ccc(-c2ccc3c(c2)OCCOCCOCCOCCOCCO3)cn1)C1=C(C(C)(C)C)NC=CC1</v>
      </c>
      <c r="C3690" s="7">
        <f>IFERROR(__xludf.DUMMYFUNCTION("""COMPUTED_VALUE"""),7.7998304)</f>
        <v>7.7998304</v>
      </c>
      <c r="D3690" s="7">
        <f>IFERROR(__xludf.DUMMYFUNCTION("""COMPUTED_VALUE"""),0.434782608695652)</f>
        <v>0.4347826087</v>
      </c>
    </row>
    <row r="3691">
      <c r="A3691" s="10" t="s">
        <v>5130</v>
      </c>
      <c r="B3691" s="7" t="str">
        <f>IFERROR(__xludf.DUMMYFUNCTION("SPLIT(A3691,"" "")"),"CN(Cc1ccc2ncccc2c1)C1CCCCC1N(C)Cc1cc(-c2ccc3c(c2)OCCOCCOCCOCCOCCO3)ccn1")</f>
        <v>CN(Cc1ccc2ncccc2c1)C1CCCCC1N(C)Cc1cc(-c2ccc3c(c2)OCCOCCOCCOCCOCCO3)ccn1</v>
      </c>
      <c r="C3691" s="7">
        <f>IFERROR(__xludf.DUMMYFUNCTION("""COMPUTED_VALUE"""),7.79983)</f>
        <v>7.79983</v>
      </c>
      <c r="D3691" s="7">
        <f>IFERROR(__xludf.DUMMYFUNCTION("""COMPUTED_VALUE"""),0.40625)</f>
        <v>0.40625</v>
      </c>
    </row>
    <row r="3692">
      <c r="A3692" s="10" t="s">
        <v>5131</v>
      </c>
      <c r="B3692" s="7" t="str">
        <f>IFERROR(__xludf.DUMMYFUNCTION("SPLIT(A3692,"" "")"),"Cc1ccc(CN(C)C2CCC(N(Cc3ccccn3)Cc3cccc(-c4ccc5c(c4)OCCOCCOCCOCCOCCO5)n3)C(N(C)Cc3ccccn3)C2)nc1C")</f>
        <v>Cc1ccc(CN(C)C2CCC(N(Cc3ccccn3)Cc3cccc(-c4ccc5c(c4)OCCOCCOCCOCCOCCO5)n3)C(N(C)Cc3ccccn3)C2)nc1C</v>
      </c>
      <c r="C3692" s="7">
        <f>IFERROR(__xludf.DUMMYFUNCTION("""COMPUTED_VALUE"""),7.799825)</f>
        <v>7.799825</v>
      </c>
      <c r="D3692" s="7">
        <f>IFERROR(__xludf.DUMMYFUNCTION("""COMPUTED_VALUE"""),0.351351351351351)</f>
        <v>0.3513513514</v>
      </c>
    </row>
    <row r="3693">
      <c r="A3693" s="10" t="s">
        <v>5132</v>
      </c>
      <c r="B3693" s="7" t="str">
        <f>IFERROR(__xludf.DUMMYFUNCTION("SPLIT(A3693,"" "")"),"CN(CCN(C)c1cccc2ccc(CF)nc12)Cc1cccc2c1OCCOCCOCCOCCOCCO2")</f>
        <v>CN(CCN(C)c1cccc2ccc(CF)nc12)Cc1cccc2c1OCCOCCOCCOCCOCCO2</v>
      </c>
      <c r="C3693" s="7">
        <f>IFERROR(__xludf.DUMMYFUNCTION("""COMPUTED_VALUE"""),7.799825)</f>
        <v>7.799825</v>
      </c>
      <c r="D3693" s="7">
        <f>IFERROR(__xludf.DUMMYFUNCTION("""COMPUTED_VALUE"""),0.421875)</f>
        <v>0.421875</v>
      </c>
    </row>
    <row r="3694">
      <c r="A3694" s="10" t="s">
        <v>5133</v>
      </c>
      <c r="B3694" s="7" t="str">
        <f>IFERROR(__xludf.DUMMYFUNCTION("SPLIT(A3694,"" "")"),"Cc1cccnc1CN(C)C1CCCCC1N(C)Cc1nc(C)c(C)c(C)c1C")</f>
        <v>Cc1cccnc1CN(C)C1CCCCC1N(C)Cc1nc(C)c(C)c(C)c1C</v>
      </c>
      <c r="C3694" s="7">
        <f>IFERROR(__xludf.DUMMYFUNCTION("""COMPUTED_VALUE"""),7.7998223)</f>
        <v>7.7998223</v>
      </c>
      <c r="D3694" s="7">
        <f>IFERROR(__xludf.DUMMYFUNCTION("""COMPUTED_VALUE"""),0.479166666666666)</f>
        <v>0.4791666667</v>
      </c>
    </row>
    <row r="3695">
      <c r="A3695" s="10" t="s">
        <v>5134</v>
      </c>
      <c r="B3695" s="7" t="str">
        <f>IFERROR(__xludf.DUMMYFUNCTION("SPLIT(A3695,"" "")"),"CNCc1cc(CN(Cc2ccccn2)C2CCC(N(C)Cc3ncccc3C)CC2)ccn1")</f>
        <v>CNCc1cc(CN(Cc2ccccn2)C2CCC(N(C)Cc3ncccc3C)CC2)ccn1</v>
      </c>
      <c r="C3695" s="7">
        <f>IFERROR(__xludf.DUMMYFUNCTION("""COMPUTED_VALUE"""),7.7998185)</f>
        <v>7.7998185</v>
      </c>
      <c r="D3695" s="7">
        <f>IFERROR(__xludf.DUMMYFUNCTION("""COMPUTED_VALUE"""),0.383333333333333)</f>
        <v>0.3833333333</v>
      </c>
    </row>
    <row r="3696">
      <c r="A3696" s="10" t="s">
        <v>5135</v>
      </c>
      <c r="B3696" s="7" t="str">
        <f>IFERROR(__xludf.DUMMYFUNCTION("SPLIT(A3696,"" "")"),"Cc1cnc(C)c(CN(C)C2CCCC(N(Cc3ccccn3)Cc3cccc(C4CCC4C)n3)C2)c1")</f>
        <v>Cc1cnc(C)c(CN(C)C2CCCC(N(Cc3ccccn3)Cc3cccc(C4CCC4C)n3)C2)c1</v>
      </c>
      <c r="C3696" s="7">
        <f>IFERROR(__xludf.DUMMYFUNCTION("""COMPUTED_VALUE"""),7.7998133)</f>
        <v>7.7998133</v>
      </c>
      <c r="D3696" s="7">
        <f>IFERROR(__xludf.DUMMYFUNCTION("""COMPUTED_VALUE"""),0.35820895522388)</f>
        <v>0.3582089552</v>
      </c>
    </row>
    <row r="3697">
      <c r="A3697" s="10" t="s">
        <v>5136</v>
      </c>
      <c r="B3697" s="7" t="str">
        <f>IFERROR(__xludf.DUMMYFUNCTION("SPLIT(A3697,"" "")"),"CC1=C(C)C(C)CC(C)(N(C)Cc2ccccn2)C1")</f>
        <v>CC1=C(C)C(C)CC(C)(N(C)Cc2ccccn2)C1</v>
      </c>
      <c r="C3697" s="7">
        <f>IFERROR(__xludf.DUMMYFUNCTION("""COMPUTED_VALUE"""),7.7997985)</f>
        <v>7.7997985</v>
      </c>
      <c r="D3697" s="7">
        <f>IFERROR(__xludf.DUMMYFUNCTION("""COMPUTED_VALUE"""),0.428571428571428)</f>
        <v>0.4285714286</v>
      </c>
    </row>
    <row r="3698">
      <c r="A3698" s="10" t="s">
        <v>5137</v>
      </c>
      <c r="B3698" s="7" t="str">
        <f>IFERROR(__xludf.DUMMYFUNCTION("SPLIT(A3698,"" "")"),"Cc1cnc(CN(Cc2nc(C)c(C)cc2C)C2CCC(N(C)C3CCCCC3N(Cc3ccccn3)Cc3ncc(C)c(C)c3C)CC2)c(C)c1")</f>
        <v>Cc1cnc(CN(Cc2nc(C)c(C)cc2C)C2CCC(N(C)C3CCCCC3N(Cc3ccccn3)Cc3ncc(C)c(C)c3C)CC2)c(C)c1</v>
      </c>
      <c r="C3698" s="7">
        <f>IFERROR(__xludf.DUMMYFUNCTION("""COMPUTED_VALUE"""),7.7997985)</f>
        <v>7.7997985</v>
      </c>
      <c r="D3698" s="7">
        <f>IFERROR(__xludf.DUMMYFUNCTION("""COMPUTED_VALUE"""),0.388059701492537)</f>
        <v>0.3880597015</v>
      </c>
    </row>
    <row r="3699">
      <c r="A3699" s="10" t="s">
        <v>5138</v>
      </c>
      <c r="B3699" s="7" t="str">
        <f>IFERROR(__xludf.DUMMYFUNCTION("SPLIT(A3699,"" "")"),"CN1CCN(C)CCN(CCCN(C)c2ccc3ncccc3c2)CC1")</f>
        <v>CN1CCN(C)CCN(CCCN(C)c2ccc3ncccc3c2)CC1</v>
      </c>
      <c r="C3699" s="7">
        <f>IFERROR(__xludf.DUMMYFUNCTION("""COMPUTED_VALUE"""),7.7997775)</f>
        <v>7.7997775</v>
      </c>
      <c r="D3699" s="7">
        <f>IFERROR(__xludf.DUMMYFUNCTION("""COMPUTED_VALUE"""),0.388888888888888)</f>
        <v>0.3888888889</v>
      </c>
    </row>
    <row r="3700">
      <c r="A3700" s="10" t="s">
        <v>5139</v>
      </c>
      <c r="B3700" s="7" t="str">
        <f>IFERROR(__xludf.DUMMYFUNCTION("SPLIT(A3700,"" "")"),"Cc1cc(C)c(CN(C)C2CCCC(N(C)Cc3ncccc3C)C2)nc1C")</f>
        <v>Cc1cc(C)c(CN(C)C2CCCC(N(C)Cc3ncccc3C)C2)nc1C</v>
      </c>
      <c r="C3700" s="7">
        <f>IFERROR(__xludf.DUMMYFUNCTION("""COMPUTED_VALUE"""),7.799777)</f>
        <v>7.799777</v>
      </c>
      <c r="D3700" s="7">
        <f>IFERROR(__xludf.DUMMYFUNCTION("""COMPUTED_VALUE"""),0.333333333333333)</f>
        <v>0.3333333333</v>
      </c>
    </row>
    <row r="3701">
      <c r="A3701" s="10" t="s">
        <v>5140</v>
      </c>
      <c r="B3701" s="7" t="str">
        <f>IFERROR(__xludf.DUMMYFUNCTION("SPLIT(A3701,"" "")"),"CCOC(=O)C(=O)C(C)C(C)NCc1cccc(CNCNCc2cccc(-c3cc(NCc4ccccn4)cc4c3OCCOCCOCCOCCOCCO4)n2)n1")</f>
        <v>CCOC(=O)C(=O)C(C)C(C)NCc1cccc(CNCNCc2cccc(-c3cc(NCc4ccccn4)cc4c3OCCOCCOCCOCCOCCO4)n2)n1</v>
      </c>
      <c r="C3701" s="7">
        <f>IFERROR(__xludf.DUMMYFUNCTION("""COMPUTED_VALUE"""),7.799775)</f>
        <v>7.799775</v>
      </c>
      <c r="D3701" s="7">
        <f>IFERROR(__xludf.DUMMYFUNCTION("""COMPUTED_VALUE"""),0.240506329113924)</f>
        <v>0.2405063291</v>
      </c>
    </row>
    <row r="3702">
      <c r="A3702" s="10" t="s">
        <v>5141</v>
      </c>
      <c r="B3702" s="7" t="str">
        <f>IFERROR(__xludf.DUMMYFUNCTION("SPLIT(A3702,"" "")"),"Cc1cccnc1CN(C)C1CCC(N(O)c2cccnc2CN(C)C(C)C)CC1")</f>
        <v>Cc1cccnc1CN(C)C1CCC(N(O)c2cccnc2CN(C)C(C)C)CC1</v>
      </c>
      <c r="C3702" s="7">
        <f>IFERROR(__xludf.DUMMYFUNCTION("""COMPUTED_VALUE"""),7.7997417)</f>
        <v>7.7997417</v>
      </c>
      <c r="D3702" s="7">
        <f>IFERROR(__xludf.DUMMYFUNCTION("""COMPUTED_VALUE"""),0.290322580645161)</f>
        <v>0.2903225806</v>
      </c>
    </row>
    <row r="3703">
      <c r="A3703" s="10" t="s">
        <v>5142</v>
      </c>
      <c r="B3703" s="7" t="str">
        <f>IFERROR(__xludf.DUMMYFUNCTION("SPLIT(A3703,"" "")"),"CNC1C=C(F)C=CN1")</f>
        <v>CNC1C=C(F)C=CN1</v>
      </c>
      <c r="C3703" s="7">
        <f>IFERROR(__xludf.DUMMYFUNCTION("""COMPUTED_VALUE"""),7.7997346)</f>
        <v>7.7997346</v>
      </c>
      <c r="D3703" s="7">
        <f>IFERROR(__xludf.DUMMYFUNCTION("""COMPUTED_VALUE"""),0.14)</f>
        <v>0.14</v>
      </c>
    </row>
    <row r="3704">
      <c r="A3704" s="10" t="s">
        <v>5143</v>
      </c>
      <c r="B3704" s="7" t="str">
        <f>IFERROR(__xludf.DUMMYFUNCTION("SPLIT(A3704,"" "")"),"Cc1ccnc(CN(Cc2ccc(CN(Cc3ccc(-c4ccc5c(c4)OCCOCCOCCOCCOCCO5)cn3)Cc3ncccc3C)nc2)C2CCCC(N(C)Cc3cc(-c4ccc5c(c4)OCCOCCOCCOCCOCCO5)ccn3)C2)c1")</f>
        <v>Cc1ccnc(CN(Cc2ccc(CN(Cc3ccc(-c4ccc5c(c4)OCCOCCOCCOCCOCCO5)cn3)Cc3ncccc3C)nc2)C2CCCC(N(C)Cc3cc(-c4ccc5c(c4)OCCOCCOCCOCCOCCO5)ccn3)C2)c1</v>
      </c>
      <c r="C3704" s="7">
        <f>IFERROR(__xludf.DUMMYFUNCTION("""COMPUTED_VALUE"""),7.799734)</f>
        <v>7.799734</v>
      </c>
      <c r="D3704" s="7">
        <f>IFERROR(__xludf.DUMMYFUNCTION("""COMPUTED_VALUE"""),0.366666666666666)</f>
        <v>0.3666666667</v>
      </c>
    </row>
    <row r="3705">
      <c r="A3705" s="10" t="s">
        <v>5144</v>
      </c>
      <c r="B3705" s="7" t="str">
        <f>IFERROR(__xludf.DUMMYFUNCTION("SPLIT(A3705,"" "")"),"Cc1cnc(CN(C)CCN(C)Cc2cccc(-c3cccc4c3OCCOCCOCCOCCOCCO4)n2)c(C)c1C")</f>
        <v>Cc1cnc(CN(C)CCN(C)Cc2cccc(-c3cccc4c3OCCOCCOCCOCCOCCO4)n2)c(C)c1C</v>
      </c>
      <c r="C3705" s="7">
        <f>IFERROR(__xludf.DUMMYFUNCTION("""COMPUTED_VALUE"""),7.799726)</f>
        <v>7.799726</v>
      </c>
      <c r="D3705" s="7">
        <f>IFERROR(__xludf.DUMMYFUNCTION("""COMPUTED_VALUE"""),0.35593220338983)</f>
        <v>0.3559322034</v>
      </c>
    </row>
    <row r="3706">
      <c r="A3706" s="10" t="s">
        <v>5145</v>
      </c>
      <c r="B3706" s="7" t="str">
        <f>IFERROR(__xludf.DUMMYFUNCTION("SPLIT(A3706,"" "")"),"CN(Cc1cccc(-c2cccc3c2OCCOCCOCCOCCOCCO3)n1)CC1C=CNC=C1N(C)Cc1ccccn1")</f>
        <v>CN(Cc1cccc(-c2cccc3c2OCCOCCOCCOCCOCCO3)n1)CC1C=CNC=C1N(C)Cc1ccccn1</v>
      </c>
      <c r="C3706" s="7">
        <f>IFERROR(__xludf.DUMMYFUNCTION("""COMPUTED_VALUE"""),7.79972)</f>
        <v>7.79972</v>
      </c>
      <c r="D3706" s="7">
        <f>IFERROR(__xludf.DUMMYFUNCTION("""COMPUTED_VALUE"""),0.391304347826087)</f>
        <v>0.3913043478</v>
      </c>
    </row>
    <row r="3707">
      <c r="A3707" s="10" t="s">
        <v>5146</v>
      </c>
      <c r="B3707" s="7" t="str">
        <f>IFERROR(__xludf.DUMMYFUNCTION("SPLIT(A3707,"" "")"),"CCNCc1cc(CN(Cc2ccccn2)Cc2cc(-c3ccc4c(c3)OCCOCCOCCOCCOCCO4)ccn2)ccn1")</f>
        <v>CCNCc1cc(CN(Cc2ccccn2)Cc2cc(-c3ccc4c(c3)OCCOCCOCCOCCOCCO4)ccn2)ccn1</v>
      </c>
      <c r="C3707" s="7">
        <f>IFERROR(__xludf.DUMMYFUNCTION("""COMPUTED_VALUE"""),7.799718)</f>
        <v>7.799718</v>
      </c>
      <c r="D3707" s="7">
        <f>IFERROR(__xludf.DUMMYFUNCTION("""COMPUTED_VALUE"""),0.357142857142857)</f>
        <v>0.3571428571</v>
      </c>
    </row>
    <row r="3708">
      <c r="A3708" s="10" t="s">
        <v>5147</v>
      </c>
      <c r="B3708" s="7" t="str">
        <f>IFERROR(__xludf.DUMMYFUNCTION("SPLIT(A3708,"" "")"),"COC(=O)C(=O)C(C)C1(C)COC(c2cccnc2CN2CCN(C)CCN(C)CC2)=N1")</f>
        <v>COC(=O)C(=O)C(C)C1(C)COC(c2cccnc2CN2CCN(C)CCN(C)CC2)=N1</v>
      </c>
      <c r="C3708" s="7">
        <f>IFERROR(__xludf.DUMMYFUNCTION("""COMPUTED_VALUE"""),7.7996917)</f>
        <v>7.7996917</v>
      </c>
      <c r="D3708" s="7">
        <f>IFERROR(__xludf.DUMMYFUNCTION("""COMPUTED_VALUE"""),0.328125)</f>
        <v>0.328125</v>
      </c>
    </row>
    <row r="3709">
      <c r="A3709" s="10" t="s">
        <v>5148</v>
      </c>
      <c r="B3709" s="7" t="str">
        <f>IFERROR(__xludf.DUMMYFUNCTION("SPLIT(A3709,"" "")"),"Cc1cc(CN(C)C2CCCCC2N(C)Cc2ccon2)nc(C)c1C")</f>
        <v>Cc1cc(CN(C)C2CCCCC2N(C)Cc2ccon2)nc(C)c1C</v>
      </c>
      <c r="C3709" s="7">
        <f>IFERROR(__xludf.DUMMYFUNCTION("""COMPUTED_VALUE"""),7.7996902)</f>
        <v>7.7996902</v>
      </c>
      <c r="D3709" s="7">
        <f>IFERROR(__xludf.DUMMYFUNCTION("""COMPUTED_VALUE"""),0.46)</f>
        <v>0.46</v>
      </c>
    </row>
    <row r="3710">
      <c r="A3710" s="10" t="s">
        <v>5149</v>
      </c>
      <c r="B3710" s="7" t="str">
        <f>IFERROR(__xludf.DUMMYFUNCTION("SPLIT(A3710,"" "")"),"CN1CCN(C)CCN(CCCN(C)c2ccc3cccnc3c2)CC1")</f>
        <v>CN1CCN(C)CCN(CCCN(C)c2ccc3cccnc3c2)CC1</v>
      </c>
      <c r="C3710" s="7">
        <f>IFERROR(__xludf.DUMMYFUNCTION("""COMPUTED_VALUE"""),7.799674)</f>
        <v>7.799674</v>
      </c>
      <c r="D3710" s="7">
        <f>IFERROR(__xludf.DUMMYFUNCTION("""COMPUTED_VALUE"""),0.372549019607843)</f>
        <v>0.3725490196</v>
      </c>
    </row>
    <row r="3711">
      <c r="A3711" s="10" t="s">
        <v>5150</v>
      </c>
      <c r="B3711" s="7" t="str">
        <f>IFERROR(__xludf.DUMMYFUNCTION("SPLIT(A3711,"" "")"),"CC(c1ccccn1)N1CCN(C)CCN(Cc2cccc(C(C)(C)c3cccc(C4CCC4(C)C)n3)n2)CC1")</f>
        <v>CC(c1ccccn1)N1CCN(C)CCN(Cc2cccc(C(C)(C)c3cccc(C4CCC4(C)C)n3)n2)CC1</v>
      </c>
      <c r="C3711" s="7">
        <f>IFERROR(__xludf.DUMMYFUNCTION("""COMPUTED_VALUE"""),7.7996655)</f>
        <v>7.7996655</v>
      </c>
      <c r="D3711" s="7">
        <f>IFERROR(__xludf.DUMMYFUNCTION("""COMPUTED_VALUE"""),0.4)</f>
        <v>0.4</v>
      </c>
    </row>
    <row r="3712">
      <c r="A3712" s="10" t="s">
        <v>5151</v>
      </c>
      <c r="B3712" s="7" t="str">
        <f>IFERROR(__xludf.DUMMYFUNCTION("SPLIT(A3712,"" "")"),"CN(Cc1cc(-c2ccc3c(c2)OCCOCCOCCOCCOCCO3)ccn1)C1=C(C(C)(C)C)NC=CC1")</f>
        <v>CN(Cc1cc(-c2ccc3c(c2)OCCOCCOCCOCCOCCO3)ccn1)C1=C(C(C)(C)C)NC=CC1</v>
      </c>
      <c r="C3712" s="7">
        <f>IFERROR(__xludf.DUMMYFUNCTION("""COMPUTED_VALUE"""),7.799659)</f>
        <v>7.799659</v>
      </c>
      <c r="D3712" s="7">
        <f>IFERROR(__xludf.DUMMYFUNCTION("""COMPUTED_VALUE"""),0.337837837837837)</f>
        <v>0.3378378378</v>
      </c>
    </row>
    <row r="3713">
      <c r="A3713" s="10" t="s">
        <v>5152</v>
      </c>
      <c r="B3713" s="7" t="str">
        <f>IFERROR(__xludf.DUMMYFUNCTION("SPLIT(A3713,"" "")"),"CN(Cc1cccc(-c2ccc3c(c2)OCCOCCOCCOCCOCCO3)n1)C1=CCC=CN1")</f>
        <v>CN(Cc1cccc(-c2ccc3c(c2)OCCOCCOCCOCCOCCO3)n1)C1=CCC=CN1</v>
      </c>
      <c r="C3713" s="7">
        <f>IFERROR(__xludf.DUMMYFUNCTION("""COMPUTED_VALUE"""),7.799651)</f>
        <v>7.799651</v>
      </c>
      <c r="D3713" s="7">
        <f>IFERROR(__xludf.DUMMYFUNCTION("""COMPUTED_VALUE"""),0.31081081081081)</f>
        <v>0.3108108108</v>
      </c>
    </row>
    <row r="3714">
      <c r="A3714" s="10" t="s">
        <v>5153</v>
      </c>
      <c r="B3714" s="7" t="str">
        <f>IFERROR(__xludf.DUMMYFUNCTION("SPLIT(A3714,"" "")"),"Cc1cccnc1CN(C)CCN(C)C1CCCC(N(Cc2ccccn2)Cc2ncc(C)c(C)c2C)C1")</f>
        <v>Cc1cccnc1CN(C)CCN(C)C1CCCC(N(Cc2ccccn2)Cc2ncc(C)c(C)c2C)C1</v>
      </c>
      <c r="C3714" s="7">
        <f>IFERROR(__xludf.DUMMYFUNCTION("""COMPUTED_VALUE"""),7.799648)</f>
        <v>7.799648</v>
      </c>
      <c r="D3714" s="7">
        <f>IFERROR(__xludf.DUMMYFUNCTION("""COMPUTED_VALUE"""),0.387096774193548)</f>
        <v>0.3870967742</v>
      </c>
    </row>
    <row r="3715">
      <c r="A3715" s="10" t="s">
        <v>5154</v>
      </c>
      <c r="B3715" s="7" t="str">
        <f>IFERROR(__xludf.DUMMYFUNCTION("SPLIT(A3715,"" "")"),"Cc1ncccc1CN(C)Cc1cccc(-c2ccc3c(c2)OCCOCCOCCOCCOCCO3)n1")</f>
        <v>Cc1ncccc1CN(C)Cc1cccc(-c2ccc3c(c2)OCCOCCOCCOCCOCCO3)n1</v>
      </c>
      <c r="C3715" s="7">
        <f>IFERROR(__xludf.DUMMYFUNCTION("""COMPUTED_VALUE"""),7.799645)</f>
        <v>7.799645</v>
      </c>
      <c r="D3715" s="7">
        <f>IFERROR(__xludf.DUMMYFUNCTION("""COMPUTED_VALUE"""),0.406779661016949)</f>
        <v>0.406779661</v>
      </c>
    </row>
    <row r="3716">
      <c r="A3716" s="10" t="s">
        <v>5155</v>
      </c>
      <c r="B3716" s="7" t="str">
        <f>IFERROR(__xludf.DUMMYFUNCTION("SPLIT(A3716,"" "")"),"CC1C=CC(C)C(C)(N(Cc2ccccn2)Cc2ccccn2)C1")</f>
        <v>CC1C=CC(C)C(C)(N(Cc2ccccn2)Cc2ccccn2)C1</v>
      </c>
      <c r="C3716" s="7">
        <f>IFERROR(__xludf.DUMMYFUNCTION("""COMPUTED_VALUE"""),7.799643)</f>
        <v>7.799643</v>
      </c>
      <c r="D3716" s="7">
        <f>IFERROR(__xludf.DUMMYFUNCTION("""COMPUTED_VALUE"""),0.425531914893617)</f>
        <v>0.4255319149</v>
      </c>
    </row>
    <row r="3717">
      <c r="A3717" s="10" t="s">
        <v>5156</v>
      </c>
      <c r="B3717" s="7" t="str">
        <f>IFERROR(__xludf.DUMMYFUNCTION("SPLIT(A3717,"" "")"),"CN1CCN(C)CCN(Cc2ccc(CN(C)C3CCCCC3N(C)c3ccc4ccc(CF)nc4c3)nc2)CC1")</f>
        <v>CN1CCN(C)CCN(Cc2ccc(CN(C)C3CCCCC3N(C)c3ccc4ccc(CF)nc4c3)nc2)CC1</v>
      </c>
      <c r="C3717" s="7">
        <f>IFERROR(__xludf.DUMMYFUNCTION("""COMPUTED_VALUE"""),7.7996387)</f>
        <v>7.7996387</v>
      </c>
      <c r="D3717" s="7">
        <f>IFERROR(__xludf.DUMMYFUNCTION("""COMPUTED_VALUE"""),0.40625)</f>
        <v>0.40625</v>
      </c>
    </row>
    <row r="3718">
      <c r="A3718" s="10" t="s">
        <v>5157</v>
      </c>
      <c r="B3718" s="7" t="str">
        <f>IFERROR(__xludf.DUMMYFUNCTION("SPLIT(A3718,"" "")"),"CN(Cc1cccc(-c2cccc3c2OCCOCCOCCOCCOCCO3)n1)Cc1ncccc1C(C)(C)C")</f>
        <v>CN(Cc1cccc(-c2cccc3c2OCCOCCOCCOCCOCCO3)n1)Cc1ncccc1C(C)(C)C</v>
      </c>
      <c r="C3718" s="7">
        <f>IFERROR(__xludf.DUMMYFUNCTION("""COMPUTED_VALUE"""),7.799638)</f>
        <v>7.799638</v>
      </c>
      <c r="D3718" s="7">
        <f>IFERROR(__xludf.DUMMYFUNCTION("""COMPUTED_VALUE"""),0.387096774193548)</f>
        <v>0.3870967742</v>
      </c>
    </row>
    <row r="3719">
      <c r="A3719" s="10" t="s">
        <v>5158</v>
      </c>
      <c r="B3719" s="7" t="str">
        <f>IFERROR(__xludf.DUMMYFUNCTION("SPLIT(A3719,"" "")"),"CC(C)N(C)CN(Cc1ncccc1N)C(C)C")</f>
        <v>CC(C)N(C)CN(Cc1ncccc1N)C(C)C</v>
      </c>
      <c r="C3719" s="7">
        <f>IFERROR(__xludf.DUMMYFUNCTION("""COMPUTED_VALUE"""),7.7996364)</f>
        <v>7.7996364</v>
      </c>
      <c r="D3719" s="7">
        <f>IFERROR(__xludf.DUMMYFUNCTION("""COMPUTED_VALUE"""),0.41860465116279)</f>
        <v>0.4186046512</v>
      </c>
    </row>
    <row r="3720">
      <c r="A3720" s="10" t="s">
        <v>5159</v>
      </c>
      <c r="B3720" s="7" t="str">
        <f>IFERROR(__xludf.DUMMYFUNCTION("SPLIT(A3720,"" "")"),"CCOC(C)c1cccc(CN(Cc2ccccn2)C2CCCCC2N(C)Cc2ncccc2C)n1")</f>
        <v>CCOC(C)c1cccc(CN(Cc2ccccn2)C2CCCCC2N(C)Cc2ncccc2C)n1</v>
      </c>
      <c r="C3720" s="7">
        <f>IFERROR(__xludf.DUMMYFUNCTION("""COMPUTED_VALUE"""),7.799635)</f>
        <v>7.799635</v>
      </c>
      <c r="D3720" s="7">
        <f>IFERROR(__xludf.DUMMYFUNCTION("""COMPUTED_VALUE"""),0.483333333333333)</f>
        <v>0.4833333333</v>
      </c>
    </row>
    <row r="3721">
      <c r="A3721" s="10" t="s">
        <v>5160</v>
      </c>
      <c r="B3721" s="7" t="str">
        <f>IFERROR(__xludf.DUMMYFUNCTION("SPLIT(A3721,"" "")"),"Cc1cc(CN(C)CCN(Cc2ccccn2)C2(C)CCC2)cnc1C")</f>
        <v>Cc1cc(CN(C)CCN(Cc2ccccn2)C2(C)CCC2)cnc1C</v>
      </c>
      <c r="C3721" s="7">
        <f>IFERROR(__xludf.DUMMYFUNCTION("""COMPUTED_VALUE"""),7.799631)</f>
        <v>7.799631</v>
      </c>
      <c r="D3721" s="7">
        <f>IFERROR(__xludf.DUMMYFUNCTION("""COMPUTED_VALUE"""),0.369230769230769)</f>
        <v>0.3692307692</v>
      </c>
    </row>
    <row r="3722">
      <c r="A3722" s="10" t="s">
        <v>5161</v>
      </c>
      <c r="B3722" s="7" t="str">
        <f>IFERROR(__xludf.DUMMYFUNCTION("SPLIT(A3722,"" "")"),"CC(C)C(C)N(C)CC1=CCC(N(C)C(C)C)=CN1")</f>
        <v>CC(C)C(C)N(C)CC1=CCC(N(C)C(C)C)=CN1</v>
      </c>
      <c r="C3722" s="7">
        <f>IFERROR(__xludf.DUMMYFUNCTION("""COMPUTED_VALUE"""),7.7996283)</f>
        <v>7.7996283</v>
      </c>
      <c r="D3722" s="7">
        <f>IFERROR(__xludf.DUMMYFUNCTION("""COMPUTED_VALUE"""),0.196078431372549)</f>
        <v>0.1960784314</v>
      </c>
    </row>
    <row r="3723">
      <c r="A3723" s="10" t="s">
        <v>5162</v>
      </c>
      <c r="B3723" s="7" t="str">
        <f>IFERROR(__xludf.DUMMYFUNCTION("SPLIT(A3723,"" "")"),"CNCc1ncccc1CN(Cc1ccccn1)C1CCC(N(C)Cc2ncccc2C)CC1")</f>
        <v>CNCc1ncccc1CN(Cc1ccccn1)C1CCC(N(C)Cc2ncccc2C)CC1</v>
      </c>
      <c r="C3723" s="7">
        <f>IFERROR(__xludf.DUMMYFUNCTION("""COMPUTED_VALUE"""),7.799627)</f>
        <v>7.799627</v>
      </c>
      <c r="D3723" s="7">
        <f>IFERROR(__xludf.DUMMYFUNCTION("""COMPUTED_VALUE"""),0.396551724137931)</f>
        <v>0.3965517241</v>
      </c>
    </row>
    <row r="3724">
      <c r="A3724" s="10" t="s">
        <v>5163</v>
      </c>
      <c r="B3724" s="7" t="str">
        <f>IFERROR(__xludf.DUMMYFUNCTION("SPLIT(A3724,"" "")"),"c1ccc(CN(Cc2ccccn2)Cc2cccnc2-c2cccc3c2OCCOCCOCCOCCOCCO3)nc1")</f>
        <v>c1ccc(CN(Cc2ccccn2)Cc2cccnc2-c2cccc3c2OCCOCCOCCOCCOCCO3)nc1</v>
      </c>
      <c r="C3724" s="7">
        <f>IFERROR(__xludf.DUMMYFUNCTION("""COMPUTED_VALUE"""),7.799625)</f>
        <v>7.799625</v>
      </c>
      <c r="D3724" s="7">
        <f>IFERROR(__xludf.DUMMYFUNCTION("""COMPUTED_VALUE"""),0.425531914893617)</f>
        <v>0.4255319149</v>
      </c>
    </row>
    <row r="3725">
      <c r="A3725" s="10" t="s">
        <v>5164</v>
      </c>
      <c r="B3725" s="7" t="str">
        <f>IFERROR(__xludf.DUMMYFUNCTION("SPLIT(A3725,"" "")"),"CC1=CC(C)C(C)(c2cccc(CN(Cc3ccccn3)C3CCC(N(C)Cc4ncccc4C)CC3)n2)CC1")</f>
        <v>CC1=CC(C)C(C)(c2cccc(CN(Cc3ccccn3)C3CCC(N(C)Cc4ncccc4C)CC3)n2)CC1</v>
      </c>
      <c r="C3725" s="7">
        <f>IFERROR(__xludf.DUMMYFUNCTION("""COMPUTED_VALUE"""),7.7996225)</f>
        <v>7.7996225</v>
      </c>
      <c r="D3725" s="7">
        <f>IFERROR(__xludf.DUMMYFUNCTION("""COMPUTED_VALUE"""),0.338235294117647)</f>
        <v>0.3382352941</v>
      </c>
    </row>
    <row r="3726">
      <c r="A3726" s="10" t="s">
        <v>5165</v>
      </c>
      <c r="B3726" s="7" t="str">
        <f>IFERROR(__xludf.DUMMYFUNCTION("SPLIT(A3726,"" "")"),"c1ccc(CN(Cc2cccnc2)Cc2cccc(-c3ccc4c(c3)OCCOCCOCCOCCOCCO4)n2)nc1")</f>
        <v>c1ccc(CN(Cc2cccnc2)Cc2cccc(-c3ccc4c(c3)OCCOCCOCCOCCOCCO4)n2)nc1</v>
      </c>
      <c r="C3726" s="7">
        <f>IFERROR(__xludf.DUMMYFUNCTION("""COMPUTED_VALUE"""),7.7996206)</f>
        <v>7.7996206</v>
      </c>
      <c r="D3726" s="7">
        <f>IFERROR(__xludf.DUMMYFUNCTION("""COMPUTED_VALUE"""),0.461538461538461)</f>
        <v>0.4615384615</v>
      </c>
    </row>
    <row r="3727">
      <c r="A3727" s="10" t="s">
        <v>5166</v>
      </c>
      <c r="B3727" s="7" t="str">
        <f>IFERROR(__xludf.DUMMYFUNCTION("SPLIT(A3727,"" "")"),"Cc1ccc(C)c(CN(C)C2CCCC(N(C)Cc3cccnc3CN(C)C)C2)n1")</f>
        <v>Cc1ccc(C)c(CN(C)C2CCCC(N(C)Cc3cccnc3CN(C)C)C2)n1</v>
      </c>
      <c r="C3727" s="7">
        <f>IFERROR(__xludf.DUMMYFUNCTION("""COMPUTED_VALUE"""),7.799617)</f>
        <v>7.799617</v>
      </c>
      <c r="D3727" s="7">
        <f>IFERROR(__xludf.DUMMYFUNCTION("""COMPUTED_VALUE"""),0.327586206896551)</f>
        <v>0.3275862069</v>
      </c>
    </row>
    <row r="3728">
      <c r="A3728" s="10" t="s">
        <v>5167</v>
      </c>
      <c r="B3728" s="7" t="str">
        <f>IFERROR(__xludf.DUMMYFUNCTION("SPLIT(A3728,"" "")"),"CNCc1cccc(CN(Cc2ccccn2)C2CCC(N(C)Cc3ncccc3C)CC2)n1")</f>
        <v>CNCc1cccc(CN(Cc2ccccn2)C2CCC(N(C)Cc3ncccc3C)CC2)n1</v>
      </c>
      <c r="C3728" s="7">
        <f>IFERROR(__xludf.DUMMYFUNCTION("""COMPUTED_VALUE"""),7.7996054)</f>
        <v>7.7996054</v>
      </c>
      <c r="D3728" s="7">
        <f>IFERROR(__xludf.DUMMYFUNCTION("""COMPUTED_VALUE"""),0.396551724137931)</f>
        <v>0.3965517241</v>
      </c>
    </row>
    <row r="3729">
      <c r="A3729" s="10" t="s">
        <v>5168</v>
      </c>
      <c r="B3729" s="7" t="str">
        <f>IFERROR(__xludf.DUMMYFUNCTION("SPLIT(A3729,"" "")"),"Cc1cccc(-c2cccc(CN(C)C3CCC(N(C)Cc4cccc(-c5ccc6c(c5)OCCOCCOCCOCCOCCO6)n4)CC3)n2)c1")</f>
        <v>Cc1cccc(-c2cccc(CN(C)C3CCC(N(C)Cc4cccc(-c5ccc6c(c5)OCCOCCOCCOCCOCCO6)n4)CC3)n2)c1</v>
      </c>
      <c r="C3729" s="7">
        <f>IFERROR(__xludf.DUMMYFUNCTION("""COMPUTED_VALUE"""),7.7995977)</f>
        <v>7.7995977</v>
      </c>
      <c r="D3729" s="7">
        <f>IFERROR(__xludf.DUMMYFUNCTION("""COMPUTED_VALUE"""),0.357142857142857)</f>
        <v>0.3571428571</v>
      </c>
    </row>
    <row r="3730">
      <c r="A3730" s="10" t="s">
        <v>5169</v>
      </c>
      <c r="B3730" s="7" t="str">
        <f>IFERROR(__xludf.DUMMYFUNCTION("SPLIT(A3730,"" "")"),"Cc1cccnc1CN(C)CCF")</f>
        <v>Cc1cccnc1CN(C)CCF</v>
      </c>
      <c r="C3730" s="7">
        <f>IFERROR(__xludf.DUMMYFUNCTION("""COMPUTED_VALUE"""),7.799596)</f>
        <v>7.799596</v>
      </c>
      <c r="D3730" s="7">
        <f>IFERROR(__xludf.DUMMYFUNCTION("""COMPUTED_VALUE"""),0.41025641025641)</f>
        <v>0.4102564103</v>
      </c>
    </row>
    <row r="3731">
      <c r="A3731" s="10" t="s">
        <v>5170</v>
      </c>
      <c r="B3731" s="7" t="str">
        <f>IFERROR(__xludf.DUMMYFUNCTION("SPLIT(A3731,"" "")"),"Cc1cncc(CN(C)CCN(Cc2ccccn2)C(C)(C)c2cccnc2-c2ccc3c(c2)OCCOCCOCCOCCOCCO3)c1")</f>
        <v>Cc1cncc(CN(C)CCN(Cc2ccccn2)C(C)(C)c2cccnc2-c2ccc3c(c2)OCCOCCOCCOCCOCCO3)c1</v>
      </c>
      <c r="C3731" s="7">
        <f>IFERROR(__xludf.DUMMYFUNCTION("""COMPUTED_VALUE"""),7.7995906)</f>
        <v>7.7995906</v>
      </c>
      <c r="D3731" s="7">
        <f>IFERROR(__xludf.DUMMYFUNCTION("""COMPUTED_VALUE"""),0.301204819277108)</f>
        <v>0.3012048193</v>
      </c>
    </row>
    <row r="3732">
      <c r="A3732" s="10" t="s">
        <v>5171</v>
      </c>
      <c r="B3732" s="7" t="str">
        <f>IFERROR(__xludf.DUMMYFUNCTION("SPLIT(A3732,"" "")"),"Nc1cccnc1CN(CCNCF)Cc1ccccn1")</f>
        <v>Nc1cccnc1CN(CCNCF)Cc1ccccn1</v>
      </c>
      <c r="C3732" s="7">
        <f>IFERROR(__xludf.DUMMYFUNCTION("""COMPUTED_VALUE"""),7.7995906)</f>
        <v>7.7995906</v>
      </c>
      <c r="D3732" s="7">
        <f>IFERROR(__xludf.DUMMYFUNCTION("""COMPUTED_VALUE"""),0.452380952380952)</f>
        <v>0.4523809524</v>
      </c>
    </row>
    <row r="3733">
      <c r="A3733" s="10" t="s">
        <v>5172</v>
      </c>
      <c r="B3733" s="7" t="str">
        <f>IFERROR(__xludf.DUMMYFUNCTION("SPLIT(A3733,"" "")"),"Cc1ccnc(CN(C)Cc2cc(-c3ccc4c(c3)OCCOCCOCCOCCOCCO4)ccn2)c1")</f>
        <v>Cc1ccnc(CN(C)Cc2cc(-c3ccc4c(c3)OCCOCCOCCOCCOCCO4)ccn2)c1</v>
      </c>
      <c r="C3733" s="7">
        <f>IFERROR(__xludf.DUMMYFUNCTION("""COMPUTED_VALUE"""),7.7995796)</f>
        <v>7.7995796</v>
      </c>
      <c r="D3733" s="7">
        <f>IFERROR(__xludf.DUMMYFUNCTION("""COMPUTED_VALUE"""),0.403225806451612)</f>
        <v>0.4032258065</v>
      </c>
    </row>
    <row r="3734">
      <c r="A3734" s="10" t="s">
        <v>5173</v>
      </c>
      <c r="B3734" s="7" t="str">
        <f>IFERROR(__xludf.DUMMYFUNCTION("SPLIT(A3734,"" "")"),"CNC1CCC(N(Cc2cc(C)ccn2)Cc2nc(C)c(C)c(C)c2C)CC1")</f>
        <v>CNC1CCC(N(Cc2cc(C)ccn2)Cc2nc(C)c(C)c(C)c2C)CC1</v>
      </c>
      <c r="C3734" s="7">
        <f>IFERROR(__xludf.DUMMYFUNCTION("""COMPUTED_VALUE"""),7.799576)</f>
        <v>7.799576</v>
      </c>
      <c r="D3734" s="7">
        <f>IFERROR(__xludf.DUMMYFUNCTION("""COMPUTED_VALUE"""),0.305084745762711)</f>
        <v>0.3050847458</v>
      </c>
    </row>
    <row r="3735">
      <c r="A3735" s="10" t="s">
        <v>5174</v>
      </c>
      <c r="B3735" s="7" t="str">
        <f>IFERROR(__xludf.DUMMYFUNCTION("SPLIT(A3735,"" "")"),"Nc1ccc(CN(CCNCF)Cc2ccccn2)nc1")</f>
        <v>Nc1ccc(CN(CCNCF)Cc2ccccn2)nc1</v>
      </c>
      <c r="C3735" s="7">
        <f>IFERROR(__xludf.DUMMYFUNCTION("""COMPUTED_VALUE"""),7.799567)</f>
        <v>7.799567</v>
      </c>
      <c r="D3735" s="7">
        <f>IFERROR(__xludf.DUMMYFUNCTION("""COMPUTED_VALUE"""),0.463414634146341)</f>
        <v>0.4634146341</v>
      </c>
    </row>
    <row r="3736">
      <c r="A3736" s="10" t="s">
        <v>5175</v>
      </c>
      <c r="B3736" s="7" t="str">
        <f>IFERROR(__xludf.DUMMYFUNCTION("SPLIT(A3736,"" "")"),"Cc1nc(CN(C)C2CCC(N(C)Cc3ncccc3CF)CC2)c(C)c(C)c1C")</f>
        <v>Cc1nc(CN(C)C2CCC(N(C)Cc3ncccc3CF)CC2)c(C)c(C)c1C</v>
      </c>
      <c r="C3736" s="7">
        <f>IFERROR(__xludf.DUMMYFUNCTION("""COMPUTED_VALUE"""),7.799547)</f>
        <v>7.799547</v>
      </c>
      <c r="D3736" s="7">
        <f>IFERROR(__xludf.DUMMYFUNCTION("""COMPUTED_VALUE"""),0.309090909090909)</f>
        <v>0.3090909091</v>
      </c>
    </row>
    <row r="3737">
      <c r="A3737" s="10" t="s">
        <v>5176</v>
      </c>
      <c r="B3737" s="7" t="str">
        <f>IFERROR(__xludf.DUMMYFUNCTION("SPLIT(A3737,"" "")"),"CC1=CC(N(C)Cc2ccccn2)C(C)C(C)C12C=CNC(C(C)C)=C2")</f>
        <v>CC1=CC(N(C)Cc2ccccn2)C(C)C(C)C12C=CNC(C(C)C)=C2</v>
      </c>
      <c r="C3737" s="7">
        <f>IFERROR(__xludf.DUMMYFUNCTION("""COMPUTED_VALUE"""),7.7995386)</f>
        <v>7.7995386</v>
      </c>
      <c r="D3737" s="7">
        <f>IFERROR(__xludf.DUMMYFUNCTION("""COMPUTED_VALUE"""),0.366666666666666)</f>
        <v>0.3666666667</v>
      </c>
    </row>
    <row r="3738">
      <c r="A3738" s="10" t="s">
        <v>5177</v>
      </c>
      <c r="B3738" s="7" t="str">
        <f>IFERROR(__xludf.DUMMYFUNCTION("SPLIT(A3738,"" "")"),"CC1=CC(C)CC2(C=CC(C)C(N(Cc3ccccn3)Cc3ccccn3)C23CC(C)=CC(C)C3)C1")</f>
        <v>CC1=CC(C)CC2(C=CC(C)C(N(Cc3ccccn3)Cc3ccccn3)C23CC(C)=CC(C)C3)C1</v>
      </c>
      <c r="C3738" s="7">
        <f>IFERROR(__xludf.DUMMYFUNCTION("""COMPUTED_VALUE"""),7.7995276)</f>
        <v>7.7995276</v>
      </c>
      <c r="D3738" s="7">
        <f>IFERROR(__xludf.DUMMYFUNCTION("""COMPUTED_VALUE"""),0.338983050847457)</f>
        <v>0.3389830508</v>
      </c>
    </row>
    <row r="3739">
      <c r="A3739" s="10" t="s">
        <v>5178</v>
      </c>
      <c r="B3739" s="7" t="str">
        <f>IFERROR(__xludf.DUMMYFUNCTION("SPLIT(A3739,"" "")"),"CN(Cc1cccc(-c2ccc3c(c2)OCCOCCOCCOCCOCCO3)n1)C1CCC(N(Cc2ccccn2)Cc2cccc(C3=CCC=CN3)n2)CC1")</f>
        <v>CN(Cc1cccc(-c2ccc3c(c2)OCCOCCOCCOCCOCCO3)n1)C1CCC(N(Cc2ccccn2)Cc2cccc(C3=CCC=CN3)n2)CC1</v>
      </c>
      <c r="C3739" s="7">
        <f>IFERROR(__xludf.DUMMYFUNCTION("""COMPUTED_VALUE"""),7.799496)</f>
        <v>7.799496</v>
      </c>
      <c r="D3739" s="7">
        <f>IFERROR(__xludf.DUMMYFUNCTION("""COMPUTED_VALUE"""),0.346153846153846)</f>
        <v>0.3461538462</v>
      </c>
    </row>
    <row r="3740">
      <c r="A3740" s="10" t="s">
        <v>5179</v>
      </c>
      <c r="B3740" s="7" t="str">
        <f>IFERROR(__xludf.DUMMYFUNCTION("SPLIT(A3740,"" "")"),"Cc1nc(CN2CCN(C)CCN(c3ccccc3F)CC2)c(C)c(C)c1C")</f>
        <v>Cc1nc(CN2CCN(C)CCN(c3ccccc3F)CC2)c(C)c(C)c1C</v>
      </c>
      <c r="C3740" s="7">
        <f>IFERROR(__xludf.DUMMYFUNCTION("""COMPUTED_VALUE"""),7.7994943)</f>
        <v>7.7994943</v>
      </c>
      <c r="D3740" s="7">
        <f>IFERROR(__xludf.DUMMYFUNCTION("""COMPUTED_VALUE"""),0.411764705882352)</f>
        <v>0.4117647059</v>
      </c>
    </row>
    <row r="3741">
      <c r="A3741" s="10" t="s">
        <v>5180</v>
      </c>
      <c r="B3741" s="7" t="str">
        <f>IFERROR(__xludf.DUMMYFUNCTION("SPLIT(A3741,"" "")"),"Cc1ccnc(CN(C)C2CCCCC2N(C)Cc2ncc(C)c(C)c2C)c1C")</f>
        <v>Cc1ccnc(CN(C)C2CCCCC2N(C)Cc2ncc(C)c(C)c2C)c1C</v>
      </c>
      <c r="C3741" s="7">
        <f>IFERROR(__xludf.DUMMYFUNCTION("""COMPUTED_VALUE"""),7.7994905)</f>
        <v>7.7994905</v>
      </c>
      <c r="D3741" s="7">
        <f>IFERROR(__xludf.DUMMYFUNCTION("""COMPUTED_VALUE"""),0.5)</f>
        <v>0.5</v>
      </c>
    </row>
    <row r="3742">
      <c r="A3742" s="10" t="s">
        <v>5181</v>
      </c>
      <c r="B3742" s="7" t="str">
        <f>IFERROR(__xludf.DUMMYFUNCTION("SPLIT(A3742,"" "")"),"COC(=O)c1cccc(CN(Cc2ccccn2)C2CCC(N(C)Cc3ncccc3-c3ccc4c(c3)OCCOCCOCCOCCOCCO4)CC2)n1")</f>
        <v>COC(=O)c1cccc(CN(Cc2ccccn2)C2CCC(N(C)Cc3ncccc3-c3ccc4c(c3)OCCOCCOCCOCCOCCO4)CC2)n1</v>
      </c>
      <c r="C3742" s="7">
        <f>IFERROR(__xludf.DUMMYFUNCTION("""COMPUTED_VALUE"""),7.799485)</f>
        <v>7.799485</v>
      </c>
      <c r="D3742" s="7">
        <f>IFERROR(__xludf.DUMMYFUNCTION("""COMPUTED_VALUE"""),0.291139240506329)</f>
        <v>0.2911392405</v>
      </c>
    </row>
    <row r="3743">
      <c r="A3743" s="10" t="s">
        <v>5182</v>
      </c>
      <c r="B3743" s="7" t="str">
        <f>IFERROR(__xludf.DUMMYFUNCTION("SPLIT(A3743,"" "")"),"c1ccc(CN(Cc2ccccn2)Cc2cnccc2-c2cccc3c2OCCOCCOCCOCCOCCO3)nc1")</f>
        <v>c1ccc(CN(Cc2ccccn2)Cc2cnccc2-c2cccc3c2OCCOCCOCCOCCOCCO3)nc1</v>
      </c>
      <c r="C3743" s="7">
        <f>IFERROR(__xludf.DUMMYFUNCTION("""COMPUTED_VALUE"""),7.799482)</f>
        <v>7.799482</v>
      </c>
      <c r="D3743" s="7">
        <f>IFERROR(__xludf.DUMMYFUNCTION("""COMPUTED_VALUE"""),0.408163265306122)</f>
        <v>0.4081632653</v>
      </c>
    </row>
    <row r="3744">
      <c r="A3744" s="10" t="s">
        <v>5183</v>
      </c>
      <c r="B3744" s="7" t="str">
        <f>IFERROR(__xludf.DUMMYFUNCTION("SPLIT(A3744,"" "")"),"CCCN(Cc1ccccn1)C1=CNC=CC1CN(Cc1ccccn1)Cc1cccc(-c2ccc3c(c2)OCCOCCOCCOCCOCCO3)n1")</f>
        <v>CCCN(Cc1ccccn1)C1=CNC=CC1CN(Cc1ccccn1)Cc1cccc(-c2ccc3c(c2)OCCOCCOCCOCCOCCO3)n1</v>
      </c>
      <c r="C3744" s="7">
        <f>IFERROR(__xludf.DUMMYFUNCTION("""COMPUTED_VALUE"""),7.7994795)</f>
        <v>7.7994795</v>
      </c>
      <c r="D3744" s="7">
        <f>IFERROR(__xludf.DUMMYFUNCTION("""COMPUTED_VALUE"""),0.392405063291139)</f>
        <v>0.3924050633</v>
      </c>
    </row>
    <row r="3745">
      <c r="A3745" s="10" t="s">
        <v>5184</v>
      </c>
      <c r="B3745" s="7" t="str">
        <f>IFERROR(__xludf.DUMMYFUNCTION("SPLIT(A3745,"" "")"),"CC1=CC(C)C(C)C(C)(N(Cc2ccccn2)Cc2ccccn2)C1")</f>
        <v>CC1=CC(C)C(C)C(C)(N(Cc2ccccn2)Cc2ccccn2)C1</v>
      </c>
      <c r="C3745" s="7">
        <f>IFERROR(__xludf.DUMMYFUNCTION("""COMPUTED_VALUE"""),7.7994714)</f>
        <v>7.7994714</v>
      </c>
      <c r="D3745" s="7">
        <f>IFERROR(__xludf.DUMMYFUNCTION("""COMPUTED_VALUE"""),0.408163265306122)</f>
        <v>0.4081632653</v>
      </c>
    </row>
    <row r="3746">
      <c r="A3746" s="10" t="s">
        <v>5185</v>
      </c>
      <c r="B3746" s="7" t="str">
        <f>IFERROR(__xludf.DUMMYFUNCTION("SPLIT(A3746,"" "")"),"Cc1ccc(CN(C)Cc2ccc(-c3ccc4c(c3)OCCOCCOCCOCCOCCO4)nc2)nc1")</f>
        <v>Cc1ccc(CN(C)Cc2ccc(-c3ccc4c(c3)OCCOCCOCCOCCOCCO4)nc2)nc1</v>
      </c>
      <c r="C3746" s="7">
        <f>IFERROR(__xludf.DUMMYFUNCTION("""COMPUTED_VALUE"""),7.799463)</f>
        <v>7.799463</v>
      </c>
      <c r="D3746" s="7">
        <f>IFERROR(__xludf.DUMMYFUNCTION("""COMPUTED_VALUE"""),0.415094339622641)</f>
        <v>0.4150943396</v>
      </c>
    </row>
    <row r="3747">
      <c r="A3747" s="10" t="s">
        <v>5186</v>
      </c>
      <c r="B3747" s="7" t="str">
        <f>IFERROR(__xludf.DUMMYFUNCTION("SPLIT(A3747,"" "")"),"Cc1cccnc1CN(C)CCN(C)C1CCC(N(Cc2cccnc2)Cc2cc(C)c(C)c(C)n2)CC1")</f>
        <v>Cc1cccnc1CN(C)CCN(C)C1CCC(N(Cc2cccnc2)Cc2cc(C)c(C)c(C)n2)CC1</v>
      </c>
      <c r="C3747" s="7">
        <f>IFERROR(__xludf.DUMMYFUNCTION("""COMPUTED_VALUE"""),7.799453)</f>
        <v>7.799453</v>
      </c>
      <c r="D3747" s="7">
        <f>IFERROR(__xludf.DUMMYFUNCTION("""COMPUTED_VALUE"""),0.275362318840579)</f>
        <v>0.2753623188</v>
      </c>
    </row>
    <row r="3748">
      <c r="A3748" s="10" t="s">
        <v>5187</v>
      </c>
      <c r="B3748" s="7" t="str">
        <f>IFERROR(__xludf.DUMMYFUNCTION("SPLIT(A3748,"" "")"),"CCCNCc1cc(C(C)(C)C)ccn1")</f>
        <v>CCCNCc1cc(C(C)(C)C)ccn1</v>
      </c>
      <c r="C3748" s="7">
        <f>IFERROR(__xludf.DUMMYFUNCTION("""COMPUTED_VALUE"""),7.799452)</f>
        <v>7.799452</v>
      </c>
      <c r="D3748" s="7">
        <f>IFERROR(__xludf.DUMMYFUNCTION("""COMPUTED_VALUE"""),0.394736842105263)</f>
        <v>0.3947368421</v>
      </c>
    </row>
    <row r="3749">
      <c r="A3749" s="10" t="s">
        <v>5188</v>
      </c>
      <c r="B3749" s="7" t="str">
        <f>IFERROR(__xludf.DUMMYFUNCTION("SPLIT(A3749,"" "")"),"CN(Cc1ccc2ncccc2c1)C1CCC(N(C)CC(C)(C)C)CC1")</f>
        <v>CN(Cc1ccc2ncccc2c1)C1CCC(N(C)CC(C)(C)C)CC1</v>
      </c>
      <c r="C3749" s="7">
        <f>IFERROR(__xludf.DUMMYFUNCTION("""COMPUTED_VALUE"""),7.799439)</f>
        <v>7.799439</v>
      </c>
      <c r="D3749" s="7">
        <f>IFERROR(__xludf.DUMMYFUNCTION("""COMPUTED_VALUE"""),0.314814814814814)</f>
        <v>0.3148148148</v>
      </c>
    </row>
    <row r="3750">
      <c r="A3750" s="10" t="s">
        <v>5189</v>
      </c>
      <c r="B3750" s="7" t="str">
        <f>IFERROR(__xludf.DUMMYFUNCTION("SPLIT(A3750,"" "")"),"CCCNCC1=C(c2ccc(CN(Cc3ccccn3)Cc3ccccn3)cn2)C2(C=CC(C)C(C)C2C)C(C)C(C)C1C")</f>
        <v>CCCNCC1=C(c2ccc(CN(Cc3ccccn3)Cc3ccccn3)cn2)C2(C=CC(C)C(C)C2C)C(C)C(C)C1C</v>
      </c>
      <c r="C3750" s="7">
        <f>IFERROR(__xludf.DUMMYFUNCTION("""COMPUTED_VALUE"""),7.799431)</f>
        <v>7.799431</v>
      </c>
      <c r="D3750" s="7">
        <f>IFERROR(__xludf.DUMMYFUNCTION("""COMPUTED_VALUE"""),0.317460317460317)</f>
        <v>0.3174603175</v>
      </c>
    </row>
    <row r="3751">
      <c r="A3751" s="10" t="s">
        <v>5190</v>
      </c>
      <c r="B3751" s="7" t="str">
        <f>IFERROR(__xludf.DUMMYFUNCTION("SPLIT(A3751,"" "")"),"c1ccc(CN(Cc2cccnc2)Cc2ncccc2-c2cccc3c2OCCOCCOCCOCCOCCO3)nc1")</f>
        <v>c1ccc(CN(Cc2cccnc2)Cc2ncccc2-c2cccc3c2OCCOCCOCCOCCOCCO3)nc1</v>
      </c>
      <c r="C3751" s="7">
        <f>IFERROR(__xludf.DUMMYFUNCTION("""COMPUTED_VALUE"""),7.7994204)</f>
        <v>7.7994204</v>
      </c>
      <c r="D3751" s="7">
        <f>IFERROR(__xludf.DUMMYFUNCTION("""COMPUTED_VALUE"""),0.37037037037037)</f>
        <v>0.3703703704</v>
      </c>
    </row>
    <row r="3752">
      <c r="A3752" s="10" t="s">
        <v>5191</v>
      </c>
      <c r="B3752" s="7" t="str">
        <f>IFERROR(__xludf.DUMMYFUNCTION("SPLIT(A3752,"" "")"),"Cc1cccnc1CN(C)C1CCC(N(Cc2ccccn2)Cc2cccnc2CNC(C)C)CC1")</f>
        <v>Cc1cccnc1CN(C)C1CCC(N(Cc2ccccn2)Cc2cccnc2CNC(C)C)CC1</v>
      </c>
      <c r="C3752" s="7">
        <f>IFERROR(__xludf.DUMMYFUNCTION("""COMPUTED_VALUE"""),7.799405)</f>
        <v>7.799405</v>
      </c>
      <c r="D3752" s="7">
        <f>IFERROR(__xludf.DUMMYFUNCTION("""COMPUTED_VALUE"""),0.4)</f>
        <v>0.4</v>
      </c>
    </row>
    <row r="3753">
      <c r="A3753" s="10" t="s">
        <v>5192</v>
      </c>
      <c r="B3753" s="7" t="str">
        <f>IFERROR(__xludf.DUMMYFUNCTION("SPLIT(A3753,"" "")"),"CC1=CCCC(N(C)CC2=C(N(C)Cc3ccccn3)CC=CN2)C1C")</f>
        <v>CC1=CCCC(N(C)CC2=C(N(C)Cc3ccccn3)CC=CN2)C1C</v>
      </c>
      <c r="C3753" s="7">
        <f>IFERROR(__xludf.DUMMYFUNCTION("""COMPUTED_VALUE"""),7.7994018)</f>
        <v>7.7994018</v>
      </c>
      <c r="D3753" s="7">
        <f>IFERROR(__xludf.DUMMYFUNCTION("""COMPUTED_VALUE"""),0.423728813559322)</f>
        <v>0.4237288136</v>
      </c>
    </row>
    <row r="3754">
      <c r="A3754" s="10" t="s">
        <v>5193</v>
      </c>
      <c r="B3754" s="7" t="str">
        <f>IFERROR(__xludf.DUMMYFUNCTION("SPLIT(A3754,"" "")"),"CC1=CC(C)C(C)(c2ccc(CN(Cc3ccccn3)C3CCC(N(C)Cc4ncccc4C)CC3)cn2)CC1")</f>
        <v>CC1=CC(C)C(C)(c2ccc(CN(Cc3ccccn3)C3CCC(N(C)Cc4ncccc4C)CC3)cn2)CC1</v>
      </c>
      <c r="C3754" s="7">
        <f>IFERROR(__xludf.DUMMYFUNCTION("""COMPUTED_VALUE"""),7.7994003)</f>
        <v>7.7994003</v>
      </c>
      <c r="D3754" s="7">
        <f>IFERROR(__xludf.DUMMYFUNCTION("""COMPUTED_VALUE"""),0.323943661971831)</f>
        <v>0.323943662</v>
      </c>
    </row>
    <row r="3755">
      <c r="A3755" s="10" t="s">
        <v>5194</v>
      </c>
      <c r="B3755" s="7" t="str">
        <f>IFERROR(__xludf.DUMMYFUNCTION("SPLIT(A3755,"" "")"),"c1ccc(CN(Cc2ccccn2)Cc2ccc(-c3cccc4c3OCCOCCOCCOCCOCCO4)cn2)nc1")</f>
        <v>c1ccc(CN(Cc2ccccn2)Cc2ccc(-c3cccc4c3OCCOCCOCCOCCOCCO4)cn2)nc1</v>
      </c>
      <c r="C3755" s="7">
        <f>IFERROR(__xludf.DUMMYFUNCTION("""COMPUTED_VALUE"""),7.799387)</f>
        <v>7.799387</v>
      </c>
      <c r="D3755" s="7">
        <f>IFERROR(__xludf.DUMMYFUNCTION("""COMPUTED_VALUE"""),0.434782608695652)</f>
        <v>0.4347826087</v>
      </c>
    </row>
    <row r="3756">
      <c r="A3756" s="10" t="s">
        <v>5195</v>
      </c>
      <c r="B3756" s="7" t="str">
        <f>IFERROR(__xludf.DUMMYFUNCTION("SPLIT(A3756,"" "")"),"Cc1cccc(CN(C)Cc2cccc(-c3ccc4c(c3)OCCOCCOCCOCCOCCO4)n2)n1")</f>
        <v>Cc1cccc(CN(C)Cc2cccc(-c3ccc4c(c3)OCCOCCOCCOCCOCCO4)n2)n1</v>
      </c>
      <c r="C3756" s="7">
        <f>IFERROR(__xludf.DUMMYFUNCTION("""COMPUTED_VALUE"""),7.799384)</f>
        <v>7.799384</v>
      </c>
      <c r="D3756" s="7">
        <f>IFERROR(__xludf.DUMMYFUNCTION("""COMPUTED_VALUE"""),0.458333333333333)</f>
        <v>0.4583333333</v>
      </c>
    </row>
    <row r="3757">
      <c r="A3757" s="10" t="s">
        <v>5196</v>
      </c>
      <c r="B3757" s="7" t="str">
        <f>IFERROR(__xludf.DUMMYFUNCTION("SPLIT(A3757,"" "")"),"CN(Cc1ncccc1N)Cc1ncccc1-c1cccc2c1OCCOCCOCCOCCOCCO2")</f>
        <v>CN(Cc1ncccc1N)Cc1ncccc1-c1cccc2c1OCCOCCOCCOCCOCCO2</v>
      </c>
      <c r="C3757" s="7">
        <f>IFERROR(__xludf.DUMMYFUNCTION("""COMPUTED_VALUE"""),7.7993793)</f>
        <v>7.7993793</v>
      </c>
      <c r="D3757" s="7">
        <f>IFERROR(__xludf.DUMMYFUNCTION("""COMPUTED_VALUE"""),0.271186440677966)</f>
        <v>0.2711864407</v>
      </c>
    </row>
    <row r="3758">
      <c r="A3758" s="10" t="s">
        <v>5197</v>
      </c>
      <c r="B3758" s="7" t="str">
        <f>IFERROR(__xludf.DUMMYFUNCTION("SPLIT(A3758,"" "")"),"COC(=O)C(=O)C(C)C1(C)COC(c2cc(CN3CCN(C)CCN(C)CC3)ccn2)=N1")</f>
        <v>COC(=O)C(=O)C(C)C1(C)COC(c2cc(CN3CCN(C)CCN(C)CC3)ccn2)=N1</v>
      </c>
      <c r="C3758" s="7">
        <f>IFERROR(__xludf.DUMMYFUNCTION("""COMPUTED_VALUE"""),7.7993793)</f>
        <v>7.7993793</v>
      </c>
      <c r="D3758" s="7">
        <f>IFERROR(__xludf.DUMMYFUNCTION("""COMPUTED_VALUE"""),0.347222222222222)</f>
        <v>0.3472222222</v>
      </c>
    </row>
    <row r="3759">
      <c r="A3759" s="10" t="s">
        <v>5198</v>
      </c>
      <c r="B3759" s="7" t="str">
        <f>IFERROR(__xludf.DUMMYFUNCTION("SPLIT(A3759,"" "")"),"CN(Cc1cccc(-c2ccc3c(c2)OCCOCCOCCOCCOCCO3)n1)C1NC=CC=C1NCc1ccccn1")</f>
        <v>CN(Cc1cccc(-c2ccc3c(c2)OCCOCCOCCOCCOCCO3)n1)C1NC=CC=C1NCc1ccccn1</v>
      </c>
      <c r="C3759" s="7">
        <f>IFERROR(__xludf.DUMMYFUNCTION("""COMPUTED_VALUE"""),7.7993736)</f>
        <v>7.7993736</v>
      </c>
      <c r="D3759" s="7">
        <f>IFERROR(__xludf.DUMMYFUNCTION("""COMPUTED_VALUE"""),0.341772151898734)</f>
        <v>0.3417721519</v>
      </c>
    </row>
    <row r="3760">
      <c r="A3760" s="10" t="s">
        <v>5199</v>
      </c>
      <c r="B3760" s="7" t="str">
        <f>IFERROR(__xludf.DUMMYFUNCTION("SPLIT(A3760,"" "")"),"Cc1cnc(CN(C)CCN(Cc2ccccn2)C2(C)CCC2)c(C)c1")</f>
        <v>Cc1cnc(CN(C)CCN(Cc2ccccn2)C2(C)CCC2)c(C)c1</v>
      </c>
      <c r="C3760" s="7">
        <f>IFERROR(__xludf.DUMMYFUNCTION("""COMPUTED_VALUE"""),7.7993727)</f>
        <v>7.7993727</v>
      </c>
      <c r="D3760" s="7">
        <f>IFERROR(__xludf.DUMMYFUNCTION("""COMPUTED_VALUE"""),0.37037037037037)</f>
        <v>0.3703703704</v>
      </c>
    </row>
    <row r="3761">
      <c r="A3761" s="10" t="s">
        <v>5200</v>
      </c>
      <c r="B3761" s="7" t="str">
        <f>IFERROR(__xludf.DUMMYFUNCTION("SPLIT(A3761,"" "")"),"Cc1ccc(N(C)C2CCCC(N(C)Cc3cc(C)ccn3)C2)cc1")</f>
        <v>Cc1ccc(N(C)C2CCCC(N(C)Cc3cc(C)ccn3)C2)cc1</v>
      </c>
      <c r="C3761" s="7">
        <f>IFERROR(__xludf.DUMMYFUNCTION("""COMPUTED_VALUE"""),7.799366)</f>
        <v>7.799366</v>
      </c>
      <c r="D3761" s="7">
        <f>IFERROR(__xludf.DUMMYFUNCTION("""COMPUTED_VALUE"""),0.384615384615384)</f>
        <v>0.3846153846</v>
      </c>
    </row>
    <row r="3762">
      <c r="A3762" s="10" t="s">
        <v>5201</v>
      </c>
      <c r="B3762" s="7" t="str">
        <f>IFERROR(__xludf.DUMMYFUNCTION("SPLIT(A3762,"" "")"),"CC1=CC(N(C)Cc2cc(C(C)(C)C)ccn2)CC(C)C1C")</f>
        <v>CC1=CC(N(C)Cc2cc(C(C)(C)C)ccn2)CC(C)C1C</v>
      </c>
      <c r="C3762" s="7">
        <f>IFERROR(__xludf.DUMMYFUNCTION("""COMPUTED_VALUE"""),7.7993574)</f>
        <v>7.7993574</v>
      </c>
      <c r="D3762" s="7">
        <f>IFERROR(__xludf.DUMMYFUNCTION("""COMPUTED_VALUE"""),0.309090909090909)</f>
        <v>0.3090909091</v>
      </c>
    </row>
    <row r="3763">
      <c r="A3763" s="10" t="s">
        <v>5202</v>
      </c>
      <c r="B3763" s="7" t="str">
        <f>IFERROR(__xludf.DUMMYFUNCTION("SPLIT(A3763,"" "")"),"CC(C)N(Cc1ccc(C(C)(C)C)cn1)Cc1cccc(-c2ccc3c(c2)OCCOCCOCCOCCOCCO3)n1")</f>
        <v>CC(C)N(Cc1ccc(C(C)(C)C)cn1)Cc1cccc(-c2ccc3c(c2)OCCOCCOCCOCCOCCO3)n1</v>
      </c>
      <c r="C3763" s="7">
        <f>IFERROR(__xludf.DUMMYFUNCTION("""COMPUTED_VALUE"""),7.799327)</f>
        <v>7.799327</v>
      </c>
      <c r="D3763" s="7">
        <f>IFERROR(__xludf.DUMMYFUNCTION("""COMPUTED_VALUE"""),0.36986301369863)</f>
        <v>0.3698630137</v>
      </c>
    </row>
    <row r="3764">
      <c r="A3764" s="10" t="s">
        <v>5203</v>
      </c>
      <c r="B3764" s="7" t="str">
        <f>IFERROR(__xludf.DUMMYFUNCTION("SPLIT(A3764,"" "")"),"Cc1cnc(CN(CN(C)C(C)C)C2CCCCC2N(C)Cc2nc(C)c(C)c(C)c2C)c(C)c1")</f>
        <v>Cc1cnc(CN(CN(C)C(C)C)C2CCCCC2N(C)Cc2nc(C)c(C)c(C)c2C)c(C)c1</v>
      </c>
      <c r="C3764" s="7">
        <f>IFERROR(__xludf.DUMMYFUNCTION("""COMPUTED_VALUE"""),7.799313)</f>
        <v>7.799313</v>
      </c>
      <c r="D3764" s="7">
        <f>IFERROR(__xludf.DUMMYFUNCTION("""COMPUTED_VALUE"""),0.377049180327868)</f>
        <v>0.3770491803</v>
      </c>
    </row>
    <row r="3765">
      <c r="A3765" s="10" t="s">
        <v>5204</v>
      </c>
      <c r="B3765" s="7" t="str">
        <f>IFERROR(__xludf.DUMMYFUNCTION("SPLIT(A3765,"" "")"),"CNCc1ncccc1CN(C)C1CCC(N(C)Cc2nc(C)c(C)c(C)c2C)CC1")</f>
        <v>CNCc1ncccc1CN(C)C1CCC(N(C)Cc2nc(C)c(C)c(C)c2C)CC1</v>
      </c>
      <c r="C3765" s="7">
        <f>IFERROR(__xludf.DUMMYFUNCTION("""COMPUTED_VALUE"""),7.7993064)</f>
        <v>7.7993064</v>
      </c>
      <c r="D3765" s="7">
        <f>IFERROR(__xludf.DUMMYFUNCTION("""COMPUTED_VALUE"""),0.293103448275862)</f>
        <v>0.2931034483</v>
      </c>
    </row>
    <row r="3766">
      <c r="A3766" s="10" t="s">
        <v>5205</v>
      </c>
      <c r="B3766" s="7" t="str">
        <f>IFERROR(__xludf.DUMMYFUNCTION("SPLIT(A3766,"" "")"),"CN(Cc1ncccc1-c1ccc2c(c1)OCCOCCOCCOCCOCCO2)C1=CNC=CC1CN(C)C(C)(C)c1ccccn1")</f>
        <v>CN(Cc1ncccc1-c1ccc2c(c1)OCCOCCOCCOCCOCCO2)C1=CNC=CC1CN(C)C(C)(C)c1ccccn1</v>
      </c>
      <c r="C3766" s="7">
        <f>IFERROR(__xludf.DUMMYFUNCTION("""COMPUTED_VALUE"""),7.7993026)</f>
        <v>7.7993026</v>
      </c>
      <c r="D3766" s="7">
        <f>IFERROR(__xludf.DUMMYFUNCTION("""COMPUTED_VALUE"""),0.269662921348314)</f>
        <v>0.2696629213</v>
      </c>
    </row>
    <row r="3767">
      <c r="A3767" s="10" t="s">
        <v>5206</v>
      </c>
      <c r="B3767" s="7" t="str">
        <f>IFERROR(__xludf.DUMMYFUNCTION("SPLIT(A3767,"" "")"),"CN(Cc1cccc(-c2cccc3c2OCCOCCOCCOCCOCCO3)n1)Cc1cccc(C(C)(C)C)n1")</f>
        <v>CN(Cc1cccc(-c2cccc3c2OCCOCCOCCOCCOCCO3)n1)Cc1cccc(C(C)(C)C)n1</v>
      </c>
      <c r="C3767" s="7">
        <f>IFERROR(__xludf.DUMMYFUNCTION("""COMPUTED_VALUE"""),7.7992983)</f>
        <v>7.7992983</v>
      </c>
      <c r="D3767" s="7">
        <f>IFERROR(__xludf.DUMMYFUNCTION("""COMPUTED_VALUE"""),0.362068965517241)</f>
        <v>0.3620689655</v>
      </c>
    </row>
    <row r="3768">
      <c r="A3768" s="10" t="s">
        <v>5207</v>
      </c>
      <c r="B3768" s="7" t="str">
        <f>IFERROR(__xludf.DUMMYFUNCTION("SPLIT(A3768,"" "")"),"Cc1ccc(CN(C)C2CCC(N(Cc3ccc(CF)nc3)Cc3ccccn3)CC2)nc1")</f>
        <v>Cc1ccc(CN(C)C2CCC(N(Cc3ccc(CF)nc3)Cc3ccccn3)CC2)nc1</v>
      </c>
      <c r="C3768" s="7">
        <f>IFERROR(__xludf.DUMMYFUNCTION("""COMPUTED_VALUE"""),7.7992973)</f>
        <v>7.7992973</v>
      </c>
      <c r="D3768" s="7">
        <f>IFERROR(__xludf.DUMMYFUNCTION("""COMPUTED_VALUE"""),0.446428571428571)</f>
        <v>0.4464285714</v>
      </c>
    </row>
    <row r="3769">
      <c r="A3769" s="10" t="s">
        <v>5208</v>
      </c>
      <c r="B3769" s="7" t="str">
        <f>IFERROR(__xludf.DUMMYFUNCTION("SPLIT(A3769,"" "")"),"Cc1ccc(CN(C)C2CC(N(C)Cc3ccccn3)CC(N(Cc3ccccn3)Cc3cccc(-c4ccc5c(c4)OCCOCCOCCOCCOCCO5)n3)C2)nc1")</f>
        <v>Cc1ccc(CN(C)C2CC(N(C)Cc3ccccn3)CC(N(Cc3ccccn3)Cc3cccc(-c4ccc5c(c4)OCCOCCOCCOCCOCCO5)n3)C2)nc1</v>
      </c>
      <c r="C3769" s="7">
        <f>IFERROR(__xludf.DUMMYFUNCTION("""COMPUTED_VALUE"""),7.799283)</f>
        <v>7.799283</v>
      </c>
      <c r="D3769" s="7">
        <f>IFERROR(__xludf.DUMMYFUNCTION("""COMPUTED_VALUE"""),0.373333333333333)</f>
        <v>0.3733333333</v>
      </c>
    </row>
    <row r="3770">
      <c r="A3770" s="10" t="s">
        <v>5209</v>
      </c>
      <c r="B3770" s="7" t="str">
        <f>IFERROR(__xludf.DUMMYFUNCTION("SPLIT(A3770,"" "")"),"c1ccc(CN(Cc2ccccn2)Cc2cc(-c3cccc4c3OCCOCCOCCOCCOCCO4)ccn2)nc1")</f>
        <v>c1ccc(CN(Cc2ccccn2)Cc2cc(-c3cccc4c3OCCOCCOCCOCCOCCO4)ccn2)nc1</v>
      </c>
      <c r="C3770" s="7">
        <f>IFERROR(__xludf.DUMMYFUNCTION("""COMPUTED_VALUE"""),7.799283)</f>
        <v>7.799283</v>
      </c>
      <c r="D3770" s="7">
        <f>IFERROR(__xludf.DUMMYFUNCTION("""COMPUTED_VALUE"""),0.434782608695652)</f>
        <v>0.4347826087</v>
      </c>
    </row>
    <row r="3771">
      <c r="A3771" s="10" t="s">
        <v>5210</v>
      </c>
      <c r="B3771" s="7" t="str">
        <f>IFERROR(__xludf.DUMMYFUNCTION("SPLIT(A3771,"" "")"),"CN(Cc1ncccc1-c1ccccc1)C1CCCC(N(C)Cc2ncccc2-c2cccc3c2OCCOCCOCCOCCOCCO3)C1")</f>
        <v>CN(Cc1ncccc1-c1ccccc1)C1CCCC(N(C)Cc2ncccc2-c2cccc3c2OCCOCCOCCOCCOCCO3)C1</v>
      </c>
      <c r="C3771" s="7">
        <f>IFERROR(__xludf.DUMMYFUNCTION("""COMPUTED_VALUE"""),7.7992826)</f>
        <v>7.7992826</v>
      </c>
      <c r="D3771" s="7">
        <f>IFERROR(__xludf.DUMMYFUNCTION("""COMPUTED_VALUE"""),0.296875)</f>
        <v>0.296875</v>
      </c>
    </row>
    <row r="3772">
      <c r="A3772" s="10" t="s">
        <v>5211</v>
      </c>
      <c r="B3772" s="7" t="str">
        <f>IFERROR(__xludf.DUMMYFUNCTION("SPLIT(A3772,"" "")"),"Cc1ccc(CN(Cc2cccc(C(C)(C)C)n2)C2CCCCC2N(Cc2cccc(C)n2)Cc2cccc(-c3ccc4c(c3)OCCOCCOCCOCCOCCO4)n2)nc1")</f>
        <v>Cc1ccc(CN(Cc2cccc(C(C)(C)C)n2)C2CCCCC2N(Cc2cccc(C)n2)Cc2cccc(-c3ccc4c(c3)OCCOCCOCCOCCOCCO4)n2)nc1</v>
      </c>
      <c r="C3772" s="7">
        <f>IFERROR(__xludf.DUMMYFUNCTION("""COMPUTED_VALUE"""),7.7992826)</f>
        <v>7.7992826</v>
      </c>
      <c r="D3772" s="7">
        <f>IFERROR(__xludf.DUMMYFUNCTION("""COMPUTED_VALUE"""),0.37037037037037)</f>
        <v>0.3703703704</v>
      </c>
    </row>
    <row r="3773">
      <c r="A3773" s="10" t="s">
        <v>5212</v>
      </c>
      <c r="B3773" s="7" t="str">
        <f>IFERROR(__xludf.DUMMYFUNCTION("SPLIT(A3773,"" "")"),"COC(=O)C(=O)N(Cc1ccccn1)C1CCCCC1N(Cc1ccccn1)C(C)C")</f>
        <v>COC(=O)C(=O)N(Cc1ccccn1)C1CCCCC1N(Cc1ccccn1)C(C)C</v>
      </c>
      <c r="C3773" s="7">
        <f>IFERROR(__xludf.DUMMYFUNCTION("""COMPUTED_VALUE"""),7.7992797)</f>
        <v>7.7992797</v>
      </c>
      <c r="D3773" s="7">
        <f>IFERROR(__xludf.DUMMYFUNCTION("""COMPUTED_VALUE"""),0.471698113207547)</f>
        <v>0.4716981132</v>
      </c>
    </row>
    <row r="3774">
      <c r="A3774" s="10" t="s">
        <v>5213</v>
      </c>
      <c r="B3774" s="7" t="str">
        <f>IFERROR(__xludf.DUMMYFUNCTION("SPLIT(A3774,"" "")"),"CCC(C)C1=NC(C)(C)CO1")</f>
        <v>CCC(C)C1=NC(C)(C)CO1</v>
      </c>
      <c r="C3774" s="7">
        <f>IFERROR(__xludf.DUMMYFUNCTION("""COMPUTED_VALUE"""),7.7992764)</f>
        <v>7.7992764</v>
      </c>
      <c r="D3774" s="7">
        <f>IFERROR(__xludf.DUMMYFUNCTION("""COMPUTED_VALUE"""),0.342105263157894)</f>
        <v>0.3421052632</v>
      </c>
    </row>
    <row r="3775">
      <c r="A3775" s="10" t="s">
        <v>5214</v>
      </c>
      <c r="B3775" s="7" t="str">
        <f>IFERROR(__xludf.DUMMYFUNCTION("SPLIT(A3775,"" "")"),"Cc1cccnc1CN(C)C1CCC(N(Cc2ccccn2)Cc2cccc(CNC(C)C)n2)CC1")</f>
        <v>Cc1cccnc1CN(C)C1CCC(N(Cc2ccccn2)Cc2cccc(CNC(C)C)n2)CC1</v>
      </c>
      <c r="C3775" s="7">
        <f>IFERROR(__xludf.DUMMYFUNCTION("""COMPUTED_VALUE"""),7.7992754)</f>
        <v>7.7992754</v>
      </c>
      <c r="D3775" s="7">
        <f>IFERROR(__xludf.DUMMYFUNCTION("""COMPUTED_VALUE"""),0.4)</f>
        <v>0.4</v>
      </c>
    </row>
    <row r="3776">
      <c r="A3776" s="10" t="s">
        <v>5215</v>
      </c>
      <c r="B3776" s="7" t="str">
        <f>IFERROR(__xludf.DUMMYFUNCTION("SPLIT(A3776,"" "")"),"CC(C)NCc1ncccc1-c1ccc(NCc2ccccn2)c2c1OCCOCCOCCOCCOCCO2")</f>
        <v>CC(C)NCc1ncccc1-c1ccc(NCc2ccccn2)c2c1OCCOCCOCCOCCOCCO2</v>
      </c>
      <c r="C3776" s="7">
        <f>IFERROR(__xludf.DUMMYFUNCTION("""COMPUTED_VALUE"""),7.7992754)</f>
        <v>7.7992754</v>
      </c>
      <c r="D3776" s="7">
        <f>IFERROR(__xludf.DUMMYFUNCTION("""COMPUTED_VALUE"""),0.298245614035087)</f>
        <v>0.298245614</v>
      </c>
    </row>
    <row r="3777">
      <c r="A3777" s="10" t="s">
        <v>5216</v>
      </c>
      <c r="B3777" s="7" t="str">
        <f>IFERROR(__xludf.DUMMYFUNCTION("SPLIT(A3777,"" "")"),"Fc1ccccc1CN(Cc1ccccn1)Cc1cccc(-c2ccc3c(c2)OCCOCCOCCOCCOCCO3)n1")</f>
        <v>Fc1ccccc1CN(Cc1ccccn1)Cc1cccc(-c2ccc3c(c2)OCCOCCOCCOCCOCCO3)n1</v>
      </c>
      <c r="C3777" s="7">
        <f>IFERROR(__xludf.DUMMYFUNCTION("""COMPUTED_VALUE"""),7.79926)</f>
        <v>7.79926</v>
      </c>
      <c r="D3777" s="7">
        <f>IFERROR(__xludf.DUMMYFUNCTION("""COMPUTED_VALUE"""),0.46875)</f>
        <v>0.46875</v>
      </c>
    </row>
    <row r="3778">
      <c r="A3778" s="10" t="s">
        <v>5217</v>
      </c>
      <c r="B3778" s="7" t="str">
        <f>IFERROR(__xludf.DUMMYFUNCTION("SPLIT(A3778,"" "")"),"Cc1cccnc1CN(C)Cc1ncccc1-c1cccc2c1OCCOCCOCCOCCOCCO2")</f>
        <v>Cc1cccnc1CN(C)Cc1ncccc1-c1cccc2c1OCCOCCOCCOCCOCCO2</v>
      </c>
      <c r="C3778" s="7">
        <f>IFERROR(__xludf.DUMMYFUNCTION("""COMPUTED_VALUE"""),7.799253)</f>
        <v>7.799253</v>
      </c>
      <c r="D3778" s="7">
        <f>IFERROR(__xludf.DUMMYFUNCTION("""COMPUTED_VALUE"""),0.275862068965517)</f>
        <v>0.275862069</v>
      </c>
    </row>
    <row r="3779">
      <c r="A3779" s="10" t="s">
        <v>5218</v>
      </c>
      <c r="B3779" s="7" t="str">
        <f>IFERROR(__xludf.DUMMYFUNCTION("SPLIT(A3779,"" "")"),"Cc1cccnc1CN(C)CCN")</f>
        <v>Cc1cccnc1CN(C)CCN</v>
      </c>
      <c r="C3779" s="7">
        <f>IFERROR(__xludf.DUMMYFUNCTION("""COMPUTED_VALUE"""),7.799252)</f>
        <v>7.799252</v>
      </c>
      <c r="D3779" s="7">
        <f>IFERROR(__xludf.DUMMYFUNCTION("""COMPUTED_VALUE"""),0.404761904761904)</f>
        <v>0.4047619048</v>
      </c>
    </row>
    <row r="3780">
      <c r="A3780" s="10" t="s">
        <v>5219</v>
      </c>
      <c r="B3780" s="7" t="str">
        <f>IFERROR(__xludf.DUMMYFUNCTION("SPLIT(A3780,"" "")"),"Cc1cnc(CN2CCN(C)CCN(Cc3cncc(N(C)C)c3)CC2)c(C)c1")</f>
        <v>Cc1cnc(CN2CCN(C)CCN(Cc3cncc(N(C)C)c3)CC2)c(C)c1</v>
      </c>
      <c r="C3780" s="7">
        <f>IFERROR(__xludf.DUMMYFUNCTION("""COMPUTED_VALUE"""),7.7992473)</f>
        <v>7.7992473</v>
      </c>
      <c r="D3780" s="7">
        <f>IFERROR(__xludf.DUMMYFUNCTION("""COMPUTED_VALUE"""),0.418181818181818)</f>
        <v>0.4181818182</v>
      </c>
    </row>
    <row r="3781">
      <c r="A3781" s="10" t="s">
        <v>5220</v>
      </c>
      <c r="B3781" s="7" t="str">
        <f>IFERROR(__xludf.DUMMYFUNCTION("SPLIT(A3781,"" "")"),"C1=CNC(c2ncccc2-c2cccc3c2OCCOCCOCCOCCOCCO3)=CC1")</f>
        <v>C1=CNC(c2ncccc2-c2cccc3c2OCCOCCOCCOCCOCCO3)=CC1</v>
      </c>
      <c r="C3781" s="7">
        <f>IFERROR(__xludf.DUMMYFUNCTION("""COMPUTED_VALUE"""),7.799245)</f>
        <v>7.799245</v>
      </c>
      <c r="D3781" s="7">
        <f>IFERROR(__xludf.DUMMYFUNCTION("""COMPUTED_VALUE"""),0.290322580645161)</f>
        <v>0.2903225806</v>
      </c>
    </row>
    <row r="3782">
      <c r="A3782" s="10" t="s">
        <v>5221</v>
      </c>
      <c r="B3782" s="7" t="str">
        <f>IFERROR(__xludf.DUMMYFUNCTION("SPLIT(A3782,"" "")"),"CN(CCN(C)c1ccc2nc(CF)ccc2c1)Cc1ccc2c(c1)OCCOCCOCCOCCOCCO2")</f>
        <v>CN(CCN(C)c1ccc2nc(CF)ccc2c1)Cc1ccc2c(c1)OCCOCCOCCOCCOCCO2</v>
      </c>
      <c r="C3782" s="7">
        <f>IFERROR(__xludf.DUMMYFUNCTION("""COMPUTED_VALUE"""),7.7992415)</f>
        <v>7.7992415</v>
      </c>
      <c r="D3782" s="7">
        <f>IFERROR(__xludf.DUMMYFUNCTION("""COMPUTED_VALUE"""),0.293103448275862)</f>
        <v>0.2931034483</v>
      </c>
    </row>
    <row r="3783">
      <c r="A3783" s="10" t="s">
        <v>5222</v>
      </c>
      <c r="B3783" s="7" t="str">
        <f>IFERROR(__xludf.DUMMYFUNCTION("SPLIT(A3783,"" "")"),"Cc1cccnc1CN(C)C1C=CNC(CN(C)Cc2ncccc2-c2cccc3c2OCCOCCOCCOCCOCCO3)=C1")</f>
        <v>Cc1cccnc1CN(C)C1C=CNC(CN(C)Cc2ncccc2-c2cccc3c2OCCOCCOCCOCCOCCO3)=C1</v>
      </c>
      <c r="C3783" s="7">
        <f>IFERROR(__xludf.DUMMYFUNCTION("""COMPUTED_VALUE"""),7.799239)</f>
        <v>7.799239</v>
      </c>
      <c r="D3783" s="7">
        <f>IFERROR(__xludf.DUMMYFUNCTION("""COMPUTED_VALUE"""),0.259740259740259)</f>
        <v>0.2597402597</v>
      </c>
    </row>
    <row r="3784">
      <c r="A3784" s="10" t="s">
        <v>5223</v>
      </c>
      <c r="B3784" s="7" t="str">
        <f>IFERROR(__xludf.DUMMYFUNCTION("SPLIT(A3784,"" "")"),"CN1CCN(C)CCN(Cc2cnccc2CN(C)C2CCCCC2N(C)c2cccc3nc(CF)ccc23)CC1")</f>
        <v>CN1CCN(C)CCN(Cc2cnccc2CN(C)C2CCCCC2N(C)c2cccc3nc(CF)ccc23)CC1</v>
      </c>
      <c r="C3784" s="7">
        <f>IFERROR(__xludf.DUMMYFUNCTION("""COMPUTED_VALUE"""),7.799236)</f>
        <v>7.799236</v>
      </c>
      <c r="D3784" s="7">
        <f>IFERROR(__xludf.DUMMYFUNCTION("""COMPUTED_VALUE"""),0.422535211267605)</f>
        <v>0.4225352113</v>
      </c>
    </row>
    <row r="3785">
      <c r="A3785" s="10" t="s">
        <v>5224</v>
      </c>
      <c r="B3785" s="7" t="str">
        <f>IFERROR(__xludf.DUMMYFUNCTION("SPLIT(A3785,"" "")"),"CN(Cc1cccc(-c2ccc3c(c2)OCCOCCOCCOCCOCCO3)n1)CC1C=CNC=C1N(C)Cc1ccccn1")</f>
        <v>CN(Cc1cccc(-c2ccc3c(c2)OCCOCCOCCOCCOCCO3)n1)CC1C=CNC=C1N(C)Cc1ccccn1</v>
      </c>
      <c r="C3785" s="7">
        <f>IFERROR(__xludf.DUMMYFUNCTION("""COMPUTED_VALUE"""),7.7992353)</f>
        <v>7.7992353</v>
      </c>
      <c r="D3785" s="7">
        <f>IFERROR(__xludf.DUMMYFUNCTION("""COMPUTED_VALUE"""),0.385714285714285)</f>
        <v>0.3857142857</v>
      </c>
    </row>
    <row r="3786">
      <c r="A3786" s="10" t="s">
        <v>5225</v>
      </c>
      <c r="B3786" s="7" t="str">
        <f>IFERROR(__xludf.DUMMYFUNCTION("SPLIT(A3786,"" "")"),"CN(C)CCN(C)Cc1cccnc1")</f>
        <v>CN(C)CCN(C)Cc1cccnc1</v>
      </c>
      <c r="C3786" s="7">
        <f>IFERROR(__xludf.DUMMYFUNCTION("""COMPUTED_VALUE"""),7.7992325)</f>
        <v>7.7992325</v>
      </c>
      <c r="D3786" s="7">
        <f>IFERROR(__xludf.DUMMYFUNCTION("""COMPUTED_VALUE"""),0.432432432432432)</f>
        <v>0.4324324324</v>
      </c>
    </row>
    <row r="3787">
      <c r="A3787" s="10" t="s">
        <v>5226</v>
      </c>
      <c r="B3787" s="7" t="str">
        <f>IFERROR(__xludf.DUMMYFUNCTION("SPLIT(A3787,"" "")"),"CNCc1cccc(CN(Cc2ccccn2)C2CCC(N(C)Cc3cccc(C)n3)CC2)n1")</f>
        <v>CNCc1cccc(CN(Cc2ccccn2)C2CCC(N(C)Cc3cccc(C)n3)CC2)n1</v>
      </c>
      <c r="C3787" s="7">
        <f>IFERROR(__xludf.DUMMYFUNCTION("""COMPUTED_VALUE"""),7.799229)</f>
        <v>7.799229</v>
      </c>
      <c r="D3787" s="7">
        <f>IFERROR(__xludf.DUMMYFUNCTION("""COMPUTED_VALUE"""),0.462962962962962)</f>
        <v>0.462962963</v>
      </c>
    </row>
    <row r="3788">
      <c r="A3788" s="10" t="s">
        <v>5227</v>
      </c>
      <c r="B3788" s="7" t="str">
        <f>IFERROR(__xludf.DUMMYFUNCTION("SPLIT(A3788,"" "")"),"CNCNCc1ncccc1CN(Cc1ccccn1)C1CCC(N(C)Cc2nc(C)c(C)cc2C)CC1")</f>
        <v>CNCNCc1ncccc1CN(Cc1ccccn1)C1CCC(N(C)Cc2nc(C)c(C)cc2C)CC1</v>
      </c>
      <c r="C3788" s="7">
        <f>IFERROR(__xludf.DUMMYFUNCTION("""COMPUTED_VALUE"""),7.799229)</f>
        <v>7.799229</v>
      </c>
      <c r="D3788" s="7">
        <f>IFERROR(__xludf.DUMMYFUNCTION("""COMPUTED_VALUE"""),0.348484848484848)</f>
        <v>0.3484848485</v>
      </c>
    </row>
    <row r="3789">
      <c r="A3789" s="10" t="s">
        <v>5228</v>
      </c>
      <c r="B3789" s="7" t="str">
        <f>IFERROR(__xludf.DUMMYFUNCTION("SPLIT(A3789,"" "")"),"CC(C)N(Cc1cccc(CN(Cc2ccccn2)Cc2cccc(-c3ccc4c(c3)OCCOCCOCCOCCOCCO4)n2)n1)Cc1cccc(-c2ccc3c(c2)OCCOCCOCCOCCOCCO3)n1")</f>
        <v>CC(C)N(Cc1cccc(CN(Cc2ccccn2)Cc2cccc(-c3ccc4c(c3)OCCOCCOCCOCCOCCO4)n2)n1)Cc1cccc(-c2ccc3c(c2)OCCOCCOCCOCCOCCO3)n1</v>
      </c>
      <c r="C3789" s="7">
        <f>IFERROR(__xludf.DUMMYFUNCTION("""COMPUTED_VALUE"""),7.799229)</f>
        <v>7.799229</v>
      </c>
      <c r="D3789" s="7">
        <f>IFERROR(__xludf.DUMMYFUNCTION("""COMPUTED_VALUE"""),0.492063492063492)</f>
        <v>0.4920634921</v>
      </c>
    </row>
    <row r="3790">
      <c r="A3790" s="10" t="s">
        <v>5229</v>
      </c>
      <c r="B3790" s="7" t="str">
        <f>IFERROR(__xludf.DUMMYFUNCTION("SPLIT(A3790,"" "")"),"CCNCc1cc(CN(Cc2ccccn2)Cc2ncccc2-c2ccc3c(c2)OCCOCCOCCOCCOCCO3)ccn1")</f>
        <v>CCNCc1cc(CN(Cc2ccccn2)Cc2ncccc2-c2ccc3c(c2)OCCOCCOCCOCCOCCO3)ccn1</v>
      </c>
      <c r="C3790" s="7">
        <f>IFERROR(__xludf.DUMMYFUNCTION("""COMPUTED_VALUE"""),7.7992187)</f>
        <v>7.7992187</v>
      </c>
      <c r="D3790" s="7">
        <f>IFERROR(__xludf.DUMMYFUNCTION("""COMPUTED_VALUE"""),0.327868852459016)</f>
        <v>0.3278688525</v>
      </c>
    </row>
    <row r="3791">
      <c r="A3791" s="10" t="s">
        <v>5230</v>
      </c>
      <c r="B3791" s="7" t="str">
        <f>IFERROR(__xludf.DUMMYFUNCTION("SPLIT(A3791,"" "")"),"CC(C)(CN(Cc1ccccn1)Cc1cccc(-c2ccc3c(c2)OCCOCCOCCOCCOCCO3)n1)c1ccccn1")</f>
        <v>CC(C)(CN(Cc1ccccn1)Cc1cccc(-c2ccc3c(c2)OCCOCCOCCOCCOCCO3)n1)c1ccccn1</v>
      </c>
      <c r="C3791" s="7">
        <f>IFERROR(__xludf.DUMMYFUNCTION("""COMPUTED_VALUE"""),7.799218)</f>
        <v>7.799218</v>
      </c>
      <c r="D3791" s="7">
        <f>IFERROR(__xludf.DUMMYFUNCTION("""COMPUTED_VALUE"""),0.454545454545454)</f>
        <v>0.4545454545</v>
      </c>
    </row>
    <row r="3792">
      <c r="A3792" s="10" t="s">
        <v>5231</v>
      </c>
      <c r="B3792" s="7" t="str">
        <f>IFERROR(__xludf.DUMMYFUNCTION("SPLIT(A3792,"" "")"),"Cc1cccnc1CN(C)Cc1cccc(-c2ccc3c(c2)OCCOCCOCCOCCOCCO3)n1")</f>
        <v>Cc1cccnc1CN(C)Cc1cccc(-c2ccc3c(c2)OCCOCCOCCOCCOCCO3)n1</v>
      </c>
      <c r="C3792" s="7">
        <f>IFERROR(__xludf.DUMMYFUNCTION("""COMPUTED_VALUE"""),7.7992144)</f>
        <v>7.7992144</v>
      </c>
      <c r="D3792" s="7">
        <f>IFERROR(__xludf.DUMMYFUNCTION("""COMPUTED_VALUE"""),0.406779661016949)</f>
        <v>0.406779661</v>
      </c>
    </row>
    <row r="3793">
      <c r="A3793" s="10" t="s">
        <v>5232</v>
      </c>
      <c r="B3793" s="7" t="str">
        <f>IFERROR(__xludf.DUMMYFUNCTION("SPLIT(A3793,"" "")"),"CNCc1cccc(N(C)C2CCCCC2N(C)Cc2cc(C)c(C)cn2)n1")</f>
        <v>CNCc1cccc(N(C)C2CCCCC2N(C)Cc2cc(C)c(C)cn2)n1</v>
      </c>
      <c r="C3793" s="7">
        <f>IFERROR(__xludf.DUMMYFUNCTION("""COMPUTED_VALUE"""),7.799207)</f>
        <v>7.799207</v>
      </c>
      <c r="D3793" s="7">
        <f>IFERROR(__xludf.DUMMYFUNCTION("""COMPUTED_VALUE"""),0.472727272727272)</f>
        <v>0.4727272727</v>
      </c>
    </row>
    <row r="3794">
      <c r="A3794" s="10" t="s">
        <v>5233</v>
      </c>
      <c r="B3794" s="7" t="str">
        <f>IFERROR(__xludf.DUMMYFUNCTION("SPLIT(A3794,"" "")"),"CNCC1=NCC(C)(C)O1")</f>
        <v>CNCC1=NCC(C)(C)O1</v>
      </c>
      <c r="C3794" s="7">
        <f>IFERROR(__xludf.DUMMYFUNCTION("""COMPUTED_VALUE"""),7.799197)</f>
        <v>7.799197</v>
      </c>
      <c r="D3794" s="7">
        <f>IFERROR(__xludf.DUMMYFUNCTION("""COMPUTED_VALUE"""),0.195121951219512)</f>
        <v>0.1951219512</v>
      </c>
    </row>
    <row r="3795">
      <c r="A3795" s="10" t="s">
        <v>5234</v>
      </c>
      <c r="B3795" s="7" t="str">
        <f>IFERROR(__xludf.DUMMYFUNCTION("SPLIT(A3795,"" "")"),"CNCc1ncccc1CN(Cc1ccccn1)C1CCC(N(C)Cc2ccon2)CC1")</f>
        <v>CNCc1ncccc1CN(Cc1ccccn1)C1CCC(N(C)Cc2ccon2)CC1</v>
      </c>
      <c r="C3795" s="7">
        <f>IFERROR(__xludf.DUMMYFUNCTION("""COMPUTED_VALUE"""),7.7991815)</f>
        <v>7.7991815</v>
      </c>
      <c r="D3795" s="7">
        <f>IFERROR(__xludf.DUMMYFUNCTION("""COMPUTED_VALUE"""),0.393442622950819)</f>
        <v>0.393442623</v>
      </c>
    </row>
    <row r="3796">
      <c r="A3796" s="10" t="s">
        <v>5235</v>
      </c>
      <c r="B3796" s="7" t="str">
        <f>IFERROR(__xludf.DUMMYFUNCTION("SPLIT(A3796,"" "")"),"CN(Cc1ncccc1-c1cccc2c1OCCOCCOCCOCCOCCO2)Cc1ncccc1C(C)(C)C")</f>
        <v>CN(Cc1ncccc1-c1cccc2c1OCCOCCOCCOCCOCCO2)Cc1ncccc1C(C)(C)C</v>
      </c>
      <c r="C3796" s="7">
        <f>IFERROR(__xludf.DUMMYFUNCTION("""COMPUTED_VALUE"""),7.7991805)</f>
        <v>7.7991805</v>
      </c>
      <c r="D3796" s="7">
        <f>IFERROR(__xludf.DUMMYFUNCTION("""COMPUTED_VALUE"""),0.262295081967213)</f>
        <v>0.262295082</v>
      </c>
    </row>
    <row r="3797">
      <c r="A3797" s="10" t="s">
        <v>5236</v>
      </c>
      <c r="B3797" s="7" t="str">
        <f>IFERROR(__xludf.DUMMYFUNCTION("SPLIT(A3797,"" "")"),"CC(C)N(Cc1cc(-c2ccc3c(c2)OCCOCCOCCOCCOCCO3)ccn1)Cc1cc(C(C)(C)C)ccn1")</f>
        <v>CC(C)N(Cc1cc(-c2ccc3c(c2)OCCOCCOCCOCCOCCO3)ccn1)Cc1cc(C(C)(C)C)ccn1</v>
      </c>
      <c r="C3797" s="7">
        <f>IFERROR(__xludf.DUMMYFUNCTION("""COMPUTED_VALUE"""),7.7991796)</f>
        <v>7.7991796</v>
      </c>
      <c r="D3797" s="7">
        <f>IFERROR(__xludf.DUMMYFUNCTION("""COMPUTED_VALUE"""),0.373134328358209)</f>
        <v>0.3731343284</v>
      </c>
    </row>
    <row r="3798">
      <c r="A3798" s="10" t="s">
        <v>5237</v>
      </c>
      <c r="B3798" s="7" t="str">
        <f>IFERROR(__xludf.DUMMYFUNCTION("SPLIT(A3798,"" "")"),"CN(CCF)CCN(C)c1ccccc1F")</f>
        <v>CN(CCF)CCN(C)c1ccccc1F</v>
      </c>
      <c r="C3798" s="7">
        <f>IFERROR(__xludf.DUMMYFUNCTION("""COMPUTED_VALUE"""),7.7991786)</f>
        <v>7.7991786</v>
      </c>
      <c r="D3798" s="7">
        <f>IFERROR(__xludf.DUMMYFUNCTION("""COMPUTED_VALUE"""),0.341463414634146)</f>
        <v>0.3414634146</v>
      </c>
    </row>
    <row r="3799">
      <c r="A3799" s="10" t="s">
        <v>5238</v>
      </c>
      <c r="B3799" s="7" t="str">
        <f>IFERROR(__xludf.DUMMYFUNCTION("SPLIT(A3799,"" "")"),"COC(=O)c1ncccc1CN(Cc1ccccn1)C1CCCCC1")</f>
        <v>COC(=O)c1ncccc1CN(Cc1ccccn1)C1CCCCC1</v>
      </c>
      <c r="C3799" s="7">
        <f>IFERROR(__xludf.DUMMYFUNCTION("""COMPUTED_VALUE"""),7.7991776)</f>
        <v>7.7991776</v>
      </c>
      <c r="D3799" s="7">
        <f>IFERROR(__xludf.DUMMYFUNCTION("""COMPUTED_VALUE"""),0.425925925925925)</f>
        <v>0.4259259259</v>
      </c>
    </row>
    <row r="3800">
      <c r="A3800" s="10" t="s">
        <v>5239</v>
      </c>
      <c r="B3800" s="7" t="str">
        <f>IFERROR(__xludf.DUMMYFUNCTION("SPLIT(A3800,"" "")"),"c1ccc(CN(Cc2ccccn2)Cc2ncccc2-c2cccc3c2OCCOCCOCCOCCOCCO3)nc1")</f>
        <v>c1ccc(CN(Cc2ccccn2)Cc2ncccc2-c2cccc3c2OCCOCCOCCOCCOCCO3)nc1</v>
      </c>
      <c r="C3800" s="7">
        <f>IFERROR(__xludf.DUMMYFUNCTION("""COMPUTED_VALUE"""),7.7991753)</f>
        <v>7.7991753</v>
      </c>
      <c r="D3800" s="7">
        <f>IFERROR(__xludf.DUMMYFUNCTION("""COMPUTED_VALUE"""),0.444444444444444)</f>
        <v>0.4444444444</v>
      </c>
    </row>
    <row r="3801">
      <c r="A3801" s="10" t="s">
        <v>5240</v>
      </c>
      <c r="B3801" s="7" t="str">
        <f>IFERROR(__xludf.DUMMYFUNCTION("SPLIT(A3801,"" "")"),"CC1=CCC2(CC1C)C(C)C=CC(C)C2(C)c1ccc(CN(Cc2ccccn2)Cc2cccc(-c3ccc4c(c3)OCCOCCOCCOCCOCCO4)n2)cn1")</f>
        <v>CC1=CCC2(CC1C)C(C)C=CC(C)C2(C)c1ccc(CN(Cc2ccccn2)Cc2cccc(-c3ccc4c(c3)OCCOCCOCCOCCOCCO4)n2)cn1</v>
      </c>
      <c r="C3801" s="7">
        <f>IFERROR(__xludf.DUMMYFUNCTION("""COMPUTED_VALUE"""),7.7991743)</f>
        <v>7.7991743</v>
      </c>
      <c r="D3801" s="7">
        <f>IFERROR(__xludf.DUMMYFUNCTION("""COMPUTED_VALUE"""),0.348314606741573)</f>
        <v>0.3483146067</v>
      </c>
    </row>
    <row r="3802">
      <c r="A3802" s="10" t="s">
        <v>5241</v>
      </c>
      <c r="B3802" s="7" t="str">
        <f>IFERROR(__xludf.DUMMYFUNCTION("SPLIT(A3802,"" "")"),"Cc1ccc(CN(Cc2ccccn2)C2CCC(N(C)Cc3cccc(C4CC(Cl)C4Cl)n3)CC2)nc1")</f>
        <v>Cc1ccc(CN(Cc2ccccn2)C2CCC(N(C)Cc3cccc(C4CC(Cl)C4Cl)n3)CC2)nc1</v>
      </c>
      <c r="C3802" s="7">
        <f>IFERROR(__xludf.DUMMYFUNCTION("""COMPUTED_VALUE"""),7.799149)</f>
        <v>7.799149</v>
      </c>
      <c r="D3802" s="7">
        <f>IFERROR(__xludf.DUMMYFUNCTION("""COMPUTED_VALUE"""),0.396825396825396)</f>
        <v>0.3968253968</v>
      </c>
    </row>
    <row r="3803">
      <c r="A3803" s="10" t="s">
        <v>5242</v>
      </c>
      <c r="B3803" s="7" t="str">
        <f>IFERROR(__xludf.DUMMYFUNCTION("SPLIT(A3803,"" "")"),"C=CCN(C)Cc1cccc(CN(Cc2ccccn2)C2CCC(N(C)Cc3ncccc3C)CC2)n1")</f>
        <v>C=CCN(C)Cc1cccc(CN(Cc2ccccn2)C2CCC(N(C)Cc3ncccc3C)CC2)n1</v>
      </c>
      <c r="C3803" s="7">
        <f>IFERROR(__xludf.DUMMYFUNCTION("""COMPUTED_VALUE"""),7.7991476)</f>
        <v>7.7991476</v>
      </c>
      <c r="D3803" s="7">
        <f>IFERROR(__xludf.DUMMYFUNCTION("""COMPUTED_VALUE"""),0.393442622950819)</f>
        <v>0.393442623</v>
      </c>
    </row>
    <row r="3804">
      <c r="A3804" s="10" t="s">
        <v>5243</v>
      </c>
      <c r="B3804" s="7" t="str">
        <f>IFERROR(__xludf.DUMMYFUNCTION("SPLIT(A3804,"" "")"),"Cc1cc(C)c(CN(Cc2ccccn2)C2CCCCC2N(CF)Cc2ccccn2)nc1C")</f>
        <v>Cc1cc(C)c(CN(Cc2ccccn2)C2CCCCC2N(CF)Cc2ccccn2)nc1C</v>
      </c>
      <c r="C3804" s="7">
        <f>IFERROR(__xludf.DUMMYFUNCTION("""COMPUTED_VALUE"""),7.799143)</f>
        <v>7.799143</v>
      </c>
      <c r="D3804" s="7">
        <f>IFERROR(__xludf.DUMMYFUNCTION("""COMPUTED_VALUE"""),0.48076923076923)</f>
        <v>0.4807692308</v>
      </c>
    </row>
    <row r="3805">
      <c r="A3805" s="10" t="s">
        <v>5244</v>
      </c>
      <c r="B3805" s="7" t="str">
        <f>IFERROR(__xludf.DUMMYFUNCTION("SPLIT(A3805,"" "")"),"CN(CCF)Cc1ncccc1N")</f>
        <v>CN(CCF)Cc1ncccc1N</v>
      </c>
      <c r="C3805" s="7">
        <f>IFERROR(__xludf.DUMMYFUNCTION("""COMPUTED_VALUE"""),7.799139)</f>
        <v>7.799139</v>
      </c>
      <c r="D3805" s="7">
        <f>IFERROR(__xludf.DUMMYFUNCTION("""COMPUTED_VALUE"""),0.4)</f>
        <v>0.4</v>
      </c>
    </row>
    <row r="3806">
      <c r="A3806" s="10" t="s">
        <v>5245</v>
      </c>
      <c r="B3806" s="7" t="str">
        <f>IFERROR(__xludf.DUMMYFUNCTION("SPLIT(A3806,"" "")"),"CNCc1ccc(CN(Cc2ccccn2)C2CCC(N(C)Cc3cccc(C)n3)CC2)cn1")</f>
        <v>CNCc1ccc(CN(Cc2ccccn2)C2CCC(N(C)Cc3cccc(C)n3)CC2)cn1</v>
      </c>
      <c r="C3806" s="7">
        <f>IFERROR(__xludf.DUMMYFUNCTION("""COMPUTED_VALUE"""),7.799123)</f>
        <v>7.799123</v>
      </c>
      <c r="D3806" s="7">
        <f>IFERROR(__xludf.DUMMYFUNCTION("""COMPUTED_VALUE"""),0.40983606557377)</f>
        <v>0.4098360656</v>
      </c>
    </row>
    <row r="3807">
      <c r="A3807" s="10" t="s">
        <v>5246</v>
      </c>
      <c r="B3807" s="7" t="str">
        <f>IFERROR(__xludf.DUMMYFUNCTION("SPLIT(A3807,"" "")"),"Cc1cc(CN(Cc2cc(C)c(C)c(C)n2)C2CCCCC2N(C)C2CCCCC2N(C)c2ccc(Cl)nc2)cnc1C")</f>
        <v>Cc1cc(CN(Cc2cc(C)c(C)c(C)n2)C2CCCCC2N(C)C2CCCCC2N(C)c2ccc(Cl)nc2)cnc1C</v>
      </c>
      <c r="C3807" s="7">
        <f>IFERROR(__xludf.DUMMYFUNCTION("""COMPUTED_VALUE"""),7.7991223)</f>
        <v>7.7991223</v>
      </c>
      <c r="D3807" s="7">
        <f>IFERROR(__xludf.DUMMYFUNCTION("""COMPUTED_VALUE"""),0.285714285714285)</f>
        <v>0.2857142857</v>
      </c>
    </row>
    <row r="3808">
      <c r="A3808" s="10" t="s">
        <v>5247</v>
      </c>
      <c r="B3808" s="7" t="str">
        <f>IFERROR(__xludf.DUMMYFUNCTION("SPLIT(A3808,"" "")"),"Cc1cnc(CN(C)C2CCCC(N(CC3=CCC=CN3)Cc3ccccn3)C2)c(C)c1")</f>
        <v>Cc1cnc(CN(C)C2CCCC(N(CC3=CCC=CN3)Cc3ccccn3)C2)c(C)c1</v>
      </c>
      <c r="C3808" s="7">
        <f>IFERROR(__xludf.DUMMYFUNCTION("""COMPUTED_VALUE"""),7.7991214)</f>
        <v>7.7991214</v>
      </c>
      <c r="D3808" s="7">
        <f>IFERROR(__xludf.DUMMYFUNCTION("""COMPUTED_VALUE"""),0.476923076923076)</f>
        <v>0.4769230769</v>
      </c>
    </row>
    <row r="3809">
      <c r="A3809" s="10" t="s">
        <v>5248</v>
      </c>
      <c r="B3809" s="7" t="str">
        <f>IFERROR(__xludf.DUMMYFUNCTION("SPLIT(A3809,"" "")"),"Cc1cccnc1CN(C)CCN(C)CC(C)(C)C")</f>
        <v>Cc1cccnc1CN(C)CCN(C)CC(C)(C)C</v>
      </c>
      <c r="C3809" s="7">
        <f>IFERROR(__xludf.DUMMYFUNCTION("""COMPUTED_VALUE"""),7.7991076)</f>
        <v>7.7991076</v>
      </c>
      <c r="D3809" s="7">
        <f>IFERROR(__xludf.DUMMYFUNCTION("""COMPUTED_VALUE"""),0.409090909090909)</f>
        <v>0.4090909091</v>
      </c>
    </row>
    <row r="3810">
      <c r="A3810" s="10" t="s">
        <v>5249</v>
      </c>
      <c r="B3810" s="7" t="str">
        <f>IFERROR(__xludf.DUMMYFUNCTION("SPLIT(A3810,"" "")"),"Cc1nc(CN(C)C2CCC(N(Cc3ccccn3)C(C)C)CC2)c(C)c(C)c1C")</f>
        <v>Cc1nc(CN(C)C2CCC(N(Cc3ccccn3)C(C)C)CC2)c(C)c(C)c1C</v>
      </c>
      <c r="C3810" s="7">
        <f>IFERROR(__xludf.DUMMYFUNCTION("""COMPUTED_VALUE"""),7.7991037)</f>
        <v>7.7991037</v>
      </c>
      <c r="D3810" s="7">
        <f>IFERROR(__xludf.DUMMYFUNCTION("""COMPUTED_VALUE"""),0.425925925925925)</f>
        <v>0.4259259259</v>
      </c>
    </row>
    <row r="3811">
      <c r="A3811" s="10" t="s">
        <v>5250</v>
      </c>
      <c r="B3811" s="7" t="str">
        <f>IFERROR(__xludf.DUMMYFUNCTION("SPLIT(A3811,"" "")"),"Cc1cc(CN(Cc2ccccn2)C2CCCCC2N(CF)Cc2ccccn2)nc(C)c1C")</f>
        <v>Cc1cc(CN(Cc2ccccn2)C2CCCCC2N(CF)Cc2ccccn2)nc(C)c1C</v>
      </c>
      <c r="C3811" s="7">
        <f>IFERROR(__xludf.DUMMYFUNCTION("""COMPUTED_VALUE"""),7.7991)</f>
        <v>7.7991</v>
      </c>
      <c r="D3811" s="7">
        <f>IFERROR(__xludf.DUMMYFUNCTION("""COMPUTED_VALUE"""),0.490196078431372)</f>
        <v>0.4901960784</v>
      </c>
    </row>
    <row r="3812">
      <c r="A3812" s="10" t="s">
        <v>5251</v>
      </c>
      <c r="B3812" s="7" t="str">
        <f>IFERROR(__xludf.DUMMYFUNCTION("SPLIT(A3812,"" "")"),"CNCc1nc(-c2ccc3c(c2)OCCOCCOCCOCCOCCO3)c(C)c(C)c1C")</f>
        <v>CNCc1nc(-c2ccc3c(c2)OCCOCCOCCOCCOCCO3)c(C)c(C)c1C</v>
      </c>
      <c r="C3812" s="7">
        <f>IFERROR(__xludf.DUMMYFUNCTION("""COMPUTED_VALUE"""),7.7990956)</f>
        <v>7.7990956</v>
      </c>
      <c r="D3812" s="7">
        <f>IFERROR(__xludf.DUMMYFUNCTION("""COMPUTED_VALUE"""),0.349206349206349)</f>
        <v>0.3492063492</v>
      </c>
    </row>
    <row r="3813">
      <c r="A3813" s="10" t="s">
        <v>5252</v>
      </c>
      <c r="B3813" s="7" t="str">
        <f>IFERROR(__xludf.DUMMYFUNCTION("SPLIT(A3813,"" "")"),"Cc1ccc(CN(C)Cc2cccc(-c3ccc4c(c3)OCCOCCOCCOCCOCCO4)n2)c(C)c1")</f>
        <v>Cc1ccc(CN(C)Cc2cccc(-c3ccc4c(c3)OCCOCCOCCOCCOCCO4)n2)c(C)c1</v>
      </c>
      <c r="C3813" s="7">
        <f>IFERROR(__xludf.DUMMYFUNCTION("""COMPUTED_VALUE"""),7.7990837)</f>
        <v>7.7990837</v>
      </c>
      <c r="D3813" s="7">
        <f>IFERROR(__xludf.DUMMYFUNCTION("""COMPUTED_VALUE"""),0.344262295081967)</f>
        <v>0.3442622951</v>
      </c>
    </row>
    <row r="3814">
      <c r="A3814" s="10" t="s">
        <v>5253</v>
      </c>
      <c r="B3814" s="7" t="str">
        <f>IFERROR(__xludf.DUMMYFUNCTION("SPLIT(A3814,"" "")"),"CN(Cc1cccc(C(C)(C)C)n1)Cc1ncccc1-c1cccc2c1OCCOCCOCCOCCOCCO2")</f>
        <v>CN(Cc1cccc(C(C)(C)C)n1)Cc1ncccc1-c1cccc2c1OCCOCCOCCOCCOCCO2</v>
      </c>
      <c r="C3814" s="7">
        <f>IFERROR(__xludf.DUMMYFUNCTION("""COMPUTED_VALUE"""),7.7990804)</f>
        <v>7.7990804</v>
      </c>
      <c r="D3814" s="7">
        <f>IFERROR(__xludf.DUMMYFUNCTION("""COMPUTED_VALUE"""),0.333333333333333)</f>
        <v>0.3333333333</v>
      </c>
    </row>
    <row r="3815">
      <c r="A3815" s="10" t="s">
        <v>5254</v>
      </c>
      <c r="B3815" s="7" t="str">
        <f>IFERROR(__xludf.DUMMYFUNCTION("SPLIT(A3815,"" "")"),"CNCc1cccc(CN(Cc2ccccn2)C2CCC(N(C)Cc3ccon3)CC2)n1")</f>
        <v>CNCc1cccc(CN(Cc2ccccn2)C2CCC(N(C)Cc3ccon3)CC2)n1</v>
      </c>
      <c r="C3815" s="7">
        <f>IFERROR(__xludf.DUMMYFUNCTION("""COMPUTED_VALUE"""),7.799077)</f>
        <v>7.799077</v>
      </c>
      <c r="D3815" s="7">
        <f>IFERROR(__xludf.DUMMYFUNCTION("""COMPUTED_VALUE"""),0.413793103448275)</f>
        <v>0.4137931034</v>
      </c>
    </row>
    <row r="3816">
      <c r="A3816" s="10" t="s">
        <v>5255</v>
      </c>
      <c r="B3816" s="7" t="str">
        <f>IFERROR(__xludf.DUMMYFUNCTION("SPLIT(A3816,"" "")"),"Cc1ccc(CN(C)CCN(Cc2ccccn2)C(C)(C)c2cccnc2-c2ccc3c(c2)OCCOCCOCCOCCOCCO3)nc1")</f>
        <v>Cc1ccc(CN(C)CCN(Cc2ccccn2)C(C)(C)c2cccnc2-c2ccc3c(c2)OCCOCCOCCOCCOCCO3)nc1</v>
      </c>
      <c r="C3816" s="7">
        <f>IFERROR(__xludf.DUMMYFUNCTION("""COMPUTED_VALUE"""),7.7990727)</f>
        <v>7.7990727</v>
      </c>
      <c r="D3816" s="7">
        <f>IFERROR(__xludf.DUMMYFUNCTION("""COMPUTED_VALUE"""),0.384615384615384)</f>
        <v>0.3846153846</v>
      </c>
    </row>
    <row r="3817">
      <c r="A3817" s="10" t="s">
        <v>5256</v>
      </c>
      <c r="B3817" s="7" t="str">
        <f>IFERROR(__xludf.DUMMYFUNCTION("SPLIT(A3817,"" "")"),"CN(CCN(C)c1ccc2cc(CF)cnc2c1)Cc1ccc2c(c1)OCCOCCOCCOCCOCCO2")</f>
        <v>CN(CCN(C)c1ccc2cc(CF)cnc2c1)Cc1ccc2c(c1)OCCOCCOCCOCCOCCO2</v>
      </c>
      <c r="C3817" s="7">
        <f>IFERROR(__xludf.DUMMYFUNCTION("""COMPUTED_VALUE"""),7.799071)</f>
        <v>7.799071</v>
      </c>
      <c r="D3817" s="7">
        <f>IFERROR(__xludf.DUMMYFUNCTION("""COMPUTED_VALUE"""),0.276315789473684)</f>
        <v>0.2763157895</v>
      </c>
    </row>
    <row r="3818">
      <c r="A3818" s="10" t="s">
        <v>5257</v>
      </c>
      <c r="B3818" s="7" t="str">
        <f>IFERROR(__xludf.DUMMYFUNCTION("SPLIT(A3818,"" "")"),"CCN(Cc1cc(C)ccn1)C1CCC(N(C)Cc2nc(C)c(C)c(C)c2C)CC1")</f>
        <v>CCN(Cc1cc(C)ccn1)C1CCC(N(C)Cc2nc(C)c(C)c(C)c2C)CC1</v>
      </c>
      <c r="C3818" s="7">
        <f>IFERROR(__xludf.DUMMYFUNCTION("""COMPUTED_VALUE"""),7.799069)</f>
        <v>7.799069</v>
      </c>
      <c r="D3818" s="7">
        <f>IFERROR(__xludf.DUMMYFUNCTION("""COMPUTED_VALUE"""),0.305084745762711)</f>
        <v>0.3050847458</v>
      </c>
    </row>
    <row r="3819">
      <c r="A3819" s="10" t="s">
        <v>5258</v>
      </c>
      <c r="B3819" s="7" t="str">
        <f>IFERROR(__xludf.DUMMYFUNCTION("SPLIT(A3819,"" "")"),"CNC1CC(N(C)Cc2ncccc2C)CC(N(C)Cc2ncc(C)cc2C)C1")</f>
        <v>CNC1CC(N(C)Cc2ncccc2C)CC(N(C)Cc2ncc(C)cc2C)C1</v>
      </c>
      <c r="C3819" s="7">
        <f>IFERROR(__xludf.DUMMYFUNCTION("""COMPUTED_VALUE"""),7.799052)</f>
        <v>7.799052</v>
      </c>
      <c r="D3819" s="7">
        <f>IFERROR(__xludf.DUMMYFUNCTION("""COMPUTED_VALUE"""),0.288135593220339)</f>
        <v>0.2881355932</v>
      </c>
    </row>
    <row r="3820">
      <c r="A3820" s="10" t="s">
        <v>5259</v>
      </c>
      <c r="B3820" s="7" t="str">
        <f>IFERROR(__xludf.DUMMYFUNCTION("SPLIT(A3820,"" "")"),"CNCc1cccc(CN(Cc2ccccn2)C2CCCC(N(C)Cc3ncccc3C)C2)n1")</f>
        <v>CNCc1cccc(CN(Cc2ccccn2)C2CCCC(N(C)Cc3ncccc3C)C2)n1</v>
      </c>
      <c r="C3820" s="7">
        <f>IFERROR(__xludf.DUMMYFUNCTION("""COMPUTED_VALUE"""),7.799052)</f>
        <v>7.799052</v>
      </c>
      <c r="D3820" s="7">
        <f>IFERROR(__xludf.DUMMYFUNCTION("""COMPUTED_VALUE"""),0.4)</f>
        <v>0.4</v>
      </c>
    </row>
    <row r="3821">
      <c r="A3821" s="10" t="s">
        <v>5260</v>
      </c>
      <c r="B3821" s="7" t="str">
        <f>IFERROR(__xludf.DUMMYFUNCTION("SPLIT(A3821,"" "")"),"CC(C)C1=CCC=C(N(C)Cc2cccc(-c3ccc4c(c3)OCCOCCOCCOCCOCCO4)n2)N1")</f>
        <v>CC(C)C1=CCC=C(N(C)Cc2cccc(-c3ccc4c(c3)OCCOCCOCCOCCOCCO4)n2)N1</v>
      </c>
      <c r="C3821" s="7">
        <f>IFERROR(__xludf.DUMMYFUNCTION("""COMPUTED_VALUE"""),7.7990417)</f>
        <v>7.7990417</v>
      </c>
      <c r="D3821" s="7">
        <f>IFERROR(__xludf.DUMMYFUNCTION("""COMPUTED_VALUE"""),0.298701298701298)</f>
        <v>0.2987012987</v>
      </c>
    </row>
    <row r="3822">
      <c r="A3822" s="10" t="s">
        <v>5261</v>
      </c>
      <c r="B3822" s="7" t="str">
        <f>IFERROR(__xludf.DUMMYFUNCTION("SPLIT(A3822,"" "")"),"CCNCc1cc(-c2cc(CN(C)C3CCC(N(C)Cc4cc(-c5ccc6c(c5)OCCOCCOCCOCCOCCO6)ccn4)CC3)ccn2)ccn1")</f>
        <v>CCNCc1cc(-c2cc(CN(C)C3CCC(N(C)Cc4cc(-c5ccc6c(c5)OCCOCCOCCOCCOCCO6)ccn4)CC3)ccn2)ccn1</v>
      </c>
      <c r="C3822" s="7">
        <f>IFERROR(__xludf.DUMMYFUNCTION("""COMPUTED_VALUE"""),7.79904)</f>
        <v>7.79904</v>
      </c>
      <c r="D3822" s="7">
        <f>IFERROR(__xludf.DUMMYFUNCTION("""COMPUTED_VALUE"""),0.35064935064935)</f>
        <v>0.3506493506</v>
      </c>
    </row>
    <row r="3823">
      <c r="A3823" s="10" t="s">
        <v>5262</v>
      </c>
      <c r="B3823" s="7" t="str">
        <f>IFERROR(__xludf.DUMMYFUNCTION("SPLIT(A3823,"" "")"),"CC1C=C(C(C)(C)c2ccccn2)CC(N(C)Cc2ccccn2)C1C")</f>
        <v>CC1C=C(C(C)(C)c2ccccn2)CC(N(C)Cc2ccccn2)C1C</v>
      </c>
      <c r="C3823" s="7">
        <f>IFERROR(__xludf.DUMMYFUNCTION("""COMPUTED_VALUE"""),7.799039)</f>
        <v>7.799039</v>
      </c>
      <c r="D3823" s="7">
        <f>IFERROR(__xludf.DUMMYFUNCTION("""COMPUTED_VALUE"""),0.5)</f>
        <v>0.5</v>
      </c>
    </row>
    <row r="3824">
      <c r="A3824" s="10" t="s">
        <v>5263</v>
      </c>
      <c r="B3824" s="7" t="str">
        <f>IFERROR(__xludf.DUMMYFUNCTION("SPLIT(A3824,"" "")"),"CC(C)C(C)c1ccnc(CNC(C)C(C)c2ccnc(C3CCC3(C)C)c2)c1")</f>
        <v>CC(C)C(C)c1ccnc(CNC(C)C(C)c2ccnc(C3CCC3(C)C)c2)c1</v>
      </c>
      <c r="C3824" s="7">
        <f>IFERROR(__xludf.DUMMYFUNCTION("""COMPUTED_VALUE"""),7.7990313)</f>
        <v>7.7990313</v>
      </c>
      <c r="D3824" s="7">
        <f>IFERROR(__xludf.DUMMYFUNCTION("""COMPUTED_VALUE"""),0.223880597014925)</f>
        <v>0.223880597</v>
      </c>
    </row>
    <row r="3825">
      <c r="A3825" s="10" t="s">
        <v>5264</v>
      </c>
      <c r="B3825" s="7" t="str">
        <f>IFERROR(__xludf.DUMMYFUNCTION("SPLIT(A3825,"" "")"),"CNC1CCCCC1N(Cc1cc(C)cc(C)n1)Cc1cc(C)c(C)c(C)n1")</f>
        <v>CNC1CCCCC1N(Cc1cc(C)cc(C)n1)Cc1cc(C)c(C)c(C)n1</v>
      </c>
      <c r="C3825" s="7">
        <f>IFERROR(__xludf.DUMMYFUNCTION("""COMPUTED_VALUE"""),7.7990303)</f>
        <v>7.7990303</v>
      </c>
      <c r="D3825" s="7">
        <f>IFERROR(__xludf.DUMMYFUNCTION("""COMPUTED_VALUE"""),0.333333333333333)</f>
        <v>0.3333333333</v>
      </c>
    </row>
    <row r="3826">
      <c r="A3826" s="10" t="s">
        <v>5265</v>
      </c>
      <c r="B3826" s="7" t="str">
        <f>IFERROR(__xludf.DUMMYFUNCTION("SPLIT(A3826,"" "")"),"Cc1nc(CN(Cc2ccccn2)C2CCCC(N(C)C)C2)c(C)c(C)c1C")</f>
        <v>Cc1nc(CN(Cc2ccccn2)C2CCCC(N(C)C)C2)c(C)c(C)c1C</v>
      </c>
      <c r="C3826" s="7">
        <f>IFERROR(__xludf.DUMMYFUNCTION("""COMPUTED_VALUE"""),7.799027)</f>
        <v>7.799027</v>
      </c>
      <c r="D3826" s="7">
        <f>IFERROR(__xludf.DUMMYFUNCTION("""COMPUTED_VALUE"""),0.433962264150943)</f>
        <v>0.4339622642</v>
      </c>
    </row>
    <row r="3827">
      <c r="A3827" s="10" t="s">
        <v>5266</v>
      </c>
      <c r="B3827" s="7" t="str">
        <f>IFERROR(__xludf.DUMMYFUNCTION("SPLIT(A3827,"" "")"),"Cc1nc(CN(C)C2CCC(N(C)Cc3cc(CF)ccn3)CC2)c(C)c(C)c1C")</f>
        <v>Cc1nc(CN(C)C2CCC(N(C)Cc3cc(CF)ccn3)CC2)c(C)c(C)c1C</v>
      </c>
      <c r="C3827" s="7">
        <f>IFERROR(__xludf.DUMMYFUNCTION("""COMPUTED_VALUE"""),7.799023)</f>
        <v>7.799023</v>
      </c>
      <c r="D3827" s="7">
        <f>IFERROR(__xludf.DUMMYFUNCTION("""COMPUTED_VALUE"""),0.321428571428571)</f>
        <v>0.3214285714</v>
      </c>
    </row>
    <row r="3828">
      <c r="A3828" s="10" t="s">
        <v>5267</v>
      </c>
      <c r="B3828" s="7" t="str">
        <f>IFERROR(__xludf.DUMMYFUNCTION("SPLIT(A3828,"" "")"),"COC(=O)c1cccc(CN(Cc2ccccn2)C2CCCCC2)n1")</f>
        <v>COC(=O)c1cccc(CN(Cc2ccccn2)C2CCCCC2)n1</v>
      </c>
      <c r="C3828" s="7">
        <f>IFERROR(__xludf.DUMMYFUNCTION("""COMPUTED_VALUE"""),7.7990174)</f>
        <v>7.7990174</v>
      </c>
      <c r="D3828" s="7">
        <f>IFERROR(__xludf.DUMMYFUNCTION("""COMPUTED_VALUE"""),0.433962264150943)</f>
        <v>0.4339622642</v>
      </c>
    </row>
    <row r="3829">
      <c r="A3829" s="10" t="s">
        <v>5268</v>
      </c>
      <c r="B3829" s="7" t="str">
        <f>IFERROR(__xludf.DUMMYFUNCTION("SPLIT(A3829,"" "")"),"CN(CCN(C)c1ccc2ncc(CF)cc2c1)Cc1ccc2c(c1)OCCOCCOCCOCCOCCO2")</f>
        <v>CN(CCN(C)c1ccc2ncc(CF)cc2c1)Cc1ccc2c(c1)OCCOCCOCCOCCOCCO2</v>
      </c>
      <c r="C3829" s="7">
        <f>IFERROR(__xludf.DUMMYFUNCTION("""COMPUTED_VALUE"""),7.799014)</f>
        <v>7.799014</v>
      </c>
      <c r="D3829" s="7">
        <f>IFERROR(__xludf.DUMMYFUNCTION("""COMPUTED_VALUE"""),0.272727272727272)</f>
        <v>0.2727272727</v>
      </c>
    </row>
    <row r="3830">
      <c r="A3830" s="10" t="s">
        <v>5269</v>
      </c>
      <c r="B3830" s="7" t="str">
        <f>IFERROR(__xludf.DUMMYFUNCTION("SPLIT(A3830,"" "")"),"COC(C)c1ccc(CN2CCN(C)CCN(Cc3ncccc3C(C)(C)c3ccccn3)CC2)cn1")</f>
        <v>COC(C)c1ccc(CN2CCN(C)CCN(Cc3ncccc3C(C)(C)c3ccccn3)CC2)cn1</v>
      </c>
      <c r="C3830" s="7">
        <f>IFERROR(__xludf.DUMMYFUNCTION("""COMPUTED_VALUE"""),7.7990103)</f>
        <v>7.7990103</v>
      </c>
      <c r="D3830" s="7">
        <f>IFERROR(__xludf.DUMMYFUNCTION("""COMPUTED_VALUE"""),0.370967741935483)</f>
        <v>0.3709677419</v>
      </c>
    </row>
    <row r="3831">
      <c r="A3831" s="10" t="s">
        <v>5270</v>
      </c>
      <c r="B3831" s="7" t="str">
        <f>IFERROR(__xludf.DUMMYFUNCTION("SPLIT(A3831,"" "")"),"Cc1ccc(CN(C)C2CCCC(N(Cc3ccc(CNC(C)C)nc3)Cc3ccccn3)C2)nc1")</f>
        <v>Cc1ccc(CN(C)C2CCCC(N(Cc3ccc(CNC(C)C)nc3)Cc3ccccn3)C2)nc1</v>
      </c>
      <c r="C3831" s="7">
        <f>IFERROR(__xludf.DUMMYFUNCTION("""COMPUTED_VALUE"""),7.7989955)</f>
        <v>7.7989955</v>
      </c>
      <c r="D3831" s="7">
        <f>IFERROR(__xludf.DUMMYFUNCTION("""COMPUTED_VALUE"""),0.419354838709677)</f>
        <v>0.4193548387</v>
      </c>
    </row>
    <row r="3832">
      <c r="A3832" s="10" t="s">
        <v>5271</v>
      </c>
      <c r="B3832" s="7" t="str">
        <f>IFERROR(__xludf.DUMMYFUNCTION("SPLIT(A3832,"" "")"),"CCN(Cc1ccccn1)Cc1cc(N(C)C2CCC(N(Cc3ccccn3)Cc3cc(-c4cccc5c4OCCOCCOCCOCCOCCO5)ccn3)CC2)ccn1")</f>
        <v>CCN(Cc1ccccn1)Cc1cc(N(C)C2CCC(N(Cc3ccccn3)Cc3cc(-c4cccc5c4OCCOCCOCCOCCOCCO5)ccn3)CC2)ccn1</v>
      </c>
      <c r="C3832" s="7">
        <f>IFERROR(__xludf.DUMMYFUNCTION("""COMPUTED_VALUE"""),7.7989855)</f>
        <v>7.7989855</v>
      </c>
      <c r="D3832" s="7">
        <f>IFERROR(__xludf.DUMMYFUNCTION("""COMPUTED_VALUE"""),0.297297297297297)</f>
        <v>0.2972972973</v>
      </c>
    </row>
    <row r="3833">
      <c r="A3833" s="10" t="s">
        <v>5272</v>
      </c>
      <c r="B3833" s="7" t="str">
        <f>IFERROR(__xludf.DUMMYFUNCTION("SPLIT(A3833,"" "")"),"CC(C)N(C)CC1=CC(N(C)Cc2cccnn2)C=CN1")</f>
        <v>CC(C)N(C)CC1=CC(N(C)Cc2cccnn2)C=CN1</v>
      </c>
      <c r="C3833" s="7">
        <f>IFERROR(__xludf.DUMMYFUNCTION("""COMPUTED_VALUE"""),7.7989745)</f>
        <v>7.7989745</v>
      </c>
      <c r="D3833" s="7">
        <f>IFERROR(__xludf.DUMMYFUNCTION("""COMPUTED_VALUE"""),0.408163265306122)</f>
        <v>0.4081632653</v>
      </c>
    </row>
    <row r="3834">
      <c r="A3834" s="10" t="s">
        <v>5273</v>
      </c>
      <c r="B3834" s="7" t="str">
        <f>IFERROR(__xludf.DUMMYFUNCTION("SPLIT(A3834,"" "")"),"Cc1ccc(CN(C)Cc2ncccc2-c2ccc3c(c2)OCCOCCOCCOCCOCCO3)nc1")</f>
        <v>Cc1ccc(CN(C)Cc2ncccc2-c2ccc3c(c2)OCCOCCOCCOCCOCCO3)nc1</v>
      </c>
      <c r="C3834" s="7">
        <f>IFERROR(__xludf.DUMMYFUNCTION("""COMPUTED_VALUE"""),7.798969)</f>
        <v>7.798969</v>
      </c>
      <c r="D3834" s="7">
        <f>IFERROR(__xludf.DUMMYFUNCTION("""COMPUTED_VALUE"""),0.4)</f>
        <v>0.4</v>
      </c>
    </row>
    <row r="3835">
      <c r="A3835" s="10" t="s">
        <v>5274</v>
      </c>
      <c r="B3835" s="7" t="str">
        <f>IFERROR(__xludf.DUMMYFUNCTION("SPLIT(A3835,"" "")"),"Cc1ncccc1CN(C)Cc1cccnc1-c1ccc2c(c1)OCCOCCOCCOCCOCCO2")</f>
        <v>Cc1ncccc1CN(C)Cc1cccnc1-c1ccc2c(c1)OCCOCCOCCOCCOCCO2</v>
      </c>
      <c r="C3835" s="7">
        <f>IFERROR(__xludf.DUMMYFUNCTION("""COMPUTED_VALUE"""),7.7989583)</f>
        <v>7.7989583</v>
      </c>
      <c r="D3835" s="7">
        <f>IFERROR(__xludf.DUMMYFUNCTION("""COMPUTED_VALUE"""),0.343283582089552)</f>
        <v>0.3432835821</v>
      </c>
    </row>
    <row r="3836">
      <c r="A3836" s="10" t="s">
        <v>5275</v>
      </c>
      <c r="B3836" s="7" t="str">
        <f>IFERROR(__xludf.DUMMYFUNCTION("SPLIT(A3836,"" "")"),"CC(C)NCc1cc(-c2cc(NCc3ccccn3)cc3c2OCCOCCOCCOCCOCCO3)ccn1")</f>
        <v>CC(C)NCc1cc(-c2cc(NCc3ccccn3)cc3c2OCCOCCOCCOCCOCCO3)ccn1</v>
      </c>
      <c r="C3836" s="7">
        <f>IFERROR(__xludf.DUMMYFUNCTION("""COMPUTED_VALUE"""),7.798945)</f>
        <v>7.798945</v>
      </c>
      <c r="D3836" s="7">
        <f>IFERROR(__xludf.DUMMYFUNCTION("""COMPUTED_VALUE"""),0.309859154929577)</f>
        <v>0.3098591549</v>
      </c>
    </row>
    <row r="3837">
      <c r="A3837" s="10" t="s">
        <v>5276</v>
      </c>
      <c r="B3837" s="7" t="str">
        <f>IFERROR(__xludf.DUMMYFUNCTION("SPLIT(A3837,"" "")"),"CN(Cc1ccccn1)C1C=CNC(CN(C)C(C)(C)C)=C1")</f>
        <v>CN(Cc1ccccn1)C1C=CNC(CN(C)C(C)(C)C)=C1</v>
      </c>
      <c r="C3837" s="7">
        <f>IFERROR(__xludf.DUMMYFUNCTION("""COMPUTED_VALUE"""),7.7989388)</f>
        <v>7.7989388</v>
      </c>
      <c r="D3837" s="7">
        <f>IFERROR(__xludf.DUMMYFUNCTION("""COMPUTED_VALUE"""),0.431372549019607)</f>
        <v>0.431372549</v>
      </c>
    </row>
    <row r="3838">
      <c r="A3838" s="10" t="s">
        <v>5277</v>
      </c>
      <c r="B3838" s="7" t="str">
        <f>IFERROR(__xludf.DUMMYFUNCTION("SPLIT(A3838,"" "")"),"COC(=O)C1CN(C)C(C(C)C)C(c2cc(CN(Cc3cc(-c4ccc5c(c4)OCCOCCOCCOCCOCCO5)ccn3)Cc3ncccc3C)ccn2)C1c1ccc(CN2CCN(C)CCN(C)CC2)cn1")</f>
        <v>COC(=O)C1CN(C)C(C(C)C)C(c2cc(CN(Cc3cc(-c4ccc5c(c4)OCCOCCOCCOCCOCCO5)ccn3)Cc3ncccc3C)ccn2)C1c1ccc(CN2CCN(C)CCN(C)CC2)cn1</v>
      </c>
      <c r="C3838" s="7">
        <f>IFERROR(__xludf.DUMMYFUNCTION("""COMPUTED_VALUE"""),7.798928)</f>
        <v>7.798928</v>
      </c>
      <c r="D3838" s="7">
        <f>IFERROR(__xludf.DUMMYFUNCTION("""COMPUTED_VALUE"""),0.27027027027027)</f>
        <v>0.2702702703</v>
      </c>
    </row>
    <row r="3839">
      <c r="A3839" s="10" t="s">
        <v>5278</v>
      </c>
      <c r="B3839" s="7" t="str">
        <f>IFERROR(__xludf.DUMMYFUNCTION("SPLIT(A3839,"" "")"),"CN1CCN(C)CCN(Cc2ccc3cccnc3c2)CC1")</f>
        <v>CN1CCN(C)CCN(Cc2ccc3cccnc3c2)CC1</v>
      </c>
      <c r="C3839" s="7">
        <f>IFERROR(__xludf.DUMMYFUNCTION("""COMPUTED_VALUE"""),7.798926)</f>
        <v>7.798926</v>
      </c>
      <c r="D3839" s="7">
        <f>IFERROR(__xludf.DUMMYFUNCTION("""COMPUTED_VALUE"""),0.5)</f>
        <v>0.5</v>
      </c>
    </row>
    <row r="3840">
      <c r="A3840" s="10" t="s">
        <v>5279</v>
      </c>
      <c r="B3840" s="7" t="str">
        <f>IFERROR(__xludf.DUMMYFUNCTION("SPLIT(A3840,"" "")"),"CNc1cccnc1CNCc1cccc(-c2ccc3c(c2)OCCOCCOCCOCCOCCO3)n1")</f>
        <v>CNc1cccnc1CNCc1cccc(-c2ccc3c(c2)OCCOCCOCCOCCOCCO3)n1</v>
      </c>
      <c r="C3840" s="7">
        <f>IFERROR(__xludf.DUMMYFUNCTION("""COMPUTED_VALUE"""),7.798922)</f>
        <v>7.798922</v>
      </c>
      <c r="D3840" s="7">
        <f>IFERROR(__xludf.DUMMYFUNCTION("""COMPUTED_VALUE"""),0.328767123287671)</f>
        <v>0.3287671233</v>
      </c>
    </row>
    <row r="3841">
      <c r="A3841" s="10" t="s">
        <v>5280</v>
      </c>
      <c r="B3841" s="7" t="str">
        <f>IFERROR(__xludf.DUMMYFUNCTION("SPLIT(A3841,"" "")"),"CC(N)C(C)(C)N(C)Cc1ncccc1C(C)(C)C")</f>
        <v>CC(N)C(C)(C)N(C)Cc1ncccc1C(C)(C)C</v>
      </c>
      <c r="C3841" s="7">
        <f>IFERROR(__xludf.DUMMYFUNCTION("""COMPUTED_VALUE"""),7.7989163)</f>
        <v>7.7989163</v>
      </c>
      <c r="D3841" s="7">
        <f>IFERROR(__xludf.DUMMYFUNCTION("""COMPUTED_VALUE"""),0.291666666666666)</f>
        <v>0.2916666667</v>
      </c>
    </row>
    <row r="3842">
      <c r="A3842" s="10" t="s">
        <v>5281</v>
      </c>
      <c r="B3842" s="7" t="str">
        <f>IFERROR(__xludf.DUMMYFUNCTION("SPLIT(A3842,"" "")"),"CCCN(C)CC1=CC(N(C)Cc2ccccn2)C=CN1")</f>
        <v>CCCN(C)CC1=CC(N(C)Cc2ccccn2)C=CN1</v>
      </c>
      <c r="C3842" s="7">
        <f>IFERROR(__xludf.DUMMYFUNCTION("""COMPUTED_VALUE"""),7.7989125)</f>
        <v>7.7989125</v>
      </c>
      <c r="D3842" s="7">
        <f>IFERROR(__xludf.DUMMYFUNCTION("""COMPUTED_VALUE"""),0.423076923076923)</f>
        <v>0.4230769231</v>
      </c>
    </row>
    <row r="3843">
      <c r="A3843" s="10" t="s">
        <v>5282</v>
      </c>
      <c r="B3843" s="7" t="str">
        <f>IFERROR(__xludf.DUMMYFUNCTION("SPLIT(A3843,"" "")"),"CN(Cc1cccc(F)n1)C1CCCC(N(Cc2ccccn2)Cc2ccc(F)cn2)C1")</f>
        <v>CN(Cc1cccc(F)n1)C1CCCC(N(Cc2ccccn2)Cc2ccc(F)cn2)C1</v>
      </c>
      <c r="C3843" s="7">
        <f>IFERROR(__xludf.DUMMYFUNCTION("""COMPUTED_VALUE"""),7.798912)</f>
        <v>7.798912</v>
      </c>
      <c r="D3843" s="7">
        <f>IFERROR(__xludf.DUMMYFUNCTION("""COMPUTED_VALUE"""),0.446428571428571)</f>
        <v>0.4464285714</v>
      </c>
    </row>
    <row r="3844">
      <c r="A3844" s="10" t="s">
        <v>5283</v>
      </c>
      <c r="B3844" s="7" t="str">
        <f>IFERROR(__xludf.DUMMYFUNCTION("SPLIT(A3844,"" "")"),"Cc1cc2c(c(-c3cccc(CN(C)C4CCCCC4N(C)Cc4ccc5ncccc5c4)n3)c1)OCCOCCOCCOCCOCCO2")</f>
        <v>Cc1cc2c(c(-c3cccc(CN(C)C4CCCCC4N(C)Cc4ccc5ncccc5c4)n3)c1)OCCOCCOCCOCCOCCO2</v>
      </c>
      <c r="C3844" s="7">
        <f>IFERROR(__xludf.DUMMYFUNCTION("""COMPUTED_VALUE"""),7.798904)</f>
        <v>7.798904</v>
      </c>
      <c r="D3844" s="7">
        <f>IFERROR(__xludf.DUMMYFUNCTION("""COMPUTED_VALUE"""),0.385714285714285)</f>
        <v>0.3857142857</v>
      </c>
    </row>
    <row r="3845">
      <c r="A3845" s="10" t="s">
        <v>5284</v>
      </c>
      <c r="B3845" s="7" t="str">
        <f>IFERROR(__xludf.DUMMYFUNCTION("SPLIT(A3845,"" "")"),"CNCC1C(N(C)Cc2nc(C)c(C)cc2C)CCN1Cc1ccccn1")</f>
        <v>CNCC1C(N(C)Cc2nc(C)c(C)cc2C)CCN1Cc1ccccn1</v>
      </c>
      <c r="C3845" s="7">
        <f>IFERROR(__xludf.DUMMYFUNCTION("""COMPUTED_VALUE"""),7.7988973)</f>
        <v>7.7988973</v>
      </c>
      <c r="D3845" s="7">
        <f>IFERROR(__xludf.DUMMYFUNCTION("""COMPUTED_VALUE"""),0.402985074626865)</f>
        <v>0.4029850746</v>
      </c>
    </row>
    <row r="3846">
      <c r="A3846" s="10" t="s">
        <v>5285</v>
      </c>
      <c r="B3846" s="7" t="str">
        <f>IFERROR(__xludf.DUMMYFUNCTION("SPLIT(A3846,"" "")"),"Cc1ccc(CN(CC2=CCC=C(CN(C)Cc3cccc(-c4ccc5c(c4)OCCOCCOCCOCCOCCO5)n3)N2)Cc2cccc(-c3ccc4c(c3)OCCOCCOCCOCCOCCO4)n2)nc1")</f>
        <v>Cc1ccc(CN(CC2=CCC=C(CN(C)Cc3cccc(-c4ccc5c(c4)OCCOCCOCCOCCOCCO5)n3)N2)Cc2cccc(-c3ccc4c(c3)OCCOCCOCCOCCOCCO4)n2)nc1</v>
      </c>
      <c r="C3846" s="7">
        <f>IFERROR(__xludf.DUMMYFUNCTION("""COMPUTED_VALUE"""),7.7988944)</f>
        <v>7.7988944</v>
      </c>
      <c r="D3846" s="7">
        <f>IFERROR(__xludf.DUMMYFUNCTION("""COMPUTED_VALUE"""),0.333333333333333)</f>
        <v>0.3333333333</v>
      </c>
    </row>
    <row r="3847">
      <c r="A3847" s="10" t="s">
        <v>5286</v>
      </c>
      <c r="B3847" s="7" t="str">
        <f>IFERROR(__xludf.DUMMYFUNCTION("SPLIT(A3847,"" "")"),"CN(CCN(C)C(C)(C)c1cccnc1)Cc1ccccn1")</f>
        <v>CN(CCN(C)C(C)(C)c1cccnc1)Cc1ccccn1</v>
      </c>
      <c r="C3847" s="7">
        <f>IFERROR(__xludf.DUMMYFUNCTION("""COMPUTED_VALUE"""),7.7988935)</f>
        <v>7.7988935</v>
      </c>
      <c r="D3847" s="7">
        <f>IFERROR(__xludf.DUMMYFUNCTION("""COMPUTED_VALUE"""),0.4375)</f>
        <v>0.4375</v>
      </c>
    </row>
    <row r="3848">
      <c r="A3848" s="10" t="s">
        <v>5287</v>
      </c>
      <c r="B3848" s="7" t="str">
        <f>IFERROR(__xludf.DUMMYFUNCTION("SPLIT(A3848,"" "")"),"Cc1cccnc1CN(C)Cc1ccc(-c2ccc3c(c2)OCCOCCOCCOCCOCCO3)cn1")</f>
        <v>Cc1cccnc1CN(C)Cc1ccc(-c2ccc3c(c2)OCCOCCOCCOCCOCCO3)cn1</v>
      </c>
      <c r="C3848" s="7">
        <f>IFERROR(__xludf.DUMMYFUNCTION("""COMPUTED_VALUE"""),7.7988915)</f>
        <v>7.7988915</v>
      </c>
      <c r="D3848" s="7">
        <f>IFERROR(__xludf.DUMMYFUNCTION("""COMPUTED_VALUE"""),0.46875)</f>
        <v>0.46875</v>
      </c>
    </row>
    <row r="3849">
      <c r="A3849" s="10" t="s">
        <v>5288</v>
      </c>
      <c r="B3849" s="7" t="str">
        <f>IFERROR(__xludf.DUMMYFUNCTION("SPLIT(A3849,"" "")"),"CCCN(CC1=CCC=C(N(C)Cc2cccc(C)n2)N1)C1CCC(N(C)Cc2ccccn2)CC1")</f>
        <v>CCCN(CC1=CCC=C(N(C)Cc2cccc(C)n2)N1)C1CCC(N(C)Cc2ccccn2)CC1</v>
      </c>
      <c r="C3849" s="7">
        <f>IFERROR(__xludf.DUMMYFUNCTION("""COMPUTED_VALUE"""),7.798891)</f>
        <v>7.798891</v>
      </c>
      <c r="D3849" s="7">
        <f>IFERROR(__xludf.DUMMYFUNCTION("""COMPUTED_VALUE"""),0.378787878787878)</f>
        <v>0.3787878788</v>
      </c>
    </row>
    <row r="3850">
      <c r="A3850" s="10" t="s">
        <v>5289</v>
      </c>
      <c r="B3850" s="7" t="str">
        <f>IFERROR(__xludf.DUMMYFUNCTION("SPLIT(A3850,"" "")"),"CCN(C)Cc1cc(C)ccn1")</f>
        <v>CCN(C)Cc1cc(C)ccn1</v>
      </c>
      <c r="C3850" s="7">
        <f>IFERROR(__xludf.DUMMYFUNCTION("""COMPUTED_VALUE"""),7.79888)</f>
        <v>7.79888</v>
      </c>
      <c r="D3850" s="7">
        <f>IFERROR(__xludf.DUMMYFUNCTION("""COMPUTED_VALUE"""),0.461538461538461)</f>
        <v>0.4615384615</v>
      </c>
    </row>
    <row r="3851">
      <c r="A3851" s="10" t="s">
        <v>5290</v>
      </c>
      <c r="B3851" s="7" t="str">
        <f>IFERROR(__xludf.DUMMYFUNCTION("SPLIT(A3851,"" "")"),"Cc1cccnc1CN(CCN(C)Cc1cccnc1-c1ccc2c(c1)OCCOCCOCCOCCOCCO2)Cc1ccccn1")</f>
        <v>Cc1cccnc1CN(CCN(C)Cc1cccnc1-c1ccc2c(c1)OCCOCCOCCOCCOCCO2)Cc1ccccn1</v>
      </c>
      <c r="C3851" s="7">
        <f>IFERROR(__xludf.DUMMYFUNCTION("""COMPUTED_VALUE"""),7.7988753)</f>
        <v>7.7988753</v>
      </c>
      <c r="D3851" s="7">
        <f>IFERROR(__xludf.DUMMYFUNCTION("""COMPUTED_VALUE"""),0.375)</f>
        <v>0.375</v>
      </c>
    </row>
    <row r="3852">
      <c r="A3852" s="10" t="s">
        <v>5291</v>
      </c>
      <c r="B3852" s="7" t="str">
        <f>IFERROR(__xludf.DUMMYFUNCTION("SPLIT(A3852,"" "")"),"CCOC(C)NCc1cc(-c2ccc(CN3CCN(C)CCN(C)CC3)nc2)ccn1")</f>
        <v>CCOC(C)NCc1cc(-c2ccc(CN3CCN(C)CCN(C)CC3)nc2)ccn1</v>
      </c>
      <c r="C3852" s="7">
        <f>IFERROR(__xludf.DUMMYFUNCTION("""COMPUTED_VALUE"""),7.7988734)</f>
        <v>7.7988734</v>
      </c>
      <c r="D3852" s="7">
        <f>IFERROR(__xludf.DUMMYFUNCTION("""COMPUTED_VALUE"""),0.421875)</f>
        <v>0.421875</v>
      </c>
    </row>
    <row r="3853">
      <c r="A3853" s="10" t="s">
        <v>5292</v>
      </c>
      <c r="B3853" s="7" t="str">
        <f>IFERROR(__xludf.DUMMYFUNCTION("SPLIT(A3853,"" "")"),"Cc1ccc(CN(Cc2ccccn2)C2CCCC(N(Cc3ccccn3)Cc3cccc(-c4ccc5c(c4)OCCOCCOCCOCCOCCO5)n3)C2N(C)Cc2ccccn2)nc1")</f>
        <v>Cc1ccc(CN(Cc2ccccn2)C2CCCC(N(Cc3ccccn3)Cc3cccc(-c4ccc5c(c4)OCCOCCOCCOCCOCCO5)n3)C2N(C)Cc2ccccn2)nc1</v>
      </c>
      <c r="C3853" s="7">
        <f>IFERROR(__xludf.DUMMYFUNCTION("""COMPUTED_VALUE"""),7.798873)</f>
        <v>7.798873</v>
      </c>
      <c r="D3853" s="7">
        <f>IFERROR(__xludf.DUMMYFUNCTION("""COMPUTED_VALUE"""),0.4)</f>
        <v>0.4</v>
      </c>
    </row>
    <row r="3854">
      <c r="A3854" s="10" t="s">
        <v>5293</v>
      </c>
      <c r="B3854" s="7" t="str">
        <f>IFERROR(__xludf.DUMMYFUNCTION("SPLIT(A3854,"" "")"),"CNCc1cc(CN(C)C2CCC(N(C)Cc3nc(C)c(C)c(C)c3C)CC2)ccn1")</f>
        <v>CNCc1cc(CN(C)C2CCC(N(C)Cc3nc(C)c(C)c(C)c3C)CC2)ccn1</v>
      </c>
      <c r="C3854" s="7">
        <f>IFERROR(__xludf.DUMMYFUNCTION("""COMPUTED_VALUE"""),7.7988715)</f>
        <v>7.7988715</v>
      </c>
      <c r="D3854" s="7">
        <f>IFERROR(__xludf.DUMMYFUNCTION("""COMPUTED_VALUE"""),0.288135593220339)</f>
        <v>0.2881355932</v>
      </c>
    </row>
    <row r="3855">
      <c r="A3855" s="10" t="s">
        <v>5294</v>
      </c>
      <c r="B3855" s="7" t="str">
        <f>IFERROR(__xludf.DUMMYFUNCTION("SPLIT(A3855,"" "")"),"COC(C)c1ncccc1CN1CCN(C)CCN(Cc2ncccc2C(C)(C)c2ccccn2)CC1")</f>
        <v>COC(C)c1ncccc1CN1CCN(C)CCN(Cc2ncccc2C(C)(C)c2ccccn2)CC1</v>
      </c>
      <c r="C3855" s="7">
        <f>IFERROR(__xludf.DUMMYFUNCTION("""COMPUTED_VALUE"""),7.79887)</f>
        <v>7.79887</v>
      </c>
      <c r="D3855" s="7">
        <f>IFERROR(__xludf.DUMMYFUNCTION("""COMPUTED_VALUE"""),0.389830508474576)</f>
        <v>0.3898305085</v>
      </c>
    </row>
    <row r="3856">
      <c r="A3856" s="10" t="s">
        <v>5295</v>
      </c>
      <c r="B3856" s="7" t="str">
        <f>IFERROR(__xludf.DUMMYFUNCTION("SPLIT(A3856,"" "")"),"Cc1cc(C)c(CN(C)C2CCC(N(C)Cc3cccc(C4CC(Cl)C4Cl)n3)CC2)nc1C")</f>
        <v>Cc1cc(C)c(CN(C)C2CCC(N(C)Cc3cccc(C4CC(Cl)C4Cl)n3)CC2)nc1C</v>
      </c>
      <c r="C3856" s="7">
        <f>IFERROR(__xludf.DUMMYFUNCTION("""COMPUTED_VALUE"""),7.7988696)</f>
        <v>7.7988696</v>
      </c>
      <c r="D3856" s="7">
        <f>IFERROR(__xludf.DUMMYFUNCTION("""COMPUTED_VALUE"""),0.35)</f>
        <v>0.35</v>
      </c>
    </row>
    <row r="3857">
      <c r="A3857" s="10" t="s">
        <v>5296</v>
      </c>
      <c r="B3857" s="7" t="str">
        <f>IFERROR(__xludf.DUMMYFUNCTION("SPLIT(A3857,"" "")"),"Cc1ccnc(CN(C)C2CCC(N(Cc3ccccn3)Cc3cccc(CN(C)C(C)C)n3)CC2)c1C")</f>
        <v>Cc1ccnc(CN(C)C2CCC(N(Cc3ccccn3)Cc3cccc(CN(C)C(C)C)n3)CC2)c1C</v>
      </c>
      <c r="C3857" s="7">
        <f>IFERROR(__xludf.DUMMYFUNCTION("""COMPUTED_VALUE"""),7.798869)</f>
        <v>7.798869</v>
      </c>
      <c r="D3857" s="7">
        <f>IFERROR(__xludf.DUMMYFUNCTION("""COMPUTED_VALUE"""),0.389830508474576)</f>
        <v>0.3898305085</v>
      </c>
    </row>
    <row r="3858">
      <c r="A3858" s="10" t="s">
        <v>5297</v>
      </c>
      <c r="B3858" s="7" t="str">
        <f>IFERROR(__xludf.DUMMYFUNCTION("SPLIT(A3858,"" "")"),"Cc1cnc(CN(C)C2CCCC(N(Cc3ccccn3)Cc3cccnc3CNCF)C2)c(C)c1C")</f>
        <v>Cc1cnc(CN(C)C2CCCC(N(Cc3ccccn3)Cc3cccnc3CNCF)C2)c(C)c1C</v>
      </c>
      <c r="C3858" s="7">
        <f>IFERROR(__xludf.DUMMYFUNCTION("""COMPUTED_VALUE"""),7.798869)</f>
        <v>7.798869</v>
      </c>
      <c r="D3858" s="7">
        <f>IFERROR(__xludf.DUMMYFUNCTION("""COMPUTED_VALUE"""),0.35820895522388)</f>
        <v>0.3582089552</v>
      </c>
    </row>
    <row r="3859">
      <c r="A3859" s="10" t="s">
        <v>5298</v>
      </c>
      <c r="B3859" s="7" t="str">
        <f>IFERROR(__xludf.DUMMYFUNCTION("SPLIT(A3859,"" "")"),"Cc1cncc(CN(C)C2CCCC(N(Cc3ccccn3)Cc3ncccc3F)C2)c1")</f>
        <v>Cc1cncc(CN(C)C2CCCC(N(Cc3ccccn3)Cc3ncccc3F)C2)c1</v>
      </c>
      <c r="C3859" s="7">
        <f>IFERROR(__xludf.DUMMYFUNCTION("""COMPUTED_VALUE"""),7.798865)</f>
        <v>7.798865</v>
      </c>
      <c r="D3859" s="7">
        <f>IFERROR(__xludf.DUMMYFUNCTION("""COMPUTED_VALUE"""),0.38095238095238)</f>
        <v>0.380952381</v>
      </c>
    </row>
    <row r="3860">
      <c r="A3860" s="10" t="s">
        <v>5299</v>
      </c>
      <c r="B3860" s="7" t="str">
        <f>IFERROR(__xludf.DUMMYFUNCTION("SPLIT(A3860,"" "")"),"Cc1cccc(CN(C2CCC(N(C)Cc3cccc(-c4ccc5c(c4)OCCOCCOCCOCCOCCO5)n3)CC2)C(C)(C)c2cccnc2CN(Cc2ncccc2C)C(C)C)n1")</f>
        <v>Cc1cccc(CN(C2CCC(N(C)Cc3cccc(-c4ccc5c(c4)OCCOCCOCCOCCOCCO5)n3)CC2)C(C)(C)c2cccnc2CN(Cc2ncccc2C)C(C)C)n1</v>
      </c>
      <c r="C3860" s="7">
        <f>IFERROR(__xludf.DUMMYFUNCTION("""COMPUTED_VALUE"""),7.7988625)</f>
        <v>7.7988625</v>
      </c>
      <c r="D3860" s="7">
        <f>IFERROR(__xludf.DUMMYFUNCTION("""COMPUTED_VALUE"""),0.297619047619047)</f>
        <v>0.2976190476</v>
      </c>
    </row>
    <row r="3861">
      <c r="A3861" s="10" t="s">
        <v>5300</v>
      </c>
      <c r="B3861" s="7" t="str">
        <f>IFERROR(__xludf.DUMMYFUNCTION("SPLIT(A3861,"" "")"),"Cc1cccc(C)c1CN(C)CCN(C)C(C)C")</f>
        <v>Cc1cccc(C)c1CN(C)CCN(C)C(C)C</v>
      </c>
      <c r="C3861" s="7">
        <f>IFERROR(__xludf.DUMMYFUNCTION("""COMPUTED_VALUE"""),7.7988586)</f>
        <v>7.7988586</v>
      </c>
      <c r="D3861" s="7">
        <f>IFERROR(__xludf.DUMMYFUNCTION("""COMPUTED_VALUE"""),0.394736842105263)</f>
        <v>0.3947368421</v>
      </c>
    </row>
    <row r="3862">
      <c r="A3862" s="10" t="s">
        <v>5301</v>
      </c>
      <c r="B3862" s="7" t="str">
        <f>IFERROR(__xludf.DUMMYFUNCTION("SPLIT(A3862,"" "")"),"CC(C)N(Cc1ccc(-c2ccc3c(c2)OCCOCCOCCOCCOCCO3)cn1)Cc1ccc(C(C)(C)C)cn1")</f>
        <v>CC(C)N(Cc1ccc(-c2ccc3c(c2)OCCOCCOCCOCCOCCO3)cn1)Cc1ccc(C(C)(C)C)cn1</v>
      </c>
      <c r="C3862" s="7">
        <f>IFERROR(__xludf.DUMMYFUNCTION("""COMPUTED_VALUE"""),7.798853)</f>
        <v>7.798853</v>
      </c>
      <c r="D3862" s="7">
        <f>IFERROR(__xludf.DUMMYFUNCTION("""COMPUTED_VALUE"""),0.476190476190476)</f>
        <v>0.4761904762</v>
      </c>
    </row>
    <row r="3863">
      <c r="A3863" s="10" t="s">
        <v>5302</v>
      </c>
      <c r="B3863" s="7" t="str">
        <f>IFERROR(__xludf.DUMMYFUNCTION("SPLIT(A3863,"" "")"),"C1=C2OCCOCCOCCOCCOCCOC2=CC(Nc2cc(C(c3ccccn3)c3ccccn3)ccn2)N1")</f>
        <v>C1=C2OCCOCCOCCOCCOCCOC2=CC(Nc2cc(C(c3ccccn3)c3ccccn3)ccn2)N1</v>
      </c>
      <c r="C3863" s="7">
        <f>IFERROR(__xludf.DUMMYFUNCTION("""COMPUTED_VALUE"""),7.7988486)</f>
        <v>7.7988486</v>
      </c>
      <c r="D3863" s="7">
        <f>IFERROR(__xludf.DUMMYFUNCTION("""COMPUTED_VALUE"""),0.25)</f>
        <v>0.25</v>
      </c>
    </row>
    <row r="3864">
      <c r="A3864" s="10" t="s">
        <v>5303</v>
      </c>
      <c r="B3864" s="7" t="str">
        <f>IFERROR(__xludf.DUMMYFUNCTION("SPLIT(A3864,"" "")"),"CC1=CC2(C=CNC(C(C)C)=C2)C(C)C(N(C)Cc2ccccn2)C1")</f>
        <v>CC1=CC2(C=CNC(C(C)C)=C2)C(C)C(N(C)Cc2ccccn2)C1</v>
      </c>
      <c r="C3864" s="7">
        <f>IFERROR(__xludf.DUMMYFUNCTION("""COMPUTED_VALUE"""),7.7988367)</f>
        <v>7.7988367</v>
      </c>
      <c r="D3864" s="7">
        <f>IFERROR(__xludf.DUMMYFUNCTION("""COMPUTED_VALUE"""),0.43103448275862)</f>
        <v>0.4310344828</v>
      </c>
    </row>
    <row r="3865">
      <c r="A3865" s="10" t="s">
        <v>5304</v>
      </c>
      <c r="B3865" s="7" t="str">
        <f>IFERROR(__xludf.DUMMYFUNCTION("SPLIT(A3865,"" "")"),"FC1=C(CN(Cc2ccccn2)Cc2cccc(-c3ccc4c(c3)OCCOCCOCCOCCOCCO4)n2)NC=CC1")</f>
        <v>FC1=C(CN(Cc2ccccn2)Cc2cccc(-c3ccc4c(c3)OCCOCCOCCOCCOCCO4)n2)NC=CC1</v>
      </c>
      <c r="C3865" s="7">
        <f>IFERROR(__xludf.DUMMYFUNCTION("""COMPUTED_VALUE"""),7.7988143)</f>
        <v>7.7988143</v>
      </c>
      <c r="D3865" s="7">
        <f>IFERROR(__xludf.DUMMYFUNCTION("""COMPUTED_VALUE"""),0.422535211267605)</f>
        <v>0.4225352113</v>
      </c>
    </row>
    <row r="3866">
      <c r="A3866" s="10" t="s">
        <v>5305</v>
      </c>
      <c r="B3866" s="7" t="str">
        <f>IFERROR(__xludf.DUMMYFUNCTION("SPLIT(A3866,"" "")"),"CNCC1CC(N(C)Cc2ncccc2C)CN1Cc1cc(C)ccn1")</f>
        <v>CNCC1CC(N(C)Cc2ncccc2C)CN1Cc1cc(C)ccn1</v>
      </c>
      <c r="C3866" s="7">
        <f>IFERROR(__xludf.DUMMYFUNCTION("""COMPUTED_VALUE"""),7.798806)</f>
        <v>7.798806</v>
      </c>
      <c r="D3866" s="7">
        <f>IFERROR(__xludf.DUMMYFUNCTION("""COMPUTED_VALUE"""),0.338709677419354)</f>
        <v>0.3387096774</v>
      </c>
    </row>
    <row r="3867">
      <c r="A3867" s="10" t="s">
        <v>5306</v>
      </c>
      <c r="B3867" s="7" t="str">
        <f>IFERROR(__xludf.DUMMYFUNCTION("SPLIT(A3867,"" "")"),"CCN(Cc1ccccn1)C1CCC(N(C)Cc2ncccc2C)C(N(C)Cc2ncccc2C)C1")</f>
        <v>CCN(Cc1ccccn1)C1CCC(N(C)Cc2ncccc2C)C(N(C)Cc2ncccc2C)C1</v>
      </c>
      <c r="C3867" s="7">
        <f>IFERROR(__xludf.DUMMYFUNCTION("""COMPUTED_VALUE"""),7.7988043)</f>
        <v>7.7988043</v>
      </c>
      <c r="D3867" s="7">
        <f>IFERROR(__xludf.DUMMYFUNCTION("""COMPUTED_VALUE"""),0.5)</f>
        <v>0.5</v>
      </c>
    </row>
    <row r="3868">
      <c r="A3868" s="10" t="s">
        <v>5307</v>
      </c>
      <c r="B3868" s="7" t="str">
        <f>IFERROR(__xludf.DUMMYFUNCTION("SPLIT(A3868,"" "")"),"CN(CCF)CCN(Cc1cnccc1F)Cc1ncccc1F")</f>
        <v>CN(CCF)CCN(Cc1cnccc1F)Cc1ncccc1F</v>
      </c>
      <c r="C3868" s="7">
        <f>IFERROR(__xludf.DUMMYFUNCTION("""COMPUTED_VALUE"""),7.798801)</f>
        <v>7.798801</v>
      </c>
      <c r="D3868" s="7">
        <f>IFERROR(__xludf.DUMMYFUNCTION("""COMPUTED_VALUE"""),0.333333333333333)</f>
        <v>0.3333333333</v>
      </c>
    </row>
    <row r="3869">
      <c r="A3869" s="10" t="s">
        <v>5308</v>
      </c>
      <c r="B3869" s="7" t="str">
        <f>IFERROR(__xludf.DUMMYFUNCTION("SPLIT(A3869,"" "")"),"Cc1ccnc(CN(C)C2CCC(N(C)c3ccccc3C)CC2)c1")</f>
        <v>Cc1ccnc(CN(C)C2CCC(N(C)c3ccccc3C)CC2)c1</v>
      </c>
      <c r="C3869" s="7">
        <f>IFERROR(__xludf.DUMMYFUNCTION("""COMPUTED_VALUE"""),7.7988)</f>
        <v>7.7988</v>
      </c>
      <c r="D3869" s="7">
        <f>IFERROR(__xludf.DUMMYFUNCTION("""COMPUTED_VALUE"""),0.392156862745098)</f>
        <v>0.3921568627</v>
      </c>
    </row>
    <row r="3870">
      <c r="A3870" s="10" t="s">
        <v>5309</v>
      </c>
      <c r="B3870" s="7" t="str">
        <f>IFERROR(__xludf.DUMMYFUNCTION("SPLIT(A3870,"" "")"),"CN(Cc1ccccn1)C1=CC=CNC1N(Cc1ccccn1)c1ccc2c(c1)OCCOCCOCCOCCOCCO2")</f>
        <v>CN(Cc1ccccn1)C1=CC=CNC1N(Cc1ccccn1)c1ccc2c(c1)OCCOCCOCCOCCOCCO2</v>
      </c>
      <c r="C3870" s="7">
        <f>IFERROR(__xludf.DUMMYFUNCTION("""COMPUTED_VALUE"""),7.798791)</f>
        <v>7.798791</v>
      </c>
      <c r="D3870" s="7">
        <f>IFERROR(__xludf.DUMMYFUNCTION("""COMPUTED_VALUE"""),0.34375)</f>
        <v>0.34375</v>
      </c>
    </row>
    <row r="3871">
      <c r="A3871" s="10" t="s">
        <v>5310</v>
      </c>
      <c r="B3871" s="7" t="str">
        <f>IFERROR(__xludf.DUMMYFUNCTION("SPLIT(A3871,"" "")"),"CC1=CC(C)C(C)(N(Cc2ccccn2)Cc2ccccn2)CC1")</f>
        <v>CC1=CC(C)C(C)(N(Cc2ccccn2)Cc2ccccn2)CC1</v>
      </c>
      <c r="C3871" s="7">
        <f>IFERROR(__xludf.DUMMYFUNCTION("""COMPUTED_VALUE"""),7.7987847)</f>
        <v>7.7987847</v>
      </c>
      <c r="D3871" s="7">
        <f>IFERROR(__xludf.DUMMYFUNCTION("""COMPUTED_VALUE"""),0.408163265306122)</f>
        <v>0.4081632653</v>
      </c>
    </row>
    <row r="3872">
      <c r="A3872" s="10" t="s">
        <v>5311</v>
      </c>
      <c r="B3872" s="7" t="str">
        <f>IFERROR(__xludf.DUMMYFUNCTION("SPLIT(A3872,"" "")"),"Cc1cccnc1CN(Cc1ccc(N(C)C)cn1)C1CCC(N(C)Cc2cc(-c3ccc4c(c3)OCCOCCOCCOCCOCCO4)ccn2)CC1")</f>
        <v>Cc1cccnc1CN(Cc1ccc(N(C)C)cn1)C1CCC(N(C)Cc2cc(-c3ccc4c(c3)OCCOCCOCCOCCOCCO4)ccn2)CC1</v>
      </c>
      <c r="C3872" s="7">
        <f>IFERROR(__xludf.DUMMYFUNCTION("""COMPUTED_VALUE"""),7.7987843)</f>
        <v>7.7987843</v>
      </c>
      <c r="D3872" s="7">
        <f>IFERROR(__xludf.DUMMYFUNCTION("""COMPUTED_VALUE"""),0.365853658536585)</f>
        <v>0.3658536585</v>
      </c>
    </row>
    <row r="3873">
      <c r="A3873" s="10" t="s">
        <v>5312</v>
      </c>
      <c r="B3873" s="7" t="str">
        <f>IFERROR(__xludf.DUMMYFUNCTION("SPLIT(A3873,"" "")"),"CN(CCN(C)C(C)(C)c1ccc2c(c1)OCCOCCOCCOCCOCCO2)c1ccc2nccc(CF)c2c1")</f>
        <v>CN(CCN(C)C(C)(C)c1ccc2c(c1)OCCOCCOCCOCCOCCO2)c1ccc2nccc(CF)c2c1</v>
      </c>
      <c r="C3873" s="7">
        <f>IFERROR(__xludf.DUMMYFUNCTION("""COMPUTED_VALUE"""),7.798781)</f>
        <v>7.798781</v>
      </c>
      <c r="D3873" s="7">
        <f>IFERROR(__xludf.DUMMYFUNCTION("""COMPUTED_VALUE"""),0.246913580246913)</f>
        <v>0.2469135802</v>
      </c>
    </row>
    <row r="3874">
      <c r="A3874" s="10" t="s">
        <v>5313</v>
      </c>
      <c r="B3874" s="7" t="str">
        <f>IFERROR(__xludf.DUMMYFUNCTION("SPLIT(A3874,"" "")"),"Cc1cccnc1CN(C)C1C=CNC(CN(C)C(C)C(C)C)=C1")</f>
        <v>Cc1cccnc1CN(C)C1C=CNC(CN(C)C(C)C(C)C)=C1</v>
      </c>
      <c r="C3874" s="7">
        <f>IFERROR(__xludf.DUMMYFUNCTION("""COMPUTED_VALUE"""),7.798779)</f>
        <v>7.798779</v>
      </c>
      <c r="D3874" s="7">
        <f>IFERROR(__xludf.DUMMYFUNCTION("""COMPUTED_VALUE"""),0.285714285714285)</f>
        <v>0.2857142857</v>
      </c>
    </row>
    <row r="3875">
      <c r="A3875" s="10" t="s">
        <v>5314</v>
      </c>
      <c r="B3875" s="7" t="str">
        <f>IFERROR(__xludf.DUMMYFUNCTION("SPLIT(A3875,"" "")"),"CN(Cc1cccc(-c2ccc3c(c2)OCCOCCOCCOCCOCCO3)n1)Cc1ncccc1C(C)(C)C")</f>
        <v>CN(Cc1cccc(-c2ccc3c(c2)OCCOCCOCCOCCOCCO3)n1)Cc1ncccc1C(C)(C)C</v>
      </c>
      <c r="C3875" s="7">
        <f>IFERROR(__xludf.DUMMYFUNCTION("""COMPUTED_VALUE"""),7.7987747)</f>
        <v>7.7987747</v>
      </c>
      <c r="D3875" s="7">
        <f>IFERROR(__xludf.DUMMYFUNCTION("""COMPUTED_VALUE"""),0.387096774193548)</f>
        <v>0.3870967742</v>
      </c>
    </row>
    <row r="3876">
      <c r="A3876" s="10" t="s">
        <v>5315</v>
      </c>
      <c r="B3876" s="7" t="str">
        <f>IFERROR(__xludf.DUMMYFUNCTION("SPLIT(A3876,"" "")"),"Cc1cccnc1CN(C)C1CCCC(N(Cc2ccccn2)Cc2cccnc2CNC(C)C)C1")</f>
        <v>Cc1cccnc1CN(C)C1CCCC(N(Cc2ccccn2)Cc2cccnc2CNC(C)C)C1</v>
      </c>
      <c r="C3876" s="7">
        <f>IFERROR(__xludf.DUMMYFUNCTION("""COMPUTED_VALUE"""),7.798768)</f>
        <v>7.798768</v>
      </c>
      <c r="D3876" s="7">
        <f>IFERROR(__xludf.DUMMYFUNCTION("""COMPUTED_VALUE"""),0.387096774193548)</f>
        <v>0.3870967742</v>
      </c>
    </row>
    <row r="3877">
      <c r="A3877" s="10" t="s">
        <v>5316</v>
      </c>
      <c r="B3877" s="7" t="str">
        <f>IFERROR(__xludf.DUMMYFUNCTION("SPLIT(A3877,"" "")"),"CCNCC1=CC(N(C)Cc2ccccn2)C=CN1")</f>
        <v>CCNCC1=CC(N(C)Cc2ccccn2)C=CN1</v>
      </c>
      <c r="C3877" s="7">
        <f>IFERROR(__xludf.DUMMYFUNCTION("""COMPUTED_VALUE"""),7.798768)</f>
        <v>7.798768</v>
      </c>
      <c r="D3877" s="7">
        <f>IFERROR(__xludf.DUMMYFUNCTION("""COMPUTED_VALUE"""),0.423076923076923)</f>
        <v>0.4230769231</v>
      </c>
    </row>
    <row r="3878">
      <c r="A3878" s="10" t="s">
        <v>5317</v>
      </c>
      <c r="B3878" s="7" t="str">
        <f>IFERROR(__xludf.DUMMYFUNCTION("SPLIT(A3878,"" "")"),"CN(Cc1cccc(-c2ccc3c(c2)OCCOCCOCCOCCOCCO3)n1)C1CCC(N(C)Cc2cccc(-c3ccccn3)n2)CC1")</f>
        <v>CN(Cc1cccc(-c2ccc3c(c2)OCCOCCOCCOCCOCCO3)n1)C1CCC(N(C)Cc2cccc(-c3ccccn3)n2)CC1</v>
      </c>
      <c r="C3878" s="7">
        <f>IFERROR(__xludf.DUMMYFUNCTION("""COMPUTED_VALUE"""),7.7987638)</f>
        <v>7.7987638</v>
      </c>
      <c r="D3878" s="7">
        <f>IFERROR(__xludf.DUMMYFUNCTION("""COMPUTED_VALUE"""),0.448275862068965)</f>
        <v>0.4482758621</v>
      </c>
    </row>
    <row r="3879">
      <c r="A3879" s="10" t="s">
        <v>5318</v>
      </c>
      <c r="B3879" s="7" t="str">
        <f>IFERROR(__xludf.DUMMYFUNCTION("SPLIT(A3879,"" "")"),"CC1CC(C(C)(C)C)=CCC1N=Cc1ccccn1")</f>
        <v>CC1CC(C(C)(C)C)=CCC1N=Cc1ccccn1</v>
      </c>
      <c r="C3879" s="7">
        <f>IFERROR(__xludf.DUMMYFUNCTION("""COMPUTED_VALUE"""),7.79876)</f>
        <v>7.79876</v>
      </c>
      <c r="D3879" s="7">
        <f>IFERROR(__xludf.DUMMYFUNCTION("""COMPUTED_VALUE"""),0.339622641509433)</f>
        <v>0.3396226415</v>
      </c>
    </row>
    <row r="3880">
      <c r="A3880" s="10" t="s">
        <v>5319</v>
      </c>
      <c r="B3880" s="7" t="str">
        <f>IFERROR(__xludf.DUMMYFUNCTION("SPLIT(A3880,"" "")"),"Cc1ccnc(CN(C)C2CCCC(N(C)c3ccccc3C)C2)c1")</f>
        <v>Cc1ccnc(CN(C)C2CCCC(N(C)c3ccccc3C)C2)c1</v>
      </c>
      <c r="C3880" s="7">
        <f>IFERROR(__xludf.DUMMYFUNCTION("""COMPUTED_VALUE"""),7.798758)</f>
        <v>7.798758</v>
      </c>
      <c r="D3880" s="7">
        <f>IFERROR(__xludf.DUMMYFUNCTION("""COMPUTED_VALUE"""),0.396226415094339)</f>
        <v>0.3962264151</v>
      </c>
    </row>
    <row r="3881">
      <c r="A3881" s="10" t="s">
        <v>5320</v>
      </c>
      <c r="B3881" s="7" t="str">
        <f>IFERROR(__xludf.DUMMYFUNCTION("SPLIT(A3881,"" "")"),"CN(C)Cc1ncccc1CN(C)Cc1ncccc1-c1cccc2c1OCCOCCOCCOCCOCCO2")</f>
        <v>CN(C)Cc1ncccc1CN(C)Cc1ncccc1-c1cccc2c1OCCOCCOCCOCCOCCO2</v>
      </c>
      <c r="C3881" s="7">
        <f>IFERROR(__xludf.DUMMYFUNCTION("""COMPUTED_VALUE"""),7.798755)</f>
        <v>7.798755</v>
      </c>
      <c r="D3881" s="7">
        <f>IFERROR(__xludf.DUMMYFUNCTION("""COMPUTED_VALUE"""),0.327586206896551)</f>
        <v>0.3275862069</v>
      </c>
    </row>
    <row r="3882">
      <c r="A3882" s="10" t="s">
        <v>5321</v>
      </c>
      <c r="B3882" s="7" t="str">
        <f>IFERROR(__xludf.DUMMYFUNCTION("SPLIT(A3882,"" "")"),"CCCN(C)CCN(Cc1ccccn1)C(C)(C)c1ccccn1")</f>
        <v>CCCN(C)CCN(Cc1ccccn1)C(C)(C)c1ccccn1</v>
      </c>
      <c r="C3882" s="7">
        <f>IFERROR(__xludf.DUMMYFUNCTION("""COMPUTED_VALUE"""),7.7987504)</f>
        <v>7.7987504</v>
      </c>
      <c r="D3882" s="7">
        <f>IFERROR(__xludf.DUMMYFUNCTION("""COMPUTED_VALUE"""),0.446808510638297)</f>
        <v>0.4468085106</v>
      </c>
    </row>
    <row r="3883">
      <c r="A3883" s="10" t="s">
        <v>5322</v>
      </c>
      <c r="B3883" s="7" t="str">
        <f>IFERROR(__xludf.DUMMYFUNCTION("SPLIT(A3883,"" "")"),"CC(C)NCc1ccc(-c2cc(NCc3ccccn3)cc3c2OCCOCCOCCOCCOCCO3)cn1")</f>
        <v>CC(C)NCc1ccc(-c2cc(NCc3ccccn3)cc3c2OCCOCCOCCOCCOCCO3)cn1</v>
      </c>
      <c r="C3883" s="7">
        <f>IFERROR(__xludf.DUMMYFUNCTION("""COMPUTED_VALUE"""),7.7987494)</f>
        <v>7.7987494</v>
      </c>
      <c r="D3883" s="7">
        <f>IFERROR(__xludf.DUMMYFUNCTION("""COMPUTED_VALUE"""),0.333333333333333)</f>
        <v>0.3333333333</v>
      </c>
    </row>
    <row r="3884">
      <c r="A3884" s="10" t="s">
        <v>5323</v>
      </c>
      <c r="B3884" s="7" t="str">
        <f>IFERROR(__xludf.DUMMYFUNCTION("SPLIT(A3884,"" "")"),"Cc1cnc(CN(C)C2CCC(N(C)Cc3ccccn3)CC2N(Cc2ccccn2)Cc2cccc(-c3cccc4c3OCCOCCOCCOCCOCCO4)n2)c(C)c1C")</f>
        <v>Cc1cnc(CN(C)C2CCC(N(C)Cc3ccccn3)CC2N(Cc2ccccn2)Cc2cccc(-c3cccc4c3OCCOCCOCCOCCOCCO4)n2)c(C)c1C</v>
      </c>
      <c r="C3884" s="7">
        <f>IFERROR(__xludf.DUMMYFUNCTION("""COMPUTED_VALUE"""),7.7987485)</f>
        <v>7.7987485</v>
      </c>
      <c r="D3884" s="7">
        <f>IFERROR(__xludf.DUMMYFUNCTION("""COMPUTED_VALUE"""),0.355263157894736)</f>
        <v>0.3552631579</v>
      </c>
    </row>
    <row r="3885">
      <c r="A3885" s="10" t="s">
        <v>5324</v>
      </c>
      <c r="B3885" s="7" t="str">
        <f>IFERROR(__xludf.DUMMYFUNCTION("SPLIT(A3885,"" "")"),"CCN(Cc1cccc(CN(C)C2CCC(N(C)Cc3nc(C)c(C)c(C)c3C)CC2)n1)C1CCC(N(C)Cc2nc(C)c(C)c(C)c2C)CC1")</f>
        <v>CCN(Cc1cccc(CN(C)C2CCC(N(C)Cc3nc(C)c(C)c(C)c3C)CC2)n1)C1CCC(N(C)Cc2nc(C)c(C)c(C)c2C)CC1</v>
      </c>
      <c r="C3885" s="7">
        <f>IFERROR(__xludf.DUMMYFUNCTION("""COMPUTED_VALUE"""),7.7987447)</f>
        <v>7.7987447</v>
      </c>
      <c r="D3885" s="7">
        <f>IFERROR(__xludf.DUMMYFUNCTION("""COMPUTED_VALUE"""),0.396226415094339)</f>
        <v>0.3962264151</v>
      </c>
    </row>
    <row r="3886">
      <c r="A3886" s="10" t="s">
        <v>5325</v>
      </c>
      <c r="B3886" s="7" t="str">
        <f>IFERROR(__xludf.DUMMYFUNCTION("SPLIT(A3886,"" "")"),"CC(C)NCc1cccc(-c2cc(NCc3ccccn3)c3c(c2)OCCOCCOCCOCCOCCO3)n1")</f>
        <v>CC(C)NCc1cccc(-c2cc(NCc3ccccn3)c3c(c2)OCCOCCOCCOCCOCCO3)n1</v>
      </c>
      <c r="C3886" s="7">
        <f>IFERROR(__xludf.DUMMYFUNCTION("""COMPUTED_VALUE"""),7.7987404)</f>
        <v>7.7987404</v>
      </c>
      <c r="D3886" s="7">
        <f>IFERROR(__xludf.DUMMYFUNCTION("""COMPUTED_VALUE"""),0.315068493150684)</f>
        <v>0.3150684932</v>
      </c>
    </row>
    <row r="3887">
      <c r="A3887" s="10" t="s">
        <v>5326</v>
      </c>
      <c r="B3887" s="7" t="str">
        <f>IFERROR(__xludf.DUMMYFUNCTION("SPLIT(A3887,"" "")"),"CN(Cc1ccccn1)C1=C(CN(C)C2CCCC(N(C)Cc3ccccn3)C2)NC=CC1")</f>
        <v>CN(Cc1ccccn1)C1=C(CN(C)C2CCCC(N(C)Cc3ccccn3)C2)NC=CC1</v>
      </c>
      <c r="C3887" s="7">
        <f>IFERROR(__xludf.DUMMYFUNCTION("""COMPUTED_VALUE"""),7.7987356)</f>
        <v>7.7987356</v>
      </c>
      <c r="D3887" s="7">
        <f>IFERROR(__xludf.DUMMYFUNCTION("""COMPUTED_VALUE"""),0.471698113207547)</f>
        <v>0.4716981132</v>
      </c>
    </row>
    <row r="3888">
      <c r="A3888" s="10" t="s">
        <v>5327</v>
      </c>
      <c r="B3888" s="7" t="str">
        <f>IFERROR(__xludf.DUMMYFUNCTION("SPLIT(A3888,"" "")"),"FCc1cccc(N(Cc2ccccn2)C2CCCCC2N(Cc2ccccn2)Cc2cc(-c3ccc4c(c3)OCCOCCOCCOCCOCCO4)ccn2)n1")</f>
        <v>FCc1cccc(N(Cc2ccccn2)C2CCCCC2N(Cc2ccccn2)Cc2cc(-c3ccc4c(c3)OCCOCCOCCOCCOCCO4)ccn2)n1</v>
      </c>
      <c r="C3888" s="7">
        <f>IFERROR(__xludf.DUMMYFUNCTION("""COMPUTED_VALUE"""),7.798734)</f>
        <v>7.798734</v>
      </c>
      <c r="D3888" s="7">
        <f>IFERROR(__xludf.DUMMYFUNCTION("""COMPUTED_VALUE"""),0.35)</f>
        <v>0.35</v>
      </c>
    </row>
    <row r="3889">
      <c r="A3889" s="10" t="s">
        <v>5328</v>
      </c>
      <c r="B3889" s="7" t="str">
        <f>IFERROR(__xludf.DUMMYFUNCTION("SPLIT(A3889,"" "")"),"Cc1cccnc1CN(C)C1CCC(N(Cc2ccccn2)Cc2cccc(C3C(C)CC3N)n2)CC1")</f>
        <v>Cc1cccnc1CN(C)C1CCC(N(Cc2ccccn2)Cc2cccc(C3C(C)CC3N)n2)CC1</v>
      </c>
      <c r="C3889" s="7">
        <f>IFERROR(__xludf.DUMMYFUNCTION("""COMPUTED_VALUE"""),7.7987156)</f>
        <v>7.7987156</v>
      </c>
      <c r="D3889" s="7">
        <f>IFERROR(__xludf.DUMMYFUNCTION("""COMPUTED_VALUE"""),0.353846153846153)</f>
        <v>0.3538461538</v>
      </c>
    </row>
    <row r="3890">
      <c r="A3890" s="10" t="s">
        <v>5329</v>
      </c>
      <c r="B3890" s="7" t="str">
        <f>IFERROR(__xludf.DUMMYFUNCTION("SPLIT(A3890,"" "")"),"CN1CCN(C)CCN(Cc2ccc3ncccc3c2)CC1")</f>
        <v>CN1CCN(C)CCN(Cc2ccc3ncccc3c2)CC1</v>
      </c>
      <c r="C3890" s="7">
        <f>IFERROR(__xludf.DUMMYFUNCTION("""COMPUTED_VALUE"""),7.7987103)</f>
        <v>7.7987103</v>
      </c>
      <c r="D3890" s="7">
        <f>IFERROR(__xludf.DUMMYFUNCTION("""COMPUTED_VALUE"""),0.5)</f>
        <v>0.5</v>
      </c>
    </row>
    <row r="3891">
      <c r="A3891" s="10" t="s">
        <v>5330</v>
      </c>
      <c r="B3891" s="7" t="str">
        <f>IFERROR(__xludf.DUMMYFUNCTION("SPLIT(A3891,"" "")"),"CC(C)NC1=CCC=CN1")</f>
        <v>CC(C)NC1=CCC=CN1</v>
      </c>
      <c r="C3891" s="7">
        <f>IFERROR(__xludf.DUMMYFUNCTION("""COMPUTED_VALUE"""),7.7987084)</f>
        <v>7.7987084</v>
      </c>
      <c r="D3891" s="7">
        <f>IFERROR(__xludf.DUMMYFUNCTION("""COMPUTED_VALUE"""),0.25531914893617)</f>
        <v>0.2553191489</v>
      </c>
    </row>
    <row r="3892">
      <c r="A3892" s="10" t="s">
        <v>5331</v>
      </c>
      <c r="B3892" s="7" t="str">
        <f>IFERROR(__xludf.DUMMYFUNCTION("SPLIT(A3892,"" "")"),"Cc1ccc(CN(Cc2ccc3c(c2)OCCOCCOCCOCCOCCO3)Cc2ccccn2)c(N(C)Cc2ccccn2)c1")</f>
        <v>Cc1ccc(CN(Cc2ccc3c(c2)OCCOCCOCCOCCOCCO3)Cc2ccccn2)c(N(C)Cc2ccccn2)c1</v>
      </c>
      <c r="C3892" s="7">
        <f>IFERROR(__xludf.DUMMYFUNCTION("""COMPUTED_VALUE"""),7.7987037)</f>
        <v>7.7987037</v>
      </c>
      <c r="D3892" s="7">
        <f>IFERROR(__xludf.DUMMYFUNCTION("""COMPUTED_VALUE"""),0.423728813559322)</f>
        <v>0.4237288136</v>
      </c>
    </row>
    <row r="3893">
      <c r="A3893" s="10" t="s">
        <v>5332</v>
      </c>
      <c r="B3893" s="7" t="str">
        <f>IFERROR(__xludf.DUMMYFUNCTION("SPLIT(A3893,"" "")"),"CCNC1CCCC(N(Cc2ncccc2C)Cc2ncccc2C)C1N(C)Cc1ncccc1C")</f>
        <v>CCNC1CCCC(N(Cc2ncccc2C)Cc2ncccc2C)C1N(C)Cc1ncccc1C</v>
      </c>
      <c r="C3893" s="7">
        <f>IFERROR(__xludf.DUMMYFUNCTION("""COMPUTED_VALUE"""),7.798703)</f>
        <v>7.798703</v>
      </c>
      <c r="D3893" s="7">
        <f>IFERROR(__xludf.DUMMYFUNCTION("""COMPUTED_VALUE"""),0.357142857142857)</f>
        <v>0.3571428571</v>
      </c>
    </row>
    <row r="3894">
      <c r="A3894" s="10" t="s">
        <v>5333</v>
      </c>
      <c r="B3894" s="7" t="str">
        <f>IFERROR(__xludf.DUMMYFUNCTION("SPLIT(A3894,"" "")"),"CNCc1cccc(CN(C)C2CCC(N(C)Cc3nc(C)c(C)c(C)c3C)CC2)n1")</f>
        <v>CNCc1cccc(CN(C)C2CCC(N(C)Cc3nc(C)c(C)c(C)c3C)CC2)n1</v>
      </c>
      <c r="C3894" s="7">
        <f>IFERROR(__xludf.DUMMYFUNCTION("""COMPUTED_VALUE"""),7.7987022)</f>
        <v>7.7987022</v>
      </c>
      <c r="D3894" s="7">
        <f>IFERROR(__xludf.DUMMYFUNCTION("""COMPUTED_VALUE"""),0.396226415094339)</f>
        <v>0.3962264151</v>
      </c>
    </row>
    <row r="3895">
      <c r="A3895" s="10" t="s">
        <v>5334</v>
      </c>
      <c r="B3895" s="7" t="str">
        <f>IFERROR(__xludf.DUMMYFUNCTION("SPLIT(A3895,"" "")"),"Cc1ccc(CN(C)C2CCC(N(C)Cc3ccccn3)C(N(Cc3ccccn3)Cc3ncccc3-c3ccc4c(c3)OCCOCCOCCOCCOCCO4)C2)nc1C")</f>
        <v>Cc1ccc(CN(C)C2CCC(N(C)Cc3ccccn3)C(N(Cc3ccccn3)Cc3ncccc3-c3ccc4c(c3)OCCOCCOCCOCCOCCO4)C2)nc1C</v>
      </c>
      <c r="C3895" s="7">
        <f>IFERROR(__xludf.DUMMYFUNCTION("""COMPUTED_VALUE"""),7.7987003)</f>
        <v>7.7987003</v>
      </c>
      <c r="D3895" s="7">
        <f>IFERROR(__xludf.DUMMYFUNCTION("""COMPUTED_VALUE"""),0.355263157894736)</f>
        <v>0.3552631579</v>
      </c>
    </row>
    <row r="3896">
      <c r="A3896" s="10" t="s">
        <v>5335</v>
      </c>
      <c r="B3896" s="7" t="str">
        <f>IFERROR(__xludf.DUMMYFUNCTION("SPLIT(A3896,"" "")"),"CC1=C(C)CC(C)(N(C)Cc2ccccn2)C(C)C1")</f>
        <v>CC1=C(C)CC(C)(N(C)Cc2ccccn2)C(C)C1</v>
      </c>
      <c r="C3896" s="7">
        <f>IFERROR(__xludf.DUMMYFUNCTION("""COMPUTED_VALUE"""),7.7986903)</f>
        <v>7.7986903</v>
      </c>
      <c r="D3896" s="7">
        <f>IFERROR(__xludf.DUMMYFUNCTION("""COMPUTED_VALUE"""),0.4375)</f>
        <v>0.4375</v>
      </c>
    </row>
    <row r="3897">
      <c r="A3897" s="10" t="s">
        <v>5336</v>
      </c>
      <c r="B3897" s="7" t="str">
        <f>IFERROR(__xludf.DUMMYFUNCTION("SPLIT(A3897,"" "")"),"Cc1cnccc1CN(C)CCN(Cc1ccccn1)C(C)(C)c1cncc(-c2ccc3c(c2)OCCOCCOCCOCCOCCO3)c1")</f>
        <v>Cc1cnccc1CN(C)CCN(Cc1ccccn1)C(C)(C)c1cncc(-c2ccc3c(c2)OCCOCCOCCOCCOCCO3)c1</v>
      </c>
      <c r="C3897" s="7">
        <f>IFERROR(__xludf.DUMMYFUNCTION("""COMPUTED_VALUE"""),7.7986865)</f>
        <v>7.7986865</v>
      </c>
      <c r="D3897" s="7">
        <f>IFERROR(__xludf.DUMMYFUNCTION("""COMPUTED_VALUE"""),0.302325581395348)</f>
        <v>0.3023255814</v>
      </c>
    </row>
    <row r="3898">
      <c r="A3898" s="10" t="s">
        <v>5337</v>
      </c>
      <c r="B3898" s="7" t="str">
        <f>IFERROR(__xludf.DUMMYFUNCTION("SPLIT(A3898,"" "")"),"CCNCc1ccc(CN(Cc2ncccc2C)C2CCC(N(C)Cc3ncccc3C)CC2)cn1")</f>
        <v>CCNCc1ccc(CN(Cc2ncccc2C)C2CCC(N(C)Cc3ncccc3C)CC2)cn1</v>
      </c>
      <c r="C3898" s="7">
        <f>IFERROR(__xludf.DUMMYFUNCTION("""COMPUTED_VALUE"""),7.7986794)</f>
        <v>7.7986794</v>
      </c>
      <c r="D3898" s="7">
        <f>IFERROR(__xludf.DUMMYFUNCTION("""COMPUTED_VALUE"""),0.296875)</f>
        <v>0.296875</v>
      </c>
    </row>
    <row r="3899">
      <c r="A3899" s="10" t="s">
        <v>5338</v>
      </c>
      <c r="B3899" s="7" t="str">
        <f>IFERROR(__xludf.DUMMYFUNCTION("SPLIT(A3899,"" "")"),"CN1CCN(C)CCN(CCCN(C)c2cccc3ncccc23)CC1")</f>
        <v>CN1CCN(C)CCN(CCCN(C)c2cccc3ncccc23)CC1</v>
      </c>
      <c r="C3899" s="7">
        <f>IFERROR(__xludf.DUMMYFUNCTION("""COMPUTED_VALUE"""),7.798675)</f>
        <v>7.798675</v>
      </c>
      <c r="D3899" s="7">
        <f>IFERROR(__xludf.DUMMYFUNCTION("""COMPUTED_VALUE"""),0.458333333333333)</f>
        <v>0.4583333333</v>
      </c>
    </row>
    <row r="3900">
      <c r="A3900" s="10" t="s">
        <v>5339</v>
      </c>
      <c r="B3900" s="7" t="str">
        <f>IFERROR(__xludf.DUMMYFUNCTION("SPLIT(A3900,"" "")"),"CC1=CC(N(C)Cc2ncccc2C(C)(C)C)CC(C)C1(C)C")</f>
        <v>CC1=CC(N(C)Cc2ncccc2C(C)(C)C)CC(C)C1(C)C</v>
      </c>
      <c r="C3900" s="7">
        <f>IFERROR(__xludf.DUMMYFUNCTION("""COMPUTED_VALUE"""),7.798668)</f>
        <v>7.798668</v>
      </c>
      <c r="D3900" s="7">
        <f>IFERROR(__xludf.DUMMYFUNCTION("""COMPUTED_VALUE"""),0.271186440677966)</f>
        <v>0.2711864407</v>
      </c>
    </row>
    <row r="3901">
      <c r="A3901" s="10" t="s">
        <v>5340</v>
      </c>
      <c r="B3901" s="7" t="str">
        <f>IFERROR(__xludf.DUMMYFUNCTION("SPLIT(A3901,"" "")"),"CN(CCN(C)c1cccc2ncc(CF)cc12)Cc1cccc2c1OCCOCCOCCOCCOCCO2")</f>
        <v>CN(CCN(C)c1cccc2ncc(CF)cc12)Cc1cccc2c1OCCOCCOCCOCCOCCO2</v>
      </c>
      <c r="C3901" s="7">
        <f>IFERROR(__xludf.DUMMYFUNCTION("""COMPUTED_VALUE"""),7.798656)</f>
        <v>7.798656</v>
      </c>
      <c r="D3901" s="7">
        <f>IFERROR(__xludf.DUMMYFUNCTION("""COMPUTED_VALUE"""),0.303030303030303)</f>
        <v>0.303030303</v>
      </c>
    </row>
    <row r="3902">
      <c r="A3902" s="10" t="s">
        <v>5341</v>
      </c>
      <c r="B3902" s="7" t="str">
        <f>IFERROR(__xludf.DUMMYFUNCTION("SPLIT(A3902,"" "")"),"CCNCc1cc(CN(Cc2ccccn2)C2CCCCC2N(C)Cc2nc(C)c(C)cc2C)ccn1")</f>
        <v>CCNCc1cc(CN(Cc2ccccn2)C2CCCCC2N(C)Cc2nc(C)c(C)cc2C)ccn1</v>
      </c>
      <c r="C3902" s="7">
        <f>IFERROR(__xludf.DUMMYFUNCTION("""COMPUTED_VALUE"""),7.7986555)</f>
        <v>7.7986555</v>
      </c>
      <c r="D3902" s="7">
        <f>IFERROR(__xludf.DUMMYFUNCTION("""COMPUTED_VALUE"""),0.475409836065573)</f>
        <v>0.4754098361</v>
      </c>
    </row>
    <row r="3903">
      <c r="A3903" s="10" t="s">
        <v>5342</v>
      </c>
      <c r="B3903" s="7" t="str">
        <f>IFERROR(__xludf.DUMMYFUNCTION("SPLIT(A3903,"" "")"),"CNCc1ncccc1CN(Cc1ccccn1)C1CCCC(N(C)Cc2cccc(C)n2)C1")</f>
        <v>CNCc1ncccc1CN(Cc1ccccn1)C1CCCC(N(C)Cc2cccc(C)n2)C1</v>
      </c>
      <c r="C3903" s="7">
        <f>IFERROR(__xludf.DUMMYFUNCTION("""COMPUTED_VALUE"""),7.7986517)</f>
        <v>7.7986517</v>
      </c>
      <c r="D3903" s="7">
        <f>IFERROR(__xludf.DUMMYFUNCTION("""COMPUTED_VALUE"""),0.419354838709677)</f>
        <v>0.4193548387</v>
      </c>
    </row>
    <row r="3904">
      <c r="A3904" s="10" t="s">
        <v>5343</v>
      </c>
      <c r="B3904" s="7" t="str">
        <f>IFERROR(__xludf.DUMMYFUNCTION("SPLIT(A3904,"" "")"),"CCN(C)Cc1ncccc1N")</f>
        <v>CCN(C)Cc1ncccc1N</v>
      </c>
      <c r="C3904" s="7">
        <f>IFERROR(__xludf.DUMMYFUNCTION("""COMPUTED_VALUE"""),7.798645)</f>
        <v>7.798645</v>
      </c>
      <c r="D3904" s="7">
        <f>IFERROR(__xludf.DUMMYFUNCTION("""COMPUTED_VALUE"""),0.357142857142857)</f>
        <v>0.3571428571</v>
      </c>
    </row>
    <row r="3905">
      <c r="A3905" s="10" t="s">
        <v>5344</v>
      </c>
      <c r="B3905" s="7" t="str">
        <f>IFERROR(__xludf.DUMMYFUNCTION("SPLIT(A3905,"" "")"),"CC1=CC2(C=CNC(C(C)C)=C2)CC(C)(C)C1")</f>
        <v>CC1=CC2(C=CNC(C(C)C)=C2)CC(C)(C)C1</v>
      </c>
      <c r="C3905" s="7">
        <f>IFERROR(__xludf.DUMMYFUNCTION("""COMPUTED_VALUE"""),7.798634)</f>
        <v>7.798634</v>
      </c>
      <c r="D3905" s="7">
        <f>IFERROR(__xludf.DUMMYFUNCTION("""COMPUTED_VALUE"""),0.122807017543859)</f>
        <v>0.1228070175</v>
      </c>
    </row>
    <row r="3906">
      <c r="A3906" s="10" t="s">
        <v>5345</v>
      </c>
      <c r="B3906" s="7" t="str">
        <f>IFERROR(__xludf.DUMMYFUNCTION("SPLIT(A3906,"" "")"),"CNC1CC(N(Cc2ccccn2)Cc2cccc(C3C(Cl)CC3Cl)n2)CCC1N(C)Cc1ccccn1")</f>
        <v>CNC1CC(N(Cc2ccccn2)Cc2cccc(C3C(Cl)CC3Cl)n2)CCC1N(C)Cc1ccccn1</v>
      </c>
      <c r="C3906" s="7">
        <f>IFERROR(__xludf.DUMMYFUNCTION("""COMPUTED_VALUE"""),7.7986317)</f>
        <v>7.7986317</v>
      </c>
      <c r="D3906" s="7">
        <f>IFERROR(__xludf.DUMMYFUNCTION("""COMPUTED_VALUE"""),0.440677966101694)</f>
        <v>0.4406779661</v>
      </c>
    </row>
    <row r="3907">
      <c r="A3907" s="10" t="s">
        <v>5346</v>
      </c>
      <c r="B3907" s="7" t="str">
        <f>IFERROR(__xludf.DUMMYFUNCTION("SPLIT(A3907,"" "")"),"Cc1nc(CN(C)C2CCCCC2N(C)Cc2cccc(C3C(C)CC3N)n2)c(C)c(C)c1C")</f>
        <v>Cc1nc(CN(C)C2CCCCC2N(C)Cc2cccc(C3C(C)CC3N)n2)c(C)c(C)c1C</v>
      </c>
      <c r="C3907" s="7">
        <f>IFERROR(__xludf.DUMMYFUNCTION("""COMPUTED_VALUE"""),7.7986307)</f>
        <v>7.7986307</v>
      </c>
      <c r="D3907" s="7">
        <f>IFERROR(__xludf.DUMMYFUNCTION("""COMPUTED_VALUE"""),0.482142857142857)</f>
        <v>0.4821428571</v>
      </c>
    </row>
    <row r="3908">
      <c r="A3908" s="10" t="s">
        <v>5347</v>
      </c>
      <c r="B3908" s="7" t="str">
        <f>IFERROR(__xludf.DUMMYFUNCTION("SPLIT(A3908,"" "")"),"CCN(Cc1ccccn1)C1=CC(CN(C)C(C)C)C=CN1")</f>
        <v>CCN(Cc1ccccn1)C1=CC(CN(C)C(C)C)C=CN1</v>
      </c>
      <c r="C3908" s="7">
        <f>IFERROR(__xludf.DUMMYFUNCTION("""COMPUTED_VALUE"""),7.798618)</f>
        <v>7.798618</v>
      </c>
      <c r="D3908" s="7">
        <f>IFERROR(__xludf.DUMMYFUNCTION("""COMPUTED_VALUE"""),0.396226415094339)</f>
        <v>0.3962264151</v>
      </c>
    </row>
    <row r="3909">
      <c r="A3909" s="10" t="s">
        <v>5348</v>
      </c>
      <c r="B3909" s="7" t="str">
        <f>IFERROR(__xludf.DUMMYFUNCTION("SPLIT(A3909,"" "")"),"Cc1cccnc1CN(Cc1ncccc1C)CN(C)C1CCC(N(C)Cc2ncccc2C)CC1")</f>
        <v>Cc1cccnc1CN(Cc1ncccc1C)CN(C)C1CCC(N(C)Cc2ncccc2C)CC1</v>
      </c>
      <c r="C3909" s="7">
        <f>IFERROR(__xludf.DUMMYFUNCTION("""COMPUTED_VALUE"""),7.7986135)</f>
        <v>7.7986135</v>
      </c>
      <c r="D3909" s="7">
        <f>IFERROR(__xludf.DUMMYFUNCTION("""COMPUTED_VALUE"""),0.346938775510204)</f>
        <v>0.3469387755</v>
      </c>
    </row>
    <row r="3910">
      <c r="A3910" s="10" t="s">
        <v>5349</v>
      </c>
      <c r="B3910" s="7" t="str">
        <f>IFERROR(__xludf.DUMMYFUNCTION("SPLIT(A3910,"" "")"),"Cc1cc(CN(C)CCN(C)Cc2cccc(-c3ccc4c(c3)OCCOCCOCCOCCOCCO4)n2)nc(C)c1C")</f>
        <v>Cc1cc(CN(C)CCN(C)Cc2cccc(-c3ccc4c(c3)OCCOCCOCCOCCOCCO4)n2)nc(C)c1C</v>
      </c>
      <c r="C3910" s="7">
        <f>IFERROR(__xludf.DUMMYFUNCTION("""COMPUTED_VALUE"""),7.7986093)</f>
        <v>7.7986093</v>
      </c>
      <c r="D3910" s="7">
        <f>IFERROR(__xludf.DUMMYFUNCTION("""COMPUTED_VALUE"""),0.375)</f>
        <v>0.375</v>
      </c>
    </row>
    <row r="3911">
      <c r="A3911" s="10" t="s">
        <v>5350</v>
      </c>
      <c r="B3911" s="7" t="str">
        <f>IFERROR(__xludf.DUMMYFUNCTION("SPLIT(A3911,"" "")"),"Cc1cccc(CN(C)Cc2cccnc2-c2ccc3c(c2)OCCOCCOCCOCCOCCO3)n1")</f>
        <v>Cc1cccc(CN(C)Cc2cccnc2-c2ccc3c(c2)OCCOCCOCCOCCOCCO3)n1</v>
      </c>
      <c r="C3911" s="7">
        <f>IFERROR(__xludf.DUMMYFUNCTION("""COMPUTED_VALUE"""),7.798606)</f>
        <v>7.798606</v>
      </c>
      <c r="D3911" s="7">
        <f>IFERROR(__xludf.DUMMYFUNCTION("""COMPUTED_VALUE"""),0.4)</f>
        <v>0.4</v>
      </c>
    </row>
    <row r="3912">
      <c r="A3912" s="10" t="s">
        <v>5351</v>
      </c>
      <c r="B3912" s="7" t="str">
        <f>IFERROR(__xludf.DUMMYFUNCTION("SPLIT(A3912,"" "")"),"Cc1ccc(C)c(C(=O)N2CCN(C)CCN(C(C)C(=O)C(=O)C(C)N)CC2)n1")</f>
        <v>Cc1ccc(C)c(C(=O)N2CCN(C)CCN(C(C)C(=O)C(=O)C(C)N)CC2)n1</v>
      </c>
      <c r="C3912" s="7">
        <f>IFERROR(__xludf.DUMMYFUNCTION("""COMPUTED_VALUE"""),7.7986026)</f>
        <v>7.7986026</v>
      </c>
      <c r="D3912" s="7">
        <f>IFERROR(__xludf.DUMMYFUNCTION("""COMPUTED_VALUE"""),0.275862068965517)</f>
        <v>0.275862069</v>
      </c>
    </row>
    <row r="3913">
      <c r="A3913" s="10" t="s">
        <v>5352</v>
      </c>
      <c r="B3913" s="7" t="str">
        <f>IFERROR(__xludf.DUMMYFUNCTION("SPLIT(A3913,"" "")"),"Cc1ccc2c(c1)OCCOCCOCCOCCOc1ccccc1O2")</f>
        <v>Cc1ccc2c(c1)OCCOCCOCCOCCOc1ccccc1O2</v>
      </c>
      <c r="C3913" s="7">
        <f>IFERROR(__xludf.DUMMYFUNCTION("""COMPUTED_VALUE"""),7.7986016)</f>
        <v>7.7986016</v>
      </c>
      <c r="D3913" s="7">
        <f>IFERROR(__xludf.DUMMYFUNCTION("""COMPUTED_VALUE"""),0.303571428571428)</f>
        <v>0.3035714286</v>
      </c>
    </row>
    <row r="3914">
      <c r="A3914" s="10" t="s">
        <v>5353</v>
      </c>
      <c r="B3914" s="7" t="str">
        <f>IFERROR(__xludf.DUMMYFUNCTION("SPLIT(A3914,"" "")"),"Cc1ncccc1CN(C)Cc1ncccc1-c1ccc2c(c1)OCCOCCOCCOCCOCCO2")</f>
        <v>Cc1ncccc1CN(C)Cc1ncccc1-c1ccc2c(c1)OCCOCCOCCOCCOCCO2</v>
      </c>
      <c r="C3914" s="7">
        <f>IFERROR(__xludf.DUMMYFUNCTION("""COMPUTED_VALUE"""),7.7986)</f>
        <v>7.7986</v>
      </c>
      <c r="D3914" s="7">
        <f>IFERROR(__xludf.DUMMYFUNCTION("""COMPUTED_VALUE"""),0.328571428571428)</f>
        <v>0.3285714286</v>
      </c>
    </row>
    <row r="3915">
      <c r="A3915" s="10" t="s">
        <v>5354</v>
      </c>
      <c r="B3915" s="7" t="str">
        <f>IFERROR(__xludf.DUMMYFUNCTION("SPLIT(A3915,"" "")"),"COC(C)c1cc(CN2CCN(C)CCN(Cc3ncccc3C(C)(C)c3ccccn3)CC2)ccn1")</f>
        <v>COC(C)c1cc(CN2CCN(C)CCN(Cc3ncccc3C(C)(C)c3ccccn3)CC2)ccn1</v>
      </c>
      <c r="C3915" s="7">
        <f>IFERROR(__xludf.DUMMYFUNCTION("""COMPUTED_VALUE"""),7.798593)</f>
        <v>7.798593</v>
      </c>
      <c r="D3915" s="7">
        <f>IFERROR(__xludf.DUMMYFUNCTION("""COMPUTED_VALUE"""),0.370967741935483)</f>
        <v>0.3709677419</v>
      </c>
    </row>
    <row r="3916">
      <c r="A3916" s="10" t="s">
        <v>5355</v>
      </c>
      <c r="B3916" s="7" t="str">
        <f>IFERROR(__xludf.DUMMYFUNCTION("SPLIT(A3916,"" "")"),"CCNCc1ncccc1CN(Cc1ccccn1)C1CCCCC1N(C)Cc1nc(C)c(C)cc1C")</f>
        <v>CCNCc1ncccc1CN(Cc1ccccn1)C1CCCCC1N(C)Cc1nc(C)c(C)cc1C</v>
      </c>
      <c r="C3916" s="7">
        <f>IFERROR(__xludf.DUMMYFUNCTION("""COMPUTED_VALUE"""),7.798589)</f>
        <v>7.798589</v>
      </c>
      <c r="D3916" s="7">
        <f>IFERROR(__xludf.DUMMYFUNCTION("""COMPUTED_VALUE"""),0.46774193548387)</f>
        <v>0.4677419355</v>
      </c>
    </row>
    <row r="3917">
      <c r="A3917" s="10" t="s">
        <v>5356</v>
      </c>
      <c r="B3917" s="7" t="str">
        <f>IFERROR(__xludf.DUMMYFUNCTION("SPLIT(A3917,"" "")"),"Cc1ccc2nc(CN(C)C3CCCCC3N(C)Cc3ccc(-c4ccc5c(c4)OCCOCCOCCOCCOCCO5)cn3)ccc2c1")</f>
        <v>Cc1ccc2nc(CN(C)C3CCCCC3N(C)Cc3ccc(-c4ccc5c(c4)OCCOCCOCCOCCOCCO5)cn3)ccc2c1</v>
      </c>
      <c r="C3917" s="7">
        <f>IFERROR(__xludf.DUMMYFUNCTION("""COMPUTED_VALUE"""),7.7985845)</f>
        <v>7.7985845</v>
      </c>
      <c r="D3917" s="7">
        <f>IFERROR(__xludf.DUMMYFUNCTION("""COMPUTED_VALUE"""),0.483333333333333)</f>
        <v>0.4833333333</v>
      </c>
    </row>
    <row r="3918">
      <c r="A3918" s="10" t="s">
        <v>5357</v>
      </c>
      <c r="B3918" s="7" t="str">
        <f>IFERROR(__xludf.DUMMYFUNCTION("SPLIT(A3918,"" "")"),"CCC(C)(c1ccccn1)c1ncccc1CN(Cc1ccccn1)C1CCCCC1")</f>
        <v>CCC(C)(c1ccccn1)c1ncccc1CN(Cc1ccccn1)C1CCCCC1</v>
      </c>
      <c r="C3918" s="7">
        <f>IFERROR(__xludf.DUMMYFUNCTION("""COMPUTED_VALUE"""),7.798572)</f>
        <v>7.798572</v>
      </c>
      <c r="D3918" s="7">
        <f>IFERROR(__xludf.DUMMYFUNCTION("""COMPUTED_VALUE"""),0.410714285714285)</f>
        <v>0.4107142857</v>
      </c>
    </row>
    <row r="3919">
      <c r="A3919" s="10" t="s">
        <v>5358</v>
      </c>
      <c r="B3919" s="7" t="str">
        <f>IFERROR(__xludf.DUMMYFUNCTION("SPLIT(A3919,"" "")"),"CC(C)N(Cc1ccc(N)cn1)Cc1ncccc1C(C)(C)N(C)Cc1ccc(CN2CCN(C)CCN(C)CC2)cn1")</f>
        <v>CC(C)N(Cc1ccc(N)cn1)Cc1ncccc1C(C)(C)N(C)Cc1ccc(CN2CCN(C)CCN(C)CC2)cn1</v>
      </c>
      <c r="C3919" s="7">
        <f>IFERROR(__xludf.DUMMYFUNCTION("""COMPUTED_VALUE"""),7.798568)</f>
        <v>7.798568</v>
      </c>
      <c r="D3919" s="7">
        <f>IFERROR(__xludf.DUMMYFUNCTION("""COMPUTED_VALUE"""),0.328358208955223)</f>
        <v>0.328358209</v>
      </c>
    </row>
    <row r="3920">
      <c r="A3920" s="10" t="s">
        <v>5359</v>
      </c>
      <c r="B3920" s="7" t="str">
        <f>IFERROR(__xludf.DUMMYFUNCTION("SPLIT(A3920,"" "")"),"Cc1ccc(CN(C)C2CCC(N(Cc3ccccn3)Cc3cccnc3C3CCC3(C)C)CC2)nc1C")</f>
        <v>Cc1ccc(CN(C)C2CCC(N(Cc3ccccn3)Cc3cccnc3C3CCC3(C)C)CC2)nc1C</v>
      </c>
      <c r="C3920" s="7">
        <f>IFERROR(__xludf.DUMMYFUNCTION("""COMPUTED_VALUE"""),7.7985597)</f>
        <v>7.7985597</v>
      </c>
      <c r="D3920" s="7">
        <f>IFERROR(__xludf.DUMMYFUNCTION("""COMPUTED_VALUE"""),0.369230769230769)</f>
        <v>0.3692307692</v>
      </c>
    </row>
    <row r="3921">
      <c r="A3921" s="10" t="s">
        <v>5360</v>
      </c>
      <c r="B3921" s="7" t="str">
        <f>IFERROR(__xludf.DUMMYFUNCTION("SPLIT(A3921,"" "")"),"CNCc1cccc(CN(Cc2ccccn2)Cc2cccc(-c3cccc4c3OCCOCCOCCOCCOCCO4)n2)n1")</f>
        <v>CNCc1cccc(CN(Cc2ccccn2)Cc2cccc(-c3cccc4c3OCCOCCOCCOCCOCCO4)n2)n1</v>
      </c>
      <c r="C3921" s="7">
        <f>IFERROR(__xludf.DUMMYFUNCTION("""COMPUTED_VALUE"""),7.798538)</f>
        <v>7.798538</v>
      </c>
      <c r="D3921" s="7">
        <f>IFERROR(__xludf.DUMMYFUNCTION("""COMPUTED_VALUE"""),0.402985074626865)</f>
        <v>0.4029850746</v>
      </c>
    </row>
    <row r="3922">
      <c r="A3922" s="10" t="s">
        <v>5361</v>
      </c>
      <c r="B3922" s="7" t="str">
        <f>IFERROR(__xludf.DUMMYFUNCTION("SPLIT(A3922,"" "")"),"CN(CCCN(Cc1ccc2c(c1)OCCOCCOCCOCCOCCO2)Cc1ccccn1)c1ccc2ncccc2c1")</f>
        <v>CN(CCCN(Cc1ccc2c(c1)OCCOCCOCCOCCOCCO2)Cc1ccccn1)c1ccc2ncccc2c1</v>
      </c>
      <c r="C3922" s="7">
        <f>IFERROR(__xludf.DUMMYFUNCTION("""COMPUTED_VALUE"""),7.7985373)</f>
        <v>7.7985373</v>
      </c>
      <c r="D3922" s="7">
        <f>IFERROR(__xludf.DUMMYFUNCTION("""COMPUTED_VALUE"""),0.365079365079365)</f>
        <v>0.3650793651</v>
      </c>
    </row>
    <row r="3923">
      <c r="A3923" s="10" t="s">
        <v>5362</v>
      </c>
      <c r="B3923" s="7" t="str">
        <f>IFERROR(__xludf.DUMMYFUNCTION("SPLIT(A3923,"" "")"),"Cc1cccnc1CN(C)CN(C)C(C)C")</f>
        <v>Cc1cccnc1CN(C)CN(C)C(C)C</v>
      </c>
      <c r="C3923" s="7">
        <f>IFERROR(__xludf.DUMMYFUNCTION("""COMPUTED_VALUE"""),7.7984977)</f>
        <v>7.7984977</v>
      </c>
      <c r="D3923" s="7">
        <f>IFERROR(__xludf.DUMMYFUNCTION("""COMPUTED_VALUE"""),0.34090909090909)</f>
        <v>0.3409090909</v>
      </c>
    </row>
    <row r="3924">
      <c r="A3924" s="10" t="s">
        <v>5363</v>
      </c>
      <c r="B3924" s="7" t="str">
        <f>IFERROR(__xludf.DUMMYFUNCTION("SPLIT(A3924,"" "")"),"CCNC1CCCCC1N(Cc1cc(C)c(C)c(C)n1)Cc1nc(C)c(C)cc1C")</f>
        <v>CCNC1CCCCC1N(Cc1cc(C)c(C)c(C)n1)Cc1nc(C)c(C)cc1C</v>
      </c>
      <c r="C3924" s="7">
        <f>IFERROR(__xludf.DUMMYFUNCTION("""COMPUTED_VALUE"""),7.798496)</f>
        <v>7.798496</v>
      </c>
      <c r="D3924" s="7">
        <f>IFERROR(__xludf.DUMMYFUNCTION("""COMPUTED_VALUE"""),0.274193548387096)</f>
        <v>0.2741935484</v>
      </c>
    </row>
    <row r="3925">
      <c r="A3925" s="10" t="s">
        <v>5364</v>
      </c>
      <c r="B3925" s="7" t="str">
        <f>IFERROR(__xludf.DUMMYFUNCTION("SPLIT(A3925,"" "")"),"CC(C)C1=CCC=C(N(C)Cc2cc(-c3ccc4c(c3)OCCOCCOCCOCCOCCO4)ccn2)N1")</f>
        <v>CC(C)C1=CCC=C(N(C)Cc2cc(-c3ccc4c(c3)OCCOCCOCCOCCOCCO4)ccn2)N1</v>
      </c>
      <c r="C3925" s="7">
        <f>IFERROR(__xludf.DUMMYFUNCTION("""COMPUTED_VALUE"""),7.7984953)</f>
        <v>7.7984953</v>
      </c>
      <c r="D3925" s="7">
        <f>IFERROR(__xludf.DUMMYFUNCTION("""COMPUTED_VALUE"""),0.342465753424657)</f>
        <v>0.3424657534</v>
      </c>
    </row>
    <row r="3926">
      <c r="A3926" s="10" t="s">
        <v>5365</v>
      </c>
      <c r="B3926" s="7" t="str">
        <f>IFERROR(__xludf.DUMMYFUNCTION("SPLIT(A3926,"" "")"),"CCC(C)N(C)CC1=CC(N(C)Cc2cc(C)ccn2)C=CN1")</f>
        <v>CCC(C)N(C)CC1=CC(N(C)Cc2cc(C)ccn2)C=CN1</v>
      </c>
      <c r="C3926" s="7">
        <f>IFERROR(__xludf.DUMMYFUNCTION("""COMPUTED_VALUE"""),7.7984934)</f>
        <v>7.7984934</v>
      </c>
      <c r="D3926" s="7">
        <f>IFERROR(__xludf.DUMMYFUNCTION("""COMPUTED_VALUE"""),0.28125)</f>
        <v>0.28125</v>
      </c>
    </row>
    <row r="3927">
      <c r="A3927" s="10" t="s">
        <v>5366</v>
      </c>
      <c r="B3927" s="7" t="str">
        <f>IFERROR(__xludf.DUMMYFUNCTION("SPLIT(A3927,"" "")"),"CC1=CC2(CC(C)C1)C(CN(C)Cc1cccnc1)=CC(C)C(C)C2N(C)Cc1ccccn1")</f>
        <v>CC1=CC2(CC(C)C1)C(CN(C)Cc1cccnc1)=CC(C)C(C)C2N(C)Cc1ccccn1</v>
      </c>
      <c r="C3927" s="7">
        <f>IFERROR(__xludf.DUMMYFUNCTION("""COMPUTED_VALUE"""),7.798493)</f>
        <v>7.798493</v>
      </c>
      <c r="D3927" s="7">
        <f>IFERROR(__xludf.DUMMYFUNCTION("""COMPUTED_VALUE"""),0.338235294117647)</f>
        <v>0.3382352941</v>
      </c>
    </row>
    <row r="3928">
      <c r="A3928" s="10" t="s">
        <v>5367</v>
      </c>
      <c r="B3928" s="7" t="str">
        <f>IFERROR(__xludf.DUMMYFUNCTION("SPLIT(A3928,"" "")"),"Cc1cnccc1CN(C)C1CCCC(N(Cc2ccccn2)Cc2cnccc2F)C1")</f>
        <v>Cc1cnccc1CN(C)C1CCCC(N(Cc2ccccn2)Cc2cnccc2F)C1</v>
      </c>
      <c r="C3928" s="7">
        <f>IFERROR(__xludf.DUMMYFUNCTION("""COMPUTED_VALUE"""),7.7984815)</f>
        <v>7.7984815</v>
      </c>
      <c r="D3928" s="7">
        <f>IFERROR(__xludf.DUMMYFUNCTION("""COMPUTED_VALUE"""),0.4)</f>
        <v>0.4</v>
      </c>
    </row>
    <row r="3929">
      <c r="A3929" s="10" t="s">
        <v>5368</v>
      </c>
      <c r="B3929" s="7" t="str">
        <f>IFERROR(__xludf.DUMMYFUNCTION("SPLIT(A3929,"" "")"),"CN1CCN(Cc2nc3ccccc3o2)CCN(Cc2ncccc2-c2ccc3c(c2)OCCOCCOCCOCCOCCO3)CC1")</f>
        <v>CN1CCN(Cc2nc3ccccc3o2)CCN(Cc2ncccc2-c2ccc3c(c2)OCCOCCOCCOCCOCCO3)CC1</v>
      </c>
      <c r="C3929" s="7">
        <f>IFERROR(__xludf.DUMMYFUNCTION("""COMPUTED_VALUE"""),7.798479)</f>
        <v>7.798479</v>
      </c>
      <c r="D3929" s="7">
        <f>IFERROR(__xludf.DUMMYFUNCTION("""COMPUTED_VALUE"""),0.35064935064935)</f>
        <v>0.3506493506</v>
      </c>
    </row>
    <row r="3930">
      <c r="A3930" s="10" t="s">
        <v>5369</v>
      </c>
      <c r="B3930" s="7" t="str">
        <f>IFERROR(__xludf.DUMMYFUNCTION("SPLIT(A3930,"" "")"),"Cc1ccc(CN(C)C2CCC(N(Cc3cccc(C)n3)C(C)C)C(N(C)Cc3ccccn3)C2)nc1")</f>
        <v>Cc1ccc(CN(C)C2CCC(N(Cc3cccc(C)n3)C(C)C)C(N(C)Cc3ccccn3)C2)nc1</v>
      </c>
      <c r="C3930" s="7">
        <f>IFERROR(__xludf.DUMMYFUNCTION("""COMPUTED_VALUE"""),7.7984734)</f>
        <v>7.7984734</v>
      </c>
      <c r="D3930" s="7">
        <f>IFERROR(__xludf.DUMMYFUNCTION("""COMPUTED_VALUE"""),0.442622950819672)</f>
        <v>0.4426229508</v>
      </c>
    </row>
    <row r="3931">
      <c r="A3931" s="10" t="s">
        <v>5370</v>
      </c>
      <c r="B3931" s="7" t="str">
        <f>IFERROR(__xludf.DUMMYFUNCTION("SPLIT(A3931,"" "")"),"CNCc1cccc(CN(Cc2ccccn2)C2CCCC(N(C)Cc3cccc(C)n3)C2)n1")</f>
        <v>CNCc1cccc(CN(Cc2ccccn2)C2CCCC(N(C)Cc3cccc(C)n3)C2)n1</v>
      </c>
      <c r="C3931" s="7">
        <f>IFERROR(__xludf.DUMMYFUNCTION("""COMPUTED_VALUE"""),7.798471)</f>
        <v>7.798471</v>
      </c>
      <c r="D3931" s="7">
        <f>IFERROR(__xludf.DUMMYFUNCTION("""COMPUTED_VALUE"""),0.464285714285714)</f>
        <v>0.4642857143</v>
      </c>
    </row>
    <row r="3932">
      <c r="A3932" s="10" t="s">
        <v>5371</v>
      </c>
      <c r="B3932" s="7" t="str">
        <f>IFERROR(__xludf.DUMMYFUNCTION("SPLIT(A3932,"" "")"),"Cc1cncc(CN(C)C2CCC(N(Cc3ccccn3)Cc3ccccn3)CC2)c1C")</f>
        <v>Cc1cncc(CN(C)C2CCC(N(Cc3ccccn3)Cc3ccccn3)CC2)c1C</v>
      </c>
      <c r="C3932" s="7">
        <f>IFERROR(__xludf.DUMMYFUNCTION("""COMPUTED_VALUE"""),7.7984695)</f>
        <v>7.7984695</v>
      </c>
      <c r="D3932" s="7">
        <f>IFERROR(__xludf.DUMMYFUNCTION("""COMPUTED_VALUE"""),0.450980392156862)</f>
        <v>0.4509803922</v>
      </c>
    </row>
    <row r="3933">
      <c r="A3933" s="10" t="s">
        <v>5372</v>
      </c>
      <c r="B3933" s="7" t="str">
        <f>IFERROR(__xludf.DUMMYFUNCTION("SPLIT(A3933,"" "")"),"CC1=C(c2cccc(CN(Cc3ccccn3)C3CCCCC3N(C)Cc3nc(C)c(C)c(C)c3C)n2)CCC2(C(C)C=CC(C)C2C)C1(C)C")</f>
        <v>CC1=C(c2cccc(CN(Cc3ccccn3)C3CCCCC3N(C)Cc3nc(C)c(C)c(C)c3C)n2)CCC2(C(C)C=CC(C)C2C)C1(C)C</v>
      </c>
      <c r="C3933" s="7">
        <f>IFERROR(__xludf.DUMMYFUNCTION("""COMPUTED_VALUE"""),7.798468)</f>
        <v>7.798468</v>
      </c>
      <c r="D3933" s="7">
        <f>IFERROR(__xludf.DUMMYFUNCTION("""COMPUTED_VALUE"""),0.386666666666666)</f>
        <v>0.3866666667</v>
      </c>
    </row>
    <row r="3934">
      <c r="A3934" s="10" t="s">
        <v>5373</v>
      </c>
      <c r="B3934" s="7" t="str">
        <f>IFERROR(__xludf.DUMMYFUNCTION("SPLIT(A3934,"" "")"),"CCOC(=O)c1ncccc1CN1CCN(C)CCN(Cc2cccc(C(C)NCc3ccccn3)n2)CC1")</f>
        <v>CCOC(=O)c1ncccc1CN1CCN(C)CCN(Cc2cccc(C(C)NCc3ccccn3)n2)CC1</v>
      </c>
      <c r="C3934" s="7">
        <f>IFERROR(__xludf.DUMMYFUNCTION("""COMPUTED_VALUE"""),7.798467)</f>
        <v>7.798467</v>
      </c>
      <c r="D3934" s="7">
        <f>IFERROR(__xludf.DUMMYFUNCTION("""COMPUTED_VALUE"""),0.450704225352112)</f>
        <v>0.4507042254</v>
      </c>
    </row>
    <row r="3935">
      <c r="A3935" s="10" t="s">
        <v>5374</v>
      </c>
      <c r="B3935" s="7" t="str">
        <f>IFERROR(__xludf.DUMMYFUNCTION("SPLIT(A3935,"" "")"),"Cc1cccc(CN(C)C2CCCC(N(Cc3ccccn3)Cc3cccnc3CNC(C)C)C2)n1")</f>
        <v>Cc1cccc(CN(C)C2CCCC(N(Cc3ccccn3)Cc3cccnc3CNC(C)C)C2)n1</v>
      </c>
      <c r="C3935" s="7">
        <f>IFERROR(__xludf.DUMMYFUNCTION("""COMPUTED_VALUE"""),7.7984605)</f>
        <v>7.7984605</v>
      </c>
      <c r="D3935" s="7">
        <f>IFERROR(__xludf.DUMMYFUNCTION("""COMPUTED_VALUE"""),0.40625)</f>
        <v>0.40625</v>
      </c>
    </row>
    <row r="3936">
      <c r="A3936" s="10" t="s">
        <v>5375</v>
      </c>
      <c r="B3936" s="7" t="str">
        <f>IFERROR(__xludf.DUMMYFUNCTION("SPLIT(A3936,"" "")"),"CC1=CC(C)CC(C)(C)C1N(C)Cc1ccccn1")</f>
        <v>CC1=CC(C)CC(C)(C)C1N(C)Cc1ccccn1</v>
      </c>
      <c r="C3936" s="7">
        <f>IFERROR(__xludf.DUMMYFUNCTION("""COMPUTED_VALUE"""),7.7984533)</f>
        <v>7.7984533</v>
      </c>
      <c r="D3936" s="7">
        <f>IFERROR(__xludf.DUMMYFUNCTION("""COMPUTED_VALUE"""),0.489361702127659)</f>
        <v>0.4893617021</v>
      </c>
    </row>
    <row r="3937">
      <c r="A3937" s="10" t="s">
        <v>5376</v>
      </c>
      <c r="B3937" s="7" t="str">
        <f>IFERROR(__xludf.DUMMYFUNCTION("SPLIT(A3937,"" "")"),"CC1=CCC(C)C(c2cccc(CN(Cc3ccccn3)C3CCC(N(C)Cc4nccc(C)c4C)CC3)n2)C1C")</f>
        <v>CC1=CCC(C)C(c2cccc(CN(Cc3ccccn3)C3CCC(N(C)Cc4nccc(C)c4C)CC3)n2)C1C</v>
      </c>
      <c r="C3937" s="7">
        <f>IFERROR(__xludf.DUMMYFUNCTION("""COMPUTED_VALUE"""),7.798449)</f>
        <v>7.798449</v>
      </c>
      <c r="D3937" s="7">
        <f>IFERROR(__xludf.DUMMYFUNCTION("""COMPUTED_VALUE"""),0.338235294117647)</f>
        <v>0.3382352941</v>
      </c>
    </row>
    <row r="3938">
      <c r="A3938" s="10" t="s">
        <v>5377</v>
      </c>
      <c r="B3938" s="7" t="str">
        <f>IFERROR(__xludf.DUMMYFUNCTION("SPLIT(A3938,"" "")"),"CC1C=CCC(C)C1(C)c1cc(CN(Cc2ccccn2)Cc2cc(-c3ccc4c(c3)OCCOCCOCCOCCOCCO4)ccn2)ccn1")</f>
        <v>CC1C=CCC(C)C1(C)c1cc(CN(Cc2ccccn2)Cc2cc(-c3ccc4c(c3)OCCOCCOCCOCCOCCO4)ccn2)ccn1</v>
      </c>
      <c r="C3938" s="7">
        <f>IFERROR(__xludf.DUMMYFUNCTION("""COMPUTED_VALUE"""),7.7984486)</f>
        <v>7.7984486</v>
      </c>
      <c r="D3938" s="7">
        <f>IFERROR(__xludf.DUMMYFUNCTION("""COMPUTED_VALUE"""),0.305882352941176)</f>
        <v>0.3058823529</v>
      </c>
    </row>
    <row r="3939">
      <c r="A3939" s="10" t="s">
        <v>5378</v>
      </c>
      <c r="B3939" s="7" t="str">
        <f>IFERROR(__xludf.DUMMYFUNCTION("SPLIT(A3939,"" "")"),"Cc1cnc(CN(C)CCN(Cc2ccccn2)C2CCCC(N(C)Cc3ccon3)C2)c(C)c1")</f>
        <v>Cc1cnc(CN(C)CCN(Cc2ccccn2)C2CCCC(N(C)Cc3ccon3)C2)c(C)c1</v>
      </c>
      <c r="C3939" s="7">
        <f>IFERROR(__xludf.DUMMYFUNCTION("""COMPUTED_VALUE"""),7.798447)</f>
        <v>7.798447</v>
      </c>
      <c r="D3939" s="7">
        <f>IFERROR(__xludf.DUMMYFUNCTION("""COMPUTED_VALUE"""),0.373134328358209)</f>
        <v>0.3731343284</v>
      </c>
    </row>
    <row r="3940">
      <c r="A3940" s="10" t="s">
        <v>5379</v>
      </c>
      <c r="B3940" s="7" t="str">
        <f>IFERROR(__xludf.DUMMYFUNCTION("SPLIT(A3940,"" "")"),"CCN(Cc1cc(C)ccn1)C1CCCC(N(C)Cc2nc(C)c(C)c(C)c2C)C1")</f>
        <v>CCN(Cc1cc(C)ccn1)C1CCCC(N(C)Cc2nc(C)c(C)c(C)c2C)C1</v>
      </c>
      <c r="C3940" s="7">
        <f>IFERROR(__xludf.DUMMYFUNCTION("""COMPUTED_VALUE"""),7.798441)</f>
        <v>7.798441</v>
      </c>
      <c r="D3940" s="7">
        <f>IFERROR(__xludf.DUMMYFUNCTION("""COMPUTED_VALUE"""),0.290322580645161)</f>
        <v>0.2903225806</v>
      </c>
    </row>
    <row r="3941">
      <c r="A3941" s="10" t="s">
        <v>5380</v>
      </c>
      <c r="B3941" s="7" t="str">
        <f>IFERROR(__xludf.DUMMYFUNCTION("SPLIT(A3941,"" "")"),"CNC1C=CC(Cl)=CN1")</f>
        <v>CNC1C=CC(Cl)=CN1</v>
      </c>
      <c r="C3941" s="7">
        <f>IFERROR(__xludf.DUMMYFUNCTION("""COMPUTED_VALUE"""),7.7984266)</f>
        <v>7.7984266</v>
      </c>
      <c r="D3941" s="7">
        <f>IFERROR(__xludf.DUMMYFUNCTION("""COMPUTED_VALUE"""),0.117647058823529)</f>
        <v>0.1176470588</v>
      </c>
    </row>
    <row r="3942">
      <c r="A3942" s="10" t="s">
        <v>5381</v>
      </c>
      <c r="B3942" s="7" t="str">
        <f>IFERROR(__xludf.DUMMYFUNCTION("SPLIT(A3942,"" "")"),"Cc1cncc(CN(Cc2ccccn2)C2CCCC(N(C)Cc3ccncc3C)C2)c1")</f>
        <v>Cc1cncc(CN(Cc2ccccn2)C2CCCC(N(C)Cc3ccncc3C)C2)c1</v>
      </c>
      <c r="C3942" s="7">
        <f>IFERROR(__xludf.DUMMYFUNCTION("""COMPUTED_VALUE"""),7.79842)</f>
        <v>7.79842</v>
      </c>
      <c r="D3942" s="7">
        <f>IFERROR(__xludf.DUMMYFUNCTION("""COMPUTED_VALUE"""),0.387096774193548)</f>
        <v>0.3870967742</v>
      </c>
    </row>
    <row r="3943">
      <c r="A3943" s="10" t="s">
        <v>5382</v>
      </c>
      <c r="B3943" s="7" t="str">
        <f>IFERROR(__xludf.DUMMYFUNCTION("SPLIT(A3943,"" "")"),"CN(Cc1ccc(N)cn1)Cc1ncccc1-c1ccc2c(c1)OCCOCCOCCOCCOCCO2")</f>
        <v>CN(Cc1ccc(N)cn1)Cc1ncccc1-c1ccc2c(c1)OCCOCCOCCOCCOCCO2</v>
      </c>
      <c r="C3943" s="7">
        <f>IFERROR(__xludf.DUMMYFUNCTION("""COMPUTED_VALUE"""),7.7984123)</f>
        <v>7.7984123</v>
      </c>
      <c r="D3943" s="7">
        <f>IFERROR(__xludf.DUMMYFUNCTION("""COMPUTED_VALUE"""),0.385714285714285)</f>
        <v>0.3857142857</v>
      </c>
    </row>
    <row r="3944">
      <c r="A3944" s="10" t="s">
        <v>5383</v>
      </c>
      <c r="B3944" s="7" t="str">
        <f>IFERROR(__xludf.DUMMYFUNCTION("SPLIT(A3944,"" "")"),"CC1C=CNC(CN(C)CCN(C)Cc2ccccn2)=C1")</f>
        <v>CC1C=CNC(CN(C)CCN(C)Cc2ccccn2)=C1</v>
      </c>
      <c r="C3944" s="7">
        <f>IFERROR(__xludf.DUMMYFUNCTION("""COMPUTED_VALUE"""),7.798402)</f>
        <v>7.798402</v>
      </c>
      <c r="D3944" s="7">
        <f>IFERROR(__xludf.DUMMYFUNCTION("""COMPUTED_VALUE"""),0.428571428571428)</f>
        <v>0.4285714286</v>
      </c>
    </row>
    <row r="3945">
      <c r="A3945" s="10" t="s">
        <v>5384</v>
      </c>
      <c r="B3945" s="7" t="str">
        <f>IFERROR(__xludf.DUMMYFUNCTION("SPLIT(A3945,"" "")"),"CNCc1cccc(CN(Cc2ccccn2)C2(C)CCC2)n1")</f>
        <v>CNCc1cccc(CN(Cc2ccccn2)C2(C)CCC2)n1</v>
      </c>
      <c r="C3945" s="7">
        <f>IFERROR(__xludf.DUMMYFUNCTION("""COMPUTED_VALUE"""),7.7983947)</f>
        <v>7.7983947</v>
      </c>
      <c r="D3945" s="7">
        <f>IFERROR(__xludf.DUMMYFUNCTION("""COMPUTED_VALUE"""),0.411764705882352)</f>
        <v>0.4117647059</v>
      </c>
    </row>
    <row r="3946">
      <c r="A3946" s="10" t="s">
        <v>5385</v>
      </c>
      <c r="B3946" s="7" t="str">
        <f>IFERROR(__xludf.DUMMYFUNCTION("SPLIT(A3946,"" "")"),"CC(C)N(C)CN(Cc1ccccn1)C(C)(N)N(C(C)C)C(C)C")</f>
        <v>CC(C)N(C)CN(Cc1ccccn1)C(C)(N)N(C(C)C)C(C)C</v>
      </c>
      <c r="C3946" s="7">
        <f>IFERROR(__xludf.DUMMYFUNCTION("""COMPUTED_VALUE"""),7.7983828)</f>
        <v>7.7983828</v>
      </c>
      <c r="D3946" s="7">
        <f>IFERROR(__xludf.DUMMYFUNCTION("""COMPUTED_VALUE"""),0.466666666666666)</f>
        <v>0.4666666667</v>
      </c>
    </row>
    <row r="3947">
      <c r="A3947" s="10" t="s">
        <v>5386</v>
      </c>
      <c r="B3947" s="7" t="str">
        <f>IFERROR(__xludf.DUMMYFUNCTION("SPLIT(A3947,"" "")"),"CN(CCN(C)c1cccc2nc(CF)ccc12)Cc1cccc2c1OCCOCCOCCOCCOCCO2")</f>
        <v>CN(CCN(C)c1cccc2nc(CF)ccc12)Cc1cccc2c1OCCOCCOCCOCCOCCO2</v>
      </c>
      <c r="C3947" s="7">
        <f>IFERROR(__xludf.DUMMYFUNCTION("""COMPUTED_VALUE"""),7.798362)</f>
        <v>7.798362</v>
      </c>
      <c r="D3947" s="7">
        <f>IFERROR(__xludf.DUMMYFUNCTION("""COMPUTED_VALUE"""),0.3125)</f>
        <v>0.3125</v>
      </c>
    </row>
    <row r="3948">
      <c r="A3948" s="10" t="s">
        <v>5387</v>
      </c>
      <c r="B3948" s="7" t="str">
        <f>IFERROR(__xludf.DUMMYFUNCTION("SPLIT(A3948,"" "")"),"CC(C)N(CCN(C)Cc1cccnc1)Cc1cccnc1")</f>
        <v>CC(C)N(CCN(C)Cc1cccnc1)Cc1cccnc1</v>
      </c>
      <c r="C3948" s="7">
        <f>IFERROR(__xludf.DUMMYFUNCTION("""COMPUTED_VALUE"""),7.7983613)</f>
        <v>7.7983613</v>
      </c>
      <c r="D3948" s="7">
        <f>IFERROR(__xludf.DUMMYFUNCTION("""COMPUTED_VALUE"""),0.428571428571428)</f>
        <v>0.4285714286</v>
      </c>
    </row>
    <row r="3949">
      <c r="A3949" s="10" t="s">
        <v>5388</v>
      </c>
      <c r="B3949" s="7" t="str">
        <f>IFERROR(__xludf.DUMMYFUNCTION("SPLIT(A3949,"" "")"),"CC(C)NCc1ccc(-c2cc(NCc3ccccn3)c3c(c2)OCCOCCOCCOCCOCCO3)cn1")</f>
        <v>CC(C)NCc1ccc(-c2cc(NCc3ccccn3)c3c(c2)OCCOCCOCCOCCOCCO3)cn1</v>
      </c>
      <c r="C3949" s="7">
        <f>IFERROR(__xludf.DUMMYFUNCTION("""COMPUTED_VALUE"""),7.7983594)</f>
        <v>7.7983594</v>
      </c>
      <c r="D3949" s="7">
        <f>IFERROR(__xludf.DUMMYFUNCTION("""COMPUTED_VALUE"""),0.375)</f>
        <v>0.375</v>
      </c>
    </row>
    <row r="3950">
      <c r="A3950" s="10" t="s">
        <v>5389</v>
      </c>
      <c r="B3950" s="7" t="str">
        <f>IFERROR(__xludf.DUMMYFUNCTION("SPLIT(A3950,"" "")"),"CNC1OCCOCCOCCOCCOCCOC1N(Cc1ccccn1)Cc1ccc2cccc(N(C)CCN(C)Cc3nc(C)c(C)c(C)c3C)c2n1")</f>
        <v>CNC1OCCOCCOCCOCCOCCOC1N(Cc1ccccn1)Cc1ccc2cccc(N(C)CCN(C)Cc3nc(C)c(C)c(C)c3C)c2n1</v>
      </c>
      <c r="C3950" s="7">
        <f>IFERROR(__xludf.DUMMYFUNCTION("""COMPUTED_VALUE"""),7.798343)</f>
        <v>7.798343</v>
      </c>
      <c r="D3950" s="7">
        <f>IFERROR(__xludf.DUMMYFUNCTION("""COMPUTED_VALUE"""),0.32)</f>
        <v>0.32</v>
      </c>
    </row>
    <row r="3951">
      <c r="A3951" s="10" t="s">
        <v>5390</v>
      </c>
      <c r="B3951" s="7" t="str">
        <f>IFERROR(__xludf.DUMMYFUNCTION("SPLIT(A3951,"" "")"),"c1ccc(CN(Cc2ccccn2)Cc2cc(-c3ccc4c(c3)OCCOCCOCCOCCOCCO4)ccn2)nc1")</f>
        <v>c1ccc(CN(Cc2ccccn2)Cc2cc(-c3ccc4c(c3)OCCOCCOCCOCCOCCO4)ccn2)nc1</v>
      </c>
      <c r="C3951" s="7">
        <f>IFERROR(__xludf.DUMMYFUNCTION("""COMPUTED_VALUE"""),7.798339)</f>
        <v>7.798339</v>
      </c>
      <c r="D3951" s="7">
        <f>IFERROR(__xludf.DUMMYFUNCTION("""COMPUTED_VALUE"""),0.476190476190476)</f>
        <v>0.4761904762</v>
      </c>
    </row>
    <row r="3952">
      <c r="A3952" s="10" t="s">
        <v>5391</v>
      </c>
      <c r="B3952" s="7" t="str">
        <f>IFERROR(__xludf.DUMMYFUNCTION("SPLIT(A3952,"" "")"),"CN(Cc1cccc(-c2ccc3c(c2)OCCOCCOCCOCCOCCO3)n1)Cc1cccc(C(C)(C)C)n1")</f>
        <v>CN(Cc1cccc(-c2ccc3c(c2)OCCOCCOCCOCCOCCO3)n1)Cc1cccc(C(C)(C)C)n1</v>
      </c>
      <c r="C3952" s="7">
        <f>IFERROR(__xludf.DUMMYFUNCTION("""COMPUTED_VALUE"""),7.798329)</f>
        <v>7.798329</v>
      </c>
      <c r="D3952" s="7">
        <f>IFERROR(__xludf.DUMMYFUNCTION("""COMPUTED_VALUE"""),0.362068965517241)</f>
        <v>0.3620689655</v>
      </c>
    </row>
    <row r="3953">
      <c r="A3953" s="10" t="s">
        <v>5392</v>
      </c>
      <c r="B3953" s="7" t="str">
        <f>IFERROR(__xludf.DUMMYFUNCTION("SPLIT(A3953,"" "")"),"CCCN(Cc1ccccn1)C1=CCC(C)C(C)C1C1=NC(C)(C)CO1")</f>
        <v>CCCN(Cc1ccccn1)C1=CCC(C)C(C)C1C1=NC(C)(C)CO1</v>
      </c>
      <c r="C3953" s="7">
        <f>IFERROR(__xludf.DUMMYFUNCTION("""COMPUTED_VALUE"""),7.7983274)</f>
        <v>7.7983274</v>
      </c>
      <c r="D3953" s="7">
        <f>IFERROR(__xludf.DUMMYFUNCTION("""COMPUTED_VALUE"""),0.317460317460317)</f>
        <v>0.3174603175</v>
      </c>
    </row>
    <row r="3954">
      <c r="A3954" s="10" t="s">
        <v>5393</v>
      </c>
      <c r="B3954" s="7" t="str">
        <f>IFERROR(__xludf.DUMMYFUNCTION("SPLIT(A3954,"" "")"),"CN(Cc1cc(-c2ccccn2)ccn1)C1CCC(N(C)Cc2cccc(-c3ccc4c(c3)OCCOCCOCCOCCOCCO4)n2)CC1")</f>
        <v>CN(Cc1cc(-c2ccccn2)ccn1)C1CCC(N(C)Cc2cccc(-c3ccc4c(c3)OCCOCCOCCOCCOCCO4)n2)CC1</v>
      </c>
      <c r="C3954" s="7">
        <f>IFERROR(__xludf.DUMMYFUNCTION("""COMPUTED_VALUE"""),7.7983255)</f>
        <v>7.7983255</v>
      </c>
      <c r="D3954" s="7">
        <f>IFERROR(__xludf.DUMMYFUNCTION("""COMPUTED_VALUE"""),0.396825396825396)</f>
        <v>0.3968253968</v>
      </c>
    </row>
    <row r="3955">
      <c r="A3955" s="10" t="s">
        <v>5394</v>
      </c>
      <c r="B3955" s="7" t="str">
        <f>IFERROR(__xludf.DUMMYFUNCTION("SPLIT(A3955,"" "")"),"Cc1ccnc(CN(C)C2CCC(N(C)Cc3nc(C)c(C)c(C)c3C)CC2)c1")</f>
        <v>Cc1ccnc(CN(C)C2CCC(N(C)Cc3nc(C)c(C)c(C)c3C)CC2)c1</v>
      </c>
      <c r="C3955" s="7">
        <f>IFERROR(__xludf.DUMMYFUNCTION("""COMPUTED_VALUE"""),7.798319)</f>
        <v>7.798319</v>
      </c>
      <c r="D3955" s="7">
        <f>IFERROR(__xludf.DUMMYFUNCTION("""COMPUTED_VALUE"""),0.339622641509433)</f>
        <v>0.3396226415</v>
      </c>
    </row>
    <row r="3956">
      <c r="A3956" s="10" t="s">
        <v>5395</v>
      </c>
      <c r="B3956" s="7" t="str">
        <f>IFERROR(__xludf.DUMMYFUNCTION("SPLIT(A3956,"" "")"),"CC(N)C(C)N(C)Cc1ncccc1C(C)(C)C")</f>
        <v>CC(N)C(C)N(C)Cc1ncccc1C(C)(C)C</v>
      </c>
      <c r="C3956" s="7">
        <f>IFERROR(__xludf.DUMMYFUNCTION("""COMPUTED_VALUE"""),7.7983055)</f>
        <v>7.7983055</v>
      </c>
      <c r="D3956" s="7">
        <f>IFERROR(__xludf.DUMMYFUNCTION("""COMPUTED_VALUE"""),0.291666666666666)</f>
        <v>0.2916666667</v>
      </c>
    </row>
    <row r="3957">
      <c r="A3957" s="10" t="s">
        <v>5396</v>
      </c>
      <c r="B3957" s="7" t="str">
        <f>IFERROR(__xludf.DUMMYFUNCTION("SPLIT(A3957,"" "")"),"CC1=CC(C)C(N(Cc2ccccn2)Cc2ccccn2)CC1C")</f>
        <v>CC1=CC(C)C(N(Cc2ccccn2)Cc2ccccn2)CC1C</v>
      </c>
      <c r="C3957" s="7">
        <f>IFERROR(__xludf.DUMMYFUNCTION("""COMPUTED_VALUE"""),7.7983055)</f>
        <v>7.7983055</v>
      </c>
      <c r="D3957" s="7">
        <f>IFERROR(__xludf.DUMMYFUNCTION("""COMPUTED_VALUE"""),0.456521739130434)</f>
        <v>0.4565217391</v>
      </c>
    </row>
    <row r="3958">
      <c r="A3958" s="10" t="s">
        <v>5397</v>
      </c>
      <c r="B3958" s="7" t="str">
        <f>IFERROR(__xludf.DUMMYFUNCTION("SPLIT(A3958,"" "")"),"CC1C=CC(N(C)Cc2cccc(C(C)(C)c3ccccn3)n2)C(C)C1(C)C")</f>
        <v>CC1C=CC(N(C)Cc2cccc(C(C)(C)c3ccccn3)n2)C(C)C1(C)C</v>
      </c>
      <c r="C3958" s="7">
        <f>IFERROR(__xludf.DUMMYFUNCTION("""COMPUTED_VALUE"""),7.798304)</f>
        <v>7.798304</v>
      </c>
      <c r="D3958" s="7">
        <f>IFERROR(__xludf.DUMMYFUNCTION("""COMPUTED_VALUE"""),0.350877192982456)</f>
        <v>0.350877193</v>
      </c>
    </row>
    <row r="3959">
      <c r="A3959" s="10" t="s">
        <v>5398</v>
      </c>
      <c r="B3959" s="7" t="str">
        <f>IFERROR(__xludf.DUMMYFUNCTION("SPLIT(A3959,"" "")"),"CN(Cc1ccc(-c2ccc3c(c2)OCCOCCOCCOCCOCCO3)cn1)C1CCC(N(C)Cc2cccc(-c3ccccn3)n2)CC1")</f>
        <v>CN(Cc1ccc(-c2ccc3c(c2)OCCOCCOCCOCCOCCO3)cn1)C1CCC(N(C)Cc2cccc(-c3ccccn3)n2)CC1</v>
      </c>
      <c r="C3959" s="7">
        <f>IFERROR(__xludf.DUMMYFUNCTION("""COMPUTED_VALUE"""),7.798303)</f>
        <v>7.798303</v>
      </c>
      <c r="D3959" s="7">
        <f>IFERROR(__xludf.DUMMYFUNCTION("""COMPUTED_VALUE"""),0.457142857142857)</f>
        <v>0.4571428571</v>
      </c>
    </row>
    <row r="3960">
      <c r="A3960" s="10" t="s">
        <v>5399</v>
      </c>
      <c r="B3960" s="7" t="str">
        <f>IFERROR(__xludf.DUMMYFUNCTION("SPLIT(A3960,"" "")"),"CCNc1cccnn1")</f>
        <v>CCNc1cccnn1</v>
      </c>
      <c r="C3960" s="7">
        <f>IFERROR(__xludf.DUMMYFUNCTION("""COMPUTED_VALUE"""),7.798296)</f>
        <v>7.798296</v>
      </c>
      <c r="D3960" s="7">
        <f>IFERROR(__xludf.DUMMYFUNCTION("""COMPUTED_VALUE"""),0.371428571428571)</f>
        <v>0.3714285714</v>
      </c>
    </row>
    <row r="3961">
      <c r="A3961" s="10" t="s">
        <v>5400</v>
      </c>
      <c r="B3961" s="7" t="str">
        <f>IFERROR(__xludf.DUMMYFUNCTION("SPLIT(A3961,"" "")"),"CN(C1=CCC=CN1)C1CCCC(N(Cc2ccccn2)Cc2ccccn2)C1")</f>
        <v>CN(C1=CCC=CN1)C1CCCC(N(Cc2ccccn2)Cc2ccccn2)C1</v>
      </c>
      <c r="C3961" s="7">
        <f>IFERROR(__xludf.DUMMYFUNCTION("""COMPUTED_VALUE"""),7.7982893)</f>
        <v>7.7982893</v>
      </c>
      <c r="D3961" s="7">
        <f>IFERROR(__xludf.DUMMYFUNCTION("""COMPUTED_VALUE"""),0.49090909090909)</f>
        <v>0.4909090909</v>
      </c>
    </row>
    <row r="3962">
      <c r="A3962" s="10" t="s">
        <v>5401</v>
      </c>
      <c r="B3962" s="7" t="str">
        <f>IFERROR(__xludf.DUMMYFUNCTION("SPLIT(A3962,"" "")"),"Cc1cccc(C)c1CN(C)Cc1cc(-c2ccc3c(c2)OCCOCCOCCOCCOCCO3)ccn1")</f>
        <v>Cc1cccc(C)c1CN(C)Cc1cc(-c2ccc3c(c2)OCCOCCOCCOCCOCCO3)ccn1</v>
      </c>
      <c r="C3962" s="7">
        <f>IFERROR(__xludf.DUMMYFUNCTION("""COMPUTED_VALUE"""),7.7982726)</f>
        <v>7.7982726</v>
      </c>
      <c r="D3962" s="7">
        <f>IFERROR(__xludf.DUMMYFUNCTION("""COMPUTED_VALUE"""),0.378787878787878)</f>
        <v>0.3787878788</v>
      </c>
    </row>
    <row r="3963">
      <c r="A3963" s="10" t="s">
        <v>5402</v>
      </c>
      <c r="B3963" s="7" t="str">
        <f>IFERROR(__xludf.DUMMYFUNCTION("SPLIT(A3963,"" "")"),"CC(C)C(C)N(Cc1ncccc1-c1cccc2c1OCCOCCOCCOCCOCCO2)Cc1ncccc1C(C)(C)c1ccccn1")</f>
        <v>CC(C)C(C)N(Cc1ncccc1-c1cccc2c1OCCOCCOCCOCCOCCO2)Cc1ncccc1C(C)(C)c1ccccn1</v>
      </c>
      <c r="C3963" s="7">
        <f>IFERROR(__xludf.DUMMYFUNCTION("""COMPUTED_VALUE"""),7.798271)</f>
        <v>7.798271</v>
      </c>
      <c r="D3963" s="7">
        <f>IFERROR(__xludf.DUMMYFUNCTION("""COMPUTED_VALUE"""),0.264705882352941)</f>
        <v>0.2647058824</v>
      </c>
    </row>
    <row r="3964">
      <c r="A3964" s="10" t="s">
        <v>5403</v>
      </c>
      <c r="B3964" s="7" t="str">
        <f>IFERROR(__xludf.DUMMYFUNCTION("SPLIT(A3964,"" "")"),"Cc1cncc(CN(C)C2CCC(N(Cc3ccccn3)Cc3ncccc3C)CC2)c1")</f>
        <v>Cc1cncc(CN(C)C2CCC(N(Cc3ccccn3)Cc3ncccc3C)CC2)c1</v>
      </c>
      <c r="C3964" s="7">
        <f>IFERROR(__xludf.DUMMYFUNCTION("""COMPUTED_VALUE"""),7.7982674)</f>
        <v>7.7982674</v>
      </c>
      <c r="D3964" s="7">
        <f>IFERROR(__xludf.DUMMYFUNCTION("""COMPUTED_VALUE"""),0.389830508474576)</f>
        <v>0.3898305085</v>
      </c>
    </row>
    <row r="3965">
      <c r="A3965" s="10" t="s">
        <v>5404</v>
      </c>
      <c r="B3965" s="7" t="str">
        <f>IFERROR(__xludf.DUMMYFUNCTION("SPLIT(A3965,"" "")"),"CN(Cc1ccccn1)C1=CCC=C(CN(Cc2ccccn2)c2cccc3c2OCCOCCOCCOCCOCCO3)N1")</f>
        <v>CN(Cc1ccccn1)C1=CCC=C(CN(Cc2ccccn2)c2cccc3c2OCCOCCOCCOCCOCCO3)N1</v>
      </c>
      <c r="C3965" s="7">
        <f>IFERROR(__xludf.DUMMYFUNCTION("""COMPUTED_VALUE"""),7.7982593)</f>
        <v>7.7982593</v>
      </c>
      <c r="D3965" s="7">
        <f>IFERROR(__xludf.DUMMYFUNCTION("""COMPUTED_VALUE"""),0.34375)</f>
        <v>0.34375</v>
      </c>
    </row>
    <row r="3966">
      <c r="A3966" s="10" t="s">
        <v>5405</v>
      </c>
      <c r="B3966" s="7" t="str">
        <f>IFERROR(__xludf.DUMMYFUNCTION("SPLIT(A3966,"" "")"),"CC1=C(CN(C)C2CCC(N(C)Cc3ccccn3)CC2N(Cc2ccccn2)Cc2nc(C)c(C)c(C)c2C)CC(C)CC1C")</f>
        <v>CC1=C(CN(C)C2CCC(N(C)Cc3ccccn3)CC2N(Cc2ccccn2)Cc2nc(C)c(C)c(C)c2C)CC(C)CC1C</v>
      </c>
      <c r="C3966" s="7">
        <f>IFERROR(__xludf.DUMMYFUNCTION("""COMPUTED_VALUE"""),7.7982473)</f>
        <v>7.7982473</v>
      </c>
      <c r="D3966" s="7">
        <f>IFERROR(__xludf.DUMMYFUNCTION("""COMPUTED_VALUE"""),0.409090909090909)</f>
        <v>0.4090909091</v>
      </c>
    </row>
    <row r="3967">
      <c r="A3967" s="10" t="s">
        <v>5406</v>
      </c>
      <c r="B3967" s="7" t="str">
        <f>IFERROR(__xludf.DUMMYFUNCTION("SPLIT(A3967,"" "")"),"Cc1cc(CN(Cc2ccccn2)C2CCC(N(C)Cc3cccc(F)n3)CC2)ccn1")</f>
        <v>Cc1cc(CN(Cc2ccccn2)C2CCC(N(C)Cc3cccc(F)n3)CC2)ccn1</v>
      </c>
      <c r="C3967" s="7">
        <f>IFERROR(__xludf.DUMMYFUNCTION("""COMPUTED_VALUE"""),7.7982426)</f>
        <v>7.7982426</v>
      </c>
      <c r="D3967" s="7">
        <f>IFERROR(__xludf.DUMMYFUNCTION("""COMPUTED_VALUE"""),0.413793103448275)</f>
        <v>0.4137931034</v>
      </c>
    </row>
    <row r="3968">
      <c r="A3968" s="10" t="s">
        <v>5407</v>
      </c>
      <c r="B3968" s="7" t="str">
        <f>IFERROR(__xludf.DUMMYFUNCTION("SPLIT(A3968,"" "")"),"CC1(C)CCC1C1=CNC=CC1CN(Cc1ccccn1)Cc1ccccn1")</f>
        <v>CC1(C)CCC1C1=CNC=CC1CN(Cc1ccccn1)Cc1ccccn1</v>
      </c>
      <c r="C3968" s="7">
        <f>IFERROR(__xludf.DUMMYFUNCTION("""COMPUTED_VALUE"""),7.7982416)</f>
        <v>7.7982416</v>
      </c>
      <c r="D3968" s="7">
        <f>IFERROR(__xludf.DUMMYFUNCTION("""COMPUTED_VALUE"""),0.406779661016949)</f>
        <v>0.406779661</v>
      </c>
    </row>
    <row r="3969">
      <c r="A3969" s="10" t="s">
        <v>5408</v>
      </c>
      <c r="B3969" s="7" t="str">
        <f>IFERROR(__xludf.DUMMYFUNCTION("SPLIT(A3969,"" "")"),"Cc1cc(CN(C)C2CCCC(N(Cc3ccnc(CNCF)c3)Cc3ccccn3)C2)nc(C)c1C")</f>
        <v>Cc1cc(CN(C)C2CCCC(N(Cc3ccnc(CNCF)c3)Cc3ccccn3)C2)nc(C)c1C</v>
      </c>
      <c r="C3969" s="7">
        <f>IFERROR(__xludf.DUMMYFUNCTION("""COMPUTED_VALUE"""),7.798232)</f>
        <v>7.798232</v>
      </c>
      <c r="D3969" s="7">
        <f>IFERROR(__xludf.DUMMYFUNCTION("""COMPUTED_VALUE"""),0.373134328358209)</f>
        <v>0.3731343284</v>
      </c>
    </row>
    <row r="3970">
      <c r="A3970" s="10" t="s">
        <v>5409</v>
      </c>
      <c r="B3970" s="7" t="str">
        <f>IFERROR(__xludf.DUMMYFUNCTION("SPLIT(A3970,"" "")"),"CNCc1cccc(CN(C)C2CCCC(N(C)Cc3nc(C)c(C)c(C)c3C)C2)n1")</f>
        <v>CNCc1cccc(CN(C)C2CCCC(N(C)Cc3nc(C)c(C)c(C)c3C)C2)n1</v>
      </c>
      <c r="C3970" s="7">
        <f>IFERROR(__xludf.DUMMYFUNCTION("""COMPUTED_VALUE"""),7.798229)</f>
        <v>7.798229</v>
      </c>
      <c r="D3970" s="7">
        <f>IFERROR(__xludf.DUMMYFUNCTION("""COMPUTED_VALUE"""),0.4)</f>
        <v>0.4</v>
      </c>
    </row>
    <row r="3971">
      <c r="A3971" s="10" t="s">
        <v>5410</v>
      </c>
      <c r="B3971" s="7" t="str">
        <f>IFERROR(__xludf.DUMMYFUNCTION("SPLIT(A3971,"" "")"),"Cc1cccnc1CNCC1CCCN1Cc1ncc(C)c(C)c1C")</f>
        <v>Cc1cccnc1CNCC1CCCN1Cc1ncc(C)c(C)c1C</v>
      </c>
      <c r="C3971" s="7">
        <f>IFERROR(__xludf.DUMMYFUNCTION("""COMPUTED_VALUE"""),7.798229)</f>
        <v>7.798229</v>
      </c>
      <c r="D3971" s="7">
        <f>IFERROR(__xludf.DUMMYFUNCTION("""COMPUTED_VALUE"""),0.375)</f>
        <v>0.375</v>
      </c>
    </row>
    <row r="3972">
      <c r="A3972" s="10" t="s">
        <v>5411</v>
      </c>
      <c r="B3972" s="7" t="str">
        <f>IFERROR(__xludf.DUMMYFUNCTION("SPLIT(A3972,"" "")"),"CC(C)NCc1ncccc1-c1ccc2c(c1NCc1ccccn1)OCCOCCOCCOCCOCCO2")</f>
        <v>CC(C)NCc1ncccc1-c1ccc2c(c1NCc1ccccn1)OCCOCCOCCOCCOCCO2</v>
      </c>
      <c r="C3972" s="7">
        <f>IFERROR(__xludf.DUMMYFUNCTION("""COMPUTED_VALUE"""),7.7982273)</f>
        <v>7.7982273</v>
      </c>
      <c r="D3972" s="7">
        <f>IFERROR(__xludf.DUMMYFUNCTION("""COMPUTED_VALUE"""),0.314285714285714)</f>
        <v>0.3142857143</v>
      </c>
    </row>
    <row r="3973">
      <c r="A3973" s="10" t="s">
        <v>5412</v>
      </c>
      <c r="B3973" s="7" t="str">
        <f>IFERROR(__xludf.DUMMYFUNCTION("SPLIT(A3973,"" "")"),"Cc1cnc(CN(C)C2CCC(N(Cc3ccc(C4CCC4(C)C)nc3)Cc3ccccn3)CC2)c(C)c1")</f>
        <v>Cc1cnc(CN(C)C2CCC(N(Cc3ccc(C4CCC4(C)C)nc3)Cc3ccccn3)CC2)c(C)c1</v>
      </c>
      <c r="C3973" s="7">
        <f>IFERROR(__xludf.DUMMYFUNCTION("""COMPUTED_VALUE"""),7.798211)</f>
        <v>7.798211</v>
      </c>
      <c r="D3973" s="7">
        <f>IFERROR(__xludf.DUMMYFUNCTION("""COMPUTED_VALUE"""),0.333333333333333)</f>
        <v>0.3333333333</v>
      </c>
    </row>
    <row r="3974">
      <c r="A3974" s="10" t="s">
        <v>5413</v>
      </c>
      <c r="B3974" s="7" t="str">
        <f>IFERROR(__xludf.DUMMYFUNCTION("SPLIT(A3974,"" "")"),"CC1=CC(C)CCC1(C)c1cccc(CN(Cc2ccccn2)C2CCC(N(C)Cc3ncccc3C)CC2)n1")</f>
        <v>CC1=CC(C)CCC1(C)c1cccc(CN(Cc2ccccn2)C2CCC(N(C)Cc3ncccc3C)CC2)n1</v>
      </c>
      <c r="C3974" s="7">
        <f>IFERROR(__xludf.DUMMYFUNCTION("""COMPUTED_VALUE"""),7.798207)</f>
        <v>7.798207</v>
      </c>
      <c r="D3974" s="7">
        <f>IFERROR(__xludf.DUMMYFUNCTION("""COMPUTED_VALUE"""),0.338235294117647)</f>
        <v>0.3382352941</v>
      </c>
    </row>
    <row r="3975">
      <c r="A3975" s="10" t="s">
        <v>5414</v>
      </c>
      <c r="B3975" s="7" t="str">
        <f>IFERROR(__xludf.DUMMYFUNCTION("SPLIT(A3975,"" "")"),"CN(C)CC1=C(N(C)Cc2ccc(-c3ccc4c(c3)OCCOCCOCCOCCOCCO4)cn2)CC=CN1")</f>
        <v>CN(C)CC1=C(N(C)Cc2ccc(-c3ccc4c(c3)OCCOCCOCCOCCOCCO4)cn2)CC=CN1</v>
      </c>
      <c r="C3975" s="7">
        <f>IFERROR(__xludf.DUMMYFUNCTION("""COMPUTED_VALUE"""),7.798193)</f>
        <v>7.798193</v>
      </c>
      <c r="D3975" s="7">
        <f>IFERROR(__xludf.DUMMYFUNCTION("""COMPUTED_VALUE"""),0.441176470588235)</f>
        <v>0.4411764706</v>
      </c>
    </row>
    <row r="3976">
      <c r="A3976" s="10" t="s">
        <v>5415</v>
      </c>
      <c r="B3976" s="7" t="str">
        <f>IFERROR(__xludf.DUMMYFUNCTION("SPLIT(A3976,"" "")"),"C=CCN(C)Cc1cccc(CN(Cc2ccccn2)C2CCCC(N(C)Cc3cccc(C)n3)C2)n1")</f>
        <v>C=CCN(C)Cc1cccc(CN(Cc2ccccn2)C2CCCC(N(C)Cc3cccc(C)n3)C2)n1</v>
      </c>
      <c r="C3976" s="7">
        <f>IFERROR(__xludf.DUMMYFUNCTION("""COMPUTED_VALUE"""),7.798189)</f>
        <v>7.798189</v>
      </c>
      <c r="D3976" s="7">
        <f>IFERROR(__xludf.DUMMYFUNCTION("""COMPUTED_VALUE"""),0.440677966101694)</f>
        <v>0.4406779661</v>
      </c>
    </row>
    <row r="3977">
      <c r="A3977" s="10" t="s">
        <v>5416</v>
      </c>
      <c r="B3977" s="7" t="str">
        <f>IFERROR(__xludf.DUMMYFUNCTION("SPLIT(A3977,"" "")"),"Cc1cccnc1CN(C)Cc1ncccc1-c1ccc2c(c1)OCCOCCOCCOCCOCCO2")</f>
        <v>Cc1cccnc1CN(C)Cc1ncccc1-c1ccc2c(c1)OCCOCCOCCOCCOCCO2</v>
      </c>
      <c r="C3977" s="7">
        <f>IFERROR(__xludf.DUMMYFUNCTION("""COMPUTED_VALUE"""),7.7981863)</f>
        <v>7.7981863</v>
      </c>
      <c r="D3977" s="7">
        <f>IFERROR(__xludf.DUMMYFUNCTION("""COMPUTED_VALUE"""),0.343283582089552)</f>
        <v>0.3432835821</v>
      </c>
    </row>
    <row r="3978">
      <c r="A3978" s="10" t="s">
        <v>5417</v>
      </c>
      <c r="B3978" s="7" t="str">
        <f>IFERROR(__xludf.DUMMYFUNCTION("SPLIT(A3978,"" "")"),"Cc1nc(CN(C)C2CCC(N(C)Cc3cccc(CN(C)C(C)C)n3)CC2)c(C)c(C)c1C")</f>
        <v>Cc1nc(CN(C)C2CCC(N(C)Cc3cccc(CN(C)C(C)C)n3)CC2)c(C)c(C)c1C</v>
      </c>
      <c r="C3978" s="7">
        <f>IFERROR(__xludf.DUMMYFUNCTION("""COMPUTED_VALUE"""),7.798176)</f>
        <v>7.798176</v>
      </c>
      <c r="D3978" s="7">
        <f>IFERROR(__xludf.DUMMYFUNCTION("""COMPUTED_VALUE"""),0.396226415094339)</f>
        <v>0.3962264151</v>
      </c>
    </row>
    <row r="3979">
      <c r="A3979" s="10" t="s">
        <v>5418</v>
      </c>
      <c r="B3979" s="7" t="str">
        <f>IFERROR(__xludf.DUMMYFUNCTION("SPLIT(A3979,"" "")"),"Cc1ccc(CN(C)C2CCC(N(C)Cc3ncccc3C)CC2N(Cc2ccccn2)C(C)C)nc1")</f>
        <v>Cc1ccc(CN(C)C2CCC(N(C)Cc3ncccc3C)CC2N(Cc2ccccn2)C(C)C)nc1</v>
      </c>
      <c r="C3979" s="7">
        <f>IFERROR(__xludf.DUMMYFUNCTION("""COMPUTED_VALUE"""),7.798175)</f>
        <v>7.798175</v>
      </c>
      <c r="D3979" s="7">
        <f>IFERROR(__xludf.DUMMYFUNCTION("""COMPUTED_VALUE"""),0.459016393442622)</f>
        <v>0.4590163934</v>
      </c>
    </row>
    <row r="3980">
      <c r="A3980" s="10" t="s">
        <v>5419</v>
      </c>
      <c r="B3980" s="7" t="str">
        <f>IFERROR(__xludf.DUMMYFUNCTION("SPLIT(A3980,"" "")"),"CNCC1CCC(N(C)Cc2cc(C)c(C)c(C)n2)N1C")</f>
        <v>CNCC1CCC(N(C)Cc2cc(C)c(C)c(C)n2)N1C</v>
      </c>
      <c r="C3980" s="7">
        <f>IFERROR(__xludf.DUMMYFUNCTION("""COMPUTED_VALUE"""),7.798168)</f>
        <v>7.798168</v>
      </c>
      <c r="D3980" s="7">
        <f>IFERROR(__xludf.DUMMYFUNCTION("""COMPUTED_VALUE"""),0.275862068965517)</f>
        <v>0.275862069</v>
      </c>
    </row>
    <row r="3981">
      <c r="A3981" s="10" t="s">
        <v>5420</v>
      </c>
      <c r="B3981" s="7" t="str">
        <f>IFERROR(__xludf.DUMMYFUNCTION("SPLIT(A3981,"" "")"),"CN(Cc1cc(-c2cccc3c2OCCOCCOCCOCCOCCO3)ccn1)Cc1cc(C(C)(C)C)ccn1")</f>
        <v>CN(Cc1cc(-c2cccc3c2OCCOCCOCCOCCOCCO3)ccn1)Cc1cc(C(C)(C)C)ccn1</v>
      </c>
      <c r="C3981" s="7">
        <f>IFERROR(__xludf.DUMMYFUNCTION("""COMPUTED_VALUE"""),7.79816)</f>
        <v>7.79816</v>
      </c>
      <c r="D3981" s="7">
        <f>IFERROR(__xludf.DUMMYFUNCTION("""COMPUTED_VALUE"""),0.28125)</f>
        <v>0.28125</v>
      </c>
    </row>
    <row r="3982">
      <c r="A3982" s="10" t="s">
        <v>5421</v>
      </c>
      <c r="B3982" s="7" t="str">
        <f>IFERROR(__xludf.DUMMYFUNCTION("SPLIT(A3982,"" "")"),"Cc1cc(CN(Cc2ccccn2)Cc2cccc(N(C)Cc3ccccn3)n2)c2c(c1)OCCOCCOCCOCCOCCO2")</f>
        <v>Cc1cc(CN(Cc2ccccn2)Cc2cccc(N(C)Cc3ccccn3)n2)c2c(c1)OCCOCCOCCOCCOCCO2</v>
      </c>
      <c r="C3982" s="7">
        <f>IFERROR(__xludf.DUMMYFUNCTION("""COMPUTED_VALUE"""),7.798157)</f>
        <v>7.798157</v>
      </c>
      <c r="D3982" s="7">
        <f>IFERROR(__xludf.DUMMYFUNCTION("""COMPUTED_VALUE"""),0.363636363636363)</f>
        <v>0.3636363636</v>
      </c>
    </row>
    <row r="3983">
      <c r="A3983" s="10" t="s">
        <v>5422</v>
      </c>
      <c r="B3983" s="7" t="str">
        <f>IFERROR(__xludf.DUMMYFUNCTION("SPLIT(A3983,"" "")"),"C1=CNC(CN(Cc2cccnn2)C2C=CC=CN2)C=C1")</f>
        <v>C1=CNC(CN(Cc2cccnn2)C2C=CC=CN2)C=C1</v>
      </c>
      <c r="C3983" s="7">
        <f>IFERROR(__xludf.DUMMYFUNCTION("""COMPUTED_VALUE"""),7.7981477)</f>
        <v>7.7981477</v>
      </c>
      <c r="D3983" s="7">
        <f>IFERROR(__xludf.DUMMYFUNCTION("""COMPUTED_VALUE"""),0.5)</f>
        <v>0.5</v>
      </c>
    </row>
    <row r="3984">
      <c r="A3984" s="10" t="s">
        <v>5423</v>
      </c>
      <c r="B3984" s="7" t="str">
        <f>IFERROR(__xludf.DUMMYFUNCTION("SPLIT(A3984,"" "")"),"CC(C)NCc1cccc(CN(Cc2ccccn2)Cc2cccc(-c3ccc4c(c3)OCCOCCOCCOCCOCCO4)n2)n1")</f>
        <v>CC(C)NCc1cccc(CN(Cc2ccccn2)Cc2cccc(-c3ccc4c(c3)OCCOCCOCCOCCOCCO4)n2)n1</v>
      </c>
      <c r="C3984" s="7">
        <f>IFERROR(__xludf.DUMMYFUNCTION("""COMPUTED_VALUE"""),7.7981467)</f>
        <v>7.7981467</v>
      </c>
      <c r="D3984" s="7">
        <f>IFERROR(__xludf.DUMMYFUNCTION("""COMPUTED_VALUE"""),0.469696969696969)</f>
        <v>0.4696969697</v>
      </c>
    </row>
    <row r="3985">
      <c r="A3985" s="10" t="s">
        <v>5424</v>
      </c>
      <c r="B3985" s="7" t="str">
        <f>IFERROR(__xludf.DUMMYFUNCTION("SPLIT(A3985,"" "")"),"C1=CNC(c2cccc(-c3ccc4c(c3)OCCOCCOCCOCCOCCO4)n2)=CC1")</f>
        <v>C1=CNC(c2cccc(-c3ccc4c(c3)OCCOCCOCCOCCOCCO4)n2)=CC1</v>
      </c>
      <c r="C3985" s="7">
        <f>IFERROR(__xludf.DUMMYFUNCTION("""COMPUTED_VALUE"""),7.7981467)</f>
        <v>7.7981467</v>
      </c>
      <c r="D3985" s="7">
        <f>IFERROR(__xludf.DUMMYFUNCTION("""COMPUTED_VALUE"""),0.318181818181818)</f>
        <v>0.3181818182</v>
      </c>
    </row>
    <row r="3986">
      <c r="A3986" s="10" t="s">
        <v>5425</v>
      </c>
      <c r="B3986" s="7" t="str">
        <f>IFERROR(__xludf.DUMMYFUNCTION("SPLIT(A3986,"" "")"),"CC1=CC(C)CC(N(C)C2CCC(N(C)c3ccc4cccnc4c3)CC2)C1C")</f>
        <v>CC1=CC(C)CC(N(C)C2CCC(N(C)c3ccc4cccnc4c3)CC2)C1C</v>
      </c>
      <c r="C3986" s="7">
        <f>IFERROR(__xludf.DUMMYFUNCTION("""COMPUTED_VALUE"""),7.7981424)</f>
        <v>7.7981424</v>
      </c>
      <c r="D3986" s="7">
        <f>IFERROR(__xludf.DUMMYFUNCTION("""COMPUTED_VALUE"""),0.311475409836065)</f>
        <v>0.3114754098</v>
      </c>
    </row>
    <row r="3987">
      <c r="A3987" s="10" t="s">
        <v>5426</v>
      </c>
      <c r="B3987" s="7" t="str">
        <f>IFERROR(__xludf.DUMMYFUNCTION("SPLIT(A3987,"" "")"),"CN(Cc1cccc(-c2ccc3c(c2)OCCOCCOCCOCCOCCO3)n1)C1CCCCC1N(Cc1ccccn1)Cc1cccc(-c2ccccc2)n1")</f>
        <v>CN(Cc1cccc(-c2ccc3c(c2)OCCOCCOCCOCCOCCO3)n1)C1CCCCC1N(Cc1ccccn1)Cc1cccc(-c2ccccc2)n1</v>
      </c>
      <c r="C3987" s="7">
        <f>IFERROR(__xludf.DUMMYFUNCTION("""COMPUTED_VALUE"""),7.798141)</f>
        <v>7.798141</v>
      </c>
      <c r="D3987" s="7">
        <f>IFERROR(__xludf.DUMMYFUNCTION("""COMPUTED_VALUE"""),0.491803278688524)</f>
        <v>0.4918032787</v>
      </c>
    </row>
    <row r="3988">
      <c r="A3988" s="10" t="s">
        <v>5427</v>
      </c>
      <c r="B3988" s="7" t="str">
        <f>IFERROR(__xludf.DUMMYFUNCTION("SPLIT(A3988,"" "")"),"CC1=C(C)C(N(C)Cc2ccccn2)C(C)C(C)(C)C1")</f>
        <v>CC1=C(C)C(N(C)Cc2ccccn2)C(C)C(C)(C)C1</v>
      </c>
      <c r="C3988" s="7">
        <f>IFERROR(__xludf.DUMMYFUNCTION("""COMPUTED_VALUE"""),7.798133)</f>
        <v>7.798133</v>
      </c>
      <c r="D3988" s="7">
        <f>IFERROR(__xludf.DUMMYFUNCTION("""COMPUTED_VALUE"""),0.489361702127659)</f>
        <v>0.4893617021</v>
      </c>
    </row>
    <row r="3989">
      <c r="A3989" s="10" t="s">
        <v>5428</v>
      </c>
      <c r="B3989" s="7" t="str">
        <f>IFERROR(__xludf.DUMMYFUNCTION("SPLIT(A3989,"" "")"),"Cc1cc2c(cc1-c1ccc(CN(C)Cc3ccccn3)cn1)OCCOCCOCCOCCOCCO2")</f>
        <v>Cc1cc2c(cc1-c1ccc(CN(C)Cc3ccccn3)cn1)OCCOCCOCCOCCOCCO2</v>
      </c>
      <c r="C3989" s="7">
        <f>IFERROR(__xludf.DUMMYFUNCTION("""COMPUTED_VALUE"""),7.79813)</f>
        <v>7.79813</v>
      </c>
      <c r="D3989" s="7">
        <f>IFERROR(__xludf.DUMMYFUNCTION("""COMPUTED_VALUE"""),0.389830508474576)</f>
        <v>0.3898305085</v>
      </c>
    </row>
    <row r="3990">
      <c r="A3990" s="10" t="s">
        <v>5429</v>
      </c>
      <c r="B3990" s="7" t="str">
        <f>IFERROR(__xludf.DUMMYFUNCTION("SPLIT(A3990,"" "")"),"CCOC(=O)c1ccc(CN2CCN(C)CCN(Cc3ncccc3C(C)NCc3ccccn3)CC2)cn1")</f>
        <v>CCOC(=O)c1ccc(CN2CCN(C)CCN(Cc3ncccc3C(C)NCc3ccccn3)CC2)cn1</v>
      </c>
      <c r="C3990" s="7">
        <f>IFERROR(__xludf.DUMMYFUNCTION("""COMPUTED_VALUE"""),7.798126)</f>
        <v>7.798126</v>
      </c>
      <c r="D3990" s="7">
        <f>IFERROR(__xludf.DUMMYFUNCTION("""COMPUTED_VALUE"""),0.418918918918918)</f>
        <v>0.4189189189</v>
      </c>
    </row>
    <row r="3991">
      <c r="A3991" s="10" t="s">
        <v>5430</v>
      </c>
      <c r="B3991" s="7" t="str">
        <f>IFERROR(__xludf.DUMMYFUNCTION("SPLIT(A3991,"" "")"),"Cc1cncc(CN(C)CCN(Cc2ccccn2)C(C)N(Cc2ccccn2)Cc2cccc(-c3ccc4c(c3)OCCOCCOCCOCCOCCO4)n2)c1")</f>
        <v>Cc1cncc(CN(C)CCN(Cc2ccccn2)C(C)N(Cc2ccccn2)Cc2cccc(-c3ccc4c(c3)OCCOCCOCCOCCOCCO4)n2)c1</v>
      </c>
      <c r="C3991" s="7">
        <f>IFERROR(__xludf.DUMMYFUNCTION("""COMPUTED_VALUE"""),7.7981253)</f>
        <v>7.7981253</v>
      </c>
      <c r="D3991" s="7">
        <f>IFERROR(__xludf.DUMMYFUNCTION("""COMPUTED_VALUE"""),0.351351351351351)</f>
        <v>0.3513513514</v>
      </c>
    </row>
    <row r="3992">
      <c r="A3992" s="10" t="s">
        <v>5431</v>
      </c>
      <c r="B3992" s="7" t="str">
        <f>IFERROR(__xludf.DUMMYFUNCTION("SPLIT(A3992,"" "")"),"c1ccc(CN(Cc2cccnc2)Cc2ncccc2-c2ccc3c(c2)OCCOCCOCCOCCOCCO3)nc1")</f>
        <v>c1ccc(CN(Cc2cccnc2)Cc2ncccc2-c2ccc3c(c2)OCCOCCOCCOCCOCCO3)nc1</v>
      </c>
      <c r="C3992" s="7">
        <f>IFERROR(__xludf.DUMMYFUNCTION("""COMPUTED_VALUE"""),7.798122)</f>
        <v>7.798122</v>
      </c>
      <c r="D3992" s="7">
        <f>IFERROR(__xludf.DUMMYFUNCTION("""COMPUTED_VALUE"""),0.363636363636363)</f>
        <v>0.3636363636</v>
      </c>
    </row>
    <row r="3993">
      <c r="A3993" s="10" t="s">
        <v>5432</v>
      </c>
      <c r="B3993" s="7" t="str">
        <f>IFERROR(__xludf.DUMMYFUNCTION("SPLIT(A3993,"" "")"),"CNCc1cc(C(C)(C)C)c(CN(C)Cc2ccccn2)c(-c2ccc3c(c2)OCCOCCOCCOCCOCCO3)n1")</f>
        <v>CNCc1cc(C(C)(C)C)c(CN(C)Cc2ccccn2)c(-c2ccc3c(c2)OCCOCCOCCOCCOCCO3)n1</v>
      </c>
      <c r="C3993" s="7">
        <f>IFERROR(__xludf.DUMMYFUNCTION("""COMPUTED_VALUE"""),7.7981114)</f>
        <v>7.7981114</v>
      </c>
      <c r="D3993" s="7">
        <f>IFERROR(__xludf.DUMMYFUNCTION("""COMPUTED_VALUE"""),0.338235294117647)</f>
        <v>0.3382352941</v>
      </c>
    </row>
    <row r="3994">
      <c r="A3994" s="10" t="s">
        <v>5433</v>
      </c>
      <c r="B3994" s="7" t="str">
        <f>IFERROR(__xludf.DUMMYFUNCTION("SPLIT(A3994,"" "")"),"Cc1cncc(CN(C)CCN(C)C2CCCC(N(Cc3ccccn3)Cc3nc(C)c(C)c(C)c3C)C2)c1")</f>
        <v>Cc1cncc(CN(C)CCN(C)C2CCCC(N(Cc3ccccn3)Cc3nc(C)c(C)c(C)c3C)C2)c1</v>
      </c>
      <c r="C3994" s="7">
        <f>IFERROR(__xludf.DUMMYFUNCTION("""COMPUTED_VALUE"""),7.798109)</f>
        <v>7.798109</v>
      </c>
      <c r="D3994" s="7">
        <f>IFERROR(__xludf.DUMMYFUNCTION("""COMPUTED_VALUE"""),0.347826086956521)</f>
        <v>0.347826087</v>
      </c>
    </row>
    <row r="3995">
      <c r="A3995" s="10" t="s">
        <v>5434</v>
      </c>
      <c r="B3995" s="7" t="str">
        <f>IFERROR(__xludf.DUMMYFUNCTION("SPLIT(A3995,"" "")"),"CC1=C(C)C(C)C(C)(C)C(N(C)Cc2ncccc2C)C1")</f>
        <v>CC1=C(C)C(C)C(C)(C)C(N(C)Cc2ncccc2C)C1</v>
      </c>
      <c r="C3995" s="7">
        <f>IFERROR(__xludf.DUMMYFUNCTION("""COMPUTED_VALUE"""),7.7980866)</f>
        <v>7.7980866</v>
      </c>
      <c r="D3995" s="7">
        <f>IFERROR(__xludf.DUMMYFUNCTION("""COMPUTED_VALUE"""),0.314814814814814)</f>
        <v>0.3148148148</v>
      </c>
    </row>
    <row r="3996">
      <c r="A3996" s="10" t="s">
        <v>5435</v>
      </c>
      <c r="B3996" s="7" t="str">
        <f>IFERROR(__xludf.DUMMYFUNCTION("SPLIT(A3996,"" "")"),"CC(C)C(C)N(C)Cc1ccc(N(C)Cc2cccc(-c3ccc4c(c3)OCCOCCOCCOCCOCCO4)n2)cn1")</f>
        <v>CC(C)C(C)N(C)Cc1ccc(N(C)Cc2cccc(-c3ccc4c(c3)OCCOCCOCCOCCOCCO4)n2)cn1</v>
      </c>
      <c r="C3996" s="7">
        <f>IFERROR(__xludf.DUMMYFUNCTION("""COMPUTED_VALUE"""),7.798081)</f>
        <v>7.798081</v>
      </c>
      <c r="D3996" s="7">
        <f>IFERROR(__xludf.DUMMYFUNCTION("""COMPUTED_VALUE"""),0.364864864864864)</f>
        <v>0.3648648649</v>
      </c>
    </row>
    <row r="3997">
      <c r="A3997" s="10" t="s">
        <v>5436</v>
      </c>
      <c r="B3997" s="7" t="str">
        <f>IFERROR(__xludf.DUMMYFUNCTION("SPLIT(A3997,"" "")"),"Cc1cc(CN(C)C2CCCC(N(Cc3ccccn3)Cc3cccc(CNCF)n3)C2)nc(C)c1C")</f>
        <v>Cc1cc(CN(C)C2CCCC(N(Cc3ccccn3)Cc3cccc(CNCF)n3)C2)nc(C)c1C</v>
      </c>
      <c r="C3997" s="7">
        <f>IFERROR(__xludf.DUMMYFUNCTION("""COMPUTED_VALUE"""),7.798081)</f>
        <v>7.798081</v>
      </c>
      <c r="D3997" s="7">
        <f>IFERROR(__xludf.DUMMYFUNCTION("""COMPUTED_VALUE"""),0.384615384615384)</f>
        <v>0.3846153846</v>
      </c>
    </row>
    <row r="3998">
      <c r="A3998" s="10" t="s">
        <v>5437</v>
      </c>
      <c r="B3998" s="7" t="str">
        <f>IFERROR(__xludf.DUMMYFUNCTION("SPLIT(A3998,"" "")"),"CN1CCN(C)CCN(CCCN(C)c2ccc3cc(CF)cnc3c2)CC1")</f>
        <v>CN1CCN(C)CCN(CCCN(C)c2ccc3cc(CF)cnc3c2)CC1</v>
      </c>
      <c r="C3998" s="7">
        <f>IFERROR(__xludf.DUMMYFUNCTION("""COMPUTED_VALUE"""),7.7980785)</f>
        <v>7.7980785</v>
      </c>
      <c r="D3998" s="7">
        <f>IFERROR(__xludf.DUMMYFUNCTION("""COMPUTED_VALUE"""),0.316666666666666)</f>
        <v>0.3166666667</v>
      </c>
    </row>
    <row r="3999">
      <c r="A3999" s="10" t="s">
        <v>5438</v>
      </c>
      <c r="B3999" s="7" t="str">
        <f>IFERROR(__xludf.DUMMYFUNCTION("SPLIT(A3999,"" "")"),"CCNC1CCCCC1N(Cc1nc(C)c(C)cc1C)Cc1nc(C)c(C)cc1C")</f>
        <v>CCNC1CCCCC1N(Cc1nc(C)c(C)cc1C)Cc1nc(C)c(C)cc1C</v>
      </c>
      <c r="C3999" s="7">
        <f>IFERROR(__xludf.DUMMYFUNCTION("""COMPUTED_VALUE"""),7.798077)</f>
        <v>7.798077</v>
      </c>
      <c r="D3999" s="7">
        <f>IFERROR(__xludf.DUMMYFUNCTION("""COMPUTED_VALUE"""),0.296296296296296)</f>
        <v>0.2962962963</v>
      </c>
    </row>
    <row r="4000">
      <c r="A4000" s="10" t="s">
        <v>5439</v>
      </c>
      <c r="B4000" s="7" t="str">
        <f>IFERROR(__xludf.DUMMYFUNCTION("SPLIT(A4000,"" "")"),"Cc1nc(CN(C)C2CCCCC2N(CCN(C)CCF)Cc2nc(C)c(C)c(C)c2C)c(C)c(C)c1C")</f>
        <v>Cc1nc(CN(C)C2CCCCC2N(CCN(C)CCF)Cc2nc(C)c(C)c(C)c2C)c(C)c(C)c1C</v>
      </c>
      <c r="C4000" s="7">
        <f>IFERROR(__xludf.DUMMYFUNCTION("""COMPUTED_VALUE"""),7.7980685)</f>
        <v>7.7980685</v>
      </c>
      <c r="D4000" s="7">
        <f>IFERROR(__xludf.DUMMYFUNCTION("""COMPUTED_VALUE"""),0.345454545454545)</f>
        <v>0.3454545455</v>
      </c>
    </row>
    <row r="4001">
      <c r="A4001" s="10" t="s">
        <v>5440</v>
      </c>
      <c r="B4001" s="7" t="str">
        <f>IFERROR(__xludf.DUMMYFUNCTION("SPLIT(A4001,"" "")"),"CCOCc1cccc(CN(Cc2ccccn2)Cc2cccc(-c3ccc4c(c3)OCCOCCOCCOCCOCCO4)n2)n1")</f>
        <v>CCOCc1cccc(CN(Cc2ccccn2)Cc2cccc(-c3ccc4c(c3)OCCOCCOCCOCCOCCO4)n2)n1</v>
      </c>
      <c r="C4001" s="7">
        <f>IFERROR(__xludf.DUMMYFUNCTION("""COMPUTED_VALUE"""),7.798067)</f>
        <v>7.798067</v>
      </c>
      <c r="D4001" s="7">
        <f>IFERROR(__xludf.DUMMYFUNCTION("""COMPUTED_VALUE"""),0.5)</f>
        <v>0.5</v>
      </c>
    </row>
    <row r="4002">
      <c r="A4002" s="10" t="s">
        <v>5441</v>
      </c>
      <c r="B4002" s="7" t="str">
        <f>IFERROR(__xludf.DUMMYFUNCTION("SPLIT(A4002,"" "")"),"CC(C)NCc1cc(-c2cc(NCc3ccccn3)c3c(c2)OCCOCCOCCOCCOCCO3)ccn1")</f>
        <v>CC(C)NCc1cc(-c2cc(NCc3ccccn3)c3c(c2)OCCOCCOCCOCCOCCO3)ccn1</v>
      </c>
      <c r="C4002" s="7">
        <f>IFERROR(__xludf.DUMMYFUNCTION("""COMPUTED_VALUE"""),7.798057)</f>
        <v>7.798057</v>
      </c>
      <c r="D4002" s="7">
        <f>IFERROR(__xludf.DUMMYFUNCTION("""COMPUTED_VALUE"""),0.295774647887323)</f>
        <v>0.2957746479</v>
      </c>
    </row>
    <row r="4003">
      <c r="A4003" s="10" t="s">
        <v>5442</v>
      </c>
      <c r="B4003" s="7" t="str">
        <f>IFERROR(__xludf.DUMMYFUNCTION("SPLIT(A4003,"" "")"),"CCC(C)N(C)CC1=CC(N(C)Cc2cccc(C)n2)C=CN1")</f>
        <v>CCC(C)N(C)CC1=CC(N(C)Cc2cccc(C)n2)C=CN1</v>
      </c>
      <c r="C4003" s="7">
        <f>IFERROR(__xludf.DUMMYFUNCTION("""COMPUTED_VALUE"""),7.7980566)</f>
        <v>7.7980566</v>
      </c>
      <c r="D4003" s="7">
        <f>IFERROR(__xludf.DUMMYFUNCTION("""COMPUTED_VALUE"""),0.418181818181818)</f>
        <v>0.4181818182</v>
      </c>
    </row>
    <row r="4004">
      <c r="A4004" s="10" t="s">
        <v>5443</v>
      </c>
      <c r="B4004" s="7" t="str">
        <f>IFERROR(__xludf.DUMMYFUNCTION("SPLIT(A4004,"" "")"),"CN1CCN(C)CCN(CCCN(C)c2ccc3ncc(CF)cc3c2)CC1")</f>
        <v>CN1CCN(C)CCN(CCCN(C)c2ccc3ncc(CF)cc3c2)CC1</v>
      </c>
      <c r="C4004" s="7">
        <f>IFERROR(__xludf.DUMMYFUNCTION("""COMPUTED_VALUE"""),7.7980447)</f>
        <v>7.7980447</v>
      </c>
      <c r="D4004" s="7">
        <f>IFERROR(__xludf.DUMMYFUNCTION("""COMPUTED_VALUE"""),0.333333333333333)</f>
        <v>0.3333333333</v>
      </c>
    </row>
    <row r="4005">
      <c r="A4005" s="10" t="s">
        <v>5444</v>
      </c>
      <c r="B4005" s="7" t="str">
        <f>IFERROR(__xludf.DUMMYFUNCTION("SPLIT(A4005,"" "")"),"CN(C)c1cccc(-c2ccc(CN(Cc3ccc4c(c3)OCCOCCOCCOCCOCCO4)Cc3cccc(-c4ccc5c(c4)OCCOCCOCCOCCOCCO5)n3)nc2)c1")</f>
        <v>CN(C)c1cccc(-c2ccc(CN(Cc3ccc4c(c3)OCCOCCOCCOCCOCCO4)Cc3cccc(-c4ccc5c(c4)OCCOCCOCCOCCOCCO5)n3)nc2)c1</v>
      </c>
      <c r="C4005" s="7">
        <f>IFERROR(__xludf.DUMMYFUNCTION("""COMPUTED_VALUE"""),7.7980447)</f>
        <v>7.7980447</v>
      </c>
      <c r="D4005" s="7">
        <f>IFERROR(__xludf.DUMMYFUNCTION("""COMPUTED_VALUE"""),0.405405405405405)</f>
        <v>0.4054054054</v>
      </c>
    </row>
    <row r="4006">
      <c r="A4006" s="10" t="s">
        <v>5445</v>
      </c>
      <c r="B4006" s="7" t="str">
        <f>IFERROR(__xludf.DUMMYFUNCTION("SPLIT(A4006,"" "")"),"CCNCCN(C)Cc1cc(C)cnc1C")</f>
        <v>CCNCCN(C)Cc1cc(C)cnc1C</v>
      </c>
      <c r="C4006" s="7">
        <f>IFERROR(__xludf.DUMMYFUNCTION("""COMPUTED_VALUE"""),7.7980385)</f>
        <v>7.7980385</v>
      </c>
      <c r="D4006" s="7">
        <f>IFERROR(__xludf.DUMMYFUNCTION("""COMPUTED_VALUE"""),0.372093023255813)</f>
        <v>0.3720930233</v>
      </c>
    </row>
    <row r="4007">
      <c r="A4007" s="10" t="s">
        <v>5446</v>
      </c>
      <c r="B4007" s="7" t="str">
        <f>IFERROR(__xludf.DUMMYFUNCTION("SPLIT(A4007,"" "")"),"COC(C)c1ncccc1CN1CCN(C)CCN(Cc2cc(C(C)(C)c3ccccn3)ccn2)CC1")</f>
        <v>COC(C)c1ncccc1CN1CCN(C)CCN(Cc2cc(C(C)(C)c3ccccn3)ccn2)CC1</v>
      </c>
      <c r="C4007" s="7">
        <f>IFERROR(__xludf.DUMMYFUNCTION("""COMPUTED_VALUE"""),7.798038)</f>
        <v>7.798038</v>
      </c>
      <c r="D4007" s="7">
        <f>IFERROR(__xludf.DUMMYFUNCTION("""COMPUTED_VALUE"""),0.440677966101694)</f>
        <v>0.4406779661</v>
      </c>
    </row>
    <row r="4008">
      <c r="A4008" s="10" t="s">
        <v>5447</v>
      </c>
      <c r="B4008" s="7" t="str">
        <f>IFERROR(__xludf.DUMMYFUNCTION("SPLIT(A4008,"" "")"),"CN1CCN(C)CCN(CCCN(C)c2ccc3nc(CF)ccc3c2)CC1")</f>
        <v>CN1CCN(C)CCN(CCCN(C)c2ccc3nc(CF)ccc3c2)CC1</v>
      </c>
      <c r="C4008" s="7">
        <f>IFERROR(__xludf.DUMMYFUNCTION("""COMPUTED_VALUE"""),7.798017)</f>
        <v>7.798017</v>
      </c>
      <c r="D4008" s="7">
        <f>IFERROR(__xludf.DUMMYFUNCTION("""COMPUTED_VALUE"""),0.333333333333333)</f>
        <v>0.3333333333</v>
      </c>
    </row>
    <row r="4009">
      <c r="A4009" s="10" t="s">
        <v>5448</v>
      </c>
      <c r="B4009" s="7" t="str">
        <f>IFERROR(__xludf.DUMMYFUNCTION("SPLIT(A4009,"" "")"),"CN(Cc1cccc(-c2ccc3c(c2)OCCOCCOCCOCCOCCO3)n1)C1=CCC=C(CN(Cc2ccccn2)CC(C)(C)C)N1")</f>
        <v>CN(Cc1cccc(-c2ccc3c(c2)OCCOCCOCCOCCOCCO3)n1)C1=CCC=C(CN(Cc2ccccn2)CC(C)(C)C)N1</v>
      </c>
      <c r="C4009" s="7">
        <f>IFERROR(__xludf.DUMMYFUNCTION("""COMPUTED_VALUE"""),7.7980165)</f>
        <v>7.7980165</v>
      </c>
      <c r="D4009" s="7">
        <f>IFERROR(__xludf.DUMMYFUNCTION("""COMPUTED_VALUE"""),0.384615384615384)</f>
        <v>0.3846153846</v>
      </c>
    </row>
    <row r="4010">
      <c r="A4010" s="10" t="s">
        <v>5449</v>
      </c>
      <c r="B4010" s="7" t="str">
        <f>IFERROR(__xludf.DUMMYFUNCTION("SPLIT(A4010,"" "")"),"CC1=CCC2(CC=CCC2C)C2(C=CC3(C(C)C=CC4(CC=CC(C)C4C)C3C)C3(C(C)CC=CC34CC=CCC4C)C2c2ncccc2CN(Cc2ccccn2)Cc2ccccn2)C1")</f>
        <v>CC1=CCC2(CC=CCC2C)C2(C=CC3(C(C)C=CC4(CC=CC(C)C4C)C3C)C3(C(C)CC=CC34CC=CCC4C)C2c2ncccc2CN(Cc2ccccn2)Cc2ccccn2)C1</v>
      </c>
      <c r="C4010" s="7">
        <f>IFERROR(__xludf.DUMMYFUNCTION("""COMPUTED_VALUE"""),7.7980156)</f>
        <v>7.7980156</v>
      </c>
      <c r="D4010" s="7">
        <f>IFERROR(__xludf.DUMMYFUNCTION("""COMPUTED_VALUE"""),0.25)</f>
        <v>0.25</v>
      </c>
    </row>
    <row r="4011">
      <c r="A4011" s="10" t="s">
        <v>5450</v>
      </c>
      <c r="B4011" s="7" t="str">
        <f>IFERROR(__xludf.DUMMYFUNCTION("SPLIT(A4011,"" "")"),"Cc1ccc(CN(C)C2CC(N(C)Cc3ccccn3)CC(N(Cc3ccccn3)C(C)C)C2)nc1")</f>
        <v>Cc1ccc(CN(C)C2CC(N(C)Cc3ccccn3)CC(N(Cc3ccccn3)C(C)C)C2)nc1</v>
      </c>
      <c r="C4011" s="7">
        <f>IFERROR(__xludf.DUMMYFUNCTION("""COMPUTED_VALUE"""),7.798013)</f>
        <v>7.798013</v>
      </c>
      <c r="D4011" s="7">
        <f>IFERROR(__xludf.DUMMYFUNCTION("""COMPUTED_VALUE"""),0.470588235294117)</f>
        <v>0.4705882353</v>
      </c>
    </row>
    <row r="4012">
      <c r="A4012" s="10" t="s">
        <v>5451</v>
      </c>
      <c r="B4012" s="7" t="str">
        <f>IFERROR(__xludf.DUMMYFUNCTION("SPLIT(A4012,"" "")"),"CC1=CC(C)(C)CC(CN(C)CC2=CC(N(C)Cc3ncccc3C)C=CN2)C1C")</f>
        <v>CC1=CC(C)(C)CC(CN(C)CC2=CC(N(C)Cc3ncccc3C)C=CN2)C1C</v>
      </c>
      <c r="C4012" s="7">
        <f>IFERROR(__xludf.DUMMYFUNCTION("""COMPUTED_VALUE"""),7.798007)</f>
        <v>7.798007</v>
      </c>
      <c r="D4012" s="7">
        <f>IFERROR(__xludf.DUMMYFUNCTION("""COMPUTED_VALUE"""),0.291666666666666)</f>
        <v>0.2916666667</v>
      </c>
    </row>
    <row r="4013">
      <c r="A4013" s="10" t="s">
        <v>5452</v>
      </c>
      <c r="B4013" s="7" t="str">
        <f>IFERROR(__xludf.DUMMYFUNCTION("SPLIT(A4013,"" "")"),"CNCc1ncccc1CN(Cc1ccccn1)Cc1cccc(-c2cccc3c2OCCOCCOCCOCCOCCO3)n1")</f>
        <v>CNCc1ncccc1CN(Cc1ccccn1)Cc1cccc(-c2cccc3c2OCCOCCOCCOCCOCCO3)n1</v>
      </c>
      <c r="C4013" s="7">
        <f>IFERROR(__xludf.DUMMYFUNCTION("""COMPUTED_VALUE"""),7.798004)</f>
        <v>7.798004</v>
      </c>
      <c r="D4013" s="7">
        <f>IFERROR(__xludf.DUMMYFUNCTION("""COMPUTED_VALUE"""),0.36986301369863)</f>
        <v>0.3698630137</v>
      </c>
    </row>
    <row r="4014">
      <c r="A4014" s="10" t="s">
        <v>5453</v>
      </c>
      <c r="B4014" s="7" t="str">
        <f>IFERROR(__xludf.DUMMYFUNCTION("SPLIT(A4014,"" "")"),"Cc1cc(C)c(CN(C)C2CCCCC2N(C)Cc2cc(C)c(C)c(C)n2)cn1")</f>
        <v>Cc1cc(C)c(CN(C)C2CCCCC2N(C)Cc2cc(C)c(C)c(C)n2)cn1</v>
      </c>
      <c r="C4014" s="7">
        <f>IFERROR(__xludf.DUMMYFUNCTION("""COMPUTED_VALUE"""),7.797999)</f>
        <v>7.797999</v>
      </c>
      <c r="D4014" s="7">
        <f>IFERROR(__xludf.DUMMYFUNCTION("""COMPUTED_VALUE"""),0.450980392156862)</f>
        <v>0.4509803922</v>
      </c>
    </row>
    <row r="4015">
      <c r="A4015" s="10" t="s">
        <v>5454</v>
      </c>
      <c r="B4015" s="7" t="str">
        <f>IFERROR(__xludf.DUMMYFUNCTION("SPLIT(A4015,"" "")"),"CC(C)C(C)c1cccc(N(C)Cc2cccc(-c3ccc4c(c3)OCCOCCOCCOCCOCCO4)n2)c1")</f>
        <v>CC(C)C(C)c1cccc(N(C)Cc2cccc(-c3ccc4c(c3)OCCOCCOCCOCCOCCO4)n2)c1</v>
      </c>
      <c r="C4015" s="7">
        <f>IFERROR(__xludf.DUMMYFUNCTION("""COMPUTED_VALUE"""),7.7979965)</f>
        <v>7.7979965</v>
      </c>
      <c r="D4015" s="7">
        <f>IFERROR(__xludf.DUMMYFUNCTION("""COMPUTED_VALUE"""),0.315068493150684)</f>
        <v>0.3150684932</v>
      </c>
    </row>
    <row r="4016">
      <c r="A4016" s="10" t="s">
        <v>5455</v>
      </c>
      <c r="B4016" s="7" t="str">
        <f>IFERROR(__xludf.DUMMYFUNCTION("SPLIT(A4016,"" "")"),"CCNCc1ncccc1CN(Cc1ccccn1)C1CCCC(N(C)Cc2ncc(C)cc2C)C1")</f>
        <v>CCNCc1ncccc1CN(Cc1ccccn1)C1CCCC(N(C)Cc2ncc(C)cc2C)C1</v>
      </c>
      <c r="C4016" s="7">
        <f>IFERROR(__xludf.DUMMYFUNCTION("""COMPUTED_VALUE"""),7.797986)</f>
        <v>7.797986</v>
      </c>
      <c r="D4016" s="7">
        <f>IFERROR(__xludf.DUMMYFUNCTION("""COMPUTED_VALUE"""),0.352941176470588)</f>
        <v>0.3529411765</v>
      </c>
    </row>
    <row r="4017">
      <c r="A4017" s="10" t="s">
        <v>5456</v>
      </c>
      <c r="B4017" s="7" t="str">
        <f>IFERROR(__xludf.DUMMYFUNCTION("SPLIT(A4017,"" "")"),"CNC1CCCC(N(C)Cc2cc(C)ccn2)C1N(Cc1cc(C)ccn1)Cc1cc(C)ccn1")</f>
        <v>CNC1CCCC(N(C)Cc2cc(C)ccn2)C1N(Cc1cc(C)ccn1)Cc1cc(C)ccn1</v>
      </c>
      <c r="C4017" s="7">
        <f>IFERROR(__xludf.DUMMYFUNCTION("""COMPUTED_VALUE"""),7.797986)</f>
        <v>7.797986</v>
      </c>
      <c r="D4017" s="7">
        <f>IFERROR(__xludf.DUMMYFUNCTION("""COMPUTED_VALUE"""),0.423076923076923)</f>
        <v>0.4230769231</v>
      </c>
    </row>
    <row r="4018">
      <c r="A4018" s="10" t="s">
        <v>5457</v>
      </c>
      <c r="B4018" s="7" t="str">
        <f>IFERROR(__xludf.DUMMYFUNCTION("SPLIT(A4018,"" "")"),"Cc1nc(CN(C)C2=CNC(CN3CCN(C)CCN(C)CC3)=CC2)c(C)c(C)c1C")</f>
        <v>Cc1nc(CN(C)C2=CNC(CN3CCN(C)CCN(C)CC3)=CC2)c(C)c(C)c1C</v>
      </c>
      <c r="C4018" s="7">
        <f>IFERROR(__xludf.DUMMYFUNCTION("""COMPUTED_VALUE"""),7.7979665)</f>
        <v>7.7979665</v>
      </c>
      <c r="D4018" s="7">
        <f>IFERROR(__xludf.DUMMYFUNCTION("""COMPUTED_VALUE"""),0.35593220338983)</f>
        <v>0.3559322034</v>
      </c>
    </row>
    <row r="4019">
      <c r="A4019" s="10" t="s">
        <v>5458</v>
      </c>
      <c r="B4019" s="7" t="str">
        <f>IFERROR(__xludf.DUMMYFUNCTION("SPLIT(A4019,"" "")"),"Cc1cc(C)nc(CN(C)C2CCCC(N(C)Cc3ccnc(CN(C)C)c3)C2)c1")</f>
        <v>Cc1cc(C)nc(CN(C)C2CCCC(N(C)Cc3ccnc(CN(C)C)c3)C2)c1</v>
      </c>
      <c r="C4019" s="7">
        <f>IFERROR(__xludf.DUMMYFUNCTION("""COMPUTED_VALUE"""),7.7979603)</f>
        <v>7.7979603</v>
      </c>
      <c r="D4019" s="7">
        <f>IFERROR(__xludf.DUMMYFUNCTION("""COMPUTED_VALUE"""),0.357142857142857)</f>
        <v>0.3571428571</v>
      </c>
    </row>
    <row r="4020">
      <c r="A4020" s="10" t="s">
        <v>5459</v>
      </c>
      <c r="B4020" s="7" t="str">
        <f>IFERROR(__xludf.DUMMYFUNCTION("SPLIT(A4020,"" "")"),"Cc1cnc(CN(C)C2CCC(N(Cc3cc(-c4ccc5c(c4)OCCOCCOCCOCCOCCO5)ccn3)Cc3cc(C)c(C)c(C)n3)CC2)c(C)c1")</f>
        <v>Cc1cnc(CN(C)C2CCC(N(Cc3cc(-c4ccc5c(c4)OCCOCCOCCOCCOCCO5)ccn3)Cc3cc(C)c(C)c(C)n3)CC2)c(C)c1</v>
      </c>
      <c r="C4020" s="7">
        <f>IFERROR(__xludf.DUMMYFUNCTION("""COMPUTED_VALUE"""),7.797957)</f>
        <v>7.797957</v>
      </c>
      <c r="D4020" s="7">
        <f>IFERROR(__xludf.DUMMYFUNCTION("""COMPUTED_VALUE"""),0.337349397590361)</f>
        <v>0.3373493976</v>
      </c>
    </row>
    <row r="4021">
      <c r="A4021" s="10" t="s">
        <v>5460</v>
      </c>
      <c r="B4021" s="7" t="str">
        <f>IFERROR(__xludf.DUMMYFUNCTION("SPLIT(A4021,"" "")"),"COC(=O)c1cc(CN(Cc2ccccn2)C2CCCCC2)ccn1")</f>
        <v>COC(=O)c1cc(CN(Cc2ccccn2)C2CCCCC2)ccn1</v>
      </c>
      <c r="C4021" s="7">
        <f>IFERROR(__xludf.DUMMYFUNCTION("""COMPUTED_VALUE"""),7.797944)</f>
        <v>7.797944</v>
      </c>
      <c r="D4021" s="7">
        <f>IFERROR(__xludf.DUMMYFUNCTION("""COMPUTED_VALUE"""),0.410714285714285)</f>
        <v>0.4107142857</v>
      </c>
    </row>
    <row r="4022">
      <c r="A4022" s="10" t="s">
        <v>5461</v>
      </c>
      <c r="B4022" s="7" t="str">
        <f>IFERROR(__xludf.DUMMYFUNCTION("SPLIT(A4022,"" "")"),"CC(N)C(C)c1cccc(N(C)C(C)C)c1")</f>
        <v>CC(N)C(C)c1cccc(N(C)C(C)C)c1</v>
      </c>
      <c r="C4022" s="7">
        <f>IFERROR(__xludf.DUMMYFUNCTION("""COMPUTED_VALUE"""),7.7979364)</f>
        <v>7.7979364</v>
      </c>
      <c r="D4022" s="7">
        <f>IFERROR(__xludf.DUMMYFUNCTION("""COMPUTED_VALUE"""),0.25)</f>
        <v>0.25</v>
      </c>
    </row>
    <row r="4023">
      <c r="A4023" s="10" t="s">
        <v>5462</v>
      </c>
      <c r="B4023" s="7" t="str">
        <f>IFERROR(__xludf.DUMMYFUNCTION("SPLIT(A4023,"" "")"),"CNC1CC(N(Cc2ncccc2C)C(C)C)CCC1N(Cc1ccccn1)Cc1ncccc1C")</f>
        <v>CNC1CC(N(Cc2ncccc2C)C(C)C)CCC1N(Cc1ccccn1)Cc1ncccc1C</v>
      </c>
      <c r="C4023" s="7">
        <f>IFERROR(__xludf.DUMMYFUNCTION("""COMPUTED_VALUE"""),7.797935)</f>
        <v>7.797935</v>
      </c>
      <c r="D4023" s="7">
        <f>IFERROR(__xludf.DUMMYFUNCTION("""COMPUTED_VALUE"""),0.354838709677419)</f>
        <v>0.3548387097</v>
      </c>
    </row>
    <row r="4024">
      <c r="A4024" s="10" t="s">
        <v>5463</v>
      </c>
      <c r="B4024" s="7" t="str">
        <f>IFERROR(__xludf.DUMMYFUNCTION("SPLIT(A4024,"" "")"),"CC1=NC(C(C)NCc2ccccn2)CO1")</f>
        <v>CC1=NC(C(C)NCc2ccccn2)CO1</v>
      </c>
      <c r="C4024" s="7">
        <f>IFERROR(__xludf.DUMMYFUNCTION("""COMPUTED_VALUE"""),7.7979236)</f>
        <v>7.7979236</v>
      </c>
      <c r="D4024" s="7">
        <f>IFERROR(__xludf.DUMMYFUNCTION("""COMPUTED_VALUE"""),0.386363636363636)</f>
        <v>0.3863636364</v>
      </c>
    </row>
    <row r="4025">
      <c r="A4025" s="10" t="s">
        <v>5464</v>
      </c>
      <c r="B4025" s="7" t="str">
        <f>IFERROR(__xludf.DUMMYFUNCTION("SPLIT(A4025,"" "")"),"Cc1ccc(C)c(N(C)C2CCCC(N(C)Cc3ccccn3)C2)c1")</f>
        <v>Cc1ccc(C)c(N(C)C2CCCC(N(C)Cc3ccccn3)C2)c1</v>
      </c>
      <c r="C4025" s="7">
        <f>IFERROR(__xludf.DUMMYFUNCTION("""COMPUTED_VALUE"""),7.797921)</f>
        <v>7.797921</v>
      </c>
      <c r="D4025" s="7">
        <f>IFERROR(__xludf.DUMMYFUNCTION("""COMPUTED_VALUE"""),0.5)</f>
        <v>0.5</v>
      </c>
    </row>
    <row r="4026">
      <c r="A4026" s="10" t="s">
        <v>5465</v>
      </c>
      <c r="B4026" s="7" t="str">
        <f>IFERROR(__xludf.DUMMYFUNCTION("SPLIT(A4026,"" "")"),"CNCc1cccc(CN(Cc2ccccn2)Cc2ccc(-c3cccc4c3OCCOCCOCCOCCOCCO4)cn2)n1")</f>
        <v>CNCc1cccc(CN(Cc2ccccn2)Cc2ccc(-c3cccc4c3OCCOCCOCCOCCOCCO4)cn2)n1</v>
      </c>
      <c r="C4026" s="7">
        <f>IFERROR(__xludf.DUMMYFUNCTION("""COMPUTED_VALUE"""),7.7979207)</f>
        <v>7.7979207</v>
      </c>
      <c r="D4026" s="7">
        <f>IFERROR(__xludf.DUMMYFUNCTION("""COMPUTED_VALUE"""),0.359375)</f>
        <v>0.359375</v>
      </c>
    </row>
    <row r="4027">
      <c r="A4027" s="10" t="s">
        <v>5466</v>
      </c>
      <c r="B4027" s="7" t="str">
        <f>IFERROR(__xludf.DUMMYFUNCTION("SPLIT(A4027,"" "")"),"CC1CC=C(N(C)CC2=CCC=CN2)C2N=CC=CC12")</f>
        <v>CC1CC=C(N(C)CC2=CCC=CN2)C2N=CC=CC12</v>
      </c>
      <c r="C4027" s="7">
        <f>IFERROR(__xludf.DUMMYFUNCTION("""COMPUTED_VALUE"""),7.7979107)</f>
        <v>7.7979107</v>
      </c>
      <c r="D4027" s="7">
        <f>IFERROR(__xludf.DUMMYFUNCTION("""COMPUTED_VALUE"""),0.327868852459016)</f>
        <v>0.3278688525</v>
      </c>
    </row>
    <row r="4028">
      <c r="A4028" s="10" t="s">
        <v>5467</v>
      </c>
      <c r="B4028" s="7" t="str">
        <f>IFERROR(__xludf.DUMMYFUNCTION("SPLIT(A4028,"" "")"),"Cc1ccc(CN(Cc2cc(-c3ccc4c(c3)OCCOCCOCCOCCOCCO4)ccn2)C2CC(N(C)Cc3ncc(C)cc3C)CCC2N(C)Cc2ccccn2)nc1")</f>
        <v>Cc1ccc(CN(Cc2cc(-c3ccc4c(c3)OCCOCCOCCOCCOCCO4)ccn2)C2CC(N(C)Cc3ncc(C)cc3C)CCC2N(C)Cc2ccccn2)nc1</v>
      </c>
      <c r="C4028" s="7">
        <f>IFERROR(__xludf.DUMMYFUNCTION("""COMPUTED_VALUE"""),7.797901)</f>
        <v>7.797901</v>
      </c>
      <c r="D4028" s="7">
        <f>IFERROR(__xludf.DUMMYFUNCTION("""COMPUTED_VALUE"""),0.358974358974359)</f>
        <v>0.358974359</v>
      </c>
    </row>
    <row r="4029">
      <c r="A4029" s="10" t="s">
        <v>5468</v>
      </c>
      <c r="B4029" s="7" t="str">
        <f>IFERROR(__xludf.DUMMYFUNCTION("SPLIT(A4029,"" "")"),"CN(CCF)Cc1ncccc1C(C)(C)C")</f>
        <v>CN(CCF)Cc1ncccc1C(C)(C)C</v>
      </c>
      <c r="C4029" s="7">
        <f>IFERROR(__xludf.DUMMYFUNCTION("""COMPUTED_VALUE"""),7.7978888)</f>
        <v>7.7978888</v>
      </c>
      <c r="D4029" s="7">
        <f>IFERROR(__xludf.DUMMYFUNCTION("""COMPUTED_VALUE"""),0.38095238095238)</f>
        <v>0.380952381</v>
      </c>
    </row>
    <row r="4030">
      <c r="A4030" s="10" t="s">
        <v>5469</v>
      </c>
      <c r="B4030" s="7" t="str">
        <f>IFERROR(__xludf.DUMMYFUNCTION("SPLIT(A4030,"" "")"),"CN1CCN(C)CCN(Cc2ccc3nc(CF)ccc3c2)CC1")</f>
        <v>CN1CCN(C)CCN(Cc2ccc3nc(CF)ccc3c2)CC1</v>
      </c>
      <c r="C4030" s="7">
        <f>IFERROR(__xludf.DUMMYFUNCTION("""COMPUTED_VALUE"""),7.7978835)</f>
        <v>7.7978835</v>
      </c>
      <c r="D4030" s="7">
        <f>IFERROR(__xludf.DUMMYFUNCTION("""COMPUTED_VALUE"""),0.425531914893617)</f>
        <v>0.4255319149</v>
      </c>
    </row>
    <row r="4031">
      <c r="A4031" s="10" t="s">
        <v>5470</v>
      </c>
      <c r="B4031" s="7" t="str">
        <f>IFERROR(__xludf.DUMMYFUNCTION("SPLIT(A4031,"" "")"),"CC1=C(CN(Cc2ccccn2)Cc2cccc(-c3ccc4c(c3)OCCOCCOCCOCCOCCO4)n2)NC=CC1")</f>
        <v>CC1=C(CN(Cc2ccccn2)Cc2cccc(-c3ccc4c(c3)OCCOCCOCCOCCOCCO4)n2)NC=CC1</v>
      </c>
      <c r="C4031" s="7">
        <f>IFERROR(__xludf.DUMMYFUNCTION("""COMPUTED_VALUE"""),7.797881)</f>
        <v>7.797881</v>
      </c>
      <c r="D4031" s="7">
        <f>IFERROR(__xludf.DUMMYFUNCTION("""COMPUTED_VALUE"""),0.442857142857142)</f>
        <v>0.4428571429</v>
      </c>
    </row>
    <row r="4032">
      <c r="A4032" s="10" t="s">
        <v>5471</v>
      </c>
      <c r="B4032" s="7" t="str">
        <f>IFERROR(__xludf.DUMMYFUNCTION("SPLIT(A4032,"" "")"),"CCOC(=O)c1cc(CN2CCN(C)CCN(Cc3cccc(C(C)NCc4ccccn4)n3)CC2)ccn1")</f>
        <v>CCOC(=O)c1cc(CN2CCN(C)CCN(Cc3cccc(C(C)NCc4ccccn4)n3)CC2)ccn1</v>
      </c>
      <c r="C4032" s="7">
        <f>IFERROR(__xludf.DUMMYFUNCTION("""COMPUTED_VALUE"""),7.797881)</f>
        <v>7.797881</v>
      </c>
      <c r="D4032" s="7">
        <f>IFERROR(__xludf.DUMMYFUNCTION("""COMPUTED_VALUE"""),0.478873239436619)</f>
        <v>0.4788732394</v>
      </c>
    </row>
    <row r="4033">
      <c r="A4033" s="10" t="s">
        <v>5472</v>
      </c>
      <c r="B4033" s="7" t="str">
        <f>IFERROR(__xludf.DUMMYFUNCTION("SPLIT(A4033,"" "")"),"Cc1cnc(CN(C)C2CCCC(N(Cc3ccccn3)Cc3cccc(CN(C)C(C)(C)C)n3)C2)c(C)c1")</f>
        <v>Cc1cnc(CN(C)C2CCCC(N(Cc3ccccn3)Cc3cccc(CN(C)C(C)(C)C)n3)C2)c(C)c1</v>
      </c>
      <c r="C4033" s="7">
        <f>IFERROR(__xludf.DUMMYFUNCTION("""COMPUTED_VALUE"""),7.797878)</f>
        <v>7.797878</v>
      </c>
      <c r="D4033" s="7">
        <f>IFERROR(__xludf.DUMMYFUNCTION("""COMPUTED_VALUE"""),0.375)</f>
        <v>0.375</v>
      </c>
    </row>
    <row r="4034">
      <c r="A4034" s="10" t="s">
        <v>5473</v>
      </c>
      <c r="B4034" s="7" t="str">
        <f>IFERROR(__xludf.DUMMYFUNCTION("SPLIT(A4034,"" "")"),"CC(C)NCc1cccnn1")</f>
        <v>CC(C)NCc1cccnn1</v>
      </c>
      <c r="C4034" s="7">
        <f>IFERROR(__xludf.DUMMYFUNCTION("""COMPUTED_VALUE"""),7.7978745)</f>
        <v>7.7978745</v>
      </c>
      <c r="D4034" s="7">
        <f>IFERROR(__xludf.DUMMYFUNCTION("""COMPUTED_VALUE"""),0.457142857142857)</f>
        <v>0.4571428571</v>
      </c>
    </row>
    <row r="4035">
      <c r="A4035" s="10" t="s">
        <v>5474</v>
      </c>
      <c r="B4035" s="7" t="str">
        <f>IFERROR(__xludf.DUMMYFUNCTION("SPLIT(A4035,"" "")"),"CCNCc1cc(CN(Cc2ccccn2)C2CCCCC2N(C)Cc2nc(C)c(C)c(C)c2C)ccn1")</f>
        <v>CCNCc1cc(CN(Cc2ccccn2)C2CCCCC2N(C)Cc2nc(C)c(C)c(C)c2C)ccn1</v>
      </c>
      <c r="C4035" s="7">
        <f>IFERROR(__xludf.DUMMYFUNCTION("""COMPUTED_VALUE"""),7.797869)</f>
        <v>7.797869</v>
      </c>
      <c r="D4035" s="7">
        <f>IFERROR(__xludf.DUMMYFUNCTION("""COMPUTED_VALUE"""),0.475409836065573)</f>
        <v>0.4754098361</v>
      </c>
    </row>
    <row r="4036">
      <c r="A4036" s="10" t="s">
        <v>5475</v>
      </c>
      <c r="B4036" s="7" t="str">
        <f>IFERROR(__xludf.DUMMYFUNCTION("SPLIT(A4036,"" "")"),"Cc1cc(CN(C)C(C)(c2cccnc2)C(C)C)nc(C)c1-c1cccc2c1OCCOCCOCCOCCOCCO2")</f>
        <v>Cc1cc(CN(C)C(C)(c2cccnc2)C(C)C)nc(C)c1-c1cccc2c1OCCOCCOCCOCCOCCO2</v>
      </c>
      <c r="C4036" s="7">
        <f>IFERROR(__xludf.DUMMYFUNCTION("""COMPUTED_VALUE"""),7.797866)</f>
        <v>7.797866</v>
      </c>
      <c r="D4036" s="7">
        <f>IFERROR(__xludf.DUMMYFUNCTION("""COMPUTED_VALUE"""),0.202247191011235)</f>
        <v>0.202247191</v>
      </c>
    </row>
    <row r="4037">
      <c r="A4037" s="10" t="s">
        <v>5476</v>
      </c>
      <c r="B4037" s="7" t="str">
        <f>IFERROR(__xludf.DUMMYFUNCTION("SPLIT(A4037,"" "")"),"CC1=C(C)C(C)(C)C(N(C)Cc2cc(C)ccn2)CC1C")</f>
        <v>CC1=C(C)C(C)(C)C(N(C)Cc2cc(C)ccn2)CC1C</v>
      </c>
      <c r="C4037" s="7">
        <f>IFERROR(__xludf.DUMMYFUNCTION("""COMPUTED_VALUE"""),7.7978644)</f>
        <v>7.7978644</v>
      </c>
      <c r="D4037" s="7">
        <f>IFERROR(__xludf.DUMMYFUNCTION("""COMPUTED_VALUE"""),0.339622641509433)</f>
        <v>0.3396226415</v>
      </c>
    </row>
    <row r="4038">
      <c r="A4038" s="10" t="s">
        <v>5477</v>
      </c>
      <c r="B4038" s="7" t="str">
        <f>IFERROR(__xludf.DUMMYFUNCTION("SPLIT(A4038,"" "")"),"Cc1ccc(C)c(CN(C)C2CCCC(N(Cc3ccccn3)Cc3cccnc3C(C)(C)C(C)N)C2)n1")</f>
        <v>Cc1ccc(C)c(CN(C)C2CCCC(N(Cc3ccccn3)Cc3cccnc3C(C)(C)C(C)N)C2)n1</v>
      </c>
      <c r="C4038" s="7">
        <f>IFERROR(__xludf.DUMMYFUNCTION("""COMPUTED_VALUE"""),7.7978635)</f>
        <v>7.7978635</v>
      </c>
      <c r="D4038" s="7">
        <f>IFERROR(__xludf.DUMMYFUNCTION("""COMPUTED_VALUE"""),0.347826086956521)</f>
        <v>0.347826087</v>
      </c>
    </row>
    <row r="4039">
      <c r="A4039" s="10" t="s">
        <v>5478</v>
      </c>
      <c r="B4039" s="7" t="str">
        <f>IFERROR(__xludf.DUMMYFUNCTION("SPLIT(A4039,"" "")"),"CNC1CC(N(C)Cc2ccccn2)CCC1N(Cc1nc(C)c(C)c(C)c1C)C(C)C")</f>
        <v>CNC1CC(N(C)Cc2ccccn2)CCC1N(Cc1nc(C)c(C)c(C)c1C)C(C)C</v>
      </c>
      <c r="C4039" s="7">
        <f>IFERROR(__xludf.DUMMYFUNCTION("""COMPUTED_VALUE"""),7.7978597)</f>
        <v>7.7978597</v>
      </c>
      <c r="D4039" s="7">
        <f>IFERROR(__xludf.DUMMYFUNCTION("""COMPUTED_VALUE"""),0.403225806451612)</f>
        <v>0.4032258065</v>
      </c>
    </row>
    <row r="4040">
      <c r="A4040" s="10" t="s">
        <v>5479</v>
      </c>
      <c r="B4040" s="7" t="str">
        <f>IFERROR(__xludf.DUMMYFUNCTION("SPLIT(A4040,"" "")"),"Cc1cc(C)c(CN(C)C2CCCC(N(CC3=CCC=CN3)Cc3ccccn3)C2)nc1C")</f>
        <v>Cc1cc(C)c(CN(C)C2CCCC(N(CC3=CCC=CN3)Cc3ccccn3)C2)nc1C</v>
      </c>
      <c r="C4040" s="7">
        <f>IFERROR(__xludf.DUMMYFUNCTION("""COMPUTED_VALUE"""),7.797858)</f>
        <v>7.797858</v>
      </c>
      <c r="D4040" s="7">
        <f>IFERROR(__xludf.DUMMYFUNCTION("""COMPUTED_VALUE"""),0.476923076923076)</f>
        <v>0.4769230769</v>
      </c>
    </row>
    <row r="4041">
      <c r="A4041" s="10" t="s">
        <v>5480</v>
      </c>
      <c r="B4041" s="7" t="str">
        <f>IFERROR(__xludf.DUMMYFUNCTION("SPLIT(A4041,"" "")"),"CC1=CC(C)CCC1(C)c1ccccn1")</f>
        <v>CC1=CC(C)CCC1(C)c1ccccn1</v>
      </c>
      <c r="C4041" s="7">
        <f>IFERROR(__xludf.DUMMYFUNCTION("""COMPUTED_VALUE"""),7.7978578)</f>
        <v>7.7978578</v>
      </c>
      <c r="D4041" s="7">
        <f>IFERROR(__xludf.DUMMYFUNCTION("""COMPUTED_VALUE"""),0.285714285714285)</f>
        <v>0.2857142857</v>
      </c>
    </row>
    <row r="4042">
      <c r="A4042" s="10" t="s">
        <v>5481</v>
      </c>
      <c r="B4042" s="7" t="str">
        <f>IFERROR(__xludf.DUMMYFUNCTION("SPLIT(A4042,"" "")"),"Cc1cc(C)c(CN(C)C2CCCC(N(Cc3ccnc(CNCF)c3)Cc3ccccn3)C2)nc1C")</f>
        <v>Cc1cc(C)c(CN(C)C2CCCC(N(Cc3ccnc(CNCF)c3)Cc3ccccn3)C2)nc1C</v>
      </c>
      <c r="C4042" s="7">
        <f>IFERROR(__xludf.DUMMYFUNCTION("""COMPUTED_VALUE"""),7.797857)</f>
        <v>7.797857</v>
      </c>
      <c r="D4042" s="7">
        <f>IFERROR(__xludf.DUMMYFUNCTION("""COMPUTED_VALUE"""),0.352941176470588)</f>
        <v>0.3529411765</v>
      </c>
    </row>
    <row r="4043">
      <c r="A4043" s="10" t="s">
        <v>5482</v>
      </c>
      <c r="B4043" s="7" t="str">
        <f>IFERROR(__xludf.DUMMYFUNCTION("SPLIT(A4043,"" "")"),"C=CCNC1C(N(C)Cc2ccccn2)CCCC1N(Cc1ccccn1)Cc1nc(C)c(C)c(C)c1C")</f>
        <v>C=CCNC1C(N(C)Cc2ccccn2)CCCC1N(Cc1ccccn1)Cc1nc(C)c(C)c(C)c1C</v>
      </c>
      <c r="C4043" s="7">
        <f>IFERROR(__xludf.DUMMYFUNCTION("""COMPUTED_VALUE"""),7.797853)</f>
        <v>7.797853</v>
      </c>
      <c r="D4043" s="7">
        <f>IFERROR(__xludf.DUMMYFUNCTION("""COMPUTED_VALUE"""),0.47457627118644)</f>
        <v>0.4745762712</v>
      </c>
    </row>
    <row r="4044">
      <c r="A4044" s="10" t="s">
        <v>5483</v>
      </c>
      <c r="B4044" s="7" t="str">
        <f>IFERROR(__xludf.DUMMYFUNCTION("SPLIT(A4044,"" "")"),"CNCN(Cc1cccc(F)n1)C1C=CC=CN1")</f>
        <v>CNCN(Cc1cccc(F)n1)C1C=CC=CN1</v>
      </c>
      <c r="C4044" s="7">
        <f>IFERROR(__xludf.DUMMYFUNCTION("""COMPUTED_VALUE"""),7.797851)</f>
        <v>7.797851</v>
      </c>
      <c r="D4044" s="7">
        <f>IFERROR(__xludf.DUMMYFUNCTION("""COMPUTED_VALUE"""),0.379310344827586)</f>
        <v>0.3793103448</v>
      </c>
    </row>
    <row r="4045">
      <c r="A4045" s="10" t="s">
        <v>5484</v>
      </c>
      <c r="B4045" s="7" t="str">
        <f>IFERROR(__xludf.DUMMYFUNCTION("SPLIT(A4045,"" "")"),"Cc1ccc(CN(Cc2cccc(-c3ccc4c(c3)OCCOCCOCCOCCOCCO4)n2)C2CCC(N(C)Cc3cccc(-c4ccc5c(c4)OCCOCCOCCOCCOCCO5)n3)CC2)nc1-c1ccccn1")</f>
        <v>Cc1ccc(CN(Cc2cccc(-c3ccc4c(c3)OCCOCCOCCOCCOCCO4)n2)C2CCC(N(C)Cc3cccc(-c4ccc5c(c4)OCCOCCOCCOCCOCCO5)n3)CC2)nc1-c1ccccn1</v>
      </c>
      <c r="C4045" s="7">
        <f>IFERROR(__xludf.DUMMYFUNCTION("""COMPUTED_VALUE"""),7.7978435)</f>
        <v>7.7978435</v>
      </c>
      <c r="D4045" s="7">
        <f>IFERROR(__xludf.DUMMYFUNCTION("""COMPUTED_VALUE"""),0.35)</f>
        <v>0.35</v>
      </c>
    </row>
    <row r="4046">
      <c r="A4046" s="10" t="s">
        <v>5485</v>
      </c>
      <c r="B4046" s="7" t="str">
        <f>IFERROR(__xludf.DUMMYFUNCTION("SPLIT(A4046,"" "")"),"COC(C)c1cc(CN2CCN(C)CCN(Cc3cc(C(C)(C)c4ccccn4)ccn3)CC2)ccn1")</f>
        <v>COC(C)c1cc(CN2CCN(C)CCN(Cc3cc(C(C)(C)c4ccccn4)ccn3)CC2)ccn1</v>
      </c>
      <c r="C4046" s="7">
        <f>IFERROR(__xludf.DUMMYFUNCTION("""COMPUTED_VALUE"""),7.7978296)</f>
        <v>7.7978296</v>
      </c>
      <c r="D4046" s="7">
        <f>IFERROR(__xludf.DUMMYFUNCTION("""COMPUTED_VALUE"""),0.440677966101694)</f>
        <v>0.4406779661</v>
      </c>
    </row>
    <row r="4047">
      <c r="A4047" s="10" t="s">
        <v>5486</v>
      </c>
      <c r="B4047" s="7" t="str">
        <f>IFERROR(__xludf.DUMMYFUNCTION("SPLIT(A4047,"" "")"),"CNCc1cccc(CN(Cc2ccccn2)Cc2cc(-c3cccc4c3OCCOCCOCCOCCOCCO4)ccn2)n1")</f>
        <v>CNCc1cccc(CN(Cc2ccccn2)Cc2cc(-c3cccc4c3OCCOCCOCCOCCOCCO4)ccn2)n1</v>
      </c>
      <c r="C4047" s="7">
        <f>IFERROR(__xludf.DUMMYFUNCTION("""COMPUTED_VALUE"""),7.7978215)</f>
        <v>7.7978215</v>
      </c>
      <c r="D4047" s="7">
        <f>IFERROR(__xludf.DUMMYFUNCTION("""COMPUTED_VALUE"""),0.366197183098591)</f>
        <v>0.3661971831</v>
      </c>
    </row>
    <row r="4048">
      <c r="A4048" s="10" t="s">
        <v>5487</v>
      </c>
      <c r="B4048" s="7" t="str">
        <f>IFERROR(__xludf.DUMMYFUNCTION("SPLIT(A4048,"" "")"),"Cc1cc(C)c(C)c(CN(C)C2CCC(N(C)Cc3ccon3)CC2)n1")</f>
        <v>Cc1cc(C)c(C)c(CN(C)C2CCC(N(C)Cc3ccon3)CC2)n1</v>
      </c>
      <c r="C4048" s="7">
        <f>IFERROR(__xludf.DUMMYFUNCTION("""COMPUTED_VALUE"""),7.7978215)</f>
        <v>7.7978215</v>
      </c>
      <c r="D4048" s="7">
        <f>IFERROR(__xludf.DUMMYFUNCTION("""COMPUTED_VALUE"""),0.404255319148936)</f>
        <v>0.4042553191</v>
      </c>
    </row>
    <row r="4049">
      <c r="A4049" s="10" t="s">
        <v>5488</v>
      </c>
      <c r="B4049" s="7" t="str">
        <f>IFERROR(__xludf.DUMMYFUNCTION("SPLIT(A4049,"" "")"),"Cc1nc(CN(C)C2CCCC(N(Cc3ccccn3)Cc3cccnc3CN(C)CCN)C2)c(C)c(C)c1C")</f>
        <v>Cc1nc(CN(C)C2CCCC(N(Cc3ccccn3)Cc3cccnc3CN(C)CCN)C2)c(C)c(C)c1C</v>
      </c>
      <c r="C4049" s="7">
        <f>IFERROR(__xludf.DUMMYFUNCTION("""COMPUTED_VALUE"""),7.7978187)</f>
        <v>7.7978187</v>
      </c>
      <c r="D4049" s="7">
        <f>IFERROR(__xludf.DUMMYFUNCTION("""COMPUTED_VALUE"""),0.352941176470588)</f>
        <v>0.3529411765</v>
      </c>
    </row>
    <row r="4050">
      <c r="A4050" s="10" t="s">
        <v>5489</v>
      </c>
      <c r="B4050" s="7" t="str">
        <f>IFERROR(__xludf.DUMMYFUNCTION("SPLIT(A4050,"" "")"),"CC1=C(C)C(C)C(N(Cc2ccccn2)Cc2ccccn2)CC1")</f>
        <v>CC1=C(C)C(C)C(N(Cc2ccccn2)Cc2ccccn2)CC1</v>
      </c>
      <c r="C4050" s="7">
        <f>IFERROR(__xludf.DUMMYFUNCTION("""COMPUTED_VALUE"""),7.7978115)</f>
        <v>7.7978115</v>
      </c>
      <c r="D4050" s="7">
        <f>IFERROR(__xludf.DUMMYFUNCTION("""COMPUTED_VALUE"""),0.488888888888888)</f>
        <v>0.4888888889</v>
      </c>
    </row>
    <row r="4051">
      <c r="A4051" s="10" t="s">
        <v>5490</v>
      </c>
      <c r="B4051" s="7" t="str">
        <f>IFERROR(__xludf.DUMMYFUNCTION("SPLIT(A4051,"" "")"),"c1ccc(CN(Cc2ccccn2)Cc2ncccc2-c2ccc3c(c2)OCCOCCOCCOCCOCCO3)nc1")</f>
        <v>c1ccc(CN(Cc2ccccn2)Cc2ncccc2-c2ccc3c(c2)OCCOCCOCCOCCOCCO3)nc1</v>
      </c>
      <c r="C4051" s="7">
        <f>IFERROR(__xludf.DUMMYFUNCTION("""COMPUTED_VALUE"""),7.79781)</f>
        <v>7.79781</v>
      </c>
      <c r="D4051" s="7">
        <f>IFERROR(__xludf.DUMMYFUNCTION("""COMPUTED_VALUE"""),0.434782608695652)</f>
        <v>0.4347826087</v>
      </c>
    </row>
    <row r="4052">
      <c r="A4052" s="10" t="s">
        <v>5491</v>
      </c>
      <c r="B4052" s="7" t="str">
        <f>IFERROR(__xludf.DUMMYFUNCTION("SPLIT(A4052,"" "")"),"CCN(Cc1ccc2c(n1)CCC2)C1CCCCC1N(C)Cc1nc(C)c(C)c(C)c1C")</f>
        <v>CCN(Cc1ccc2c(n1)CCC2)C1CCCCC1N(C)Cc1nc(C)c(C)c(C)c1C</v>
      </c>
      <c r="C4052" s="7">
        <f>IFERROR(__xludf.DUMMYFUNCTION("""COMPUTED_VALUE"""),7.7978077)</f>
        <v>7.7978077</v>
      </c>
      <c r="D4052" s="7">
        <f>IFERROR(__xludf.DUMMYFUNCTION("""COMPUTED_VALUE"""),0.389830508474576)</f>
        <v>0.3898305085</v>
      </c>
    </row>
    <row r="4053">
      <c r="A4053" s="10" t="s">
        <v>5492</v>
      </c>
      <c r="B4053" s="7" t="str">
        <f>IFERROR(__xludf.DUMMYFUNCTION("SPLIT(A4053,"" "")"),"CN(Cc1cc(-c2ccc3c(c2)OCCOCCOCCOCCOCCO3)ccn1)C1CCC(N(C)Cc2cc(-c3ccccn3)ccn2)CC1")</f>
        <v>CN(Cc1cc(-c2ccc3c(c2)OCCOCCOCCOCCOCCO3)ccn1)C1CCC(N(C)Cc2cc(-c3ccccn3)ccn2)CC1</v>
      </c>
      <c r="C4053" s="7">
        <f>IFERROR(__xludf.DUMMYFUNCTION("""COMPUTED_VALUE"""),7.797798)</f>
        <v>7.797798</v>
      </c>
      <c r="D4053" s="7">
        <f>IFERROR(__xludf.DUMMYFUNCTION("""COMPUTED_VALUE"""),0.391304347826087)</f>
        <v>0.3913043478</v>
      </c>
    </row>
    <row r="4054">
      <c r="A4054" s="10" t="s">
        <v>5493</v>
      </c>
      <c r="B4054" s="7" t="str">
        <f>IFERROR(__xludf.DUMMYFUNCTION("SPLIT(A4054,"" "")"),"CNCNCc1ncccc1C(C)(C)C")</f>
        <v>CNCNCc1ncccc1C(C)(C)C</v>
      </c>
      <c r="C4054" s="7">
        <f>IFERROR(__xludf.DUMMYFUNCTION("""COMPUTED_VALUE"""),7.7977824)</f>
        <v>7.7977824</v>
      </c>
      <c r="D4054" s="7">
        <f>IFERROR(__xludf.DUMMYFUNCTION("""COMPUTED_VALUE"""),0.3)</f>
        <v>0.3</v>
      </c>
    </row>
    <row r="4055">
      <c r="A4055" s="10" t="s">
        <v>5494</v>
      </c>
      <c r="B4055" s="7" t="str">
        <f>IFERROR(__xludf.DUMMYFUNCTION("SPLIT(A4055,"" "")"),"Cc1cccnc1CN(Cc1ccccn1)C1CCC(N(C)Cc2cccc(F)n2)CC1")</f>
        <v>Cc1cccnc1CN(Cc1ccccn1)C1CCC(N(C)Cc2cccc(F)n2)CC1</v>
      </c>
      <c r="C4055" s="7">
        <f>IFERROR(__xludf.DUMMYFUNCTION("""COMPUTED_VALUE"""),7.7977715)</f>
        <v>7.7977715</v>
      </c>
      <c r="D4055" s="7">
        <f>IFERROR(__xludf.DUMMYFUNCTION("""COMPUTED_VALUE"""),0.428571428571428)</f>
        <v>0.4285714286</v>
      </c>
    </row>
    <row r="4056">
      <c r="A4056" s="10" t="s">
        <v>5495</v>
      </c>
      <c r="B4056" s="7" t="str">
        <f>IFERROR(__xludf.DUMMYFUNCTION("SPLIT(A4056,"" "")"),"Cc1nc(CN(Cc2ccccn2)C2CCCCC2N(CF)Cc2ccccn2)c(C)c(C)c1C")</f>
        <v>Cc1nc(CN(Cc2ccccn2)C2CCCCC2N(CF)Cc2ccccn2)c(C)c(C)c1C</v>
      </c>
      <c r="C4056" s="7">
        <f>IFERROR(__xludf.DUMMYFUNCTION("""COMPUTED_VALUE"""),7.797766)</f>
        <v>7.797766</v>
      </c>
      <c r="D4056" s="7">
        <f>IFERROR(__xludf.DUMMYFUNCTION("""COMPUTED_VALUE"""),0.490196078431372)</f>
        <v>0.4901960784</v>
      </c>
    </row>
    <row r="4057">
      <c r="A4057" s="10" t="s">
        <v>5496</v>
      </c>
      <c r="B4057" s="7" t="str">
        <f>IFERROR(__xludf.DUMMYFUNCTION("SPLIT(A4057,"" "")"),"Cc1ccnc(CN(CN(C)C(C)C)C(C)C)c1")</f>
        <v>Cc1ccnc(CN(CN(C)C(C)C)C(C)C)c1</v>
      </c>
      <c r="C4057" s="7">
        <f>IFERROR(__xludf.DUMMYFUNCTION("""COMPUTED_VALUE"""),7.797756)</f>
        <v>7.797756</v>
      </c>
      <c r="D4057" s="7">
        <f>IFERROR(__xludf.DUMMYFUNCTION("""COMPUTED_VALUE"""),0.428571428571428)</f>
        <v>0.4285714286</v>
      </c>
    </row>
    <row r="4058">
      <c r="A4058" s="10" t="s">
        <v>5497</v>
      </c>
      <c r="B4058" s="7" t="str">
        <f>IFERROR(__xludf.DUMMYFUNCTION("SPLIT(A4058,"" "")"),"CC(C)N(C)CCN(Cc1ccccn1)C(C)(N)c1cccnc1")</f>
        <v>CC(C)N(C)CCN(Cc1ccccn1)C(C)(N)c1cccnc1</v>
      </c>
      <c r="C4058" s="7">
        <f>IFERROR(__xludf.DUMMYFUNCTION("""COMPUTED_VALUE"""),7.7977552)</f>
        <v>7.7977552</v>
      </c>
      <c r="D4058" s="7">
        <f>IFERROR(__xludf.DUMMYFUNCTION("""COMPUTED_VALUE"""),0.431372549019607)</f>
        <v>0.431372549</v>
      </c>
    </row>
    <row r="4059">
      <c r="A4059" s="10" t="s">
        <v>5498</v>
      </c>
      <c r="B4059" s="7" t="str">
        <f>IFERROR(__xludf.DUMMYFUNCTION("SPLIT(A4059,"" "")"),"CC(C)NCc1ncccc1-c1cc2c(cc1NCc1ccccn1)OCCOCCOCCOCCOCCO2")</f>
        <v>CC(C)NCc1ncccc1-c1cc2c(cc1NCc1ccccn1)OCCOCCOCCOCCOCCO2</v>
      </c>
      <c r="C4059" s="7">
        <f>IFERROR(__xludf.DUMMYFUNCTION("""COMPUTED_VALUE"""),7.797754)</f>
        <v>7.797754</v>
      </c>
      <c r="D4059" s="7">
        <f>IFERROR(__xludf.DUMMYFUNCTION("""COMPUTED_VALUE"""),0.304347826086956)</f>
        <v>0.3043478261</v>
      </c>
    </row>
    <row r="4060">
      <c r="A4060" s="10" t="s">
        <v>5499</v>
      </c>
      <c r="B4060" s="7" t="str">
        <f>IFERROR(__xludf.DUMMYFUNCTION("SPLIT(A4060,"" "")"),"CN(Cc1ccon1)Cc1ncccc1-c1cccc2c1OCCOCCOCCOCCOCCO2")</f>
        <v>CN(Cc1ccon1)Cc1ncccc1-c1cccc2c1OCCOCCOCCOCCOCCO2</v>
      </c>
      <c r="C4060" s="7">
        <f>IFERROR(__xludf.DUMMYFUNCTION("""COMPUTED_VALUE"""),7.7977495)</f>
        <v>7.7977495</v>
      </c>
      <c r="D4060" s="7">
        <f>IFERROR(__xludf.DUMMYFUNCTION("""COMPUTED_VALUE"""),0.396226415094339)</f>
        <v>0.3962264151</v>
      </c>
    </row>
    <row r="4061">
      <c r="A4061" s="10" t="s">
        <v>5500</v>
      </c>
      <c r="B4061" s="7" t="str">
        <f>IFERROR(__xludf.DUMMYFUNCTION("SPLIT(A4061,"" "")"),"CC(C)NCC1=NCC(C(C)C)O1")</f>
        <v>CC(C)NCC1=NCC(C(C)C)O1</v>
      </c>
      <c r="C4061" s="7">
        <f>IFERROR(__xludf.DUMMYFUNCTION("""COMPUTED_VALUE"""),7.7977386)</f>
        <v>7.7977386</v>
      </c>
      <c r="D4061" s="7">
        <f>IFERROR(__xludf.DUMMYFUNCTION("""COMPUTED_VALUE"""),0.163636363636363)</f>
        <v>0.1636363636</v>
      </c>
    </row>
    <row r="4062">
      <c r="A4062" s="10" t="s">
        <v>5501</v>
      </c>
      <c r="B4062" s="7" t="str">
        <f>IFERROR(__xludf.DUMMYFUNCTION("SPLIT(A4062,"" "")"),"CNCc1cccc(CN(Cc2ccccn2)Cc2ncccc2-c2cccc3c2OCCOCCOCCOCCOCCO3)n1")</f>
        <v>CNCc1cccc(CN(Cc2ccccn2)Cc2ncccc2-c2cccc3c2OCCOCCOCCOCCOCCO3)n1</v>
      </c>
      <c r="C4062" s="7">
        <f>IFERROR(__xludf.DUMMYFUNCTION("""COMPUTED_VALUE"""),7.7977343)</f>
        <v>7.7977343</v>
      </c>
      <c r="D4062" s="7">
        <f>IFERROR(__xludf.DUMMYFUNCTION("""COMPUTED_VALUE"""),0.357142857142857)</f>
        <v>0.3571428571</v>
      </c>
    </row>
    <row r="4063">
      <c r="A4063" s="10" t="s">
        <v>5502</v>
      </c>
      <c r="B4063" s="7" t="str">
        <f>IFERROR(__xludf.DUMMYFUNCTION("SPLIT(A4063,"" "")"),"Fc1ccccc1N(Cc1ccccn1)C1CCCC(N(Cc2ccccn2)Cc2cccc(-c3ccc4c(c3)OCCOCCOCCOCCOCCO4)n2)C1")</f>
        <v>Fc1ccccc1N(Cc1ccccn1)C1CCCC(N(Cc2ccccn2)Cc2cccc(-c3ccc4c(c3)OCCOCCOCCOCCOCCO4)n2)C1</v>
      </c>
      <c r="C4063" s="7">
        <f>IFERROR(__xludf.DUMMYFUNCTION("""COMPUTED_VALUE"""),7.797722)</f>
        <v>7.797722</v>
      </c>
      <c r="D4063" s="7">
        <f>IFERROR(__xludf.DUMMYFUNCTION("""COMPUTED_VALUE"""),0.363636363636363)</f>
        <v>0.3636363636</v>
      </c>
    </row>
    <row r="4064">
      <c r="A4064" s="10" t="s">
        <v>5503</v>
      </c>
      <c r="B4064" s="7" t="str">
        <f>IFERROR(__xludf.DUMMYFUNCTION("SPLIT(A4064,"" "")"),"CNCc1cc(CN(Cc2ccccn2)Cc2cc(-c3cccc4c3OCCOCCOCCOCCOCCO4)ccn2)ccn1")</f>
        <v>CNCc1cc(CN(Cc2ccccn2)Cc2cc(-c3cccc4c3OCCOCCOCCOCCOCCO4)ccn2)ccn1</v>
      </c>
      <c r="C4064" s="7">
        <f>IFERROR(__xludf.DUMMYFUNCTION("""COMPUTED_VALUE"""),7.7977204)</f>
        <v>7.7977204</v>
      </c>
      <c r="D4064" s="7">
        <f>IFERROR(__xludf.DUMMYFUNCTION("""COMPUTED_VALUE"""),0.344827586206896)</f>
        <v>0.3448275862</v>
      </c>
    </row>
    <row r="4065">
      <c r="A4065" s="10" t="s">
        <v>5504</v>
      </c>
      <c r="B4065" s="7" t="str">
        <f>IFERROR(__xludf.DUMMYFUNCTION("SPLIT(A4065,"" "")"),"CN(CCN(C)c1ccc2nccc(CF)c2c1)Cc1cccc2c1OCCOCCOCCOCCOCCO2")</f>
        <v>CN(CCN(C)c1ccc2nccc(CF)c2c1)Cc1cccc2c1OCCOCCOCCOCCOCCO2</v>
      </c>
      <c r="C4065" s="7">
        <f>IFERROR(__xludf.DUMMYFUNCTION("""COMPUTED_VALUE"""),7.7977176)</f>
        <v>7.7977176</v>
      </c>
      <c r="D4065" s="7">
        <f>IFERROR(__xludf.DUMMYFUNCTION("""COMPUTED_VALUE"""),0.303030303030303)</f>
        <v>0.303030303</v>
      </c>
    </row>
    <row r="4066">
      <c r="A4066" s="10" t="s">
        <v>5505</v>
      </c>
      <c r="B4066" s="7" t="str">
        <f>IFERROR(__xludf.DUMMYFUNCTION("SPLIT(A4066,"" "")"),"CC(C)NCc1ncccc1-c1cc(NCc2ccccn2)c2c(c1)OCCOCCOCCOCCOCCO2")</f>
        <v>CC(C)NCc1ncccc1-c1cc(NCc2ccccn2)c2c(c1)OCCOCCOCCOCCOCCO2</v>
      </c>
      <c r="C4066" s="7">
        <f>IFERROR(__xludf.DUMMYFUNCTION("""COMPUTED_VALUE"""),7.797717)</f>
        <v>7.797717</v>
      </c>
      <c r="D4066" s="7">
        <f>IFERROR(__xludf.DUMMYFUNCTION("""COMPUTED_VALUE"""),0.305555555555555)</f>
        <v>0.3055555556</v>
      </c>
    </row>
    <row r="4067">
      <c r="A4067" s="10" t="s">
        <v>5506</v>
      </c>
      <c r="B4067" s="7" t="str">
        <f>IFERROR(__xludf.DUMMYFUNCTION("SPLIT(A4067,"" "")"),"CC1=CCC(C)C(C)(c2ncccc2CN(Cc2ccccn2)Cc2ccc(-c3ccc4c(c3)OCCOCCOCCOCCOCCO4)cn2)C1C")</f>
        <v>CC1=CCC(C)C(C)(c2ncccc2CN(Cc2ccccn2)Cc2ccc(-c3ccc4c(c3)OCCOCCOCCOCCOCCO4)cn2)C1C</v>
      </c>
      <c r="C4067" s="7">
        <f>IFERROR(__xludf.DUMMYFUNCTION("""COMPUTED_VALUE"""),7.7977147)</f>
        <v>7.7977147</v>
      </c>
      <c r="D4067" s="7">
        <f>IFERROR(__xludf.DUMMYFUNCTION("""COMPUTED_VALUE"""),0.382716049382716)</f>
        <v>0.3827160494</v>
      </c>
    </row>
    <row r="4068">
      <c r="A4068" s="10" t="s">
        <v>5507</v>
      </c>
      <c r="B4068" s="7" t="str">
        <f>IFERROR(__xludf.DUMMYFUNCTION("SPLIT(A4068,"" "")"),"Cc1cccnc1CN(C)CCN(C)C1CCCC(N(Cc2ccccn2)Cc2nc(C)c(C)c(C)c2C)C1")</f>
        <v>Cc1cccnc1CN(C)CCN(C)C1CCCC(N(Cc2ccccn2)Cc2nc(C)c(C)c(C)c2C)C1</v>
      </c>
      <c r="C4068" s="7">
        <f>IFERROR(__xludf.DUMMYFUNCTION("""COMPUTED_VALUE"""),7.797707)</f>
        <v>7.797707</v>
      </c>
      <c r="D4068" s="7">
        <f>IFERROR(__xludf.DUMMYFUNCTION("""COMPUTED_VALUE"""),0.375)</f>
        <v>0.375</v>
      </c>
    </row>
    <row r="4069">
      <c r="A4069" s="10" t="s">
        <v>5508</v>
      </c>
      <c r="B4069" s="7" t="str">
        <f>IFERROR(__xludf.DUMMYFUNCTION("SPLIT(A4069,"" "")"),"CC(C)C(C)(c1cccnc1)c1cccc(CN(Cc2cccc(-c3ccc4c(c3)OCCOCCOCCOCCOCCO4)n2)Cc2cccc(-c3cccc4c3OCCOCCOCCOCCOCCO4)n2)n1")</f>
        <v>CC(C)C(C)(c1cccnc1)c1cccc(CN(Cc2cccc(-c3ccc4c(c3)OCCOCCOCCOCCOCCO4)n2)Cc2cccc(-c3cccc4c3OCCOCCOCCOCCOCCO4)n2)n1</v>
      </c>
      <c r="C4069" s="7">
        <f>IFERROR(__xludf.DUMMYFUNCTION("""COMPUTED_VALUE"""),7.7977037)</f>
        <v>7.7977037</v>
      </c>
      <c r="D4069" s="7">
        <f>IFERROR(__xludf.DUMMYFUNCTION("""COMPUTED_VALUE"""),0.294117647058823)</f>
        <v>0.2941176471</v>
      </c>
    </row>
    <row r="4070">
      <c r="A4070" s="10" t="s">
        <v>5509</v>
      </c>
      <c r="B4070" s="7" t="str">
        <f>IFERROR(__xludf.DUMMYFUNCTION("SPLIT(A4070,"" "")"),"CNCc1cccc(CN(Cc2ccccn2)Cc2cccc(-c3ccc4c(c3)OCCOCCOCCOCCOCCO4)n2)n1")</f>
        <v>CNCc1cccc(CN(Cc2ccccn2)Cc2cccc(-c3ccc4c(c3)OCCOCCOCCOCCOCCO4)n2)n1</v>
      </c>
      <c r="C4070" s="7">
        <f>IFERROR(__xludf.DUMMYFUNCTION("""COMPUTED_VALUE"""),7.7977014)</f>
        <v>7.7977014</v>
      </c>
      <c r="D4070" s="7">
        <f>IFERROR(__xludf.DUMMYFUNCTION("""COMPUTED_VALUE"""),0.492063492063492)</f>
        <v>0.4920634921</v>
      </c>
    </row>
    <row r="4071">
      <c r="A4071" s="10" t="s">
        <v>5510</v>
      </c>
      <c r="B4071" s="7" t="str">
        <f>IFERROR(__xludf.DUMMYFUNCTION("SPLIT(A4071,"" "")"),"CN(Cc1ccc(-c2ccc3c(c2)OCCOCCOCCOCCOCCO3)cn1)Cc1cccc(C(C)(C)C)n1")</f>
        <v>CN(Cc1ccc(-c2ccc3c(c2)OCCOCCOCCOCCOCCO3)cn1)Cc1cccc(C(C)(C)C)n1</v>
      </c>
      <c r="C4071" s="7">
        <f>IFERROR(__xludf.DUMMYFUNCTION("""COMPUTED_VALUE"""),7.7976933)</f>
        <v>7.7976933</v>
      </c>
      <c r="D4071" s="7">
        <f>IFERROR(__xludf.DUMMYFUNCTION("""COMPUTED_VALUE"""),0.461538461538461)</f>
        <v>0.4615384615</v>
      </c>
    </row>
    <row r="4072">
      <c r="A4072" s="10" t="s">
        <v>5511</v>
      </c>
      <c r="B4072" s="7" t="str">
        <f>IFERROR(__xludf.DUMMYFUNCTION("SPLIT(A4072,"" "")"),"Cc1cccc(CN(C)C2CCC(N(Cc3ccccn3)Cc3cccc(F)n3)CC2)n1")</f>
        <v>Cc1cccc(CN(C)C2CCC(N(Cc3ccccn3)Cc3cccc(F)n3)CC2)n1</v>
      </c>
      <c r="C4072" s="7">
        <f>IFERROR(__xludf.DUMMYFUNCTION("""COMPUTED_VALUE"""),7.797692)</f>
        <v>7.797692</v>
      </c>
      <c r="D4072" s="7">
        <f>IFERROR(__xludf.DUMMYFUNCTION("""COMPUTED_VALUE"""),0.48076923076923)</f>
        <v>0.4807692308</v>
      </c>
    </row>
    <row r="4073">
      <c r="A4073" s="10" t="s">
        <v>5512</v>
      </c>
      <c r="B4073" s="7" t="str">
        <f>IFERROR(__xludf.DUMMYFUNCTION("SPLIT(A4073,"" "")"),"CC(C)N(Cc1ccccn1)c1cc2c(c(N(C)Cc3ccccn3)c1)OCCOCCOCCOCCOCCO2")</f>
        <v>CC(C)N(Cc1ccccn1)c1cc2c(c(N(C)Cc3ccccn3)c1)OCCOCCOCCOCCOCCO2</v>
      </c>
      <c r="C4073" s="7">
        <f>IFERROR(__xludf.DUMMYFUNCTION("""COMPUTED_VALUE"""),7.7976847)</f>
        <v>7.7976847</v>
      </c>
      <c r="D4073" s="7">
        <f>IFERROR(__xludf.DUMMYFUNCTION("""COMPUTED_VALUE"""),0.436363636363636)</f>
        <v>0.4363636364</v>
      </c>
    </row>
    <row r="4074">
      <c r="A4074" s="10" t="s">
        <v>5513</v>
      </c>
      <c r="B4074" s="7" t="str">
        <f>IFERROR(__xludf.DUMMYFUNCTION("SPLIT(A4074,"" "")"),"Cc1nc(CN(C)C2CCCC(N(C)Cc3ncccc3F)C2)c(C)c(C)c1C")</f>
        <v>Cc1nc(CN(C)C2CCCC(N(C)Cc3ncccc3F)C2)c(C)c(C)c1C</v>
      </c>
      <c r="C4074" s="7">
        <f>IFERROR(__xludf.DUMMYFUNCTION("""COMPUTED_VALUE"""),7.797681)</f>
        <v>7.797681</v>
      </c>
      <c r="D4074" s="7">
        <f>IFERROR(__xludf.DUMMYFUNCTION("""COMPUTED_VALUE"""),0.321428571428571)</f>
        <v>0.3214285714</v>
      </c>
    </row>
    <row r="4075">
      <c r="A4075" s="10" t="s">
        <v>5514</v>
      </c>
      <c r="B4075" s="7" t="str">
        <f>IFERROR(__xludf.DUMMYFUNCTION("SPLIT(A4075,"" "")"),"Cc1cc(CN(C)C2CCC(N(C)Cc3nc(C)c(C)c(C)c3C)CC2)ccn1")</f>
        <v>Cc1cc(CN(C)C2CCC(N(C)Cc3nc(C)c(C)c(C)c3C)CC2)ccn1</v>
      </c>
      <c r="C4075" s="7">
        <f>IFERROR(__xludf.DUMMYFUNCTION("""COMPUTED_VALUE"""),7.797679)</f>
        <v>7.797679</v>
      </c>
      <c r="D4075" s="7">
        <f>IFERROR(__xludf.DUMMYFUNCTION("""COMPUTED_VALUE"""),0.285714285714285)</f>
        <v>0.2857142857</v>
      </c>
    </row>
    <row r="4076">
      <c r="A4076" s="10" t="s">
        <v>5515</v>
      </c>
      <c r="B4076" s="7" t="str">
        <f>IFERROR(__xludf.DUMMYFUNCTION("SPLIT(A4076,"" "")"),"CC1C=CC(C)C(C)(c2ncccc2CN(Cc2ccccn2)Cc2ncccc2-c2cccc3c2OCCOCCOCCOCCOCCO3)C1")</f>
        <v>CC1C=CC(C)C(C)(c2ncccc2CN(Cc2ccccn2)Cc2ncccc2-c2cccc3c2OCCOCCOCCOCCOCCO3)C1</v>
      </c>
      <c r="C4076" s="7">
        <f>IFERROR(__xludf.DUMMYFUNCTION("""COMPUTED_VALUE"""),7.797672)</f>
        <v>7.797672</v>
      </c>
      <c r="D4076" s="7">
        <f>IFERROR(__xludf.DUMMYFUNCTION("""COMPUTED_VALUE"""),0.294117647058823)</f>
        <v>0.2941176471</v>
      </c>
    </row>
    <row r="4077">
      <c r="A4077" s="10" t="s">
        <v>5516</v>
      </c>
      <c r="B4077" s="7" t="str">
        <f>IFERROR(__xludf.DUMMYFUNCTION("SPLIT(A4077,"" "")"),"Cc1ccc(CN(C)Cc2ccc(CN(C)Cc3cccc(CN4CCN(C)CCN(C)CC4)n3)nc2)nc1")</f>
        <v>Cc1ccc(CN(C)Cc2ccc(CN(C)Cc3cccc(CN4CCN(C)CCN(C)CC4)n3)nc2)nc1</v>
      </c>
      <c r="C4077" s="7">
        <f>IFERROR(__xludf.DUMMYFUNCTION("""COMPUTED_VALUE"""),7.797672)</f>
        <v>7.797672</v>
      </c>
      <c r="D4077" s="7">
        <f>IFERROR(__xludf.DUMMYFUNCTION("""COMPUTED_VALUE"""),0.5)</f>
        <v>0.5</v>
      </c>
    </row>
    <row r="4078">
      <c r="A4078" s="10" t="s">
        <v>5517</v>
      </c>
      <c r="B4078" s="7" t="str">
        <f>IFERROR(__xludf.DUMMYFUNCTION("SPLIT(A4078,"" "")"),"CN1CCN(Cc2cccc(-c3cccc(N(C)C)c3)n2)CCN(Cc2cccc(-c3ccc4c(c3)OCCOCCOCCOCCOCCO4)n2)CC1")</f>
        <v>CN1CCN(Cc2cccc(-c3cccc(N(C)C)c3)n2)CCN(Cc2cccc(-c3ccc4c(c3)OCCOCCOCCOCCOCCO4)n2)CC1</v>
      </c>
      <c r="C4078" s="7">
        <f>IFERROR(__xludf.DUMMYFUNCTION("""COMPUTED_VALUE"""),7.7976713)</f>
        <v>7.7976713</v>
      </c>
      <c r="D4078" s="7">
        <f>IFERROR(__xludf.DUMMYFUNCTION("""COMPUTED_VALUE"""),0.406779661016949)</f>
        <v>0.406779661</v>
      </c>
    </row>
    <row r="4079">
      <c r="A4079" s="10" t="s">
        <v>5518</v>
      </c>
      <c r="B4079" s="7" t="str">
        <f>IFERROR(__xludf.DUMMYFUNCTION("SPLIT(A4079,"" "")"),"CN(Cc1ccccn1)C1=CNC(CN(C)C2CCCC(N(C)Cc3ccccn3)C2)=CC1")</f>
        <v>CN(Cc1ccccn1)C1=CNC(CN(C)C2CCCC(N(C)Cc3ccccn3)C2)=CC1</v>
      </c>
      <c r="C4079" s="7">
        <f>IFERROR(__xludf.DUMMYFUNCTION("""COMPUTED_VALUE"""),7.7976675)</f>
        <v>7.7976675</v>
      </c>
      <c r="D4079" s="7">
        <f>IFERROR(__xludf.DUMMYFUNCTION("""COMPUTED_VALUE"""),0.471698113207547)</f>
        <v>0.4716981132</v>
      </c>
    </row>
    <row r="4080">
      <c r="A4080" s="10" t="s">
        <v>5519</v>
      </c>
      <c r="B4080" s="7" t="str">
        <f>IFERROR(__xludf.DUMMYFUNCTION("SPLIT(A4080,"" "")"),"CN(CCN(C)C(c1ccccc1)c1ccccn1)CC(C)(C)C")</f>
        <v>CN(CCN(C)C(c1ccccc1)c1ccccn1)CC(C)(C)C</v>
      </c>
      <c r="C4080" s="7">
        <f>IFERROR(__xludf.DUMMYFUNCTION("""COMPUTED_VALUE"""),7.7976637)</f>
        <v>7.7976637</v>
      </c>
      <c r="D4080" s="7">
        <f>IFERROR(__xludf.DUMMYFUNCTION("""COMPUTED_VALUE"""),0.46938775510204)</f>
        <v>0.4693877551</v>
      </c>
    </row>
    <row r="4081">
      <c r="A4081" s="10" t="s">
        <v>5520</v>
      </c>
      <c r="B4081" s="7" t="str">
        <f>IFERROR(__xludf.DUMMYFUNCTION("SPLIT(A4081,"" "")"),"CC(C)CN(C)CC1=CCC=CN1")</f>
        <v>CC(C)CN(C)CC1=CCC=CN1</v>
      </c>
      <c r="C4081" s="7">
        <f>IFERROR(__xludf.DUMMYFUNCTION("""COMPUTED_VALUE"""),7.79766)</f>
        <v>7.79766</v>
      </c>
      <c r="D4081" s="7">
        <f>IFERROR(__xludf.DUMMYFUNCTION("""COMPUTED_VALUE"""),0.422222222222222)</f>
        <v>0.4222222222</v>
      </c>
    </row>
    <row r="4082">
      <c r="A4082" s="10" t="s">
        <v>5521</v>
      </c>
      <c r="B4082" s="7" t="str">
        <f>IFERROR(__xludf.DUMMYFUNCTION("SPLIT(A4082,"" "")"),"Cc1cccnc1CN(C)C1CC(N(C)Cc2ccccn2)CC(N(Cc2ccccn2)C(C)C)C1")</f>
        <v>Cc1cccnc1CN(C)C1CC(N(C)Cc2ccccn2)CC(N(Cc2ccccn2)C(C)C)C1</v>
      </c>
      <c r="C4082" s="7">
        <f>IFERROR(__xludf.DUMMYFUNCTION("""COMPUTED_VALUE"""),7.7976565)</f>
        <v>7.7976565</v>
      </c>
      <c r="D4082" s="7">
        <f>IFERROR(__xludf.DUMMYFUNCTION("""COMPUTED_VALUE"""),0.442307692307692)</f>
        <v>0.4423076923</v>
      </c>
    </row>
    <row r="4083">
      <c r="A4083" s="10" t="s">
        <v>5522</v>
      </c>
      <c r="B4083" s="7" t="str">
        <f>IFERROR(__xludf.DUMMYFUNCTION("SPLIT(A4083,"" "")"),"CC1C=C(N(C)Cc2ccccn2)CC(C)(C)C1C")</f>
        <v>CC1C=C(N(C)Cc2ccccn2)CC(C)(C)C1C</v>
      </c>
      <c r="C4083" s="7">
        <f>IFERROR(__xludf.DUMMYFUNCTION("""COMPUTED_VALUE"""),7.7976465)</f>
        <v>7.7976465</v>
      </c>
      <c r="D4083" s="7">
        <f>IFERROR(__xludf.DUMMYFUNCTION("""COMPUTED_VALUE"""),0.446808510638297)</f>
        <v>0.4468085106</v>
      </c>
    </row>
    <row r="4084">
      <c r="A4084" s="10" t="s">
        <v>5523</v>
      </c>
      <c r="B4084" s="7" t="str">
        <f>IFERROR(__xludf.DUMMYFUNCTION("SPLIT(A4084,"" "")"),"CN1CCN(Cc2ccc(-c3ccc4c(c3)OCCOCCOCCOCCOCCO4)cn2)CCN(Cc2cccc(-c3ccccc3N(C)C)n2)CC1")</f>
        <v>CN1CCN(Cc2ccc(-c3ccc4c(c3)OCCOCCOCCOCCOCCO4)cn2)CCN(Cc2cccc(-c3ccccc3N(C)C)n2)CC1</v>
      </c>
      <c r="C4084" s="7">
        <f>IFERROR(__xludf.DUMMYFUNCTION("""COMPUTED_VALUE"""),7.7976394)</f>
        <v>7.7976394</v>
      </c>
      <c r="D4084" s="7">
        <f>IFERROR(__xludf.DUMMYFUNCTION("""COMPUTED_VALUE"""),0.465753424657534)</f>
        <v>0.4657534247</v>
      </c>
    </row>
    <row r="4085">
      <c r="A4085" s="10" t="s">
        <v>5524</v>
      </c>
      <c r="B4085" s="7" t="str">
        <f>IFERROR(__xludf.DUMMYFUNCTION("SPLIT(A4085,"" "")"),"CC1=CC(C)C(C)(c2ncccc2CN(Cc2ccccn2)C2CCC(N(C)Cc3ncccc3C)CC2)CC1(C)C")</f>
        <v>CC1=CC(C)C(C)(c2ncccc2CN(Cc2ccccn2)C2CCC(N(C)Cc3ncccc3C)CC2)CC1(C)C</v>
      </c>
      <c r="C4085" s="7">
        <f>IFERROR(__xludf.DUMMYFUNCTION("""COMPUTED_VALUE"""),7.7976365)</f>
        <v>7.7976365</v>
      </c>
      <c r="D4085" s="7">
        <f>IFERROR(__xludf.DUMMYFUNCTION("""COMPUTED_VALUE"""),0.338235294117647)</f>
        <v>0.3382352941</v>
      </c>
    </row>
    <row r="4086">
      <c r="A4086" s="10" t="s">
        <v>5525</v>
      </c>
      <c r="B4086" s="7" t="str">
        <f>IFERROR(__xludf.DUMMYFUNCTION("SPLIT(A4086,"" "")"),"CC1=CCC(C)(C)C(C)(c2cc(CN(Cc3ccccn3)Cc3ccc(-c4ccc5c(c4)OCCOCCOCCOCCOCCO5)cn3)ccn2)C1C")</f>
        <v>CC1=CCC(C)(C)C(C)(c2cc(CN(Cc3ccccn3)Cc3ccc(-c4ccc5c(c4)OCCOCCOCCOCCOCCO5)cn3)ccn2)C1C</v>
      </c>
      <c r="C4086" s="7">
        <f>IFERROR(__xludf.DUMMYFUNCTION("""COMPUTED_VALUE"""),7.7976313)</f>
        <v>7.7976313</v>
      </c>
      <c r="D4086" s="7">
        <f>IFERROR(__xludf.DUMMYFUNCTION("""COMPUTED_VALUE"""),0.373493975903614)</f>
        <v>0.3734939759</v>
      </c>
    </row>
    <row r="4087">
      <c r="A4087" s="10" t="s">
        <v>5526</v>
      </c>
      <c r="B4087" s="7" t="str">
        <f>IFERROR(__xludf.DUMMYFUNCTION("SPLIT(A4087,"" "")"),"Cc1cccnc1CN(C)C1CCC(N(C)Cc2ccccn2)C(N(Cc2ncccc2C)C(C)C)C1")</f>
        <v>Cc1cccnc1CN(C)C1CCC(N(C)Cc2ccccn2)C(N(Cc2ncccc2C)C(C)C)C1</v>
      </c>
      <c r="C4087" s="7">
        <f>IFERROR(__xludf.DUMMYFUNCTION("""COMPUTED_VALUE"""),7.7976227)</f>
        <v>7.7976227</v>
      </c>
      <c r="D4087" s="7">
        <f>IFERROR(__xludf.DUMMYFUNCTION("""COMPUTED_VALUE"""),0.5)</f>
        <v>0.5</v>
      </c>
    </row>
    <row r="4088">
      <c r="A4088" s="10" t="s">
        <v>5527</v>
      </c>
      <c r="B4088" s="7" t="str">
        <f>IFERROR(__xludf.DUMMYFUNCTION("SPLIT(A4088,"" "")"),"Cc1cccnc1CN(C)C1CCC(N(C)Cc2nc(C)c(C)c(C)c2C)CC1")</f>
        <v>Cc1cccnc1CN(C)C1CCC(N(C)Cc2nc(C)c(C)c(C)c2C)CC1</v>
      </c>
      <c r="C4088" s="7">
        <f>IFERROR(__xludf.DUMMYFUNCTION("""COMPUTED_VALUE"""),7.797616)</f>
        <v>7.797616</v>
      </c>
      <c r="D4088" s="7">
        <f>IFERROR(__xludf.DUMMYFUNCTION("""COMPUTED_VALUE"""),0.326923076923076)</f>
        <v>0.3269230769</v>
      </c>
    </row>
    <row r="4089">
      <c r="A4089" s="10" t="s">
        <v>5528</v>
      </c>
      <c r="B4089" s="7" t="str">
        <f>IFERROR(__xludf.DUMMYFUNCTION("SPLIT(A4089,"" "")"),"CNCN(CCN(C)C1CCCC(N(C)Cc2nc(C)c(C)c(C)c2C)C1)Cc1nc(C)c(C)cc1C")</f>
        <v>CNCN(CCN(C)C1CCCC(N(C)Cc2nc(C)c(C)c(C)c2C)C1)Cc1nc(C)c(C)cc1C</v>
      </c>
      <c r="C4089" s="7">
        <f>IFERROR(__xludf.DUMMYFUNCTION("""COMPUTED_VALUE"""),7.797613)</f>
        <v>7.797613</v>
      </c>
      <c r="D4089" s="7">
        <f>IFERROR(__xludf.DUMMYFUNCTION("""COMPUTED_VALUE"""),0.23076923076923)</f>
        <v>0.2307692308</v>
      </c>
    </row>
    <row r="4090">
      <c r="A4090" s="10" t="s">
        <v>5529</v>
      </c>
      <c r="B4090" s="7" t="str">
        <f>IFERROR(__xludf.DUMMYFUNCTION("SPLIT(A4090,"" "")"),"CN(Cc1ccc(-c2cccc3c2OCCOCCOCCOCCOCCO3)cn1)Cc1ccc(C(C)(C)C)cn1")</f>
        <v>CN(Cc1ccc(-c2cccc3c2OCCOCCOCCOCCOCCO3)cn1)Cc1ccc(C(C)(C)C)cn1</v>
      </c>
      <c r="C4090" s="7">
        <f>IFERROR(__xludf.DUMMYFUNCTION("""COMPUTED_VALUE"""),7.7976074)</f>
        <v>7.7976074</v>
      </c>
      <c r="D4090" s="7">
        <f>IFERROR(__xludf.DUMMYFUNCTION("""COMPUTED_VALUE"""),0.323943661971831)</f>
        <v>0.323943662</v>
      </c>
    </row>
    <row r="4091">
      <c r="A4091" s="10" t="s">
        <v>5530</v>
      </c>
      <c r="B4091" s="7" t="str">
        <f>IFERROR(__xludf.DUMMYFUNCTION("SPLIT(A4091,"" "")"),"CCN(Cc1cccc(CN(Cc2ccccn2)Cc2cccc(-c3ccc4c(c3)OCCOCCOCCOCCOCCO4)n2)n1)C(C)C")</f>
        <v>CCN(Cc1cccc(CN(Cc2ccccn2)Cc2cccc(-c3ccc4c(c3)OCCOCCOCCOCCOCCO4)n2)n1)C(C)C</v>
      </c>
      <c r="C4091" s="7">
        <f>IFERROR(__xludf.DUMMYFUNCTION("""COMPUTED_VALUE"""),7.7975936)</f>
        <v>7.7975936</v>
      </c>
      <c r="D4091" s="7">
        <f>IFERROR(__xludf.DUMMYFUNCTION("""COMPUTED_VALUE"""),0.469696969696969)</f>
        <v>0.4696969697</v>
      </c>
    </row>
    <row r="4092">
      <c r="A4092" s="10" t="s">
        <v>5531</v>
      </c>
      <c r="B4092" s="7" t="str">
        <f>IFERROR(__xludf.DUMMYFUNCTION("SPLIT(A4092,"" "")"),"CN(C)Cc1cccc(CNCF)n1")</f>
        <v>CN(C)Cc1cccc(CNCF)n1</v>
      </c>
      <c r="C4092" s="7">
        <f>IFERROR(__xludf.DUMMYFUNCTION("""COMPUTED_VALUE"""),7.7975917)</f>
        <v>7.7975917</v>
      </c>
      <c r="D4092" s="7">
        <f>IFERROR(__xludf.DUMMYFUNCTION("""COMPUTED_VALUE"""),0.421052631578947)</f>
        <v>0.4210526316</v>
      </c>
    </row>
    <row r="4093">
      <c r="A4093" s="10" t="s">
        <v>5532</v>
      </c>
      <c r="B4093" s="7" t="str">
        <f>IFERROR(__xludf.DUMMYFUNCTION("SPLIT(A4093,"" "")"),"Cc1cccc(C2CCC2(C)C)n1")</f>
        <v>Cc1cccc(C2CCC2(C)C)n1</v>
      </c>
      <c r="C4093" s="7">
        <f>IFERROR(__xludf.DUMMYFUNCTION("""COMPUTED_VALUE"""),7.797585)</f>
        <v>7.797585</v>
      </c>
      <c r="D4093" s="7">
        <f>IFERROR(__xludf.DUMMYFUNCTION("""COMPUTED_VALUE"""),0.34090909090909)</f>
        <v>0.3409090909</v>
      </c>
    </row>
    <row r="4094">
      <c r="A4094" s="10" t="s">
        <v>5533</v>
      </c>
      <c r="B4094" s="7" t="str">
        <f>IFERROR(__xludf.DUMMYFUNCTION("SPLIT(A4094,"" "")"),"CN1CCN(Cc2cc(-c3ccc4c(c3)OCCOCCOCCOCCOCCO4)ccn2)CCN(Cc2cnccc2-c2ccccc2N(C)C)CC1")</f>
        <v>CN1CCN(Cc2cc(-c3ccc4c(c3)OCCOCCOCCOCCOCCO4)ccn2)CCN(Cc2cnccc2-c2ccccc2N(C)C)CC1</v>
      </c>
      <c r="C4094" s="7">
        <f>IFERROR(__xludf.DUMMYFUNCTION("""COMPUTED_VALUE"""),7.797583)</f>
        <v>7.797583</v>
      </c>
      <c r="D4094" s="7">
        <f>IFERROR(__xludf.DUMMYFUNCTION("""COMPUTED_VALUE"""),0.3625)</f>
        <v>0.3625</v>
      </c>
    </row>
    <row r="4095">
      <c r="A4095" s="10" t="s">
        <v>5534</v>
      </c>
      <c r="B4095" s="7" t="str">
        <f>IFERROR(__xludf.DUMMYFUNCTION("SPLIT(A4095,"" "")"),"CC1=C(N(C)Cc2ccccn2)CCC(C)C1(C)C")</f>
        <v>CC1=C(N(C)Cc2ccccn2)CCC(C)C1(C)C</v>
      </c>
      <c r="C4095" s="7">
        <f>IFERROR(__xludf.DUMMYFUNCTION("""COMPUTED_VALUE"""),7.797582)</f>
        <v>7.797582</v>
      </c>
      <c r="D4095" s="7">
        <f>IFERROR(__xludf.DUMMYFUNCTION("""COMPUTED_VALUE"""),0.458333333333333)</f>
        <v>0.4583333333</v>
      </c>
    </row>
    <row r="4096">
      <c r="A4096" s="10" t="s">
        <v>5535</v>
      </c>
      <c r="B4096" s="7" t="str">
        <f>IFERROR(__xludf.DUMMYFUNCTION("SPLIT(A4096,"" "")"),"CC1C=CCC(C)C1(C)N(Cc1ccccn1)Cc1ncccc1C(C)(C)C")</f>
        <v>CC1C=CCC(C)C1(C)N(Cc1ccccn1)Cc1ncccc1C(C)(C)C</v>
      </c>
      <c r="C4096" s="7">
        <f>IFERROR(__xludf.DUMMYFUNCTION("""COMPUTED_VALUE"""),7.79758)</f>
        <v>7.79758</v>
      </c>
      <c r="D4096" s="7">
        <f>IFERROR(__xludf.DUMMYFUNCTION("""COMPUTED_VALUE"""),0.338983050847457)</f>
        <v>0.3389830508</v>
      </c>
    </row>
    <row r="4097">
      <c r="A4097" s="10" t="s">
        <v>5536</v>
      </c>
      <c r="B4097" s="7" t="str">
        <f>IFERROR(__xludf.DUMMYFUNCTION("SPLIT(A4097,"" "")"),"CNC1CC(N(Cc2ccccn2)Cc2ccccn2)CCC1N(Cc1ccccn1)Cc1ccccn1")</f>
        <v>CNC1CC(N(Cc2ccccn2)Cc2ccccn2)CCC1N(Cc1ccccn1)Cc1ccccn1</v>
      </c>
      <c r="C4097" s="7">
        <f>IFERROR(__xludf.DUMMYFUNCTION("""COMPUTED_VALUE"""),7.797578)</f>
        <v>7.797578</v>
      </c>
      <c r="D4097" s="7">
        <f>IFERROR(__xludf.DUMMYFUNCTION("""COMPUTED_VALUE"""),0.468085106382978)</f>
        <v>0.4680851064</v>
      </c>
    </row>
    <row r="4098">
      <c r="A4098" s="10" t="s">
        <v>5537</v>
      </c>
      <c r="B4098" s="7" t="str">
        <f>IFERROR(__xludf.DUMMYFUNCTION("SPLIT(A4098,"" "")"),"CC1C=C(Cl)C(Cl)CC1N(C)C")</f>
        <v>CC1C=C(Cl)C(Cl)CC1N(C)C</v>
      </c>
      <c r="C4098" s="7">
        <f>IFERROR(__xludf.DUMMYFUNCTION("""COMPUTED_VALUE"""),7.7975774)</f>
        <v>7.7975774</v>
      </c>
      <c r="D4098" s="7">
        <f>IFERROR(__xludf.DUMMYFUNCTION("""COMPUTED_VALUE"""),0.18)</f>
        <v>0.18</v>
      </c>
    </row>
    <row r="4099">
      <c r="A4099" s="10" t="s">
        <v>5538</v>
      </c>
      <c r="B4099" s="7" t="str">
        <f>IFERROR(__xludf.DUMMYFUNCTION("SPLIT(A4099,"" "")"),"CN(Cc1ccc(-c2ccc3c(c2)OCCOCCOCCOCCOCCO3)cn1)C1CCC(N(C)Cc2ccc(-c3ccccn3)cn2)CC1")</f>
        <v>CN(Cc1ccc(-c2ccc3c(c2)OCCOCCOCCOCCOCCO3)cn1)C1CCC(N(C)Cc2ccc(-c3ccccn3)cn2)CC1</v>
      </c>
      <c r="C4099" s="7">
        <f>IFERROR(__xludf.DUMMYFUNCTION("""COMPUTED_VALUE"""),7.7975597)</f>
        <v>7.7975597</v>
      </c>
      <c r="D4099" s="7">
        <f>IFERROR(__xludf.DUMMYFUNCTION("""COMPUTED_VALUE"""),0.492307692307692)</f>
        <v>0.4923076923</v>
      </c>
    </row>
    <row r="4100">
      <c r="A4100" s="10" t="s">
        <v>5539</v>
      </c>
      <c r="B4100" s="7" t="str">
        <f>IFERROR(__xludf.DUMMYFUNCTION("SPLIT(A4100,"" "")"),"Cc1ccc(CN2CCN(C)CCN(Cc3ccc(C4=NC(C)(C)CO4)nc3)CC2)nc1")</f>
        <v>Cc1ccc(CN2CCN(C)CCN(Cc3ccc(C4=NC(C)(C)CO4)nc3)CC2)nc1</v>
      </c>
      <c r="C4100" s="7">
        <f>IFERROR(__xludf.DUMMYFUNCTION("""COMPUTED_VALUE"""),7.7975454)</f>
        <v>7.7975454</v>
      </c>
      <c r="D4100" s="7">
        <f>IFERROR(__xludf.DUMMYFUNCTION("""COMPUTED_VALUE"""),0.372881355932203)</f>
        <v>0.3728813559</v>
      </c>
    </row>
    <row r="4101">
      <c r="A4101" s="10" t="s">
        <v>5540</v>
      </c>
      <c r="B4101" s="7" t="str">
        <f>IFERROR(__xludf.DUMMYFUNCTION("SPLIT(A4101,"" "")"),"Cc1cccnc1CN(C)C(C)(N)N(C)C(C)C")</f>
        <v>Cc1cccnc1CN(C)C(C)(N)N(C)C(C)C</v>
      </c>
      <c r="C4101" s="7">
        <f>IFERROR(__xludf.DUMMYFUNCTION("""COMPUTED_VALUE"""),7.7975435)</f>
        <v>7.7975435</v>
      </c>
      <c r="D4101" s="7">
        <f>IFERROR(__xludf.DUMMYFUNCTION("""COMPUTED_VALUE"""),0.3125)</f>
        <v>0.3125</v>
      </c>
    </row>
    <row r="4102">
      <c r="A4102" s="10" t="s">
        <v>5541</v>
      </c>
      <c r="B4102" s="7" t="str">
        <f>IFERROR(__xludf.DUMMYFUNCTION("SPLIT(A4102,"" "")"),"CCNc1ccc(CN(Cc2ccccn2)Cc2cccc(-c3cccc4c3OCCOCCOCCOCCOCCO4)n2)cn1")</f>
        <v>CCNc1ccc(CN(Cc2ccccn2)Cc2cccc(-c3cccc4c3OCCOCCOCCOCCOCCO4)n2)cn1</v>
      </c>
      <c r="C4102" s="7">
        <f>IFERROR(__xludf.DUMMYFUNCTION("""COMPUTED_VALUE"""),7.797539)</f>
        <v>7.797539</v>
      </c>
      <c r="D4102" s="7">
        <f>IFERROR(__xludf.DUMMYFUNCTION("""COMPUTED_VALUE"""),0.367647058823529)</f>
        <v>0.3676470588</v>
      </c>
    </row>
    <row r="4103">
      <c r="A4103" s="10" t="s">
        <v>5542</v>
      </c>
      <c r="B4103" s="7" t="str">
        <f>IFERROR(__xludf.DUMMYFUNCTION("SPLIT(A4103,"" "")"),"CNC1C(N(Cc2ccccn2)Cc2cccc(C3CC(Cl)C3Cl)n2)CCCC1N(Cc1ccccn1)Cc1cccc(C2CC(Cl)C2Cl)n1")</f>
        <v>CNC1C(N(Cc2ccccn2)Cc2cccc(C3CC(Cl)C3Cl)n2)CCCC1N(Cc1ccccn1)Cc1cccc(C2CC(Cl)C2Cl)n1</v>
      </c>
      <c r="C4103" s="7">
        <f>IFERROR(__xludf.DUMMYFUNCTION("""COMPUTED_VALUE"""),7.797537)</f>
        <v>7.797537</v>
      </c>
      <c r="D4103" s="7">
        <f>IFERROR(__xludf.DUMMYFUNCTION("""COMPUTED_VALUE"""),0.421052631578947)</f>
        <v>0.4210526316</v>
      </c>
    </row>
    <row r="4104">
      <c r="A4104" s="10" t="s">
        <v>5543</v>
      </c>
      <c r="B4104" s="7" t="str">
        <f>IFERROR(__xludf.DUMMYFUNCTION("SPLIT(A4104,"" "")"),"CNCc1cc(CN(Cc2ccccn2)Cc2cccc(-c3ccc4c(c3)OCCOCCOCCOCCOCCO4)n2)ccn1")</f>
        <v>CNCc1cc(CN(Cc2ccccn2)Cc2cccc(-c3ccc4c(c3)OCCOCCOCCOCCOCCO4)n2)ccn1</v>
      </c>
      <c r="C4104" s="7">
        <f>IFERROR(__xludf.DUMMYFUNCTION("""COMPUTED_VALUE"""),7.7975307)</f>
        <v>7.7975307</v>
      </c>
      <c r="D4104" s="7">
        <f>IFERROR(__xludf.DUMMYFUNCTION("""COMPUTED_VALUE"""),0.462686567164179)</f>
        <v>0.4626865672</v>
      </c>
    </row>
    <row r="4105">
      <c r="A4105" s="10" t="s">
        <v>5544</v>
      </c>
      <c r="B4105" s="7" t="str">
        <f>IFERROR(__xludf.DUMMYFUNCTION("SPLIT(A4105,"" "")"),"CC1=C(CN(C)C2CCC(N(C)Cc3ccc4cccnc4c3)CC2)C(C)C(C)C=C1")</f>
        <v>CC1=C(CN(C)C2CCC(N(C)Cc3ccc4cccnc4c3)CC2)C(C)C(C)C=C1</v>
      </c>
      <c r="C4105" s="7">
        <f>IFERROR(__xludf.DUMMYFUNCTION("""COMPUTED_VALUE"""),7.797528)</f>
        <v>7.797528</v>
      </c>
      <c r="D4105" s="7">
        <f>IFERROR(__xludf.DUMMYFUNCTION("""COMPUTED_VALUE"""),0.269841269841269)</f>
        <v>0.2698412698</v>
      </c>
    </row>
    <row r="4106">
      <c r="A4106" s="10" t="s">
        <v>5545</v>
      </c>
      <c r="B4106" s="7" t="str">
        <f>IFERROR(__xludf.DUMMYFUNCTION("SPLIT(A4106,"" "")"),"CCNc1cccc(CN(Cc2ccccn2)C2CCC(N(C)Cc3ncccc3C)CC2)n1")</f>
        <v>CCNc1cccc(CN(Cc2ccccn2)C2CCC(N(C)Cc3ncccc3C)CC2)n1</v>
      </c>
      <c r="C4106" s="7">
        <f>IFERROR(__xludf.DUMMYFUNCTION("""COMPUTED_VALUE"""),7.797524)</f>
        <v>7.797524</v>
      </c>
      <c r="D4106" s="7">
        <f>IFERROR(__xludf.DUMMYFUNCTION("""COMPUTED_VALUE"""),0.389830508474576)</f>
        <v>0.3898305085</v>
      </c>
    </row>
    <row r="4107">
      <c r="A4107" s="10" t="s">
        <v>5546</v>
      </c>
      <c r="B4107" s="7" t="str">
        <f>IFERROR(__xludf.DUMMYFUNCTION("SPLIT(A4107,"" "")"),"CC(C)N(Cc1cccc(CN(Cc2ccc([SiH3])cn2)Cc2cc(-c3ccc4c(c3)OCCOCCOCCOCCOCCO4)ccn2)n1)Cc1cccc(-c2ccc3c(c2)OCCOCCOCCOCCOCCO3)n1")</f>
        <v>CC(C)N(Cc1cccc(CN(Cc2ccc([SiH3])cn2)Cc2cc(-c3ccc4c(c3)OCCOCCOCCOCCOCCO4)ccn2)n1)Cc1cccc(-c2ccc3c(c2)OCCOCCOCCOCCOCCO3)n1</v>
      </c>
      <c r="C4107" s="7">
        <f>IFERROR(__xludf.DUMMYFUNCTION("""COMPUTED_VALUE"""),7.7975235)</f>
        <v>7.7975235</v>
      </c>
      <c r="D4107" s="7">
        <f>IFERROR(__xludf.DUMMYFUNCTION("""COMPUTED_VALUE"""),0.363636363636363)</f>
        <v>0.3636363636</v>
      </c>
    </row>
    <row r="4108">
      <c r="A4108" s="10" t="s">
        <v>5547</v>
      </c>
      <c r="B4108" s="7" t="str">
        <f>IFERROR(__xludf.DUMMYFUNCTION("SPLIT(A4108,"" "")"),"CN(CCF)CCN(C)CCN(C)CC1=CCC=C(N(C)Cc2ccccn2)N1")</f>
        <v>CN(CCF)CCN(C)CCN(C)CC1=CCC=C(N(C)Cc2ccccn2)N1</v>
      </c>
      <c r="C4108" s="7">
        <f>IFERROR(__xludf.DUMMYFUNCTION("""COMPUTED_VALUE"""),7.797521)</f>
        <v>7.797521</v>
      </c>
      <c r="D4108" s="7">
        <f>IFERROR(__xludf.DUMMYFUNCTION("""COMPUTED_VALUE"""),0.396551724137931)</f>
        <v>0.3965517241</v>
      </c>
    </row>
    <row r="4109">
      <c r="A4109" s="10" t="s">
        <v>5548</v>
      </c>
      <c r="B4109" s="7" t="str">
        <f>IFERROR(__xludf.DUMMYFUNCTION("SPLIT(A4109,"" "")"),"CC1=CC(C)(C)CC(N(C)Cc2cc(C)ccn2)C1C")</f>
        <v>CC1=CC(C)(C)CC(N(C)Cc2cc(C)ccn2)C1C</v>
      </c>
      <c r="C4109" s="7">
        <f>IFERROR(__xludf.DUMMYFUNCTION("""COMPUTED_VALUE"""),7.797505)</f>
        <v>7.797505</v>
      </c>
      <c r="D4109" s="7">
        <f>IFERROR(__xludf.DUMMYFUNCTION("""COMPUTED_VALUE"""),0.365384615384615)</f>
        <v>0.3653846154</v>
      </c>
    </row>
    <row r="4110">
      <c r="A4110" s="10" t="s">
        <v>5549</v>
      </c>
      <c r="B4110" s="7" t="str">
        <f>IFERROR(__xludf.DUMMYFUNCTION("SPLIT(A4110,"" "")"),"CN(Cc1cccc(F)n1)C1CCC(N(Cc2cccc(F)n2)Cc2cccnc2F)CC1")</f>
        <v>CN(Cc1cccc(F)n1)C1CCC(N(Cc2cccc(F)n2)Cc2cccnc2F)CC1</v>
      </c>
      <c r="C4110" s="7">
        <f>IFERROR(__xludf.DUMMYFUNCTION("""COMPUTED_VALUE"""),7.7975006)</f>
        <v>7.7975006</v>
      </c>
      <c r="D4110" s="7">
        <f>IFERROR(__xludf.DUMMYFUNCTION("""COMPUTED_VALUE"""),0.37037037037037)</f>
        <v>0.3703703704</v>
      </c>
    </row>
    <row r="4111">
      <c r="A4111" s="10" t="s">
        <v>5550</v>
      </c>
      <c r="B4111" s="7" t="str">
        <f>IFERROR(__xludf.DUMMYFUNCTION("SPLIT(A4111,"" "")"),"Cc1cncc(CN(C)C2CCCC(N(Cc3ccccn3)Cc3ncccc3C)C2)c1")</f>
        <v>Cc1cncc(CN(C)C2CCCC(N(Cc3ccccn3)Cc3ncccc3C)C2)c1</v>
      </c>
      <c r="C4111" s="7">
        <f>IFERROR(__xludf.DUMMYFUNCTION("""COMPUTED_VALUE"""),7.7974935)</f>
        <v>7.7974935</v>
      </c>
      <c r="D4111" s="7">
        <f>IFERROR(__xludf.DUMMYFUNCTION("""COMPUTED_VALUE"""),0.393442622950819)</f>
        <v>0.393442623</v>
      </c>
    </row>
    <row r="4112">
      <c r="A4112" s="10" t="s">
        <v>5551</v>
      </c>
      <c r="B4112" s="7" t="str">
        <f>IFERROR(__xludf.DUMMYFUNCTION("SPLIT(A4112,"" "")"),"CCN(C)CCN(C)C1CCCC(N(Cc2ncc(C)c(C)c2C)Cc2nc(C)c(C)c(C)c2C)C1")</f>
        <v>CCN(C)CCN(C)C1CCCC(N(Cc2ncc(C)c(C)c2C)Cc2nc(C)c(C)c(C)c2C)C1</v>
      </c>
      <c r="C4112" s="7">
        <f>IFERROR(__xludf.DUMMYFUNCTION("""COMPUTED_VALUE"""),7.797492)</f>
        <v>7.797492</v>
      </c>
      <c r="D4112" s="7">
        <f>IFERROR(__xludf.DUMMYFUNCTION("""COMPUTED_VALUE"""),0.265625)</f>
        <v>0.265625</v>
      </c>
    </row>
    <row r="4113">
      <c r="A4113" s="10" t="s">
        <v>5552</v>
      </c>
      <c r="B4113" s="7" t="str">
        <f>IFERROR(__xludf.DUMMYFUNCTION("SPLIT(A4113,"" "")"),"FCc1cccc(CN(Cc2ccccn2)Cc2cccc(-c3ccc4c(c3)OCCOCCOCCOCCOCCO4)n2)n1")</f>
        <v>FCc1cccc(CN(Cc2ccccn2)Cc2cccc(-c3ccc4c(c3)OCCOCCOCCOCCOCCO4)n2)n1</v>
      </c>
      <c r="C4113" s="7">
        <f>IFERROR(__xludf.DUMMYFUNCTION("""COMPUTED_VALUE"""),7.7974887)</f>
        <v>7.7974887</v>
      </c>
      <c r="D4113" s="7">
        <f>IFERROR(__xludf.DUMMYFUNCTION("""COMPUTED_VALUE"""),0.491803278688524)</f>
        <v>0.4918032787</v>
      </c>
    </row>
    <row r="4114">
      <c r="A4114" s="10" t="s">
        <v>5553</v>
      </c>
      <c r="B4114" s="7" t="str">
        <f>IFERROR(__xludf.DUMMYFUNCTION("SPLIT(A4114,"" "")"),"CC(C)N(C)CN1CCN(C)CCN(CCN(C)c2cccc3nccc(CN(C)C)c23)CC1")</f>
        <v>CC(C)N(C)CN1CCN(C)CCN(CCN(C)c2cccc3nccc(CN(C)C)c23)CC1</v>
      </c>
      <c r="C4114" s="7">
        <f>IFERROR(__xludf.DUMMYFUNCTION("""COMPUTED_VALUE"""),7.797469)</f>
        <v>7.797469</v>
      </c>
      <c r="D4114" s="7">
        <f>IFERROR(__xludf.DUMMYFUNCTION("""COMPUTED_VALUE"""),0.298507462686567)</f>
        <v>0.2985074627</v>
      </c>
    </row>
    <row r="4115">
      <c r="A4115" s="10" t="s">
        <v>5554</v>
      </c>
      <c r="B4115" s="7" t="str">
        <f>IFERROR(__xludf.DUMMYFUNCTION("SPLIT(A4115,"" "")"),"Cc1cncc(CN(C)C2CCCC(N(Cc3ccccn3)Cc3ncccc3N)C2)c1")</f>
        <v>Cc1cncc(CN(C)C2CCCC(N(Cc3ccccn3)Cc3ncccc3N)C2)c1</v>
      </c>
      <c r="C4115" s="7">
        <f>IFERROR(__xludf.DUMMYFUNCTION("""COMPUTED_VALUE"""),7.797464)</f>
        <v>7.797464</v>
      </c>
      <c r="D4115" s="7">
        <f>IFERROR(__xludf.DUMMYFUNCTION("""COMPUTED_VALUE"""),0.38095238095238)</f>
        <v>0.380952381</v>
      </c>
    </row>
    <row r="4116">
      <c r="A4116" s="10" t="s">
        <v>5555</v>
      </c>
      <c r="B4116" s="7" t="str">
        <f>IFERROR(__xludf.DUMMYFUNCTION("SPLIT(A4116,"" "")"),"CC1=C(C)C(C)(NCc2ccccn2)CC(C)C1")</f>
        <v>CC1=C(C)C(C)(NCc2ccccn2)CC(C)C1</v>
      </c>
      <c r="C4116" s="7">
        <f>IFERROR(__xludf.DUMMYFUNCTION("""COMPUTED_VALUE"""),7.7974615)</f>
        <v>7.7974615</v>
      </c>
      <c r="D4116" s="7">
        <f>IFERROR(__xludf.DUMMYFUNCTION("""COMPUTED_VALUE"""),0.386363636363636)</f>
        <v>0.3863636364</v>
      </c>
    </row>
    <row r="4117">
      <c r="A4117" s="10" t="s">
        <v>5556</v>
      </c>
      <c r="B4117" s="7" t="str">
        <f>IFERROR(__xludf.DUMMYFUNCTION("SPLIT(A4117,"" "")"),"Cc1nc(CN(C)C2CCCC(N(CC3=CCC=CN3)Cc3ccccn3)C2)c(C)c(C)c1C")</f>
        <v>Cc1nc(CN(C)C2CCCC(N(CC3=CCC=CN3)Cc3ccccn3)C2)c(C)c(C)c1C</v>
      </c>
      <c r="C4117" s="7">
        <f>IFERROR(__xludf.DUMMYFUNCTION("""COMPUTED_VALUE"""),7.797461)</f>
        <v>7.797461</v>
      </c>
      <c r="D4117" s="7">
        <f>IFERROR(__xludf.DUMMYFUNCTION("""COMPUTED_VALUE"""),0.484375)</f>
        <v>0.484375</v>
      </c>
    </row>
    <row r="4118">
      <c r="A4118" s="10" t="s">
        <v>5557</v>
      </c>
      <c r="B4118" s="7" t="str">
        <f>IFERROR(__xludf.DUMMYFUNCTION("SPLIT(A4118,"" "")"),"CC1CC(c2cccc(CN(C)Cc3cccc(-c4ccc5c(c4)OCCOCCOCCOCCOCCO5)n3)n2)C1")</f>
        <v>CC1CC(c2cccc(CN(C)Cc3cccc(-c4ccc5c(c4)OCCOCCOCCOCCOCCO5)n3)n2)C1</v>
      </c>
      <c r="C4118" s="7">
        <f>IFERROR(__xludf.DUMMYFUNCTION("""COMPUTED_VALUE"""),7.7974586)</f>
        <v>7.7974586</v>
      </c>
      <c r="D4118" s="7">
        <f>IFERROR(__xludf.DUMMYFUNCTION("""COMPUTED_VALUE"""),0.344262295081967)</f>
        <v>0.3442622951</v>
      </c>
    </row>
    <row r="4119">
      <c r="A4119" s="10" t="s">
        <v>5558</v>
      </c>
      <c r="B4119" s="7" t="str">
        <f>IFERROR(__xludf.DUMMYFUNCTION("SPLIT(A4119,"" "")"),"C=Cc1ccc(CN(Cc2ccccn2)C2CCC(N(C)Cc3cccc(C4CCC4(C)C)n3)CC2)nc1")</f>
        <v>C=Cc1ccc(CN(Cc2ccccn2)C2CCC(N(C)Cc3cccc(C4CCC4(C)C)n3)CC2)nc1</v>
      </c>
      <c r="C4119" s="7">
        <f>IFERROR(__xludf.DUMMYFUNCTION("""COMPUTED_VALUE"""),7.7974286)</f>
        <v>7.7974286</v>
      </c>
      <c r="D4119" s="7">
        <f>IFERROR(__xludf.DUMMYFUNCTION("""COMPUTED_VALUE"""),0.369230769230769)</f>
        <v>0.3692307692</v>
      </c>
    </row>
    <row r="4120">
      <c r="A4120" s="10" t="s">
        <v>5559</v>
      </c>
      <c r="B4120" s="7" t="str">
        <f>IFERROR(__xludf.DUMMYFUNCTION("SPLIT(A4120,"" "")"),"CC(N)C(C)(c1cccnc1)c1ncccc1CN(Cc1ccccn1)C1CCCC(N(C)C2C=CC=CN2)C1")</f>
        <v>CC(N)C(C)(c1cccnc1)c1ncccc1CN(Cc1ccccn1)C1CCCC(N(C)C2C=CC=CN2)C1</v>
      </c>
      <c r="C4120" s="7">
        <f>IFERROR(__xludf.DUMMYFUNCTION("""COMPUTED_VALUE"""),7.797427)</f>
        <v>7.797427</v>
      </c>
      <c r="D4120" s="7">
        <f>IFERROR(__xludf.DUMMYFUNCTION("""COMPUTED_VALUE"""),0.320987654320987)</f>
        <v>0.3209876543</v>
      </c>
    </row>
    <row r="4121">
      <c r="A4121" s="10" t="s">
        <v>5560</v>
      </c>
      <c r="B4121" s="7" t="str">
        <f>IFERROR(__xludf.DUMMYFUNCTION("SPLIT(A4121,"" "")"),"CC(C)N(C)Cc1cc(-c2cccnc2CN2CCN(C)CCN(C)CC2)ccn1")</f>
        <v>CC(C)N(C)Cc1cc(-c2cccnc2CN2CCN(C)CCN(C)CC2)ccn1</v>
      </c>
      <c r="C4121" s="7">
        <f>IFERROR(__xludf.DUMMYFUNCTION("""COMPUTED_VALUE"""),7.7974224)</f>
        <v>7.7974224</v>
      </c>
      <c r="D4121" s="7">
        <f>IFERROR(__xludf.DUMMYFUNCTION("""COMPUTED_VALUE"""),0.433962264150943)</f>
        <v>0.4339622642</v>
      </c>
    </row>
    <row r="4122">
      <c r="A4122" s="10" t="s">
        <v>5561</v>
      </c>
      <c r="B4122" s="7" t="str">
        <f>IFERROR(__xludf.DUMMYFUNCTION("SPLIT(A4122,"" "")"),"Cc1ccc(CN(C)c2cncc(CN3CCN(C)CCN(C)CC3)c2)nc1")</f>
        <v>Cc1ccc(CN(C)c2cncc(CN3CCN(C)CCN(C)CC3)c2)nc1</v>
      </c>
      <c r="C4122" s="7">
        <f>IFERROR(__xludf.DUMMYFUNCTION("""COMPUTED_VALUE"""),7.7974052)</f>
        <v>7.7974052</v>
      </c>
      <c r="D4122" s="7">
        <f>IFERROR(__xludf.DUMMYFUNCTION("""COMPUTED_VALUE"""),0.428571428571428)</f>
        <v>0.4285714286</v>
      </c>
    </row>
    <row r="4123">
      <c r="A4123" s="10" t="s">
        <v>5562</v>
      </c>
      <c r="B4123" s="7" t="str">
        <f>IFERROR(__xludf.DUMMYFUNCTION("SPLIT(A4123,"" "")"),"Cc1cncc(CN(C)CCNC(C)C)c1")</f>
        <v>Cc1cncc(CN(C)CCNC(C)C)c1</v>
      </c>
      <c r="C4123" s="7">
        <f>IFERROR(__xludf.DUMMYFUNCTION("""COMPUTED_VALUE"""),7.7973943)</f>
        <v>7.7973943</v>
      </c>
      <c r="D4123" s="7">
        <f>IFERROR(__xludf.DUMMYFUNCTION("""COMPUTED_VALUE"""),0.311111111111111)</f>
        <v>0.3111111111</v>
      </c>
    </row>
    <row r="4124">
      <c r="A4124" s="10" t="s">
        <v>5563</v>
      </c>
      <c r="B4124" s="7" t="str">
        <f>IFERROR(__xludf.DUMMYFUNCTION("SPLIT(A4124,"" "")"),"C#Cc1ccc(CN(Cc2ccccn2)C2CCCCC2N(C)Cc2nc(C)c(C)cc2C)nc1")</f>
        <v>C#Cc1ccc(CN(Cc2ccccn2)C2CCCCC2N(C)Cc2nc(C)c(C)cc2C)nc1</v>
      </c>
      <c r="C4124" s="7">
        <f>IFERROR(__xludf.DUMMYFUNCTION("""COMPUTED_VALUE"""),7.797393)</f>
        <v>7.797393</v>
      </c>
      <c r="D4124" s="7">
        <f>IFERROR(__xludf.DUMMYFUNCTION("""COMPUTED_VALUE"""),0.491525423728813)</f>
        <v>0.4915254237</v>
      </c>
    </row>
    <row r="4125">
      <c r="A4125" s="10" t="s">
        <v>5564</v>
      </c>
      <c r="B4125" s="7" t="str">
        <f>IFERROR(__xludf.DUMMYFUNCTION("SPLIT(A4125,"" "")"),"CN(Cc1cccc(F)n1)C1CCC(N(Cc2cccc(F)n2)Cc2cccc(F)n2)CC1")</f>
        <v>CN(Cc1cccc(F)n1)C1CCC(N(Cc2cccc(F)n2)Cc2cccc(F)n2)CC1</v>
      </c>
      <c r="C4125" s="7">
        <f>IFERROR(__xludf.DUMMYFUNCTION("""COMPUTED_VALUE"""),7.79739)</f>
        <v>7.79739</v>
      </c>
      <c r="D4125" s="7">
        <f>IFERROR(__xludf.DUMMYFUNCTION("""COMPUTED_VALUE"""),0.444444444444444)</f>
        <v>0.4444444444</v>
      </c>
    </row>
    <row r="4126">
      <c r="A4126" s="10" t="s">
        <v>5565</v>
      </c>
      <c r="B4126" s="7" t="str">
        <f>IFERROR(__xludf.DUMMYFUNCTION("SPLIT(A4126,"" "")"),"CCNCc1cccc(CN(Cc2ccccn2)C2CCC(N(C)Cc3ncc(C)c(C)c3C)CC2)n1")</f>
        <v>CCNCc1cccc(CN(Cc2ccccn2)C2CCC(N(C)Cc3ncc(C)c(C)c3C)CC2)n1</v>
      </c>
      <c r="C4126" s="7">
        <f>IFERROR(__xludf.DUMMYFUNCTION("""COMPUTED_VALUE"""),7.797389)</f>
        <v>7.797389</v>
      </c>
      <c r="D4126" s="7">
        <f>IFERROR(__xludf.DUMMYFUNCTION("""COMPUTED_VALUE"""),0.370967741935483)</f>
        <v>0.3709677419</v>
      </c>
    </row>
    <row r="4127">
      <c r="A4127" s="10" t="s">
        <v>5566</v>
      </c>
      <c r="B4127" s="7" t="str">
        <f>IFERROR(__xludf.DUMMYFUNCTION("SPLIT(A4127,"" "")"),"CN(CCF)CCN(Cc1ncccc1F)Cc1ncccc1F")</f>
        <v>CN(CCF)CCN(Cc1ncccc1F)Cc1ncccc1F</v>
      </c>
      <c r="C4127" s="7">
        <f>IFERROR(__xludf.DUMMYFUNCTION("""COMPUTED_VALUE"""),7.797381)</f>
        <v>7.797381</v>
      </c>
      <c r="D4127" s="7">
        <f>IFERROR(__xludf.DUMMYFUNCTION("""COMPUTED_VALUE"""),0.386363636363636)</f>
        <v>0.3863636364</v>
      </c>
    </row>
    <row r="4128">
      <c r="A4128" s="10" t="s">
        <v>5567</v>
      </c>
      <c r="B4128" s="7" t="str">
        <f>IFERROR(__xludf.DUMMYFUNCTION("SPLIT(A4128,"" "")"),"COC(=O)C1C(c2ccccn2)CC(C(C)(C)C)N(C)C1C(C)(C)NCc1ccccn1")</f>
        <v>COC(=O)C1C(c2ccccn2)CC(C(C)(C)C)N(C)C1C(C)(C)NCc1ccccn1</v>
      </c>
      <c r="C4128" s="7">
        <f>IFERROR(__xludf.DUMMYFUNCTION("""COMPUTED_VALUE"""),7.797367)</f>
        <v>7.797367</v>
      </c>
      <c r="D4128" s="7">
        <f>IFERROR(__xludf.DUMMYFUNCTION("""COMPUTED_VALUE"""),0.357142857142857)</f>
        <v>0.3571428571</v>
      </c>
    </row>
    <row r="4129">
      <c r="A4129" s="10" t="s">
        <v>5568</v>
      </c>
      <c r="B4129" s="7" t="str">
        <f>IFERROR(__xludf.DUMMYFUNCTION("SPLIT(A4129,"" "")"),"Cc1cccnc1CN(C)C1CCC(N(Cc2ccccn2)Cc2ncccc2F)CC1")</f>
        <v>Cc1cccnc1CN(C)C1CCC(N(Cc2ccccn2)Cc2ncccc2F)CC1</v>
      </c>
      <c r="C4129" s="7">
        <f>IFERROR(__xludf.DUMMYFUNCTION("""COMPUTED_VALUE"""),7.797361)</f>
        <v>7.797361</v>
      </c>
      <c r="D4129" s="7">
        <f>IFERROR(__xludf.DUMMYFUNCTION("""COMPUTED_VALUE"""),0.425925925925925)</f>
        <v>0.4259259259</v>
      </c>
    </row>
    <row r="4130">
      <c r="A4130" s="10" t="s">
        <v>5569</v>
      </c>
      <c r="B4130" s="7" t="str">
        <f>IFERROR(__xludf.DUMMYFUNCTION("SPLIT(A4130,"" "")"),"Cc1ccc(-c2cccc(CN(C)Cc3cccc(N)n3)n2)c2c1OCCOCCOCCOCCOCCO2")</f>
        <v>Cc1ccc(-c2cccc(CN(C)Cc3cccc(N)n3)n2)c2c1OCCOCCOCCOCCOCCO2</v>
      </c>
      <c r="C4130" s="7">
        <f>IFERROR(__xludf.DUMMYFUNCTION("""COMPUTED_VALUE"""),7.797354)</f>
        <v>7.797354</v>
      </c>
      <c r="D4130" s="7">
        <f>IFERROR(__xludf.DUMMYFUNCTION("""COMPUTED_VALUE"""),0.368421052631578)</f>
        <v>0.3684210526</v>
      </c>
    </row>
    <row r="4131">
      <c r="A4131" s="10" t="s">
        <v>5570</v>
      </c>
      <c r="B4131" s="7" t="str">
        <f>IFERROR(__xludf.DUMMYFUNCTION("SPLIT(A4131,"" "")"),"CC1=CC(N(C)Cc2ncccc2C(C)(C)C)C(C)C(C)C1")</f>
        <v>CC1=CC(N(C)Cc2ncccc2C(C)(C)C)C(C)C(C)C1</v>
      </c>
      <c r="C4131" s="7">
        <f>IFERROR(__xludf.DUMMYFUNCTION("""COMPUTED_VALUE"""),7.797352)</f>
        <v>7.797352</v>
      </c>
      <c r="D4131" s="7">
        <f>IFERROR(__xludf.DUMMYFUNCTION("""COMPUTED_VALUE"""),0.280701754385964)</f>
        <v>0.2807017544</v>
      </c>
    </row>
    <row r="4132">
      <c r="A4132" s="10" t="s">
        <v>5571</v>
      </c>
      <c r="B4132" s="7" t="str">
        <f>IFERROR(__xludf.DUMMYFUNCTION("SPLIT(A4132,"" "")"),"CN1CCN(C)CCN(CC2CC(N(C)c3ccc4nccc(CF)c4c3)CN2C)CC1")</f>
        <v>CN1CCN(C)CCN(CC2CC(N(C)c3ccc4nccc(CF)c4c3)CN2C)CC1</v>
      </c>
      <c r="C4132" s="7">
        <f>IFERROR(__xludf.DUMMYFUNCTION("""COMPUTED_VALUE"""),7.797326)</f>
        <v>7.797326</v>
      </c>
      <c r="D4132" s="7">
        <f>IFERROR(__xludf.DUMMYFUNCTION("""COMPUTED_VALUE"""),0.313432835820895)</f>
        <v>0.3134328358</v>
      </c>
    </row>
    <row r="4133">
      <c r="A4133" s="10" t="s">
        <v>5572</v>
      </c>
      <c r="B4133" s="7" t="str">
        <f>IFERROR(__xludf.DUMMYFUNCTION("SPLIT(A4133,"" "")"),"CNC1CC(N(C)Cc2ccccn2)CC(N(Cc2ccccn2)Cc2ncccc2C)C1")</f>
        <v>CNC1CC(N(C)Cc2ccccn2)CC(N(Cc2ccccn2)Cc2ncccc2C)C1</v>
      </c>
      <c r="C4133" s="7">
        <f>IFERROR(__xludf.DUMMYFUNCTION("""COMPUTED_VALUE"""),7.797324)</f>
        <v>7.797324</v>
      </c>
      <c r="D4133" s="7">
        <f>IFERROR(__xludf.DUMMYFUNCTION("""COMPUTED_VALUE"""),0.418181818181818)</f>
        <v>0.4181818182</v>
      </c>
    </row>
    <row r="4134">
      <c r="A4134" s="10" t="s">
        <v>5573</v>
      </c>
      <c r="B4134" s="7" t="str">
        <f>IFERROR(__xludf.DUMMYFUNCTION("SPLIT(A4134,"" "")"),"CN1CCN(C)CCN(CC2CC(N(C)c3ccc4c(CF)ccnc4c3)CN2C)CC1")</f>
        <v>CN1CCN(C)CCN(CC2CC(N(C)c3ccc4c(CF)ccnc4c3)CN2C)CC1</v>
      </c>
      <c r="C4134" s="7">
        <f>IFERROR(__xludf.DUMMYFUNCTION("""COMPUTED_VALUE"""),7.7973194)</f>
        <v>7.7973194</v>
      </c>
      <c r="D4134" s="7">
        <f>IFERROR(__xludf.DUMMYFUNCTION("""COMPUTED_VALUE"""),0.318181818181818)</f>
        <v>0.3181818182</v>
      </c>
    </row>
    <row r="4135">
      <c r="A4135" s="10" t="s">
        <v>5574</v>
      </c>
      <c r="B4135" s="7" t="str">
        <f>IFERROR(__xludf.DUMMYFUNCTION("SPLIT(A4135,"" "")"),"CC1=CC(N(C)CC2=CCC(N(C)Cc3ccccn3)=CN2)CCC1")</f>
        <v>CC1=CC(N(C)CC2=CCC(N(C)Cc3ccccn3)=CN2)CCC1</v>
      </c>
      <c r="C4135" s="7">
        <f>IFERROR(__xludf.DUMMYFUNCTION("""COMPUTED_VALUE"""),7.797319)</f>
        <v>7.797319</v>
      </c>
      <c r="D4135" s="7">
        <f>IFERROR(__xludf.DUMMYFUNCTION("""COMPUTED_VALUE"""),0.406779661016949)</f>
        <v>0.406779661</v>
      </c>
    </row>
    <row r="4136">
      <c r="A4136" s="10" t="s">
        <v>5575</v>
      </c>
      <c r="B4136" s="7" t="str">
        <f>IFERROR(__xludf.DUMMYFUNCTION("SPLIT(A4136,"" "")"),"CN(Cc1cccc(-c2ccc3c(c2)OCCOCCOCCOCCOCCO3)n1)C1=CNC(CN(Cc2ccccn2)Cc2cccc(-c3ccc4c(c3)OCCOCCOCCOCCOCCO4)n2)=CC1")</f>
        <v>CN(Cc1cccc(-c2ccc3c(c2)OCCOCCOCCOCCOCCO3)n1)C1=CNC(CN(Cc2ccccn2)Cc2cccc(-c3ccc4c(c3)OCCOCCOCCOCCOCCO4)n2)=CC1</v>
      </c>
      <c r="C4136" s="7">
        <f>IFERROR(__xludf.DUMMYFUNCTION("""COMPUTED_VALUE"""),7.7973123)</f>
        <v>7.7973123</v>
      </c>
      <c r="D4136" s="7">
        <f>IFERROR(__xludf.DUMMYFUNCTION("""COMPUTED_VALUE"""),0.430555555555555)</f>
        <v>0.4305555556</v>
      </c>
    </row>
    <row r="4137">
      <c r="A4137" s="10" t="s">
        <v>5576</v>
      </c>
      <c r="B4137" s="7" t="str">
        <f>IFERROR(__xludf.DUMMYFUNCTION("SPLIT(A4137,"" "")"),"CCNc1cc(C(C)(C)C(C)C)ccn1")</f>
        <v>CCNc1cc(C(C)(C)C(C)C)ccn1</v>
      </c>
      <c r="C4137" s="7">
        <f>IFERROR(__xludf.DUMMYFUNCTION("""COMPUTED_VALUE"""),7.7973123)</f>
        <v>7.7973123</v>
      </c>
      <c r="D4137" s="7">
        <f>IFERROR(__xludf.DUMMYFUNCTION("""COMPUTED_VALUE"""),0.333333333333333)</f>
        <v>0.3333333333</v>
      </c>
    </row>
    <row r="4138">
      <c r="A4138" s="10" t="s">
        <v>5577</v>
      </c>
      <c r="B4138" s="7" t="str">
        <f>IFERROR(__xludf.DUMMYFUNCTION("SPLIT(A4138,"" "")"),"Cc1cnc(CN(C)C2CCCCC2N(C)Cc2nc(C)cc(C)c2C)c(C)c1")</f>
        <v>Cc1cnc(CN(C)C2CCCCC2N(C)Cc2nc(C)cc(C)c2C)c(C)c1</v>
      </c>
      <c r="C4138" s="7">
        <f>IFERROR(__xludf.DUMMYFUNCTION("""COMPUTED_VALUE"""),7.797312)</f>
        <v>7.797312</v>
      </c>
      <c r="D4138" s="7">
        <f>IFERROR(__xludf.DUMMYFUNCTION("""COMPUTED_VALUE"""),0.46938775510204)</f>
        <v>0.4693877551</v>
      </c>
    </row>
    <row r="4139">
      <c r="A4139" s="10" t="s">
        <v>5578</v>
      </c>
      <c r="B4139" s="7" t="str">
        <f>IFERROR(__xludf.DUMMYFUNCTION("SPLIT(A4139,"" "")"),"CNC1CCCCC1N(Cc1cc(C)c(C)cn1)Cc1nc(C)c(C)c(C)c1C")</f>
        <v>CNC1CCCCC1N(Cc1cc(C)c(C)cn1)Cc1nc(C)c(C)c(C)c1C</v>
      </c>
      <c r="C4139" s="7">
        <f>IFERROR(__xludf.DUMMYFUNCTION("""COMPUTED_VALUE"""),7.797309)</f>
        <v>7.797309</v>
      </c>
      <c r="D4139" s="7">
        <f>IFERROR(__xludf.DUMMYFUNCTION("""COMPUTED_VALUE"""),0.338983050847457)</f>
        <v>0.3389830508</v>
      </c>
    </row>
    <row r="4140">
      <c r="A4140" s="10" t="s">
        <v>5579</v>
      </c>
      <c r="B4140" s="7" t="str">
        <f>IFERROR(__xludf.DUMMYFUNCTION("SPLIT(A4140,"" "")"),"CN(CCF)CCN(Cc1ccccn1)C(C)(C)c1ccon1")</f>
        <v>CN(CCF)CCN(Cc1ccccn1)C(C)(C)c1ccon1</v>
      </c>
      <c r="C4140" s="7">
        <f>IFERROR(__xludf.DUMMYFUNCTION("""COMPUTED_VALUE"""),7.797304)</f>
        <v>7.797304</v>
      </c>
      <c r="D4140" s="7">
        <f>IFERROR(__xludf.DUMMYFUNCTION("""COMPUTED_VALUE"""),0.4)</f>
        <v>0.4</v>
      </c>
    </row>
    <row r="4141">
      <c r="A4141" s="10" t="s">
        <v>5580</v>
      </c>
      <c r="B4141" s="7" t="str">
        <f>IFERROR(__xludf.DUMMYFUNCTION("SPLIT(A4141,"" "")"),"Cc1cnc(CN(C)C2CCCC(N(Cc3ccccn3)Cc3cccc(CN(C)C(C)C)n3)C2)c(C)c1")</f>
        <v>Cc1cnc(CN(C)C2CCCC(N(Cc3ccccn3)Cc3cccc(CN(C)C(C)C)n3)C2)c(C)c1</v>
      </c>
      <c r="C4141" s="7">
        <f>IFERROR(__xludf.DUMMYFUNCTION("""COMPUTED_VALUE"""),7.7973027)</f>
        <v>7.7973027</v>
      </c>
      <c r="D4141" s="7">
        <f>IFERROR(__xludf.DUMMYFUNCTION("""COMPUTED_VALUE"""),0.375)</f>
        <v>0.375</v>
      </c>
    </row>
    <row r="4142">
      <c r="A4142" s="10" t="s">
        <v>5581</v>
      </c>
      <c r="B4142" s="7" t="str">
        <f>IFERROR(__xludf.DUMMYFUNCTION("SPLIT(A4142,"" "")"),"C1=CNC(N(Cc2ccccn2)Cc2ccccn2)C(N(Cc2ccccn2)c2cccc3c2OCCOCCOCCOCCOCCO3)=C1")</f>
        <v>C1=CNC(N(Cc2ccccn2)Cc2ccccn2)C(N(Cc2ccccn2)c2cccc3c2OCCOCCOCCOCCOCCO3)=C1</v>
      </c>
      <c r="C4142" s="7">
        <f>IFERROR(__xludf.DUMMYFUNCTION("""COMPUTED_VALUE"""),7.797301)</f>
        <v>7.797301</v>
      </c>
      <c r="D4142" s="7">
        <f>IFERROR(__xludf.DUMMYFUNCTION("""COMPUTED_VALUE"""),0.343283582089552)</f>
        <v>0.3432835821</v>
      </c>
    </row>
    <row r="4143">
      <c r="A4143" s="10" t="s">
        <v>5582</v>
      </c>
      <c r="B4143" s="7" t="str">
        <f>IFERROR(__xludf.DUMMYFUNCTION("SPLIT(A4143,"" "")"),"CNCc1ncccc1-c1ccc2c(c1NCc1ccccn1)OCCOCCOCCOCCOCCO2")</f>
        <v>CNCc1ncccc1-c1ccc2c(c1NCc1ccccn1)OCCOCCOCCOCCOCCO2</v>
      </c>
      <c r="C4143" s="7">
        <f>IFERROR(__xludf.DUMMYFUNCTION("""COMPUTED_VALUE"""),7.7972937)</f>
        <v>7.7972937</v>
      </c>
      <c r="D4143" s="7">
        <f>IFERROR(__xludf.DUMMYFUNCTION("""COMPUTED_VALUE"""),0.328358208955223)</f>
        <v>0.328358209</v>
      </c>
    </row>
    <row r="4144">
      <c r="A4144" s="10" t="s">
        <v>5583</v>
      </c>
      <c r="B4144" s="7" t="str">
        <f>IFERROR(__xludf.DUMMYFUNCTION("SPLIT(A4144,"" "")"),"Cc1cncc(CN(C)C2CCCC(N(C)Cc3nc(C)c(C)c(C)c3C)C2)c1")</f>
        <v>Cc1cncc(CN(C)C2CCCC(N(C)Cc3nc(C)c(C)c(C)c3C)C2)c1</v>
      </c>
      <c r="C4144" s="7">
        <f>IFERROR(__xludf.DUMMYFUNCTION("""COMPUTED_VALUE"""),7.797288)</f>
        <v>7.797288</v>
      </c>
      <c r="D4144" s="7">
        <f>IFERROR(__xludf.DUMMYFUNCTION("""COMPUTED_VALUE"""),0.275862068965517)</f>
        <v>0.275862069</v>
      </c>
    </row>
    <row r="4145">
      <c r="A4145" s="10" t="s">
        <v>5584</v>
      </c>
      <c r="B4145" s="7" t="str">
        <f>IFERROR(__xludf.DUMMYFUNCTION("SPLIT(A4145,"" "")"),"CCNC(C)C")</f>
        <v>CCNC(C)C</v>
      </c>
      <c r="C4145" s="7">
        <f>IFERROR(__xludf.DUMMYFUNCTION("""COMPUTED_VALUE"""),7.797285)</f>
        <v>7.797285</v>
      </c>
      <c r="D4145" s="7">
        <f>IFERROR(__xludf.DUMMYFUNCTION("""COMPUTED_VALUE"""),0.116279069767441)</f>
        <v>0.1162790698</v>
      </c>
    </row>
    <row r="4146">
      <c r="A4146" s="10" t="s">
        <v>5585</v>
      </c>
      <c r="B4146" s="7" t="str">
        <f>IFERROR(__xludf.DUMMYFUNCTION("SPLIT(A4146,"" "")"),"CN(C1=CCC=CN1)C1CCC(N(Cc2ccccn2)Cc2cccc(F)n2)CC1")</f>
        <v>CN(C1=CCC=CN1)C1CCC(N(Cc2ccccn2)Cc2cccc(F)n2)CC1</v>
      </c>
      <c r="C4146" s="7">
        <f>IFERROR(__xludf.DUMMYFUNCTION("""COMPUTED_VALUE"""),7.797282)</f>
        <v>7.797282</v>
      </c>
      <c r="D4146" s="7">
        <f>IFERROR(__xludf.DUMMYFUNCTION("""COMPUTED_VALUE"""),0.442622950819672)</f>
        <v>0.4426229508</v>
      </c>
    </row>
    <row r="4147">
      <c r="A4147" s="10" t="s">
        <v>5586</v>
      </c>
      <c r="B4147" s="7" t="str">
        <f>IFERROR(__xludf.DUMMYFUNCTION("SPLIT(A4147,"" "")"),"CNCN(Cc1ncccc1F)C1C=CC=CN1")</f>
        <v>CNCN(Cc1ncccc1F)C1C=CC=CN1</v>
      </c>
      <c r="C4147" s="7">
        <f>IFERROR(__xludf.DUMMYFUNCTION("""COMPUTED_VALUE"""),7.797282)</f>
        <v>7.797282</v>
      </c>
      <c r="D4147" s="7">
        <f>IFERROR(__xludf.DUMMYFUNCTION("""COMPUTED_VALUE"""),0.344827586206896)</f>
        <v>0.3448275862</v>
      </c>
    </row>
    <row r="4148">
      <c r="A4148" s="10" t="s">
        <v>5587</v>
      </c>
      <c r="B4148" s="7" t="str">
        <f>IFERROR(__xludf.DUMMYFUNCTION("SPLIT(A4148,"" "")"),"CC1C=CC(C)(C)C(N(C)Cc2cccc(C(C)(C)C)n2)C1")</f>
        <v>CC1C=CC(C)(C)C(N(C)Cc2cccc(C(C)(C)C)n2)C1</v>
      </c>
      <c r="C4148" s="7">
        <f>IFERROR(__xludf.DUMMYFUNCTION("""COMPUTED_VALUE"""),7.7972803)</f>
        <v>7.7972803</v>
      </c>
      <c r="D4148" s="7">
        <f>IFERROR(__xludf.DUMMYFUNCTION("""COMPUTED_VALUE"""),0.345454545454545)</f>
        <v>0.3454545455</v>
      </c>
    </row>
    <row r="4149">
      <c r="A4149" s="10" t="s">
        <v>5588</v>
      </c>
      <c r="B4149" s="7" t="str">
        <f>IFERROR(__xludf.DUMMYFUNCTION("SPLIT(A4149,"" "")"),"CNCc1cccc(N(C)C2CCCCC2N(C)Cc2ncc(C)cc2C)n1")</f>
        <v>CNCc1cccc(N(C)C2CCCCC2N(C)Cc2ncc(C)cc2C)n1</v>
      </c>
      <c r="C4149" s="7">
        <f>IFERROR(__xludf.DUMMYFUNCTION("""COMPUTED_VALUE"""),7.797259)</f>
        <v>7.797259</v>
      </c>
      <c r="D4149" s="7">
        <f>IFERROR(__xludf.DUMMYFUNCTION("""COMPUTED_VALUE"""),0.43103448275862)</f>
        <v>0.4310344828</v>
      </c>
    </row>
    <row r="4150">
      <c r="A4150" s="10" t="s">
        <v>5589</v>
      </c>
      <c r="B4150" s="7" t="str">
        <f>IFERROR(__xludf.DUMMYFUNCTION("SPLIT(A4150,"" "")"),"CCN(Cc1ncccc1C)C1CCCC(N(C)Cc2nc(C)c(C)c(C)c2C)C1")</f>
        <v>CCN(Cc1ncccc1C)C1CCCC(N(C)Cc2nc(C)c(C)c(C)c2C)C1</v>
      </c>
      <c r="C4150" s="7">
        <f>IFERROR(__xludf.DUMMYFUNCTION("""COMPUTED_VALUE"""),7.797256)</f>
        <v>7.797256</v>
      </c>
      <c r="D4150" s="7">
        <f>IFERROR(__xludf.DUMMYFUNCTION("""COMPUTED_VALUE"""),0.295081967213114)</f>
        <v>0.2950819672</v>
      </c>
    </row>
    <row r="4151">
      <c r="A4151" s="10" t="s">
        <v>5590</v>
      </c>
      <c r="B4151" s="7" t="str">
        <f>IFERROR(__xludf.DUMMYFUNCTION("SPLIT(A4151,"" "")"),"CN(Cc1ccc(F)nc1)C1CCCC(N(Cc2cccc(F)n2)Cc2cccnc2F)C1")</f>
        <v>CN(Cc1ccc(F)nc1)C1CCCC(N(Cc2cccc(F)n2)Cc2cccnc2F)C1</v>
      </c>
      <c r="C4151" s="7">
        <f>IFERROR(__xludf.DUMMYFUNCTION("""COMPUTED_VALUE"""),7.7972555)</f>
        <v>7.7972555</v>
      </c>
      <c r="D4151" s="7">
        <f>IFERROR(__xludf.DUMMYFUNCTION("""COMPUTED_VALUE"""),0.307692307692307)</f>
        <v>0.3076923077</v>
      </c>
    </row>
    <row r="4152">
      <c r="A4152" s="10" t="s">
        <v>5591</v>
      </c>
      <c r="B4152" s="7" t="str">
        <f>IFERROR(__xludf.DUMMYFUNCTION("SPLIT(A4152,"" "")"),"CC(C)N(Cc1cccc2c1OCCOCCOCCOCCOCCO2)C(C)(N)N(CCN(C)c1cccc2ncccc12)Cc1ccccn1")</f>
        <v>CC(C)N(Cc1cccc2c1OCCOCCOCCOCCOCCO2)C(C)(N)N(CCN(C)c1cccc2ncccc12)Cc1ccccn1</v>
      </c>
      <c r="C4152" s="7">
        <f>IFERROR(__xludf.DUMMYFUNCTION("""COMPUTED_VALUE"""),7.7972527)</f>
        <v>7.7972527</v>
      </c>
      <c r="D4152" s="7">
        <f>IFERROR(__xludf.DUMMYFUNCTION("""COMPUTED_VALUE"""),0.297297297297297)</f>
        <v>0.2972972973</v>
      </c>
    </row>
    <row r="4153">
      <c r="A4153" s="10" t="s">
        <v>5592</v>
      </c>
      <c r="B4153" s="7" t="str">
        <f>IFERROR(__xludf.DUMMYFUNCTION("SPLIT(A4153,"" "")"),"CN1CCN(C)CCN(Cc2cccnc2-c2ccccc2N)CC1")</f>
        <v>CN1CCN(C)CCN(Cc2cccnc2-c2ccccc2N)CC1</v>
      </c>
      <c r="C4153" s="7">
        <f>IFERROR(__xludf.DUMMYFUNCTION("""COMPUTED_VALUE"""),7.7972484)</f>
        <v>7.7972484</v>
      </c>
      <c r="D4153" s="7">
        <f>IFERROR(__xludf.DUMMYFUNCTION("""COMPUTED_VALUE"""),0.5)</f>
        <v>0.5</v>
      </c>
    </row>
    <row r="4154">
      <c r="A4154" s="10" t="s">
        <v>5593</v>
      </c>
      <c r="B4154" s="7" t="str">
        <f>IFERROR(__xludf.DUMMYFUNCTION("SPLIT(A4154,"" "")"),"Cc1cc(CN(C)C2CCC(N(C)Cc3ccon3)CC2)nc(C)c1C")</f>
        <v>Cc1cc(CN(C)C2CCC(N(C)Cc3ccon3)CC2)nc(C)c1C</v>
      </c>
      <c r="C4154" s="7">
        <f>IFERROR(__xludf.DUMMYFUNCTION("""COMPUTED_VALUE"""),7.7972407)</f>
        <v>7.7972407</v>
      </c>
      <c r="D4154" s="7">
        <f>IFERROR(__xludf.DUMMYFUNCTION("""COMPUTED_VALUE"""),0.422222222222222)</f>
        <v>0.4222222222</v>
      </c>
    </row>
    <row r="4155">
      <c r="A4155" s="10" t="s">
        <v>5594</v>
      </c>
      <c r="B4155" s="7" t="str">
        <f>IFERROR(__xludf.DUMMYFUNCTION("SPLIT(A4155,"" "")"),"CCOC(=O)N(C(C)C)C1CCC(N(C)C(c2ccccn2)c2ccccn2)CC1")</f>
        <v>CCOC(=O)N(C(C)C)C1CCC(N(C)C(c2ccccn2)c2ccccn2)CC1</v>
      </c>
      <c r="C4155" s="7">
        <f>IFERROR(__xludf.DUMMYFUNCTION("""COMPUTED_VALUE"""),7.7972383)</f>
        <v>7.7972383</v>
      </c>
      <c r="D4155" s="7">
        <f>IFERROR(__xludf.DUMMYFUNCTION("""COMPUTED_VALUE"""),0.403508771929824)</f>
        <v>0.4035087719</v>
      </c>
    </row>
    <row r="4156">
      <c r="A4156" s="10" t="s">
        <v>5595</v>
      </c>
      <c r="B4156" s="7" t="str">
        <f>IFERROR(__xludf.DUMMYFUNCTION("SPLIT(A4156,"" "")"),"Cc1ccnc(CN(C)C2CCC(N(C)Cc3ncc(C)c(C)c3C)CC2)c1C")</f>
        <v>Cc1ccnc(CN(C)C2CCC(N(C)Cc3ncc(C)c(C)c3C)CC2)c1C</v>
      </c>
      <c r="C4156" s="7">
        <f>IFERROR(__xludf.DUMMYFUNCTION("""COMPUTED_VALUE"""),7.7972293)</f>
        <v>7.7972293</v>
      </c>
      <c r="D4156" s="7">
        <f>IFERROR(__xludf.DUMMYFUNCTION("""COMPUTED_VALUE"""),0.34)</f>
        <v>0.34</v>
      </c>
    </row>
    <row r="4157">
      <c r="A4157" s="10" t="s">
        <v>5596</v>
      </c>
      <c r="B4157" s="7" t="str">
        <f>IFERROR(__xludf.DUMMYFUNCTION("SPLIT(A4157,"" "")"),"CN(Cc1ccc(C(C)(C)C)nc1)Cc1cccc(-c2ccc3c(c2)OCCOCCOCCOCCOCCO3)n1")</f>
        <v>CN(Cc1ccc(C(C)(C)C)nc1)Cc1cccc(-c2ccc3c(c2)OCCOCCOCCOCCOCCO3)n1</v>
      </c>
      <c r="C4157" s="7">
        <f>IFERROR(__xludf.DUMMYFUNCTION("""COMPUTED_VALUE"""),7.797229)</f>
        <v>7.797229</v>
      </c>
      <c r="D4157" s="7">
        <f>IFERROR(__xludf.DUMMYFUNCTION("""COMPUTED_VALUE"""),0.34375)</f>
        <v>0.34375</v>
      </c>
    </row>
    <row r="4158">
      <c r="A4158" s="10" t="s">
        <v>5597</v>
      </c>
      <c r="B4158" s="7" t="str">
        <f>IFERROR(__xludf.DUMMYFUNCTION("SPLIT(A4158,"" "")"),"CN1CCN(Cc2ccc(-c3cccc(N(C)C)c3)nc2)CCN(Cc2cccc(-c3ccc4c(c3)OCCOCCOCCOCCOCCO4)n2)CC1")</f>
        <v>CN1CCN(Cc2ccc(-c3cccc(N(C)C)c3)nc2)CCN(Cc2cccc(-c3ccc4c(c3)OCCOCCOCCOCCOCCO4)n2)CC1</v>
      </c>
      <c r="C4158" s="7">
        <f>IFERROR(__xludf.DUMMYFUNCTION("""COMPUTED_VALUE"""),7.7972283)</f>
        <v>7.7972283</v>
      </c>
      <c r="D4158" s="7">
        <f>IFERROR(__xludf.DUMMYFUNCTION("""COMPUTED_VALUE"""),0.35)</f>
        <v>0.35</v>
      </c>
    </row>
    <row r="4159">
      <c r="A4159" s="10" t="s">
        <v>5598</v>
      </c>
      <c r="B4159" s="7" t="str">
        <f>IFERROR(__xludf.DUMMYFUNCTION("SPLIT(A4159,"" "")"),"CCNCc1ncccc1CN(C)C1C=CC=CN1")</f>
        <v>CCNCc1ncccc1CN(C)C1C=CC=CN1</v>
      </c>
      <c r="C4159" s="7">
        <f>IFERROR(__xludf.DUMMYFUNCTION("""COMPUTED_VALUE"""),7.797225)</f>
        <v>7.797225</v>
      </c>
      <c r="D4159" s="7">
        <f>IFERROR(__xludf.DUMMYFUNCTION("""COMPUTED_VALUE"""),0.338983050847457)</f>
        <v>0.3389830508</v>
      </c>
    </row>
    <row r="4160">
      <c r="A4160" s="10" t="s">
        <v>5599</v>
      </c>
      <c r="B4160" s="7" t="str">
        <f>IFERROR(__xludf.DUMMYFUNCTION("SPLIT(A4160,"" "")"),"Cc1cc(CN(C)C2=CCC=C(CN3CCN(C)CCN(C)CC3)N2)nc(C)c1C")</f>
        <v>Cc1cc(CN(C)C2=CCC=C(CN3CCN(C)CCN(C)CC3)N2)nc(C)c1C</v>
      </c>
      <c r="C4160" s="7">
        <f>IFERROR(__xludf.DUMMYFUNCTION("""COMPUTED_VALUE"""),7.797211)</f>
        <v>7.797211</v>
      </c>
      <c r="D4160" s="7">
        <f>IFERROR(__xludf.DUMMYFUNCTION("""COMPUTED_VALUE"""),0.350877192982456)</f>
        <v>0.350877193</v>
      </c>
    </row>
    <row r="4161">
      <c r="A4161" s="10" t="s">
        <v>5600</v>
      </c>
      <c r="B4161" s="7" t="str">
        <f>IFERROR(__xludf.DUMMYFUNCTION("SPLIT(A4161,"" "")"),"CN1CCN(C)CCN(CCCN(C)c2ccc3ccc(CF)nc3c2)CC1")</f>
        <v>CN1CCN(C)CCN(CCCN(C)c2ccc3ccc(CF)nc3c2)CC1</v>
      </c>
      <c r="C4161" s="7">
        <f>IFERROR(__xludf.DUMMYFUNCTION("""COMPUTED_VALUE"""),7.7972083)</f>
        <v>7.7972083</v>
      </c>
      <c r="D4161" s="7">
        <f>IFERROR(__xludf.DUMMYFUNCTION("""COMPUTED_VALUE"""),0.333333333333333)</f>
        <v>0.3333333333</v>
      </c>
    </row>
    <row r="4162">
      <c r="A4162" s="10" t="s">
        <v>5601</v>
      </c>
      <c r="B4162" s="7" t="str">
        <f>IFERROR(__xludf.DUMMYFUNCTION("SPLIT(A4162,"" "")"),"CCN(Cc1cc(CN(Cc2ccccn2)C2CCCCC2N(C)Cc2cc(C)c(C)c(C)n2)ccn1)C(C)C")</f>
        <v>CCN(Cc1cc(CN(Cc2ccccn2)C2CCCCC2N(C)Cc2cc(C)c(C)c(C)n2)ccn1)C(C)C</v>
      </c>
      <c r="C4162" s="7">
        <f>IFERROR(__xludf.DUMMYFUNCTION("""COMPUTED_VALUE"""),7.7972064)</f>
        <v>7.7972064</v>
      </c>
      <c r="D4162" s="7">
        <f>IFERROR(__xludf.DUMMYFUNCTION("""COMPUTED_VALUE"""),0.483870967741935)</f>
        <v>0.4838709677</v>
      </c>
    </row>
    <row r="4163">
      <c r="A4163" s="10" t="s">
        <v>5602</v>
      </c>
      <c r="B4163" s="7" t="str">
        <f>IFERROR(__xludf.DUMMYFUNCTION("SPLIT(A4163,"" "")"),"Cc1nc(CN(C)C2CCCCC2N(Cc2ccccn2)Cc2cccnc2CN(C)C(C)C)c(C)c(C)c1C")</f>
        <v>Cc1nc(CN(C)C2CCCCC2N(Cc2ccccn2)Cc2cccnc2CN(C)C(C)C)c(C)c(C)c1C</v>
      </c>
      <c r="C4163" s="7">
        <f>IFERROR(__xludf.DUMMYFUNCTION("""COMPUTED_VALUE"""),7.797202)</f>
        <v>7.797202</v>
      </c>
      <c r="D4163" s="7">
        <f>IFERROR(__xludf.DUMMYFUNCTION("""COMPUTED_VALUE"""),0.483333333333333)</f>
        <v>0.4833333333</v>
      </c>
    </row>
    <row r="4164">
      <c r="A4164" s="10" t="s">
        <v>5603</v>
      </c>
      <c r="B4164" s="7" t="str">
        <f>IFERROR(__xludf.DUMMYFUNCTION("SPLIT(A4164,"" "")"),"CNC1CC(N(C)Cc2ccccn2)CC(N(Cc2ccccn2)C(C)(C)c2ccccn2)C1")</f>
        <v>CNC1CC(N(C)Cc2ccccn2)CC(N(Cc2ccccn2)C(C)(C)c2ccccn2)C1</v>
      </c>
      <c r="C4164" s="7">
        <f>IFERROR(__xludf.DUMMYFUNCTION("""COMPUTED_VALUE"""),7.7971992)</f>
        <v>7.7971992</v>
      </c>
      <c r="D4164" s="7">
        <f>IFERROR(__xludf.DUMMYFUNCTION("""COMPUTED_VALUE"""),0.425925925925925)</f>
        <v>0.4259259259</v>
      </c>
    </row>
    <row r="4165">
      <c r="A4165" s="10" t="s">
        <v>5604</v>
      </c>
      <c r="B4165" s="7" t="str">
        <f>IFERROR(__xludf.DUMMYFUNCTION("SPLIT(A4165,"" "")"),"Cc1ccc(CN(C)CC2=CCC(N(C)Cc3ccc(CN4CCN(C)CCN(C)CC4)cn3)=CN2)nc1")</f>
        <v>Cc1ccc(CN(C)CC2=CCC(N(C)Cc3ccc(CN4CCN(C)CCN(C)CC4)cn3)=CN2)nc1</v>
      </c>
      <c r="C4165" s="7">
        <f>IFERROR(__xludf.DUMMYFUNCTION("""COMPUTED_VALUE"""),7.7971916)</f>
        <v>7.7971916</v>
      </c>
      <c r="D4165" s="7">
        <f>IFERROR(__xludf.DUMMYFUNCTION("""COMPUTED_VALUE"""),0.379310344827586)</f>
        <v>0.3793103448</v>
      </c>
    </row>
    <row r="4166">
      <c r="A4166" s="10" t="s">
        <v>5605</v>
      </c>
      <c r="B4166" s="7" t="str">
        <f>IFERROR(__xludf.DUMMYFUNCTION("SPLIT(A4166,"" "")"),"CN(Cc1cncc(C(C)(C)C)c1)Cc1cc(-c2ccc3c(c2)OCCOCCOCCOCCOCCO3)ccn1")</f>
        <v>CN(Cc1cncc(C(C)(C)C)c1)Cc1cc(-c2ccc3c(c2)OCCOCCOCCOCCOCCO3)ccn1</v>
      </c>
      <c r="C4166" s="7">
        <f>IFERROR(__xludf.DUMMYFUNCTION("""COMPUTED_VALUE"""),7.7971883)</f>
        <v>7.7971883</v>
      </c>
      <c r="D4166" s="7">
        <f>IFERROR(__xludf.DUMMYFUNCTION("""COMPUTED_VALUE"""),0.366197183098591)</f>
        <v>0.3661971831</v>
      </c>
    </row>
    <row r="4167">
      <c r="A4167" s="10" t="s">
        <v>5606</v>
      </c>
      <c r="B4167" s="7" t="str">
        <f>IFERROR(__xludf.DUMMYFUNCTION("SPLIT(A4167,"" "")"),"CC1=CCC(C)C(N(C)Cc2ncccc2C(C)(C)C)C1")</f>
        <v>CC1=CCC(C)C(N(C)Cc2ncccc2C(C)(C)C)C1</v>
      </c>
      <c r="C4167" s="7">
        <f>IFERROR(__xludf.DUMMYFUNCTION("""COMPUTED_VALUE"""),7.79717)</f>
        <v>7.79717</v>
      </c>
      <c r="D4167" s="7">
        <f>IFERROR(__xludf.DUMMYFUNCTION("""COMPUTED_VALUE"""),0.327272727272727)</f>
        <v>0.3272727273</v>
      </c>
    </row>
    <row r="4168">
      <c r="A4168" s="10" t="s">
        <v>5607</v>
      </c>
      <c r="B4168" s="7" t="str">
        <f>IFERROR(__xludf.DUMMYFUNCTION("SPLIT(A4168,"" "")"),"CCN(Cc1cc(CN(C)C2CCC(N(C)Cc3ncccc3C)CC2)ccn1)Cc1ncccc1C")</f>
        <v>CCN(Cc1cc(CN(C)C2CCC(N(C)Cc3ncccc3C)CC2)ccn1)Cc1ncccc1C</v>
      </c>
      <c r="C4168" s="7">
        <f>IFERROR(__xludf.DUMMYFUNCTION("""COMPUTED_VALUE"""),7.797162)</f>
        <v>7.797162</v>
      </c>
      <c r="D4168" s="7">
        <f>IFERROR(__xludf.DUMMYFUNCTION("""COMPUTED_VALUE"""),0.333333333333333)</f>
        <v>0.3333333333</v>
      </c>
    </row>
    <row r="4169">
      <c r="A4169" s="10" t="s">
        <v>5608</v>
      </c>
      <c r="B4169" s="7" t="str">
        <f>IFERROR(__xludf.DUMMYFUNCTION("SPLIT(A4169,"" "")"),"COC(=O)C1C(C(C)C)CC(c2ccccn2)N(C)C1C(C)(C)NCc1ccccn1")</f>
        <v>COC(=O)C1C(C(C)C)CC(c2ccccn2)N(C)C1C(C)(C)NCc1ccccn1</v>
      </c>
      <c r="C4169" s="7">
        <f>IFERROR(__xludf.DUMMYFUNCTION("""COMPUTED_VALUE"""),7.7971487)</f>
        <v>7.7971487</v>
      </c>
      <c r="D4169" s="7">
        <f>IFERROR(__xludf.DUMMYFUNCTION("""COMPUTED_VALUE"""),0.347222222222222)</f>
        <v>0.3472222222</v>
      </c>
    </row>
    <row r="4170">
      <c r="A4170" s="10" t="s">
        <v>5609</v>
      </c>
      <c r="B4170" s="7" t="str">
        <f>IFERROR(__xludf.DUMMYFUNCTION("SPLIT(A4170,"" "")"),"Cc1cnc(CN(C)C2CCC(N(C)Cc3cc(C)c(C)c(C)n3)CC2)cc1C")</f>
        <v>Cc1cnc(CN(C)C2CCC(N(C)Cc3cc(C)c(C)c(C)n3)CC2)cc1C</v>
      </c>
      <c r="C4170" s="7">
        <f>IFERROR(__xludf.DUMMYFUNCTION("""COMPUTED_VALUE"""),7.797142)</f>
        <v>7.797142</v>
      </c>
      <c r="D4170" s="7">
        <f>IFERROR(__xludf.DUMMYFUNCTION("""COMPUTED_VALUE"""),0.387755102040816)</f>
        <v>0.387755102</v>
      </c>
    </row>
    <row r="4171">
      <c r="A4171" s="10" t="s">
        <v>5610</v>
      </c>
      <c r="B4171" s="7" t="str">
        <f>IFERROR(__xludf.DUMMYFUNCTION("SPLIT(A4171,"" "")"),"Cc1cnccc1CN(C)C1CCC(N(Cc2ccccn2)Cc2ncccc2C)CC1")</f>
        <v>Cc1cnccc1CN(C)C1CCC(N(Cc2ccccn2)Cc2ncccc2C)CC1</v>
      </c>
      <c r="C4171" s="7">
        <f>IFERROR(__xludf.DUMMYFUNCTION("""COMPUTED_VALUE"""),7.7971416)</f>
        <v>7.7971416</v>
      </c>
      <c r="D4171" s="7">
        <f>IFERROR(__xludf.DUMMYFUNCTION("""COMPUTED_VALUE"""),0.403508771929824)</f>
        <v>0.4035087719</v>
      </c>
    </row>
    <row r="4172">
      <c r="A4172" s="10" t="s">
        <v>5611</v>
      </c>
      <c r="B4172" s="7" t="str">
        <f>IFERROR(__xludf.DUMMYFUNCTION("SPLIT(A4172,"" "")"),"CC1=C(CNCCN(Cc2ncccc2C)CC(C)(C)C)C(C)CC(C)C1")</f>
        <v>CC1=C(CNCCN(Cc2ncccc2C)CC(C)(C)C)C(C)CC(C)C1</v>
      </c>
      <c r="C4172" s="7">
        <f>IFERROR(__xludf.DUMMYFUNCTION("""COMPUTED_VALUE"""),7.7971306)</f>
        <v>7.7971306</v>
      </c>
      <c r="D4172" s="7">
        <f>IFERROR(__xludf.DUMMYFUNCTION("""COMPUTED_VALUE"""),0.344262295081967)</f>
        <v>0.3442622951</v>
      </c>
    </row>
    <row r="4173">
      <c r="A4173" s="10" t="s">
        <v>5612</v>
      </c>
      <c r="B4173" s="7" t="str">
        <f>IFERROR(__xludf.DUMMYFUNCTION("SPLIT(A4173,"" "")"),"CN(Cc1ccccn1)Cc1cccc(N(C)C2CCC(N(Cc3ccccn3)Cc3cccc(-c4ccc5c(c4)OCCOCCOCCOCCOCCO5)n3)CC2)n1")</f>
        <v>CN(Cc1ccccn1)Cc1cccc(N(C)C2CCC(N(Cc3ccccn3)Cc3cccc(-c4ccc5c(c4)OCCOCCOCCOCCOCCO5)n3)CC2)n1</v>
      </c>
      <c r="C4173" s="7">
        <f>IFERROR(__xludf.DUMMYFUNCTION("""COMPUTED_VALUE"""),7.797128)</f>
        <v>7.797128</v>
      </c>
      <c r="D4173" s="7">
        <f>IFERROR(__xludf.DUMMYFUNCTION("""COMPUTED_VALUE"""),0.43076923076923)</f>
        <v>0.4307692308</v>
      </c>
    </row>
    <row r="4174">
      <c r="A4174" s="10" t="s">
        <v>5613</v>
      </c>
      <c r="B4174" s="7" t="str">
        <f>IFERROR(__xludf.DUMMYFUNCTION("SPLIT(A4174,"" "")"),"CN(CCN(C)C(C)(C)c1ccccn1)Cc1ccccn1")</f>
        <v>CN(CCN(C)C(C)(C)c1ccccn1)Cc1ccccn1</v>
      </c>
      <c r="C4174" s="7">
        <f>IFERROR(__xludf.DUMMYFUNCTION("""COMPUTED_VALUE"""),7.7971253)</f>
        <v>7.7971253</v>
      </c>
      <c r="D4174" s="7">
        <f>IFERROR(__xludf.DUMMYFUNCTION("""COMPUTED_VALUE"""),0.5)</f>
        <v>0.5</v>
      </c>
    </row>
    <row r="4175">
      <c r="A4175" s="10" t="s">
        <v>5614</v>
      </c>
      <c r="B4175" s="7" t="str">
        <f>IFERROR(__xludf.DUMMYFUNCTION("SPLIT(A4175,"" "")"),"Cc1cccc(CN(Cc2nc(C)c(C)cc2C)C2CCCC(N(C)C)C2)n1")</f>
        <v>Cc1cccc(CN(Cc2nc(C)c(C)cc2C)C2CCCC(N(C)C)C2)n1</v>
      </c>
      <c r="C4175" s="7">
        <f>IFERROR(__xludf.DUMMYFUNCTION("""COMPUTED_VALUE"""),7.797105)</f>
        <v>7.797105</v>
      </c>
      <c r="D4175" s="7">
        <f>IFERROR(__xludf.DUMMYFUNCTION("""COMPUTED_VALUE"""),0.452830188679245)</f>
        <v>0.4528301887</v>
      </c>
    </row>
    <row r="4176">
      <c r="A4176" s="10" t="s">
        <v>5615</v>
      </c>
      <c r="B4176" s="7" t="str">
        <f>IFERROR(__xludf.DUMMYFUNCTION("SPLIT(A4176,"" "")"),"CN(CCN(C)c1ccc2nccc(CF)c2c1)Cc1ccc2c(c1)OCCOCCOCCOCCOCCO2")</f>
        <v>CN(CCN(C)c1ccc2nccc(CF)c2c1)Cc1ccc2c(c1)OCCOCCOCCOCCOCCO2</v>
      </c>
      <c r="C4176" s="7">
        <f>IFERROR(__xludf.DUMMYFUNCTION("""COMPUTED_VALUE"""),7.797103)</f>
        <v>7.797103</v>
      </c>
      <c r="D4176" s="7">
        <f>IFERROR(__xludf.DUMMYFUNCTION("""COMPUTED_VALUE"""),0.295081967213114)</f>
        <v>0.2950819672</v>
      </c>
    </row>
    <row r="4177">
      <c r="A4177" s="10" t="s">
        <v>5616</v>
      </c>
      <c r="B4177" s="7" t="str">
        <f>IFERROR(__xludf.DUMMYFUNCTION("SPLIT(A4177,"" "")"),"COC(=O)c1cc(C)c(CN2CCN(C)CCN(C)CC2)c(C)n1")</f>
        <v>COC(=O)c1cc(C)c(CN2CCN(C)CCN(C)CC2)c(C)n1</v>
      </c>
      <c r="C4177" s="7">
        <f>IFERROR(__xludf.DUMMYFUNCTION("""COMPUTED_VALUE"""),7.797094)</f>
        <v>7.797094</v>
      </c>
      <c r="D4177" s="7">
        <f>IFERROR(__xludf.DUMMYFUNCTION("""COMPUTED_VALUE"""),0.410714285714285)</f>
        <v>0.4107142857</v>
      </c>
    </row>
    <row r="4178">
      <c r="A4178" s="10" t="s">
        <v>5617</v>
      </c>
      <c r="B4178" s="7" t="str">
        <f>IFERROR(__xludf.DUMMYFUNCTION("SPLIT(A4178,"" "")"),"CC1=C(N(C)Cc2ccccn2)C2(CCC1C)C(C)C=CCC2C")</f>
        <v>CC1=C(N(C)Cc2ccccn2)C2(CCC1C)C(C)C=CCC2C</v>
      </c>
      <c r="C4178" s="7">
        <f>IFERROR(__xludf.DUMMYFUNCTION("""COMPUTED_VALUE"""),7.797094)</f>
        <v>7.797094</v>
      </c>
      <c r="D4178" s="7">
        <f>IFERROR(__xludf.DUMMYFUNCTION("""COMPUTED_VALUE"""),0.410714285714285)</f>
        <v>0.4107142857</v>
      </c>
    </row>
    <row r="4179">
      <c r="A4179" s="10" t="s">
        <v>5618</v>
      </c>
      <c r="B4179" s="7" t="str">
        <f>IFERROR(__xludf.DUMMYFUNCTION("SPLIT(A4179,"" "")"),"CC(C)N(CC1=C(N(C)Cc2cccc(-c3cccc4c3OCCOCCOCCOCCOCCO4)n2)CC=CN1)Cc1ccccn1")</f>
        <v>CC(C)N(CC1=C(N(C)Cc2cccc(-c3cccc4c3OCCOCCOCCOCCOCCO4)n2)CC=CN1)Cc1ccccn1</v>
      </c>
      <c r="C4179" s="7">
        <f>IFERROR(__xludf.DUMMYFUNCTION("""COMPUTED_VALUE"""),7.797091)</f>
        <v>7.797091</v>
      </c>
      <c r="D4179" s="7">
        <f>IFERROR(__xludf.DUMMYFUNCTION("""COMPUTED_VALUE"""),0.342857142857142)</f>
        <v>0.3428571429</v>
      </c>
    </row>
    <row r="4180">
      <c r="A4180" s="10" t="s">
        <v>5619</v>
      </c>
      <c r="B4180" s="7" t="str">
        <f>IFERROR(__xludf.DUMMYFUNCTION("SPLIT(A4180,"" "")"),"CN(CC1=CC(N(C)Cc2ccccn2)C=CN1)CC(C)(C)C")</f>
        <v>CN(CC1=CC(N(C)Cc2ccccn2)C=CN1)CC(C)(C)C</v>
      </c>
      <c r="C4180" s="7">
        <f>IFERROR(__xludf.DUMMYFUNCTION("""COMPUTED_VALUE"""),7.797089)</f>
        <v>7.797089</v>
      </c>
      <c r="D4180" s="7">
        <f>IFERROR(__xludf.DUMMYFUNCTION("""COMPUTED_VALUE"""),0.46)</f>
        <v>0.46</v>
      </c>
    </row>
    <row r="4181">
      <c r="A4181" s="10" t="s">
        <v>5620</v>
      </c>
      <c r="B4181" s="7" t="str">
        <f>IFERROR(__xludf.DUMMYFUNCTION("SPLIT(A4181,"" "")"),"CN(c1ccc2ncccc2c1)C1CCCCC1N(Cc1ccccn1)CC1CCCN1")</f>
        <v>CN(c1ccc2ncccc2c1)C1CCCCC1N(Cc1ccccn1)CC1CCCN1</v>
      </c>
      <c r="C4181" s="7">
        <f>IFERROR(__xludf.DUMMYFUNCTION("""COMPUTED_VALUE"""),7.797082)</f>
        <v>7.797082</v>
      </c>
      <c r="D4181" s="7">
        <f>IFERROR(__xludf.DUMMYFUNCTION("""COMPUTED_VALUE"""),0.433333333333333)</f>
        <v>0.4333333333</v>
      </c>
    </row>
    <row r="4182">
      <c r="A4182" s="10" t="s">
        <v>5621</v>
      </c>
      <c r="B4182" s="7" t="str">
        <f>IFERROR(__xludf.DUMMYFUNCTION("SPLIT(A4182,"" "")"),"CN(C)CCN(C)CC(C)(C)C")</f>
        <v>CN(C)CCN(C)CC(C)(C)C</v>
      </c>
      <c r="C4182" s="7">
        <f>IFERROR(__xludf.DUMMYFUNCTION("""COMPUTED_VALUE"""),7.7970676)</f>
        <v>7.7970676</v>
      </c>
      <c r="D4182" s="7">
        <f>IFERROR(__xludf.DUMMYFUNCTION("""COMPUTED_VALUE"""),0.243243243243243)</f>
        <v>0.2432432432</v>
      </c>
    </row>
    <row r="4183">
      <c r="A4183" s="10" t="s">
        <v>5622</v>
      </c>
      <c r="B4183" s="7" t="str">
        <f>IFERROR(__xludf.DUMMYFUNCTION("SPLIT(A4183,"" "")"),"CC1C=CC(C)C(C)(c2cc(CN(Cc3ccccn3)Cc3ccc(-c4ccc5c(c4)OCCOCCOCCOCCOCCO5)cn3)ccn2)C1")</f>
        <v>CC1C=CC(C)C(C)(c2cc(CN(Cc3ccccn3)Cc3ccc(-c4ccc5c(c4)OCCOCCOCCOCCOCCO5)cn3)ccn2)C1</v>
      </c>
      <c r="C4183" s="7">
        <f>IFERROR(__xludf.DUMMYFUNCTION("""COMPUTED_VALUE"""),7.7970643)</f>
        <v>7.7970643</v>
      </c>
      <c r="D4183" s="7">
        <f>IFERROR(__xludf.DUMMYFUNCTION("""COMPUTED_VALUE"""),0.382716049382716)</f>
        <v>0.3827160494</v>
      </c>
    </row>
    <row r="4184">
      <c r="A4184" s="10" t="s">
        <v>5623</v>
      </c>
      <c r="B4184" s="7" t="str">
        <f>IFERROR(__xludf.DUMMYFUNCTION("SPLIT(A4184,"" "")"),"Cc1cccnc1CN(C)C1CCCC(N(Cc2ccccn2)Cc2cc(F)ccn2)C1")</f>
        <v>Cc1cccnc1CN(C)C1CCCC(N(Cc2ccccn2)Cc2cc(F)ccn2)C1</v>
      </c>
      <c r="C4184" s="7">
        <f>IFERROR(__xludf.DUMMYFUNCTION("""COMPUTED_VALUE"""),7.7970586)</f>
        <v>7.7970586</v>
      </c>
      <c r="D4184" s="7">
        <f>IFERROR(__xludf.DUMMYFUNCTION("""COMPUTED_VALUE"""),0.421052631578947)</f>
        <v>0.4210526316</v>
      </c>
    </row>
    <row r="4185">
      <c r="A4185" s="10" t="s">
        <v>5624</v>
      </c>
      <c r="B4185" s="7" t="str">
        <f>IFERROR(__xludf.DUMMYFUNCTION("SPLIT(A4185,"" "")"),"Fc1cccc(CN(Cc2ccccn2)Cc2cccc(-c3cccc4c3OCCOCCOCCOCCOCCO4)n2)n1")</f>
        <v>Fc1cccc(CN(Cc2ccccn2)Cc2cccc(-c3cccc4c3OCCOCCOCCOCCOCCO4)n2)n1</v>
      </c>
      <c r="C4185" s="7">
        <f>IFERROR(__xludf.DUMMYFUNCTION("""COMPUTED_VALUE"""),7.797032)</f>
        <v>7.797032</v>
      </c>
      <c r="D4185" s="7">
        <f>IFERROR(__xludf.DUMMYFUNCTION("""COMPUTED_VALUE"""),0.413793103448275)</f>
        <v>0.4137931034</v>
      </c>
    </row>
    <row r="4186">
      <c r="A4186" s="10" t="s">
        <v>5625</v>
      </c>
      <c r="B4186" s="7" t="str">
        <f>IFERROR(__xludf.DUMMYFUNCTION("SPLIT(A4186,"" "")"),"Cc1nc(CN(C)C2CCCC(N(C)Cc3ccc(C(C)(C)C(C)N)nc3)C2)c(C)c(C)c1C")</f>
        <v>Cc1nc(CN(C)C2CCCC(N(C)Cc3ccc(C(C)(C)C(C)N)nc3)C2)c(C)c(C)c1C</v>
      </c>
      <c r="C4186" s="7">
        <f>IFERROR(__xludf.DUMMYFUNCTION("""COMPUTED_VALUE"""),7.7970304)</f>
        <v>7.7970304</v>
      </c>
      <c r="D4186" s="7">
        <f>IFERROR(__xludf.DUMMYFUNCTION("""COMPUTED_VALUE"""),0.253731343283582)</f>
        <v>0.2537313433</v>
      </c>
    </row>
    <row r="4187">
      <c r="A4187" s="10" t="s">
        <v>5626</v>
      </c>
      <c r="B4187" s="7" t="str">
        <f>IFERROR(__xludf.DUMMYFUNCTION("SPLIT(A4187,"" "")"),"CCNc1cccc(CN(Cc2ccccn2)C2CCCC(N(C)Cc3ncccc3C)C2)n1")</f>
        <v>CCNc1cccc(CN(Cc2ccccn2)C2CCCC(N(C)Cc3ncccc3C)C2)n1</v>
      </c>
      <c r="C4187" s="7">
        <f>IFERROR(__xludf.DUMMYFUNCTION("""COMPUTED_VALUE"""),7.7970304)</f>
        <v>7.7970304</v>
      </c>
      <c r="D4187" s="7">
        <f>IFERROR(__xludf.DUMMYFUNCTION("""COMPUTED_VALUE"""),0.393442622950819)</f>
        <v>0.393442623</v>
      </c>
    </row>
    <row r="4188">
      <c r="A4188" s="10" t="s">
        <v>5627</v>
      </c>
      <c r="B4188" s="7" t="str">
        <f>IFERROR(__xludf.DUMMYFUNCTION("SPLIT(A4188,"" "")"),"CC1=CC(C)C2(CC1)C(C)CC(N(C)Cc1ccccn1)=CC21C=C(C(C)C)C(C)CC1")</f>
        <v>CC1=CC(C)C2(CC1)C(C)CC(N(C)Cc1ccccn1)=CC21C=C(C(C)C)C(C)CC1</v>
      </c>
      <c r="C4188" s="7">
        <f>IFERROR(__xludf.DUMMYFUNCTION("""COMPUTED_VALUE"""),7.797019)</f>
        <v>7.797019</v>
      </c>
      <c r="D4188" s="7">
        <f>IFERROR(__xludf.DUMMYFUNCTION("""COMPUTED_VALUE"""),0.323529411764705)</f>
        <v>0.3235294118</v>
      </c>
    </row>
    <row r="4189">
      <c r="A4189" s="10" t="s">
        <v>5628</v>
      </c>
      <c r="B4189" s="7" t="str">
        <f>IFERROR(__xludf.DUMMYFUNCTION("SPLIT(A4189,"" "")"),"CN(Cc1cccc(-c2ccc3c(c2)OCCOCCOCCOCCOCCO3)n1)CC1C=CNC(N(C)Cc2ccccn2)=C1")</f>
        <v>CN(Cc1cccc(-c2ccc3c(c2)OCCOCCOCCOCCOCCO3)n1)CC1C=CNC(N(C)Cc2ccccn2)=C1</v>
      </c>
      <c r="C4189" s="7">
        <f>IFERROR(__xludf.DUMMYFUNCTION("""COMPUTED_VALUE"""),7.797019)</f>
        <v>7.797019</v>
      </c>
      <c r="D4189" s="7">
        <f>IFERROR(__xludf.DUMMYFUNCTION("""COMPUTED_VALUE"""),0.391304347826087)</f>
        <v>0.3913043478</v>
      </c>
    </row>
    <row r="4190">
      <c r="A4190" s="10" t="s">
        <v>5629</v>
      </c>
      <c r="B4190" s="7" t="str">
        <f>IFERROR(__xludf.DUMMYFUNCTION("SPLIT(A4190,"" "")"),"CC1=C(C)CC(N(C)Cc2ncccc2C(C)(C)C)CC1")</f>
        <v>CC1=C(C)CC(N(C)Cc2ncccc2C(C)(C)C)CC1</v>
      </c>
      <c r="C4190" s="7">
        <f>IFERROR(__xludf.DUMMYFUNCTION("""COMPUTED_VALUE"""),7.797003)</f>
        <v>7.797003</v>
      </c>
      <c r="D4190" s="7">
        <f>IFERROR(__xludf.DUMMYFUNCTION("""COMPUTED_VALUE"""),0.314814814814814)</f>
        <v>0.3148148148</v>
      </c>
    </row>
    <row r="4191">
      <c r="A4191" s="10" t="s">
        <v>5630</v>
      </c>
      <c r="B4191" s="7" t="str">
        <f>IFERROR(__xludf.DUMMYFUNCTION("SPLIT(A4191,"" "")"),"CC1CC(N)C1CN(Cc1ccccn1)Cc1cc(N)ccn1")</f>
        <v>CC1CC(N)C1CN(Cc1ccccn1)Cc1cc(N)ccn1</v>
      </c>
      <c r="C4191" s="7">
        <f>IFERROR(__xludf.DUMMYFUNCTION("""COMPUTED_VALUE"""),7.797)</f>
        <v>7.797</v>
      </c>
      <c r="D4191" s="7">
        <f>IFERROR(__xludf.DUMMYFUNCTION("""COMPUTED_VALUE"""),0.422222222222222)</f>
        <v>0.4222222222</v>
      </c>
    </row>
    <row r="4192">
      <c r="A4192" s="10" t="s">
        <v>5631</v>
      </c>
      <c r="B4192" s="7" t="str">
        <f>IFERROR(__xludf.DUMMYFUNCTION("SPLIT(A4192,"" "")"),"Cc1cc(C)c(C)c(CN(C)C2=CCC=C(CN3CCN(C)CCN(C)CC3)N2)n1")</f>
        <v>Cc1cc(C)c(C)c(CN(C)C2=CCC=C(CN3CCN(C)CCN(C)CC3)N2)n1</v>
      </c>
      <c r="C4192" s="7">
        <f>IFERROR(__xludf.DUMMYFUNCTION("""COMPUTED_VALUE"""),7.796996)</f>
        <v>7.796996</v>
      </c>
      <c r="D4192" s="7">
        <f>IFERROR(__xludf.DUMMYFUNCTION("""COMPUTED_VALUE"""),0.375)</f>
        <v>0.375</v>
      </c>
    </row>
    <row r="4193">
      <c r="A4193" s="10" t="s">
        <v>5632</v>
      </c>
      <c r="B4193" s="7" t="str">
        <f>IFERROR(__xludf.DUMMYFUNCTION("SPLIT(A4193,"" "")"),"Cc1cccc(CN(C)C2CCCC(N(Cc3ccccn3)Cc3cccc(F)n3)C2)n1")</f>
        <v>Cc1cccc(CN(C)C2CCCC(N(Cc3ccccn3)Cc3cccc(F)n3)C2)n1</v>
      </c>
      <c r="C4193" s="7">
        <f>IFERROR(__xludf.DUMMYFUNCTION("""COMPUTED_VALUE"""),7.796996)</f>
        <v>7.796996</v>
      </c>
      <c r="D4193" s="7">
        <f>IFERROR(__xludf.DUMMYFUNCTION("""COMPUTED_VALUE"""),0.481481481481481)</f>
        <v>0.4814814815</v>
      </c>
    </row>
    <row r="4194">
      <c r="A4194" s="10" t="s">
        <v>5633</v>
      </c>
      <c r="B4194" s="7" t="str">
        <f>IFERROR(__xludf.DUMMYFUNCTION("SPLIT(A4194,"" "")"),"CC(N)C(C)N(C)Cc1cccc(C(C)(C)C)n1")</f>
        <v>CC(N)C(C)N(C)Cc1cccc(C(C)(C)C)n1</v>
      </c>
      <c r="C4194" s="7">
        <f>IFERROR(__xludf.DUMMYFUNCTION("""COMPUTED_VALUE"""),7.7969933)</f>
        <v>7.7969933</v>
      </c>
      <c r="D4194" s="7">
        <f>IFERROR(__xludf.DUMMYFUNCTION("""COMPUTED_VALUE"""),0.34090909090909)</f>
        <v>0.3409090909</v>
      </c>
    </row>
    <row r="4195">
      <c r="A4195" s="10" t="s">
        <v>5634</v>
      </c>
      <c r="B4195" s="7" t="str">
        <f>IFERROR(__xludf.DUMMYFUNCTION("SPLIT(A4195,"" "")"),"CC1=C(c2ncccc2CN(Cc2ccccn2)C2CCC(N(C)Cc3ncccc3C)CC2)CCC(C)C1C")</f>
        <v>CC1=C(c2ncccc2CN(Cc2ccccn2)C2CCC(N(C)Cc3ncccc3C)CC2)CCC(C)C1C</v>
      </c>
      <c r="C4195" s="7">
        <f>IFERROR(__xludf.DUMMYFUNCTION("""COMPUTED_VALUE"""),7.7969923)</f>
        <v>7.7969923</v>
      </c>
      <c r="D4195" s="7">
        <f>IFERROR(__xludf.DUMMYFUNCTION("""COMPUTED_VALUE"""),0.348484848484848)</f>
        <v>0.3484848485</v>
      </c>
    </row>
    <row r="4196">
      <c r="A4196" s="10" t="s">
        <v>5635</v>
      </c>
      <c r="B4196" s="7" t="str">
        <f>IFERROR(__xludf.DUMMYFUNCTION("SPLIT(A4196,"" "")"),"CN(Cc1cccc(CN(C)C2CCCCC2N(C)Cc2cccc(-c3ccc4c(c3)OCCOCCOCCOCCOCCO4)n2)n1)c1ccc(Cl)c(Cl)c1")</f>
        <v>CN(Cc1cccc(CN(C)C2CCCCC2N(C)Cc2cccc(-c3ccc4c(c3)OCCOCCOCCOCCOCCO4)n2)n1)c1ccc(Cl)c(Cl)c1</v>
      </c>
      <c r="C4196" s="7">
        <f>IFERROR(__xludf.DUMMYFUNCTION("""COMPUTED_VALUE"""),7.7969804)</f>
        <v>7.7969804</v>
      </c>
      <c r="D4196" s="7">
        <f>IFERROR(__xludf.DUMMYFUNCTION("""COMPUTED_VALUE"""),0.393939393939393)</f>
        <v>0.3939393939</v>
      </c>
    </row>
    <row r="4197">
      <c r="A4197" s="10" t="s">
        <v>5636</v>
      </c>
      <c r="B4197" s="7" t="str">
        <f>IFERROR(__xludf.DUMMYFUNCTION("SPLIT(A4197,"" "")"),"Cc1cccc(N(C)C2CCCCC2N(C)Cc2ccon2)c1C")</f>
        <v>Cc1cccc(N(C)C2CCCCC2N(C)Cc2ccon2)c1C</v>
      </c>
      <c r="C4197" s="7">
        <f>IFERROR(__xludf.DUMMYFUNCTION("""COMPUTED_VALUE"""),7.7969785)</f>
        <v>7.7969785</v>
      </c>
      <c r="D4197" s="7">
        <f>IFERROR(__xludf.DUMMYFUNCTION("""COMPUTED_VALUE"""),0.470588235294117)</f>
        <v>0.4705882353</v>
      </c>
    </row>
    <row r="4198">
      <c r="A4198" s="10" t="s">
        <v>5637</v>
      </c>
      <c r="B4198" s="7" t="str">
        <f>IFERROR(__xludf.DUMMYFUNCTION("SPLIT(A4198,"" "")"),"CCNc1cccc(CN(Cc2ccccn2)C2CCCC(N(C)Cc3cccc(C)n3)C2)n1")</f>
        <v>CCNc1cccc(CN(Cc2ccccn2)C2CCCC(N(C)Cc3cccc(C)n3)C2)n1</v>
      </c>
      <c r="C4198" s="7">
        <f>IFERROR(__xludf.DUMMYFUNCTION("""COMPUTED_VALUE"""),7.796972)</f>
        <v>7.796972</v>
      </c>
      <c r="D4198" s="7">
        <f>IFERROR(__xludf.DUMMYFUNCTION("""COMPUTED_VALUE"""),0.456140350877192)</f>
        <v>0.4561403509</v>
      </c>
    </row>
    <row r="4199">
      <c r="A4199" s="10" t="s">
        <v>5638</v>
      </c>
      <c r="B4199" s="7" t="str">
        <f>IFERROR(__xludf.DUMMYFUNCTION("SPLIT(A4199,"" "")"),"CNCc1cc(CN(Cc2ccccn2)C2CCCCC2N(C)Cc2ncc(C)c(C)c2C)ccn1")</f>
        <v>CNCc1cc(CN(Cc2ccccn2)C2CCCCC2N(C)Cc2ncc(C)c(C)c2C)ccn1</v>
      </c>
      <c r="C4199" s="7">
        <f>IFERROR(__xludf.DUMMYFUNCTION("""COMPUTED_VALUE"""),7.7969704)</f>
        <v>7.7969704</v>
      </c>
      <c r="D4199" s="7">
        <f>IFERROR(__xludf.DUMMYFUNCTION("""COMPUTED_VALUE"""),0.5)</f>
        <v>0.5</v>
      </c>
    </row>
    <row r="4200">
      <c r="A4200" s="10" t="s">
        <v>5639</v>
      </c>
      <c r="B4200" s="7" t="str">
        <f>IFERROR(__xludf.DUMMYFUNCTION("SPLIT(A4200,"" "")"),"CN(Cc1ncccc1-c1ccc2c(c1)OCCOCCOCCOCCOCCO2)Cc1ncccc1N(C)CCF")</f>
        <v>CN(Cc1ncccc1-c1ccc2c(c1)OCCOCCOCCOCCOCCO2)Cc1ncccc1N(C)CCF</v>
      </c>
      <c r="C4200" s="7">
        <f>IFERROR(__xludf.DUMMYFUNCTION("""COMPUTED_VALUE"""),7.79697)</f>
        <v>7.79697</v>
      </c>
      <c r="D4200" s="7">
        <f>IFERROR(__xludf.DUMMYFUNCTION("""COMPUTED_VALUE"""),0.31081081081081)</f>
        <v>0.3108108108</v>
      </c>
    </row>
    <row r="4201">
      <c r="A4201" s="10" t="s">
        <v>5640</v>
      </c>
      <c r="B4201" s="7" t="str">
        <f>IFERROR(__xludf.DUMMYFUNCTION("SPLIT(A4201,"" "")"),"Cc1ccc(CN(Cc2ccccn2)C2CCC(N(C)Cc3cccc(C)n3)CC2)nc1")</f>
        <v>Cc1ccc(CN(Cc2ccccn2)C2CCC(N(C)Cc3cccc(C)n3)CC2)nc1</v>
      </c>
      <c r="C4201" s="7">
        <f>IFERROR(__xludf.DUMMYFUNCTION("""COMPUTED_VALUE"""),7.7969575)</f>
        <v>7.7969575</v>
      </c>
      <c r="D4201" s="7">
        <f>IFERROR(__xludf.DUMMYFUNCTION("""COMPUTED_VALUE"""),0.471698113207547)</f>
        <v>0.4716981132</v>
      </c>
    </row>
    <row r="4202">
      <c r="A4202" s="10" t="s">
        <v>5641</v>
      </c>
      <c r="B4202" s="7" t="str">
        <f>IFERROR(__xludf.DUMMYFUNCTION("SPLIT(A4202,"" "")"),"FCNc1cc(CN(Cc2ccccn2)Cc2ccc(-c3ccc4c(c3)OCCOCCOCCOCCOCCO4)cn2)ccn1")</f>
        <v>FCNc1cc(CN(Cc2ccccn2)Cc2ccc(-c3ccc4c(c3)OCCOCCOCCOCCOCCO4)cn2)ccn1</v>
      </c>
      <c r="C4202" s="7">
        <f>IFERROR(__xludf.DUMMYFUNCTION("""COMPUTED_VALUE"""),7.796956)</f>
        <v>7.796956</v>
      </c>
      <c r="D4202" s="7">
        <f>IFERROR(__xludf.DUMMYFUNCTION("""COMPUTED_VALUE"""),0.410958904109589)</f>
        <v>0.4109589041</v>
      </c>
    </row>
    <row r="4203">
      <c r="A4203" s="10" t="s">
        <v>5642</v>
      </c>
      <c r="B4203" s="7" t="str">
        <f>IFERROR(__xludf.DUMMYFUNCTION("SPLIT(A4203,"" "")"),"CC(C)C1CC(c2ncccc2CN(Cc2ccccn2)Cc2ncccc2-c2ccc3c(c2)OCCOCCOCCOCCOCCO3)C1")</f>
        <v>CC(C)C1CC(c2ncccc2CN(Cc2ccccn2)Cc2ncccc2-c2ccc3c(c2)OCCOCCOCCOCCOCCO3)C1</v>
      </c>
      <c r="C4203" s="7">
        <f>IFERROR(__xludf.DUMMYFUNCTION("""COMPUTED_VALUE"""),7.7969503)</f>
        <v>7.7969503</v>
      </c>
      <c r="D4203" s="7">
        <f>IFERROR(__xludf.DUMMYFUNCTION("""COMPUTED_VALUE"""),0.307692307692307)</f>
        <v>0.3076923077</v>
      </c>
    </row>
    <row r="4204">
      <c r="A4204" s="10" t="s">
        <v>5643</v>
      </c>
      <c r="B4204" s="7" t="str">
        <f>IFERROR(__xludf.DUMMYFUNCTION("SPLIT(A4204,"" "")"),"CC1C=C2N=CC=CC2C(CN(C)Cc2cc(C(C)(C)C)ccn2)C1C")</f>
        <v>CC1C=C2N=CC=CC2C(CN(C)Cc2cc(C(C)(C)C)ccn2)C1C</v>
      </c>
      <c r="C4204" s="7">
        <f>IFERROR(__xludf.DUMMYFUNCTION("""COMPUTED_VALUE"""),7.7969494)</f>
        <v>7.7969494</v>
      </c>
      <c r="D4204" s="7">
        <f>IFERROR(__xludf.DUMMYFUNCTION("""COMPUTED_VALUE"""),0.25)</f>
        <v>0.25</v>
      </c>
    </row>
    <row r="4205">
      <c r="A4205" s="10" t="s">
        <v>5644</v>
      </c>
      <c r="B4205" s="7" t="str">
        <f>IFERROR(__xludf.DUMMYFUNCTION("SPLIT(A4205,"" "")"),"Cc1cc(C)c(CN(C)C2CCC(N(C)Cc3ccon3)CC2)nc1C")</f>
        <v>Cc1cc(C)c(CN(C)C2CCC(N(C)Cc3ccon3)CC2)nc1C</v>
      </c>
      <c r="C4205" s="7">
        <f>IFERROR(__xludf.DUMMYFUNCTION("""COMPUTED_VALUE"""),7.796925)</f>
        <v>7.796925</v>
      </c>
      <c r="D4205" s="7">
        <f>IFERROR(__xludf.DUMMYFUNCTION("""COMPUTED_VALUE"""),0.413043478260869)</f>
        <v>0.4130434783</v>
      </c>
    </row>
    <row r="4206">
      <c r="A4206" s="10" t="s">
        <v>5645</v>
      </c>
      <c r="B4206" s="7" t="str">
        <f>IFERROR(__xludf.DUMMYFUNCTION("SPLIT(A4206,"" "")"),"Cc1ccc(CN(C)C2CCC(N(Cc3ccccn3)Cc3ncccc3C)CC2)nc1")</f>
        <v>Cc1ccc(CN(C)C2CCC(N(Cc3ccccn3)Cc3ncccc3C)CC2)nc1</v>
      </c>
      <c r="C4206" s="7">
        <f>IFERROR(__xludf.DUMMYFUNCTION("""COMPUTED_VALUE"""),7.79692)</f>
        <v>7.79692</v>
      </c>
      <c r="D4206" s="7">
        <f>IFERROR(__xludf.DUMMYFUNCTION("""COMPUTED_VALUE"""),0.462962962962962)</f>
        <v>0.462962963</v>
      </c>
    </row>
    <row r="4207">
      <c r="A4207" s="10" t="s">
        <v>5646</v>
      </c>
      <c r="B4207" s="7" t="str">
        <f>IFERROR(__xludf.DUMMYFUNCTION("SPLIT(A4207,"" "")"),"CN1CCN(C)CCN(Cc2ccc(CN(C)C3CCCC(N(C)c4ccc5ccc(CF)nc5c4)C3)nc2)CC1")</f>
        <v>CN1CCN(C)CCN(Cc2ccc(CN(C)C3CCCC(N(C)c4ccc5ccc(CF)nc5c4)C3)nc2)CC1</v>
      </c>
      <c r="C4207" s="7">
        <f>IFERROR(__xludf.DUMMYFUNCTION("""COMPUTED_VALUE"""),7.79692)</f>
        <v>7.79692</v>
      </c>
      <c r="D4207" s="7">
        <f>IFERROR(__xludf.DUMMYFUNCTION("""COMPUTED_VALUE"""),0.305555555555555)</f>
        <v>0.3055555556</v>
      </c>
    </row>
    <row r="4208">
      <c r="A4208" s="10" t="s">
        <v>5647</v>
      </c>
      <c r="B4208" s="7" t="str">
        <f>IFERROR(__xludf.DUMMYFUNCTION("SPLIT(A4208,"" "")"),"Cc1ccc(CN(C)C2CCC(N(Cc3ccccn3)Cc3ncccc3C)CC2)cn1")</f>
        <v>Cc1ccc(CN(C)C2CCC(N(Cc3ccccn3)Cc3ncccc3C)CC2)cn1</v>
      </c>
      <c r="C4208" s="7">
        <f>IFERROR(__xludf.DUMMYFUNCTION("""COMPUTED_VALUE"""),7.7969184)</f>
        <v>7.7969184</v>
      </c>
      <c r="D4208" s="7">
        <f>IFERROR(__xludf.DUMMYFUNCTION("""COMPUTED_VALUE"""),0.410714285714285)</f>
        <v>0.4107142857</v>
      </c>
    </row>
    <row r="4209">
      <c r="A4209" s="10" t="s">
        <v>5648</v>
      </c>
      <c r="B4209" s="7" t="str">
        <f>IFERROR(__xludf.DUMMYFUNCTION("SPLIT(A4209,"" "")"),"CN1CCN(Cc2cc(-c3ccc4c(c3)OCCOCCOCCOCCOCCO4)ccn2)CCN(Cc2cnccc2-c2cccc(N(C)C)c2)CC1")</f>
        <v>CN1CCN(Cc2cc(-c3ccc4c(c3)OCCOCCOCCOCCOCCO4)ccn2)CCN(Cc2cnccc2-c2cccc(N(C)C)c2)CC1</v>
      </c>
      <c r="C4209" s="7">
        <f>IFERROR(__xludf.DUMMYFUNCTION("""COMPUTED_VALUE"""),7.7968855)</f>
        <v>7.7968855</v>
      </c>
      <c r="D4209" s="7">
        <f>IFERROR(__xludf.DUMMYFUNCTION("""COMPUTED_VALUE"""),0.36986301369863)</f>
        <v>0.3698630137</v>
      </c>
    </row>
    <row r="4210">
      <c r="A4210" s="10" t="s">
        <v>5649</v>
      </c>
      <c r="B4210" s="7" t="str">
        <f>IFERROR(__xludf.DUMMYFUNCTION("SPLIT(A4210,"" "")"),"CN1CCN(C)CCN(Cc2ccc(CN(C)C(C)(C)c3ccc(C4=CCC=CN4)nc3)nc2)CC1")</f>
        <v>CN1CCN(C)CCN(Cc2ccc(CN(C)C(C)(C)c3ccc(C4=CCC=CN4)nc3)nc2)CC1</v>
      </c>
      <c r="C4210" s="7">
        <f>IFERROR(__xludf.DUMMYFUNCTION("""COMPUTED_VALUE"""),7.7968736)</f>
        <v>7.7968736</v>
      </c>
      <c r="D4210" s="7">
        <f>IFERROR(__xludf.DUMMYFUNCTION("""COMPUTED_VALUE"""),0.287671232876712)</f>
        <v>0.2876712329</v>
      </c>
    </row>
    <row r="4211">
      <c r="A4211" s="10" t="s">
        <v>5650</v>
      </c>
      <c r="B4211" s="7" t="str">
        <f>IFERROR(__xludf.DUMMYFUNCTION("SPLIT(A4211,"" "")"),"CC(N)C(C)N(C)CC1=CCC=C(N(C)C(C)C)N1")</f>
        <v>CC(N)C(C)N(C)CC1=CCC=C(N(C)C(C)C)N1</v>
      </c>
      <c r="C4211" s="7">
        <f>IFERROR(__xludf.DUMMYFUNCTION("""COMPUTED_VALUE"""),7.7968717)</f>
        <v>7.7968717</v>
      </c>
      <c r="D4211" s="7">
        <f>IFERROR(__xludf.DUMMYFUNCTION("""COMPUTED_VALUE"""),0.192307692307692)</f>
        <v>0.1923076923</v>
      </c>
    </row>
    <row r="4212">
      <c r="A4212" s="10" t="s">
        <v>5651</v>
      </c>
      <c r="B4212" s="7" t="str">
        <f>IFERROR(__xludf.DUMMYFUNCTION("SPLIT(A4212,"" "")"),"CNCc1ccc(C(C)(C)c2ccccn2)c(-c2ccc3c(c2)OCCOCCOCCOCCOCCO3)n1")</f>
        <v>CNCc1ccc(C(C)(C)c2ccccn2)c(-c2ccc3c(c2)OCCOCCOCCOCCOCCO3)n1</v>
      </c>
      <c r="C4212" s="7">
        <f>IFERROR(__xludf.DUMMYFUNCTION("""COMPUTED_VALUE"""),7.796871)</f>
        <v>7.796871</v>
      </c>
      <c r="D4212" s="7">
        <f>IFERROR(__xludf.DUMMYFUNCTION("""COMPUTED_VALUE"""),0.342465753424657)</f>
        <v>0.3424657534</v>
      </c>
    </row>
    <row r="4213">
      <c r="A4213" s="10" t="s">
        <v>5652</v>
      </c>
      <c r="B4213" s="7" t="str">
        <f>IFERROR(__xludf.DUMMYFUNCTION("SPLIT(A4213,"" "")"),"Cc1ccc(CN(Cc2ccccn2)C2CCC(N(C)Cc3ncccc3C)CC2)nc1")</f>
        <v>Cc1ccc(CN(Cc2ccccn2)C2CCC(N(C)Cc3ncccc3C)CC2)nc1</v>
      </c>
      <c r="C4213" s="7">
        <f>IFERROR(__xludf.DUMMYFUNCTION("""COMPUTED_VALUE"""),7.7968655)</f>
        <v>7.7968655</v>
      </c>
      <c r="D4213" s="7">
        <f>IFERROR(__xludf.DUMMYFUNCTION("""COMPUTED_VALUE"""),0.444444444444444)</f>
        <v>0.4444444444</v>
      </c>
    </row>
    <row r="4214">
      <c r="A4214" s="10" t="s">
        <v>5653</v>
      </c>
      <c r="B4214" s="7" t="str">
        <f>IFERROR(__xludf.DUMMYFUNCTION("SPLIT(A4214,"" "")"),"Cc1ncccc1CN(C)C1CCCC(N(C)Cc2nc(C)c(C)c(C)c2C)C1")</f>
        <v>Cc1ncccc1CN(C)C1CCCC(N(C)Cc2nc(C)c(C)c(C)c2C)C1</v>
      </c>
      <c r="C4214" s="7">
        <f>IFERROR(__xludf.DUMMYFUNCTION("""COMPUTED_VALUE"""),7.7968626)</f>
        <v>7.7968626</v>
      </c>
      <c r="D4214" s="7">
        <f>IFERROR(__xludf.DUMMYFUNCTION("""COMPUTED_VALUE"""),0.333333333333333)</f>
        <v>0.3333333333</v>
      </c>
    </row>
    <row r="4215">
      <c r="A4215" s="10" t="s">
        <v>5654</v>
      </c>
      <c r="B4215" s="7" t="str">
        <f>IFERROR(__xludf.DUMMYFUNCTION("SPLIT(A4215,"" "")"),"CN(C)C1CCCCC1N(C)Cc1ccc2ncccc2c1")</f>
        <v>CN(C)C1CCCCC1N(C)Cc1ccc2ncccc2c1</v>
      </c>
      <c r="C4215" s="7">
        <f>IFERROR(__xludf.DUMMYFUNCTION("""COMPUTED_VALUE"""),7.79686)</f>
        <v>7.79686</v>
      </c>
      <c r="D4215" s="7">
        <f>IFERROR(__xludf.DUMMYFUNCTION("""COMPUTED_VALUE"""),0.489361702127659)</f>
        <v>0.4893617021</v>
      </c>
    </row>
    <row r="4216">
      <c r="A4216" s="10" t="s">
        <v>5655</v>
      </c>
      <c r="B4216" s="7" t="str">
        <f>IFERROR(__xludf.DUMMYFUNCTION("SPLIT(A4216,"" "")"),"CCNCc1ncccc1C")</f>
        <v>CCNCc1ncccc1C</v>
      </c>
      <c r="C4216" s="7">
        <f>IFERROR(__xludf.DUMMYFUNCTION("""COMPUTED_VALUE"""),7.7968574)</f>
        <v>7.7968574</v>
      </c>
      <c r="D4216" s="7">
        <f>IFERROR(__xludf.DUMMYFUNCTION("""COMPUTED_VALUE"""),0.333333333333333)</f>
        <v>0.3333333333</v>
      </c>
    </row>
    <row r="4217">
      <c r="A4217" s="10" t="s">
        <v>5656</v>
      </c>
      <c r="B4217" s="7" t="str">
        <f>IFERROR(__xludf.DUMMYFUNCTION("SPLIT(A4217,"" "")"),"CNCc1cc(CN(Cc2ccccn2)Cc2cc(-c3ccc4c(c3)OCCOCCOCCOCCOCCO4)ccn2)ccn1")</f>
        <v>CNCc1cc(CN(Cc2ccccn2)Cc2cc(-c3ccc4c(c3)OCCOCCOCCOCCOCCO4)ccn2)ccn1</v>
      </c>
      <c r="C4217" s="7">
        <f>IFERROR(__xludf.DUMMYFUNCTION("""COMPUTED_VALUE"""),7.7968473)</f>
        <v>7.7968473</v>
      </c>
      <c r="D4217" s="7">
        <f>IFERROR(__xludf.DUMMYFUNCTION("""COMPUTED_VALUE"""),0.37037037037037)</f>
        <v>0.3703703704</v>
      </c>
    </row>
    <row r="4218">
      <c r="A4218" s="10" t="s">
        <v>5657</v>
      </c>
      <c r="B4218" s="7" t="str">
        <f>IFERROR(__xludf.DUMMYFUNCTION("SPLIT(A4218,"" "")"),"CN1CCN(Cc2cc(-c3ccc4c(c3)OCCOCCOCCOCCOCCO4)ccn2)CCN(Cc2cccnc2-c2cccc(N(C)C)c2)CC1")</f>
        <v>CN1CCN(Cc2cc(-c3ccc4c(c3)OCCOCCOCCOCCOCCO4)ccn2)CCN(Cc2cccnc2-c2cccc(N(C)C)c2)CC1</v>
      </c>
      <c r="C4218" s="7">
        <f>IFERROR(__xludf.DUMMYFUNCTION("""COMPUTED_VALUE"""),7.7968464)</f>
        <v>7.7968464</v>
      </c>
      <c r="D4218" s="7">
        <f>IFERROR(__xludf.DUMMYFUNCTION("""COMPUTED_VALUE"""),0.380281690140845)</f>
        <v>0.3802816901</v>
      </c>
    </row>
    <row r="4219">
      <c r="A4219" s="10" t="s">
        <v>5658</v>
      </c>
      <c r="B4219" s="7" t="str">
        <f>IFERROR(__xludf.DUMMYFUNCTION("SPLIT(A4219,"" "")"),"CN1CCN(C)CCN(Cc2cnccc2-c2ccccc2N)CC1")</f>
        <v>CN1CCN(C)CCN(Cc2cnccc2-c2ccccc2N)CC1</v>
      </c>
      <c r="C4219" s="7">
        <f>IFERROR(__xludf.DUMMYFUNCTION("""COMPUTED_VALUE"""),7.7968454)</f>
        <v>7.7968454</v>
      </c>
      <c r="D4219" s="7">
        <f>IFERROR(__xludf.DUMMYFUNCTION("""COMPUTED_VALUE"""),0.434782608695652)</f>
        <v>0.4347826087</v>
      </c>
    </row>
    <row r="4220">
      <c r="A4220" s="10" t="s">
        <v>5659</v>
      </c>
      <c r="B4220" s="7" t="str">
        <f>IFERROR(__xludf.DUMMYFUNCTION("SPLIT(A4220,"" "")"),"Cc1cnc(CN(C)C2CCCCC2N(C)Cc2nc(C)c(C)cc2C)c(C)c1")</f>
        <v>Cc1cnc(CN(C)C2CCCCC2N(C)Cc2nc(C)c(C)cc2C)c(C)c1</v>
      </c>
      <c r="C4220" s="7">
        <f>IFERROR(__xludf.DUMMYFUNCTION("""COMPUTED_VALUE"""),7.7968388)</f>
        <v>7.7968388</v>
      </c>
      <c r="D4220" s="7">
        <f>IFERROR(__xludf.DUMMYFUNCTION("""COMPUTED_VALUE"""),0.489361702127659)</f>
        <v>0.4893617021</v>
      </c>
    </row>
    <row r="4221">
      <c r="A4221" s="10" t="s">
        <v>5660</v>
      </c>
      <c r="B4221" s="7" t="str">
        <f>IFERROR(__xludf.DUMMYFUNCTION("SPLIT(A4221,"" "")"),"CN(Cc1cc(-c2ccc3c(c2)OCCOCCOCCOCCOCCO3)ccn1)Cc1cc(C(C)(C)C)ccn1")</f>
        <v>CN(Cc1cc(-c2ccc3c(c2)OCCOCCOCCOCCOCCO3)ccn1)Cc1cc(C(C)(C)C)ccn1</v>
      </c>
      <c r="C4221" s="7">
        <f>IFERROR(__xludf.DUMMYFUNCTION("""COMPUTED_VALUE"""),7.796836)</f>
        <v>7.796836</v>
      </c>
      <c r="D4221" s="7">
        <f>IFERROR(__xludf.DUMMYFUNCTION("""COMPUTED_VALUE"""),0.390625)</f>
        <v>0.390625</v>
      </c>
    </row>
    <row r="4222">
      <c r="A4222" s="10" t="s">
        <v>5661</v>
      </c>
      <c r="B4222" s="7" t="str">
        <f>IFERROR(__xludf.DUMMYFUNCTION("SPLIT(A4222,"" "")"),"CNCc1ncccc1CN(Cc1ccccn1)C1CCCCC1N(C)Cc1ncc(C)c(C)c1C")</f>
        <v>CNCc1ncccc1CN(Cc1ccccn1)C1CCCCC1N(C)Cc1ncc(C)c(C)c1C</v>
      </c>
      <c r="C4222" s="7">
        <f>IFERROR(__xludf.DUMMYFUNCTION("""COMPUTED_VALUE"""),7.7968354)</f>
        <v>7.7968354</v>
      </c>
      <c r="D4222" s="7">
        <f>IFERROR(__xludf.DUMMYFUNCTION("""COMPUTED_VALUE"""),0.5)</f>
        <v>0.5</v>
      </c>
    </row>
    <row r="4223">
      <c r="A4223" s="10" t="s">
        <v>5662</v>
      </c>
      <c r="B4223" s="7" t="str">
        <f>IFERROR(__xludf.DUMMYFUNCTION("SPLIT(A4223,"" "")"),"CNC1CCC(N(Cc2ccccn2)Cc2ccccn2)CC1N(Cc1ccccn1)Cc1ccccn1")</f>
        <v>CNC1CCC(N(Cc2ccccn2)Cc2ccccn2)CC1N(Cc1ccccn1)Cc1ccccn1</v>
      </c>
      <c r="C4223" s="7">
        <f>IFERROR(__xludf.DUMMYFUNCTION("""COMPUTED_VALUE"""),7.7968297)</f>
        <v>7.7968297</v>
      </c>
      <c r="D4223" s="7">
        <f>IFERROR(__xludf.DUMMYFUNCTION("""COMPUTED_VALUE"""),0.468085106382978)</f>
        <v>0.4680851064</v>
      </c>
    </row>
    <row r="4224">
      <c r="A4224" s="10" t="s">
        <v>5663</v>
      </c>
      <c r="B4224" s="7" t="str">
        <f>IFERROR(__xludf.DUMMYFUNCTION("SPLIT(A4224,"" "")"),"CNC1C(N(C)Cc2cc(C)ccn2)CCCC1N(Cc1ncccc1C)Cc1ncccc1C")</f>
        <v>CNC1C(N(C)Cc2cc(C)ccn2)CCCC1N(Cc1ncccc1C)Cc1ncccc1C</v>
      </c>
      <c r="C4224" s="7">
        <f>IFERROR(__xludf.DUMMYFUNCTION("""COMPUTED_VALUE"""),7.796824)</f>
        <v>7.796824</v>
      </c>
      <c r="D4224" s="7">
        <f>IFERROR(__xludf.DUMMYFUNCTION("""COMPUTED_VALUE"""),0.421052631578947)</f>
        <v>0.4210526316</v>
      </c>
    </row>
    <row r="4225">
      <c r="A4225" s="10" t="s">
        <v>5664</v>
      </c>
      <c r="B4225" s="7" t="str">
        <f>IFERROR(__xludf.DUMMYFUNCTION("SPLIT(A4225,"" "")"),"CNC1=CC=CC(N(C)C)N1")</f>
        <v>CNC1=CC=CC(N(C)C)N1</v>
      </c>
      <c r="C4225" s="7">
        <f>IFERROR(__xludf.DUMMYFUNCTION("""COMPUTED_VALUE"""),7.7968225)</f>
        <v>7.7968225</v>
      </c>
      <c r="D4225" s="7">
        <f>IFERROR(__xludf.DUMMYFUNCTION("""COMPUTED_VALUE"""),0.18)</f>
        <v>0.18</v>
      </c>
    </row>
    <row r="4226">
      <c r="A4226" s="10" t="s">
        <v>5665</v>
      </c>
      <c r="B4226" s="7" t="str">
        <f>IFERROR(__xludf.DUMMYFUNCTION("SPLIT(A4226,"" "")"),"CN(CCN(C)Cc1cccnc1)Cc1cccnc1")</f>
        <v>CN(CCN(C)Cc1cccnc1)Cc1cccnc1</v>
      </c>
      <c r="C4226" s="7">
        <f>IFERROR(__xludf.DUMMYFUNCTION("""COMPUTED_VALUE"""),7.7968016)</f>
        <v>7.7968016</v>
      </c>
      <c r="D4226" s="7">
        <f>IFERROR(__xludf.DUMMYFUNCTION("""COMPUTED_VALUE"""),0.470588235294117)</f>
        <v>0.4705882353</v>
      </c>
    </row>
    <row r="4227">
      <c r="A4227" s="10" t="s">
        <v>5666</v>
      </c>
      <c r="B4227" s="7" t="str">
        <f>IFERROR(__xludf.DUMMYFUNCTION("SPLIT(A4227,"" "")"),"Cc1cccnc1CN(C)CCNC(C)C")</f>
        <v>Cc1cccnc1CN(C)CCNC(C)C</v>
      </c>
      <c r="C4227" s="7">
        <f>IFERROR(__xludf.DUMMYFUNCTION("""COMPUTED_VALUE"""),7.7967954)</f>
        <v>7.7967954</v>
      </c>
      <c r="D4227" s="7">
        <f>IFERROR(__xludf.DUMMYFUNCTION("""COMPUTED_VALUE"""),0.361702127659574)</f>
        <v>0.3617021277</v>
      </c>
    </row>
    <row r="4228">
      <c r="A4228" s="10" t="s">
        <v>5667</v>
      </c>
      <c r="B4228" s="7" t="str">
        <f>IFERROR(__xludf.DUMMYFUNCTION("SPLIT(A4228,"" "")"),"Cc1cccnc1CN(C)C1CCCC(N(Cc2ccccn2)Cc2cccc(F)n2)C1")</f>
        <v>Cc1cccnc1CN(C)C1CCCC(N(Cc2ccccn2)Cc2cccc(F)n2)C1</v>
      </c>
      <c r="C4228" s="7">
        <f>IFERROR(__xludf.DUMMYFUNCTION("""COMPUTED_VALUE"""),7.79679)</f>
        <v>7.79679</v>
      </c>
      <c r="D4228" s="7">
        <f>IFERROR(__xludf.DUMMYFUNCTION("""COMPUTED_VALUE"""),0.413793103448275)</f>
        <v>0.4137931034</v>
      </c>
    </row>
    <row r="4229">
      <c r="A4229" s="10" t="s">
        <v>5668</v>
      </c>
      <c r="B4229" s="7" t="str">
        <f>IFERROR(__xludf.DUMMYFUNCTION("SPLIT(A4229,"" "")"),"CN1CCN(C)CCN(Cc2ccc(-c3ccccc3N)nc2)CC1")</f>
        <v>CN1CCN(C)CCN(Cc2ccc(-c3ccccc3N)nc2)CC1</v>
      </c>
      <c r="C4229" s="7">
        <f>IFERROR(__xludf.DUMMYFUNCTION("""COMPUTED_VALUE"""),7.7967877)</f>
        <v>7.7967877</v>
      </c>
      <c r="D4229" s="7">
        <f>IFERROR(__xludf.DUMMYFUNCTION("""COMPUTED_VALUE"""),0.434782608695652)</f>
        <v>0.4347826087</v>
      </c>
    </row>
    <row r="4230">
      <c r="A4230" s="10" t="s">
        <v>5669</v>
      </c>
      <c r="B4230" s="7" t="str">
        <f>IFERROR(__xludf.DUMMYFUNCTION("SPLIT(A4230,"" "")"),"Cc1ccnc(CN(C)CCN(C)CCN)c1C")</f>
        <v>Cc1ccnc(CN(C)CCN(C)CCN)c1C</v>
      </c>
      <c r="C4230" s="7">
        <f>IFERROR(__xludf.DUMMYFUNCTION("""COMPUTED_VALUE"""),7.796785)</f>
        <v>7.796785</v>
      </c>
      <c r="D4230" s="7">
        <f>IFERROR(__xludf.DUMMYFUNCTION("""COMPUTED_VALUE"""),0.357142857142857)</f>
        <v>0.3571428571</v>
      </c>
    </row>
    <row r="4231">
      <c r="A4231" s="10" t="s">
        <v>5670</v>
      </c>
      <c r="B4231" s="7" t="str">
        <f>IFERROR(__xludf.DUMMYFUNCTION("SPLIT(A4231,"" "")"),"CCCN(Cc1ccccn1)c1ccc2c(c1-c1cccc(CN(Cc3ccccn3)Cc3cccc(-c4ccc5c(c4)OCCOCCOCCOCCOCCO5)n3)n1)OCCOCCOCCOCCOCCO2")</f>
        <v>CCCN(Cc1ccccn1)c1ccc2c(c1-c1cccc(CN(Cc3ccccn3)Cc3cccc(-c4ccc5c(c4)OCCOCCOCCOCCOCCO5)n3)n1)OCCOCCOCCOCCOCCO2</v>
      </c>
      <c r="C4231" s="7">
        <f>IFERROR(__xludf.DUMMYFUNCTION("""COMPUTED_VALUE"""),7.796776)</f>
        <v>7.796776</v>
      </c>
      <c r="D4231" s="7">
        <f>IFERROR(__xludf.DUMMYFUNCTION("""COMPUTED_VALUE"""),0.424657534246575)</f>
        <v>0.4246575342</v>
      </c>
    </row>
    <row r="4232">
      <c r="A4232" s="10" t="s">
        <v>5671</v>
      </c>
      <c r="B4232" s="7" t="str">
        <f>IFERROR(__xludf.DUMMYFUNCTION("SPLIT(A4232,"" "")"),"CNCc1ncc(CN(C)C2CCC(N(C)Cc3ncc(C)c(C)c3C)CC2)cc1C")</f>
        <v>CNCc1ncc(CN(C)C2CCC(N(C)Cc3ncc(C)c(C)c3C)CC2)cc1C</v>
      </c>
      <c r="C4232" s="7">
        <f>IFERROR(__xludf.DUMMYFUNCTION("""COMPUTED_VALUE"""),7.7967753)</f>
        <v>7.7967753</v>
      </c>
      <c r="D4232" s="7">
        <f>IFERROR(__xludf.DUMMYFUNCTION("""COMPUTED_VALUE"""),0.275862068965517)</f>
        <v>0.275862069</v>
      </c>
    </row>
    <row r="4233">
      <c r="A4233" s="10" t="s">
        <v>5672</v>
      </c>
      <c r="B4233" s="7" t="str">
        <f>IFERROR(__xludf.DUMMYFUNCTION("SPLIT(A4233,"" "")"),"CN(CCF)CCN(Cc1cccc(F)n1)Cc1cccc(F)n1")</f>
        <v>CN(CCF)CCN(Cc1cccc(F)n1)Cc1cccc(F)n1</v>
      </c>
      <c r="C4233" s="7">
        <f>IFERROR(__xludf.DUMMYFUNCTION("""COMPUTED_VALUE"""),7.7967753)</f>
        <v>7.7967753</v>
      </c>
      <c r="D4233" s="7">
        <f>IFERROR(__xludf.DUMMYFUNCTION("""COMPUTED_VALUE"""),0.487179487179487)</f>
        <v>0.4871794872</v>
      </c>
    </row>
    <row r="4234">
      <c r="A4234" s="10" t="s">
        <v>5673</v>
      </c>
      <c r="B4234" s="7" t="str">
        <f>IFERROR(__xludf.DUMMYFUNCTION("SPLIT(A4234,"" "")"),"CN1CCN(Cc2cc(-c3cccc(N(C)C)c3)ccn2)CCN(Cc2cc(-c3ccc4c(c3)OCCOCCOCCOCCOCCO4)ccn2)CC1")</f>
        <v>CN1CCN(Cc2cc(-c3cccc(N(C)C)c3)ccn2)CCN(Cc2cc(-c3ccc4c(c3)OCCOCCOCCOCCOCCO4)ccn2)CC1</v>
      </c>
      <c r="C4234" s="7">
        <f>IFERROR(__xludf.DUMMYFUNCTION("""COMPUTED_VALUE"""),7.7967753)</f>
        <v>7.7967753</v>
      </c>
      <c r="D4234" s="7">
        <f>IFERROR(__xludf.DUMMYFUNCTION("""COMPUTED_VALUE"""),0.442622950819672)</f>
        <v>0.4426229508</v>
      </c>
    </row>
    <row r="4235">
      <c r="A4235" s="10" t="s">
        <v>5674</v>
      </c>
      <c r="B4235" s="7" t="str">
        <f>IFERROR(__xludf.DUMMYFUNCTION("SPLIT(A4235,"" "")"),"CN(Cc1ccccn1)C1C=CNC(CN(Cc2ccccn2)Cc2cccc(-c3ccc4c(c3)OCCOCCOCCOCCOCCO4)n2)=C1")</f>
        <v>CN(Cc1ccccn1)C1C=CNC(CN(Cc2ccccn2)Cc2cccc(-c3ccc4c(c3)OCCOCCOCCOCCOCCO4)n2)=C1</v>
      </c>
      <c r="C4235" s="7">
        <f>IFERROR(__xludf.DUMMYFUNCTION("""COMPUTED_VALUE"""),7.7967696)</f>
        <v>7.7967696</v>
      </c>
      <c r="D4235" s="7">
        <f>IFERROR(__xludf.DUMMYFUNCTION("""COMPUTED_VALUE"""),0.424657534246575)</f>
        <v>0.4246575342</v>
      </c>
    </row>
    <row r="4236">
      <c r="A4236" s="10" t="s">
        <v>5675</v>
      </c>
      <c r="B4236" s="7" t="str">
        <f>IFERROR(__xludf.DUMMYFUNCTION("SPLIT(A4236,"" "")"),"CN1CCN(Cc2cc(N(O)c3ccc4c(c3)OCCOCCOCCOCCOCCO4)ccn2)CCN(Cc2cccc(C(C)(c3ccccn3)c3ccccn3)n2)CC1")</f>
        <v>CN1CCN(Cc2cc(N(O)c3ccc4c(c3)OCCOCCOCCOCCOCCO4)ccn2)CCN(Cc2cccc(C(C)(c3ccccn3)c3ccccn3)n2)CC1</v>
      </c>
      <c r="C4236" s="7">
        <f>IFERROR(__xludf.DUMMYFUNCTION("""COMPUTED_VALUE"""),7.7967687)</f>
        <v>7.7967687</v>
      </c>
      <c r="D4236" s="7">
        <f>IFERROR(__xludf.DUMMYFUNCTION("""COMPUTED_VALUE"""),0.44927536231884)</f>
        <v>0.4492753623</v>
      </c>
    </row>
    <row r="4237">
      <c r="A4237" s="10" t="s">
        <v>5676</v>
      </c>
      <c r="B4237" s="7" t="str">
        <f>IFERROR(__xludf.DUMMYFUNCTION("SPLIT(A4237,"" "")"),"Cc1cccnc1CN(C)c1cncc(CN2CCN(C)CCN(C)CC2)c1")</f>
        <v>Cc1cccnc1CN(C)c1cncc(CN2CCN(C)CCN(C)CC2)c1</v>
      </c>
      <c r="C4237" s="7">
        <f>IFERROR(__xludf.DUMMYFUNCTION("""COMPUTED_VALUE"""),7.7967634)</f>
        <v>7.7967634</v>
      </c>
      <c r="D4237" s="7">
        <f>IFERROR(__xludf.DUMMYFUNCTION("""COMPUTED_VALUE"""),0.388888888888888)</f>
        <v>0.3888888889</v>
      </c>
    </row>
    <row r="4238">
      <c r="A4238" s="10" t="s">
        <v>5677</v>
      </c>
      <c r="B4238" s="7" t="str">
        <f>IFERROR(__xludf.DUMMYFUNCTION("SPLIT(A4238,"" "")"),"CN(CC1=CCC=C(N(O)Cc2cccnn2)N1)C1CCCCC1N(C)C1=CCC=CN1")</f>
        <v>CN(CC1=CCC=C(N(O)Cc2cccnn2)N1)C1CCCCC1N(C)C1=CCC=CN1</v>
      </c>
      <c r="C4238" s="7">
        <f>IFERROR(__xludf.DUMMYFUNCTION("""COMPUTED_VALUE"""),7.7967625)</f>
        <v>7.7967625</v>
      </c>
      <c r="D4238" s="7">
        <f>IFERROR(__xludf.DUMMYFUNCTION("""COMPUTED_VALUE"""),0.359375)</f>
        <v>0.359375</v>
      </c>
    </row>
    <row r="4239">
      <c r="A4239" s="10" t="s">
        <v>5678</v>
      </c>
      <c r="B4239" s="7" t="str">
        <f>IFERROR(__xludf.DUMMYFUNCTION("SPLIT(A4239,"" "")"),"Cc1cc(CN(C)C2CCC(N(C)Cc3nccc(C)c3C)CC2)nc(C)c1C")</f>
        <v>Cc1cc(CN(C)C2CCC(N(C)Cc3nccc(C)c3C)CC2)nc(C)c1C</v>
      </c>
      <c r="C4239" s="7">
        <f>IFERROR(__xludf.DUMMYFUNCTION("""COMPUTED_VALUE"""),7.7967362)</f>
        <v>7.7967362</v>
      </c>
      <c r="D4239" s="7">
        <f>IFERROR(__xludf.DUMMYFUNCTION("""COMPUTED_VALUE"""),0.314814814814814)</f>
        <v>0.3148148148</v>
      </c>
    </row>
    <row r="4240">
      <c r="A4240" s="10" t="s">
        <v>5679</v>
      </c>
      <c r="B4240" s="7" t="str">
        <f>IFERROR(__xludf.DUMMYFUNCTION("SPLIT(A4240,"" "")"),"CNCc1cc(CN(Cc2ccccn2)C(C)(N)C2CC(C)(C)C2)ccn1")</f>
        <v>CNCc1cc(CN(Cc2ccccn2)C(C)(N)C2CC(C)(C)C2)ccn1</v>
      </c>
      <c r="C4240" s="7">
        <f>IFERROR(__xludf.DUMMYFUNCTION("""COMPUTED_VALUE"""),7.7967086)</f>
        <v>7.7967086</v>
      </c>
      <c r="D4240" s="7">
        <f>IFERROR(__xludf.DUMMYFUNCTION("""COMPUTED_VALUE"""),0.338983050847457)</f>
        <v>0.3389830508</v>
      </c>
    </row>
    <row r="4241">
      <c r="A4241" s="10" t="s">
        <v>5680</v>
      </c>
      <c r="B4241" s="7" t="str">
        <f>IFERROR(__xludf.DUMMYFUNCTION("SPLIT(A4241,"" "")"),"CN(Cc1cccc(-c2ccc3c(c2)OCCOCCOCCOCCOCCO3)n1)c1ccccc1")</f>
        <v>CN(Cc1cccc(-c2ccc3c(c2)OCCOCCOCCOCCOCCO3)n1)c1ccccc1</v>
      </c>
      <c r="C4241" s="7">
        <f>IFERROR(__xludf.DUMMYFUNCTION("""COMPUTED_VALUE"""),7.796697)</f>
        <v>7.796697</v>
      </c>
      <c r="D4241" s="7">
        <f>IFERROR(__xludf.DUMMYFUNCTION("""COMPUTED_VALUE"""),0.349206349206349)</f>
        <v>0.3492063492</v>
      </c>
    </row>
    <row r="4242">
      <c r="A4242" s="10" t="s">
        <v>5681</v>
      </c>
      <c r="B4242" s="7" t="str">
        <f>IFERROR(__xludf.DUMMYFUNCTION("SPLIT(A4242,"" "")"),"Cc1ccc(CN(Cc2cccc(F)n2)C2CCC(N(C)Cc3cccc(CF)n3)CC2)nc1")</f>
        <v>Cc1ccc(CN(Cc2cccc(F)n2)C2CCC(N(C)Cc3cccc(CF)n3)CC2)nc1</v>
      </c>
      <c r="C4242" s="7">
        <f>IFERROR(__xludf.DUMMYFUNCTION("""COMPUTED_VALUE"""),7.7966933)</f>
        <v>7.7966933</v>
      </c>
      <c r="D4242" s="7">
        <f>IFERROR(__xludf.DUMMYFUNCTION("""COMPUTED_VALUE"""),0.454545454545454)</f>
        <v>0.4545454545</v>
      </c>
    </row>
    <row r="4243">
      <c r="A4243" s="10" t="s">
        <v>5682</v>
      </c>
      <c r="B4243" s="7" t="str">
        <f>IFERROR(__xludf.DUMMYFUNCTION("SPLIT(A4243,"" "")"),"Cc1cnc(CN(C)CCN(C)C2CCCC(N(Cc3ccccn3)Cc3ncc(C)c(C)c3C)C2)c(C)c1")</f>
        <v>Cc1cnc(CN(C)CCN(C)C2CCCC(N(Cc3ccccn3)Cc3ncc(C)c(C)c3C)C2)c(C)c1</v>
      </c>
      <c r="C4243" s="7">
        <f>IFERROR(__xludf.DUMMYFUNCTION("""COMPUTED_VALUE"""),7.796689)</f>
        <v>7.796689</v>
      </c>
      <c r="D4243" s="7">
        <f>IFERROR(__xludf.DUMMYFUNCTION("""COMPUTED_VALUE"""),0.375)</f>
        <v>0.375</v>
      </c>
    </row>
    <row r="4244">
      <c r="A4244" s="10" t="s">
        <v>5683</v>
      </c>
      <c r="B4244" s="7" t="str">
        <f>IFERROR(__xludf.DUMMYFUNCTION("SPLIT(A4244,"" "")"),"CCNC1CC(N(C)Cc2cc(C)ccn2)CC(N(C)Cc2cc(C)c(C)c(C)n2)C1")</f>
        <v>CCNC1CC(N(C)Cc2cc(C)ccn2)CC(N(C)Cc2cc(C)c(C)c(C)n2)C1</v>
      </c>
      <c r="C4244" s="7">
        <f>IFERROR(__xludf.DUMMYFUNCTION("""COMPUTED_VALUE"""),7.7966814)</f>
        <v>7.7966814</v>
      </c>
      <c r="D4244" s="7">
        <f>IFERROR(__xludf.DUMMYFUNCTION("""COMPUTED_VALUE"""),0.295081967213114)</f>
        <v>0.2950819672</v>
      </c>
    </row>
    <row r="4245">
      <c r="A4245" s="10" t="s">
        <v>5684</v>
      </c>
      <c r="B4245" s="7" t="str">
        <f>IFERROR(__xludf.DUMMYFUNCTION("SPLIT(A4245,"" "")"),"Cc1cc(C)c(C)c(CN(C)C2CCCCC2N(C)c2ccccc2F)n1")</f>
        <v>Cc1cc(C)c(C)c(CN(C)C2CCCCC2N(C)c2ccccc2F)n1</v>
      </c>
      <c r="C4245" s="7">
        <f>IFERROR(__xludf.DUMMYFUNCTION("""COMPUTED_VALUE"""),7.7966666)</f>
        <v>7.7966666</v>
      </c>
      <c r="D4245" s="7">
        <f>IFERROR(__xludf.DUMMYFUNCTION("""COMPUTED_VALUE"""),0.425925925925925)</f>
        <v>0.4259259259</v>
      </c>
    </row>
    <row r="4246">
      <c r="A4246" s="10" t="s">
        <v>5685</v>
      </c>
      <c r="B4246" s="7" t="str">
        <f>IFERROR(__xludf.DUMMYFUNCTION("SPLIT(A4246,"" "")"),"CCNCc1cc(CN(Cc2ccccn2)C2CCCC(N(C)Cc3ncc(C)c(C)c3C)C2)ccn1")</f>
        <v>CCNCc1cc(CN(Cc2ccccn2)C2CCCC(N(C)Cc3ncc(C)c(C)c3C)C2)ccn1</v>
      </c>
      <c r="C4246" s="7">
        <f>IFERROR(__xludf.DUMMYFUNCTION("""COMPUTED_VALUE"""),7.7966533)</f>
        <v>7.7966533</v>
      </c>
      <c r="D4246" s="7">
        <f>IFERROR(__xludf.DUMMYFUNCTION("""COMPUTED_VALUE"""),0.363636363636363)</f>
        <v>0.3636363636</v>
      </c>
    </row>
    <row r="4247">
      <c r="A4247" s="10" t="s">
        <v>5686</v>
      </c>
      <c r="B4247" s="7" t="str">
        <f>IFERROR(__xludf.DUMMYFUNCTION("SPLIT(A4247,"" "")"),"Cc1cc(CN(C)C2CCC(N(Cc3ccccn3)Cc3ncccc3C)CC2)ccn1")</f>
        <v>Cc1cc(CN(C)C2CCC(N(Cc3ccccn3)Cc3ncccc3C)CC2)ccn1</v>
      </c>
      <c r="C4247" s="7">
        <f>IFERROR(__xludf.DUMMYFUNCTION("""COMPUTED_VALUE"""),7.796645)</f>
        <v>7.796645</v>
      </c>
      <c r="D4247" s="7">
        <f>IFERROR(__xludf.DUMMYFUNCTION("""COMPUTED_VALUE"""),0.403508771929824)</f>
        <v>0.4035087719</v>
      </c>
    </row>
    <row r="4248">
      <c r="A4248" s="10" t="s">
        <v>5687</v>
      </c>
      <c r="B4248" s="7" t="str">
        <f>IFERROR(__xludf.DUMMYFUNCTION("SPLIT(A4248,"" "")"),"CC(NCc1ccccn1)C(C)(C)c1ccccn1")</f>
        <v>CC(NCc1ccccn1)C(C)(C)c1ccccn1</v>
      </c>
      <c r="C4248" s="7">
        <f>IFERROR(__xludf.DUMMYFUNCTION("""COMPUTED_VALUE"""),7.7966247)</f>
        <v>7.7966247</v>
      </c>
      <c r="D4248" s="7">
        <f>IFERROR(__xludf.DUMMYFUNCTION("""COMPUTED_VALUE"""),0.459459459459459)</f>
        <v>0.4594594595</v>
      </c>
    </row>
    <row r="4249">
      <c r="A4249" s="10" t="s">
        <v>5688</v>
      </c>
      <c r="B4249" s="7" t="str">
        <f>IFERROR(__xludf.DUMMYFUNCTION("SPLIT(A4249,"" "")"),"CN(CC1=C(N(C)C(c2ccccc2)c2ccccn2)CC=CN1)c1ccc2c(c1)OCCOCCOCCOCCOCCO2")</f>
        <v>CN(CC1=C(N(C)C(c2ccccc2)c2ccccn2)CC=CN1)c1ccc2c(c1)OCCOCCOCCOCCOCCO2</v>
      </c>
      <c r="C4249" s="7">
        <f>IFERROR(__xludf.DUMMYFUNCTION("""COMPUTED_VALUE"""),7.7966166)</f>
        <v>7.7966166</v>
      </c>
      <c r="D4249" s="7">
        <f>IFERROR(__xludf.DUMMYFUNCTION("""COMPUTED_VALUE"""),0.333333333333333)</f>
        <v>0.3333333333</v>
      </c>
    </row>
    <row r="4250">
      <c r="A4250" s="10" t="s">
        <v>5689</v>
      </c>
      <c r="B4250" s="7" t="str">
        <f>IFERROR(__xludf.DUMMYFUNCTION("SPLIT(A4250,"" "")"),"CN(Cc1ccc(-c2ccc3c(c2)OCCOCCOCCOCCOCCO3)cn1)Cc1ccc(C(C)(C)C)cn1")</f>
        <v>CN(Cc1ccc(-c2ccc3c(c2)OCCOCCOCCOCCOCCO3)cn1)Cc1ccc(C(C)(C)C)cn1</v>
      </c>
      <c r="C4250" s="7">
        <f>IFERROR(__xludf.DUMMYFUNCTION("""COMPUTED_VALUE"""),7.7966127)</f>
        <v>7.7966127</v>
      </c>
      <c r="D4250" s="7">
        <f>IFERROR(__xludf.DUMMYFUNCTION("""COMPUTED_VALUE"""),0.5)</f>
        <v>0.5</v>
      </c>
    </row>
    <row r="4251">
      <c r="A4251" s="10" t="s">
        <v>5690</v>
      </c>
      <c r="B4251" s="7" t="str">
        <f>IFERROR(__xludf.DUMMYFUNCTION("SPLIT(A4251,"" "")"),"COC(C)c1cc(CN(Cc2ccccn2)C2CCC(N(C)Cc3ncccc3C)CC2)ccn1")</f>
        <v>COC(C)c1cc(CN(Cc2ccccn2)C2CCC(N(C)Cc3ncccc3C)CC2)ccn1</v>
      </c>
      <c r="C4251" s="7">
        <f>IFERROR(__xludf.DUMMYFUNCTION("""COMPUTED_VALUE"""),7.796597)</f>
        <v>7.796597</v>
      </c>
      <c r="D4251" s="7">
        <f>IFERROR(__xludf.DUMMYFUNCTION("""COMPUTED_VALUE"""),0.353846153846153)</f>
        <v>0.3538461538</v>
      </c>
    </row>
    <row r="4252">
      <c r="A4252" s="10" t="s">
        <v>5691</v>
      </c>
      <c r="B4252" s="7" t="str">
        <f>IFERROR(__xludf.DUMMYFUNCTION("SPLIT(A4252,"" "")"),"Cc1cnc(CN(C)C2CCC(N(Cc3cc(C)c(C)cn3)C(C)C)CC2)c(C)c1")</f>
        <v>Cc1cnc(CN(C)C2CCC(N(Cc3cc(C)c(C)cn3)C(C)C)CC2)c(C)c1</v>
      </c>
      <c r="C4252" s="7">
        <f>IFERROR(__xludf.DUMMYFUNCTION("""COMPUTED_VALUE"""),7.7965956)</f>
        <v>7.7965956</v>
      </c>
      <c r="D4252" s="7">
        <f>IFERROR(__xludf.DUMMYFUNCTION("""COMPUTED_VALUE"""),0.363636363636363)</f>
        <v>0.3636363636</v>
      </c>
    </row>
    <row r="4253">
      <c r="A4253" s="10" t="s">
        <v>5692</v>
      </c>
      <c r="B4253" s="7" t="str">
        <f>IFERROR(__xludf.DUMMYFUNCTION("SPLIT(A4253,"" "")"),"Cc1cccnc1CN(Cc1ccccn1)C1CCC(N(C)Cc2cccnc2C)CC1")</f>
        <v>Cc1cccnc1CN(Cc1ccccn1)C1CCC(N(C)Cc2cccnc2C)CC1</v>
      </c>
      <c r="C4253" s="7">
        <f>IFERROR(__xludf.DUMMYFUNCTION("""COMPUTED_VALUE"""),7.796565)</f>
        <v>7.796565</v>
      </c>
      <c r="D4253" s="7">
        <f>IFERROR(__xludf.DUMMYFUNCTION("""COMPUTED_VALUE"""),0.425925925925925)</f>
        <v>0.4259259259</v>
      </c>
    </row>
    <row r="4254">
      <c r="A4254" s="10" t="s">
        <v>5693</v>
      </c>
      <c r="B4254" s="7" t="str">
        <f>IFERROR(__xludf.DUMMYFUNCTION("SPLIT(A4254,"" "")"),"CC1=CC(N(C)Cc2cc(C(C)(C)C)ccn2)CC(C)C1(C)C")</f>
        <v>CC1=CC(N(C)Cc2cc(C(C)(C)C)ccn2)CC(C)C1(C)C</v>
      </c>
      <c r="C4254" s="7">
        <f>IFERROR(__xludf.DUMMYFUNCTION("""COMPUTED_VALUE"""),7.7965536)</f>
        <v>7.7965536</v>
      </c>
      <c r="D4254" s="7">
        <f>IFERROR(__xludf.DUMMYFUNCTION("""COMPUTED_VALUE"""),0.293103448275862)</f>
        <v>0.2931034483</v>
      </c>
    </row>
    <row r="4255">
      <c r="A4255" s="10" t="s">
        <v>5694</v>
      </c>
      <c r="B4255" s="7" t="str">
        <f>IFERROR(__xludf.DUMMYFUNCTION("SPLIT(A4255,"" "")"),"CC(C)N(C)C1=CCC=C(CN(Cc2ccccn2)C2(C)CCC2)N1")</f>
        <v>CC(C)N(C)C1=CCC=C(CN(Cc2ccccn2)C2(C)CCC2)N1</v>
      </c>
      <c r="C4255" s="7">
        <f>IFERROR(__xludf.DUMMYFUNCTION("""COMPUTED_VALUE"""),7.796552)</f>
        <v>7.796552</v>
      </c>
      <c r="D4255" s="7">
        <f>IFERROR(__xludf.DUMMYFUNCTION("""COMPUTED_VALUE"""),0.407407407407407)</f>
        <v>0.4074074074</v>
      </c>
    </row>
    <row r="4256">
      <c r="A4256" s="10" t="s">
        <v>5695</v>
      </c>
      <c r="B4256" s="7" t="str">
        <f>IFERROR(__xludf.DUMMYFUNCTION("SPLIT(A4256,"" "")"),"CN(C1=CCC=CN1)C1CCCC(N(Cc2ccccn2)Cc2cccc(F)n2)C1")</f>
        <v>CN(C1=CCC=CN1)C1CCCC(N(Cc2ccccn2)Cc2cccc(F)n2)C1</v>
      </c>
      <c r="C4256" s="7">
        <f>IFERROR(__xludf.DUMMYFUNCTION("""COMPUTED_VALUE"""),7.796542)</f>
        <v>7.796542</v>
      </c>
      <c r="D4256" s="7">
        <f>IFERROR(__xludf.DUMMYFUNCTION("""COMPUTED_VALUE"""),0.421875)</f>
        <v>0.421875</v>
      </c>
    </row>
    <row r="4257">
      <c r="A4257" s="10" t="s">
        <v>5696</v>
      </c>
      <c r="B4257" s="7" t="str">
        <f>IFERROR(__xludf.DUMMYFUNCTION("SPLIT(A4257,"" "")"),"CC(C)N(C)CC1C=CNC=C1N(C)C1=CCC=CN1")</f>
        <v>CC(C)N(C)CC1C=CNC=C1N(C)C1=CCC=CN1</v>
      </c>
      <c r="C4257" s="7">
        <f>IFERROR(__xludf.DUMMYFUNCTION("""COMPUTED_VALUE"""),7.79654)</f>
        <v>7.79654</v>
      </c>
      <c r="D4257" s="7">
        <f>IFERROR(__xludf.DUMMYFUNCTION("""COMPUTED_VALUE"""),0.222222222222222)</f>
        <v>0.2222222222</v>
      </c>
    </row>
    <row r="4258">
      <c r="A4258" s="10" t="s">
        <v>5697</v>
      </c>
      <c r="B4258" s="7" t="str">
        <f>IFERROR(__xludf.DUMMYFUNCTION("SPLIT(A4258,"" "")"),"CN(Cc1cccc(F)n1)C1CCCC(N(Cc2cccc(F)n2)Cc2cccc(F)n2)C1")</f>
        <v>CN(Cc1cccc(F)n1)C1CCCC(N(Cc2cccc(F)n2)Cc2cccc(F)n2)C1</v>
      </c>
      <c r="C4258" s="7">
        <f>IFERROR(__xludf.DUMMYFUNCTION("""COMPUTED_VALUE"""),7.7965384)</f>
        <v>7.7965384</v>
      </c>
      <c r="D4258" s="7">
        <f>IFERROR(__xludf.DUMMYFUNCTION("""COMPUTED_VALUE"""),0.446808510638297)</f>
        <v>0.4468085106</v>
      </c>
    </row>
    <row r="4259">
      <c r="A4259" s="10" t="s">
        <v>5698</v>
      </c>
      <c r="B4259" s="7" t="str">
        <f>IFERROR(__xludf.DUMMYFUNCTION("SPLIT(A4259,"" "")"),"CNCc1cccc(CN(Cc2ccccn2)Cc2ncccc2-c2ccc3c(c2)OCCOCCOCCOCCOCCO3)n1")</f>
        <v>CNCc1cccc(CN(Cc2ccccn2)Cc2ncccc2-c2ccc3c(c2)OCCOCCOCCOCCOCCO3)n1</v>
      </c>
      <c r="C4259" s="7">
        <f>IFERROR(__xludf.DUMMYFUNCTION("""COMPUTED_VALUE"""),7.796528)</f>
        <v>7.796528</v>
      </c>
      <c r="D4259" s="7">
        <f>IFERROR(__xludf.DUMMYFUNCTION("""COMPUTED_VALUE"""),0.361111111111111)</f>
        <v>0.3611111111</v>
      </c>
    </row>
    <row r="4260">
      <c r="A4260" s="10" t="s">
        <v>5699</v>
      </c>
      <c r="B4260" s="7" t="str">
        <f>IFERROR(__xludf.DUMMYFUNCTION("SPLIT(A4260,"" "")"),"CC1=CC(C)CC(C)(c2cccc(CN3CCN(C)CCN(Cc4cccc(C(C)(C)c5ccccn5)n4)CC3)n2)C1")</f>
        <v>CC1=CC(C)CC(C)(c2cccc(CN3CCN(C)CCN(Cc4cccc(C(C)(C)c5ccccn5)n4)CC3)n2)C1</v>
      </c>
      <c r="C4260" s="7">
        <f>IFERROR(__xludf.DUMMYFUNCTION("""COMPUTED_VALUE"""),7.796527)</f>
        <v>7.796527</v>
      </c>
      <c r="D4260" s="7">
        <f>IFERROR(__xludf.DUMMYFUNCTION("""COMPUTED_VALUE"""),0.419354838709677)</f>
        <v>0.4193548387</v>
      </c>
    </row>
    <row r="4261">
      <c r="A4261" s="10" t="s">
        <v>5700</v>
      </c>
      <c r="B4261" s="7" t="str">
        <f>IFERROR(__xludf.DUMMYFUNCTION("SPLIT(A4261,"" "")"),"CC1C=CC2(CC1)CC(C)C(C)C=C2N(Cc1ccccn1)Cc1ccccn1")</f>
        <v>CC1C=CC2(CC1)CC(C)C(C)C=C2N(Cc1ccccn1)Cc1ccccn1</v>
      </c>
      <c r="C4261" s="7">
        <f>IFERROR(__xludf.DUMMYFUNCTION("""COMPUTED_VALUE"""),7.7965207)</f>
        <v>7.7965207</v>
      </c>
      <c r="D4261" s="7">
        <f>IFERROR(__xludf.DUMMYFUNCTION("""COMPUTED_VALUE"""),0.381818181818181)</f>
        <v>0.3818181818</v>
      </c>
    </row>
    <row r="4262">
      <c r="A4262" s="10" t="s">
        <v>5701</v>
      </c>
      <c r="B4262" s="7" t="str">
        <f>IFERROR(__xludf.DUMMYFUNCTION("SPLIT(A4262,"" "")"),"Cc1ccc(CN(Cc2cccc(F)n2)C2CCC(N(C)Cc3cccc(F)n3)CC2)nc1")</f>
        <v>Cc1ccc(CN(Cc2cccc(F)n2)C2CCC(N(C)Cc3cccc(F)n3)CC2)nc1</v>
      </c>
      <c r="C4262" s="7">
        <f>IFERROR(__xludf.DUMMYFUNCTION("""COMPUTED_VALUE"""),7.7965198)</f>
        <v>7.7965198</v>
      </c>
      <c r="D4262" s="7">
        <f>IFERROR(__xludf.DUMMYFUNCTION("""COMPUTED_VALUE"""),0.5)</f>
        <v>0.5</v>
      </c>
    </row>
    <row r="4263">
      <c r="A4263" s="10" t="s">
        <v>5702</v>
      </c>
      <c r="B4263" s="7" t="str">
        <f>IFERROR(__xludf.DUMMYFUNCTION("SPLIT(A4263,"" "")"),"CCNCC1=CCC(N(C)C(C)C)=CN1")</f>
        <v>CCNCC1=CCC(N(C)C(C)C)=CN1</v>
      </c>
      <c r="C4263" s="7">
        <f>IFERROR(__xludf.DUMMYFUNCTION("""COMPUTED_VALUE"""),7.796519)</f>
        <v>7.796519</v>
      </c>
      <c r="D4263" s="7">
        <f>IFERROR(__xludf.DUMMYFUNCTION("""COMPUTED_VALUE"""),0.173076923076923)</f>
        <v>0.1730769231</v>
      </c>
    </row>
    <row r="4264">
      <c r="A4264" s="10" t="s">
        <v>5703</v>
      </c>
      <c r="B4264" s="7" t="str">
        <f>IFERROR(__xludf.DUMMYFUNCTION("SPLIT(A4264,"" "")"),"CNCc1cc(CN(Cc2cc(C)ccn2)C2CCC(N(C)Cc3ncccc3C)CC2)ccn1")</f>
        <v>CNCc1cc(CN(Cc2cc(C)ccn2)C2CCC(N(C)Cc3ncccc3C)CC2)ccn1</v>
      </c>
      <c r="C4264" s="7">
        <f>IFERROR(__xludf.DUMMYFUNCTION("""COMPUTED_VALUE"""),7.7965183)</f>
        <v>7.7965183</v>
      </c>
      <c r="D4264" s="7">
        <f>IFERROR(__xludf.DUMMYFUNCTION("""COMPUTED_VALUE"""),0.292307692307692)</f>
        <v>0.2923076923</v>
      </c>
    </row>
    <row r="4265">
      <c r="A4265" s="10" t="s">
        <v>5704</v>
      </c>
      <c r="B4265" s="7" t="str">
        <f>IFERROR(__xludf.DUMMYFUNCTION("SPLIT(A4265,"" "")"),"CN1CCN(C)CCN(CCCN(C)c2cccc3ncc(CF)cc23)CC1")</f>
        <v>CN1CCN(C)CCN(CCCN(C)c2cccc3ncc(CF)cc23)CC1</v>
      </c>
      <c r="C4265" s="7">
        <f>IFERROR(__xludf.DUMMYFUNCTION("""COMPUTED_VALUE"""),7.79651)</f>
        <v>7.79651</v>
      </c>
      <c r="D4265" s="7">
        <f>IFERROR(__xludf.DUMMYFUNCTION("""COMPUTED_VALUE"""),0.333333333333333)</f>
        <v>0.3333333333</v>
      </c>
    </row>
    <row r="4266">
      <c r="A4266" s="10" t="s">
        <v>5705</v>
      </c>
      <c r="B4266" s="7" t="str">
        <f>IFERROR(__xludf.DUMMYFUNCTION("SPLIT(A4266,"" "")"),"CC(C)c1ccccn1")</f>
        <v>CC(C)c1ccccn1</v>
      </c>
      <c r="C4266" s="7">
        <f>IFERROR(__xludf.DUMMYFUNCTION("""COMPUTED_VALUE"""),7.7965097)</f>
        <v>7.7965097</v>
      </c>
      <c r="D4266" s="7">
        <f>IFERROR(__xludf.DUMMYFUNCTION("""COMPUTED_VALUE"""),0.4375)</f>
        <v>0.4375</v>
      </c>
    </row>
    <row r="4267">
      <c r="A4267" s="10" t="s">
        <v>5706</v>
      </c>
      <c r="B4267" s="7" t="str">
        <f>IFERROR(__xludf.DUMMYFUNCTION("SPLIT(A4267,"" "")"),"CN(Cc1cccc(-c2ccc3c(c2)OCCOCCOCCOCCOCCO3)n1)C1=CC=CNC1NCc1ccccn1")</f>
        <v>CN(Cc1cccc(-c2ccc3c(c2)OCCOCCOCCOCCOCCO3)n1)C1=CC=CNC1NCc1ccccn1</v>
      </c>
      <c r="C4267" s="7">
        <f>IFERROR(__xludf.DUMMYFUNCTION("""COMPUTED_VALUE"""),7.796494)</f>
        <v>7.796494</v>
      </c>
      <c r="D4267" s="7">
        <f>IFERROR(__xludf.DUMMYFUNCTION("""COMPUTED_VALUE"""),0.358974358974359)</f>
        <v>0.358974359</v>
      </c>
    </row>
    <row r="4268">
      <c r="A4268" s="10" t="s">
        <v>5707</v>
      </c>
      <c r="B4268" s="7" t="str">
        <f>IFERROR(__xludf.DUMMYFUNCTION("SPLIT(A4268,"" "")"),"C=CCN(C)Cc1cccc(-c2cccc(N(C)C3CCC(N(C)Cc4cccc(-c5ccc6c(c5)OCCOCCOCCOCCOCCO6)n4)CC3)c2)n1")</f>
        <v>C=CCN(C)Cc1cccc(-c2cccc(N(C)C3CCC(N(C)Cc4cccc(-c5ccc6c(c5)OCCOCCOCCOCCOCCO6)n4)CC3)c2)n1</v>
      </c>
      <c r="C4268" s="7">
        <f>IFERROR(__xludf.DUMMYFUNCTION("""COMPUTED_VALUE"""),7.7964935)</f>
        <v>7.7964935</v>
      </c>
      <c r="D4268" s="7">
        <f>IFERROR(__xludf.DUMMYFUNCTION("""COMPUTED_VALUE"""),0.304878048780487)</f>
        <v>0.3048780488</v>
      </c>
    </row>
    <row r="4269">
      <c r="A4269" s="10" t="s">
        <v>5708</v>
      </c>
      <c r="B4269" s="7" t="str">
        <f>IFERROR(__xludf.DUMMYFUNCTION("SPLIT(A4269,"" "")"),"CC(C)C(C)N(C)Cc1ncccc1C(C)(C)C")</f>
        <v>CC(C)C(C)N(C)Cc1ncccc1C(C)(C)C</v>
      </c>
      <c r="C4269" s="7">
        <f>IFERROR(__xludf.DUMMYFUNCTION("""COMPUTED_VALUE"""),7.7964892)</f>
        <v>7.7964892</v>
      </c>
      <c r="D4269" s="7">
        <f>IFERROR(__xludf.DUMMYFUNCTION("""COMPUTED_VALUE"""),0.304347826086956)</f>
        <v>0.3043478261</v>
      </c>
    </row>
    <row r="4270">
      <c r="A4270" s="10" t="s">
        <v>5709</v>
      </c>
      <c r="B4270" s="7" t="str">
        <f>IFERROR(__xludf.DUMMYFUNCTION("SPLIT(A4270,"" "")"),"COCC(C)c1cccc(CN(Cc2ccccn2)Cc2cccc(-c3ccc4c(c3)OCCOCCOCCOCCOCCO4)n2)n1")</f>
        <v>COCC(C)c1cccc(CN(Cc2ccccn2)Cc2cccc(-c3ccc4c(c3)OCCOCCOCCOCCOCCO4)n2)n1</v>
      </c>
      <c r="C4270" s="7">
        <f>IFERROR(__xludf.DUMMYFUNCTION("""COMPUTED_VALUE"""),7.796489)</f>
        <v>7.796489</v>
      </c>
      <c r="D4270" s="7">
        <f>IFERROR(__xludf.DUMMYFUNCTION("""COMPUTED_VALUE"""),0.492537313432835)</f>
        <v>0.4925373134</v>
      </c>
    </row>
    <row r="4271">
      <c r="A4271" s="10" t="s">
        <v>5710</v>
      </c>
      <c r="B4271" s="7" t="str">
        <f>IFERROR(__xludf.DUMMYFUNCTION("SPLIT(A4271,"" "")"),"CN1CCN(C)CCN(Cc2cncc(-c3ccccc3N)c2)CC1")</f>
        <v>CN1CCN(C)CCN(Cc2cncc(-c3ccccc3N)c2)CC1</v>
      </c>
      <c r="C4271" s="7">
        <f>IFERROR(__xludf.DUMMYFUNCTION("""COMPUTED_VALUE"""),7.7964787)</f>
        <v>7.7964787</v>
      </c>
      <c r="D4271" s="7">
        <f>IFERROR(__xludf.DUMMYFUNCTION("""COMPUTED_VALUE"""),0.395833333333333)</f>
        <v>0.3958333333</v>
      </c>
    </row>
    <row r="4272">
      <c r="A4272" s="10" t="s">
        <v>5711</v>
      </c>
      <c r="B4272" s="7" t="str">
        <f>IFERROR(__xludf.DUMMYFUNCTION("SPLIT(A4272,"" "")"),"CN(Cc1cccc(-c2ccc3c(c2)OCCOCCOCCOCCOCCO3)n1)C1CCCCC1N(Cc1ccccn1)Cc1ccc2ccccc2n1")</f>
        <v>CN(Cc1cccc(-c2ccc3c(c2)OCCOCCOCCOCCOCCO3)n1)C1CCCCC1N(Cc1ccccn1)Cc1ccc2ccccc2n1</v>
      </c>
      <c r="C4272" s="7">
        <f>IFERROR(__xludf.DUMMYFUNCTION("""COMPUTED_VALUE"""),7.7964754)</f>
        <v>7.7964754</v>
      </c>
      <c r="D4272" s="7">
        <f>IFERROR(__xludf.DUMMYFUNCTION("""COMPUTED_VALUE"""),0.454545454545454)</f>
        <v>0.4545454545</v>
      </c>
    </row>
    <row r="4273">
      <c r="A4273" s="10" t="s">
        <v>5712</v>
      </c>
      <c r="B4273" s="7" t="str">
        <f>IFERROR(__xludf.DUMMYFUNCTION("SPLIT(A4273,"" "")"),"CNCc1cccc(CN(Cc2ccccn2)C2CCC(N(C)Cc3nccc(C)c3C)CC2)n1")</f>
        <v>CNCc1cccc(CN(Cc2ccccn2)C2CCC(N(C)Cc3nccc(C)c3C)CC2)n1</v>
      </c>
      <c r="C4273" s="7">
        <f>IFERROR(__xludf.DUMMYFUNCTION("""COMPUTED_VALUE"""),7.796459)</f>
        <v>7.796459</v>
      </c>
      <c r="D4273" s="7">
        <f>IFERROR(__xludf.DUMMYFUNCTION("""COMPUTED_VALUE"""),0.389830508474576)</f>
        <v>0.3898305085</v>
      </c>
    </row>
    <row r="4274">
      <c r="A4274" s="10" t="s">
        <v>5713</v>
      </c>
      <c r="B4274" s="7" t="str">
        <f>IFERROR(__xludf.DUMMYFUNCTION("SPLIT(A4274,"" "")"),"CN(C)CCN(C)Cc1ncccc1CF")</f>
        <v>CN(C)CCN(C)Cc1ncccc1CF</v>
      </c>
      <c r="C4274" s="7">
        <f>IFERROR(__xludf.DUMMYFUNCTION("""COMPUTED_VALUE"""),7.796444)</f>
        <v>7.796444</v>
      </c>
      <c r="D4274" s="7">
        <f>IFERROR(__xludf.DUMMYFUNCTION("""COMPUTED_VALUE"""),0.48780487804878)</f>
        <v>0.487804878</v>
      </c>
    </row>
    <row r="4275">
      <c r="A4275" s="10" t="s">
        <v>5714</v>
      </c>
      <c r="B4275" s="7" t="str">
        <f>IFERROR(__xludf.DUMMYFUNCTION("SPLIT(A4275,"" "")"),"Cc1cnccc1CN(C)C1CCCC(N(Cc2ccccn2)Cc2ncccc2C)C1")</f>
        <v>Cc1cnccc1CN(C)C1CCCC(N(Cc2ccccn2)Cc2ncccc2C)C1</v>
      </c>
      <c r="C4275" s="7">
        <f>IFERROR(__xludf.DUMMYFUNCTION("""COMPUTED_VALUE"""),7.7964416)</f>
        <v>7.7964416</v>
      </c>
      <c r="D4275" s="7">
        <f>IFERROR(__xludf.DUMMYFUNCTION("""COMPUTED_VALUE"""),0.406779661016949)</f>
        <v>0.406779661</v>
      </c>
    </row>
    <row r="4276">
      <c r="A4276" s="10" t="s">
        <v>5715</v>
      </c>
      <c r="B4276" s="7" t="str">
        <f>IFERROR(__xludf.DUMMYFUNCTION("SPLIT(A4276,"" "")"),"CNCc1cc(CN(Cc2ccccn2)Cc2ncccc2-c2ccc3c(c2)OCCOCCOCCOCCOCCO3)ccn1")</f>
        <v>CNCc1cc(CN(Cc2ccccn2)Cc2ncccc2-c2ccc3c(c2)OCCOCCOCCOCCOCCO3)ccn1</v>
      </c>
      <c r="C4276" s="7">
        <f>IFERROR(__xludf.DUMMYFUNCTION("""COMPUTED_VALUE"""),7.7964406)</f>
        <v>7.7964406</v>
      </c>
      <c r="D4276" s="7">
        <f>IFERROR(__xludf.DUMMYFUNCTION("""COMPUTED_VALUE"""),0.338983050847457)</f>
        <v>0.3389830508</v>
      </c>
    </row>
    <row r="4277">
      <c r="A4277" s="10" t="s">
        <v>5716</v>
      </c>
      <c r="B4277" s="7" t="str">
        <f>IFERROR(__xludf.DUMMYFUNCTION("SPLIT(A4277,"" "")"),"CC(C)N(CCN1CCN(C)CCN(C)CC1)c1cccc2ncccc12")</f>
        <v>CC(C)N(CCN1CCN(C)CCN(C)CC1)c1cccc2ncccc12</v>
      </c>
      <c r="C4277" s="7">
        <f>IFERROR(__xludf.DUMMYFUNCTION("""COMPUTED_VALUE"""),7.796436)</f>
        <v>7.796436</v>
      </c>
      <c r="D4277" s="7">
        <f>IFERROR(__xludf.DUMMYFUNCTION("""COMPUTED_VALUE"""),0.372549019607843)</f>
        <v>0.3725490196</v>
      </c>
    </row>
    <row r="4278">
      <c r="A4278" s="10" t="s">
        <v>5717</v>
      </c>
      <c r="B4278" s="7" t="str">
        <f>IFERROR(__xludf.DUMMYFUNCTION("SPLIT(A4278,"" "")"),"Cc1cnc(CN(C)C2CCC(N(Cc3ccccn3)Cc3ccccn3)CC2)c(C)c1")</f>
        <v>Cc1cnc(CN(C)C2CCC(N(Cc3ccccn3)Cc3ccccn3)CC2)c(C)c1</v>
      </c>
      <c r="C4278" s="7">
        <f>IFERROR(__xludf.DUMMYFUNCTION("""COMPUTED_VALUE"""),7.796436)</f>
        <v>7.796436</v>
      </c>
      <c r="D4278" s="7">
        <f>IFERROR(__xludf.DUMMYFUNCTION("""COMPUTED_VALUE"""),0.450980392156862)</f>
        <v>0.4509803922</v>
      </c>
    </row>
    <row r="4279">
      <c r="A4279" s="10" t="s">
        <v>5718</v>
      </c>
      <c r="B4279" s="7" t="str">
        <f>IFERROR(__xludf.DUMMYFUNCTION("SPLIT(A4279,"" "")"),"CCNCc1ncccc1CN(Cc1ccccn1)C1CCCC(N(C)Cc2ncc(C)c(C)c2C)C1")</f>
        <v>CCNCc1ncccc1CN(Cc1ccccn1)C1CCCC(N(C)Cc2ncc(C)c(C)c2C)C1</v>
      </c>
      <c r="C4279" s="7">
        <f>IFERROR(__xludf.DUMMYFUNCTION("""COMPUTED_VALUE"""),7.796431)</f>
        <v>7.796431</v>
      </c>
      <c r="D4279" s="7">
        <f>IFERROR(__xludf.DUMMYFUNCTION("""COMPUTED_VALUE"""),0.363636363636363)</f>
        <v>0.3636363636</v>
      </c>
    </row>
    <row r="4280">
      <c r="A4280" s="10" t="s">
        <v>5719</v>
      </c>
      <c r="B4280" s="7" t="str">
        <f>IFERROR(__xludf.DUMMYFUNCTION("SPLIT(A4280,"" "")"),"CN(Cc1cc(-c2ccc3c(c2)OCCOCCOCCOCCOCCO3)ccn1)Cc1ccon1")</f>
        <v>CN(Cc1cc(-c2ccc3c(c2)OCCOCCOCCOCCOCCO3)ccn1)Cc1ccon1</v>
      </c>
      <c r="C4280" s="7">
        <f>IFERROR(__xludf.DUMMYFUNCTION("""COMPUTED_VALUE"""),7.79643)</f>
        <v>7.79643</v>
      </c>
      <c r="D4280" s="7">
        <f>IFERROR(__xludf.DUMMYFUNCTION("""COMPUTED_VALUE"""),0.446808510638297)</f>
        <v>0.4468085106</v>
      </c>
    </row>
    <row r="4281">
      <c r="A4281" s="10" t="s">
        <v>5720</v>
      </c>
      <c r="B4281" s="7" t="str">
        <f>IFERROR(__xludf.DUMMYFUNCTION("SPLIT(A4281,"" "")"),"Cc1ccc(C)c(CN(C)C2CCC(N(Cc3ccccn3)Cc3ccccn3)CC2)n1")</f>
        <v>Cc1ccc(C)c(CN(C)C2CCC(N(Cc3ccccn3)Cc3ccccn3)CC2)n1</v>
      </c>
      <c r="C4281" s="7">
        <f>IFERROR(__xludf.DUMMYFUNCTION("""COMPUTED_VALUE"""),7.796409)</f>
        <v>7.796409</v>
      </c>
      <c r="D4281" s="7">
        <f>IFERROR(__xludf.DUMMYFUNCTION("""COMPUTED_VALUE"""),0.46)</f>
        <v>0.46</v>
      </c>
    </row>
    <row r="4282">
      <c r="A4282" s="10" t="s">
        <v>5721</v>
      </c>
      <c r="B4282" s="7" t="str">
        <f>IFERROR(__xludf.DUMMYFUNCTION("SPLIT(A4282,"" "")"),"CCOC(C)c1ncccc1CN(Cc1ccccn1)C1CCC(N(C)Cc2ncccc2C)CC1")</f>
        <v>CCOC(C)c1ncccc1CN(Cc1ccccn1)C1CCC(N(C)Cc2ncccc2C)CC1</v>
      </c>
      <c r="C4282" s="7">
        <f>IFERROR(__xludf.DUMMYFUNCTION("""COMPUTED_VALUE"""),7.7963967)</f>
        <v>7.7963967</v>
      </c>
      <c r="D4282" s="7">
        <f>IFERROR(__xludf.DUMMYFUNCTION("""COMPUTED_VALUE"""),0.359375)</f>
        <v>0.359375</v>
      </c>
    </row>
    <row r="4283">
      <c r="A4283" s="10" t="s">
        <v>5722</v>
      </c>
      <c r="B4283" s="7" t="str">
        <f>IFERROR(__xludf.DUMMYFUNCTION("SPLIT(A4283,"" "")"),"CCNCc1ccc(CN(Cc2ccccn2)C2CCCC(N(C)Cc3ncc(C)c(C)c3C)C2)cn1")</f>
        <v>CCNCc1ccc(CN(Cc2ccccn2)C2CCCC(N(C)Cc3ncc(C)c(C)c3C)C2)cn1</v>
      </c>
      <c r="C4283" s="7">
        <f>IFERROR(__xludf.DUMMYFUNCTION("""COMPUTED_VALUE"""),7.7963853)</f>
        <v>7.7963853</v>
      </c>
      <c r="D4283" s="7">
        <f>IFERROR(__xludf.DUMMYFUNCTION("""COMPUTED_VALUE"""),0.35820895522388)</f>
        <v>0.3582089552</v>
      </c>
    </row>
    <row r="4284">
      <c r="A4284" s="10" t="s">
        <v>5723</v>
      </c>
      <c r="B4284" s="7" t="str">
        <f>IFERROR(__xludf.DUMMYFUNCTION("SPLIT(A4284,"" "")"),"Cc1cnc(CN(C)Cc2ncccc2-c2cccc3c2OCCOCCOCCOCCOCCO3)cc1C")</f>
        <v>Cc1cnc(CN(C)Cc2ncccc2-c2cccc3c2OCCOCCOCCOCCOCCO3)cc1C</v>
      </c>
      <c r="C4284" s="7">
        <f>IFERROR(__xludf.DUMMYFUNCTION("""COMPUTED_VALUE"""),7.796372)</f>
        <v>7.796372</v>
      </c>
      <c r="D4284" s="7">
        <f>IFERROR(__xludf.DUMMYFUNCTION("""COMPUTED_VALUE"""),0.296875)</f>
        <v>0.296875</v>
      </c>
    </row>
    <row r="4285">
      <c r="A4285" s="10" t="s">
        <v>5724</v>
      </c>
      <c r="B4285" s="7" t="str">
        <f>IFERROR(__xludf.DUMMYFUNCTION("SPLIT(A4285,"" "")"),"CNC1CCCCC1N(Cc1ncc(C)c(C)c1C)Cc1ncc(C)c(C)c1C")</f>
        <v>CNC1CCCCC1N(Cc1ncc(C)c(C)c1C)Cc1ncc(C)c(C)c1C</v>
      </c>
      <c r="C4285" s="7">
        <f>IFERROR(__xludf.DUMMYFUNCTION("""COMPUTED_VALUE"""),7.796369)</f>
        <v>7.796369</v>
      </c>
      <c r="D4285" s="7">
        <f>IFERROR(__xludf.DUMMYFUNCTION("""COMPUTED_VALUE"""),0.36)</f>
        <v>0.36</v>
      </c>
    </row>
    <row r="4286">
      <c r="A4286" s="10" t="s">
        <v>5725</v>
      </c>
      <c r="B4286" s="7" t="str">
        <f>IFERROR(__xludf.DUMMYFUNCTION("SPLIT(A4286,"" "")"),"CN(CCC1=NCC(C)(C)O1)Cc1ccccn1")</f>
        <v>CN(CCC1=NCC(C)(C)O1)Cc1ccccn1</v>
      </c>
      <c r="C4286" s="7">
        <f>IFERROR(__xludf.DUMMYFUNCTION("""COMPUTED_VALUE"""),7.796346)</f>
        <v>7.796346</v>
      </c>
      <c r="D4286" s="7">
        <f>IFERROR(__xludf.DUMMYFUNCTION("""COMPUTED_VALUE"""),0.444444444444444)</f>
        <v>0.4444444444</v>
      </c>
    </row>
    <row r="4287">
      <c r="A4287" s="10" t="s">
        <v>5726</v>
      </c>
      <c r="B4287" s="7" t="str">
        <f>IFERROR(__xludf.DUMMYFUNCTION("SPLIT(A4287,"" "")"),"CNCc1ncccc1CN(Cc1ccccn1)C1CCC(N(C)Cc2nc(C)ccc2C)CC1")</f>
        <v>CNCc1ncccc1CN(Cc1ccccn1)C1CCC(N(C)Cc2nc(C)ccc2C)CC1</v>
      </c>
      <c r="C4287" s="7">
        <f>IFERROR(__xludf.DUMMYFUNCTION("""COMPUTED_VALUE"""),7.7963324)</f>
        <v>7.7963324</v>
      </c>
      <c r="D4287" s="7">
        <f>IFERROR(__xludf.DUMMYFUNCTION("""COMPUTED_VALUE"""),0.365079365079365)</f>
        <v>0.3650793651</v>
      </c>
    </row>
    <row r="4288">
      <c r="A4288" s="10" t="s">
        <v>5727</v>
      </c>
      <c r="B4288" s="7" t="str">
        <f>IFERROR(__xludf.DUMMYFUNCTION("SPLIT(A4288,"" "")"),"COC(=O)C1CN(C)C(c2ccc(CN3CCN(C)CCN(C)CC3)cn2)C(c2cc(C)c(C)c(C)n2)C1C(C)C")</f>
        <v>COC(=O)C1CN(C)C(c2ccc(CN3CCN(C)CCN(C)CC3)cn2)C(c2cc(C)c(C)c(C)n2)C1C(C)C</v>
      </c>
      <c r="C4288" s="7">
        <f>IFERROR(__xludf.DUMMYFUNCTION("""COMPUTED_VALUE"""),7.796328)</f>
        <v>7.796328</v>
      </c>
      <c r="D4288" s="7">
        <f>IFERROR(__xludf.DUMMYFUNCTION("""COMPUTED_VALUE"""),0.302631578947368)</f>
        <v>0.3026315789</v>
      </c>
    </row>
    <row r="4289">
      <c r="A4289" s="10" t="s">
        <v>5728</v>
      </c>
      <c r="B4289" s="7" t="str">
        <f>IFERROR(__xludf.DUMMYFUNCTION("SPLIT(A4289,"" "")"),"CC(C)N(C)Cc1ncccc1N")</f>
        <v>CC(C)N(C)Cc1ncccc1N</v>
      </c>
      <c r="C4289" s="7">
        <f>IFERROR(__xludf.DUMMYFUNCTION("""COMPUTED_VALUE"""),7.7963233)</f>
        <v>7.7963233</v>
      </c>
      <c r="D4289" s="7">
        <f>IFERROR(__xludf.DUMMYFUNCTION("""COMPUTED_VALUE"""),0.365853658536585)</f>
        <v>0.3658536585</v>
      </c>
    </row>
    <row r="4290">
      <c r="A4290" s="10" t="s">
        <v>5729</v>
      </c>
      <c r="B4290" s="7" t="str">
        <f>IFERROR(__xludf.DUMMYFUNCTION("SPLIT(A4290,"" "")"),"Cc1cccc(-c2cccc(CN(C)C3CCCCC3N(Cc3ccccn3)Cc3cccc(-c4ccc5c(c4)OCCOCCOCCOCCOCCO5)n3)n2)c1")</f>
        <v>Cc1cccc(-c2cccc(CN(C)C3CCCCC3N(Cc3ccccn3)Cc3cccc(-c4ccc5c(c4)OCCOCCOCCOCCOCCO5)n3)n2)c1</v>
      </c>
      <c r="C4290" s="7">
        <f>IFERROR(__xludf.DUMMYFUNCTION("""COMPUTED_VALUE"""),7.7963147)</f>
        <v>7.7963147</v>
      </c>
      <c r="D4290" s="7">
        <f>IFERROR(__xludf.DUMMYFUNCTION("""COMPUTED_VALUE"""),0.46875)</f>
        <v>0.46875</v>
      </c>
    </row>
    <row r="4291">
      <c r="A4291" s="10" t="s">
        <v>5730</v>
      </c>
      <c r="B4291" s="7" t="str">
        <f>IFERROR(__xludf.DUMMYFUNCTION("SPLIT(A4291,"" "")"),"Cc1cnc(CN(C)CC2=CC(N(C)Cc3cccc(-c4ccc5c(c4)OCCOCCOCCOCCOCCO5)n3)C=CN2)c(C)c1")</f>
        <v>Cc1cnc(CN(C)CC2=CC(N(C)Cc3cccc(-c4ccc5c(c4)OCCOCCOCCOCCOCCO5)n3)C=CN2)c(C)c1</v>
      </c>
      <c r="C4291" s="7">
        <f>IFERROR(__xludf.DUMMYFUNCTION("""COMPUTED_VALUE"""),7.796309)</f>
        <v>7.796309</v>
      </c>
      <c r="D4291" s="7">
        <f>IFERROR(__xludf.DUMMYFUNCTION("""COMPUTED_VALUE"""),0.298850574712643)</f>
        <v>0.2988505747</v>
      </c>
    </row>
    <row r="4292">
      <c r="A4292" s="10" t="s">
        <v>5731</v>
      </c>
      <c r="B4292" s="7" t="str">
        <f>IFERROR(__xludf.DUMMYFUNCTION("SPLIT(A4292,"" "")"),"CCN(Cc1ccccn1)Cc1cc(N(C)C2CCC(N(C)Cc3ccccn3)CC2)ccn1")</f>
        <v>CCN(Cc1ccccn1)Cc1cc(N(C)C2CCC(N(C)Cc3ccccn3)CC2)ccn1</v>
      </c>
      <c r="C4292" s="7">
        <f>IFERROR(__xludf.DUMMYFUNCTION("""COMPUTED_VALUE"""),7.796307)</f>
        <v>7.796307</v>
      </c>
      <c r="D4292" s="7">
        <f>IFERROR(__xludf.DUMMYFUNCTION("""COMPUTED_VALUE"""),0.48)</f>
        <v>0.48</v>
      </c>
    </row>
    <row r="4293">
      <c r="A4293" s="10" t="s">
        <v>5732</v>
      </c>
      <c r="B4293" s="7" t="str">
        <f>IFERROR(__xludf.DUMMYFUNCTION("SPLIT(A4293,"" "")"),"CNC1CC(N(Cc2ccccn2)Cc2ccccn2)CC(N(Cc2ccccn2)Cc2ccccn2)C1C")</f>
        <v>CNC1CC(N(Cc2ccccn2)Cc2ccccn2)CC(N(Cc2ccccn2)Cc2ccccn2)C1C</v>
      </c>
      <c r="C4293" s="7">
        <f>IFERROR(__xludf.DUMMYFUNCTION("""COMPUTED_VALUE"""),7.7963037)</f>
        <v>7.7963037</v>
      </c>
      <c r="D4293" s="7">
        <f>IFERROR(__xludf.DUMMYFUNCTION("""COMPUTED_VALUE"""),0.4375)</f>
        <v>0.4375</v>
      </c>
    </row>
    <row r="4294">
      <c r="A4294" s="10" t="s">
        <v>5733</v>
      </c>
      <c r="B4294" s="7" t="str">
        <f>IFERROR(__xludf.DUMMYFUNCTION("SPLIT(A4294,"" "")"),"CCNCc1cccc(CN(Cc2ccccn2)C2CCC(N(C)Cc3cc(C)c(C)c(C)n3)CC2)n1")</f>
        <v>CCNCc1cccc(CN(Cc2ccccn2)C2CCC(N(C)Cc3cc(C)c(C)c(C)n3)CC2)n1</v>
      </c>
      <c r="C4294" s="7">
        <f>IFERROR(__xludf.DUMMYFUNCTION("""COMPUTED_VALUE"""),7.79629)</f>
        <v>7.79629</v>
      </c>
      <c r="D4294" s="7">
        <f>IFERROR(__xludf.DUMMYFUNCTION("""COMPUTED_VALUE"""),0.387096774193548)</f>
        <v>0.3870967742</v>
      </c>
    </row>
    <row r="4295">
      <c r="A4295" s="10" t="s">
        <v>5734</v>
      </c>
      <c r="B4295" s="7" t="str">
        <f>IFERROR(__xludf.DUMMYFUNCTION("SPLIT(A4295,"" "")"),"Cc1cc(C)c(C)c(CN(C)C2CCCC(N(C)Cc3cc(C)c(C)cn3)C2)n1")</f>
        <v>Cc1cc(C)c(C)c(CN(C)C2CCCC(N(C)Cc3cc(C)c(C)cn3)C2)n1</v>
      </c>
      <c r="C4295" s="7">
        <f>IFERROR(__xludf.DUMMYFUNCTION("""COMPUTED_VALUE"""),7.7962847)</f>
        <v>7.7962847</v>
      </c>
      <c r="D4295" s="7">
        <f>IFERROR(__xludf.DUMMYFUNCTION("""COMPUTED_VALUE"""),0.37037037037037)</f>
        <v>0.3703703704</v>
      </c>
    </row>
    <row r="4296">
      <c r="A4296" s="10" t="s">
        <v>5735</v>
      </c>
      <c r="B4296" s="7" t="str">
        <f>IFERROR(__xludf.DUMMYFUNCTION("SPLIT(A4296,"" "")"),"Cc1cccnc1CN(C)C1CCCC(N(C)Cc2nc(C)c(C)c(C)c2C)C1")</f>
        <v>Cc1cccnc1CN(C)C1CCCC(N(C)Cc2nc(C)c(C)c(C)c2C)C1</v>
      </c>
      <c r="C4296" s="7">
        <f>IFERROR(__xludf.DUMMYFUNCTION("""COMPUTED_VALUE"""),7.796283)</f>
        <v>7.796283</v>
      </c>
      <c r="D4296" s="7">
        <f>IFERROR(__xludf.DUMMYFUNCTION("""COMPUTED_VALUE"""),0.333333333333333)</f>
        <v>0.3333333333</v>
      </c>
    </row>
    <row r="4297">
      <c r="A4297" s="10" t="s">
        <v>5736</v>
      </c>
      <c r="B4297" s="7" t="str">
        <f>IFERROR(__xludf.DUMMYFUNCTION("SPLIT(A4297,"" "")"),"Cc1cnc(CN(C)C2CCCC(N(C)Cc3cccnc3CN(C)C)C2)c(C)c1C")</f>
        <v>Cc1cnc(CN(C)C2CCCC(N(C)Cc3cccnc3CN(C)C)C2)c(C)c1C</v>
      </c>
      <c r="C4297" s="7">
        <f>IFERROR(__xludf.DUMMYFUNCTION("""COMPUTED_VALUE"""),7.796277)</f>
        <v>7.796277</v>
      </c>
      <c r="D4297" s="7">
        <f>IFERROR(__xludf.DUMMYFUNCTION("""COMPUTED_VALUE"""),0.333333333333333)</f>
        <v>0.3333333333</v>
      </c>
    </row>
    <row r="4298">
      <c r="A4298" s="10" t="s">
        <v>5737</v>
      </c>
      <c r="B4298" s="7" t="str">
        <f>IFERROR(__xludf.DUMMYFUNCTION("SPLIT(A4298,"" "")"),"Cc1ccc(CN(C)CC2=CC(N(C)C(C)C)C=CN2)nc1")</f>
        <v>Cc1ccc(CN(C)CC2=CC(N(C)C(C)C)C=CN2)nc1</v>
      </c>
      <c r="C4298" s="7">
        <f>IFERROR(__xludf.DUMMYFUNCTION("""COMPUTED_VALUE"""),7.796272)</f>
        <v>7.796272</v>
      </c>
      <c r="D4298" s="7">
        <f>IFERROR(__xludf.DUMMYFUNCTION("""COMPUTED_VALUE"""),0.468085106382978)</f>
        <v>0.4680851064</v>
      </c>
    </row>
    <row r="4299">
      <c r="A4299" s="10" t="s">
        <v>5738</v>
      </c>
      <c r="B4299" s="7" t="str">
        <f>IFERROR(__xludf.DUMMYFUNCTION("SPLIT(A4299,"" "")"),"CCNC(C)N(C)CC1=C(N(C)C(C)C)CC=CN1")</f>
        <v>CCNC(C)N(C)CC1=C(N(C)C(C)C)CC=CN1</v>
      </c>
      <c r="C4299" s="7">
        <f>IFERROR(__xludf.DUMMYFUNCTION("""COMPUTED_VALUE"""),7.796262)</f>
        <v>7.796262</v>
      </c>
      <c r="D4299" s="7">
        <f>IFERROR(__xludf.DUMMYFUNCTION("""COMPUTED_VALUE"""),0.2)</f>
        <v>0.2</v>
      </c>
    </row>
    <row r="4300">
      <c r="A4300" s="10" t="s">
        <v>5739</v>
      </c>
      <c r="B4300" s="7" t="str">
        <f>IFERROR(__xludf.DUMMYFUNCTION("SPLIT(A4300,"" "")"),"CC(C)N(CC1=CCC(N(C)Cc2ncccc2-c2cccc3c2OCCOCCOCCOCCOCCO3)=CN1)Cc1ccccn1")</f>
        <v>CC(C)N(CC1=CCC(N(C)Cc2ncccc2-c2cccc3c2OCCOCCOCCOCCOCCO3)=CN1)Cc1ccccn1</v>
      </c>
      <c r="C4300" s="7">
        <f>IFERROR(__xludf.DUMMYFUNCTION("""COMPUTED_VALUE"""),7.796256)</f>
        <v>7.796256</v>
      </c>
      <c r="D4300" s="7">
        <f>IFERROR(__xludf.DUMMYFUNCTION("""COMPUTED_VALUE"""),0.342857142857142)</f>
        <v>0.3428571429</v>
      </c>
    </row>
    <row r="4301">
      <c r="A4301" s="10" t="s">
        <v>5740</v>
      </c>
      <c r="B4301" s="7" t="str">
        <f>IFERROR(__xludf.DUMMYFUNCTION("SPLIT(A4301,"" "")"),"CC(c1ccccc1)c1ccccc1")</f>
        <v>CC(c1ccccc1)c1ccccc1</v>
      </c>
      <c r="C4301" s="7">
        <f>IFERROR(__xludf.DUMMYFUNCTION("""COMPUTED_VALUE"""),7.7962503)</f>
        <v>7.7962503</v>
      </c>
      <c r="D4301" s="7">
        <f>IFERROR(__xludf.DUMMYFUNCTION("""COMPUTED_VALUE"""),0.388888888888888)</f>
        <v>0.3888888889</v>
      </c>
    </row>
    <row r="4302">
      <c r="A4302" s="10" t="s">
        <v>5741</v>
      </c>
      <c r="B4302" s="7" t="str">
        <f>IFERROR(__xludf.DUMMYFUNCTION("SPLIT(A4302,"" "")"),"Cc1cccnc1CN(C)C1CCCCC1N(C)c1cccc2ncc(CN3CCN(C)CCN(C)CC3)cc12")</f>
        <v>Cc1cccnc1CN(C)C1CCCCC1N(C)c1cccc2ncc(CN3CCN(C)CCN(C)CC3)cc12</v>
      </c>
      <c r="C4302" s="7">
        <f>IFERROR(__xludf.DUMMYFUNCTION("""COMPUTED_VALUE"""),7.7962484)</f>
        <v>7.7962484</v>
      </c>
      <c r="D4302" s="7">
        <f>IFERROR(__xludf.DUMMYFUNCTION("""COMPUTED_VALUE"""),0.36231884057971)</f>
        <v>0.3623188406</v>
      </c>
    </row>
    <row r="4303">
      <c r="A4303" s="10" t="s">
        <v>5742</v>
      </c>
      <c r="B4303" s="7" t="str">
        <f>IFERROR(__xludf.DUMMYFUNCTION("SPLIT(A4303,"" "")"),"Cc1ccnc(CN(C)CCN(C)CCF)c1C")</f>
        <v>Cc1ccnc(CN(C)CCN(C)CCF)c1C</v>
      </c>
      <c r="C4303" s="7">
        <f>IFERROR(__xludf.DUMMYFUNCTION("""COMPUTED_VALUE"""),7.7962475)</f>
        <v>7.7962475</v>
      </c>
      <c r="D4303" s="7">
        <f>IFERROR(__xludf.DUMMYFUNCTION("""COMPUTED_VALUE"""),0.390243902439024)</f>
        <v>0.3902439024</v>
      </c>
    </row>
    <row r="4304">
      <c r="A4304" s="10" t="s">
        <v>5743</v>
      </c>
      <c r="B4304" s="7" t="str">
        <f>IFERROR(__xludf.DUMMYFUNCTION("SPLIT(A4304,"" "")"),"Cc1ccc(CN(C)C2CCCC(N(Cc3ccccn3)Cc3ncccc3C)C2)cn1")</f>
        <v>Cc1ccc(CN(C)C2CCCC(N(Cc3ccccn3)Cc3ncccc3C)C2)cn1</v>
      </c>
      <c r="C4304" s="7">
        <f>IFERROR(__xludf.DUMMYFUNCTION("""COMPUTED_VALUE"""),7.796239)</f>
        <v>7.796239</v>
      </c>
      <c r="D4304" s="7">
        <f>IFERROR(__xludf.DUMMYFUNCTION("""COMPUTED_VALUE"""),0.413793103448275)</f>
        <v>0.4137931034</v>
      </c>
    </row>
    <row r="4305">
      <c r="A4305" s="10" t="s">
        <v>5744</v>
      </c>
      <c r="B4305" s="7" t="str">
        <f>IFERROR(__xludf.DUMMYFUNCTION("SPLIT(A4305,"" "")"),"Nc1cccnc1CN(CNCF)Cc1ccccn1")</f>
        <v>Nc1cccnc1CN(CNCF)Cc1ccccn1</v>
      </c>
      <c r="C4305" s="7">
        <f>IFERROR(__xludf.DUMMYFUNCTION("""COMPUTED_VALUE"""),7.796236)</f>
        <v>7.796236</v>
      </c>
      <c r="D4305" s="7">
        <f>IFERROR(__xludf.DUMMYFUNCTION("""COMPUTED_VALUE"""),0.475)</f>
        <v>0.475</v>
      </c>
    </row>
    <row r="4306">
      <c r="A4306" s="10" t="s">
        <v>5745</v>
      </c>
      <c r="B4306" s="7" t="str">
        <f>IFERROR(__xludf.DUMMYFUNCTION("SPLIT(A4306,"" "")"),"CN(CNCc1ncccc1C(C)(C)c1ccccn1)Cc1ncccc1-c1cccc2c1OCCOCCOCCOCCOCCO2")</f>
        <v>CN(CNCc1ncccc1C(C)(C)c1ccccn1)Cc1ncccc1-c1cccc2c1OCCOCCOCCOCCOCCO2</v>
      </c>
      <c r="C4306" s="7">
        <f>IFERROR(__xludf.DUMMYFUNCTION("""COMPUTED_VALUE"""),7.796234)</f>
        <v>7.796234</v>
      </c>
      <c r="D4306" s="7">
        <f>IFERROR(__xludf.DUMMYFUNCTION("""COMPUTED_VALUE"""),0.243243243243243)</f>
        <v>0.2432432432</v>
      </c>
    </row>
    <row r="4307">
      <c r="A4307" s="10" t="s">
        <v>5746</v>
      </c>
      <c r="B4307" s="7" t="str">
        <f>IFERROR(__xludf.DUMMYFUNCTION("SPLIT(A4307,"" "")"),"Cc1cnc(CN(C)C2CCCC(N(C)Cc3ccon3)C2)c(C)c1C")</f>
        <v>Cc1cnc(CN(C)C2CCCC(N(C)Cc3ccon3)C2)c(C)c1C</v>
      </c>
      <c r="C4307" s="7">
        <f>IFERROR(__xludf.DUMMYFUNCTION("""COMPUTED_VALUE"""),7.79622)</f>
        <v>7.79622</v>
      </c>
      <c r="D4307" s="7">
        <f>IFERROR(__xludf.DUMMYFUNCTION("""COMPUTED_VALUE"""),0.387755102040816)</f>
        <v>0.387755102</v>
      </c>
    </row>
    <row r="4308">
      <c r="A4308" s="10" t="s">
        <v>5747</v>
      </c>
      <c r="B4308" s="7" t="str">
        <f>IFERROR(__xludf.DUMMYFUNCTION("SPLIT(A4308,"" "")"),"Fc1cccc(CN(Cc2ccccn2)Cc2cccc(-c3ccc4c(c3)OCCOCCOCCOCCOCCO4)n2)n1")</f>
        <v>Fc1cccc(CN(Cc2ccccn2)Cc2cccc(-c3ccc4c(c3)OCCOCCOCCOCCOCCO4)n2)n1</v>
      </c>
      <c r="C4308" s="7">
        <f>IFERROR(__xludf.DUMMYFUNCTION("""COMPUTED_VALUE"""),7.7962103)</f>
        <v>7.7962103</v>
      </c>
      <c r="D4308" s="7">
        <f>IFERROR(__xludf.DUMMYFUNCTION("""COMPUTED_VALUE"""),0.491803278688524)</f>
        <v>0.4918032787</v>
      </c>
    </row>
    <row r="4309">
      <c r="A4309" s="10" t="s">
        <v>5748</v>
      </c>
      <c r="B4309" s="7" t="str">
        <f>IFERROR(__xludf.DUMMYFUNCTION("SPLIT(A4309,"" "")"),"Fc1cccc(CN(Cc2ccccn2)Cc2ncccc2-c2cccc3c2OCCOCCOCCOCCOCCO3)n1")</f>
        <v>Fc1cccc(CN(Cc2ccccn2)Cc2ncccc2-c2cccc3c2OCCOCCOCCOCCOCCO3)n1</v>
      </c>
      <c r="C4309" s="7">
        <f>IFERROR(__xludf.DUMMYFUNCTION("""COMPUTED_VALUE"""),7.7962093)</f>
        <v>7.7962093</v>
      </c>
      <c r="D4309" s="7">
        <f>IFERROR(__xludf.DUMMYFUNCTION("""COMPUTED_VALUE"""),0.4)</f>
        <v>0.4</v>
      </c>
    </row>
    <row r="4310">
      <c r="A4310" s="10" t="s">
        <v>5749</v>
      </c>
      <c r="B4310" s="7" t="str">
        <f>IFERROR(__xludf.DUMMYFUNCTION("SPLIT(A4310,"" "")"),"Cc1ccc(CN(Cc2ccccn2)C2CCCC(N(C)Cc3ccccn3)C2)nc1C")</f>
        <v>Cc1ccc(CN(Cc2ccccn2)C2CCCC(N(C)Cc3ccccn3)C2)nc1C</v>
      </c>
      <c r="C4310" s="7">
        <f>IFERROR(__xludf.DUMMYFUNCTION("""COMPUTED_VALUE"""),7.7962074)</f>
        <v>7.7962074</v>
      </c>
      <c r="D4310" s="7">
        <f>IFERROR(__xludf.DUMMYFUNCTION("""COMPUTED_VALUE"""),0.5)</f>
        <v>0.5</v>
      </c>
    </row>
    <row r="4311">
      <c r="A4311" s="10" t="s">
        <v>5750</v>
      </c>
      <c r="B4311" s="7" t="str">
        <f>IFERROR(__xludf.DUMMYFUNCTION("SPLIT(A4311,"" "")"),"Fc1ccncc1CN(Cc1ccccn1)C1CCCCC1N(Cc1ccccn1)Cc1cccnc1F")</f>
        <v>Fc1ccncc1CN(Cc1ccccn1)C1CCCCC1N(Cc1ccccn1)Cc1cccnc1F</v>
      </c>
      <c r="C4311" s="7">
        <f>IFERROR(__xludf.DUMMYFUNCTION("""COMPUTED_VALUE"""),7.7962046)</f>
        <v>7.7962046</v>
      </c>
      <c r="D4311" s="7">
        <f>IFERROR(__xludf.DUMMYFUNCTION("""COMPUTED_VALUE"""),0.461538461538461)</f>
        <v>0.4615384615</v>
      </c>
    </row>
    <row r="4312">
      <c r="A4312" s="10" t="s">
        <v>5751</v>
      </c>
      <c r="B4312" s="7" t="str">
        <f>IFERROR(__xludf.DUMMYFUNCTION("SPLIT(A4312,"" "")"),"CCNCc1ccc(CN(Cc2ccccn2)C2CCC(N(C)Cc3cc(C)c(C)c(C)n3)CC2)cn1")</f>
        <v>CCNCc1ccc(CN(Cc2ccccn2)C2CCC(N(C)Cc3cc(C)c(C)c(C)n3)CC2)cn1</v>
      </c>
      <c r="C4312" s="7">
        <f>IFERROR(__xludf.DUMMYFUNCTION("""COMPUTED_VALUE"""),7.796203)</f>
        <v>7.796203</v>
      </c>
      <c r="D4312" s="7">
        <f>IFERROR(__xludf.DUMMYFUNCTION("""COMPUTED_VALUE"""),0.35820895522388)</f>
        <v>0.3582089552</v>
      </c>
    </row>
    <row r="4313">
      <c r="A4313" s="10" t="s">
        <v>5752</v>
      </c>
      <c r="B4313" s="7" t="str">
        <f>IFERROR(__xludf.DUMMYFUNCTION("SPLIT(A4313,"" "")"),"COC(=O)c1cc(CN2CCN(C)CCN(Cc3cc(C(C)NCc4ccccn4)ccn3)CC2)ccn1")</f>
        <v>COC(=O)c1cc(CN2CCN(C)CCN(Cc3cc(C(C)NCc4ccccn4)ccn3)CC2)ccn1</v>
      </c>
      <c r="C4313" s="7">
        <f>IFERROR(__xludf.DUMMYFUNCTION("""COMPUTED_VALUE"""),7.796195)</f>
        <v>7.796195</v>
      </c>
      <c r="D4313" s="7">
        <f>IFERROR(__xludf.DUMMYFUNCTION("""COMPUTED_VALUE"""),0.442622950819672)</f>
        <v>0.4426229508</v>
      </c>
    </row>
    <row r="4314">
      <c r="A4314" s="10" t="s">
        <v>5753</v>
      </c>
      <c r="B4314" s="7" t="str">
        <f>IFERROR(__xludf.DUMMYFUNCTION("SPLIT(A4314,"" "")"),"Cc1ccc(CN(Cc2ccccn2)C2CCCC(N(C)Cc3cccc(C)n3)C2)nc1")</f>
        <v>Cc1ccc(CN(Cc2ccccn2)C2CCCC(N(C)Cc3cccc(C)n3)C2)nc1</v>
      </c>
      <c r="C4314" s="7">
        <f>IFERROR(__xludf.DUMMYFUNCTION("""COMPUTED_VALUE"""),7.796178)</f>
        <v>7.796178</v>
      </c>
      <c r="D4314" s="7">
        <f>IFERROR(__xludf.DUMMYFUNCTION("""COMPUTED_VALUE"""),0.472727272727272)</f>
        <v>0.4727272727</v>
      </c>
    </row>
    <row r="4315">
      <c r="A4315" s="10" t="s">
        <v>5754</v>
      </c>
      <c r="B4315" s="7" t="str">
        <f>IFERROR(__xludf.DUMMYFUNCTION("SPLIT(A4315,"" "")"),"CNCc1cccc(CN(Cc2ncccc2C)C2CCC(N(C)Cc3ncccc3C)CC2)n1")</f>
        <v>CNCc1cccc(CN(Cc2ncccc2C)C2CCC(N(C)Cc3ncccc3C)CC2)n1</v>
      </c>
      <c r="C4315" s="7">
        <f>IFERROR(__xludf.DUMMYFUNCTION("""COMPUTED_VALUE"""),7.7961674)</f>
        <v>7.7961674</v>
      </c>
      <c r="D4315" s="7">
        <f>IFERROR(__xludf.DUMMYFUNCTION("""COMPUTED_VALUE"""),0.338983050847457)</f>
        <v>0.3389830508</v>
      </c>
    </row>
    <row r="4316">
      <c r="A4316" s="10" t="s">
        <v>5755</v>
      </c>
      <c r="B4316" s="7" t="str">
        <f>IFERROR(__xludf.DUMMYFUNCTION("SPLIT(A4316,"" "")"),"Cc1ncccc1CN(C)CC1=CC(N(C)C(C)C)C=CN1")</f>
        <v>Cc1ncccc1CN(C)CC1=CC(N(C)C(C)C)C=CN1</v>
      </c>
      <c r="C4316" s="7">
        <f>IFERROR(__xludf.DUMMYFUNCTION("""COMPUTED_VALUE"""),7.796166)</f>
        <v>7.796166</v>
      </c>
      <c r="D4316" s="7">
        <f>IFERROR(__xludf.DUMMYFUNCTION("""COMPUTED_VALUE"""),0.321428571428571)</f>
        <v>0.3214285714</v>
      </c>
    </row>
    <row r="4317">
      <c r="A4317" s="10" t="s">
        <v>5756</v>
      </c>
      <c r="B4317" s="7" t="str">
        <f>IFERROR(__xludf.DUMMYFUNCTION("SPLIT(A4317,"" "")"),"CC1=CC(c2cc(CN(Cc3ccccn3)C3CCC(N(C)Cc4nc(C)c(C)c(C)c4C)CC3)ccn2)CC(C)C1C")</f>
        <v>CC1=CC(c2cc(CN(Cc3ccccn3)C3CCC(N(C)Cc4nc(C)c(C)c(C)c4C)CC3)ccn2)CC(C)C1C</v>
      </c>
      <c r="C4317" s="7">
        <f>IFERROR(__xludf.DUMMYFUNCTION("""COMPUTED_VALUE"""),7.7961597)</f>
        <v>7.7961597</v>
      </c>
      <c r="D4317" s="7">
        <f>IFERROR(__xludf.DUMMYFUNCTION("""COMPUTED_VALUE"""),0.315068493150684)</f>
        <v>0.3150684932</v>
      </c>
    </row>
    <row r="4318">
      <c r="A4318" s="10" t="s">
        <v>5757</v>
      </c>
      <c r="B4318" s="7" t="str">
        <f>IFERROR(__xludf.DUMMYFUNCTION("SPLIT(A4318,"" "")"),"CNCc1cccc(CN(Cc2ccccn2)C2CCC(N(C)Cc3nc(C)ccc3C)CC2)n1")</f>
        <v>CNCc1cccc(CN(Cc2ccccn2)C2CCC(N(C)Cc3nc(C)ccc3C)CC2)n1</v>
      </c>
      <c r="C4318" s="7">
        <f>IFERROR(__xludf.DUMMYFUNCTION("""COMPUTED_VALUE"""),7.7961574)</f>
        <v>7.7961574</v>
      </c>
      <c r="D4318" s="7">
        <f>IFERROR(__xludf.DUMMYFUNCTION("""COMPUTED_VALUE"""),0.383333333333333)</f>
        <v>0.3833333333</v>
      </c>
    </row>
    <row r="4319">
      <c r="A4319" s="10" t="s">
        <v>5758</v>
      </c>
      <c r="B4319" s="7" t="str">
        <f>IFERROR(__xludf.DUMMYFUNCTION("SPLIT(A4319,"" "")"),"CN(C)C1CCCC(N(C)Cc2cccc(-c3ccccc3)n2)C1")</f>
        <v>CN(C)C1CCCC(N(C)Cc2cccc(-c3ccccc3)n2)C1</v>
      </c>
      <c r="C4319" s="7">
        <f>IFERROR(__xludf.DUMMYFUNCTION("""COMPUTED_VALUE"""),7.796153)</f>
        <v>7.796153</v>
      </c>
      <c r="D4319" s="7">
        <f>IFERROR(__xludf.DUMMYFUNCTION("""COMPUTED_VALUE"""),0.428571428571428)</f>
        <v>0.4285714286</v>
      </c>
    </row>
    <row r="4320">
      <c r="A4320" s="10" t="s">
        <v>5759</v>
      </c>
      <c r="B4320" s="7" t="str">
        <f>IFERROR(__xludf.DUMMYFUNCTION("SPLIT(A4320,"" "")"),"Cc1ccc(CN(C)C2CCCC(N(Cc3ccccn3)Cc3cccc(C)n3)C2)nc1")</f>
        <v>Cc1ccc(CN(C)C2CCCC(N(Cc3ccccn3)Cc3cccc(C)n3)C2)nc1</v>
      </c>
      <c r="C4320" s="7">
        <f>IFERROR(__xludf.DUMMYFUNCTION("""COMPUTED_VALUE"""),7.7961507)</f>
        <v>7.7961507</v>
      </c>
      <c r="D4320" s="7">
        <f>IFERROR(__xludf.DUMMYFUNCTION("""COMPUTED_VALUE"""),0.472727272727272)</f>
        <v>0.4727272727</v>
      </c>
    </row>
    <row r="4321">
      <c r="A4321" s="10" t="s">
        <v>5760</v>
      </c>
      <c r="B4321" s="7" t="str">
        <f>IFERROR(__xludf.DUMMYFUNCTION("SPLIT(A4321,"" "")"),"Cc1ccc(C)c(CN(C)C2CCCC(N(C)Cc3ncc(C)c(C)c3C)C2)n1")</f>
        <v>Cc1ccc(C)c(CN(C)C2CCCC(N(C)Cc3ncc(C)c(C)c3C)C2)n1</v>
      </c>
      <c r="C4321" s="7">
        <f>IFERROR(__xludf.DUMMYFUNCTION("""COMPUTED_VALUE"""),7.7961364)</f>
        <v>7.7961364</v>
      </c>
      <c r="D4321" s="7">
        <f>IFERROR(__xludf.DUMMYFUNCTION("""COMPUTED_VALUE"""),0.333333333333333)</f>
        <v>0.3333333333</v>
      </c>
    </row>
    <row r="4322">
      <c r="A4322" s="10" t="s">
        <v>5761</v>
      </c>
      <c r="B4322" s="7" t="str">
        <f>IFERROR(__xludf.DUMMYFUNCTION("SPLIT(A4322,"" "")"),"Cc1cnc(C)c(CN(C)C2CCC(N(C)Cc3cc(C)c(C)c(C)n3)CC2)c1")</f>
        <v>Cc1cnc(C)c(CN(C)C2CCC(N(C)Cc3cc(C)c(C)c(C)n3)CC2)c1</v>
      </c>
      <c r="C4322" s="7">
        <f>IFERROR(__xludf.DUMMYFUNCTION("""COMPUTED_VALUE"""),7.79613)</f>
        <v>7.79613</v>
      </c>
      <c r="D4322" s="7">
        <f>IFERROR(__xludf.DUMMYFUNCTION("""COMPUTED_VALUE"""),0.358490566037735)</f>
        <v>0.358490566</v>
      </c>
    </row>
    <row r="4323">
      <c r="A4323" s="10" t="s">
        <v>5762</v>
      </c>
      <c r="B4323" s="7" t="str">
        <f>IFERROR(__xludf.DUMMYFUNCTION("SPLIT(A4323,"" "")"),"Cc1cnc(C)c(CN(C)C2CCCC(N(Cc3ccccn3)Cc3ccccn3)C2)c1")</f>
        <v>Cc1cnc(C)c(CN(C)C2CCCC(N(Cc3ccccn3)Cc3ccccn3)C2)c1</v>
      </c>
      <c r="C4323" s="7">
        <f>IFERROR(__xludf.DUMMYFUNCTION("""COMPUTED_VALUE"""),7.7961235)</f>
        <v>7.7961235</v>
      </c>
      <c r="D4323" s="7">
        <f>IFERROR(__xludf.DUMMYFUNCTION("""COMPUTED_VALUE"""),0.452830188679245)</f>
        <v>0.4528301887</v>
      </c>
    </row>
    <row r="4324">
      <c r="A4324" s="10" t="s">
        <v>5763</v>
      </c>
      <c r="B4324" s="7" t="str">
        <f>IFERROR(__xludf.DUMMYFUNCTION("SPLIT(A4324,"" "")"),"CC(Nc1ccc2ncccc2c1)N1CCN(C)CCN(C)CC1")</f>
        <v>CC(Nc1ccc2ncccc2c1)N1CCN(C)CCN(C)CC1</v>
      </c>
      <c r="C4324" s="7">
        <f>IFERROR(__xludf.DUMMYFUNCTION("""COMPUTED_VALUE"""),7.796115)</f>
        <v>7.796115</v>
      </c>
      <c r="D4324" s="7">
        <f>IFERROR(__xludf.DUMMYFUNCTION("""COMPUTED_VALUE"""),0.313725490196078)</f>
        <v>0.3137254902</v>
      </c>
    </row>
    <row r="4325">
      <c r="A4325" s="10" t="s">
        <v>5764</v>
      </c>
      <c r="B4325" s="7" t="str">
        <f>IFERROR(__xludf.DUMMYFUNCTION("SPLIT(A4325,"" "")"),"Cc1cc(CN(C)C2CCCC(N(C)Cc3ccc(C)c(C)c3C)C2)nc(C)c1C")</f>
        <v>Cc1cc(CN(C)C2CCCC(N(C)Cc3ccc(C)c(C)c3C)C2)nc(C)c1C</v>
      </c>
      <c r="C4325" s="7">
        <f>IFERROR(__xludf.DUMMYFUNCTION("""COMPUTED_VALUE"""),7.796115)</f>
        <v>7.796115</v>
      </c>
      <c r="D4325" s="7">
        <f>IFERROR(__xludf.DUMMYFUNCTION("""COMPUTED_VALUE"""),0.327272727272727)</f>
        <v>0.3272727273</v>
      </c>
    </row>
    <row r="4326">
      <c r="A4326" s="10" t="s">
        <v>5765</v>
      </c>
      <c r="B4326" s="7" t="str">
        <f>IFERROR(__xludf.DUMMYFUNCTION("SPLIT(A4326,"" "")"),"Cc1cc(C)c(C)c(CN(C)C2CCCC(N(Cc3cccnc3CNCF)Cc3ncccc3C)C2)n1")</f>
        <v>Cc1cc(C)c(C)c(CN(C)C2CCCC(N(Cc3cccnc3CNCF)Cc3ncccc3C)C2)n1</v>
      </c>
      <c r="C4326" s="7">
        <f>IFERROR(__xludf.DUMMYFUNCTION("""COMPUTED_VALUE"""),7.796111)</f>
        <v>7.796111</v>
      </c>
      <c r="D4326" s="7">
        <f>IFERROR(__xludf.DUMMYFUNCTION("""COMPUTED_VALUE"""),0.25)</f>
        <v>0.25</v>
      </c>
    </row>
    <row r="4327">
      <c r="A4327" s="10" t="s">
        <v>5766</v>
      </c>
      <c r="B4327" s="7" t="str">
        <f>IFERROR(__xludf.DUMMYFUNCTION("SPLIT(A4327,"" "")"),"CNCc1cc(CN(C)Cc2nc(C)c(C)c(C)c2C)c(-c2ccc3c(c2)OCCOCCOCCOCCOCCO3)c(-c2ccc3c(c2)OCCOCCOCCOCCOCCO3)n1")</f>
        <v>CNCc1cc(CN(C)Cc2nc(C)c(C)c(C)c2C)c(-c2ccc3c(c2)OCCOCCOCCOCCOCCO3)c(-c2ccc3c(c2)OCCOCCOCCOCCOCCO3)n1</v>
      </c>
      <c r="C4327" s="7">
        <f>IFERROR(__xludf.DUMMYFUNCTION("""COMPUTED_VALUE"""),7.7961106)</f>
        <v>7.7961106</v>
      </c>
      <c r="D4327" s="7">
        <f>IFERROR(__xludf.DUMMYFUNCTION("""COMPUTED_VALUE"""),0.2875)</f>
        <v>0.2875</v>
      </c>
    </row>
    <row r="4328">
      <c r="A4328" s="10" t="s">
        <v>5767</v>
      </c>
      <c r="B4328" s="7" t="str">
        <f>IFERROR(__xludf.DUMMYFUNCTION("SPLIT(A4328,"" "")"),"CC1=CC(C)C(N(C)Cc2ncccc2C(C)(C)C)CC1C")</f>
        <v>CC1=CC(C)C(N(C)Cc2ncccc2C(C)(C)C)CC1C</v>
      </c>
      <c r="C4328" s="7">
        <f>IFERROR(__xludf.DUMMYFUNCTION("""COMPUTED_VALUE"""),7.7961087)</f>
        <v>7.7961087</v>
      </c>
      <c r="D4328" s="7">
        <f>IFERROR(__xludf.DUMMYFUNCTION("""COMPUTED_VALUE"""),0.327272727272727)</f>
        <v>0.3272727273</v>
      </c>
    </row>
    <row r="4329">
      <c r="A4329" s="10" t="s">
        <v>5768</v>
      </c>
      <c r="B4329" s="7" t="str">
        <f>IFERROR(__xludf.DUMMYFUNCTION("SPLIT(A4329,"" "")"),"CCN1C(CNC)CCC1N(C)Cc1nc(C)c(C)cc1C")</f>
        <v>CCN1C(CNC)CCC1N(C)Cc1nc(C)c(C)cc1C</v>
      </c>
      <c r="C4329" s="7">
        <f>IFERROR(__xludf.DUMMYFUNCTION("""COMPUTED_VALUE"""),7.796097)</f>
        <v>7.796097</v>
      </c>
      <c r="D4329" s="7">
        <f>IFERROR(__xludf.DUMMYFUNCTION("""COMPUTED_VALUE"""),0.233333333333333)</f>
        <v>0.2333333333</v>
      </c>
    </row>
    <row r="4330">
      <c r="A4330" s="10" t="s">
        <v>5769</v>
      </c>
      <c r="B4330" s="7" t="str">
        <f>IFERROR(__xludf.DUMMYFUNCTION("SPLIT(A4330,"" "")"),"Cc1ccccc1N(C)C1CCCC(N(C)Cc2ccon2)C1")</f>
        <v>Cc1ccccc1N(C)C1CCCC(N(C)Cc2ccon2)C1</v>
      </c>
      <c r="C4330" s="7">
        <f>IFERROR(__xludf.DUMMYFUNCTION("""COMPUTED_VALUE"""),7.7960777)</f>
        <v>7.7960777</v>
      </c>
      <c r="D4330" s="7">
        <f>IFERROR(__xludf.DUMMYFUNCTION("""COMPUTED_VALUE"""),0.395833333333333)</f>
        <v>0.3958333333</v>
      </c>
    </row>
    <row r="4331">
      <c r="A4331" s="10" t="s">
        <v>5770</v>
      </c>
      <c r="B4331" s="7" t="str">
        <f>IFERROR(__xludf.DUMMYFUNCTION("SPLIT(A4331,"" "")"),"COC(=O)C1CN(C)C(C(C)=O)C(C(=O)C(C)N)C1C(C)=O")</f>
        <v>COC(=O)C1CN(C)C(C(C)=O)C(C(=O)C(C)N)C1C(C)=O</v>
      </c>
      <c r="C4331" s="7">
        <f>IFERROR(__xludf.DUMMYFUNCTION("""COMPUTED_VALUE"""),7.7960763)</f>
        <v>7.7960763</v>
      </c>
      <c r="D4331" s="7">
        <f>IFERROR(__xludf.DUMMYFUNCTION("""COMPUTED_VALUE"""),0.215384615384615)</f>
        <v>0.2153846154</v>
      </c>
    </row>
    <row r="4332">
      <c r="A4332" s="10" t="s">
        <v>5771</v>
      </c>
      <c r="B4332" s="7" t="str">
        <f>IFERROR(__xludf.DUMMYFUNCTION("SPLIT(A4332,"" "")"),"CCNCc1cccc(CN(Cc2ccccn2)C2CCC(N(C)Cc3nc(C)c(C)cc3C)CC2)n1")</f>
        <v>CCNCc1cccc(CN(Cc2ccccn2)C2CCC(N(C)Cc3nc(C)c(C)cc3C)CC2)n1</v>
      </c>
      <c r="C4332" s="7">
        <f>IFERROR(__xludf.DUMMYFUNCTION("""COMPUTED_VALUE"""),7.796064)</f>
        <v>7.796064</v>
      </c>
      <c r="D4332" s="7">
        <f>IFERROR(__xludf.DUMMYFUNCTION("""COMPUTED_VALUE"""),0.365079365079365)</f>
        <v>0.3650793651</v>
      </c>
    </row>
    <row r="4333">
      <c r="A4333" s="10" t="s">
        <v>5772</v>
      </c>
      <c r="B4333" s="7" t="str">
        <f>IFERROR(__xludf.DUMMYFUNCTION("SPLIT(A4333,"" "")"),"Cc1cc(N2CCN(C)CCN(C)CC2)ccc1N(C)C(C)C")</f>
        <v>Cc1cc(N2CCN(C)CCN(C)CC2)ccc1N(C)C(C)C</v>
      </c>
      <c r="C4333" s="7">
        <f>IFERROR(__xludf.DUMMYFUNCTION("""COMPUTED_VALUE"""),7.7960634)</f>
        <v>7.7960634</v>
      </c>
      <c r="D4333" s="7">
        <f>IFERROR(__xludf.DUMMYFUNCTION("""COMPUTED_VALUE"""),0.26)</f>
        <v>0.26</v>
      </c>
    </row>
    <row r="4334">
      <c r="A4334" s="10" t="s">
        <v>5773</v>
      </c>
      <c r="B4334" s="7" t="str">
        <f>IFERROR(__xludf.DUMMYFUNCTION("SPLIT(A4334,"" "")"),"CC(C)(c1ccccn1)c1ncccc1CN(Cc1ccccn1)C1CCCCC1")</f>
        <v>CC(C)(c1ccccn1)c1ncccc1CN(Cc1ccccn1)C1CCCCC1</v>
      </c>
      <c r="C4334" s="7">
        <f>IFERROR(__xludf.DUMMYFUNCTION("""COMPUTED_VALUE"""),7.7960577)</f>
        <v>7.7960577</v>
      </c>
      <c r="D4334" s="7">
        <f>IFERROR(__xludf.DUMMYFUNCTION("""COMPUTED_VALUE"""),0.442307692307692)</f>
        <v>0.4423076923</v>
      </c>
    </row>
    <row r="4335">
      <c r="A4335" s="10" t="s">
        <v>5774</v>
      </c>
      <c r="B4335" s="7" t="str">
        <f>IFERROR(__xludf.DUMMYFUNCTION("SPLIT(A4335,"" "")"),"CC1=C(C)C(N(C)CC2=CCC=CN2)CC(C)C1")</f>
        <v>CC1=C(C)C(N(C)CC2=CCC=CN2)CC(C)C1</v>
      </c>
      <c r="C4335" s="7">
        <f>IFERROR(__xludf.DUMMYFUNCTION("""COMPUTED_VALUE"""),7.7960534)</f>
        <v>7.7960534</v>
      </c>
      <c r="D4335" s="7">
        <f>IFERROR(__xludf.DUMMYFUNCTION("""COMPUTED_VALUE"""),0.345454545454545)</f>
        <v>0.3454545455</v>
      </c>
    </row>
    <row r="4336">
      <c r="A4336" s="10" t="s">
        <v>5775</v>
      </c>
      <c r="B4336" s="7" t="str">
        <f>IFERROR(__xludf.DUMMYFUNCTION("SPLIT(A4336,"" "")"),"Cc1ccnc(CN(C)C2CCC(N(Cc3ccc(CNC(C)C)nc3)Cc3ccccn3)CC2)c1C")</f>
        <v>Cc1ccnc(CN(C)C2CCC(N(Cc3ccc(CNC(C)C)nc3)Cc3ccccn3)CC2)c1C</v>
      </c>
      <c r="C4336" s="7">
        <f>IFERROR(__xludf.DUMMYFUNCTION("""COMPUTED_VALUE"""),7.7960463)</f>
        <v>7.7960463</v>
      </c>
      <c r="D4336" s="7">
        <f>IFERROR(__xludf.DUMMYFUNCTION("""COMPUTED_VALUE"""),0.369230769230769)</f>
        <v>0.3692307692</v>
      </c>
    </row>
    <row r="4337">
      <c r="A4337" s="10" t="s">
        <v>5776</v>
      </c>
      <c r="B4337" s="7" t="str">
        <f>IFERROR(__xludf.DUMMYFUNCTION("SPLIT(A4337,"" "")"),"CN1CCN(C)CCN(Cc2cncc(-c3cccc(N)c3)c2)CC1")</f>
        <v>CN1CCN(C)CCN(Cc2cncc(-c3cccc(N)c3)c2)CC1</v>
      </c>
      <c r="C4337" s="7">
        <f>IFERROR(__xludf.DUMMYFUNCTION("""COMPUTED_VALUE"""),7.796044)</f>
        <v>7.796044</v>
      </c>
      <c r="D4337" s="7">
        <f>IFERROR(__xludf.DUMMYFUNCTION("""COMPUTED_VALUE"""),0.387755102040816)</f>
        <v>0.387755102</v>
      </c>
    </row>
    <row r="4338">
      <c r="A4338" s="10" t="s">
        <v>5777</v>
      </c>
      <c r="B4338" s="7" t="str">
        <f>IFERROR(__xludf.DUMMYFUNCTION("SPLIT(A4338,"" "")"),"CC(c1ccccn1)(c1ccccn1)c1cccc(CN2CCCC2C2CCCN2)n1")</f>
        <v>CC(c1ccccn1)(c1ccccn1)c1cccc(CN2CCCC2C2CCCN2)n1</v>
      </c>
      <c r="C4338" s="7">
        <f>IFERROR(__xludf.DUMMYFUNCTION("""COMPUTED_VALUE"""),7.7960386)</f>
        <v>7.7960386</v>
      </c>
      <c r="D4338" s="7">
        <f>IFERROR(__xludf.DUMMYFUNCTION("""COMPUTED_VALUE"""),0.490566037735849)</f>
        <v>0.4905660377</v>
      </c>
    </row>
    <row r="4339">
      <c r="A4339" s="10" t="s">
        <v>5778</v>
      </c>
      <c r="B4339" s="7" t="str">
        <f>IFERROR(__xludf.DUMMYFUNCTION("SPLIT(A4339,"" "")"),"CN(C1=CC=CNC1NCc1cccc(CN(Cc2ccccn2)Cc2cccc(N)n2)n1)c1ccc2c(c1)OCCOCCOCCOCCOCCO2")</f>
        <v>CN(C1=CC=CNC1NCc1cccc(CN(Cc2ccccn2)Cc2cccc(N)n2)n1)c1ccc2c(c1)OCCOCCOCCOCCOCCO2</v>
      </c>
      <c r="C4339" s="7">
        <f>IFERROR(__xludf.DUMMYFUNCTION("""COMPUTED_VALUE"""),7.796031)</f>
        <v>7.796031</v>
      </c>
      <c r="D4339" s="7">
        <f>IFERROR(__xludf.DUMMYFUNCTION("""COMPUTED_VALUE"""),0.308641975308641)</f>
        <v>0.3086419753</v>
      </c>
    </row>
    <row r="4340">
      <c r="A4340" s="10" t="s">
        <v>5779</v>
      </c>
      <c r="B4340" s="7" t="str">
        <f>IFERROR(__xludf.DUMMYFUNCTION("SPLIT(A4340,"" "")"),"CC(C)c1ncccc1CN1CCN(C)CCN(Cc2ncccc2C(C)(C)c2ccccn2)CC1")</f>
        <v>CC(C)c1ncccc1CN1CCN(C)CCN(Cc2ncccc2C(C)(C)c2ccccn2)CC1</v>
      </c>
      <c r="C4340" s="7">
        <f>IFERROR(__xludf.DUMMYFUNCTION("""COMPUTED_VALUE"""),7.796026)</f>
        <v>7.796026</v>
      </c>
      <c r="D4340" s="7">
        <f>IFERROR(__xludf.DUMMYFUNCTION("""COMPUTED_VALUE"""),0.425925925925925)</f>
        <v>0.4259259259</v>
      </c>
    </row>
    <row r="4341">
      <c r="A4341" s="10" t="s">
        <v>5780</v>
      </c>
      <c r="B4341" s="7" t="str">
        <f>IFERROR(__xludf.DUMMYFUNCTION("SPLIT(A4341,"" "")"),"CC1C=CC(c2ccc(CN(C)Cc3cc(N)ccn3)nc2)C(C)C1C")</f>
        <v>CC1C=CC(c2ccc(CN(C)Cc3cc(N)ccn3)nc2)C(C)C1C</v>
      </c>
      <c r="C4341" s="7">
        <f>IFERROR(__xludf.DUMMYFUNCTION("""COMPUTED_VALUE"""),7.796023)</f>
        <v>7.796023</v>
      </c>
      <c r="D4341" s="7">
        <f>IFERROR(__xludf.DUMMYFUNCTION("""COMPUTED_VALUE"""),0.326923076923076)</f>
        <v>0.3269230769</v>
      </c>
    </row>
    <row r="4342">
      <c r="A4342" s="10" t="s">
        <v>5781</v>
      </c>
      <c r="B4342" s="7" t="str">
        <f>IFERROR(__xludf.DUMMYFUNCTION("SPLIT(A4342,"" "")"),"Cc1cncc(CN(C)CC2=CC(N(C)C(C)C)C=CN2)c1")</f>
        <v>Cc1cncc(CN(C)CC2=CC(N(C)C(C)C)C=CN2)c1</v>
      </c>
      <c r="C4342" s="7">
        <f>IFERROR(__xludf.DUMMYFUNCTION("""COMPUTED_VALUE"""),7.796017)</f>
        <v>7.796017</v>
      </c>
      <c r="D4342" s="7">
        <f>IFERROR(__xludf.DUMMYFUNCTION("""COMPUTED_VALUE"""),0.322033898305084)</f>
        <v>0.3220338983</v>
      </c>
    </row>
    <row r="4343">
      <c r="A4343" s="10" t="s">
        <v>5782</v>
      </c>
      <c r="B4343" s="7" t="str">
        <f>IFERROR(__xludf.DUMMYFUNCTION("SPLIT(A4343,"" "")"),"Cc1cccnc1CN(C)C1CCC(N(Cc2ccccn2)Cc2ncccc2C)CC1")</f>
        <v>Cc1cccnc1CN(C)C1CCC(N(Cc2ccccn2)Cc2ncccc2C)CC1</v>
      </c>
      <c r="C4343" s="7">
        <f>IFERROR(__xludf.DUMMYFUNCTION("""COMPUTED_VALUE"""),7.796011)</f>
        <v>7.796011</v>
      </c>
      <c r="D4343" s="7">
        <f>IFERROR(__xludf.DUMMYFUNCTION("""COMPUTED_VALUE"""),0.479166666666666)</f>
        <v>0.4791666667</v>
      </c>
    </row>
    <row r="4344">
      <c r="A4344" s="10" t="s">
        <v>5783</v>
      </c>
      <c r="B4344" s="7" t="str">
        <f>IFERROR(__xludf.DUMMYFUNCTION("SPLIT(A4344,"" "")"),"CCN(Cc1ccccn1)C1CCC(N(C)Cc2ncccc2C)CC1N(C)Cc1ncc(C)cc1C")</f>
        <v>CCN(Cc1ccccn1)C1CCC(N(C)Cc2ncccc2C)CC1N(C)Cc1ncc(C)cc1C</v>
      </c>
      <c r="C4344" s="7">
        <f>IFERROR(__xludf.DUMMYFUNCTION("""COMPUTED_VALUE"""),7.795998)</f>
        <v>7.795998</v>
      </c>
      <c r="D4344" s="7">
        <f>IFERROR(__xludf.DUMMYFUNCTION("""COMPUTED_VALUE"""),0.403225806451612)</f>
        <v>0.4032258065</v>
      </c>
    </row>
    <row r="4345">
      <c r="A4345" s="10" t="s">
        <v>5784</v>
      </c>
      <c r="B4345" s="7" t="str">
        <f>IFERROR(__xludf.DUMMYFUNCTION("SPLIT(A4345,"" "")"),"Cc1cccc(CN(Cc2ccccn2)C2CCC(N(C)Cc3ncccc3C)CC2)n1")</f>
        <v>Cc1cccc(CN(Cc2ccccn2)C2CCC(N(C)Cc3ncccc3C)CC2)n1</v>
      </c>
      <c r="C4345" s="7">
        <f>IFERROR(__xludf.DUMMYFUNCTION("""COMPUTED_VALUE"""),7.7959957)</f>
        <v>7.7959957</v>
      </c>
      <c r="D4345" s="7">
        <f>IFERROR(__xludf.DUMMYFUNCTION("""COMPUTED_VALUE"""),0.444444444444444)</f>
        <v>0.4444444444</v>
      </c>
    </row>
    <row r="4346">
      <c r="A4346" s="10" t="s">
        <v>5785</v>
      </c>
      <c r="B4346" s="7" t="str">
        <f>IFERROR(__xludf.DUMMYFUNCTION("SPLIT(A4346,"" "")"),"CNC(C)(C)c1cc(CN(Cc2ccccn2)C2CCC(N(C)Cc3ncccc3C)CC2)ccn1")</f>
        <v>CNC(C)(C)c1cc(CN(Cc2ccccn2)C2CCC(N(C)Cc3ncccc3C)CC2)ccn1</v>
      </c>
      <c r="C4346" s="7">
        <f>IFERROR(__xludf.DUMMYFUNCTION("""COMPUTED_VALUE"""),7.795987)</f>
        <v>7.795987</v>
      </c>
      <c r="D4346" s="7">
        <f>IFERROR(__xludf.DUMMYFUNCTION("""COMPUTED_VALUE"""),0.353846153846153)</f>
        <v>0.3538461538</v>
      </c>
    </row>
    <row r="4347">
      <c r="A4347" s="10" t="s">
        <v>5786</v>
      </c>
      <c r="B4347" s="7" t="str">
        <f>IFERROR(__xludf.DUMMYFUNCTION("SPLIT(A4347,"" "")"),"Cc1ccnc(CN(C)C2CCCC(N(C)Cc3ncc(C)c(C)c3C)C2)c1C")</f>
        <v>Cc1ccnc(CN(C)C2CCCC(N(C)Cc3ncc(C)c(C)c3C)C2)c1C</v>
      </c>
      <c r="C4347" s="7">
        <f>IFERROR(__xludf.DUMMYFUNCTION("""COMPUTED_VALUE"""),7.795973)</f>
        <v>7.795973</v>
      </c>
      <c r="D4347" s="7">
        <f>IFERROR(__xludf.DUMMYFUNCTION("""COMPUTED_VALUE"""),0.346153846153846)</f>
        <v>0.3461538462</v>
      </c>
    </row>
    <row r="4348">
      <c r="A4348" s="10" t="s">
        <v>5787</v>
      </c>
      <c r="B4348" s="7" t="str">
        <f>IFERROR(__xludf.DUMMYFUNCTION("SPLIT(A4348,"" "")"),"Cc1ccnc(CN(C)C(C)(C)C(C)N)c1C")</f>
        <v>Cc1ccnc(CN(C)C(C)(C)C(C)N)c1C</v>
      </c>
      <c r="C4348" s="7">
        <f>IFERROR(__xludf.DUMMYFUNCTION("""COMPUTED_VALUE"""),7.795965)</f>
        <v>7.795965</v>
      </c>
      <c r="D4348" s="7">
        <f>IFERROR(__xludf.DUMMYFUNCTION("""COMPUTED_VALUE"""),0.244897959183673)</f>
        <v>0.2448979592</v>
      </c>
    </row>
    <row r="4349">
      <c r="A4349" s="10" t="s">
        <v>5788</v>
      </c>
      <c r="B4349" s="7" t="str">
        <f>IFERROR(__xludf.DUMMYFUNCTION("SPLIT(A4349,"" "")"),"C1=CCNC(N(Cc2ccccn2)Cc2cccc(-c3cccc4c3OCCOCCOCCOCCOCCO4)n2)=C1")</f>
        <v>C1=CCNC(N(Cc2ccccn2)Cc2cccc(-c3cccc4c3OCCOCCOCCOCCOCCO4)n2)=C1</v>
      </c>
      <c r="C4349" s="7">
        <f>IFERROR(__xludf.DUMMYFUNCTION("""COMPUTED_VALUE"""),7.795964)</f>
        <v>7.795964</v>
      </c>
      <c r="D4349" s="7">
        <f>IFERROR(__xludf.DUMMYFUNCTION("""COMPUTED_VALUE"""),0.353846153846153)</f>
        <v>0.3538461538</v>
      </c>
    </row>
    <row r="4350">
      <c r="A4350" s="10" t="s">
        <v>5789</v>
      </c>
      <c r="B4350" s="7" t="str">
        <f>IFERROR(__xludf.DUMMYFUNCTION("SPLIT(A4350,"" "")"),"Cc1nc(CN(C)C2CCCC(N(Cc3ccccn3)CN(C)Cc3ccccn3)C2)c(C)c(C)c1C")</f>
        <v>Cc1nc(CN(C)C2CCCC(N(Cc3ccccn3)CN(C)Cc3ccccn3)C2)c(C)c(C)c1C</v>
      </c>
      <c r="C4350" s="7">
        <f>IFERROR(__xludf.DUMMYFUNCTION("""COMPUTED_VALUE"""),7.7959547)</f>
        <v>7.7959547</v>
      </c>
      <c r="D4350" s="7">
        <f>IFERROR(__xludf.DUMMYFUNCTION("""COMPUTED_VALUE"""),0.421052631578947)</f>
        <v>0.4210526316</v>
      </c>
    </row>
    <row r="4351">
      <c r="A4351" s="10" t="s">
        <v>5790</v>
      </c>
      <c r="B4351" s="7" t="str">
        <f>IFERROR(__xludf.DUMMYFUNCTION("SPLIT(A4351,"" "")"),"CC(C)C(C)c1cccc(CN(Cc2cccc(-c3ccc4c(c3)OCCOCCOCCOCCOCCO4)n2)Cc2cccc(C(C)(C)C)n2)n1")</f>
        <v>CC(C)C(C)c1cccc(CN(Cc2cccc(-c3ccc4c(c3)OCCOCCOCCOCCOCCO4)n2)Cc2cccc(C(C)(C)C)n2)n1</v>
      </c>
      <c r="C4351" s="7">
        <f>IFERROR(__xludf.DUMMYFUNCTION("""COMPUTED_VALUE"""),7.795954)</f>
        <v>7.795954</v>
      </c>
      <c r="D4351" s="7">
        <f>IFERROR(__xludf.DUMMYFUNCTION("""COMPUTED_VALUE"""),0.333333333333333)</f>
        <v>0.3333333333</v>
      </c>
    </row>
    <row r="4352">
      <c r="A4352" s="10" t="s">
        <v>5791</v>
      </c>
      <c r="B4352" s="7" t="str">
        <f>IFERROR(__xludf.DUMMYFUNCTION("SPLIT(A4352,"" "")"),"CC(C)C1CCC1c1cccc(CN2CCN(C)CCN(Cc3cccc(C(C)(c4ccccn4)c4ccccn4)n3)CC2)n1")</f>
        <v>CC(C)C1CCC1c1cccc(CN2CCN(C)CCN(Cc3cccc(C(C)(c4ccccn4)c4ccccn4)n3)CC2)n1</v>
      </c>
      <c r="C4352" s="7">
        <f>IFERROR(__xludf.DUMMYFUNCTION("""COMPUTED_VALUE"""),7.795951)</f>
        <v>7.795951</v>
      </c>
      <c r="D4352" s="7">
        <f>IFERROR(__xludf.DUMMYFUNCTION("""COMPUTED_VALUE"""),0.456140350877192)</f>
        <v>0.4561403509</v>
      </c>
    </row>
    <row r="4353">
      <c r="A4353" s="10" t="s">
        <v>5792</v>
      </c>
      <c r="B4353" s="7" t="str">
        <f>IFERROR(__xludf.DUMMYFUNCTION("SPLIT(A4353,"" "")"),"CN(CC1=CCC(N(C)C(c2ccccc2)c2ccccn2)=CN1)c1ccc2c(c1)OCCOCCOCCOCCOCCO2")</f>
        <v>CN(CC1=CCC(N(C)C(c2ccccc2)c2ccccn2)=CN1)c1ccc2c(c1)OCCOCCOCCOCCOCCO2</v>
      </c>
      <c r="C4353" s="7">
        <f>IFERROR(__xludf.DUMMYFUNCTION("""COMPUTED_VALUE"""),7.795948)</f>
        <v>7.795948</v>
      </c>
      <c r="D4353" s="7">
        <f>IFERROR(__xludf.DUMMYFUNCTION("""COMPUTED_VALUE"""),0.333333333333333)</f>
        <v>0.3333333333</v>
      </c>
    </row>
    <row r="4354">
      <c r="A4354" s="10" t="s">
        <v>5793</v>
      </c>
      <c r="B4354" s="7" t="str">
        <f>IFERROR(__xludf.DUMMYFUNCTION("SPLIT(A4354,"" "")"),"CNCc1c(-c2cc(CN(Cc3ccccn3)Cc3ccccn3)ccn2)ccc2c1OCCOCCOCCOCCOCCO2")</f>
        <v>CNCc1c(-c2cc(CN(Cc3ccccn3)Cc3ccccn3)ccn2)ccc2c1OCCOCCOCCOCCOCCO2</v>
      </c>
      <c r="C4354" s="7">
        <f>IFERROR(__xludf.DUMMYFUNCTION("""COMPUTED_VALUE"""),7.795944)</f>
        <v>7.795944</v>
      </c>
      <c r="D4354" s="7">
        <f>IFERROR(__xludf.DUMMYFUNCTION("""COMPUTED_VALUE"""),0.357142857142857)</f>
        <v>0.3571428571</v>
      </c>
    </row>
    <row r="4355">
      <c r="A4355" s="10" t="s">
        <v>5794</v>
      </c>
      <c r="B4355" s="7" t="str">
        <f>IFERROR(__xludf.DUMMYFUNCTION("SPLIT(A4355,"" "")"),"CN(Cc1ccon1)Cc1ncccc1-c1ccc2c(c1)OCCOCCOCCOCCOCCO2")</f>
        <v>CN(Cc1ccon1)Cc1ncccc1-c1ccc2c(c1)OCCOCCOCCOCCOCCO2</v>
      </c>
      <c r="C4355" s="7">
        <f>IFERROR(__xludf.DUMMYFUNCTION("""COMPUTED_VALUE"""),7.7959423)</f>
        <v>7.7959423</v>
      </c>
      <c r="D4355" s="7">
        <f>IFERROR(__xludf.DUMMYFUNCTION("""COMPUTED_VALUE"""),0.396226415094339)</f>
        <v>0.3962264151</v>
      </c>
    </row>
    <row r="4356">
      <c r="A4356" s="10" t="s">
        <v>5795</v>
      </c>
      <c r="B4356" s="7" t="str">
        <f>IFERROR(__xludf.DUMMYFUNCTION("SPLIT(A4356,"" "")"),"Cc1cc(CN(C)C2CCCC(N(Cc3ccccn3)Cc3ncccc3C)C2)ccn1")</f>
        <v>Cc1cc(CN(C)C2CCCC(N(Cc3ccccn3)Cc3ncccc3C)C2)ccn1</v>
      </c>
      <c r="C4356" s="7">
        <f>IFERROR(__xludf.DUMMYFUNCTION("""COMPUTED_VALUE"""),7.795941)</f>
        <v>7.795941</v>
      </c>
      <c r="D4356" s="7">
        <f>IFERROR(__xludf.DUMMYFUNCTION("""COMPUTED_VALUE"""),0.406779661016949)</f>
        <v>0.406779661</v>
      </c>
    </row>
    <row r="4357">
      <c r="A4357" s="10" t="s">
        <v>5796</v>
      </c>
      <c r="B4357" s="7" t="str">
        <f>IFERROR(__xludf.DUMMYFUNCTION("SPLIT(A4357,"" "")"),"Cc1cc(CN(C)C2CCCC(N(C)Cc3ccon3)C2)nc(C)c1C")</f>
        <v>Cc1cc(CN(C)C2CCCC(N(C)Cc3ccon3)C2)nc(C)c1C</v>
      </c>
      <c r="C4357" s="7">
        <f>IFERROR(__xludf.DUMMYFUNCTION("""COMPUTED_VALUE"""),7.795939)</f>
        <v>7.795939</v>
      </c>
      <c r="D4357" s="7">
        <f>IFERROR(__xludf.DUMMYFUNCTION("""COMPUTED_VALUE"""),0.395833333333333)</f>
        <v>0.3958333333</v>
      </c>
    </row>
    <row r="4358">
      <c r="A4358" s="10" t="s">
        <v>5797</v>
      </c>
      <c r="B4358" s="7" t="str">
        <f>IFERROR(__xludf.DUMMYFUNCTION("SPLIT(A4358,"" "")"),"CCNCc1ccc(CN(Cc2ccccn2)C2CCC(N(C)Cc3nc(C)c(C)cc3C)CC2)cn1")</f>
        <v>CCNCc1ccc(CN(Cc2ccccn2)C2CCC(N(C)Cc3nc(C)c(C)cc3C)CC2)cn1</v>
      </c>
      <c r="C4358" s="7">
        <f>IFERROR(__xludf.DUMMYFUNCTION("""COMPUTED_VALUE"""),7.7959294)</f>
        <v>7.7959294</v>
      </c>
      <c r="D4358" s="7">
        <f>IFERROR(__xludf.DUMMYFUNCTION("""COMPUTED_VALUE"""),0.338235294117647)</f>
        <v>0.3382352941</v>
      </c>
    </row>
    <row r="4359">
      <c r="A4359" s="10" t="s">
        <v>5798</v>
      </c>
      <c r="B4359" s="7" t="str">
        <f>IFERROR(__xludf.DUMMYFUNCTION("SPLIT(A4359,"" "")"),"Cc1cccnc1CN(CCN(C)C(C)(c1cccnc1)C(C)C)C(C)C")</f>
        <v>Cc1cccnc1CN(CCN(C)C(C)(c1cccnc1)C(C)C)C(C)C</v>
      </c>
      <c r="C4359" s="7">
        <f>IFERROR(__xludf.DUMMYFUNCTION("""COMPUTED_VALUE"""),7.7959185)</f>
        <v>7.7959185</v>
      </c>
      <c r="D4359" s="7">
        <f>IFERROR(__xludf.DUMMYFUNCTION("""COMPUTED_VALUE"""),0.396226415094339)</f>
        <v>0.3962264151</v>
      </c>
    </row>
    <row r="4360">
      <c r="A4360" s="10" t="s">
        <v>5799</v>
      </c>
      <c r="B4360" s="7" t="str">
        <f>IFERROR(__xludf.DUMMYFUNCTION("SPLIT(A4360,"" "")"),"CNC1CC(N(C)Cc2ccccn2)CC(N(C)Cc2nc(C)c(C)c(C)c2C)C1")</f>
        <v>CNC1CC(N(C)Cc2ccccn2)CC(N(C)Cc2nc(C)c(C)c(C)c2C)C1</v>
      </c>
      <c r="C4360" s="7">
        <f>IFERROR(__xludf.DUMMYFUNCTION("""COMPUTED_VALUE"""),7.7959013)</f>
        <v>7.7959013</v>
      </c>
      <c r="D4360" s="7">
        <f>IFERROR(__xludf.DUMMYFUNCTION("""COMPUTED_VALUE"""),0.425925925925925)</f>
        <v>0.4259259259</v>
      </c>
    </row>
    <row r="4361">
      <c r="A4361" s="10" t="s">
        <v>5800</v>
      </c>
      <c r="B4361" s="7" t="str">
        <f>IFERROR(__xludf.DUMMYFUNCTION("SPLIT(A4361,"" "")"),"CNCc1ccc(CN(Cc2ccccn2)C2CCC(N(C)Cc3nc(C)ccc3C)CC2)cn1")</f>
        <v>CNCc1ccc(CN(Cc2ccccn2)C2CCC(N(C)Cc3nc(C)ccc3C)CC2)cn1</v>
      </c>
      <c r="C4361" s="7">
        <f>IFERROR(__xludf.DUMMYFUNCTION("""COMPUTED_VALUE"""),7.7958984)</f>
        <v>7.7958984</v>
      </c>
      <c r="D4361" s="7">
        <f>IFERROR(__xludf.DUMMYFUNCTION("""COMPUTED_VALUE"""),0.353846153846153)</f>
        <v>0.3538461538</v>
      </c>
    </row>
    <row r="4362">
      <c r="A4362" s="10" t="s">
        <v>5801</v>
      </c>
      <c r="B4362" s="7" t="str">
        <f>IFERROR(__xludf.DUMMYFUNCTION("SPLIT(A4362,"" "")"),"CCOC(=O)C(=O)C(C)C(C)NCc1ccccn1")</f>
        <v>CCOC(=O)C(=O)C(C)C(C)NCc1ccccn1</v>
      </c>
      <c r="C4362" s="7">
        <f>IFERROR(__xludf.DUMMYFUNCTION("""COMPUTED_VALUE"""),7.7958922)</f>
        <v>7.7958922</v>
      </c>
      <c r="D4362" s="7">
        <f>IFERROR(__xludf.DUMMYFUNCTION("""COMPUTED_VALUE"""),0.377777777777777)</f>
        <v>0.3777777778</v>
      </c>
    </row>
    <row r="4363">
      <c r="A4363" s="10" t="s">
        <v>5802</v>
      </c>
      <c r="B4363" s="7" t="str">
        <f>IFERROR(__xludf.DUMMYFUNCTION("SPLIT(A4363,"" "")"),"Cc1ccc(CN(CCN(C)CC(C)(C)C)C(C)C)cn1")</f>
        <v>Cc1ccc(CN(CCN(C)CC(C)(C)C)C(C)C)cn1</v>
      </c>
      <c r="C4363" s="7">
        <f>IFERROR(__xludf.DUMMYFUNCTION("""COMPUTED_VALUE"""),7.795891)</f>
        <v>7.795891</v>
      </c>
      <c r="D4363" s="7">
        <f>IFERROR(__xludf.DUMMYFUNCTION("""COMPUTED_VALUE"""),0.361702127659574)</f>
        <v>0.3617021277</v>
      </c>
    </row>
    <row r="4364">
      <c r="A4364" s="10" t="s">
        <v>5803</v>
      </c>
      <c r="B4364" s="7" t="str">
        <f>IFERROR(__xludf.DUMMYFUNCTION("SPLIT(A4364,"" "")"),"Cc1ccc(CN(Cc2ccccn2)Cc2cccc(-c3ccc4c(c3)OCCOCCOCCOCCOCCO4)n2)nc1C1CCC1(C)C")</f>
        <v>Cc1ccc(CN(Cc2ccccn2)Cc2cccc(-c3ccc4c(c3)OCCOCCOCCOCCOCCO4)n2)nc1C1CCC1(C)C</v>
      </c>
      <c r="C4364" s="7">
        <f>IFERROR(__xludf.DUMMYFUNCTION("""COMPUTED_VALUE"""),7.7958875)</f>
        <v>7.7958875</v>
      </c>
      <c r="D4364" s="7">
        <f>IFERROR(__xludf.DUMMYFUNCTION("""COMPUTED_VALUE"""),0.438356164383561)</f>
        <v>0.4383561644</v>
      </c>
    </row>
    <row r="4365">
      <c r="A4365" s="10" t="s">
        <v>5804</v>
      </c>
      <c r="B4365" s="7" t="str">
        <f>IFERROR(__xludf.DUMMYFUNCTION("SPLIT(A4365,"" "")"),"Cc1ccc(CN(Cc2ncccc2C)C2CCCCC2N(Cc2ncccc2C)C(C)C)nc1")</f>
        <v>Cc1ccc(CN(Cc2ncccc2C)C2CCCCC2N(Cc2ncccc2C)C(C)C)nc1</v>
      </c>
      <c r="C4365" s="7">
        <f>IFERROR(__xludf.DUMMYFUNCTION("""COMPUTED_VALUE"""),7.7958627)</f>
        <v>7.7958627</v>
      </c>
      <c r="D4365" s="7">
        <f>IFERROR(__xludf.DUMMYFUNCTION("""COMPUTED_VALUE"""),0.481481481481481)</f>
        <v>0.4814814815</v>
      </c>
    </row>
    <row r="4366">
      <c r="A4366" s="10" t="s">
        <v>5805</v>
      </c>
      <c r="B4366" s="7" t="str">
        <f>IFERROR(__xludf.DUMMYFUNCTION("SPLIT(A4366,"" "")"),"CN(CC1=C(CN(Cc2ccccn2)Cc2cccc(-c3ccc4c(c3)OCCOCCOCCOCCOCCO4)n2)NC=CC1)Cc1ccccn1")</f>
        <v>CN(CC1=C(CN(Cc2ccccn2)Cc2cccc(-c3ccc4c(c3)OCCOCCOCCOCCOCCO4)n2)NC=CC1)Cc1ccccn1</v>
      </c>
      <c r="C4366" s="7">
        <f>IFERROR(__xludf.DUMMYFUNCTION("""COMPUTED_VALUE"""),7.795861)</f>
        <v>7.795861</v>
      </c>
      <c r="D4366" s="7">
        <f>IFERROR(__xludf.DUMMYFUNCTION("""COMPUTED_VALUE"""),0.424657534246575)</f>
        <v>0.4246575342</v>
      </c>
    </row>
    <row r="4367">
      <c r="A4367" s="10" t="s">
        <v>5806</v>
      </c>
      <c r="B4367" s="7" t="str">
        <f>IFERROR(__xludf.DUMMYFUNCTION("SPLIT(A4367,"" "")"),"Cc1nc(CN(C)C2CCC(N(Cc3ccccn3)Cc3cccc(C4CCC4C)n3)CC2)c(C)c(C)c1C")</f>
        <v>Cc1nc(CN(C)C2CCC(N(Cc3ccccn3)Cc3cccc(C4CCC4C)n3)CC2)c(C)c(C)c1C</v>
      </c>
      <c r="C4367" s="7">
        <f>IFERROR(__xludf.DUMMYFUNCTION("""COMPUTED_VALUE"""),7.795839)</f>
        <v>7.795839</v>
      </c>
      <c r="D4367" s="7">
        <f>IFERROR(__xludf.DUMMYFUNCTION("""COMPUTED_VALUE"""),0.365079365079365)</f>
        <v>0.3650793651</v>
      </c>
    </row>
    <row r="4368">
      <c r="A4368" s="10" t="s">
        <v>5807</v>
      </c>
      <c r="B4368" s="7" t="str">
        <f>IFERROR(__xludf.DUMMYFUNCTION("SPLIT(A4368,"" "")"),"CC(C)N(Cc1cc(-c2ccc3c(c2)OCCOCCOCCOCCOCCO3)ccn1)CN(C)C1CCC(N(C)c2ccc3ncccc3c2)CC1")</f>
        <v>CC(C)N(Cc1cc(-c2ccc3c(c2)OCCOCCOCCOCCOCCO3)ccn1)CN(C)C1CCC(N(C)c2ccc3ncccc3c2)CC1</v>
      </c>
      <c r="C4368" s="7">
        <f>IFERROR(__xludf.DUMMYFUNCTION("""COMPUTED_VALUE"""),7.795838)</f>
        <v>7.795838</v>
      </c>
      <c r="D4368" s="7">
        <f>IFERROR(__xludf.DUMMYFUNCTION("""COMPUTED_VALUE"""),0.337349397590361)</f>
        <v>0.3373493976</v>
      </c>
    </row>
    <row r="4369">
      <c r="A4369" s="10" t="s">
        <v>5808</v>
      </c>
      <c r="B4369" s="7" t="str">
        <f>IFERROR(__xludf.DUMMYFUNCTION("SPLIT(A4369,"" "")"),"CN1CCN(C)CCN(CCCN(C)c2cccc3nccc(CF)c23)CC1")</f>
        <v>CN1CCN(C)CCN(CCCN(C)c2cccc3nccc(CF)c23)CC1</v>
      </c>
      <c r="C4369" s="7">
        <f>IFERROR(__xludf.DUMMYFUNCTION("""COMPUTED_VALUE"""),7.7958364)</f>
        <v>7.7958364</v>
      </c>
      <c r="D4369" s="7">
        <f>IFERROR(__xludf.DUMMYFUNCTION("""COMPUTED_VALUE"""),0.339285714285714)</f>
        <v>0.3392857143</v>
      </c>
    </row>
    <row r="4370">
      <c r="A4370" s="10" t="s">
        <v>5809</v>
      </c>
      <c r="B4370" s="7" t="str">
        <f>IFERROR(__xludf.DUMMYFUNCTION("SPLIT(A4370,"" "")"),"Cc1ccc(C)c(CN(C)Cc2ncccc2-c2cccc3c2OCCOCCOCCOCCOCCO3)n1")</f>
        <v>Cc1ccc(C)c(CN(C)Cc2ncccc2-c2cccc3c2OCCOCCOCCOCCOCCO3)n1</v>
      </c>
      <c r="C4370" s="7">
        <f>IFERROR(__xludf.DUMMYFUNCTION("""COMPUTED_VALUE"""),7.7958317)</f>
        <v>7.7958317</v>
      </c>
      <c r="D4370" s="7">
        <f>IFERROR(__xludf.DUMMYFUNCTION("""COMPUTED_VALUE"""),0.274193548387096)</f>
        <v>0.2741935484</v>
      </c>
    </row>
    <row r="4371">
      <c r="A4371" s="10" t="s">
        <v>5810</v>
      </c>
      <c r="B4371" s="7" t="str">
        <f>IFERROR(__xludf.DUMMYFUNCTION("SPLIT(A4371,"" "")"),"c1ccncc1")</f>
        <v>c1ccncc1</v>
      </c>
      <c r="C4371" s="7">
        <f>IFERROR(__xludf.DUMMYFUNCTION("""COMPUTED_VALUE"""),7.795825)</f>
        <v>7.795825</v>
      </c>
      <c r="D4371" s="7">
        <f>IFERROR(__xludf.DUMMYFUNCTION("""COMPUTED_VALUE"""),0.208333333333333)</f>
        <v>0.2083333333</v>
      </c>
    </row>
    <row r="4372">
      <c r="A4372" s="10" t="s">
        <v>5811</v>
      </c>
      <c r="B4372" s="7" t="str">
        <f>IFERROR(__xludf.DUMMYFUNCTION("SPLIT(A4372,"" "")"),"CCCN(CC1=CCC=C(N(C)Cc2nc(C)c(C)c(C)c2C)N1)C1CCCCC1N(C)Cc1ccccn1")</f>
        <v>CCCN(CC1=CCC=C(N(C)Cc2nc(C)c(C)c(C)c2C)N1)C1CCCCC1N(C)Cc1ccccn1</v>
      </c>
      <c r="C4372" s="7">
        <f>IFERROR(__xludf.DUMMYFUNCTION("""COMPUTED_VALUE"""),7.795803)</f>
        <v>7.795803</v>
      </c>
      <c r="D4372" s="7">
        <f>IFERROR(__xludf.DUMMYFUNCTION("""COMPUTED_VALUE"""),0.461538461538461)</f>
        <v>0.4615384615</v>
      </c>
    </row>
    <row r="4373">
      <c r="A4373" s="10" t="s">
        <v>5812</v>
      </c>
      <c r="B4373" s="7" t="str">
        <f>IFERROR(__xludf.DUMMYFUNCTION("SPLIT(A4373,"" "")"),"Cc1cncc(CN(C)C2CC(N(C)Cc3ccccn3)CC(N(Cc3ccccn3)C(C)C)C2)c1C")</f>
        <v>Cc1cncc(CN(C)C2CC(N(C)Cc3ccccn3)CC(N(Cc3ccccn3)C(C)C)C2)c1C</v>
      </c>
      <c r="C4373" s="7">
        <f>IFERROR(__xludf.DUMMYFUNCTION("""COMPUTED_VALUE"""),7.7957983)</f>
        <v>7.7957983</v>
      </c>
      <c r="D4373" s="7">
        <f>IFERROR(__xludf.DUMMYFUNCTION("""COMPUTED_VALUE"""),0.410714285714285)</f>
        <v>0.4107142857</v>
      </c>
    </row>
    <row r="4374">
      <c r="A4374" s="10" t="s">
        <v>5813</v>
      </c>
      <c r="B4374" s="7" t="str">
        <f>IFERROR(__xludf.DUMMYFUNCTION("SPLIT(A4374,"" "")"),"CC(C)N(C)CC1=C(N(Cc2ccccn2)CN(C)C(C)C)CC=CN1")</f>
        <v>CC(C)N(C)CC1=C(N(Cc2ccccn2)CN(C)C(C)C)CC=CN1</v>
      </c>
      <c r="C4374" s="7">
        <f>IFERROR(__xludf.DUMMYFUNCTION("""COMPUTED_VALUE"""),7.7957835)</f>
        <v>7.7957835</v>
      </c>
      <c r="D4374" s="7">
        <f>IFERROR(__xludf.DUMMYFUNCTION("""COMPUTED_VALUE"""),0.411764705882352)</f>
        <v>0.4117647059</v>
      </c>
    </row>
    <row r="4375">
      <c r="A4375" s="10" t="s">
        <v>5814</v>
      </c>
      <c r="B4375" s="7" t="str">
        <f>IFERROR(__xludf.DUMMYFUNCTION("SPLIT(A4375,"" "")"),"Fc1cccc(CN(Cc2ccccn2)C2CCCCC2N(Cc2ccccn2)Cc2cccnc2F)n1")</f>
        <v>Fc1cccc(CN(Cc2ccccn2)C2CCCCC2N(Cc2ccccn2)Cc2cccnc2F)n1</v>
      </c>
      <c r="C4375" s="7">
        <f>IFERROR(__xludf.DUMMYFUNCTION("""COMPUTED_VALUE"""),7.7957835)</f>
        <v>7.7957835</v>
      </c>
      <c r="D4375" s="7">
        <f>IFERROR(__xludf.DUMMYFUNCTION("""COMPUTED_VALUE"""),0.48)</f>
        <v>0.48</v>
      </c>
    </row>
    <row r="4376">
      <c r="A4376" s="10" t="s">
        <v>5815</v>
      </c>
      <c r="B4376" s="7" t="str">
        <f>IFERROR(__xludf.DUMMYFUNCTION("SPLIT(A4376,"" "")"),"Cc1ccc(CN(C)C2CC(N(C)Cc3ncccc3C)CCC2N(Cc2ccc(C)cn2)C(C)C)nc1")</f>
        <v>Cc1ccc(CN(C)C2CC(N(C)Cc3ncccc3C)CCC2N(Cc2ccc(C)cn2)C(C)C)nc1</v>
      </c>
      <c r="C4376" s="7">
        <f>IFERROR(__xludf.DUMMYFUNCTION("""COMPUTED_VALUE"""),7.7957544)</f>
        <v>7.7957544</v>
      </c>
      <c r="D4376" s="7">
        <f>IFERROR(__xludf.DUMMYFUNCTION("""COMPUTED_VALUE"""),0.46551724137931)</f>
        <v>0.4655172414</v>
      </c>
    </row>
    <row r="4377">
      <c r="A4377" s="10" t="s">
        <v>5816</v>
      </c>
      <c r="B4377" s="7" t="str">
        <f>IFERROR(__xludf.DUMMYFUNCTION("SPLIT(A4377,"" "")"),"Cc1cccnc1CN(C)C1CCC(N(Cc2ccccn2)Cc2ncccc2N)CC1")</f>
        <v>Cc1cccnc1CN(C)C1CCC(N(Cc2ccccn2)Cc2ncccc2N)CC1</v>
      </c>
      <c r="C4377" s="7">
        <f>IFERROR(__xludf.DUMMYFUNCTION("""COMPUTED_VALUE"""),7.795754)</f>
        <v>7.795754</v>
      </c>
      <c r="D4377" s="7">
        <f>IFERROR(__xludf.DUMMYFUNCTION("""COMPUTED_VALUE"""),0.425925925925925)</f>
        <v>0.4259259259</v>
      </c>
    </row>
    <row r="4378">
      <c r="A4378" s="10" t="s">
        <v>5817</v>
      </c>
      <c r="B4378" s="7" t="str">
        <f>IFERROR(__xludf.DUMMYFUNCTION("SPLIT(A4378,"" "")"),"CC1=C(C)C(C)C(N(C)Cc2ccccn2)C(CN(Cc2ccccn2)Cc2ccccn2)C1C")</f>
        <v>CC1=C(C)C(C)C(N(C)Cc2ccccn2)C(CN(Cc2ccccn2)Cc2ccccn2)C1C</v>
      </c>
      <c r="C4378" s="7">
        <f>IFERROR(__xludf.DUMMYFUNCTION("""COMPUTED_VALUE"""),7.7957487)</f>
        <v>7.7957487</v>
      </c>
      <c r="D4378" s="7">
        <f>IFERROR(__xludf.DUMMYFUNCTION("""COMPUTED_VALUE"""),0.475)</f>
        <v>0.475</v>
      </c>
    </row>
    <row r="4379">
      <c r="A4379" s="10" t="s">
        <v>5818</v>
      </c>
      <c r="B4379" s="7" t="str">
        <f>IFERROR(__xludf.DUMMYFUNCTION("SPLIT(A4379,"" "")"),"Cc1cncc(CN(C)Cc2cccc(N(C)C3CCC(N(Cc4ccccn4)Cc4cccc(-c5ccc6c(c5)OCCOCCOCCOCCOCCO6)n4)CC3)n2)c1")</f>
        <v>Cc1cncc(CN(C)Cc2cccc(N(C)C3CCC(N(Cc4ccccn4)Cc4cccc(-c5ccc6c(c5)OCCOCCOCCOCCOCCO6)n4)CC3)n2)c1</v>
      </c>
      <c r="C4379" s="7">
        <f>IFERROR(__xludf.DUMMYFUNCTION("""COMPUTED_VALUE"""),7.7957473)</f>
        <v>7.7957473</v>
      </c>
      <c r="D4379" s="7">
        <f>IFERROR(__xludf.DUMMYFUNCTION("""COMPUTED_VALUE"""),0.363636363636363)</f>
        <v>0.3636363636</v>
      </c>
    </row>
    <row r="4380">
      <c r="A4380" s="10" t="s">
        <v>5819</v>
      </c>
      <c r="B4380" s="7" t="str">
        <f>IFERROR(__xludf.DUMMYFUNCTION("SPLIT(A4380,"" "")"),"CN1CCN(C)CCN(Cc2ccc(-c3cccc(N)c3)nc2)CC1")</f>
        <v>CN1CCN(C)CCN(Cc2ccc(-c3cccc(N)c3)nc2)CC1</v>
      </c>
      <c r="C4380" s="7">
        <f>IFERROR(__xludf.DUMMYFUNCTION("""COMPUTED_VALUE"""),7.795741)</f>
        <v>7.795741</v>
      </c>
      <c r="D4380" s="7">
        <f>IFERROR(__xludf.DUMMYFUNCTION("""COMPUTED_VALUE"""),0.387755102040816)</f>
        <v>0.387755102</v>
      </c>
    </row>
    <row r="4381">
      <c r="A4381" s="10" t="s">
        <v>5820</v>
      </c>
      <c r="B4381" s="7" t="str">
        <f>IFERROR(__xludf.DUMMYFUNCTION("SPLIT(A4381,"" "")"),"COC(=O)c1ncccc1CN1CCN(C)CCN(Cc2cccc(C(C)NCc3ccccn3)n2)CC1")</f>
        <v>COC(=O)c1ncccc1CN1CCN(C)CCN(Cc2cccc(C(C)NCc3ccccn3)n2)CC1</v>
      </c>
      <c r="C4381" s="7">
        <f>IFERROR(__xludf.DUMMYFUNCTION("""COMPUTED_VALUE"""),7.795736)</f>
        <v>7.795736</v>
      </c>
      <c r="D4381" s="7">
        <f>IFERROR(__xludf.DUMMYFUNCTION("""COMPUTED_VALUE"""),0.442622950819672)</f>
        <v>0.4426229508</v>
      </c>
    </row>
    <row r="4382">
      <c r="A4382" s="10" t="s">
        <v>5821</v>
      </c>
      <c r="B4382" s="7" t="str">
        <f>IFERROR(__xludf.DUMMYFUNCTION("SPLIT(A4382,"" "")"),"CC1=CC(C)CC(C)(C)C1(C)c1cccc(CN(Cc2ccccn2)Cc2cccc(-c3ccc4c(c3)OCCOCCOCCOCCOCCO4)n2)n1")</f>
        <v>CC1=CC(C)CC(C)(C)C1(C)c1cccc(CN(Cc2ccccn2)Cc2cccc(-c3ccc4c(c3)OCCOCCOCCOCCOCCO4)n2)n1</v>
      </c>
      <c r="C4382" s="7">
        <f>IFERROR(__xludf.DUMMYFUNCTION("""COMPUTED_VALUE"""),7.795735)</f>
        <v>7.795735</v>
      </c>
      <c r="D4382" s="7">
        <f>IFERROR(__xludf.DUMMYFUNCTION("""COMPUTED_VALUE"""),0.407894736842105)</f>
        <v>0.4078947368</v>
      </c>
    </row>
    <row r="4383">
      <c r="A4383" s="10" t="s">
        <v>5822</v>
      </c>
      <c r="B4383" s="7" t="str">
        <f>IFERROR(__xludf.DUMMYFUNCTION("SPLIT(A4383,"" "")"),"C1=CNC(c2cccc(CN(Cc3ccccn3)C3CCCCC3)n2)=CC1")</f>
        <v>C1=CNC(c2cccc(CN(Cc3ccccn3)C3CCCCC3)n2)=CC1</v>
      </c>
      <c r="C4383" s="7">
        <f>IFERROR(__xludf.DUMMYFUNCTION("""COMPUTED_VALUE"""),7.7957335)</f>
        <v>7.7957335</v>
      </c>
      <c r="D4383" s="7">
        <f>IFERROR(__xludf.DUMMYFUNCTION("""COMPUTED_VALUE"""),0.473684210526315)</f>
        <v>0.4736842105</v>
      </c>
    </row>
    <row r="4384">
      <c r="A4384" s="10" t="s">
        <v>5823</v>
      </c>
      <c r="B4384" s="7" t="str">
        <f>IFERROR(__xludf.DUMMYFUNCTION("SPLIT(A4384,"" "")"),"Cc1cc(C)nc(CN(C)CC2=CCCN=C2)c1")</f>
        <v>Cc1cc(C)nc(CN(C)CC2=CCCN=C2)c1</v>
      </c>
      <c r="C4384" s="7">
        <f>IFERROR(__xludf.DUMMYFUNCTION("""COMPUTED_VALUE"""),7.7957306)</f>
        <v>7.7957306</v>
      </c>
      <c r="D4384" s="7">
        <f>IFERROR(__xludf.DUMMYFUNCTION("""COMPUTED_VALUE"""),0.434782608695652)</f>
        <v>0.4347826087</v>
      </c>
    </row>
    <row r="4385">
      <c r="A4385" s="10" t="s">
        <v>5824</v>
      </c>
      <c r="B4385" s="7" t="str">
        <f>IFERROR(__xludf.DUMMYFUNCTION("SPLIT(A4385,"" "")"),"CNCc1cc(CN(Cc2cccc(C)n2)C2CCC(N(C)Cc3ncccc3C)CC2)ccn1")</f>
        <v>CNCc1cc(CN(Cc2cccc(C)n2)C2CCC(N(C)Cc3ncccc3C)CC2)ccn1</v>
      </c>
      <c r="C4385" s="7">
        <f>IFERROR(__xludf.DUMMYFUNCTION("""COMPUTED_VALUE"""),7.795722)</f>
        <v>7.795722</v>
      </c>
      <c r="D4385" s="7">
        <f>IFERROR(__xludf.DUMMYFUNCTION("""COMPUTED_VALUE"""),0.375)</f>
        <v>0.375</v>
      </c>
    </row>
    <row r="4386">
      <c r="A4386" s="10" t="s">
        <v>5825</v>
      </c>
      <c r="B4386" s="7" t="str">
        <f>IFERROR(__xludf.DUMMYFUNCTION("SPLIT(A4386,"" "")"),"CNCc1cc(CF)ccn1")</f>
        <v>CNCc1cc(CF)ccn1</v>
      </c>
      <c r="C4386" s="7">
        <f>IFERROR(__xludf.DUMMYFUNCTION("""COMPUTED_VALUE"""),7.7957163)</f>
        <v>7.7957163</v>
      </c>
      <c r="D4386" s="7">
        <f>IFERROR(__xludf.DUMMYFUNCTION("""COMPUTED_VALUE"""),0.297297297297297)</f>
        <v>0.2972972973</v>
      </c>
    </row>
    <row r="4387">
      <c r="A4387" s="10" t="s">
        <v>5826</v>
      </c>
      <c r="B4387" s="7" t="str">
        <f>IFERROR(__xludf.DUMMYFUNCTION("SPLIT(A4387,"" "")"),"CC(N)C(C)c1cccnc1CN(Cc1cc(-c2ccc3c(c2)OCCOCCOCCOCCOCCO3)ccn1)Cc1cc(C(C)(C)C)ccn1")</f>
        <v>CC(N)C(C)c1cccnc1CN(Cc1cc(-c2ccc3c(c2)OCCOCCOCCOCCOCCO3)ccn1)Cc1cc(C(C)(C)C)ccn1</v>
      </c>
      <c r="C4387" s="7">
        <f>IFERROR(__xludf.DUMMYFUNCTION("""COMPUTED_VALUE"""),7.7957067)</f>
        <v>7.7957067</v>
      </c>
      <c r="D4387" s="7">
        <f>IFERROR(__xludf.DUMMYFUNCTION("""COMPUTED_VALUE"""),0.3125)</f>
        <v>0.3125</v>
      </c>
    </row>
    <row r="4388">
      <c r="A4388" s="10" t="s">
        <v>5827</v>
      </c>
      <c r="B4388" s="7" t="str">
        <f>IFERROR(__xludf.DUMMYFUNCTION("SPLIT(A4388,"" "")"),"CCNCc1cc(CN(Cc2ccccn2)C2CCCC(N(C)Cc3cc(C)c(C)c(C)n3)C2)ccn1")</f>
        <v>CCNCc1cc(CN(Cc2ccccn2)C2CCCC(N(C)Cc3cc(C)c(C)c(C)n3)C2)ccn1</v>
      </c>
      <c r="C4388" s="7">
        <f>IFERROR(__xludf.DUMMYFUNCTION("""COMPUTED_VALUE"""),7.7956996)</f>
        <v>7.7956996</v>
      </c>
      <c r="D4388" s="7">
        <f>IFERROR(__xludf.DUMMYFUNCTION("""COMPUTED_VALUE"""),0.378787878787878)</f>
        <v>0.3787878788</v>
      </c>
    </row>
    <row r="4389">
      <c r="A4389" s="10" t="s">
        <v>5828</v>
      </c>
      <c r="B4389" s="7" t="str">
        <f>IFERROR(__xludf.DUMMYFUNCTION("SPLIT(A4389,"" "")"),"Cc1ccnc(CN(Cc2ccccn2)CC(C)C(C)N)c1")</f>
        <v>Cc1ccnc(CN(Cc2ccccn2)CC(C)C(C)N)c1</v>
      </c>
      <c r="C4389" s="7">
        <f>IFERROR(__xludf.DUMMYFUNCTION("""COMPUTED_VALUE"""),7.795697)</f>
        <v>7.795697</v>
      </c>
      <c r="D4389" s="7">
        <f>IFERROR(__xludf.DUMMYFUNCTION("""COMPUTED_VALUE"""),0.475)</f>
        <v>0.475</v>
      </c>
    </row>
    <row r="4390">
      <c r="A4390" s="10" t="s">
        <v>5829</v>
      </c>
      <c r="B4390" s="7" t="str">
        <f>IFERROR(__xludf.DUMMYFUNCTION("SPLIT(A4390,"" "")"),"CNCCN(Cc1ccccn1)C(C)(N)c1ccccc1")</f>
        <v>CNCCN(Cc1ccccn1)C(C)(N)c1ccccc1</v>
      </c>
      <c r="C4390" s="7">
        <f>IFERROR(__xludf.DUMMYFUNCTION("""COMPUTED_VALUE"""),7.7956967)</f>
        <v>7.7956967</v>
      </c>
      <c r="D4390" s="7">
        <f>IFERROR(__xludf.DUMMYFUNCTION("""COMPUTED_VALUE"""),0.446808510638297)</f>
        <v>0.4468085106</v>
      </c>
    </row>
    <row r="4391">
      <c r="A4391" s="10" t="s">
        <v>5830</v>
      </c>
      <c r="B4391" s="7" t="str">
        <f>IFERROR(__xludf.DUMMYFUNCTION("SPLIT(A4391,"" "")"),"CCN(C)CC1=C(N(C)C(C)C)CC=CN1")</f>
        <v>CCN(C)CC1=C(N(C)C(C)C)CC=CN1</v>
      </c>
      <c r="C4391" s="7">
        <f>IFERROR(__xludf.DUMMYFUNCTION("""COMPUTED_VALUE"""),7.795693)</f>
        <v>7.795693</v>
      </c>
      <c r="D4391" s="7">
        <f>IFERROR(__xludf.DUMMYFUNCTION("""COMPUTED_VALUE"""),0.204081632653061)</f>
        <v>0.2040816327</v>
      </c>
    </row>
    <row r="4392">
      <c r="A4392" s="10" t="s">
        <v>5831</v>
      </c>
      <c r="B4392" s="7" t="str">
        <f>IFERROR(__xludf.DUMMYFUNCTION("SPLIT(A4392,"" "")"),"COC(=O)c1ncccc1CN1CCN(C)CCN(Cc2ncccc2C(C)NCc2ccccn2)CC1")</f>
        <v>COC(=O)c1ncccc1CN1CCN(C)CCN(Cc2ncccc2C(C)NCc2ccccn2)CC1</v>
      </c>
      <c r="C4392" s="7">
        <f>IFERROR(__xludf.DUMMYFUNCTION("""COMPUTED_VALUE"""),7.795687)</f>
        <v>7.795687</v>
      </c>
      <c r="D4392" s="7">
        <f>IFERROR(__xludf.DUMMYFUNCTION("""COMPUTED_VALUE"""),0.426229508196721)</f>
        <v>0.4262295082</v>
      </c>
    </row>
    <row r="4393">
      <c r="A4393" s="10" t="s">
        <v>5832</v>
      </c>
      <c r="B4393" s="7" t="str">
        <f>IFERROR(__xludf.DUMMYFUNCTION("SPLIT(A4393,"" "")"),"CN1CCN(C)CCN(Cc2ccc(-c3cccc(N)c3)cn2)CC1")</f>
        <v>CN1CCN(C)CCN(Cc2ccc(-c3cccc(N)c3)cn2)CC1</v>
      </c>
      <c r="C4393" s="7">
        <f>IFERROR(__xludf.DUMMYFUNCTION("""COMPUTED_VALUE"""),7.7956867)</f>
        <v>7.7956867</v>
      </c>
      <c r="D4393" s="7">
        <f>IFERROR(__xludf.DUMMYFUNCTION("""COMPUTED_VALUE"""),0.488888888888888)</f>
        <v>0.4888888889</v>
      </c>
    </row>
    <row r="4394">
      <c r="A4394" s="10" t="s">
        <v>5833</v>
      </c>
      <c r="B4394" s="7" t="str">
        <f>IFERROR(__xludf.DUMMYFUNCTION("SPLIT(A4394,"" "")"),"Cc1ccc(C)c(CN(C)C2CCCC(N(Cc3ccccn3)Cc3ccccn3)C2)n1")</f>
        <v>Cc1ccc(C)c(CN(C)C2CCCC(N(Cc3ccccn3)Cc3ccccn3)C2)n1</v>
      </c>
      <c r="C4394" s="7">
        <f>IFERROR(__xludf.DUMMYFUNCTION("""COMPUTED_VALUE"""),7.7956753)</f>
        <v>7.7956753</v>
      </c>
      <c r="D4394" s="7">
        <f>IFERROR(__xludf.DUMMYFUNCTION("""COMPUTED_VALUE"""),0.461538461538461)</f>
        <v>0.4615384615</v>
      </c>
    </row>
    <row r="4395">
      <c r="A4395" s="10" t="s">
        <v>5834</v>
      </c>
      <c r="B4395" s="7" t="str">
        <f>IFERROR(__xludf.DUMMYFUNCTION("SPLIT(A4395,"" "")"),"CN(CCN)Cc1cccc(C(C)(C)C)n1")</f>
        <v>CN(CCN)Cc1cccc(C(C)(C)C)n1</v>
      </c>
      <c r="C4395" s="7">
        <f>IFERROR(__xludf.DUMMYFUNCTION("""COMPUTED_VALUE"""),7.7956734)</f>
        <v>7.7956734</v>
      </c>
      <c r="D4395" s="7">
        <f>IFERROR(__xludf.DUMMYFUNCTION("""COMPUTED_VALUE"""),0.5)</f>
        <v>0.5</v>
      </c>
    </row>
    <row r="4396">
      <c r="A4396" s="10" t="s">
        <v>5835</v>
      </c>
      <c r="B4396" s="7" t="str">
        <f>IFERROR(__xludf.DUMMYFUNCTION("SPLIT(A4396,"" "")"),"Cc1cc(C)c(CN(C)C2CCCC(N(Cc3ccccn3)Cc3ccccn3)C2)cn1")</f>
        <v>Cc1cc(C)c(CN(C)C2CCCC(N(Cc3ccccn3)Cc3ccccn3)C2)cn1</v>
      </c>
      <c r="C4396" s="7">
        <f>IFERROR(__xludf.DUMMYFUNCTION("""COMPUTED_VALUE"""),7.7956715)</f>
        <v>7.7956715</v>
      </c>
      <c r="D4396" s="7">
        <f>IFERROR(__xludf.DUMMYFUNCTION("""COMPUTED_VALUE"""),0.452830188679245)</f>
        <v>0.4528301887</v>
      </c>
    </row>
    <row r="4397">
      <c r="A4397" s="10" t="s">
        <v>5836</v>
      </c>
      <c r="B4397" s="7" t="str">
        <f>IFERROR(__xludf.DUMMYFUNCTION("SPLIT(A4397,"" "")"),"Cc1cnc(CN(Cc2ccccn2)C2CCCC(N(C)Cc3ccccn3)C2)c(C)c1")</f>
        <v>Cc1cnc(CN(Cc2ccccn2)C2CCCC(N(C)Cc3ccccn3)C2)c(C)c1</v>
      </c>
      <c r="C4397" s="7">
        <f>IFERROR(__xludf.DUMMYFUNCTION("""COMPUTED_VALUE"""),7.7956686)</f>
        <v>7.7956686</v>
      </c>
      <c r="D4397" s="7">
        <f>IFERROR(__xludf.DUMMYFUNCTION("""COMPUTED_VALUE"""),0.471698113207547)</f>
        <v>0.4716981132</v>
      </c>
    </row>
    <row r="4398">
      <c r="A4398" s="10" t="s">
        <v>5837</v>
      </c>
      <c r="B4398" s="7" t="str">
        <f>IFERROR(__xludf.DUMMYFUNCTION("SPLIT(A4398,"" "")"),"CNCc1cccc(CN(Cc2cccc(C)n2)C2CCC(N(C)Cc3ncccc3C)CC2)n1")</f>
        <v>CNCc1cccc(CN(Cc2cccc(C)n2)C2CCC(N(C)Cc3ncccc3C)CC2)n1</v>
      </c>
      <c r="C4398" s="7">
        <f>IFERROR(__xludf.DUMMYFUNCTION("""COMPUTED_VALUE"""),7.7956676)</f>
        <v>7.7956676</v>
      </c>
      <c r="D4398" s="7">
        <f>IFERROR(__xludf.DUMMYFUNCTION("""COMPUTED_VALUE"""),0.413793103448275)</f>
        <v>0.4137931034</v>
      </c>
    </row>
    <row r="4399">
      <c r="A4399" s="10" t="s">
        <v>5838</v>
      </c>
      <c r="B4399" s="7" t="str">
        <f>IFERROR(__xludf.DUMMYFUNCTION("SPLIT(A4399,"" "")"),"Cc1cccc(C)c1N(C)C1CCCCC1N(C)Cc1ccon1")</f>
        <v>Cc1cccc(C)c1N(C)C1CCCCC1N(C)Cc1ccon1</v>
      </c>
      <c r="C4399" s="7">
        <f>IFERROR(__xludf.DUMMYFUNCTION("""COMPUTED_VALUE"""),7.7956676)</f>
        <v>7.7956676</v>
      </c>
      <c r="D4399" s="7">
        <f>IFERROR(__xludf.DUMMYFUNCTION("""COMPUTED_VALUE"""),0.5)</f>
        <v>0.5</v>
      </c>
    </row>
    <row r="4400">
      <c r="A4400" s="10" t="s">
        <v>5839</v>
      </c>
      <c r="B4400" s="7" t="str">
        <f>IFERROR(__xludf.DUMMYFUNCTION("SPLIT(A4400,"" "")"),"CN1CCN(C)CCN(CCCN(C)c2cccc3nc(CF)ccc23)CC1")</f>
        <v>CN1CCN(C)CCN(CCCN(C)c2cccc3nc(CF)ccc23)CC1</v>
      </c>
      <c r="C4400" s="7">
        <f>IFERROR(__xludf.DUMMYFUNCTION("""COMPUTED_VALUE"""),7.7956576)</f>
        <v>7.7956576</v>
      </c>
      <c r="D4400" s="7">
        <f>IFERROR(__xludf.DUMMYFUNCTION("""COMPUTED_VALUE"""),0.363636363636363)</f>
        <v>0.3636363636</v>
      </c>
    </row>
    <row r="4401">
      <c r="A4401" s="10" t="s">
        <v>5840</v>
      </c>
      <c r="B4401" s="7" t="str">
        <f>IFERROR(__xludf.DUMMYFUNCTION("SPLIT(A4401,"" "")"),"CC(C)c1cc2c(c(-c3cccc(CN(Cc4ccccn4)Cc4ccccn4)n3)c1)OCCOCCOCCOCCOCCO2")</f>
        <v>CC(C)c1cc2c(c(-c3cccc(CN(Cc4ccccn4)Cc4ccccn4)n3)c1)OCCOCCOCCOCCOCCO2</v>
      </c>
      <c r="C4401" s="7">
        <f>IFERROR(__xludf.DUMMYFUNCTION("""COMPUTED_VALUE"""),7.795653)</f>
        <v>7.795653</v>
      </c>
      <c r="D4401" s="7">
        <f>IFERROR(__xludf.DUMMYFUNCTION("""COMPUTED_VALUE"""),0.43076923076923)</f>
        <v>0.4307692308</v>
      </c>
    </row>
    <row r="4402">
      <c r="A4402" s="10" t="s">
        <v>5841</v>
      </c>
      <c r="B4402" s="7" t="str">
        <f>IFERROR(__xludf.DUMMYFUNCTION("SPLIT(A4402,"" "")"),"Cc1cccnc1CN(C)C(C)C(C)(c1cccnc1)C(C)N")</f>
        <v>Cc1cccnc1CN(C)C(C)C(C)(c1cccnc1)C(C)N</v>
      </c>
      <c r="C4402" s="7">
        <f>IFERROR(__xludf.DUMMYFUNCTION("""COMPUTED_VALUE"""),7.79561)</f>
        <v>7.79561</v>
      </c>
      <c r="D4402" s="7">
        <f>IFERROR(__xludf.DUMMYFUNCTION("""COMPUTED_VALUE"""),0.245614035087719)</f>
        <v>0.2456140351</v>
      </c>
    </row>
    <row r="4403">
      <c r="A4403" s="10" t="s">
        <v>5842</v>
      </c>
      <c r="B4403" s="7" t="str">
        <f>IFERROR(__xludf.DUMMYFUNCTION("SPLIT(A4403,"" "")"),"CC1=CC(C)CC(C)(c2cc(CN(Cc3ccccn3)Cc3ccc(-c4ccc5c(c4)OCCOCCOCCOCCOCCO5)cn3)ccn2)C1C")</f>
        <v>CC1=CC(C)CC(C)(c2cc(CN(Cc3ccccn3)Cc3ccc(-c4ccc5c(c4)OCCOCCOCCOCCOCCO5)cn3)ccn2)C1C</v>
      </c>
      <c r="C4403" s="7">
        <f>IFERROR(__xludf.DUMMYFUNCTION("""COMPUTED_VALUE"""),7.7956076)</f>
        <v>7.7956076</v>
      </c>
      <c r="D4403" s="7">
        <f>IFERROR(__xludf.DUMMYFUNCTION("""COMPUTED_VALUE"""),0.373493975903614)</f>
        <v>0.3734939759</v>
      </c>
    </row>
    <row r="4404">
      <c r="A4404" s="10" t="s">
        <v>5843</v>
      </c>
      <c r="B4404" s="7" t="str">
        <f>IFERROR(__xludf.DUMMYFUNCTION("SPLIT(A4404,"" "")"),"Cc1cnc(CN(C)C2CCCC(N(Cc3ccccn3)Cc3ccccn3)C2)c(C)c1")</f>
        <v>Cc1cnc(CN(C)C2CCCC(N(Cc3ccccn3)Cc3ccccn3)C2)c(C)c1</v>
      </c>
      <c r="C4404" s="7">
        <f>IFERROR(__xludf.DUMMYFUNCTION("""COMPUTED_VALUE"""),7.7955966)</f>
        <v>7.7955966</v>
      </c>
      <c r="D4404" s="7">
        <f>IFERROR(__xludf.DUMMYFUNCTION("""COMPUTED_VALUE"""),0.452830188679245)</f>
        <v>0.4528301887</v>
      </c>
    </row>
    <row r="4405">
      <c r="A4405" s="10" t="s">
        <v>5844</v>
      </c>
      <c r="B4405" s="7" t="str">
        <f>IFERROR(__xludf.DUMMYFUNCTION("SPLIT(A4405,"" "")"),"CC(c1cccc(-c2ccc3c(c2)OCCOCCOCCOCCOCCO3)n1)c1ncccc1CN(Cc1ccccn1)Cc1ccc(-c2ccc3c(c2)OCCOCCOCCOCCOCCO3)cn1")</f>
        <v>CC(c1cccc(-c2ccc3c(c2)OCCOCCOCCOCCOCCO3)n1)c1ncccc1CN(Cc1ccccn1)Cc1ccc(-c2ccc3c(c2)OCCOCCOCCOCCOCCO3)cn1</v>
      </c>
      <c r="C4405" s="7">
        <f>IFERROR(__xludf.DUMMYFUNCTION("""COMPUTED_VALUE"""),7.7955937)</f>
        <v>7.7955937</v>
      </c>
      <c r="D4405" s="7">
        <f>IFERROR(__xludf.DUMMYFUNCTION("""COMPUTED_VALUE"""),0.376623376623376)</f>
        <v>0.3766233766</v>
      </c>
    </row>
    <row r="4406">
      <c r="A4406" s="10" t="s">
        <v>5845</v>
      </c>
      <c r="B4406" s="7" t="str">
        <f>IFERROR(__xludf.DUMMYFUNCTION("SPLIT(A4406,"" "")"),"Cc1ccc(CN(C)C2CCCC(N(C)Cc3cc(C)c(C)c(C)n3)C2)nc1C")</f>
        <v>Cc1ccc(CN(C)C2CCCC(N(C)Cc3cc(C)c(C)c(C)n3)C2)nc1C</v>
      </c>
      <c r="C4406" s="7">
        <f>IFERROR(__xludf.DUMMYFUNCTION("""COMPUTED_VALUE"""),7.7955937)</f>
        <v>7.7955937</v>
      </c>
      <c r="D4406" s="7">
        <f>IFERROR(__xludf.DUMMYFUNCTION("""COMPUTED_VALUE"""),0.372549019607843)</f>
        <v>0.3725490196</v>
      </c>
    </row>
    <row r="4407">
      <c r="A4407" s="10" t="s">
        <v>5846</v>
      </c>
      <c r="B4407" s="7" t="str">
        <f>IFERROR(__xludf.DUMMYFUNCTION("SPLIT(A4407,"" "")"),"Cc1cccnc1-c1cccc(CN(C)C2CCC(N(C)Cc3ccc(-c4ccc5c(c4)OCCOCCOCCOCCOCCO5)cn3)CC2)n1")</f>
        <v>Cc1cccnc1-c1cccc(CN(C)C2CCC(N(C)Cc3ccc(-c4ccc5c(c4)OCCOCCOCCOCCOCCO5)cn3)CC2)n1</v>
      </c>
      <c r="C4407" s="7">
        <f>IFERROR(__xludf.DUMMYFUNCTION("""COMPUTED_VALUE"""),7.7955904)</f>
        <v>7.7955904</v>
      </c>
      <c r="D4407" s="7">
        <f>IFERROR(__xludf.DUMMYFUNCTION("""COMPUTED_VALUE"""),0.432432432432432)</f>
        <v>0.4324324324</v>
      </c>
    </row>
    <row r="4408">
      <c r="A4408" s="10" t="s">
        <v>5847</v>
      </c>
      <c r="B4408" s="7" t="str">
        <f>IFERROR(__xludf.DUMMYFUNCTION("SPLIT(A4408,"" "")"),"CC(C)c1cccc(CN(Cc2ccccn2)Cc2cccc(-c3ccc4c(c3)OCCOCCOCCOCCOCCO4)n2)n1")</f>
        <v>CC(C)c1cccc(CN(Cc2ccccn2)Cc2cccc(-c3ccc4c(c3)OCCOCCOCCOCCOCCO4)n2)n1</v>
      </c>
      <c r="C4408" s="7">
        <f>IFERROR(__xludf.DUMMYFUNCTION("""COMPUTED_VALUE"""),7.795584)</f>
        <v>7.795584</v>
      </c>
      <c r="D4408" s="7">
        <f>IFERROR(__xludf.DUMMYFUNCTION("""COMPUTED_VALUE"""),0.492063492063492)</f>
        <v>0.4920634921</v>
      </c>
    </row>
    <row r="4409">
      <c r="A4409" s="10" t="s">
        <v>5848</v>
      </c>
      <c r="B4409" s="7" t="str">
        <f>IFERROR(__xludf.DUMMYFUNCTION("SPLIT(A4409,"" "")"),"Fc1cccnc1CN(Cc1ccccn1)C1CCCCC1N(Cc1ccccn1)Cc1cccnc1F")</f>
        <v>Fc1cccnc1CN(Cc1ccccn1)C1CCCCC1N(Cc1ccccn1)Cc1cccnc1F</v>
      </c>
      <c r="C4409" s="7">
        <f>IFERROR(__xludf.DUMMYFUNCTION("""COMPUTED_VALUE"""),7.7955766)</f>
        <v>7.7955766</v>
      </c>
      <c r="D4409" s="7">
        <f>IFERROR(__xludf.DUMMYFUNCTION("""COMPUTED_VALUE"""),0.48)</f>
        <v>0.48</v>
      </c>
    </row>
    <row r="4410">
      <c r="A4410" s="10" t="s">
        <v>5849</v>
      </c>
      <c r="B4410" s="7" t="str">
        <f>IFERROR(__xludf.DUMMYFUNCTION("SPLIT(A4410,"" "")"),"Cc1cc(C)nc(CN(C)C2CCC(N(C)Cc3cc(C)c(C)c(C)n3)CC2)c1")</f>
        <v>Cc1cc(C)nc(CN(C)C2CCC(N(C)Cc3cc(C)c(C)c(C)n3)CC2)c1</v>
      </c>
      <c r="C4410" s="7">
        <f>IFERROR(__xludf.DUMMYFUNCTION("""COMPUTED_VALUE"""),7.795576)</f>
        <v>7.795576</v>
      </c>
      <c r="D4410" s="7">
        <f>IFERROR(__xludf.DUMMYFUNCTION("""COMPUTED_VALUE"""),0.36)</f>
        <v>0.36</v>
      </c>
    </row>
    <row r="4411">
      <c r="A4411" s="10" t="s">
        <v>5850</v>
      </c>
      <c r="B4411" s="7" t="str">
        <f>IFERROR(__xludf.DUMMYFUNCTION("SPLIT(A4411,"" "")"),"CCN(CCN(C)Cc1cncc(C)c1)Cc1ccccn1")</f>
        <v>CCN(CCN(C)Cc1cncc(C)c1)Cc1ccccn1</v>
      </c>
      <c r="C4411" s="7">
        <f>IFERROR(__xludf.DUMMYFUNCTION("""COMPUTED_VALUE"""),7.795566)</f>
        <v>7.795566</v>
      </c>
      <c r="D4411" s="7">
        <f>IFERROR(__xludf.DUMMYFUNCTION("""COMPUTED_VALUE"""),0.489361702127659)</f>
        <v>0.4893617021</v>
      </c>
    </row>
    <row r="4412">
      <c r="A4412" s="10" t="s">
        <v>5851</v>
      </c>
      <c r="B4412" s="7" t="str">
        <f>IFERROR(__xludf.DUMMYFUNCTION("SPLIT(A4412,"" "")"),"COC(=O)C(=O)C(=O)C1(C)N=COC1c1cccnc1CN1CCN(C)CCN(C)CC1")</f>
        <v>COC(=O)C(=O)C(=O)C1(C)N=COC1c1cccnc1CN1CCN(C)CCN(C)CC1</v>
      </c>
      <c r="C4412" s="7">
        <f>IFERROR(__xludf.DUMMYFUNCTION("""COMPUTED_VALUE"""),7.795558)</f>
        <v>7.795558</v>
      </c>
      <c r="D4412" s="7">
        <f>IFERROR(__xludf.DUMMYFUNCTION("""COMPUTED_VALUE"""),0.338709677419354)</f>
        <v>0.3387096774</v>
      </c>
    </row>
    <row r="4413">
      <c r="A4413" s="10" t="s">
        <v>5852</v>
      </c>
      <c r="B4413" s="7" t="str">
        <f>IFERROR(__xludf.DUMMYFUNCTION("SPLIT(A4413,"" "")"),"Cc1cc(C)c(CN(C)C2CCCC(N(C)Cc3ccon3)C2)nc1C")</f>
        <v>Cc1cc(C)c(CN(C)C2CCCC(N(C)Cc3ccon3)C2)nc1C</v>
      </c>
      <c r="C4413" s="7">
        <f>IFERROR(__xludf.DUMMYFUNCTION("""COMPUTED_VALUE"""),7.795551)</f>
        <v>7.795551</v>
      </c>
      <c r="D4413" s="7">
        <f>IFERROR(__xludf.DUMMYFUNCTION("""COMPUTED_VALUE"""),0.387755102040816)</f>
        <v>0.387755102</v>
      </c>
    </row>
    <row r="4414">
      <c r="A4414" s="10" t="s">
        <v>5853</v>
      </c>
      <c r="B4414" s="7" t="str">
        <f>IFERROR(__xludf.DUMMYFUNCTION("SPLIT(A4414,"" "")"),"Cc1cncc(CN(C)C(C)C)c1")</f>
        <v>Cc1cncc(CN(C)C(C)C)c1</v>
      </c>
      <c r="C4414" s="7">
        <f>IFERROR(__xludf.DUMMYFUNCTION("""COMPUTED_VALUE"""),7.7955465)</f>
        <v>7.7955465</v>
      </c>
      <c r="D4414" s="7">
        <f>IFERROR(__xludf.DUMMYFUNCTION("""COMPUTED_VALUE"""),0.268292682926829)</f>
        <v>0.2682926829</v>
      </c>
    </row>
    <row r="4415">
      <c r="A4415" s="10" t="s">
        <v>5854</v>
      </c>
      <c r="B4415" s="7" t="str">
        <f>IFERROR(__xludf.DUMMYFUNCTION("SPLIT(A4415,"" "")"),"CN(Cc1cccc(-c2ccc3c(c2)OCCOCCOCCOCCOCCO3)n1)c1cccc(CN(CNCF)Cc2ccccn2)n1")</f>
        <v>CN(Cc1cccc(-c2ccc3c(c2)OCCOCCOCCOCCOCCO3)n1)c1cccc(CN(CNCF)Cc2ccccn2)n1</v>
      </c>
      <c r="C4415" s="7">
        <f>IFERROR(__xludf.DUMMYFUNCTION("""COMPUTED_VALUE"""),7.795542)</f>
        <v>7.795542</v>
      </c>
      <c r="D4415" s="7">
        <f>IFERROR(__xludf.DUMMYFUNCTION("""COMPUTED_VALUE"""),0.410958904109589)</f>
        <v>0.4109589041</v>
      </c>
    </row>
    <row r="4416">
      <c r="A4416" s="10" t="s">
        <v>5855</v>
      </c>
      <c r="B4416" s="7" t="str">
        <f>IFERROR(__xludf.DUMMYFUNCTION("SPLIT(A4416,"" "")"),"CN1CCN(Cc2cccc(C3CC(C)(C)C3)n2)CCN(Cc2cccc(C(C)(C)c3ccccn3)n2)CC1")</f>
        <v>CN1CCN(Cc2cccc(C3CC(C)(C)C3)n2)CCN(Cc2cccc(C(C)(C)c3ccccn3)n2)CC1</v>
      </c>
      <c r="C4416" s="7">
        <f>IFERROR(__xludf.DUMMYFUNCTION("""COMPUTED_VALUE"""),7.7955303)</f>
        <v>7.7955303</v>
      </c>
      <c r="D4416" s="7">
        <f>IFERROR(__xludf.DUMMYFUNCTION("""COMPUTED_VALUE"""),0.481481481481481)</f>
        <v>0.4814814815</v>
      </c>
    </row>
    <row r="4417">
      <c r="A4417" s="10" t="s">
        <v>5856</v>
      </c>
      <c r="B4417" s="7" t="str">
        <f>IFERROR(__xludf.DUMMYFUNCTION("SPLIT(A4417,"" "")"),"Cc1cccnc1CN(C)CCCN(C)C")</f>
        <v>Cc1cccnc1CN(C)CCCN(C)C</v>
      </c>
      <c r="C4417" s="7">
        <f>IFERROR(__xludf.DUMMYFUNCTION("""COMPUTED_VALUE"""),7.795525)</f>
        <v>7.795525</v>
      </c>
      <c r="D4417" s="7">
        <f>IFERROR(__xludf.DUMMYFUNCTION("""COMPUTED_VALUE"""),0.395348837209302)</f>
        <v>0.3953488372</v>
      </c>
    </row>
    <row r="4418">
      <c r="A4418" s="10" t="s">
        <v>5857</v>
      </c>
      <c r="B4418" s="7" t="str">
        <f>IFERROR(__xludf.DUMMYFUNCTION("SPLIT(A4418,"" "")"),"CC(C)N(C)c1cccc(-c2ccnc(C(C)(C)N3CCN(C)CCN(Cc4cc(-c5ccc6c(c5)OCCOCCOCCOCCOCCO6)ccn4)CC3)c2)c1")</f>
        <v>CC(C)N(C)c1cccc(-c2ccnc(C(C)(C)N3CCN(C)CCN(Cc4cc(-c5ccc6c(c5)OCCOCCOCCOCCOCCO6)ccn4)CC3)c2)c1</v>
      </c>
      <c r="C4418" s="7">
        <f>IFERROR(__xludf.DUMMYFUNCTION("""COMPUTED_VALUE"""),7.795524)</f>
        <v>7.795524</v>
      </c>
      <c r="D4418" s="7">
        <f>IFERROR(__xludf.DUMMYFUNCTION("""COMPUTED_VALUE"""),0.355263157894736)</f>
        <v>0.3552631579</v>
      </c>
    </row>
    <row r="4419">
      <c r="A4419" s="10" t="s">
        <v>5858</v>
      </c>
      <c r="B4419" s="7" t="str">
        <f>IFERROR(__xludf.DUMMYFUNCTION("SPLIT(A4419,"" "")"),"CC(C)C(NCc1ccccn1)c1ccnc(CNCF)c1")</f>
        <v>CC(C)C(NCc1ccccn1)c1ccnc(CNCF)c1</v>
      </c>
      <c r="C4419" s="7">
        <f>IFERROR(__xludf.DUMMYFUNCTION("""COMPUTED_VALUE"""),7.7955203)</f>
        <v>7.7955203</v>
      </c>
      <c r="D4419" s="7">
        <f>IFERROR(__xludf.DUMMYFUNCTION("""COMPUTED_VALUE"""),0.441860465116279)</f>
        <v>0.4418604651</v>
      </c>
    </row>
    <row r="4420">
      <c r="A4420" s="10" t="s">
        <v>5859</v>
      </c>
      <c r="B4420" s="7" t="str">
        <f>IFERROR(__xludf.DUMMYFUNCTION("SPLIT(A4420,"" "")"),"CN(CF)Cc1ncccc1C(C)(C)C")</f>
        <v>CN(CF)Cc1ncccc1C(C)(C)C</v>
      </c>
      <c r="C4420" s="7">
        <f>IFERROR(__xludf.DUMMYFUNCTION("""COMPUTED_VALUE"""),7.7955174)</f>
        <v>7.7955174</v>
      </c>
      <c r="D4420" s="7">
        <f>IFERROR(__xludf.DUMMYFUNCTION("""COMPUTED_VALUE"""),0.333333333333333)</f>
        <v>0.3333333333</v>
      </c>
    </row>
    <row r="4421">
      <c r="A4421" s="10" t="s">
        <v>5860</v>
      </c>
      <c r="B4421" s="7" t="str">
        <f>IFERROR(__xludf.DUMMYFUNCTION("SPLIT(A4421,"" "")"),"Cc1cc(C(=O)C(C)C(=O)C(=O)C(=O)C(C)C(C)C(C)C(C)C(C)C(C)C(C)C)cnc1C1CC(C)(C)C1")</f>
        <v>Cc1cc(C(=O)C(C)C(=O)C(=O)C(=O)C(C)C(C)C(C)C(C)C(C)C(C)C(C)C)cnc1C1CC(C)(C)C1</v>
      </c>
      <c r="C4421" s="7">
        <f>IFERROR(__xludf.DUMMYFUNCTION("""COMPUTED_VALUE"""),7.7955146)</f>
        <v>7.7955146</v>
      </c>
      <c r="D4421" s="7">
        <f>IFERROR(__xludf.DUMMYFUNCTION("""COMPUTED_VALUE"""),0.157894736842105)</f>
        <v>0.1578947368</v>
      </c>
    </row>
    <row r="4422">
      <c r="A4422" s="10" t="s">
        <v>5861</v>
      </c>
      <c r="B4422" s="7" t="str">
        <f>IFERROR(__xludf.DUMMYFUNCTION("SPLIT(A4422,"" "")"),"Cc1cccc(CN(C)C2=C(CN(C(C)C)C3CCC(N(C)Cc4ccccn4)CC3)NC=CC2)n1")</f>
        <v>Cc1cccc(CN(C)C2=C(CN(C(C)C)C3CCC(N(C)Cc4ccccn4)CC3)NC=CC2)n1</v>
      </c>
      <c r="C4422" s="7">
        <f>IFERROR(__xludf.DUMMYFUNCTION("""COMPUTED_VALUE"""),7.7955103)</f>
        <v>7.7955103</v>
      </c>
      <c r="D4422" s="7">
        <f>IFERROR(__xludf.DUMMYFUNCTION("""COMPUTED_VALUE"""),0.384615384615384)</f>
        <v>0.3846153846</v>
      </c>
    </row>
    <row r="4423">
      <c r="A4423" s="10" t="s">
        <v>5862</v>
      </c>
      <c r="B4423" s="7" t="str">
        <f>IFERROR(__xludf.DUMMYFUNCTION("SPLIT(A4423,"" "")"),"CC(C)N(C)CN(Cc1ccccn1)C(C)(C)c1cccnc1")</f>
        <v>CC(C)N(C)CN(Cc1ccccn1)C(C)(C)c1cccnc1</v>
      </c>
      <c r="C4423" s="7">
        <f>IFERROR(__xludf.DUMMYFUNCTION("""COMPUTED_VALUE"""),7.795505)</f>
        <v>7.795505</v>
      </c>
      <c r="D4423" s="7">
        <f>IFERROR(__xludf.DUMMYFUNCTION("""COMPUTED_VALUE"""),0.428571428571428)</f>
        <v>0.4285714286</v>
      </c>
    </row>
    <row r="4424">
      <c r="A4424" s="10" t="s">
        <v>5863</v>
      </c>
      <c r="B4424" s="7" t="str">
        <f>IFERROR(__xludf.DUMMYFUNCTION("SPLIT(A4424,"" "")"),"CN(CCNCc1ccccn1)Cc1cncc(F)c1")</f>
        <v>CN(CCNCc1ccccn1)Cc1cncc(F)c1</v>
      </c>
      <c r="C4424" s="7">
        <f>IFERROR(__xludf.DUMMYFUNCTION("""COMPUTED_VALUE"""),7.795496)</f>
        <v>7.795496</v>
      </c>
      <c r="D4424" s="7">
        <f>IFERROR(__xludf.DUMMYFUNCTION("""COMPUTED_VALUE"""),0.466666666666666)</f>
        <v>0.4666666667</v>
      </c>
    </row>
    <row r="4425">
      <c r="A4425" s="10" t="s">
        <v>5864</v>
      </c>
      <c r="B4425" s="7" t="str">
        <f>IFERROR(__xludf.DUMMYFUNCTION("SPLIT(A4425,"" "")"),"Cc1ccc(C)c(CN(C)C2CCCC(N(C)Cc3cc(C)c(C)c(C)n3)C2)n1")</f>
        <v>Cc1ccc(C)c(CN(C)C2CCCC(N(C)Cc3cc(C)c(C)c(C)n3)C2)n1</v>
      </c>
      <c r="C4425" s="7">
        <f>IFERROR(__xludf.DUMMYFUNCTION("""COMPUTED_VALUE"""),7.79549)</f>
        <v>7.79549</v>
      </c>
      <c r="D4425" s="7">
        <f>IFERROR(__xludf.DUMMYFUNCTION("""COMPUTED_VALUE"""),0.37037037037037)</f>
        <v>0.3703703704</v>
      </c>
    </row>
    <row r="4426">
      <c r="A4426" s="10" t="s">
        <v>5865</v>
      </c>
      <c r="B4426" s="7" t="str">
        <f>IFERROR(__xludf.DUMMYFUNCTION("SPLIT(A4426,"" "")"),"CCNCc1ncccc1C(C)(C)C")</f>
        <v>CCNCc1ncccc1C(C)(C)C</v>
      </c>
      <c r="C4426" s="7">
        <f>IFERROR(__xludf.DUMMYFUNCTION("""COMPUTED_VALUE"""),7.7954893)</f>
        <v>7.7954893</v>
      </c>
      <c r="D4426" s="7">
        <f>IFERROR(__xludf.DUMMYFUNCTION("""COMPUTED_VALUE"""),0.307692307692307)</f>
        <v>0.3076923077</v>
      </c>
    </row>
    <row r="4427">
      <c r="A4427" s="10" t="s">
        <v>5866</v>
      </c>
      <c r="B4427" s="7" t="str">
        <f>IFERROR(__xludf.DUMMYFUNCTION("SPLIT(A4427,"" "")"),"CC1C=CC(c2ccc(CN(C)Cc3ccccn3)cn2)CC1C")</f>
        <v>CC1C=CC(c2ccc(CN(C)Cc3ccccn3)cn2)CC1C</v>
      </c>
      <c r="C4427" s="7">
        <f>IFERROR(__xludf.DUMMYFUNCTION("""COMPUTED_VALUE"""),7.7954845)</f>
        <v>7.7954845</v>
      </c>
      <c r="D4427" s="7">
        <f>IFERROR(__xludf.DUMMYFUNCTION("""COMPUTED_VALUE"""),0.425925925925925)</f>
        <v>0.4259259259</v>
      </c>
    </row>
    <row r="4428">
      <c r="A4428" s="10" t="s">
        <v>5867</v>
      </c>
      <c r="B4428" s="7" t="str">
        <f>IFERROR(__xludf.DUMMYFUNCTION("SPLIT(A4428,"" "")"),"Cc1cc(C)c(CN(C)C2CCC(N(C)Cc3ccc4c(n3)CCC4)CC2)nc1C")</f>
        <v>Cc1cc(C)c(CN(C)C2CCC(N(C)Cc3ccc4c(n3)CCC4)CC2)nc1C</v>
      </c>
      <c r="C4428" s="7">
        <f>IFERROR(__xludf.DUMMYFUNCTION("""COMPUTED_VALUE"""),7.795484)</f>
        <v>7.795484</v>
      </c>
      <c r="D4428" s="7">
        <f>IFERROR(__xludf.DUMMYFUNCTION("""COMPUTED_VALUE"""),0.333333333333333)</f>
        <v>0.3333333333</v>
      </c>
    </row>
    <row r="4429">
      <c r="A4429" s="10" t="s">
        <v>5868</v>
      </c>
      <c r="B4429" s="7" t="str">
        <f>IFERROR(__xludf.DUMMYFUNCTION("SPLIT(A4429,"" "")"),"Cc1ccc(CN(C)Cc2cccc(-c3ccc4c(c3)OCCOCCOCCOCCOCCO4)n2)nc1C")</f>
        <v>Cc1ccc(CN(C)Cc2cccc(-c3ccc4c(c3)OCCOCCOCCOCCOCCO4)n2)nc1C</v>
      </c>
      <c r="C4429" s="7">
        <f>IFERROR(__xludf.DUMMYFUNCTION("""COMPUTED_VALUE"""),7.7954817)</f>
        <v>7.7954817</v>
      </c>
      <c r="D4429" s="7">
        <f>IFERROR(__xludf.DUMMYFUNCTION("""COMPUTED_VALUE"""),0.362068965517241)</f>
        <v>0.3620689655</v>
      </c>
    </row>
    <row r="4430">
      <c r="A4430" s="10" t="s">
        <v>5869</v>
      </c>
      <c r="B4430" s="7" t="str">
        <f>IFERROR(__xludf.DUMMYFUNCTION("SPLIT(A4430,"" "")"),"CCOC(C)c1cccc(CN(Cc2ccccn2)Cc2cccc(-c3ccc4c(c3)OCCOCCOCCOCCOCCO4)n2)n1")</f>
        <v>CCOC(C)c1cccc(CN(Cc2ccccn2)Cc2cccc(-c3ccc4c(c3)OCCOCCOCCOCCOCCO4)n2)n1</v>
      </c>
      <c r="C4430" s="7">
        <f>IFERROR(__xludf.DUMMYFUNCTION("""COMPUTED_VALUE"""),7.795481)</f>
        <v>7.795481</v>
      </c>
      <c r="D4430" s="7">
        <f>IFERROR(__xludf.DUMMYFUNCTION("""COMPUTED_VALUE"""),0.470588235294117)</f>
        <v>0.4705882353</v>
      </c>
    </row>
    <row r="4431">
      <c r="A4431" s="10" t="s">
        <v>5870</v>
      </c>
      <c r="B4431" s="7" t="str">
        <f>IFERROR(__xludf.DUMMYFUNCTION("SPLIT(A4431,"" "")"),"Cc1cc(CN(C)C2CCC(N(C)Cc3ccc4c(n3)CCC4)CC2)nc(C)c1C")</f>
        <v>Cc1cc(CN(C)C2CCC(N(C)Cc3ccc4c(n3)CCC4)CC2)nc(C)c1C</v>
      </c>
      <c r="C4431" s="7">
        <f>IFERROR(__xludf.DUMMYFUNCTION("""COMPUTED_VALUE"""),7.7954698)</f>
        <v>7.7954698</v>
      </c>
      <c r="D4431" s="7">
        <f>IFERROR(__xludf.DUMMYFUNCTION("""COMPUTED_VALUE"""),0.339285714285714)</f>
        <v>0.3392857143</v>
      </c>
    </row>
    <row r="4432">
      <c r="A4432" s="10" t="s">
        <v>5871</v>
      </c>
      <c r="B4432" s="7" t="str">
        <f>IFERROR(__xludf.DUMMYFUNCTION("SPLIT(A4432,"" "")"),"Cc1cnc(CN(C)C2CCCC(N(C)Cc3nc(C)c(C)cc3C)C2)cc1C")</f>
        <v>Cc1cnc(CN(C)C2CCCC(N(C)Cc3nc(C)c(C)cc3C)C2)cc1C</v>
      </c>
      <c r="C4432" s="7">
        <f>IFERROR(__xludf.DUMMYFUNCTION("""COMPUTED_VALUE"""),7.795466)</f>
        <v>7.795466</v>
      </c>
      <c r="D4432" s="7">
        <f>IFERROR(__xludf.DUMMYFUNCTION("""COMPUTED_VALUE"""),0.377358490566037)</f>
        <v>0.3773584906</v>
      </c>
    </row>
    <row r="4433">
      <c r="A4433" s="10" t="s">
        <v>5872</v>
      </c>
      <c r="B4433" s="7" t="str">
        <f>IFERROR(__xludf.DUMMYFUNCTION("SPLIT(A4433,"" "")"),"CC(C)N(C)Cc1cncc(-c2ccc3c(c2N(C)Cc2ccccn2)OCCOCCOCCOCCOCCO3)c1")</f>
        <v>CC(C)N(C)Cc1cncc(-c2ccc3c(c2N(C)Cc2ccccn2)OCCOCCOCCOCCOCCO3)c1</v>
      </c>
      <c r="C4433" s="7">
        <f>IFERROR(__xludf.DUMMYFUNCTION("""COMPUTED_VALUE"""),7.7954593)</f>
        <v>7.7954593</v>
      </c>
      <c r="D4433" s="7">
        <f>IFERROR(__xludf.DUMMYFUNCTION("""COMPUTED_VALUE"""),0.328358208955223)</f>
        <v>0.328358209</v>
      </c>
    </row>
    <row r="4434">
      <c r="A4434" s="10" t="s">
        <v>5873</v>
      </c>
      <c r="B4434" s="7" t="str">
        <f>IFERROR(__xludf.DUMMYFUNCTION("SPLIT(A4434,"" "")"),"Cc1ccc(CN(Cc2ccccn2)Cc2cccc(-c3ccc4c(c3)OCCOCCOCCOCCOCCO4)n2)nc1")</f>
        <v>Cc1ccc(CN(Cc2ccccn2)Cc2cccc(-c3ccc4c(c3)OCCOCCOCCOCCOCCO4)n2)nc1</v>
      </c>
      <c r="C4434" s="7">
        <f>IFERROR(__xludf.DUMMYFUNCTION("""COMPUTED_VALUE"""),7.795459)</f>
        <v>7.795459</v>
      </c>
      <c r="D4434" s="7">
        <f>IFERROR(__xludf.DUMMYFUNCTION("""COMPUTED_VALUE"""),0.492063492063492)</f>
        <v>0.4920634921</v>
      </c>
    </row>
    <row r="4435">
      <c r="A4435" s="10" t="s">
        <v>5874</v>
      </c>
      <c r="B4435" s="7" t="str">
        <f>IFERROR(__xludf.DUMMYFUNCTION("SPLIT(A4435,"" "")"),"Fc1cccc(CN(Cc2ccccn2)Cc2cc(-c3ccc4c(c3)OCCOCCOCCOCCOCCO4)ccn2)n1")</f>
        <v>Fc1cccc(CN(Cc2ccccn2)Cc2cc(-c3ccc4c(c3)OCCOCCOCCOCCOCCO4)ccn2)n1</v>
      </c>
      <c r="C4435" s="7">
        <f>IFERROR(__xludf.DUMMYFUNCTION("""COMPUTED_VALUE"""),7.7954383)</f>
        <v>7.7954383</v>
      </c>
      <c r="D4435" s="7">
        <f>IFERROR(__xludf.DUMMYFUNCTION("""COMPUTED_VALUE"""),0.411764705882352)</f>
        <v>0.4117647059</v>
      </c>
    </row>
    <row r="4436">
      <c r="A4436" s="10" t="s">
        <v>5875</v>
      </c>
      <c r="B4436" s="7" t="str">
        <f>IFERROR(__xludf.DUMMYFUNCTION("SPLIT(A4436,"" "")"),"CC(C)N(C)CC1=C(N(C)C(C)C)CC=CN1")</f>
        <v>CC(C)N(C)CC1=C(N(C)C(C)C)CC=CN1</v>
      </c>
      <c r="C4436" s="7">
        <f>IFERROR(__xludf.DUMMYFUNCTION("""COMPUTED_VALUE"""),7.7954383)</f>
        <v>7.7954383</v>
      </c>
      <c r="D4436" s="7">
        <f>IFERROR(__xludf.DUMMYFUNCTION("""COMPUTED_VALUE"""),0.212765957446808)</f>
        <v>0.2127659574</v>
      </c>
    </row>
    <row r="4437">
      <c r="A4437" s="10" t="s">
        <v>5876</v>
      </c>
      <c r="B4437" s="7" t="str">
        <f>IFERROR(__xludf.DUMMYFUNCTION("SPLIT(A4437,"" "")"),"CNC1CCCCC1N(Cc1ncc(C)cc1C)Cc1nc(C)c(C)c(C)c1C")</f>
        <v>CNC1CCCCC1N(Cc1ncc(C)cc1C)Cc1nc(C)c(C)c(C)c1C</v>
      </c>
      <c r="C4437" s="7">
        <f>IFERROR(__xludf.DUMMYFUNCTION("""COMPUTED_VALUE"""),7.795436)</f>
        <v>7.795436</v>
      </c>
      <c r="D4437" s="7">
        <f>IFERROR(__xludf.DUMMYFUNCTION("""COMPUTED_VALUE"""),0.322033898305084)</f>
        <v>0.3220338983</v>
      </c>
    </row>
    <row r="4438">
      <c r="A4438" s="10" t="s">
        <v>5877</v>
      </c>
      <c r="B4438" s="7" t="str">
        <f>IFERROR(__xludf.DUMMYFUNCTION("SPLIT(A4438,"" "")"),"Cc1nc(CN(C)C2CCCCC2N(C)Cc2ccon2)c(C)c(C)c1C")</f>
        <v>Cc1nc(CN(C)C2CCCCC2N(C)Cc2ccon2)c(C)c(C)c1C</v>
      </c>
      <c r="C4438" s="7">
        <f>IFERROR(__xludf.DUMMYFUNCTION("""COMPUTED_VALUE"""),7.7954354)</f>
        <v>7.7954354</v>
      </c>
      <c r="D4438" s="7">
        <f>IFERROR(__xludf.DUMMYFUNCTION("""COMPUTED_VALUE"""),0.46)</f>
        <v>0.46</v>
      </c>
    </row>
    <row r="4439">
      <c r="A4439" s="10" t="s">
        <v>5878</v>
      </c>
      <c r="B4439" s="7" t="str">
        <f>IFERROR(__xludf.DUMMYFUNCTION("SPLIT(A4439,"" "")"),"COCc1ccc2c(c1-c1ncccc1CN(Cc1ccccn1)Cc1ccccn1)OCCOCCOCCOCCOCCO2")</f>
        <v>COCc1ccc2c(c1-c1ncccc1CN(Cc1ccccn1)Cc1ccccn1)OCCOCCOCCOCCOCCO2</v>
      </c>
      <c r="C4439" s="7">
        <f>IFERROR(__xludf.DUMMYFUNCTION("""COMPUTED_VALUE"""),7.795425)</f>
        <v>7.795425</v>
      </c>
      <c r="D4439" s="7">
        <f>IFERROR(__xludf.DUMMYFUNCTION("""COMPUTED_VALUE"""),0.37037037037037)</f>
        <v>0.3703703704</v>
      </c>
    </row>
    <row r="4440">
      <c r="A4440" s="10" t="s">
        <v>5879</v>
      </c>
      <c r="B4440" s="7" t="str">
        <f>IFERROR(__xludf.DUMMYFUNCTION("SPLIT(A4440,"" "")"),"CNCc1cccc(CF)n1")</f>
        <v>CNCc1cccc(CF)n1</v>
      </c>
      <c r="C4440" s="7">
        <f>IFERROR(__xludf.DUMMYFUNCTION("""COMPUTED_VALUE"""),7.795419)</f>
        <v>7.795419</v>
      </c>
      <c r="D4440" s="7">
        <f>IFERROR(__xludf.DUMMYFUNCTION("""COMPUTED_VALUE"""),0.326086956521739)</f>
        <v>0.3260869565</v>
      </c>
    </row>
    <row r="4441">
      <c r="A4441" s="10" t="s">
        <v>5880</v>
      </c>
      <c r="B4441" s="7" t="str">
        <f>IFERROR(__xludf.DUMMYFUNCTION("SPLIT(A4441,"" "")"),"CCCN(Cc1ccccn1)C1CCC(N(C)Cc2ncccc2C)C(N(Cc2ccccn2)Cc2ncccc2C)C1")</f>
        <v>CCCN(Cc1ccccn1)C1CCC(N(C)Cc2ncccc2C)C(N(Cc2ccccn2)Cc2ncccc2C)C1</v>
      </c>
      <c r="C4441" s="7">
        <f>IFERROR(__xludf.DUMMYFUNCTION("""COMPUTED_VALUE"""),7.795413)</f>
        <v>7.795413</v>
      </c>
      <c r="D4441" s="7">
        <f>IFERROR(__xludf.DUMMYFUNCTION("""COMPUTED_VALUE"""),0.464285714285714)</f>
        <v>0.4642857143</v>
      </c>
    </row>
    <row r="4442">
      <c r="A4442" s="10" t="s">
        <v>5881</v>
      </c>
      <c r="B4442" s="7" t="str">
        <f>IFERROR(__xludf.DUMMYFUNCTION("SPLIT(A4442,"" "")"),"CN1CCN(C)CCN(Cc2cccnc2-c2cccc(N)c2)CC1")</f>
        <v>CN1CCN(C)CCN(Cc2cccnc2-c2cccc(N)c2)CC1</v>
      </c>
      <c r="C4442" s="7">
        <f>IFERROR(__xludf.DUMMYFUNCTION("""COMPUTED_VALUE"""),7.7954006)</f>
        <v>7.7954006</v>
      </c>
      <c r="D4442" s="7">
        <f>IFERROR(__xludf.DUMMYFUNCTION("""COMPUTED_VALUE"""),0.446808510638297)</f>
        <v>0.4468085106</v>
      </c>
    </row>
    <row r="4443">
      <c r="A4443" s="10" t="s">
        <v>5882</v>
      </c>
      <c r="B4443" s="7" t="str">
        <f>IFERROR(__xludf.DUMMYFUNCTION("SPLIT(A4443,"" "")"),"CCNCCN(C)Cc1ncc(C)cc1C")</f>
        <v>CCNCCN(C)Cc1ncc(C)cc1C</v>
      </c>
      <c r="C4443" s="7">
        <f>IFERROR(__xludf.DUMMYFUNCTION("""COMPUTED_VALUE"""),7.7953973)</f>
        <v>7.7953973</v>
      </c>
      <c r="D4443" s="7">
        <f>IFERROR(__xludf.DUMMYFUNCTION("""COMPUTED_VALUE"""),0.372093023255813)</f>
        <v>0.3720930233</v>
      </c>
    </row>
    <row r="4444">
      <c r="A4444" s="10" t="s">
        <v>5883</v>
      </c>
      <c r="B4444" s="7" t="str">
        <f>IFERROR(__xludf.DUMMYFUNCTION("SPLIT(A4444,"" "")"),"CC(C)N(C)CN(C)CC1=C(N(C)C(C)C)CC=CN1")</f>
        <v>CC(C)N(C)CN(C)CC1=C(N(C)C(C)C)CC=CN1</v>
      </c>
      <c r="C4444" s="7">
        <f>IFERROR(__xludf.DUMMYFUNCTION("""COMPUTED_VALUE"""),7.7953963)</f>
        <v>7.7953963</v>
      </c>
      <c r="D4444" s="7">
        <f>IFERROR(__xludf.DUMMYFUNCTION("""COMPUTED_VALUE"""),0.196078431372549)</f>
        <v>0.1960784314</v>
      </c>
    </row>
    <row r="4445">
      <c r="A4445" s="10" t="s">
        <v>5884</v>
      </c>
      <c r="B4445" s="7" t="str">
        <f>IFERROR(__xludf.DUMMYFUNCTION("SPLIT(A4445,"" "")"),"CCNCc1cc(CN(Cc2ccccn2)C2CCCC(N(C)Cc3nc(C)c(C)cc3C)C2)ccn1")</f>
        <v>CCNCc1cc(CN(Cc2ccccn2)C2CCCC(N(C)Cc3nc(C)c(C)cc3C)C2)ccn1</v>
      </c>
      <c r="C4445" s="7">
        <f>IFERROR(__xludf.DUMMYFUNCTION("""COMPUTED_VALUE"""),7.7953954)</f>
        <v>7.7953954</v>
      </c>
      <c r="D4445" s="7">
        <f>IFERROR(__xludf.DUMMYFUNCTION("""COMPUTED_VALUE"""),0.35820895522388)</f>
        <v>0.3582089552</v>
      </c>
    </row>
    <row r="4446">
      <c r="A4446" s="10" t="s">
        <v>5885</v>
      </c>
      <c r="B4446" s="7" t="str">
        <f>IFERROR(__xludf.DUMMYFUNCTION("SPLIT(A4446,"" "")"),"CC1=CC(N(C)Cc2cc(C(C)(C)C)ccn2)C(C)C(C)(C)C1")</f>
        <v>CC1=CC(N(C)Cc2cc(C(C)(C)C)ccn2)C(C)C(C)(C)C1</v>
      </c>
      <c r="C4446" s="7">
        <f>IFERROR(__xludf.DUMMYFUNCTION("""COMPUTED_VALUE"""),7.7953954)</f>
        <v>7.7953954</v>
      </c>
      <c r="D4446" s="7">
        <f>IFERROR(__xludf.DUMMYFUNCTION("""COMPUTED_VALUE"""),0.293103448275862)</f>
        <v>0.2931034483</v>
      </c>
    </row>
    <row r="4447">
      <c r="A4447" s="10" t="s">
        <v>5886</v>
      </c>
      <c r="B4447" s="7" t="str">
        <f>IFERROR(__xludf.DUMMYFUNCTION("SPLIT(A4447,"" "")"),"CN1CCN(C)CCN(CC2=CCC(N(C)C(c3ccccn3)c3ccccn3)=CN2)CC1")</f>
        <v>CN1CCN(C)CCN(CC2=CCC(N(C)C(c3ccccn3)c3ccccn3)=CN2)CC1</v>
      </c>
      <c r="C4447" s="7">
        <f>IFERROR(__xludf.DUMMYFUNCTION("""COMPUTED_VALUE"""),7.7953944)</f>
        <v>7.7953944</v>
      </c>
      <c r="D4447" s="7">
        <f>IFERROR(__xludf.DUMMYFUNCTION("""COMPUTED_VALUE"""),0.433962264150943)</f>
        <v>0.4339622642</v>
      </c>
    </row>
    <row r="4448">
      <c r="A4448" s="10" t="s">
        <v>5887</v>
      </c>
      <c r="B4448" s="7" t="str">
        <f>IFERROR(__xludf.DUMMYFUNCTION("SPLIT(A4448,"" "")"),"CC(C)N(CCN(C)c1ccc2nccc(CN(C)C)c2c1)Cc1cccc2c1OCCOCCOCCOCCOCCO2")</f>
        <v>CC(C)N(CCN(C)c1ccc2nccc(CN(C)C)c2c1)Cc1cccc2c1OCCOCCOCCOCCOCCO2</v>
      </c>
      <c r="C4448" s="7">
        <f>IFERROR(__xludf.DUMMYFUNCTION("""COMPUTED_VALUE"""),7.795388)</f>
        <v>7.795388</v>
      </c>
      <c r="D4448" s="7">
        <f>IFERROR(__xludf.DUMMYFUNCTION("""COMPUTED_VALUE"""),0.279411764705882)</f>
        <v>0.2794117647</v>
      </c>
    </row>
    <row r="4449">
      <c r="A4449" s="10" t="s">
        <v>5888</v>
      </c>
      <c r="B4449" s="7" t="str">
        <f>IFERROR(__xludf.DUMMYFUNCTION("SPLIT(A4449,"" "")"),"Cc1cc(N)ccc1N1CCN(C)CCN(Cc2ncccc2C(C)(C)C)CC1")</f>
        <v>Cc1cc(N)ccc1N1CCN(C)CCN(Cc2ncccc2C(C)(C)C)CC1</v>
      </c>
      <c r="C4449" s="7">
        <f>IFERROR(__xludf.DUMMYFUNCTION("""COMPUTED_VALUE"""),7.7953806)</f>
        <v>7.7953806</v>
      </c>
      <c r="D4449" s="7">
        <f>IFERROR(__xludf.DUMMYFUNCTION("""COMPUTED_VALUE"""),0.375)</f>
        <v>0.375</v>
      </c>
    </row>
    <row r="4450">
      <c r="A4450" s="10" t="s">
        <v>5889</v>
      </c>
      <c r="B4450" s="7" t="str">
        <f>IFERROR(__xludf.DUMMYFUNCTION("SPLIT(A4450,"" "")"),"Cc1cccc(CN(C)C2CCC(N(C)Cc3cccc(C(C)(c4cccnc4)C(C)N)n3)CC2)n1")</f>
        <v>Cc1cccc(CN(C)C2CCC(N(C)Cc3cccc(C(C)(c4cccnc4)C(C)N)n3)CC2)n1</v>
      </c>
      <c r="C4450" s="7">
        <f>IFERROR(__xludf.DUMMYFUNCTION("""COMPUTED_VALUE"""),7.795374)</f>
        <v>7.795374</v>
      </c>
      <c r="D4450" s="7">
        <f>IFERROR(__xludf.DUMMYFUNCTION("""COMPUTED_VALUE"""),0.423728813559322)</f>
        <v>0.4237288136</v>
      </c>
    </row>
    <row r="4451">
      <c r="A4451" s="10" t="s">
        <v>5890</v>
      </c>
      <c r="B4451" s="7" t="str">
        <f>IFERROR(__xludf.DUMMYFUNCTION("SPLIT(A4451,"" "")"),"CCNCc1cccc(CN(Cc2ccccn2)C2CCC(N(C)Cc3nc(C)c(C)c(C)c3C)CC2)n1")</f>
        <v>CCNCc1cccc(CN(Cc2ccccn2)C2CCC(N(C)Cc3nc(C)c(C)c(C)c3C)CC2)n1</v>
      </c>
      <c r="C4451" s="7">
        <f>IFERROR(__xludf.DUMMYFUNCTION("""COMPUTED_VALUE"""),7.795366)</f>
        <v>7.795366</v>
      </c>
      <c r="D4451" s="7">
        <f>IFERROR(__xludf.DUMMYFUNCTION("""COMPUTED_VALUE"""),0.370967741935483)</f>
        <v>0.3709677419</v>
      </c>
    </row>
    <row r="4452">
      <c r="A4452" s="10" t="s">
        <v>5891</v>
      </c>
      <c r="B4452" s="7" t="str">
        <f>IFERROR(__xludf.DUMMYFUNCTION("SPLIT(A4452,"" "")"),"CN1CCN(Cc2cccc(C3=NC(C)(C)CO3)n2)CCN(Cc2cccc(C(C)(C)C)n2)CC1")</f>
        <v>CN1CCN(Cc2cccc(C3=NC(C)(C)CO3)n2)CCN(Cc2cccc(C(C)(C)C)n2)CC1</v>
      </c>
      <c r="C4452" s="7">
        <f>IFERROR(__xludf.DUMMYFUNCTION("""COMPUTED_VALUE"""),7.7953606)</f>
        <v>7.7953606</v>
      </c>
      <c r="D4452" s="7">
        <f>IFERROR(__xludf.DUMMYFUNCTION("""COMPUTED_VALUE"""),0.5)</f>
        <v>0.5</v>
      </c>
    </row>
    <row r="4453">
      <c r="A4453" s="10" t="s">
        <v>5892</v>
      </c>
      <c r="B4453" s="7" t="str">
        <f>IFERROR(__xludf.DUMMYFUNCTION("SPLIT(A4453,"" "")"),"CCN(CCN(Cc1ncccc1C(C)(C)C)CC(C)(C)C)Cc1ncccc1C")</f>
        <v>CCN(CCN(Cc1ncccc1C(C)(C)C)CC(C)(C)C)Cc1ncccc1C</v>
      </c>
      <c r="C4453" s="7">
        <f>IFERROR(__xludf.DUMMYFUNCTION("""COMPUTED_VALUE"""),7.7953496)</f>
        <v>7.7953496</v>
      </c>
      <c r="D4453" s="7">
        <f>IFERROR(__xludf.DUMMYFUNCTION("""COMPUTED_VALUE"""),0.458333333333333)</f>
        <v>0.4583333333</v>
      </c>
    </row>
    <row r="4454">
      <c r="A4454" s="10" t="s">
        <v>5893</v>
      </c>
      <c r="B4454" s="7" t="str">
        <f>IFERROR(__xludf.DUMMYFUNCTION("SPLIT(A4454,"" "")"),"Cc1cnc(CN(C)Cc2cccc(-c3ccc4c(c3)OCCOCCOCCOCCOCCO4)n2)c(C)c1")</f>
        <v>Cc1cnc(CN(C)Cc2cccc(-c3ccc4c(c3)OCCOCCOCCOCCOCCO4)n2)c(C)c1</v>
      </c>
      <c r="C4454" s="7">
        <f>IFERROR(__xludf.DUMMYFUNCTION("""COMPUTED_VALUE"""),7.7953434)</f>
        <v>7.7953434</v>
      </c>
      <c r="D4454" s="7">
        <f>IFERROR(__xludf.DUMMYFUNCTION("""COMPUTED_VALUE"""),0.354838709677419)</f>
        <v>0.3548387097</v>
      </c>
    </row>
    <row r="4455">
      <c r="A4455" s="10" t="s">
        <v>5894</v>
      </c>
      <c r="B4455" s="7" t="str">
        <f>IFERROR(__xludf.DUMMYFUNCTION("SPLIT(A4455,"" "")"),"CCNCc1ncccc1CN(Cc1ccccn1)C1CCCC(N(C)Cc2nc(C)c(C)cc2C)C1")</f>
        <v>CCNCc1ncccc1CN(Cc1ccccn1)C1CCCC(N(C)Cc2nc(C)c(C)cc2C)C1</v>
      </c>
      <c r="C4455" s="7">
        <f>IFERROR(__xludf.DUMMYFUNCTION("""COMPUTED_VALUE"""),7.795341)</f>
        <v>7.795341</v>
      </c>
      <c r="D4455" s="7">
        <f>IFERROR(__xludf.DUMMYFUNCTION("""COMPUTED_VALUE"""),0.352941176470588)</f>
        <v>0.3529411765</v>
      </c>
    </row>
    <row r="4456">
      <c r="A4456" s="10" t="s">
        <v>5895</v>
      </c>
      <c r="B4456" s="7" t="str">
        <f>IFERROR(__xludf.DUMMYFUNCTION("SPLIT(A4456,"" "")"),"Cc1cnc(CN(C)C2CCC(N(Cc3ccccn3)Cc3cccnc3CF)CC2)cc1C")</f>
        <v>Cc1cnc(CN(C)C2CCC(N(Cc3ccccn3)Cc3cccnc3CF)CC2)cc1C</v>
      </c>
      <c r="C4456" s="7">
        <f>IFERROR(__xludf.DUMMYFUNCTION("""COMPUTED_VALUE"""),7.79534)</f>
        <v>7.79534</v>
      </c>
      <c r="D4456" s="7">
        <f>IFERROR(__xludf.DUMMYFUNCTION("""COMPUTED_VALUE"""),0.406779661016949)</f>
        <v>0.406779661</v>
      </c>
    </row>
    <row r="4457">
      <c r="A4457" s="10" t="s">
        <v>5896</v>
      </c>
      <c r="B4457" s="7" t="str">
        <f>IFERROR(__xludf.DUMMYFUNCTION("SPLIT(A4457,"" "")"),"CNCc1cccc(CN(Cc2ccccn2)C(C)(C)c2ccc(-c3ccc4c(c3)OCCOCCOCCOCCOCCO4)nc2)n1")</f>
        <v>CNCc1cccc(CN(Cc2ccccn2)C(C)(C)c2ccc(-c3ccc4c(c3)OCCOCCOCCOCCOCCO4)nc2)n1</v>
      </c>
      <c r="C4457" s="7">
        <f>IFERROR(__xludf.DUMMYFUNCTION("""COMPUTED_VALUE"""),7.7953334)</f>
        <v>7.7953334</v>
      </c>
      <c r="D4457" s="7">
        <f>IFERROR(__xludf.DUMMYFUNCTION("""COMPUTED_VALUE"""),0.32051282051282)</f>
        <v>0.3205128205</v>
      </c>
    </row>
    <row r="4458">
      <c r="A4458" s="10" t="s">
        <v>5897</v>
      </c>
      <c r="B4458" s="7" t="str">
        <f>IFERROR(__xludf.DUMMYFUNCTION("SPLIT(A4458,"" "")"),"C=CCNCc1ncccc1C(C)(C)C")</f>
        <v>C=CCNCc1ncccc1C(C)(C)C</v>
      </c>
      <c r="C4458" s="7">
        <f>IFERROR(__xludf.DUMMYFUNCTION("""COMPUTED_VALUE"""),7.795325)</f>
        <v>7.795325</v>
      </c>
      <c r="D4458" s="7">
        <f>IFERROR(__xludf.DUMMYFUNCTION("""COMPUTED_VALUE"""),0.27906976744186)</f>
        <v>0.2790697674</v>
      </c>
    </row>
    <row r="4459">
      <c r="A4459" s="10" t="s">
        <v>5898</v>
      </c>
      <c r="B4459" s="7" t="str">
        <f>IFERROR(__xludf.DUMMYFUNCTION("SPLIT(A4459,"" "")"),"CC(C)N1CCN(C)CCN(CN(C)c2ccc3ncccc3c2)CC1")</f>
        <v>CC(C)N1CCN(C)CCN(CN(C)c2ccc3ncccc3c2)CC1</v>
      </c>
      <c r="C4459" s="7">
        <f>IFERROR(__xludf.DUMMYFUNCTION("""COMPUTED_VALUE"""),7.7953176)</f>
        <v>7.7953176</v>
      </c>
      <c r="D4459" s="7">
        <f>IFERROR(__xludf.DUMMYFUNCTION("""COMPUTED_VALUE"""),0.407407407407407)</f>
        <v>0.4074074074</v>
      </c>
    </row>
    <row r="4460">
      <c r="A4460" s="10" t="s">
        <v>5899</v>
      </c>
      <c r="B4460" s="7" t="str">
        <f>IFERROR(__xludf.DUMMYFUNCTION("SPLIT(A4460,"" "")"),"Cc1cccc(C(C)C)c1")</f>
        <v>Cc1cccc(C(C)C)c1</v>
      </c>
      <c r="C4460" s="7">
        <f>IFERROR(__xludf.DUMMYFUNCTION("""COMPUTED_VALUE"""),7.795316)</f>
        <v>7.795316</v>
      </c>
      <c r="D4460" s="7">
        <f>IFERROR(__xludf.DUMMYFUNCTION("""COMPUTED_VALUE"""),0.363636363636363)</f>
        <v>0.3636363636</v>
      </c>
    </row>
    <row r="4461">
      <c r="A4461" s="10" t="s">
        <v>5900</v>
      </c>
      <c r="B4461" s="7" t="str">
        <f>IFERROR(__xludf.DUMMYFUNCTION("SPLIT(A4461,"" "")"),"CC(C)C(C)C(C)N(C)Cc1ncccc1C(C)(C)c1ccccn1")</f>
        <v>CC(C)C(C)C(C)N(C)Cc1ncccc1C(C)(C)c1ccccn1</v>
      </c>
      <c r="C4461" s="7">
        <f>IFERROR(__xludf.DUMMYFUNCTION("""COMPUTED_VALUE"""),7.795311)</f>
        <v>7.795311</v>
      </c>
      <c r="D4461" s="7">
        <f>IFERROR(__xludf.DUMMYFUNCTION("""COMPUTED_VALUE"""),0.309090909090909)</f>
        <v>0.3090909091</v>
      </c>
    </row>
    <row r="4462">
      <c r="A4462" s="10" t="s">
        <v>5901</v>
      </c>
      <c r="B4462" s="7" t="str">
        <f>IFERROR(__xludf.DUMMYFUNCTION("SPLIT(A4462,"" "")"),"Cc1cccnc1CN(C)C1CCCC(N(Cc2ccccn2)Cc2ncccc2C)C1")</f>
        <v>Cc1cccnc1CN(C)C1CCCC(N(Cc2ccccn2)Cc2ncccc2C)C1</v>
      </c>
      <c r="C4462" s="7">
        <f>IFERROR(__xludf.DUMMYFUNCTION("""COMPUTED_VALUE"""),7.795309)</f>
        <v>7.795309</v>
      </c>
      <c r="D4462" s="7">
        <f>IFERROR(__xludf.DUMMYFUNCTION("""COMPUTED_VALUE"""),0.48)</f>
        <v>0.48</v>
      </c>
    </row>
    <row r="4463">
      <c r="A4463" s="10" t="s">
        <v>5902</v>
      </c>
      <c r="B4463" s="7" t="str">
        <f>IFERROR(__xludf.DUMMYFUNCTION("SPLIT(A4463,"" "")"),"CC1=CC(N=Cc2ccccn2)CC(C(C)(C)N(C)Cc2ccccn2)C12CCC(C)=C(C)C2")</f>
        <v>CC1=CC(N=Cc2ccccn2)CC(C(C)(C)N(C)Cc2ccccn2)C12CCC(C)=C(C)C2</v>
      </c>
      <c r="C4463" s="7">
        <f>IFERROR(__xludf.DUMMYFUNCTION("""COMPUTED_VALUE"""),7.7953024)</f>
        <v>7.7953024</v>
      </c>
      <c r="D4463" s="7">
        <f>IFERROR(__xludf.DUMMYFUNCTION("""COMPUTED_VALUE"""),0.3)</f>
        <v>0.3</v>
      </c>
    </row>
    <row r="4464">
      <c r="A4464" s="10" t="s">
        <v>5903</v>
      </c>
      <c r="B4464" s="7" t="str">
        <f>IFERROR(__xludf.DUMMYFUNCTION("SPLIT(A4464,"" "")"),"CNCc1ncccc1N(C)C1CCC(N(Cc2cccnc2)Cc2ccccn2)CC1")</f>
        <v>CNCc1ncccc1N(C)C1CCC(N(Cc2cccnc2)Cc2ccccn2)CC1</v>
      </c>
      <c r="C4464" s="7">
        <f>IFERROR(__xludf.DUMMYFUNCTION("""COMPUTED_VALUE"""),7.7952967)</f>
        <v>7.7952967</v>
      </c>
      <c r="D4464" s="7">
        <f>IFERROR(__xludf.DUMMYFUNCTION("""COMPUTED_VALUE"""),0.360655737704918)</f>
        <v>0.3606557377</v>
      </c>
    </row>
    <row r="4465">
      <c r="A4465" s="10" t="s">
        <v>5904</v>
      </c>
      <c r="B4465" s="7" t="str">
        <f>IFERROR(__xludf.DUMMYFUNCTION("SPLIT(A4465,"" "")"),"Cc1cnccc1CN(C)C(C)C")</f>
        <v>Cc1cnccc1CN(C)C(C)C</v>
      </c>
      <c r="C4465" s="7">
        <f>IFERROR(__xludf.DUMMYFUNCTION("""COMPUTED_VALUE"""),7.79529)</f>
        <v>7.79529</v>
      </c>
      <c r="D4465" s="7">
        <f>IFERROR(__xludf.DUMMYFUNCTION("""COMPUTED_VALUE"""),0.27906976744186)</f>
        <v>0.2790697674</v>
      </c>
    </row>
    <row r="4466">
      <c r="A4466" s="10" t="s">
        <v>5905</v>
      </c>
      <c r="B4466" s="7" t="str">
        <f>IFERROR(__xludf.DUMMYFUNCTION("SPLIT(A4466,"" "")"),"CCNCc1cccc(CN(Cc2ccccn2)C2CCCC(N(C)Cc3nc(C)c(C)cc3C)C2)n1")</f>
        <v>CCNCc1cccc(CN(Cc2ccccn2)C2CCCC(N(C)Cc3nc(C)c(C)cc3C)C2)n1</v>
      </c>
      <c r="C4466" s="7">
        <f>IFERROR(__xludf.DUMMYFUNCTION("""COMPUTED_VALUE"""),7.79529)</f>
        <v>7.79529</v>
      </c>
      <c r="D4466" s="7">
        <f>IFERROR(__xludf.DUMMYFUNCTION("""COMPUTED_VALUE"""),0.369230769230769)</f>
        <v>0.3692307692</v>
      </c>
    </row>
    <row r="4467">
      <c r="A4467" s="10" t="s">
        <v>5906</v>
      </c>
      <c r="B4467" s="7" t="str">
        <f>IFERROR(__xludf.DUMMYFUNCTION("SPLIT(A4467,"" "")"),"CC(C)N(C)CCN(Cc1ccccn1)Cc1cnccc1C(C)(C)C")</f>
        <v>CC(C)N(C)CCN(Cc1ccccn1)Cc1cnccc1C(C)(C)C</v>
      </c>
      <c r="C4467" s="7">
        <f>IFERROR(__xludf.DUMMYFUNCTION("""COMPUTED_VALUE"""),7.7952805)</f>
        <v>7.7952805</v>
      </c>
      <c r="D4467" s="7">
        <f>IFERROR(__xludf.DUMMYFUNCTION("""COMPUTED_VALUE"""),0.489795918367346)</f>
        <v>0.4897959184</v>
      </c>
    </row>
    <row r="4468">
      <c r="A4468" s="10" t="s">
        <v>5907</v>
      </c>
      <c r="B4468" s="7" t="str">
        <f>IFERROR(__xludf.DUMMYFUNCTION("SPLIT(A4468,"" "")"),"CC(N)C(C)N(C)Cc1cc(C(C)(C)C)ccn1")</f>
        <v>CC(N)C(C)N(C)Cc1cc(C(C)(C)C)ccn1</v>
      </c>
      <c r="C4468" s="7">
        <f>IFERROR(__xludf.DUMMYFUNCTION("""COMPUTED_VALUE"""),7.795261)</f>
        <v>7.795261</v>
      </c>
      <c r="D4468" s="7">
        <f>IFERROR(__xludf.DUMMYFUNCTION("""COMPUTED_VALUE"""),0.291666666666666)</f>
        <v>0.2916666667</v>
      </c>
    </row>
    <row r="4469">
      <c r="A4469" s="10" t="s">
        <v>5908</v>
      </c>
      <c r="B4469" s="7" t="str">
        <f>IFERROR(__xludf.DUMMYFUNCTION("SPLIT(A4469,"" "")"),"CN(Cc1cc(-c2ccc3c(c2)OCCOCCOCCOCCOCCO3)ccn1)Cc1cccc(CN(C)C(C)(C)c2ccccn2)n1")</f>
        <v>CN(Cc1cc(-c2ccc3c(c2)OCCOCCOCCOCCOCCO3)ccn1)Cc1cccc(CN(C)C(C)(C)c2ccccn2)n1</v>
      </c>
      <c r="C4469" s="7">
        <f>IFERROR(__xludf.DUMMYFUNCTION("""COMPUTED_VALUE"""),7.7952576)</f>
        <v>7.7952576</v>
      </c>
      <c r="D4469" s="7">
        <f>IFERROR(__xludf.DUMMYFUNCTION("""COMPUTED_VALUE"""),0.375)</f>
        <v>0.375</v>
      </c>
    </row>
    <row r="4470">
      <c r="A4470" s="10" t="s">
        <v>5909</v>
      </c>
      <c r="B4470" s="7" t="str">
        <f>IFERROR(__xludf.DUMMYFUNCTION("SPLIT(A4470,"" "")"),"COC(=O)c1cc(CN2CCN(C)CCN(Cc3cccc(C(C)NCc4ccccn4)n3)CC2)ccn1")</f>
        <v>COC(=O)c1cc(CN2CCN(C)CCN(Cc3cccc(C(C)NCc4ccccn4)n3)CC2)ccn1</v>
      </c>
      <c r="C4470" s="7">
        <f>IFERROR(__xludf.DUMMYFUNCTION("""COMPUTED_VALUE"""),7.7952495)</f>
        <v>7.7952495</v>
      </c>
      <c r="D4470" s="7">
        <f>IFERROR(__xludf.DUMMYFUNCTION("""COMPUTED_VALUE"""),0.428571428571428)</f>
        <v>0.4285714286</v>
      </c>
    </row>
    <row r="4471">
      <c r="A4471" s="10" t="s">
        <v>5910</v>
      </c>
      <c r="B4471" s="7" t="str">
        <f>IFERROR(__xludf.DUMMYFUNCTION("SPLIT(A4471,"" "")"),"CCNCc1ncccc1CN(Cc1ccccn1)C1CCC(N(C)Cc2nc(C)c(C)c(C)c2C)CC1")</f>
        <v>CCNCc1ncccc1CN(Cc1ccccn1)C1CCC(N(C)Cc2nc(C)c(C)c(C)c2C)CC1</v>
      </c>
      <c r="C4471" s="7">
        <f>IFERROR(__xludf.DUMMYFUNCTION("""COMPUTED_VALUE"""),7.7952476)</f>
        <v>7.7952476</v>
      </c>
      <c r="D4471" s="7">
        <f>IFERROR(__xludf.DUMMYFUNCTION("""COMPUTED_VALUE"""),0.353846153846153)</f>
        <v>0.3538461538</v>
      </c>
    </row>
    <row r="4472">
      <c r="A4472" s="10" t="s">
        <v>5911</v>
      </c>
      <c r="B4472" s="7" t="str">
        <f>IFERROR(__xludf.DUMMYFUNCTION("SPLIT(A4472,"" "")"),"C=C1C=CNC(CNCC)=C1")</f>
        <v>C=C1C=CNC(CNCC)=C1</v>
      </c>
      <c r="C4472" s="7">
        <f>IFERROR(__xludf.DUMMYFUNCTION("""COMPUTED_VALUE"""),7.7952466)</f>
        <v>7.7952466</v>
      </c>
      <c r="D4472" s="7">
        <f>IFERROR(__xludf.DUMMYFUNCTION("""COMPUTED_VALUE"""),0.45)</f>
        <v>0.45</v>
      </c>
    </row>
    <row r="4473">
      <c r="A4473" s="10" t="s">
        <v>5912</v>
      </c>
      <c r="B4473" s="7" t="str">
        <f>IFERROR(__xludf.DUMMYFUNCTION("SPLIT(A4473,"" "")"),"CN(Cc1cccc(-c2ccc3c(c2)OCCOCCOCCOCCOCCO3)n1)C1=CNC(CN(C)C(C)(C)c2ccccn2)=CC1")</f>
        <v>CN(Cc1cccc(-c2ccc3c(c2)OCCOCCOCCOCCOCCO3)n1)C1=CNC(CN(C)C(C)(C)c2ccccn2)=CC1</v>
      </c>
      <c r="C4473" s="7">
        <f>IFERROR(__xludf.DUMMYFUNCTION("""COMPUTED_VALUE"""),7.795239)</f>
        <v>7.795239</v>
      </c>
      <c r="D4473" s="7">
        <f>IFERROR(__xludf.DUMMYFUNCTION("""COMPUTED_VALUE"""),0.32)</f>
        <v>0.32</v>
      </c>
    </row>
    <row r="4474">
      <c r="A4474" s="10" t="s">
        <v>5913</v>
      </c>
      <c r="B4474" s="7" t="str">
        <f>IFERROR(__xludf.DUMMYFUNCTION("SPLIT(A4474,"" "")"),"Cc1ccc(CN(Cc2ccccn2)C2CCC(N(C)Cc3ccon3)CC2)nc1")</f>
        <v>Cc1ccc(CN(Cc2ccccn2)C2CCC(N(C)Cc3ccon3)CC2)nc1</v>
      </c>
      <c r="C4474" s="7">
        <f>IFERROR(__xludf.DUMMYFUNCTION("""COMPUTED_VALUE"""),7.7952294)</f>
        <v>7.7952294</v>
      </c>
      <c r="D4474" s="7">
        <f>IFERROR(__xludf.DUMMYFUNCTION("""COMPUTED_VALUE"""),0.454545454545454)</f>
        <v>0.4545454545</v>
      </c>
    </row>
    <row r="4475">
      <c r="A4475" s="10" t="s">
        <v>5914</v>
      </c>
      <c r="B4475" s="7" t="str">
        <f>IFERROR(__xludf.DUMMYFUNCTION("SPLIT(A4475,"" "")"),"Cc1cc(-c2cccc3c2OCCOCCOCCOCCOCCO3)c(C)nc1CN(C)C")</f>
        <v>Cc1cc(-c2cccc3c2OCCOCCOCCOCCOCCO3)c(C)nc1CN(C)C</v>
      </c>
      <c r="C4475" s="7">
        <f>IFERROR(__xludf.DUMMYFUNCTION("""COMPUTED_VALUE"""),7.7952285)</f>
        <v>7.7952285</v>
      </c>
      <c r="D4475" s="7">
        <f>IFERROR(__xludf.DUMMYFUNCTION("""COMPUTED_VALUE"""),0.232142857142857)</f>
        <v>0.2321428571</v>
      </c>
    </row>
    <row r="4476">
      <c r="A4476" s="10" t="s">
        <v>5915</v>
      </c>
      <c r="B4476" s="7" t="str">
        <f>IFERROR(__xludf.DUMMYFUNCTION("SPLIT(A4476,"" "")"),"CCN(Cc1ccccn1)Cc1cccc(CN(Cc2ccccn2)Cc2cccc(-c3cccc4c3OCCOCCOCCOCCOCCO4)n2)n1")</f>
        <v>CCN(Cc1ccccn1)Cc1cccc(CN(Cc2ccccn2)Cc2cccc(-c3cccc4c3OCCOCCOCCOCCOCCO4)n2)n1</v>
      </c>
      <c r="C4476" s="7">
        <f>IFERROR(__xludf.DUMMYFUNCTION("""COMPUTED_VALUE"""),7.7952285)</f>
        <v>7.7952285</v>
      </c>
      <c r="D4476" s="7">
        <f>IFERROR(__xludf.DUMMYFUNCTION("""COMPUTED_VALUE"""),0.421875)</f>
        <v>0.421875</v>
      </c>
    </row>
    <row r="4477">
      <c r="A4477" s="10" t="s">
        <v>5916</v>
      </c>
      <c r="B4477" s="7" t="str">
        <f>IFERROR(__xludf.DUMMYFUNCTION("SPLIT(A4477,"" "")"),"CNCc1cc(CN(Cc2cc(C)ccn2)C2CCCCC2N(C)Cc2cc(C)cc(C)n2)ccn1")</f>
        <v>CNCc1cc(CN(Cc2cc(C)ccn2)C2CCCCC2N(C)Cc2cc(C)cc(C)n2)ccn1</v>
      </c>
      <c r="C4477" s="7">
        <f>IFERROR(__xludf.DUMMYFUNCTION("""COMPUTED_VALUE"""),7.795225)</f>
        <v>7.795225</v>
      </c>
      <c r="D4477" s="7">
        <f>IFERROR(__xludf.DUMMYFUNCTION("""COMPUTED_VALUE"""),0.416666666666666)</f>
        <v>0.4166666667</v>
      </c>
    </row>
    <row r="4478">
      <c r="A4478" s="10" t="s">
        <v>5917</v>
      </c>
      <c r="B4478" s="7" t="str">
        <f>IFERROR(__xludf.DUMMYFUNCTION("SPLIT(A4478,"" "")"),"Cc1cnc(CN(C)C2CCCC(N(C)Cc3ncc(C)c(C)c3C)C2)c(C)c1")</f>
        <v>Cc1cnc(CN(C)C2CCCC(N(C)Cc3ncc(C)c(C)c3C)C2)c(C)c1</v>
      </c>
      <c r="C4478" s="7">
        <f>IFERROR(__xludf.DUMMYFUNCTION("""COMPUTED_VALUE"""),7.795219)</f>
        <v>7.795219</v>
      </c>
      <c r="D4478" s="7">
        <f>IFERROR(__xludf.DUMMYFUNCTION("""COMPUTED_VALUE"""),0.372549019607843)</f>
        <v>0.3725490196</v>
      </c>
    </row>
    <row r="4479">
      <c r="A4479" s="10" t="s">
        <v>5918</v>
      </c>
      <c r="B4479" s="7" t="str">
        <f>IFERROR(__xludf.DUMMYFUNCTION("SPLIT(A4479,"" "")"),"Cc1cnc(CN(C)C2CCC(N(C)Cc3cc(C)c(C)c(C)n3)CC2)c(C)c1")</f>
        <v>Cc1cnc(CN(C)C2CCC(N(C)Cc3cc(C)c(C)c(C)n3)CC2)c(C)c1</v>
      </c>
      <c r="C4479" s="7">
        <f>IFERROR(__xludf.DUMMYFUNCTION("""COMPUTED_VALUE"""),7.795212)</f>
        <v>7.795212</v>
      </c>
      <c r="D4479" s="7">
        <f>IFERROR(__xludf.DUMMYFUNCTION("""COMPUTED_VALUE"""),0.358490566037735)</f>
        <v>0.358490566</v>
      </c>
    </row>
    <row r="4480">
      <c r="A4480" s="10" t="s">
        <v>5919</v>
      </c>
      <c r="B4480" s="7" t="str">
        <f>IFERROR(__xludf.DUMMYFUNCTION("SPLIT(A4480,"" "")"),"CN1CCN(C)CCN(Cc2cccnc2-c2ccc(N)cc2)CC1")</f>
        <v>CN1CCN(C)CCN(Cc2cccnc2-c2ccc(N)cc2)CC1</v>
      </c>
      <c r="C4480" s="7">
        <f>IFERROR(__xludf.DUMMYFUNCTION("""COMPUTED_VALUE"""),7.795212)</f>
        <v>7.795212</v>
      </c>
      <c r="D4480" s="7">
        <f>IFERROR(__xludf.DUMMYFUNCTION("""COMPUTED_VALUE"""),0.477272727272727)</f>
        <v>0.4772727273</v>
      </c>
    </row>
    <row r="4481">
      <c r="A4481" s="10" t="s">
        <v>5920</v>
      </c>
      <c r="B4481" s="7" t="str">
        <f>IFERROR(__xludf.DUMMYFUNCTION("SPLIT(A4481,"" "")"),"Cc1nc(CN(Cc2ccc(F)cn2)C2CCCCC2N(C)Cc2nccc3c2CCCC3)c(C)c(C)c1C")</f>
        <v>Cc1nc(CN(Cc2ccc(F)cn2)C2CCCCC2N(C)Cc2nccc3c2CCCC3)c(C)c(C)c1C</v>
      </c>
      <c r="C4481" s="7">
        <f>IFERROR(__xludf.DUMMYFUNCTION("""COMPUTED_VALUE"""),7.795209)</f>
        <v>7.795209</v>
      </c>
      <c r="D4481" s="7">
        <f>IFERROR(__xludf.DUMMYFUNCTION("""COMPUTED_VALUE"""),0.393939393939393)</f>
        <v>0.3939393939</v>
      </c>
    </row>
    <row r="4482">
      <c r="A4482" s="10" t="s">
        <v>5921</v>
      </c>
      <c r="B4482" s="7" t="str">
        <f>IFERROR(__xludf.DUMMYFUNCTION("SPLIT(A4482,"" "")"),"Cc1cc(C)c(CN(C)C2CCCC(N(C)Cc3cc(C)c(C)c(C)n3)C2)cn1")</f>
        <v>Cc1cc(C)c(CN(C)C2CCCC(N(C)Cc3cc(C)c(C)c(C)n3)C2)cn1</v>
      </c>
      <c r="C4482" s="7">
        <f>IFERROR(__xludf.DUMMYFUNCTION("""COMPUTED_VALUE"""),7.7952027)</f>
        <v>7.7952027</v>
      </c>
      <c r="D4482" s="7">
        <f>IFERROR(__xludf.DUMMYFUNCTION("""COMPUTED_VALUE"""),0.31578947368421)</f>
        <v>0.3157894737</v>
      </c>
    </row>
    <row r="4483">
      <c r="A4483" s="10" t="s">
        <v>5922</v>
      </c>
      <c r="B4483" s="7" t="str">
        <f>IFERROR(__xludf.DUMMYFUNCTION("SPLIT(A4483,"" "")"),"CNCc1ncccc1CN(Cc1cc(C)ccn1)C1CCCCC1N(C)Cc1ncc(C)c(C)c1C")</f>
        <v>CNCc1ncccc1CN(Cc1cc(C)ccn1)C1CCCCC1N(C)Cc1ncc(C)c(C)c1C</v>
      </c>
      <c r="C4483" s="7">
        <f>IFERROR(__xludf.DUMMYFUNCTION("""COMPUTED_VALUE"""),7.7951965)</f>
        <v>7.7951965</v>
      </c>
      <c r="D4483" s="7">
        <f>IFERROR(__xludf.DUMMYFUNCTION("""COMPUTED_VALUE"""),0.4)</f>
        <v>0.4</v>
      </c>
    </row>
    <row r="4484">
      <c r="A4484" s="10" t="s">
        <v>5923</v>
      </c>
      <c r="B4484" s="7" t="str">
        <f>IFERROR(__xludf.DUMMYFUNCTION("SPLIT(A4484,"" "")"),"CN(Cc1cccc(-c2ccc3c(c2)OCCOCCOCCOCCOCCO3)n1)C1CCC(N(Cc2ccccn2)Cc2cccc(C(C)(C3=CCC=CN3)c3ccccn3)n2)CC1")</f>
        <v>CN(Cc1cccc(-c2ccc3c(c2)OCCOCCOCCOCCOCCO3)n1)C1CCC(N(Cc2ccccn2)Cc2cccc(C(C)(C3=CCC=CN3)c3ccccn3)n2)CC1</v>
      </c>
      <c r="C4484" s="7">
        <f>IFERROR(__xludf.DUMMYFUNCTION("""COMPUTED_VALUE"""),7.7951927)</f>
        <v>7.7951927</v>
      </c>
      <c r="D4484" s="7">
        <f>IFERROR(__xludf.DUMMYFUNCTION("""COMPUTED_VALUE"""),0.310344827586206)</f>
        <v>0.3103448276</v>
      </c>
    </row>
    <row r="4485">
      <c r="A4485" s="10" t="s">
        <v>5924</v>
      </c>
      <c r="B4485" s="7" t="str">
        <f>IFERROR(__xludf.DUMMYFUNCTION("SPLIT(A4485,"" "")"),"CC1=CC(C)CC(N(C)Cc2cc(C(C)(C)C)ccn2)C1C")</f>
        <v>CC1=CC(C)CC(N(C)Cc2cc(C(C)(C)C)ccn2)C1C</v>
      </c>
      <c r="C4485" s="7">
        <f>IFERROR(__xludf.DUMMYFUNCTION("""COMPUTED_VALUE"""),7.795192)</f>
        <v>7.795192</v>
      </c>
      <c r="D4485" s="7">
        <f>IFERROR(__xludf.DUMMYFUNCTION("""COMPUTED_VALUE"""),0.351851851851851)</f>
        <v>0.3518518519</v>
      </c>
    </row>
    <row r="4486">
      <c r="A4486" s="10" t="s">
        <v>5925</v>
      </c>
      <c r="B4486" s="7" t="str">
        <f>IFERROR(__xludf.DUMMYFUNCTION("SPLIT(A4486,"" "")"),"CN1CCN(C)CCN(Cc2ccc(-c3ccc(N)cc3)nc2)CC1")</f>
        <v>CN1CCN(C)CCN(Cc2ccc(-c3ccc(N)cc3)nc2)CC1</v>
      </c>
      <c r="C4486" s="7">
        <f>IFERROR(__xludf.DUMMYFUNCTION("""COMPUTED_VALUE"""),7.79519)</f>
        <v>7.79519</v>
      </c>
      <c r="D4486" s="7">
        <f>IFERROR(__xludf.DUMMYFUNCTION("""COMPUTED_VALUE"""),0.391304347826087)</f>
        <v>0.3913043478</v>
      </c>
    </row>
    <row r="4487">
      <c r="A4487" s="10" t="s">
        <v>5926</v>
      </c>
      <c r="B4487" s="7" t="str">
        <f>IFERROR(__xludf.DUMMYFUNCTION("SPLIT(A4487,"" "")"),"CC(C)N1CCN(C)CCN(CN(C)c2ccc3cccnc3c2)CC1")</f>
        <v>CC(C)N1CCN(C)CCN(CN(C)c2ccc3cccnc3c2)CC1</v>
      </c>
      <c r="C4487" s="7">
        <f>IFERROR(__xludf.DUMMYFUNCTION("""COMPUTED_VALUE"""),7.7951894)</f>
        <v>7.7951894</v>
      </c>
      <c r="D4487" s="7">
        <f>IFERROR(__xludf.DUMMYFUNCTION("""COMPUTED_VALUE"""),0.4)</f>
        <v>0.4</v>
      </c>
    </row>
    <row r="4488">
      <c r="A4488" s="10" t="s">
        <v>5927</v>
      </c>
      <c r="B4488" s="7" t="str">
        <f>IFERROR(__xludf.DUMMYFUNCTION("SPLIT(A4488,"" "")"),"CCCN(C)Cc1ncccc1CN(Cc1ccccn1)C1CCCC(N(C)Cc2nc(C)c(C)c(C)c2C)C1")</f>
        <v>CCCN(C)Cc1ncccc1CN(Cc1ccccn1)C1CCCC(N(C)Cc2nc(C)c(C)c(C)c2C)C1</v>
      </c>
      <c r="C4488" s="7">
        <f>IFERROR(__xludf.DUMMYFUNCTION("""COMPUTED_VALUE"""),7.7951884)</f>
        <v>7.7951884</v>
      </c>
      <c r="D4488" s="7">
        <f>IFERROR(__xludf.DUMMYFUNCTION("""COMPUTED_VALUE"""),0.35820895522388)</f>
        <v>0.3582089552</v>
      </c>
    </row>
    <row r="4489">
      <c r="A4489" s="10" t="s">
        <v>5928</v>
      </c>
      <c r="B4489" s="7" t="str">
        <f>IFERROR(__xludf.DUMMYFUNCTION("SPLIT(A4489,"" "")"),"CC1=CC(C)(C)CC(C)(C)C1c1cccc(CN(C)C2CCCCC2N(C)Cc2nc(C)c(C)c(C)c2C)n1")</f>
        <v>CC1=CC(C)(C)CC(C)(C)C1c1cccc(CN(C)C2CCCCC2N(C)Cc2nc(C)c(C)c(C)c2C)n1</v>
      </c>
      <c r="C4489" s="7">
        <f>IFERROR(__xludf.DUMMYFUNCTION("""COMPUTED_VALUE"""),7.7951884)</f>
        <v>7.7951884</v>
      </c>
      <c r="D4489" s="7">
        <f>IFERROR(__xludf.DUMMYFUNCTION("""COMPUTED_VALUE"""),0.46551724137931)</f>
        <v>0.4655172414</v>
      </c>
    </row>
    <row r="4490">
      <c r="A4490" s="10" t="s">
        <v>5929</v>
      </c>
      <c r="B4490" s="7" t="str">
        <f>IFERROR(__xludf.DUMMYFUNCTION("SPLIT(A4490,"" "")"),"Cc1ccccc1CNCCN(C)Cc1ccccn1")</f>
        <v>Cc1ccccc1CNCCN(C)Cc1ccccn1</v>
      </c>
      <c r="C4490" s="7">
        <f>IFERROR(__xludf.DUMMYFUNCTION("""COMPUTED_VALUE"""),7.7951837)</f>
        <v>7.7951837</v>
      </c>
      <c r="D4490" s="7">
        <f>IFERROR(__xludf.DUMMYFUNCTION("""COMPUTED_VALUE"""),0.463414634146341)</f>
        <v>0.4634146341</v>
      </c>
    </row>
    <row r="4491">
      <c r="A4491" s="10" t="s">
        <v>5930</v>
      </c>
      <c r="B4491" s="7" t="str">
        <f>IFERROR(__xludf.DUMMYFUNCTION("SPLIT(A4491,"" "")"),"Cc1cnc(CN(Cc2ccccn2)Cc2ccc(CN3CCN(C)CCN(C)CC3)cn2)c(C)c1C")</f>
        <v>Cc1cnc(CN(Cc2ccccn2)Cc2ccc(CN3CCN(C)CCN(C)CC3)cn2)c(C)c1C</v>
      </c>
      <c r="C4491" s="7">
        <f>IFERROR(__xludf.DUMMYFUNCTION("""COMPUTED_VALUE"""),7.7951818)</f>
        <v>7.7951818</v>
      </c>
      <c r="D4491" s="7">
        <f>IFERROR(__xludf.DUMMYFUNCTION("""COMPUTED_VALUE"""),0.5)</f>
        <v>0.5</v>
      </c>
    </row>
    <row r="4492">
      <c r="A4492" s="10" t="s">
        <v>5931</v>
      </c>
      <c r="B4492" s="7" t="str">
        <f>IFERROR(__xludf.DUMMYFUNCTION("SPLIT(A4492,"" "")"),"CNC1=CNC(F)C=C1")</f>
        <v>CNC1=CNC(F)C=C1</v>
      </c>
      <c r="C4492" s="7">
        <f>IFERROR(__xludf.DUMMYFUNCTION("""COMPUTED_VALUE"""),7.795177)</f>
        <v>7.795177</v>
      </c>
      <c r="D4492" s="7">
        <f>IFERROR(__xludf.DUMMYFUNCTION("""COMPUTED_VALUE"""),0.117647058823529)</f>
        <v>0.1176470588</v>
      </c>
    </row>
    <row r="4493">
      <c r="A4493" s="10" t="s">
        <v>5932</v>
      </c>
      <c r="B4493" s="7" t="str">
        <f>IFERROR(__xludf.DUMMYFUNCTION("SPLIT(A4493,"" "")"),"CC(C)C(NCc1ccccn1)c1cccc(CNCF)n1")</f>
        <v>CC(C)C(NCc1ccccn1)c1cccc(CNCF)n1</v>
      </c>
      <c r="C4493" s="7">
        <f>IFERROR(__xludf.DUMMYFUNCTION("""COMPUTED_VALUE"""),7.795174)</f>
        <v>7.795174</v>
      </c>
      <c r="D4493" s="7">
        <f>IFERROR(__xludf.DUMMYFUNCTION("""COMPUTED_VALUE"""),0.441860465116279)</f>
        <v>0.4418604651</v>
      </c>
    </row>
    <row r="4494">
      <c r="A4494" s="10" t="s">
        <v>5933</v>
      </c>
      <c r="B4494" s="7" t="str">
        <f>IFERROR(__xludf.DUMMYFUNCTION("SPLIT(A4494,"" "")"),"Cc1ccc(N(C)C2CCCC(N(C)Cc3ncccc3C)C2)cc1C")</f>
        <v>Cc1ccc(N(C)C2CCCC(N(C)Cc3ncccc3C)C2)cc1C</v>
      </c>
      <c r="C4494" s="7">
        <f>IFERROR(__xludf.DUMMYFUNCTION("""COMPUTED_VALUE"""),7.7951713)</f>
        <v>7.7951713</v>
      </c>
      <c r="D4494" s="7">
        <f>IFERROR(__xludf.DUMMYFUNCTION("""COMPUTED_VALUE"""),0.321428571428571)</f>
        <v>0.3214285714</v>
      </c>
    </row>
    <row r="4495">
      <c r="A4495" s="10" t="s">
        <v>5934</v>
      </c>
      <c r="B4495" s="7" t="str">
        <f>IFERROR(__xludf.DUMMYFUNCTION("SPLIT(A4495,"" "")"),"CC1=C(C)C(CN(C)Cc2ccccn2)C(C)C=C1")</f>
        <v>CC1=C(C)C(CN(C)Cc2ccccn2)C(C)C=C1</v>
      </c>
      <c r="C4495" s="7">
        <f>IFERROR(__xludf.DUMMYFUNCTION("""COMPUTED_VALUE"""),7.795165)</f>
        <v>7.795165</v>
      </c>
      <c r="D4495" s="7">
        <f>IFERROR(__xludf.DUMMYFUNCTION("""COMPUTED_VALUE"""),0.436363636363636)</f>
        <v>0.4363636364</v>
      </c>
    </row>
    <row r="4496">
      <c r="A4496" s="10" t="s">
        <v>5935</v>
      </c>
      <c r="B4496" s="7" t="str">
        <f>IFERROR(__xludf.DUMMYFUNCTION("SPLIT(A4496,"" "")"),"Cc1cccc(CN(C)C2=C(CN(C(C)C)C3CCCC(N(C)Cc4ccccn4)C3)NC=CC2)n1")</f>
        <v>Cc1cccc(CN(C)C2=C(CN(C(C)C)C3CCCC(N(C)Cc4ccccn4)C3)NC=CC2)n1</v>
      </c>
      <c r="C4496" s="7">
        <f>IFERROR(__xludf.DUMMYFUNCTION("""COMPUTED_VALUE"""),7.79515)</f>
        <v>7.79515</v>
      </c>
      <c r="D4496" s="7">
        <f>IFERROR(__xludf.DUMMYFUNCTION("""COMPUTED_VALUE"""),0.388059701492537)</f>
        <v>0.3880597015</v>
      </c>
    </row>
    <row r="4497">
      <c r="A4497" s="10" t="s">
        <v>5936</v>
      </c>
      <c r="B4497" s="7" t="str">
        <f>IFERROR(__xludf.DUMMYFUNCTION("SPLIT(A4497,"" "")"),"CN1CCN(C)CCN(Cc2cncc(-c3ccc(N)cc3)c2)CC1")</f>
        <v>CN1CCN(C)CCN(Cc2cncc(-c3ccc(N)cc3)c2)CC1</v>
      </c>
      <c r="C4497" s="7">
        <f>IFERROR(__xludf.DUMMYFUNCTION("""COMPUTED_VALUE"""),7.7951455)</f>
        <v>7.7951455</v>
      </c>
      <c r="D4497" s="7">
        <f>IFERROR(__xludf.DUMMYFUNCTION("""COMPUTED_VALUE"""),0.375)</f>
        <v>0.375</v>
      </c>
    </row>
    <row r="4498">
      <c r="A4498" s="10" t="s">
        <v>5937</v>
      </c>
      <c r="B4498" s="7" t="str">
        <f>IFERROR(__xludf.DUMMYFUNCTION("SPLIT(A4498,"" "")"),"CNCc1ncccc1CN(Cc1ccccn1)C1CCCC(N(C)Cc2ncc(C)cc2C)C1")</f>
        <v>CNCc1ncccc1CN(Cc1ccccn1)C1CCCC(N(C)Cc2ncc(C)cc2C)C1</v>
      </c>
      <c r="C4498" s="7">
        <f>IFERROR(__xludf.DUMMYFUNCTION("""COMPUTED_VALUE"""),7.795136)</f>
        <v>7.795136</v>
      </c>
      <c r="D4498" s="7">
        <f>IFERROR(__xludf.DUMMYFUNCTION("""COMPUTED_VALUE"""),0.363636363636363)</f>
        <v>0.3636363636</v>
      </c>
    </row>
    <row r="4499">
      <c r="A4499" s="10" t="s">
        <v>5938</v>
      </c>
      <c r="B4499" s="7" t="str">
        <f>IFERROR(__xludf.DUMMYFUNCTION("SPLIT(A4499,"" "")"),"CCN(Cc1ccccn1)C1=CCC=C(CN(C)Cc2cccc(-c3ccc4c(c3)OCCOCCOCCOCCOCCO4)n2)N1")</f>
        <v>CCN(Cc1ccccn1)C1=CCC=C(CN(C)Cc2cccc(-c3ccc4c(c3)OCCOCCOCCOCCOCCO4)n2)N1</v>
      </c>
      <c r="C4499" s="7">
        <f>IFERROR(__xludf.DUMMYFUNCTION("""COMPUTED_VALUE"""),7.7951336)</f>
        <v>7.7951336</v>
      </c>
      <c r="D4499" s="7">
        <f>IFERROR(__xludf.DUMMYFUNCTION("""COMPUTED_VALUE"""),0.405797101449275)</f>
        <v>0.4057971014</v>
      </c>
    </row>
    <row r="4500">
      <c r="A4500" s="10" t="s">
        <v>5939</v>
      </c>
      <c r="B4500" s="7" t="str">
        <f>IFERROR(__xludf.DUMMYFUNCTION("SPLIT(A4500,"" "")"),"CNc1cccnc1CN(C)Cc1cc(-c2ccc3c(c2)OCCOCCOCCOCCOCCO3)ccn1")</f>
        <v>CNc1cccnc1CN(C)Cc1cc(-c2ccc3c(c2)OCCOCCOCCOCCOCCO3)ccn1</v>
      </c>
      <c r="C4500" s="7">
        <f>IFERROR(__xludf.DUMMYFUNCTION("""COMPUTED_VALUE"""),7.795122)</f>
        <v>7.795122</v>
      </c>
      <c r="D4500" s="7">
        <f>IFERROR(__xludf.DUMMYFUNCTION("""COMPUTED_VALUE"""),0.352112676056338)</f>
        <v>0.3521126761</v>
      </c>
    </row>
    <row r="4501">
      <c r="A4501" s="10" t="s">
        <v>5940</v>
      </c>
      <c r="B4501" s="7" t="str">
        <f>IFERROR(__xludf.DUMMYFUNCTION("SPLIT(A4501,"" "")"),"CC1=CCC2(CC(C3C4(C=C(C5C=Cc6ccc(C)cc6C56CC(C)C=CC65CC=CC(C)C5)CC35CC(C)C=CC53CC=CC(C)C3)CC=CC(C)C43CC=CC(C)C3)=CCC2C2=CC(C)(C)C(c3ncccc3CN(Cc3ccccn3)Cc3ccccn3)C3(C(C)C(C)C=CC34CC=CC(C)C4C)C23CC=C(C)C(C)C3C)CC1C")</f>
        <v>CC1=CCC2(CC(C3C4(C=C(C5C=Cc6ccc(C)cc6C56CC(C)C=CC65CC=CC(C)C5)CC35CC(C)C=CC53CC=CC(C)C3)CC=CC(C)C43CC=CC(C)C3)=CCC2C2=CC(C)(C)C(c3ncccc3CN(Cc3ccccn3)Cc3ccccn3)C3(C(C)C(C)C=CC34CC=CC(C)C4C)C23CC=C(C)C(C)C3C)CC1C</v>
      </c>
      <c r="C4501" s="7">
        <f>IFERROR(__xludf.DUMMYFUNCTION("""COMPUTED_VALUE"""),7.7951155)</f>
        <v>7.7951155</v>
      </c>
      <c r="D4501" s="7">
        <f>IFERROR(__xludf.DUMMYFUNCTION("""COMPUTED_VALUE"""),0.175182481751824)</f>
        <v>0.1751824818</v>
      </c>
    </row>
    <row r="4502">
      <c r="A4502" s="10" t="s">
        <v>5941</v>
      </c>
      <c r="B4502" s="7" t="str">
        <f>IFERROR(__xludf.DUMMYFUNCTION("SPLIT(A4502,"" "")"),"CC1=C(N(C)Cc2ccccn2)CCC(C)C1C")</f>
        <v>CC1=C(N(C)Cc2ccccn2)CCC(C)C1C</v>
      </c>
      <c r="C4502" s="7">
        <f>IFERROR(__xludf.DUMMYFUNCTION("""COMPUTED_VALUE"""),7.795115)</f>
        <v>7.795115</v>
      </c>
      <c r="D4502" s="7">
        <f>IFERROR(__xludf.DUMMYFUNCTION("""COMPUTED_VALUE"""),0.478260869565217)</f>
        <v>0.4782608696</v>
      </c>
    </row>
    <row r="4503">
      <c r="A4503" s="10" t="s">
        <v>5942</v>
      </c>
      <c r="B4503" s="7" t="str">
        <f>IFERROR(__xludf.DUMMYFUNCTION("SPLIT(A4503,"" "")"),"CN(Cc1ccccc1)C1C=CC=CN1")</f>
        <v>CN(Cc1ccccc1)C1C=CC=CN1</v>
      </c>
      <c r="C4503" s="7">
        <f>IFERROR(__xludf.DUMMYFUNCTION("""COMPUTED_VALUE"""),7.7950897)</f>
        <v>7.7950897</v>
      </c>
      <c r="D4503" s="7">
        <f>IFERROR(__xludf.DUMMYFUNCTION("""COMPUTED_VALUE"""),0.354166666666666)</f>
        <v>0.3541666667</v>
      </c>
    </row>
    <row r="4504">
      <c r="A4504" s="10" t="s">
        <v>5943</v>
      </c>
      <c r="B4504" s="7" t="str">
        <f>IFERROR(__xludf.DUMMYFUNCTION("SPLIT(A4504,"" "")"),"Cc1ccc(CN(CC2=CCC=C(N(C)C3CCCC(N(Cc4ccccn4)Cc4ncccc4C)C3)N2)C2CCCC(N(C)Cc3ccccn3)C2)nc1")</f>
        <v>Cc1ccc(CN(CC2=CCC=C(N(C)C3CCCC(N(Cc4ccccn4)Cc4ncccc4C)C3)N2)C2CCCC(N(C)Cc3ccccn3)C2)nc1</v>
      </c>
      <c r="C4504" s="7">
        <f>IFERROR(__xludf.DUMMYFUNCTION("""COMPUTED_VALUE"""),7.7950892)</f>
        <v>7.7950892</v>
      </c>
      <c r="D4504" s="7">
        <f>IFERROR(__xludf.DUMMYFUNCTION("""COMPUTED_VALUE"""),0.361111111111111)</f>
        <v>0.3611111111</v>
      </c>
    </row>
    <row r="4505">
      <c r="A4505" s="10" t="s">
        <v>5944</v>
      </c>
      <c r="B4505" s="7" t="str">
        <f>IFERROR(__xludf.DUMMYFUNCTION("SPLIT(A4505,"" "")"),"CN(Cc1ccc(CN(C)Cc2ccccn2)nc1)Cc1ccc(-c2cccc3c2OCCOCCOCCOCCOCCO3)cn1")</f>
        <v>CN(Cc1ccc(CN(C)Cc2ccccn2)nc1)Cc1ccc(-c2cccc3c2OCCOCCOCCOCCOCCO3)cn1</v>
      </c>
      <c r="C4505" s="7">
        <f>IFERROR(__xludf.DUMMYFUNCTION("""COMPUTED_VALUE"""),7.7950816)</f>
        <v>7.7950816</v>
      </c>
      <c r="D4505" s="7">
        <f>IFERROR(__xludf.DUMMYFUNCTION("""COMPUTED_VALUE"""),0.377049180327868)</f>
        <v>0.3770491803</v>
      </c>
    </row>
    <row r="4506">
      <c r="A4506" s="10" t="s">
        <v>5945</v>
      </c>
      <c r="B4506" s="7" t="str">
        <f>IFERROR(__xludf.DUMMYFUNCTION("SPLIT(A4506,"" "")"),"COC(=O)C(=O)C(=O)C1(C)N=COC1c1cc(CN2CCN(C)CCN(C)CC2)ccn1")</f>
        <v>COC(=O)C(=O)C(=O)C1(C)N=COC1c1cc(CN2CCN(C)CCN(C)CC2)ccn1</v>
      </c>
      <c r="C4506" s="7">
        <f>IFERROR(__xludf.DUMMYFUNCTION("""COMPUTED_VALUE"""),7.7950807)</f>
        <v>7.7950807</v>
      </c>
      <c r="D4506" s="7">
        <f>IFERROR(__xludf.DUMMYFUNCTION("""COMPUTED_VALUE"""),0.371428571428571)</f>
        <v>0.3714285714</v>
      </c>
    </row>
    <row r="4507">
      <c r="A4507" s="10" t="s">
        <v>5946</v>
      </c>
      <c r="B4507" s="7" t="str">
        <f>IFERROR(__xludf.DUMMYFUNCTION("SPLIT(A4507,"" "")"),"CCNCc1ccc(CN(Cc2ccccn2)C2CCCC(N(C)Cc3nc(C)c(C)cc3C)C2)cn1")</f>
        <v>CCNCc1ccc(CN(Cc2ccccn2)C2CCCC(N(C)Cc3nc(C)c(C)cc3C)C2)cn1</v>
      </c>
      <c r="C4507" s="7">
        <f>IFERROR(__xludf.DUMMYFUNCTION("""COMPUTED_VALUE"""),7.795074)</f>
        <v>7.795074</v>
      </c>
      <c r="D4507" s="7">
        <f>IFERROR(__xludf.DUMMYFUNCTION("""COMPUTED_VALUE"""),0.342857142857142)</f>
        <v>0.3428571429</v>
      </c>
    </row>
    <row r="4508">
      <c r="A4508" s="10" t="s">
        <v>5947</v>
      </c>
      <c r="B4508" s="7" t="str">
        <f>IFERROR(__xludf.DUMMYFUNCTION("SPLIT(A4508,"" "")"),"Cc1cncc(CN(C)CC2=C(N(C)C3CCC(N(C)Cc4cccc(C)n4)CC3)CC=CN2)c1")</f>
        <v>Cc1cncc(CN(C)CC2=C(N(C)C3CCC(N(C)Cc4cccc(C)n4)CC3)CC=CN2)c1</v>
      </c>
      <c r="C4508" s="7">
        <f>IFERROR(__xludf.DUMMYFUNCTION("""COMPUTED_VALUE"""),7.795068)</f>
        <v>7.795068</v>
      </c>
      <c r="D4508" s="7">
        <f>IFERROR(__xludf.DUMMYFUNCTION("""COMPUTED_VALUE"""),0.378787878787878)</f>
        <v>0.3787878788</v>
      </c>
    </row>
    <row r="4509">
      <c r="A4509" s="10" t="s">
        <v>5948</v>
      </c>
      <c r="B4509" s="7" t="str">
        <f>IFERROR(__xludf.DUMMYFUNCTION("SPLIT(A4509,"" "")"),"Cc1cc(C)nc(CN(C)C2CCC(N(C)Cc3nc(C)c(C)cc3C)CC2)c1")</f>
        <v>Cc1cc(C)nc(CN(C)C2CCC(N(C)Cc3nc(C)c(C)cc3C)CC2)c1</v>
      </c>
      <c r="C4509" s="7">
        <f>IFERROR(__xludf.DUMMYFUNCTION("""COMPUTED_VALUE"""),7.7950535)</f>
        <v>7.7950535</v>
      </c>
      <c r="D4509" s="7">
        <f>IFERROR(__xludf.DUMMYFUNCTION("""COMPUTED_VALUE"""),0.346153846153846)</f>
        <v>0.3461538462</v>
      </c>
    </row>
    <row r="4510">
      <c r="A4510" s="10" t="s">
        <v>5949</v>
      </c>
      <c r="B4510" s="7" t="str">
        <f>IFERROR(__xludf.DUMMYFUNCTION("SPLIT(A4510,"" "")"),"CC1=CC(C)CC2(C=CC3(C(C)C=CC(C)C3C)C(c3cccc(CN(Cc4ccccn4)C4CCCCC4)n3)C2c2cccc(CN(Cc3ccccn3)Cc3ccccn3)n2)C1C")</f>
        <v>CC1=CC(C)CC2(C=CC3(C(C)C=CC(C)C3C)C(c3cccc(CN(Cc4ccccn4)C4CCCCC4)n3)C2c2cccc(CN(Cc3ccccn3)Cc3ccccn3)n2)C1C</v>
      </c>
      <c r="C4510" s="7">
        <f>IFERROR(__xludf.DUMMYFUNCTION("""COMPUTED_VALUE"""),7.79505)</f>
        <v>7.79505</v>
      </c>
      <c r="D4510" s="7">
        <f>IFERROR(__xludf.DUMMYFUNCTION("""COMPUTED_VALUE"""),0.294871794871794)</f>
        <v>0.2948717949</v>
      </c>
    </row>
    <row r="4511">
      <c r="A4511" s="10" t="s">
        <v>5950</v>
      </c>
      <c r="B4511" s="7" t="str">
        <f>IFERROR(__xludf.DUMMYFUNCTION("SPLIT(A4511,"" "")"),"CNC1CCCCC1N(Cc1cc(C)c(C)c(C)n1)Cc1nc(C)c(C)cc1C")</f>
        <v>CNC1CCCCC1N(Cc1cc(C)c(C)c(C)n1)Cc1nc(C)c(C)cc1C</v>
      </c>
      <c r="C4511" s="7">
        <f>IFERROR(__xludf.DUMMYFUNCTION("""COMPUTED_VALUE"""),7.7950444)</f>
        <v>7.7950444</v>
      </c>
      <c r="D4511" s="7">
        <f>IFERROR(__xludf.DUMMYFUNCTION("""COMPUTED_VALUE"""),0.288135593220339)</f>
        <v>0.2881355932</v>
      </c>
    </row>
    <row r="4512">
      <c r="A4512" s="10" t="s">
        <v>5951</v>
      </c>
      <c r="B4512" s="7" t="str">
        <f>IFERROR(__xludf.DUMMYFUNCTION("SPLIT(A4512,"" "")"),"CCN(C)Cc1cc(CN(Cc2ccccn2)C2CCC(N(C)Cc3nc(C)c(C)cc3C)CC2)ccn1")</f>
        <v>CCN(C)Cc1cc(CN(Cc2ccccn2)C2CCC(N(C)Cc3nc(C)c(C)cc3C)CC2)ccn1</v>
      </c>
      <c r="C4512" s="7">
        <f>IFERROR(__xludf.DUMMYFUNCTION("""COMPUTED_VALUE"""),7.795042)</f>
        <v>7.795042</v>
      </c>
      <c r="D4512" s="7">
        <f>IFERROR(__xludf.DUMMYFUNCTION("""COMPUTED_VALUE"""),0.365079365079365)</f>
        <v>0.3650793651</v>
      </c>
    </row>
    <row r="4513">
      <c r="A4513" s="10" t="s">
        <v>5952</v>
      </c>
      <c r="B4513" s="7" t="str">
        <f>IFERROR(__xludf.DUMMYFUNCTION("SPLIT(A4513,"" "")"),"CN1CCN(C)CCN(CCCN(C)c2ccc3nccc(CF)c3c2)CC1")</f>
        <v>CN1CCN(C)CCN(CCCN(C)c2ccc3nccc(CF)c3c2)CC1</v>
      </c>
      <c r="C4513" s="7">
        <f>IFERROR(__xludf.DUMMYFUNCTION("""COMPUTED_VALUE"""),7.795041)</f>
        <v>7.795041</v>
      </c>
      <c r="D4513" s="7">
        <f>IFERROR(__xludf.DUMMYFUNCTION("""COMPUTED_VALUE"""),0.35593220338983)</f>
        <v>0.3559322034</v>
      </c>
    </row>
    <row r="4514">
      <c r="A4514" s="10" t="s">
        <v>5953</v>
      </c>
      <c r="B4514" s="7" t="str">
        <f>IFERROR(__xludf.DUMMYFUNCTION("SPLIT(A4514,"" "")"),"Cc1ccc(CN(C)C2CCCC(N(Cc3ccccn3)Cc3cccc(C4CC(C)C4)n3)C2N(C)Cc2ccccn2)nc1")</f>
        <v>Cc1ccc(CN(C)C2CCCC(N(Cc3ccccn3)Cc3cccc(C4CC(C)C4)n3)C2N(C)Cc2ccccn2)nc1</v>
      </c>
      <c r="C4514" s="7">
        <f>IFERROR(__xludf.DUMMYFUNCTION("""COMPUTED_VALUE"""),7.795041)</f>
        <v>7.795041</v>
      </c>
      <c r="D4514" s="7">
        <f>IFERROR(__xludf.DUMMYFUNCTION("""COMPUTED_VALUE"""),0.475409836065573)</f>
        <v>0.4754098361</v>
      </c>
    </row>
    <row r="4515">
      <c r="A4515" s="10" t="s">
        <v>5954</v>
      </c>
      <c r="B4515" s="7" t="str">
        <f>IFERROR(__xludf.DUMMYFUNCTION("SPLIT(A4515,"" "")"),"CN1CCN(Cc2cc(N(O)c3ccc4c(c3)OCCOCCOCCOCCOCCO4)ccn2)CCN(Cc2cccc(-c3cccc(Cl)c3Cl)n2)CC1")</f>
        <v>CN1CCN(Cc2cc(N(O)c3ccc4c(c3)OCCOCCOCCOCCOCCO4)ccn2)CCN(Cc2cccc(-c3cccc(Cl)c3Cl)n2)CC1</v>
      </c>
      <c r="C4515" s="7">
        <f>IFERROR(__xludf.DUMMYFUNCTION("""COMPUTED_VALUE"""),7.7950354)</f>
        <v>7.7950354</v>
      </c>
      <c r="D4515" s="7">
        <f>IFERROR(__xludf.DUMMYFUNCTION("""COMPUTED_VALUE"""),0.442857142857142)</f>
        <v>0.4428571429</v>
      </c>
    </row>
    <row r="4516">
      <c r="A4516" s="10" t="s">
        <v>5955</v>
      </c>
      <c r="B4516" s="7" t="str">
        <f>IFERROR(__xludf.DUMMYFUNCTION("SPLIT(A4516,"" "")"),"C1=CCNC(N(Cc2ccccn2)Cc2ncccc2-c2cccc3c2OCCOCCOCCOCCOCCO3)=C1")</f>
        <v>C1=CCNC(N(Cc2ccccn2)Cc2ncccc2-c2cccc3c2OCCOCCOCCOCCOCCO3)=C1</v>
      </c>
      <c r="C4516" s="7">
        <f>IFERROR(__xludf.DUMMYFUNCTION("""COMPUTED_VALUE"""),7.7950344)</f>
        <v>7.7950344</v>
      </c>
      <c r="D4516" s="7">
        <f>IFERROR(__xludf.DUMMYFUNCTION("""COMPUTED_VALUE"""),0.283333333333333)</f>
        <v>0.2833333333</v>
      </c>
    </row>
    <row r="4517">
      <c r="A4517" s="10" t="s">
        <v>5956</v>
      </c>
      <c r="B4517" s="7" t="str">
        <f>IFERROR(__xludf.DUMMYFUNCTION("SPLIT(A4517,"" "")"),"CC(N)c1cccnc1")</f>
        <v>CC(N)c1cccnc1</v>
      </c>
      <c r="C4517" s="7">
        <f>IFERROR(__xludf.DUMMYFUNCTION("""COMPUTED_VALUE"""),7.7950287)</f>
        <v>7.7950287</v>
      </c>
      <c r="D4517" s="7">
        <f>IFERROR(__xludf.DUMMYFUNCTION("""COMPUTED_VALUE"""),0.225)</f>
        <v>0.225</v>
      </c>
    </row>
    <row r="4518">
      <c r="A4518" s="10" t="s">
        <v>5957</v>
      </c>
      <c r="B4518" s="7" t="str">
        <f>IFERROR(__xludf.DUMMYFUNCTION("SPLIT(A4518,"" "")"),"Cc1cnc(CN(C)C2CCCCC2N(C)CC2=C(N(C)Cc3ccccn3)CC=CN2)c(C)c1C")</f>
        <v>Cc1cnc(CN(C)C2CCCCC2N(C)CC2=C(N(C)Cc3ccccn3)CC=CN2)c(C)c1C</v>
      </c>
      <c r="C4518" s="7">
        <f>IFERROR(__xludf.DUMMYFUNCTION("""COMPUTED_VALUE"""),7.795018)</f>
        <v>7.795018</v>
      </c>
      <c r="D4518" s="7">
        <f>IFERROR(__xludf.DUMMYFUNCTION("""COMPUTED_VALUE"""),0.5)</f>
        <v>0.5</v>
      </c>
    </row>
    <row r="4519">
      <c r="A4519" s="10" t="s">
        <v>5958</v>
      </c>
      <c r="B4519" s="7" t="str">
        <f>IFERROR(__xludf.DUMMYFUNCTION("SPLIT(A4519,"" "")"),"CN(Cc1ccccn1)C1=CCC=C(CN(C)C2CCCC(N(C)Cc3ccccn3)C2)N1")</f>
        <v>CN(Cc1ccccn1)C1=CCC=C(CN(C)C2CCCC(N(C)Cc3ccccn3)C2)N1</v>
      </c>
      <c r="C4519" s="7">
        <f>IFERROR(__xludf.DUMMYFUNCTION("""COMPUTED_VALUE"""),7.79501)</f>
        <v>7.79501</v>
      </c>
      <c r="D4519" s="7">
        <f>IFERROR(__xludf.DUMMYFUNCTION("""COMPUTED_VALUE"""),0.48076923076923)</f>
        <v>0.4807692308</v>
      </c>
    </row>
    <row r="4520">
      <c r="A4520" s="10" t="s">
        <v>5959</v>
      </c>
      <c r="B4520" s="7" t="str">
        <f>IFERROR(__xludf.DUMMYFUNCTION("SPLIT(A4520,"" "")"),"CC(C)c1cc(CN2CCN(C)CCN(Cc3cc(C(C)(C)c4ccccn4)ccn3)CC2)ccn1")</f>
        <v>CC(C)c1cc(CN2CCN(C)CCN(Cc3cc(C(C)(C)c4ccccn4)ccn3)CC2)ccn1</v>
      </c>
      <c r="C4520" s="7">
        <f>IFERROR(__xludf.DUMMYFUNCTION("""COMPUTED_VALUE"""),7.795005)</f>
        <v>7.795005</v>
      </c>
      <c r="D4520" s="7">
        <f>IFERROR(__xludf.DUMMYFUNCTION("""COMPUTED_VALUE"""),0.472727272727272)</f>
        <v>0.4727272727</v>
      </c>
    </row>
    <row r="4521">
      <c r="A4521" s="10" t="s">
        <v>5960</v>
      </c>
      <c r="B4521" s="7" t="str">
        <f>IFERROR(__xludf.DUMMYFUNCTION("SPLIT(A4521,"" "")"),"CN(C)C1=CC=CNC1N(Cc1ccccn1)Cc1ncccc1-c1ccc2c(c1)OCCOCCOCCOCCOCCO2")</f>
        <v>CN(C)C1=CC=CNC1N(Cc1ccccn1)Cc1ncccc1-c1ccc2c(c1)OCCOCCOCCOCCOCCO2</v>
      </c>
      <c r="C4521" s="7">
        <f>IFERROR(__xludf.DUMMYFUNCTION("""COMPUTED_VALUE"""),7.794984)</f>
        <v>7.794984</v>
      </c>
      <c r="D4521" s="7">
        <f>IFERROR(__xludf.DUMMYFUNCTION("""COMPUTED_VALUE"""),0.3375)</f>
        <v>0.3375</v>
      </c>
    </row>
    <row r="4522">
      <c r="A4522" s="10" t="s">
        <v>5961</v>
      </c>
      <c r="B4522" s="7" t="str">
        <f>IFERROR(__xludf.DUMMYFUNCTION("SPLIT(A4522,"" "")"),"CNCc1ncc(CN(C)C2CCCC(N(C)Cc3nc(C)c(C)cc3C)C2)cc1C")</f>
        <v>CNCc1ncc(CN(C)C2CCCC(N(C)Cc3nc(C)c(C)cc3C)C2)cc1C</v>
      </c>
      <c r="C4522" s="7">
        <f>IFERROR(__xludf.DUMMYFUNCTION("""COMPUTED_VALUE"""),7.794984)</f>
        <v>7.794984</v>
      </c>
      <c r="D4522" s="7">
        <f>IFERROR(__xludf.DUMMYFUNCTION("""COMPUTED_VALUE"""),0.262295081967213)</f>
        <v>0.262295082</v>
      </c>
    </row>
    <row r="4523">
      <c r="A4523" s="10" t="s">
        <v>5962</v>
      </c>
      <c r="B4523" s="7" t="str">
        <f>IFERROR(__xludf.DUMMYFUNCTION("SPLIT(A4523,"" "")"),"CNCC1=NC(C)(C)CO1")</f>
        <v>CNCC1=NC(C)(C)CO1</v>
      </c>
      <c r="C4523" s="7">
        <f>IFERROR(__xludf.DUMMYFUNCTION("""COMPUTED_VALUE"""),7.7949715)</f>
        <v>7.7949715</v>
      </c>
      <c r="D4523" s="7">
        <f>IFERROR(__xludf.DUMMYFUNCTION("""COMPUTED_VALUE"""),0.361111111111111)</f>
        <v>0.3611111111</v>
      </c>
    </row>
    <row r="4524">
      <c r="A4524" s="10" t="s">
        <v>5963</v>
      </c>
      <c r="B4524" s="7" t="str">
        <f>IFERROR(__xludf.DUMMYFUNCTION("SPLIT(A4524,"" "")"),"Cc1cc(CN(C)C2CCC(N(C)Cc3nc(C)c(C)cc3C)CC2)cnc1C")</f>
        <v>Cc1cc(CN(C)C2CCC(N(C)Cc3nc(C)c(C)cc3C)CC2)cnc1C</v>
      </c>
      <c r="C4524" s="7">
        <f>IFERROR(__xludf.DUMMYFUNCTION("""COMPUTED_VALUE"""),7.7949643)</f>
        <v>7.7949643</v>
      </c>
      <c r="D4524" s="7">
        <f>IFERROR(__xludf.DUMMYFUNCTION("""COMPUTED_VALUE"""),0.277777777777777)</f>
        <v>0.2777777778</v>
      </c>
    </row>
    <row r="4525">
      <c r="A4525" s="10" t="s">
        <v>5964</v>
      </c>
      <c r="B4525" s="7" t="str">
        <f>IFERROR(__xludf.DUMMYFUNCTION("SPLIT(A4525,"" "")"),"CN(Cc1cccc(-c2ccc3c(c2)OCCOCCOCCOCCOCCO3)n1)Cc1cccc(N(C)Cc2cccc(-c3ccc4c(c3)OCCOCCOCCOCCOCCO4)n2)n1")</f>
        <v>CN(Cc1cccc(-c2ccc3c(c2)OCCOCCOCCOCCOCCO3)n1)Cc1cccc(N(C)Cc2cccc(-c3ccc4c(c3)OCCOCCOCCOCCOCCO4)n2)n1</v>
      </c>
      <c r="C4525" s="7">
        <f>IFERROR(__xludf.DUMMYFUNCTION("""COMPUTED_VALUE"""),7.794964)</f>
        <v>7.794964</v>
      </c>
      <c r="D4525" s="7">
        <f>IFERROR(__xludf.DUMMYFUNCTION("""COMPUTED_VALUE"""),0.368421052631578)</f>
        <v>0.3684210526</v>
      </c>
    </row>
    <row r="4526">
      <c r="A4526" s="10" t="s">
        <v>5965</v>
      </c>
      <c r="B4526" s="7" t="str">
        <f>IFERROR(__xludf.DUMMYFUNCTION("SPLIT(A4526,"" "")"),"CN1CCN(C)CCN(CCN(C)c2ccc3ncccc3c2)CC1")</f>
        <v>CN1CCN(C)CCN(CCN(C)c2ccc3ncccc3c2)CC1</v>
      </c>
      <c r="C4526" s="7">
        <f>IFERROR(__xludf.DUMMYFUNCTION("""COMPUTED_VALUE"""),7.7949557)</f>
        <v>7.7949557</v>
      </c>
      <c r="D4526" s="7">
        <f>IFERROR(__xludf.DUMMYFUNCTION("""COMPUTED_VALUE"""),0.403846153846153)</f>
        <v>0.4038461538</v>
      </c>
    </row>
    <row r="4527">
      <c r="A4527" s="10" t="s">
        <v>5966</v>
      </c>
      <c r="B4527" s="7" t="str">
        <f>IFERROR(__xludf.DUMMYFUNCTION("SPLIT(A4527,"" "")"),"CCNCc1ccc(CN(Cc2ncccc2C)C2CCCC(N(C)Cc3nc(C)ccc3C)C2)cn1")</f>
        <v>CCNCc1ccc(CN(Cc2ncccc2C)C2CCCC(N(C)Cc3nc(C)ccc3C)C2)cn1</v>
      </c>
      <c r="C4527" s="7">
        <f>IFERROR(__xludf.DUMMYFUNCTION("""COMPUTED_VALUE"""),7.794944)</f>
        <v>7.794944</v>
      </c>
      <c r="D4527" s="7">
        <f>IFERROR(__xludf.DUMMYFUNCTION("""COMPUTED_VALUE"""),0.273972602739726)</f>
        <v>0.2739726027</v>
      </c>
    </row>
    <row r="4528">
      <c r="A4528" s="10" t="s">
        <v>5967</v>
      </c>
      <c r="B4528" s="7" t="str">
        <f>IFERROR(__xludf.DUMMYFUNCTION("SPLIT(A4528,"" "")"),"CN(CCF)Cc1cc(N)ccn1")</f>
        <v>CN(CCF)Cc1cc(N)ccn1</v>
      </c>
      <c r="C4528" s="7">
        <f>IFERROR(__xludf.DUMMYFUNCTION("""COMPUTED_VALUE"""),7.794941)</f>
        <v>7.794941</v>
      </c>
      <c r="D4528" s="7">
        <f>IFERROR(__xludf.DUMMYFUNCTION("""COMPUTED_VALUE"""),0.384615384615384)</f>
        <v>0.3846153846</v>
      </c>
    </row>
    <row r="4529">
      <c r="A4529" s="10" t="s">
        <v>5968</v>
      </c>
      <c r="B4529" s="7" t="str">
        <f>IFERROR(__xludf.DUMMYFUNCTION("SPLIT(A4529,"" "")"),"CC(C)N(Cc1ccccn1)Cc1cccc(N(C)C2CCC(N(C)Cc3ccccn3)CC2)n1")</f>
        <v>CC(C)N(Cc1ccccn1)Cc1cccc(N(C)C2CCC(N(C)Cc3ccccn3)CC2)n1</v>
      </c>
      <c r="C4529" s="7">
        <f>IFERROR(__xludf.DUMMYFUNCTION("""COMPUTED_VALUE"""),7.7949343)</f>
        <v>7.7949343</v>
      </c>
      <c r="D4529" s="7">
        <f>IFERROR(__xludf.DUMMYFUNCTION("""COMPUTED_VALUE"""),0.5)</f>
        <v>0.5</v>
      </c>
    </row>
    <row r="4530">
      <c r="A4530" s="10" t="s">
        <v>5969</v>
      </c>
      <c r="B4530" s="7" t="str">
        <f>IFERROR(__xludf.DUMMYFUNCTION("SPLIT(A4530,"" "")"),"CCNC1CCCCC1N(Cc1nc(C)c(C)cc1C)Cc1nc(C)c(C)c(C)c1C")</f>
        <v>CCNC1CCCCC1N(Cc1nc(C)c(C)cc1C)Cc1nc(C)c(C)c(C)c1C</v>
      </c>
      <c r="C4530" s="7">
        <f>IFERROR(__xludf.DUMMYFUNCTION("""COMPUTED_VALUE"""),7.794933)</f>
        <v>7.794933</v>
      </c>
      <c r="D4530" s="7">
        <f>IFERROR(__xludf.DUMMYFUNCTION("""COMPUTED_VALUE"""),0.266666666666666)</f>
        <v>0.2666666667</v>
      </c>
    </row>
    <row r="4531">
      <c r="A4531" s="10" t="s">
        <v>5970</v>
      </c>
      <c r="B4531" s="7" t="str">
        <f>IFERROR(__xludf.DUMMYFUNCTION("SPLIT(A4531,"" "")"),"CCNC1C(N(C)Cc2cc(C)ccn2)CCCC1N(Cc1cc(C)ccn1)Cc1nc(C)c(C)c(C)c1C")</f>
        <v>CCNC1C(N(C)Cc2cc(C)ccn2)CCCC1N(Cc1cc(C)ccn1)Cc1nc(C)c(C)c(C)c1C</v>
      </c>
      <c r="C4531" s="7">
        <f>IFERROR(__xludf.DUMMYFUNCTION("""COMPUTED_VALUE"""),7.794928)</f>
        <v>7.794928</v>
      </c>
      <c r="D4531" s="7">
        <f>IFERROR(__xludf.DUMMYFUNCTION("""COMPUTED_VALUE"""),0.354838709677419)</f>
        <v>0.3548387097</v>
      </c>
    </row>
    <row r="4532">
      <c r="A4532" s="10" t="s">
        <v>5971</v>
      </c>
      <c r="B4532" s="7" t="str">
        <f>IFERROR(__xludf.DUMMYFUNCTION("SPLIT(A4532,"" "")"),"CNCc1ccc(CF)cn1")</f>
        <v>CNCc1ccc(CF)cn1</v>
      </c>
      <c r="C4532" s="7">
        <f>IFERROR(__xludf.DUMMYFUNCTION("""COMPUTED_VALUE"""),7.794924)</f>
        <v>7.794924</v>
      </c>
      <c r="D4532" s="7">
        <f>IFERROR(__xludf.DUMMYFUNCTION("""COMPUTED_VALUE"""),0.307692307692307)</f>
        <v>0.3076923077</v>
      </c>
    </row>
    <row r="4533">
      <c r="A4533" s="10" t="s">
        <v>5972</v>
      </c>
      <c r="B4533" s="7" t="str">
        <f>IFERROR(__xludf.DUMMYFUNCTION("SPLIT(A4533,"" "")"),"CN(Cc1ccccn1)C1=CCC=C(CN(C)C2CCC(N(C)Cc3ccccn3)CC2)N1")</f>
        <v>CN(Cc1ccccn1)C1=CCC=C(CN(C)C2CCC(N(C)Cc3ccccn3)CC2)N1</v>
      </c>
      <c r="C4533" s="7">
        <f>IFERROR(__xludf.DUMMYFUNCTION("""COMPUTED_VALUE"""),7.7949004)</f>
        <v>7.7949004</v>
      </c>
      <c r="D4533" s="7">
        <f>IFERROR(__xludf.DUMMYFUNCTION("""COMPUTED_VALUE"""),0.48)</f>
        <v>0.48</v>
      </c>
    </row>
    <row r="4534">
      <c r="A4534" s="10" t="s">
        <v>5973</v>
      </c>
      <c r="B4534" s="7" t="str">
        <f>IFERROR(__xludf.DUMMYFUNCTION("SPLIT(A4534,"" "")"),"CN1CCN(C)CCN(Cc2cnccc2-c2cccc(N)c2)CC1")</f>
        <v>CN1CCN(C)CCN(Cc2cnccc2-c2cccc(N)c2)CC1</v>
      </c>
      <c r="C4534" s="7">
        <f>IFERROR(__xludf.DUMMYFUNCTION("""COMPUTED_VALUE"""),7.794895)</f>
        <v>7.794895</v>
      </c>
      <c r="D4534" s="7">
        <f>IFERROR(__xludf.DUMMYFUNCTION("""COMPUTED_VALUE"""),0.38)</f>
        <v>0.38</v>
      </c>
    </row>
    <row r="4535">
      <c r="A4535" s="10" t="s">
        <v>5974</v>
      </c>
      <c r="B4535" s="7" t="str">
        <f>IFERROR(__xludf.DUMMYFUNCTION("SPLIT(A4535,"" "")"),"C1=CNC(c2ncccc2CN(Cc2ccccn2)C2CCCCC2)=CC1")</f>
        <v>C1=CNC(c2ncccc2CN(Cc2ccccn2)C2CCCCC2)=CC1</v>
      </c>
      <c r="C4535" s="7">
        <f>IFERROR(__xludf.DUMMYFUNCTION("""COMPUTED_VALUE"""),7.794882)</f>
        <v>7.794882</v>
      </c>
      <c r="D4535" s="7">
        <f>IFERROR(__xludf.DUMMYFUNCTION("""COMPUTED_VALUE"""),0.46551724137931)</f>
        <v>0.4655172414</v>
      </c>
    </row>
    <row r="4536">
      <c r="A4536" s="10" t="s">
        <v>5975</v>
      </c>
      <c r="B4536" s="7" t="str">
        <f>IFERROR(__xludf.DUMMYFUNCTION("SPLIT(A4536,"" "")"),"Cc1cncc(CN(C)C2CCC(N(Cc3ccccn3)Cc3ncccc3C(C)(C)C)CC2)c1")</f>
        <v>Cc1cncc(CN(C)C2CCC(N(Cc3ccccn3)Cc3ncccc3C(C)(C)C)CC2)c1</v>
      </c>
      <c r="C4536" s="7">
        <f>IFERROR(__xludf.DUMMYFUNCTION("""COMPUTED_VALUE"""),7.7948723)</f>
        <v>7.7948723</v>
      </c>
      <c r="D4536" s="7">
        <f>IFERROR(__xludf.DUMMYFUNCTION("""COMPUTED_VALUE"""),0.365079365079365)</f>
        <v>0.3650793651</v>
      </c>
    </row>
    <row r="4537">
      <c r="A4537" s="10" t="s">
        <v>5976</v>
      </c>
      <c r="B4537" s="7" t="str">
        <f>IFERROR(__xludf.DUMMYFUNCTION("SPLIT(A4537,"" "")"),"Cc1nc(CN(C)C2CCCCC2N(C)Cc2ncccc2CN(C)C)c(C)c(C)c1C")</f>
        <v>Cc1nc(CN(C)C2CCCCC2N(C)Cc2ncccc2CN(C)C)c(C)c(C)c1C</v>
      </c>
      <c r="C4537" s="7">
        <f>IFERROR(__xludf.DUMMYFUNCTION("""COMPUTED_VALUE"""),7.794872)</f>
        <v>7.794872</v>
      </c>
      <c r="D4537" s="7">
        <f>IFERROR(__xludf.DUMMYFUNCTION("""COMPUTED_VALUE"""),0.450980392156862)</f>
        <v>0.4509803922</v>
      </c>
    </row>
    <row r="4538">
      <c r="A4538" s="10" t="s">
        <v>5977</v>
      </c>
      <c r="B4538" s="7" t="str">
        <f>IFERROR(__xludf.DUMMYFUNCTION("SPLIT(A4538,"" "")"),"Fc1ncccc1CN(Cc1ccccn1)Cc1ncccc1-c1ccc2c(c1)OCCOCCOCCOCCOCCO2")</f>
        <v>Fc1ncccc1CN(Cc1ccccn1)Cc1ncccc1-c1ccc2c(c1)OCCOCCOCCOCCOCCO2</v>
      </c>
      <c r="C4538" s="7">
        <f>IFERROR(__xludf.DUMMYFUNCTION("""COMPUTED_VALUE"""),7.794853)</f>
        <v>7.794853</v>
      </c>
      <c r="D4538" s="7">
        <f>IFERROR(__xludf.DUMMYFUNCTION("""COMPUTED_VALUE"""),0.372881355932203)</f>
        <v>0.3728813559</v>
      </c>
    </row>
    <row r="4539">
      <c r="A4539" s="10" t="s">
        <v>5978</v>
      </c>
      <c r="B4539" s="7" t="str">
        <f>IFERROR(__xludf.DUMMYFUNCTION("SPLIT(A4539,"" "")"),"CC1=C(CN(C)Cc2ccccn2)C(C)CC(C)C1")</f>
        <v>CC1=C(CN(C)Cc2ccccn2)C(C)CC(C)C1</v>
      </c>
      <c r="C4539" s="7">
        <f>IFERROR(__xludf.DUMMYFUNCTION("""COMPUTED_VALUE"""),7.7948475)</f>
        <v>7.7948475</v>
      </c>
      <c r="D4539" s="7">
        <f>IFERROR(__xludf.DUMMYFUNCTION("""COMPUTED_VALUE"""),0.458333333333333)</f>
        <v>0.4583333333</v>
      </c>
    </row>
    <row r="4540">
      <c r="A4540" s="10" t="s">
        <v>5979</v>
      </c>
      <c r="B4540" s="7" t="str">
        <f>IFERROR(__xludf.DUMMYFUNCTION("SPLIT(A4540,"" "")"),"Cc1ccc(CN(C)C2CCCC(N(C)Cc3nc(C)c(C)cc3C)C2)nc1C")</f>
        <v>Cc1ccc(CN(C)C2CCCC(N(C)Cc3nc(C)c(C)cc3C)C2)nc1C</v>
      </c>
      <c r="C4540" s="7">
        <f>IFERROR(__xludf.DUMMYFUNCTION("""COMPUTED_VALUE"""),7.794847)</f>
        <v>7.794847</v>
      </c>
      <c r="D4540" s="7">
        <f>IFERROR(__xludf.DUMMYFUNCTION("""COMPUTED_VALUE"""),0.365384615384615)</f>
        <v>0.3653846154</v>
      </c>
    </row>
    <row r="4541">
      <c r="A4541" s="10" t="s">
        <v>5980</v>
      </c>
      <c r="B4541" s="7" t="str">
        <f>IFERROR(__xludf.DUMMYFUNCTION("SPLIT(A4541,"" "")"),"CN(Cc1ccccn1)Cc1ncccc1CN(C)Cc1ncccc1-c1cccc2c1OCCOCCOCCOCCOCCO2")</f>
        <v>CN(Cc1ccccn1)Cc1ncccc1CN(C)Cc1ncccc1-c1cccc2c1OCCOCCOCCOCCOCCO2</v>
      </c>
      <c r="C4541" s="7">
        <f>IFERROR(__xludf.DUMMYFUNCTION("""COMPUTED_VALUE"""),7.794845)</f>
        <v>7.794845</v>
      </c>
      <c r="D4541" s="7">
        <f>IFERROR(__xludf.DUMMYFUNCTION("""COMPUTED_VALUE"""),0.383333333333333)</f>
        <v>0.3833333333</v>
      </c>
    </row>
    <row r="4542">
      <c r="A4542" s="10" t="s">
        <v>5981</v>
      </c>
      <c r="B4542" s="7" t="str">
        <f>IFERROR(__xludf.DUMMYFUNCTION("SPLIT(A4542,"" "")"),"Cc1cnc(C2CC(C)(C)C2)c(C(=O)C(C)NCc2cc(CN3CCN(C)CCN(C)CC3)ccn2)c1C")</f>
        <v>Cc1cnc(C2CC(C)(C)C2)c(C(=O)C(C)NCc2cc(CN3CCN(C)CCN(C)CC3)ccn2)c1C</v>
      </c>
      <c r="C4542" s="7">
        <f>IFERROR(__xludf.DUMMYFUNCTION("""COMPUTED_VALUE"""),7.7948437)</f>
        <v>7.7948437</v>
      </c>
      <c r="D4542" s="7">
        <f>IFERROR(__xludf.DUMMYFUNCTION("""COMPUTED_VALUE"""),0.355263157894736)</f>
        <v>0.3552631579</v>
      </c>
    </row>
    <row r="4543">
      <c r="A4543" s="10" t="s">
        <v>5982</v>
      </c>
      <c r="B4543" s="7" t="str">
        <f>IFERROR(__xludf.DUMMYFUNCTION("SPLIT(A4543,"" "")"),"CN1CCN(Cc2ccnc(C(C)(C)C)c2)CCN(Cc2ncccc2C(C)(C)c2ccccn2)CC1")</f>
        <v>CN1CCN(Cc2ccnc(C(C)(C)C)c2)CCN(Cc2ncccc2C(C)(C)c2ccccn2)CC1</v>
      </c>
      <c r="C4543" s="7">
        <f>IFERROR(__xludf.DUMMYFUNCTION("""COMPUTED_VALUE"""),7.7948422)</f>
        <v>7.7948422</v>
      </c>
      <c r="D4543" s="7">
        <f>IFERROR(__xludf.DUMMYFUNCTION("""COMPUTED_VALUE"""),0.433962264150943)</f>
        <v>0.4339622642</v>
      </c>
    </row>
    <row r="4544">
      <c r="A4544" s="10" t="s">
        <v>5983</v>
      </c>
      <c r="B4544" s="7" t="str">
        <f>IFERROR(__xludf.DUMMYFUNCTION("SPLIT(A4544,"" "")"),"CNCc1cccc(CN(Cc2cccc(F)n2)Cc2cccc(-c3ccc4c(c3)OCCOCCOCCOCCOCCO4)n2)n1")</f>
        <v>CNCc1cccc(CN(Cc2cccc(F)n2)Cc2cccc(-c3ccc4c(c3)OCCOCCOCCOCCOCCO4)n2)n1</v>
      </c>
      <c r="C4544" s="7">
        <f>IFERROR(__xludf.DUMMYFUNCTION("""COMPUTED_VALUE"""),7.7948365)</f>
        <v>7.7948365</v>
      </c>
      <c r="D4544" s="7">
        <f>IFERROR(__xludf.DUMMYFUNCTION("""COMPUTED_VALUE"""),0.347826086956521)</f>
        <v>0.347826087</v>
      </c>
    </row>
    <row r="4545">
      <c r="A4545" s="10" t="s">
        <v>5984</v>
      </c>
      <c r="B4545" s="7" t="str">
        <f>IFERROR(__xludf.DUMMYFUNCTION("SPLIT(A4545,"" "")"),"CN(Cc1ncccc1-c1ccc2c(c1)OCCOCCOCCOCCOCCO2)C1=C(CN(C)C(C)(C)c2ccccn2)NC=CC1")</f>
        <v>CN(Cc1ncccc1-c1ccc2c(c1)OCCOCCOCCOCCOCCO2)C1=C(CN(C)C(C)(C)c2ccccn2)NC=CC1</v>
      </c>
      <c r="C4545" s="7">
        <f>IFERROR(__xludf.DUMMYFUNCTION("""COMPUTED_VALUE"""),7.7948356)</f>
        <v>7.7948356</v>
      </c>
      <c r="D4545" s="7">
        <f>IFERROR(__xludf.DUMMYFUNCTION("""COMPUTED_VALUE"""),0.264367816091954)</f>
        <v>0.2643678161</v>
      </c>
    </row>
    <row r="4546">
      <c r="A4546" s="10" t="s">
        <v>5985</v>
      </c>
      <c r="B4546" s="7" t="str">
        <f>IFERROR(__xludf.DUMMYFUNCTION("SPLIT(A4546,"" "")"),"CC1=C(C)C(C)C(N(C)Cc2cc(C(C)(C)C)ccn2)CC1")</f>
        <v>CC1=C(C)C(C)C(N(C)Cc2cc(C(C)(C)C)ccn2)CC1</v>
      </c>
      <c r="C4546" s="7">
        <f>IFERROR(__xludf.DUMMYFUNCTION("""COMPUTED_VALUE"""),7.794835)</f>
        <v>7.794835</v>
      </c>
      <c r="D4546" s="7">
        <f>IFERROR(__xludf.DUMMYFUNCTION("""COMPUTED_VALUE"""),0.377358490566037)</f>
        <v>0.3773584906</v>
      </c>
    </row>
    <row r="4547">
      <c r="A4547" s="10" t="s">
        <v>5986</v>
      </c>
      <c r="B4547" s="7" t="str">
        <f>IFERROR(__xludf.DUMMYFUNCTION("SPLIT(A4547,"" "")"),"Cc1cncc(CN(C)C2CCC(N(Cc3ccccn3)Cc3cccc(C(C)(C)C)n3)CC2)c1")</f>
        <v>Cc1cncc(CN(C)C2CCC(N(Cc3ccccn3)Cc3cccc(C(C)(C)C)n3)CC2)c1</v>
      </c>
      <c r="C4547" s="7">
        <f>IFERROR(__xludf.DUMMYFUNCTION("""COMPUTED_VALUE"""),7.7948246)</f>
        <v>7.7948246</v>
      </c>
      <c r="D4547" s="7">
        <f>IFERROR(__xludf.DUMMYFUNCTION("""COMPUTED_VALUE"""),0.370967741935483)</f>
        <v>0.3709677419</v>
      </c>
    </row>
    <row r="4548">
      <c r="A4548" s="10" t="s">
        <v>5987</v>
      </c>
      <c r="B4548" s="7" t="str">
        <f>IFERROR(__xludf.DUMMYFUNCTION("SPLIT(A4548,"" "")"),"Cc1cccnc1CN(C)CC1=CC(N(C)C(C)C)C=CN1")</f>
        <v>Cc1cccnc1CN(C)CC1=CC(N(C)C(C)C)C=CN1</v>
      </c>
      <c r="C4548" s="7">
        <f>IFERROR(__xludf.DUMMYFUNCTION("""COMPUTED_VALUE"""),7.7948236)</f>
        <v>7.7948236</v>
      </c>
      <c r="D4548" s="7">
        <f>IFERROR(__xludf.DUMMYFUNCTION("""COMPUTED_VALUE"""),0.316666666666666)</f>
        <v>0.3166666667</v>
      </c>
    </row>
    <row r="4549">
      <c r="A4549" s="10" t="s">
        <v>5988</v>
      </c>
      <c r="B4549" s="7" t="str">
        <f>IFERROR(__xludf.DUMMYFUNCTION("SPLIT(A4549,"" "")"),"CN(C)Cc1cnc2cccc(N(C)CCN(C)Cc3cccc4c3OCCOCCOCCOCCOCCO4)c2c1")</f>
        <v>CN(C)Cc1cnc2cccc(N(C)CCN(C)Cc3cccc4c3OCCOCCOCCOCCOCCO4)c2c1</v>
      </c>
      <c r="C4549" s="7">
        <f>IFERROR(__xludf.DUMMYFUNCTION("""COMPUTED_VALUE"""),7.794822)</f>
        <v>7.794822</v>
      </c>
      <c r="D4549" s="7">
        <f>IFERROR(__xludf.DUMMYFUNCTION("""COMPUTED_VALUE"""),0.307692307692307)</f>
        <v>0.3076923077</v>
      </c>
    </row>
    <row r="4550">
      <c r="A4550" s="10" t="s">
        <v>5989</v>
      </c>
      <c r="B4550" s="7" t="str">
        <f>IFERROR(__xludf.DUMMYFUNCTION("SPLIT(A4550,"" "")"),"CC(C)c1ccc(CN2CCN(C)CCN(Cc3ccc(C(C)(C)c4ccccn4)cn3)CC2)cn1")</f>
        <v>CC(C)c1ccc(CN2CCN(C)CCN(Cc3ccc(C(C)(C)c4ccccn4)cn3)CC2)cn1</v>
      </c>
      <c r="C4550" s="7">
        <f>IFERROR(__xludf.DUMMYFUNCTION("""COMPUTED_VALUE"""),7.7948055)</f>
        <v>7.7948055</v>
      </c>
      <c r="D4550" s="7">
        <f>IFERROR(__xludf.DUMMYFUNCTION("""COMPUTED_VALUE"""),0.464285714285714)</f>
        <v>0.4642857143</v>
      </c>
    </row>
    <row r="4551">
      <c r="A4551" s="10" t="s">
        <v>5990</v>
      </c>
      <c r="B4551" s="7" t="str">
        <f>IFERROR(__xludf.DUMMYFUNCTION("SPLIT(A4551,"" "")"),"Cc1ncccc1CN1CCN(C)CCN(C2CCCC(N(C)c3ccc4c(C)ccnc4c3)C2)CC1")</f>
        <v>Cc1ncccc1CN1CCN(C)CCN(C2CCCC(N(C)c3ccc4c(C)ccnc4c3)C2)CC1</v>
      </c>
      <c r="C4551" s="7">
        <f>IFERROR(__xludf.DUMMYFUNCTION("""COMPUTED_VALUE"""),7.7947955)</f>
        <v>7.7947955</v>
      </c>
      <c r="D4551" s="7">
        <f>IFERROR(__xludf.DUMMYFUNCTION("""COMPUTED_VALUE"""),0.31081081081081)</f>
        <v>0.3108108108</v>
      </c>
    </row>
    <row r="4552">
      <c r="A4552" s="10" t="s">
        <v>5991</v>
      </c>
      <c r="B4552" s="7" t="str">
        <f>IFERROR(__xludf.DUMMYFUNCTION("SPLIT(A4552,"" "")"),"CC1=CCC2(C(c3ccc(CN(Cc4ccccn4)C4CCCCC4)cn3)C=CC(c3cc(CN(Cc4ccccn4)Cc4ccccn4)ccn3)C23C(C)C=CC(C)C3C)C(C)C1C")</f>
        <v>CC1=CCC2(C(c3ccc(CN(Cc4ccccn4)C4CCCCC4)cn3)C=CC(c3cc(CN(Cc4ccccn4)Cc4ccccn4)ccn3)C23C(C)C=CC(C)C3C)C(C)C1C</v>
      </c>
      <c r="C4552" s="7">
        <f>IFERROR(__xludf.DUMMYFUNCTION("""COMPUTED_VALUE"""),7.794788)</f>
        <v>7.794788</v>
      </c>
      <c r="D4552" s="7">
        <f>IFERROR(__xludf.DUMMYFUNCTION("""COMPUTED_VALUE"""),0.267441860465116)</f>
        <v>0.2674418605</v>
      </c>
    </row>
    <row r="4553">
      <c r="A4553" s="10" t="s">
        <v>5992</v>
      </c>
      <c r="B4553" s="7" t="str">
        <f>IFERROR(__xludf.DUMMYFUNCTION("SPLIT(A4553,"" "")"),"CN1CCN(C)CCN(CCCN(C)c2ccc3c(CF)ccnc3c2)CC1")</f>
        <v>CN1CCN(C)CCN(CCCN(C)c2ccc3c(CF)ccnc3c2)CC1</v>
      </c>
      <c r="C4553" s="7">
        <f>IFERROR(__xludf.DUMMYFUNCTION("""COMPUTED_VALUE"""),7.794784)</f>
        <v>7.794784</v>
      </c>
      <c r="D4553" s="7">
        <f>IFERROR(__xludf.DUMMYFUNCTION("""COMPUTED_VALUE"""),0.362068965517241)</f>
        <v>0.3620689655</v>
      </c>
    </row>
    <row r="4554">
      <c r="A4554" s="10" t="s">
        <v>5993</v>
      </c>
      <c r="B4554" s="7" t="str">
        <f>IFERROR(__xludf.DUMMYFUNCTION("SPLIT(A4554,"" "")"),"Cc1c(CN(C)C2CCCC(N(C)Cc3ccccn3)C2)cccc1NCc1ccccn1")</f>
        <v>Cc1c(CN(C)C2CCCC(N(C)Cc3ccccn3)C2)cccc1NCc1ccccn1</v>
      </c>
      <c r="C4554" s="7">
        <f>IFERROR(__xludf.DUMMYFUNCTION("""COMPUTED_VALUE"""),7.794771)</f>
        <v>7.794771</v>
      </c>
      <c r="D4554" s="7">
        <f>IFERROR(__xludf.DUMMYFUNCTION("""COMPUTED_VALUE"""),0.471698113207547)</f>
        <v>0.4716981132</v>
      </c>
    </row>
    <row r="4555">
      <c r="A4555" s="10" t="s">
        <v>5994</v>
      </c>
      <c r="B4555" s="7" t="str">
        <f>IFERROR(__xludf.DUMMYFUNCTION("SPLIT(A4555,"" "")"),"CNCc1cccc(CN(Cc2cccc(N)n2)C2CCC(N(C)Cc3cccc(C)n3)CC2)n1")</f>
        <v>CNCc1cccc(CN(Cc2cccc(N)n2)C2CCC(N(C)Cc3cccc(C)n3)CC2)n1</v>
      </c>
      <c r="C4555" s="7">
        <f>IFERROR(__xludf.DUMMYFUNCTION("""COMPUTED_VALUE"""),7.7947507)</f>
        <v>7.7947507</v>
      </c>
      <c r="D4555" s="7">
        <f>IFERROR(__xludf.DUMMYFUNCTION("""COMPUTED_VALUE"""),0.471698113207547)</f>
        <v>0.4716981132</v>
      </c>
    </row>
    <row r="4556">
      <c r="A4556" s="10" t="s">
        <v>5995</v>
      </c>
      <c r="B4556" s="7" t="str">
        <f>IFERROR(__xludf.DUMMYFUNCTION("SPLIT(A4556,"" "")"),"CC(C)N(C)Cc1cccc(N(C)Cc2cccc(-c3ccc4c(c3)OCCOCCOCCOCCOCCO4)n2)n1")</f>
        <v>CC(C)N(C)Cc1cccc(N(C)Cc2cccc(-c3ccc4c(c3)OCCOCCOCCOCCOCCO4)n2)n1</v>
      </c>
      <c r="C4556" s="7">
        <f>IFERROR(__xludf.DUMMYFUNCTION("""COMPUTED_VALUE"""),7.7947507)</f>
        <v>7.7947507</v>
      </c>
      <c r="D4556" s="7">
        <f>IFERROR(__xludf.DUMMYFUNCTION("""COMPUTED_VALUE"""),0.319444444444444)</f>
        <v>0.3194444444</v>
      </c>
    </row>
    <row r="4557">
      <c r="A4557" s="10" t="s">
        <v>5996</v>
      </c>
      <c r="B4557" s="7" t="str">
        <f>IFERROR(__xludf.DUMMYFUNCTION("SPLIT(A4557,"" "")"),"CNC1CCCC(N(C)Cc2ccc(Cl)cn2)C1N(C)Cc1nc(C)c(C)c(C)c1C")</f>
        <v>CNC1CCCC(N(C)Cc2ccc(Cl)cn2)C1N(C)Cc1nc(C)c(C)c(C)c1C</v>
      </c>
      <c r="C4557" s="7">
        <f>IFERROR(__xludf.DUMMYFUNCTION("""COMPUTED_VALUE"""),7.794745)</f>
        <v>7.794745</v>
      </c>
      <c r="D4557" s="7">
        <f>IFERROR(__xludf.DUMMYFUNCTION("""COMPUTED_VALUE"""),0.416666666666666)</f>
        <v>0.4166666667</v>
      </c>
    </row>
    <row r="4558">
      <c r="A4558" s="10" t="s">
        <v>5997</v>
      </c>
      <c r="B4558" s="7" t="str">
        <f>IFERROR(__xludf.DUMMYFUNCTION("SPLIT(A4558,"" "")"),"CNCc1cc(CN(Cc2ccccn2)C2CCCCC2N(C)Cc2nc(C)c(C)c(C)c2C)ccn1")</f>
        <v>CNCc1cc(CN(Cc2ccccn2)C2CCCCC2N(C)Cc2nc(C)c(C)c(C)c2C)ccn1</v>
      </c>
      <c r="C4558" s="7">
        <f>IFERROR(__xludf.DUMMYFUNCTION("""COMPUTED_VALUE"""),7.7947392)</f>
        <v>7.7947392</v>
      </c>
      <c r="D4558" s="7">
        <f>IFERROR(__xludf.DUMMYFUNCTION("""COMPUTED_VALUE"""),0.491525423728813)</f>
        <v>0.4915254237</v>
      </c>
    </row>
    <row r="4559">
      <c r="A4559" s="10" t="s">
        <v>5998</v>
      </c>
      <c r="B4559" s="7" t="str">
        <f>IFERROR(__xludf.DUMMYFUNCTION("SPLIT(A4559,"" "")"),"CC(N)C(C)N(C)Cc1ccc(C(C)(C)C)cn1")</f>
        <v>CC(N)C(C)N(C)Cc1ccc(C(C)(C)C)cn1</v>
      </c>
      <c r="C4559" s="7">
        <f>IFERROR(__xludf.DUMMYFUNCTION("""COMPUTED_VALUE"""),7.7947273)</f>
        <v>7.7947273</v>
      </c>
      <c r="D4559" s="7">
        <f>IFERROR(__xludf.DUMMYFUNCTION("""COMPUTED_VALUE"""),0.355555555555555)</f>
        <v>0.3555555556</v>
      </c>
    </row>
    <row r="4560">
      <c r="A4560" s="10" t="s">
        <v>5999</v>
      </c>
      <c r="B4560" s="7" t="str">
        <f>IFERROR(__xludf.DUMMYFUNCTION("SPLIT(A4560,"" "")"),"Cc1ccc(NCc2ccccn2)c(CN(C)C2CCCC(N(C)Cc3ccccn3)C2)c1")</f>
        <v>Cc1ccc(NCc2ccccn2)c(CN(C)C2CCCC(N(C)Cc3ccccn3)C2)c1</v>
      </c>
      <c r="C4560" s="7">
        <f>IFERROR(__xludf.DUMMYFUNCTION("""COMPUTED_VALUE"""),7.7947264)</f>
        <v>7.7947264</v>
      </c>
      <c r="D4560" s="7">
        <f>IFERROR(__xludf.DUMMYFUNCTION("""COMPUTED_VALUE"""),0.471698113207547)</f>
        <v>0.4716981132</v>
      </c>
    </row>
    <row r="4561">
      <c r="A4561" s="10" t="s">
        <v>6000</v>
      </c>
      <c r="B4561" s="7" t="str">
        <f>IFERROR(__xludf.DUMMYFUNCTION("SPLIT(A4561,"" "")"),"CCN(Cc1ccccn1)c1ccc2c(c1-c1cccc(CN(Cc3ccccn3)Cc3cccc(-c4ccc5c(c4)OCCOCCOCCOCCOCCO5)n3)n1)OCCOCCOCCOCCOCCO2")</f>
        <v>CCN(Cc1ccccn1)c1ccc2c(c1-c1cccc(CN(Cc3ccccn3)Cc3cccc(-c4ccc5c(c4)OCCOCCOCCOCCOCCO5)n3)n1)OCCOCCOCCOCCOCCO2</v>
      </c>
      <c r="C4561" s="7">
        <f>IFERROR(__xludf.DUMMYFUNCTION("""COMPUTED_VALUE"""),7.7947164)</f>
        <v>7.7947164</v>
      </c>
      <c r="D4561" s="7">
        <f>IFERROR(__xludf.DUMMYFUNCTION("""COMPUTED_VALUE"""),0.436619718309859)</f>
        <v>0.4366197183</v>
      </c>
    </row>
    <row r="4562">
      <c r="A4562" s="10" t="s">
        <v>6001</v>
      </c>
      <c r="B4562" s="7" t="str">
        <f>IFERROR(__xludf.DUMMYFUNCTION("SPLIT(A4562,"" "")"),"CC(C)C(C)N(CC1=CC(N(C)Cc2ccccn2)C=CN1)Cc1ccccn1")</f>
        <v>CC(C)C(C)N(CC1=CC(N(C)Cc2ccccn2)C=CN1)Cc1ccccn1</v>
      </c>
      <c r="C4562" s="7">
        <f>IFERROR(__xludf.DUMMYFUNCTION("""COMPUTED_VALUE"""),7.794715)</f>
        <v>7.794715</v>
      </c>
      <c r="D4562" s="7">
        <f>IFERROR(__xludf.DUMMYFUNCTION("""COMPUTED_VALUE"""),0.431372549019607)</f>
        <v>0.431372549</v>
      </c>
    </row>
    <row r="4563">
      <c r="A4563" s="10" t="s">
        <v>6002</v>
      </c>
      <c r="B4563" s="7" t="str">
        <f>IFERROR(__xludf.DUMMYFUNCTION("SPLIT(A4563,"" "")"),"CN1CCN(C)CCN(CCN(C)c2ccc3cccnc3c2)CC1")</f>
        <v>CN1CCN(C)CCN(CCN(C)c2ccc3cccnc3c2)CC1</v>
      </c>
      <c r="C4563" s="7">
        <f>IFERROR(__xludf.DUMMYFUNCTION("""COMPUTED_VALUE"""),7.794714)</f>
        <v>7.794714</v>
      </c>
      <c r="D4563" s="7">
        <f>IFERROR(__xludf.DUMMYFUNCTION("""COMPUTED_VALUE"""),0.387755102040816)</f>
        <v>0.387755102</v>
      </c>
    </row>
    <row r="4564">
      <c r="A4564" s="10" t="s">
        <v>6003</v>
      </c>
      <c r="B4564" s="7" t="str">
        <f>IFERROR(__xludf.DUMMYFUNCTION("SPLIT(A4564,"" "")"),"CNCc1ncccc1CN(Cc1ccccn1)C1CCCCC1N(C)Cc1nc(C)c(C)c(C)c1C")</f>
        <v>CNCc1ncccc1CN(Cc1ccccn1)C1CCCCC1N(C)Cc1nc(C)c(C)c(C)c1C</v>
      </c>
      <c r="C4564" s="7">
        <f>IFERROR(__xludf.DUMMYFUNCTION("""COMPUTED_VALUE"""),7.794714)</f>
        <v>7.794714</v>
      </c>
      <c r="D4564" s="7">
        <f>IFERROR(__xludf.DUMMYFUNCTION("""COMPUTED_VALUE"""),0.491525423728813)</f>
        <v>0.4915254237</v>
      </c>
    </row>
    <row r="4565">
      <c r="A4565" s="10" t="s">
        <v>6004</v>
      </c>
      <c r="B4565" s="7" t="str">
        <f>IFERROR(__xludf.DUMMYFUNCTION("SPLIT(A4565,"" "")"),"CC(C)CN(C)CC1=CC(N(C)Cc2ccccn2)C=CN1")</f>
        <v>CC(C)CN(C)CC1=CC(N(C)Cc2ccccn2)C=CN1</v>
      </c>
      <c r="C4565" s="7">
        <f>IFERROR(__xludf.DUMMYFUNCTION("""COMPUTED_VALUE"""),7.794709)</f>
        <v>7.794709</v>
      </c>
      <c r="D4565" s="7">
        <f>IFERROR(__xludf.DUMMYFUNCTION("""COMPUTED_VALUE"""),0.415094339622641)</f>
        <v>0.4150943396</v>
      </c>
    </row>
    <row r="4566">
      <c r="A4566" s="10" t="s">
        <v>6005</v>
      </c>
      <c r="B4566" s="7" t="str">
        <f>IFERROR(__xludf.DUMMYFUNCTION("SPLIT(A4566,"" "")"),"Cc1cccnc1CN(Cc1ccccn1)C1CCC(N(C)Cc2ccon2)CC1")</f>
        <v>Cc1cccnc1CN(Cc1ccccn1)C1CCC(N(C)Cc2ccon2)CC1</v>
      </c>
      <c r="C4566" s="7">
        <f>IFERROR(__xludf.DUMMYFUNCTION("""COMPUTED_VALUE"""),7.794707)</f>
        <v>7.794707</v>
      </c>
      <c r="D4566" s="7">
        <f>IFERROR(__xludf.DUMMYFUNCTION("""COMPUTED_VALUE"""),0.428571428571428)</f>
        <v>0.4285714286</v>
      </c>
    </row>
    <row r="4567">
      <c r="A4567" s="10" t="s">
        <v>6006</v>
      </c>
      <c r="B4567" s="7" t="str">
        <f>IFERROR(__xludf.DUMMYFUNCTION("SPLIT(A4567,"" "")"),"Cc1ccc(CN(Cc2ccccn2)C2CCC(N(C)Cc3cccc(C4CC(C)(C)C4)n3)CC2)nc1")</f>
        <v>Cc1ccc(CN(Cc2ccccn2)C2CCC(N(C)Cc3cccc(C4CC(C)(C)C4)n3)CC2)nc1</v>
      </c>
      <c r="C4567" s="7">
        <f>IFERROR(__xludf.DUMMYFUNCTION("""COMPUTED_VALUE"""),7.7947035)</f>
        <v>7.7947035</v>
      </c>
      <c r="D4567" s="7">
        <f>IFERROR(__xludf.DUMMYFUNCTION("""COMPUTED_VALUE"""),0.40983606557377)</f>
        <v>0.4098360656</v>
      </c>
    </row>
    <row r="4568">
      <c r="A4568" s="10" t="s">
        <v>6007</v>
      </c>
      <c r="B4568" s="7" t="str">
        <f>IFERROR(__xludf.DUMMYFUNCTION("SPLIT(A4568,"" "")"),"CC1=CCCC(C)=C1CN(C)C1CCCC(N(Cc2ccccn2)Cc2ncccc2C)C1N(C)Cc1ccccn1")</f>
        <v>CC1=CCCC(C)=C1CN(C)C1CCCC(N(Cc2ccccn2)Cc2ncccc2C)C1N(C)Cc1ccccn1</v>
      </c>
      <c r="C4568" s="7">
        <f>IFERROR(__xludf.DUMMYFUNCTION("""COMPUTED_VALUE"""),7.794698)</f>
        <v>7.794698</v>
      </c>
      <c r="D4568" s="7">
        <f>IFERROR(__xludf.DUMMYFUNCTION("""COMPUTED_VALUE"""),0.466666666666666)</f>
        <v>0.4666666667</v>
      </c>
    </row>
    <row r="4569">
      <c r="A4569" s="10" t="s">
        <v>6008</v>
      </c>
      <c r="B4569" s="7" t="str">
        <f>IFERROR(__xludf.DUMMYFUNCTION("SPLIT(A4569,"" "")"),"CC1CC(C)(C)C(C)C=C1N(C)Cc1ccccn1")</f>
        <v>CC1CC(C)(C)C(C)C=C1N(C)Cc1ccccn1</v>
      </c>
      <c r="C4569" s="7">
        <f>IFERROR(__xludf.DUMMYFUNCTION("""COMPUTED_VALUE"""),7.7946897)</f>
        <v>7.7946897</v>
      </c>
      <c r="D4569" s="7">
        <f>IFERROR(__xludf.DUMMYFUNCTION("""COMPUTED_VALUE"""),0.446808510638297)</f>
        <v>0.4468085106</v>
      </c>
    </row>
    <row r="4570">
      <c r="A4570" s="10" t="s">
        <v>6009</v>
      </c>
      <c r="B4570" s="7" t="str">
        <f>IFERROR(__xludf.DUMMYFUNCTION("SPLIT(A4570,"" "")"),"CC1=Cc2cccnc2C(N(C)C2CCCC(N(C)Cc3cc(C)ccn3)C2)C1")</f>
        <v>CC1=Cc2cccnc2C(N(C)C2CCCC(N(C)Cc3cc(C)ccn3)C2)C1</v>
      </c>
      <c r="C4570" s="7">
        <f>IFERROR(__xludf.DUMMYFUNCTION("""COMPUTED_VALUE"""),7.794684)</f>
        <v>7.794684</v>
      </c>
      <c r="D4570" s="7">
        <f>IFERROR(__xludf.DUMMYFUNCTION("""COMPUTED_VALUE"""),0.338709677419354)</f>
        <v>0.3387096774</v>
      </c>
    </row>
    <row r="4571">
      <c r="A4571" s="10" t="s">
        <v>6010</v>
      </c>
      <c r="B4571" s="7" t="str">
        <f>IFERROR(__xludf.DUMMYFUNCTION("SPLIT(A4571,"" "")"),"CN1CCN(Cc2cc(C(C)(C)C)ccn2)CCN(Cc2cccc(C3=NC(C)(C)CO3)n2)CC1")</f>
        <v>CN1CCN(Cc2cc(C(C)(C)C)ccn2)CCN(Cc2cccc(C3=NC(C)(C)CO3)n2)CC1</v>
      </c>
      <c r="C4571" s="7">
        <f>IFERROR(__xludf.DUMMYFUNCTION("""COMPUTED_VALUE"""),7.7946744)</f>
        <v>7.7946744</v>
      </c>
      <c r="D4571" s="7">
        <f>IFERROR(__xludf.DUMMYFUNCTION("""COMPUTED_VALUE"""),0.446428571428571)</f>
        <v>0.4464285714</v>
      </c>
    </row>
    <row r="4572">
      <c r="A4572" s="10" t="s">
        <v>6011</v>
      </c>
      <c r="B4572" s="7" t="str">
        <f>IFERROR(__xludf.DUMMYFUNCTION("SPLIT(A4572,"" "")"),"Fc1cccc(CN(Cc2ccccn2)C2CCCC(N(Cc3ccccn3)Cc3ccccn3)C2)n1")</f>
        <v>Fc1cccc(CN(Cc2ccccn2)C2CCCC(N(Cc3ccccn3)Cc3ccccn3)C2)n1</v>
      </c>
      <c r="C4572" s="7">
        <f>IFERROR(__xludf.DUMMYFUNCTION("""COMPUTED_VALUE"""),7.794662)</f>
        <v>7.794662</v>
      </c>
      <c r="D4572" s="7">
        <f>IFERROR(__xludf.DUMMYFUNCTION("""COMPUTED_VALUE"""),0.482142857142857)</f>
        <v>0.4821428571</v>
      </c>
    </row>
    <row r="4573">
      <c r="A4573" s="10" t="s">
        <v>6012</v>
      </c>
      <c r="B4573" s="7" t="str">
        <f>IFERROR(__xludf.DUMMYFUNCTION("SPLIT(A4573,"" "")"),"COC(C)c1cccc(CN(Cc2ccccn2)Cc2cc(-c3ccc4c(c3)OCCOCCOCCOCCOCCO4)ccn2)n1")</f>
        <v>COC(C)c1cccc(CN(Cc2ccccn2)Cc2cc(-c3ccc4c(c3)OCCOCCOCCOCCOCCO4)ccn2)n1</v>
      </c>
      <c r="C4573" s="7">
        <f>IFERROR(__xludf.DUMMYFUNCTION("""COMPUTED_VALUE"""),7.794661)</f>
        <v>7.794661</v>
      </c>
      <c r="D4573" s="7">
        <f>IFERROR(__xludf.DUMMYFUNCTION("""COMPUTED_VALUE"""),0.4)</f>
        <v>0.4</v>
      </c>
    </row>
    <row r="4574">
      <c r="A4574" s="10" t="s">
        <v>6013</v>
      </c>
      <c r="B4574" s="7" t="str">
        <f>IFERROR(__xludf.DUMMYFUNCTION("SPLIT(A4574,"" "")"),"CN(C)Cc1cccc(CN(Cc2ccccn2)Cc2cccc(-c3cccc4c3OCCOCCOCCOCCOCCO4)n2)n1")</f>
        <v>CN(C)Cc1cccc(CN(Cc2ccccn2)Cc2cccc(-c3cccc4c3OCCOCCOCCOCCOCCO4)n2)n1</v>
      </c>
      <c r="C4574" s="7">
        <f>IFERROR(__xludf.DUMMYFUNCTION("""COMPUTED_VALUE"""),7.7946587)</f>
        <v>7.7946587</v>
      </c>
      <c r="D4574" s="7">
        <f>IFERROR(__xludf.DUMMYFUNCTION("""COMPUTED_VALUE"""),0.43859649122807)</f>
        <v>0.4385964912</v>
      </c>
    </row>
    <row r="4575">
      <c r="A4575" s="10" t="s">
        <v>6014</v>
      </c>
      <c r="B4575" s="7" t="str">
        <f>IFERROR(__xludf.DUMMYFUNCTION("SPLIT(A4575,"" "")"),"Cc1cnc(CN(C)C2CCC(N(C)Cc3nc(C)c(C)cc3C)CC2)c(C)c1")</f>
        <v>Cc1cnc(CN(C)C2CCC(N(C)Cc3nc(C)c(C)cc3C)CC2)c(C)c1</v>
      </c>
      <c r="C4575" s="7">
        <f>IFERROR(__xludf.DUMMYFUNCTION("""COMPUTED_VALUE"""),7.794652)</f>
        <v>7.794652</v>
      </c>
      <c r="D4575" s="7">
        <f>IFERROR(__xludf.DUMMYFUNCTION("""COMPUTED_VALUE"""),0.333333333333333)</f>
        <v>0.3333333333</v>
      </c>
    </row>
    <row r="4576">
      <c r="A4576" s="10" t="s">
        <v>6015</v>
      </c>
      <c r="B4576" s="7" t="str">
        <f>IFERROR(__xludf.DUMMYFUNCTION("SPLIT(A4576,"" "")"),"CC1C=C(N(C)Cc2ccccn2)C(C)C(C)(C)C1")</f>
        <v>CC1C=C(N(C)Cc2ccccn2)C(C)C(C)(C)C1</v>
      </c>
      <c r="C4576" s="7">
        <f>IFERROR(__xludf.DUMMYFUNCTION("""COMPUTED_VALUE"""),7.794651)</f>
        <v>7.794651</v>
      </c>
      <c r="D4576" s="7">
        <f>IFERROR(__xludf.DUMMYFUNCTION("""COMPUTED_VALUE"""),0.446808510638297)</f>
        <v>0.4468085106</v>
      </c>
    </row>
    <row r="4577">
      <c r="A4577" s="10" t="s">
        <v>6016</v>
      </c>
      <c r="B4577" s="7" t="str">
        <f>IFERROR(__xludf.DUMMYFUNCTION("SPLIT(A4577,"" "")"),"Cc1cnc(CN(C)C2CCCCC2N(C)Cc2c(C)ncc(C)c2C)c(C)c1C")</f>
        <v>Cc1cnc(CN(C)C2CCCCC2N(C)Cc2c(C)ncc(C)c2C)c(C)c1C</v>
      </c>
      <c r="C4577" s="7">
        <f>IFERROR(__xludf.DUMMYFUNCTION("""COMPUTED_VALUE"""),7.794651)</f>
        <v>7.794651</v>
      </c>
      <c r="D4577" s="7">
        <f>IFERROR(__xludf.DUMMYFUNCTION("""COMPUTED_VALUE"""),0.468085106382978)</f>
        <v>0.4680851064</v>
      </c>
    </row>
    <row r="4578">
      <c r="A4578" s="10" t="s">
        <v>6017</v>
      </c>
      <c r="B4578" s="7" t="str">
        <f>IFERROR(__xludf.DUMMYFUNCTION("SPLIT(A4578,"" "")"),"Cc1cccc(CN(Cc2nc(C)c(C)c(C)c2C)C2CCCC(N(C)C)C2)n1")</f>
        <v>Cc1cccc(CN(Cc2nc(C)c(C)c(C)c2C)C2CCCC(N(C)C)C2)n1</v>
      </c>
      <c r="C4578" s="7">
        <f>IFERROR(__xludf.DUMMYFUNCTION("""COMPUTED_VALUE"""),7.794645)</f>
        <v>7.794645</v>
      </c>
      <c r="D4578" s="7">
        <f>IFERROR(__xludf.DUMMYFUNCTION("""COMPUTED_VALUE"""),0.461538461538461)</f>
        <v>0.4615384615</v>
      </c>
    </row>
    <row r="4579">
      <c r="A4579" s="10" t="s">
        <v>6018</v>
      </c>
      <c r="B4579" s="7" t="str">
        <f>IFERROR(__xludf.DUMMYFUNCTION("SPLIT(A4579,"" "")"),"CN1CCN(C)CCN(CCc2nc3ccccc3o2)CC1")</f>
        <v>CN1CCN(C)CCN(CCc2nc3ccccc3o2)CC1</v>
      </c>
      <c r="C4579" s="7">
        <f>IFERROR(__xludf.DUMMYFUNCTION("""COMPUTED_VALUE"""),7.7946367)</f>
        <v>7.7946367</v>
      </c>
      <c r="D4579" s="7">
        <f>IFERROR(__xludf.DUMMYFUNCTION("""COMPUTED_VALUE"""),0.434782608695652)</f>
        <v>0.4347826087</v>
      </c>
    </row>
    <row r="4580">
      <c r="A4580" s="10" t="s">
        <v>6019</v>
      </c>
      <c r="B4580" s="7" t="str">
        <f>IFERROR(__xludf.DUMMYFUNCTION("SPLIT(A4580,"" "")"),"Cc1cc(CN(C)C2CCC(N(C)Cc3ccccn3)CC2)ccc1NCc1ccccn1")</f>
        <v>Cc1cc(CN(C)C2CCC(N(C)Cc3ccccn3)CC2)ccc1NCc1ccccn1</v>
      </c>
      <c r="C4580" s="7">
        <f>IFERROR(__xludf.DUMMYFUNCTION("""COMPUTED_VALUE"""),7.794616)</f>
        <v>7.794616</v>
      </c>
      <c r="D4580" s="7">
        <f>IFERROR(__xludf.DUMMYFUNCTION("""COMPUTED_VALUE"""),0.461538461538461)</f>
        <v>0.4615384615</v>
      </c>
    </row>
    <row r="4581">
      <c r="A4581" s="10" t="s">
        <v>6020</v>
      </c>
      <c r="B4581" s="7" t="str">
        <f>IFERROR(__xludf.DUMMYFUNCTION("SPLIT(A4581,"" "")"),"CNCC(C)(C)c1ncccc1CN(Cc1ccccn1)C1CCCC(N(C)Cc2ncc(C)c(C)c2C)C1")</f>
        <v>CNCC(C)(C)c1ncccc1CN(Cc1ccccn1)C1CCCC(N(C)Cc2ncc(C)c(C)c2C)C1</v>
      </c>
      <c r="C4581" s="7">
        <f>IFERROR(__xludf.DUMMYFUNCTION("""COMPUTED_VALUE"""),7.7946134)</f>
        <v>7.7946134</v>
      </c>
      <c r="D4581" s="7">
        <f>IFERROR(__xludf.DUMMYFUNCTION("""COMPUTED_VALUE"""),0.347826086956521)</f>
        <v>0.347826087</v>
      </c>
    </row>
    <row r="4582">
      <c r="A4582" s="10" t="s">
        <v>6021</v>
      </c>
      <c r="B4582" s="7" t="str">
        <f>IFERROR(__xludf.DUMMYFUNCTION("SPLIT(A4582,"" "")"),"CCN(C)Cc1ncccc1CN(Cc1ccccn1)C1CCCC(N(C)Cc2nc(C)c(C)c(C)c2C)C1")</f>
        <v>CCN(C)Cc1ncccc1CN(Cc1ccccn1)C1CCCC(N(C)Cc2nc(C)c(C)c(C)c2C)C1</v>
      </c>
      <c r="C4582" s="7">
        <f>IFERROR(__xludf.DUMMYFUNCTION("""COMPUTED_VALUE"""),7.794606)</f>
        <v>7.794606</v>
      </c>
      <c r="D4582" s="7">
        <f>IFERROR(__xludf.DUMMYFUNCTION("""COMPUTED_VALUE"""),0.369230769230769)</f>
        <v>0.3692307692</v>
      </c>
    </row>
    <row r="4583">
      <c r="A4583" s="10" t="s">
        <v>6022</v>
      </c>
      <c r="B4583" s="7" t="str">
        <f>IFERROR(__xludf.DUMMYFUNCTION("SPLIT(A4583,"" "")"),"Cc1ccc(C)c(CN(C)C(C)C(C)N)n1")</f>
        <v>Cc1ccc(C)c(CN(C)C(C)C(C)N)n1</v>
      </c>
      <c r="C4583" s="7">
        <f>IFERROR(__xludf.DUMMYFUNCTION("""COMPUTED_VALUE"""),7.794597)</f>
        <v>7.794597</v>
      </c>
      <c r="D4583" s="7">
        <f>IFERROR(__xludf.DUMMYFUNCTION("""COMPUTED_VALUE"""),0.302325581395348)</f>
        <v>0.3023255814</v>
      </c>
    </row>
    <row r="4584">
      <c r="A4584" s="10" t="s">
        <v>6023</v>
      </c>
      <c r="B4584" s="7" t="str">
        <f>IFERROR(__xludf.DUMMYFUNCTION("SPLIT(A4584,"" "")"),"Cc1cccnc1CN(C)C1CCCC(N(Cc2cccc(F)n2)Cc2cccc(F)n2)C1")</f>
        <v>Cc1cccnc1CN(C)C1CCCC(N(Cc2cccc(F)n2)Cc2cccc(F)n2)C1</v>
      </c>
      <c r="C4584" s="7">
        <f>IFERROR(__xludf.DUMMYFUNCTION("""COMPUTED_VALUE"""),7.794596)</f>
        <v>7.794596</v>
      </c>
      <c r="D4584" s="7">
        <f>IFERROR(__xludf.DUMMYFUNCTION("""COMPUTED_VALUE"""),0.362068965517241)</f>
        <v>0.3620689655</v>
      </c>
    </row>
    <row r="4585">
      <c r="A4585" s="10" t="s">
        <v>6024</v>
      </c>
      <c r="B4585" s="7" t="str">
        <f>IFERROR(__xludf.DUMMYFUNCTION("SPLIT(A4585,"" "")"),"Cc1cc(C)c(CN(C)C2CCC(N(C)Cc3cncc(CN(C)C)c3)CC2)nc1C")</f>
        <v>Cc1cc(C)c(CN(C)C2CCC(N(C)Cc3cncc(CN(C)C)c3)CC2)nc1C</v>
      </c>
      <c r="C4585" s="7">
        <f>IFERROR(__xludf.DUMMYFUNCTION("""COMPUTED_VALUE"""),7.7945924)</f>
        <v>7.7945924</v>
      </c>
      <c r="D4585" s="7">
        <f>IFERROR(__xludf.DUMMYFUNCTION("""COMPUTED_VALUE"""),0.245614035087719)</f>
        <v>0.2456140351</v>
      </c>
    </row>
    <row r="4586">
      <c r="A4586" s="10" t="s">
        <v>6025</v>
      </c>
      <c r="B4586" s="7" t="str">
        <f>IFERROR(__xludf.DUMMYFUNCTION("SPLIT(A4586,"" "")"),"Cc1cncc(N(C)C2CCCC(N(C)Cc3ccccn3)C2)c1C")</f>
        <v>Cc1cncc(N(C)C2CCCC(N(C)Cc3ccccn3)C2)c1C</v>
      </c>
      <c r="C4586" s="7">
        <f>IFERROR(__xludf.DUMMYFUNCTION("""COMPUTED_VALUE"""),7.794589)</f>
        <v>7.794589</v>
      </c>
      <c r="D4586" s="7">
        <f>IFERROR(__xludf.DUMMYFUNCTION("""COMPUTED_VALUE"""),0.490196078431372)</f>
        <v>0.4901960784</v>
      </c>
    </row>
    <row r="4587">
      <c r="A4587" s="10" t="s">
        <v>6026</v>
      </c>
      <c r="B4587" s="7" t="str">
        <f>IFERROR(__xludf.DUMMYFUNCTION("SPLIT(A4587,"" "")"),"CN(CC1=CCC(N(C)Cc2ccccn2)=CN1)Cc1cncc(-c2cccc3c2OCCOCCOCCOCCOCCO3)c1")</f>
        <v>CN(CC1=CCC(N(C)Cc2ccccn2)=CN1)Cc1cncc(-c2cccc3c2OCCOCCOCCOCCOCCO3)c1</v>
      </c>
      <c r="C4587" s="7">
        <f>IFERROR(__xludf.DUMMYFUNCTION("""COMPUTED_VALUE"""),7.794589)</f>
        <v>7.794589</v>
      </c>
      <c r="D4587" s="7">
        <f>IFERROR(__xludf.DUMMYFUNCTION("""COMPUTED_VALUE"""),0.298701298701298)</f>
        <v>0.2987012987</v>
      </c>
    </row>
    <row r="4588">
      <c r="A4588" s="10" t="s">
        <v>6027</v>
      </c>
      <c r="B4588" s="7" t="str">
        <f>IFERROR(__xludf.DUMMYFUNCTION("SPLIT(A4588,"" "")"),"CN1CCN(C)CCN(Cc2cnccc2-c2ccc(N)cc2)CC1")</f>
        <v>CN1CCN(C)CCN(Cc2cnccc2-c2ccc(N)cc2)CC1</v>
      </c>
      <c r="C4588" s="7">
        <f>IFERROR(__xludf.DUMMYFUNCTION("""COMPUTED_VALUE"""),7.7945814)</f>
        <v>7.7945814</v>
      </c>
      <c r="D4588" s="7">
        <f>IFERROR(__xludf.DUMMYFUNCTION("""COMPUTED_VALUE"""),0.382978723404255)</f>
        <v>0.3829787234</v>
      </c>
    </row>
    <row r="4589">
      <c r="A4589" s="10" t="s">
        <v>6028</v>
      </c>
      <c r="B4589" s="7" t="str">
        <f>IFERROR(__xludf.DUMMYFUNCTION("SPLIT(A4589,"" "")"),"Cc1cccnc1CN(C)CN(Cc1ncccc1C)Cc1ncccc1-c1cccc2c1OCCOCCOCCOCCOCCO2")</f>
        <v>Cc1cccnc1CN(C)CN(Cc1ncccc1C)Cc1ncccc1-c1cccc2c1OCCOCCOCCOCCOCCO2</v>
      </c>
      <c r="C4589" s="7">
        <f>IFERROR(__xludf.DUMMYFUNCTION("""COMPUTED_VALUE"""),7.7945733)</f>
        <v>7.7945733</v>
      </c>
      <c r="D4589" s="7">
        <f>IFERROR(__xludf.DUMMYFUNCTION("""COMPUTED_VALUE"""),0.253968253968253)</f>
        <v>0.253968254</v>
      </c>
    </row>
    <row r="4590">
      <c r="A4590" s="10" t="s">
        <v>6029</v>
      </c>
      <c r="B4590" s="7" t="str">
        <f>IFERROR(__xludf.DUMMYFUNCTION("SPLIT(A4590,"" "")"),"CN(C)C1=CCC=C(CN(Cc2ccccn2)Cc2cccc(-c3cccc4c3OCCOCCOCCOCCOCCO4)n2)N1")</f>
        <v>CN(C)C1=CCC=C(CN(Cc2ccccn2)Cc2cccc(-c3cccc4c3OCCOCCOCCOCCOCCO4)n2)N1</v>
      </c>
      <c r="C4590" s="7">
        <f>IFERROR(__xludf.DUMMYFUNCTION("""COMPUTED_VALUE"""),7.794572)</f>
        <v>7.794572</v>
      </c>
      <c r="D4590" s="7">
        <f>IFERROR(__xludf.DUMMYFUNCTION("""COMPUTED_VALUE"""),0.385714285714285)</f>
        <v>0.3857142857</v>
      </c>
    </row>
    <row r="4591">
      <c r="A4591" s="10" t="s">
        <v>6030</v>
      </c>
      <c r="B4591" s="7" t="str">
        <f>IFERROR(__xludf.DUMMYFUNCTION("SPLIT(A4591,"" "")"),"CC(N)C(C)CN(Cc1ccccn1)Cc1ncccc1N")</f>
        <v>CC(N)C(C)CN(Cc1ccccn1)Cc1ncccc1N</v>
      </c>
      <c r="C4591" s="7">
        <f>IFERROR(__xludf.DUMMYFUNCTION("""COMPUTED_VALUE"""),7.79457)</f>
        <v>7.79457</v>
      </c>
      <c r="D4591" s="7">
        <f>IFERROR(__xludf.DUMMYFUNCTION("""COMPUTED_VALUE"""),0.463414634146341)</f>
        <v>0.4634146341</v>
      </c>
    </row>
    <row r="4592">
      <c r="A4592" s="10" t="s">
        <v>6031</v>
      </c>
      <c r="B4592" s="7" t="str">
        <f>IFERROR(__xludf.DUMMYFUNCTION("SPLIT(A4592,"" "")"),"CCNCC1=CC(N(C)Cc2cc(C)ccn2)C=CN1")</f>
        <v>CCNCC1=CC(N(C)Cc2cc(C)ccn2)C=CN1</v>
      </c>
      <c r="C4592" s="7">
        <f>IFERROR(__xludf.DUMMYFUNCTION("""COMPUTED_VALUE"""),7.7945695)</f>
        <v>7.7945695</v>
      </c>
      <c r="D4592" s="7">
        <f>IFERROR(__xludf.DUMMYFUNCTION("""COMPUTED_VALUE"""),0.290322580645161)</f>
        <v>0.2903225806</v>
      </c>
    </row>
    <row r="4593">
      <c r="A4593" s="10" t="s">
        <v>6032</v>
      </c>
      <c r="B4593" s="7" t="str">
        <f>IFERROR(__xludf.DUMMYFUNCTION("SPLIT(A4593,"" "")"),"Cc1cccnc1CN(C)C1CCC(N(Cc2ccccn2)Cc2cccc(C3CC(C)(C)C3)n2)CC1")</f>
        <v>Cc1cccnc1CN(C)C1CCC(N(Cc2ccccn2)Cc2cccc(C3CC(C)(C)C3)n2)CC1</v>
      </c>
      <c r="C4593" s="7">
        <f>IFERROR(__xludf.DUMMYFUNCTION("""COMPUTED_VALUE"""),7.7945495)</f>
        <v>7.7945495</v>
      </c>
      <c r="D4593" s="7">
        <f>IFERROR(__xludf.DUMMYFUNCTION("""COMPUTED_VALUE"""),0.370967741935483)</f>
        <v>0.3709677419</v>
      </c>
    </row>
    <row r="4594">
      <c r="A4594" s="10" t="s">
        <v>6033</v>
      </c>
      <c r="B4594" s="7" t="str">
        <f>IFERROR(__xludf.DUMMYFUNCTION("SPLIT(A4594,"" "")"),"CNCc1ncccc1N(C)C1CCCC(N(Cc2cccnc2)Cc2ccccn2)C1")</f>
        <v>CNCc1ncccc1N(C)C1CCCC(N(Cc2cccnc2)Cc2ccccn2)C1</v>
      </c>
      <c r="C4594" s="7">
        <f>IFERROR(__xludf.DUMMYFUNCTION("""COMPUTED_VALUE"""),7.7945433)</f>
        <v>7.7945433</v>
      </c>
      <c r="D4594" s="7">
        <f>IFERROR(__xludf.DUMMYFUNCTION("""COMPUTED_VALUE"""),0.365079365079365)</f>
        <v>0.3650793651</v>
      </c>
    </row>
    <row r="4595">
      <c r="A4595" s="10" t="s">
        <v>6034</v>
      </c>
      <c r="B4595" s="7" t="str">
        <f>IFERROR(__xludf.DUMMYFUNCTION("SPLIT(A4595,"" "")"),"CN(CC1=C(N(C)Cc2ccccn2)CC=CN1)Cc1cccc(-c2ccc3c(c2)OCCOCCOCCOCCOCCO3)n1")</f>
        <v>CN(CC1=C(N(C)Cc2ccccn2)CC=CN1)Cc1cccc(-c2ccc3c(c2)OCCOCCOCCOCCOCCO3)n1</v>
      </c>
      <c r="C4595" s="7">
        <f>IFERROR(__xludf.DUMMYFUNCTION("""COMPUTED_VALUE"""),7.7945404)</f>
        <v>7.7945404</v>
      </c>
      <c r="D4595" s="7">
        <f>IFERROR(__xludf.DUMMYFUNCTION("""COMPUTED_VALUE"""),0.417910447761194)</f>
        <v>0.4179104478</v>
      </c>
    </row>
    <row r="4596">
      <c r="A4596" s="10" t="s">
        <v>6035</v>
      </c>
      <c r="B4596" s="7" t="str">
        <f>IFERROR(__xludf.DUMMYFUNCTION("SPLIT(A4596,"" "")"),"Cc1ccc(C)c(CN(C)Cc2cc(-c3ccc4c(c3)OCCOCCOCCOCCOCCO4)ccn2)n1")</f>
        <v>Cc1ccc(C)c(CN(C)Cc2cc(-c3ccc4c(c3)OCCOCCOCCOCCOCCO4)ccn2)n1</v>
      </c>
      <c r="C4596" s="7">
        <f>IFERROR(__xludf.DUMMYFUNCTION("""COMPUTED_VALUE"""),7.794536)</f>
        <v>7.794536</v>
      </c>
      <c r="D4596" s="7">
        <f>IFERROR(__xludf.DUMMYFUNCTION("""COMPUTED_VALUE"""),0.36231884057971)</f>
        <v>0.3623188406</v>
      </c>
    </row>
    <row r="4597">
      <c r="A4597" s="10" t="s">
        <v>6036</v>
      </c>
      <c r="B4597" s="7" t="str">
        <f>IFERROR(__xludf.DUMMYFUNCTION("SPLIT(A4597,"" "")"),"COC(=O)C1CN(C)C(c2cccc(CN3CCN(C)CCN(C)CC3)n2)C(c2ccccn2)C1c1ccccn1")</f>
        <v>COC(=O)C1CN(C)C(c2cccc(CN3CCN(C)CCN(C)CC3)n2)C(c2ccccn2)C1c1ccccn1</v>
      </c>
      <c r="C4597" s="7">
        <f>IFERROR(__xludf.DUMMYFUNCTION("""COMPUTED_VALUE"""),7.7945266)</f>
        <v>7.7945266</v>
      </c>
      <c r="D4597" s="7">
        <f>IFERROR(__xludf.DUMMYFUNCTION("""COMPUTED_VALUE"""),0.448275862068965)</f>
        <v>0.4482758621</v>
      </c>
    </row>
    <row r="4598">
      <c r="A4598" s="10" t="s">
        <v>6037</v>
      </c>
      <c r="B4598" s="7" t="str">
        <f>IFERROR(__xludf.DUMMYFUNCTION("SPLIT(A4598,"" "")"),"CN(CCN)Cc1cncc(C(C)(C)C)c1")</f>
        <v>CN(CCN)Cc1cncc(C(C)(C)C)c1</v>
      </c>
      <c r="C4598" s="7">
        <f>IFERROR(__xludf.DUMMYFUNCTION("""COMPUTED_VALUE"""),7.794524)</f>
        <v>7.794524</v>
      </c>
      <c r="D4598" s="7">
        <f>IFERROR(__xludf.DUMMYFUNCTION("""COMPUTED_VALUE"""),0.272727272727272)</f>
        <v>0.2727272727</v>
      </c>
    </row>
    <row r="4599">
      <c r="A4599" s="10" t="s">
        <v>6038</v>
      </c>
      <c r="B4599" s="7" t="str">
        <f>IFERROR(__xludf.DUMMYFUNCTION("SPLIT(A4599,"" "")"),"Cc1cnc(CN(C)Cc2ncccc2-c2ccc3c(c2)OCCOCCOCCOCCOCCO3)c(C)c1")</f>
        <v>Cc1cnc(CN(C)Cc2ncccc2-c2ccc3c(c2)OCCOCCOCCOCCOCCO3)c(C)c1</v>
      </c>
      <c r="C4599" s="7">
        <f>IFERROR(__xludf.DUMMYFUNCTION("""COMPUTED_VALUE"""),7.794519)</f>
        <v>7.794519</v>
      </c>
      <c r="D4599" s="7">
        <f>IFERROR(__xludf.DUMMYFUNCTION("""COMPUTED_VALUE"""),0.338028169014084)</f>
        <v>0.338028169</v>
      </c>
    </row>
    <row r="4600">
      <c r="A4600" s="10" t="s">
        <v>6039</v>
      </c>
      <c r="B4600" s="7" t="str">
        <f>IFERROR(__xludf.DUMMYFUNCTION("SPLIT(A4600,"" "")"),"CN(CC1=CNC=C(N(C)Cc2ccccn2)C1)Cc1ccc(-c2cccc3c2OCCOCCOCCOCCOCCO3)cn1")</f>
        <v>CN(CC1=CNC=C(N(C)Cc2ccccn2)C1)Cc1ccc(-c2cccc3c2OCCOCCOCCOCCOCCO3)cn1</v>
      </c>
      <c r="C4600" s="7">
        <f>IFERROR(__xludf.DUMMYFUNCTION("""COMPUTED_VALUE"""),7.7945175)</f>
        <v>7.7945175</v>
      </c>
      <c r="D4600" s="7">
        <f>IFERROR(__xludf.DUMMYFUNCTION("""COMPUTED_VALUE"""),0.319444444444444)</f>
        <v>0.3194444444</v>
      </c>
    </row>
    <row r="4601">
      <c r="A4601" s="10" t="s">
        <v>6040</v>
      </c>
      <c r="B4601" s="7" t="str">
        <f>IFERROR(__xludf.DUMMYFUNCTION("SPLIT(A4601,"" "")"),"CNCN(Cc1ccc(N)cn1)C(C)C")</f>
        <v>CNCN(Cc1ccc(N)cn1)C(C)C</v>
      </c>
      <c r="C4601" s="7">
        <f>IFERROR(__xludf.DUMMYFUNCTION("""COMPUTED_VALUE"""),7.794516)</f>
        <v>7.794516</v>
      </c>
      <c r="D4601" s="7">
        <f>IFERROR(__xludf.DUMMYFUNCTION("""COMPUTED_VALUE"""),0.404761904761904)</f>
        <v>0.4047619048</v>
      </c>
    </row>
    <row r="4602">
      <c r="A4602" s="10" t="s">
        <v>6041</v>
      </c>
      <c r="B4602" s="7" t="str">
        <f>IFERROR(__xludf.DUMMYFUNCTION("SPLIT(A4602,"" "")"),"CC1(C)CC(c2cccc(CN(Cc3ccccn3)Cc3cccc(-c4ccc5c(c4)OCCOCCOCCOCCOCCO5)n3)n2)C1")</f>
        <v>CC1(C)CC(c2cccc(CN(Cc3ccccn3)Cc3cccc(-c4ccc5c(c4)OCCOCCOCCOCCOCCO5)n3)n2)C1</v>
      </c>
      <c r="C4602" s="7">
        <f>IFERROR(__xludf.DUMMYFUNCTION("""COMPUTED_VALUE"""),7.7945156)</f>
        <v>7.7945156</v>
      </c>
      <c r="D4602" s="7">
        <f>IFERROR(__xludf.DUMMYFUNCTION("""COMPUTED_VALUE"""),0.462686567164179)</f>
        <v>0.4626865672</v>
      </c>
    </row>
    <row r="4603">
      <c r="A4603" s="10" t="s">
        <v>6042</v>
      </c>
      <c r="B4603" s="7" t="str">
        <f>IFERROR(__xludf.DUMMYFUNCTION("SPLIT(A4603,"" "")"),"CC1=C(C)C(N(C)Cc2ccccn2)C(C)(C)CC1C")</f>
        <v>CC1=C(C)C(N(C)Cc2ccccn2)C(C)(C)CC1C</v>
      </c>
      <c r="C4603" s="7">
        <f>IFERROR(__xludf.DUMMYFUNCTION("""COMPUTED_VALUE"""),7.7945123)</f>
        <v>7.7945123</v>
      </c>
      <c r="D4603" s="7">
        <f>IFERROR(__xludf.DUMMYFUNCTION("""COMPUTED_VALUE"""),0.5)</f>
        <v>0.5</v>
      </c>
    </row>
    <row r="4604">
      <c r="A4604" s="10" t="s">
        <v>6043</v>
      </c>
      <c r="B4604" s="7" t="str">
        <f>IFERROR(__xludf.DUMMYFUNCTION("SPLIT(A4604,"" "")"),"CNC1CCCCC1N(Cc1nc(C)c(C)cc1C)Cc1nc(C)c(C)cc1C")</f>
        <v>CNC1CCCCC1N(Cc1nc(C)c(C)cc1C)Cc1nc(C)c(C)cc1C</v>
      </c>
      <c r="C4604" s="7">
        <f>IFERROR(__xludf.DUMMYFUNCTION("""COMPUTED_VALUE"""),7.7945104)</f>
        <v>7.7945104</v>
      </c>
      <c r="D4604" s="7">
        <f>IFERROR(__xludf.DUMMYFUNCTION("""COMPUTED_VALUE"""),0.313725490196078)</f>
        <v>0.3137254902</v>
      </c>
    </row>
    <row r="4605">
      <c r="A4605" s="10" t="s">
        <v>6044</v>
      </c>
      <c r="B4605" s="7" t="str">
        <f>IFERROR(__xludf.DUMMYFUNCTION("SPLIT(A4605,"" "")"),"Cc1cnc(CN(C)C2CCCC(N(C)Cc3cc(C)c(C)c(C)n3)C2)c(C)c1")</f>
        <v>Cc1cnc(CN(C)C2CCCC(N(C)Cc3cc(C)c(C)c(C)n3)C2)c(C)c1</v>
      </c>
      <c r="C4605" s="7">
        <f>IFERROR(__xludf.DUMMYFUNCTION("""COMPUTED_VALUE"""),7.794493)</f>
        <v>7.794493</v>
      </c>
      <c r="D4605" s="7">
        <f>IFERROR(__xludf.DUMMYFUNCTION("""COMPUTED_VALUE"""),0.363636363636363)</f>
        <v>0.3636363636</v>
      </c>
    </row>
    <row r="4606">
      <c r="A4606" s="10" t="s">
        <v>6045</v>
      </c>
      <c r="B4606" s="7" t="str">
        <f>IFERROR(__xludf.DUMMYFUNCTION("SPLIT(A4606,"" "")"),"Cc1ccc(C)c(CN(C)C2CCC(N(Cc3ccccn3)Cc3cccc(CF)n3)CC2)n1")</f>
        <v>Cc1ccc(C)c(CN(C)C2CCC(N(Cc3ccccn3)Cc3cccc(CF)n3)CC2)n1</v>
      </c>
      <c r="C4606" s="7">
        <f>IFERROR(__xludf.DUMMYFUNCTION("""COMPUTED_VALUE"""),7.7944818)</f>
        <v>7.7944818</v>
      </c>
      <c r="D4606" s="7">
        <f>IFERROR(__xludf.DUMMYFUNCTION("""COMPUTED_VALUE"""),0.396551724137931)</f>
        <v>0.3965517241</v>
      </c>
    </row>
    <row r="4607">
      <c r="A4607" s="10" t="s">
        <v>6046</v>
      </c>
      <c r="B4607" s="7" t="str">
        <f>IFERROR(__xludf.DUMMYFUNCTION("SPLIT(A4607,"" "")"),"Cc1cnc(CN(C)C2CCC(N(Cc3ccccn3)Cc3cccnc3CNC(C)C)CC2)c(C)c1C")</f>
        <v>Cc1cnc(CN(C)C2CCC(N(Cc3ccccn3)Cc3cccnc3CNC(C)C)CC2)c(C)c1C</v>
      </c>
      <c r="C4607" s="7">
        <f>IFERROR(__xludf.DUMMYFUNCTION("""COMPUTED_VALUE"""),7.7944803)</f>
        <v>7.7944803</v>
      </c>
      <c r="D4607" s="7">
        <f>IFERROR(__xludf.DUMMYFUNCTION("""COMPUTED_VALUE"""),0.375)</f>
        <v>0.375</v>
      </c>
    </row>
    <row r="4608">
      <c r="A4608" s="10" t="s">
        <v>6047</v>
      </c>
      <c r="B4608" s="7" t="str">
        <f>IFERROR(__xludf.DUMMYFUNCTION("SPLIT(A4608,"" "")"),"Cc1ccc(CN(C)C2CCC(N(Cc3ccccn3)Cc3cc(-c4ccc5c(c4)OCCOCCOCCOCCOCCO5)ccn3)C(N(C)Cc3cc(C)c(C)c(C)n3)C2)nc1C")</f>
        <v>Cc1ccc(CN(C)C2CCC(N(Cc3ccccn3)Cc3cc(-c4ccc5c(c4)OCCOCCOCCOCCOCCO5)ccn3)C(N(C)Cc3cc(C)c(C)c(C)n3)C2)nc1C</v>
      </c>
      <c r="C4608" s="7">
        <f>IFERROR(__xludf.DUMMYFUNCTION("""COMPUTED_VALUE"""),7.79448)</f>
        <v>7.79448</v>
      </c>
      <c r="D4608" s="7">
        <f>IFERROR(__xludf.DUMMYFUNCTION("""COMPUTED_VALUE"""),0.329113924050632)</f>
        <v>0.3291139241</v>
      </c>
    </row>
    <row r="4609">
      <c r="A4609" s="10" t="s">
        <v>6048</v>
      </c>
      <c r="B4609" s="7" t="str">
        <f>IFERROR(__xludf.DUMMYFUNCTION("SPLIT(A4609,"" "")"),"Cc1cncc(CN(C)C2CCCC(N(Cc3ccccn3)Cc3ncccc3C)C2N(Cc2ccccn2)C(C)C)c1")</f>
        <v>Cc1cncc(CN(C)C2CCCC(N(Cc3ccccn3)Cc3ncccc3C)C2N(Cc2ccccn2)C(C)C)c1</v>
      </c>
      <c r="C4609" s="7">
        <f>IFERROR(__xludf.DUMMYFUNCTION("""COMPUTED_VALUE"""),7.794478)</f>
        <v>7.794478</v>
      </c>
      <c r="D4609" s="7">
        <f>IFERROR(__xludf.DUMMYFUNCTION("""COMPUTED_VALUE"""),0.409090909090909)</f>
        <v>0.4090909091</v>
      </c>
    </row>
    <row r="4610">
      <c r="A4610" s="10" t="s">
        <v>6049</v>
      </c>
      <c r="B4610" s="7" t="str">
        <f>IFERROR(__xludf.DUMMYFUNCTION("SPLIT(A4610,"" "")"),"Cc1cnc(CN(C)Cc2cc(-c3ccc4c(c3)OCCOCCOCCOCCOCCO4)ccn2)c(C)c1")</f>
        <v>Cc1cnc(CN(C)Cc2cc(-c3ccc4c(c3)OCCOCCOCCOCCOCCO4)ccn2)c(C)c1</v>
      </c>
      <c r="C4610" s="7">
        <f>IFERROR(__xludf.DUMMYFUNCTION("""COMPUTED_VALUE"""),7.794466)</f>
        <v>7.794466</v>
      </c>
      <c r="D4610" s="7">
        <f>IFERROR(__xludf.DUMMYFUNCTION("""COMPUTED_VALUE"""),0.38235294117647)</f>
        <v>0.3823529412</v>
      </c>
    </row>
    <row r="4611">
      <c r="A4611" s="10" t="s">
        <v>6050</v>
      </c>
      <c r="B4611" s="7" t="str">
        <f>IFERROR(__xludf.DUMMYFUNCTION("SPLIT(A4611,"" "")"),"CCOC(C)c1ncccc1CN(Cc1ccccn1)Cc1cccc(-c2ccc3c(c2)OCCOCCOCCOCCOCCO3)n1")</f>
        <v>CCOC(C)c1ncccc1CN(Cc1ccccn1)Cc1cccc(-c2ccc3c(c2)OCCOCCOCCOCCOCCO3)n1</v>
      </c>
      <c r="C4611" s="7">
        <f>IFERROR(__xludf.DUMMYFUNCTION("""COMPUTED_VALUE"""),7.7944603)</f>
        <v>7.7944603</v>
      </c>
      <c r="D4611" s="7">
        <f>IFERROR(__xludf.DUMMYFUNCTION("""COMPUTED_VALUE"""),0.444444444444444)</f>
        <v>0.4444444444</v>
      </c>
    </row>
    <row r="4612">
      <c r="A4612" s="10" t="s">
        <v>6051</v>
      </c>
      <c r="B4612" s="7" t="str">
        <f>IFERROR(__xludf.DUMMYFUNCTION("SPLIT(A4612,"" "")"),"CCCN(C)Cc1cccc(CN(Cc2ccccn2)C2CCCC(N(C)Cc3nc(C)c(C)c(C)c3C)C2)n1")</f>
        <v>CCCN(C)Cc1cccc(CN(Cc2ccccn2)C2CCCC(N(C)Cc3nc(C)c(C)c(C)c3C)C2)n1</v>
      </c>
      <c r="C4612" s="7">
        <f>IFERROR(__xludf.DUMMYFUNCTION("""COMPUTED_VALUE"""),7.7944574)</f>
        <v>7.7944574</v>
      </c>
      <c r="D4612" s="7">
        <f>IFERROR(__xludf.DUMMYFUNCTION("""COMPUTED_VALUE"""),0.38095238095238)</f>
        <v>0.380952381</v>
      </c>
    </row>
    <row r="4613">
      <c r="A4613" s="10" t="s">
        <v>6052</v>
      </c>
      <c r="B4613" s="7" t="str">
        <f>IFERROR(__xludf.DUMMYFUNCTION("SPLIT(A4613,"" "")"),"Cc1ccc(CN(C)C2=CNC(CN(C)C3CC=CC(C)C3C)=CC2)nc1")</f>
        <v>Cc1ccc(CN(C)C2=CNC(CN(C)C3CC=CC(C)C3C)=CC2)nc1</v>
      </c>
      <c r="C4613" s="7">
        <f>IFERROR(__xludf.DUMMYFUNCTION("""COMPUTED_VALUE"""),7.7944546)</f>
        <v>7.7944546</v>
      </c>
      <c r="D4613" s="7">
        <f>IFERROR(__xludf.DUMMYFUNCTION("""COMPUTED_VALUE"""),0.416666666666666)</f>
        <v>0.4166666667</v>
      </c>
    </row>
    <row r="4614">
      <c r="A4614" s="10" t="s">
        <v>6053</v>
      </c>
      <c r="B4614" s="7" t="str">
        <f>IFERROR(__xludf.DUMMYFUNCTION("SPLIT(A4614,"" "")"),"CN1CCN(C)CCN(Cc2ncccc2-c2cccc(N)c2)CC1")</f>
        <v>CN1CCN(C)CCN(Cc2ncccc2-c2cccc(N)c2)CC1</v>
      </c>
      <c r="C4614" s="7">
        <f>IFERROR(__xludf.DUMMYFUNCTION("""COMPUTED_VALUE"""),7.7944493)</f>
        <v>7.7944493</v>
      </c>
      <c r="D4614" s="7">
        <f>IFERROR(__xludf.DUMMYFUNCTION("""COMPUTED_VALUE"""),0.446808510638297)</f>
        <v>0.4468085106</v>
      </c>
    </row>
    <row r="4615">
      <c r="A4615" s="10" t="s">
        <v>6054</v>
      </c>
      <c r="B4615" s="7" t="str">
        <f>IFERROR(__xludf.DUMMYFUNCTION("SPLIT(A4615,"" "")"),"CNCc1cc(CN(Cc2ccccn2)C2CCC(N(C)Cc3ncc(C)c(C)c3C)CC2)ccn1")</f>
        <v>CNCc1cc(CN(Cc2ccccn2)C2CCC(N(C)Cc3ncc(C)c(C)c3C)CC2)ccn1</v>
      </c>
      <c r="C4615" s="7">
        <f>IFERROR(__xludf.DUMMYFUNCTION("""COMPUTED_VALUE"""),7.794449)</f>
        <v>7.794449</v>
      </c>
      <c r="D4615" s="7">
        <f>IFERROR(__xludf.DUMMYFUNCTION("""COMPUTED_VALUE"""),0.370967741935483)</f>
        <v>0.3709677419</v>
      </c>
    </row>
    <row r="4616">
      <c r="A4616" s="10" t="s">
        <v>6055</v>
      </c>
      <c r="B4616" s="7" t="str">
        <f>IFERROR(__xludf.DUMMYFUNCTION("SPLIT(A4616,"" "")"),"Cc1cccnc1CN(C)C1CCCC(N(Cc2cncc(CN(C)C)c2)Cc2ccccn2)C1")</f>
        <v>Cc1cccnc1CN(C)C1CCCC(N(Cc2cncc(CN(C)C)c2)Cc2ccccn2)C1</v>
      </c>
      <c r="C4616" s="7">
        <f>IFERROR(__xludf.DUMMYFUNCTION("""COMPUTED_VALUE"""),7.7944436)</f>
        <v>7.7944436</v>
      </c>
      <c r="D4616" s="7">
        <f>IFERROR(__xludf.DUMMYFUNCTION("""COMPUTED_VALUE"""),0.393442622950819)</f>
        <v>0.393442623</v>
      </c>
    </row>
    <row r="4617">
      <c r="A4617" s="10" t="s">
        <v>6056</v>
      </c>
      <c r="B4617" s="7" t="str">
        <f>IFERROR(__xludf.DUMMYFUNCTION("SPLIT(A4617,"" "")"),"COC(=O)C1C(c2ccccn2)C(c2ccc(CN3CCN(C)CCN(C)CC3)cn2)CN(C)C1c1ccccn1")</f>
        <v>COC(=O)C1C(c2ccccn2)C(c2ccc(CN3CCN(C)CCN(C)CC3)cn2)CN(C)C1c1ccccn1</v>
      </c>
      <c r="C4617" s="7">
        <f>IFERROR(__xludf.DUMMYFUNCTION("""COMPUTED_VALUE"""),7.794441)</f>
        <v>7.794441</v>
      </c>
      <c r="D4617" s="7">
        <f>IFERROR(__xludf.DUMMYFUNCTION("""COMPUTED_VALUE"""),0.359375)</f>
        <v>0.359375</v>
      </c>
    </row>
    <row r="4618">
      <c r="A4618" s="10" t="s">
        <v>6057</v>
      </c>
      <c r="B4618" s="7" t="str">
        <f>IFERROR(__xludf.DUMMYFUNCTION("SPLIT(A4618,"" "")"),"Cc1cccnc1CN(Cc1ccccn1)C1CCC(N(C)Cc2cncc(C)c2C)CC1")</f>
        <v>Cc1cccnc1CN(Cc1ccccn1)C1CCC(N(C)Cc2cncc(C)c2C)CC1</v>
      </c>
      <c r="C4618" s="7">
        <f>IFERROR(__xludf.DUMMYFUNCTION("""COMPUTED_VALUE"""),7.7944407)</f>
        <v>7.7944407</v>
      </c>
      <c r="D4618" s="7">
        <f>IFERROR(__xludf.DUMMYFUNCTION("""COMPUTED_VALUE"""),0.396551724137931)</f>
        <v>0.3965517241</v>
      </c>
    </row>
    <row r="4619">
      <c r="A4619" s="10" t="s">
        <v>6058</v>
      </c>
      <c r="B4619" s="7" t="str">
        <f>IFERROR(__xludf.DUMMYFUNCTION("SPLIT(A4619,"" "")"),"CC1C=CCC(C)C1c1ccccc1CN(C)Cc1ccccn1")</f>
        <v>CC1C=CCC(C)C1c1ccccc1CN(C)Cc1ccccn1</v>
      </c>
      <c r="C4619" s="7">
        <f>IFERROR(__xludf.DUMMYFUNCTION("""COMPUTED_VALUE"""),7.794439)</f>
        <v>7.794439</v>
      </c>
      <c r="D4619" s="7">
        <f>IFERROR(__xludf.DUMMYFUNCTION("""COMPUTED_VALUE"""),0.415094339622641)</f>
        <v>0.4150943396</v>
      </c>
    </row>
    <row r="4620">
      <c r="A4620" s="10" t="s">
        <v>6059</v>
      </c>
      <c r="B4620" s="7" t="str">
        <f>IFERROR(__xludf.DUMMYFUNCTION("SPLIT(A4620,"" "")"),"CC1=C(C)C(C)(c2ccccn2)CC(C)C1C")</f>
        <v>CC1=C(C)C(C)(c2ccccn2)CC(C)C1C</v>
      </c>
      <c r="C4620" s="7">
        <f>IFERROR(__xludf.DUMMYFUNCTION("""COMPUTED_VALUE"""),7.794437)</f>
        <v>7.794437</v>
      </c>
      <c r="D4620" s="7">
        <f>IFERROR(__xludf.DUMMYFUNCTION("""COMPUTED_VALUE"""),0.265306122448979)</f>
        <v>0.2653061224</v>
      </c>
    </row>
    <row r="4621">
      <c r="A4621" s="10" t="s">
        <v>6060</v>
      </c>
      <c r="B4621" s="7" t="str">
        <f>IFERROR(__xludf.DUMMYFUNCTION("SPLIT(A4621,"" "")"),"CCNCC1=CC(N(C)Cc2cccc(C)n2)C=CN1")</f>
        <v>CCNCC1=CC(N(C)Cc2cccc(C)n2)C=CN1</v>
      </c>
      <c r="C4621" s="7">
        <f>IFERROR(__xludf.DUMMYFUNCTION("""COMPUTED_VALUE"""),7.794432)</f>
        <v>7.794432</v>
      </c>
      <c r="D4621" s="7">
        <f>IFERROR(__xludf.DUMMYFUNCTION("""COMPUTED_VALUE"""),0.433962264150943)</f>
        <v>0.4339622642</v>
      </c>
    </row>
    <row r="4622">
      <c r="A4622" s="10" t="s">
        <v>6061</v>
      </c>
      <c r="B4622" s="7" t="str">
        <f>IFERROR(__xludf.DUMMYFUNCTION("SPLIT(A4622,"" "")"),"Cc1ccccc1-c1cc(CN2CCN(C)CCN(C)CC2)ccn1")</f>
        <v>Cc1ccccc1-c1cc(CN2CCN(C)CCN(C)CC2)ccn1</v>
      </c>
      <c r="C4622" s="7">
        <f>IFERROR(__xludf.DUMMYFUNCTION("""COMPUTED_VALUE"""),7.7944174)</f>
        <v>7.7944174</v>
      </c>
      <c r="D4622" s="7">
        <f>IFERROR(__xludf.DUMMYFUNCTION("""COMPUTED_VALUE"""),0.478260869565217)</f>
        <v>0.4782608696</v>
      </c>
    </row>
    <row r="4623">
      <c r="A4623" s="10" t="s">
        <v>6062</v>
      </c>
      <c r="B4623" s="7" t="str">
        <f>IFERROR(__xludf.DUMMYFUNCTION("SPLIT(A4623,"" "")"),"CCNCc1cccc(C(C)(C)C)n1")</f>
        <v>CCNCc1cccc(C(C)(C)C)n1</v>
      </c>
      <c r="C4623" s="7">
        <f>IFERROR(__xludf.DUMMYFUNCTION("""COMPUTED_VALUE"""),7.794414)</f>
        <v>7.794414</v>
      </c>
      <c r="D4623" s="7">
        <f>IFERROR(__xludf.DUMMYFUNCTION("""COMPUTED_VALUE"""),0.326530612244897)</f>
        <v>0.3265306122</v>
      </c>
    </row>
    <row r="4624">
      <c r="A4624" s="10" t="s">
        <v>6063</v>
      </c>
      <c r="B4624" s="7" t="str">
        <f>IFERROR(__xludf.DUMMYFUNCTION("SPLIT(A4624,"" "")"),"CCNCc1cccc(CN(Cc2cccc(C)n2)C2CCC(N(C)Cc3cc(C)c(C)c(C)n3)CC2)n1")</f>
        <v>CCNCc1cccc(CN(Cc2cccc(C)n2)C2CCC(N(C)Cc3cc(C)c(C)c(C)n3)CC2)n1</v>
      </c>
      <c r="C4624" s="7">
        <f>IFERROR(__xludf.DUMMYFUNCTION("""COMPUTED_VALUE"""),7.794408)</f>
        <v>7.794408</v>
      </c>
      <c r="D4624" s="7">
        <f>IFERROR(__xludf.DUMMYFUNCTION("""COMPUTED_VALUE"""),0.423728813559322)</f>
        <v>0.4237288136</v>
      </c>
    </row>
    <row r="4625">
      <c r="A4625" s="10" t="s">
        <v>6064</v>
      </c>
      <c r="B4625" s="7" t="str">
        <f>IFERROR(__xludf.DUMMYFUNCTION("SPLIT(A4625,"" "")"),"CN(C)Cc1ccc(CN(Cc2ccccn2)Cc2cccc(-c3cccc4c3OCCOCCOCCOCCOCCO4)n2)cn1")</f>
        <v>CN(C)Cc1ccc(CN(Cc2ccccn2)Cc2cccc(-c3cccc4c3OCCOCCOCCOCCOCCO4)n2)cn1</v>
      </c>
      <c r="C4625" s="7">
        <f>IFERROR(__xludf.DUMMYFUNCTION("""COMPUTED_VALUE"""),7.7944074)</f>
        <v>7.7944074</v>
      </c>
      <c r="D4625" s="7">
        <f>IFERROR(__xludf.DUMMYFUNCTION("""COMPUTED_VALUE"""),0.412698412698412)</f>
        <v>0.4126984127</v>
      </c>
    </row>
    <row r="4626">
      <c r="A4626" s="10" t="s">
        <v>6065</v>
      </c>
      <c r="B4626" s="7" t="str">
        <f>IFERROR(__xludf.DUMMYFUNCTION("SPLIT(A4626,"" "")"),"CC(C)N(C)CCN(C(C)C)C(C)C")</f>
        <v>CC(C)N(C)CCN(C(C)C)C(C)C</v>
      </c>
      <c r="C4626" s="7">
        <f>IFERROR(__xludf.DUMMYFUNCTION("""COMPUTED_VALUE"""),7.794398)</f>
        <v>7.794398</v>
      </c>
      <c r="D4626" s="7">
        <f>IFERROR(__xludf.DUMMYFUNCTION("""COMPUTED_VALUE"""),0.194444444444444)</f>
        <v>0.1944444444</v>
      </c>
    </row>
    <row r="4627">
      <c r="A4627" s="10" t="s">
        <v>6066</v>
      </c>
      <c r="B4627" s="7" t="str">
        <f>IFERROR(__xludf.DUMMYFUNCTION("SPLIT(A4627,"" "")"),"CNCc1ncccc1CN(Cc1ccccn1)C1CCC(N(C)Cc2ncc(C)c(C)c2C)CC1")</f>
        <v>CNCc1ncccc1CN(Cc1ccccn1)C1CCC(N(C)Cc2ncc(C)c(C)c2C)CC1</v>
      </c>
      <c r="C4627" s="7">
        <f>IFERROR(__xludf.DUMMYFUNCTION("""COMPUTED_VALUE"""),7.7943916)</f>
        <v>7.7943916</v>
      </c>
      <c r="D4627" s="7">
        <f>IFERROR(__xludf.DUMMYFUNCTION("""COMPUTED_VALUE"""),0.370967741935483)</f>
        <v>0.3709677419</v>
      </c>
    </row>
    <row r="4628">
      <c r="A4628" s="10" t="s">
        <v>6067</v>
      </c>
      <c r="B4628" s="7" t="str">
        <f>IFERROR(__xludf.DUMMYFUNCTION("SPLIT(A4628,"" "")"),"Cc1cc(CN(C)CCN2CCN(C)CCN(Cc3ccc4cccnc4c3)CC2)cnc1C")</f>
        <v>Cc1cc(CN(C)CCN2CCN(C)CCN(Cc3ccc4cccnc4c3)CC2)cnc1C</v>
      </c>
      <c r="C4628" s="7">
        <f>IFERROR(__xludf.DUMMYFUNCTION("""COMPUTED_VALUE"""),7.7943907)</f>
        <v>7.7943907</v>
      </c>
      <c r="D4628" s="7">
        <f>IFERROR(__xludf.DUMMYFUNCTION("""COMPUTED_VALUE"""),0.344262295081967)</f>
        <v>0.3442622951</v>
      </c>
    </row>
    <row r="4629">
      <c r="A4629" s="10" t="s">
        <v>6068</v>
      </c>
      <c r="B4629" s="7" t="str">
        <f>IFERROR(__xludf.DUMMYFUNCTION("SPLIT(A4629,"" "")"),"CC(C)N(CC1=CCC=C(N(C)Cc2cccc(-c3ccc4c(c3)OCCOCCOCCOCCOCCO4)n2)N1)Cc1ccccn1")</f>
        <v>CC(C)N(CC1=CCC=C(N(C)Cc2cccc(-c3ccc4c(c3)OCCOCCOCCOCCOCCO4)n2)N1)Cc1ccccn1</v>
      </c>
      <c r="C4629" s="7">
        <f>IFERROR(__xludf.DUMMYFUNCTION("""COMPUTED_VALUE"""),7.7943845)</f>
        <v>7.7943845</v>
      </c>
      <c r="D4629" s="7">
        <f>IFERROR(__xludf.DUMMYFUNCTION("""COMPUTED_VALUE"""),0.354430379746835)</f>
        <v>0.3544303797</v>
      </c>
    </row>
    <row r="4630">
      <c r="A4630" s="10" t="s">
        <v>6069</v>
      </c>
      <c r="B4630" s="7" t="str">
        <f>IFERROR(__xludf.DUMMYFUNCTION("SPLIT(A4630,"" "")"),"CC(C)N(C)CC1=CCC(N(C)C(C)C)=CN1")</f>
        <v>CC(C)N(C)CC1=CCC(N(C)C(C)C)=CN1</v>
      </c>
      <c r="C4630" s="7">
        <f>IFERROR(__xludf.DUMMYFUNCTION("""COMPUTED_VALUE"""),7.794382)</f>
        <v>7.794382</v>
      </c>
      <c r="D4630" s="7">
        <f>IFERROR(__xludf.DUMMYFUNCTION("""COMPUTED_VALUE"""),0.208333333333333)</f>
        <v>0.2083333333</v>
      </c>
    </row>
    <row r="4631">
      <c r="A4631" s="10" t="s">
        <v>6070</v>
      </c>
      <c r="B4631" s="7" t="str">
        <f>IFERROR(__xludf.DUMMYFUNCTION("SPLIT(A4631,"" "")"),"CC(c1ccccn1)C1C=CNC=C1")</f>
        <v>CC(c1ccccn1)C1C=CNC=C1</v>
      </c>
      <c r="C4631" s="7">
        <f>IFERROR(__xludf.DUMMYFUNCTION("""COMPUTED_VALUE"""),7.7943783)</f>
        <v>7.7943783</v>
      </c>
      <c r="D4631" s="7">
        <f>IFERROR(__xludf.DUMMYFUNCTION("""COMPUTED_VALUE"""),0.340425531914893)</f>
        <v>0.3404255319</v>
      </c>
    </row>
    <row r="4632">
      <c r="A4632" s="10" t="s">
        <v>6071</v>
      </c>
      <c r="B4632" s="7" t="str">
        <f>IFERROR(__xludf.DUMMYFUNCTION("SPLIT(A4632,"" "")"),"Cc1ccc(CN(C)Cc2ccccn2)c(CN(C)Cc2cccc(-c3ccc4c(c3)OCCOCCOCCOCCOCCO4)n2)c1")</f>
        <v>Cc1ccc(CN(C)Cc2ccccn2)c(CN(C)Cc2cccc(-c3ccc4c(c3)OCCOCCOCCOCCOCCO4)n2)c1</v>
      </c>
      <c r="C4632" s="7">
        <f>IFERROR(__xludf.DUMMYFUNCTION("""COMPUTED_VALUE"""),7.794378)</f>
        <v>7.794378</v>
      </c>
      <c r="D4632" s="7">
        <f>IFERROR(__xludf.DUMMYFUNCTION("""COMPUTED_VALUE"""),0.47457627118644)</f>
        <v>0.4745762712</v>
      </c>
    </row>
    <row r="4633">
      <c r="A4633" s="10" t="s">
        <v>6072</v>
      </c>
      <c r="B4633" s="7" t="str">
        <f>IFERROR(__xludf.DUMMYFUNCTION("SPLIT(A4633,"" "")"),"CN1CCN(Cc2cc(C(C)(C)c3ccccn3)ccn2)CCN(Cc2cccc(C3CC(C)(C)C3)n2)CC1")</f>
        <v>CN1CCN(Cc2cc(C(C)(C)c3ccccn3)ccn2)CCN(Cc2cccc(C3CC(C)(C)C3)n2)CC1</v>
      </c>
      <c r="C4633" s="7">
        <f>IFERROR(__xludf.DUMMYFUNCTION("""COMPUTED_VALUE"""),7.794376)</f>
        <v>7.794376</v>
      </c>
      <c r="D4633" s="7">
        <f>IFERROR(__xludf.DUMMYFUNCTION("""COMPUTED_VALUE"""),0.457627118644067)</f>
        <v>0.4576271186</v>
      </c>
    </row>
    <row r="4634">
      <c r="A4634" s="10" t="s">
        <v>6073</v>
      </c>
      <c r="B4634" s="7" t="str">
        <f>IFERROR(__xludf.DUMMYFUNCTION("SPLIT(A4634,"" "")"),"Cc1cnc(CN(C)C2CCCC(N(C)Cc3nc(C)cc(C)c3C)C2)c(C)c1")</f>
        <v>Cc1cnc(CN(C)C2CCCC(N(C)Cc3nc(C)cc(C)c3C)C2)c(C)c1</v>
      </c>
      <c r="C4634" s="7">
        <f>IFERROR(__xludf.DUMMYFUNCTION("""COMPUTED_VALUE"""),7.794374)</f>
        <v>7.794374</v>
      </c>
      <c r="D4634" s="7">
        <f>IFERROR(__xludf.DUMMYFUNCTION("""COMPUTED_VALUE"""),0.327272727272727)</f>
        <v>0.3272727273</v>
      </c>
    </row>
    <row r="4635">
      <c r="A4635" s="10" t="s">
        <v>6074</v>
      </c>
      <c r="B4635" s="7" t="str">
        <f>IFERROR(__xludf.DUMMYFUNCTION("SPLIT(A4635,"" "")"),"CC(N)C(C)N(Cc1ccccn1)C(C)(N)N(Cc1ccccn1)C(C)C")</f>
        <v>CC(N)C(C)N(Cc1ccccn1)C(C)(N)N(Cc1ccccn1)C(C)C</v>
      </c>
      <c r="C4635" s="7">
        <f>IFERROR(__xludf.DUMMYFUNCTION("""COMPUTED_VALUE"""),7.794372)</f>
        <v>7.794372</v>
      </c>
      <c r="D4635" s="7">
        <f>IFERROR(__xludf.DUMMYFUNCTION("""COMPUTED_VALUE"""),0.488372093023255)</f>
        <v>0.488372093</v>
      </c>
    </row>
    <row r="4636">
      <c r="A4636" s="10" t="s">
        <v>6075</v>
      </c>
      <c r="B4636" s="7" t="str">
        <f>IFERROR(__xludf.DUMMYFUNCTION("SPLIT(A4636,"" "")"),"CC(C)c1cc(CN2CCN(C)CCN(Cc3ccc(C(C)(C)c4ccccn4)cn3)CC2)ccn1")</f>
        <v>CC(C)c1cc(CN2CCN(C)CCN(Cc3ccc(C(C)(C)c4ccccn4)cn3)CC2)ccn1</v>
      </c>
      <c r="C4636" s="7">
        <f>IFERROR(__xludf.DUMMYFUNCTION("""COMPUTED_VALUE"""),7.7943716)</f>
        <v>7.7943716</v>
      </c>
      <c r="D4636" s="7">
        <f>IFERROR(__xludf.DUMMYFUNCTION("""COMPUTED_VALUE"""),0.456140350877192)</f>
        <v>0.4561403509</v>
      </c>
    </row>
    <row r="4637">
      <c r="A4637" s="10" t="s">
        <v>6076</v>
      </c>
      <c r="B4637" s="7" t="str">
        <f>IFERROR(__xludf.DUMMYFUNCTION("SPLIT(A4637,"" "")"),"CNc1ccc(CN(C)C2CCCC(N(C)Cc3cc(C)c(C)c(C)n3)C2)nc1")</f>
        <v>CNc1ccc(CN(C)C2CCCC(N(C)Cc3cc(C)c(C)c(C)n3)C2)nc1</v>
      </c>
      <c r="C4637" s="7">
        <f>IFERROR(__xludf.DUMMYFUNCTION("""COMPUTED_VALUE"""),7.7943563)</f>
        <v>7.7943563</v>
      </c>
      <c r="D4637" s="7">
        <f>IFERROR(__xludf.DUMMYFUNCTION("""COMPUTED_VALUE"""),0.392857142857142)</f>
        <v>0.3928571429</v>
      </c>
    </row>
    <row r="4638">
      <c r="A4638" s="10" t="s">
        <v>6077</v>
      </c>
      <c r="B4638" s="7" t="str">
        <f>IFERROR(__xludf.DUMMYFUNCTION("SPLIT(A4638,"" "")"),"COCc1cc2c(c(-c3ncccc3CN(Cc3ccccn3)Cc3ccccn3)c1)OCCOCCOCCOCCOCCO2")</f>
        <v>COCc1cc2c(c(-c3ncccc3CN(Cc3ccccn3)Cc3ccccn3)c1)OCCOCCOCCOCCOCCO2</v>
      </c>
      <c r="C4638" s="7">
        <f>IFERROR(__xludf.DUMMYFUNCTION("""COMPUTED_VALUE"""),7.794354)</f>
        <v>7.794354</v>
      </c>
      <c r="D4638" s="7">
        <f>IFERROR(__xludf.DUMMYFUNCTION("""COMPUTED_VALUE"""),0.357142857142857)</f>
        <v>0.3571428571</v>
      </c>
    </row>
    <row r="4639">
      <c r="A4639" s="10" t="s">
        <v>6078</v>
      </c>
      <c r="B4639" s="7" t="str">
        <f>IFERROR(__xludf.DUMMYFUNCTION("SPLIT(A4639,"" "")"),"CC(C)C(C)(c1cccnc1)N(C)CC1=CCC=CN1")</f>
        <v>CC(C)C(C)(c1cccnc1)N(C)CC1=CCC=CN1</v>
      </c>
      <c r="C4639" s="7">
        <f>IFERROR(__xludf.DUMMYFUNCTION("""COMPUTED_VALUE"""),7.7943397)</f>
        <v>7.7943397</v>
      </c>
      <c r="D4639" s="7">
        <f>IFERROR(__xludf.DUMMYFUNCTION("""COMPUTED_VALUE"""),0.403508771929824)</f>
        <v>0.4035087719</v>
      </c>
    </row>
    <row r="4640">
      <c r="A4640" s="10" t="s">
        <v>6079</v>
      </c>
      <c r="B4640" s="7" t="str">
        <f>IFERROR(__xludf.DUMMYFUNCTION("SPLIT(A4640,"" "")"),"Cc1cccnc1CN(C)C1CCCC(N(C)CC2=CCC(N(C)Cc3ccccn3)=CN2)C1")</f>
        <v>Cc1cccnc1CN(C)C1CCCC(N(C)CC2=CCC(N(C)Cc3ccccn3)=CN2)C1</v>
      </c>
      <c r="C4640" s="7">
        <f>IFERROR(__xludf.DUMMYFUNCTION("""COMPUTED_VALUE"""),7.794335)</f>
        <v>7.794335</v>
      </c>
      <c r="D4640" s="7">
        <f>IFERROR(__xludf.DUMMYFUNCTION("""COMPUTED_VALUE"""),0.393442622950819)</f>
        <v>0.393442623</v>
      </c>
    </row>
    <row r="4641">
      <c r="A4641" s="10" t="s">
        <v>6080</v>
      </c>
      <c r="B4641" s="7" t="str">
        <f>IFERROR(__xludf.DUMMYFUNCTION("SPLIT(A4641,"" "")"),"CNCc1cccc(CN(Cc2ccccn2)C2CCC(N(C)Cc3ncc(C)c(C)c3C)CC2)n1")</f>
        <v>CNCc1cccc(CN(Cc2ccccn2)C2CCC(N(C)Cc3ncc(C)c(C)c3C)CC2)n1</v>
      </c>
      <c r="C4641" s="7">
        <f>IFERROR(__xludf.DUMMYFUNCTION("""COMPUTED_VALUE"""),7.7942977)</f>
        <v>7.7942977</v>
      </c>
      <c r="D4641" s="7">
        <f>IFERROR(__xludf.DUMMYFUNCTION("""COMPUTED_VALUE"""),0.383333333333333)</f>
        <v>0.3833333333</v>
      </c>
    </row>
    <row r="4642">
      <c r="A4642" s="10" t="s">
        <v>6081</v>
      </c>
      <c r="B4642" s="7" t="str">
        <f>IFERROR(__xludf.DUMMYFUNCTION("SPLIT(A4642,"" "")"),"C=CCNCc1cccc(C(C)(C)C)n1")</f>
        <v>C=CCNCc1cccc(C(C)(C)C)n1</v>
      </c>
      <c r="C4642" s="7">
        <f>IFERROR(__xludf.DUMMYFUNCTION("""COMPUTED_VALUE"""),7.794297)</f>
        <v>7.794297</v>
      </c>
      <c r="D4642" s="7">
        <f>IFERROR(__xludf.DUMMYFUNCTION("""COMPUTED_VALUE"""),0.285714285714285)</f>
        <v>0.2857142857</v>
      </c>
    </row>
    <row r="4643">
      <c r="A4643" s="10" t="s">
        <v>6082</v>
      </c>
      <c r="B4643" s="7" t="str">
        <f>IFERROR(__xludf.DUMMYFUNCTION("SPLIT(A4643,"" "")"),"CCCNCc1ccccc1CN(C)Cc1ccccn1")</f>
        <v>CCCNCc1ccccc1CN(C)Cc1ccccn1</v>
      </c>
      <c r="C4643" s="7">
        <f>IFERROR(__xludf.DUMMYFUNCTION("""COMPUTED_VALUE"""),7.794289)</f>
        <v>7.794289</v>
      </c>
      <c r="D4643" s="7">
        <f>IFERROR(__xludf.DUMMYFUNCTION("""COMPUTED_VALUE"""),0.478260869565217)</f>
        <v>0.4782608696</v>
      </c>
    </row>
    <row r="4644">
      <c r="A4644" s="10" t="s">
        <v>6083</v>
      </c>
      <c r="B4644" s="7" t="str">
        <f>IFERROR(__xludf.DUMMYFUNCTION("SPLIT(A4644,"" "")"),"Cc1ccc(CN(C)Cc2cccc(N(C)C(C)(C)c3ccc(CN(C)C4CCC(N(C)Cc5cccc(-c6ccc7c(c6)OCCOCCOCCOCCOCCO7)n5)CC4)nc3)n2)nc1")</f>
        <v>Cc1ccc(CN(C)Cc2cccc(N(C)C(C)(C)c3ccc(CN(C)C4CCC(N(C)Cc5cccc(-c6ccc7c(c6)OCCOCCOCCOCCOCCO7)n5)CC4)nc3)n2)nc1</v>
      </c>
      <c r="C4644" s="7">
        <f>IFERROR(__xludf.DUMMYFUNCTION("""COMPUTED_VALUE"""),7.794288)</f>
        <v>7.794288</v>
      </c>
      <c r="D4644" s="7">
        <f>IFERROR(__xludf.DUMMYFUNCTION("""COMPUTED_VALUE"""),0.333333333333333)</f>
        <v>0.3333333333</v>
      </c>
    </row>
    <row r="4645">
      <c r="A4645" s="10" t="s">
        <v>6084</v>
      </c>
      <c r="B4645" s="7" t="str">
        <f>IFERROR(__xludf.DUMMYFUNCTION("SPLIT(A4645,"" "")"),"Cc1cncc(CN(Cc2ccccn2)C2CCC(N(C)Cc3ccc(C)c(C)n3)CC2)c1")</f>
        <v>Cc1cncc(CN(Cc2ccccn2)C2CCC(N(C)Cc3ccc(C)c(C)n3)CC2)c1</v>
      </c>
      <c r="C4645" s="7">
        <f>IFERROR(__xludf.DUMMYFUNCTION("""COMPUTED_VALUE"""),7.7942657)</f>
        <v>7.7942657</v>
      </c>
      <c r="D4645" s="7">
        <f>IFERROR(__xludf.DUMMYFUNCTION("""COMPUTED_VALUE"""),0.4)</f>
        <v>0.4</v>
      </c>
    </row>
    <row r="4646">
      <c r="A4646" s="10" t="s">
        <v>6085</v>
      </c>
      <c r="B4646" s="7" t="str">
        <f>IFERROR(__xludf.DUMMYFUNCTION("SPLIT(A4646,"" "")"),"CNCN(Cc1ncccc1N)C(C)C")</f>
        <v>CNCN(Cc1ncccc1N)C(C)C</v>
      </c>
      <c r="C4646" s="7">
        <f>IFERROR(__xludf.DUMMYFUNCTION("""COMPUTED_VALUE"""),7.794247)</f>
        <v>7.794247</v>
      </c>
      <c r="D4646" s="7">
        <f>IFERROR(__xludf.DUMMYFUNCTION("""COMPUTED_VALUE"""),0.428571428571428)</f>
        <v>0.4285714286</v>
      </c>
    </row>
    <row r="4647">
      <c r="A4647" s="10" t="s">
        <v>6086</v>
      </c>
      <c r="B4647" s="7" t="str">
        <f>IFERROR(__xludf.DUMMYFUNCTION("SPLIT(A4647,"" "")"),"Cc1cnc(CN(C)C2CC(N(C)Cc3cc(-c4ccc5c(c4)OCCOCCOCCOCCOCCO5)ccn3)CCC2N(Cc2ccc(N)cn2)Cc2ccc(C)c(C)n2)cc1C")</f>
        <v>Cc1cnc(CN(C)C2CC(N(C)Cc3cc(-c4ccc5c(c4)OCCOCCOCCOCCOCCO5)ccn3)CCC2N(Cc2ccc(N)cn2)Cc2ccc(C)c(C)n2)cc1C</v>
      </c>
      <c r="C4647" s="7">
        <f>IFERROR(__xludf.DUMMYFUNCTION("""COMPUTED_VALUE"""),7.7942467)</f>
        <v>7.7942467</v>
      </c>
      <c r="D4647" s="7">
        <f>IFERROR(__xludf.DUMMYFUNCTION("""COMPUTED_VALUE"""),0.34090909090909)</f>
        <v>0.3409090909</v>
      </c>
    </row>
    <row r="4648">
      <c r="A4648" s="10" t="s">
        <v>6087</v>
      </c>
      <c r="B4648" s="7" t="str">
        <f>IFERROR(__xludf.DUMMYFUNCTION("SPLIT(A4648,"" "")"),"CN(Cc1cccc(-c2ccc3c(c2)OCCOCCOCCOCCOCCO3)n1)C1=C(CN(CC2=CCC=CN2)Cc2ccccn2)NC=CC1")</f>
        <v>CN(Cc1cccc(-c2ccc3c(c2)OCCOCCOCCOCCOCCO3)n1)C1=C(CN(CC2=CCC=CN2)Cc2ccccn2)NC=CC1</v>
      </c>
      <c r="C4648" s="7">
        <f>IFERROR(__xludf.DUMMYFUNCTION("""COMPUTED_VALUE"""),7.79423)</f>
        <v>7.79423</v>
      </c>
      <c r="D4648" s="7">
        <f>IFERROR(__xludf.DUMMYFUNCTION("""COMPUTED_VALUE"""),0.47945205479452)</f>
        <v>0.4794520548</v>
      </c>
    </row>
    <row r="4649">
      <c r="A4649" s="10" t="s">
        <v>6088</v>
      </c>
      <c r="B4649" s="7" t="str">
        <f>IFERROR(__xludf.DUMMYFUNCTION("SPLIT(A4649,"" "")"),"CC1=CC(CN(C)CC2=C(N(C)Cc3ccc(C)cn3)CC=CN2)CC(C)C1C")</f>
        <v>CC1=CC(CN(C)CC2=C(N(C)Cc3ccc(C)cn3)CC=CN2)CC(C)C1C</v>
      </c>
      <c r="C4649" s="7">
        <f>IFERROR(__xludf.DUMMYFUNCTION("""COMPUTED_VALUE"""),7.794228)</f>
        <v>7.794228</v>
      </c>
      <c r="D4649" s="7">
        <f>IFERROR(__xludf.DUMMYFUNCTION("""COMPUTED_VALUE"""),0.35)</f>
        <v>0.35</v>
      </c>
    </row>
    <row r="4650">
      <c r="A4650" s="10" t="s">
        <v>6089</v>
      </c>
      <c r="B4650" s="7" t="str">
        <f>IFERROR(__xludf.DUMMYFUNCTION("SPLIT(A4650,"" "")"),"Cc1cccc(N(C)C2CCCC(N(C)Cc3ncc(C)c(C)c3C)C2)c1")</f>
        <v>Cc1cccc(N(C)C2CCCC(N(C)Cc3ncc(C)c(C)c3C)C2)c1</v>
      </c>
      <c r="C4650" s="7">
        <f>IFERROR(__xludf.DUMMYFUNCTION("""COMPUTED_VALUE"""),7.794216)</f>
        <v>7.794216</v>
      </c>
      <c r="D4650" s="7">
        <f>IFERROR(__xludf.DUMMYFUNCTION("""COMPUTED_VALUE"""),0.327586206896551)</f>
        <v>0.3275862069</v>
      </c>
    </row>
    <row r="4651">
      <c r="A4651" s="10" t="s">
        <v>6090</v>
      </c>
      <c r="B4651" s="7" t="str">
        <f>IFERROR(__xludf.DUMMYFUNCTION("SPLIT(A4651,"" "")"),"CN(Cc1cccnn1)C1CCCCC1N(Cc1ncccc1-c1cccc2c1OCCOCCOCCOCCOCCO2)Cc1cccc2ncccc12")</f>
        <v>CN(Cc1cccnn1)C1CCCCC1N(Cc1ncccc1-c1cccc2c1OCCOCCOCCOCCOCCO2)Cc1cccc2ncccc12</v>
      </c>
      <c r="C4651" s="7">
        <f>IFERROR(__xludf.DUMMYFUNCTION("""COMPUTED_VALUE"""),7.7941914)</f>
        <v>7.7941914</v>
      </c>
      <c r="D4651" s="7">
        <f>IFERROR(__xludf.DUMMYFUNCTION("""COMPUTED_VALUE"""),0.356164383561643)</f>
        <v>0.3561643836</v>
      </c>
    </row>
    <row r="4652">
      <c r="A4652" s="10" t="s">
        <v>6091</v>
      </c>
      <c r="B4652" s="7" t="str">
        <f>IFERROR(__xludf.DUMMYFUNCTION("SPLIT(A4652,"" "")"),"CN(CC1=CCC(N(CC2=CCC=CN2)Cc2ccccn2)=CN1)Cc1cccc(-c2ccc3c(c2)OCCOCCOCCOCCOCCO3)n1")</f>
        <v>CN(CC1=CCC(N(CC2=CCC=CN2)Cc2ccccn2)=CN1)Cc1cccc(-c2ccc3c(c2)OCCOCCOCCOCCOCCO3)n1</v>
      </c>
      <c r="C4652" s="7">
        <f>IFERROR(__xludf.DUMMYFUNCTION("""COMPUTED_VALUE"""),7.7941885)</f>
        <v>7.7941885</v>
      </c>
      <c r="D4652" s="7">
        <f>IFERROR(__xludf.DUMMYFUNCTION("""COMPUTED_VALUE"""),0.413333333333333)</f>
        <v>0.4133333333</v>
      </c>
    </row>
    <row r="4653">
      <c r="A4653" s="10" t="s">
        <v>6092</v>
      </c>
      <c r="B4653" s="7" t="str">
        <f>IFERROR(__xludf.DUMMYFUNCTION("SPLIT(A4653,"" "")"),"CN(CC1=CCC(N(C)Cc2ccccn2)=CN1)Cc1cccc(-c2cccc3c2OCCOCCOCCOCCOCCO3)n1")</f>
        <v>CN(CC1=CCC(N(C)Cc2ccccn2)=CN1)Cc1cccc(-c2cccc3c2OCCOCCOCCOCCOCCO3)n1</v>
      </c>
      <c r="C4653" s="7">
        <f>IFERROR(__xludf.DUMMYFUNCTION("""COMPUTED_VALUE"""),7.7941875)</f>
        <v>7.7941875</v>
      </c>
      <c r="D4653" s="7">
        <f>IFERROR(__xludf.DUMMYFUNCTION("""COMPUTED_VALUE"""),0.424242424242424)</f>
        <v>0.4242424242</v>
      </c>
    </row>
    <row r="4654">
      <c r="A4654" s="10" t="s">
        <v>6093</v>
      </c>
      <c r="B4654" s="7" t="str">
        <f>IFERROR(__xludf.DUMMYFUNCTION("SPLIT(A4654,"" "")"),"CC(C)[Si](c1ccc(CN2CCN(C)CCN(Cc3cccc(C(C)(C)c4ccccn4)n3)CC2)nc1)(C(C)C)C(C)C")</f>
        <v>CC(C)[Si](c1ccc(CN2CCN(C)CCN(Cc3cccc(C(C)(C)c4ccccn4)n3)CC2)nc1)(C(C)C)C(C)C</v>
      </c>
      <c r="C4654" s="7">
        <f>IFERROR(__xludf.DUMMYFUNCTION("""COMPUTED_VALUE"""),7.7941875)</f>
        <v>7.7941875</v>
      </c>
      <c r="D4654" s="7">
        <f>IFERROR(__xludf.DUMMYFUNCTION("""COMPUTED_VALUE"""),0.5)</f>
        <v>0.5</v>
      </c>
    </row>
    <row r="4655">
      <c r="A4655" s="10" t="s">
        <v>6094</v>
      </c>
      <c r="B4655" s="7" t="str">
        <f>IFERROR(__xludf.DUMMYFUNCTION("SPLIT(A4655,"" "")"),"CC1=C(c2ncccc2CN(C)C2CCCC(N(C)Cc3nc(C)ccc3C)C2)C(C)C(C)(C)C(N(C)Cc2ccccn2)C1")</f>
        <v>CC1=C(c2ncccc2CN(C)C2CCCC(N(C)Cc3nc(C)ccc3C)C2)C(C)C(C)(C)C(N(C)Cc2ccccn2)C1</v>
      </c>
      <c r="C4655" s="7">
        <f>IFERROR(__xludf.DUMMYFUNCTION("""COMPUTED_VALUE"""),7.7941813)</f>
        <v>7.7941813</v>
      </c>
      <c r="D4655" s="7">
        <f>IFERROR(__xludf.DUMMYFUNCTION("""COMPUTED_VALUE"""),0.347222222222222)</f>
        <v>0.3472222222</v>
      </c>
    </row>
    <row r="4656">
      <c r="A4656" s="10" t="s">
        <v>6095</v>
      </c>
      <c r="B4656" s="7" t="str">
        <f>IFERROR(__xludf.DUMMYFUNCTION("SPLIT(A4656,"" "")"),"CN(CC1=CNC=C(N(C)Cc2ccccn2)C1)Cc1ncccc1-c1cccc2c1OCCOCCOCCOCCOCCO2")</f>
        <v>CN(CC1=CNC=C(N(C)Cc2ccccn2)C1)Cc1ncccc1-c1cccc2c1OCCOCCOCCOCCOCCO2</v>
      </c>
      <c r="C4656" s="7">
        <f>IFERROR(__xludf.DUMMYFUNCTION("""COMPUTED_VALUE"""),7.7941794)</f>
        <v>7.7941794</v>
      </c>
      <c r="D4656" s="7">
        <f>IFERROR(__xludf.DUMMYFUNCTION("""COMPUTED_VALUE"""),0.309859154929577)</f>
        <v>0.3098591549</v>
      </c>
    </row>
    <row r="4657">
      <c r="A4657" s="10" t="s">
        <v>6096</v>
      </c>
      <c r="B4657" s="7" t="str">
        <f>IFERROR(__xludf.DUMMYFUNCTION("SPLIT(A4657,"" "")"),"CNCc1cc(CN(Cc2cc(C)ccn2)C2CCCCC2N(C)Cc2cc(C)c(C)c(C)n2)ccn1")</f>
        <v>CNCc1cc(CN(Cc2cc(C)ccn2)C2CCCCC2N(C)Cc2cc(C)c(C)c(C)n2)ccn1</v>
      </c>
      <c r="C4657" s="7">
        <f>IFERROR(__xludf.DUMMYFUNCTION("""COMPUTED_VALUE"""),7.7941737)</f>
        <v>7.7941737</v>
      </c>
      <c r="D4657" s="7">
        <f>IFERROR(__xludf.DUMMYFUNCTION("""COMPUTED_VALUE"""),0.38095238095238)</f>
        <v>0.380952381</v>
      </c>
    </row>
    <row r="4658">
      <c r="A4658" s="10" t="s">
        <v>6097</v>
      </c>
      <c r="B4658" s="7" t="str">
        <f>IFERROR(__xludf.DUMMYFUNCTION("SPLIT(A4658,"" "")"),"Cc1cc(C)c(CN(C)CC2=CC(N(C)Cc3cccc(-c4ccc5c(c4)OCCOCCOCCOCCOCCO5)n3)C=CN2)nc1C")</f>
        <v>Cc1cc(C)c(CN(C)CC2=CC(N(C)Cc3cccc(-c4ccc5c(c4)OCCOCCOCCOCCOCCO5)n3)C=CN2)nc1C</v>
      </c>
      <c r="C4658" s="7">
        <f>IFERROR(__xludf.DUMMYFUNCTION("""COMPUTED_VALUE"""),7.7941647)</f>
        <v>7.7941647</v>
      </c>
      <c r="D4658" s="7">
        <f>IFERROR(__xludf.DUMMYFUNCTION("""COMPUTED_VALUE"""),0.275862068965517)</f>
        <v>0.275862069</v>
      </c>
    </row>
    <row r="4659">
      <c r="A4659" s="10" t="s">
        <v>6098</v>
      </c>
      <c r="B4659" s="7" t="str">
        <f>IFERROR(__xludf.DUMMYFUNCTION("SPLIT(A4659,"" "")"),"Cc1cc(CN(C)C2CCC(N(C)c3ccc(CN(CNCF)Cc4ccccn4)nc3)CC2)nc(C)c1C")</f>
        <v>Cc1cc(CN(C)C2CCC(N(C)c3ccc(CN(CNCF)Cc4ccccn4)nc3)CC2)nc(C)c1C</v>
      </c>
      <c r="C4659" s="7">
        <f>IFERROR(__xludf.DUMMYFUNCTION("""COMPUTED_VALUE"""),7.7941647)</f>
        <v>7.7941647</v>
      </c>
      <c r="D4659" s="7">
        <f>IFERROR(__xludf.DUMMYFUNCTION("""COMPUTED_VALUE"""),0.352941176470588)</f>
        <v>0.3529411765</v>
      </c>
    </row>
    <row r="4660">
      <c r="A4660" s="10" t="s">
        <v>6099</v>
      </c>
      <c r="B4660" s="7" t="str">
        <f>IFERROR(__xludf.DUMMYFUNCTION("SPLIT(A4660,"" "")"),"CNCc1ncccc1N(C)C1CCCCC1N(Cc1cccnc1)Cc1cnccc1C")</f>
        <v>CNCc1ncccc1N(C)C1CCCCC1N(Cc1cccnc1)Cc1cnccc1C</v>
      </c>
      <c r="C4660" s="7">
        <f>IFERROR(__xludf.DUMMYFUNCTION("""COMPUTED_VALUE"""),7.7941623)</f>
        <v>7.7941623</v>
      </c>
      <c r="D4660" s="7">
        <f>IFERROR(__xludf.DUMMYFUNCTION("""COMPUTED_VALUE"""),0.369230769230769)</f>
        <v>0.3692307692</v>
      </c>
    </row>
    <row r="4661">
      <c r="A4661" s="10" t="s">
        <v>6100</v>
      </c>
      <c r="B4661" s="7" t="str">
        <f>IFERROR(__xludf.DUMMYFUNCTION("SPLIT(A4661,"" "")"),"CC(C)N(C)CNCc1cc(C(C)(C)C)ccn1")</f>
        <v>CC(C)N(C)CNCc1cc(C(C)(C)C)ccn1</v>
      </c>
      <c r="C4661" s="7">
        <f>IFERROR(__xludf.DUMMYFUNCTION("""COMPUTED_VALUE"""),7.7941537)</f>
        <v>7.7941537</v>
      </c>
      <c r="D4661" s="7">
        <f>IFERROR(__xludf.DUMMYFUNCTION("""COMPUTED_VALUE"""),0.288888888888888)</f>
        <v>0.2888888889</v>
      </c>
    </row>
    <row r="4662">
      <c r="A4662" s="10" t="s">
        <v>6101</v>
      </c>
      <c r="B4662" s="7" t="str">
        <f>IFERROR(__xludf.DUMMYFUNCTION("SPLIT(A4662,"" "")"),"Cc1cccc(-c2cccc(CN(Cc3ccccn3)C3CCC(N(C)Cc4cccc(-c5ccc6c(c5)OCCOCCOCCOCCOCCO6)n4)CC3)n2)c1")</f>
        <v>Cc1cccc(-c2cccc(CN(Cc3ccccn3)C3CCC(N(C)Cc4cccc(-c5ccc6c(c5)OCCOCCOCCOCCOCCO6)n4)CC3)n2)c1</v>
      </c>
      <c r="C4662" s="7">
        <f>IFERROR(__xludf.DUMMYFUNCTION("""COMPUTED_VALUE"""),7.7941513)</f>
        <v>7.7941513</v>
      </c>
      <c r="D4662" s="7">
        <f>IFERROR(__xludf.DUMMYFUNCTION("""COMPUTED_VALUE"""),0.397260273972602)</f>
        <v>0.397260274</v>
      </c>
    </row>
    <row r="4663">
      <c r="A4663" s="10" t="s">
        <v>6102</v>
      </c>
      <c r="B4663" s="7" t="str">
        <f>IFERROR(__xludf.DUMMYFUNCTION("SPLIT(A4663,"" "")"),"CNC1CC(N(C)Cc2cccc(C)n2)CC(N(Cc2ccccn2)Cc2cccc(C)n2)C1")</f>
        <v>CNC1CC(N(C)Cc2cccc(C)n2)CC(N(Cc2ccccn2)Cc2cccc(C)n2)C1</v>
      </c>
      <c r="C4663" s="7">
        <f>IFERROR(__xludf.DUMMYFUNCTION("""COMPUTED_VALUE"""),7.794146)</f>
        <v>7.794146</v>
      </c>
      <c r="D4663" s="7">
        <f>IFERROR(__xludf.DUMMYFUNCTION("""COMPUTED_VALUE"""),0.444444444444444)</f>
        <v>0.4444444444</v>
      </c>
    </row>
    <row r="4664">
      <c r="A4664" s="10" t="s">
        <v>6103</v>
      </c>
      <c r="B4664" s="7" t="str">
        <f>IFERROR(__xludf.DUMMYFUNCTION("SPLIT(A4664,"" "")"),"CN(CC1=CC(N(C)Cc2ccccn2)C=CN1)CC1C=CNC=C1")</f>
        <v>CN(CC1=CC(N(C)Cc2ccccn2)C=CN1)CC1C=CNC=C1</v>
      </c>
      <c r="C4664" s="7">
        <f>IFERROR(__xludf.DUMMYFUNCTION("""COMPUTED_VALUE"""),7.7941403)</f>
        <v>7.7941403</v>
      </c>
      <c r="D4664" s="7">
        <f>IFERROR(__xludf.DUMMYFUNCTION("""COMPUTED_VALUE"""),0.4)</f>
        <v>0.4</v>
      </c>
    </row>
    <row r="4665">
      <c r="A4665" s="10" t="s">
        <v>6104</v>
      </c>
      <c r="B4665" s="7" t="str">
        <f>IFERROR(__xludf.DUMMYFUNCTION("SPLIT(A4665,"" "")"),"Cc1ccc(CN(C)CC2=CC(N(C)C(C)C)C=CN2)cc1C")</f>
        <v>Cc1ccc(CN(C)CC2=CC(N(C)C(C)C)C=CN2)cc1C</v>
      </c>
      <c r="C4665" s="7">
        <f>IFERROR(__xludf.DUMMYFUNCTION("""COMPUTED_VALUE"""),7.794134)</f>
        <v>7.794134</v>
      </c>
      <c r="D4665" s="7">
        <f>IFERROR(__xludf.DUMMYFUNCTION("""COMPUTED_VALUE"""),0.357142857142857)</f>
        <v>0.3571428571</v>
      </c>
    </row>
    <row r="4666">
      <c r="A4666" s="10" t="s">
        <v>6105</v>
      </c>
      <c r="B4666" s="7" t="str">
        <f>IFERROR(__xludf.DUMMYFUNCTION("SPLIT(A4666,"" "")"),"CCNCc1cccc(-c2cc3c(c(N(C)Cc4ccccn4)c2)OCCOCCOCCOCCOCCO3)n1")</f>
        <v>CCNCc1cccc(-c2cc3c(c(N(C)Cc4ccccn4)c2)OCCOCCOCCOCCOCCO3)n1</v>
      </c>
      <c r="C4666" s="7">
        <f>IFERROR(__xludf.DUMMYFUNCTION("""COMPUTED_VALUE"""),7.794123)</f>
        <v>7.794123</v>
      </c>
      <c r="D4666" s="7">
        <f>IFERROR(__xludf.DUMMYFUNCTION("""COMPUTED_VALUE"""),0.38095238095238)</f>
        <v>0.380952381</v>
      </c>
    </row>
    <row r="4667">
      <c r="A4667" s="10" t="s">
        <v>6106</v>
      </c>
      <c r="B4667" s="7" t="str">
        <f>IFERROR(__xludf.DUMMYFUNCTION("SPLIT(A4667,"" "")"),"Cc1cncc(CN(C)C2CCC(N(Cc3ccccn3)Cc3cc(C(C)(C)C)ccn3)CC2)c1")</f>
        <v>Cc1cncc(CN(C)C2CCC(N(Cc3ccccn3)Cc3cc(C(C)(C)C)ccn3)CC2)c1</v>
      </c>
      <c r="C4667" s="7">
        <f>IFERROR(__xludf.DUMMYFUNCTION("""COMPUTED_VALUE"""),7.7941113)</f>
        <v>7.7941113</v>
      </c>
      <c r="D4667" s="7">
        <f>IFERROR(__xludf.DUMMYFUNCTION("""COMPUTED_VALUE"""),0.377049180327868)</f>
        <v>0.3770491803</v>
      </c>
    </row>
    <row r="4668">
      <c r="A4668" s="10" t="s">
        <v>6107</v>
      </c>
      <c r="B4668" s="7" t="str">
        <f>IFERROR(__xludf.DUMMYFUNCTION("SPLIT(A4668,"" "")"),"CC(C)C(C)N(Cc1ccccn1)Cc1cc(N(C)Cc2cccc(-c3ccc4c(c3)OCCOCCOCCOCCOCCO4)n2)ccn1")</f>
        <v>CC(C)C(C)N(Cc1ccccn1)Cc1cc(N(C)Cc2cccc(-c3ccc4c(c3)OCCOCCOCCOCCOCCO4)n2)ccn1</v>
      </c>
      <c r="C4668" s="7">
        <f>IFERROR(__xludf.DUMMYFUNCTION("""COMPUTED_VALUE"""),7.7941113)</f>
        <v>7.7941113</v>
      </c>
      <c r="D4668" s="7">
        <f>IFERROR(__xludf.DUMMYFUNCTION("""COMPUTED_VALUE"""),0.378378378378378)</f>
        <v>0.3783783784</v>
      </c>
    </row>
    <row r="4669">
      <c r="A4669" s="10" t="s">
        <v>6108</v>
      </c>
      <c r="B4669" s="7" t="str">
        <f>IFERROR(__xludf.DUMMYFUNCTION("SPLIT(A4669,"" "")"),"Cc1ccc(CN(Cc2ccccn2)C2CCC(N(C)Cc3ncccc3C(C)(C)C)CC2)nc1")</f>
        <v>Cc1ccc(CN(Cc2ccccn2)C2CCC(N(C)Cc3ncccc3C(C)(C)C)CC2)nc1</v>
      </c>
      <c r="C4669" s="7">
        <f>IFERROR(__xludf.DUMMYFUNCTION("""COMPUTED_VALUE"""),7.794104)</f>
        <v>7.794104</v>
      </c>
      <c r="D4669" s="7">
        <f>IFERROR(__xludf.DUMMYFUNCTION("""COMPUTED_VALUE"""),0.413793103448275)</f>
        <v>0.4137931034</v>
      </c>
    </row>
    <row r="4670">
      <c r="A4670" s="10" t="s">
        <v>6109</v>
      </c>
      <c r="B4670" s="7" t="str">
        <f>IFERROR(__xludf.DUMMYFUNCTION("SPLIT(A4670,"" "")"),"CN(Cc1ccccc1N(C)C)Cc1ncccc1-c1ccc2c(c1)OCCOCCOCCOCCOCCO2")</f>
        <v>CN(Cc1ccccc1N(C)C)Cc1ncccc1-c1ccc2c(c1)OCCOCCOCCOCCOCCO2</v>
      </c>
      <c r="C4670" s="7">
        <f>IFERROR(__xludf.DUMMYFUNCTION("""COMPUTED_VALUE"""),7.794101)</f>
        <v>7.794101</v>
      </c>
      <c r="D4670" s="7">
        <f>IFERROR(__xludf.DUMMYFUNCTION("""COMPUTED_VALUE"""),0.319444444444444)</f>
        <v>0.3194444444</v>
      </c>
    </row>
    <row r="4671">
      <c r="A4671" s="10" t="s">
        <v>6110</v>
      </c>
      <c r="B4671" s="7" t="str">
        <f>IFERROR(__xludf.DUMMYFUNCTION("SPLIT(A4671,"" "")"),"Cc1nc(CN(C)C2CCC(N(C)Cc3ccc(C4CC(C)C4)cn3)CC2)c(C)c(C)c1C")</f>
        <v>Cc1nc(CN(C)C2CCC(N(C)Cc3ccc(C4CC(C)C4)cn3)CC2)c(C)c(C)c1C</v>
      </c>
      <c r="C4671" s="7">
        <f>IFERROR(__xludf.DUMMYFUNCTION("""COMPUTED_VALUE"""),7.7940884)</f>
        <v>7.7940884</v>
      </c>
      <c r="D4671" s="7">
        <f>IFERROR(__xludf.DUMMYFUNCTION("""COMPUTED_VALUE"""),0.368421052631578)</f>
        <v>0.3684210526</v>
      </c>
    </row>
    <row r="4672">
      <c r="A4672" s="10" t="s">
        <v>6111</v>
      </c>
      <c r="B4672" s="7" t="str">
        <f>IFERROR(__xludf.DUMMYFUNCTION("SPLIT(A4672,"" "")"),"CNCc1cccc(N(C)C2CCCC(N(C)Cc3ncc(C)cc3C)C2)n1")</f>
        <v>CNCc1cccc(N(C)C2CCCC(N(C)Cc3ncc(C)cc3C)C2)n1</v>
      </c>
      <c r="C4672" s="7">
        <f>IFERROR(__xludf.DUMMYFUNCTION("""COMPUTED_VALUE"""),7.7940845)</f>
        <v>7.7940845</v>
      </c>
      <c r="D4672" s="7">
        <f>IFERROR(__xludf.DUMMYFUNCTION("""COMPUTED_VALUE"""),0.3125)</f>
        <v>0.3125</v>
      </c>
    </row>
    <row r="4673">
      <c r="A4673" s="10" t="s">
        <v>6112</v>
      </c>
      <c r="B4673" s="7" t="str">
        <f>IFERROR(__xludf.DUMMYFUNCTION("SPLIT(A4673,"" "")"),"Cc1nc(CN(C)C2CCCC(N(Cc3ccccn3)Cc3cccnc3CN(C)C(C)C)C2)c(C)c(C)c1C")</f>
        <v>Cc1nc(CN(C)C2CCCC(N(Cc3ccccn3)Cc3cccnc3CN(C)C(C)C)C2)c(C)c(C)c1C</v>
      </c>
      <c r="C4673" s="7">
        <f>IFERROR(__xludf.DUMMYFUNCTION("""COMPUTED_VALUE"""),7.7940826)</f>
        <v>7.7940826</v>
      </c>
      <c r="D4673" s="7">
        <f>IFERROR(__xludf.DUMMYFUNCTION("""COMPUTED_VALUE"""),0.363636363636363)</f>
        <v>0.3636363636</v>
      </c>
    </row>
    <row r="4674">
      <c r="A4674" s="10" t="s">
        <v>6113</v>
      </c>
      <c r="B4674" s="7" t="str">
        <f>IFERROR(__xludf.DUMMYFUNCTION("SPLIT(A4674,"" "")"),"CCNCc1cc(CN(Cc2cc(C)ccn2)C2CCCC(N(C)Cc3nc(C)c(C)cc3C)C2)ccn1")</f>
        <v>CCNCc1cc(CN(Cc2cc(C)ccn2)C2CCCC(N(C)Cc3nc(C)c(C)cc3C)C2)ccn1</v>
      </c>
      <c r="C4674" s="7">
        <f>IFERROR(__xludf.DUMMYFUNCTION("""COMPUTED_VALUE"""),7.7940803)</f>
        <v>7.7940803</v>
      </c>
      <c r="D4674" s="7">
        <f>IFERROR(__xludf.DUMMYFUNCTION("""COMPUTED_VALUE"""),0.267605633802816)</f>
        <v>0.2676056338</v>
      </c>
    </row>
    <row r="4675">
      <c r="A4675" s="10" t="s">
        <v>6114</v>
      </c>
      <c r="B4675" s="7" t="str">
        <f>IFERROR(__xludf.DUMMYFUNCTION("SPLIT(A4675,"" "")"),"CN1CCN(Cc2ccnc(C3=NC(C)(C)CO3)c2)CCN(Cc2cc(C(C)(C)C)ccn2)CC1")</f>
        <v>CN1CCN(Cc2ccnc(C3=NC(C)(C)CO3)c2)CCN(Cc2cc(C(C)(C)C)ccn2)CC1</v>
      </c>
      <c r="C4675" s="7">
        <f>IFERROR(__xludf.DUMMYFUNCTION("""COMPUTED_VALUE"""),7.7940755)</f>
        <v>7.7940755</v>
      </c>
      <c r="D4675" s="7">
        <f>IFERROR(__xludf.DUMMYFUNCTION("""COMPUTED_VALUE"""),0.423728813559322)</f>
        <v>0.4237288136</v>
      </c>
    </row>
    <row r="4676">
      <c r="A4676" s="10" t="s">
        <v>6115</v>
      </c>
      <c r="B4676" s="7" t="str">
        <f>IFERROR(__xludf.DUMMYFUNCTION("SPLIT(A4676,"" "")"),"CN(C)Cc1ccc2cc(N(C)C3CCCCC3N(Cc3ccc(-c4ccc5c(c4)OCCOCCOCCOCCOCCO5)cn3)Cc3cccc(-c4ccc5c(c4)OCCOCCOCCOCCOCCO5)n3)ccc2n1")</f>
        <v>CN(C)Cc1ccc2cc(N(C)C3CCCCC3N(Cc3ccc(-c4ccc5c(c4)OCCOCCOCCOCCOCCO5)cn3)Cc3cccc(-c4ccc5c(c4)OCCOCCOCCOCCOCCO5)n3)ccc2n1</v>
      </c>
      <c r="C4676" s="7">
        <f>IFERROR(__xludf.DUMMYFUNCTION("""COMPUTED_VALUE"""),7.7940607)</f>
        <v>7.7940607</v>
      </c>
      <c r="D4676" s="7">
        <f>IFERROR(__xludf.DUMMYFUNCTION("""COMPUTED_VALUE"""),0.407407407407407)</f>
        <v>0.4074074074</v>
      </c>
    </row>
    <row r="4677">
      <c r="A4677" s="10" t="s">
        <v>6116</v>
      </c>
      <c r="B4677" s="7" t="str">
        <f>IFERROR(__xludf.DUMMYFUNCTION("SPLIT(A4677,"" "")"),"Cc1ccc(CN(C)C2CCC(N(Cc3ccccn3)Cc3cccc(C(C)(C)C)n3)CC2)nc1")</f>
        <v>Cc1ccc(CN(C)C2CCC(N(Cc3ccccn3)Cc3cccc(C(C)(C)C)n3)CC2)nc1</v>
      </c>
      <c r="C4677" s="7">
        <f>IFERROR(__xludf.DUMMYFUNCTION("""COMPUTED_VALUE"""),7.7940574)</f>
        <v>7.7940574</v>
      </c>
      <c r="D4677" s="7">
        <f>IFERROR(__xludf.DUMMYFUNCTION("""COMPUTED_VALUE"""),0.446428571428571)</f>
        <v>0.4464285714</v>
      </c>
    </row>
    <row r="4678">
      <c r="A4678" s="10" t="s">
        <v>6117</v>
      </c>
      <c r="B4678" s="7" t="str">
        <f>IFERROR(__xludf.DUMMYFUNCTION("SPLIT(A4678,"" "")"),"CN(Cc1cccc(C2=CCC=CN2)n1)C1CCC(N(C)Cc2cccc(C3CC(Cl)C3Cl)n2)CC1")</f>
        <v>CN(Cc1cccc(C2=CCC=CN2)n1)C1CCC(N(C)Cc2cccc(C3CC(Cl)C3Cl)n2)CC1</v>
      </c>
      <c r="C4678" s="7">
        <f>IFERROR(__xludf.DUMMYFUNCTION("""COMPUTED_VALUE"""),7.794056)</f>
        <v>7.794056</v>
      </c>
      <c r="D4678" s="7">
        <f>IFERROR(__xludf.DUMMYFUNCTION("""COMPUTED_VALUE"""),0.307692307692307)</f>
        <v>0.3076923077</v>
      </c>
    </row>
    <row r="4679">
      <c r="A4679" s="10" t="s">
        <v>6118</v>
      </c>
      <c r="B4679" s="7" t="str">
        <f>IFERROR(__xludf.DUMMYFUNCTION("SPLIT(A4679,"" "")"),"Cc1nc(CN(C)Cc2cccc(CN(Cc3ccc([SiH3])cn3)C3CCC(N(C)Cc4cccc(-c5ccc6c(c5)OCCOCCOCCOCCOCCO6)n4)CC3)n2)c(C)c(C)c1C")</f>
        <v>Cc1nc(CN(C)Cc2cccc(CN(Cc3ccc([SiH3])cn3)C3CCC(N(C)Cc4cccc(-c5ccc6c(c5)OCCOCCOCCOCCOCCO6)n4)CC3)n2)c(C)c(C)c1C</v>
      </c>
      <c r="C4679" s="7">
        <f>IFERROR(__xludf.DUMMYFUNCTION("""COMPUTED_VALUE"""),7.794053)</f>
        <v>7.794053</v>
      </c>
      <c r="D4679" s="7">
        <f>IFERROR(__xludf.DUMMYFUNCTION("""COMPUTED_VALUE"""),0.322222222222222)</f>
        <v>0.3222222222</v>
      </c>
    </row>
    <row r="4680">
      <c r="A4680" s="10" t="s">
        <v>6119</v>
      </c>
      <c r="B4680" s="7" t="str">
        <f>IFERROR(__xludf.DUMMYFUNCTION("SPLIT(A4680,"" "")"),"CNC1=CCC=CN1")</f>
        <v>CNC1=CCC=CN1</v>
      </c>
      <c r="C4680" s="7">
        <f>IFERROR(__xludf.DUMMYFUNCTION("""COMPUTED_VALUE"""),7.794028)</f>
        <v>7.794028</v>
      </c>
      <c r="D4680" s="7">
        <f>IFERROR(__xludf.DUMMYFUNCTION("""COMPUTED_VALUE"""),0.272727272727272)</f>
        <v>0.2727272727</v>
      </c>
    </row>
    <row r="4681">
      <c r="A4681" s="10" t="s">
        <v>6120</v>
      </c>
      <c r="B4681" s="7" t="str">
        <f>IFERROR(__xludf.DUMMYFUNCTION("SPLIT(A4681,"" "")"),"CC(c1cccnc1CNCF)N(C)Cc1ccccn1")</f>
        <v>CC(c1cccnc1CNCF)N(C)Cc1ccccn1</v>
      </c>
      <c r="C4681" s="7">
        <f>IFERROR(__xludf.DUMMYFUNCTION("""COMPUTED_VALUE"""),7.7940245)</f>
        <v>7.7940245</v>
      </c>
      <c r="D4681" s="7">
        <f>IFERROR(__xludf.DUMMYFUNCTION("""COMPUTED_VALUE"""),0.408163265306122)</f>
        <v>0.4081632653</v>
      </c>
    </row>
    <row r="4682">
      <c r="A4682" s="10" t="s">
        <v>6121</v>
      </c>
      <c r="B4682" s="7" t="str">
        <f>IFERROR(__xludf.DUMMYFUNCTION("SPLIT(A4682,"" "")"),"COC(=O)C1CN(C)C(c2ccc(CN3CCN(C)CCN(C)CC3)cn2)C(c2ccccn2)C1c1ccccn1")</f>
        <v>COC(=O)C1CN(C)C(c2ccc(CN3CCN(C)CCN(C)CC3)cn2)C(c2ccccn2)C1c1ccccn1</v>
      </c>
      <c r="C4682" s="7">
        <f>IFERROR(__xludf.DUMMYFUNCTION("""COMPUTED_VALUE"""),7.7940025)</f>
        <v>7.7940025</v>
      </c>
      <c r="D4682" s="7">
        <f>IFERROR(__xludf.DUMMYFUNCTION("""COMPUTED_VALUE"""),0.370967741935483)</f>
        <v>0.3709677419</v>
      </c>
    </row>
    <row r="4683">
      <c r="A4683" s="10" t="s">
        <v>6122</v>
      </c>
      <c r="B4683" s="7" t="str">
        <f>IFERROR(__xludf.DUMMYFUNCTION("SPLIT(A4683,"" "")"),"Cc1cnc(C)c(CN(C)C2CCCC(N(Cc3ccccn3)Cc3cccc(F)n3)C2)c1")</f>
        <v>Cc1cnc(C)c(CN(C)C2CCCC(N(Cc3ccccn3)Cc3cccc(F)n3)C2)c1</v>
      </c>
      <c r="C4683" s="7">
        <f>IFERROR(__xludf.DUMMYFUNCTION("""COMPUTED_VALUE"""),7.7939987)</f>
        <v>7.7939987</v>
      </c>
      <c r="D4683" s="7">
        <f>IFERROR(__xludf.DUMMYFUNCTION("""COMPUTED_VALUE"""),0.387096774193548)</f>
        <v>0.3870967742</v>
      </c>
    </row>
    <row r="4684">
      <c r="A4684" s="10" t="s">
        <v>6123</v>
      </c>
      <c r="B4684" s="7" t="str">
        <f>IFERROR(__xludf.DUMMYFUNCTION("SPLIT(A4684,"" "")"),"Cc1cccc(CN(C)C2CCC(N(Cc3ccnc(C(C)N)c3)Cc3ccccn3)CC2)n1")</f>
        <v>Cc1cccc(CN(C)C2CCC(N(Cc3ccnc(C(C)N)c3)Cc3ccccn3)CC2)n1</v>
      </c>
      <c r="C4684" s="7">
        <f>IFERROR(__xludf.DUMMYFUNCTION("""COMPUTED_VALUE"""),7.7939863)</f>
        <v>7.7939863</v>
      </c>
      <c r="D4684" s="7">
        <f>IFERROR(__xludf.DUMMYFUNCTION("""COMPUTED_VALUE"""),0.403225806451612)</f>
        <v>0.4032258065</v>
      </c>
    </row>
    <row r="4685">
      <c r="A4685" s="10" t="s">
        <v>6124</v>
      </c>
      <c r="B4685" s="7" t="str">
        <f>IFERROR(__xludf.DUMMYFUNCTION("SPLIT(A4685,"" "")"),"Cc1cccnc1CN(C)C1CCC(N(Cc2ccccn2)Cc2cccnc2CN(C)C)CC1")</f>
        <v>Cc1cccnc1CN(C)C1CCC(N(Cc2ccccn2)Cc2cccnc2CN(C)C)CC1</v>
      </c>
      <c r="C4685" s="7">
        <f>IFERROR(__xludf.DUMMYFUNCTION("""COMPUTED_VALUE"""),7.7939677)</f>
        <v>7.7939677</v>
      </c>
      <c r="D4685" s="7">
        <f>IFERROR(__xludf.DUMMYFUNCTION("""COMPUTED_VALUE"""),0.418181818181818)</f>
        <v>0.4181818182</v>
      </c>
    </row>
    <row r="4686">
      <c r="A4686" s="10" t="s">
        <v>6125</v>
      </c>
      <c r="B4686" s="7" t="str">
        <f>IFERROR(__xludf.DUMMYFUNCTION("SPLIT(A4686,"" "")"),"CC(C)C(C)CN(Cc1ccccn1)Cc1ncccc1C(C)(C)C")</f>
        <v>CC(C)C(C)CN(Cc1ccccn1)Cc1ncccc1C(C)(C)C</v>
      </c>
      <c r="C4686" s="7">
        <f>IFERROR(__xludf.DUMMYFUNCTION("""COMPUTED_VALUE"""),7.793958)</f>
        <v>7.793958</v>
      </c>
      <c r="D4686" s="7">
        <f>IFERROR(__xludf.DUMMYFUNCTION("""COMPUTED_VALUE"""),0.458333333333333)</f>
        <v>0.4583333333</v>
      </c>
    </row>
    <row r="4687">
      <c r="A4687" s="10" t="s">
        <v>6126</v>
      </c>
      <c r="B4687" s="7" t="str">
        <f>IFERROR(__xludf.DUMMYFUNCTION("SPLIT(A4687,"" "")"),"CN1CCN(C)CCN(CCN(C)c2cccc3ncccc23)CC1")</f>
        <v>CN1CCN(C)CCN(CCN(C)c2cccc3ncccc23)CC1</v>
      </c>
      <c r="C4687" s="7">
        <f>IFERROR(__xludf.DUMMYFUNCTION("""COMPUTED_VALUE"""),7.7939577)</f>
        <v>7.7939577</v>
      </c>
      <c r="D4687" s="7">
        <f>IFERROR(__xludf.DUMMYFUNCTION("""COMPUTED_VALUE"""),0.434782608695652)</f>
        <v>0.4347826087</v>
      </c>
    </row>
    <row r="4688">
      <c r="A4688" s="10" t="s">
        <v>6127</v>
      </c>
      <c r="B4688" s="7" t="str">
        <f>IFERROR(__xludf.DUMMYFUNCTION("SPLIT(A4688,"" "")"),"Cc1cccc(CN(C)C2CCC(N(Cc3ccccn3)Cc3cccc(C4CC(C)(C)C4)n3)CC2)n1")</f>
        <v>Cc1cccc(CN(C)C2CCC(N(Cc3ccccn3)Cc3cccc(C4CC(C)(C)C4)n3)CC2)n1</v>
      </c>
      <c r="C4688" s="7">
        <f>IFERROR(__xludf.DUMMYFUNCTION("""COMPUTED_VALUE"""),7.793945)</f>
        <v>7.793945</v>
      </c>
      <c r="D4688" s="7">
        <f>IFERROR(__xludf.DUMMYFUNCTION("""COMPUTED_VALUE"""),0.43103448275862)</f>
        <v>0.4310344828</v>
      </c>
    </row>
    <row r="4689">
      <c r="A4689" s="10" t="s">
        <v>6128</v>
      </c>
      <c r="B4689" s="7" t="str">
        <f>IFERROR(__xludf.DUMMYFUNCTION("SPLIT(A4689,"" "")"),"COC(=O)c1cccc(C(=O)C(C)NCc2cccc(CN3CCN(C)CCN(C)CC3)n2)n1")</f>
        <v>COC(=O)c1cccc(C(=O)C(C)NCc2cccc(CN3CCN(C)CCN(C)CC3)n2)n1</v>
      </c>
      <c r="C4689" s="7">
        <f>IFERROR(__xludf.DUMMYFUNCTION("""COMPUTED_VALUE"""),7.793929)</f>
        <v>7.793929</v>
      </c>
      <c r="D4689" s="7">
        <f>IFERROR(__xludf.DUMMYFUNCTION("""COMPUTED_VALUE"""),0.436363636363636)</f>
        <v>0.4363636364</v>
      </c>
    </row>
    <row r="4690">
      <c r="A4690" s="10" t="s">
        <v>6129</v>
      </c>
      <c r="B4690" s="7" t="str">
        <f>IFERROR(__xludf.DUMMYFUNCTION("SPLIT(A4690,"" "")"),"Cc1cc2c(cc1N(Cc1ccccn1)Cc1ncccc1N(C)C)OCCOCCOCCOCCOCCO2")</f>
        <v>Cc1cc2c(cc1N(Cc1ccccn1)Cc1ncccc1N(C)C)OCCOCCOCCOCCOCCO2</v>
      </c>
      <c r="C4690" s="7">
        <f>IFERROR(__xludf.DUMMYFUNCTION("""COMPUTED_VALUE"""),7.7939262)</f>
        <v>7.7939262</v>
      </c>
      <c r="D4690" s="7">
        <f>IFERROR(__xludf.DUMMYFUNCTION("""COMPUTED_VALUE"""),0.362068965517241)</f>
        <v>0.3620689655</v>
      </c>
    </row>
    <row r="4691">
      <c r="A4691" s="10" t="s">
        <v>6130</v>
      </c>
      <c r="B4691" s="7" t="str">
        <f>IFERROR(__xludf.DUMMYFUNCTION("SPLIT(A4691,"" "")"),"Cc1cccnc1-c1ccc(CN2CCN(C)CCN(C)CC2)cc1")</f>
        <v>Cc1cccnc1-c1ccc(CN2CCN(C)CCN(C)CC2)cc1</v>
      </c>
      <c r="C4691" s="7">
        <f>IFERROR(__xludf.DUMMYFUNCTION("""COMPUTED_VALUE"""),7.793918)</f>
        <v>7.793918</v>
      </c>
      <c r="D4691" s="7">
        <f>IFERROR(__xludf.DUMMYFUNCTION("""COMPUTED_VALUE"""),0.488372093023255)</f>
        <v>0.488372093</v>
      </c>
    </row>
    <row r="4692">
      <c r="A4692" s="10" t="s">
        <v>6131</v>
      </c>
      <c r="B4692" s="7" t="str">
        <f>IFERROR(__xludf.DUMMYFUNCTION("SPLIT(A4692,"" "")"),"CCCN(C)Cc1ccc2cccc(N(C)C3CCCCC3N(C)Cc3cccc(-c4ccc5c(c4)OCCOCCOCCOCCOCCO5)n3)c2n1")</f>
        <v>CCCN(C)Cc1ccc2cccc(N(C)C3CCCCC3N(C)Cc3cccc(-c4ccc5c(c4)OCCOCCOCCOCCOCCO5)n3)c2n1</v>
      </c>
      <c r="C4692" s="7">
        <f>IFERROR(__xludf.DUMMYFUNCTION("""COMPUTED_VALUE"""),7.7939034)</f>
        <v>7.7939034</v>
      </c>
      <c r="D4692" s="7">
        <f>IFERROR(__xludf.DUMMYFUNCTION("""COMPUTED_VALUE"""),0.458333333333333)</f>
        <v>0.4583333333</v>
      </c>
    </row>
    <row r="4693">
      <c r="A4693" s="10" t="s">
        <v>6132</v>
      </c>
      <c r="B4693" s="7" t="str">
        <f>IFERROR(__xludf.DUMMYFUNCTION("SPLIT(A4693,"" "")"),"CC(NCc1ccccn1)c1ccccc1")</f>
        <v>CC(NCc1ccccn1)c1ccccc1</v>
      </c>
      <c r="C4693" s="7">
        <f>IFERROR(__xludf.DUMMYFUNCTION("""COMPUTED_VALUE"""),7.793895)</f>
        <v>7.793895</v>
      </c>
      <c r="D4693" s="7">
        <f>IFERROR(__xludf.DUMMYFUNCTION("""COMPUTED_VALUE"""),0.5)</f>
        <v>0.5</v>
      </c>
    </row>
    <row r="4694">
      <c r="A4694" s="10" t="s">
        <v>6133</v>
      </c>
      <c r="B4694" s="7" t="str">
        <f>IFERROR(__xludf.DUMMYFUNCTION("SPLIT(A4694,"" "")"),"COC(=O)C1CN(C)C(c2ncccc2CN2CCN(C)CCN(C)CC2)C(c2ccccn2)C1c1ccccn1")</f>
        <v>COC(=O)C1CN(C)C(c2ncccc2CN2CCN(C)CCN(C)CC2)C(c2ccccn2)C1c1ccccn1</v>
      </c>
      <c r="C4694" s="7">
        <f>IFERROR(__xludf.DUMMYFUNCTION("""COMPUTED_VALUE"""),7.793893)</f>
        <v>7.793893</v>
      </c>
      <c r="D4694" s="7">
        <f>IFERROR(__xludf.DUMMYFUNCTION("""COMPUTED_VALUE"""),0.377049180327868)</f>
        <v>0.3770491803</v>
      </c>
    </row>
    <row r="4695">
      <c r="A4695" s="10" t="s">
        <v>6134</v>
      </c>
      <c r="B4695" s="7" t="str">
        <f>IFERROR(__xludf.DUMMYFUNCTION("SPLIT(A4695,"" "")"),"Cc1cccnc1CN(Cc1ccccn1)C1CC(N(C)Cc2ccccn2)CC(N(C)Cc2cccc(C3C(C)C=CCC3(C)C)n2)C1")</f>
        <v>Cc1cccnc1CN(Cc1ccccn1)C1CC(N(C)Cc2ccccn2)CC(N(C)Cc2cccc(C3C(C)C=CCC3(C)C)n2)C1</v>
      </c>
      <c r="C4695" s="7">
        <f>IFERROR(__xludf.DUMMYFUNCTION("""COMPUTED_VALUE"""),7.7938776)</f>
        <v>7.7938776</v>
      </c>
      <c r="D4695" s="7">
        <f>IFERROR(__xludf.DUMMYFUNCTION("""COMPUTED_VALUE"""),0.328571428571428)</f>
        <v>0.3285714286</v>
      </c>
    </row>
    <row r="4696">
      <c r="A4696" s="10" t="s">
        <v>6135</v>
      </c>
      <c r="B4696" s="7" t="str">
        <f>IFERROR(__xludf.DUMMYFUNCTION("SPLIT(A4696,"" "")"),"CNCc1cccc(N(C)C2CCCCC2N(C)Cc2cc(C)c(C)c(C)n2)n1")</f>
        <v>CNCc1cccc(N(C)C2CCCCC2N(C)Cc2cc(C)c(C)c(C)n2)n1</v>
      </c>
      <c r="C4696" s="7">
        <f>IFERROR(__xludf.DUMMYFUNCTION("""COMPUTED_VALUE"""),7.793875)</f>
        <v>7.793875</v>
      </c>
      <c r="D4696" s="7">
        <f>IFERROR(__xludf.DUMMYFUNCTION("""COMPUTED_VALUE"""),0.472727272727272)</f>
        <v>0.4727272727</v>
      </c>
    </row>
    <row r="4697">
      <c r="A4697" s="10" t="s">
        <v>6136</v>
      </c>
      <c r="B4697" s="7" t="str">
        <f>IFERROR(__xludf.DUMMYFUNCTION("SPLIT(A4697,"" "")"),"C=C1C=CNC(CN(C)C(C)C)=C1")</f>
        <v>C=C1C=CNC(CN(C)C(C)C)=C1</v>
      </c>
      <c r="C4697" s="7">
        <f>IFERROR(__xludf.DUMMYFUNCTION("""COMPUTED_VALUE"""),7.7938747)</f>
        <v>7.7938747</v>
      </c>
      <c r="D4697" s="7">
        <f>IFERROR(__xludf.DUMMYFUNCTION("""COMPUTED_VALUE"""),0.428571428571428)</f>
        <v>0.4285714286</v>
      </c>
    </row>
    <row r="4698">
      <c r="A4698" s="10" t="s">
        <v>6137</v>
      </c>
      <c r="B4698" s="7" t="str">
        <f>IFERROR(__xludf.DUMMYFUNCTION("SPLIT(A4698,"" "")"),"CN(CC1=CCC(N(C)Cc2cccc(-c3ccc4c(c3)OCCOCCOCCOCCOCCO4)n2)=CN1)Cc1ncccc1CF")</f>
        <v>CN(CC1=CCC(N(C)Cc2cccc(-c3ccc4c(c3)OCCOCCOCCOCCOCCO4)n2)=CN1)Cc1ncccc1CF</v>
      </c>
      <c r="C4698" s="7">
        <f>IFERROR(__xludf.DUMMYFUNCTION("""COMPUTED_VALUE"""),7.793867)</f>
        <v>7.793867</v>
      </c>
      <c r="D4698" s="7">
        <f>IFERROR(__xludf.DUMMYFUNCTION("""COMPUTED_VALUE"""),0.311688311688311)</f>
        <v>0.3116883117</v>
      </c>
    </row>
    <row r="4699">
      <c r="A4699" s="10" t="s">
        <v>6138</v>
      </c>
      <c r="B4699" s="7" t="str">
        <f>IFERROR(__xludf.DUMMYFUNCTION("SPLIT(A4699,"" "")"),"Cc1ccc(CN(C)C2CCCC(N(C)CC3=C(N(C)Cc4ccccn4)NC=CC3)C2)nc1")</f>
        <v>Cc1ccc(CN(C)C2CCCC(N(C)CC3=C(N(C)Cc4ccccn4)NC=CC3)C2)nc1</v>
      </c>
      <c r="C4699" s="7">
        <f>IFERROR(__xludf.DUMMYFUNCTION("""COMPUTED_VALUE"""),7.7938623)</f>
        <v>7.7938623</v>
      </c>
      <c r="D4699" s="7">
        <f>IFERROR(__xludf.DUMMYFUNCTION("""COMPUTED_VALUE"""),0.426229508196721)</f>
        <v>0.4262295082</v>
      </c>
    </row>
    <row r="4700">
      <c r="A4700" s="10" t="s">
        <v>6139</v>
      </c>
      <c r="B4700" s="7" t="str">
        <f>IFERROR(__xludf.DUMMYFUNCTION("SPLIT(A4700,"" "")"),"CNCc1cc(CN(Cc2cc(C)ccn2)C2CCC(N(C)Cc3cc(C(C)(C)C)ccn3)CC2)ccn1")</f>
        <v>CNCc1cc(CN(Cc2cc(C)ccn2)C2CCC(N(C)Cc3cc(C(C)(C)C)ccn3)CC2)ccn1</v>
      </c>
      <c r="C4700" s="7">
        <f>IFERROR(__xludf.DUMMYFUNCTION("""COMPUTED_VALUE"""),7.793859)</f>
        <v>7.793859</v>
      </c>
      <c r="D4700" s="7">
        <f>IFERROR(__xludf.DUMMYFUNCTION("""COMPUTED_VALUE"""),0.296875)</f>
        <v>0.296875</v>
      </c>
    </row>
    <row r="4701">
      <c r="A4701" s="10" t="s">
        <v>6140</v>
      </c>
      <c r="B4701" s="7" t="str">
        <f>IFERROR(__xludf.DUMMYFUNCTION("SPLIT(A4701,"" "")"),"CC(C)c1cc(CN(Cc2ccccn2)Cc2ccc(-c3ccc4c(c3)OCCOCCOCCOCCOCCO4)cn2)ccn1")</f>
        <v>CC(C)c1cc(CN(Cc2ccccn2)Cc2ccc(-c3ccc4c(c3)OCCOCCOCCOCCOCCO4)cn2)ccn1</v>
      </c>
      <c r="C4701" s="7">
        <f>IFERROR(__xludf.DUMMYFUNCTION("""COMPUTED_VALUE"""),7.7938576)</f>
        <v>7.7938576</v>
      </c>
      <c r="D4701" s="7">
        <f>IFERROR(__xludf.DUMMYFUNCTION("""COMPUTED_VALUE"""),0.422535211267605)</f>
        <v>0.4225352113</v>
      </c>
    </row>
    <row r="4702">
      <c r="A4702" s="10" t="s">
        <v>6141</v>
      </c>
      <c r="B4702" s="7" t="str">
        <f>IFERROR(__xludf.DUMMYFUNCTION("SPLIT(A4702,"" "")"),"COC(C)c1cccnn1")</f>
        <v>COC(C)c1cccnn1</v>
      </c>
      <c r="C4702" s="7">
        <f>IFERROR(__xludf.DUMMYFUNCTION("""COMPUTED_VALUE"""),7.793854)</f>
        <v>7.793854</v>
      </c>
      <c r="D4702" s="7">
        <f>IFERROR(__xludf.DUMMYFUNCTION("""COMPUTED_VALUE"""),0.324324324324324)</f>
        <v>0.3243243243</v>
      </c>
    </row>
    <row r="4703">
      <c r="A4703" s="10" t="s">
        <v>6142</v>
      </c>
      <c r="B4703" s="7" t="str">
        <f>IFERROR(__xludf.DUMMYFUNCTION("SPLIT(A4703,"" "")"),"CN1CCN(Cc2ccc(C(C)(C)C)cn2)CCN(Cc2cccc(C3=NC(C)(C)CO3)n2)CC1")</f>
        <v>CN1CCN(Cc2ccc(C(C)(C)C)cn2)CCN(Cc2cccc(C3=NC(C)(C)CO3)n2)CC1</v>
      </c>
      <c r="C4703" s="7">
        <f>IFERROR(__xludf.DUMMYFUNCTION("""COMPUTED_VALUE"""),7.7938504)</f>
        <v>7.7938504</v>
      </c>
      <c r="D4703" s="7">
        <f>IFERROR(__xludf.DUMMYFUNCTION("""COMPUTED_VALUE"""),0.454545454545454)</f>
        <v>0.4545454545</v>
      </c>
    </row>
    <row r="4704">
      <c r="A4704" s="10" t="s">
        <v>6143</v>
      </c>
      <c r="B4704" s="7" t="str">
        <f>IFERROR(__xludf.DUMMYFUNCTION("SPLIT(A4704,"" "")"),"COC(C)c1cc(C)c(CN2CCN(C)CCN(Cc3cc(C(C)(C)c4ccccn4)ccn3)CC2)cn1")</f>
        <v>COC(C)c1cc(C)c(CN2CCN(C)CCN(Cc3cc(C(C)(C)c4ccccn4)ccn3)CC2)cn1</v>
      </c>
      <c r="C4704" s="7">
        <f>IFERROR(__xludf.DUMMYFUNCTION("""COMPUTED_VALUE"""),7.7938476)</f>
        <v>7.7938476</v>
      </c>
      <c r="D4704" s="7">
        <f>IFERROR(__xludf.DUMMYFUNCTION("""COMPUTED_VALUE"""),0.412698412698412)</f>
        <v>0.4126984127</v>
      </c>
    </row>
    <row r="4705">
      <c r="A4705" s="10" t="s">
        <v>6144</v>
      </c>
      <c r="B4705" s="7" t="str">
        <f>IFERROR(__xludf.DUMMYFUNCTION("SPLIT(A4705,"" "")"),"Cc1nc(CN(C)C2CCC(N(Cc3ccccn3)Cc3cccc(CN(C)C(C)C)n3)CC2)c(C)c(C)c1C")</f>
        <v>Cc1nc(CN(C)C2CCC(N(Cc3ccccn3)Cc3cccc(CN(C)C(C)C)n3)CC2)c(C)c(C)c1C</v>
      </c>
      <c r="C4705" s="7">
        <f>IFERROR(__xludf.DUMMYFUNCTION("""COMPUTED_VALUE"""),7.79384)</f>
        <v>7.79384</v>
      </c>
      <c r="D4705" s="7">
        <f>IFERROR(__xludf.DUMMYFUNCTION("""COMPUTED_VALUE"""),0.383333333333333)</f>
        <v>0.3833333333</v>
      </c>
    </row>
    <row r="4706">
      <c r="A4706" s="10" t="s">
        <v>6145</v>
      </c>
      <c r="B4706" s="7" t="str">
        <f>IFERROR(__xludf.DUMMYFUNCTION("SPLIT(A4706,"" "")"),"Cc1ccc(CN(Cc2cccc(C)n2)C2CCCC(N(C)Cc3cccc(CF)n3)C2)cn1")</f>
        <v>Cc1ccc(CN(Cc2cccc(C)n2)C2CCCC(N(C)Cc3cccc(CF)n3)C2)cn1</v>
      </c>
      <c r="C4706" s="7">
        <f>IFERROR(__xludf.DUMMYFUNCTION("""COMPUTED_VALUE"""),7.793828)</f>
        <v>7.793828</v>
      </c>
      <c r="D4706" s="7">
        <f>IFERROR(__xludf.DUMMYFUNCTION("""COMPUTED_VALUE"""),0.456140350877192)</f>
        <v>0.4561403509</v>
      </c>
    </row>
    <row r="4707">
      <c r="A4707" s="10" t="s">
        <v>6146</v>
      </c>
      <c r="B4707" s="7" t="str">
        <f>IFERROR(__xludf.DUMMYFUNCTION("SPLIT(A4707,"" "")"),"COC(=O)C1CN(C)C(c2cc(CN3CCN(C)CCN(C)CC3)ccn2)C(c2ccccn2)C1c1ccccn1")</f>
        <v>COC(=O)C1CN(C)C(c2cc(CN3CCN(C)CCN(C)CC3)ccn2)C(c2ccccn2)C1c1ccccn1</v>
      </c>
      <c r="C4707" s="7">
        <f>IFERROR(__xludf.DUMMYFUNCTION("""COMPUTED_VALUE"""),7.7938123)</f>
        <v>7.7938123</v>
      </c>
      <c r="D4707" s="7">
        <f>IFERROR(__xludf.DUMMYFUNCTION("""COMPUTED_VALUE"""),0.383333333333333)</f>
        <v>0.3833333333</v>
      </c>
    </row>
    <row r="4708">
      <c r="A4708" s="10" t="s">
        <v>6147</v>
      </c>
      <c r="B4708" s="7" t="str">
        <f>IFERROR(__xludf.DUMMYFUNCTION("SPLIT(A4708,"" "")"),"CCOC(C)c1cccc(CN(Cc2ccccn2)C2CCC(N(C)Cc3ccc(C)c(C)n3)CC2)n1")</f>
        <v>CCOC(C)c1cccc(CN(Cc2ccccn2)C2CCC(N(C)Cc3ccc(C)c(C)n3)CC2)n1</v>
      </c>
      <c r="C4708" s="7">
        <f>IFERROR(__xludf.DUMMYFUNCTION("""COMPUTED_VALUE"""),7.7938085)</f>
        <v>7.7938085</v>
      </c>
      <c r="D4708" s="7">
        <f>IFERROR(__xludf.DUMMYFUNCTION("""COMPUTED_VALUE"""),0.38095238095238)</f>
        <v>0.380952381</v>
      </c>
    </row>
    <row r="4709">
      <c r="A4709" s="10" t="s">
        <v>6148</v>
      </c>
      <c r="B4709" s="7" t="str">
        <f>IFERROR(__xludf.DUMMYFUNCTION("SPLIT(A4709,"" "")"),"CCN(C)CC1=CCC(N(C)C(C)C)=CN1")</f>
        <v>CCN(C)CC1=CCC(N(C)C(C)C)=CN1</v>
      </c>
      <c r="C4709" s="7">
        <f>IFERROR(__xludf.DUMMYFUNCTION("""COMPUTED_VALUE"""),7.7937913)</f>
        <v>7.7937913</v>
      </c>
      <c r="D4709" s="7">
        <f>IFERROR(__xludf.DUMMYFUNCTION("""COMPUTED_VALUE"""),0.208333333333333)</f>
        <v>0.2083333333</v>
      </c>
    </row>
    <row r="4710">
      <c r="A4710" s="10" t="s">
        <v>6149</v>
      </c>
      <c r="B4710" s="7" t="str">
        <f>IFERROR(__xludf.DUMMYFUNCTION("SPLIT(A4710,"" "")"),"CN(Cc1ccccn1)C1=CNC=CC1CN(C)C1CCCC(N(Cc2ccccn2)Cc2ccccn2)C1")</f>
        <v>CN(Cc1ccccn1)C1=CNC=CC1CN(C)C1CCCC(N(Cc2ccccn2)Cc2ccccn2)C1</v>
      </c>
      <c r="C4710" s="7">
        <f>IFERROR(__xludf.DUMMYFUNCTION("""COMPUTED_VALUE"""),7.7937865)</f>
        <v>7.7937865</v>
      </c>
      <c r="D4710" s="7">
        <f>IFERROR(__xludf.DUMMYFUNCTION("""COMPUTED_VALUE"""),0.413793103448275)</f>
        <v>0.4137931034</v>
      </c>
    </row>
    <row r="4711">
      <c r="A4711" s="10" t="s">
        <v>6150</v>
      </c>
      <c r="B4711" s="7" t="str">
        <f>IFERROR(__xludf.DUMMYFUNCTION("SPLIT(A4711,"" "")"),"CCN(Cc1ccccn1)C1CCC(N(C)Cc2ncccc2F)CC1N(C)Cc1nc(C)c(C)c(C)c1C")</f>
        <v>CCN(Cc1ccccn1)C1CCC(N(C)Cc2ncccc2F)CC1N(C)Cc1nc(C)c(C)c(C)c1C</v>
      </c>
      <c r="C4711" s="7">
        <f>IFERROR(__xludf.DUMMYFUNCTION("""COMPUTED_VALUE"""),7.793786)</f>
        <v>7.793786</v>
      </c>
      <c r="D4711" s="7">
        <f>IFERROR(__xludf.DUMMYFUNCTION("""COMPUTED_VALUE"""),0.384615384615384)</f>
        <v>0.3846153846</v>
      </c>
    </row>
    <row r="4712">
      <c r="A4712" s="10" t="s">
        <v>6151</v>
      </c>
      <c r="B4712" s="7" t="str">
        <f>IFERROR(__xludf.DUMMYFUNCTION("SPLIT(A4712,"" "")"),"Cc1cnc(CN(C)C2CCC(N(Cc3ccccn3)Cc3ccccn3)CC2)c(C)c1C")</f>
        <v>Cc1cnc(CN(C)C2CCC(N(Cc3ccccn3)Cc3ccccn3)CC2)c(C)c1C</v>
      </c>
      <c r="C4712" s="7">
        <f>IFERROR(__xludf.DUMMYFUNCTION("""COMPUTED_VALUE"""),7.7937784)</f>
        <v>7.7937784</v>
      </c>
      <c r="D4712" s="7">
        <f>IFERROR(__xludf.DUMMYFUNCTION("""COMPUTED_VALUE"""),0.46938775510204)</f>
        <v>0.4693877551</v>
      </c>
    </row>
    <row r="4713">
      <c r="A4713" s="10" t="s">
        <v>6152</v>
      </c>
      <c r="B4713" s="7" t="str">
        <f>IFERROR(__xludf.DUMMYFUNCTION("SPLIT(A4713,"" "")"),"CNCc1ncccc1CF")</f>
        <v>CNCc1ncccc1CF</v>
      </c>
      <c r="C4713" s="7">
        <f>IFERROR(__xludf.DUMMYFUNCTION("""COMPUTED_VALUE"""),7.79377)</f>
        <v>7.79377</v>
      </c>
      <c r="D4713" s="7">
        <f>IFERROR(__xludf.DUMMYFUNCTION("""COMPUTED_VALUE"""),0.302325581395348)</f>
        <v>0.3023255814</v>
      </c>
    </row>
    <row r="4714">
      <c r="A4714" s="10" t="s">
        <v>6153</v>
      </c>
      <c r="B4714" s="7" t="str">
        <f>IFERROR(__xludf.DUMMYFUNCTION("SPLIT(A4714,"" "")"),"CC1C=CC(C)C2(C=CC(c3ccc(CN(C)Cc4ccccn4)cn3)C3(C(C)C=CC(C)C3C)C23C(C)C=CC(C)C3C)C1N(C)Cc1ccccn1")</f>
        <v>CC1C=CC(C)C2(C=CC(c3ccc(CN(C)Cc4ccccn4)cn3)C3(C(C)C=CC(C)C3C)C23C(C)C=CC(C)C3C)C1N(C)Cc1ccccn1</v>
      </c>
      <c r="C4714" s="7">
        <f>IFERROR(__xludf.DUMMYFUNCTION("""COMPUTED_VALUE"""),7.7937603)</f>
        <v>7.7937603</v>
      </c>
      <c r="D4714" s="7">
        <f>IFERROR(__xludf.DUMMYFUNCTION("""COMPUTED_VALUE"""),0.323943661971831)</f>
        <v>0.323943662</v>
      </c>
    </row>
    <row r="4715">
      <c r="A4715" s="10" t="s">
        <v>6154</v>
      </c>
      <c r="B4715" s="7" t="str">
        <f>IFERROR(__xludf.DUMMYFUNCTION("SPLIT(A4715,"" "")"),"CC(C)N(C)Cc1cc(N(C)Cc2cccc(-c3ccc4c(c3)OCCOCCOCCOCCOCCO4)n2)ccn1")</f>
        <v>CC(C)N(C)Cc1cc(N(C)Cc2cccc(-c3ccc4c(c3)OCCOCCOCCOCCOCCO4)n2)ccn1</v>
      </c>
      <c r="C4715" s="7">
        <f>IFERROR(__xludf.DUMMYFUNCTION("""COMPUTED_VALUE"""),7.793756)</f>
        <v>7.793756</v>
      </c>
      <c r="D4715" s="7">
        <f>IFERROR(__xludf.DUMMYFUNCTION("""COMPUTED_VALUE"""),0.333333333333333)</f>
        <v>0.3333333333</v>
      </c>
    </row>
    <row r="4716">
      <c r="A4716" s="10" t="s">
        <v>6155</v>
      </c>
      <c r="B4716" s="7" t="str">
        <f>IFERROR(__xludf.DUMMYFUNCTION("SPLIT(A4716,"" "")"),"Cc1cnc(CN(C)C2CCCC(N(Cc3cccnc3)Cc3ccccn3)C2)c(C)c1C")</f>
        <v>Cc1cnc(CN(C)C2CCCC(N(Cc3cccnc3)Cc3ccccn3)C2)c(C)c1C</v>
      </c>
      <c r="C4716" s="7">
        <f>IFERROR(__xludf.DUMMYFUNCTION("""COMPUTED_VALUE"""),7.7937484)</f>
        <v>7.7937484</v>
      </c>
      <c r="D4716" s="7">
        <f>IFERROR(__xludf.DUMMYFUNCTION("""COMPUTED_VALUE"""),0.4)</f>
        <v>0.4</v>
      </c>
    </row>
    <row r="4717">
      <c r="A4717" s="10" t="s">
        <v>6156</v>
      </c>
      <c r="B4717" s="7" t="str">
        <f>IFERROR(__xludf.DUMMYFUNCTION("SPLIT(A4717,"" "")"),"Cc1cnc(CN(C)CCN(C)C(C)C)cc1C")</f>
        <v>Cc1cnc(CN(C)CCN(C)C(C)C)cc1C</v>
      </c>
      <c r="C4717" s="7">
        <f>IFERROR(__xludf.DUMMYFUNCTION("""COMPUTED_VALUE"""),7.793742)</f>
        <v>7.793742</v>
      </c>
      <c r="D4717" s="7">
        <f>IFERROR(__xludf.DUMMYFUNCTION("""COMPUTED_VALUE"""),0.5)</f>
        <v>0.5</v>
      </c>
    </row>
    <row r="4718">
      <c r="A4718" s="10" t="s">
        <v>6157</v>
      </c>
      <c r="B4718" s="7" t="str">
        <f>IFERROR(__xludf.DUMMYFUNCTION("SPLIT(A4718,"" "")"),"Cc1cnc(CN(C)C2CCC(N(C)Cc3ccccn3)CC2N(Cc2ncccc2C)C(C)C)c(C)c1")</f>
        <v>Cc1cnc(CN(C)C2CCC(N(C)Cc3ccccn3)CC2N(Cc2ncccc2C)C(C)C)c(C)c1</v>
      </c>
      <c r="C4718" s="7">
        <f>IFERROR(__xludf.DUMMYFUNCTION("""COMPUTED_VALUE"""),7.793735)</f>
        <v>7.793735</v>
      </c>
      <c r="D4718" s="7">
        <f>IFERROR(__xludf.DUMMYFUNCTION("""COMPUTED_VALUE"""),0.435483870967741)</f>
        <v>0.435483871</v>
      </c>
    </row>
    <row r="4719">
      <c r="A4719" s="10" t="s">
        <v>6158</v>
      </c>
      <c r="B4719" s="7" t="str">
        <f>IFERROR(__xludf.DUMMYFUNCTION("SPLIT(A4719,"" "")"),"CN(CCF)CCN(C)C1CCCC(N(C)c2cccc3nc(CF)ccc23)C1")</f>
        <v>CN(CCF)CCN(C)C1CCCC(N(C)c2cccc3nc(CF)ccc23)C1</v>
      </c>
      <c r="C4719" s="7">
        <f>IFERROR(__xludf.DUMMYFUNCTION("""COMPUTED_VALUE"""),7.793735)</f>
        <v>7.793735</v>
      </c>
      <c r="D4719" s="7">
        <f>IFERROR(__xludf.DUMMYFUNCTION("""COMPUTED_VALUE"""),0.403225806451612)</f>
        <v>0.4032258065</v>
      </c>
    </row>
    <row r="4720">
      <c r="A4720" s="10" t="s">
        <v>6159</v>
      </c>
      <c r="B4720" s="7" t="str">
        <f>IFERROR(__xludf.DUMMYFUNCTION("SPLIT(A4720,"" "")"),"COC(C)c1ncccc1CN(Cc1ccccn1)Cc1cc(-c2ccc3c(c2)OCCOCCOCCOCCOCCO3)ccn1")</f>
        <v>COC(C)c1ncccc1CN(Cc1ccccn1)Cc1cc(-c2ccc3c(c2)OCCOCCOCCOCCOCCO3)ccn1</v>
      </c>
      <c r="C4720" s="7">
        <f>IFERROR(__xludf.DUMMYFUNCTION("""COMPUTED_VALUE"""),7.7937336)</f>
        <v>7.7937336</v>
      </c>
      <c r="D4720" s="7">
        <f>IFERROR(__xludf.DUMMYFUNCTION("""COMPUTED_VALUE"""),0.338983050847457)</f>
        <v>0.3389830508</v>
      </c>
    </row>
    <row r="4721">
      <c r="A4721" s="10" t="s">
        <v>6160</v>
      </c>
      <c r="B4721" s="7" t="str">
        <f>IFERROR(__xludf.DUMMYFUNCTION("SPLIT(A4721,"" "")"),"CC(C)(c1cccc(CNCc2cccc(-c3ccc4c(c3)OCCOCCOCCOCCOCCO4)n2)n1)c1cccc(C2CCC2(C)C)n1")</f>
        <v>CC(C)(c1cccc(CNCc2cccc(-c3ccc4c(c3)OCCOCCOCCOCCOCCO4)n2)n1)c1cccc(C2CCC2(C)C)n1</v>
      </c>
      <c r="C4721" s="7">
        <f>IFERROR(__xludf.DUMMYFUNCTION("""COMPUTED_VALUE"""),7.7937317)</f>
        <v>7.7937317</v>
      </c>
      <c r="D4721" s="7">
        <f>IFERROR(__xludf.DUMMYFUNCTION("""COMPUTED_VALUE"""),0.3125)</f>
        <v>0.3125</v>
      </c>
    </row>
    <row r="4722">
      <c r="A4722" s="10" t="s">
        <v>6161</v>
      </c>
      <c r="B4722" s="7" t="str">
        <f>IFERROR(__xludf.DUMMYFUNCTION("SPLIT(A4722,"" "")"),"Cc1cnc(CN(C)C2CCC(N(C)Cc3nc(C)c(C)c(C)c3C)CC2)cc1C")</f>
        <v>Cc1cnc(CN(C)C2CCC(N(C)Cc3nc(C)c(C)c(C)c3C)CC2)cc1C</v>
      </c>
      <c r="C4722" s="7">
        <f>IFERROR(__xludf.DUMMYFUNCTION("""COMPUTED_VALUE"""),7.793729)</f>
        <v>7.793729</v>
      </c>
      <c r="D4722" s="7">
        <f>IFERROR(__xludf.DUMMYFUNCTION("""COMPUTED_VALUE"""),0.365384615384615)</f>
        <v>0.3653846154</v>
      </c>
    </row>
    <row r="4723">
      <c r="A4723" s="10" t="s">
        <v>6162</v>
      </c>
      <c r="B4723" s="7" t="str">
        <f>IFERROR(__xludf.DUMMYFUNCTION("SPLIT(A4723,"" "")"),"Cc1cnc(CN(C)C2CCCCC2N(C)Cc2nc(C)c(C)c(C)c2C)c(C)c1")</f>
        <v>Cc1cnc(CN(C)C2CCCCC2N(C)Cc2nc(C)c(C)c(C)c2C)c(C)c1</v>
      </c>
      <c r="C4723" s="7">
        <f>IFERROR(__xludf.DUMMYFUNCTION("""COMPUTED_VALUE"""),7.793718)</f>
        <v>7.793718</v>
      </c>
      <c r="D4723" s="7">
        <f>IFERROR(__xludf.DUMMYFUNCTION("""COMPUTED_VALUE"""),0.46938775510204)</f>
        <v>0.4693877551</v>
      </c>
    </row>
    <row r="4724">
      <c r="A4724" s="10" t="s">
        <v>6163</v>
      </c>
      <c r="B4724" s="7" t="str">
        <f>IFERROR(__xludf.DUMMYFUNCTION("SPLIT(A4724,"" "")"),"Cc1cnc(CN(C)C2CCCC(N(C)Cc3nc(C)c(C)cc3C)C2)c(C)c1")</f>
        <v>Cc1cnc(CN(C)C2CCCC(N(C)Cc3nc(C)c(C)cc3C)C2)c(C)c1</v>
      </c>
      <c r="C4724" s="7">
        <f>IFERROR(__xludf.DUMMYFUNCTION("""COMPUTED_VALUE"""),7.7937)</f>
        <v>7.7937</v>
      </c>
      <c r="D4724" s="7">
        <f>IFERROR(__xludf.DUMMYFUNCTION("""COMPUTED_VALUE"""),0.339622641509433)</f>
        <v>0.3396226415</v>
      </c>
    </row>
    <row r="4725">
      <c r="A4725" s="10" t="s">
        <v>6164</v>
      </c>
      <c r="B4725" s="7" t="str">
        <f>IFERROR(__xludf.DUMMYFUNCTION("SPLIT(A4725,"" "")"),"Cc1ccc(CN(C)C2C=CNC(CN(C)C(C)C)=C2)nc1")</f>
        <v>Cc1ccc(CN(C)C2C=CNC(CN(C)C(C)C)=C2)nc1</v>
      </c>
      <c r="C4725" s="7">
        <f>IFERROR(__xludf.DUMMYFUNCTION("""COMPUTED_VALUE"""),7.7937)</f>
        <v>7.7937</v>
      </c>
      <c r="D4725" s="7">
        <f>IFERROR(__xludf.DUMMYFUNCTION("""COMPUTED_VALUE"""),0.442307692307692)</f>
        <v>0.4423076923</v>
      </c>
    </row>
    <row r="4726">
      <c r="A4726" s="10" t="s">
        <v>6165</v>
      </c>
      <c r="B4726" s="7" t="str">
        <f>IFERROR(__xludf.DUMMYFUNCTION("SPLIT(A4726,"" "")"),"CN(Cc1cc(-c2ccc3c(c2)OCCOCCOCCOCCOCCO3)ccn1)Cc1cc(N(C)Cc2cc(-c3ccc4c(c3)OCCOCCOCCOCCOCCO4)ccn2)ccn1")</f>
        <v>CN(Cc1cc(-c2ccc3c(c2)OCCOCCOCCOCCOCCO3)ccn1)Cc1cc(N(C)Cc2cc(-c3ccc4c(c3)OCCOCCOCCOCCOCCO4)ccn2)ccn1</v>
      </c>
      <c r="C4726" s="7">
        <f>IFERROR(__xludf.DUMMYFUNCTION("""COMPUTED_VALUE"""),7.7936993)</f>
        <v>7.7936993</v>
      </c>
      <c r="D4726" s="7">
        <f>IFERROR(__xludf.DUMMYFUNCTION("""COMPUTED_VALUE"""),0.390625)</f>
        <v>0.390625</v>
      </c>
    </row>
    <row r="4727">
      <c r="A4727" s="10" t="s">
        <v>6166</v>
      </c>
      <c r="B4727" s="7" t="str">
        <f>IFERROR(__xludf.DUMMYFUNCTION("SPLIT(A4727,"" "")"),"CC(C)(c1ccccn1)c1ncccc1CN(Cc1ccccn1)C1CCCCC1N(CF)Cc1ccccn1")</f>
        <v>CC(C)(c1ccccn1)c1ncccc1CN(Cc1ccccn1)C1CCCCC1N(CF)Cc1ccccn1</v>
      </c>
      <c r="C4727" s="7">
        <f>IFERROR(__xludf.DUMMYFUNCTION("""COMPUTED_VALUE"""),7.793697)</f>
        <v>7.793697</v>
      </c>
      <c r="D4727" s="7">
        <f>IFERROR(__xludf.DUMMYFUNCTION("""COMPUTED_VALUE"""),0.454545454545454)</f>
        <v>0.4545454545</v>
      </c>
    </row>
    <row r="4728">
      <c r="A4728" s="10" t="s">
        <v>6167</v>
      </c>
      <c r="B4728" s="7" t="str">
        <f>IFERROR(__xludf.DUMMYFUNCTION("SPLIT(A4728,"" "")"),"CCCN(C)Cc1ccc2ccc(N(C)C3CCCCC3N(C)Cc3cccc(-c4ccc5c(c4)OCCOCCOCCOCCOCCO5)n3)cc2n1")</f>
        <v>CCCN(C)Cc1ccc2ccc(N(C)C3CCCCC3N(C)Cc3cccc(-c4ccc5c(c4)OCCOCCOCCOCCOCCO5)n3)cc2n1</v>
      </c>
      <c r="C4728" s="7">
        <f>IFERROR(__xludf.DUMMYFUNCTION("""COMPUTED_VALUE"""),7.7936954)</f>
        <v>7.7936954</v>
      </c>
      <c r="D4728" s="7">
        <f>IFERROR(__xludf.DUMMYFUNCTION("""COMPUTED_VALUE"""),0.361111111111111)</f>
        <v>0.3611111111</v>
      </c>
    </row>
    <row r="4729">
      <c r="A4729" s="10" t="s">
        <v>6168</v>
      </c>
      <c r="B4729" s="7" t="str">
        <f>IFERROR(__xludf.DUMMYFUNCTION("SPLIT(A4729,"" "")"),"CC(C)N1CCN(C)CCN(CCN(C)c2ccc3nccc(CF)c3c2)CC1")</f>
        <v>CC(C)N1CCN(C)CCN(CCN(C)c2ccc3nccc(CF)c3c2)CC1</v>
      </c>
      <c r="C4729" s="7">
        <f>IFERROR(__xludf.DUMMYFUNCTION("""COMPUTED_VALUE"""),7.7936935)</f>
        <v>7.7936935</v>
      </c>
      <c r="D4729" s="7">
        <f>IFERROR(__xludf.DUMMYFUNCTION("""COMPUTED_VALUE"""),0.328125)</f>
        <v>0.328125</v>
      </c>
    </row>
    <row r="4730">
      <c r="A4730" s="10" t="s">
        <v>6169</v>
      </c>
      <c r="B4730" s="7" t="str">
        <f>IFERROR(__xludf.DUMMYFUNCTION("SPLIT(A4730,"" "")"),"Cc1cc(N)c(-c2ccc3c(c2)OCCOCCOCCOCCOCCO3)c(C)c1CN(C)Cc1ccccn1")</f>
        <v>Cc1cc(N)c(-c2ccc3c(c2)OCCOCCOCCOCCOCCO3)c(C)c1CN(C)Cc1ccccn1</v>
      </c>
      <c r="C4730" s="7">
        <f>IFERROR(__xludf.DUMMYFUNCTION("""COMPUTED_VALUE"""),7.793687)</f>
        <v>7.793687</v>
      </c>
      <c r="D4730" s="7">
        <f>IFERROR(__xludf.DUMMYFUNCTION("""COMPUTED_VALUE"""),0.34375)</f>
        <v>0.34375</v>
      </c>
    </row>
    <row r="4731">
      <c r="A4731" s="10" t="s">
        <v>6170</v>
      </c>
      <c r="B4731" s="7" t="str">
        <f>IFERROR(__xludf.DUMMYFUNCTION("SPLIT(A4731,"" "")"),"C=Cc1ccc(CN(Cc2ccccn2)Cc2cccc(-c3ccc4c(c3)OCCOCCOCCOCCOCCO4)n2)cc1")</f>
        <v>C=Cc1ccc(CN(Cc2ccccn2)Cc2cccc(-c3ccc4c(c3)OCCOCCOCCOCCOCCO4)n2)cc1</v>
      </c>
      <c r="C4731" s="7">
        <f>IFERROR(__xludf.DUMMYFUNCTION("""COMPUTED_VALUE"""),7.7936745)</f>
        <v>7.7936745</v>
      </c>
      <c r="D4731" s="7">
        <f>IFERROR(__xludf.DUMMYFUNCTION("""COMPUTED_VALUE"""),0.469696969696969)</f>
        <v>0.4696969697</v>
      </c>
    </row>
    <row r="4732">
      <c r="A4732" s="10" t="s">
        <v>6171</v>
      </c>
      <c r="B4732" s="7" t="str">
        <f>IFERROR(__xludf.DUMMYFUNCTION("SPLIT(A4732,"" "")"),"CNC1CCC(N(Cc2ncccc2C)Cc2ncccc2C)CC1N(C)Cc1ncccc1C")</f>
        <v>CNC1CCC(N(Cc2ncccc2C)Cc2ncccc2C)CC1N(C)Cc1ncccc1C</v>
      </c>
      <c r="C4732" s="7">
        <f>IFERROR(__xludf.DUMMYFUNCTION("""COMPUTED_VALUE"""),7.7936735)</f>
        <v>7.7936735</v>
      </c>
      <c r="D4732" s="7">
        <f>IFERROR(__xludf.DUMMYFUNCTION("""COMPUTED_VALUE"""),0.345454545454545)</f>
        <v>0.3454545455</v>
      </c>
    </row>
    <row r="4733">
      <c r="A4733" s="10" t="s">
        <v>6172</v>
      </c>
      <c r="B4733" s="7" t="str">
        <f>IFERROR(__xludf.DUMMYFUNCTION("SPLIT(A4733,"" "")"),"Cc1ccc(C2(C)N=COC2c2ncccc2CN2CCN(C)CCN(C)CC2)cc1")</f>
        <v>Cc1ccc(C2(C)N=COC2c2ncccc2CN2CCN(C)CCN(C)CC2)cc1</v>
      </c>
      <c r="C4733" s="7">
        <f>IFERROR(__xludf.DUMMYFUNCTION("""COMPUTED_VALUE"""),7.7936735)</f>
        <v>7.7936735</v>
      </c>
      <c r="D4733" s="7">
        <f>IFERROR(__xludf.DUMMYFUNCTION("""COMPUTED_VALUE"""),0.375)</f>
        <v>0.375</v>
      </c>
    </row>
    <row r="4734">
      <c r="A4734" s="10" t="s">
        <v>6173</v>
      </c>
      <c r="B4734" s="7" t="str">
        <f>IFERROR(__xludf.DUMMYFUNCTION("SPLIT(A4734,"" "")"),"Fc1ccc(CN(Cc2cccc(F)n2)C2CCCCC2N(Cc2ccccn2)Cc2cccnc2F)cn1")</f>
        <v>Fc1ccc(CN(Cc2cccc(F)n2)C2CCCCC2N(Cc2ccccn2)Cc2cccnc2F)cn1</v>
      </c>
      <c r="C4734" s="7">
        <f>IFERROR(__xludf.DUMMYFUNCTION("""COMPUTED_VALUE"""),7.793673)</f>
        <v>7.793673</v>
      </c>
      <c r="D4734" s="7">
        <f>IFERROR(__xludf.DUMMYFUNCTION("""COMPUTED_VALUE"""),0.406779661016949)</f>
        <v>0.406779661</v>
      </c>
    </row>
    <row r="4735">
      <c r="A4735" s="10" t="s">
        <v>6174</v>
      </c>
      <c r="B4735" s="7" t="str">
        <f>IFERROR(__xludf.DUMMYFUNCTION("SPLIT(A4735,"" "")"),"Cc1cnc(CN(C)C2CCCC(N(Cc3ccccn3)Cc3cccnc3F)C2)c(C)c1")</f>
        <v>Cc1cnc(CN(C)C2CCCC(N(Cc3ccccn3)Cc3cccnc3F)C2)c(C)c1</v>
      </c>
      <c r="C4735" s="7">
        <f>IFERROR(__xludf.DUMMYFUNCTION("""COMPUTED_VALUE"""),7.7936487)</f>
        <v>7.7936487</v>
      </c>
      <c r="D4735" s="7">
        <f>IFERROR(__xludf.DUMMYFUNCTION("""COMPUTED_VALUE"""),0.387096774193548)</f>
        <v>0.3870967742</v>
      </c>
    </row>
    <row r="4736">
      <c r="A4736" s="10" t="s">
        <v>6175</v>
      </c>
      <c r="B4736" s="7" t="str">
        <f>IFERROR(__xludf.DUMMYFUNCTION("SPLIT(A4736,"" "")"),"CN1CCN(Cc2ccc(N(C)C)cn2)CCN(c2ccccc2F)CC1")</f>
        <v>CN1CCN(Cc2ccc(N(C)C)cn2)CCN(c2ccccc2F)CC1</v>
      </c>
      <c r="C4736" s="7">
        <f>IFERROR(__xludf.DUMMYFUNCTION("""COMPUTED_VALUE"""),7.793636)</f>
        <v>7.793636</v>
      </c>
      <c r="D4736" s="7">
        <f>IFERROR(__xludf.DUMMYFUNCTION("""COMPUTED_VALUE"""),0.46)</f>
        <v>0.46</v>
      </c>
    </row>
    <row r="4737">
      <c r="A4737" s="10" t="s">
        <v>6176</v>
      </c>
      <c r="B4737" s="7" t="str">
        <f>IFERROR(__xludf.DUMMYFUNCTION("SPLIT(A4737,"" "")"),"Cc1ccccc1C(C)(C)c1cccc(CN(Cc2ccccn2)C2CCCCC2)n1")</f>
        <v>Cc1ccccc1C(C)(C)c1cccc(CN(Cc2ccccn2)C2CCCCC2)n1</v>
      </c>
      <c r="C4737" s="7">
        <f>IFERROR(__xludf.DUMMYFUNCTION("""COMPUTED_VALUE"""),7.7936225)</f>
        <v>7.7936225</v>
      </c>
      <c r="D4737" s="7">
        <f>IFERROR(__xludf.DUMMYFUNCTION("""COMPUTED_VALUE"""),0.418181818181818)</f>
        <v>0.4181818182</v>
      </c>
    </row>
    <row r="4738">
      <c r="A4738" s="10" t="s">
        <v>6177</v>
      </c>
      <c r="B4738" s="7" t="str">
        <f>IFERROR(__xludf.DUMMYFUNCTION("SPLIT(A4738,"" "")"),"Cc1ccnc2ccc(N(C)C3CC(CN4CCN(C)CCN(C)CC4)N(C)C3)cc12")</f>
        <v>Cc1ccnc2ccc(N(C)C3CC(CN4CCN(C)CCN(C)CC4)N(C)C3)cc12</v>
      </c>
      <c r="C4738" s="7">
        <f>IFERROR(__xludf.DUMMYFUNCTION("""COMPUTED_VALUE"""),7.7936172)</f>
        <v>7.7936172</v>
      </c>
      <c r="D4738" s="7">
        <f>IFERROR(__xludf.DUMMYFUNCTION("""COMPUTED_VALUE"""),0.328125)</f>
        <v>0.328125</v>
      </c>
    </row>
    <row r="4739">
      <c r="A4739" s="10" t="s">
        <v>6178</v>
      </c>
      <c r="B4739" s="7" t="str">
        <f>IFERROR(__xludf.DUMMYFUNCTION("SPLIT(A4739,"" "")"),"Cc1cnc(CN(C)CCN(C)C(C)(C)C)cc1C")</f>
        <v>Cc1cnc(CN(C)CCN(C)C(C)(C)C)cc1C</v>
      </c>
      <c r="C4739" s="7">
        <f>IFERROR(__xludf.DUMMYFUNCTION("""COMPUTED_VALUE"""),7.7936025)</f>
        <v>7.7936025</v>
      </c>
      <c r="D4739" s="7">
        <f>IFERROR(__xludf.DUMMYFUNCTION("""COMPUTED_VALUE"""),0.5)</f>
        <v>0.5</v>
      </c>
    </row>
    <row r="4740">
      <c r="A4740" s="10" t="s">
        <v>6179</v>
      </c>
      <c r="B4740" s="7" t="str">
        <f>IFERROR(__xludf.DUMMYFUNCTION("SPLIT(A4740,"" "")"),"Cc1cnc(CN(CCNCF)Cc2ccccn2)c(C)c1")</f>
        <v>Cc1cnc(CN(CCNCF)Cc2ccccn2)c(C)c1</v>
      </c>
      <c r="C4740" s="7">
        <f>IFERROR(__xludf.DUMMYFUNCTION("""COMPUTED_VALUE"""),7.7935925)</f>
        <v>7.7935925</v>
      </c>
      <c r="D4740" s="7">
        <f>IFERROR(__xludf.DUMMYFUNCTION("""COMPUTED_VALUE"""),0.44)</f>
        <v>0.44</v>
      </c>
    </row>
    <row r="4741">
      <c r="A4741" s="10" t="s">
        <v>6180</v>
      </c>
      <c r="B4741" s="7" t="str">
        <f>IFERROR(__xludf.DUMMYFUNCTION("SPLIT(A4741,"" "")"),"CCCNCC1=NC(C2=NC(C(C)C)CO2)C(C)O1")</f>
        <v>CCCNCC1=NC(C2=NC(C(C)C)CO2)C(C)O1</v>
      </c>
      <c r="C4741" s="7">
        <f>IFERROR(__xludf.DUMMYFUNCTION("""COMPUTED_VALUE"""),7.793591)</f>
        <v>7.793591</v>
      </c>
      <c r="D4741" s="7">
        <f>IFERROR(__xludf.DUMMYFUNCTION("""COMPUTED_VALUE"""),0.145454545454545)</f>
        <v>0.1454545455</v>
      </c>
    </row>
    <row r="4742">
      <c r="A4742" s="10" t="s">
        <v>6181</v>
      </c>
      <c r="B4742" s="7" t="str">
        <f>IFERROR(__xludf.DUMMYFUNCTION("SPLIT(A4742,"" "")"),"CN(CC1=CCC(N(C)Cc2ccccn2)=CN1)Cc1ncccc1-c1cccc2c1OCCOCCOCCOCCOCCO2")</f>
        <v>CN(CC1=CCC(N(C)Cc2ccccn2)=CN1)Cc1ncccc1-c1cccc2c1OCCOCCOCCOCCOCCO2</v>
      </c>
      <c r="C4742" s="7">
        <f>IFERROR(__xludf.DUMMYFUNCTION("""COMPUTED_VALUE"""),7.7935905)</f>
        <v>7.7935905</v>
      </c>
      <c r="D4742" s="7">
        <f>IFERROR(__xludf.DUMMYFUNCTION("""COMPUTED_VALUE"""),0.323943661971831)</f>
        <v>0.323943662</v>
      </c>
    </row>
    <row r="4743">
      <c r="A4743" s="10" t="s">
        <v>6182</v>
      </c>
      <c r="B4743" s="7" t="str">
        <f>IFERROR(__xludf.DUMMYFUNCTION("SPLIT(A4743,"" "")"),"Cc1ccc(N2CCN(C)CCN(Cc3ccc(C(C)(C)C)cn3)CC2)cc1N")</f>
        <v>Cc1ccc(N2CCN(C)CCN(Cc3ccc(C(C)(C)C)cn3)CC2)cc1N</v>
      </c>
      <c r="C4743" s="7">
        <f>IFERROR(__xludf.DUMMYFUNCTION("""COMPUTED_VALUE"""),7.7935853)</f>
        <v>7.7935853</v>
      </c>
      <c r="D4743" s="7">
        <f>IFERROR(__xludf.DUMMYFUNCTION("""COMPUTED_VALUE"""),0.392857142857142)</f>
        <v>0.3928571429</v>
      </c>
    </row>
    <row r="4744">
      <c r="A4744" s="10" t="s">
        <v>6183</v>
      </c>
      <c r="B4744" s="7" t="str">
        <f>IFERROR(__xludf.DUMMYFUNCTION("SPLIT(A4744,"" "")"),"Cc1cnc(CN(Cc2ccccn2)C2CCCC(N(C)Cc3ccncc3C)C2)cc1C")</f>
        <v>Cc1cnc(CN(Cc2ccccn2)C2CCCC(N(C)Cc3ccncc3C)C2)cc1C</v>
      </c>
      <c r="C4744" s="7">
        <f>IFERROR(__xludf.DUMMYFUNCTION("""COMPUTED_VALUE"""),7.7935777)</f>
        <v>7.7935777</v>
      </c>
      <c r="D4744" s="7">
        <f>IFERROR(__xludf.DUMMYFUNCTION("""COMPUTED_VALUE"""),0.413793103448275)</f>
        <v>0.4137931034</v>
      </c>
    </row>
    <row r="4745">
      <c r="A4745" s="10" t="s">
        <v>6184</v>
      </c>
      <c r="B4745" s="7" t="str">
        <f>IFERROR(__xludf.DUMMYFUNCTION("SPLIT(A4745,"" "")"),"CN(CCN(Cc1ccccn1)C1C=CC=CN1)Cc1ccccc1")</f>
        <v>CN(CCN(Cc1ccccn1)C1C=CC=CN1)Cc1ccccc1</v>
      </c>
      <c r="C4745" s="7">
        <f>IFERROR(__xludf.DUMMYFUNCTION("""COMPUTED_VALUE"""),7.793569)</f>
        <v>7.793569</v>
      </c>
      <c r="D4745" s="7">
        <f>IFERROR(__xludf.DUMMYFUNCTION("""COMPUTED_VALUE"""),0.481481481481481)</f>
        <v>0.4814814815</v>
      </c>
    </row>
    <row r="4746">
      <c r="A4746" s="10" t="s">
        <v>6185</v>
      </c>
      <c r="B4746" s="7" t="str">
        <f>IFERROR(__xludf.DUMMYFUNCTION("SPLIT(A4746,"" "")"),"Cc1ccc(CN(C)C2CCCC(N(Cc3ccccn3)Cc3cccc(C(C)(C)C)n3)C2)nc1")</f>
        <v>Cc1ccc(CN(C)C2CCCC(N(Cc3ccccn3)Cc3cccc(C(C)(C)C)n3)C2)nc1</v>
      </c>
      <c r="C4746" s="7">
        <f>IFERROR(__xludf.DUMMYFUNCTION("""COMPUTED_VALUE"""),7.793564)</f>
        <v>7.793564</v>
      </c>
      <c r="D4746" s="7">
        <f>IFERROR(__xludf.DUMMYFUNCTION("""COMPUTED_VALUE"""),0.448275862068965)</f>
        <v>0.4482758621</v>
      </c>
    </row>
    <row r="4747">
      <c r="A4747" s="10" t="s">
        <v>6186</v>
      </c>
      <c r="B4747" s="7" t="str">
        <f>IFERROR(__xludf.DUMMYFUNCTION("SPLIT(A4747,"" "")"),"CCN(Cc1cccc(-c2ccc3c(c2)OCCOCCOCCOCCOCCO3)n1)C1CCCCC1N(C)c1ccc2nc(CF)ccc2c1")</f>
        <v>CCN(Cc1cccc(-c2ccc3c(c2)OCCOCCOCCOCCOCCO3)n1)C1CCCCC1N(C)c1ccc2nc(CF)ccc2c1</v>
      </c>
      <c r="C4747" s="7">
        <f>IFERROR(__xludf.DUMMYFUNCTION("""COMPUTED_VALUE"""),7.793563)</f>
        <v>7.793563</v>
      </c>
      <c r="D4747" s="7">
        <f>IFERROR(__xludf.DUMMYFUNCTION("""COMPUTED_VALUE"""),0.381578947368421)</f>
        <v>0.3815789474</v>
      </c>
    </row>
    <row r="4748">
      <c r="A4748" s="10" t="s">
        <v>6187</v>
      </c>
      <c r="B4748" s="7" t="str">
        <f>IFERROR(__xludf.DUMMYFUNCTION("SPLIT(A4748,"" "")"),"CN(Cc1ncccc1-c1ccc2c(c1)OCCOCCOCCOCCOCCO2)C1CCC(N(Cc2ccccn2)Cc2ccc3ccccc3n2)CC1")</f>
        <v>CN(Cc1ncccc1-c1ccc2c(c1)OCCOCCOCCOCCOCCO2)C1CCC(N(Cc2ccccn2)Cc2ccc3ccccc3n2)CC1</v>
      </c>
      <c r="C4748" s="7">
        <f>IFERROR(__xludf.DUMMYFUNCTION("""COMPUTED_VALUE"""),7.7935557)</f>
        <v>7.7935557</v>
      </c>
      <c r="D4748" s="7">
        <f>IFERROR(__xludf.DUMMYFUNCTION("""COMPUTED_VALUE"""),0.391304347826087)</f>
        <v>0.3913043478</v>
      </c>
    </row>
    <row r="4749">
      <c r="A4749" s="10" t="s">
        <v>6188</v>
      </c>
      <c r="B4749" s="7" t="str">
        <f>IFERROR(__xludf.DUMMYFUNCTION("SPLIT(A4749,"" "")"),"Fc1ccc(CN(Cc2ccccn2)C2CCCCC2N(Cc2cccc(F)n2)Cc2cccc(F)n2)nc1")</f>
        <v>Fc1ccc(CN(Cc2ccccn2)C2CCCCC2N(Cc2cccc(F)n2)Cc2cccc(F)n2)nc1</v>
      </c>
      <c r="C4749" s="7">
        <f>IFERROR(__xludf.DUMMYFUNCTION("""COMPUTED_VALUE"""),7.793548)</f>
        <v>7.793548</v>
      </c>
      <c r="D4749" s="7">
        <f>IFERROR(__xludf.DUMMYFUNCTION("""COMPUTED_VALUE"""),0.48)</f>
        <v>0.48</v>
      </c>
    </row>
    <row r="4750">
      <c r="A4750" s="10" t="s">
        <v>6189</v>
      </c>
      <c r="B4750" s="7" t="str">
        <f>IFERROR(__xludf.DUMMYFUNCTION("SPLIT(A4750,"" "")"),"COCC(=O)C(=O)C(C)C(C)NCc1ccccn1")</f>
        <v>COCC(=O)C(=O)C(C)C(C)NCc1ccccn1</v>
      </c>
      <c r="C4750" s="7">
        <f>IFERROR(__xludf.DUMMYFUNCTION("""COMPUTED_VALUE"""),7.793546)</f>
        <v>7.793546</v>
      </c>
      <c r="D4750" s="7">
        <f>IFERROR(__xludf.DUMMYFUNCTION("""COMPUTED_VALUE"""),0.377777777777777)</f>
        <v>0.3777777778</v>
      </c>
    </row>
    <row r="4751">
      <c r="A4751" s="10" t="s">
        <v>6190</v>
      </c>
      <c r="B4751" s="7" t="str">
        <f>IFERROR(__xludf.DUMMYFUNCTION("SPLIT(A4751,"" "")"),"Cc1ccnc(CN(CCF)Cc2cccnc2)c1")</f>
        <v>Cc1ccnc(CN(CCF)Cc2cccnc2)c1</v>
      </c>
      <c r="C4751" s="7">
        <f>IFERROR(__xludf.DUMMYFUNCTION("""COMPUTED_VALUE"""),7.7935414)</f>
        <v>7.7935414</v>
      </c>
      <c r="D4751" s="7">
        <f>IFERROR(__xludf.DUMMYFUNCTION("""COMPUTED_VALUE"""),0.34)</f>
        <v>0.34</v>
      </c>
    </row>
    <row r="4752">
      <c r="A4752" s="10" t="s">
        <v>6191</v>
      </c>
      <c r="B4752" s="7" t="str">
        <f>IFERROR(__xludf.DUMMYFUNCTION("SPLIT(A4752,"" "")"),"CCN(Cc1ccccn1)Cc1cccc(C2CCC2(C)C)n1")</f>
        <v>CCN(Cc1ccccn1)Cc1cccc(C2CCC2(C)C)n1</v>
      </c>
      <c r="C4752" s="7">
        <f>IFERROR(__xludf.DUMMYFUNCTION("""COMPUTED_VALUE"""),7.793535)</f>
        <v>7.793535</v>
      </c>
      <c r="D4752" s="7">
        <f>IFERROR(__xludf.DUMMYFUNCTION("""COMPUTED_VALUE"""),0.431818181818181)</f>
        <v>0.4318181818</v>
      </c>
    </row>
    <row r="4753">
      <c r="A4753" s="10" t="s">
        <v>6192</v>
      </c>
      <c r="B4753" s="7" t="str">
        <f>IFERROR(__xludf.DUMMYFUNCTION("SPLIT(A4753,"" "")"),"CC(C)(C)c1ccc(CN(Cc2ccccn2)C2CCCCC2N(Cc2ccccn2)Cc2ccccc2F)cn1")</f>
        <v>CC(C)(C)c1ccc(CN(Cc2ccccn2)C2CCCCC2N(Cc2ccccn2)Cc2ccccc2F)cn1</v>
      </c>
      <c r="C4753" s="7">
        <f>IFERROR(__xludf.DUMMYFUNCTION("""COMPUTED_VALUE"""),7.7935343)</f>
        <v>7.7935343</v>
      </c>
      <c r="D4753" s="7">
        <f>IFERROR(__xludf.DUMMYFUNCTION("""COMPUTED_VALUE"""),0.446428571428571)</f>
        <v>0.4464285714</v>
      </c>
    </row>
    <row r="4754">
      <c r="A4754" s="10" t="s">
        <v>6193</v>
      </c>
      <c r="B4754" s="7" t="str">
        <f>IFERROR(__xludf.DUMMYFUNCTION("SPLIT(A4754,"" "")"),"CNCc1nc(C2CCC2(C)C)c(CN(Cc2ccccn2)Cc2cc(-c3ccc4c(c3)OCCOCCOCCOCCOCCO4)ccn2)c(C)c1C")</f>
        <v>CNCc1nc(C2CCC2(C)C)c(CN(Cc2ccccn2)Cc2cc(-c3ccc4c(c3)OCCOCCOCCOCCOCCO4)ccn2)c(C)c1C</v>
      </c>
      <c r="C4754" s="7">
        <f>IFERROR(__xludf.DUMMYFUNCTION("""COMPUTED_VALUE"""),7.793531)</f>
        <v>7.793531</v>
      </c>
      <c r="D4754" s="7">
        <f>IFERROR(__xludf.DUMMYFUNCTION("""COMPUTED_VALUE"""),0.3)</f>
        <v>0.3</v>
      </c>
    </row>
    <row r="4755">
      <c r="A4755" s="10" t="s">
        <v>6194</v>
      </c>
      <c r="B4755" s="7" t="str">
        <f>IFERROR(__xludf.DUMMYFUNCTION("SPLIT(A4755,"" "")"),"Cc1cccc(CN(Cc2ccccn2)C2CCCC(N(C)C3=CCC=CN3)C2)n1")</f>
        <v>Cc1cccc(CN(Cc2ccccn2)C2CCCC(N(C)C3=CCC=CN3)C2)n1</v>
      </c>
      <c r="C4755" s="7">
        <f>IFERROR(__xludf.DUMMYFUNCTION("""COMPUTED_VALUE"""),7.793528)</f>
        <v>7.793528</v>
      </c>
      <c r="D4755" s="7">
        <f>IFERROR(__xludf.DUMMYFUNCTION("""COMPUTED_VALUE"""),0.428571428571428)</f>
        <v>0.4285714286</v>
      </c>
    </row>
    <row r="4756">
      <c r="A4756" s="10" t="s">
        <v>6195</v>
      </c>
      <c r="B4756" s="7" t="str">
        <f>IFERROR(__xludf.DUMMYFUNCTION("SPLIT(A4756,"" "")"),"C1=CNC(CN(Cc2cccc(-c3ccc4c(c3)OCCOCCOCCOCCOCCO4)n2)c2ccccc2)=CC1")</f>
        <v>C1=CNC(CN(Cc2cccc(-c3ccc4c(c3)OCCOCCOCCOCCOCCO4)n2)c2ccccc2)=CC1</v>
      </c>
      <c r="C4756" s="7">
        <f>IFERROR(__xludf.DUMMYFUNCTION("""COMPUTED_VALUE"""),7.7935276)</f>
        <v>7.7935276</v>
      </c>
      <c r="D4756" s="7">
        <f>IFERROR(__xludf.DUMMYFUNCTION("""COMPUTED_VALUE"""),0.373134328358209)</f>
        <v>0.3731343284</v>
      </c>
    </row>
    <row r="4757">
      <c r="A4757" s="10" t="s">
        <v>6196</v>
      </c>
      <c r="B4757" s="7" t="str">
        <f>IFERROR(__xludf.DUMMYFUNCTION("SPLIT(A4757,"" "")"),"Cc1nc(CN(C)C2CCC(N(Cc3ccccn3)Cc3cccc(C4(C)CC(C)C=CC4C)n3)CC2)c(C)c(C)c1C")</f>
        <v>Cc1nc(CN(C)C2CCC(N(Cc3ccccn3)Cc3cccc(C4(C)CC(C)C=CC4C)n3)CC2)c(C)c(C)c1C</v>
      </c>
      <c r="C4757" s="7">
        <f>IFERROR(__xludf.DUMMYFUNCTION("""COMPUTED_VALUE"""),7.793526)</f>
        <v>7.793526</v>
      </c>
      <c r="D4757" s="7">
        <f>IFERROR(__xludf.DUMMYFUNCTION("""COMPUTED_VALUE"""),0.333333333333333)</f>
        <v>0.3333333333</v>
      </c>
    </row>
    <row r="4758">
      <c r="A4758" s="10" t="s">
        <v>6197</v>
      </c>
      <c r="B4758" s="7" t="str">
        <f>IFERROR(__xludf.DUMMYFUNCTION("SPLIT(A4758,"" "")"),"COC(C)c1nc(CN2CCN(C)CCN(Cc3cc(C(C)(C)c4ccccn4)ccn3)CC2)ccc1C")</f>
        <v>COC(C)c1nc(CN2CCN(C)CCN(Cc3cc(C(C)(C)c4ccccn4)ccn3)CC2)ccc1C</v>
      </c>
      <c r="C4758" s="7">
        <f>IFERROR(__xludf.DUMMYFUNCTION("""COMPUTED_VALUE"""),7.793517)</f>
        <v>7.793517</v>
      </c>
      <c r="D4758" s="7">
        <f>IFERROR(__xludf.DUMMYFUNCTION("""COMPUTED_VALUE"""),0.426229508196721)</f>
        <v>0.4262295082</v>
      </c>
    </row>
    <row r="4759">
      <c r="A4759" s="10" t="s">
        <v>6198</v>
      </c>
      <c r="B4759" s="7" t="str">
        <f>IFERROR(__xludf.DUMMYFUNCTION("SPLIT(A4759,"" "")"),"CNC1CCCC(N(C)Cc2cc(C)ccn2)C1N(Cc1ccccn1)Cc1nc(C)c(C)c(C)c1C")</f>
        <v>CNC1CCCC(N(C)Cc2cc(C)ccn2)C1N(Cc1ccccn1)Cc1nc(C)c(C)c(C)c1C</v>
      </c>
      <c r="C4759" s="7">
        <f>IFERROR(__xludf.DUMMYFUNCTION("""COMPUTED_VALUE"""),7.7935166)</f>
        <v>7.7935166</v>
      </c>
      <c r="D4759" s="7">
        <f>IFERROR(__xludf.DUMMYFUNCTION("""COMPUTED_VALUE"""),0.444444444444444)</f>
        <v>0.4444444444</v>
      </c>
    </row>
    <row r="4760">
      <c r="A4760" s="10" t="s">
        <v>6199</v>
      </c>
      <c r="B4760" s="7" t="str">
        <f>IFERROR(__xludf.DUMMYFUNCTION("SPLIT(A4760,"" "")"),"Cc1cc(CN(C)C2CCC(N(Cc3ccnc(C4(C)C=CC(C)CC4C)c3)Cc3ccccn3)CC2)nc(C)c1C")</f>
        <v>Cc1cc(CN(C)C2CCC(N(Cc3ccnc(C4(C)C=CC(C)CC4C)c3)Cc3ccccn3)CC2)nc(C)c1C</v>
      </c>
      <c r="C4760" s="7">
        <f>IFERROR(__xludf.DUMMYFUNCTION("""COMPUTED_VALUE"""),7.7935147)</f>
        <v>7.7935147</v>
      </c>
      <c r="D4760" s="7">
        <f>IFERROR(__xludf.DUMMYFUNCTION("""COMPUTED_VALUE"""),0.328767123287671)</f>
        <v>0.3287671233</v>
      </c>
    </row>
    <row r="4761">
      <c r="A4761" s="10" t="s">
        <v>6200</v>
      </c>
      <c r="B4761" s="7" t="str">
        <f>IFERROR(__xludf.DUMMYFUNCTION("SPLIT(A4761,"" "")"),"Cc1cc(NCc2ccccn2)ccc1CN(C)C1CCCC(N(C)Cc2ccccn2)C1")</f>
        <v>Cc1cc(NCc2ccccn2)ccc1CN(C)C1CCCC(N(C)Cc2ccccn2)C1</v>
      </c>
      <c r="C4761" s="7">
        <f>IFERROR(__xludf.DUMMYFUNCTION("""COMPUTED_VALUE"""),7.793509)</f>
        <v>7.793509</v>
      </c>
      <c r="D4761" s="7">
        <f>IFERROR(__xludf.DUMMYFUNCTION("""COMPUTED_VALUE"""),0.462962962962962)</f>
        <v>0.462962963</v>
      </c>
    </row>
    <row r="4762">
      <c r="A4762" s="10" t="s">
        <v>6201</v>
      </c>
      <c r="B4762" s="7" t="str">
        <f>IFERROR(__xludf.DUMMYFUNCTION("SPLIT(A4762,"" "")"),"CC(C)(C1=CC(N(Cc2ccccn2)Cc2cccc(-c3ccc4c(c3)OCCOCCOCCOCCOCCO4)n2)C=CN1)c1ccccn1")</f>
        <v>CC(C)(C1=CC(N(Cc2ccccn2)Cc2cccc(-c3ccc4c(c3)OCCOCCOCCOCCOCCO4)n2)C=CN1)c1ccccn1</v>
      </c>
      <c r="C4762" s="7">
        <f>IFERROR(__xludf.DUMMYFUNCTION("""COMPUTED_VALUE"""),7.7935047)</f>
        <v>7.7935047</v>
      </c>
      <c r="D4762" s="7">
        <f>IFERROR(__xludf.DUMMYFUNCTION("""COMPUTED_VALUE"""),0.354430379746835)</f>
        <v>0.3544303797</v>
      </c>
    </row>
    <row r="4763">
      <c r="A4763" s="10" t="s">
        <v>6202</v>
      </c>
      <c r="B4763" s="7" t="str">
        <f>IFERROR(__xludf.DUMMYFUNCTION("SPLIT(A4763,"" "")"),"CN(Cc1ccccn1)C1CCCC(N(C)C2CCCC(N(Cc3ccccn3)Cc3cccc(-c4cccc(Cl)c4Cl)n3)C2)C1")</f>
        <v>CN(Cc1ccccn1)C1CCCC(N(C)C2CCCC(N(Cc3ccccn3)Cc3cccc(-c4cccc(Cl)c4Cl)n3)C2)C1</v>
      </c>
      <c r="C4763" s="7">
        <f>IFERROR(__xludf.DUMMYFUNCTION("""COMPUTED_VALUE"""),7.7935047)</f>
        <v>7.7935047</v>
      </c>
      <c r="D4763" s="7">
        <f>IFERROR(__xludf.DUMMYFUNCTION("""COMPUTED_VALUE"""),0.416666666666666)</f>
        <v>0.4166666667</v>
      </c>
    </row>
    <row r="4764">
      <c r="A4764" s="10" t="s">
        <v>6203</v>
      </c>
      <c r="B4764" s="7" t="str">
        <f>IFERROR(__xludf.DUMMYFUNCTION("SPLIT(A4764,"" "")"),"Cc1cccnc1CN(C)C1CCCC(N(C)CC2=C(N(C)Cc3ccccn3)NC=CC2)C1")</f>
        <v>Cc1cccnc1CN(C)C1CCCC(N(C)CC2=C(N(C)Cc3ccccn3)NC=CC2)C1</v>
      </c>
      <c r="C4764" s="7">
        <f>IFERROR(__xludf.DUMMYFUNCTION("""COMPUTED_VALUE"""),7.7935023)</f>
        <v>7.7935023</v>
      </c>
      <c r="D4764" s="7">
        <f>IFERROR(__xludf.DUMMYFUNCTION("""COMPUTED_VALUE"""),0.387096774193548)</f>
        <v>0.3870967742</v>
      </c>
    </row>
    <row r="4765">
      <c r="A4765" s="10" t="s">
        <v>6204</v>
      </c>
      <c r="B4765" s="7" t="str">
        <f>IFERROR(__xludf.DUMMYFUNCTION("SPLIT(A4765,"" "")"),"Cc1cc(C)c(CN(C)C2CCCC(N(CC3=CCC(N)=CN3)Cc3ccccn3)C2)nc1C")</f>
        <v>Cc1cc(C)c(CN(C)C2CCCC(N(CC3=CCC(N)=CN3)Cc3ccccn3)C2)nc1C</v>
      </c>
      <c r="C4765" s="7">
        <f>IFERROR(__xludf.DUMMYFUNCTION("""COMPUTED_VALUE"""),7.793498)</f>
        <v>7.793498</v>
      </c>
      <c r="D4765" s="7">
        <f>IFERROR(__xludf.DUMMYFUNCTION("""COMPUTED_VALUE"""),0.347826086956521)</f>
        <v>0.347826087</v>
      </c>
    </row>
    <row r="4766">
      <c r="A4766" s="10" t="s">
        <v>6205</v>
      </c>
      <c r="B4766" s="7" t="str">
        <f>IFERROR(__xludf.DUMMYFUNCTION("SPLIT(A4766,"" "")"),"COC(=O)C1CN(C)C(c2ccccn2)C(c2cc(CN3CCN(C)CCN(C)CC3)ccn2)C1c1ccccn1")</f>
        <v>COC(=O)C1CN(C)C(c2ccccn2)C(c2cc(CN3CCN(C)CCN(C)CC3)ccn2)C1c1ccccn1</v>
      </c>
      <c r="C4766" s="7">
        <f>IFERROR(__xludf.DUMMYFUNCTION("""COMPUTED_VALUE"""),7.7934785)</f>
        <v>7.7934785</v>
      </c>
      <c r="D4766" s="7">
        <f>IFERROR(__xludf.DUMMYFUNCTION("""COMPUTED_VALUE"""),0.377049180327868)</f>
        <v>0.3770491803</v>
      </c>
    </row>
    <row r="4767">
      <c r="A4767" s="10" t="s">
        <v>6206</v>
      </c>
      <c r="B4767" s="7" t="str">
        <f>IFERROR(__xludf.DUMMYFUNCTION("SPLIT(A4767,"" "")"),"CN(Cc1cc(-c2ccc3c(c2)OCCOCCOCCOCCOCCO3)ccn1)C1CCC(N(C)Cc2cc(-c3ccon3)ccn2)CC1")</f>
        <v>CN(Cc1cc(-c2ccc3c(c2)OCCOCCOCCOCCOCCO3)ccn1)C1CCC(N(C)Cc2cc(-c3ccon3)ccn2)CC1</v>
      </c>
      <c r="C4767" s="7">
        <f>IFERROR(__xludf.DUMMYFUNCTION("""COMPUTED_VALUE"""),7.7934766)</f>
        <v>7.7934766</v>
      </c>
      <c r="D4767" s="7">
        <f>IFERROR(__xludf.DUMMYFUNCTION("""COMPUTED_VALUE"""),0.391304347826087)</f>
        <v>0.3913043478</v>
      </c>
    </row>
    <row r="4768">
      <c r="A4768" s="10" t="s">
        <v>6207</v>
      </c>
      <c r="B4768" s="7" t="str">
        <f>IFERROR(__xludf.DUMMYFUNCTION("SPLIT(A4768,"" "")"),"CN(CC1=CCC(N(C)C(c2ccccn2)c2ccccn2)=CN1)c1cccc2c1OCCOCCOCCOCCOCCO2")</f>
        <v>CN(CC1=CCC(N(C)C(c2ccccn2)c2ccccn2)=CN1)c1cccc2c1OCCOCCOCCOCCOCCO2</v>
      </c>
      <c r="C4768" s="7">
        <f>IFERROR(__xludf.DUMMYFUNCTION("""COMPUTED_VALUE"""),7.793472)</f>
        <v>7.793472</v>
      </c>
      <c r="D4768" s="7">
        <f>IFERROR(__xludf.DUMMYFUNCTION("""COMPUTED_VALUE"""),0.273972602739726)</f>
        <v>0.2739726027</v>
      </c>
    </row>
    <row r="4769">
      <c r="A4769" s="10" t="s">
        <v>6208</v>
      </c>
      <c r="B4769" s="7" t="str">
        <f>IFERROR(__xludf.DUMMYFUNCTION("SPLIT(A4769,"" "")"),"Cc1cccnc1CN(C)C(C)C")</f>
        <v>Cc1cccnc1CN(C)C(C)C</v>
      </c>
      <c r="C4769" s="7">
        <f>IFERROR(__xludf.DUMMYFUNCTION("""COMPUTED_VALUE"""),7.7934694)</f>
        <v>7.7934694</v>
      </c>
      <c r="D4769" s="7">
        <f>IFERROR(__xludf.DUMMYFUNCTION("""COMPUTED_VALUE"""),0.375)</f>
        <v>0.375</v>
      </c>
    </row>
    <row r="4770">
      <c r="A4770" s="10" t="s">
        <v>6209</v>
      </c>
      <c r="B4770" s="7" t="str">
        <f>IFERROR(__xludf.DUMMYFUNCTION("SPLIT(A4770,"" "")"),"CN(C)Cc1ncccc1CN(Cc1ccccn1)Cc1ncccc1-c1cccc2c1OCCOCCOCCOCCOCCO2")</f>
        <v>CN(C)Cc1ncccc1CN(Cc1ccccn1)Cc1ncccc1-c1cccc2c1OCCOCCOCCOCCOCCO2</v>
      </c>
      <c r="C4770" s="7">
        <f>IFERROR(__xludf.DUMMYFUNCTION("""COMPUTED_VALUE"""),7.7934613)</f>
        <v>7.7934613</v>
      </c>
      <c r="D4770" s="7">
        <f>IFERROR(__xludf.DUMMYFUNCTION("""COMPUTED_VALUE"""),0.366666666666666)</f>
        <v>0.3666666667</v>
      </c>
    </row>
    <row r="4771">
      <c r="A4771" s="10" t="s">
        <v>6210</v>
      </c>
      <c r="B4771" s="7" t="str">
        <f>IFERROR(__xludf.DUMMYFUNCTION("SPLIT(A4771,"" "")"),"Cc1ccc(CN(Cc2cc(C)ccn2)C2CCC(N(C)Cc3ncccc3C)CC2)nc1")</f>
        <v>Cc1ccc(CN(Cc2cc(C)ccn2)C2CCC(N(C)Cc3ncccc3C)CC2)nc1</v>
      </c>
      <c r="C4771" s="7">
        <f>IFERROR(__xludf.DUMMYFUNCTION("""COMPUTED_VALUE"""),7.793452)</f>
        <v>7.793452</v>
      </c>
      <c r="D4771" s="7">
        <f>IFERROR(__xludf.DUMMYFUNCTION("""COMPUTED_VALUE"""),0.421052631578947)</f>
        <v>0.4210526316</v>
      </c>
    </row>
    <row r="4772">
      <c r="A4772" s="10" t="s">
        <v>6211</v>
      </c>
      <c r="B4772" s="7" t="str">
        <f>IFERROR(__xludf.DUMMYFUNCTION("SPLIT(A4772,"" "")"),"CC(C)N(C)Cc1ccc2c(n1)CCC2")</f>
        <v>CC(C)N(C)Cc1ccc2c(n1)CCC2</v>
      </c>
      <c r="C4772" s="7">
        <f>IFERROR(__xludf.DUMMYFUNCTION("""COMPUTED_VALUE"""),7.7934284)</f>
        <v>7.7934284</v>
      </c>
      <c r="D4772" s="7">
        <f>IFERROR(__xludf.DUMMYFUNCTION("""COMPUTED_VALUE"""),0.320754716981132)</f>
        <v>0.320754717</v>
      </c>
    </row>
    <row r="4773">
      <c r="A4773" s="10" t="s">
        <v>6212</v>
      </c>
      <c r="B4773" s="7" t="str">
        <f>IFERROR(__xludf.DUMMYFUNCTION("SPLIT(A4773,"" "")"),"CC(C)C(C)N(C)Cc1cc(C(C)(C)C)ccn1")</f>
        <v>CC(C)C(C)N(C)Cc1cc(C(C)(C)C)ccn1</v>
      </c>
      <c r="C4773" s="7">
        <f>IFERROR(__xludf.DUMMYFUNCTION("""COMPUTED_VALUE"""),7.793427)</f>
        <v>7.793427</v>
      </c>
      <c r="D4773" s="7">
        <f>IFERROR(__xludf.DUMMYFUNCTION("""COMPUTED_VALUE"""),0.304347826086956)</f>
        <v>0.3043478261</v>
      </c>
    </row>
    <row r="4774">
      <c r="A4774" s="10" t="s">
        <v>6213</v>
      </c>
      <c r="B4774" s="7" t="str">
        <f>IFERROR(__xludf.DUMMYFUNCTION("SPLIT(A4774,"" "")"),"CN1CCN(C)CCN(Cc2cnc3cc(N(C)C4CCC(N(C)Cc5ccon5)CC4)ccc3c2)CC1")</f>
        <v>CN1CCN(C)CCN(Cc2cnc3cc(N(C)C4CCC(N(C)Cc5ccon5)CC4)ccc3c2)CC1</v>
      </c>
      <c r="C4774" s="7">
        <f>IFERROR(__xludf.DUMMYFUNCTION("""COMPUTED_VALUE"""),7.7934194)</f>
        <v>7.7934194</v>
      </c>
      <c r="D4774" s="7">
        <f>IFERROR(__xludf.DUMMYFUNCTION("""COMPUTED_VALUE"""),0.333333333333333)</f>
        <v>0.3333333333</v>
      </c>
    </row>
    <row r="4775">
      <c r="A4775" s="10" t="s">
        <v>6214</v>
      </c>
      <c r="B4775" s="7" t="str">
        <f>IFERROR(__xludf.DUMMYFUNCTION("SPLIT(A4775,"" "")"),"CNCc1cc(CN(Cc2ccccn2)C2CCC(N(C)Cc3cc(C)c(C)c(C)n3)CC2)ccn1")</f>
        <v>CNCc1cc(CN(Cc2ccccn2)C2CCC(N(C)Cc3cc(C)c(C)c(C)n3)CC2)ccn1</v>
      </c>
      <c r="C4775" s="7">
        <f>IFERROR(__xludf.DUMMYFUNCTION("""COMPUTED_VALUE"""),7.7934165)</f>
        <v>7.7934165</v>
      </c>
      <c r="D4775" s="7">
        <f>IFERROR(__xludf.DUMMYFUNCTION("""COMPUTED_VALUE"""),0.387096774193548)</f>
        <v>0.3870967742</v>
      </c>
    </row>
    <row r="4776">
      <c r="A4776" s="10" t="s">
        <v>6215</v>
      </c>
      <c r="B4776" s="7" t="str">
        <f>IFERROR(__xludf.DUMMYFUNCTION("SPLIT(A4776,"" "")"),"CNC1CCCC(N(Cc2ncc(C)c(C)c2C)Cc2ncc(C)c(C)c2C)C1")</f>
        <v>CNC1CCCC(N(Cc2ncc(C)c(C)c2C)Cc2ncc(C)c(C)c2C)C1</v>
      </c>
      <c r="C4776" s="7">
        <f>IFERROR(__xludf.DUMMYFUNCTION("""COMPUTED_VALUE"""),7.7934146)</f>
        <v>7.7934146</v>
      </c>
      <c r="D4776" s="7">
        <f>IFERROR(__xludf.DUMMYFUNCTION("""COMPUTED_VALUE"""),0.277777777777777)</f>
        <v>0.2777777778</v>
      </c>
    </row>
    <row r="4777">
      <c r="A4777" s="10" t="s">
        <v>6216</v>
      </c>
      <c r="B4777" s="7" t="str">
        <f>IFERROR(__xludf.DUMMYFUNCTION("SPLIT(A4777,"" "")"),"CN(Cc1ccnc(N(C)Cc2cc(-c3ccc4c(c3)OCCOCCOCCOCCOCCO4)ccn2)c1)Cc1cc(-c2ccc3c(c2)OCCOCCOCCOCCOCCO3)ccn1")</f>
        <v>CN(Cc1ccnc(N(C)Cc2cc(-c3ccc4c(c3)OCCOCCOCCOCCOCCO4)ccn2)c1)Cc1cc(-c2ccc3c(c2)OCCOCCOCCOCCOCCO3)ccn1</v>
      </c>
      <c r="C4777" s="7">
        <f>IFERROR(__xludf.DUMMYFUNCTION("""COMPUTED_VALUE"""),7.79341)</f>
        <v>7.79341</v>
      </c>
      <c r="D4777" s="7">
        <f>IFERROR(__xludf.DUMMYFUNCTION("""COMPUTED_VALUE"""),0.367647058823529)</f>
        <v>0.3676470588</v>
      </c>
    </row>
    <row r="4778">
      <c r="A4778" s="10" t="s">
        <v>6217</v>
      </c>
      <c r="B4778" s="7" t="str">
        <f>IFERROR(__xludf.DUMMYFUNCTION("SPLIT(A4778,"" "")"),"Cc1cnc(C)c(CN(C)CCN(C)C(C)C)c1")</f>
        <v>Cc1cnc(C)c(CN(C)CCN(C)C(C)C)c1</v>
      </c>
      <c r="C4778" s="7">
        <f>IFERROR(__xludf.DUMMYFUNCTION("""COMPUTED_VALUE"""),7.7934074)</f>
        <v>7.7934074</v>
      </c>
      <c r="D4778" s="7">
        <f>IFERROR(__xludf.DUMMYFUNCTION("""COMPUTED_VALUE"""),0.414634146341463)</f>
        <v>0.4146341463</v>
      </c>
    </row>
    <row r="4779">
      <c r="A4779" s="10" t="s">
        <v>6218</v>
      </c>
      <c r="B4779" s="7" t="str">
        <f>IFERROR(__xludf.DUMMYFUNCTION("SPLIT(A4779,"" "")"),"CN(CC1=C(N(C)C(c2ccccn2)c2ccccn2)CC=CN1)c1ccc2c(c1)OCCOCCOCCOCCOCCO2")</f>
        <v>CN(CC1=C(N(C)C(c2ccccn2)c2ccccn2)CC=CN1)c1ccc2c(c1)OCCOCCOCCOCCOCCO2</v>
      </c>
      <c r="C4779" s="7">
        <f>IFERROR(__xludf.DUMMYFUNCTION("""COMPUTED_VALUE"""),7.7934074)</f>
        <v>7.7934074</v>
      </c>
      <c r="D4779" s="7">
        <f>IFERROR(__xludf.DUMMYFUNCTION("""COMPUTED_VALUE"""),0.277777777777777)</f>
        <v>0.2777777778</v>
      </c>
    </row>
    <row r="4780">
      <c r="A4780" s="10" t="s">
        <v>6219</v>
      </c>
      <c r="B4780" s="7" t="str">
        <f>IFERROR(__xludf.DUMMYFUNCTION("SPLIT(A4780,"" "")"),"Cc1nc(CN(C)CC2CCCN2C(C)C)c(C)c(C)c1C")</f>
        <v>Cc1nc(CN(C)CC2CCCN2C(C)C)c(C)c(C)c1C</v>
      </c>
      <c r="C4780" s="7">
        <f>IFERROR(__xludf.DUMMYFUNCTION("""COMPUTED_VALUE"""),7.793406)</f>
        <v>7.793406</v>
      </c>
      <c r="D4780" s="7">
        <f>IFERROR(__xludf.DUMMYFUNCTION("""COMPUTED_VALUE"""),0.333333333333333)</f>
        <v>0.3333333333</v>
      </c>
    </row>
    <row r="4781">
      <c r="A4781" s="10" t="s">
        <v>6220</v>
      </c>
      <c r="B4781" s="7" t="str">
        <f>IFERROR(__xludf.DUMMYFUNCTION("SPLIT(A4781,"" "")"),"Cc1cc(CN(C)C2CCC(N(Cc3ccccn3)C(C)(c3ccccn3)C(C)C)CC2)nc(C)c1C")</f>
        <v>Cc1cc(CN(C)C2CCC(N(Cc3ccccn3)C(C)(c3ccccn3)C(C)C)CC2)nc(C)c1C</v>
      </c>
      <c r="C4781" s="7">
        <f>IFERROR(__xludf.DUMMYFUNCTION("""COMPUTED_VALUE"""),7.7934055)</f>
        <v>7.7934055</v>
      </c>
      <c r="D4781" s="7">
        <f>IFERROR(__xludf.DUMMYFUNCTION("""COMPUTED_VALUE"""),0.387096774193548)</f>
        <v>0.3870967742</v>
      </c>
    </row>
    <row r="4782">
      <c r="A4782" s="10" t="s">
        <v>6221</v>
      </c>
      <c r="B4782" s="7" t="str">
        <f>IFERROR(__xludf.DUMMYFUNCTION("SPLIT(A4782,"" "")"),"COC(=O)C1CN(C)C(C(=O)C(C)N)C(C(C)(C)NCc2ccccn2)C1c1ccccn1")</f>
        <v>COC(=O)C1CN(C)C(C(=O)C(C)N)C(C(C)(C)NCc2ccccn2)C1c1ccccn1</v>
      </c>
      <c r="C4782" s="7">
        <f>IFERROR(__xludf.DUMMYFUNCTION("""COMPUTED_VALUE"""),7.7934027)</f>
        <v>7.7934027</v>
      </c>
      <c r="D4782" s="7">
        <f>IFERROR(__xludf.DUMMYFUNCTION("""COMPUTED_VALUE"""),0.328947368421052)</f>
        <v>0.3289473684</v>
      </c>
    </row>
    <row r="4783">
      <c r="A4783" s="10" t="s">
        <v>6222</v>
      </c>
      <c r="B4783" s="7" t="str">
        <f>IFERROR(__xludf.DUMMYFUNCTION("SPLIT(A4783,"" "")"),"Cc1cnc(CN(C)C2CC(N(C)Cc3ccccn3)CC(N(Cc3ccccn3)C(C)C)C2)c(C)c1")</f>
        <v>Cc1cnc(CN(C)C2CC(N(C)Cc3ccccn3)CC(N(Cc3ccccn3)C(C)C)C2)c(C)c1</v>
      </c>
      <c r="C4783" s="7">
        <f>IFERROR(__xludf.DUMMYFUNCTION("""COMPUTED_VALUE"""),7.793394)</f>
        <v>7.793394</v>
      </c>
      <c r="D4783" s="7">
        <f>IFERROR(__xludf.DUMMYFUNCTION("""COMPUTED_VALUE"""),0.418181818181818)</f>
        <v>0.4181818182</v>
      </c>
    </row>
    <row r="4784">
      <c r="A4784" s="10" t="s">
        <v>6223</v>
      </c>
      <c r="B4784" s="7" t="str">
        <f>IFERROR(__xludf.DUMMYFUNCTION("SPLIT(A4784,"" "")"),"CN1C=CCC=C1N(Cc1ccccn1)C1CCCC(N(C)C2=CCC=CN2)C1")</f>
        <v>CN1C=CCC=C1N(Cc1ccccn1)C1CCCC(N(C)C2=CCC=CN2)C1</v>
      </c>
      <c r="C4784" s="7">
        <f>IFERROR(__xludf.DUMMYFUNCTION("""COMPUTED_VALUE"""),7.7933936)</f>
        <v>7.7933936</v>
      </c>
      <c r="D4784" s="7">
        <f>IFERROR(__xludf.DUMMYFUNCTION("""COMPUTED_VALUE"""),0.421875)</f>
        <v>0.421875</v>
      </c>
    </row>
    <row r="4785">
      <c r="A4785" s="10" t="s">
        <v>6224</v>
      </c>
      <c r="B4785" s="7" t="str">
        <f>IFERROR(__xludf.DUMMYFUNCTION("SPLIT(A4785,"" "")"),"CC1=CCC(C(C)(C)C)C=C1NCc1ccccn1")</f>
        <v>CC1=CCC(C(C)(C)C)C=C1NCc1ccccn1</v>
      </c>
      <c r="C4785" s="7">
        <f>IFERROR(__xludf.DUMMYFUNCTION("""COMPUTED_VALUE"""),7.793389)</f>
        <v>7.793389</v>
      </c>
      <c r="D4785" s="7">
        <f>IFERROR(__xludf.DUMMYFUNCTION("""COMPUTED_VALUE"""),0.377777777777777)</f>
        <v>0.3777777778</v>
      </c>
    </row>
    <row r="4786">
      <c r="A4786" s="10" t="s">
        <v>6225</v>
      </c>
      <c r="B4786" s="7" t="str">
        <f>IFERROR(__xludf.DUMMYFUNCTION("SPLIT(A4786,"" "")"),"CNC1C(N(C)Cc2cc(C)ccn2)CCCC1N(Cc1ccccn1)Cc1nc(C)c(C)c(C)c1C")</f>
        <v>CNC1C(N(C)Cc2cc(C)ccn2)CCCC1N(Cc1ccccn1)Cc1nc(C)c(C)c(C)c1C</v>
      </c>
      <c r="C4786" s="7">
        <f>IFERROR(__xludf.DUMMYFUNCTION("""COMPUTED_VALUE"""),7.7933884)</f>
        <v>7.7933884</v>
      </c>
      <c r="D4786" s="7">
        <f>IFERROR(__xludf.DUMMYFUNCTION("""COMPUTED_VALUE"""),0.466666666666666)</f>
        <v>0.4666666667</v>
      </c>
    </row>
    <row r="4787">
      <c r="A4787" s="10" t="s">
        <v>6226</v>
      </c>
      <c r="B4787" s="7" t="str">
        <f>IFERROR(__xludf.DUMMYFUNCTION("SPLIT(A4787,"" "")"),"CNC1C(N(C)Cc2ncccc2C)CCCC1N(Cc1ccccn1)Cc1cc(C)c(C)c(C)n1")</f>
        <v>CNC1C(N(C)Cc2ncccc2C)CCCC1N(Cc1ccccn1)Cc1cc(C)c(C)c(C)n1</v>
      </c>
      <c r="C4787" s="7">
        <f>IFERROR(__xludf.DUMMYFUNCTION("""COMPUTED_VALUE"""),7.7933855)</f>
        <v>7.7933855</v>
      </c>
      <c r="D4787" s="7">
        <f>IFERROR(__xludf.DUMMYFUNCTION("""COMPUTED_VALUE"""),0.45)</f>
        <v>0.45</v>
      </c>
    </row>
    <row r="4788">
      <c r="A4788" s="10" t="s">
        <v>6227</v>
      </c>
      <c r="B4788" s="7" t="str">
        <f>IFERROR(__xludf.DUMMYFUNCTION("SPLIT(A4788,"" "")"),"CNCN(Cc1cc(C)ccn1)C(C)C")</f>
        <v>CNCN(Cc1cc(C)ccn1)C(C)C</v>
      </c>
      <c r="C4788" s="7">
        <f>IFERROR(__xludf.DUMMYFUNCTION("""COMPUTED_VALUE"""),7.793381)</f>
        <v>7.793381</v>
      </c>
      <c r="D4788" s="7">
        <f>IFERROR(__xludf.DUMMYFUNCTION("""COMPUTED_VALUE"""),0.428571428571428)</f>
        <v>0.4285714286</v>
      </c>
    </row>
    <row r="4789">
      <c r="A4789" s="10" t="s">
        <v>6228</v>
      </c>
      <c r="B4789" s="7" t="str">
        <f>IFERROR(__xludf.DUMMYFUNCTION("SPLIT(A4789,"" "")"),"CN(CCF)CCN(Cc1ccccn1)C1CCCCC1N(C)c1ccc2cccnc2c1")</f>
        <v>CN(CCF)CCN(Cc1ccccn1)C1CCCCC1N(C)c1ccc2cccnc2c1</v>
      </c>
      <c r="C4789" s="7">
        <f>IFERROR(__xludf.DUMMYFUNCTION("""COMPUTED_VALUE"""),7.793378)</f>
        <v>7.793378</v>
      </c>
      <c r="D4789" s="7">
        <f>IFERROR(__xludf.DUMMYFUNCTION("""COMPUTED_VALUE"""),0.433333333333333)</f>
        <v>0.4333333333</v>
      </c>
    </row>
    <row r="4790">
      <c r="A4790" s="10" t="s">
        <v>6229</v>
      </c>
      <c r="B4790" s="7" t="str">
        <f>IFERROR(__xludf.DUMMYFUNCTION("SPLIT(A4790,"" "")"),"Cc1cccnc1CN(C)C1CCC(N(C)Cc2cccnc2CN(C)Cc2ccon2)CC1")</f>
        <v>Cc1cccnc1CN(C)C1CCC(N(C)Cc2cccnc2CN(C)Cc2ccon2)CC1</v>
      </c>
      <c r="C4790" s="7">
        <f>IFERROR(__xludf.DUMMYFUNCTION("""COMPUTED_VALUE"""),7.7933755)</f>
        <v>7.7933755</v>
      </c>
      <c r="D4790" s="7">
        <f>IFERROR(__xludf.DUMMYFUNCTION("""COMPUTED_VALUE"""),0.403846153846153)</f>
        <v>0.4038461538</v>
      </c>
    </row>
    <row r="4791">
      <c r="A4791" s="10" t="s">
        <v>6230</v>
      </c>
      <c r="B4791" s="7" t="str">
        <f>IFERROR(__xludf.DUMMYFUNCTION("SPLIT(A4791,"" "")"),"CNCc1cccc(CN(Cc2ccccn2)C2CCCC(N(C)Cc3ncc(C)c(C)c3C)C2)n1")</f>
        <v>CNCc1cccc(CN(Cc2ccccn2)C2CCCC(N(C)Cc3ncc(C)c(C)c3C)C2)n1</v>
      </c>
      <c r="C4791" s="7">
        <f>IFERROR(__xludf.DUMMYFUNCTION("""COMPUTED_VALUE"""),7.7933517)</f>
        <v>7.7933517</v>
      </c>
      <c r="D4791" s="7">
        <f>IFERROR(__xludf.DUMMYFUNCTION("""COMPUTED_VALUE"""),0.387096774193548)</f>
        <v>0.3870967742</v>
      </c>
    </row>
    <row r="4792">
      <c r="A4792" s="10" t="s">
        <v>6231</v>
      </c>
      <c r="B4792" s="7" t="str">
        <f>IFERROR(__xludf.DUMMYFUNCTION("SPLIT(A4792,"" "")"),"CN1CCN(C)CCN(C(C)(C)c2cccnc2CN(C)C2CCCCC2N(C)c2ccc3ccc(CF)nc3c2)CC1")</f>
        <v>CN1CCN(C)CCN(C(C)(C)c2cccnc2CN(C)C2CCCCC2N(C)c2ccc3ccc(CF)nc3c2)CC1</v>
      </c>
      <c r="C4792" s="7">
        <f>IFERROR(__xludf.DUMMYFUNCTION("""COMPUTED_VALUE"""),7.793351)</f>
        <v>7.793351</v>
      </c>
      <c r="D4792" s="7">
        <f>IFERROR(__xludf.DUMMYFUNCTION("""COMPUTED_VALUE"""),0.402777777777777)</f>
        <v>0.4027777778</v>
      </c>
    </row>
    <row r="4793">
      <c r="A4793" s="10" t="s">
        <v>6232</v>
      </c>
      <c r="B4793" s="7" t="str">
        <f>IFERROR(__xludf.DUMMYFUNCTION("SPLIT(A4793,"" "")"),"CC(C)N(C(C)C)C(C)NCc1ccccn1")</f>
        <v>CC(C)N(C(C)C)C(C)NCc1ccccn1</v>
      </c>
      <c r="C4793" s="7">
        <f>IFERROR(__xludf.DUMMYFUNCTION("""COMPUTED_VALUE"""),7.7933507)</f>
        <v>7.7933507</v>
      </c>
      <c r="D4793" s="7">
        <f>IFERROR(__xludf.DUMMYFUNCTION("""COMPUTED_VALUE"""),0.5)</f>
        <v>0.5</v>
      </c>
    </row>
    <row r="4794">
      <c r="A4794" s="10" t="s">
        <v>6233</v>
      </c>
      <c r="B4794" s="7" t="str">
        <f>IFERROR(__xludf.DUMMYFUNCTION("SPLIT(A4794,"" "")"),"Cc1cc(C)nc(CN(C)CC2=NCCC=C2)c1")</f>
        <v>Cc1cc(C)nc(CN(C)CC2=NCCC=C2)c1</v>
      </c>
      <c r="C4794" s="7">
        <f>IFERROR(__xludf.DUMMYFUNCTION("""COMPUTED_VALUE"""),7.7933455)</f>
        <v>7.7933455</v>
      </c>
      <c r="D4794" s="7">
        <f>IFERROR(__xludf.DUMMYFUNCTION("""COMPUTED_VALUE"""),0.382978723404255)</f>
        <v>0.3829787234</v>
      </c>
    </row>
    <row r="4795">
      <c r="A4795" s="10" t="s">
        <v>6234</v>
      </c>
      <c r="B4795" s="7" t="str">
        <f>IFERROR(__xludf.DUMMYFUNCTION("SPLIT(A4795,"" "")"),"CC1C=C(N(C)Cc2ccccn2)C(C)C(C)C1")</f>
        <v>CC1C=C(N(C)Cc2ccccn2)C(C)C(C)C1</v>
      </c>
      <c r="C4795" s="7">
        <f>IFERROR(__xludf.DUMMYFUNCTION("""COMPUTED_VALUE"""),7.79334)</f>
        <v>7.79334</v>
      </c>
      <c r="D4795" s="7">
        <f>IFERROR(__xludf.DUMMYFUNCTION("""COMPUTED_VALUE"""),0.466666666666666)</f>
        <v>0.4666666667</v>
      </c>
    </row>
    <row r="4796">
      <c r="A4796" s="10" t="s">
        <v>6235</v>
      </c>
      <c r="B4796" s="7" t="str">
        <f>IFERROR(__xludf.DUMMYFUNCTION("SPLIT(A4796,"" "")"),"Cc1ccnc(CN(C)CCN(C)C(C)(C)C)c1C")</f>
        <v>Cc1ccnc(CN(C)CCN(C)C(C)(C)C)c1C</v>
      </c>
      <c r="C4796" s="7">
        <f>IFERROR(__xludf.DUMMYFUNCTION("""COMPUTED_VALUE"""),7.793338)</f>
        <v>7.793338</v>
      </c>
      <c r="D4796" s="7">
        <f>IFERROR(__xludf.DUMMYFUNCTION("""COMPUTED_VALUE"""),0.348837209302325)</f>
        <v>0.3488372093</v>
      </c>
    </row>
    <row r="4797">
      <c r="A4797" s="10" t="s">
        <v>6236</v>
      </c>
      <c r="B4797" s="7" t="str">
        <f>IFERROR(__xludf.DUMMYFUNCTION("SPLIT(A4797,"" "")"),"CC1(C)COC(c2cccc(CN(Cc3cccc(-c4ccc5c(c4)OCCOCCOCCOCCOCCO5)n3)Cc3cccc(-c4ccc5c(c4)OCCOCCOCCOCCOCCO5)n3)n2)=N1")</f>
        <v>CC1(C)COC(c2cccc(CN(Cc3cccc(-c4ccc5c(c4)OCCOCCOCCOCCOCCO5)n3)Cc3cccc(-c4ccc5c(c4)OCCOCCOCCOCCOCCO5)n3)n2)=N1</v>
      </c>
      <c r="C4797" s="7">
        <f>IFERROR(__xludf.DUMMYFUNCTION("""COMPUTED_VALUE"""),7.7933135)</f>
        <v>7.7933135</v>
      </c>
      <c r="D4797" s="7">
        <f>IFERROR(__xludf.DUMMYFUNCTION("""COMPUTED_VALUE"""),0.48076923076923)</f>
        <v>0.4807692308</v>
      </c>
    </row>
    <row r="4798">
      <c r="A4798" s="10" t="s">
        <v>6237</v>
      </c>
      <c r="B4798" s="7" t="str">
        <f>IFERROR(__xludf.DUMMYFUNCTION("SPLIT(A4798,"" "")"),"Cc1cccc(CN(C)C2CCC(N(Cc3ccccn3)Cc3cccc(CN(C)C)n3)CC2)n1")</f>
        <v>Cc1cccc(CN(C)C2CCC(N(Cc3ccccn3)Cc3cccc(CN(C)C)n3)CC2)n1</v>
      </c>
      <c r="C4798" s="7">
        <f>IFERROR(__xludf.DUMMYFUNCTION("""COMPUTED_VALUE"""),7.7933044)</f>
        <v>7.7933044</v>
      </c>
      <c r="D4798" s="7">
        <f>IFERROR(__xludf.DUMMYFUNCTION("""COMPUTED_VALUE"""),0.5)</f>
        <v>0.5</v>
      </c>
    </row>
    <row r="4799">
      <c r="A4799" s="10" t="s">
        <v>6238</v>
      </c>
      <c r="B4799" s="7" t="str">
        <f>IFERROR(__xludf.DUMMYFUNCTION("SPLIT(A4799,"" "")"),"Cc1ccc(C)c(CN(C)CCN(C)C(C)C)n1")</f>
        <v>Cc1ccc(C)c(CN(C)CCN(C)C(C)C)n1</v>
      </c>
      <c r="C4799" s="7">
        <f>IFERROR(__xludf.DUMMYFUNCTION("""COMPUTED_VALUE"""),7.793303)</f>
        <v>7.793303</v>
      </c>
      <c r="D4799" s="7">
        <f>IFERROR(__xludf.DUMMYFUNCTION("""COMPUTED_VALUE"""),0.425)</f>
        <v>0.425</v>
      </c>
    </row>
    <row r="4800">
      <c r="A4800" s="10" t="s">
        <v>6239</v>
      </c>
      <c r="B4800" s="7" t="str">
        <f>IFERROR(__xludf.DUMMYFUNCTION("SPLIT(A4800,"" "")"),"CC1=CCC2(C=CC(C)C(N(Cc3ccccn3)Cc3ccc(C(C)(C)C)cn3)C2(C)C)C(C)C1")</f>
        <v>CC1=CCC2(C=CC(C)C(N(Cc3ccccn3)Cc3ccc(C(C)(C)C)cn3)C2(C)C)C(C)C1</v>
      </c>
      <c r="C4800" s="7">
        <f>IFERROR(__xludf.DUMMYFUNCTION("""COMPUTED_VALUE"""),7.793302)</f>
        <v>7.793302</v>
      </c>
      <c r="D4800" s="7">
        <f>IFERROR(__xludf.DUMMYFUNCTION("""COMPUTED_VALUE"""),0.313432835820895)</f>
        <v>0.3134328358</v>
      </c>
    </row>
    <row r="4801">
      <c r="A4801" s="10" t="s">
        <v>6240</v>
      </c>
      <c r="B4801" s="7" t="str">
        <f>IFERROR(__xludf.DUMMYFUNCTION("SPLIT(A4801,"" "")"),"CN(CCF)CCN(Cc1ccccn1)C1CCCCC1N(C)c1ccc2ncccc2c1")</f>
        <v>CN(CCF)CCN(Cc1ccccn1)C1CCCCC1N(C)c1ccc2ncccc2c1</v>
      </c>
      <c r="C4801" s="7">
        <f>IFERROR(__xludf.DUMMYFUNCTION("""COMPUTED_VALUE"""),7.793283)</f>
        <v>7.793283</v>
      </c>
      <c r="D4801" s="7">
        <f>IFERROR(__xludf.DUMMYFUNCTION("""COMPUTED_VALUE"""),0.440677966101694)</f>
        <v>0.4406779661</v>
      </c>
    </row>
    <row r="4802">
      <c r="A4802" s="10" t="s">
        <v>6241</v>
      </c>
      <c r="B4802" s="7" t="str">
        <f>IFERROR(__xludf.DUMMYFUNCTION("SPLIT(A4802,"" "")"),"Fc1cncc(CN(Cc2ccccn2)C2CCCC(N(Cc3ccccn3)Cc3cccnc3F)C2)c1")</f>
        <v>Fc1cncc(CN(Cc2ccccn2)C2CCCC(N(Cc3ccccn3)Cc3cccnc3F)C2)c1</v>
      </c>
      <c r="C4802" s="7">
        <f>IFERROR(__xludf.DUMMYFUNCTION("""COMPUTED_VALUE"""),7.793269)</f>
        <v>7.793269</v>
      </c>
      <c r="D4802" s="7">
        <f>IFERROR(__xludf.DUMMYFUNCTION("""COMPUTED_VALUE"""),0.35593220338983)</f>
        <v>0.3559322034</v>
      </c>
    </row>
    <row r="4803">
      <c r="A4803" s="10" t="s">
        <v>6242</v>
      </c>
      <c r="B4803" s="7" t="str">
        <f>IFERROR(__xludf.DUMMYFUNCTION("SPLIT(A4803,"" "")"),"CN1CCN(C)CCN(CCN(C)c2ccc3nc(CF)ccc3c2)CC1")</f>
        <v>CN1CCN(C)CCN(CCN(C)c2ccc3nc(CF)ccc3c2)CC1</v>
      </c>
      <c r="C4803" s="7">
        <f>IFERROR(__xludf.DUMMYFUNCTION("""COMPUTED_VALUE"""),7.793265)</f>
        <v>7.793265</v>
      </c>
      <c r="D4803" s="7">
        <f>IFERROR(__xludf.DUMMYFUNCTION("""COMPUTED_VALUE"""),0.346153846153846)</f>
        <v>0.3461538462</v>
      </c>
    </row>
    <row r="4804">
      <c r="A4804" s="10" t="s">
        <v>6243</v>
      </c>
      <c r="B4804" s="7" t="str">
        <f>IFERROR(__xludf.DUMMYFUNCTION("SPLIT(A4804,"" "")"),"CC(C)N(Cc1cccc(-c2ccc3c(c2)OCCOCCOCCOCCOCCO3)n1)C1CCCCC1N(C)c1ccc2nc(CF)ccc2c1")</f>
        <v>CC(C)N(Cc1cccc(-c2ccc3c(c2)OCCOCCOCCOCCOCCO3)n1)C1CCCCC1N(C)c1ccc2nc(CF)ccc2c1</v>
      </c>
      <c r="C4804" s="7">
        <f>IFERROR(__xludf.DUMMYFUNCTION("""COMPUTED_VALUE"""),7.7932477)</f>
        <v>7.7932477</v>
      </c>
      <c r="D4804" s="7">
        <f>IFERROR(__xludf.DUMMYFUNCTION("""COMPUTED_VALUE"""),0.376623376623376)</f>
        <v>0.3766233766</v>
      </c>
    </row>
    <row r="4805">
      <c r="A4805" s="10" t="s">
        <v>6244</v>
      </c>
      <c r="B4805" s="7" t="str">
        <f>IFERROR(__xludf.DUMMYFUNCTION("SPLIT(A4805,"" "")"),"CNC1CC(N(Cc2ccccn2)Cc2ccccn2)CC(N(Cc2ccccn2)Cc2ccccn2)C1")</f>
        <v>CNC1CC(N(Cc2ccccn2)Cc2ccccn2)CC(N(Cc2ccccn2)Cc2ccccn2)C1</v>
      </c>
      <c r="C4805" s="7">
        <f>IFERROR(__xludf.DUMMYFUNCTION("""COMPUTED_VALUE"""),7.7932453)</f>
        <v>7.7932453</v>
      </c>
      <c r="D4805" s="7">
        <f>IFERROR(__xludf.DUMMYFUNCTION("""COMPUTED_VALUE"""),0.459459459459459)</f>
        <v>0.4594594595</v>
      </c>
    </row>
    <row r="4806">
      <c r="A4806" s="10" t="s">
        <v>6245</v>
      </c>
      <c r="B4806" s="7" t="str">
        <f>IFERROR(__xludf.DUMMYFUNCTION("SPLIT(A4806,"" "")"),"CN(CCN)Cc1cc(C(C)(C)C)ccn1")</f>
        <v>CN(CCN)Cc1cc(C(C)(C)C)ccn1</v>
      </c>
      <c r="C4806" s="7">
        <f>IFERROR(__xludf.DUMMYFUNCTION("""COMPUTED_VALUE"""),7.793243)</f>
        <v>7.793243</v>
      </c>
      <c r="D4806" s="7">
        <f>IFERROR(__xludf.DUMMYFUNCTION("""COMPUTED_VALUE"""),0.357142857142857)</f>
        <v>0.3571428571</v>
      </c>
    </row>
    <row r="4807">
      <c r="A4807" s="10" t="s">
        <v>6246</v>
      </c>
      <c r="B4807" s="7" t="str">
        <f>IFERROR(__xludf.DUMMYFUNCTION("SPLIT(A4807,"" "")"),"Cc1ccnc(CN(C)C2C=CNC(CN(C)C(C)C)=C2)c1")</f>
        <v>Cc1ccnc(CN(C)C2C=CNC(CN(C)C(C)C)=C2)c1</v>
      </c>
      <c r="C4807" s="7">
        <f>IFERROR(__xludf.DUMMYFUNCTION("""COMPUTED_VALUE"""),7.793238)</f>
        <v>7.793238</v>
      </c>
      <c r="D4807" s="7">
        <f>IFERROR(__xludf.DUMMYFUNCTION("""COMPUTED_VALUE"""),0.295081967213114)</f>
        <v>0.2950819672</v>
      </c>
    </row>
    <row r="4808">
      <c r="A4808" s="10" t="s">
        <v>6247</v>
      </c>
      <c r="B4808" s="7" t="str">
        <f>IFERROR(__xludf.DUMMYFUNCTION("SPLIT(A4808,"" "")"),"Cc1cc(CN(C)C2CCC(N(Cc3ccccn3)Cc3cc(C(C)(C)C)ccn3)CC2)ccn1")</f>
        <v>Cc1cc(CN(C)C2CCC(N(Cc3ccccn3)Cc3cc(C(C)(C)C)ccn3)CC2)ccn1</v>
      </c>
      <c r="C4808" s="7">
        <f>IFERROR(__xludf.DUMMYFUNCTION("""COMPUTED_VALUE"""),7.7932343)</f>
        <v>7.7932343</v>
      </c>
      <c r="D4808" s="7">
        <f>IFERROR(__xludf.DUMMYFUNCTION("""COMPUTED_VALUE"""),0.396551724137931)</f>
        <v>0.3965517241</v>
      </c>
    </row>
    <row r="4809">
      <c r="A4809" s="10" t="s">
        <v>6248</v>
      </c>
      <c r="B4809" s="7" t="str">
        <f>IFERROR(__xludf.DUMMYFUNCTION("SPLIT(A4809,"" "")"),"CCN(C)CCN1CCN(C)CCN(c2ccc3nccc(C)c3c2)CC1")</f>
        <v>CCN(C)CCN1CCN(C)CCN(c2ccc3nccc(C)c3c2)CC1</v>
      </c>
      <c r="C4809" s="7">
        <f>IFERROR(__xludf.DUMMYFUNCTION("""COMPUTED_VALUE"""),7.793211)</f>
        <v>7.793211</v>
      </c>
      <c r="D4809" s="7">
        <f>IFERROR(__xludf.DUMMYFUNCTION("""COMPUTED_VALUE"""),0.357142857142857)</f>
        <v>0.3571428571</v>
      </c>
    </row>
    <row r="4810">
      <c r="A4810" s="10" t="s">
        <v>6249</v>
      </c>
      <c r="B4810" s="7" t="str">
        <f>IFERROR(__xludf.DUMMYFUNCTION("SPLIT(A4810,"" "")"),"CN(CCN(C)Cc1cccc(-c2cccc3c2OCCOCCOCCOCCOCCO3)n1)Cc1cccc(-c2ccccc2)n1")</f>
        <v>CN(CCN(C)Cc1cccc(-c2cccc3c2OCCOCCOCCOCCOCCO3)n1)Cc1cccc(-c2ccccc2)n1</v>
      </c>
      <c r="C4810" s="7">
        <f>IFERROR(__xludf.DUMMYFUNCTION("""COMPUTED_VALUE"""),7.793203)</f>
        <v>7.793203</v>
      </c>
      <c r="D4810" s="7">
        <f>IFERROR(__xludf.DUMMYFUNCTION("""COMPUTED_VALUE"""),0.377358490566037)</f>
        <v>0.3773584906</v>
      </c>
    </row>
    <row r="4811">
      <c r="A4811" s="10" t="s">
        <v>6250</v>
      </c>
      <c r="B4811" s="7" t="str">
        <f>IFERROR(__xludf.DUMMYFUNCTION("SPLIT(A4811,"" "")"),"CC1CC(C2=CC(CN(Cc3ccccn3)Cc3ccccn3)C=CN2)C1")</f>
        <v>CC1CC(C2=CC(CN(Cc3ccccn3)Cc3ccccn3)C=CN2)C1</v>
      </c>
      <c r="C4811" s="7">
        <f>IFERROR(__xludf.DUMMYFUNCTION("""COMPUTED_VALUE"""),7.793191)</f>
        <v>7.793191</v>
      </c>
      <c r="D4811" s="7">
        <f>IFERROR(__xludf.DUMMYFUNCTION("""COMPUTED_VALUE"""),0.428571428571428)</f>
        <v>0.4285714286</v>
      </c>
    </row>
    <row r="4812">
      <c r="A4812" s="10" t="s">
        <v>6251</v>
      </c>
      <c r="B4812" s="7" t="str">
        <f>IFERROR(__xludf.DUMMYFUNCTION("SPLIT(A4812,"" "")"),"Cc1ccc(CN(C)C2CCC(N(Cc3ccccn3)Cc3nccc(C)c3C)CC2)nc1")</f>
        <v>Cc1ccc(CN(C)C2CCC(N(Cc3ccccn3)Cc3nccc(C)c3C)CC2)nc1</v>
      </c>
      <c r="C4812" s="7">
        <f>IFERROR(__xludf.DUMMYFUNCTION("""COMPUTED_VALUE"""),7.7931733)</f>
        <v>7.7931733</v>
      </c>
      <c r="D4812" s="7">
        <f>IFERROR(__xludf.DUMMYFUNCTION("""COMPUTED_VALUE"""),0.454545454545454)</f>
        <v>0.4545454545</v>
      </c>
    </row>
    <row r="4813">
      <c r="A4813" s="10" t="s">
        <v>6252</v>
      </c>
      <c r="B4813" s="7" t="str">
        <f>IFERROR(__xludf.DUMMYFUNCTION("SPLIT(A4813,"" "")"),"CC(C)(C)c1cccc(CN(CNCF)Cc2ccccn2)n1")</f>
        <v>CC(C)(C)c1cccc(CN(CNCF)Cc2ccccn2)n1</v>
      </c>
      <c r="C4813" s="7">
        <f>IFERROR(__xludf.DUMMYFUNCTION("""COMPUTED_VALUE"""),7.7931676)</f>
        <v>7.7931676</v>
      </c>
      <c r="D4813" s="7">
        <f>IFERROR(__xludf.DUMMYFUNCTION("""COMPUTED_VALUE"""),0.458333333333333)</f>
        <v>0.4583333333</v>
      </c>
    </row>
    <row r="4814">
      <c r="A4814" s="10" t="s">
        <v>6253</v>
      </c>
      <c r="B4814" s="7" t="str">
        <f>IFERROR(__xludf.DUMMYFUNCTION("SPLIT(A4814,"" "")"),"CNCc1cccc(CN(Cc2ccccn2)C2CCC(N(C)Cc3nc(C)cc(C)c3C)CC2)n1")</f>
        <v>CNCc1cccc(CN(Cc2ccccn2)C2CCC(N(C)Cc3nc(C)cc(C)c3C)CC2)n1</v>
      </c>
      <c r="C4814" s="7">
        <f>IFERROR(__xludf.DUMMYFUNCTION("""COMPUTED_VALUE"""),7.7931666)</f>
        <v>7.7931666</v>
      </c>
      <c r="D4814" s="7">
        <f>IFERROR(__xludf.DUMMYFUNCTION("""COMPUTED_VALUE"""),0.370967741935483)</f>
        <v>0.3709677419</v>
      </c>
    </row>
    <row r="4815">
      <c r="A4815" s="10" t="s">
        <v>6254</v>
      </c>
      <c r="B4815" s="7" t="str">
        <f>IFERROR(__xludf.DUMMYFUNCTION("SPLIT(A4815,"" "")"),"COC(=O)c1cc(CN(Cc2ccccn2)C2CCCC(N(C)C)C2)ccn1")</f>
        <v>COC(=O)c1cc(CN(Cc2ccccn2)C2CCCC(N(C)C)C2)ccn1</v>
      </c>
      <c r="C4815" s="7">
        <f>IFERROR(__xludf.DUMMYFUNCTION("""COMPUTED_VALUE"""),7.793165)</f>
        <v>7.793165</v>
      </c>
      <c r="D4815" s="7">
        <f>IFERROR(__xludf.DUMMYFUNCTION("""COMPUTED_VALUE"""),0.389830508474576)</f>
        <v>0.3898305085</v>
      </c>
    </row>
    <row r="4816">
      <c r="A4816" s="10" t="s">
        <v>6255</v>
      </c>
      <c r="B4816" s="7" t="str">
        <f>IFERROR(__xludf.DUMMYFUNCTION("SPLIT(A4816,"" "")"),"CC1=C(C)C(C)C(C)(C)C(N(C)C2CCC(N(C)Cc3ccccn3)C(N(Cc3cc(C)c(C)c(C)n3)Cc3nc(C)c(C)c(C)c3C)C2)C1")</f>
        <v>CC1=C(C)C(C)C(C)(C)C(N(C)C2CCC(N(C)Cc3ccccn3)C(N(Cc3cc(C)c(C)c(C)n3)Cc3nc(C)c(C)c(C)c3C)C2)C1</v>
      </c>
      <c r="C4816" s="7">
        <f>IFERROR(__xludf.DUMMYFUNCTION("""COMPUTED_VALUE"""),7.7931547)</f>
        <v>7.7931547</v>
      </c>
      <c r="D4816" s="7">
        <f>IFERROR(__xludf.DUMMYFUNCTION("""COMPUTED_VALUE"""),0.36)</f>
        <v>0.36</v>
      </c>
    </row>
    <row r="4817">
      <c r="A4817" s="10" t="s">
        <v>6256</v>
      </c>
      <c r="B4817" s="7" t="str">
        <f>IFERROR(__xludf.DUMMYFUNCTION("SPLIT(A4817,"" "")"),"CN(CCNCc1ncccc1-c1cccc2c1OCCOCCOCCOCCOCCO2)c1c(Cl)cccc1Cl")</f>
        <v>CN(CCNCc1ncccc1-c1cccc2c1OCCOCCOCCOCCOCCO2)c1c(Cl)cccc1Cl</v>
      </c>
      <c r="C4817" s="7">
        <f>IFERROR(__xludf.DUMMYFUNCTION("""COMPUTED_VALUE"""),7.793152)</f>
        <v>7.793152</v>
      </c>
      <c r="D4817" s="7">
        <f>IFERROR(__xludf.DUMMYFUNCTION("""COMPUTED_VALUE"""),0.246153846153846)</f>
        <v>0.2461538462</v>
      </c>
    </row>
    <row r="4818">
      <c r="A4818" s="10" t="s">
        <v>6257</v>
      </c>
      <c r="B4818" s="7" t="str">
        <f>IFERROR(__xludf.DUMMYFUNCTION("SPLIT(A4818,"" "")"),"CCN(Cc1ccccn1)C1=CC(Cl)C(Cl)C(C2CCC2(C)C)=C1N(C)Cc1ncccc1-c1ccc2c(c1)OCCOCCOCCOCCOCCO2")</f>
        <v>CCN(Cc1ccccn1)C1=CC(Cl)C(Cl)C(C2CCC2(C)C)=C1N(C)Cc1ncccc1-c1ccc2c(c1)OCCOCCOCCOCCOCCO2</v>
      </c>
      <c r="C4818" s="7">
        <f>IFERROR(__xludf.DUMMYFUNCTION("""COMPUTED_VALUE"""),7.793142)</f>
        <v>7.793142</v>
      </c>
      <c r="D4818" s="7">
        <f>IFERROR(__xludf.DUMMYFUNCTION("""COMPUTED_VALUE"""),0.284210526315789)</f>
        <v>0.2842105263</v>
      </c>
    </row>
    <row r="4819">
      <c r="A4819" s="10" t="s">
        <v>6258</v>
      </c>
      <c r="B4819" s="7" t="str">
        <f>IFERROR(__xludf.DUMMYFUNCTION("SPLIT(A4819,"" "")"),"CC1=C(N(C)Cc2ccccn2)CCC(C)(C)C1C")</f>
        <v>CC1=C(N(C)Cc2ccccn2)CCC(C)(C)C1C</v>
      </c>
      <c r="C4819" s="7">
        <f>IFERROR(__xludf.DUMMYFUNCTION("""COMPUTED_VALUE"""),7.793139)</f>
        <v>7.793139</v>
      </c>
      <c r="D4819" s="7">
        <f>IFERROR(__xludf.DUMMYFUNCTION("""COMPUTED_VALUE"""),0.4375)</f>
        <v>0.4375</v>
      </c>
    </row>
    <row r="4820">
      <c r="A4820" s="10" t="s">
        <v>6259</v>
      </c>
      <c r="B4820" s="7" t="str">
        <f>IFERROR(__xludf.DUMMYFUNCTION("SPLIT(A4820,"" "")"),"Cc1nc(CN(C)C2CCC(N(C)Cc3ccon3)CC2)c(C)c(C)c1C")</f>
        <v>Cc1nc(CN(C)C2CCC(N(C)Cc3ccon3)CC2)c(C)c(C)c1C</v>
      </c>
      <c r="C4820" s="7">
        <f>IFERROR(__xludf.DUMMYFUNCTION("""COMPUTED_VALUE"""),7.7931376)</f>
        <v>7.7931376</v>
      </c>
      <c r="D4820" s="7">
        <f>IFERROR(__xludf.DUMMYFUNCTION("""COMPUTED_VALUE"""),0.422222222222222)</f>
        <v>0.4222222222</v>
      </c>
    </row>
    <row r="4821">
      <c r="A4821" s="10" t="s">
        <v>6260</v>
      </c>
      <c r="B4821" s="7" t="str">
        <f>IFERROR(__xludf.DUMMYFUNCTION("SPLIT(A4821,"" "")"),"CN(Cc1cccc(-c2cccc3c2OCCOCCOCCOCCOCCO3)n1)c1cccc(-c2cccc(CN(Cc3ccccn3)C3C=CNC(C(C)(C)c4ccc5c(c4)OCCOCCOCCOCCOCCO5)=C3)n2)c1")</f>
        <v>CN(Cc1cccc(-c2cccc3c2OCCOCCOCCOCCOCCO3)n1)c1cccc(-c2cccc(CN(Cc3ccccn3)C3C=CNC(C(C)(C)c4ccc5c(c4)OCCOCCOCCOCCOCCO5)=C3)n2)c1</v>
      </c>
      <c r="C4821" s="7">
        <f>IFERROR(__xludf.DUMMYFUNCTION("""COMPUTED_VALUE"""),7.793135)</f>
        <v>7.793135</v>
      </c>
      <c r="D4821" s="7">
        <f>IFERROR(__xludf.DUMMYFUNCTION("""COMPUTED_VALUE"""),0.308510638297872)</f>
        <v>0.3085106383</v>
      </c>
    </row>
    <row r="4822">
      <c r="A4822" s="10" t="s">
        <v>6261</v>
      </c>
      <c r="B4822" s="7" t="str">
        <f>IFERROR(__xludf.DUMMYFUNCTION("SPLIT(A4822,"" "")"),"CN1CCN(C)CCN(Cc2cnccc2-c2cccc(F)c2N)CC1")</f>
        <v>CN1CCN(C)CCN(Cc2cnccc2-c2cccc(F)c2N)CC1</v>
      </c>
      <c r="C4822" s="7">
        <f>IFERROR(__xludf.DUMMYFUNCTION("""COMPUTED_VALUE"""),7.793122)</f>
        <v>7.793122</v>
      </c>
      <c r="D4822" s="7">
        <f>IFERROR(__xludf.DUMMYFUNCTION("""COMPUTED_VALUE"""),0.411764705882352)</f>
        <v>0.4117647059</v>
      </c>
    </row>
    <row r="4823">
      <c r="A4823" s="10" t="s">
        <v>6262</v>
      </c>
      <c r="B4823" s="7" t="str">
        <f>IFERROR(__xludf.DUMMYFUNCTION("SPLIT(A4823,"" "")"),"Cc1cccc(CN(C)C2C=CNC(CN(C)C(C)C)=C2)n1")</f>
        <v>Cc1cccc(CN(C)C2C=CNC(CN(C)C(C)C)=C2)n1</v>
      </c>
      <c r="C4823" s="7">
        <f>IFERROR(__xludf.DUMMYFUNCTION("""COMPUTED_VALUE"""),7.793119)</f>
        <v>7.793119</v>
      </c>
      <c r="D4823" s="7">
        <f>IFERROR(__xludf.DUMMYFUNCTION("""COMPUTED_VALUE"""),0.442307692307692)</f>
        <v>0.4423076923</v>
      </c>
    </row>
    <row r="4824">
      <c r="A4824" s="10" t="s">
        <v>6263</v>
      </c>
      <c r="B4824" s="7" t="str">
        <f>IFERROR(__xludf.DUMMYFUNCTION("SPLIT(A4824,"" "")"),"COCc1cccc(CN(Cc2cccc(F)n2)Cc2cccc(-c3cccc4c3OCCOCCOCCOCCOCCO4)n2)n1")</f>
        <v>COCc1cccc(CN(Cc2cccc(F)n2)Cc2cccc(-c3cccc4c3OCCOCCOCCOCCOCCO4)n2)n1</v>
      </c>
      <c r="C4824" s="7">
        <f>IFERROR(__xludf.DUMMYFUNCTION("""COMPUTED_VALUE"""),7.79311)</f>
        <v>7.79311</v>
      </c>
      <c r="D4824" s="7">
        <f>IFERROR(__xludf.DUMMYFUNCTION("""COMPUTED_VALUE"""),0.318840579710144)</f>
        <v>0.3188405797</v>
      </c>
    </row>
    <row r="4825">
      <c r="A4825" s="10" t="s">
        <v>6264</v>
      </c>
      <c r="B4825" s="7" t="str">
        <f>IFERROR(__xludf.DUMMYFUNCTION("SPLIT(A4825,"" "")"),"CC1(C)COC(c2cccc(CN(Cc3ccc(-c4ccc5c(c4)OCCOCCOCCOCCOCCO5)cn3)Cc3cccc(-c4ccc5c(c4)OCCOCCOCCOCCOCCO5)n3)n2)=N1")</f>
        <v>CC1(C)COC(c2cccc(CN(Cc3ccc(-c4ccc5c(c4)OCCOCCOCCOCCOCCO5)cn3)Cc3cccc(-c4ccc5c(c4)OCCOCCOCCOCCOCCO5)n3)n2)=N1</v>
      </c>
      <c r="C4825" s="7">
        <f>IFERROR(__xludf.DUMMYFUNCTION("""COMPUTED_VALUE"""),7.793109)</f>
        <v>7.793109</v>
      </c>
      <c r="D4825" s="7">
        <f>IFERROR(__xludf.DUMMYFUNCTION("""COMPUTED_VALUE"""),0.416666666666666)</f>
        <v>0.4166666667</v>
      </c>
    </row>
    <row r="4826">
      <c r="A4826" s="10" t="s">
        <v>6265</v>
      </c>
      <c r="B4826" s="7" t="str">
        <f>IFERROR(__xludf.DUMMYFUNCTION("SPLIT(A4826,"" "")"),"CNC1CC(N(C)Cc2ccccn2)CCC1N(Cc1ccccn1)Cc1nc(C)c(C)c(C)c1C")</f>
        <v>CNC1CC(N(C)Cc2ccccn2)CCC1N(Cc1ccccn1)Cc1nc(C)c(C)c(C)c1C</v>
      </c>
      <c r="C4826" s="7">
        <f>IFERROR(__xludf.DUMMYFUNCTION("""COMPUTED_VALUE"""),7.793101)</f>
        <v>7.793101</v>
      </c>
      <c r="D4826" s="7">
        <f>IFERROR(__xludf.DUMMYFUNCTION("""COMPUTED_VALUE"""),0.423728813559322)</f>
        <v>0.4237288136</v>
      </c>
    </row>
    <row r="4827">
      <c r="A4827" s="10" t="s">
        <v>6266</v>
      </c>
      <c r="B4827" s="7" t="str">
        <f>IFERROR(__xludf.DUMMYFUNCTION("SPLIT(A4827,"" "")"),"Cc1cnc(CN(C)CCN(C)CCF)c(C)c1")</f>
        <v>Cc1cnc(CN(C)CCN(C)CCF)c(C)c1</v>
      </c>
      <c r="C4827" s="7">
        <f>IFERROR(__xludf.DUMMYFUNCTION("""COMPUTED_VALUE"""),7.7930846)</f>
        <v>7.7930846</v>
      </c>
      <c r="D4827" s="7">
        <f>IFERROR(__xludf.DUMMYFUNCTION("""COMPUTED_VALUE"""),0.461538461538461)</f>
        <v>0.4615384615</v>
      </c>
    </row>
    <row r="4828">
      <c r="A4828" s="10" t="s">
        <v>6267</v>
      </c>
      <c r="B4828" s="7" t="str">
        <f>IFERROR(__xludf.DUMMYFUNCTION("SPLIT(A4828,"" "")"),"CNCc1cccc(N(C)C2CCCCC2N(Cc2ccc(C)nc2)Cc2ccccn2)n1")</f>
        <v>CNCc1cccc(N(C)C2CCCCC2N(Cc2ccc(C)nc2)Cc2ccccn2)n1</v>
      </c>
      <c r="C4828" s="7">
        <f>IFERROR(__xludf.DUMMYFUNCTION("""COMPUTED_VALUE"""),7.793074)</f>
        <v>7.793074</v>
      </c>
      <c r="D4828" s="7">
        <f>IFERROR(__xludf.DUMMYFUNCTION("""COMPUTED_VALUE"""),0.426229508196721)</f>
        <v>0.4262295082</v>
      </c>
    </row>
    <row r="4829">
      <c r="A4829" s="10" t="s">
        <v>6268</v>
      </c>
      <c r="B4829" s="7" t="str">
        <f>IFERROR(__xludf.DUMMYFUNCTION("SPLIT(A4829,"" "")"),"CNCc1cccc(CN(Cc2ccccn2)C2CCC(N(C)Cc3cc(C)c(C)c(C)n3)CC2)n1")</f>
        <v>CNCc1cccc(CN(Cc2ccccn2)C2CCC(N(C)Cc3cc(C)c(C)c(C)n3)CC2)n1</v>
      </c>
      <c r="C4829" s="7">
        <f>IFERROR(__xludf.DUMMYFUNCTION("""COMPUTED_VALUE"""),7.7930717)</f>
        <v>7.7930717</v>
      </c>
      <c r="D4829" s="7">
        <f>IFERROR(__xludf.DUMMYFUNCTION("""COMPUTED_VALUE"""),0.4)</f>
        <v>0.4</v>
      </c>
    </row>
    <row r="4830">
      <c r="A4830" s="10" t="s">
        <v>6269</v>
      </c>
      <c r="B4830" s="7" t="str">
        <f>IFERROR(__xludf.DUMMYFUNCTION("SPLIT(A4830,"" "")"),"C=CCN(C)CCN(C)C(c1ccccc1)c1ccccn1")</f>
        <v>C=CCN(C)CCN(C)C(c1ccccc1)c1ccccn1</v>
      </c>
      <c r="C4830" s="7">
        <f>IFERROR(__xludf.DUMMYFUNCTION("""COMPUTED_VALUE"""),7.7930713)</f>
        <v>7.7930713</v>
      </c>
      <c r="D4830" s="7">
        <f>IFERROR(__xludf.DUMMYFUNCTION("""COMPUTED_VALUE"""),0.46)</f>
        <v>0.46</v>
      </c>
    </row>
    <row r="4831">
      <c r="A4831" s="10" t="s">
        <v>6270</v>
      </c>
      <c r="B4831" s="7" t="str">
        <f>IFERROR(__xludf.DUMMYFUNCTION("SPLIT(A4831,"" "")"),"CN(c1ccc2nc(CF)ccc2c1)C1CCC(N(Cc2ccccn2)Cc2cccc(C(C)(C)c3ccc4c(c3)OCCOCCOCCOCCOCCO4)n2)CC1")</f>
        <v>CN(c1ccc2nc(CF)ccc2c1)C1CCC(N(Cc2ccccn2)Cc2cccc(C(C)(C)c3ccc4c(c3)OCCOCCOCCOCCOCCO4)n2)CC1</v>
      </c>
      <c r="C4831" s="7">
        <f>IFERROR(__xludf.DUMMYFUNCTION("""COMPUTED_VALUE"""),7.7930713)</f>
        <v>7.7930713</v>
      </c>
      <c r="D4831" s="7">
        <f>IFERROR(__xludf.DUMMYFUNCTION("""COMPUTED_VALUE"""),0.3)</f>
        <v>0.3</v>
      </c>
    </row>
    <row r="4832">
      <c r="A4832" s="10" t="s">
        <v>6271</v>
      </c>
      <c r="B4832" s="7" t="str">
        <f>IFERROR(__xludf.DUMMYFUNCTION("SPLIT(A4832,"" "")"),"CCNCC1=CC(N(C)Cc2ncccc2C)C=CN1")</f>
        <v>CCNCC1=CC(N(C)Cc2ncccc2C)C=CN1</v>
      </c>
      <c r="C4832" s="7">
        <f>IFERROR(__xludf.DUMMYFUNCTION("""COMPUTED_VALUE"""),7.793067)</f>
        <v>7.793067</v>
      </c>
      <c r="D4832" s="7">
        <f>IFERROR(__xludf.DUMMYFUNCTION("""COMPUTED_VALUE"""),0.290322580645161)</f>
        <v>0.2903225806</v>
      </c>
    </row>
    <row r="4833">
      <c r="A4833" s="10" t="s">
        <v>6272</v>
      </c>
      <c r="B4833" s="7" t="str">
        <f>IFERROR(__xludf.DUMMYFUNCTION("SPLIT(A4833,"" "")"),"CC1=CC(CN(C)Cc2cccc(C(C)(C)c3ccccn3)n2)CCC1C")</f>
        <v>CC1=CC(CN(C)Cc2cccc(C(C)(C)c3ccccn3)n2)CCC1C</v>
      </c>
      <c r="C4833" s="7">
        <f>IFERROR(__xludf.DUMMYFUNCTION("""COMPUTED_VALUE"""),7.7930627)</f>
        <v>7.7930627</v>
      </c>
      <c r="D4833" s="7">
        <f>IFERROR(__xludf.DUMMYFUNCTION("""COMPUTED_VALUE"""),0.372881355932203)</f>
        <v>0.3728813559</v>
      </c>
    </row>
    <row r="4834">
      <c r="A4834" s="10" t="s">
        <v>6273</v>
      </c>
      <c r="B4834" s="7" t="str">
        <f>IFERROR(__xludf.DUMMYFUNCTION("SPLIT(A4834,"" "")"),"Cc1ccc(N(C)C2CCCC(N(C)Cc3ccon3)C2)cc1C")</f>
        <v>Cc1ccc(N(C)C2CCCC(N(C)Cc3ccon3)C2)cc1C</v>
      </c>
      <c r="C4834" s="7">
        <f>IFERROR(__xludf.DUMMYFUNCTION("""COMPUTED_VALUE"""),7.793051)</f>
        <v>7.793051</v>
      </c>
      <c r="D4834" s="7">
        <f>IFERROR(__xludf.DUMMYFUNCTION("""COMPUTED_VALUE"""),0.387755102040816)</f>
        <v>0.387755102</v>
      </c>
    </row>
    <row r="4835">
      <c r="A4835" s="10" t="s">
        <v>6274</v>
      </c>
      <c r="B4835" s="7" t="str">
        <f>IFERROR(__xludf.DUMMYFUNCTION("SPLIT(A4835,"" "")"),"Cc1cnc(CN(C)Cc2cc(N(C)C3CCC(N(Cc4ccccn4)Cc4cccc(-c5ccc6c(c5)OCCOCCOCCOCCOCCO6)n4)CC3)ccn2)c(C)c1")</f>
        <v>Cc1cnc(CN(C)Cc2cc(N(C)C3CCC(N(Cc4ccccn4)Cc4cccc(-c5ccc6c(c5)OCCOCCOCCOCCOCCO6)n4)CC3)ccn2)c(C)c1</v>
      </c>
      <c r="C4835" s="7">
        <f>IFERROR(__xludf.DUMMYFUNCTION("""COMPUTED_VALUE"""),7.7930503)</f>
        <v>7.7930503</v>
      </c>
      <c r="D4835" s="7">
        <f>IFERROR(__xludf.DUMMYFUNCTION("""COMPUTED_VALUE"""),0.354430379746835)</f>
        <v>0.3544303797</v>
      </c>
    </row>
    <row r="4836">
      <c r="A4836" s="10" t="s">
        <v>6275</v>
      </c>
      <c r="B4836" s="7" t="str">
        <f>IFERROR(__xludf.DUMMYFUNCTION("SPLIT(A4836,"" "")"),"CNCc1ccc(CN(Cc2ccccn2)C2CCC(N(C)Cc3cc(C)c(C)c(C)n3)CC2)cn1")</f>
        <v>CNCc1ccc(CN(Cc2ccccn2)C2CCC(N(C)Cc3cc(C)c(C)c(C)n3)CC2)cn1</v>
      </c>
      <c r="C4836" s="7">
        <f>IFERROR(__xludf.DUMMYFUNCTION("""COMPUTED_VALUE"""),7.793042)</f>
        <v>7.793042</v>
      </c>
      <c r="D4836" s="7">
        <f>IFERROR(__xludf.DUMMYFUNCTION("""COMPUTED_VALUE"""),0.369230769230769)</f>
        <v>0.3692307692</v>
      </c>
    </row>
    <row r="4837">
      <c r="A4837" s="10" t="s">
        <v>6276</v>
      </c>
      <c r="B4837" s="7" t="str">
        <f>IFERROR(__xludf.DUMMYFUNCTION("SPLIT(A4837,"" "")"),"CC(C)(C)N")</f>
        <v>CC(C)(C)N</v>
      </c>
      <c r="C4837" s="7">
        <f>IFERROR(__xludf.DUMMYFUNCTION("""COMPUTED_VALUE"""),7.793039)</f>
        <v>7.793039</v>
      </c>
      <c r="D4837" s="7">
        <f>IFERROR(__xludf.DUMMYFUNCTION("""COMPUTED_VALUE"""),0.12)</f>
        <v>0.12</v>
      </c>
    </row>
    <row r="4838">
      <c r="A4838" s="10" t="s">
        <v>6277</v>
      </c>
      <c r="B4838" s="7" t="str">
        <f>IFERROR(__xludf.DUMMYFUNCTION("SPLIT(A4838,"" "")"),"CN(CCF)CCN(Cc1ccccn1)C1CCCCC1N(C)c1ccc2nc(CF)ccc2c1")</f>
        <v>CN(CCF)CCN(Cc1ccccn1)C1CCCCC1N(C)c1ccc2nc(CF)ccc2c1</v>
      </c>
      <c r="C4838" s="7">
        <f>IFERROR(__xludf.DUMMYFUNCTION("""COMPUTED_VALUE"""),7.7930346)</f>
        <v>7.7930346</v>
      </c>
      <c r="D4838" s="7">
        <f>IFERROR(__xludf.DUMMYFUNCTION("""COMPUTED_VALUE"""),0.426229508196721)</f>
        <v>0.4262295082</v>
      </c>
    </row>
    <row r="4839">
      <c r="A4839" s="10" t="s">
        <v>6278</v>
      </c>
      <c r="B4839" s="7" t="str">
        <f>IFERROR(__xludf.DUMMYFUNCTION("SPLIT(A4839,"" "")"),"Cc1cccnc1CN(C)CCN(C)CC1=CCC=CN1")</f>
        <v>Cc1cccnc1CN(C)CCN(C)CC1=CCC=CN1</v>
      </c>
      <c r="C4839" s="7">
        <f>IFERROR(__xludf.DUMMYFUNCTION("""COMPUTED_VALUE"""),7.793026)</f>
        <v>7.793026</v>
      </c>
      <c r="D4839" s="7">
        <f>IFERROR(__xludf.DUMMYFUNCTION("""COMPUTED_VALUE"""),0.490196078431372)</f>
        <v>0.4901960784</v>
      </c>
    </row>
    <row r="4840">
      <c r="A4840" s="10" t="s">
        <v>6279</v>
      </c>
      <c r="B4840" s="7" t="str">
        <f>IFERROR(__xludf.DUMMYFUNCTION("SPLIT(A4840,"" "")"),"CNCc1cc(CN(Cc2cc(C)ccn2)C2CCCCC2N(C)Cc2nc(C)c(C)c(C)c2C)ccn1")</f>
        <v>CNCc1cc(CN(Cc2cc(C)ccn2)C2CCCCC2N(C)Cc2nc(C)c(C)c(C)c2C)ccn1</v>
      </c>
      <c r="C4840" s="7">
        <f>IFERROR(__xludf.DUMMYFUNCTION("""COMPUTED_VALUE"""),7.7930217)</f>
        <v>7.7930217</v>
      </c>
      <c r="D4840" s="7">
        <f>IFERROR(__xludf.DUMMYFUNCTION("""COMPUTED_VALUE"""),0.359375)</f>
        <v>0.359375</v>
      </c>
    </row>
    <row r="4841">
      <c r="A4841" s="10" t="s">
        <v>6280</v>
      </c>
      <c r="B4841" s="7" t="str">
        <f>IFERROR(__xludf.DUMMYFUNCTION("SPLIT(A4841,"" "")"),"CC(C)N(C)Cc1cc(N(C)Cc2cc(-c3ccc4c(c3)OCCOCCOCCOCCOCCO4)ccn2)ccn1")</f>
        <v>CC(C)N(C)Cc1cc(N(C)Cc2cc(-c3ccc4c(c3)OCCOCCOCCOCCOCCO4)ccn2)ccn1</v>
      </c>
      <c r="C4841" s="7">
        <f>IFERROR(__xludf.DUMMYFUNCTION("""COMPUTED_VALUE"""),7.7930217)</f>
        <v>7.7930217</v>
      </c>
      <c r="D4841" s="7">
        <f>IFERROR(__xludf.DUMMYFUNCTION("""COMPUTED_VALUE"""),0.367647058823529)</f>
        <v>0.3676470588</v>
      </c>
    </row>
    <row r="4842">
      <c r="A4842" s="10" t="s">
        <v>6281</v>
      </c>
      <c r="B4842" s="7" t="str">
        <f>IFERROR(__xludf.DUMMYFUNCTION("SPLIT(A4842,"" "")"),"CC1CC(C)C(C)C=C1N(C)Cc1ccccn1")</f>
        <v>CC1CC(C)C(C)C=C1N(C)Cc1ccccn1</v>
      </c>
      <c r="C4842" s="7">
        <f>IFERROR(__xludf.DUMMYFUNCTION("""COMPUTED_VALUE"""),7.793013)</f>
        <v>7.793013</v>
      </c>
      <c r="D4842" s="7">
        <f>IFERROR(__xludf.DUMMYFUNCTION("""COMPUTED_VALUE"""),0.466666666666666)</f>
        <v>0.4666666667</v>
      </c>
    </row>
    <row r="4843">
      <c r="A4843" s="10" t="s">
        <v>6282</v>
      </c>
      <c r="B4843" s="7" t="str">
        <f>IFERROR(__xludf.DUMMYFUNCTION("SPLIT(A4843,"" "")"),"CC(C)N(C)CN(C(C)C)C(C)C")</f>
        <v>CC(C)N(C)CN(C(C)C)C(C)C</v>
      </c>
      <c r="C4843" s="7">
        <f>IFERROR(__xludf.DUMMYFUNCTION("""COMPUTED_VALUE"""),7.793012)</f>
        <v>7.793012</v>
      </c>
      <c r="D4843" s="7">
        <f>IFERROR(__xludf.DUMMYFUNCTION("""COMPUTED_VALUE"""),0.166666666666666)</f>
        <v>0.1666666667</v>
      </c>
    </row>
    <row r="4844">
      <c r="A4844" s="10" t="s">
        <v>6283</v>
      </c>
      <c r="B4844" s="7" t="str">
        <f>IFERROR(__xludf.DUMMYFUNCTION("SPLIT(A4844,"" "")"),"CCN(C)Cc1ncccc1C(C)(C)C")</f>
        <v>CCN(C)Cc1ncccc1C(C)(C)C</v>
      </c>
      <c r="C4844" s="7">
        <f>IFERROR(__xludf.DUMMYFUNCTION("""COMPUTED_VALUE"""),7.793004)</f>
        <v>7.793004</v>
      </c>
      <c r="D4844" s="7">
        <f>IFERROR(__xludf.DUMMYFUNCTION("""COMPUTED_VALUE"""),0.34090909090909)</f>
        <v>0.3409090909</v>
      </c>
    </row>
    <row r="4845">
      <c r="A4845" s="10" t="s">
        <v>6284</v>
      </c>
      <c r="B4845" s="7" t="str">
        <f>IFERROR(__xludf.DUMMYFUNCTION("SPLIT(A4845,"" "")"),"CNCc1ncccc1CN(Cc1ccccn1)C1CCC(N(C)Cc2nc(C)c(C)cc2C)CC1")</f>
        <v>CNCc1ncccc1CN(Cc1ccccn1)C1CCC(N(C)Cc2nc(C)c(C)cc2C)CC1</v>
      </c>
      <c r="C4845" s="7">
        <f>IFERROR(__xludf.DUMMYFUNCTION("""COMPUTED_VALUE"""),7.7930026)</f>
        <v>7.7930026</v>
      </c>
      <c r="D4845" s="7">
        <f>IFERROR(__xludf.DUMMYFUNCTION("""COMPUTED_VALUE"""),0.365079365079365)</f>
        <v>0.3650793651</v>
      </c>
    </row>
    <row r="4846">
      <c r="A4846" s="10" t="s">
        <v>6285</v>
      </c>
      <c r="B4846" s="7" t="str">
        <f>IFERROR(__xludf.DUMMYFUNCTION("SPLIT(A4846,"" "")"),"Cc1ccc(CN(Cc2ccccn2)C2CCCC(N(C)Cc3cc(C)c(C)cn3)C2)cn1")</f>
        <v>Cc1ccc(CN(Cc2ccccn2)C2CCCC(N(C)Cc3cc(C)c(C)cn3)C2)cn1</v>
      </c>
      <c r="C4846" s="7">
        <f>IFERROR(__xludf.DUMMYFUNCTION("""COMPUTED_VALUE"""),7.7930026)</f>
        <v>7.7930026</v>
      </c>
      <c r="D4846" s="7">
        <f>IFERROR(__xludf.DUMMYFUNCTION("""COMPUTED_VALUE"""),0.43103448275862)</f>
        <v>0.4310344828</v>
      </c>
    </row>
    <row r="4847">
      <c r="A4847" s="10" t="s">
        <v>6286</v>
      </c>
      <c r="B4847" s="7" t="str">
        <f>IFERROR(__xludf.DUMMYFUNCTION("SPLIT(A4847,"" "")"),"CC1=CCC(C)C(C)C1N(C)Cc1cc(C(C)(C)C)ccn1")</f>
        <v>CC1=CCC(C)C(C)C1N(C)Cc1cc(C(C)(C)C)ccn1</v>
      </c>
      <c r="C4847" s="7">
        <f>IFERROR(__xludf.DUMMYFUNCTION("""COMPUTED_VALUE"""),7.792998)</f>
        <v>7.792998</v>
      </c>
      <c r="D4847" s="7">
        <f>IFERROR(__xludf.DUMMYFUNCTION("""COMPUTED_VALUE"""),0.309090909090909)</f>
        <v>0.3090909091</v>
      </c>
    </row>
    <row r="4848">
      <c r="A4848" s="10" t="s">
        <v>6287</v>
      </c>
      <c r="B4848" s="7" t="str">
        <f>IFERROR(__xludf.DUMMYFUNCTION("SPLIT(A4848,"" "")"),"CN(Cc1cc(-c2ccc3c(c2)OCCOCCOCCOCCOCCO3)ccn1)Cc1ccnc2ccc(N(C)Cc3ccc4c(c3)OCCOCCOCCOCCOCCO4)cc12")</f>
        <v>CN(Cc1cc(-c2ccc3c(c2)OCCOCCOCCOCCOCCO3)ccn1)Cc1ccnc2ccc(N(C)Cc3ccc4c(c3)OCCOCCOCCOCCOCCO4)cc12</v>
      </c>
      <c r="C4848" s="7">
        <f>IFERROR(__xludf.DUMMYFUNCTION("""COMPUTED_VALUE"""),7.7929964)</f>
        <v>7.7929964</v>
      </c>
      <c r="D4848" s="7">
        <f>IFERROR(__xludf.DUMMYFUNCTION("""COMPUTED_VALUE"""),0.32051282051282)</f>
        <v>0.3205128205</v>
      </c>
    </row>
    <row r="4849">
      <c r="A4849" s="10" t="s">
        <v>6288</v>
      </c>
      <c r="B4849" s="7" t="str">
        <f>IFERROR(__xludf.DUMMYFUNCTION("SPLIT(A4849,"" "")"),"CC1=C(C)C(C)(C)C(N(C)CC2=CC(N(C)Cc3ccccn3)C=CN2)C(C)C1")</f>
        <v>CC1=C(C)C(C)(C)C(N(C)CC2=CC(N(C)Cc3ccccn3)C=CN2)C(C)C1</v>
      </c>
      <c r="C4849" s="7">
        <f>IFERROR(__xludf.DUMMYFUNCTION("""COMPUTED_VALUE"""),7.7929935)</f>
        <v>7.7929935</v>
      </c>
      <c r="D4849" s="7">
        <f>IFERROR(__xludf.DUMMYFUNCTION("""COMPUTED_VALUE"""),0.370967741935483)</f>
        <v>0.3709677419</v>
      </c>
    </row>
    <row r="4850">
      <c r="A4850" s="10" t="s">
        <v>6289</v>
      </c>
      <c r="B4850" s="7" t="str">
        <f>IFERROR(__xludf.DUMMYFUNCTION("SPLIT(A4850,"" "")"),"Cc1cc(C)c(CN(C)CCN(C)C(C)C)cn1")</f>
        <v>Cc1cc(C)c(CN(C)CCN(C)C(C)C)cn1</v>
      </c>
      <c r="C4850" s="7">
        <f>IFERROR(__xludf.DUMMYFUNCTION("""COMPUTED_VALUE"""),7.7929845)</f>
        <v>7.7929845</v>
      </c>
      <c r="D4850" s="7">
        <f>IFERROR(__xludf.DUMMYFUNCTION("""COMPUTED_VALUE"""),0.348837209302325)</f>
        <v>0.3488372093</v>
      </c>
    </row>
    <row r="4851">
      <c r="A4851" s="10" t="s">
        <v>6290</v>
      </c>
      <c r="B4851" s="7" t="str">
        <f>IFERROR(__xludf.DUMMYFUNCTION("SPLIT(A4851,"" "")"),"CC1=C(C)C(C)C(C)(N(C)Cc2cc(C(C)(C)C)ccn2)CC1")</f>
        <v>CC1=C(C)C(C)C(C)(N(C)Cc2cc(C(C)(C)C)ccn2)CC1</v>
      </c>
      <c r="C4851" s="7">
        <f>IFERROR(__xludf.DUMMYFUNCTION("""COMPUTED_VALUE"""),7.792972)</f>
        <v>7.792972</v>
      </c>
      <c r="D4851" s="7">
        <f>IFERROR(__xludf.DUMMYFUNCTION("""COMPUTED_VALUE"""),0.271186440677966)</f>
        <v>0.2711864407</v>
      </c>
    </row>
    <row r="4852">
      <c r="A4852" s="10" t="s">
        <v>6291</v>
      </c>
      <c r="B4852" s="7" t="str">
        <f>IFERROR(__xludf.DUMMYFUNCTION("SPLIT(A4852,"" "")"),"CCN(Cc1cccc(C)n1)Cc1cccc(CN(C)C2CCCC(N(C)Cc3cc(C)c(C)c(C)n3)C2)n1")</f>
        <v>CCN(Cc1cccc(C)n1)Cc1cccc(CN(C)C2CCCC(N(C)Cc3cc(C)c(C)c(C)n3)C2)n1</v>
      </c>
      <c r="C4852" s="7">
        <f>IFERROR(__xludf.DUMMYFUNCTION("""COMPUTED_VALUE"""),7.7929688)</f>
        <v>7.7929688</v>
      </c>
      <c r="D4852" s="7">
        <f>IFERROR(__xludf.DUMMYFUNCTION("""COMPUTED_VALUE"""),0.481481481481481)</f>
        <v>0.4814814815</v>
      </c>
    </row>
    <row r="4853">
      <c r="A4853" s="10" t="s">
        <v>6292</v>
      </c>
      <c r="B4853" s="7" t="str">
        <f>IFERROR(__xludf.DUMMYFUNCTION("SPLIT(A4853,"" "")"),"CN(CCF)C1CCCCC1N(C)c1ccc2cccnc2c1")</f>
        <v>CN(CCF)C1CCCCC1N(C)c1ccc2cccnc2c1</v>
      </c>
      <c r="C4853" s="7">
        <f>IFERROR(__xludf.DUMMYFUNCTION("""COMPUTED_VALUE"""),7.7929606)</f>
        <v>7.7929606</v>
      </c>
      <c r="D4853" s="7">
        <f>IFERROR(__xludf.DUMMYFUNCTION("""COMPUTED_VALUE"""),0.461538461538461)</f>
        <v>0.4615384615</v>
      </c>
    </row>
    <row r="4854">
      <c r="A4854" s="10" t="s">
        <v>6293</v>
      </c>
      <c r="B4854" s="7" t="str">
        <f>IFERROR(__xludf.DUMMYFUNCTION("SPLIT(A4854,"" "")"),"CNCCN(Cc1ccccn1)Cc1ncccc1F")</f>
        <v>CNCCN(Cc1ccccn1)Cc1ncccc1F</v>
      </c>
      <c r="C4854" s="7">
        <f>IFERROR(__xludf.DUMMYFUNCTION("""COMPUTED_VALUE"""),7.792957)</f>
        <v>7.792957</v>
      </c>
      <c r="D4854" s="7">
        <f>IFERROR(__xludf.DUMMYFUNCTION("""COMPUTED_VALUE"""),0.5)</f>
        <v>0.5</v>
      </c>
    </row>
    <row r="4855">
      <c r="A4855" s="10" t="s">
        <v>6294</v>
      </c>
      <c r="B4855" s="7" t="str">
        <f>IFERROR(__xludf.DUMMYFUNCTION("SPLIT(A4855,"" "")"),"Cc1ccnc(CN(Cc2ccccn2)C2CCC(N(C)c3ccc(CN(C)C(C)C)nc3)CC2)c1")</f>
        <v>Cc1ccnc(CN(Cc2ccccn2)C2CCC(N(C)c3ccc(CN(C)C(C)C)nc3)CC2)c1</v>
      </c>
      <c r="C4855" s="7">
        <f>IFERROR(__xludf.DUMMYFUNCTION("""COMPUTED_VALUE"""),7.792951)</f>
        <v>7.792951</v>
      </c>
      <c r="D4855" s="7">
        <f>IFERROR(__xludf.DUMMYFUNCTION("""COMPUTED_VALUE"""),0.360655737704918)</f>
        <v>0.3606557377</v>
      </c>
    </row>
    <row r="4856">
      <c r="A4856" s="10" t="s">
        <v>6295</v>
      </c>
      <c r="B4856" s="7" t="str">
        <f>IFERROR(__xludf.DUMMYFUNCTION("SPLIT(A4856,"" "")"),"CC1C=CC(C)(c2cccc(CN(Cc3ccccn3)Cc3ccccn3)n2)C(C)C1(C)C")</f>
        <v>CC1C=CC(C)(c2cccc(CN(Cc3ccccn3)Cc3ccccn3)n2)C(C)C1(C)C</v>
      </c>
      <c r="C4856" s="7">
        <f>IFERROR(__xludf.DUMMYFUNCTION("""COMPUTED_VALUE"""),7.792947)</f>
        <v>7.792947</v>
      </c>
      <c r="D4856" s="7">
        <f>IFERROR(__xludf.DUMMYFUNCTION("""COMPUTED_VALUE"""),0.465116279069767)</f>
        <v>0.4651162791</v>
      </c>
    </row>
    <row r="4857">
      <c r="A4857" s="10" t="s">
        <v>6296</v>
      </c>
      <c r="B4857" s="7" t="str">
        <f>IFERROR(__xludf.DUMMYFUNCTION("SPLIT(A4857,"" "")"),"CNCc1cc(CN(Cc2ccccn2)C2CCC(N(C)Cc3nc(C)c(C)cc3C)CC2)ccn1")</f>
        <v>CNCc1cc(CN(Cc2ccccn2)C2CCC(N(C)Cc3nc(C)c(C)cc3C)CC2)ccn1</v>
      </c>
      <c r="C4857" s="7">
        <f>IFERROR(__xludf.DUMMYFUNCTION("""COMPUTED_VALUE"""),7.792937)</f>
        <v>7.792937</v>
      </c>
      <c r="D4857" s="7">
        <f>IFERROR(__xludf.DUMMYFUNCTION("""COMPUTED_VALUE"""),0.370967741935483)</f>
        <v>0.3709677419</v>
      </c>
    </row>
    <row r="4858">
      <c r="A4858" s="10" t="s">
        <v>6297</v>
      </c>
      <c r="B4858" s="7" t="str">
        <f>IFERROR(__xludf.DUMMYFUNCTION("SPLIT(A4858,"" "")"),"CC1=CC(C)CC(N(C)Cc2cc(C(C)(C)C)ccn2)C1(C)C")</f>
        <v>CC1=CC(C)CC(N(C)Cc2cc(C(C)(C)C)ccn2)C1(C)C</v>
      </c>
      <c r="C4858" s="7">
        <f>IFERROR(__xludf.DUMMYFUNCTION("""COMPUTED_VALUE"""),7.7929335)</f>
        <v>7.7929335</v>
      </c>
      <c r="D4858" s="7">
        <f>IFERROR(__xludf.DUMMYFUNCTION("""COMPUTED_VALUE"""),0.293103448275862)</f>
        <v>0.2931034483</v>
      </c>
    </row>
    <row r="4859">
      <c r="A4859" s="10" t="s">
        <v>6298</v>
      </c>
      <c r="B4859" s="7" t="str">
        <f>IFERROR(__xludf.DUMMYFUNCTION("SPLIT(A4859,"" "")"),"Cc1cnc(CN(Cc2ccccc2N(C)C)C2CCC(N(Cc3ccccn3)Cc3ncccc3-c3ccc4c(c3)OCCOCCOCCOCCOCCO4)CC2)c(C)c1")</f>
        <v>Cc1cnc(CN(Cc2ccccc2N(C)C)C2CCC(N(Cc3ccccn3)Cc3ncccc3-c3ccc4c(c3)OCCOCCOCCOCCOCCO4)CC2)c(C)c1</v>
      </c>
      <c r="C4859" s="7">
        <f>IFERROR(__xludf.DUMMYFUNCTION("""COMPUTED_VALUE"""),7.7929273)</f>
        <v>7.7929273</v>
      </c>
      <c r="D4859" s="7">
        <f>IFERROR(__xludf.DUMMYFUNCTION("""COMPUTED_VALUE"""),0.303370786516853)</f>
        <v>0.3033707865</v>
      </c>
    </row>
    <row r="4860">
      <c r="A4860" s="10" t="s">
        <v>6299</v>
      </c>
      <c r="B4860" s="7" t="str">
        <f>IFERROR(__xludf.DUMMYFUNCTION("SPLIT(A4860,"" "")"),"CC1C=C(N(C)CC2=CCC=CN2)C(C)C(C)C1")</f>
        <v>CC1C=C(N(C)CC2=CCC=CN2)C(C)C(C)C1</v>
      </c>
      <c r="C4860" s="7">
        <f>IFERROR(__xludf.DUMMYFUNCTION("""COMPUTED_VALUE"""),7.7929196)</f>
        <v>7.7929196</v>
      </c>
      <c r="D4860" s="7">
        <f>IFERROR(__xludf.DUMMYFUNCTION("""COMPUTED_VALUE"""),0.351851851851851)</f>
        <v>0.3518518519</v>
      </c>
    </row>
    <row r="4861">
      <c r="A4861" s="10" t="s">
        <v>6300</v>
      </c>
      <c r="B4861" s="7" t="str">
        <f>IFERROR(__xludf.DUMMYFUNCTION("SPLIT(A4861,"" "")"),"Cc1cnc(CN(C)Cc2cccc(-c3ccc4c(c3)OCCOCCOCCOCCOCCO4)n2)c(C)c1C")</f>
        <v>Cc1cnc(CN(C)Cc2cccc(-c3ccc4c(c3)OCCOCCOCCOCCOCCO4)n2)c(C)c1C</v>
      </c>
      <c r="C4861" s="7">
        <f>IFERROR(__xludf.DUMMYFUNCTION("""COMPUTED_VALUE"""),7.792916)</f>
        <v>7.792916</v>
      </c>
      <c r="D4861" s="7">
        <f>IFERROR(__xludf.DUMMYFUNCTION("""COMPUTED_VALUE"""),0.377049180327868)</f>
        <v>0.3770491803</v>
      </c>
    </row>
    <row r="4862">
      <c r="A4862" s="10" t="s">
        <v>6301</v>
      </c>
      <c r="B4862" s="7" t="str">
        <f>IFERROR(__xludf.DUMMYFUNCTION("SPLIT(A4862,"" "")"),"CN(CF)Cc1cc(C(C)(C)C)ccn1")</f>
        <v>CN(CF)Cc1cc(C(C)(C)C)ccn1</v>
      </c>
      <c r="C4862" s="7">
        <f>IFERROR(__xludf.DUMMYFUNCTION("""COMPUTED_VALUE"""),7.792911)</f>
        <v>7.792911</v>
      </c>
      <c r="D4862" s="7">
        <f>IFERROR(__xludf.DUMMYFUNCTION("""COMPUTED_VALUE"""),0.326086956521739)</f>
        <v>0.3260869565</v>
      </c>
    </row>
    <row r="4863">
      <c r="A4863" s="10" t="s">
        <v>6302</v>
      </c>
      <c r="B4863" s="7" t="str">
        <f>IFERROR(__xludf.DUMMYFUNCTION("SPLIT(A4863,"" "")"),"CC(C)N(Cc1ccccn1)Cc1ccc(N(C)C2CCC(N(C)Cc3cccc(C4CC(Cl)C4Cl)n3)CC2)cn1")</f>
        <v>CC(C)N(Cc1ccccn1)Cc1ccc(N(C)C2CCC(N(C)Cc3cccc(C4CC(Cl)C4Cl)n3)CC2)cn1</v>
      </c>
      <c r="C4863" s="7">
        <f>IFERROR(__xludf.DUMMYFUNCTION("""COMPUTED_VALUE"""),7.792895)</f>
        <v>7.792895</v>
      </c>
      <c r="D4863" s="7">
        <f>IFERROR(__xludf.DUMMYFUNCTION("""COMPUTED_VALUE"""),0.375)</f>
        <v>0.375</v>
      </c>
    </row>
    <row r="4864">
      <c r="A4864" s="10" t="s">
        <v>6303</v>
      </c>
      <c r="B4864" s="7" t="str">
        <f>IFERROR(__xludf.DUMMYFUNCTION("SPLIT(A4864,"" "")"),"CCCN(C)Cc1ncccc1C(C)(C)C")</f>
        <v>CCCN(C)Cc1ncccc1C(C)(C)C</v>
      </c>
      <c r="C4864" s="7">
        <f>IFERROR(__xludf.DUMMYFUNCTION("""COMPUTED_VALUE"""),7.792891)</f>
        <v>7.792891</v>
      </c>
      <c r="D4864" s="7">
        <f>IFERROR(__xludf.DUMMYFUNCTION("""COMPUTED_VALUE"""),0.386363636363636)</f>
        <v>0.3863636364</v>
      </c>
    </row>
    <row r="4865">
      <c r="A4865" s="10" t="s">
        <v>6304</v>
      </c>
      <c r="B4865" s="7" t="str">
        <f>IFERROR(__xludf.DUMMYFUNCTION("SPLIT(A4865,"" "")"),"Cc1ccnc(CN(CCN(C)C(C)C)Cc2cccc(C)n2)c1")</f>
        <v>Cc1ccnc(CN(CCN(C)C(C)C)Cc2cccc(C)n2)c1</v>
      </c>
      <c r="C4865" s="7">
        <f>IFERROR(__xludf.DUMMYFUNCTION("""COMPUTED_VALUE"""),7.7928796)</f>
        <v>7.7928796</v>
      </c>
      <c r="D4865" s="7">
        <f>IFERROR(__xludf.DUMMYFUNCTION("""COMPUTED_VALUE"""),0.456521739130434)</f>
        <v>0.4565217391</v>
      </c>
    </row>
    <row r="4866">
      <c r="A4866" s="10" t="s">
        <v>6305</v>
      </c>
      <c r="B4866" s="7" t="str">
        <f>IFERROR(__xludf.DUMMYFUNCTION("SPLIT(A4866,"" "")"),"CN(CCF)C1CCCCC1N(C)c1ccc2ncccc2c1")</f>
        <v>CN(CCF)C1CCCCC1N(C)c1ccc2ncccc2c1</v>
      </c>
      <c r="C4866" s="7">
        <f>IFERROR(__xludf.DUMMYFUNCTION("""COMPUTED_VALUE"""),7.7928743)</f>
        <v>7.7928743</v>
      </c>
      <c r="D4866" s="7">
        <f>IFERROR(__xludf.DUMMYFUNCTION("""COMPUTED_VALUE"""),0.470588235294117)</f>
        <v>0.4705882353</v>
      </c>
    </row>
    <row r="4867">
      <c r="A4867" s="10" t="s">
        <v>6306</v>
      </c>
      <c r="B4867" s="7" t="str">
        <f>IFERROR(__xludf.DUMMYFUNCTION("SPLIT(A4867,"" "")"),"Cc1cccc(C(C)(C)c2cc(CN(Cc3ccccn3)C3CCCCC3)ccn2)c1")</f>
        <v>Cc1cccc(C(C)(C)c2cc(CN(Cc3ccccn3)C3CCCCC3)ccn2)c1</v>
      </c>
      <c r="C4867" s="7">
        <f>IFERROR(__xludf.DUMMYFUNCTION("""COMPUTED_VALUE"""),7.7928615)</f>
        <v>7.7928615</v>
      </c>
      <c r="D4867" s="7">
        <f>IFERROR(__xludf.DUMMYFUNCTION("""COMPUTED_VALUE"""),0.383333333333333)</f>
        <v>0.3833333333</v>
      </c>
    </row>
    <row r="4868">
      <c r="A4868" s="10" t="s">
        <v>6307</v>
      </c>
      <c r="B4868" s="7" t="str">
        <f>IFERROR(__xludf.DUMMYFUNCTION("SPLIT(A4868,"" "")"),"CC(C)C(C)N(C)Cc1ccc(C(C)(C)C)cn1")</f>
        <v>CC(C)C(C)N(C)Cc1ccc(C(C)(C)C)cn1</v>
      </c>
      <c r="C4868" s="7">
        <f>IFERROR(__xludf.DUMMYFUNCTION("""COMPUTED_VALUE"""),7.7928505)</f>
        <v>7.7928505</v>
      </c>
      <c r="D4868" s="7">
        <f>IFERROR(__xludf.DUMMYFUNCTION("""COMPUTED_VALUE"""),0.372093023255813)</f>
        <v>0.3720930233</v>
      </c>
    </row>
    <row r="4869">
      <c r="A4869" s="10" t="s">
        <v>6308</v>
      </c>
      <c r="B4869" s="7" t="str">
        <f>IFERROR(__xludf.DUMMYFUNCTION("SPLIT(A4869,"" "")"),"Cc1cc(C)c(C)c(CN(C)C2CCC(N(C)Cc3cnc(CN(C)C(C)C)c(C)c3C)CC2)n1")</f>
        <v>Cc1cc(C)c(C)c(CN(C)C2CCC(N(C)Cc3cnc(CN(C)C(C)C)c(C)c3C)CC2)n1</v>
      </c>
      <c r="C4869" s="7">
        <f>IFERROR(__xludf.DUMMYFUNCTION("""COMPUTED_VALUE"""),7.792845)</f>
        <v>7.792845</v>
      </c>
      <c r="D4869" s="7">
        <f>IFERROR(__xludf.DUMMYFUNCTION("""COMPUTED_VALUE"""),0.238095238095238)</f>
        <v>0.2380952381</v>
      </c>
    </row>
    <row r="4870">
      <c r="A4870" s="10" t="s">
        <v>6309</v>
      </c>
      <c r="B4870" s="7" t="str">
        <f>IFERROR(__xludf.DUMMYFUNCTION("SPLIT(A4870,"" "")"),"CCCN(Cc1ccccn1)C1CCC(N(C)Cc2ccc3ncccc3c2)CC1")</f>
        <v>CCCN(Cc1ccccn1)C1CCC(N(C)Cc2ccc3ncccc3c2)CC1</v>
      </c>
      <c r="C4870" s="7">
        <f>IFERROR(__xludf.DUMMYFUNCTION("""COMPUTED_VALUE"""),7.7928333)</f>
        <v>7.7928333</v>
      </c>
      <c r="D4870" s="7">
        <f>IFERROR(__xludf.DUMMYFUNCTION("""COMPUTED_VALUE"""),0.403508771929824)</f>
        <v>0.4035087719</v>
      </c>
    </row>
    <row r="4871">
      <c r="A4871" s="10" t="s">
        <v>6310</v>
      </c>
      <c r="B4871" s="7" t="str">
        <f>IFERROR(__xludf.DUMMYFUNCTION("SPLIT(A4871,"" "")"),"Cc1ccccc1N(C)CCN(C)C(C)C")</f>
        <v>Cc1ccccc1N(C)CCN(C)C(C)C</v>
      </c>
      <c r="C4871" s="7">
        <f>IFERROR(__xludf.DUMMYFUNCTION("""COMPUTED_VALUE"""),7.79283)</f>
        <v>7.79283</v>
      </c>
      <c r="D4871" s="7">
        <f>IFERROR(__xludf.DUMMYFUNCTION("""COMPUTED_VALUE"""),0.35)</f>
        <v>0.35</v>
      </c>
    </row>
    <row r="4872">
      <c r="A4872" s="10" t="s">
        <v>6311</v>
      </c>
      <c r="B4872" s="7" t="str">
        <f>IFERROR(__xludf.DUMMYFUNCTION("SPLIT(A4872,"" "")"),"Cc1ccc(C)c(CN(Cc2ccc(CN3CCN(C)CCN(C)CC3)cn2)Cc2ncccc2N)n1")</f>
        <v>Cc1ccc(C)c(CN(Cc2ccc(CN3CCN(C)CCN(C)CC3)cn2)Cc2ncccc2N)n1</v>
      </c>
      <c r="C4872" s="7">
        <f>IFERROR(__xludf.DUMMYFUNCTION("""COMPUTED_VALUE"""),7.7928185)</f>
        <v>7.7928185</v>
      </c>
      <c r="D4872" s="7">
        <f>IFERROR(__xludf.DUMMYFUNCTION("""COMPUTED_VALUE"""),0.370967741935483)</f>
        <v>0.3709677419</v>
      </c>
    </row>
    <row r="4873">
      <c r="A4873" s="10" t="s">
        <v>6312</v>
      </c>
      <c r="B4873" s="7" t="str">
        <f>IFERROR(__xludf.DUMMYFUNCTION("SPLIT(A4873,"" "")"),"CC(N)C(C)(C)N(C)CC1=CCC(N(C)Cc2ccccn2)=CN1")</f>
        <v>CC(N)C(C)(C)N(C)CC1=CCC(N(C)Cc2ccccn2)=CN1</v>
      </c>
      <c r="C4873" s="7">
        <f>IFERROR(__xludf.DUMMYFUNCTION("""COMPUTED_VALUE"""),7.792808)</f>
        <v>7.792808</v>
      </c>
      <c r="D4873" s="7">
        <f>IFERROR(__xludf.DUMMYFUNCTION("""COMPUTED_VALUE"""),0.377049180327868)</f>
        <v>0.3770491803</v>
      </c>
    </row>
    <row r="4874">
      <c r="A4874" s="10" t="s">
        <v>6313</v>
      </c>
      <c r="B4874" s="7" t="str">
        <f>IFERROR(__xludf.DUMMYFUNCTION("SPLIT(A4874,"" "")"),"CC(C)N(CCN(C)CC(C)(C)C)C(C)C")</f>
        <v>CC(C)N(CCN(C)CC(C)(C)C)C(C)C</v>
      </c>
      <c r="C4874" s="7">
        <f>IFERROR(__xludf.DUMMYFUNCTION("""COMPUTED_VALUE"""),7.7928066)</f>
        <v>7.7928066</v>
      </c>
      <c r="D4874" s="7">
        <f>IFERROR(__xludf.DUMMYFUNCTION("""COMPUTED_VALUE"""),0.219512195121951)</f>
        <v>0.2195121951</v>
      </c>
    </row>
    <row r="4875">
      <c r="A4875" s="10" t="s">
        <v>6314</v>
      </c>
      <c r="B4875" s="7" t="str">
        <f>IFERROR(__xludf.DUMMYFUNCTION("SPLIT(A4875,"" "")"),"Cc1cc(CN(C)C2CCC(N(Cc3ccccn3)Cc3cccc(CNC(C)C)n3)CC2)nc(C)c1C")</f>
        <v>Cc1cc(CN(C)C2CCC(N(Cc3ccccn3)Cc3cccc(CNC(C)C)n3)CC2)nc(C)c1C</v>
      </c>
      <c r="C4875" s="7">
        <f>IFERROR(__xludf.DUMMYFUNCTION("""COMPUTED_VALUE"""),7.792806)</f>
        <v>7.792806</v>
      </c>
      <c r="D4875" s="7">
        <f>IFERROR(__xludf.DUMMYFUNCTION("""COMPUTED_VALUE"""),0.403225806451612)</f>
        <v>0.4032258065</v>
      </c>
    </row>
    <row r="4876">
      <c r="A4876" s="10" t="s">
        <v>6315</v>
      </c>
      <c r="B4876" s="7" t="str">
        <f>IFERROR(__xludf.DUMMYFUNCTION("SPLIT(A4876,"" "")"),"C1=COC2C=CC(c3ccc(CNCC4CCCN4Cc4ccc(-c5ccc(N=Cc6ccccn6)cc5)cn4)nc3)=CC2OCCOCCOCCOCCO1")</f>
        <v>C1=COC2C=CC(c3ccc(CNCC4CCCN4Cc4ccc(-c5ccc(N=Cc6ccccn6)cc5)cn4)nc3)=CC2OCCOCCOCCOCCO1</v>
      </c>
      <c r="C4876" s="7">
        <f>IFERROR(__xludf.DUMMYFUNCTION("""COMPUTED_VALUE"""),7.7928004)</f>
        <v>7.7928004</v>
      </c>
      <c r="D4876" s="7">
        <f>IFERROR(__xludf.DUMMYFUNCTION("""COMPUTED_VALUE"""),0.326315789473684)</f>
        <v>0.3263157895</v>
      </c>
    </row>
    <row r="4877">
      <c r="A4877" s="10" t="s">
        <v>6316</v>
      </c>
      <c r="B4877" s="7" t="str">
        <f>IFERROR(__xludf.DUMMYFUNCTION("SPLIT(A4877,"" "")"),"CC1=CC2N=CC=CC2C(N(C)Cc2cc(C(C)(C)C)ccn2)C1C")</f>
        <v>CC1=CC2N=CC=CC2C(N(C)Cc2cc(C(C)(C)C)ccn2)C1C</v>
      </c>
      <c r="C4877" s="7">
        <f>IFERROR(__xludf.DUMMYFUNCTION("""COMPUTED_VALUE"""),7.7928)</f>
        <v>7.7928</v>
      </c>
      <c r="D4877" s="7">
        <f>IFERROR(__xludf.DUMMYFUNCTION("""COMPUTED_VALUE"""),0.25)</f>
        <v>0.25</v>
      </c>
    </row>
    <row r="4878">
      <c r="A4878" s="10" t="s">
        <v>6317</v>
      </c>
      <c r="B4878" s="7" t="str">
        <f>IFERROR(__xludf.DUMMYFUNCTION("SPLIT(A4878,"" "")"),"Cc1cc(C)c(CN(C)Cc2cccc(-c3cccc4c3OCCOCCOCCOCCOCCO4)n2)nc1C")</f>
        <v>Cc1cc(C)c(CN(C)Cc2cccc(-c3cccc4c3OCCOCCOCCOCCOCCO4)n2)nc1C</v>
      </c>
      <c r="C4878" s="7">
        <f>IFERROR(__xludf.DUMMYFUNCTION("""COMPUTED_VALUE"""),7.792788)</f>
        <v>7.792788</v>
      </c>
      <c r="D4878" s="7">
        <f>IFERROR(__xludf.DUMMYFUNCTION("""COMPUTED_VALUE"""),0.338709677419354)</f>
        <v>0.3387096774</v>
      </c>
    </row>
    <row r="4879">
      <c r="A4879" s="10" t="s">
        <v>6318</v>
      </c>
      <c r="B4879" s="7" t="str">
        <f>IFERROR(__xludf.DUMMYFUNCTION("SPLIT(A4879,"" "")"),"Cc1ccc(CN(Cc2ncccc2C)C2CCC(N(C)Cc3ncccc3C)CC2)nc1")</f>
        <v>Cc1ccc(CN(Cc2ncccc2C)C2CCC(N(C)Cc3ncccc3C)CC2)nc1</v>
      </c>
      <c r="C4879" s="7">
        <f>IFERROR(__xludf.DUMMYFUNCTION("""COMPUTED_VALUE"""),7.792787)</f>
        <v>7.792787</v>
      </c>
      <c r="D4879" s="7">
        <f>IFERROR(__xludf.DUMMYFUNCTION("""COMPUTED_VALUE"""),0.470588235294117)</f>
        <v>0.4705882353</v>
      </c>
    </row>
    <row r="4880">
      <c r="A4880" s="10" t="s">
        <v>6319</v>
      </c>
      <c r="B4880" s="7" t="str">
        <f>IFERROR(__xludf.DUMMYFUNCTION("SPLIT(A4880,"" "")"),"Cc1cccc(CN(C)C2=C(CN(C)C3CCC(N(C)Cc4cccc(C)n4)CC3)NC=CC2)n1")</f>
        <v>Cc1cccc(CN(C)C2=C(CN(C)C3CCC(N(C)Cc4cccc(C)n4)CC3)NC=CC2)n1</v>
      </c>
      <c r="C4880" s="7">
        <f>IFERROR(__xludf.DUMMYFUNCTION("""COMPUTED_VALUE"""),7.792783)</f>
        <v>7.792783</v>
      </c>
      <c r="D4880" s="7">
        <f>IFERROR(__xludf.DUMMYFUNCTION("""COMPUTED_VALUE"""),0.48076923076923)</f>
        <v>0.4807692308</v>
      </c>
    </row>
    <row r="4881">
      <c r="A4881" s="10" t="s">
        <v>6320</v>
      </c>
      <c r="B4881" s="7" t="str">
        <f>IFERROR(__xludf.DUMMYFUNCTION("SPLIT(A4881,"" "")"),"CN(CC1=CCC(N(C)C(c2ccccn2)c2ccccn2)=CN1)c1ccc2c(c1)OCCOCCOCCOCCOCCO2")</f>
        <v>CN(CC1=CCC(N(C)C(c2ccccn2)c2ccccn2)=CN1)c1ccc2c(c1)OCCOCCOCCOCCOCCO2</v>
      </c>
      <c r="C4881" s="7">
        <f>IFERROR(__xludf.DUMMYFUNCTION("""COMPUTED_VALUE"""),7.792782)</f>
        <v>7.792782</v>
      </c>
      <c r="D4881" s="7">
        <f>IFERROR(__xludf.DUMMYFUNCTION("""COMPUTED_VALUE"""),0.277777777777777)</f>
        <v>0.2777777778</v>
      </c>
    </row>
    <row r="4882">
      <c r="A4882" s="10" t="s">
        <v>6321</v>
      </c>
      <c r="B4882" s="7" t="str">
        <f>IFERROR(__xludf.DUMMYFUNCTION("SPLIT(A4882,"" "")"),"CNCC1C(N(C)Cc2nc(C)c(C)cc2C)CCN1C(C)C")</f>
        <v>CNCC1C(N(C)Cc2nc(C)c(C)cc2C)CCN1C(C)C</v>
      </c>
      <c r="C4882" s="7">
        <f>IFERROR(__xludf.DUMMYFUNCTION("""COMPUTED_VALUE"""),7.792778)</f>
        <v>7.792778</v>
      </c>
      <c r="D4882" s="7">
        <f>IFERROR(__xludf.DUMMYFUNCTION("""COMPUTED_VALUE"""),0.266666666666666)</f>
        <v>0.2666666667</v>
      </c>
    </row>
    <row r="4883">
      <c r="A4883" s="10" t="s">
        <v>6322</v>
      </c>
      <c r="B4883" s="7" t="str">
        <f>IFERROR(__xludf.DUMMYFUNCTION("SPLIT(A4883,"" "")"),"CC(C)N(Cc1cccc(-c2ccc3c(c2)OCCOCCOCCOCCOCCO3)n1)Cc1cccc(C(C)(C)c2ccccn2)n1")</f>
        <v>CC(C)N(Cc1cccc(-c2ccc3c(c2)OCCOCCOCCOCCOCCO3)n1)Cc1cccc(C(C)(C)c2ccccn2)n1</v>
      </c>
      <c r="C4883" s="7">
        <f>IFERROR(__xludf.DUMMYFUNCTION("""COMPUTED_VALUE"""),7.7927775)</f>
        <v>7.7927775</v>
      </c>
      <c r="D4883" s="7">
        <f>IFERROR(__xludf.DUMMYFUNCTION("""COMPUTED_VALUE"""),0.361111111111111)</f>
        <v>0.3611111111</v>
      </c>
    </row>
    <row r="4884">
      <c r="A4884" s="10" t="s">
        <v>6323</v>
      </c>
      <c r="B4884" s="7" t="str">
        <f>IFERROR(__xludf.DUMMYFUNCTION("SPLIT(A4884,"" "")"),"CC(C)(C)c1cccnc1CN(CNCF)Cc1ccccn1")</f>
        <v>CC(C)(C)c1cccnc1CN(CNCF)Cc1ccccn1</v>
      </c>
      <c r="C4884" s="7">
        <f>IFERROR(__xludf.DUMMYFUNCTION("""COMPUTED_VALUE"""),7.7927704)</f>
        <v>7.7927704</v>
      </c>
      <c r="D4884" s="7">
        <f>IFERROR(__xludf.DUMMYFUNCTION("""COMPUTED_VALUE"""),0.448979591836734)</f>
        <v>0.4489795918</v>
      </c>
    </row>
    <row r="4885">
      <c r="A4885" s="10" t="s">
        <v>6324</v>
      </c>
      <c r="B4885" s="7" t="str">
        <f>IFERROR(__xludf.DUMMYFUNCTION("SPLIT(A4885,"" "")"),"C=CCNCC1=CC(N(C)Cc2cccc(C)n2)C=CN1")</f>
        <v>C=CCNCC1=CC(N(C)Cc2cccc(C)n2)C=CN1</v>
      </c>
      <c r="C4885" s="7">
        <f>IFERROR(__xludf.DUMMYFUNCTION("""COMPUTED_VALUE"""),7.792768)</f>
        <v>7.792768</v>
      </c>
      <c r="D4885" s="7">
        <f>IFERROR(__xludf.DUMMYFUNCTION("""COMPUTED_VALUE"""),0.403508771929824)</f>
        <v>0.4035087719</v>
      </c>
    </row>
    <row r="4886">
      <c r="A4886" s="10" t="s">
        <v>6325</v>
      </c>
      <c r="B4886" s="7" t="str">
        <f>IFERROR(__xludf.DUMMYFUNCTION("SPLIT(A4886,"" "")"),"CNC1CCCCC1N(Cc1cccc(C)n1)Cc1cccc(C(C)(C)c2ccccn2)n1")</f>
        <v>CNC1CCCCC1N(Cc1cccc(C)n1)Cc1cccc(C(C)(C)c2ccccn2)n1</v>
      </c>
      <c r="C4886" s="7">
        <f>IFERROR(__xludf.DUMMYFUNCTION("""COMPUTED_VALUE"""),7.7927623)</f>
        <v>7.7927623</v>
      </c>
      <c r="D4886" s="7">
        <f>IFERROR(__xludf.DUMMYFUNCTION("""COMPUTED_VALUE"""),0.456140350877192)</f>
        <v>0.4561403509</v>
      </c>
    </row>
    <row r="4887">
      <c r="A4887" s="10" t="s">
        <v>6326</v>
      </c>
      <c r="B4887" s="7" t="str">
        <f>IFERROR(__xludf.DUMMYFUNCTION("SPLIT(A4887,"" "")"),"CN(Cc1ccccn1)C1CCC(N(C)Cc2cccc(C3=CCC=CN3)n2)CC1")</f>
        <v>CN(Cc1ccccn1)C1CCC(N(C)Cc2cccc(C3=CCC=CN3)n2)CC1</v>
      </c>
      <c r="C4887" s="7">
        <f>IFERROR(__xludf.DUMMYFUNCTION("""COMPUTED_VALUE"""),7.7927585)</f>
        <v>7.7927585</v>
      </c>
      <c r="D4887" s="7">
        <f>IFERROR(__xludf.DUMMYFUNCTION("""COMPUTED_VALUE"""),0.482142857142857)</f>
        <v>0.4821428571</v>
      </c>
    </row>
    <row r="4888">
      <c r="A4888" s="10" t="s">
        <v>6327</v>
      </c>
      <c r="B4888" s="7" t="str">
        <f>IFERROR(__xludf.DUMMYFUNCTION("SPLIT(A4888,"" "")"),"Cc1ccc2cccnc2c1CN1CCN(C)CCN(C)CC1")</f>
        <v>Cc1ccc2cccnc2c1CN1CCN(C)CCN(C)CC1</v>
      </c>
      <c r="C4888" s="7">
        <f>IFERROR(__xludf.DUMMYFUNCTION("""COMPUTED_VALUE"""),7.792751)</f>
        <v>7.792751</v>
      </c>
      <c r="D4888" s="7">
        <f>IFERROR(__xludf.DUMMYFUNCTION("""COMPUTED_VALUE"""),0.488372093023255)</f>
        <v>0.488372093</v>
      </c>
    </row>
    <row r="4889">
      <c r="A4889" s="10" t="s">
        <v>6328</v>
      </c>
      <c r="B4889" s="7" t="str">
        <f>IFERROR(__xludf.DUMMYFUNCTION("SPLIT(A4889,"" "")"),"Cc1ccc(C)c(C(C)c2ncccc2CN2CCN(C)CCN(Cc3ncccc3C(C)(C)C)CC2)c1C")</f>
        <v>Cc1ccc(C)c(C(C)c2ncccc2CN2CCN(C)CCN(Cc3ncccc3C(C)(C)C)CC2)c1C</v>
      </c>
      <c r="C4889" s="7">
        <f>IFERROR(__xludf.DUMMYFUNCTION("""COMPUTED_VALUE"""),7.792747)</f>
        <v>7.792747</v>
      </c>
      <c r="D4889" s="7">
        <f>IFERROR(__xludf.DUMMYFUNCTION("""COMPUTED_VALUE"""),0.35593220338983)</f>
        <v>0.3559322034</v>
      </c>
    </row>
    <row r="4890">
      <c r="A4890" s="10" t="s">
        <v>6329</v>
      </c>
      <c r="B4890" s="7" t="str">
        <f>IFERROR(__xludf.DUMMYFUNCTION("SPLIT(A4890,"" "")"),"CC(N)C(C)CN(Cc1ccccn1)Cc1ncccc1C(C)(C)C")</f>
        <v>CC(N)C(C)CN(Cc1ccccn1)Cc1ncccc1C(C)(C)C</v>
      </c>
      <c r="C4890" s="7">
        <f>IFERROR(__xludf.DUMMYFUNCTION("""COMPUTED_VALUE"""),7.7927413)</f>
        <v>7.7927413</v>
      </c>
      <c r="D4890" s="7">
        <f>IFERROR(__xludf.DUMMYFUNCTION("""COMPUTED_VALUE"""),0.44)</f>
        <v>0.44</v>
      </c>
    </row>
    <row r="4891">
      <c r="A4891" s="10" t="s">
        <v>6330</v>
      </c>
      <c r="B4891" s="7" t="str">
        <f>IFERROR(__xludf.DUMMYFUNCTION("SPLIT(A4891,"" "")"),"Cc1ccc(C)c(CN(C)C2CCCC(N(C)CC3=CNC=C(N(C)Cc4ccccn4)C3)C2)n1")</f>
        <v>Cc1ccc(C)c(CN(C)C2CCCC(N(C)CC3=CNC=C(N(C)Cc4ccccn4)C3)C2)n1</v>
      </c>
      <c r="C4891" s="7">
        <f>IFERROR(__xludf.DUMMYFUNCTION("""COMPUTED_VALUE"""),7.7927384)</f>
        <v>7.7927384</v>
      </c>
      <c r="D4891" s="7">
        <f>IFERROR(__xludf.DUMMYFUNCTION("""COMPUTED_VALUE"""),0.375)</f>
        <v>0.375</v>
      </c>
    </row>
    <row r="4892">
      <c r="A4892" s="10" t="s">
        <v>6331</v>
      </c>
      <c r="B4892" s="7" t="str">
        <f>IFERROR(__xludf.DUMMYFUNCTION("SPLIT(A4892,"" "")"),"CN(C)Cc1ncccc1CN(Cc1ccccn1)C1CCC(N(C)Cc2ccon2)CC1")</f>
        <v>CN(C)Cc1ncccc1CN(Cc1ccccn1)C1CCC(N(C)Cc2ccon2)CC1</v>
      </c>
      <c r="C4892" s="7">
        <f>IFERROR(__xludf.DUMMYFUNCTION("""COMPUTED_VALUE"""),7.792733)</f>
        <v>7.792733</v>
      </c>
      <c r="D4892" s="7">
        <f>IFERROR(__xludf.DUMMYFUNCTION("""COMPUTED_VALUE"""),0.413793103448275)</f>
        <v>0.4137931034</v>
      </c>
    </row>
    <row r="4893">
      <c r="A4893" s="10" t="s">
        <v>6332</v>
      </c>
      <c r="B4893" s="7" t="str">
        <f>IFERROR(__xludf.DUMMYFUNCTION("SPLIT(A4893,"" "")"),"CCNC1C(N(C)Cc2ccccn2)CCCC1N(Cc1nc(C)c(C)cc1C)Cc1nc(C)c(C)cc1C")</f>
        <v>CCNC1C(N(C)Cc2ccccn2)CCCC1N(Cc1nc(C)c(C)cc1C)Cc1nc(C)c(C)cc1C</v>
      </c>
      <c r="C4893" s="7">
        <f>IFERROR(__xludf.DUMMYFUNCTION("""COMPUTED_VALUE"""),7.792729)</f>
        <v>7.792729</v>
      </c>
      <c r="D4893" s="7">
        <f>IFERROR(__xludf.DUMMYFUNCTION("""COMPUTED_VALUE"""),0.5)</f>
        <v>0.5</v>
      </c>
    </row>
    <row r="4894">
      <c r="A4894" s="10" t="s">
        <v>6333</v>
      </c>
      <c r="B4894" s="7" t="str">
        <f>IFERROR(__xludf.DUMMYFUNCTION("SPLIT(A4894,"" "")"),"CC(C)C1=CC(N(C)CC2=C(N(C)C(C)C)CC=CN2)C=CN1")</f>
        <v>CC(C)C1=CC(N(C)CC2=C(N(C)C(C)C)CC=CN2)C=CN1</v>
      </c>
      <c r="C4894" s="7">
        <f>IFERROR(__xludf.DUMMYFUNCTION("""COMPUTED_VALUE"""),7.7927265)</f>
        <v>7.7927265</v>
      </c>
      <c r="D4894" s="7">
        <f>IFERROR(__xludf.DUMMYFUNCTION("""COMPUTED_VALUE"""),0.288135593220339)</f>
        <v>0.2881355932</v>
      </c>
    </row>
    <row r="4895">
      <c r="A4895" s="10" t="s">
        <v>6334</v>
      </c>
      <c r="B4895" s="7" t="str">
        <f>IFERROR(__xludf.DUMMYFUNCTION("SPLIT(A4895,"" "")"),"CC1CC(N=Cc2ccccn2)C(C)C=C1C(C)(C)N(C)Cc1ccccn1")</f>
        <v>CC1CC(N=Cc2ccccn2)C(C)C=C1C(C)(C)N(C)Cc1ccccn1</v>
      </c>
      <c r="C4895" s="7">
        <f>IFERROR(__xludf.DUMMYFUNCTION("""COMPUTED_VALUE"""),7.7927184)</f>
        <v>7.7927184</v>
      </c>
      <c r="D4895" s="7">
        <f>IFERROR(__xludf.DUMMYFUNCTION("""COMPUTED_VALUE"""),0.35)</f>
        <v>0.35</v>
      </c>
    </row>
    <row r="4896">
      <c r="A4896" s="10" t="s">
        <v>6335</v>
      </c>
      <c r="B4896" s="7" t="str">
        <f>IFERROR(__xludf.DUMMYFUNCTION("SPLIT(A4896,"" "")"),"Cc1cncc(CN(C)C2=CNC(CN(C)Cc3cccc(-c4ccc5c(c4)OCCOCCOCCOCCOCCO5)n3)=CC2)c1")</f>
        <v>Cc1cncc(CN(C)C2=CNC(CN(C)Cc3cccc(-c4ccc5c(c4)OCCOCCOCCOCCOCCO5)n3)=CC2)c1</v>
      </c>
      <c r="C4896" s="7">
        <f>IFERROR(__xludf.DUMMYFUNCTION("""COMPUTED_VALUE"""),7.792707)</f>
        <v>7.792707</v>
      </c>
      <c r="D4896" s="7">
        <f>IFERROR(__xludf.DUMMYFUNCTION("""COMPUTED_VALUE"""),0.275862068965517)</f>
        <v>0.275862069</v>
      </c>
    </row>
    <row r="4897">
      <c r="A4897" s="10" t="s">
        <v>6336</v>
      </c>
      <c r="B4897" s="7" t="str">
        <f>IFERROR(__xludf.DUMMYFUNCTION("SPLIT(A4897,"" "")"),"C#CCN(C)CC1=CCC(N(C)Cc2ccccn2)=CN1")</f>
        <v>C#CCN(C)CC1=CCC(N(C)Cc2ccccn2)=CN1</v>
      </c>
      <c r="C4897" s="7">
        <f>IFERROR(__xludf.DUMMYFUNCTION("""COMPUTED_VALUE"""),7.792706)</f>
        <v>7.792706</v>
      </c>
      <c r="D4897" s="7">
        <f>IFERROR(__xludf.DUMMYFUNCTION("""COMPUTED_VALUE"""),0.396551724137931)</f>
        <v>0.3965517241</v>
      </c>
    </row>
    <row r="4898">
      <c r="A4898" s="10" t="s">
        <v>6337</v>
      </c>
      <c r="B4898" s="7" t="str">
        <f>IFERROR(__xludf.DUMMYFUNCTION("SPLIT(A4898,"" "")"),"Cc1cnc(N(C)C2CCCC(N(C)Cc3ccccn3)C2)c(C)c1")</f>
        <v>Cc1cnc(N(C)C2CCCC(N(C)Cc3ccccn3)C2)c(C)c1</v>
      </c>
      <c r="C4898" s="7">
        <f>IFERROR(__xludf.DUMMYFUNCTION("""COMPUTED_VALUE"""),7.7927055)</f>
        <v>7.7927055</v>
      </c>
      <c r="D4898" s="7">
        <f>IFERROR(__xludf.DUMMYFUNCTION("""COMPUTED_VALUE"""),0.490196078431372)</f>
        <v>0.4901960784</v>
      </c>
    </row>
    <row r="4899">
      <c r="A4899" s="10" t="s">
        <v>6338</v>
      </c>
      <c r="B4899" s="7" t="str">
        <f>IFERROR(__xludf.DUMMYFUNCTION("SPLIT(A4899,"" "")"),"CNCc1cccc(CN(Cc2ccccn2)C2CCC(N(C)Cc3nc(C)c(C)cc3C)CC2)n1")</f>
        <v>CNCc1cccc(CN(Cc2ccccn2)C2CCC(N(C)Cc3nc(C)c(C)cc3C)CC2)n1</v>
      </c>
      <c r="C4899" s="7">
        <f>IFERROR(__xludf.DUMMYFUNCTION("""COMPUTED_VALUE"""),7.792703)</f>
        <v>7.792703</v>
      </c>
      <c r="D4899" s="7">
        <f>IFERROR(__xludf.DUMMYFUNCTION("""COMPUTED_VALUE"""),0.383333333333333)</f>
        <v>0.3833333333</v>
      </c>
    </row>
    <row r="4900">
      <c r="A4900" s="10" t="s">
        <v>6339</v>
      </c>
      <c r="B4900" s="7" t="str">
        <f>IFERROR(__xludf.DUMMYFUNCTION("SPLIT(A4900,"" "")"),"CN(Cc1cccc(-c2ccc3c(c2)OCCOCCOCCOCCOCCO3)n1)C1CCCCC1N(C)c1ccc2cccnc2c1")</f>
        <v>CN(Cc1cccc(-c2ccc3c(c2)OCCOCCOCCOCCOCCO3)n1)C1CCCCC1N(C)c1ccc2cccnc2c1</v>
      </c>
      <c r="C4900" s="7">
        <f>IFERROR(__xludf.DUMMYFUNCTION("""COMPUTED_VALUE"""),7.792698)</f>
        <v>7.792698</v>
      </c>
      <c r="D4900" s="7">
        <f>IFERROR(__xludf.DUMMYFUNCTION("""COMPUTED_VALUE"""),0.38235294117647)</f>
        <v>0.3823529412</v>
      </c>
    </row>
    <row r="4901">
      <c r="A4901" s="10" t="s">
        <v>6340</v>
      </c>
      <c r="B4901" s="7" t="str">
        <f>IFERROR(__xludf.DUMMYFUNCTION("SPLIT(A4901,"" "")"),"CC1=CCC2(N(C)CC3=CCC=CN3)N=CC=CC2(C)C1")</f>
        <v>CC1=CCC2(N(C)CC3=CCC=CN3)N=CC=CC2(C)C1</v>
      </c>
      <c r="C4901" s="7">
        <f>IFERROR(__xludf.DUMMYFUNCTION("""COMPUTED_VALUE"""),7.7926965)</f>
        <v>7.7926965</v>
      </c>
      <c r="D4901" s="7">
        <f>IFERROR(__xludf.DUMMYFUNCTION("""COMPUTED_VALUE"""),0.35)</f>
        <v>0.35</v>
      </c>
    </row>
    <row r="4902">
      <c r="A4902" s="10" t="s">
        <v>6341</v>
      </c>
      <c r="B4902" s="7" t="str">
        <f>IFERROR(__xludf.DUMMYFUNCTION("SPLIT(A4902,"" "")"),"C=CCN(C)CC1=CC(N(C)Cc2ccccn2)C=CN1")</f>
        <v>C=CCN(C)CC1=CC(N(C)Cc2ccccn2)C=CN1</v>
      </c>
      <c r="C4902" s="7">
        <f>IFERROR(__xludf.DUMMYFUNCTION("""COMPUTED_VALUE"""),7.7926965)</f>
        <v>7.7926965</v>
      </c>
      <c r="D4902" s="7">
        <f>IFERROR(__xludf.DUMMYFUNCTION("""COMPUTED_VALUE"""),0.407407407407407)</f>
        <v>0.4074074074</v>
      </c>
    </row>
    <row r="4903">
      <c r="A4903" s="10" t="s">
        <v>6342</v>
      </c>
      <c r="B4903" s="7" t="str">
        <f>IFERROR(__xludf.DUMMYFUNCTION("SPLIT(A4903,"" "")"),"Cc1ccnc(CN(C)c2cncc(CN3CCN(C)CCN(C)CC3)c2)c1C")</f>
        <v>Cc1ccnc(CN(C)c2cncc(CN3CCN(C)CCN(C)CC3)c2)c1C</v>
      </c>
      <c r="C4903" s="7">
        <f>IFERROR(__xludf.DUMMYFUNCTION("""COMPUTED_VALUE"""),7.792686)</f>
        <v>7.792686</v>
      </c>
      <c r="D4903" s="7">
        <f>IFERROR(__xludf.DUMMYFUNCTION("""COMPUTED_VALUE"""),0.4)</f>
        <v>0.4</v>
      </c>
    </row>
    <row r="4904">
      <c r="A4904" s="10" t="s">
        <v>6343</v>
      </c>
      <c r="B4904" s="7" t="str">
        <f>IFERROR(__xludf.DUMMYFUNCTION("SPLIT(A4904,"" "")"),"CC(C)N(C)Cc1cnc2ccc(N(C)C3CCCCC3N(C)Cc3ncccc3-c3ccc4c(c3)OCCOCCOCCOCCOCCO4)cc2c1")</f>
        <v>CC(C)N(C)Cc1cnc2ccc(N(C)C3CCCCC3N(C)Cc3ncccc3-c3ccc4c(c3)OCCOCCOCCOCCOCCO4)cc2c1</v>
      </c>
      <c r="C4904" s="7">
        <f>IFERROR(__xludf.DUMMYFUNCTION("""COMPUTED_VALUE"""),7.7926817)</f>
        <v>7.7926817</v>
      </c>
      <c r="D4904" s="7">
        <f>IFERROR(__xludf.DUMMYFUNCTION("""COMPUTED_VALUE"""),0.3)</f>
        <v>0.3</v>
      </c>
    </row>
    <row r="4905">
      <c r="A4905" s="10" t="s">
        <v>6344</v>
      </c>
      <c r="B4905" s="7" t="str">
        <f>IFERROR(__xludf.DUMMYFUNCTION("SPLIT(A4905,"" "")"),"CN(CCNC1C=CC=CN1)C1CCCCC1N(C)c1cccc2ncccc12")</f>
        <v>CN(CCNC1C=CC=CN1)C1CCCCC1N(C)c1cccc2ncccc12</v>
      </c>
      <c r="C4905" s="7">
        <f>IFERROR(__xludf.DUMMYFUNCTION("""COMPUTED_VALUE"""),7.7926774)</f>
        <v>7.7926774</v>
      </c>
      <c r="D4905" s="7">
        <f>IFERROR(__xludf.DUMMYFUNCTION("""COMPUTED_VALUE"""),0.403225806451612)</f>
        <v>0.4032258065</v>
      </c>
    </row>
    <row r="4906">
      <c r="A4906" s="10" t="s">
        <v>6345</v>
      </c>
      <c r="B4906" s="7" t="str">
        <f>IFERROR(__xludf.DUMMYFUNCTION("SPLIT(A4906,"" "")"),"CC1=CC(C)CC(C)(c2cccc(C3CCC3(C)C)n2)C1")</f>
        <v>CC1=CC(C)CC(C)(c2cccc(C3CCC3(C)C)n2)C1</v>
      </c>
      <c r="C4906" s="7">
        <f>IFERROR(__xludf.DUMMYFUNCTION("""COMPUTED_VALUE"""),7.792634)</f>
        <v>7.792634</v>
      </c>
      <c r="D4906" s="7">
        <f>IFERROR(__xludf.DUMMYFUNCTION("""COMPUTED_VALUE"""),0.218181818181818)</f>
        <v>0.2181818182</v>
      </c>
    </row>
    <row r="4907">
      <c r="A4907" s="10" t="s">
        <v>6346</v>
      </c>
      <c r="B4907" s="7" t="str">
        <f>IFERROR(__xludf.DUMMYFUNCTION("SPLIT(A4907,"" "")"),"CC1=CCCC(C)C12C(C)=CC(C)C(C(C)(C)CN(Cc1ccccn1)Cc1ccccn1)C2N(C)Cc1ccccn1")</f>
        <v>CC1=CCCC(C)C12C(C)=CC(C)C(C(C)(C)CN(Cc1ccccn1)Cc1ccccn1)C2N(C)Cc1ccccn1</v>
      </c>
      <c r="C4907" s="7">
        <f>IFERROR(__xludf.DUMMYFUNCTION("""COMPUTED_VALUE"""),7.7926183)</f>
        <v>7.7926183</v>
      </c>
      <c r="D4907" s="7">
        <f>IFERROR(__xludf.DUMMYFUNCTION("""COMPUTED_VALUE"""),0.387096774193548)</f>
        <v>0.3870967742</v>
      </c>
    </row>
    <row r="4908">
      <c r="A4908" s="10" t="s">
        <v>6347</v>
      </c>
      <c r="B4908" s="7" t="str">
        <f>IFERROR(__xludf.DUMMYFUNCTION("SPLIT(A4908,"" "")"),"CNC1CC(N(Cc2ccccn2)Cc2nc(C)c(C)c(C)c2C)CCC1N(C)Cc1ccccn1")</f>
        <v>CNC1CC(N(Cc2ccccn2)Cc2nc(C)c(C)c(C)c2C)CCC1N(C)Cc1ccccn1</v>
      </c>
      <c r="C4908" s="7">
        <f>IFERROR(__xludf.DUMMYFUNCTION("""COMPUTED_VALUE"""),7.792613)</f>
        <v>7.792613</v>
      </c>
      <c r="D4908" s="7">
        <f>IFERROR(__xludf.DUMMYFUNCTION("""COMPUTED_VALUE"""),0.448275862068965)</f>
        <v>0.4482758621</v>
      </c>
    </row>
    <row r="4909">
      <c r="A4909" s="10" t="s">
        <v>6348</v>
      </c>
      <c r="B4909" s="7" t="str">
        <f>IFERROR(__xludf.DUMMYFUNCTION("SPLIT(A4909,"" "")"),"CNCc1cc(CN(Cc2ccccn2)C2CCCC(N(C)Cc3cc(C)c(C)c(C)n3)C2)ccn1")</f>
        <v>CNCc1cc(CN(Cc2ccccn2)C2CCCC(N(C)Cc3cc(C)c(C)c(C)n3)C2)ccn1</v>
      </c>
      <c r="C4909" s="7">
        <f>IFERROR(__xludf.DUMMYFUNCTION("""COMPUTED_VALUE"""),7.7925963)</f>
        <v>7.7925963</v>
      </c>
      <c r="D4909" s="7">
        <f>IFERROR(__xludf.DUMMYFUNCTION("""COMPUTED_VALUE"""),0.390625)</f>
        <v>0.390625</v>
      </c>
    </row>
    <row r="4910">
      <c r="A4910" s="10" t="s">
        <v>6349</v>
      </c>
      <c r="B4910" s="7" t="str">
        <f>IFERROR(__xludf.DUMMYFUNCTION("SPLIT(A4910,"" "")"),"COC(=O)c1cccc(NCc2cc(CN3CCN(C)CCN(C)CC3)ccn2)n1")</f>
        <v>COC(=O)c1cccc(NCc2cc(CN3CCN(C)CCN(C)CC3)ccn2)n1</v>
      </c>
      <c r="C4910" s="7">
        <f>IFERROR(__xludf.DUMMYFUNCTION("""COMPUTED_VALUE"""),7.7925897)</f>
        <v>7.7925897</v>
      </c>
      <c r="D4910" s="7">
        <f>IFERROR(__xludf.DUMMYFUNCTION("""COMPUTED_VALUE"""),0.444444444444444)</f>
        <v>0.4444444444</v>
      </c>
    </row>
    <row r="4911">
      <c r="A4911" s="10" t="s">
        <v>6350</v>
      </c>
      <c r="B4911" s="7" t="str">
        <f>IFERROR(__xludf.DUMMYFUNCTION("SPLIT(A4911,"" "")"),"CNCc1ccc(CN(Cc2ccccn2)C2CCC(N(C)Cc3nc(C)c(C)cc3C)CC2)cn1")</f>
        <v>CNCc1ccc(CN(Cc2ccccn2)C2CCC(N(C)Cc3nc(C)c(C)cc3C)CC2)cn1</v>
      </c>
      <c r="C4911" s="7">
        <f>IFERROR(__xludf.DUMMYFUNCTION("""COMPUTED_VALUE"""),7.792589)</f>
        <v>7.792589</v>
      </c>
      <c r="D4911" s="7">
        <f>IFERROR(__xludf.DUMMYFUNCTION("""COMPUTED_VALUE"""),0.353846153846153)</f>
        <v>0.3538461538</v>
      </c>
    </row>
    <row r="4912">
      <c r="A4912" s="10" t="s">
        <v>6351</v>
      </c>
      <c r="B4912" s="7" t="str">
        <f>IFERROR(__xludf.DUMMYFUNCTION("SPLIT(A4912,"" "")"),"Cc1ccccc1N(C)CCN(C)CC(C)(C)C")</f>
        <v>Cc1ccccc1N(C)CCN(C)CC(C)(C)C</v>
      </c>
      <c r="C4912" s="7">
        <f>IFERROR(__xludf.DUMMYFUNCTION("""COMPUTED_VALUE"""),7.792586)</f>
        <v>7.792586</v>
      </c>
      <c r="D4912" s="7">
        <f>IFERROR(__xludf.DUMMYFUNCTION("""COMPUTED_VALUE"""),0.333333333333333)</f>
        <v>0.3333333333</v>
      </c>
    </row>
    <row r="4913">
      <c r="A4913" s="10" t="s">
        <v>6352</v>
      </c>
      <c r="B4913" s="7" t="str">
        <f>IFERROR(__xludf.DUMMYFUNCTION("SPLIT(A4913,"" "")"),"CN(CNCF)C1CCCCC1N(C)c1ccc2nccc(CF)c2c1")</f>
        <v>CN(CNCF)C1CCCCC1N(C)c1ccc2nccc(CF)c2c1</v>
      </c>
      <c r="C4913" s="7">
        <f>IFERROR(__xludf.DUMMYFUNCTION("""COMPUTED_VALUE"""),7.7925744)</f>
        <v>7.7925744</v>
      </c>
      <c r="D4913" s="7">
        <f>IFERROR(__xludf.DUMMYFUNCTION("""COMPUTED_VALUE"""),0.323076923076923)</f>
        <v>0.3230769231</v>
      </c>
    </row>
    <row r="4914">
      <c r="A4914" s="10" t="s">
        <v>6353</v>
      </c>
      <c r="B4914" s="7" t="str">
        <f>IFERROR(__xludf.DUMMYFUNCTION("SPLIT(A4914,"" "")"),"CCN(Cc1ccccn1)Cc1cccc(C2CC(C)C2Cl)n1")</f>
        <v>CCN(Cc1ccccn1)Cc1cccc(C2CC(C)C2Cl)n1</v>
      </c>
      <c r="C4914" s="7">
        <f>IFERROR(__xludf.DUMMYFUNCTION("""COMPUTED_VALUE"""),7.7925706)</f>
        <v>7.7925706</v>
      </c>
      <c r="D4914" s="7">
        <f>IFERROR(__xludf.DUMMYFUNCTION("""COMPUTED_VALUE"""),0.422222222222222)</f>
        <v>0.4222222222</v>
      </c>
    </row>
    <row r="4915">
      <c r="A4915" s="10" t="s">
        <v>6354</v>
      </c>
      <c r="B4915" s="7" t="str">
        <f>IFERROR(__xludf.DUMMYFUNCTION("SPLIT(A4915,"" "")"),"Cc1cc(C)c(C)c(CN(C)C2CCC(N(Cc3ccccn3)Cc3ccccn3)CC2)n1")</f>
        <v>Cc1cc(C)c(C)c(CN(C)C2CCC(N(Cc3ccccn3)Cc3ccccn3)CC2)n1</v>
      </c>
      <c r="C4915" s="7">
        <f>IFERROR(__xludf.DUMMYFUNCTION("""COMPUTED_VALUE"""),7.792559)</f>
        <v>7.792559</v>
      </c>
      <c r="D4915" s="7">
        <f>IFERROR(__xludf.DUMMYFUNCTION("""COMPUTED_VALUE"""),0.442307692307692)</f>
        <v>0.4423076923</v>
      </c>
    </row>
    <row r="4916">
      <c r="A4916" s="10" t="s">
        <v>6355</v>
      </c>
      <c r="B4916" s="7" t="str">
        <f>IFERROR(__xludf.DUMMYFUNCTION("SPLIT(A4916,"" "")"),"CNCc1nc(C)c(CN(Cc2ccccn2)C2CCC(N(C)Cc3cccnn3)CC2)c(C)c1C")</f>
        <v>CNCc1nc(C)c(CN(Cc2ccccn2)C2CCC(N(C)Cc3cccnn3)CC2)c(C)c1C</v>
      </c>
      <c r="C4916" s="7">
        <f>IFERROR(__xludf.DUMMYFUNCTION("""COMPUTED_VALUE"""),7.7925563)</f>
        <v>7.7925563</v>
      </c>
      <c r="D4916" s="7">
        <f>IFERROR(__xludf.DUMMYFUNCTION("""COMPUTED_VALUE"""),0.393442622950819)</f>
        <v>0.393442623</v>
      </c>
    </row>
    <row r="4917">
      <c r="A4917" s="10" t="s">
        <v>6356</v>
      </c>
      <c r="B4917" s="7" t="str">
        <f>IFERROR(__xludf.DUMMYFUNCTION("SPLIT(A4917,"" "")"),"C1=CNC(N(Cc2ccccn2)Cc2cccc(-c3ccc4c(c3)OCCOCCOCCOCCOCCO4)n2)=CC1")</f>
        <v>C1=CNC(N(Cc2ccccn2)Cc2cccc(-c3ccc4c(c3)OCCOCCOCCOCCOCCO4)n2)=CC1</v>
      </c>
      <c r="C4917" s="7">
        <f>IFERROR(__xludf.DUMMYFUNCTION("""COMPUTED_VALUE"""),7.792549)</f>
        <v>7.792549</v>
      </c>
      <c r="D4917" s="7">
        <f>IFERROR(__xludf.DUMMYFUNCTION("""COMPUTED_VALUE"""),0.409090909090909)</f>
        <v>0.4090909091</v>
      </c>
    </row>
    <row r="4918">
      <c r="A4918" s="10" t="s">
        <v>6357</v>
      </c>
      <c r="B4918" s="7" t="str">
        <f>IFERROR(__xludf.DUMMYFUNCTION("SPLIT(A4918,"" "")"),"Cc1cccc(CN(C)C2CCC(N(Cc3ccccn3)Cc3ccc(C)c(C)n3)CC2)n1")</f>
        <v>Cc1cccc(CN(C)C2CCC(N(Cc3ccccn3)Cc3ccc(C)c(C)n3)CC2)n1</v>
      </c>
      <c r="C4918" s="7">
        <f>IFERROR(__xludf.DUMMYFUNCTION("""COMPUTED_VALUE"""),7.7925487)</f>
        <v>7.7925487</v>
      </c>
      <c r="D4918" s="7">
        <f>IFERROR(__xludf.DUMMYFUNCTION("""COMPUTED_VALUE"""),0.471698113207547)</f>
        <v>0.4716981132</v>
      </c>
    </row>
    <row r="4919">
      <c r="A4919" s="10" t="s">
        <v>6358</v>
      </c>
      <c r="B4919" s="7" t="str">
        <f>IFERROR(__xludf.DUMMYFUNCTION("SPLIT(A4919,"" "")"),"CC1=C(C)CC(C)C(C)C1")</f>
        <v>CC1=C(C)CC(C)C(C)C1</v>
      </c>
      <c r="C4919" s="7">
        <f>IFERROR(__xludf.DUMMYFUNCTION("""COMPUTED_VALUE"""),7.792546)</f>
        <v>7.792546</v>
      </c>
      <c r="D4919" s="7">
        <f>IFERROR(__xludf.DUMMYFUNCTION("""COMPUTED_VALUE"""),0.15)</f>
        <v>0.15</v>
      </c>
    </row>
    <row r="4920">
      <c r="A4920" s="10" t="s">
        <v>6359</v>
      </c>
      <c r="B4920" s="7" t="str">
        <f>IFERROR(__xludf.DUMMYFUNCTION("SPLIT(A4920,"" "")"),"CC(C)C(C)CN(Cc1ccccn1)Cc1ccc(C(C)(C)C)cn1")</f>
        <v>CC(C)C(C)CN(Cc1ccccn1)Cc1ccc(C(C)(C)C)cn1</v>
      </c>
      <c r="C4920" s="7">
        <f>IFERROR(__xludf.DUMMYFUNCTION("""COMPUTED_VALUE"""),7.792543)</f>
        <v>7.792543</v>
      </c>
      <c r="D4920" s="7">
        <f>IFERROR(__xludf.DUMMYFUNCTION("""COMPUTED_VALUE"""),0.468085106382978)</f>
        <v>0.4680851064</v>
      </c>
    </row>
    <row r="4921">
      <c r="A4921" s="10" t="s">
        <v>6360</v>
      </c>
      <c r="B4921" s="7" t="str">
        <f>IFERROR(__xludf.DUMMYFUNCTION("SPLIT(A4921,"" "")"),"Cc1cc(N(C)C2CCCC(N(C)Cc3ccccn3)C2)cc(C)c1N")</f>
        <v>Cc1cc(N(C)C2CCCC(N(C)Cc3ccccn3)C2)cc(C)c1N</v>
      </c>
      <c r="C4921" s="7">
        <f>IFERROR(__xludf.DUMMYFUNCTION("""COMPUTED_VALUE"""),7.792541)</f>
        <v>7.792541</v>
      </c>
      <c r="D4921" s="7">
        <f>IFERROR(__xludf.DUMMYFUNCTION("""COMPUTED_VALUE"""),0.5)</f>
        <v>0.5</v>
      </c>
    </row>
    <row r="4922">
      <c r="A4922" s="10" t="s">
        <v>6361</v>
      </c>
      <c r="B4922" s="7" t="str">
        <f>IFERROR(__xludf.DUMMYFUNCTION("SPLIT(A4922,"" "")"),"Cc1cnc(CN(C)C2CCC(N(Cc3ccccn3)Cc3cccnc3F)CC2)c(C)c1C")</f>
        <v>Cc1cnc(CN(C)C2CCC(N(Cc3ccccn3)Cc3cccnc3F)CC2)c(C)c1C</v>
      </c>
      <c r="C4922" s="7">
        <f>IFERROR(__xludf.DUMMYFUNCTION("""COMPUTED_VALUE"""),7.7925367)</f>
        <v>7.7925367</v>
      </c>
      <c r="D4922" s="7">
        <f>IFERROR(__xludf.DUMMYFUNCTION("""COMPUTED_VALUE"""),0.396551724137931)</f>
        <v>0.3965517241</v>
      </c>
    </row>
    <row r="4923">
      <c r="A4923" s="10" t="s">
        <v>6362</v>
      </c>
      <c r="B4923" s="7" t="str">
        <f>IFERROR(__xludf.DUMMYFUNCTION("SPLIT(A4923,"" "")"),"CN1CCN(C)CCN(Cc2cccnc2-c2ccc(N)c(F)c2)CC1")</f>
        <v>CN1CCN(C)CCN(Cc2cccnc2-c2ccc(N)c(F)c2)CC1</v>
      </c>
      <c r="C4923" s="7">
        <f>IFERROR(__xludf.DUMMYFUNCTION("""COMPUTED_VALUE"""),7.792536)</f>
        <v>7.792536</v>
      </c>
      <c r="D4923" s="7">
        <f>IFERROR(__xludf.DUMMYFUNCTION("""COMPUTED_VALUE"""),0.42)</f>
        <v>0.42</v>
      </c>
    </row>
    <row r="4924">
      <c r="A4924" s="10" t="s">
        <v>6363</v>
      </c>
      <c r="B4924" s="7" t="str">
        <f>IFERROR(__xludf.DUMMYFUNCTION("SPLIT(A4924,"" "")"),"CN(Cc1ncccc1-c1cccc2c1OCCOCCOCCOCCOCCO2)C1CCCCC1N(C)c1ccc2cccnc2c1")</f>
        <v>CN(Cc1ncccc1-c1cccc2c1OCCOCCOCCOCCOCCO2)C1CCCCC1N(C)c1ccc2cccnc2c1</v>
      </c>
      <c r="C4924" s="7">
        <f>IFERROR(__xludf.DUMMYFUNCTION("""COMPUTED_VALUE"""),7.792532)</f>
        <v>7.792532</v>
      </c>
      <c r="D4924" s="7">
        <f>IFERROR(__xludf.DUMMYFUNCTION("""COMPUTED_VALUE"""),0.36231884057971)</f>
        <v>0.3623188406</v>
      </c>
    </row>
    <row r="4925">
      <c r="A4925" s="10" t="s">
        <v>6364</v>
      </c>
      <c r="B4925" s="7" t="str">
        <f>IFERROR(__xludf.DUMMYFUNCTION("SPLIT(A4925,"" "")"),"COC(=O)C1CC(c2ccccn2)C(c2cccc(CN3CCN(C)CCN(C)CC3)n2)N(C)C1c1ccccn1")</f>
        <v>COC(=O)C1CC(c2ccccn2)C(c2cccc(CN3CCN(C)CCN(C)CC3)n2)N(C)C1c1ccccn1</v>
      </c>
      <c r="C4925" s="7">
        <f>IFERROR(__xludf.DUMMYFUNCTION("""COMPUTED_VALUE"""),7.792521)</f>
        <v>7.792521</v>
      </c>
      <c r="D4925" s="7">
        <f>IFERROR(__xludf.DUMMYFUNCTION("""COMPUTED_VALUE"""),0.440677966101694)</f>
        <v>0.4406779661</v>
      </c>
    </row>
    <row r="4926">
      <c r="A4926" s="10" t="s">
        <v>6365</v>
      </c>
      <c r="B4926" s="7" t="str">
        <f>IFERROR(__xludf.DUMMYFUNCTION("SPLIT(A4926,"" "")"),"CCCN(C)C1CC(N(C)Cc2ncccc2C)CC(N(Cc2ncccc2C)Cc2ncc(C)c(C)c2C)C1")</f>
        <v>CCCN(C)C1CC(N(C)Cc2ncccc2C)CC(N(Cc2ncccc2C)Cc2ncc(C)c(C)c2C)C1</v>
      </c>
      <c r="C4926" s="7">
        <f>IFERROR(__xludf.DUMMYFUNCTION("""COMPUTED_VALUE"""),7.7925177)</f>
        <v>7.7925177</v>
      </c>
      <c r="D4926" s="7">
        <f>IFERROR(__xludf.DUMMYFUNCTION("""COMPUTED_VALUE"""),0.278688524590163)</f>
        <v>0.2786885246</v>
      </c>
    </row>
    <row r="4927">
      <c r="A4927" s="10" t="s">
        <v>6366</v>
      </c>
      <c r="B4927" s="7" t="str">
        <f>IFERROR(__xludf.DUMMYFUNCTION("SPLIT(A4927,"" "")"),"CN(Cc1cccc(-c2ccc3c(c2)OCCOCCOCCOCCOCCO3)n1)C1CCCCC1N(C)c1ccc2ncccc2c1")</f>
        <v>CN(Cc1cccc(-c2ccc3c(c2)OCCOCCOCCOCCOCCO3)n1)C1CCCCC1N(C)c1ccc2ncccc2c1</v>
      </c>
      <c r="C4927" s="7">
        <f>IFERROR(__xludf.DUMMYFUNCTION("""COMPUTED_VALUE"""),7.792516)</f>
        <v>7.792516</v>
      </c>
      <c r="D4927" s="7">
        <f>IFERROR(__xludf.DUMMYFUNCTION("""COMPUTED_VALUE"""),0.388059701492537)</f>
        <v>0.3880597015</v>
      </c>
    </row>
    <row r="4928">
      <c r="A4928" s="10" t="s">
        <v>6367</v>
      </c>
      <c r="B4928" s="7" t="str">
        <f>IFERROR(__xludf.DUMMYFUNCTION("SPLIT(A4928,"" "")"),"Cc1cccc(CN(CCN(C)C(C)C)Cc2ncccc2C)n1")</f>
        <v>Cc1cccc(CN(CCN(C)C(C)C)Cc2ncccc2C)n1</v>
      </c>
      <c r="C4928" s="7">
        <f>IFERROR(__xludf.DUMMYFUNCTION("""COMPUTED_VALUE"""),7.7925158)</f>
        <v>7.7925158</v>
      </c>
      <c r="D4928" s="7">
        <f>IFERROR(__xludf.DUMMYFUNCTION("""COMPUTED_VALUE"""),0.446808510638297)</f>
        <v>0.4468085106</v>
      </c>
    </row>
    <row r="4929">
      <c r="A4929" s="10" t="s">
        <v>6368</v>
      </c>
      <c r="B4929" s="7" t="str">
        <f>IFERROR(__xludf.DUMMYFUNCTION("SPLIT(A4929,"" "")"),"CCCN(Cc1ccccn1)C1CCC(N(C)Cc2ncccc2C)CC1N(Cc1ncccc1C)Cc1ncccc1C")</f>
        <v>CCCN(Cc1ccccn1)C1CCC(N(C)Cc2ncccc2C)CC1N(Cc1ncccc1C)Cc1ncccc1C</v>
      </c>
      <c r="C4929" s="7">
        <f>IFERROR(__xludf.DUMMYFUNCTION("""COMPUTED_VALUE"""),7.7925153)</f>
        <v>7.7925153</v>
      </c>
      <c r="D4929" s="7">
        <f>IFERROR(__xludf.DUMMYFUNCTION("""COMPUTED_VALUE"""),0.413793103448275)</f>
        <v>0.4137931034</v>
      </c>
    </row>
    <row r="4930">
      <c r="A4930" s="10" t="s">
        <v>6369</v>
      </c>
      <c r="B4930" s="7" t="str">
        <f>IFERROR(__xludf.DUMMYFUNCTION("SPLIT(A4930,"" "")"),"CN(Cc1cc(-c2cccc3c2OCCOCCOCCOCCOCCO3)ccn1)C1CCCCC1N(C)c1ccc2ncccc2c1")</f>
        <v>CN(Cc1cc(-c2cccc3c2OCCOCCOCCOCCOCCO3)ccn1)C1CCCCC1N(C)c1ccc2ncccc2c1</v>
      </c>
      <c r="C4930" s="7">
        <f>IFERROR(__xludf.DUMMYFUNCTION("""COMPUTED_VALUE"""),7.792509)</f>
        <v>7.792509</v>
      </c>
      <c r="D4930" s="7">
        <f>IFERROR(__xludf.DUMMYFUNCTION("""COMPUTED_VALUE"""),0.376811594202898)</f>
        <v>0.3768115942</v>
      </c>
    </row>
    <row r="4931">
      <c r="A4931" s="10" t="s">
        <v>6370</v>
      </c>
      <c r="B4931" s="7" t="str">
        <f>IFERROR(__xludf.DUMMYFUNCTION("SPLIT(A4931,"" "")"),"Nc1cccnc1CN(Cc1cccc(F)n1)Cc1cccc(-c2cccc3c2OCCOCCOCCOCCOCCO3)n1")</f>
        <v>Nc1cccnc1CN(Cc1cccc(F)n1)Cc1cccc(-c2cccc3c2OCCOCCOCCOCCOCCO3)n1</v>
      </c>
      <c r="C4931" s="7">
        <f>IFERROR(__xludf.DUMMYFUNCTION("""COMPUTED_VALUE"""),7.7925043)</f>
        <v>7.7925043</v>
      </c>
      <c r="D4931" s="7">
        <f>IFERROR(__xludf.DUMMYFUNCTION("""COMPUTED_VALUE"""),0.307692307692307)</f>
        <v>0.3076923077</v>
      </c>
    </row>
    <row r="4932">
      <c r="A4932" s="10" t="s">
        <v>6371</v>
      </c>
      <c r="B4932" s="7" t="str">
        <f>IFERROR(__xludf.DUMMYFUNCTION("SPLIT(A4932,"" "")"),"Cc1cc(CN(C)C2CCC(N(Cc3ccccn3)Cc3ncccc3C)CC2)cnc1C")</f>
        <v>Cc1cc(CN(C)C2CCC(N(Cc3ccccn3)Cc3ncccc3C)CC2)cnc1C</v>
      </c>
      <c r="C4932" s="7">
        <f>IFERROR(__xludf.DUMMYFUNCTION("""COMPUTED_VALUE"""),7.7924924)</f>
        <v>7.7924924</v>
      </c>
      <c r="D4932" s="7">
        <f>IFERROR(__xludf.DUMMYFUNCTION("""COMPUTED_VALUE"""),0.396551724137931)</f>
        <v>0.3965517241</v>
      </c>
    </row>
    <row r="4933">
      <c r="A4933" s="10" t="s">
        <v>6372</v>
      </c>
      <c r="B4933" s="7" t="str">
        <f>IFERROR(__xludf.DUMMYFUNCTION("SPLIT(A4933,"" "")"),"Cc1ccccn1")</f>
        <v>Cc1ccccn1</v>
      </c>
      <c r="C4933" s="7">
        <f>IFERROR(__xludf.DUMMYFUNCTION("""COMPUTED_VALUE"""),7.792488)</f>
        <v>7.792488</v>
      </c>
      <c r="D4933" s="7">
        <f>IFERROR(__xludf.DUMMYFUNCTION("""COMPUTED_VALUE"""),0.384615384615384)</f>
        <v>0.3846153846</v>
      </c>
    </row>
    <row r="4934">
      <c r="A4934" s="10" t="s">
        <v>6373</v>
      </c>
      <c r="B4934" s="7" t="str">
        <f>IFERROR(__xludf.DUMMYFUNCTION("SPLIT(A4934,"" "")"),"CNC1NC=CC=C1N(C)C1CCCCC1N(Cc1ccccn1)c1ccccc1F")</f>
        <v>CNC1NC=CC=C1N(C)C1CCCCC1N(Cc1ccccn1)c1ccccc1F</v>
      </c>
      <c r="C4934" s="7">
        <f>IFERROR(__xludf.DUMMYFUNCTION("""COMPUTED_VALUE"""),7.792487)</f>
        <v>7.792487</v>
      </c>
      <c r="D4934" s="7">
        <f>IFERROR(__xludf.DUMMYFUNCTION("""COMPUTED_VALUE"""),0.442622950819672)</f>
        <v>0.4426229508</v>
      </c>
    </row>
    <row r="4935">
      <c r="A4935" s="10" t="s">
        <v>6374</v>
      </c>
      <c r="B4935" s="7" t="str">
        <f>IFERROR(__xludf.DUMMYFUNCTION("SPLIT(A4935,"" "")"),"CCCN(C)CC1=CC(N(C)Cc2cccc(C)n2)C=CN1")</f>
        <v>CCCN(C)CC1=CC(N(C)Cc2cccc(C)n2)C=CN1</v>
      </c>
      <c r="C4935" s="7">
        <f>IFERROR(__xludf.DUMMYFUNCTION("""COMPUTED_VALUE"""),7.7924833)</f>
        <v>7.7924833</v>
      </c>
      <c r="D4935" s="7">
        <f>IFERROR(__xludf.DUMMYFUNCTION("""COMPUTED_VALUE"""),0.489361702127659)</f>
        <v>0.4893617021</v>
      </c>
    </row>
    <row r="4936">
      <c r="A4936" s="10" t="s">
        <v>6375</v>
      </c>
      <c r="B4936" s="7" t="str">
        <f>IFERROR(__xludf.DUMMYFUNCTION("SPLIT(A4936,"" "")"),"Cc1cccnc1CN(Cc1ccccn1)C1CCC(N(C)c2cccnc2CN(C)C(C)C)CC1")</f>
        <v>Cc1cccnc1CN(Cc1ccccn1)C1CCC(N(C)c2cccnc2CN(C)C(C)C)CC1</v>
      </c>
      <c r="C4936" s="7">
        <f>IFERROR(__xludf.DUMMYFUNCTION("""COMPUTED_VALUE"""),7.792459)</f>
        <v>7.792459</v>
      </c>
      <c r="D4936" s="7">
        <f>IFERROR(__xludf.DUMMYFUNCTION("""COMPUTED_VALUE"""),0.372881355932203)</f>
        <v>0.3728813559</v>
      </c>
    </row>
    <row r="4937">
      <c r="A4937" s="10" t="s">
        <v>6376</v>
      </c>
      <c r="B4937" s="7" t="str">
        <f>IFERROR(__xludf.DUMMYFUNCTION("SPLIT(A4937,"" "")"),"Cc1ccc(CN(C)C2CCCC(N(C)CC3=CCC(N(C)Cc4ccccn4)=CN3)C2)nc1C")</f>
        <v>Cc1ccc(CN(C)C2CCCC(N(C)CC3=CCC(N(C)Cc4ccccn4)=CN3)C2)nc1C</v>
      </c>
      <c r="C4937" s="7">
        <f>IFERROR(__xludf.DUMMYFUNCTION("""COMPUTED_VALUE"""),7.79245)</f>
        <v>7.79245</v>
      </c>
      <c r="D4937" s="7">
        <f>IFERROR(__xludf.DUMMYFUNCTION("""COMPUTED_VALUE"""),0.403225806451612)</f>
        <v>0.4032258065</v>
      </c>
    </row>
    <row r="4938">
      <c r="A4938" s="10" t="s">
        <v>6377</v>
      </c>
      <c r="B4938" s="7" t="str">
        <f>IFERROR(__xludf.DUMMYFUNCTION("SPLIT(A4938,"" "")"),"CC1C=CC(C(C)(C)c2ncccc2CN(C)Cc2ccccn2)C(N(C)Cc2ccccn2)C1C")</f>
        <v>CC1C=CC(C(C)(C)c2ncccc2CN(C)Cc2ccccn2)C(N(C)Cc2ccccn2)C1C</v>
      </c>
      <c r="C4938" s="7">
        <f>IFERROR(__xludf.DUMMYFUNCTION("""COMPUTED_VALUE"""),7.792448)</f>
        <v>7.792448</v>
      </c>
      <c r="D4938" s="7">
        <f>IFERROR(__xludf.DUMMYFUNCTION("""COMPUTED_VALUE"""),0.379310344827586)</f>
        <v>0.3793103448</v>
      </c>
    </row>
    <row r="4939">
      <c r="A4939" s="10" t="s">
        <v>6378</v>
      </c>
      <c r="B4939" s="7" t="str">
        <f>IFERROR(__xludf.DUMMYFUNCTION("SPLIT(A4939,"" "")"),"Cc1cc(C)c(CN(C)C2CCC(N(Cc3ccccn3)Cc3ncccc3C)CC2)cn1")</f>
        <v>Cc1cc(C)c(CN(C)C2CCC(N(Cc3ccccn3)Cc3ncccc3C)CC2)cn1</v>
      </c>
      <c r="C4939" s="7">
        <f>IFERROR(__xludf.DUMMYFUNCTION("""COMPUTED_VALUE"""),7.7924457)</f>
        <v>7.7924457</v>
      </c>
      <c r="D4939" s="7">
        <f>IFERROR(__xludf.DUMMYFUNCTION("""COMPUTED_VALUE"""),0.396551724137931)</f>
        <v>0.3965517241</v>
      </c>
    </row>
    <row r="4940">
      <c r="A4940" s="10" t="s">
        <v>6379</v>
      </c>
      <c r="B4940" s="7" t="str">
        <f>IFERROR(__xludf.DUMMYFUNCTION("SPLIT(A4940,"" "")"),"Cc1cnc(CN(Cc2ccccn2)C2CCC(N(C)Cc3cccc(C)n3)CC2)c(C)c1")</f>
        <v>Cc1cnc(CN(Cc2ccccn2)C2CCC(N(C)Cc3cccc(C)n3)CC2)c(C)c1</v>
      </c>
      <c r="C4940" s="7">
        <f>IFERROR(__xludf.DUMMYFUNCTION("""COMPUTED_VALUE"""),7.7924385)</f>
        <v>7.7924385</v>
      </c>
      <c r="D4940" s="7">
        <f>IFERROR(__xludf.DUMMYFUNCTION("""COMPUTED_VALUE"""),0.43103448275862)</f>
        <v>0.4310344828</v>
      </c>
    </row>
    <row r="4941">
      <c r="A4941" s="10" t="s">
        <v>6380</v>
      </c>
      <c r="B4941" s="7" t="str">
        <f>IFERROR(__xludf.DUMMYFUNCTION("SPLIT(A4941,"" "")"),"CN1CCN(C)CCN(C(C)(C)c2cnccc2CN(C)C2CCCCC2N(C)c2cccc3nc(CF)ccc23)CC1")</f>
        <v>CN1CCN(C)CCN(C(C)(C)c2cnccc2CN(C)C2CCCCC2N(C)c2cccc3nc(CF)ccc23)CC1</v>
      </c>
      <c r="C4941" s="7">
        <f>IFERROR(__xludf.DUMMYFUNCTION("""COMPUTED_VALUE"""),7.7924385)</f>
        <v>7.7924385</v>
      </c>
      <c r="D4941" s="7">
        <f>IFERROR(__xludf.DUMMYFUNCTION("""COMPUTED_VALUE"""),0.436619718309859)</f>
        <v>0.4366197183</v>
      </c>
    </row>
    <row r="4942">
      <c r="A4942" s="10" t="s">
        <v>6381</v>
      </c>
      <c r="B4942" s="7" t="str">
        <f>IFERROR(__xludf.DUMMYFUNCTION("SPLIT(A4942,"" "")"),"CC1=C(N(C)Cc2ccccn2)CC(C)C(C)(C)C1C")</f>
        <v>CC1=C(N(C)Cc2ccccn2)CC(C)C(C)(C)C1C</v>
      </c>
      <c r="C4942" s="7">
        <f>IFERROR(__xludf.DUMMYFUNCTION("""COMPUTED_VALUE"""),7.7924376)</f>
        <v>7.7924376</v>
      </c>
      <c r="D4942" s="7">
        <f>IFERROR(__xludf.DUMMYFUNCTION("""COMPUTED_VALUE"""),0.458333333333333)</f>
        <v>0.4583333333</v>
      </c>
    </row>
    <row r="4943">
      <c r="A4943" s="10" t="s">
        <v>6382</v>
      </c>
      <c r="B4943" s="7" t="str">
        <f>IFERROR(__xludf.DUMMYFUNCTION("SPLIT(A4943,"" "")"),"Cc1ccccc1N")</f>
        <v>Cc1ccccc1N</v>
      </c>
      <c r="C4943" s="7">
        <f>IFERROR(__xludf.DUMMYFUNCTION("""COMPUTED_VALUE"""),7.792435)</f>
        <v>7.792435</v>
      </c>
      <c r="D4943" s="7">
        <f>IFERROR(__xludf.DUMMYFUNCTION("""COMPUTED_VALUE"""),0.368421052631578)</f>
        <v>0.3684210526</v>
      </c>
    </row>
    <row r="4944">
      <c r="A4944" s="10" t="s">
        <v>6383</v>
      </c>
      <c r="B4944" s="7" t="str">
        <f>IFERROR(__xludf.DUMMYFUNCTION("SPLIT(A4944,"" "")"),"Cc1cccnc1CN(CCN(C)C(C)C)Cc1ncccc1C")</f>
        <v>Cc1cccnc1CN(CCN(C)C(C)C)Cc1ncccc1C</v>
      </c>
      <c r="C4944" s="7">
        <f>IFERROR(__xludf.DUMMYFUNCTION("""COMPUTED_VALUE"""),7.7924166)</f>
        <v>7.7924166</v>
      </c>
      <c r="D4944" s="7">
        <f>IFERROR(__xludf.DUMMYFUNCTION("""COMPUTED_VALUE"""),0.395348837209302)</f>
        <v>0.3953488372</v>
      </c>
    </row>
    <row r="4945">
      <c r="A4945" s="10" t="s">
        <v>6384</v>
      </c>
      <c r="B4945" s="7" t="str">
        <f>IFERROR(__xludf.DUMMYFUNCTION("SPLIT(A4945,"" "")"),"CCN(Cc1cccc(CN(Cc2ccccn2)C2CCC(N(C)Cc3nc(C)c(C)c(C)c3C)CC2)n1)C(C)C")</f>
        <v>CCN(Cc1cccc(CN(Cc2ccccn2)C2CCC(N(C)Cc3nc(C)c(C)c(C)c3C)CC2)n1)C(C)C</v>
      </c>
      <c r="C4945" s="7">
        <f>IFERROR(__xludf.DUMMYFUNCTION("""COMPUTED_VALUE"""),7.7924156)</f>
        <v>7.7924156</v>
      </c>
      <c r="D4945" s="7">
        <f>IFERROR(__xludf.DUMMYFUNCTION("""COMPUTED_VALUE"""),0.413793103448275)</f>
        <v>0.4137931034</v>
      </c>
    </row>
    <row r="4946">
      <c r="A4946" s="10" t="s">
        <v>6385</v>
      </c>
      <c r="B4946" s="7" t="str">
        <f>IFERROR(__xludf.DUMMYFUNCTION("SPLIT(A4946,"" "")"),"CC1C=CC(N)C(C)C1C(C)(C)CN(Cc1ccccn1)C1CCC(N(C)c2ccc3nc(CN(C)C)ccc3c2)CC1")</f>
        <v>CC1C=CC(N)C(C)C1C(C)(C)CN(Cc1ccccn1)C1CCC(N(C)c2ccc3nc(CN(C)C)ccc3c2)CC1</v>
      </c>
      <c r="C4946" s="7">
        <f>IFERROR(__xludf.DUMMYFUNCTION("""COMPUTED_VALUE"""),7.792413)</f>
        <v>7.792413</v>
      </c>
      <c r="D4946" s="7">
        <f>IFERROR(__xludf.DUMMYFUNCTION("""COMPUTED_VALUE"""),0.328767123287671)</f>
        <v>0.3287671233</v>
      </c>
    </row>
    <row r="4947">
      <c r="A4947" s="10" t="s">
        <v>6386</v>
      </c>
      <c r="B4947" s="7" t="str">
        <f>IFERROR(__xludf.DUMMYFUNCTION("SPLIT(A4947,"" "")"),"CNCC1C(N(C)Cc2nc(C)c(C)c(C)c2C)CCN1C")</f>
        <v>CNCC1C(N(C)Cc2nc(C)c(C)c(C)c2C)CCN1C</v>
      </c>
      <c r="C4947" s="7">
        <f>IFERROR(__xludf.DUMMYFUNCTION("""COMPUTED_VALUE"""),7.792412)</f>
        <v>7.792412</v>
      </c>
      <c r="D4947" s="7">
        <f>IFERROR(__xludf.DUMMYFUNCTION("""COMPUTED_VALUE"""),0.263157894736842)</f>
        <v>0.2631578947</v>
      </c>
    </row>
    <row r="4948">
      <c r="A4948" s="10" t="s">
        <v>6387</v>
      </c>
      <c r="B4948" s="7" t="str">
        <f>IFERROR(__xludf.DUMMYFUNCTION("SPLIT(A4948,"" "")"),"Cc1ccc(CNCCN(C)Cc2ccccn2)cn1")</f>
        <v>Cc1ccc(CNCCN(C)Cc2ccccn2)cn1</v>
      </c>
      <c r="C4948" s="7">
        <f>IFERROR(__xludf.DUMMYFUNCTION("""COMPUTED_VALUE"""),7.79239)</f>
        <v>7.79239</v>
      </c>
      <c r="D4948" s="7">
        <f>IFERROR(__xludf.DUMMYFUNCTION("""COMPUTED_VALUE"""),0.446428571428571)</f>
        <v>0.4464285714</v>
      </c>
    </row>
    <row r="4949">
      <c r="A4949" s="10" t="s">
        <v>6388</v>
      </c>
      <c r="B4949" s="7" t="str">
        <f>IFERROR(__xludf.DUMMYFUNCTION("SPLIT(A4949,"" "")"),"Cc1cccc(N)c1CN(C)CC1=CC(N(C)C(C)C)C=CN1")</f>
        <v>Cc1cccc(N)c1CN(C)CC1=CC(N(C)C(C)C)C=CN1</v>
      </c>
      <c r="C4949" s="7">
        <f>IFERROR(__xludf.DUMMYFUNCTION("""COMPUTED_VALUE"""),7.7923856)</f>
        <v>7.7923856</v>
      </c>
      <c r="D4949" s="7">
        <f>IFERROR(__xludf.DUMMYFUNCTION("""COMPUTED_VALUE"""),0.316666666666666)</f>
        <v>0.3166666667</v>
      </c>
    </row>
    <row r="4950">
      <c r="A4950" s="10" t="s">
        <v>6389</v>
      </c>
      <c r="B4950" s="7" t="str">
        <f>IFERROR(__xludf.DUMMYFUNCTION("SPLIT(A4950,"" "")"),"Cc1cnc(CN(C)C2CCC(N(Cc3ccccn3)Cc3cccc(C)n3)CC2)c(C)c1")</f>
        <v>Cc1cnc(CN(C)C2CCC(N(Cc3ccccn3)Cc3cccc(C)n3)CC2)c(C)c1</v>
      </c>
      <c r="C4950" s="7">
        <f>IFERROR(__xludf.DUMMYFUNCTION("""COMPUTED_VALUE"""),7.7923803)</f>
        <v>7.7923803</v>
      </c>
      <c r="D4950" s="7">
        <f>IFERROR(__xludf.DUMMYFUNCTION("""COMPUTED_VALUE"""),0.413793103448275)</f>
        <v>0.4137931034</v>
      </c>
    </row>
    <row r="4951">
      <c r="A4951" s="10" t="s">
        <v>6390</v>
      </c>
      <c r="B4951" s="7" t="str">
        <f>IFERROR(__xludf.DUMMYFUNCTION("SPLIT(A4951,"" "")"),"Cc1cc(C)c(CN(Cc2ccccn2)C2CCC(N(C)Cc3ccccn3)CC2)nc1C")</f>
        <v>Cc1cc(C)c(CN(Cc2ccccn2)C2CCC(N(C)Cc3ccccn3)CC2)nc1C</v>
      </c>
      <c r="C4951" s="7">
        <f>IFERROR(__xludf.DUMMYFUNCTION("""COMPUTED_VALUE"""),7.792376)</f>
        <v>7.792376</v>
      </c>
      <c r="D4951" s="7">
        <f>IFERROR(__xludf.DUMMYFUNCTION("""COMPUTED_VALUE"""),0.470588235294117)</f>
        <v>0.4705882353</v>
      </c>
    </row>
    <row r="4952">
      <c r="A4952" s="10" t="s">
        <v>6391</v>
      </c>
      <c r="B4952" s="7" t="str">
        <f>IFERROR(__xludf.DUMMYFUNCTION("SPLIT(A4952,"" "")"),"CN(CCNCc1ncccc1F)Cc1ccccn1")</f>
        <v>CN(CCNCc1ncccc1F)Cc1ccccn1</v>
      </c>
      <c r="C4952" s="7">
        <f>IFERROR(__xludf.DUMMYFUNCTION("""COMPUTED_VALUE"""),7.792375)</f>
        <v>7.792375</v>
      </c>
      <c r="D4952" s="7">
        <f>IFERROR(__xludf.DUMMYFUNCTION("""COMPUTED_VALUE"""),0.452380952380952)</f>
        <v>0.4523809524</v>
      </c>
    </row>
    <row r="4953">
      <c r="A4953" s="10" t="s">
        <v>6392</v>
      </c>
      <c r="B4953" s="7" t="str">
        <f>IFERROR(__xludf.DUMMYFUNCTION("SPLIT(A4953,"" "")"),"CN1CCN(C)CCN(C(C)(C)c2cccnc2CN(C)C2CCC(N(C)c3ccc4nc(CF)ccc4c3)CC2)CC1")</f>
        <v>CN1CCN(C)CCN(C(C)(C)c2cccnc2CN(C)C2CCC(N(C)c3ccc4nc(CF)ccc4c3)CC2)CC1</v>
      </c>
      <c r="C4953" s="7">
        <f>IFERROR(__xludf.DUMMYFUNCTION("""COMPUTED_VALUE"""),7.7923574)</f>
        <v>7.7923574</v>
      </c>
      <c r="D4953" s="7">
        <f>IFERROR(__xludf.DUMMYFUNCTION("""COMPUTED_VALUE"""),0.298701298701298)</f>
        <v>0.2987012987</v>
      </c>
    </row>
    <row r="4954">
      <c r="A4954" s="10" t="s">
        <v>6393</v>
      </c>
      <c r="B4954" s="7" t="str">
        <f>IFERROR(__xludf.DUMMYFUNCTION("SPLIT(A4954,"" "")"),"CC(NCc1ccccn1)c1cccc(CNCF)n1")</f>
        <v>CC(NCc1ccccn1)c1cccc(CNCF)n1</v>
      </c>
      <c r="C4954" s="7">
        <f>IFERROR(__xludf.DUMMYFUNCTION("""COMPUTED_VALUE"""),7.7923527)</f>
        <v>7.7923527</v>
      </c>
      <c r="D4954" s="7">
        <f>IFERROR(__xludf.DUMMYFUNCTION("""COMPUTED_VALUE"""),0.452380952380952)</f>
        <v>0.4523809524</v>
      </c>
    </row>
    <row r="4955">
      <c r="A4955" s="10" t="s">
        <v>6394</v>
      </c>
      <c r="B4955" s="7" t="str">
        <f>IFERROR(__xludf.DUMMYFUNCTION("SPLIT(A4955,"" "")"),"Cc1cc(C)c(CN(C)C2CCCCC2N(Cc2ncccc2C)Cc2ncccc2C)cn1")</f>
        <v>Cc1cc(C)c(CN(C)C2CCCCC2N(Cc2ncccc2C)Cc2ncccc2C)cn1</v>
      </c>
      <c r="C4955" s="7">
        <f>IFERROR(__xludf.DUMMYFUNCTION("""COMPUTED_VALUE"""),7.7923455)</f>
        <v>7.7923455</v>
      </c>
      <c r="D4955" s="7">
        <f>IFERROR(__xludf.DUMMYFUNCTION("""COMPUTED_VALUE"""),0.433962264150943)</f>
        <v>0.4339622642</v>
      </c>
    </row>
    <row r="4956">
      <c r="A4956" s="10" t="s">
        <v>6395</v>
      </c>
      <c r="B4956" s="7" t="str">
        <f>IFERROR(__xludf.DUMMYFUNCTION("SPLIT(A4956,"" "")"),"Cc1cnc(CN(C)C2CCCC(N(Cc3cccnc3)Cc3ccc(C)nc3)C2)c(C)c1")</f>
        <v>Cc1cnc(CN(C)C2CCCC(N(Cc3cccnc3)Cc3ccc(C)nc3)C2)c(C)c1</v>
      </c>
      <c r="C4956" s="7">
        <f>IFERROR(__xludf.DUMMYFUNCTION("""COMPUTED_VALUE"""),7.7923408)</f>
        <v>7.7923408</v>
      </c>
      <c r="D4956" s="7">
        <f>IFERROR(__xludf.DUMMYFUNCTION("""COMPUTED_VALUE"""),0.292307692307692)</f>
        <v>0.2923076923</v>
      </c>
    </row>
    <row r="4957">
      <c r="A4957" s="10" t="s">
        <v>6396</v>
      </c>
      <c r="B4957" s="7" t="str">
        <f>IFERROR(__xludf.DUMMYFUNCTION("SPLIT(A4957,"" "")"),"CN(Cc1cccc(-c2ccc3c(c2)OCCOCCOCCOCCOCCO3)n1)C1CCCCC1N(C)c1ccc2cc(CF)cnc2c1")</f>
        <v>CN(Cc1cccc(-c2ccc3c(c2)OCCOCCOCCOCCOCCO3)n1)C1CCCCC1N(C)c1ccc2cc(CF)cnc2c1</v>
      </c>
      <c r="C4957" s="7">
        <f>IFERROR(__xludf.DUMMYFUNCTION("""COMPUTED_VALUE"""),7.7923355)</f>
        <v>7.7923355</v>
      </c>
      <c r="D4957" s="7">
        <f>IFERROR(__xludf.DUMMYFUNCTION("""COMPUTED_VALUE"""),0.356164383561643)</f>
        <v>0.3561643836</v>
      </c>
    </row>
    <row r="4958">
      <c r="A4958" s="10" t="s">
        <v>6397</v>
      </c>
      <c r="B4958" s="7" t="str">
        <f>IFERROR(__xludf.DUMMYFUNCTION("SPLIT(A4958,"" "")"),"CNCc1ncccc1CN(Cc1cc(-c2ccc3c(c2)OCCOCCOCCOCCOCCO3)ccn1)Cc1ncccc1C")</f>
        <v>CNCc1ncccc1CN(Cc1cc(-c2ccc3c(c2)OCCOCCOCCOCCOCCO3)ccn1)Cc1ncccc1C</v>
      </c>
      <c r="C4958" s="7">
        <f>IFERROR(__xludf.DUMMYFUNCTION("""COMPUTED_VALUE"""),7.7923236)</f>
        <v>7.7923236</v>
      </c>
      <c r="D4958" s="7">
        <f>IFERROR(__xludf.DUMMYFUNCTION("""COMPUTED_VALUE"""),0.32051282051282)</f>
        <v>0.3205128205</v>
      </c>
    </row>
    <row r="4959">
      <c r="A4959" s="10" t="s">
        <v>6398</v>
      </c>
      <c r="B4959" s="7" t="str">
        <f>IFERROR(__xludf.DUMMYFUNCTION("SPLIT(A4959,"" "")"),"CNC1CCCCC1N(Cc1ncc(C)c(C)c1C)Cc1nc(C)c(C)c(C)c1C")</f>
        <v>CNC1CCCCC1N(Cc1ncc(C)c(C)c1C)Cc1nc(C)c(C)c(C)c1C</v>
      </c>
      <c r="C4959" s="7">
        <f>IFERROR(__xludf.DUMMYFUNCTION("""COMPUTED_VALUE"""),7.7923217)</f>
        <v>7.7923217</v>
      </c>
      <c r="D4959" s="7">
        <f>IFERROR(__xludf.DUMMYFUNCTION("""COMPUTED_VALUE"""),0.31578947368421)</f>
        <v>0.3157894737</v>
      </c>
    </row>
    <row r="4960">
      <c r="A4960" s="10" t="s">
        <v>6399</v>
      </c>
      <c r="B4960" s="7" t="str">
        <f>IFERROR(__xludf.DUMMYFUNCTION("SPLIT(A4960,"" "")"),"CN(CCF)CCN(Cc1ccccn1)C(C)(N)N(Cc1ccccn1)Cc1cccc(CF)n1")</f>
        <v>CN(CCF)CCN(Cc1ccccn1)C(C)(N)N(Cc1ccccn1)Cc1cccc(CF)n1</v>
      </c>
      <c r="C4960" s="7">
        <f>IFERROR(__xludf.DUMMYFUNCTION("""COMPUTED_VALUE"""),7.7923117)</f>
        <v>7.7923117</v>
      </c>
      <c r="D4960" s="7">
        <f>IFERROR(__xludf.DUMMYFUNCTION("""COMPUTED_VALUE"""),0.452830188679245)</f>
        <v>0.4528301887</v>
      </c>
    </row>
    <row r="4961">
      <c r="A4961" s="10" t="s">
        <v>6400</v>
      </c>
      <c r="B4961" s="7" t="str">
        <f>IFERROR(__xludf.DUMMYFUNCTION("SPLIT(A4961,"" "")"),"CNCc1cccc(CN(Cc2ccccn2)C2CCCC(N(C)Cc3cc(C)c(C)c(C)n3)C2)n1")</f>
        <v>CNCc1cccc(CN(Cc2ccccn2)C2CCCC(N(C)Cc3cc(C)c(C)c(C)n3)C2)n1</v>
      </c>
      <c r="C4961" s="7">
        <f>IFERROR(__xludf.DUMMYFUNCTION("""COMPUTED_VALUE"""),7.792309)</f>
        <v>7.792309</v>
      </c>
      <c r="D4961" s="7">
        <f>IFERROR(__xludf.DUMMYFUNCTION("""COMPUTED_VALUE"""),0.403225806451612)</f>
        <v>0.4032258065</v>
      </c>
    </row>
    <row r="4962">
      <c r="A4962" s="10" t="s">
        <v>6401</v>
      </c>
      <c r="B4962" s="7" t="str">
        <f>IFERROR(__xludf.DUMMYFUNCTION("SPLIT(A4962,"" "")"),"CC1=C(C)C(C(C)(C)N(Cc2ccccn2)Cc2ccccn2)C(C)CC1")</f>
        <v>CC1=C(C)C(C(C)(C)N(Cc2ccccn2)Cc2ccccn2)C(C)CC1</v>
      </c>
      <c r="C4962" s="7">
        <f>IFERROR(__xludf.DUMMYFUNCTION("""COMPUTED_VALUE"""),7.7923)</f>
        <v>7.7923</v>
      </c>
      <c r="D4962" s="7">
        <f>IFERROR(__xludf.DUMMYFUNCTION("""COMPUTED_VALUE"""),0.42)</f>
        <v>0.42</v>
      </c>
    </row>
    <row r="4963">
      <c r="A4963" s="10" t="s">
        <v>6402</v>
      </c>
      <c r="B4963" s="7" t="str">
        <f>IFERROR(__xludf.DUMMYFUNCTION("SPLIT(A4963,"" "")"),"Cc1cnc(CN(C)C2CCC(N(Cc3ccccn3)Cc3ncccc3C)CC2)c(C)c1")</f>
        <v>Cc1cnc(CN(C)C2CCC(N(Cc3ccccn3)Cc3ncccc3C)CC2)c(C)c1</v>
      </c>
      <c r="C4963" s="7">
        <f>IFERROR(__xludf.DUMMYFUNCTION("""COMPUTED_VALUE"""),7.792298)</f>
        <v>7.792298</v>
      </c>
      <c r="D4963" s="7">
        <f>IFERROR(__xludf.DUMMYFUNCTION("""COMPUTED_VALUE"""),0.410714285714285)</f>
        <v>0.4107142857</v>
      </c>
    </row>
    <row r="4964">
      <c r="A4964" s="10" t="s">
        <v>6403</v>
      </c>
      <c r="B4964" s="7" t="str">
        <f>IFERROR(__xludf.DUMMYFUNCTION("SPLIT(A4964,"" "")"),"CNc1ccc(CN(Cc2ccccn2)C2CCC(N(C)Cc3cccc(C)n3)CC2)nc1")</f>
        <v>CNc1ccc(CN(Cc2ccccn2)C2CCC(N(C)Cc3cccc(C)n3)CC2)nc1</v>
      </c>
      <c r="C4964" s="7">
        <f>IFERROR(__xludf.DUMMYFUNCTION("""COMPUTED_VALUE"""),7.7922945)</f>
        <v>7.7922945</v>
      </c>
      <c r="D4964" s="7">
        <f>IFERROR(__xludf.DUMMYFUNCTION("""COMPUTED_VALUE"""),0.43859649122807)</f>
        <v>0.4385964912</v>
      </c>
    </row>
    <row r="4965">
      <c r="A4965" s="10" t="s">
        <v>6404</v>
      </c>
      <c r="B4965" s="7" t="str">
        <f>IFERROR(__xludf.DUMMYFUNCTION("SPLIT(A4965,"" "")"),"CN1CCN(C)CCN(Cc2cncc(-c3cc(N)ccc3F)c2)CC1")</f>
        <v>CN1CCN(C)CCN(Cc2cncc(-c3cc(N)ccc3F)c2)CC1</v>
      </c>
      <c r="C4965" s="7">
        <f>IFERROR(__xludf.DUMMYFUNCTION("""COMPUTED_VALUE"""),7.79229)</f>
        <v>7.79229</v>
      </c>
      <c r="D4965" s="7">
        <f>IFERROR(__xludf.DUMMYFUNCTION("""COMPUTED_VALUE"""),0.358490566037735)</f>
        <v>0.358490566</v>
      </c>
    </row>
    <row r="4966">
      <c r="A4966" s="10" t="s">
        <v>6405</v>
      </c>
      <c r="B4966" s="7" t="str">
        <f>IFERROR(__xludf.DUMMYFUNCTION("SPLIT(A4966,"" "")"),"CN(Cc1ncccc1-c1cccc2c1OCCOCCOCCOCCOCCO2)C1CCCCC1N(C)c1ccc2ncccc2c1")</f>
        <v>CN(Cc1ncccc1-c1cccc2c1OCCOCCOCCOCCOCCO2)C1CCCCC1N(C)c1ccc2ncccc2c1</v>
      </c>
      <c r="C4966" s="7">
        <f>IFERROR(__xludf.DUMMYFUNCTION("""COMPUTED_VALUE"""),7.7922893)</f>
        <v>7.7922893</v>
      </c>
      <c r="D4966" s="7">
        <f>IFERROR(__xludf.DUMMYFUNCTION("""COMPUTED_VALUE"""),0.367647058823529)</f>
        <v>0.3676470588</v>
      </c>
    </row>
    <row r="4967">
      <c r="A4967" s="10" t="s">
        <v>6406</v>
      </c>
      <c r="B4967" s="7" t="str">
        <f>IFERROR(__xludf.DUMMYFUNCTION("SPLIT(A4967,"" "")"),"CN(Cc1ccc(-c2ccc3c(c2)OCCOCCOCCOCCOCCO3)cn1)C1CCCCC1N(C)c1ccc2cc(CF)cnc2c1")</f>
        <v>CN(Cc1ccc(-c2ccc3c(c2)OCCOCCOCCOCCOCCO3)cn1)C1CCCCC1N(C)c1ccc2cc(CF)cnc2c1</v>
      </c>
      <c r="C4967" s="7">
        <f>IFERROR(__xludf.DUMMYFUNCTION("""COMPUTED_VALUE"""),7.792279)</f>
        <v>7.792279</v>
      </c>
      <c r="D4967" s="7">
        <f>IFERROR(__xludf.DUMMYFUNCTION("""COMPUTED_VALUE"""),0.434210526315789)</f>
        <v>0.4342105263</v>
      </c>
    </row>
    <row r="4968">
      <c r="A4968" s="10" t="s">
        <v>6407</v>
      </c>
      <c r="B4968" s="7" t="str">
        <f>IFERROR(__xludf.DUMMYFUNCTION("SPLIT(A4968,"" "")"),"Cc1cncc(CN(C)C2CCCC(N(C)CC3=CCC(N(C)Cc4cccc(C)n4)=CN3)C2)c1")</f>
        <v>Cc1cncc(CN(C)C2CCCC(N(C)CC3=CCC(N(C)Cc4cccc(C)n4)=CN3)C2)c1</v>
      </c>
      <c r="C4968" s="7">
        <f>IFERROR(__xludf.DUMMYFUNCTION("""COMPUTED_VALUE"""),7.7922735)</f>
        <v>7.7922735</v>
      </c>
      <c r="D4968" s="7">
        <f>IFERROR(__xludf.DUMMYFUNCTION("""COMPUTED_VALUE"""),0.384615384615384)</f>
        <v>0.3846153846</v>
      </c>
    </row>
    <row r="4969">
      <c r="A4969" s="10" t="s">
        <v>6408</v>
      </c>
      <c r="B4969" s="7" t="str">
        <f>IFERROR(__xludf.DUMMYFUNCTION("SPLIT(A4969,"" "")"),"CNCN(Cc1ncccc1C)C(C)C")</f>
        <v>CNCN(Cc1ncccc1C)C(C)C</v>
      </c>
      <c r="C4969" s="7">
        <f>IFERROR(__xludf.DUMMYFUNCTION("""COMPUTED_VALUE"""),7.7922587)</f>
        <v>7.7922587</v>
      </c>
      <c r="D4969" s="7">
        <f>IFERROR(__xludf.DUMMYFUNCTION("""COMPUTED_VALUE"""),0.428571428571428)</f>
        <v>0.4285714286</v>
      </c>
    </row>
    <row r="4970">
      <c r="A4970" s="10" t="s">
        <v>6409</v>
      </c>
      <c r="B4970" s="7" t="str">
        <f>IFERROR(__xludf.DUMMYFUNCTION("SPLIT(A4970,"" "")"),"CN(Cc1cc(-c2ccc3c(c2)OCCOCCOCCOCCOCCO3)ccn1)C1CCCCC1N(C)c1ccc2cccnc2c1")</f>
        <v>CN(Cc1cc(-c2ccc3c(c2)OCCOCCOCCOCCOCCO3)ccn1)C1CCCCC1N(C)c1ccc2cccnc2c1</v>
      </c>
      <c r="C4970" s="7">
        <f>IFERROR(__xludf.DUMMYFUNCTION("""COMPUTED_VALUE"""),7.7922535)</f>
        <v>7.7922535</v>
      </c>
      <c r="D4970" s="7">
        <f>IFERROR(__xludf.DUMMYFUNCTION("""COMPUTED_VALUE"""),0.393939393939393)</f>
        <v>0.3939393939</v>
      </c>
    </row>
    <row r="4971">
      <c r="A4971" s="10" t="s">
        <v>6410</v>
      </c>
      <c r="B4971" s="7" t="str">
        <f>IFERROR(__xludf.DUMMYFUNCTION("SPLIT(A4971,"" "")"),"Cc1cc(C)c(CN(Cc2ccccn2)C2CCC(N(C)Cc3ncccc3C)CC2)cn1")</f>
        <v>Cc1cc(C)c(CN(Cc2ccccn2)C2CCC(N(C)Cc3ncccc3C)CC2)cn1</v>
      </c>
      <c r="C4971" s="7">
        <f>IFERROR(__xludf.DUMMYFUNCTION("""COMPUTED_VALUE"""),7.792251)</f>
        <v>7.792251</v>
      </c>
      <c r="D4971" s="7">
        <f>IFERROR(__xludf.DUMMYFUNCTION("""COMPUTED_VALUE"""),0.396551724137931)</f>
        <v>0.3965517241</v>
      </c>
    </row>
    <row r="4972">
      <c r="A4972" s="10" t="s">
        <v>6411</v>
      </c>
      <c r="B4972" s="7" t="str">
        <f>IFERROR(__xludf.DUMMYFUNCTION("SPLIT(A4972,"" "")"),"CC1C=CC(C)(c2cccc(CN(Cc3ccccn3)Cc3ccccn3)n2)C(C)(C)C1C")</f>
        <v>CC1C=CC(C)(c2cccc(CN(Cc3ccccn3)Cc3ccccn3)n2)C(C)(C)C1C</v>
      </c>
      <c r="C4972" s="7">
        <f>IFERROR(__xludf.DUMMYFUNCTION("""COMPUTED_VALUE"""),7.7922435)</f>
        <v>7.7922435</v>
      </c>
      <c r="D4972" s="7">
        <f>IFERROR(__xludf.DUMMYFUNCTION("""COMPUTED_VALUE"""),0.454545454545454)</f>
        <v>0.4545454545</v>
      </c>
    </row>
    <row r="4973">
      <c r="A4973" s="10" t="s">
        <v>6412</v>
      </c>
      <c r="B4973" s="7" t="str">
        <f>IFERROR(__xludf.DUMMYFUNCTION("SPLIT(A4973,"" "")"),"CNCC1CCC(N(C)Cc2nc(C)c(C)c(C)c2C)N1C")</f>
        <v>CNCC1CCC(N(C)Cc2nc(C)c(C)c(C)c2C)N1C</v>
      </c>
      <c r="C4973" s="7">
        <f>IFERROR(__xludf.DUMMYFUNCTION("""COMPUTED_VALUE"""),7.7922378)</f>
        <v>7.7922378</v>
      </c>
      <c r="D4973" s="7">
        <f>IFERROR(__xludf.DUMMYFUNCTION("""COMPUTED_VALUE"""),0.224137931034482)</f>
        <v>0.224137931</v>
      </c>
    </row>
    <row r="4974">
      <c r="A4974" s="10" t="s">
        <v>6413</v>
      </c>
      <c r="B4974" s="7" t="str">
        <f>IFERROR(__xludf.DUMMYFUNCTION("SPLIT(A4974,"" "")"),"CN1CCN(C)CCN(Cc2cnccc2-c2cccc(N)c2F)CC1")</f>
        <v>CN1CCN(C)CCN(Cc2cnccc2-c2cccc(N)c2F)CC1</v>
      </c>
      <c r="C4974" s="7">
        <f>IFERROR(__xludf.DUMMYFUNCTION("""COMPUTED_VALUE"""),7.7922373)</f>
        <v>7.7922373</v>
      </c>
      <c r="D4974" s="7">
        <f>IFERROR(__xludf.DUMMYFUNCTION("""COMPUTED_VALUE"""),0.44)</f>
        <v>0.44</v>
      </c>
    </row>
    <row r="4975">
      <c r="A4975" s="10" t="s">
        <v>6414</v>
      </c>
      <c r="B4975" s="7" t="str">
        <f>IFERROR(__xludf.DUMMYFUNCTION("SPLIT(A4975,"" "")"),"CNCc1cc(CN(Cc2ccccn2)C2CCCC(N(C)Cc3nc(C)c(C)cc3C)C2)ccn1")</f>
        <v>CNCc1cc(CN(Cc2ccccn2)C2CCCC(N(C)Cc3nc(C)c(C)cc3C)C2)ccn1</v>
      </c>
      <c r="C4975" s="7">
        <f>IFERROR(__xludf.DUMMYFUNCTION("""COMPUTED_VALUE"""),7.792234)</f>
        <v>7.792234</v>
      </c>
      <c r="D4975" s="7">
        <f>IFERROR(__xludf.DUMMYFUNCTION("""COMPUTED_VALUE"""),0.375)</f>
        <v>0.375</v>
      </c>
    </row>
    <row r="4976">
      <c r="A4976" s="10" t="s">
        <v>6415</v>
      </c>
      <c r="B4976" s="7" t="str">
        <f>IFERROR(__xludf.DUMMYFUNCTION("SPLIT(A4976,"" "")"),"CC(N1CCN(C)CCN(C)CC1)N(C)c1ccc2ncccc2c1")</f>
        <v>CC(N1CCN(C)CCN(C)CC1)N(C)c1ccc2ncccc2c1</v>
      </c>
      <c r="C4976" s="7">
        <f>IFERROR(__xludf.DUMMYFUNCTION("""COMPUTED_VALUE"""),7.792225)</f>
        <v>7.792225</v>
      </c>
      <c r="D4976" s="7">
        <f>IFERROR(__xludf.DUMMYFUNCTION("""COMPUTED_VALUE"""),0.327272727272727)</f>
        <v>0.3272727273</v>
      </c>
    </row>
    <row r="4977">
      <c r="A4977" s="10" t="s">
        <v>6416</v>
      </c>
      <c r="B4977" s="7" t="str">
        <f>IFERROR(__xludf.DUMMYFUNCTION("SPLIT(A4977,"" "")"),"CN(Cc1ccc(-c2cccc3c2OCCOCCOCCOCCOCCO3)cn1)C1CCCCC1N(C)c1ccc2cc(CF)cnc2c1")</f>
        <v>CN(Cc1ccc(-c2cccc3c2OCCOCCOCCOCCOCCO3)cn1)C1CCCCC1N(C)c1ccc2cc(CF)cnc2c1</v>
      </c>
      <c r="C4977" s="7">
        <f>IFERROR(__xludf.DUMMYFUNCTION("""COMPUTED_VALUE"""),7.7922225)</f>
        <v>7.7922225</v>
      </c>
      <c r="D4977" s="7">
        <f>IFERROR(__xludf.DUMMYFUNCTION("""COMPUTED_VALUE"""),0.346666666666666)</f>
        <v>0.3466666667</v>
      </c>
    </row>
    <row r="4978">
      <c r="A4978" s="10" t="s">
        <v>6417</v>
      </c>
      <c r="B4978" s="7" t="str">
        <f>IFERROR(__xludf.DUMMYFUNCTION("SPLIT(A4978,"" "")"),"Cc1cc(C)c(CN(C)C2CCC(N(Cc3ccccn3)Cc3ccccn3)CC2)nc1C")</f>
        <v>Cc1cc(C)c(CN(C)C2CCC(N(Cc3ccccn3)Cc3ccccn3)CC2)nc1C</v>
      </c>
      <c r="C4978" s="7">
        <f>IFERROR(__xludf.DUMMYFUNCTION("""COMPUTED_VALUE"""),7.7922077)</f>
        <v>7.7922077</v>
      </c>
      <c r="D4978" s="7">
        <f>IFERROR(__xludf.DUMMYFUNCTION("""COMPUTED_VALUE"""),0.450980392156862)</f>
        <v>0.4509803922</v>
      </c>
    </row>
    <row r="4979">
      <c r="A4979" s="10" t="s">
        <v>6418</v>
      </c>
      <c r="B4979" s="7" t="str">
        <f>IFERROR(__xludf.DUMMYFUNCTION("SPLIT(A4979,"" "")"),"CNC1CC(N(C)Cc2ccc(C)cn2)CCC1N(Cc1ccccn1)Cc1nc(C)c(C)cc1C")</f>
        <v>CNC1CC(N(C)Cc2ccc(C)cn2)CCC1N(Cc1ccccn1)Cc1nc(C)c(C)cc1C</v>
      </c>
      <c r="C4979" s="7">
        <f>IFERROR(__xludf.DUMMYFUNCTION("""COMPUTED_VALUE"""),7.7921987)</f>
        <v>7.7921987</v>
      </c>
      <c r="D4979" s="7">
        <f>IFERROR(__xludf.DUMMYFUNCTION("""COMPUTED_VALUE"""),0.393939393939393)</f>
        <v>0.3939393939</v>
      </c>
    </row>
    <row r="4980">
      <c r="A4980" s="10" t="s">
        <v>6419</v>
      </c>
      <c r="B4980" s="7" t="str">
        <f>IFERROR(__xludf.DUMMYFUNCTION("SPLIT(A4980,"" "")"),"C1=CNC(N(Cc2ccccn2)Cc2ncccc2-c2cccc3c2OCCOCCOCCOCCOCCO3)=CC1")</f>
        <v>C1=CNC(N(Cc2ccccn2)Cc2ncccc2-c2cccc3c2OCCOCCOCCOCCOCCO3)=CC1</v>
      </c>
      <c r="C4980" s="7">
        <f>IFERROR(__xludf.DUMMYFUNCTION("""COMPUTED_VALUE"""),7.792195)</f>
        <v>7.792195</v>
      </c>
      <c r="D4980" s="7">
        <f>IFERROR(__xludf.DUMMYFUNCTION("""COMPUTED_VALUE"""),0.409090909090909)</f>
        <v>0.4090909091</v>
      </c>
    </row>
    <row r="4981">
      <c r="A4981" s="10" t="s">
        <v>6420</v>
      </c>
      <c r="B4981" s="7" t="str">
        <f>IFERROR(__xludf.DUMMYFUNCTION("SPLIT(A4981,"" "")"),"Cc1cnc(CN(C)C(C)C(C)N)c(C)c1")</f>
        <v>Cc1cnc(CN(C)C(C)C(C)N)c(C)c1</v>
      </c>
      <c r="C4981" s="7">
        <f>IFERROR(__xludf.DUMMYFUNCTION("""COMPUTED_VALUE"""),7.7921863)</f>
        <v>7.7921863</v>
      </c>
      <c r="D4981" s="7">
        <f>IFERROR(__xludf.DUMMYFUNCTION("""COMPUTED_VALUE"""),0.295454545454545)</f>
        <v>0.2954545455</v>
      </c>
    </row>
    <row r="4982">
      <c r="A4982" s="10" t="s">
        <v>6421</v>
      </c>
      <c r="B4982" s="7" t="str">
        <f>IFERROR(__xludf.DUMMYFUNCTION("SPLIT(A4982,"" "")"),"Cc1cccnc1CN(C)C1CCC(N(Cc2ncccc2C)Cc2ncccc2C)CC1")</f>
        <v>Cc1cccnc1CN(C)C1CCC(N(Cc2ncccc2C)Cc2ncccc2C)CC1</v>
      </c>
      <c r="C4982" s="7">
        <f>IFERROR(__xludf.DUMMYFUNCTION("""COMPUTED_VALUE"""),7.7921853)</f>
        <v>7.7921853</v>
      </c>
      <c r="D4982" s="7">
        <f>IFERROR(__xludf.DUMMYFUNCTION("""COMPUTED_VALUE"""),0.361702127659574)</f>
        <v>0.3617021277</v>
      </c>
    </row>
    <row r="4983">
      <c r="A4983" s="10" t="s">
        <v>6422</v>
      </c>
      <c r="B4983" s="7" t="str">
        <f>IFERROR(__xludf.DUMMYFUNCTION("SPLIT(A4983,"" "")"),"Cc1cc(CN(Cc2ccccn2)C2CCC(N(C)Cc3ncccc3C)CC2)cnc1C")</f>
        <v>Cc1cc(CN(Cc2ccccn2)C2CCC(N(C)Cc3ncccc3C)CC2)cnc1C</v>
      </c>
      <c r="C4983" s="7">
        <f>IFERROR(__xludf.DUMMYFUNCTION("""COMPUTED_VALUE"""),7.7921853)</f>
        <v>7.7921853</v>
      </c>
      <c r="D4983" s="7">
        <f>IFERROR(__xludf.DUMMYFUNCTION("""COMPUTED_VALUE"""),0.396551724137931)</f>
        <v>0.3965517241</v>
      </c>
    </row>
    <row r="4984">
      <c r="A4984" s="10" t="s">
        <v>6423</v>
      </c>
      <c r="B4984" s="7" t="str">
        <f>IFERROR(__xludf.DUMMYFUNCTION("SPLIT(A4984,"" "")"),"CC1=CC(C)(C)C(CN(Cc2ccccn2)Cc2ccccn2)C(C)C1N(C)Cc1ccccn1")</f>
        <v>CC1=CC(C)(C)C(CN(Cc2ccccn2)Cc2ccccn2)C(C)C1N(C)Cc1ccccn1</v>
      </c>
      <c r="C4984" s="7">
        <f>IFERROR(__xludf.DUMMYFUNCTION("""COMPUTED_VALUE"""),7.7921844)</f>
        <v>7.7921844</v>
      </c>
      <c r="D4984" s="7">
        <f>IFERROR(__xludf.DUMMYFUNCTION("""COMPUTED_VALUE"""),0.423076923076923)</f>
        <v>0.4230769231</v>
      </c>
    </row>
    <row r="4985">
      <c r="A4985" s="10" t="s">
        <v>6424</v>
      </c>
      <c r="B4985" s="7" t="str">
        <f>IFERROR(__xludf.DUMMYFUNCTION("SPLIT(A4985,"" "")"),"CC(C)C(C)NCc1ccc(NC2C=CC=CN2)cn1")</f>
        <v>CC(C)C(C)NCc1ccc(NC2C=CC=CN2)cn1</v>
      </c>
      <c r="C4985" s="7">
        <f>IFERROR(__xludf.DUMMYFUNCTION("""COMPUTED_VALUE"""),7.7921834)</f>
        <v>7.7921834</v>
      </c>
      <c r="D4985" s="7">
        <f>IFERROR(__xludf.DUMMYFUNCTION("""COMPUTED_VALUE"""),0.288135593220339)</f>
        <v>0.2881355932</v>
      </c>
    </row>
    <row r="4986">
      <c r="A4986" s="10" t="s">
        <v>6425</v>
      </c>
      <c r="B4986" s="7" t="str">
        <f>IFERROR(__xludf.DUMMYFUNCTION("SPLIT(A4986,"" "")"),"Cc1cncc(CN(C)C2CCC(N(Cc3ccccn3)Cc3ncc(C)c(C)c3C)CC2)c1")</f>
        <v>Cc1cncc(CN(C)C2CCC(N(Cc3ccccn3)Cc3ncc(C)c(C)c3C)CC2)c1</v>
      </c>
      <c r="C4986" s="7">
        <f>IFERROR(__xludf.DUMMYFUNCTION("""COMPUTED_VALUE"""),7.792182)</f>
        <v>7.792182</v>
      </c>
      <c r="D4986" s="7">
        <f>IFERROR(__xludf.DUMMYFUNCTION("""COMPUTED_VALUE"""),0.383333333333333)</f>
        <v>0.3833333333</v>
      </c>
    </row>
    <row r="4987">
      <c r="A4987" s="10" t="s">
        <v>6426</v>
      </c>
      <c r="B4987" s="7" t="str">
        <f>IFERROR(__xludf.DUMMYFUNCTION("SPLIT(A4987,"" "")"),"Cc1cc2c(c(-c3cccc(CN(Cc4ccccn4)Cc4cc(N)ccn4)n3)c1)OCCOCCOCCOCCOCCO2")</f>
        <v>Cc1cc2c(c(-c3cccc(CN(Cc4ccccn4)Cc4cc(N)ccn4)n3)c1)OCCOCCOCCOCCOCCO2</v>
      </c>
      <c r="C4987" s="7">
        <f>IFERROR(__xludf.DUMMYFUNCTION("""COMPUTED_VALUE"""),7.7921753)</f>
        <v>7.7921753</v>
      </c>
      <c r="D4987" s="7">
        <f>IFERROR(__xludf.DUMMYFUNCTION("""COMPUTED_VALUE"""),0.4)</f>
        <v>0.4</v>
      </c>
    </row>
    <row r="4988">
      <c r="A4988" s="10" t="s">
        <v>6427</v>
      </c>
      <c r="B4988" s="7" t="str">
        <f>IFERROR(__xludf.DUMMYFUNCTION("SPLIT(A4988,"" "")"),"C=Nc1cccc(-c2cncc(CN3CCN(C)CCN(C)CC3)c2)c1")</f>
        <v>C=Nc1cccc(-c2cncc(CN3CCN(C)CCN(C)CC3)c2)c1</v>
      </c>
      <c r="C4988" s="7">
        <f>IFERROR(__xludf.DUMMYFUNCTION("""COMPUTED_VALUE"""),7.7921734)</f>
        <v>7.7921734</v>
      </c>
      <c r="D4988" s="7">
        <f>IFERROR(__xludf.DUMMYFUNCTION("""COMPUTED_VALUE"""),0.365384615384615)</f>
        <v>0.3653846154</v>
      </c>
    </row>
    <row r="4989">
      <c r="A4989" s="10" t="s">
        <v>6428</v>
      </c>
      <c r="B4989" s="7" t="str">
        <f>IFERROR(__xludf.DUMMYFUNCTION("SPLIT(A4989,"" "")"),"CNC1CCCC(N(Cc2ncc(C)cc2C)Cc2nc(C)c(C)c(C)c2C)C1")</f>
        <v>CNC1CCCC(N(Cc2ncc(C)cc2C)Cc2nc(C)c(C)c(C)c2C)C1</v>
      </c>
      <c r="C4989" s="7">
        <f>IFERROR(__xludf.DUMMYFUNCTION("""COMPUTED_VALUE"""),7.7921724)</f>
        <v>7.7921724</v>
      </c>
      <c r="D4989" s="7">
        <f>IFERROR(__xludf.DUMMYFUNCTION("""COMPUTED_VALUE"""),0.253968253968253)</f>
        <v>0.253968254</v>
      </c>
    </row>
    <row r="4990">
      <c r="A4990" s="10" t="s">
        <v>6429</v>
      </c>
      <c r="B4990" s="7" t="str">
        <f>IFERROR(__xludf.DUMMYFUNCTION("SPLIT(A4990,"" "")"),"CCNCC1=NCC(c2ccccn2)O1")</f>
        <v>CCNCC1=NCC(c2ccccn2)O1</v>
      </c>
      <c r="C4990" s="7">
        <f>IFERROR(__xludf.DUMMYFUNCTION("""COMPUTED_VALUE"""),7.7921715)</f>
        <v>7.7921715</v>
      </c>
      <c r="D4990" s="7">
        <f>IFERROR(__xludf.DUMMYFUNCTION("""COMPUTED_VALUE"""),0.313725490196078)</f>
        <v>0.3137254902</v>
      </c>
    </row>
    <row r="4991">
      <c r="A4991" s="10" t="s">
        <v>6430</v>
      </c>
      <c r="B4991" s="7" t="str">
        <f>IFERROR(__xludf.DUMMYFUNCTION("SPLIT(A4991,"" "")"),"CCNc1ncc(C(C)C(C)N)cc1C")</f>
        <v>CCNc1ncc(C(C)C(C)N)cc1C</v>
      </c>
      <c r="C4991" s="7">
        <f>IFERROR(__xludf.DUMMYFUNCTION("""COMPUTED_VALUE"""),7.792165)</f>
        <v>7.792165</v>
      </c>
      <c r="D4991" s="7">
        <f>IFERROR(__xludf.DUMMYFUNCTION("""COMPUTED_VALUE"""),0.189655172413793)</f>
        <v>0.1896551724</v>
      </c>
    </row>
    <row r="4992">
      <c r="A4992" s="10" t="s">
        <v>6431</v>
      </c>
      <c r="B4992" s="7" t="str">
        <f>IFERROR(__xludf.DUMMYFUNCTION("SPLIT(A4992,"" "")"),"Cc1ccnc(CN(C)CCN(C)C(C)C)c1C")</f>
        <v>Cc1ccnc(CN(C)CCN(C)C(C)C)c1C</v>
      </c>
      <c r="C4992" s="7">
        <f>IFERROR(__xludf.DUMMYFUNCTION("""COMPUTED_VALUE"""),7.7921586)</f>
        <v>7.7921586</v>
      </c>
      <c r="D4992" s="7">
        <f>IFERROR(__xludf.DUMMYFUNCTION("""COMPUTED_VALUE"""),0.348837209302325)</f>
        <v>0.3488372093</v>
      </c>
    </row>
    <row r="4993">
      <c r="A4993" s="10" t="s">
        <v>6432</v>
      </c>
      <c r="B4993" s="7" t="str">
        <f>IFERROR(__xludf.DUMMYFUNCTION("SPLIT(A4993,"" "")"),"Cc1cccnc1CN(C)C1CCCCC1N(C)Cc1cc(C2=NC(C)(C)CO2)ccn1")</f>
        <v>Cc1cccnc1CN(C)C1CCCCC1N(C)Cc1cc(C2=NC(C)(C)CO2)ccn1</v>
      </c>
      <c r="C4993" s="7">
        <f>IFERROR(__xludf.DUMMYFUNCTION("""COMPUTED_VALUE"""),7.792158)</f>
        <v>7.792158</v>
      </c>
      <c r="D4993" s="7">
        <f>IFERROR(__xludf.DUMMYFUNCTION("""COMPUTED_VALUE"""),0.440677966101694)</f>
        <v>0.4406779661</v>
      </c>
    </row>
    <row r="4994">
      <c r="A4994" s="10" t="s">
        <v>6433</v>
      </c>
      <c r="B4994" s="7" t="str">
        <f>IFERROR(__xludf.DUMMYFUNCTION("SPLIT(A4994,"" "")"),"Cc1cccnc1CN(Cc1ccc(F)cn1)Cc1ncccc1-c1cccc2c1OCCOCCOCCOCCOCCO2")</f>
        <v>Cc1cccnc1CN(Cc1ccc(F)cn1)Cc1ncccc1-c1cccc2c1OCCOCCOCCOCCOCCO2</v>
      </c>
      <c r="C4994" s="7">
        <f>IFERROR(__xludf.DUMMYFUNCTION("""COMPUTED_VALUE"""),7.7921567)</f>
        <v>7.7921567</v>
      </c>
      <c r="D4994" s="7">
        <f>IFERROR(__xludf.DUMMYFUNCTION("""COMPUTED_VALUE"""),0.266666666666666)</f>
        <v>0.2666666667</v>
      </c>
    </row>
    <row r="4995">
      <c r="A4995" s="10" t="s">
        <v>6434</v>
      </c>
      <c r="B4995" s="7" t="str">
        <f>IFERROR(__xludf.DUMMYFUNCTION("SPLIT(A4995,"" "")"),"Cc1cc(CN(C)CN(C)C2CCCC(N(C)Cc3cc(C)c(C)c(C)n3)C2)nc(C)c1C")</f>
        <v>Cc1cc(CN(C)CN(C)C2CCCC(N(C)Cc3cc(C)c(C)c(C)n3)C2)nc(C)c1C</v>
      </c>
      <c r="C4995" s="7">
        <f>IFERROR(__xludf.DUMMYFUNCTION("""COMPUTED_VALUE"""),7.7921486)</f>
        <v>7.7921486</v>
      </c>
      <c r="D4995" s="7">
        <f>IFERROR(__xludf.DUMMYFUNCTION("""COMPUTED_VALUE"""),0.320754716981132)</f>
        <v>0.320754717</v>
      </c>
    </row>
    <row r="4996">
      <c r="A4996" s="10" t="s">
        <v>6435</v>
      </c>
      <c r="B4996" s="7" t="str">
        <f>IFERROR(__xludf.DUMMYFUNCTION("SPLIT(A4996,"" "")"),"CNC1=CC(N(C)C)NC=C1")</f>
        <v>CNC1=CC(N(C)C)NC=C1</v>
      </c>
      <c r="C4996" s="7">
        <f>IFERROR(__xludf.DUMMYFUNCTION("""COMPUTED_VALUE"""),7.792141)</f>
        <v>7.792141</v>
      </c>
      <c r="D4996" s="7">
        <f>IFERROR(__xludf.DUMMYFUNCTION("""COMPUTED_VALUE"""),0.204081632653061)</f>
        <v>0.2040816327</v>
      </c>
    </row>
    <row r="4997">
      <c r="A4997" s="10" t="s">
        <v>6436</v>
      </c>
      <c r="B4997" s="7" t="str">
        <f>IFERROR(__xludf.DUMMYFUNCTION("SPLIT(A4997,"" "")"),"CN(Cc1cccc(-c2ccc3c(c2)OCCOCCOCCOCCOCCO3)n1)C1CCCCC1N(C)c1ccc2ncc(CF)cc2c1")</f>
        <v>CN(Cc1cccc(-c2ccc3c(c2)OCCOCCOCCOCCOCCO3)n1)C1CCCCC1N(C)c1ccc2ncc(CF)cc2c1</v>
      </c>
      <c r="C4997" s="7">
        <f>IFERROR(__xludf.DUMMYFUNCTION("""COMPUTED_VALUE"""),7.7921305)</f>
        <v>7.7921305</v>
      </c>
      <c r="D4997" s="7">
        <f>IFERROR(__xludf.DUMMYFUNCTION("""COMPUTED_VALUE"""),0.351351351351351)</f>
        <v>0.3513513514</v>
      </c>
    </row>
    <row r="4998">
      <c r="A4998" s="10" t="s">
        <v>6437</v>
      </c>
      <c r="B4998" s="7" t="str">
        <f>IFERROR(__xludf.DUMMYFUNCTION("SPLIT(A4998,"" "")"),"Cc1cnc(CN(CCN(C)C(C)C)C(C)C)cc1C")</f>
        <v>Cc1cnc(CN(CCN(C)C(C)C)C(C)C)cc1C</v>
      </c>
      <c r="C4998" s="7">
        <f>IFERROR(__xludf.DUMMYFUNCTION("""COMPUTED_VALUE"""),7.792126)</f>
        <v>7.792126</v>
      </c>
      <c r="D4998" s="7">
        <f>IFERROR(__xludf.DUMMYFUNCTION("""COMPUTED_VALUE"""),0.463414634146341)</f>
        <v>0.4634146341</v>
      </c>
    </row>
    <row r="4999">
      <c r="A4999" s="10" t="s">
        <v>6438</v>
      </c>
      <c r="B4999" s="7" t="str">
        <f>IFERROR(__xludf.DUMMYFUNCTION("SPLIT(A4999,"" "")"),"CCCN(Cc1ccccn1)c1c(-c2cc(CN(C)Cc3ccccn3)ccn2)ccc2c1OCCOCCOCCOCCOCCO2")</f>
        <v>CCCN(Cc1ccccn1)c1c(-c2cc(CN(C)Cc3ccccn3)ccn2)ccc2c1OCCOCCOCCOCCOCCO2</v>
      </c>
      <c r="C4999" s="7">
        <f>IFERROR(__xludf.DUMMYFUNCTION("""COMPUTED_VALUE"""),7.7921233)</f>
        <v>7.7921233</v>
      </c>
      <c r="D4999" s="7">
        <f>IFERROR(__xludf.DUMMYFUNCTION("""COMPUTED_VALUE"""),0.35820895522388)</f>
        <v>0.3582089552</v>
      </c>
    </row>
    <row r="5000">
      <c r="A5000" s="10" t="s">
        <v>6439</v>
      </c>
      <c r="B5000" s="7" t="str">
        <f>IFERROR(__xludf.DUMMYFUNCTION("SPLIT(A5000,"" "")"),"COC(=O)C1C(c2ccccn2)CC(c2ccccn2)N(C)C1c1ncccc1CN1CCN(C)CCN(C)CC1")</f>
        <v>COC(=O)C1C(c2ccccn2)CC(c2ccccn2)N(C)C1c1ncccc1CN1CCN(C)CCN(C)CC1</v>
      </c>
      <c r="C5000" s="7">
        <f>IFERROR(__xludf.DUMMYFUNCTION("""COMPUTED_VALUE"""),7.792116)</f>
        <v>7.792116</v>
      </c>
      <c r="D5000" s="7">
        <f>IFERROR(__xludf.DUMMYFUNCTION("""COMPUTED_VALUE"""),0.370967741935483)</f>
        <v>0.3709677419</v>
      </c>
    </row>
    <row r="5001">
      <c r="A5001" s="10" t="s">
        <v>6440</v>
      </c>
      <c r="B5001" s="7" t="str">
        <f>IFERROR(__xludf.DUMMYFUNCTION("SPLIT(A5001,"" "")"),"CC1=C(CN(C)Cc2ccccn2)CCC=C1C(C)(C)C")</f>
        <v>CC1=C(CN(C)Cc2ccccn2)CCC=C1C(C)(C)C</v>
      </c>
      <c r="C5001" s="7">
        <f>IFERROR(__xludf.DUMMYFUNCTION("""COMPUTED_VALUE"""),7.7921157)</f>
        <v>7.7921157</v>
      </c>
      <c r="D5001" s="7">
        <f>IFERROR(__xludf.DUMMYFUNCTION("""COMPUTED_VALUE"""),0.44)</f>
        <v>0.44</v>
      </c>
    </row>
    <row r="5002">
      <c r="A5002" s="10" t="s">
        <v>6441</v>
      </c>
      <c r="B5002" s="7" t="str">
        <f>IFERROR(__xludf.DUMMYFUNCTION("SPLIT(A5002,"" "")"),"CN(Cc1ccc(-c2ccc3c(c2)OCCOCCOCCOCCOCCO3)cn1)C1CCCCC1N(C)c1ccc2ncc(CF)cc2c1")</f>
        <v>CN(Cc1ccc(-c2ccc3c(c2)OCCOCCOCCOCCOCCO3)cn1)C1CCCCC1N(C)c1ccc2ncc(CF)cc2c1</v>
      </c>
      <c r="C5002" s="7">
        <f>IFERROR(__xludf.DUMMYFUNCTION("""COMPUTED_VALUE"""),7.792112)</f>
        <v>7.792112</v>
      </c>
      <c r="D5002" s="7">
        <f>IFERROR(__xludf.DUMMYFUNCTION("""COMPUTED_VALUE"""),0.428571428571428)</f>
        <v>0.4285714286</v>
      </c>
    </row>
    <row r="5003">
      <c r="A5003" s="10" t="s">
        <v>6442</v>
      </c>
      <c r="B5003" s="7" t="str">
        <f>IFERROR(__xludf.DUMMYFUNCTION("SPLIT(A5003,"" "")"),"CC1=CC(Cl)C(Cl)C(N(C)C2CCCCC2N(C)c2ccc3ccc(CF)nc3c2)C1C")</f>
        <v>CC1=CC(Cl)C(Cl)C(N(C)C2CCCCC2N(C)c2ccc3ccc(CF)nc3c2)C1C</v>
      </c>
      <c r="C5003" s="7">
        <f>IFERROR(__xludf.DUMMYFUNCTION("""COMPUTED_VALUE"""),7.7921114)</f>
        <v>7.7921114</v>
      </c>
      <c r="D5003" s="7">
        <f>IFERROR(__xludf.DUMMYFUNCTION("""COMPUTED_VALUE"""),0.428571428571428)</f>
        <v>0.4285714286</v>
      </c>
    </row>
    <row r="5004">
      <c r="A5004" s="10" t="s">
        <v>6443</v>
      </c>
      <c r="B5004" s="7" t="str">
        <f>IFERROR(__xludf.DUMMYFUNCTION("SPLIT(A5004,"" "")"),"CNCc1ncccc1CN(Cc1ccccn1)C1CCC(N(C)Cc2nc(C)c(C)c(C)c2C)CC1")</f>
        <v>CNCc1ncccc1CN(Cc1ccccn1)C1CCC(N(C)Cc2nc(C)c(C)c(C)c2C)CC1</v>
      </c>
      <c r="C5004" s="7">
        <f>IFERROR(__xludf.DUMMYFUNCTION("""COMPUTED_VALUE"""),7.7920938)</f>
        <v>7.7920938</v>
      </c>
      <c r="D5004" s="7">
        <f>IFERROR(__xludf.DUMMYFUNCTION("""COMPUTED_VALUE"""),0.365079365079365)</f>
        <v>0.3650793651</v>
      </c>
    </row>
    <row r="5005">
      <c r="A5005" s="10" t="s">
        <v>6444</v>
      </c>
      <c r="B5005" s="7" t="str">
        <f>IFERROR(__xludf.DUMMYFUNCTION("SPLIT(A5005,"" "")"),"Cc1ccc(CN(C)CC2=C(N(C)Cc3cccc(-c4ccc5c(c4)OCCOCCOCCOCCOCCO5)n3)CC=CN2)nc1")</f>
        <v>Cc1ccc(CN(C)CC2=C(N(C)Cc3cccc(-c4ccc5c(c4)OCCOCCOCCOCCOCCO5)n3)CC=CN2)nc1</v>
      </c>
      <c r="C5005" s="7">
        <f>IFERROR(__xludf.DUMMYFUNCTION("""COMPUTED_VALUE"""),7.792091)</f>
        <v>7.792091</v>
      </c>
      <c r="D5005" s="7">
        <f>IFERROR(__xludf.DUMMYFUNCTION("""COMPUTED_VALUE"""),0.321428571428571)</f>
        <v>0.3214285714</v>
      </c>
    </row>
    <row r="5006">
      <c r="A5006" s="10" t="s">
        <v>6445</v>
      </c>
      <c r="B5006" s="7" t="str">
        <f>IFERROR(__xludf.DUMMYFUNCTION("SPLIT(A5006,"" "")"),"CN(CCF)CCN(Cc1ccccn1)C1CCCCC1N(C)c1cccc2ncccc12")</f>
        <v>CN(CCF)CCN(Cc1ccccn1)C1CCCCC1N(C)c1cccc2ncccc12</v>
      </c>
      <c r="C5006" s="7">
        <f>IFERROR(__xludf.DUMMYFUNCTION("""COMPUTED_VALUE"""),7.7920856)</f>
        <v>7.7920856</v>
      </c>
      <c r="D5006" s="7">
        <f>IFERROR(__xludf.DUMMYFUNCTION("""COMPUTED_VALUE"""),0.440677966101694)</f>
        <v>0.4406779661</v>
      </c>
    </row>
    <row r="5007">
      <c r="A5007" s="10" t="s">
        <v>6446</v>
      </c>
      <c r="B5007" s="7" t="str">
        <f>IFERROR(__xludf.DUMMYFUNCTION("SPLIT(A5007,"" "")"),"CCNCC1=CCC(N(C)CC(C)(C)C)=CN1")</f>
        <v>CCNCC1=CCC(N(C)CC(C)(C)C)=CN1</v>
      </c>
      <c r="C5007" s="7">
        <f>IFERROR(__xludf.DUMMYFUNCTION("""COMPUTED_VALUE"""),7.7920856)</f>
        <v>7.7920856</v>
      </c>
      <c r="D5007" s="7">
        <f>IFERROR(__xludf.DUMMYFUNCTION("""COMPUTED_VALUE"""),0.185185185185185)</f>
        <v>0.1851851852</v>
      </c>
    </row>
    <row r="5008">
      <c r="A5008" s="10" t="s">
        <v>6447</v>
      </c>
      <c r="B5008" s="7" t="str">
        <f>IFERROR(__xludf.DUMMYFUNCTION("SPLIT(A5008,"" "")"),"CN1CCN(Cc2ccccn2)CCN(Cc2cc(N(C)Cc3cccc(C4CC(C)(C)C4)n3)ccn2)CC1")</f>
        <v>CN1CCN(Cc2ccccn2)CCN(Cc2cc(N(C)Cc3cccc(C4CC(C)(C)C4)n3)ccn2)CC1</v>
      </c>
      <c r="C5008" s="7">
        <f>IFERROR(__xludf.DUMMYFUNCTION("""COMPUTED_VALUE"""),7.792076)</f>
        <v>7.792076</v>
      </c>
      <c r="D5008" s="7">
        <f>IFERROR(__xludf.DUMMYFUNCTION("""COMPUTED_VALUE"""),0.491228070175438)</f>
        <v>0.4912280702</v>
      </c>
    </row>
    <row r="5009">
      <c r="A5009" s="10" t="s">
        <v>6448</v>
      </c>
      <c r="B5009" s="7" t="str">
        <f>IFERROR(__xludf.DUMMYFUNCTION("SPLIT(A5009,"" "")"),"CN(Cc1cccc(-c2ccc3c(c2)OCCOCCOCCOCCOCCO3)n1)C1CCCCC1N(C)c1ccc2nc(CF)ccc2c1")</f>
        <v>CN(Cc1cccc(-c2ccc3c(c2)OCCOCCOCCOCCOCCO3)n1)C1CCCCC1N(C)c1ccc2nc(CF)ccc2c1</v>
      </c>
      <c r="C5009" s="7">
        <f>IFERROR(__xludf.DUMMYFUNCTION("""COMPUTED_VALUE"""),7.792075)</f>
        <v>7.792075</v>
      </c>
      <c r="D5009" s="7">
        <f>IFERROR(__xludf.DUMMYFUNCTION("""COMPUTED_VALUE"""),0.397260273972602)</f>
        <v>0.397260274</v>
      </c>
    </row>
    <row r="5010">
      <c r="A5010" s="10" t="s">
        <v>6449</v>
      </c>
      <c r="B5010" s="7" t="str">
        <f>IFERROR(__xludf.DUMMYFUNCTION("SPLIT(A5010,"" "")"),"CN1CCN(C)CCN(C(C)(C)c2ccc(CN(C)C3CCCCC3N(C)c3ccc4ccc(CF)nc4c3)nc2)CC1")</f>
        <v>CN1CCN(C)CCN(C(C)(C)c2ccc(CN(C)C3CCCCC3N(C)c3ccc4ccc(CF)nc4c3)nc2)CC1</v>
      </c>
      <c r="C5010" s="7">
        <f>IFERROR(__xludf.DUMMYFUNCTION("""COMPUTED_VALUE"""),7.7920704)</f>
        <v>7.7920704</v>
      </c>
      <c r="D5010" s="7">
        <f>IFERROR(__xludf.DUMMYFUNCTION("""COMPUTED_VALUE"""),0.4)</f>
        <v>0.4</v>
      </c>
    </row>
    <row r="5011">
      <c r="A5011" s="10" t="s">
        <v>6450</v>
      </c>
      <c r="B5011" s="7" t="str">
        <f>IFERROR(__xludf.DUMMYFUNCTION("SPLIT(A5011,"" "")"),"C1=CC(NCNCc2ccccn2)=CCN1")</f>
        <v>C1=CC(NCNCc2ccccn2)=CCN1</v>
      </c>
      <c r="C5011" s="7">
        <f>IFERROR(__xludf.DUMMYFUNCTION("""COMPUTED_VALUE"""),7.7920704)</f>
        <v>7.7920704</v>
      </c>
      <c r="D5011" s="7">
        <f>IFERROR(__xludf.DUMMYFUNCTION("""COMPUTED_VALUE"""),0.475)</f>
        <v>0.475</v>
      </c>
    </row>
    <row r="5012">
      <c r="A5012" s="10" t="s">
        <v>6451</v>
      </c>
      <c r="B5012" s="7" t="str">
        <f>IFERROR(__xludf.DUMMYFUNCTION("SPLIT(A5012,"" "")"),"C=CCNCc1cc(C(C)(C)C)ccn1")</f>
        <v>C=CCNCc1cc(C(C)(C)C)ccn1</v>
      </c>
      <c r="C5012" s="7">
        <f>IFERROR(__xludf.DUMMYFUNCTION("""COMPUTED_VALUE"""),7.79207)</f>
        <v>7.79207</v>
      </c>
      <c r="D5012" s="7">
        <f>IFERROR(__xludf.DUMMYFUNCTION("""COMPUTED_VALUE"""),0.309523809523809)</f>
        <v>0.3095238095</v>
      </c>
    </row>
    <row r="5013">
      <c r="A5013" s="10" t="s">
        <v>6452</v>
      </c>
      <c r="B5013" s="7" t="str">
        <f>IFERROR(__xludf.DUMMYFUNCTION("SPLIT(A5013,"" "")"),"CN(Cc1cc(-c2ccc3c(c2)OCCOCCOCCOCCOCCO3)ccn1)C1CCCCC1N(C)c1ccc2ncccc2c1")</f>
        <v>CN(Cc1cc(-c2ccc3c(c2)OCCOCCOCCOCCOCCO3)ccn1)C1CCCCC1N(C)c1ccc2ncccc2c1</v>
      </c>
      <c r="C5013" s="7">
        <f>IFERROR(__xludf.DUMMYFUNCTION("""COMPUTED_VALUE"""),7.7920656)</f>
        <v>7.7920656</v>
      </c>
      <c r="D5013" s="7">
        <f>IFERROR(__xludf.DUMMYFUNCTION("""COMPUTED_VALUE"""),0.4)</f>
        <v>0.4</v>
      </c>
    </row>
    <row r="5014">
      <c r="A5014" s="10" t="s">
        <v>6453</v>
      </c>
      <c r="B5014" s="7" t="str">
        <f>IFERROR(__xludf.DUMMYFUNCTION("SPLIT(A5014,"" "")"),"CN(Cc1cccc(-c2cccc3c2OCCOCCOCCOCCOCCO3)n1)Cc1cccc(N(C)C)n1")</f>
        <v>CN(Cc1cccc(-c2cccc3c2OCCOCCOCCOCCOCCO3)n1)Cc1cccc(N(C)C)n1</v>
      </c>
      <c r="C5014" s="7">
        <f>IFERROR(__xludf.DUMMYFUNCTION("""COMPUTED_VALUE"""),7.7920647)</f>
        <v>7.7920647</v>
      </c>
      <c r="D5014" s="7">
        <f>IFERROR(__xludf.DUMMYFUNCTION("""COMPUTED_VALUE"""),0.375)</f>
        <v>0.375</v>
      </c>
    </row>
    <row r="5015">
      <c r="A5015" s="10" t="s">
        <v>6454</v>
      </c>
      <c r="B5015" s="7" t="str">
        <f>IFERROR(__xludf.DUMMYFUNCTION("SPLIT(A5015,"" "")"),"CNCc1cccc(CN(Cc2ccccn2)C2CCC(N(C)Cc3nc(C)c(C)c(C)c3C)CC2)n1")</f>
        <v>CNCc1cccc(CN(Cc2ccccn2)C2CCC(N(C)Cc3nc(C)c(C)c(C)c3C)CC2)n1</v>
      </c>
      <c r="C5015" s="7">
        <f>IFERROR(__xludf.DUMMYFUNCTION("""COMPUTED_VALUE"""),7.792059)</f>
        <v>7.792059</v>
      </c>
      <c r="D5015" s="7">
        <f>IFERROR(__xludf.DUMMYFUNCTION("""COMPUTED_VALUE"""),0.383333333333333)</f>
        <v>0.3833333333</v>
      </c>
    </row>
    <row r="5016">
      <c r="A5016" s="10" t="s">
        <v>6455</v>
      </c>
      <c r="B5016" s="7" t="str">
        <f>IFERROR(__xludf.DUMMYFUNCTION("SPLIT(A5016,"" "")"),"CC1=CC(C)C2(CC1)CC(C)C(C)=C(C)C2(C)N(Cc1ccccn1)Cc1ncccc1C")</f>
        <v>CC1=CC(C)C2(CC1)CC(C)C(C)=C(C)C2(C)N(Cc1ccccn1)Cc1ncccc1C</v>
      </c>
      <c r="C5016" s="7">
        <f>IFERROR(__xludf.DUMMYFUNCTION("""COMPUTED_VALUE"""),7.792053)</f>
        <v>7.792053</v>
      </c>
      <c r="D5016" s="7">
        <f>IFERROR(__xludf.DUMMYFUNCTION("""COMPUTED_VALUE"""),0.298507462686567)</f>
        <v>0.2985074627</v>
      </c>
    </row>
    <row r="5017">
      <c r="A5017" s="10" t="s">
        <v>6456</v>
      </c>
      <c r="B5017" s="7" t="str">
        <f>IFERROR(__xludf.DUMMYFUNCTION("SPLIT(A5017,"" "")"),"CN(Cc1cccnn1)C1CCCC(N(Cc2ccccn2)c2ccccc2F)C1")</f>
        <v>CN(Cc1cccnn1)C1CCCC(N(Cc2ccccn2)c2ccccc2F)C1</v>
      </c>
      <c r="C5017" s="7">
        <f>IFERROR(__xludf.DUMMYFUNCTION("""COMPUTED_VALUE"""),7.792053)</f>
        <v>7.792053</v>
      </c>
      <c r="D5017" s="7">
        <f>IFERROR(__xludf.DUMMYFUNCTION("""COMPUTED_VALUE"""),0.454545454545454)</f>
        <v>0.4545454545</v>
      </c>
    </row>
    <row r="5018">
      <c r="A5018" s="10" t="s">
        <v>6457</v>
      </c>
      <c r="B5018" s="7" t="str">
        <f>IFERROR(__xludf.DUMMYFUNCTION("SPLIT(A5018,"" "")"),"CNCc1cncc(C)c1")</f>
        <v>CNCc1cncc(C)c1</v>
      </c>
      <c r="C5018" s="7">
        <f>IFERROR(__xludf.DUMMYFUNCTION("""COMPUTED_VALUE"""),7.7920465)</f>
        <v>7.7920465</v>
      </c>
      <c r="D5018" s="7">
        <f>IFERROR(__xludf.DUMMYFUNCTION("""COMPUTED_VALUE"""),0.2)</f>
        <v>0.2</v>
      </c>
    </row>
    <row r="5019">
      <c r="A5019" s="10" t="s">
        <v>6458</v>
      </c>
      <c r="B5019" s="7" t="str">
        <f>IFERROR(__xludf.DUMMYFUNCTION("SPLIT(A5019,"" "")"),"CCNCc1cc(C(C)(C)C)ccn1")</f>
        <v>CCNCc1cc(C(C)(C)C)ccn1</v>
      </c>
      <c r="C5019" s="7">
        <f>IFERROR(__xludf.DUMMYFUNCTION("""COMPUTED_VALUE"""),7.792045)</f>
        <v>7.792045</v>
      </c>
      <c r="D5019" s="7">
        <f>IFERROR(__xludf.DUMMYFUNCTION("""COMPUTED_VALUE"""),0.342105263157894)</f>
        <v>0.3421052632</v>
      </c>
    </row>
    <row r="5020">
      <c r="A5020" s="10" t="s">
        <v>6459</v>
      </c>
      <c r="B5020" s="7" t="str">
        <f>IFERROR(__xludf.DUMMYFUNCTION("SPLIT(A5020,"" "")"),"CC(C)N(Cc1ccc(-c2ccc3c(c2)OCCOCCOCCOCCOCCO3)cn1)Cc1ccc(N(C)C)cn1")</f>
        <v>CC(C)N(Cc1ccc(-c2ccc3c(c2)OCCOCCOCCOCCOCCO3)cn1)Cc1ccc(N(C)C)cn1</v>
      </c>
      <c r="C5020" s="7">
        <f>IFERROR(__xludf.DUMMYFUNCTION("""COMPUTED_VALUE"""),7.79204)</f>
        <v>7.79204</v>
      </c>
      <c r="D5020" s="7">
        <f>IFERROR(__xludf.DUMMYFUNCTION("""COMPUTED_VALUE"""),0.483870967741935)</f>
        <v>0.4838709677</v>
      </c>
    </row>
    <row r="5021">
      <c r="A5021" s="10" t="s">
        <v>6460</v>
      </c>
      <c r="B5021" s="7" t="str">
        <f>IFERROR(__xludf.DUMMYFUNCTION("SPLIT(A5021,"" "")"),"Cc1cc(-c2cc(CN3CCN(C)CCN(C)CC3)ccn2)ccn1")</f>
        <v>Cc1cc(-c2cc(CN3CCN(C)CCN(C)CC3)ccn2)ccn1</v>
      </c>
      <c r="C5021" s="7">
        <f>IFERROR(__xludf.DUMMYFUNCTION("""COMPUTED_VALUE"""),7.792039)</f>
        <v>7.792039</v>
      </c>
      <c r="D5021" s="7">
        <f>IFERROR(__xludf.DUMMYFUNCTION("""COMPUTED_VALUE"""),0.488888888888888)</f>
        <v>0.4888888889</v>
      </c>
    </row>
    <row r="5022">
      <c r="A5022" s="10" t="s">
        <v>6461</v>
      </c>
      <c r="B5022" s="7" t="str">
        <f>IFERROR(__xludf.DUMMYFUNCTION("SPLIT(A5022,"" "")"),"CN(Cc1ccc(-c2ccc3c(c2)OCCOCCOCCOCCOCCO3)cn1)C1CCCCC1N(C)c1ccc2nc(CF)ccc2c1")</f>
        <v>CN(Cc1ccc(-c2ccc3c(c2)OCCOCCOCCOCCOCCO3)cn1)C1CCCCC1N(C)c1ccc2nc(CF)ccc2c1</v>
      </c>
      <c r="C5022" s="7">
        <f>IFERROR(__xludf.DUMMYFUNCTION("""COMPUTED_VALUE"""),7.792037)</f>
        <v>7.792037</v>
      </c>
      <c r="D5022" s="7">
        <f>IFERROR(__xludf.DUMMYFUNCTION("""COMPUTED_VALUE"""),0.445945945945945)</f>
        <v>0.4459459459</v>
      </c>
    </row>
    <row r="5023">
      <c r="A5023" s="10" t="s">
        <v>6462</v>
      </c>
      <c r="B5023" s="7" t="str">
        <f>IFERROR(__xludf.DUMMYFUNCTION("SPLIT(A5023,"" "")"),"CNC1CCCC(N(C)Cc2cc(C)ccn2)C1N(Cc1cc(C)ccn1)Cc1cc(C)c(C)c(C)n1")</f>
        <v>CNC1CCCC(N(C)Cc2cc(C)ccn2)C1N(Cc1cc(C)ccn1)Cc1cc(C)c(C)c(C)n1</v>
      </c>
      <c r="C5023" s="7">
        <f>IFERROR(__xludf.DUMMYFUNCTION("""COMPUTED_VALUE"""),7.792036)</f>
        <v>7.792036</v>
      </c>
      <c r="D5023" s="7">
        <f>IFERROR(__xludf.DUMMYFUNCTION("""COMPUTED_VALUE"""),0.354838709677419)</f>
        <v>0.3548387097</v>
      </c>
    </row>
    <row r="5024">
      <c r="A5024" s="10" t="s">
        <v>6463</v>
      </c>
      <c r="B5024" s="7" t="str">
        <f>IFERROR(__xludf.DUMMYFUNCTION("SPLIT(A5024,"" "")"),"CC(C)N(C)CC1C=CNC=C1N(C)Cc1cccnn1")</f>
        <v>CC(C)N(C)CC1C=CNC=C1N(C)Cc1cccnn1</v>
      </c>
      <c r="C5024" s="7">
        <f>IFERROR(__xludf.DUMMYFUNCTION("""COMPUTED_VALUE"""),7.792036)</f>
        <v>7.792036</v>
      </c>
      <c r="D5024" s="7">
        <f>IFERROR(__xludf.DUMMYFUNCTION("""COMPUTED_VALUE"""),0.4)</f>
        <v>0.4</v>
      </c>
    </row>
    <row r="5025">
      <c r="A5025" s="10" t="s">
        <v>6464</v>
      </c>
      <c r="B5025" s="7" t="str">
        <f>IFERROR(__xludf.DUMMYFUNCTION("SPLIT(A5025,"" "")"),"CNCCN(Cc1ccccn1)Cc1cccc(C2CC(C)(C)C2)n1")</f>
        <v>CNCCN(Cc1ccccn1)Cc1cccc(C2CC(C)(C)C2)n1</v>
      </c>
      <c r="C5025" s="7">
        <f>IFERROR(__xludf.DUMMYFUNCTION("""COMPUTED_VALUE"""),7.7920337)</f>
        <v>7.7920337</v>
      </c>
      <c r="D5025" s="7">
        <f>IFERROR(__xludf.DUMMYFUNCTION("""COMPUTED_VALUE"""),0.431372549019607)</f>
        <v>0.431372549</v>
      </c>
    </row>
    <row r="5026">
      <c r="A5026" s="10" t="s">
        <v>6465</v>
      </c>
      <c r="B5026" s="7" t="str">
        <f>IFERROR(__xludf.DUMMYFUNCTION("SPLIT(A5026,"" "")"),"CC(N1CCN(C)CCN(C)CC1)N(C)c1cccc2cccnc12")</f>
        <v>CC(N1CCN(C)CCN(C)CC1)N(C)c1cccc2cccnc12</v>
      </c>
      <c r="C5026" s="7">
        <f>IFERROR(__xludf.DUMMYFUNCTION("""COMPUTED_VALUE"""),7.7920303)</f>
        <v>7.7920303</v>
      </c>
      <c r="D5026" s="7">
        <f>IFERROR(__xludf.DUMMYFUNCTION("""COMPUTED_VALUE"""),0.477272727272727)</f>
        <v>0.4772727273</v>
      </c>
    </row>
    <row r="5027">
      <c r="A5027" s="10" t="s">
        <v>6466</v>
      </c>
      <c r="B5027" s="7" t="str">
        <f>IFERROR(__xludf.DUMMYFUNCTION("SPLIT(A5027,"" "")"),"CN(Cc1cccc(-c2cccc3c2OCCOCCOCCOCCOCCO3)n1)C1CCCCC1N(C)c1ccc2nc(CF)ccc2c1")</f>
        <v>CN(Cc1cccc(-c2cccc3c2OCCOCCOCCOCCOCCO3)n1)C1CCCCC1N(C)c1ccc2nc(CF)ccc2c1</v>
      </c>
      <c r="C5027" s="7">
        <f>IFERROR(__xludf.DUMMYFUNCTION("""COMPUTED_VALUE"""),7.792022)</f>
        <v>7.792022</v>
      </c>
      <c r="D5027" s="7">
        <f>IFERROR(__xludf.DUMMYFUNCTION("""COMPUTED_VALUE"""),0.391891891891891)</f>
        <v>0.3918918919</v>
      </c>
    </row>
    <row r="5028">
      <c r="A5028" s="10" t="s">
        <v>6467</v>
      </c>
      <c r="B5028" s="7" t="str">
        <f>IFERROR(__xludf.DUMMYFUNCTION("SPLIT(A5028,"" "")"),"CNCc1cc(CN(Cc2ccccn2)C2CCC(N(C)Cc3nc(C)c(C)c(C)c3C)CC2)ccn1")</f>
        <v>CNCc1cc(CN(Cc2ccccn2)C2CCC(N(C)Cc3nc(C)c(C)c(C)c3C)CC2)ccn1</v>
      </c>
      <c r="C5028" s="7">
        <f>IFERROR(__xludf.DUMMYFUNCTION("""COMPUTED_VALUE"""),7.7920218)</f>
        <v>7.7920218</v>
      </c>
      <c r="D5028" s="7">
        <f>IFERROR(__xludf.DUMMYFUNCTION("""COMPUTED_VALUE"""),0.365079365079365)</f>
        <v>0.3650793651</v>
      </c>
    </row>
    <row r="5029">
      <c r="A5029" s="10" t="s">
        <v>6468</v>
      </c>
      <c r="B5029" s="7" t="str">
        <f>IFERROR(__xludf.DUMMYFUNCTION("SPLIT(A5029,"" "")"),"CC(C)C(C)(c1ccccn1)C(C)CN(Cc1ccccn1)Cc1ccccn1")</f>
        <v>CC(C)C(C)(c1ccccn1)C(C)CN(Cc1ccccn1)Cc1ccccn1</v>
      </c>
      <c r="C5029" s="7">
        <f>IFERROR(__xludf.DUMMYFUNCTION("""COMPUTED_VALUE"""),7.792021)</f>
        <v>7.792021</v>
      </c>
      <c r="D5029" s="7">
        <f>IFERROR(__xludf.DUMMYFUNCTION("""COMPUTED_VALUE"""),0.5)</f>
        <v>0.5</v>
      </c>
    </row>
    <row r="5030">
      <c r="A5030" s="10" t="s">
        <v>6469</v>
      </c>
      <c r="B5030" s="7" t="str">
        <f>IFERROR(__xludf.DUMMYFUNCTION("SPLIT(A5030,"" "")"),"CN(Cc1ccc(-c2cccc3c2OCCOCCOCCOCCOCCO3)cn1)C1CCCCC1N(C)c1ccc2ncc(CF)cc2c1")</f>
        <v>CN(Cc1ccc(-c2cccc3c2OCCOCCOCCOCCOCCO3)cn1)C1CCCCC1N(C)c1ccc2ncc(CF)cc2c1</v>
      </c>
      <c r="C5030" s="7">
        <f>IFERROR(__xludf.DUMMYFUNCTION("""COMPUTED_VALUE"""),7.7920117)</f>
        <v>7.7920117</v>
      </c>
      <c r="D5030" s="7">
        <f>IFERROR(__xludf.DUMMYFUNCTION("""COMPUTED_VALUE"""),0.342105263157894)</f>
        <v>0.3421052632</v>
      </c>
    </row>
    <row r="5031">
      <c r="A5031" s="10" t="s">
        <v>6470</v>
      </c>
      <c r="B5031" s="7" t="str">
        <f>IFERROR(__xludf.DUMMYFUNCTION("SPLIT(A5031,"" "")"),"Cc1ccc(CN(C)C2CCCC(N(Cc3ccccn3)Cc3ncc(C)cc3C)C2)nc1")</f>
        <v>Cc1ccc(CN(C)C2CCCC(N(Cc3ccccn3)Cc3ncc(C)cc3C)C2)nc1</v>
      </c>
      <c r="C5031" s="7">
        <f>IFERROR(__xludf.DUMMYFUNCTION("""COMPUTED_VALUE"""),7.791986)</f>
        <v>7.791986</v>
      </c>
      <c r="D5031" s="7">
        <f>IFERROR(__xludf.DUMMYFUNCTION("""COMPUTED_VALUE"""),0.456140350877192)</f>
        <v>0.4561403509</v>
      </c>
    </row>
    <row r="5032">
      <c r="A5032" s="10" t="s">
        <v>6471</v>
      </c>
      <c r="B5032" s="7" t="str">
        <f>IFERROR(__xludf.DUMMYFUNCTION("SPLIT(A5032,"" "")"),"Cc1cccc(CN(Cc2ncccc2C)C2CCC(N(C)Cc3ncccc3C)CC2)n1")</f>
        <v>Cc1cccc(CN(Cc2ncccc2C)C2CCC(N(C)Cc3ncccc3C)CC2)n1</v>
      </c>
      <c r="C5032" s="7">
        <f>IFERROR(__xludf.DUMMYFUNCTION("""COMPUTED_VALUE"""),7.791986)</f>
        <v>7.791986</v>
      </c>
      <c r="D5032" s="7">
        <f>IFERROR(__xludf.DUMMYFUNCTION("""COMPUTED_VALUE"""),0.470588235294117)</f>
        <v>0.4705882353</v>
      </c>
    </row>
    <row r="5033">
      <c r="A5033" s="10" t="s">
        <v>6472</v>
      </c>
      <c r="B5033" s="7" t="str">
        <f>IFERROR(__xludf.DUMMYFUNCTION("SPLIT(A5033,"" "")"),"Cc1cc(C)c(CN(C)Cc2cccc(-c3ccc4c(c3)OCCOCCOCCOCCOCCO4)n2)nc1C")</f>
        <v>Cc1cc(C)c(CN(C)Cc2cccc(-c3ccc4c(c3)OCCOCCOCCOCCOCCO4)n2)nc1C</v>
      </c>
      <c r="C5033" s="7">
        <f>IFERROR(__xludf.DUMMYFUNCTION("""COMPUTED_VALUE"""),7.791983)</f>
        <v>7.791983</v>
      </c>
      <c r="D5033" s="7">
        <f>IFERROR(__xludf.DUMMYFUNCTION("""COMPUTED_VALUE"""),0.344262295081967)</f>
        <v>0.3442622951</v>
      </c>
    </row>
    <row r="5034">
      <c r="A5034" s="10" t="s">
        <v>6473</v>
      </c>
      <c r="B5034" s="7" t="str">
        <f>IFERROR(__xludf.DUMMYFUNCTION("SPLIT(A5034,"" "")"),"CNC1CCCC(N(Cc2cc(C)c(C)c(C)n2)Cc2cc(C)c(C)c(C)n2)C1")</f>
        <v>CNC1CCCC(N(Cc2cc(C)c(C)c(C)n2)Cc2cc(C)c(C)c(C)n2)C1</v>
      </c>
      <c r="C5034" s="7">
        <f>IFERROR(__xludf.DUMMYFUNCTION("""COMPUTED_VALUE"""),7.791967)</f>
        <v>7.791967</v>
      </c>
      <c r="D5034" s="7">
        <f>IFERROR(__xludf.DUMMYFUNCTION("""COMPUTED_VALUE"""),0.25)</f>
        <v>0.25</v>
      </c>
    </row>
    <row r="5035">
      <c r="A5035" s="10" t="s">
        <v>6474</v>
      </c>
      <c r="B5035" s="7" t="str">
        <f>IFERROR(__xludf.DUMMYFUNCTION("SPLIT(A5035,"" "")"),"CC(C)N(Cc1ccccn1)Cc1cccc(CN(Cc2ccccn2)C2CCC(N(C)Cc3cccc(C4CC(C)(C)C4)n3)CC2)n1")</f>
        <v>CC(C)N(Cc1ccccn1)Cc1cccc(CN(Cc2ccccn2)C2CCC(N(C)Cc3cccc(C4CC(C)(C)C4)n3)CC2)n1</v>
      </c>
      <c r="C5035" s="7">
        <f>IFERROR(__xludf.DUMMYFUNCTION("""COMPUTED_VALUE"""),7.7919583)</f>
        <v>7.7919583</v>
      </c>
      <c r="D5035" s="7">
        <f>IFERROR(__xludf.DUMMYFUNCTION("""COMPUTED_VALUE"""),0.413793103448275)</f>
        <v>0.4137931034</v>
      </c>
    </row>
    <row r="5036">
      <c r="A5036" s="10" t="s">
        <v>6475</v>
      </c>
      <c r="B5036" s="7" t="str">
        <f>IFERROR(__xludf.DUMMYFUNCTION("SPLIT(A5036,"" "")"),"Cc1ccccc1C")</f>
        <v>Cc1ccccc1C</v>
      </c>
      <c r="C5036" s="7">
        <f>IFERROR(__xludf.DUMMYFUNCTION("""COMPUTED_VALUE"""),7.7919416)</f>
        <v>7.7919416</v>
      </c>
      <c r="D5036" s="7">
        <f>IFERROR(__xludf.DUMMYFUNCTION("""COMPUTED_VALUE"""),0.5)</f>
        <v>0.5</v>
      </c>
    </row>
    <row r="5037">
      <c r="A5037" s="10" t="s">
        <v>6476</v>
      </c>
      <c r="B5037" s="7" t="str">
        <f>IFERROR(__xludf.DUMMYFUNCTION("SPLIT(A5037,"" "")"),"CN(Cc1ncccc1-c1cccc2c1OCCOCCOCCOCCOCCO2)C1CCCCC1N(C)c1ccc2cc(CF)cnc2c1")</f>
        <v>CN(Cc1ncccc1-c1cccc2c1OCCOCCOCCOCCOCCO2)C1CCCCC1N(C)c1ccc2cc(CF)cnc2c1</v>
      </c>
      <c r="C5037" s="7">
        <f>IFERROR(__xludf.DUMMYFUNCTION("""COMPUTED_VALUE"""),7.7919354)</f>
        <v>7.7919354</v>
      </c>
      <c r="D5037" s="7">
        <f>IFERROR(__xludf.DUMMYFUNCTION("""COMPUTED_VALUE"""),0.311688311688311)</f>
        <v>0.3116883117</v>
      </c>
    </row>
    <row r="5038">
      <c r="A5038" s="10" t="s">
        <v>6477</v>
      </c>
      <c r="B5038" s="7" t="str">
        <f>IFERROR(__xludf.DUMMYFUNCTION("SPLIT(A5038,"" "")"),"CN(Cc1cc(-c2ccc3c(c2)OCCOCCOCCOCCOCCO3)ccn1)C1CCCCC1N(C)c1ccc2nc(CF)ccc2c1")</f>
        <v>CN(Cc1cc(-c2ccc3c(c2)OCCOCCOCCOCCOCCO3)ccn1)C1CCCCC1N(C)c1ccc2nc(CF)ccc2c1</v>
      </c>
      <c r="C5038" s="7">
        <f>IFERROR(__xludf.DUMMYFUNCTION("""COMPUTED_VALUE"""),7.7919354)</f>
        <v>7.7919354</v>
      </c>
      <c r="D5038" s="7">
        <f>IFERROR(__xludf.DUMMYFUNCTION("""COMPUTED_VALUE"""),0.367088607594936)</f>
        <v>0.3670886076</v>
      </c>
    </row>
    <row r="5039">
      <c r="A5039" s="10" t="s">
        <v>6478</v>
      </c>
      <c r="B5039" s="7" t="str">
        <f>IFERROR(__xludf.DUMMYFUNCTION("SPLIT(A5039,"" "")"),"CNCc1cccc(CN(Cc2cccc(C)n2)C2CCC(N(C)Cc3ncc(C)c(C)c3C)CC2)n1")</f>
        <v>CNCc1cccc(CN(Cc2cccc(C)n2)C2CCC(N(C)Cc3ncc(C)c(C)c3C)CC2)n1</v>
      </c>
      <c r="C5039" s="7">
        <f>IFERROR(__xludf.DUMMYFUNCTION("""COMPUTED_VALUE"""),7.791928)</f>
        <v>7.791928</v>
      </c>
      <c r="D5039" s="7">
        <f>IFERROR(__xludf.DUMMYFUNCTION("""COMPUTED_VALUE"""),0.406779661016949)</f>
        <v>0.406779661</v>
      </c>
    </row>
    <row r="5040">
      <c r="A5040" s="10" t="s">
        <v>6479</v>
      </c>
      <c r="B5040" s="7" t="str">
        <f>IFERROR(__xludf.DUMMYFUNCTION("SPLIT(A5040,"" "")"),"Cc1cccnc1CN(C)C1C=CNC(CN(C)C(C)C)=C1")</f>
        <v>Cc1cccnc1CN(C)C1C=CNC(CN(C)C(C)C)=C1</v>
      </c>
      <c r="C5040" s="7">
        <f>IFERROR(__xludf.DUMMYFUNCTION("""COMPUTED_VALUE"""),7.791926)</f>
        <v>7.791926</v>
      </c>
      <c r="D5040" s="7">
        <f>IFERROR(__xludf.DUMMYFUNCTION("""COMPUTED_VALUE"""),0.295081967213114)</f>
        <v>0.2950819672</v>
      </c>
    </row>
    <row r="5041">
      <c r="A5041" s="10" t="s">
        <v>6480</v>
      </c>
      <c r="B5041" s="7" t="str">
        <f>IFERROR(__xludf.DUMMYFUNCTION("SPLIT(A5041,"" "")"),"CC(C)N(C)Cc1cccc(C2CC(C)(C)C2)n1")</f>
        <v>CC(C)N(C)Cc1cccc(C2CC(C)(C)C2)n1</v>
      </c>
      <c r="C5041" s="7">
        <f>IFERROR(__xludf.DUMMYFUNCTION("""COMPUTED_VALUE"""),7.791922)</f>
        <v>7.791922</v>
      </c>
      <c r="D5041" s="7">
        <f>IFERROR(__xludf.DUMMYFUNCTION("""COMPUTED_VALUE"""),0.34)</f>
        <v>0.34</v>
      </c>
    </row>
    <row r="5042">
      <c r="A5042" s="10" t="s">
        <v>6481</v>
      </c>
      <c r="B5042" s="7" t="str">
        <f>IFERROR(__xludf.DUMMYFUNCTION("SPLIT(A5042,"" "")"),"CC1CC=CC2(C=CCC(C)C2(C)c2cc(CN(Cc3ccccn3)Cc3ccccn3)ccn2)C1C")</f>
        <v>CC1CC=CC2(C=CCC(C)C2(C)c2cc(CN(Cc3ccccn3)Cc3ccccn3)ccn2)C1C</v>
      </c>
      <c r="C5042" s="7">
        <f>IFERROR(__xludf.DUMMYFUNCTION("""COMPUTED_VALUE"""),7.791916)</f>
        <v>7.791916</v>
      </c>
      <c r="D5042" s="7">
        <f>IFERROR(__xludf.DUMMYFUNCTION("""COMPUTED_VALUE"""),0.384615384615384)</f>
        <v>0.3846153846</v>
      </c>
    </row>
    <row r="5043">
      <c r="A5043" s="10" t="s">
        <v>6482</v>
      </c>
      <c r="B5043" s="7" t="str">
        <f>IFERROR(__xludf.DUMMYFUNCTION("SPLIT(A5043,"" "")"),"C=Cc1ccc(CN(Cc2ccccn2)C2CCC(N(C)Cc3cccc(F)n3)CC2)nc1")</f>
        <v>C=Cc1ccc(CN(Cc2ccccn2)C2CCC(N(C)Cc3cccc(F)n3)CC2)nc1</v>
      </c>
      <c r="C5043" s="7">
        <f>IFERROR(__xludf.DUMMYFUNCTION("""COMPUTED_VALUE"""),7.7919154)</f>
        <v>7.7919154</v>
      </c>
      <c r="D5043" s="7">
        <f>IFERROR(__xludf.DUMMYFUNCTION("""COMPUTED_VALUE"""),0.415384615384615)</f>
        <v>0.4153846154</v>
      </c>
    </row>
    <row r="5044">
      <c r="A5044" s="10" t="s">
        <v>6483</v>
      </c>
      <c r="B5044" s="7" t="str">
        <f>IFERROR(__xludf.DUMMYFUNCTION("SPLIT(A5044,"" "")"),"Cc1cnc(CN(C)CCN(C)C(C)(C)C)c(C)c1")</f>
        <v>Cc1cnc(CN(C)CCN(C)C(C)(C)C)c(C)c1</v>
      </c>
      <c r="C5044" s="7">
        <f>IFERROR(__xludf.DUMMYFUNCTION("""COMPUTED_VALUE"""),7.791912)</f>
        <v>7.791912</v>
      </c>
      <c r="D5044" s="7">
        <f>IFERROR(__xludf.DUMMYFUNCTION("""COMPUTED_VALUE"""),0.414634146341463)</f>
        <v>0.4146341463</v>
      </c>
    </row>
    <row r="5045">
      <c r="A5045" s="10" t="s">
        <v>6484</v>
      </c>
      <c r="B5045" s="7" t="str">
        <f>IFERROR(__xludf.DUMMYFUNCTION("SPLIT(A5045,"" "")"),"Cc1ccc(C)c(N(C)C2CCCCC2N(C)Cc2ccon2)c1C")</f>
        <v>Cc1ccc(C)c(N(C)C2CCCCC2N(C)Cc2ccon2)c1C</v>
      </c>
      <c r="C5045" s="7">
        <f>IFERROR(__xludf.DUMMYFUNCTION("""COMPUTED_VALUE"""),7.79191)</f>
        <v>7.79191</v>
      </c>
      <c r="D5045" s="7">
        <f>IFERROR(__xludf.DUMMYFUNCTION("""COMPUTED_VALUE"""),0.431372549019607)</f>
        <v>0.431372549</v>
      </c>
    </row>
    <row r="5046">
      <c r="A5046" s="10" t="s">
        <v>6485</v>
      </c>
      <c r="B5046" s="7" t="str">
        <f>IFERROR(__xludf.DUMMYFUNCTION("SPLIT(A5046,"" "")"),"CNCc1nccc(-c2ccc3c(c2)OCCOCCOCCOCCOCCO3)c1C(C)(C)c1cc(CN(Cc2cc(-c3ccc4c(c3)OCCOCCOCCOCCOCCO4)ccn2)Cc2ncccc2C)ccn1")</f>
        <v>CNCc1nccc(-c2ccc3c(c2)OCCOCCOCCOCCOCCO3)c1C(C)(C)c1cc(CN(Cc2cc(-c3ccc4c(c3)OCCOCCOCCOCCOCCO4)ccn2)Cc2ncccc2C)ccn1</v>
      </c>
      <c r="C5046" s="7">
        <f>IFERROR(__xludf.DUMMYFUNCTION("""COMPUTED_VALUE"""),7.7919)</f>
        <v>7.7919</v>
      </c>
      <c r="D5046" s="7">
        <f>IFERROR(__xludf.DUMMYFUNCTION("""COMPUTED_VALUE"""),0.271739130434782)</f>
        <v>0.2717391304</v>
      </c>
    </row>
    <row r="5047">
      <c r="A5047" s="10" t="s">
        <v>6486</v>
      </c>
      <c r="B5047" s="7" t="str">
        <f>IFERROR(__xludf.DUMMYFUNCTION("SPLIT(A5047,"" "")"),"Cc1cnc(CN(C)C2CCC(N(Cc3ccccn3)Cc3cccc(F)n3)CC2)c(C)c1C")</f>
        <v>Cc1cnc(CN(C)C2CCC(N(Cc3ccccn3)Cc3cccc(F)n3)CC2)c(C)c1C</v>
      </c>
      <c r="C5047" s="7">
        <f>IFERROR(__xludf.DUMMYFUNCTION("""COMPUTED_VALUE"""),7.7918954)</f>
        <v>7.7918954</v>
      </c>
      <c r="D5047" s="7">
        <f>IFERROR(__xludf.DUMMYFUNCTION("""COMPUTED_VALUE"""),0.396551724137931)</f>
        <v>0.3965517241</v>
      </c>
    </row>
    <row r="5048">
      <c r="A5048" s="10" t="s">
        <v>6487</v>
      </c>
      <c r="B5048" s="7" t="str">
        <f>IFERROR(__xludf.DUMMYFUNCTION("SPLIT(A5048,"" "")"),"CC1=CC(c2ccccn2)CC(C2=CC(C)CCC2C)C1c1ccc(CN(C)CCN(C)Cc2cccnn2)cn1")</f>
        <v>CC1=CC(c2ccccn2)CC(C2=CC(C)CCC2C)C1c1ccc(CN(C)CCN(C)Cc2cccnn2)cn1</v>
      </c>
      <c r="C5048" s="7">
        <f>IFERROR(__xludf.DUMMYFUNCTION("""COMPUTED_VALUE"""),7.791893)</f>
        <v>7.791893</v>
      </c>
      <c r="D5048" s="7">
        <f>IFERROR(__xludf.DUMMYFUNCTION("""COMPUTED_VALUE"""),0.367647058823529)</f>
        <v>0.3676470588</v>
      </c>
    </row>
    <row r="5049">
      <c r="A5049" s="10" t="s">
        <v>6488</v>
      </c>
      <c r="B5049" s="7" t="str">
        <f>IFERROR(__xludf.DUMMYFUNCTION("SPLIT(A5049,"" "")"),"Cc1cncc(CN(C)C2CCC(N(C)Cc3ccccn3)CC2N(Cc2ccccn2)Cc2cccc(C3CC(C)(C)C3)n2)c1")</f>
        <v>Cc1cncc(CN(C)C2CCC(N(C)Cc3ccccn3)CC2N(Cc2ccccn2)Cc2cccc(C3CC(C)(C)C3)n2)c1</v>
      </c>
      <c r="C5049" s="7">
        <f>IFERROR(__xludf.DUMMYFUNCTION("""COMPUTED_VALUE"""),7.7918816)</f>
        <v>7.7918816</v>
      </c>
      <c r="D5049" s="7">
        <f>IFERROR(__xludf.DUMMYFUNCTION("""COMPUTED_VALUE"""),0.391304347826087)</f>
        <v>0.3913043478</v>
      </c>
    </row>
    <row r="5050">
      <c r="A5050" s="10" t="s">
        <v>6489</v>
      </c>
      <c r="B5050" s="7" t="str">
        <f>IFERROR(__xludf.DUMMYFUNCTION("SPLIT(A5050,"" "")"),"CN(Cc1ncccc1-c1ccc2c(c1)OCCOCCOCCOCCOCCO2)c1ccccc1F")</f>
        <v>CN(Cc1ncccc1-c1ccc2c(c1)OCCOCCOCCOCCOCCO2)c1ccccc1F</v>
      </c>
      <c r="C5050" s="7">
        <f>IFERROR(__xludf.DUMMYFUNCTION("""COMPUTED_VALUE"""),7.7918816)</f>
        <v>7.7918816</v>
      </c>
      <c r="D5050" s="7">
        <f>IFERROR(__xludf.DUMMYFUNCTION("""COMPUTED_VALUE"""),0.323943661971831)</f>
        <v>0.323943662</v>
      </c>
    </row>
    <row r="5051">
      <c r="A5051" s="10" t="s">
        <v>6490</v>
      </c>
      <c r="B5051" s="7" t="str">
        <f>IFERROR(__xludf.DUMMYFUNCTION("SPLIT(A5051,"" "")"),"CN1CCN(C)CCN(C(C)(C)c2cccnc2CN(C)C2CCCCC2N(C)c2ccc3c(CF)ccnc3c2)CC1")</f>
        <v>CN1CCN(C)CCN(C(C)(C)c2cccnc2CN(C)C2CCCCC2N(C)c2ccc3c(CF)ccnc3c2)CC1</v>
      </c>
      <c r="C5051" s="7">
        <f>IFERROR(__xludf.DUMMYFUNCTION("""COMPUTED_VALUE"""),7.7918653)</f>
        <v>7.7918653</v>
      </c>
      <c r="D5051" s="7">
        <f>IFERROR(__xludf.DUMMYFUNCTION("""COMPUTED_VALUE"""),0.319444444444444)</f>
        <v>0.3194444444</v>
      </c>
    </row>
    <row r="5052">
      <c r="A5052" s="10" t="s">
        <v>6491</v>
      </c>
      <c r="B5052" s="7" t="str">
        <f>IFERROR(__xludf.DUMMYFUNCTION("SPLIT(A5052,"" "")"),"CC(C)Nc1cccc(CN2CCN(C)CCN(C(C)(c3ccccn3)c3ccccn3)CC2)n1")</f>
        <v>CC(C)Nc1cccc(CN2CCN(C)CCN(C(C)(c3ccccn3)c3ccccn3)CC2)n1</v>
      </c>
      <c r="C5052" s="7">
        <f>IFERROR(__xludf.DUMMYFUNCTION("""COMPUTED_VALUE"""),7.7918596)</f>
        <v>7.7918596</v>
      </c>
      <c r="D5052" s="7">
        <f>IFERROR(__xludf.DUMMYFUNCTION("""COMPUTED_VALUE"""),0.490566037735849)</f>
        <v>0.4905660377</v>
      </c>
    </row>
    <row r="5053">
      <c r="A5053" s="10" t="s">
        <v>6492</v>
      </c>
      <c r="B5053" s="7" t="str">
        <f>IFERROR(__xludf.DUMMYFUNCTION("SPLIT(A5053,"" "")"),"CNCc1ccc(C)c(CN(Cc2ccccn2)C2CCCC(N(C)Cc3ncc(C)c(C)c3C)C2)n1")</f>
        <v>CNCc1ccc(C)c(CN(Cc2ccccn2)C2CCCC(N(C)Cc3ncc(C)c(C)c3C)C2)n1</v>
      </c>
      <c r="C5053" s="7">
        <f>IFERROR(__xludf.DUMMYFUNCTION("""COMPUTED_VALUE"""),7.791855)</f>
        <v>7.791855</v>
      </c>
      <c r="D5053" s="7">
        <f>IFERROR(__xludf.DUMMYFUNCTION("""COMPUTED_VALUE"""),0.369230769230769)</f>
        <v>0.3692307692</v>
      </c>
    </row>
    <row r="5054">
      <c r="A5054" s="10" t="s">
        <v>6493</v>
      </c>
      <c r="B5054" s="7" t="str">
        <f>IFERROR(__xludf.DUMMYFUNCTION("SPLIT(A5054,"" "")"),"CC(NCc1ccccn1)c1cccnc1CNCF")</f>
        <v>CC(NCc1ccccn1)c1cccnc1CNCF</v>
      </c>
      <c r="C5054" s="7">
        <f>IFERROR(__xludf.DUMMYFUNCTION("""COMPUTED_VALUE"""),7.7918544)</f>
        <v>7.7918544</v>
      </c>
      <c r="D5054" s="7">
        <f>IFERROR(__xludf.DUMMYFUNCTION("""COMPUTED_VALUE"""),0.41860465116279)</f>
        <v>0.4186046512</v>
      </c>
    </row>
    <row r="5055">
      <c r="A5055" s="10" t="s">
        <v>6494</v>
      </c>
      <c r="B5055" s="7" t="str">
        <f>IFERROR(__xludf.DUMMYFUNCTION("SPLIT(A5055,"" "")"),"CC1=C(CN(C)Cc2ccccn2)C(C)CC(NCc2ccccn2)C1")</f>
        <v>CC1=C(CN(C)Cc2ccccn2)C(C)CC(NCc2ccccn2)C1</v>
      </c>
      <c r="C5055" s="7">
        <f>IFERROR(__xludf.DUMMYFUNCTION("""COMPUTED_VALUE"""),7.7918515)</f>
        <v>7.7918515</v>
      </c>
      <c r="D5055" s="7">
        <f>IFERROR(__xludf.DUMMYFUNCTION("""COMPUTED_VALUE"""),0.407407407407407)</f>
        <v>0.4074074074</v>
      </c>
    </row>
    <row r="5056">
      <c r="A5056" s="10" t="s">
        <v>6495</v>
      </c>
      <c r="B5056" s="7" t="str">
        <f>IFERROR(__xludf.DUMMYFUNCTION("SPLIT(A5056,"" "")"),"CN(CC1=CCC=C(N(C)Cc2ccccn2)N1)Cc1cccc(-c2ccc3c(c2)OCCOCCOCCOCCOCCO3)n1")</f>
        <v>CN(CC1=CCC=C(N(C)Cc2ccccn2)N1)Cc1cccc(-c2ccc3c(c2)OCCOCCOCCOCCOCCO3)n1</v>
      </c>
      <c r="C5056" s="7">
        <f>IFERROR(__xludf.DUMMYFUNCTION("""COMPUTED_VALUE"""),7.791848)</f>
        <v>7.791848</v>
      </c>
      <c r="D5056" s="7">
        <f>IFERROR(__xludf.DUMMYFUNCTION("""COMPUTED_VALUE"""),0.424242424242424)</f>
        <v>0.4242424242</v>
      </c>
    </row>
    <row r="5057">
      <c r="A5057" s="10" t="s">
        <v>6496</v>
      </c>
      <c r="B5057" s="7" t="str">
        <f>IFERROR(__xludf.DUMMYFUNCTION("SPLIT(A5057,"" "")"),"Cc1cccnc1CN(C)C1CCC(N(C)Cc2cccc(CN(C)Cc3nccc(C)c3C)n2)CC1")</f>
        <v>Cc1cccnc1CN(C)C1CCC(N(C)Cc2cccc(CN(C)Cc3nccc(C)c3C)n2)CC1</v>
      </c>
      <c r="C5057" s="7">
        <f>IFERROR(__xludf.DUMMYFUNCTION("""COMPUTED_VALUE"""),7.791845)</f>
        <v>7.791845</v>
      </c>
      <c r="D5057" s="7">
        <f>IFERROR(__xludf.DUMMYFUNCTION("""COMPUTED_VALUE"""),0.368421052631578)</f>
        <v>0.3684210526</v>
      </c>
    </row>
    <row r="5058">
      <c r="A5058" s="10" t="s">
        <v>6497</v>
      </c>
      <c r="B5058" s="7" t="str">
        <f>IFERROR(__xludf.DUMMYFUNCTION("SPLIT(A5058,"" "")"),"CNCc1cccc(CN(Cc2ccccn2)C2CCCC(N(C)Cc3nc(C)c(C)cc3C)C2)n1")</f>
        <v>CNCc1cccc(CN(Cc2ccccn2)C2CCCC(N(C)Cc3nc(C)c(C)cc3C)C2)n1</v>
      </c>
      <c r="C5058" s="7">
        <f>IFERROR(__xludf.DUMMYFUNCTION("""COMPUTED_VALUE"""),7.791844)</f>
        <v>7.791844</v>
      </c>
      <c r="D5058" s="7">
        <f>IFERROR(__xludf.DUMMYFUNCTION("""COMPUTED_VALUE"""),0.387096774193548)</f>
        <v>0.3870967742</v>
      </c>
    </row>
    <row r="5059">
      <c r="A5059" s="10" t="s">
        <v>6498</v>
      </c>
      <c r="B5059" s="7" t="str">
        <f>IFERROR(__xludf.DUMMYFUNCTION("SPLIT(A5059,"" "")"),"CN(Cc1cccc(-c2ccc3c(c2)OCCOCCOCCOCCOCCO3)n1)C1CCCCC1N(C)c1ccc2ccc(CF)nc2c1")</f>
        <v>CN(Cc1cccc(-c2ccc3c(c2)OCCOCCOCCOCCOCCO3)n1)C1CCCCC1N(C)c1ccc2ccc(CF)nc2c1</v>
      </c>
      <c r="C5059" s="7">
        <f>IFERROR(__xludf.DUMMYFUNCTION("""COMPUTED_VALUE"""),7.7918406)</f>
        <v>7.7918406</v>
      </c>
      <c r="D5059" s="7">
        <f>IFERROR(__xludf.DUMMYFUNCTION("""COMPUTED_VALUE"""),0.402777777777777)</f>
        <v>0.4027777778</v>
      </c>
    </row>
    <row r="5060">
      <c r="A5060" s="10" t="s">
        <v>6499</v>
      </c>
      <c r="B5060" s="7" t="str">
        <f>IFERROR(__xludf.DUMMYFUNCTION("SPLIT(A5060,"" "")"),"CNC1C(N(C)Cc2cc(C)ccn2)CCCC1N(Cc1cc(C)ccn1)Cc1cc(C)c(C)c(C)n1")</f>
        <v>CNC1C(N(C)Cc2cc(C)ccn2)CCCC1N(Cc1cc(C)ccn1)Cc1cc(C)c(C)c(C)n1</v>
      </c>
      <c r="C5060" s="7">
        <f>IFERROR(__xludf.DUMMYFUNCTION("""COMPUTED_VALUE"""),7.7918386)</f>
        <v>7.7918386</v>
      </c>
      <c r="D5060" s="7">
        <f>IFERROR(__xludf.DUMMYFUNCTION("""COMPUTED_VALUE"""),0.372881355932203)</f>
        <v>0.3728813559</v>
      </c>
    </row>
    <row r="5061">
      <c r="A5061" s="10" t="s">
        <v>6500</v>
      </c>
      <c r="B5061" s="7" t="str">
        <f>IFERROR(__xludf.DUMMYFUNCTION("SPLIT(A5061,"" "")"),"CN(CC1=CCC=C(N(C)Cc2ccccn2)N1)Cc1cc(-c2cccc3c2OCCOCCOCCOCCOCCO3)ccn1")</f>
        <v>CN(CC1=CCC=C(N(C)Cc2ccccn2)N1)Cc1cc(-c2cccc3c2OCCOCCOCCOCCOCCO3)ccn1</v>
      </c>
      <c r="C5061" s="7">
        <f>IFERROR(__xludf.DUMMYFUNCTION("""COMPUTED_VALUE"""),7.791838)</f>
        <v>7.791838</v>
      </c>
      <c r="D5061" s="7">
        <f>IFERROR(__xludf.DUMMYFUNCTION("""COMPUTED_VALUE"""),0.319444444444444)</f>
        <v>0.3194444444</v>
      </c>
    </row>
    <row r="5062">
      <c r="A5062" s="10" t="s">
        <v>6501</v>
      </c>
      <c r="B5062" s="7" t="str">
        <f>IFERROR(__xludf.DUMMYFUNCTION("SPLIT(A5062,"" "")"),"COC(=O)C1CC(c2ccccn2)C(c2ncccc2CN2CCN(C)CCN(C)CC2)N(C)C1c1ccccn1")</f>
        <v>COC(=O)C1CC(c2ccccn2)C(c2ncccc2CN2CCN(C)CCN(C)CC2)N(C)C1c1ccccn1</v>
      </c>
      <c r="C5062" s="7">
        <f>IFERROR(__xludf.DUMMYFUNCTION("""COMPUTED_VALUE"""),7.7918363)</f>
        <v>7.7918363</v>
      </c>
      <c r="D5062" s="7">
        <f>IFERROR(__xludf.DUMMYFUNCTION("""COMPUTED_VALUE"""),0.370967741935483)</f>
        <v>0.3709677419</v>
      </c>
    </row>
    <row r="5063">
      <c r="A5063" s="10" t="s">
        <v>6502</v>
      </c>
      <c r="B5063" s="7" t="str">
        <f>IFERROR(__xludf.DUMMYFUNCTION("SPLIT(A5063,"" "")"),"CNCc1ccc(CN(Cc2ccccn2)C2CCCC(N(C)Cc3nc(C)c(C)cc3C)C2)cn1")</f>
        <v>CNCc1ccc(CN(Cc2ccccn2)C2CCCC(N(C)Cc3nc(C)c(C)cc3C)C2)cn1</v>
      </c>
      <c r="C5063" s="7">
        <f>IFERROR(__xludf.DUMMYFUNCTION("""COMPUTED_VALUE"""),7.791829)</f>
        <v>7.791829</v>
      </c>
      <c r="D5063" s="7">
        <f>IFERROR(__xludf.DUMMYFUNCTION("""COMPUTED_VALUE"""),0.35820895522388)</f>
        <v>0.3582089552</v>
      </c>
    </row>
    <row r="5064">
      <c r="A5064" s="10" t="s">
        <v>6503</v>
      </c>
      <c r="B5064" s="7" t="str">
        <f>IFERROR(__xludf.DUMMYFUNCTION("SPLIT(A5064,"" "")"),"Cc1cccc(CN(C)CC2=C(N(C)Cc3cccc(-c4ccc5c(c4)OCCOCCOCCOCCOCCO5)n3)CC=CN2)n1")</f>
        <v>Cc1cccc(CN(C)CC2=C(N(C)Cc3cccc(-c4ccc5c(c4)OCCOCCOCCOCCOCCO5)n3)CC=CN2)n1</v>
      </c>
      <c r="C5064" s="7">
        <f>IFERROR(__xludf.DUMMYFUNCTION("""COMPUTED_VALUE"""),7.791828)</f>
        <v>7.791828</v>
      </c>
      <c r="D5064" s="7">
        <f>IFERROR(__xludf.DUMMYFUNCTION("""COMPUTED_VALUE"""),0.338461538461538)</f>
        <v>0.3384615385</v>
      </c>
    </row>
    <row r="5065">
      <c r="A5065" s="10" t="s">
        <v>6504</v>
      </c>
      <c r="B5065" s="7" t="str">
        <f>IFERROR(__xludf.DUMMYFUNCTION("SPLIT(A5065,"" "")"),"CN(Cc1ccc2ncccc2c1)c1ccc2c(c1)OCCOCCOCCOCCOCCO2")</f>
        <v>CN(Cc1ccc2ncccc2c1)c1ccc2c(c1)OCCOCCOCCOCCOCCO2</v>
      </c>
      <c r="C5065" s="7">
        <f>IFERROR(__xludf.DUMMYFUNCTION("""COMPUTED_VALUE"""),7.791825)</f>
        <v>7.791825</v>
      </c>
      <c r="D5065" s="7">
        <f>IFERROR(__xludf.DUMMYFUNCTION("""COMPUTED_VALUE"""),0.289855072463768)</f>
        <v>0.2898550725</v>
      </c>
    </row>
    <row r="5066">
      <c r="A5066" s="10" t="s">
        <v>6505</v>
      </c>
      <c r="B5066" s="7" t="str">
        <f>IFERROR(__xludf.DUMMYFUNCTION("SPLIT(A5066,"" "")"),"CN(Cc1ccc(-c2ccc3c(c2)OCCOCCOCCOCCOCCO3)cn1)C1CCCCC1N(C)c1ccc2ccc(CF)nc2c1")</f>
        <v>CN(Cc1ccc(-c2ccc3c(c2)OCCOCCOCCOCCOCCO3)cn1)C1CCCCC1N(C)c1ccc2ccc(CF)nc2c1</v>
      </c>
      <c r="C5066" s="7">
        <f>IFERROR(__xludf.DUMMYFUNCTION("""COMPUTED_VALUE"""),7.791821)</f>
        <v>7.791821</v>
      </c>
      <c r="D5066" s="7">
        <f>IFERROR(__xludf.DUMMYFUNCTION("""COMPUTED_VALUE"""),0.452054794520547)</f>
        <v>0.4520547945</v>
      </c>
    </row>
    <row r="5067">
      <c r="A5067" s="10" t="s">
        <v>6506</v>
      </c>
      <c r="B5067" s="7" t="str">
        <f>IFERROR(__xludf.DUMMYFUNCTION("SPLIT(A5067,"" "")"),"CC1C=CC(C)(c2cccc(CN(Cc3ccccn3)Cc3ccccn3)n2)C(C)C1C")</f>
        <v>CC1C=CC(C)(c2cccc(CN(Cc3ccccn3)Cc3ccccn3)n2)C(C)C1C</v>
      </c>
      <c r="C5067" s="7">
        <f>IFERROR(__xludf.DUMMYFUNCTION("""COMPUTED_VALUE"""),7.7918196)</f>
        <v>7.7918196</v>
      </c>
      <c r="D5067" s="7">
        <f>IFERROR(__xludf.DUMMYFUNCTION("""COMPUTED_VALUE"""),0.454545454545454)</f>
        <v>0.4545454545</v>
      </c>
    </row>
    <row r="5068">
      <c r="A5068" s="10" t="s">
        <v>6507</v>
      </c>
      <c r="B5068" s="7" t="str">
        <f>IFERROR(__xludf.DUMMYFUNCTION("SPLIT(A5068,"" "")"),"CC1=C(C)C(C)CC(C)(c2ncccc2CN(Cc2ccccn2)Cc2cc(-c3ccc4c(c3)OCCOCCOCCOCCOCCO4)ccn2)C1")</f>
        <v>CC1=C(C)C(C)CC(C)(c2ncccc2CN(Cc2ccccn2)Cc2cc(-c3ccc4c(c3)OCCOCCOCCOCCOCCO4)ccn2)C1</v>
      </c>
      <c r="C5068" s="7">
        <f>IFERROR(__xludf.DUMMYFUNCTION("""COMPUTED_VALUE"""),7.7918196)</f>
        <v>7.7918196</v>
      </c>
      <c r="D5068" s="7">
        <f>IFERROR(__xludf.DUMMYFUNCTION("""COMPUTED_VALUE"""),0.305882352941176)</f>
        <v>0.3058823529</v>
      </c>
    </row>
    <row r="5069">
      <c r="A5069" s="10" t="s">
        <v>6508</v>
      </c>
      <c r="B5069" s="7" t="str">
        <f>IFERROR(__xludf.DUMMYFUNCTION("SPLIT(A5069,"" "")"),"Cc1cccnc1CN(C)C1=CNC(CN(C)C2CCCC(N(C)Cc3ncccc3C)C2)=CC1")</f>
        <v>Cc1cccnc1CN(C)C1=CNC(CN(C)C2CCCC(N(C)Cc3ncccc3C)C2)=CC1</v>
      </c>
      <c r="C5069" s="7">
        <f>IFERROR(__xludf.DUMMYFUNCTION("""COMPUTED_VALUE"""),7.791811)</f>
        <v>7.791811</v>
      </c>
      <c r="D5069" s="7">
        <f>IFERROR(__xludf.DUMMYFUNCTION("""COMPUTED_VALUE"""),0.295081967213114)</f>
        <v>0.2950819672</v>
      </c>
    </row>
    <row r="5070">
      <c r="A5070" s="10" t="s">
        <v>6509</v>
      </c>
      <c r="B5070" s="7" t="str">
        <f>IFERROR(__xludf.DUMMYFUNCTION("SPLIT(A5070,"" "")"),"CNCc1ccc(CN(Cc2ccccn2)C2CCC(N(C)Cc3nc(C)c(C)c(C)c3C)CC2)cn1")</f>
        <v>CNCc1ccc(CN(Cc2ccccn2)C2CCC(N(C)Cc3nc(C)c(C)c(C)c3C)CC2)cn1</v>
      </c>
      <c r="C5070" s="7">
        <f>IFERROR(__xludf.DUMMYFUNCTION("""COMPUTED_VALUE"""),7.7918086)</f>
        <v>7.7918086</v>
      </c>
      <c r="D5070" s="7">
        <f>IFERROR(__xludf.DUMMYFUNCTION("""COMPUTED_VALUE"""),0.353846153846153)</f>
        <v>0.3538461538</v>
      </c>
    </row>
    <row r="5071">
      <c r="A5071" s="10" t="s">
        <v>6510</v>
      </c>
      <c r="B5071" s="7" t="str">
        <f>IFERROR(__xludf.DUMMYFUNCTION("SPLIT(A5071,"" "")"),"Cc1cncc(-c2cc(CN3CCN(C)CCN(C)CC3)ccn2)c1")</f>
        <v>Cc1cncc(-c2cc(CN3CCN(C)CCN(C)CC3)ccn2)c1</v>
      </c>
      <c r="C5071" s="7">
        <f>IFERROR(__xludf.DUMMYFUNCTION("""COMPUTED_VALUE"""),7.791808)</f>
        <v>7.791808</v>
      </c>
      <c r="D5071" s="7">
        <f>IFERROR(__xludf.DUMMYFUNCTION("""COMPUTED_VALUE"""),0.489361702127659)</f>
        <v>0.4893617021</v>
      </c>
    </row>
    <row r="5072">
      <c r="A5072" s="10" t="s">
        <v>6511</v>
      </c>
      <c r="B5072" s="7" t="str">
        <f>IFERROR(__xludf.DUMMYFUNCTION("SPLIT(A5072,"" "")"),"CN(CCN)Cc1ccc(N(C)C(C)(C)C)nc1")</f>
        <v>CN(CCN)Cc1ccc(N(C)C(C)(C)C)nc1</v>
      </c>
      <c r="C5072" s="7">
        <f>IFERROR(__xludf.DUMMYFUNCTION("""COMPUTED_VALUE"""),7.7918053)</f>
        <v>7.7918053</v>
      </c>
      <c r="D5072" s="7">
        <f>IFERROR(__xludf.DUMMYFUNCTION("""COMPUTED_VALUE"""),0.34090909090909)</f>
        <v>0.3409090909</v>
      </c>
    </row>
    <row r="5073">
      <c r="A5073" s="10" t="s">
        <v>6512</v>
      </c>
      <c r="B5073" s="7" t="str">
        <f>IFERROR(__xludf.DUMMYFUNCTION("SPLIT(A5073,"" "")"),"Cc1cc(CN(C)CCN(C)C(C)(C)C)cnc1C")</f>
        <v>Cc1cc(CN(C)CCN(C)C(C)(C)C)cnc1C</v>
      </c>
      <c r="C5073" s="7">
        <f>IFERROR(__xludf.DUMMYFUNCTION("""COMPUTED_VALUE"""),7.791804)</f>
        <v>7.791804</v>
      </c>
      <c r="D5073" s="7">
        <f>IFERROR(__xludf.DUMMYFUNCTION("""COMPUTED_VALUE"""),0.348837209302325)</f>
        <v>0.3488372093</v>
      </c>
    </row>
    <row r="5074">
      <c r="A5074" s="10" t="s">
        <v>6513</v>
      </c>
      <c r="B5074" s="7" t="str">
        <f>IFERROR(__xludf.DUMMYFUNCTION("SPLIT(A5074,"" "")"),"CC(C)N(C)c1cccc(-c2ncccc2CN2CCN(C)CCN(C)CC2)c1")</f>
        <v>CC(C)N(C)c1cccc(-c2ncccc2CN2CCN(C)CCN(C)CC2)c1</v>
      </c>
      <c r="C5074" s="7">
        <f>IFERROR(__xludf.DUMMYFUNCTION("""COMPUTED_VALUE"""),7.791801)</f>
        <v>7.791801</v>
      </c>
      <c r="D5074" s="7">
        <f>IFERROR(__xludf.DUMMYFUNCTION("""COMPUTED_VALUE"""),0.396226415094339)</f>
        <v>0.3962264151</v>
      </c>
    </row>
    <row r="5075">
      <c r="A5075" s="10" t="s">
        <v>6514</v>
      </c>
      <c r="B5075" s="7" t="str">
        <f>IFERROR(__xludf.DUMMYFUNCTION("SPLIT(A5075,"" "")"),"CC(C)[Si](c1cccc(CN2CCN(C)CCN(Cc3ncccc3[Si](C(C)C)(C(C)C)C(C)C)CC2)n1)(C(C)C)C(C)C")</f>
        <v>CC(C)[Si](c1cccc(CN2CCN(C)CCN(Cc3ncccc3[Si](C(C)C)(C(C)C)C(C)C)CC2)n1)(C(C)C)C(C)C</v>
      </c>
      <c r="C5075" s="7">
        <f>IFERROR(__xludf.DUMMYFUNCTION("""COMPUTED_VALUE"""),7.791798)</f>
        <v>7.791798</v>
      </c>
      <c r="D5075" s="7">
        <f>IFERROR(__xludf.DUMMYFUNCTION("""COMPUTED_VALUE"""),0.48)</f>
        <v>0.48</v>
      </c>
    </row>
    <row r="5076">
      <c r="A5076" s="10" t="s">
        <v>6515</v>
      </c>
      <c r="B5076" s="7" t="str">
        <f>IFERROR(__xludf.DUMMYFUNCTION("SPLIT(A5076,"" "")"),"CC=CCN(C)C")</f>
        <v>CC=CCN(C)C</v>
      </c>
      <c r="C5076" s="7">
        <f>IFERROR(__xludf.DUMMYFUNCTION("""COMPUTED_VALUE"""),7.79179)</f>
        <v>7.79179</v>
      </c>
      <c r="D5076" s="7">
        <f>IFERROR(__xludf.DUMMYFUNCTION("""COMPUTED_VALUE"""),0.138888888888888)</f>
        <v>0.1388888889</v>
      </c>
    </row>
    <row r="5077">
      <c r="A5077" s="10" t="s">
        <v>6516</v>
      </c>
      <c r="B5077" s="7" t="str">
        <f>IFERROR(__xludf.DUMMYFUNCTION("SPLIT(A5077,"" "")"),"CN(CC1=CCC=C(N(C)Cc2ncccc2-c2cccc3c2OCCOCCOCCOCCOCCO3)N1)Cc1ccccn1")</f>
        <v>CN(CC1=CCC=C(N(C)Cc2ncccc2-c2cccc3c2OCCOCCOCCOCCOCCO3)N1)Cc1ccccn1</v>
      </c>
      <c r="C5077" s="7">
        <f>IFERROR(__xludf.DUMMYFUNCTION("""COMPUTED_VALUE"""),7.7917857)</f>
        <v>7.7917857</v>
      </c>
      <c r="D5077" s="7">
        <f>IFERROR(__xludf.DUMMYFUNCTION("""COMPUTED_VALUE"""),0.328571428571428)</f>
        <v>0.3285714286</v>
      </c>
    </row>
    <row r="5078">
      <c r="A5078" s="10" t="s">
        <v>6517</v>
      </c>
      <c r="B5078" s="7" t="str">
        <f>IFERROR(__xludf.DUMMYFUNCTION("SPLIT(A5078,"" "")"),"CCCNCC1=CC(N(C)Cc2nc(C)ccc2C)C=CN1")</f>
        <v>CCCNCC1=CC(N(C)Cc2nc(C)ccc2C)C=CN1</v>
      </c>
      <c r="C5078" s="7">
        <f>IFERROR(__xludf.DUMMYFUNCTION("""COMPUTED_VALUE"""),7.7917714)</f>
        <v>7.7917714</v>
      </c>
      <c r="D5078" s="7">
        <f>IFERROR(__xludf.DUMMYFUNCTION("""COMPUTED_VALUE"""),0.285714285714285)</f>
        <v>0.2857142857</v>
      </c>
    </row>
    <row r="5079">
      <c r="A5079" s="10" t="s">
        <v>6518</v>
      </c>
      <c r="B5079" s="7" t="str">
        <f>IFERROR(__xludf.DUMMYFUNCTION("SPLIT(A5079,"" "")"),"CNCc1cccc(CN(Cc2cccc(F)n2)C2CCC(N(C)Cc3nc(C)c(C)cc3C)CC2)n1")</f>
        <v>CNCc1cccc(CN(Cc2cccc(F)n2)C2CCC(N(C)Cc3nc(C)c(C)cc3C)CC2)n1</v>
      </c>
      <c r="C5079" s="7">
        <f>IFERROR(__xludf.DUMMYFUNCTION("""COMPUTED_VALUE"""),7.791767)</f>
        <v>7.791767</v>
      </c>
      <c r="D5079" s="7">
        <f>IFERROR(__xludf.DUMMYFUNCTION("""COMPUTED_VALUE"""),0.317460317460317)</f>
        <v>0.3174603175</v>
      </c>
    </row>
    <row r="5080">
      <c r="A5080" s="10" t="s">
        <v>6519</v>
      </c>
      <c r="B5080" s="7" t="str">
        <f>IFERROR(__xludf.DUMMYFUNCTION("SPLIT(A5080,"" "")"),"Cc1cc(CN(C)C2CCCC(N(Cc3ccccn3)Cc3ccccn3)C2)nc(C)c1C")</f>
        <v>Cc1cc(CN(C)C2CCCC(N(Cc3ccccn3)Cc3ccccn3)C2)nc(C)c1C</v>
      </c>
      <c r="C5080" s="7">
        <f>IFERROR(__xludf.DUMMYFUNCTION("""COMPUTED_VALUE"""),7.791765)</f>
        <v>7.791765</v>
      </c>
      <c r="D5080" s="7">
        <f>IFERROR(__xludf.DUMMYFUNCTION("""COMPUTED_VALUE"""),0.48076923076923)</f>
        <v>0.4807692308</v>
      </c>
    </row>
    <row r="5081">
      <c r="A5081" s="10" t="s">
        <v>6520</v>
      </c>
      <c r="B5081" s="7" t="str">
        <f>IFERROR(__xludf.DUMMYFUNCTION("SPLIT(A5081,"" "")"),"CCCN(C)CC1=CC(N(C)Cc2ncccc2C)C=CN1")</f>
        <v>CCCN(C)CC1=CC(N(C)Cc2ncccc2C)C=CN1</v>
      </c>
      <c r="C5081" s="7">
        <f>IFERROR(__xludf.DUMMYFUNCTION("""COMPUTED_VALUE"""),7.7917647)</f>
        <v>7.7917647</v>
      </c>
      <c r="D5081" s="7">
        <f>IFERROR(__xludf.DUMMYFUNCTION("""COMPUTED_VALUE"""),0.311475409836065)</f>
        <v>0.3114754098</v>
      </c>
    </row>
    <row r="5082">
      <c r="A5082" s="10" t="s">
        <v>6521</v>
      </c>
      <c r="B5082" s="7" t="str">
        <f>IFERROR(__xludf.DUMMYFUNCTION("SPLIT(A5082,"" "")"),"CN(Cc1ncccc1-c1cccc2c1OCCOCCOCCOCCOCCO2)C1CCCCC1N(C)c1ccc2nc(CF)ccc2c1")</f>
        <v>CN(Cc1ncccc1-c1cccc2c1OCCOCCOCCOCCOCCO2)C1CCCCC1N(C)c1ccc2nc(CF)ccc2c1</v>
      </c>
      <c r="C5082" s="7">
        <f>IFERROR(__xludf.DUMMYFUNCTION("""COMPUTED_VALUE"""),7.791755)</f>
        <v>7.791755</v>
      </c>
      <c r="D5082" s="7">
        <f>IFERROR(__xludf.DUMMYFUNCTION("""COMPUTED_VALUE"""),0.381578947368421)</f>
        <v>0.3815789474</v>
      </c>
    </row>
    <row r="5083">
      <c r="A5083" s="10" t="s">
        <v>6522</v>
      </c>
      <c r="B5083" s="7" t="str">
        <f>IFERROR(__xludf.DUMMYFUNCTION("SPLIT(A5083,"" "")"),"CN(Cc1ncccc1-c1ccc2c(c1)OCCOCCOCCOCCOCCO2)C1CCCCC1N(C)c1ccc2cccnc2c1")</f>
        <v>CN(Cc1ncccc1-c1ccc2c(c1)OCCOCCOCCOCCOCCO2)C1CCCCC1N(C)c1ccc2cccnc2c1</v>
      </c>
      <c r="C5083" s="7">
        <f>IFERROR(__xludf.DUMMYFUNCTION("""COMPUTED_VALUE"""),7.791754)</f>
        <v>7.791754</v>
      </c>
      <c r="D5083" s="7">
        <f>IFERROR(__xludf.DUMMYFUNCTION("""COMPUTED_VALUE"""),0.342857142857142)</f>
        <v>0.3428571429</v>
      </c>
    </row>
    <row r="5084">
      <c r="A5084" s="10" t="s">
        <v>6523</v>
      </c>
      <c r="B5084" s="7" t="str">
        <f>IFERROR(__xludf.DUMMYFUNCTION("SPLIT(A5084,"" "")"),"Cc1ccc2c(N(C)CCCN3CCN(C)CCN(C)CC3)cccc2n1")</f>
        <v>Cc1ccc2c(N(C)CCCN3CCN(C)CCN(C)CC3)cccc2n1</v>
      </c>
      <c r="C5084" s="7">
        <f>IFERROR(__xludf.DUMMYFUNCTION("""COMPUTED_VALUE"""),7.791754)</f>
        <v>7.791754</v>
      </c>
      <c r="D5084" s="7">
        <f>IFERROR(__xludf.DUMMYFUNCTION("""COMPUTED_VALUE"""),0.42)</f>
        <v>0.42</v>
      </c>
    </row>
    <row r="5085">
      <c r="A5085" s="10" t="s">
        <v>6524</v>
      </c>
      <c r="B5085" s="7" t="str">
        <f>IFERROR(__xludf.DUMMYFUNCTION("SPLIT(A5085,"" "")"),"CN(Cc1cccc(N(C)C)n1)Cc1ncccc1-c1cccc2c1OCCOCCOCCOCCOCCO2")</f>
        <v>CN(Cc1cccc(N(C)C)n1)Cc1ncccc1-c1cccc2c1OCCOCCOCCOCCOCCO2</v>
      </c>
      <c r="C5085" s="7">
        <f>IFERROR(__xludf.DUMMYFUNCTION("""COMPUTED_VALUE"""),7.7917533)</f>
        <v>7.7917533</v>
      </c>
      <c r="D5085" s="7">
        <f>IFERROR(__xludf.DUMMYFUNCTION("""COMPUTED_VALUE"""),0.344262295081967)</f>
        <v>0.3442622951</v>
      </c>
    </row>
    <row r="5086">
      <c r="A5086" s="10" t="s">
        <v>6525</v>
      </c>
      <c r="B5086" s="7" t="str">
        <f>IFERROR(__xludf.DUMMYFUNCTION("SPLIT(A5086,"" "")"),"C=Nc1ccccc1-c1ccc(CN2CCN(C)CCN(C)CC2)cn1")</f>
        <v>C=Nc1ccccc1-c1ccc(CN2CCN(C)CCN(C)CC2)cn1</v>
      </c>
      <c r="C5086" s="7">
        <f>IFERROR(__xludf.DUMMYFUNCTION("""COMPUTED_VALUE"""),7.791751)</f>
        <v>7.791751</v>
      </c>
      <c r="D5086" s="7">
        <f>IFERROR(__xludf.DUMMYFUNCTION("""COMPUTED_VALUE"""),0.408163265306122)</f>
        <v>0.4081632653</v>
      </c>
    </row>
    <row r="5087">
      <c r="A5087" s="10" t="s">
        <v>6526</v>
      </c>
      <c r="B5087" s="7" t="str">
        <f>IFERROR(__xludf.DUMMYFUNCTION("SPLIT(A5087,"" "")"),"Cc1cnc(CN(C)C2CCCC(N(Cc3ccccn3)Cc3cccnc3F)C2)c(C)c1C")</f>
        <v>Cc1cnc(CN(C)C2CCCC(N(Cc3ccccn3)Cc3cccnc3F)C2)c(C)c1C</v>
      </c>
      <c r="C5087" s="7">
        <f>IFERROR(__xludf.DUMMYFUNCTION("""COMPUTED_VALUE"""),7.791749)</f>
        <v>7.791749</v>
      </c>
      <c r="D5087" s="7">
        <f>IFERROR(__xludf.DUMMYFUNCTION("""COMPUTED_VALUE"""),0.4)</f>
        <v>0.4</v>
      </c>
    </row>
    <row r="5088">
      <c r="A5088" s="10" t="s">
        <v>6527</v>
      </c>
      <c r="B5088" s="7" t="str">
        <f>IFERROR(__xludf.DUMMYFUNCTION("SPLIT(A5088,"" "")"),"CN(Cc1ccc(-c2ccc3c(c2)OCCOCCOCCOCCOCCO3)cn1)C1CCCCC1N(C)c1cccc2cc(CF)cnc12")</f>
        <v>CN(Cc1ccc(-c2ccc3c(c2)OCCOCCOCCOCCOCCO3)cn1)C1CCCCC1N(C)c1cccc2cc(CF)cnc12</v>
      </c>
      <c r="C5088" s="7">
        <f>IFERROR(__xludf.DUMMYFUNCTION("""COMPUTED_VALUE"""),7.7917404)</f>
        <v>7.7917404</v>
      </c>
      <c r="D5088" s="7">
        <f>IFERROR(__xludf.DUMMYFUNCTION("""COMPUTED_VALUE"""),0.424657534246575)</f>
        <v>0.4246575342</v>
      </c>
    </row>
    <row r="5089">
      <c r="A5089" s="10" t="s">
        <v>6528</v>
      </c>
      <c r="B5089" s="7" t="str">
        <f>IFERROR(__xludf.DUMMYFUNCTION("SPLIT(A5089,"" "")"),"COc1c(C)cnc(C(=O)C(C)C(=O)C(C)C(=O)C(=O)C(=O)C(C)C(C)C(C)C(=O)C(=O)C(=O)C(=O)C(C)C(C)C(C)C(C)C(C)C(C)C(C)C(C)C(C)C(C)C)c1C")</f>
        <v>COc1c(C)cnc(C(=O)C(C)C(=O)C(C)C(=O)C(=O)C(=O)C(C)C(C)C(C)C(=O)C(=O)C(=O)C(=O)C(C)C(C)C(C)C(C)C(C)C(C)C(C)C(C)C(C)C(C)C)c1C</v>
      </c>
      <c r="C5089" s="7">
        <f>IFERROR(__xludf.DUMMYFUNCTION("""COMPUTED_VALUE"""),7.791737)</f>
        <v>7.791737</v>
      </c>
      <c r="D5089" s="7">
        <f>IFERROR(__xludf.DUMMYFUNCTION("""COMPUTED_VALUE"""),0.269841269841269)</f>
        <v>0.2698412698</v>
      </c>
    </row>
    <row r="5090">
      <c r="A5090" s="10" t="s">
        <v>6529</v>
      </c>
      <c r="B5090" s="7" t="str">
        <f>IFERROR(__xludf.DUMMYFUNCTION("SPLIT(A5090,"" "")"),"CN(C)c1cccc(-c2cccc(CN(C)C3CCCC(N(C)Cc4cccc(-c5ccc6c(c5)OCCOCCOCCOCCOCCO6)n4)C3)n2)c1")</f>
        <v>CN(C)c1cccc(-c2cccc(CN(C)C3CCCC(N(C)Cc4cccc(-c5ccc6c(c5)OCCOCCOCCOCCOCCO6)n4)C3)n2)c1</v>
      </c>
      <c r="C5090" s="7">
        <f>IFERROR(__xludf.DUMMYFUNCTION("""COMPUTED_VALUE"""),7.7917314)</f>
        <v>7.7917314</v>
      </c>
      <c r="D5090" s="7">
        <f>IFERROR(__xludf.DUMMYFUNCTION("""COMPUTED_VALUE"""),0.356164383561643)</f>
        <v>0.3561643836</v>
      </c>
    </row>
    <row r="5091">
      <c r="A5091" s="10" t="s">
        <v>6530</v>
      </c>
      <c r="B5091" s="7" t="str">
        <f>IFERROR(__xludf.DUMMYFUNCTION("SPLIT(A5091,"" "")"),"Cc1cccc(CN(C)CCSCc2ccccn2)c1")</f>
        <v>Cc1cccc(CN(C)CCSCc2ccccn2)c1</v>
      </c>
      <c r="C5091" s="7">
        <f>IFERROR(__xludf.DUMMYFUNCTION("""COMPUTED_VALUE"""),7.7917075)</f>
        <v>7.7917075</v>
      </c>
      <c r="D5091" s="7">
        <f>IFERROR(__xludf.DUMMYFUNCTION("""COMPUTED_VALUE"""),0.5)</f>
        <v>0.5</v>
      </c>
    </row>
    <row r="5092">
      <c r="A5092" s="10" t="s">
        <v>6531</v>
      </c>
      <c r="B5092" s="7" t="str">
        <f>IFERROR(__xludf.DUMMYFUNCTION("SPLIT(A5092,"" "")"),"CC1C=C2N=CC=CC2(N(C)Cc2ccccn2)CC1C(C)(C)C")</f>
        <v>CC1C=C2N=CC=CC2(N(C)Cc2ccccn2)CC1C(C)(C)C</v>
      </c>
      <c r="C5092" s="7">
        <f>IFERROR(__xludf.DUMMYFUNCTION("""COMPUTED_VALUE"""),7.7916946)</f>
        <v>7.7916946</v>
      </c>
      <c r="D5092" s="7">
        <f>IFERROR(__xludf.DUMMYFUNCTION("""COMPUTED_VALUE"""),0.362068965517241)</f>
        <v>0.3620689655</v>
      </c>
    </row>
    <row r="5093">
      <c r="A5093" s="10" t="s">
        <v>6532</v>
      </c>
      <c r="B5093" s="7" t="str">
        <f>IFERROR(__xludf.DUMMYFUNCTION("SPLIT(A5093,"" "")"),"CN(c1cccc(F)c1)C1CCCC(N(Cc2ccccn2)Cc2cccc(F)n2)C1")</f>
        <v>CN(c1cccc(F)c1)C1CCCC(N(Cc2ccccn2)Cc2cccc(F)n2)C1</v>
      </c>
      <c r="C5093" s="7">
        <f>IFERROR(__xludf.DUMMYFUNCTION("""COMPUTED_VALUE"""),7.7916946)</f>
        <v>7.7916946</v>
      </c>
      <c r="D5093" s="7">
        <f>IFERROR(__xludf.DUMMYFUNCTION("""COMPUTED_VALUE"""),0.396551724137931)</f>
        <v>0.3965517241</v>
      </c>
    </row>
    <row r="5094">
      <c r="A5094" s="10" t="s">
        <v>6533</v>
      </c>
      <c r="B5094" s="7" t="str">
        <f>IFERROR(__xludf.DUMMYFUNCTION("SPLIT(A5094,"" "")"),"Cc1ccncc1CN(C)CCN(C)C")</f>
        <v>Cc1ccncc1CN(C)CCN(C)C</v>
      </c>
      <c r="C5094" s="7">
        <f>IFERROR(__xludf.DUMMYFUNCTION("""COMPUTED_VALUE"""),7.7916913)</f>
        <v>7.7916913</v>
      </c>
      <c r="D5094" s="7">
        <f>IFERROR(__xludf.DUMMYFUNCTION("""COMPUTED_VALUE"""),0.384615384615384)</f>
        <v>0.3846153846</v>
      </c>
    </row>
    <row r="5095">
      <c r="A5095" s="10" t="s">
        <v>6534</v>
      </c>
      <c r="B5095" s="7" t="str">
        <f>IFERROR(__xludf.DUMMYFUNCTION("SPLIT(A5095,"" "")"),"CCN(C)CC1=CC(N(C)Cc2ncccc2C)C=CN1")</f>
        <v>CCN(C)CC1=CC(N(C)Cc2ncccc2C)C=CN1</v>
      </c>
      <c r="C5095" s="7">
        <f>IFERROR(__xludf.DUMMYFUNCTION("""COMPUTED_VALUE"""),7.791691)</f>
        <v>7.791691</v>
      </c>
      <c r="D5095" s="7">
        <f>IFERROR(__xludf.DUMMYFUNCTION("""COMPUTED_VALUE"""),0.322033898305084)</f>
        <v>0.3220338983</v>
      </c>
    </row>
    <row r="5096">
      <c r="A5096" s="10" t="s">
        <v>6535</v>
      </c>
      <c r="B5096" s="7" t="str">
        <f>IFERROR(__xludf.DUMMYFUNCTION("SPLIT(A5096,"" "")"),"CN(Cc1cc(-c2ccc3c(c2)OCCOCCOCCOCCOCCO3)ccn1)C1CCCCC1N(C)c1ccc2ccc(CF)nc2c1")</f>
        <v>CN(Cc1cc(-c2ccc3c(c2)OCCOCCOCCOCCOCCO3)ccn1)C1CCCCC1N(C)c1ccc2ccc(CF)nc2c1</v>
      </c>
      <c r="C5096" s="7">
        <f>IFERROR(__xludf.DUMMYFUNCTION("""COMPUTED_VALUE"""),7.791687)</f>
        <v>7.791687</v>
      </c>
      <c r="D5096" s="7">
        <f>IFERROR(__xludf.DUMMYFUNCTION("""COMPUTED_VALUE"""),0.371794871794871)</f>
        <v>0.3717948718</v>
      </c>
    </row>
    <row r="5097">
      <c r="A5097" s="10" t="s">
        <v>6536</v>
      </c>
      <c r="B5097" s="7" t="str">
        <f>IFERROR(__xludf.DUMMYFUNCTION("SPLIT(A5097,"" "")"),"CCNC1CCCCC1N(Cc1nc(C)c(C)c(C)c1C)Cc1nc(C)c(C)c(C)c1C")</f>
        <v>CCNC1CCCCC1N(Cc1nc(C)c(C)c(C)c1C)Cc1nc(C)c(C)c(C)c1C</v>
      </c>
      <c r="C5097" s="7">
        <f>IFERROR(__xludf.DUMMYFUNCTION("""COMPUTED_VALUE"""),7.791679)</f>
        <v>7.791679</v>
      </c>
      <c r="D5097" s="7">
        <f>IFERROR(__xludf.DUMMYFUNCTION("""COMPUTED_VALUE"""),0.283018867924528)</f>
        <v>0.2830188679</v>
      </c>
    </row>
    <row r="5098">
      <c r="A5098" s="10" t="s">
        <v>6537</v>
      </c>
      <c r="B5098" s="7" t="str">
        <f>IFERROR(__xludf.DUMMYFUNCTION("SPLIT(A5098,"" "")"),"C=Nc1ccccc1-c1ncccc1CN1CCN(C)CCN(C)CC1")</f>
        <v>C=Nc1ccccc1-c1ncccc1CN1CCN(C)CCN(C)CC1</v>
      </c>
      <c r="C5098" s="7">
        <f>IFERROR(__xludf.DUMMYFUNCTION("""COMPUTED_VALUE"""),7.7916613)</f>
        <v>7.7916613</v>
      </c>
      <c r="D5098" s="7">
        <f>IFERROR(__xludf.DUMMYFUNCTION("""COMPUTED_VALUE"""),0.468085106382978)</f>
        <v>0.4680851064</v>
      </c>
    </row>
    <row r="5099">
      <c r="A5099" s="10" t="s">
        <v>6538</v>
      </c>
      <c r="B5099" s="7" t="str">
        <f>IFERROR(__xludf.DUMMYFUNCTION("SPLIT(A5099,"" "")"),"C1=CNC(CN(CC2=CCC=CN2)C2=CCNC=C2)=CC1")</f>
        <v>C1=CNC(CN(CC2=CCC=CN2)C2=CCNC=C2)=CC1</v>
      </c>
      <c r="C5099" s="7">
        <f>IFERROR(__xludf.DUMMYFUNCTION("""COMPUTED_VALUE"""),7.79166)</f>
        <v>7.79166</v>
      </c>
      <c r="D5099" s="7">
        <f>IFERROR(__xludf.DUMMYFUNCTION("""COMPUTED_VALUE"""),0.395833333333333)</f>
        <v>0.3958333333</v>
      </c>
    </row>
    <row r="5100">
      <c r="A5100" s="10" t="s">
        <v>6539</v>
      </c>
      <c r="B5100" s="7" t="str">
        <f>IFERROR(__xludf.DUMMYFUNCTION("SPLIT(A5100,"" "")"),"CN(Cc1ncccc1-c1cccc2c1OCCOCCOCCOCCOCCO2)C1CCCCC1N(C)c1cccc2ncccc12")</f>
        <v>CN(Cc1ncccc1-c1cccc2c1OCCOCCOCCOCCOCCO2)C1CCCCC1N(C)c1cccc2ncccc12</v>
      </c>
      <c r="C5100" s="7">
        <f>IFERROR(__xludf.DUMMYFUNCTION("""COMPUTED_VALUE"""),7.791657)</f>
        <v>7.791657</v>
      </c>
      <c r="D5100" s="7">
        <f>IFERROR(__xludf.DUMMYFUNCTION("""COMPUTED_VALUE"""),0.373134328358209)</f>
        <v>0.3731343284</v>
      </c>
    </row>
    <row r="5101">
      <c r="A5101" s="10" t="s">
        <v>6540</v>
      </c>
      <c r="B5101" s="7" t="str">
        <f>IFERROR(__xludf.DUMMYFUNCTION("SPLIT(A5101,"" "")"),"CN(c1ccccc1F)C1CCC(N(Cc2ccnc(F)c2)Cc2ccccn2)CC1")</f>
        <v>CN(c1ccccc1F)C1CCC(N(Cc2ccnc(F)c2)Cc2ccccn2)CC1</v>
      </c>
      <c r="C5101" s="7">
        <f>IFERROR(__xludf.DUMMYFUNCTION("""COMPUTED_VALUE"""),7.791654)</f>
        <v>7.791654</v>
      </c>
      <c r="D5101" s="7">
        <f>IFERROR(__xludf.DUMMYFUNCTION("""COMPUTED_VALUE"""),0.385964912280701)</f>
        <v>0.3859649123</v>
      </c>
    </row>
    <row r="5102">
      <c r="A5102" s="10" t="s">
        <v>6541</v>
      </c>
      <c r="B5102" s="7" t="str">
        <f>IFERROR(__xludf.DUMMYFUNCTION("SPLIT(A5102,"" "")"),"Cc1ccccc1N(C)Cc1cccc(-c2ccc3c(c2)OCCOCCOCCOCCOCCO3)n1")</f>
        <v>Cc1ccccc1N(C)Cc1cccc(-c2ccc3c(c2)OCCOCCOCCOCCOCCO3)n1</v>
      </c>
      <c r="C5102" s="7">
        <f>IFERROR(__xludf.DUMMYFUNCTION("""COMPUTED_VALUE"""),7.7916427)</f>
        <v>7.7916427</v>
      </c>
      <c r="D5102" s="7">
        <f>IFERROR(__xludf.DUMMYFUNCTION("""COMPUTED_VALUE"""),0.333333333333333)</f>
        <v>0.3333333333</v>
      </c>
    </row>
    <row r="5103">
      <c r="A5103" s="10" t="s">
        <v>6542</v>
      </c>
      <c r="B5103" s="7" t="str">
        <f>IFERROR(__xludf.DUMMYFUNCTION("SPLIT(A5103,"" "")"),"Cc1cc(N2CCN(C)CCN(C)CC2)cc(N(C)C(C)C)c1C")</f>
        <v>Cc1cc(N2CCN(C)CCN(C)CC2)cc(N(C)C(C)C)c1C</v>
      </c>
      <c r="C5103" s="7">
        <f>IFERROR(__xludf.DUMMYFUNCTION("""COMPUTED_VALUE"""),7.7916393)</f>
        <v>7.7916393</v>
      </c>
      <c r="D5103" s="7">
        <f>IFERROR(__xludf.DUMMYFUNCTION("""COMPUTED_VALUE"""),0.265306122448979)</f>
        <v>0.2653061224</v>
      </c>
    </row>
    <row r="5104">
      <c r="A5104" s="10" t="s">
        <v>6543</v>
      </c>
      <c r="B5104" s="7" t="str">
        <f>IFERROR(__xludf.DUMMYFUNCTION("SPLIT(A5104,"" "")"),"Cc1cccc(CN(C)Cc2ccc(CN(C)Cc3cccc(-c4ccc5c(c4)OCCOCCOCCOCCOCCO5)n3)nc2)n1")</f>
        <v>Cc1cccc(CN(C)Cc2ccc(CN(C)Cc3cccc(-c4ccc5c(c4)OCCOCCOCCOCCOCCO5)n3)nc2)n1</v>
      </c>
      <c r="C5104" s="7">
        <f>IFERROR(__xludf.DUMMYFUNCTION("""COMPUTED_VALUE"""),7.791639)</f>
        <v>7.791639</v>
      </c>
      <c r="D5104" s="7">
        <f>IFERROR(__xludf.DUMMYFUNCTION("""COMPUTED_VALUE"""),0.379310344827586)</f>
        <v>0.3793103448</v>
      </c>
    </row>
    <row r="5105">
      <c r="A5105" s="10" t="s">
        <v>6544</v>
      </c>
      <c r="B5105" s="7" t="str">
        <f>IFERROR(__xludf.DUMMYFUNCTION("SPLIT(A5105,"" "")"),"Cc1nc(CN(C)C2CCCC(N(C)Cc3cccnc3CN(C)C)C2)c(C)c(C)c1C")</f>
        <v>Cc1nc(CN(C)C2CCCC(N(C)Cc3cccnc3CN(C)C)C2)c(C)c(C)c1C</v>
      </c>
      <c r="C5105" s="7">
        <f>IFERROR(__xludf.DUMMYFUNCTION("""COMPUTED_VALUE"""),7.791627)</f>
        <v>7.791627</v>
      </c>
      <c r="D5105" s="7">
        <f>IFERROR(__xludf.DUMMYFUNCTION("""COMPUTED_VALUE"""),0.310344827586206)</f>
        <v>0.3103448276</v>
      </c>
    </row>
    <row r="5106">
      <c r="A5106" s="10" t="s">
        <v>6545</v>
      </c>
      <c r="B5106" s="7" t="str">
        <f>IFERROR(__xludf.DUMMYFUNCTION("SPLIT(A5106,"" "")"),"CN(Cc1ncccc1-c1ccc2c(c1)OCCOCCOCCOCCOCCO2)C1CCCCC1N(C)c1ccc2cc(CF)cnc2c1")</f>
        <v>CN(Cc1ncccc1-c1ccc2c(c1)OCCOCCOCCOCCOCCO2)C1CCCCC1N(C)c1ccc2cc(CF)cnc2c1</v>
      </c>
      <c r="C5106" s="7">
        <f>IFERROR(__xludf.DUMMYFUNCTION("""COMPUTED_VALUE"""),7.791626)</f>
        <v>7.791626</v>
      </c>
      <c r="D5106" s="7">
        <f>IFERROR(__xludf.DUMMYFUNCTION("""COMPUTED_VALUE"""),0.313953488372093)</f>
        <v>0.3139534884</v>
      </c>
    </row>
    <row r="5107">
      <c r="A5107" s="10" t="s">
        <v>6546</v>
      </c>
      <c r="B5107" s="7" t="str">
        <f>IFERROR(__xludf.DUMMYFUNCTION("SPLIT(A5107,"" "")"),"Cc1cncc(CN(CN2CCN(C)CCN(Cc3cc(C)c(C)c(C)n3)CC2)C2CCC(N(C)c3ccc4ncccc4c3)CC2)c1")</f>
        <v>Cc1cncc(CN(CN2CCN(C)CCN(Cc3cc(C)c(C)c(C)n3)CC2)C2CCC(N(C)c3ccc4ncccc4c3)CC2)c1</v>
      </c>
      <c r="C5107" s="7">
        <f>IFERROR(__xludf.DUMMYFUNCTION("""COMPUTED_VALUE"""),7.7916074)</f>
        <v>7.7916074</v>
      </c>
      <c r="D5107" s="7">
        <f>IFERROR(__xludf.DUMMYFUNCTION("""COMPUTED_VALUE"""),0.308641975308641)</f>
        <v>0.3086419753</v>
      </c>
    </row>
    <row r="5108">
      <c r="A5108" s="10" t="s">
        <v>6547</v>
      </c>
      <c r="B5108" s="7" t="str">
        <f>IFERROR(__xludf.DUMMYFUNCTION("SPLIT(A5108,"" "")"),"CC1=C(C)CC(C)(c2ncccc2CN(Cc2ccccn2)Cc2ncccc2-c2cccc3c2OCCOCCOCCOCCOCCO3)C(C)C1")</f>
        <v>CC1=C(C)CC(C)(c2ncccc2CN(Cc2ccccn2)Cc2ncccc2-c2cccc3c2OCCOCCOCCOCCOCCO3)C(C)C1</v>
      </c>
      <c r="C5108" s="7">
        <f>IFERROR(__xludf.DUMMYFUNCTION("""COMPUTED_VALUE"""),7.791607)</f>
        <v>7.791607</v>
      </c>
      <c r="D5108" s="7">
        <f>IFERROR(__xludf.DUMMYFUNCTION("""COMPUTED_VALUE"""),0.298507462686567)</f>
        <v>0.2985074627</v>
      </c>
    </row>
    <row r="5109">
      <c r="A5109" s="10" t="s">
        <v>6548</v>
      </c>
      <c r="B5109" s="7" t="str">
        <f>IFERROR(__xludf.DUMMYFUNCTION("SPLIT(A5109,"" "")"),"Cc1cccc(CN(C)C2=CNC(CN(C)C3CCCC(N(C)Cc4ncccc4C)C3)=CC2)n1")</f>
        <v>Cc1cccc(CN(C)C2=CNC(CN(C)C3CCCC(N(C)Cc4ncccc4C)C3)=CC2)n1</v>
      </c>
      <c r="C5109" s="7">
        <f>IFERROR(__xludf.DUMMYFUNCTION("""COMPUTED_VALUE"""),7.7916064)</f>
        <v>7.7916064</v>
      </c>
      <c r="D5109" s="7">
        <f>IFERROR(__xludf.DUMMYFUNCTION("""COMPUTED_VALUE"""),0.396825396825396)</f>
        <v>0.3968253968</v>
      </c>
    </row>
    <row r="5110">
      <c r="A5110" s="10" t="s">
        <v>6549</v>
      </c>
      <c r="B5110" s="7" t="str">
        <f>IFERROR(__xludf.DUMMYFUNCTION("SPLIT(A5110,"" "")"),"Cc1cccc(CN(C)C2=CCC=C(CN(C)C3CCCC(N(C)Cc4ccccn4)C3)N2)n1")</f>
        <v>Cc1cccc(CN(C)C2=CCC=C(CN(C)C3CCCC(N(C)Cc4ccccn4)C3)N2)n1</v>
      </c>
      <c r="C5110" s="7">
        <f>IFERROR(__xludf.DUMMYFUNCTION("""COMPUTED_VALUE"""),7.7915897)</f>
        <v>7.7915897</v>
      </c>
      <c r="D5110" s="7">
        <f>IFERROR(__xludf.DUMMYFUNCTION("""COMPUTED_VALUE"""),0.433333333333333)</f>
        <v>0.4333333333</v>
      </c>
    </row>
    <row r="5111">
      <c r="A5111" s="10" t="s">
        <v>6550</v>
      </c>
      <c r="B5111" s="7" t="str">
        <f>IFERROR(__xludf.DUMMYFUNCTION("SPLIT(A5111,"" "")"),"Cc1cc(C)c(CN(C)C2CCCC(N(Cc3ccccn3)Cc3ncccc3C)C2)cn1")</f>
        <v>Cc1cc(C)c(CN(C)C2CCCC(N(Cc3ccccn3)Cc3ncccc3C)C2)cn1</v>
      </c>
      <c r="C5111" s="7">
        <f>IFERROR(__xludf.DUMMYFUNCTION("""COMPUTED_VALUE"""),7.791587)</f>
        <v>7.791587</v>
      </c>
      <c r="D5111" s="7">
        <f>IFERROR(__xludf.DUMMYFUNCTION("""COMPUTED_VALUE"""),0.4)</f>
        <v>0.4</v>
      </c>
    </row>
    <row r="5112">
      <c r="A5112" s="10" t="s">
        <v>6551</v>
      </c>
      <c r="B5112" s="7" t="str">
        <f>IFERROR(__xludf.DUMMYFUNCTION("SPLIT(A5112,"" "")"),"CN(CCN(Cc1ccccn1)Cc1cc(-c2cccc3c2OCCOCCOCCOCCOCCO3)ccn1)Cc1cc(C(C)(C)c2ccccn2)ccn1")</f>
        <v>CN(CCN(Cc1ccccn1)Cc1cc(-c2cccc3c2OCCOCCOCCOCCOCCO3)ccn1)Cc1cc(C(C)(C)c2ccccn2)ccn1</v>
      </c>
      <c r="C5112" s="7">
        <f>IFERROR(__xludf.DUMMYFUNCTION("""COMPUTED_VALUE"""),7.791568)</f>
        <v>7.791568</v>
      </c>
      <c r="D5112" s="7">
        <f>IFERROR(__xludf.DUMMYFUNCTION("""COMPUTED_VALUE"""),0.358974358974359)</f>
        <v>0.358974359</v>
      </c>
    </row>
    <row r="5113">
      <c r="A5113" s="10" t="s">
        <v>6552</v>
      </c>
      <c r="B5113" s="7" t="str">
        <f>IFERROR(__xludf.DUMMYFUNCTION("SPLIT(A5113,"" "")"),"CC(C)(NCc1ccccn1)c1ccccc1")</f>
        <v>CC(C)(NCc1ccccn1)c1ccccc1</v>
      </c>
      <c r="C5113" s="7">
        <f>IFERROR(__xludf.DUMMYFUNCTION("""COMPUTED_VALUE"""),7.7915673)</f>
        <v>7.7915673</v>
      </c>
      <c r="D5113" s="7">
        <f>IFERROR(__xludf.DUMMYFUNCTION("""COMPUTED_VALUE"""),0.5)</f>
        <v>0.5</v>
      </c>
    </row>
    <row r="5114">
      <c r="A5114" s="10" t="s">
        <v>6553</v>
      </c>
      <c r="B5114" s="7" t="str">
        <f>IFERROR(__xludf.DUMMYFUNCTION("SPLIT(A5114,"" "")"),"COC(=O)C(=O)C(C)C(C)NCc1ccccn1")</f>
        <v>COC(=O)C(=O)C(C)C(C)NCc1ccccn1</v>
      </c>
      <c r="C5114" s="7">
        <f>IFERROR(__xludf.DUMMYFUNCTION("""COMPUTED_VALUE"""),7.791567)</f>
        <v>7.791567</v>
      </c>
      <c r="D5114" s="7">
        <f>IFERROR(__xludf.DUMMYFUNCTION("""COMPUTED_VALUE"""),0.404761904761904)</f>
        <v>0.4047619048</v>
      </c>
    </row>
    <row r="5115">
      <c r="A5115" s="10" t="s">
        <v>6554</v>
      </c>
      <c r="B5115" s="7" t="str">
        <f>IFERROR(__xludf.DUMMYFUNCTION("SPLIT(A5115,"" "")"),"Cc1cc(-c2ccc(CN3CCN(C)CCN(C)CC3)cn2)ccc1N")</f>
        <v>Cc1cc(-c2ccc(CN3CCN(C)CCN(C)CC3)cn2)ccc1N</v>
      </c>
      <c r="C5115" s="7">
        <f>IFERROR(__xludf.DUMMYFUNCTION("""COMPUTED_VALUE"""),7.791562)</f>
        <v>7.791562</v>
      </c>
      <c r="D5115" s="7">
        <f>IFERROR(__xludf.DUMMYFUNCTION("""COMPUTED_VALUE"""),0.392156862745098)</f>
        <v>0.3921568627</v>
      </c>
    </row>
    <row r="5116">
      <c r="A5116" s="10" t="s">
        <v>6555</v>
      </c>
      <c r="B5116" s="7" t="str">
        <f>IFERROR(__xludf.DUMMYFUNCTION("SPLIT(A5116,"" "")"),"CN(Cc1ncccc1-c1cccc2c1OCCOCCOCCOCCOCCO2)C1CCCCC1N(C)c1ccc2ccc(CF)nc2c1")</f>
        <v>CN(Cc1ncccc1-c1cccc2c1OCCOCCOCCOCCOCCO2)C1CCCCC1N(C)c1ccc2ccc(CF)nc2c1</v>
      </c>
      <c r="C5116" s="7">
        <f>IFERROR(__xludf.DUMMYFUNCTION("""COMPUTED_VALUE"""),7.791556)</f>
        <v>7.791556</v>
      </c>
      <c r="D5116" s="7">
        <f>IFERROR(__xludf.DUMMYFUNCTION("""COMPUTED_VALUE"""),0.386666666666666)</f>
        <v>0.3866666667</v>
      </c>
    </row>
    <row r="5117">
      <c r="A5117" s="10" t="s">
        <v>6556</v>
      </c>
      <c r="B5117" s="7" t="str">
        <f>IFERROR(__xludf.DUMMYFUNCTION("SPLIT(A5117,"" "")"),"CC(N)C(C)N(Cc1ccccn1)Cc1cccc(C(C)(C)C)n1")</f>
        <v>CC(N)C(C)N(Cc1ccccn1)Cc1cccc(C(C)(C)C)n1</v>
      </c>
      <c r="C5117" s="7">
        <f>IFERROR(__xludf.DUMMYFUNCTION("""COMPUTED_VALUE"""),7.7915554)</f>
        <v>7.7915554</v>
      </c>
      <c r="D5117" s="7">
        <f>IFERROR(__xludf.DUMMYFUNCTION("""COMPUTED_VALUE"""),0.488888888888888)</f>
        <v>0.4888888889</v>
      </c>
    </row>
    <row r="5118">
      <c r="A5118" s="10" t="s">
        <v>6557</v>
      </c>
      <c r="B5118" s="7" t="str">
        <f>IFERROR(__xludf.DUMMYFUNCTION("SPLIT(A5118,"" "")"),"CN(Cc1ccc(-c2cccc3c2OCCOCCOCCOCCOCCO3)cn1)Cc1cccc(N(C)C)n1")</f>
        <v>CN(Cc1ccc(-c2cccc3c2OCCOCCOCCOCCOCCO3)cn1)Cc1cccc(N(C)C)n1</v>
      </c>
      <c r="C5118" s="7">
        <f>IFERROR(__xludf.DUMMYFUNCTION("""COMPUTED_VALUE"""),7.7915525)</f>
        <v>7.7915525</v>
      </c>
      <c r="D5118" s="7">
        <f>IFERROR(__xludf.DUMMYFUNCTION("""COMPUTED_VALUE"""),0.32258064516129)</f>
        <v>0.3225806452</v>
      </c>
    </row>
    <row r="5119">
      <c r="A5119" s="10" t="s">
        <v>6558</v>
      </c>
      <c r="B5119" s="7" t="str">
        <f>IFERROR(__xludf.DUMMYFUNCTION("SPLIT(A5119,"" "")"),"CN(Cc1cccc(-c2ccc3c(c2)OCCOCCOCCOCCOCCO3)n1)C1CCC(N(C)c2ccc3cccnc3c2)CC1")</f>
        <v>CN(Cc1cccc(-c2ccc3c(c2)OCCOCCOCCOCCOCCO3)n1)C1CCC(N(C)c2ccc3cccnc3c2)CC1</v>
      </c>
      <c r="C5119" s="7">
        <f>IFERROR(__xludf.DUMMYFUNCTION("""COMPUTED_VALUE"""),7.7915525)</f>
        <v>7.7915525</v>
      </c>
      <c r="D5119" s="7">
        <f>IFERROR(__xludf.DUMMYFUNCTION("""COMPUTED_VALUE"""),0.325)</f>
        <v>0.325</v>
      </c>
    </row>
    <row r="5120">
      <c r="A5120" s="10" t="s">
        <v>6559</v>
      </c>
      <c r="B5120" s="7" t="str">
        <f>IFERROR(__xludf.DUMMYFUNCTION("SPLIT(A5120,"" "")"),"COC(C)c1nc(CN2CCN(C)CCN(Cc3cccc(C(C)(C)c4ccccn4)n3)CC2)c(C)c(C)c1C")</f>
        <v>COC(C)c1nc(CN2CCN(C)CCN(Cc3cccc(C(C)(C)c4ccccn4)n3)CC2)c(C)c(C)c1C</v>
      </c>
      <c r="C5120" s="7">
        <f>IFERROR(__xludf.DUMMYFUNCTION("""COMPUTED_VALUE"""),7.7915525)</f>
        <v>7.7915525</v>
      </c>
      <c r="D5120" s="7">
        <f>IFERROR(__xludf.DUMMYFUNCTION("""COMPUTED_VALUE"""),0.433333333333333)</f>
        <v>0.4333333333</v>
      </c>
    </row>
    <row r="5121">
      <c r="A5121" s="10" t="s">
        <v>6560</v>
      </c>
      <c r="B5121" s="7" t="str">
        <f>IFERROR(__xludf.DUMMYFUNCTION("SPLIT(A5121,"" "")"),"CCN(Cc1ccccn1)Cc1cccc(N(C)C2CCC(N(C)Cc3cccc(C)n3)CC2)n1")</f>
        <v>CCN(Cc1ccccn1)Cc1cccc(N(C)C2CCC(N(C)Cc3cccc(C)n3)CC2)n1</v>
      </c>
      <c r="C5121" s="7">
        <f>IFERROR(__xludf.DUMMYFUNCTION("""COMPUTED_VALUE"""),7.7915454)</f>
        <v>7.7915454</v>
      </c>
      <c r="D5121" s="7">
        <f>IFERROR(__xludf.DUMMYFUNCTION("""COMPUTED_VALUE"""),0.454545454545454)</f>
        <v>0.4545454545</v>
      </c>
    </row>
    <row r="5122">
      <c r="A5122" s="10" t="s">
        <v>6561</v>
      </c>
      <c r="B5122" s="7" t="str">
        <f>IFERROR(__xludf.DUMMYFUNCTION("SPLIT(A5122,"" "")"),"CN(Cc1ncccc1-c1ccc2c(c1)OCCOCCOCCOCCOCCO2)C1CCCCC1N(C)c1ccc2ncccc2c1")</f>
        <v>CN(Cc1ncccc1-c1ccc2c(c1)OCCOCCOCCOCCOCCO2)C1CCCCC1N(C)c1ccc2ncccc2c1</v>
      </c>
      <c r="C5122" s="7">
        <f>IFERROR(__xludf.DUMMYFUNCTION("""COMPUTED_VALUE"""),7.7915444)</f>
        <v>7.7915444</v>
      </c>
      <c r="D5122" s="7">
        <f>IFERROR(__xludf.DUMMYFUNCTION("""COMPUTED_VALUE"""),0.347826086956521)</f>
        <v>0.347826087</v>
      </c>
    </row>
    <row r="5123">
      <c r="A5123" s="10" t="s">
        <v>6562</v>
      </c>
      <c r="B5123" s="7" t="str">
        <f>IFERROR(__xludf.DUMMYFUNCTION("SPLIT(A5123,"" "")"),"CN(CCN(Cc1ccccn1)Cc1cccc(C2CCC2(C)C)n1)Cc1ccccn1")</f>
        <v>CN(CCN(Cc1ccccn1)Cc1cccc(C2CCC2(C)C)n1)Cc1ccccn1</v>
      </c>
      <c r="C5123" s="7">
        <f>IFERROR(__xludf.DUMMYFUNCTION("""COMPUTED_VALUE"""),7.791542)</f>
        <v>7.791542</v>
      </c>
      <c r="D5123" s="7">
        <f>IFERROR(__xludf.DUMMYFUNCTION("""COMPUTED_VALUE"""),0.48)</f>
        <v>0.48</v>
      </c>
    </row>
    <row r="5124">
      <c r="A5124" s="10" t="s">
        <v>6563</v>
      </c>
      <c r="B5124" s="7" t="str">
        <f>IFERROR(__xludf.DUMMYFUNCTION("SPLIT(A5124,"" "")"),"CN1CCN(C)CCN(Cc2cccnc2CN(C)C(C)(C)c2cccnc2CN(Cc2ccccn2)Cc2ncccc2N)CC1")</f>
        <v>CN1CCN(C)CCN(Cc2cccnc2CN(C)C(C)(C)c2cccnc2CN(Cc2ccccn2)Cc2ncccc2N)CC1</v>
      </c>
      <c r="C5124" s="7">
        <f>IFERROR(__xludf.DUMMYFUNCTION("""COMPUTED_VALUE"""),7.7915225)</f>
        <v>7.7915225</v>
      </c>
      <c r="D5124" s="7">
        <f>IFERROR(__xludf.DUMMYFUNCTION("""COMPUTED_VALUE"""),0.426229508196721)</f>
        <v>0.4262295082</v>
      </c>
    </row>
    <row r="5125">
      <c r="A5125" s="10" t="s">
        <v>6564</v>
      </c>
      <c r="B5125" s="7" t="str">
        <f>IFERROR(__xludf.DUMMYFUNCTION("SPLIT(A5125,"" "")"),"CNC1CC(N(C)Cc2cc(C)ccn2)CCC1N(Cc1ccccn1)Cc1nc(C)c(C)c(C)c1C")</f>
        <v>CNC1CC(N(C)Cc2cc(C)ccn2)CCC1N(Cc1ccccn1)Cc1nc(C)c(C)c(C)c1C</v>
      </c>
      <c r="C5125" s="7">
        <f>IFERROR(__xludf.DUMMYFUNCTION("""COMPUTED_VALUE"""),7.791521)</f>
        <v>7.791521</v>
      </c>
      <c r="D5125" s="7">
        <f>IFERROR(__xludf.DUMMYFUNCTION("""COMPUTED_VALUE"""),0.378787878787878)</f>
        <v>0.3787878788</v>
      </c>
    </row>
    <row r="5126">
      <c r="A5126" s="10" t="s">
        <v>6565</v>
      </c>
      <c r="B5126" s="7" t="str">
        <f>IFERROR(__xludf.DUMMYFUNCTION("SPLIT(A5126,"" "")"),"COC(C)c1cc(C)c(CN2CCN(C)CCN(Cc3ncccc3C(C)(C)c3ccccn3)CC2)c(C)n1")</f>
        <v>COC(C)c1cc(C)c(CN2CCN(C)CCN(Cc3ncccc3C(C)(C)c3ccccn3)CC2)c(C)n1</v>
      </c>
      <c r="C5126" s="7">
        <f>IFERROR(__xludf.DUMMYFUNCTION("""COMPUTED_VALUE"""),7.791518)</f>
        <v>7.791518</v>
      </c>
      <c r="D5126" s="7">
        <f>IFERROR(__xludf.DUMMYFUNCTION("""COMPUTED_VALUE"""),0.348484848484848)</f>
        <v>0.3484848485</v>
      </c>
    </row>
    <row r="5127">
      <c r="A5127" s="10" t="s">
        <v>6566</v>
      </c>
      <c r="B5127" s="7" t="str">
        <f>IFERROR(__xludf.DUMMYFUNCTION("SPLIT(A5127,"" "")"),"CN(CC1=CCC=C(N(C)Cc2ccccn2)N1)Cc1ncccc1-c1cccc2c1OCCOCCOCCOCCOCCO2")</f>
        <v>CN(CC1=CCC=C(N(C)Cc2ccccn2)N1)Cc1ncccc1-c1cccc2c1OCCOCCOCCOCCOCCO2</v>
      </c>
      <c r="C5127" s="7">
        <f>IFERROR(__xludf.DUMMYFUNCTION("""COMPUTED_VALUE"""),7.7915144)</f>
        <v>7.7915144</v>
      </c>
      <c r="D5127" s="7">
        <f>IFERROR(__xludf.DUMMYFUNCTION("""COMPUTED_VALUE"""),0.31081081081081)</f>
        <v>0.3108108108</v>
      </c>
    </row>
    <row r="5128">
      <c r="A5128" s="10" t="s">
        <v>6567</v>
      </c>
      <c r="B5128" s="7" t="str">
        <f>IFERROR(__xludf.DUMMYFUNCTION("SPLIT(A5128,"" "")"),"Cc1cccnc1CN(C)CC1=CCC(N(C)Cc2cccc(-c3ccc4c(c3)OCCOCCOCCOCCOCCO4)n2)=CN1")</f>
        <v>Cc1cccnc1CN(C)CC1=CCC(N(C)Cc2cccc(-c3ccc4c(c3)OCCOCCOCCOCCOCCO4)n2)=CN1</v>
      </c>
      <c r="C5128" s="7">
        <f>IFERROR(__xludf.DUMMYFUNCTION("""COMPUTED_VALUE"""),7.791513)</f>
        <v>7.791513</v>
      </c>
      <c r="D5128" s="7">
        <f>IFERROR(__xludf.DUMMYFUNCTION("""COMPUTED_VALUE"""),0.306666666666666)</f>
        <v>0.3066666667</v>
      </c>
    </row>
    <row r="5129">
      <c r="A5129" s="10" t="s">
        <v>6568</v>
      </c>
      <c r="B5129" s="7" t="str">
        <f>IFERROR(__xludf.DUMMYFUNCTION("SPLIT(A5129,"" "")"),"Cc1ccnc(CN(CCN(C)CCF)Cc2ncccc2F)c1C")</f>
        <v>Cc1ccnc(CN(CCN(C)CCF)Cc2ncccc2F)c1C</v>
      </c>
      <c r="C5129" s="7">
        <f>IFERROR(__xludf.DUMMYFUNCTION("""COMPUTED_VALUE"""),7.7915025)</f>
        <v>7.7915025</v>
      </c>
      <c r="D5129" s="7">
        <f>IFERROR(__xludf.DUMMYFUNCTION("""COMPUTED_VALUE"""),0.326923076923076)</f>
        <v>0.3269230769</v>
      </c>
    </row>
    <row r="5130">
      <c r="A5130" s="10" t="s">
        <v>6569</v>
      </c>
      <c r="B5130" s="7" t="str">
        <f>IFERROR(__xludf.DUMMYFUNCTION("SPLIT(A5130,"" "")"),"CC1C=C(N(C)Cc2ccccn2)C(C)(C)CC1C")</f>
        <v>CC1C=C(N(C)Cc2ccccn2)C(C)(C)CC1C</v>
      </c>
      <c r="C5130" s="7">
        <f>IFERROR(__xludf.DUMMYFUNCTION("""COMPUTED_VALUE"""),7.7914915)</f>
        <v>7.7914915</v>
      </c>
      <c r="D5130" s="7">
        <f>IFERROR(__xludf.DUMMYFUNCTION("""COMPUTED_VALUE"""),0.446808510638297)</f>
        <v>0.4468085106</v>
      </c>
    </row>
    <row r="5131">
      <c r="A5131" s="10" t="s">
        <v>6570</v>
      </c>
      <c r="B5131" s="7" t="str">
        <f>IFERROR(__xludf.DUMMYFUNCTION("SPLIT(A5131,"" "")"),"Cc1cnc(CN(C)C2CCCC(N(C)Cc3ncc(C)c(C)c3C)C2)c(C)c1C")</f>
        <v>Cc1cnc(CN(C)C2CCCC(N(C)Cc3ncc(C)c(C)c3C)C2)c(C)c1C</v>
      </c>
      <c r="C5131" s="7">
        <f>IFERROR(__xludf.DUMMYFUNCTION("""COMPUTED_VALUE"""),7.7914906)</f>
        <v>7.7914906</v>
      </c>
      <c r="D5131" s="7">
        <f>IFERROR(__xludf.DUMMYFUNCTION("""COMPUTED_VALUE"""),0.369565217391304)</f>
        <v>0.3695652174</v>
      </c>
    </row>
    <row r="5132">
      <c r="A5132" s="10" t="s">
        <v>6571</v>
      </c>
      <c r="B5132" s="7" t="str">
        <f>IFERROR(__xludf.DUMMYFUNCTION("SPLIT(A5132,"" "")"),"CNCc1cnccc1C")</f>
        <v>CNCc1cnccc1C</v>
      </c>
      <c r="C5132" s="7">
        <f>IFERROR(__xludf.DUMMYFUNCTION("""COMPUTED_VALUE"""),7.79149)</f>
        <v>7.79149</v>
      </c>
      <c r="D5132" s="7">
        <f>IFERROR(__xludf.DUMMYFUNCTION("""COMPUTED_VALUE"""),0.210526315789473)</f>
        <v>0.2105263158</v>
      </c>
    </row>
    <row r="5133">
      <c r="A5133" s="10" t="s">
        <v>6572</v>
      </c>
      <c r="B5133" s="7" t="str">
        <f>IFERROR(__xludf.DUMMYFUNCTION("SPLIT(A5133,"" "")"),"Cc1cc(-c2ccncc2CN2CCN(C)CCN(C)CC2)ccc1N")</f>
        <v>Cc1cc(-c2ccncc2CN2CCN(C)CCN(C)CC2)ccc1N</v>
      </c>
      <c r="C5133" s="7">
        <f>IFERROR(__xludf.DUMMYFUNCTION("""COMPUTED_VALUE"""),7.791488)</f>
        <v>7.791488</v>
      </c>
      <c r="D5133" s="7">
        <f>IFERROR(__xludf.DUMMYFUNCTION("""COMPUTED_VALUE"""),0.384615384615384)</f>
        <v>0.3846153846</v>
      </c>
    </row>
    <row r="5134">
      <c r="A5134" s="10" t="s">
        <v>6573</v>
      </c>
      <c r="B5134" s="7" t="str">
        <f>IFERROR(__xludf.DUMMYFUNCTION("SPLIT(A5134,"" "")"),"Cc1nc(CN(C)C2CCCC(N(C)Cc3ccon3)C2)c(C)c(C)c1C")</f>
        <v>Cc1nc(CN(C)C2CCCC(N(C)Cc3ccon3)C2)c(C)c(C)c1C</v>
      </c>
      <c r="C5134" s="7">
        <f>IFERROR(__xludf.DUMMYFUNCTION("""COMPUTED_VALUE"""),7.7914867)</f>
        <v>7.7914867</v>
      </c>
      <c r="D5134" s="7">
        <f>IFERROR(__xludf.DUMMYFUNCTION("""COMPUTED_VALUE"""),0.395833333333333)</f>
        <v>0.3958333333</v>
      </c>
    </row>
    <row r="5135">
      <c r="A5135" s="10" t="s">
        <v>6574</v>
      </c>
      <c r="B5135" s="7" t="str">
        <f>IFERROR(__xludf.DUMMYFUNCTION("SPLIT(A5135,"" "")"),"CC1=CC(C)C(CSCc2ccccn2)CC1N=Cc1ccccn1")</f>
        <v>CC1=CC(C)C(CSCc2ccccn2)CC1N=Cc1ccccn1</v>
      </c>
      <c r="C5135" s="7">
        <f>IFERROR(__xludf.DUMMYFUNCTION("""COMPUTED_VALUE"""),7.7914834)</f>
        <v>7.7914834</v>
      </c>
      <c r="D5135" s="7">
        <f>IFERROR(__xludf.DUMMYFUNCTION("""COMPUTED_VALUE"""),0.392156862745098)</f>
        <v>0.3921568627</v>
      </c>
    </row>
    <row r="5136">
      <c r="A5136" s="10" t="s">
        <v>6575</v>
      </c>
      <c r="B5136" s="7" t="str">
        <f>IFERROR(__xludf.DUMMYFUNCTION("SPLIT(A5136,"" "")"),"CN(Cc1ccc(-c2cccc3c2OCCOCCOCCOCCOCCO3)cn1)Cc1ncccc1N(C)C")</f>
        <v>CN(Cc1ccc(-c2cccc3c2OCCOCCOCCOCCOCCO3)cn1)Cc1ncccc1N(C)C</v>
      </c>
      <c r="C5136" s="7">
        <f>IFERROR(__xludf.DUMMYFUNCTION("""COMPUTED_VALUE"""),7.7914815)</f>
        <v>7.7914815</v>
      </c>
      <c r="D5136" s="7">
        <f>IFERROR(__xludf.DUMMYFUNCTION("""COMPUTED_VALUE"""),0.306666666666666)</f>
        <v>0.3066666667</v>
      </c>
    </row>
    <row r="5137">
      <c r="A5137" s="10" t="s">
        <v>6576</v>
      </c>
      <c r="B5137" s="7" t="str">
        <f>IFERROR(__xludf.DUMMYFUNCTION("SPLIT(A5137,"" "")"),"Cc1ccc(C)c(CN(Cc2ccccn2)C2CCC(N(C)Cc3cncc(C)c3C)CC2)n1")</f>
        <v>Cc1ccc(C)c(CN(Cc2ccccn2)C2CCC(N(C)Cc3cncc(C)c3C)CC2)n1</v>
      </c>
      <c r="C5137" s="7">
        <f>IFERROR(__xludf.DUMMYFUNCTION("""COMPUTED_VALUE"""),7.7914805)</f>
        <v>7.7914805</v>
      </c>
      <c r="D5137" s="7">
        <f>IFERROR(__xludf.DUMMYFUNCTION("""COMPUTED_VALUE"""),0.377049180327868)</f>
        <v>0.3770491803</v>
      </c>
    </row>
    <row r="5138">
      <c r="A5138" s="10" t="s">
        <v>6577</v>
      </c>
      <c r="B5138" s="7" t="str">
        <f>IFERROR(__xludf.DUMMYFUNCTION("SPLIT(A5138,"" "")"),"CN(C)Cc1ccc2ccc(N(C)C3CCCCC3N(Cc3ccc(-c4ccc5c(c4)OCCOCCOCCOCCOCCO5)cn3)C3C=CC=CN3)cc2n1")</f>
        <v>CN(C)Cc1ccc2ccc(N(C)C3CCCCC3N(Cc3ccc(-c4ccc5c(c4)OCCOCCOCCOCCOCCO5)cn3)C3C=CC=CN3)cc2n1</v>
      </c>
      <c r="C5138" s="7">
        <f>IFERROR(__xludf.DUMMYFUNCTION("""COMPUTED_VALUE"""),7.7914667)</f>
        <v>7.7914667</v>
      </c>
      <c r="D5138" s="7">
        <f>IFERROR(__xludf.DUMMYFUNCTION("""COMPUTED_VALUE"""),0.409638554216867)</f>
        <v>0.4096385542</v>
      </c>
    </row>
    <row r="5139">
      <c r="A5139" s="10" t="s">
        <v>6578</v>
      </c>
      <c r="B5139" s="7" t="str">
        <f>IFERROR(__xludf.DUMMYFUNCTION("SPLIT(A5139,"" "")"),"CN(Cc1ccccn1)c1cc2c(c(-c3cccc(CN(Cc4ccccn4)Cc4cccc(-c5ccc6c(c5)OCCOCCOCCOCCOCCO6)n4)n3)c1)OCCOCCOCCOCCOCCO2")</f>
        <v>CN(Cc1ccccn1)c1cc2c(c(-c3cccc(CN(Cc4ccccn4)Cc4cccc(-c5ccc6c(c5)OCCOCCOCCOCCOCCO6)n4)n3)c1)OCCOCCOCCOCCOCCO2</v>
      </c>
      <c r="C5139" s="7">
        <f>IFERROR(__xludf.DUMMYFUNCTION("""COMPUTED_VALUE"""),7.791466)</f>
        <v>7.791466</v>
      </c>
      <c r="D5139" s="7">
        <f>IFERROR(__xludf.DUMMYFUNCTION("""COMPUTED_VALUE"""),0.442857142857142)</f>
        <v>0.4428571429</v>
      </c>
    </row>
    <row r="5140">
      <c r="A5140" s="10" t="s">
        <v>6579</v>
      </c>
      <c r="B5140" s="7" t="str">
        <f>IFERROR(__xludf.DUMMYFUNCTION("SPLIT(A5140,"" "")"),"COC(=O)C1C(c2cc(CN3CCN(C)CCN(C)CC3)ccn2)C(CN(C)Cc2ccccn2)C(c2ccccn2)N(C)C1c1ccccn1")</f>
        <v>COC(=O)C1C(c2cc(CN3CCN(C)CCN(C)CC3)ccn2)C(CN(C)Cc2ccccn2)C(c2ccccn2)N(C)C1c1ccccn1</v>
      </c>
      <c r="C5140" s="7">
        <f>IFERROR(__xludf.DUMMYFUNCTION("""COMPUTED_VALUE"""),7.791461)</f>
        <v>7.791461</v>
      </c>
      <c r="D5140" s="7">
        <f>IFERROR(__xludf.DUMMYFUNCTION("""COMPUTED_VALUE"""),0.376811594202898)</f>
        <v>0.3768115942</v>
      </c>
    </row>
    <row r="5141">
      <c r="A5141" s="10" t="s">
        <v>6580</v>
      </c>
      <c r="B5141" s="7" t="str">
        <f>IFERROR(__xludf.DUMMYFUNCTION("SPLIT(A5141,"" "")"),"C=Nc1cccc(-c2ccc(CN3CCN(C)CCN(C)CC3)cn2)c1")</f>
        <v>C=Nc1cccc(-c2ccc(CN3CCN(C)CCN(C)CC3)cn2)c1</v>
      </c>
      <c r="C5141" s="7">
        <f>IFERROR(__xludf.DUMMYFUNCTION("""COMPUTED_VALUE"""),7.791459)</f>
        <v>7.791459</v>
      </c>
      <c r="D5141" s="7">
        <f>IFERROR(__xludf.DUMMYFUNCTION("""COMPUTED_VALUE"""),0.365384615384615)</f>
        <v>0.3653846154</v>
      </c>
    </row>
    <row r="5142">
      <c r="A5142" s="10" t="s">
        <v>6581</v>
      </c>
      <c r="B5142" s="7" t="str">
        <f>IFERROR(__xludf.DUMMYFUNCTION("SPLIT(A5142,"" "")"),"CC(C)c1cccc(CN(Cc2cccc(-c3ccc4c(c3)OCCOCCOCCOCCOCCO4)n2)Cc2cccc(C(C)(C)C)n2)n1")</f>
        <v>CC(C)c1cccc(CN(Cc2cccc(-c3ccc4c(c3)OCCOCCOCCOCCOCCO4)n2)Cc2cccc(C(C)(C)C)n2)n1</v>
      </c>
      <c r="C5142" s="7">
        <f>IFERROR(__xludf.DUMMYFUNCTION("""COMPUTED_VALUE"""),7.7914333)</f>
        <v>7.7914333</v>
      </c>
      <c r="D5142" s="7">
        <f>IFERROR(__xludf.DUMMYFUNCTION("""COMPUTED_VALUE"""),0.338028169014084)</f>
        <v>0.338028169</v>
      </c>
    </row>
    <row r="5143">
      <c r="A5143" s="10" t="s">
        <v>6582</v>
      </c>
      <c r="B5143" s="7" t="str">
        <f>IFERROR(__xludf.DUMMYFUNCTION("SPLIT(A5143,"" "")"),"Cc1ccc(C)c(CN(C)C2CCCC(N(Cc3ccccn3)Cc3ncccc3C)C2)n1")</f>
        <v>Cc1ccc(C)c(CN(C)C2CCCC(N(Cc3ccccn3)Cc3ncccc3C)C2)n1</v>
      </c>
      <c r="C5143" s="7">
        <f>IFERROR(__xludf.DUMMYFUNCTION("""COMPUTED_VALUE"""),7.7914276)</f>
        <v>7.7914276</v>
      </c>
      <c r="D5143" s="7">
        <f>IFERROR(__xludf.DUMMYFUNCTION("""COMPUTED_VALUE"""),0.421052631578947)</f>
        <v>0.4210526316</v>
      </c>
    </row>
    <row r="5144">
      <c r="A5144" s="10" t="s">
        <v>6583</v>
      </c>
      <c r="B5144" s="7" t="str">
        <f>IFERROR(__xludf.DUMMYFUNCTION("SPLIT(A5144,"" "")"),"Cc1cnc(CN(Cc2ccccn2)C2CCCC(N(C)Cc3ncccc3C)C2)c(C)c1")</f>
        <v>Cc1cnc(CN(Cc2ccccn2)C2CCCC(N(C)Cc3ncccc3C)C2)c(C)c1</v>
      </c>
      <c r="C5144" s="7">
        <f>IFERROR(__xludf.DUMMYFUNCTION("""COMPUTED_VALUE"""),7.791425)</f>
        <v>7.791425</v>
      </c>
      <c r="D5144" s="7">
        <f>IFERROR(__xludf.DUMMYFUNCTION("""COMPUTED_VALUE"""),0.413793103448275)</f>
        <v>0.4137931034</v>
      </c>
    </row>
    <row r="5145">
      <c r="A5145" s="10" t="s">
        <v>6584</v>
      </c>
      <c r="B5145" s="7" t="str">
        <f>IFERROR(__xludf.DUMMYFUNCTION("SPLIT(A5145,"" "")"),"CN(Cc1ncccc1-c1ccc2c(c1)OCCOCCOCCOCCOCCO2)C1CCCCC1N(C)c1ccc2ncc(CF)cc2c1")</f>
        <v>CN(Cc1ncccc1-c1ccc2c(c1)OCCOCCOCCOCCOCCO2)C1CCCCC1N(C)c1ccc2ncc(CF)cc2c1</v>
      </c>
      <c r="C5145" s="7">
        <f>IFERROR(__xludf.DUMMYFUNCTION("""COMPUTED_VALUE"""),7.791422)</f>
        <v>7.791422</v>
      </c>
      <c r="D5145" s="7">
        <f>IFERROR(__xludf.DUMMYFUNCTION("""COMPUTED_VALUE"""),0.310344827586206)</f>
        <v>0.3103448276</v>
      </c>
    </row>
    <row r="5146">
      <c r="A5146" s="10" t="s">
        <v>6585</v>
      </c>
      <c r="B5146" s="7" t="str">
        <f>IFERROR(__xludf.DUMMYFUNCTION("SPLIT(A5146,"" "")"),"CNC1CCCCC1N(Cc1cc(C)c(C)c(C)n1)Cc1nc(C)c(C)c(C)c1C")</f>
        <v>CNC1CCCCC1N(Cc1cc(C)c(C)c(C)n1)Cc1nc(C)c(C)c(C)c1C</v>
      </c>
      <c r="C5146" s="7">
        <f>IFERROR(__xludf.DUMMYFUNCTION("""COMPUTED_VALUE"""),7.7914205)</f>
        <v>7.7914205</v>
      </c>
      <c r="D5146" s="7">
        <f>IFERROR(__xludf.DUMMYFUNCTION("""COMPUTED_VALUE"""),0.288135593220339)</f>
        <v>0.2881355932</v>
      </c>
    </row>
    <row r="5147">
      <c r="A5147" s="10" t="s">
        <v>6586</v>
      </c>
      <c r="B5147" s="7" t="str">
        <f>IFERROR(__xludf.DUMMYFUNCTION("SPLIT(A5147,"" "")"),"CC(CN(Cc1ccccn1)Cc1ccccn1)(c1ccccn1)c1ncccc1-c1cccc2c1OCCOCCOCCOCCOCCO2")</f>
        <v>CC(CN(Cc1ccccn1)Cc1ccccn1)(c1ccccn1)c1ncccc1-c1cccc2c1OCCOCCOCCOCCOCCO2</v>
      </c>
      <c r="C5147" s="7">
        <f>IFERROR(__xludf.DUMMYFUNCTION("""COMPUTED_VALUE"""),7.79142)</f>
        <v>7.79142</v>
      </c>
      <c r="D5147" s="7">
        <f>IFERROR(__xludf.DUMMYFUNCTION("""COMPUTED_VALUE"""),0.377049180327868)</f>
        <v>0.3770491803</v>
      </c>
    </row>
    <row r="5148">
      <c r="A5148" s="10" t="s">
        <v>6587</v>
      </c>
      <c r="B5148" s="7" t="str">
        <f>IFERROR(__xludf.DUMMYFUNCTION("SPLIT(A5148,"" "")"),"CN(Cc1ncccc1-c1ccc2c(c1)OCCOCCOCCOCCOCCO2)C1CCCCC1N(C)c1ccc2nc(CF)ccc2c1")</f>
        <v>CN(Cc1ncccc1-c1ccc2c(c1)OCCOCCOCCOCCOCCO2)C1CCCCC1N(C)c1ccc2nc(CF)ccc2c1</v>
      </c>
      <c r="C5148" s="7">
        <f>IFERROR(__xludf.DUMMYFUNCTION("""COMPUTED_VALUE"""),7.7914157)</f>
        <v>7.7914157</v>
      </c>
      <c r="D5148" s="7">
        <f>IFERROR(__xludf.DUMMYFUNCTION("""COMPUTED_VALUE"""),0.363636363636363)</f>
        <v>0.3636363636</v>
      </c>
    </row>
    <row r="5149">
      <c r="A5149" s="10" t="s">
        <v>6588</v>
      </c>
      <c r="B5149" s="7" t="str">
        <f>IFERROR(__xludf.DUMMYFUNCTION("SPLIT(A5149,"" "")"),"CC(C)C1=CC(NCc2ccccn2)C=CN1")</f>
        <v>CC(C)C1=CC(NCc2ccccn2)C=CN1</v>
      </c>
      <c r="C5149" s="7">
        <f>IFERROR(__xludf.DUMMYFUNCTION("""COMPUTED_VALUE"""),7.7914124)</f>
        <v>7.7914124</v>
      </c>
      <c r="D5149" s="7">
        <f>IFERROR(__xludf.DUMMYFUNCTION("""COMPUTED_VALUE"""),0.386363636363636)</f>
        <v>0.3863636364</v>
      </c>
    </row>
    <row r="5150">
      <c r="A5150" s="10" t="s">
        <v>6589</v>
      </c>
      <c r="B5150" s="7" t="str">
        <f>IFERROR(__xludf.DUMMYFUNCTION("SPLIT(A5150,"" "")"),"CN(Cc1ncccc1-c1cccc2c1OCCOCCOCCOCCOCCO2)Cc1ncccc1N(C)C")</f>
        <v>CN(Cc1ncccc1-c1cccc2c1OCCOCCOCCOCCOCCO2)Cc1ncccc1N(C)C</v>
      </c>
      <c r="C5150" s="7">
        <f>IFERROR(__xludf.DUMMYFUNCTION("""COMPUTED_VALUE"""),7.7914095)</f>
        <v>7.7914095</v>
      </c>
      <c r="D5150" s="7">
        <f>IFERROR(__xludf.DUMMYFUNCTION("""COMPUTED_VALUE"""),0.280701754385964)</f>
        <v>0.2807017544</v>
      </c>
    </row>
    <row r="5151">
      <c r="A5151" s="10" t="s">
        <v>6590</v>
      </c>
      <c r="B5151" s="7" t="str">
        <f>IFERROR(__xludf.DUMMYFUNCTION("SPLIT(A5151,"" "")"),"CNCc1ncccc1CN(Cc1ccccn1)C1CCCC(N(C)Cc2nc(C)c(C)c(C)c2C)C1")</f>
        <v>CNCc1ncccc1CN(Cc1ccccn1)C1CCCC(N(C)Cc2nc(C)c(C)c(C)c2C)C1</v>
      </c>
      <c r="C5151" s="7">
        <f>IFERROR(__xludf.DUMMYFUNCTION("""COMPUTED_VALUE"""),7.7913957)</f>
        <v>7.7913957</v>
      </c>
      <c r="D5151" s="7">
        <f>IFERROR(__xludf.DUMMYFUNCTION("""COMPUTED_VALUE"""),0.369230769230769)</f>
        <v>0.3692307692</v>
      </c>
    </row>
    <row r="5152">
      <c r="A5152" s="10" t="s">
        <v>6591</v>
      </c>
      <c r="B5152" s="7" t="str">
        <f>IFERROR(__xludf.DUMMYFUNCTION("SPLIT(A5152,"" "")"),"Cc1cccc(CN(C)C2=CCC=C(CN(C)C3CCC(N(C)Cc4ccccn4)CC3)N2)n1")</f>
        <v>Cc1cccc(CN(C)C2=CCC=C(CN(C)C3CCC(N(C)Cc4ccccn4)CC3)N2)n1</v>
      </c>
      <c r="C5152" s="7">
        <f>IFERROR(__xludf.DUMMYFUNCTION("""COMPUTED_VALUE"""),7.7913933)</f>
        <v>7.7913933</v>
      </c>
      <c r="D5152" s="7">
        <f>IFERROR(__xludf.DUMMYFUNCTION("""COMPUTED_VALUE"""),0.43103448275862)</f>
        <v>0.4310344828</v>
      </c>
    </row>
    <row r="5153">
      <c r="A5153" s="10" t="s">
        <v>6592</v>
      </c>
      <c r="B5153" s="7" t="str">
        <f>IFERROR(__xludf.DUMMYFUNCTION("SPLIT(A5153,"" "")"),"Cc1cc(C)c(CN(C)Cc2ncccc2-c2ccc3c(c2)OCCOCCOCCOCCOCCO3)nc1C")</f>
        <v>Cc1cc(C)c(CN(C)Cc2ncccc2-c2ccc3c(c2)OCCOCCOCCOCCOCCO3)nc1C</v>
      </c>
      <c r="C5153" s="7">
        <f>IFERROR(__xludf.DUMMYFUNCTION("""COMPUTED_VALUE"""),7.791389)</f>
        <v>7.791389</v>
      </c>
      <c r="D5153" s="7">
        <f>IFERROR(__xludf.DUMMYFUNCTION("""COMPUTED_VALUE"""),0.319444444444444)</f>
        <v>0.3194444444</v>
      </c>
    </row>
    <row r="5154">
      <c r="A5154" s="10" t="s">
        <v>6593</v>
      </c>
      <c r="B5154" s="7" t="str">
        <f>IFERROR(__xludf.DUMMYFUNCTION("SPLIT(A5154,"" "")"),"Cc1ccnc(CN(C)C2C=CNC(CN(C)C(C)C(C)C)=C2)c1C")</f>
        <v>Cc1ccnc(CN(C)C2C=CNC(CN(C)C(C)C(C)C)=C2)c1C</v>
      </c>
      <c r="C5154" s="7">
        <f>IFERROR(__xludf.DUMMYFUNCTION("""COMPUTED_VALUE"""),7.7913833)</f>
        <v>7.7913833</v>
      </c>
      <c r="D5154" s="7">
        <f>IFERROR(__xludf.DUMMYFUNCTION("""COMPUTED_VALUE"""),0.285714285714285)</f>
        <v>0.2857142857</v>
      </c>
    </row>
    <row r="5155">
      <c r="A5155" s="10" t="s">
        <v>6594</v>
      </c>
      <c r="B5155" s="7" t="str">
        <f>IFERROR(__xludf.DUMMYFUNCTION("SPLIT(A5155,"" "")"),"C=CCN(Cc1ccccn1)Cc1ncccc1N(C)Cc1cccc(-c2cccc3c2OCCOCCOCCOCCOCCO3)n1")</f>
        <v>C=CCN(Cc1ccccn1)Cc1ncccc1N(C)Cc1cccc(-c2cccc3c2OCCOCCOCCOCCOCCO3)n1</v>
      </c>
      <c r="C5155" s="7">
        <f>IFERROR(__xludf.DUMMYFUNCTION("""COMPUTED_VALUE"""),7.7913704)</f>
        <v>7.7913704</v>
      </c>
      <c r="D5155" s="7">
        <f>IFERROR(__xludf.DUMMYFUNCTION("""COMPUTED_VALUE"""),0.352112676056338)</f>
        <v>0.3521126761</v>
      </c>
    </row>
    <row r="5156">
      <c r="A5156" s="10" t="s">
        <v>6595</v>
      </c>
      <c r="B5156" s="7" t="str">
        <f>IFERROR(__xludf.DUMMYFUNCTION("SPLIT(A5156,"" "")"),"Cc1cncc(CN(C)C2CCCC(N(Cc3ccccn3)Cc3ncc(C)c(C)c3C)C2)c1")</f>
        <v>Cc1cncc(CN(C)C2CCCC(N(Cc3ccccn3)Cc3ncc(C)c(C)c3C)C2)c1</v>
      </c>
      <c r="C5156" s="7">
        <f>IFERROR(__xludf.DUMMYFUNCTION("""COMPUTED_VALUE"""),7.791368)</f>
        <v>7.791368</v>
      </c>
      <c r="D5156" s="7">
        <f>IFERROR(__xludf.DUMMYFUNCTION("""COMPUTED_VALUE"""),0.387096774193548)</f>
        <v>0.3870967742</v>
      </c>
    </row>
    <row r="5157">
      <c r="A5157" s="10" t="s">
        <v>6596</v>
      </c>
      <c r="B5157" s="7" t="str">
        <f>IFERROR(__xludf.DUMMYFUNCTION("SPLIT(A5157,"" "")"),"CNCCN(Cc1ccccn1)C(C)(C)c1ccccn1")</f>
        <v>CNCCN(Cc1ccccn1)C(C)(C)c1ccccn1</v>
      </c>
      <c r="C5157" s="7">
        <f>IFERROR(__xludf.DUMMYFUNCTION("""COMPUTED_VALUE"""),7.79135)</f>
        <v>7.79135</v>
      </c>
      <c r="D5157" s="7">
        <f>IFERROR(__xludf.DUMMYFUNCTION("""COMPUTED_VALUE"""),0.466666666666666)</f>
        <v>0.4666666667</v>
      </c>
    </row>
    <row r="5158">
      <c r="A5158" s="10" t="s">
        <v>6597</v>
      </c>
      <c r="B5158" s="7" t="str">
        <f>IFERROR(__xludf.DUMMYFUNCTION("SPLIT(A5158,"" "")"),"CC1=CC(C)C(N(C)CC2=CC(N(C)Cc3nc(C)ccc3C)C=CN2)CC1C")</f>
        <v>CC1=CC(C)C(N(C)CC2=CC(N(C)Cc3nc(C)ccc3C)C=CN2)CC1C</v>
      </c>
      <c r="C5158" s="7">
        <f>IFERROR(__xludf.DUMMYFUNCTION("""COMPUTED_VALUE"""),7.7913494)</f>
        <v>7.7913494</v>
      </c>
      <c r="D5158" s="7">
        <f>IFERROR(__xludf.DUMMYFUNCTION("""COMPUTED_VALUE"""),0.283582089552238)</f>
        <v>0.2835820896</v>
      </c>
    </row>
    <row r="5159">
      <c r="A5159" s="10" t="s">
        <v>6598</v>
      </c>
      <c r="B5159" s="7" t="str">
        <f>IFERROR(__xludf.DUMMYFUNCTION("SPLIT(A5159,"" "")"),"Cc1nc(CN(C)C2CCC(N(Cc3ccc4c(n3)CCC4)C(C)C)CC2)c(C)c(C)c1C")</f>
        <v>Cc1nc(CN(C)C2CCC(N(Cc3ccc4c(n3)CCC4)C(C)C)CC2)c(C)c(C)c1C</v>
      </c>
      <c r="C5159" s="7">
        <f>IFERROR(__xludf.DUMMYFUNCTION("""COMPUTED_VALUE"""),7.7913475)</f>
        <v>7.7913475</v>
      </c>
      <c r="D5159" s="7">
        <f>IFERROR(__xludf.DUMMYFUNCTION("""COMPUTED_VALUE"""),0.289855072463768)</f>
        <v>0.2898550725</v>
      </c>
    </row>
    <row r="5160">
      <c r="A5160" s="10" t="s">
        <v>6599</v>
      </c>
      <c r="B5160" s="7" t="str">
        <f>IFERROR(__xludf.DUMMYFUNCTION("SPLIT(A5160,"" "")"),"CCN(Cc1cc(-c2ccc3c(c2)OCCOCCOCCOCCOCCO3)ccn1)C1CCC(N(C)c2ccc3nc(CF)ccc3c2)CC1")</f>
        <v>CCN(Cc1cc(-c2ccc3c(c2)OCCOCCOCCOCCOCCO3)ccn1)C1CCC(N(C)c2ccc3nc(CF)ccc3c2)CC1</v>
      </c>
      <c r="C5160" s="7">
        <f>IFERROR(__xludf.DUMMYFUNCTION("""COMPUTED_VALUE"""),7.791346)</f>
        <v>7.791346</v>
      </c>
      <c r="D5160" s="7">
        <f>IFERROR(__xludf.DUMMYFUNCTION("""COMPUTED_VALUE"""),0.345679012345679)</f>
        <v>0.3456790123</v>
      </c>
    </row>
    <row r="5161">
      <c r="A5161" s="10" t="s">
        <v>6600</v>
      </c>
      <c r="B5161" s="7" t="str">
        <f>IFERROR(__xludf.DUMMYFUNCTION("SPLIT(A5161,"" "")"),"CN(Cc1cccc(-c2ccc3c(c2)OCCOCCOCCOCCOCCO3)n1)C1CCC(N(C)c2ccc3ncccc3c2)CC1")</f>
        <v>CN(Cc1cccc(-c2ccc3c(c2)OCCOCCOCCOCCOCCO3)n1)C1CCC(N(C)c2ccc3ncccc3c2)CC1</v>
      </c>
      <c r="C5161" s="7">
        <f>IFERROR(__xludf.DUMMYFUNCTION("""COMPUTED_VALUE"""),7.791343)</f>
        <v>7.791343</v>
      </c>
      <c r="D5161" s="7">
        <f>IFERROR(__xludf.DUMMYFUNCTION("""COMPUTED_VALUE"""),0.329113924050632)</f>
        <v>0.3291139241</v>
      </c>
    </row>
    <row r="5162">
      <c r="A5162" s="10" t="s">
        <v>6601</v>
      </c>
      <c r="B5162" s="7" t="str">
        <f>IFERROR(__xludf.DUMMYFUNCTION("SPLIT(A5162,"" "")"),"CC(C)N(Cc1cccc(-c2ccc3c(c2)OCCOCCOCCOCCOCCO3)n1)C1CCC(N(C)c2cccc3cccnc23)CC1")</f>
        <v>CC(C)N(Cc1cccc(-c2ccc3c(c2)OCCOCCOCCOCCOCCO3)n1)C1CCC(N(C)c2cccc3cccnc23)CC1</v>
      </c>
      <c r="C5162" s="7">
        <f>IFERROR(__xludf.DUMMYFUNCTION("""COMPUTED_VALUE"""),7.791341)</f>
        <v>7.791341</v>
      </c>
      <c r="D5162" s="7">
        <f>IFERROR(__xludf.DUMMYFUNCTION("""COMPUTED_VALUE"""),0.376811594202898)</f>
        <v>0.3768115942</v>
      </c>
    </row>
    <row r="5163">
      <c r="A5163" s="10" t="s">
        <v>6602</v>
      </c>
      <c r="B5163" s="7" t="str">
        <f>IFERROR(__xludf.DUMMYFUNCTION("SPLIT(A5163,"" "")"),"CC(C)N(Cc1cccc(-c2ccc3c(c2)OCCOCCOCCOCCOCCO3)n1)C1CCC(N(C)c2ccc3nc(CF)ccc3c2)CC1")</f>
        <v>CC(C)N(Cc1cccc(-c2ccc3c(c2)OCCOCCOCCOCCOCCO3)n1)C1CCC(N(C)c2ccc3nc(CF)ccc3c2)CC1</v>
      </c>
      <c r="C5163" s="7">
        <f>IFERROR(__xludf.DUMMYFUNCTION("""COMPUTED_VALUE"""),7.7913365)</f>
        <v>7.7913365</v>
      </c>
      <c r="D5163" s="7">
        <f>IFERROR(__xludf.DUMMYFUNCTION("""COMPUTED_VALUE"""),0.309523809523809)</f>
        <v>0.3095238095</v>
      </c>
    </row>
    <row r="5164">
      <c r="A5164" s="10" t="s">
        <v>6603</v>
      </c>
      <c r="B5164" s="7" t="str">
        <f>IFERROR(__xludf.DUMMYFUNCTION("SPLIT(A5164,"" "")"),"Cc1cnc(CN(Cc2ccccn2)C2CCCC(N(C)Cc3cccc(C)n3)C2)c(C)c1")</f>
        <v>Cc1cnc(CN(Cc2ccccn2)C2CCCC(N(C)Cc3cccc(C)n3)C2)c(C)c1</v>
      </c>
      <c r="C5164" s="7">
        <f>IFERROR(__xludf.DUMMYFUNCTION("""COMPUTED_VALUE"""),7.791333)</f>
        <v>7.791333</v>
      </c>
      <c r="D5164" s="7">
        <f>IFERROR(__xludf.DUMMYFUNCTION("""COMPUTED_VALUE"""),0.433333333333333)</f>
        <v>0.4333333333</v>
      </c>
    </row>
    <row r="5165">
      <c r="A5165" s="10" t="s">
        <v>6604</v>
      </c>
      <c r="B5165" s="7" t="str">
        <f>IFERROR(__xludf.DUMMYFUNCTION("SPLIT(A5165,"" "")"),"CC(NCc1ccccn1)C1=CNC=CC1")</f>
        <v>CC(NCc1ccccn1)C1=CNC=CC1</v>
      </c>
      <c r="C5165" s="7">
        <f>IFERROR(__xludf.DUMMYFUNCTION("""COMPUTED_VALUE"""),7.791327)</f>
        <v>7.791327</v>
      </c>
      <c r="D5165" s="7">
        <f>IFERROR(__xludf.DUMMYFUNCTION("""COMPUTED_VALUE"""),0.386363636363636)</f>
        <v>0.3863636364</v>
      </c>
    </row>
    <row r="5166">
      <c r="A5166" s="10" t="s">
        <v>6605</v>
      </c>
      <c r="B5166" s="7" t="str">
        <f>IFERROR(__xludf.DUMMYFUNCTION("SPLIT(A5166,"" "")"),"C=CC1=CCC=CN1")</f>
        <v>C=CC1=CCC=CN1</v>
      </c>
      <c r="C5166" s="7">
        <f>IFERROR(__xludf.DUMMYFUNCTION("""COMPUTED_VALUE"""),7.791325)</f>
        <v>7.791325</v>
      </c>
      <c r="D5166" s="7">
        <f>IFERROR(__xludf.DUMMYFUNCTION("""COMPUTED_VALUE"""),0.272727272727272)</f>
        <v>0.2727272727</v>
      </c>
    </row>
    <row r="5167">
      <c r="A5167" s="10" t="s">
        <v>6606</v>
      </c>
      <c r="B5167" s="7" t="str">
        <f>IFERROR(__xludf.DUMMYFUNCTION("SPLIT(A5167,"" "")"),"Cc1ccc(CN(Cc2ncccc2C)C2CCC(N(C)Cc3ccon3)CC2)nc1")</f>
        <v>Cc1ccc(CN(Cc2ncccc2C)C2CCC(N(C)Cc3ccon3)CC2)nc1</v>
      </c>
      <c r="C5167" s="7">
        <f>IFERROR(__xludf.DUMMYFUNCTION("""COMPUTED_VALUE"""),7.791323)</f>
        <v>7.791323</v>
      </c>
      <c r="D5167" s="7">
        <f>IFERROR(__xludf.DUMMYFUNCTION("""COMPUTED_VALUE"""),0.423728813559322)</f>
        <v>0.4237288136</v>
      </c>
    </row>
    <row r="5168">
      <c r="A5168" s="10" t="s">
        <v>6607</v>
      </c>
      <c r="B5168" s="7" t="str">
        <f>IFERROR(__xludf.DUMMYFUNCTION("SPLIT(A5168,"" "")"),"CC1C(N)CC1c1ccc(CN(C)Cc2ccccn2)cn1")</f>
        <v>CC1C(N)CC1c1ccc(CN(C)Cc2ccccn2)cn1</v>
      </c>
      <c r="C5168" s="7">
        <f>IFERROR(__xludf.DUMMYFUNCTION("""COMPUTED_VALUE"""),7.791318)</f>
        <v>7.791318</v>
      </c>
      <c r="D5168" s="7">
        <f>IFERROR(__xludf.DUMMYFUNCTION("""COMPUTED_VALUE"""),0.433962264150943)</f>
        <v>0.4339622642</v>
      </c>
    </row>
    <row r="5169">
      <c r="A5169" s="10" t="s">
        <v>6608</v>
      </c>
      <c r="B5169" s="7" t="str">
        <f>IFERROR(__xludf.DUMMYFUNCTION("SPLIT(A5169,"" "")"),"Cc1ccncc1NC1CCC(NCc2nc(C)c(C)c(C)c2C)CC1")</f>
        <v>Cc1ccncc1NC1CCC(NCc2nc(C)c(C)c(C)c2C)CC1</v>
      </c>
      <c r="C5169" s="7">
        <f>IFERROR(__xludf.DUMMYFUNCTION("""COMPUTED_VALUE"""),7.791313)</f>
        <v>7.791313</v>
      </c>
      <c r="D5169" s="7">
        <f>IFERROR(__xludf.DUMMYFUNCTION("""COMPUTED_VALUE"""),0.177419354838709)</f>
        <v>0.1774193548</v>
      </c>
    </row>
    <row r="5170">
      <c r="A5170" s="10" t="s">
        <v>6609</v>
      </c>
      <c r="B5170" s="7" t="str">
        <f>IFERROR(__xludf.DUMMYFUNCTION("SPLIT(A5170,"" "")"),"CC1=C(N=Cc2ccccn2)CCCC1CN(C)Cc1cccnn1")</f>
        <v>CC1=C(N=Cc2ccccn2)CCCC1CN(C)Cc1cccnn1</v>
      </c>
      <c r="C5170" s="7">
        <f>IFERROR(__xludf.DUMMYFUNCTION("""COMPUTED_VALUE"""),7.7913127)</f>
        <v>7.7913127</v>
      </c>
      <c r="D5170" s="7">
        <f>IFERROR(__xludf.DUMMYFUNCTION("""COMPUTED_VALUE"""),0.385964912280701)</f>
        <v>0.3859649123</v>
      </c>
    </row>
    <row r="5171">
      <c r="A5171" s="10" t="s">
        <v>6610</v>
      </c>
      <c r="B5171" s="7" t="str">
        <f>IFERROR(__xludf.DUMMYFUNCTION("SPLIT(A5171,"" "")"),"Cc1cnc(CN(C)C2CCC(N(C)Cc3ccccn3)C(N(Cc3ccccn3)Cc3cccc(C4CC(Cl)C4Cl)n3)C2)c(C)c1")</f>
        <v>Cc1cnc(CN(C)C2CCC(N(C)Cc3ccccn3)C(N(Cc3ccccn3)Cc3cccc(C4CC(Cl)C4Cl)n3)C2)c(C)c1</v>
      </c>
      <c r="C5171" s="7">
        <f>IFERROR(__xludf.DUMMYFUNCTION("""COMPUTED_VALUE"""),7.791309)</f>
        <v>7.791309</v>
      </c>
      <c r="D5171" s="7">
        <f>IFERROR(__xludf.DUMMYFUNCTION("""COMPUTED_VALUE"""),0.385714285714285)</f>
        <v>0.3857142857</v>
      </c>
    </row>
    <row r="5172">
      <c r="A5172" s="10" t="s">
        <v>6611</v>
      </c>
      <c r="B5172" s="7" t="str">
        <f>IFERROR(__xludf.DUMMYFUNCTION("SPLIT(A5172,"" "")"),"CCN(Cc1cc(CN(C)C2CCC(N(C)Cc3nc(C)c(C)c(C)c3C)CC2)ccn1)Cc1ncccc1C")</f>
        <v>CCN(Cc1cc(CN(C)C2CCC(N(C)Cc3nc(C)c(C)c(C)c3C)CC2)ccn1)Cc1ncccc1C</v>
      </c>
      <c r="C5172" s="7">
        <f>IFERROR(__xludf.DUMMYFUNCTION("""COMPUTED_VALUE"""),7.7913046)</f>
        <v>7.7913046</v>
      </c>
      <c r="D5172" s="7">
        <f>IFERROR(__xludf.DUMMYFUNCTION("""COMPUTED_VALUE"""),0.287878787878787)</f>
        <v>0.2878787879</v>
      </c>
    </row>
    <row r="5173">
      <c r="A5173" s="10" t="s">
        <v>6612</v>
      </c>
      <c r="B5173" s="7" t="str">
        <f>IFERROR(__xludf.DUMMYFUNCTION("SPLIT(A5173,"" "")"),"Cc1cccc(CN(C)C2=CNC(CN(C)Cc3cccc(-c4ccc5c(c4)OCCOCCOCCOCCOCCO5)n3)=CC2)n1")</f>
        <v>Cc1cccc(CN(C)C2=CNC(CN(C)Cc3cccc(-c4ccc5c(c4)OCCOCCOCCOCCOCCO5)n3)=CC2)n1</v>
      </c>
      <c r="C5173" s="7">
        <f>IFERROR(__xludf.DUMMYFUNCTION("""COMPUTED_VALUE"""),7.7912993)</f>
        <v>7.7912993</v>
      </c>
      <c r="D5173" s="7">
        <f>IFERROR(__xludf.DUMMYFUNCTION("""COMPUTED_VALUE"""),0.34375)</f>
        <v>0.34375</v>
      </c>
    </row>
    <row r="5174">
      <c r="A5174" s="10" t="s">
        <v>6613</v>
      </c>
      <c r="B5174" s="7" t="str">
        <f>IFERROR(__xludf.DUMMYFUNCTION("SPLIT(A5174,"" "")"),"CN(CCF)CCN(Cc1ccccn1)C1CCCCC1N(C)c1cccc2ncc(CF)cc12")</f>
        <v>CN(CCF)CCN(Cc1ccccn1)C1CCCCC1N(C)c1cccc2ncc(CF)cc12</v>
      </c>
      <c r="C5174" s="7">
        <f>IFERROR(__xludf.DUMMYFUNCTION("""COMPUTED_VALUE"""),7.791299)</f>
        <v>7.791299</v>
      </c>
      <c r="D5174" s="7">
        <f>IFERROR(__xludf.DUMMYFUNCTION("""COMPUTED_VALUE"""),0.4)</f>
        <v>0.4</v>
      </c>
    </row>
    <row r="5175">
      <c r="A5175" s="10" t="s">
        <v>6614</v>
      </c>
      <c r="B5175" s="7" t="str">
        <f>IFERROR(__xludf.DUMMYFUNCTION("SPLIT(A5175,"" "")"),"C=Nc1cccc(-c2ccc(CN3CCN(C)CCN(C)CC3)nc2)c1")</f>
        <v>C=Nc1cccc(-c2ccc(CN3CCN(C)CCN(C)CC3)nc2)c1</v>
      </c>
      <c r="C5175" s="7">
        <f>IFERROR(__xludf.DUMMYFUNCTION("""COMPUTED_VALUE"""),7.791295)</f>
        <v>7.791295</v>
      </c>
      <c r="D5175" s="7">
        <f>IFERROR(__xludf.DUMMYFUNCTION("""COMPUTED_VALUE"""),0.458333333333333)</f>
        <v>0.4583333333</v>
      </c>
    </row>
    <row r="5176">
      <c r="A5176" s="10" t="s">
        <v>6615</v>
      </c>
      <c r="B5176" s="7" t="str">
        <f>IFERROR(__xludf.DUMMYFUNCTION("SPLIT(A5176,"" "")"),"CN(Cc1cncc(N(C)C)c1)Cc1ncccc1-c1cccc2c1OCCOCCOCCOCCOCCO2")</f>
        <v>CN(Cc1cncc(N(C)C)c1)Cc1ncccc1-c1cccc2c1OCCOCCOCCOCCOCCO2</v>
      </c>
      <c r="C5176" s="7">
        <f>IFERROR(__xludf.DUMMYFUNCTION("""COMPUTED_VALUE"""),7.7912807)</f>
        <v>7.7912807</v>
      </c>
      <c r="D5176" s="7">
        <f>IFERROR(__xludf.DUMMYFUNCTION("""COMPUTED_VALUE"""),0.238805970149253)</f>
        <v>0.2388059701</v>
      </c>
    </row>
    <row r="5177">
      <c r="A5177" s="10" t="s">
        <v>6616</v>
      </c>
      <c r="B5177" s="7" t="str">
        <f>IFERROR(__xludf.DUMMYFUNCTION("SPLIT(A5177,"" "")"),"Cc1cccc(CN(C)C2CCC(N(C)CC3=CCC=C(N(C)Cc4ccccn4)N3)CC2)n1")</f>
        <v>Cc1cccc(CN(C)C2CCC(N(C)CC3=CCC=C(N(C)Cc4ccccn4)N3)CC2)n1</v>
      </c>
      <c r="C5177" s="7">
        <f>IFERROR(__xludf.DUMMYFUNCTION("""COMPUTED_VALUE"""),7.7912745)</f>
        <v>7.7912745</v>
      </c>
      <c r="D5177" s="7">
        <f>IFERROR(__xludf.DUMMYFUNCTION("""COMPUTED_VALUE"""),0.43103448275862)</f>
        <v>0.4310344828</v>
      </c>
    </row>
    <row r="5178">
      <c r="A5178" s="10" t="s">
        <v>6617</v>
      </c>
      <c r="B5178" s="7" t="str">
        <f>IFERROR(__xludf.DUMMYFUNCTION("SPLIT(A5178,"" "")"),"CC(C)N(Cc1cc(-c2ccc3c(c2)OCCOCCOCCOCCOCCO3)ccn1)Cc1cc(C(C)(C)c2ccccn2)ccn1")</f>
        <v>CC(C)N(Cc1cc(-c2ccc3c(c2)OCCOCCOCCOCCOCCO3)ccn1)Cc1cc(C(C)(C)c2ccccn2)ccn1</v>
      </c>
      <c r="C5178" s="7">
        <f>IFERROR(__xludf.DUMMYFUNCTION("""COMPUTED_VALUE"""),7.791273)</f>
        <v>7.791273</v>
      </c>
      <c r="D5178" s="7">
        <f>IFERROR(__xludf.DUMMYFUNCTION("""COMPUTED_VALUE"""),0.360655737704918)</f>
        <v>0.3606557377</v>
      </c>
    </row>
    <row r="5179">
      <c r="A5179" s="10" t="s">
        <v>6618</v>
      </c>
      <c r="B5179" s="7" t="str">
        <f>IFERROR(__xludf.DUMMYFUNCTION("SPLIT(A5179,"" "")"),"CNCc1cc(CN(Cc2cc(C)ccn2)C2CCC(N(C)Cc3cc(C)c(C)c(C)n3)CC2)ccn1")</f>
        <v>CNCc1cc(CN(Cc2cc(C)ccn2)C2CCC(N(C)Cc3cc(C)c(C)c(C)n3)CC2)ccn1</v>
      </c>
      <c r="C5179" s="7">
        <f>IFERROR(__xludf.DUMMYFUNCTION("""COMPUTED_VALUE"""),7.7912693)</f>
        <v>7.7912693</v>
      </c>
      <c r="D5179" s="7">
        <f>IFERROR(__xludf.DUMMYFUNCTION("""COMPUTED_VALUE"""),0.287878787878787)</f>
        <v>0.2878787879</v>
      </c>
    </row>
    <row r="5180">
      <c r="A5180" s="10" t="s">
        <v>6619</v>
      </c>
      <c r="B5180" s="7" t="str">
        <f>IFERROR(__xludf.DUMMYFUNCTION("SPLIT(A5180,"" "")"),"CNCc1cc(CN(Cc2cc(C)ccn2)C2CCC(N(C)Cc3nc(C)c(C)cc3C)CC2)ccn1")</f>
        <v>CNCc1cc(CN(Cc2cc(C)ccn2)C2CCC(N(C)Cc3nc(C)c(C)cc3C)CC2)ccn1</v>
      </c>
      <c r="C5180" s="7">
        <f>IFERROR(__xludf.DUMMYFUNCTION("""COMPUTED_VALUE"""),7.791268)</f>
        <v>7.791268</v>
      </c>
      <c r="D5180" s="7">
        <f>IFERROR(__xludf.DUMMYFUNCTION("""COMPUTED_VALUE"""),0.292307692307692)</f>
        <v>0.2923076923</v>
      </c>
    </row>
    <row r="5181">
      <c r="A5181" s="10" t="s">
        <v>6620</v>
      </c>
      <c r="B5181" s="7" t="str">
        <f>IFERROR(__xludf.DUMMYFUNCTION("SPLIT(A5181,"" "")"),"Cc1cc(CN(Cc2nc(C)c(C)c(C)c2C)C2CCCCC2N(CF)Cc2ccccn2)nc(C)c1C")</f>
        <v>Cc1cc(CN(Cc2nc(C)c(C)c(C)c2C)C2CCCCC2N(CF)Cc2ccccn2)nc(C)c1C</v>
      </c>
      <c r="C5181" s="7">
        <f>IFERROR(__xludf.DUMMYFUNCTION("""COMPUTED_VALUE"""),7.7912517)</f>
        <v>7.7912517</v>
      </c>
      <c r="D5181" s="7">
        <f>IFERROR(__xludf.DUMMYFUNCTION("""COMPUTED_VALUE"""),0.43103448275862)</f>
        <v>0.4310344828</v>
      </c>
    </row>
    <row r="5182">
      <c r="A5182" s="10" t="s">
        <v>6621</v>
      </c>
      <c r="B5182" s="7" t="str">
        <f>IFERROR(__xludf.DUMMYFUNCTION("SPLIT(A5182,"" "")"),"CNCC1CCC(N(C)Cc2ccccn2)N1Cc1nc(C)c(C)c(C)c1C")</f>
        <v>CNCC1CCC(N(C)Cc2ccccn2)N1Cc1nc(C)c(C)c(C)c1C</v>
      </c>
      <c r="C5182" s="7">
        <f>IFERROR(__xludf.DUMMYFUNCTION("""COMPUTED_VALUE"""),7.7912507)</f>
        <v>7.7912507</v>
      </c>
      <c r="D5182" s="7">
        <f>IFERROR(__xludf.DUMMYFUNCTION("""COMPUTED_VALUE"""),0.406779661016949)</f>
        <v>0.406779661</v>
      </c>
    </row>
    <row r="5183">
      <c r="A5183" s="10" t="s">
        <v>6622</v>
      </c>
      <c r="B5183" s="7" t="str">
        <f>IFERROR(__xludf.DUMMYFUNCTION("SPLIT(A5183,"" "")"),"Cc1nc(CN(C)C2CCC(N(Cc3cccnc3)Cc3ccccn3)CC2)c(C)c(C)c1C")</f>
        <v>Cc1nc(CN(C)C2CCC(N(Cc3cccnc3)Cc3ccccn3)CC2)c(C)c(C)c1C</v>
      </c>
      <c r="C5183" s="7">
        <f>IFERROR(__xludf.DUMMYFUNCTION("""COMPUTED_VALUE"""),7.7912498)</f>
        <v>7.7912498</v>
      </c>
      <c r="D5183" s="7">
        <f>IFERROR(__xludf.DUMMYFUNCTION("""COMPUTED_VALUE"""),0.383333333333333)</f>
        <v>0.3833333333</v>
      </c>
    </row>
    <row r="5184">
      <c r="A5184" s="10" t="s">
        <v>6623</v>
      </c>
      <c r="B5184" s="7" t="str">
        <f>IFERROR(__xludf.DUMMYFUNCTION("SPLIT(A5184,"" "")"),"CC(C)C1CCC1c1cccc(CN(Cc2ccccn2)Cc2ccccn2)n1")</f>
        <v>CC(C)C1CCC1c1cccc(CN(Cc2ccccn2)Cc2ccccn2)n1</v>
      </c>
      <c r="C5184" s="7">
        <f>IFERROR(__xludf.DUMMYFUNCTION("""COMPUTED_VALUE"""),7.7912407)</f>
        <v>7.7912407</v>
      </c>
      <c r="D5184" s="7">
        <f>IFERROR(__xludf.DUMMYFUNCTION("""COMPUTED_VALUE"""),0.48780487804878)</f>
        <v>0.487804878</v>
      </c>
    </row>
    <row r="5185">
      <c r="A5185" s="10" t="s">
        <v>6624</v>
      </c>
      <c r="B5185" s="7" t="str">
        <f>IFERROR(__xludf.DUMMYFUNCTION("SPLIT(A5185,"" "")"),"c1ccc(N(Cc2ccccn2)Cc2cccc(-c3ccc4c(c3)OCCOCCOCCOCCOCCO4)n2)cc1")</f>
        <v>c1ccc(N(Cc2ccccn2)Cc2cccc(-c3ccc4c(c3)OCCOCCOCCOCCOCCO4)n2)cc1</v>
      </c>
      <c r="C5185" s="7">
        <f>IFERROR(__xludf.DUMMYFUNCTION("""COMPUTED_VALUE"""),7.791236)</f>
        <v>7.791236</v>
      </c>
      <c r="D5185" s="7">
        <f>IFERROR(__xludf.DUMMYFUNCTION("""COMPUTED_VALUE"""),0.435483870967741)</f>
        <v>0.435483871</v>
      </c>
    </row>
    <row r="5186">
      <c r="A5186" s="10" t="s">
        <v>6625</v>
      </c>
      <c r="B5186" s="7" t="str">
        <f>IFERROR(__xludf.DUMMYFUNCTION("SPLIT(A5186,"" "")"),"CC1=CC(C)C(C)C(C)(N(C)CC2=CCC(N(C)Cc3ccccn3)=CN2)C1")</f>
        <v>CC1=CC(C)C(C)C(C)(N(C)CC2=CCC(N(C)Cc3ccccn3)=CN2)C1</v>
      </c>
      <c r="C5186" s="7">
        <f>IFERROR(__xludf.DUMMYFUNCTION("""COMPUTED_VALUE"""),7.7912297)</f>
        <v>7.7912297</v>
      </c>
      <c r="D5186" s="7">
        <f>IFERROR(__xludf.DUMMYFUNCTION("""COMPUTED_VALUE"""),0.338235294117647)</f>
        <v>0.3382352941</v>
      </c>
    </row>
    <row r="5187">
      <c r="A5187" s="10" t="s">
        <v>6626</v>
      </c>
      <c r="B5187" s="7" t="str">
        <f>IFERROR(__xludf.DUMMYFUNCTION("SPLIT(A5187,"" "")"),"CC(C)C1=NCC(C)(C)O1")</f>
        <v>CC(C)C1=NCC(C)(C)O1</v>
      </c>
      <c r="C5187" s="7">
        <f>IFERROR(__xludf.DUMMYFUNCTION("""COMPUTED_VALUE"""),7.7912254)</f>
        <v>7.7912254</v>
      </c>
      <c r="D5187" s="7">
        <f>IFERROR(__xludf.DUMMYFUNCTION("""COMPUTED_VALUE"""),0.175)</f>
        <v>0.175</v>
      </c>
    </row>
    <row r="5188">
      <c r="A5188" s="10" t="s">
        <v>6627</v>
      </c>
      <c r="B5188" s="7" t="str">
        <f>IFERROR(__xludf.DUMMYFUNCTION("SPLIT(A5188,"" "")"),"CN(Cc1ncccc1-c1ccc2c(c1)OCCOCCOCCOCCOCCO2)C1CCCCC1N(C)c1ccc2ccc(CF)nc2c1")</f>
        <v>CN(Cc1ncccc1-c1ccc2c(c1)OCCOCCOCCOCCOCCO2)C1CCCCC1N(C)c1ccc2ccc(CF)nc2c1</v>
      </c>
      <c r="C5188" s="7">
        <f>IFERROR(__xludf.DUMMYFUNCTION("""COMPUTED_VALUE"""),7.7912183)</f>
        <v>7.7912183</v>
      </c>
      <c r="D5188" s="7">
        <f>IFERROR(__xludf.DUMMYFUNCTION("""COMPUTED_VALUE"""),0.368421052631578)</f>
        <v>0.3684210526</v>
      </c>
    </row>
    <row r="5189">
      <c r="A5189" s="10" t="s">
        <v>6628</v>
      </c>
      <c r="B5189" s="7" t="str">
        <f>IFERROR(__xludf.DUMMYFUNCTION("SPLIT(A5189,"" "")"),"CN(C)Cc1cccc(C2CCC2(C)C)n1")</f>
        <v>CN(C)Cc1cccc(C2CCC2(C)C)n1</v>
      </c>
      <c r="C5189" s="7">
        <f>IFERROR(__xludf.DUMMYFUNCTION("""COMPUTED_VALUE"""),7.791215)</f>
        <v>7.791215</v>
      </c>
      <c r="D5189" s="7">
        <f>IFERROR(__xludf.DUMMYFUNCTION("""COMPUTED_VALUE"""),0.382978723404255)</f>
        <v>0.3829787234</v>
      </c>
    </row>
    <row r="5190">
      <c r="A5190" s="10" t="s">
        <v>6629</v>
      </c>
      <c r="B5190" s="7" t="str">
        <f>IFERROR(__xludf.DUMMYFUNCTION("SPLIT(A5190,"" "")"),"Cc1ccc(CN(C)C2CCC(N(C)Cc3ccccn3)CC2N(Cc2ccccn2)Cc2ncccc2F)nc1")</f>
        <v>Cc1ccc(CN(C)C2CCC(N(C)Cc3ccccn3)CC2N(Cc2ccccn2)Cc2ncccc2F)nc1</v>
      </c>
      <c r="C5190" s="7">
        <f>IFERROR(__xludf.DUMMYFUNCTION("""COMPUTED_VALUE"""),7.7912145)</f>
        <v>7.7912145</v>
      </c>
      <c r="D5190" s="7">
        <f>IFERROR(__xludf.DUMMYFUNCTION("""COMPUTED_VALUE"""),0.47457627118644)</f>
        <v>0.4745762712</v>
      </c>
    </row>
    <row r="5191">
      <c r="A5191" s="10" t="s">
        <v>6630</v>
      </c>
      <c r="B5191" s="7" t="str">
        <f>IFERROR(__xludf.DUMMYFUNCTION("SPLIT(A5191,"" "")"),"Cc1ccc(N)c(-c2ccncc2CN2CCN(C)CCN(C)CC2)c1")</f>
        <v>Cc1ccc(N)c(-c2ccncc2CN2CCN(C)CCN(C)CC2)c1</v>
      </c>
      <c r="C5191" s="7">
        <f>IFERROR(__xludf.DUMMYFUNCTION("""COMPUTED_VALUE"""),7.791213)</f>
        <v>7.791213</v>
      </c>
      <c r="D5191" s="7">
        <f>IFERROR(__xludf.DUMMYFUNCTION("""COMPUTED_VALUE"""),0.448979591836734)</f>
        <v>0.4489795918</v>
      </c>
    </row>
    <row r="5192">
      <c r="A5192" s="10" t="s">
        <v>6631</v>
      </c>
      <c r="B5192" s="7" t="str">
        <f>IFERROR(__xludf.DUMMYFUNCTION("SPLIT(A5192,"" "")"),"Cc1ccc(CN(C)CCN)c(C)n1")</f>
        <v>Cc1ccc(CN(C)CCN)c(C)n1</v>
      </c>
      <c r="C5192" s="7">
        <f>IFERROR(__xludf.DUMMYFUNCTION("""COMPUTED_VALUE"""),7.791211)</f>
        <v>7.791211</v>
      </c>
      <c r="D5192" s="7">
        <f>IFERROR(__xludf.DUMMYFUNCTION("""COMPUTED_VALUE"""),0.421052631578947)</f>
        <v>0.4210526316</v>
      </c>
    </row>
    <row r="5193">
      <c r="A5193" s="10" t="s">
        <v>6632</v>
      </c>
      <c r="B5193" s="7" t="str">
        <f>IFERROR(__xludf.DUMMYFUNCTION("SPLIT(A5193,"" "")"),"Cc1cccc(N(C)CCN(Cc2ccccc2)CC(C)(C)C)c1")</f>
        <v>Cc1cccc(N(C)CCN(Cc2ccccc2)CC(C)(C)C)c1</v>
      </c>
      <c r="C5193" s="7">
        <f>IFERROR(__xludf.DUMMYFUNCTION("""COMPUTED_VALUE"""),7.7912045)</f>
        <v>7.7912045</v>
      </c>
      <c r="D5193" s="7">
        <f>IFERROR(__xludf.DUMMYFUNCTION("""COMPUTED_VALUE"""),0.395833333333333)</f>
        <v>0.3958333333</v>
      </c>
    </row>
    <row r="5194">
      <c r="A5194" s="10" t="s">
        <v>6633</v>
      </c>
      <c r="B5194" s="7" t="str">
        <f>IFERROR(__xludf.DUMMYFUNCTION("SPLIT(A5194,"" "")"),"Cc1cc(N)cc(CN(C)CC2=CC=NCC2)n1")</f>
        <v>Cc1cc(N)cc(CN(C)CC2=CC=NCC2)n1</v>
      </c>
      <c r="C5194" s="7">
        <f>IFERROR(__xludf.DUMMYFUNCTION("""COMPUTED_VALUE"""),7.79119)</f>
        <v>7.79119</v>
      </c>
      <c r="D5194" s="7">
        <f>IFERROR(__xludf.DUMMYFUNCTION("""COMPUTED_VALUE"""),0.306122448979591)</f>
        <v>0.306122449</v>
      </c>
    </row>
    <row r="5195">
      <c r="A5195" s="10" t="s">
        <v>6634</v>
      </c>
      <c r="B5195" s="7" t="str">
        <f>IFERROR(__xludf.DUMMYFUNCTION("SPLIT(A5195,"" "")"),"CCNCc1cccc(-c2cccc(-c3ccc4c(c3)OCCOCCOCCOCCOCCO4)n2)n1")</f>
        <v>CCNCc1cccc(-c2cccc(-c3ccc4c(c3)OCCOCCOCCOCCOCCO4)n2)n1</v>
      </c>
      <c r="C5195" s="7">
        <f>IFERROR(__xludf.DUMMYFUNCTION("""COMPUTED_VALUE"""),7.79119)</f>
        <v>7.79119</v>
      </c>
      <c r="D5195" s="7">
        <f>IFERROR(__xludf.DUMMYFUNCTION("""COMPUTED_VALUE"""),0.353846153846153)</f>
        <v>0.3538461538</v>
      </c>
    </row>
    <row r="5196">
      <c r="A5196" s="10" t="s">
        <v>6635</v>
      </c>
      <c r="B5196" s="7" t="str">
        <f>IFERROR(__xludf.DUMMYFUNCTION("SPLIT(A5196,"" "")"),"CNC1C(N(C)Cc2cc(C)ccn2)CCCC1N(Cc1cc(C)ccn1)Cc1nc(C)c(C)c(C)c1C")</f>
        <v>CNC1C(N(C)Cc2cc(C)ccn2)CCCC1N(Cc1cc(C)ccn1)Cc1nc(C)c(C)c(C)c1C</v>
      </c>
      <c r="C5196" s="7">
        <f>IFERROR(__xludf.DUMMYFUNCTION("""COMPUTED_VALUE"""),7.7911882)</f>
        <v>7.7911882</v>
      </c>
      <c r="D5196" s="7">
        <f>IFERROR(__xludf.DUMMYFUNCTION("""COMPUTED_VALUE"""),0.366666666666666)</f>
        <v>0.3666666667</v>
      </c>
    </row>
    <row r="5197">
      <c r="A5197" s="10" t="s">
        <v>6636</v>
      </c>
      <c r="B5197" s="7" t="str">
        <f>IFERROR(__xludf.DUMMYFUNCTION("SPLIT(A5197,"" "")"),"CN(Cc1ccc(N(C)C)nc1)Cc1cccc(-c2cccc3c2OCCOCCOCCOCCOCCO3)n1")</f>
        <v>CN(Cc1ccc(N(C)C)nc1)Cc1cccc(-c2cccc3c2OCCOCCOCCOCCOCCO3)n1</v>
      </c>
      <c r="C5197" s="7">
        <f>IFERROR(__xludf.DUMMYFUNCTION("""COMPUTED_VALUE"""),7.7911882)</f>
        <v>7.7911882</v>
      </c>
      <c r="D5197" s="7">
        <f>IFERROR(__xludf.DUMMYFUNCTION("""COMPUTED_VALUE"""),0.360655737704918)</f>
        <v>0.3606557377</v>
      </c>
    </row>
    <row r="5198">
      <c r="A5198" s="10" t="s">
        <v>6637</v>
      </c>
      <c r="B5198" s="7" t="str">
        <f>IFERROR(__xludf.DUMMYFUNCTION("SPLIT(A5198,"" "")"),"CCNC1C(N(C)Cc2ccccn2)CCCC1N(Cc1nc(C)c(C)cc1C)Cc1nc(C)c(C)c(C)c1C")</f>
        <v>CCNC1C(N(C)Cc2ccccn2)CCCC1N(Cc1nc(C)c(C)cc1C)Cc1nc(C)c(C)c(C)c1C</v>
      </c>
      <c r="C5198" s="7">
        <f>IFERROR(__xludf.DUMMYFUNCTION("""COMPUTED_VALUE"""),7.791181)</f>
        <v>7.791181</v>
      </c>
      <c r="D5198" s="7">
        <f>IFERROR(__xludf.DUMMYFUNCTION("""COMPUTED_VALUE"""),0.451612903225806)</f>
        <v>0.4516129032</v>
      </c>
    </row>
    <row r="5199">
      <c r="A5199" s="10" t="s">
        <v>6638</v>
      </c>
      <c r="B5199" s="7" t="str">
        <f>IFERROR(__xludf.DUMMYFUNCTION("SPLIT(A5199,"" "")"),"Cc1nc(CN(C)C2CCCCC2N(Cc2ccccn2)Cc2cccc(C3CC(C)(C)C3)n2)c(C)c(C)c1C")</f>
        <v>Cc1nc(CN(C)C2CCCCC2N(Cc2ccccn2)Cc2cccc(C3CC(C)(C)C3)n2)c(C)c(C)c1C</v>
      </c>
      <c r="C5199" s="7">
        <f>IFERROR(__xludf.DUMMYFUNCTION("""COMPUTED_VALUE"""),7.791179)</f>
        <v>7.791179</v>
      </c>
      <c r="D5199" s="7">
        <f>IFERROR(__xludf.DUMMYFUNCTION("""COMPUTED_VALUE"""),0.483333333333333)</f>
        <v>0.4833333333</v>
      </c>
    </row>
    <row r="5200">
      <c r="A5200" s="10" t="s">
        <v>6639</v>
      </c>
      <c r="B5200" s="7" t="str">
        <f>IFERROR(__xludf.DUMMYFUNCTION("SPLIT(A5200,"" "")"),"Cc1cncc(C)c1CN(C)CCN(C)C(C)C")</f>
        <v>Cc1cncc(C)c1CN(C)CCN(C)C(C)C</v>
      </c>
      <c r="C5200" s="7">
        <f>IFERROR(__xludf.DUMMYFUNCTION("""COMPUTED_VALUE"""),7.791174)</f>
        <v>7.791174</v>
      </c>
      <c r="D5200" s="7">
        <f>IFERROR(__xludf.DUMMYFUNCTION("""COMPUTED_VALUE"""),0.35)</f>
        <v>0.35</v>
      </c>
    </row>
    <row r="5201">
      <c r="A5201" s="10" t="s">
        <v>6640</v>
      </c>
      <c r="B5201" s="7" t="str">
        <f>IFERROR(__xludf.DUMMYFUNCTION("SPLIT(A5201,"" "")"),"CC(C)C1=CC(N(C)Cc2ccccn2)C=CN1")</f>
        <v>CC(C)C1=CC(N(C)Cc2ccccn2)C=CN1</v>
      </c>
      <c r="C5201" s="7">
        <f>IFERROR(__xludf.DUMMYFUNCTION("""COMPUTED_VALUE"""),7.7911725)</f>
        <v>7.7911725</v>
      </c>
      <c r="D5201" s="7">
        <f>IFERROR(__xludf.DUMMYFUNCTION("""COMPUTED_VALUE"""),0.458333333333333)</f>
        <v>0.4583333333</v>
      </c>
    </row>
    <row r="5202">
      <c r="A5202" s="10" t="s">
        <v>6641</v>
      </c>
      <c r="B5202" s="7" t="str">
        <f>IFERROR(__xludf.DUMMYFUNCTION("SPLIT(A5202,"" "")"),"CC1=CC(C)(C)C(N(C)Cc2ccccn2)CC12C=CNC(C(C)C)=C2")</f>
        <v>CC1=CC(C)(C)C(N(C)Cc2ccccn2)CC12C=CNC(C(C)C)=C2</v>
      </c>
      <c r="C5202" s="7">
        <f>IFERROR(__xludf.DUMMYFUNCTION("""COMPUTED_VALUE"""),7.791172)</f>
        <v>7.791172</v>
      </c>
      <c r="D5202" s="7">
        <f>IFERROR(__xludf.DUMMYFUNCTION("""COMPUTED_VALUE"""),0.383333333333333)</f>
        <v>0.3833333333</v>
      </c>
    </row>
    <row r="5203">
      <c r="A5203" s="10" t="s">
        <v>6642</v>
      </c>
      <c r="B5203" s="7" t="str">
        <f>IFERROR(__xludf.DUMMYFUNCTION("SPLIT(A5203,"" "")"),"CC1=CC(c2cc(CN(C)C3CCC(N(C)Cc4ccccn4)CC3N(Cc3ccccn3)Cc3nc(C)c(C)cc3C)ccn2)C(C)C(C)C1")</f>
        <v>CC1=CC(c2cc(CN(C)C3CCC(N(C)Cc4ccccn4)CC3N(Cc3ccccn3)Cc3nc(C)c(C)cc3C)ccn2)C(C)C(C)C1</v>
      </c>
      <c r="C5203" s="7">
        <f>IFERROR(__xludf.DUMMYFUNCTION("""COMPUTED_VALUE"""),7.791167)</f>
        <v>7.791167</v>
      </c>
      <c r="D5203" s="7">
        <f>IFERROR(__xludf.DUMMYFUNCTION("""COMPUTED_VALUE"""),0.355263157894736)</f>
        <v>0.3552631579</v>
      </c>
    </row>
    <row r="5204">
      <c r="A5204" s="10" t="s">
        <v>6643</v>
      </c>
      <c r="B5204" s="7" t="str">
        <f>IFERROR(__xludf.DUMMYFUNCTION("SPLIT(A5204,"" "")"),"CC(C)C(c1ccccn1)N(C)CCN(Cc1ccccn1)C(C)(N)N(CCN(C)C)Cc1ccccn1")</f>
        <v>CC(C)C(c1ccccn1)N(C)CCN(Cc1ccccn1)C(C)(N)N(CCN(C)C)Cc1ccccn1</v>
      </c>
      <c r="C5204" s="7">
        <f>IFERROR(__xludf.DUMMYFUNCTION("""COMPUTED_VALUE"""),7.7911663)</f>
        <v>7.7911663</v>
      </c>
      <c r="D5204" s="7">
        <f>IFERROR(__xludf.DUMMYFUNCTION("""COMPUTED_VALUE"""),0.46938775510204)</f>
        <v>0.4693877551</v>
      </c>
    </row>
    <row r="5205">
      <c r="A5205" s="10" t="s">
        <v>6644</v>
      </c>
      <c r="B5205" s="7" t="str">
        <f>IFERROR(__xludf.DUMMYFUNCTION("SPLIT(A5205,"" "")"),"CN(Cc1cccc(-c2ccc3c(c2)OCCOCCOCCOCCOCCO3)n1)Cc1cccc(N(C)C)n1")</f>
        <v>CN(Cc1cccc(-c2ccc3c(c2)OCCOCCOCCOCCOCCO3)n1)Cc1cccc(N(C)C)n1</v>
      </c>
      <c r="C5205" s="7">
        <f>IFERROR(__xludf.DUMMYFUNCTION("""COMPUTED_VALUE"""),7.791157)</f>
        <v>7.791157</v>
      </c>
      <c r="D5205" s="7">
        <f>IFERROR(__xludf.DUMMYFUNCTION("""COMPUTED_VALUE"""),0.375)</f>
        <v>0.375</v>
      </c>
    </row>
    <row r="5206">
      <c r="A5206" s="10" t="s">
        <v>6645</v>
      </c>
      <c r="B5206" s="7" t="str">
        <f>IFERROR(__xludf.DUMMYFUNCTION("SPLIT(A5206,"" "")"),"CC(C)(c1ccccn1)c1cccc(CNCNCF)n1")</f>
        <v>CC(C)(c1ccccn1)c1cccc(CNCNCF)n1</v>
      </c>
      <c r="C5206" s="7">
        <f>IFERROR(__xludf.DUMMYFUNCTION("""COMPUTED_VALUE"""),7.7911563)</f>
        <v>7.7911563</v>
      </c>
      <c r="D5206" s="7">
        <f>IFERROR(__xludf.DUMMYFUNCTION("""COMPUTED_VALUE"""),0.395348837209302)</f>
        <v>0.3953488372</v>
      </c>
    </row>
    <row r="5207">
      <c r="A5207" s="10" t="s">
        <v>6646</v>
      </c>
      <c r="B5207" s="7" t="str">
        <f>IFERROR(__xludf.DUMMYFUNCTION("SPLIT(A5207,"" "")"),"CCNC1CC(N(Cc2ncccc2C)Cc2nc(C)c(C)c(C)c2C)CCC1N(C)Cc1ncccc1C")</f>
        <v>CCNC1CC(N(Cc2ncccc2C)Cc2nc(C)c(C)c(C)c2C)CCC1N(C)Cc1ncccc1C</v>
      </c>
      <c r="C5207" s="7">
        <f>IFERROR(__xludf.DUMMYFUNCTION("""COMPUTED_VALUE"""),7.7911544)</f>
        <v>7.7911544</v>
      </c>
      <c r="D5207" s="7">
        <f>IFERROR(__xludf.DUMMYFUNCTION("""COMPUTED_VALUE"""),0.287878787878787)</f>
        <v>0.2878787879</v>
      </c>
    </row>
    <row r="5208">
      <c r="A5208" s="10" t="s">
        <v>6647</v>
      </c>
      <c r="B5208" s="7" t="str">
        <f>IFERROR(__xludf.DUMMYFUNCTION("SPLIT(A5208,"" "")"),"CN1CCN(C)CCN(CCN(C)c2cccc3ncc(CF)cc23)CC1")</f>
        <v>CN1CCN(C)CCN(CCN(C)c2cccc3ncc(CF)cc23)CC1</v>
      </c>
      <c r="C5208" s="7">
        <f>IFERROR(__xludf.DUMMYFUNCTION("""COMPUTED_VALUE"""),7.7911425)</f>
        <v>7.7911425</v>
      </c>
      <c r="D5208" s="7">
        <f>IFERROR(__xludf.DUMMYFUNCTION("""COMPUTED_VALUE"""),0.31578947368421)</f>
        <v>0.3157894737</v>
      </c>
    </row>
    <row r="5209">
      <c r="A5209" s="10" t="s">
        <v>6648</v>
      </c>
      <c r="B5209" s="7" t="str">
        <f>IFERROR(__xludf.DUMMYFUNCTION("SPLIT(A5209,"" "")"),"CC1C=CC(Cl)C(C)(c2cc(NCNCc3ccccn3)ccn2)C1(C)C")</f>
        <v>CC1C=CC(Cl)C(C)(c2cc(NCNCc3ccccn3)ccn2)C1(C)C</v>
      </c>
      <c r="C5209" s="7">
        <f>IFERROR(__xludf.DUMMYFUNCTION("""COMPUTED_VALUE"""),7.791127)</f>
        <v>7.791127</v>
      </c>
      <c r="D5209" s="7">
        <f>IFERROR(__xludf.DUMMYFUNCTION("""COMPUTED_VALUE"""),0.377358490566037)</f>
        <v>0.3773584906</v>
      </c>
    </row>
    <row r="5210">
      <c r="A5210" s="10" t="s">
        <v>6649</v>
      </c>
      <c r="B5210" s="7" t="str">
        <f>IFERROR(__xludf.DUMMYFUNCTION("SPLIT(A5210,"" "")"),"CN(Cc1cccc(-c2ccc3c(c2)OCCOCCOCCOCCOCCO3)n1)Cc1ncccc1N(C)C")</f>
        <v>CN(Cc1cccc(-c2ccc3c(c2)OCCOCCOCCOCCOCCO3)n1)Cc1ncccc1N(C)C</v>
      </c>
      <c r="C5210" s="7">
        <f>IFERROR(__xludf.DUMMYFUNCTION("""COMPUTED_VALUE"""),7.7911263)</f>
        <v>7.7911263</v>
      </c>
      <c r="D5210" s="7">
        <f>IFERROR(__xludf.DUMMYFUNCTION("""COMPUTED_VALUE"""),0.4)</f>
        <v>0.4</v>
      </c>
    </row>
    <row r="5211">
      <c r="A5211" s="10" t="s">
        <v>6650</v>
      </c>
      <c r="B5211" s="7" t="str">
        <f>IFERROR(__xludf.DUMMYFUNCTION("SPLIT(A5211,"" "")"),"CC1=CCC2(C(C)C1C)C(c1ncccc1CN(Cc1ccccn1)Cc1ccccn1)C(c1ncccc1CN(Cc1ccccn1)C1CCCCC1)C=CC21CC(C)C(C)C=C1C")</f>
        <v>CC1=CCC2(C(C)C1C)C(c1ncccc1CN(Cc1ccccn1)Cc1ccccn1)C(c1ncccc1CN(Cc1ccccn1)C1CCCCC1)C=CC21CC(C)C(C)C=C1C</v>
      </c>
      <c r="C5211" s="7">
        <f>IFERROR(__xludf.DUMMYFUNCTION("""COMPUTED_VALUE"""),7.791108)</f>
        <v>7.791108</v>
      </c>
      <c r="D5211" s="7">
        <f>IFERROR(__xludf.DUMMYFUNCTION("""COMPUTED_VALUE"""),0.273809523809523)</f>
        <v>0.2738095238</v>
      </c>
    </row>
    <row r="5212">
      <c r="A5212" s="10" t="s">
        <v>6651</v>
      </c>
      <c r="B5212" s="7" t="str">
        <f>IFERROR(__xludf.DUMMYFUNCTION("SPLIT(A5212,"" "")"),"CNCc1cc(CN(Cc2cc(C)ccn2)C2CCC(N(C)Cc3ncccc3-c3cccc(-c4ccc5c(c4)OCCOCCOCCOCCOCCO5)n3)CC2)ccn1")</f>
        <v>CNCc1cc(CN(Cc2cc(C)ccn2)C2CCC(N(C)Cc3ncccc3-c3cccc(-c4ccc5c(c4)OCCOCCOCCOCCOCCO5)n3)CC2)ccn1</v>
      </c>
      <c r="C5212" s="7">
        <f>IFERROR(__xludf.DUMMYFUNCTION("""COMPUTED_VALUE"""),7.7911077)</f>
        <v>7.7911077</v>
      </c>
      <c r="D5212" s="7">
        <f>IFERROR(__xludf.DUMMYFUNCTION("""COMPUTED_VALUE"""),0.273684210526315)</f>
        <v>0.2736842105</v>
      </c>
    </row>
    <row r="5213">
      <c r="A5213" s="10" t="s">
        <v>6652</v>
      </c>
      <c r="B5213" s="7" t="str">
        <f>IFERROR(__xludf.DUMMYFUNCTION("SPLIT(A5213,"" "")"),"Cc1cncc(CN(C)C2CC(N(C)Cc3ccccn3)CC(N(Cc3ccccn3)Cc3ccccn3)C2)c1")</f>
        <v>Cc1cncc(CN(C)C2CC(N(C)Cc3ccccn3)CC(N(Cc3ccccn3)Cc3ccccn3)C2)c1</v>
      </c>
      <c r="C5213" s="7">
        <f>IFERROR(__xludf.DUMMYFUNCTION("""COMPUTED_VALUE"""),7.791101)</f>
        <v>7.791101</v>
      </c>
      <c r="D5213" s="7">
        <f>IFERROR(__xludf.DUMMYFUNCTION("""COMPUTED_VALUE"""),0.442307692307692)</f>
        <v>0.4423076923</v>
      </c>
    </row>
    <row r="5214">
      <c r="A5214" s="10" t="s">
        <v>6653</v>
      </c>
      <c r="B5214" s="7" t="str">
        <f>IFERROR(__xludf.DUMMYFUNCTION("SPLIT(A5214,"" "")"),"CC1=CCC(C(C)(C)N(C)Cc2ccccn2)C(C)=C1C")</f>
        <v>CC1=CCC(C(C)(C)N(C)Cc2ccccn2)C(C)=C1C</v>
      </c>
      <c r="C5214" s="7">
        <f>IFERROR(__xludf.DUMMYFUNCTION("""COMPUTED_VALUE"""),7.791099)</f>
        <v>7.791099</v>
      </c>
      <c r="D5214" s="7">
        <f>IFERROR(__xludf.DUMMYFUNCTION("""COMPUTED_VALUE"""),0.428571428571428)</f>
        <v>0.4285714286</v>
      </c>
    </row>
    <row r="5215">
      <c r="A5215" s="10" t="s">
        <v>6654</v>
      </c>
      <c r="B5215" s="7" t="str">
        <f>IFERROR(__xludf.DUMMYFUNCTION("SPLIT(A5215,"" "")"),"CN(CCCN(C)Cc1cccc(-c2ccc3c(c2)OCCOCCOCCOCCOCCO3)n1)Cc1ccc2ncccc2c1")</f>
        <v>CN(CCCN(C)Cc1cccc(-c2ccc3c(c2)OCCOCCOCCOCCOCCO3)n1)Cc1ccc2ncccc2c1</v>
      </c>
      <c r="C5215" s="7">
        <f>IFERROR(__xludf.DUMMYFUNCTION("""COMPUTED_VALUE"""),7.791094)</f>
        <v>7.791094</v>
      </c>
      <c r="D5215" s="7">
        <f>IFERROR(__xludf.DUMMYFUNCTION("""COMPUTED_VALUE"""),0.343283582089552)</f>
        <v>0.3432835821</v>
      </c>
    </row>
    <row r="5216">
      <c r="A5216" s="10" t="s">
        <v>6655</v>
      </c>
      <c r="B5216" s="7" t="str">
        <f>IFERROR(__xludf.DUMMYFUNCTION("SPLIT(A5216,"" "")"),"CNCc1ccc2c(n1)CCC2")</f>
        <v>CNCc1ccc2c(n1)CCC2</v>
      </c>
      <c r="C5216" s="7">
        <f>IFERROR(__xludf.DUMMYFUNCTION("""COMPUTED_VALUE"""),7.7910905)</f>
        <v>7.7910905</v>
      </c>
      <c r="D5216" s="7">
        <f>IFERROR(__xludf.DUMMYFUNCTION("""COMPUTED_VALUE"""),0.294117647058823)</f>
        <v>0.2941176471</v>
      </c>
    </row>
    <row r="5217">
      <c r="A5217" s="10" t="s">
        <v>6656</v>
      </c>
      <c r="B5217" s="7" t="str">
        <f>IFERROR(__xludf.DUMMYFUNCTION("SPLIT(A5217,"" "")"),"Cc1ccc(N(C)C2CCCCC2N(C)Cc2ccon2)c(C)c1C")</f>
        <v>Cc1ccc(N(C)C2CCCCC2N(C)Cc2ccon2)c(C)c1C</v>
      </c>
      <c r="C5217" s="7">
        <f>IFERROR(__xludf.DUMMYFUNCTION("""COMPUTED_VALUE"""),7.791079)</f>
        <v>7.791079</v>
      </c>
      <c r="D5217" s="7">
        <f>IFERROR(__xludf.DUMMYFUNCTION("""COMPUTED_VALUE"""),0.423076923076923)</f>
        <v>0.4230769231</v>
      </c>
    </row>
    <row r="5218">
      <c r="A5218" s="10" t="s">
        <v>6657</v>
      </c>
      <c r="B5218" s="7" t="str">
        <f>IFERROR(__xludf.DUMMYFUNCTION("SPLIT(A5218,"" "")"),"CN(Cc1cc(-c2ccc3c(c2)OCCOCCOCCOCCOCCO3)ccn1)C1CCC(N(C)c2ccc3cccnc3c2)CC1")</f>
        <v>CN(Cc1cc(-c2ccc3c(c2)OCCOCCOCCOCCOCCO3)ccn1)C1CCC(N(C)c2ccc3cccnc3c2)CC1</v>
      </c>
      <c r="C5218" s="7">
        <f>IFERROR(__xludf.DUMMYFUNCTION("""COMPUTED_VALUE"""),7.7910657)</f>
        <v>7.7910657</v>
      </c>
      <c r="D5218" s="7">
        <f>IFERROR(__xludf.DUMMYFUNCTION("""COMPUTED_VALUE"""),0.35064935064935)</f>
        <v>0.3506493506</v>
      </c>
    </row>
    <row r="5219">
      <c r="A5219" s="10" t="s">
        <v>6658</v>
      </c>
      <c r="B5219" s="7" t="str">
        <f>IFERROR(__xludf.DUMMYFUNCTION("SPLIT(A5219,"" "")"),"Cc1cnc(CN(C)C2CCCC(N(C)Cc3c(C)ncc(C)c3C)C2)c(C)c1C")</f>
        <v>Cc1cnc(CN(C)C2CCCC(N(C)Cc3c(C)ncc(C)c3C)C2)c(C)c1C</v>
      </c>
      <c r="C5219" s="7">
        <f>IFERROR(__xludf.DUMMYFUNCTION("""COMPUTED_VALUE"""),7.791055)</f>
        <v>7.791055</v>
      </c>
      <c r="D5219" s="7">
        <f>IFERROR(__xludf.DUMMYFUNCTION("""COMPUTED_VALUE"""),0.320754716981132)</f>
        <v>0.320754717</v>
      </c>
    </row>
    <row r="5220">
      <c r="A5220" s="10" t="s">
        <v>6659</v>
      </c>
      <c r="B5220" s="7" t="str">
        <f>IFERROR(__xludf.DUMMYFUNCTION("SPLIT(A5220,"" "")"),"c1cc(CN(Cc2cccc(-c3ccc4c(c3)OCCOCCOCCOCCOCCO4)n2)Cc2ccc3ccccc3n2)nc(-c2ccc3c(c2)OCCOCCOCCOCCOCCO3)c1")</f>
        <v>c1cc(CN(Cc2cccc(-c3ccc4c(c3)OCCOCCOCCOCCOCCO4)n2)Cc2ccc3ccccc3n2)nc(-c2ccc3c(c2)OCCOCCOCCOCCOCCO3)c1</v>
      </c>
      <c r="C5220" s="7">
        <f>IFERROR(__xludf.DUMMYFUNCTION("""COMPUTED_VALUE"""),7.791051)</f>
        <v>7.791051</v>
      </c>
      <c r="D5220" s="7">
        <f>IFERROR(__xludf.DUMMYFUNCTION("""COMPUTED_VALUE"""),0.489361702127659)</f>
        <v>0.4893617021</v>
      </c>
    </row>
    <row r="5221">
      <c r="A5221" s="10" t="s">
        <v>6660</v>
      </c>
      <c r="B5221" s="7" t="str">
        <f>IFERROR(__xludf.DUMMYFUNCTION("SPLIT(A5221,"" "")"),"CNC1CCCC(N(Cc2nc(C)c(C)cc2C)Cc2nc(C)c(C)cc2C)C1")</f>
        <v>CNC1CCCC(N(Cc2nc(C)c(C)cc2C)Cc2nc(C)c(C)cc2C)C1</v>
      </c>
      <c r="C5221" s="7">
        <f>IFERROR(__xludf.DUMMYFUNCTION("""COMPUTED_VALUE"""),7.7910395)</f>
        <v>7.7910395</v>
      </c>
      <c r="D5221" s="7">
        <f>IFERROR(__xludf.DUMMYFUNCTION("""COMPUTED_VALUE"""),0.236363636363636)</f>
        <v>0.2363636364</v>
      </c>
    </row>
    <row r="5222">
      <c r="A5222" s="10" t="s">
        <v>6661</v>
      </c>
      <c r="B5222" s="7" t="str">
        <f>IFERROR(__xludf.DUMMYFUNCTION("SPLIT(A5222,"" "")"),"CN(Cc1ccccn1)c1cc(-c2ccc(CN(Cc3ccccn3)Cc3ccc(-c4ccc5c(c4)OCCOCCOCCOCCOCCO5)cn3)cn2)cc2c1OCCOCCOCCOCCOCCO2")</f>
        <v>CN(Cc1ccccn1)c1cc(-c2ccc(CN(Cc3ccccn3)Cc3ccc(-c4ccc5c(c4)OCCOCCOCCOCCOCCO5)cn3)cn2)cc2c1OCCOCCOCCOCCOCCO2</v>
      </c>
      <c r="C5222" s="7">
        <f>IFERROR(__xludf.DUMMYFUNCTION("""COMPUTED_VALUE"""),7.7910385)</f>
        <v>7.7910385</v>
      </c>
      <c r="D5222" s="7">
        <f>IFERROR(__xludf.DUMMYFUNCTION("""COMPUTED_VALUE"""),0.379746835443038)</f>
        <v>0.3797468354</v>
      </c>
    </row>
    <row r="5223">
      <c r="A5223" s="10" t="s">
        <v>6662</v>
      </c>
      <c r="B5223" s="7" t="str">
        <f>IFERROR(__xludf.DUMMYFUNCTION("SPLIT(A5223,"" "")"),"Cc1cc(-c2ncccc2CN2CCN(C)CCN(C)CC2)ccc1N")</f>
        <v>Cc1cc(-c2ncccc2CN2CCN(C)CCN(C)CC2)ccc1N</v>
      </c>
      <c r="C5223" s="7">
        <f>IFERROR(__xludf.DUMMYFUNCTION("""COMPUTED_VALUE"""),7.7910333)</f>
        <v>7.7910333</v>
      </c>
      <c r="D5223" s="7">
        <f>IFERROR(__xludf.DUMMYFUNCTION("""COMPUTED_VALUE"""),0.428571428571428)</f>
        <v>0.4285714286</v>
      </c>
    </row>
    <row r="5224">
      <c r="A5224" s="10" t="s">
        <v>6663</v>
      </c>
      <c r="B5224" s="7" t="str">
        <f>IFERROR(__xludf.DUMMYFUNCTION("SPLIT(A5224,"" "")"),"CNCc1cccc(CN(Cc2cccc(C)n2)C2CCC(N(C)Cc3cc(C)c(C)c(C)n3)CC2)n1")</f>
        <v>CNCc1cccc(CN(Cc2cccc(C)n2)C2CCC(N(C)Cc3cc(C)c(C)c(C)n3)CC2)n1</v>
      </c>
      <c r="C5224" s="7">
        <f>IFERROR(__xludf.DUMMYFUNCTION("""COMPUTED_VALUE"""),7.791033)</f>
        <v>7.791033</v>
      </c>
      <c r="D5224" s="7">
        <f>IFERROR(__xludf.DUMMYFUNCTION("""COMPUTED_VALUE"""),0.43859649122807)</f>
        <v>0.4385964912</v>
      </c>
    </row>
    <row r="5225">
      <c r="A5225" s="10" t="s">
        <v>6664</v>
      </c>
      <c r="B5225" s="7" t="str">
        <f>IFERROR(__xludf.DUMMYFUNCTION("SPLIT(A5225,"" "")"),"CNCc1cccc(CN(Cc2cccc(C)n2)C2CCC(N(C)Cc3nc(C)c(C)cc3C)CC2)n1")</f>
        <v>CNCc1cccc(CN(Cc2cccc(C)n2)C2CCC(N(C)Cc3nc(C)c(C)cc3C)CC2)n1</v>
      </c>
      <c r="C5225" s="7">
        <f>IFERROR(__xludf.DUMMYFUNCTION("""COMPUTED_VALUE"""),7.791032)</f>
        <v>7.791032</v>
      </c>
      <c r="D5225" s="7">
        <f>IFERROR(__xludf.DUMMYFUNCTION("""COMPUTED_VALUE"""),0.421052631578947)</f>
        <v>0.4210526316</v>
      </c>
    </row>
    <row r="5226">
      <c r="A5226" s="10" t="s">
        <v>6665</v>
      </c>
      <c r="B5226" s="7" t="str">
        <f>IFERROR(__xludf.DUMMYFUNCTION("SPLIT(A5226,"" "")"),"CCN(Cc1ccccn1)c1ccccc1CN(C)Cc1cc(-c2ccc3c(c2)OCCOCCOCCOCCOCCO3)ccn1")</f>
        <v>CCN(Cc1ccccn1)c1ccccc1CN(C)Cc1cc(-c2ccc3c(c2)OCCOCCOCCOCCOCCO3)ccn1</v>
      </c>
      <c r="C5226" s="7">
        <f>IFERROR(__xludf.DUMMYFUNCTION("""COMPUTED_VALUE"""),7.791032)</f>
        <v>7.791032</v>
      </c>
      <c r="D5226" s="7">
        <f>IFERROR(__xludf.DUMMYFUNCTION("""COMPUTED_VALUE"""),0.346666666666666)</f>
        <v>0.3466666667</v>
      </c>
    </row>
    <row r="5227">
      <c r="A5227" s="10" t="s">
        <v>6666</v>
      </c>
      <c r="B5227" s="7" t="str">
        <f>IFERROR(__xludf.DUMMYFUNCTION("SPLIT(A5227,"" "")"),"CN(C)c1cccc(-c2cccnc2CN(C)C2CCCC(N(C)Cc3cccc(-c4ccc5c(c4)OCCOCCOCCOCCOCCO5)n3)C2)c1")</f>
        <v>CN(C)c1cccc(-c2cccnc2CN(C)C2CCCC(N(C)Cc3cccc(-c4ccc5c(c4)OCCOCCOCCOCCOCCO5)n3)C2)c1</v>
      </c>
      <c r="C5227" s="7">
        <f>IFERROR(__xludf.DUMMYFUNCTION("""COMPUTED_VALUE"""),7.79103)</f>
        <v>7.79103</v>
      </c>
      <c r="D5227" s="7">
        <f>IFERROR(__xludf.DUMMYFUNCTION("""COMPUTED_VALUE"""),0.321428571428571)</f>
        <v>0.3214285714</v>
      </c>
    </row>
    <row r="5228">
      <c r="A5228" s="10" t="s">
        <v>6667</v>
      </c>
      <c r="B5228" s="7" t="str">
        <f>IFERROR(__xludf.DUMMYFUNCTION("SPLIT(A5228,"" "")"),"CNC1CCCCC1N(Cc1nc(C)c(C)cc1C)Cc1nc(C)c(C)c(C)c1C")</f>
        <v>CNC1CCCCC1N(Cc1nc(C)c(C)cc1C)Cc1nc(C)c(C)c(C)c1C</v>
      </c>
      <c r="C5228" s="7">
        <f>IFERROR(__xludf.DUMMYFUNCTION("""COMPUTED_VALUE"""),7.7910275)</f>
        <v>7.7910275</v>
      </c>
      <c r="D5228" s="7">
        <f>IFERROR(__xludf.DUMMYFUNCTION("""COMPUTED_VALUE"""),0.280701754385964)</f>
        <v>0.2807017544</v>
      </c>
    </row>
    <row r="5229">
      <c r="A5229" s="10" t="s">
        <v>6668</v>
      </c>
      <c r="B5229" s="7" t="str">
        <f>IFERROR(__xludf.DUMMYFUNCTION("SPLIT(A5229,"" "")"),"Cc1cnc(CN(C)C2CCCC(N(Cc3ccccn3)Cc3cccc(C(C)(C)C)n3)C2)cc1C")</f>
        <v>Cc1cnc(CN(C)C2CCCC(N(Cc3ccccn3)Cc3cccc(C(C)(C)C)n3)C2)cc1C</v>
      </c>
      <c r="C5229" s="7">
        <f>IFERROR(__xludf.DUMMYFUNCTION("""COMPUTED_VALUE"""),7.791027)</f>
        <v>7.791027</v>
      </c>
      <c r="D5229" s="7">
        <f>IFERROR(__xludf.DUMMYFUNCTION("""COMPUTED_VALUE"""),0.416666666666666)</f>
        <v>0.4166666667</v>
      </c>
    </row>
    <row r="5230">
      <c r="A5230" s="10" t="s">
        <v>6669</v>
      </c>
      <c r="B5230" s="7" t="str">
        <f>IFERROR(__xludf.DUMMYFUNCTION("SPLIT(A5230,"" "")"),"CN(Cc1cc(N(C)C)ccn1)Cc1cccc(-c2cccc3c2OCCOCCOCCOCCOCCO3)n1")</f>
        <v>CN(Cc1cc(N(C)C)ccn1)Cc1cccc(-c2cccc3c2OCCOCCOCCOCCOCCO3)n1</v>
      </c>
      <c r="C5230" s="7">
        <f>IFERROR(__xludf.DUMMYFUNCTION("""COMPUTED_VALUE"""),7.791027)</f>
        <v>7.791027</v>
      </c>
      <c r="D5230" s="7">
        <f>IFERROR(__xludf.DUMMYFUNCTION("""COMPUTED_VALUE"""),0.406779661016949)</f>
        <v>0.406779661</v>
      </c>
    </row>
    <row r="5231">
      <c r="A5231" s="10" t="s">
        <v>6670</v>
      </c>
      <c r="B5231" s="7" t="str">
        <f>IFERROR(__xludf.DUMMYFUNCTION("SPLIT(A5231,"" "")"),"Cc1cc(CN(C)C2CCCC(N(C)Cc3ncc(C)c(C)c3C)C2)nc(C)c1C")</f>
        <v>Cc1cc(CN(C)C2CCCC(N(C)Cc3ncc(C)c(C)c3C)C2)nc(C)c1C</v>
      </c>
      <c r="C5231" s="7">
        <f>IFERROR(__xludf.DUMMYFUNCTION("""COMPUTED_VALUE"""),7.791022)</f>
        <v>7.791022</v>
      </c>
      <c r="D5231" s="7">
        <f>IFERROR(__xludf.DUMMYFUNCTION("""COMPUTED_VALUE"""),0.345454545454545)</f>
        <v>0.3454545455</v>
      </c>
    </row>
    <row r="5232">
      <c r="A5232" s="10" t="s">
        <v>6671</v>
      </c>
      <c r="B5232" s="7" t="str">
        <f>IFERROR(__xludf.DUMMYFUNCTION("SPLIT(A5232,"" "")"),"CNC1CC(N(Cc2ccccn2)Cc2cccc(C3CC(C)(C)C3)n2)CCC1N(Cc1ccccn1)Cc1ncccc1C")</f>
        <v>CNC1CC(N(Cc2ccccn2)Cc2cccc(C3CC(C)(C)C3)n2)CCC1N(Cc1ccccn1)Cc1ncccc1C</v>
      </c>
      <c r="C5232" s="7">
        <f>IFERROR(__xludf.DUMMYFUNCTION("""COMPUTED_VALUE"""),7.7910156)</f>
        <v>7.7910156</v>
      </c>
      <c r="D5232" s="7">
        <f>IFERROR(__xludf.DUMMYFUNCTION("""COMPUTED_VALUE"""),0.309859154929577)</f>
        <v>0.3098591549</v>
      </c>
    </row>
    <row r="5233">
      <c r="A5233" s="10" t="s">
        <v>6672</v>
      </c>
      <c r="B5233" s="7" t="str">
        <f>IFERROR(__xludf.DUMMYFUNCTION("SPLIT(A5233,"" "")"),"CN(C1=CCC=C(CN(Cc2ccccn2)C(C)(N)N(Cc2ccccn2)c2cccc(F)c2)N1)c1cccc2c1OCCOCCOCCOCCOCCO2")</f>
        <v>CN(C1=CCC=C(CN(Cc2ccccn2)C(C)(N)N(Cc2ccccn2)c2cccc(F)c2)N1)c1cccc2c1OCCOCCOCCOCCOCCO2</v>
      </c>
      <c r="C5233" s="7">
        <f>IFERROR(__xludf.DUMMYFUNCTION("""COMPUTED_VALUE"""),7.79101)</f>
        <v>7.79101</v>
      </c>
      <c r="D5233" s="7">
        <f>IFERROR(__xludf.DUMMYFUNCTION("""COMPUTED_VALUE"""),0.264367816091954)</f>
        <v>0.2643678161</v>
      </c>
    </row>
    <row r="5234">
      <c r="A5234" s="10" t="s">
        <v>6673</v>
      </c>
      <c r="B5234" s="7" t="str">
        <f>IFERROR(__xludf.DUMMYFUNCTION("SPLIT(A5234,"" "")"),"CC(C)N1CCN(C)CCN(C(C)c2cncc(-c3cncc(C(C)(C)C)c3)c2)CC1")</f>
        <v>CC(C)N1CCN(C)CCN(C(C)c2cncc(-c3cncc(C(C)(C)C)c3)c2)CC1</v>
      </c>
      <c r="C5234" s="7">
        <f>IFERROR(__xludf.DUMMYFUNCTION("""COMPUTED_VALUE"""),7.791009)</f>
        <v>7.791009</v>
      </c>
      <c r="D5234" s="7">
        <f>IFERROR(__xludf.DUMMYFUNCTION("""COMPUTED_VALUE"""),0.245614035087719)</f>
        <v>0.2456140351</v>
      </c>
    </row>
    <row r="5235">
      <c r="A5235" s="10" t="s">
        <v>6674</v>
      </c>
      <c r="B5235" s="7" t="str">
        <f>IFERROR(__xludf.DUMMYFUNCTION("SPLIT(A5235,"" "")"),"CN(Cc1ccccn1)C1C=CNC(C(C)(C)C)=C1")</f>
        <v>CN(Cc1ccccn1)C1C=CNC(C(C)(C)C)=C1</v>
      </c>
      <c r="C5235" s="7">
        <f>IFERROR(__xludf.DUMMYFUNCTION("""COMPUTED_VALUE"""),7.791)</f>
        <v>7.791</v>
      </c>
      <c r="D5235" s="7">
        <f>IFERROR(__xludf.DUMMYFUNCTION("""COMPUTED_VALUE"""),0.458333333333333)</f>
        <v>0.4583333333</v>
      </c>
    </row>
    <row r="5236">
      <c r="A5236" s="10" t="s">
        <v>6675</v>
      </c>
      <c r="B5236" s="7" t="str">
        <f>IFERROR(__xludf.DUMMYFUNCTION("SPLIT(A5236,"" "")"),"CCOC(C)c1cccc(CN(Cc2ccccn2)C2CCC(N(C)Cc3cc(C)c(C)c(C)n3)CC2)n1")</f>
        <v>CCOC(C)c1cccc(CN(Cc2ccccn2)C2CCC(N(C)Cc3cc(C)c(C)c(C)n3)CC2)n1</v>
      </c>
      <c r="C5236" s="7">
        <f>IFERROR(__xludf.DUMMYFUNCTION("""COMPUTED_VALUE"""),7.7909794)</f>
        <v>7.7909794</v>
      </c>
      <c r="D5236" s="7">
        <f>IFERROR(__xludf.DUMMYFUNCTION("""COMPUTED_VALUE"""),0.363636363636363)</f>
        <v>0.3636363636</v>
      </c>
    </row>
    <row r="5237">
      <c r="A5237" s="10" t="s">
        <v>6676</v>
      </c>
      <c r="B5237" s="7" t="str">
        <f>IFERROR(__xludf.DUMMYFUNCTION("SPLIT(A5237,"" "")"),"CNCc1ccc(F)cn1")</f>
        <v>CNCc1ccc(F)cn1</v>
      </c>
      <c r="C5237" s="7">
        <f>IFERROR(__xludf.DUMMYFUNCTION("""COMPUTED_VALUE"""),7.7909756)</f>
        <v>7.7909756</v>
      </c>
      <c r="D5237" s="7">
        <f>IFERROR(__xludf.DUMMYFUNCTION("""COMPUTED_VALUE"""),0.324324324324324)</f>
        <v>0.3243243243</v>
      </c>
    </row>
    <row r="5238">
      <c r="A5238" s="10" t="s">
        <v>6677</v>
      </c>
      <c r="B5238" s="7" t="str">
        <f>IFERROR(__xludf.DUMMYFUNCTION("SPLIT(A5238,"" "")"),"CC(C)N(C)C1=CNC(N(C)CN(C)C2C=CC=CN2)=CC1")</f>
        <v>CC(C)N(C)C1=CNC(N(C)CN(C)C2C=CC=CN2)=CC1</v>
      </c>
      <c r="C5238" s="7">
        <f>IFERROR(__xludf.DUMMYFUNCTION("""COMPUTED_VALUE"""),7.7909756)</f>
        <v>7.7909756</v>
      </c>
      <c r="D5238" s="7">
        <f>IFERROR(__xludf.DUMMYFUNCTION("""COMPUTED_VALUE"""),0.196969696969696)</f>
        <v>0.196969697</v>
      </c>
    </row>
    <row r="5239">
      <c r="A5239" s="10" t="s">
        <v>6678</v>
      </c>
      <c r="B5239" s="7" t="str">
        <f>IFERROR(__xludf.DUMMYFUNCTION("SPLIT(A5239,"" "")"),"Cc1nc(CN(C)C2CCC(N(Cc3ccccn3)Cc3ccccn3)CC2)c(C)c(C)c1C")</f>
        <v>Cc1nc(CN(C)C2CCC(N(Cc3ccccn3)Cc3ccccn3)CC2)c(C)c(C)c1C</v>
      </c>
      <c r="C5239" s="7">
        <f>IFERROR(__xludf.DUMMYFUNCTION("""COMPUTED_VALUE"""),7.7909713)</f>
        <v>7.7909713</v>
      </c>
      <c r="D5239" s="7">
        <f>IFERROR(__xludf.DUMMYFUNCTION("""COMPUTED_VALUE"""),0.46)</f>
        <v>0.46</v>
      </c>
    </row>
    <row r="5240">
      <c r="A5240" s="10" t="s">
        <v>6679</v>
      </c>
      <c r="B5240" s="7" t="str">
        <f>IFERROR(__xludf.DUMMYFUNCTION("SPLIT(A5240,"" "")"),"CN(Cc1cccc(-c2cccc3c2OCCOCCOCCOCCOCCO3)n1)C1CCC(N(C)c2ccc3nc(CF)ccc3c2)CC1")</f>
        <v>CN(Cc1cccc(-c2cccc3c2OCCOCCOCCOCCOCCO3)n1)C1CCC(N(C)c2ccc3nc(CF)ccc3c2)CC1</v>
      </c>
      <c r="C5240" s="7">
        <f>IFERROR(__xludf.DUMMYFUNCTION("""COMPUTED_VALUE"""),7.7909684)</f>
        <v>7.7909684</v>
      </c>
      <c r="D5240" s="7">
        <f>IFERROR(__xludf.DUMMYFUNCTION("""COMPUTED_VALUE"""),0.294871794871794)</f>
        <v>0.2948717949</v>
      </c>
    </row>
    <row r="5241">
      <c r="A5241" s="10" t="s">
        <v>6680</v>
      </c>
      <c r="B5241" s="7" t="str">
        <f>IFERROR(__xludf.DUMMYFUNCTION("SPLIT(A5241,"" "")"),"CC(C)N(C)CCN(C)CC1=CNC=C(N(C)Cc2ccccn2)C1")</f>
        <v>CC(C)N(C)CCN(C)CC1=CNC=C(N(C)Cc2ccccn2)C1</v>
      </c>
      <c r="C5241" s="7">
        <f>IFERROR(__xludf.DUMMYFUNCTION("""COMPUTED_VALUE"""),7.790964)</f>
        <v>7.790964</v>
      </c>
      <c r="D5241" s="7">
        <f>IFERROR(__xludf.DUMMYFUNCTION("""COMPUTED_VALUE"""),0.423076923076923)</f>
        <v>0.4230769231</v>
      </c>
    </row>
    <row r="5242">
      <c r="A5242" s="10" t="s">
        <v>6681</v>
      </c>
      <c r="B5242" s="7" t="str">
        <f>IFERROR(__xludf.DUMMYFUNCTION("SPLIT(A5242,"" "")"),"Cc1cncc(CN(C)CCN(C)Cc2cccnc2)c1")</f>
        <v>Cc1cncc(CN(C)CCN(C)Cc2cccnc2)c1</v>
      </c>
      <c r="C5242" s="7">
        <f>IFERROR(__xludf.DUMMYFUNCTION("""COMPUTED_VALUE"""),7.7909636)</f>
        <v>7.7909636</v>
      </c>
      <c r="D5242" s="7">
        <f>IFERROR(__xludf.DUMMYFUNCTION("""COMPUTED_VALUE"""),0.38095238095238)</f>
        <v>0.380952381</v>
      </c>
    </row>
    <row r="5243">
      <c r="A5243" s="10" t="s">
        <v>6682</v>
      </c>
      <c r="B5243" s="7" t="str">
        <f>IFERROR(__xludf.DUMMYFUNCTION("SPLIT(A5243,"" "")"),"CN(Cc1ncccc1-c1ccc2c(c1)OCCOCCOCCOCCOCCO2)C1CCCCC1N(C)c1cccc2ncccc12")</f>
        <v>CN(Cc1ncccc1-c1ccc2c(c1)OCCOCCOCCOCCOCCO2)C1CCCCC1N(C)c1cccc2ncccc12</v>
      </c>
      <c r="C5243" s="7">
        <f>IFERROR(__xludf.DUMMYFUNCTION("""COMPUTED_VALUE"""),7.7909555)</f>
        <v>7.7909555</v>
      </c>
      <c r="D5243" s="7">
        <f>IFERROR(__xludf.DUMMYFUNCTION("""COMPUTED_VALUE"""),0.36231884057971)</f>
        <v>0.3623188406</v>
      </c>
    </row>
    <row r="5244">
      <c r="A5244" s="10" t="s">
        <v>6683</v>
      </c>
      <c r="B5244" s="7" t="str">
        <f>IFERROR(__xludf.DUMMYFUNCTION("SPLIT(A5244,"" "")"),"CC(C)NCNCc1ncccc1C(C)(C)C")</f>
        <v>CC(C)NCNCc1ncccc1C(C)(C)C</v>
      </c>
      <c r="C5244" s="7">
        <f>IFERROR(__xludf.DUMMYFUNCTION("""COMPUTED_VALUE"""),7.7909536)</f>
        <v>7.7909536</v>
      </c>
      <c r="D5244" s="7">
        <f>IFERROR(__xludf.DUMMYFUNCTION("""COMPUTED_VALUE"""),0.272727272727272)</f>
        <v>0.2727272727</v>
      </c>
    </row>
    <row r="5245">
      <c r="A5245" s="10" t="s">
        <v>6684</v>
      </c>
      <c r="B5245" s="7" t="str">
        <f>IFERROR(__xludf.DUMMYFUNCTION("SPLIT(A5245,"" "")"),"CN1CCN(Cc2ccc(-c3ccc4c(c3)OCCOCCOCCOCCOCCO4)cn2)CCN(Cc2cccc(-c3cccc(N=Cc4ccccn4)c3)n2)CC1")</f>
        <v>CN1CCN(Cc2ccc(-c3ccc4c(c3)OCCOCCOCCOCCOCCO4)cn2)CCN(Cc2cccc(-c3cccc(N=Cc4ccccn4)c3)n2)CC1</v>
      </c>
      <c r="C5245" s="7">
        <f>IFERROR(__xludf.DUMMYFUNCTION("""COMPUTED_VALUE"""),7.79095)</f>
        <v>7.79095</v>
      </c>
      <c r="D5245" s="7">
        <f>IFERROR(__xludf.DUMMYFUNCTION("""COMPUTED_VALUE"""),0.414634146341463)</f>
        <v>0.4146341463</v>
      </c>
    </row>
    <row r="5246">
      <c r="A5246" s="10" t="s">
        <v>6685</v>
      </c>
      <c r="B5246" s="7" t="str">
        <f>IFERROR(__xludf.DUMMYFUNCTION("SPLIT(A5246,"" "")"),"CC(C)c1cccc(C2CCC2(C)C)n1")</f>
        <v>CC(C)c1cccc(C2CCC2(C)C)n1</v>
      </c>
      <c r="C5246" s="7">
        <f>IFERROR(__xludf.DUMMYFUNCTION("""COMPUTED_VALUE"""),7.7909403)</f>
        <v>7.7909403</v>
      </c>
      <c r="D5246" s="7">
        <f>IFERROR(__xludf.DUMMYFUNCTION("""COMPUTED_VALUE"""),0.266666666666666)</f>
        <v>0.2666666667</v>
      </c>
    </row>
    <row r="5247">
      <c r="A5247" s="10" t="s">
        <v>6686</v>
      </c>
      <c r="B5247" s="7" t="str">
        <f>IFERROR(__xludf.DUMMYFUNCTION("SPLIT(A5247,"" "")"),"CC(N)C(C)CN(Cc1ccccn1)Cc1ncccc1N(C)C(C)C")</f>
        <v>CC(N)C(C)CN(Cc1ccccn1)Cc1ncccc1N(C)C(C)C</v>
      </c>
      <c r="C5247" s="7">
        <f>IFERROR(__xludf.DUMMYFUNCTION("""COMPUTED_VALUE"""),7.79094)</f>
        <v>7.79094</v>
      </c>
      <c r="D5247" s="7">
        <f>IFERROR(__xludf.DUMMYFUNCTION("""COMPUTED_VALUE"""),0.479166666666666)</f>
        <v>0.4791666667</v>
      </c>
    </row>
    <row r="5248">
      <c r="A5248" s="10" t="s">
        <v>6687</v>
      </c>
      <c r="B5248" s="7" t="str">
        <f>IFERROR(__xludf.DUMMYFUNCTION("SPLIT(A5248,"" "")"),"Cc1cnccc1CN(C)C1CCCC(N(Cc2ccccn2)Cc2ncc(C)c(C)c2C)C1")</f>
        <v>Cc1cnccc1CN(C)C1CCCC(N(Cc2ccccn2)Cc2ncc(C)c(C)c2C)C1</v>
      </c>
      <c r="C5248" s="7">
        <f>IFERROR(__xludf.DUMMYFUNCTION("""COMPUTED_VALUE"""),7.79094)</f>
        <v>7.79094</v>
      </c>
      <c r="D5248" s="7">
        <f>IFERROR(__xludf.DUMMYFUNCTION("""COMPUTED_VALUE"""),0.4)</f>
        <v>0.4</v>
      </c>
    </row>
    <row r="5249">
      <c r="A5249" s="10" t="s">
        <v>6688</v>
      </c>
      <c r="B5249" s="7" t="str">
        <f>IFERROR(__xludf.DUMMYFUNCTION("SPLIT(A5249,"" "")"),"Cc1ccc2c(c1-c1ncccc1CN(C)C1CCCCC1N(C)c1ccc3cccnc3c1)OCCOCCOCCOCCOCCO2")</f>
        <v>Cc1ccc2c(c1-c1ncccc1CN(C)C1CCCCC1N(C)c1ccc3cccnc3c1)OCCOCCOCCOCCOCCO2</v>
      </c>
      <c r="C5249" s="7">
        <f>IFERROR(__xludf.DUMMYFUNCTION("""COMPUTED_VALUE"""),7.79093)</f>
        <v>7.79093</v>
      </c>
      <c r="D5249" s="7">
        <f>IFERROR(__xludf.DUMMYFUNCTION("""COMPUTED_VALUE"""),0.324324324324324)</f>
        <v>0.3243243243</v>
      </c>
    </row>
    <row r="5250">
      <c r="A5250" s="10" t="s">
        <v>6689</v>
      </c>
      <c r="B5250" s="7" t="str">
        <f>IFERROR(__xludf.DUMMYFUNCTION("SPLIT(A5250,"" "")"),"Cc1cnc(CN(C)C2CCC(N(Cc3ccccn3)Cc3cccc(C(C)C)n3)CC2)c(C)c1")</f>
        <v>Cc1cnc(CN(C)C2CCC(N(Cc3ccccn3)Cc3cccc(C(C)C)n3)CC2)c(C)c1</v>
      </c>
      <c r="C5250" s="7">
        <f>IFERROR(__xludf.DUMMYFUNCTION("""COMPUTED_VALUE"""),7.7909284)</f>
        <v>7.7909284</v>
      </c>
      <c r="D5250" s="7">
        <f>IFERROR(__xludf.DUMMYFUNCTION("""COMPUTED_VALUE"""),0.370967741935483)</f>
        <v>0.3709677419</v>
      </c>
    </row>
    <row r="5251">
      <c r="A5251" s="10" t="s">
        <v>6690</v>
      </c>
      <c r="B5251" s="7" t="str">
        <f>IFERROR(__xludf.DUMMYFUNCTION("SPLIT(A5251,"" "")"),"CCCN(C)CCN(C)Cc1nc(C)ccc1C")</f>
        <v>CCCN(C)CCN(C)Cc1nc(C)ccc1C</v>
      </c>
      <c r="C5251" s="7">
        <f>IFERROR(__xludf.DUMMYFUNCTION("""COMPUTED_VALUE"""),7.7909226)</f>
        <v>7.7909226</v>
      </c>
      <c r="D5251" s="7">
        <f>IFERROR(__xludf.DUMMYFUNCTION("""COMPUTED_VALUE"""),0.447368421052631)</f>
        <v>0.4473684211</v>
      </c>
    </row>
    <row r="5252">
      <c r="A5252" s="10" t="s">
        <v>6691</v>
      </c>
      <c r="B5252" s="7" t="str">
        <f>IFERROR(__xludf.DUMMYFUNCTION("SPLIT(A5252,"" "")"),"CC1=NC(C(C)C)CO1")</f>
        <v>CC1=NC(C(C)C)CO1</v>
      </c>
      <c r="C5252" s="7">
        <f>IFERROR(__xludf.DUMMYFUNCTION("""COMPUTED_VALUE"""),7.7909203)</f>
        <v>7.7909203</v>
      </c>
      <c r="D5252" s="7">
        <f>IFERROR(__xludf.DUMMYFUNCTION("""COMPUTED_VALUE"""),0.146341463414634)</f>
        <v>0.1463414634</v>
      </c>
    </row>
    <row r="5253">
      <c r="A5253" s="10" t="s">
        <v>6692</v>
      </c>
      <c r="B5253" s="7" t="str">
        <f>IFERROR(__xludf.DUMMYFUNCTION("SPLIT(A5253,"" "")"),"CC1=CC(N(C)Cc2cc(C(C)(C)C)ccn2)C(C)CC1C")</f>
        <v>CC1=CC(N(C)Cc2cc(C(C)(C)C)ccn2)C(C)CC1C</v>
      </c>
      <c r="C5253" s="7">
        <f>IFERROR(__xludf.DUMMYFUNCTION("""COMPUTED_VALUE"""),7.790917)</f>
        <v>7.790917</v>
      </c>
      <c r="D5253" s="7">
        <f>IFERROR(__xludf.DUMMYFUNCTION("""COMPUTED_VALUE"""),0.303571428571428)</f>
        <v>0.3035714286</v>
      </c>
    </row>
    <row r="5254">
      <c r="A5254" s="10" t="s">
        <v>6693</v>
      </c>
      <c r="B5254" s="7" t="str">
        <f>IFERROR(__xludf.DUMMYFUNCTION("SPLIT(A5254,"" "")"),"CN(Cc1cc(-c2ccc3c(c2)OCCOCCOCCOCCOCCO3)ccn1)c1cc(CN(Cc2ccccn2)Cc2cc(-c3ccc4c(c3)OCCOCCOCCOCCOCCO4)ccn2)ccn1")</f>
        <v>CN(Cc1cc(-c2ccc3c(c2)OCCOCCOCCOCCOCCO3)ccn1)c1cc(CN(Cc2ccccn2)Cc2cc(-c3ccc4c(c3)OCCOCCOCCOCCOCCO4)ccn2)ccn1</v>
      </c>
      <c r="C5254" s="7">
        <f>IFERROR(__xludf.DUMMYFUNCTION("""COMPUTED_VALUE"""),7.790905)</f>
        <v>7.790905</v>
      </c>
      <c r="D5254" s="7">
        <f>IFERROR(__xludf.DUMMYFUNCTION("""COMPUTED_VALUE"""),0.363636363636363)</f>
        <v>0.3636363636</v>
      </c>
    </row>
    <row r="5255">
      <c r="A5255" s="10" t="s">
        <v>6694</v>
      </c>
      <c r="B5255" s="7" t="str">
        <f>IFERROR(__xludf.DUMMYFUNCTION("SPLIT(A5255,"" "")"),"CCCN(Cc1ccccn1)c1cc2ncccc2c(C2CC3OCCOCCOCCOCCOCCOC32)c1N(Cc1ccccn1)Cc1ccccn1")</f>
        <v>CCCN(Cc1ccccn1)c1cc2ncccc2c(C2CC3OCCOCCOCCOCCOCCOC32)c1N(Cc1ccccn1)Cc1ccccn1</v>
      </c>
      <c r="C5255" s="7">
        <f>IFERROR(__xludf.DUMMYFUNCTION("""COMPUTED_VALUE"""),7.790904)</f>
        <v>7.790904</v>
      </c>
      <c r="D5255" s="7">
        <f>IFERROR(__xludf.DUMMYFUNCTION("""COMPUTED_VALUE"""),0.289855072463768)</f>
        <v>0.2898550725</v>
      </c>
    </row>
    <row r="5256">
      <c r="A5256" s="10" t="s">
        <v>6695</v>
      </c>
      <c r="B5256" s="7" t="str">
        <f>IFERROR(__xludf.DUMMYFUNCTION("SPLIT(A5256,"" "")"),"CNCc1ccc(C)c(CN(Cc2ccccn2)C2CCC(N(C)Cc3nc(C)c(C)c(C)c3C)CC2)n1")</f>
        <v>CNCc1ccc(C)c(CN(Cc2ccccn2)C2CCC(N(C)Cc3nc(C)c(C)c(C)c3C)CC2)n1</v>
      </c>
      <c r="C5256" s="7">
        <f>IFERROR(__xludf.DUMMYFUNCTION("""COMPUTED_VALUE"""),7.790898)</f>
        <v>7.790898</v>
      </c>
      <c r="D5256" s="7">
        <f>IFERROR(__xludf.DUMMYFUNCTION("""COMPUTED_VALUE"""),0.359375)</f>
        <v>0.359375</v>
      </c>
    </row>
    <row r="5257">
      <c r="A5257" s="10" t="s">
        <v>6696</v>
      </c>
      <c r="B5257" s="7" t="str">
        <f>IFERROR(__xludf.DUMMYFUNCTION("SPLIT(A5257,"" "")"),"CCNCN(Cc1ccccn1)Cc1ncccc1N")</f>
        <v>CCNCN(Cc1ccccn1)Cc1ncccc1N</v>
      </c>
      <c r="C5257" s="7">
        <f>IFERROR(__xludf.DUMMYFUNCTION("""COMPUTED_VALUE"""),7.7908897)</f>
        <v>7.7908897</v>
      </c>
      <c r="D5257" s="7">
        <f>IFERROR(__xludf.DUMMYFUNCTION("""COMPUTED_VALUE"""),0.475)</f>
        <v>0.475</v>
      </c>
    </row>
    <row r="5258">
      <c r="A5258" s="10" t="s">
        <v>6697</v>
      </c>
      <c r="B5258" s="7" t="str">
        <f>IFERROR(__xludf.DUMMYFUNCTION("SPLIT(A5258,"" "")"),"CN(CC1=CC(N(C)C2C=CC=CN2)C=CN1)Cc1cccnn1")</f>
        <v>CN(CC1=CC(N(C)C2C=CC=CN2)C=CN1)Cc1cccnn1</v>
      </c>
      <c r="C5258" s="7">
        <f>IFERROR(__xludf.DUMMYFUNCTION("""COMPUTED_VALUE"""),7.790888)</f>
        <v>7.790888</v>
      </c>
      <c r="D5258" s="7">
        <f>IFERROR(__xludf.DUMMYFUNCTION("""COMPUTED_VALUE"""),0.423076923076923)</f>
        <v>0.4230769231</v>
      </c>
    </row>
    <row r="5259">
      <c r="A5259" s="10" t="s">
        <v>6698</v>
      </c>
      <c r="B5259" s="7" t="str">
        <f>IFERROR(__xludf.DUMMYFUNCTION("SPLIT(A5259,"" "")"),"CN(CC1=CCC=C(N(C)C(c2ccccn2)c2ccccn2)N1)c1ccc2c(c1)OCCOCCOCCOCCOCCO2")</f>
        <v>CN(CC1=CCC=C(N(C)C(c2ccccn2)c2ccccn2)N1)c1ccc2c(c1)OCCOCCOCCOCCOCCO2</v>
      </c>
      <c r="C5259" s="7">
        <f>IFERROR(__xludf.DUMMYFUNCTION("""COMPUTED_VALUE"""),7.790887)</f>
        <v>7.790887</v>
      </c>
      <c r="D5259" s="7">
        <f>IFERROR(__xludf.DUMMYFUNCTION("""COMPUTED_VALUE"""),0.28169014084507)</f>
        <v>0.2816901408</v>
      </c>
    </row>
    <row r="5260">
      <c r="A5260" s="10" t="s">
        <v>6699</v>
      </c>
      <c r="B5260" s="7" t="str">
        <f>IFERROR(__xludf.DUMMYFUNCTION("SPLIT(A5260,"" "")"),"Cc1cnc(CN(C)C2CCC(N(Cc3ccnc(C4CC(C)(C)C4)c3)Cc3ccccn3)CC2)c(C)c1")</f>
        <v>Cc1cnc(CN(C)C2CCC(N(Cc3ccnc(C4CC(C)(C)C4)c3)Cc3ccccn3)CC2)c(C)c1</v>
      </c>
      <c r="C5260" s="7">
        <f>IFERROR(__xludf.DUMMYFUNCTION("""COMPUTED_VALUE"""),7.7908816)</f>
        <v>7.7908816</v>
      </c>
      <c r="D5260" s="7">
        <f>IFERROR(__xludf.DUMMYFUNCTION("""COMPUTED_VALUE"""),0.338235294117647)</f>
        <v>0.3382352941</v>
      </c>
    </row>
    <row r="5261">
      <c r="A5261" s="10" t="s">
        <v>6700</v>
      </c>
      <c r="B5261" s="7" t="str">
        <f>IFERROR(__xludf.DUMMYFUNCTION("SPLIT(A5261,"" "")"),"Cc1cnc(CN(C)CCN(C)C(C)C)c(C)c1")</f>
        <v>Cc1cnc(CN(C)CCN(C)C(C)C)c(C)c1</v>
      </c>
      <c r="C5261" s="7">
        <f>IFERROR(__xludf.DUMMYFUNCTION("""COMPUTED_VALUE"""),7.7908754)</f>
        <v>7.7908754</v>
      </c>
      <c r="D5261" s="7">
        <f>IFERROR(__xludf.DUMMYFUNCTION("""COMPUTED_VALUE"""),0.414634146341463)</f>
        <v>0.4146341463</v>
      </c>
    </row>
    <row r="5262">
      <c r="A5262" s="10" t="s">
        <v>6701</v>
      </c>
      <c r="B5262" s="7" t="str">
        <f>IFERROR(__xludf.DUMMYFUNCTION("SPLIT(A5262,"" "")"),"CN(Cc1cccc(-c2ccc3c(c2)OCCOCCOCCOCCOCCO3)n1)Cc1cccnc1N(C)C")</f>
        <v>CN(Cc1cccc(-c2ccc3c(c2)OCCOCCOCCOCCOCCO3)n1)Cc1cccnc1N(C)C</v>
      </c>
      <c r="C5262" s="7">
        <f>IFERROR(__xludf.DUMMYFUNCTION("""COMPUTED_VALUE"""),7.7908735)</f>
        <v>7.7908735</v>
      </c>
      <c r="D5262" s="7">
        <f>IFERROR(__xludf.DUMMYFUNCTION("""COMPUTED_VALUE"""),0.4)</f>
        <v>0.4</v>
      </c>
    </row>
    <row r="5263">
      <c r="A5263" s="10" t="s">
        <v>6702</v>
      </c>
      <c r="B5263" s="7" t="str">
        <f>IFERROR(__xludf.DUMMYFUNCTION("SPLIT(A5263,"" "")"),"CN(Cc1cc(-c2ccc3c(c2)OCCOCCOCCOCCOCCO3)ccn1)C1CCC(N(C)c2ccc3ncccc3c2)CC1")</f>
        <v>CN(Cc1cc(-c2ccc3c(c2)OCCOCCOCCOCCOCCO3)ccn1)C1CCC(N(C)c2ccc3ncccc3c2)CC1</v>
      </c>
      <c r="C5263" s="7">
        <f>IFERROR(__xludf.DUMMYFUNCTION("""COMPUTED_VALUE"""),7.790866)</f>
        <v>7.790866</v>
      </c>
      <c r="D5263" s="7">
        <f>IFERROR(__xludf.DUMMYFUNCTION("""COMPUTED_VALUE"""),0.355263157894736)</f>
        <v>0.3552631579</v>
      </c>
    </row>
    <row r="5264">
      <c r="A5264" s="10" t="s">
        <v>6703</v>
      </c>
      <c r="B5264" s="7" t="str">
        <f>IFERROR(__xludf.DUMMYFUNCTION("SPLIT(A5264,"" "")"),"Cc1ccnc2ccc(N(C)CCCN3CCN(C)CCN(C)CC3)cc12")</f>
        <v>Cc1ccnc2ccc(N(C)CCCN3CCN(C)CCN(C)CC3)cc12</v>
      </c>
      <c r="C5264" s="7">
        <f>IFERROR(__xludf.DUMMYFUNCTION("""COMPUTED_VALUE"""),7.790862)</f>
        <v>7.790862</v>
      </c>
      <c r="D5264" s="7">
        <f>IFERROR(__xludf.DUMMYFUNCTION("""COMPUTED_VALUE"""),0.377358490566037)</f>
        <v>0.3773584906</v>
      </c>
    </row>
    <row r="5265">
      <c r="A5265" s="10" t="s">
        <v>6704</v>
      </c>
      <c r="B5265" s="7" t="str">
        <f>IFERROR(__xludf.DUMMYFUNCTION("SPLIT(A5265,"" "")"),"C=Nc1cccc(-c2ncccc2CN2CCN(C)CCN(C)CC2)c1")</f>
        <v>C=Nc1cccc(-c2ncccc2CN2CCN(C)CCN(C)CC2)c1</v>
      </c>
      <c r="C5265" s="7">
        <f>IFERROR(__xludf.DUMMYFUNCTION("""COMPUTED_VALUE"""),7.790853)</f>
        <v>7.790853</v>
      </c>
      <c r="D5265" s="7">
        <f>IFERROR(__xludf.DUMMYFUNCTION("""COMPUTED_VALUE"""),0.42)</f>
        <v>0.42</v>
      </c>
    </row>
    <row r="5266">
      <c r="A5266" s="10" t="s">
        <v>6705</v>
      </c>
      <c r="B5266" s="7" t="str">
        <f>IFERROR(__xludf.DUMMYFUNCTION("SPLIT(A5266,"" "")"),"CN(Cc1ccc(N(C)C)nc1)Cc1ncccc1-c1cccc2c1OCCOCCOCCOCCOCCO2")</f>
        <v>CN(Cc1ccc(N(C)C)nc1)Cc1ncccc1-c1cccc2c1OCCOCCOCCOCCOCCO2</v>
      </c>
      <c r="C5266" s="7">
        <f>IFERROR(__xludf.DUMMYFUNCTION("""COMPUTED_VALUE"""),7.7908387)</f>
        <v>7.7908387</v>
      </c>
      <c r="D5266" s="7">
        <f>IFERROR(__xludf.DUMMYFUNCTION("""COMPUTED_VALUE"""),0.257575757575757)</f>
        <v>0.2575757576</v>
      </c>
    </row>
    <row r="5267">
      <c r="A5267" s="10" t="s">
        <v>6706</v>
      </c>
      <c r="B5267" s="7" t="str">
        <f>IFERROR(__xludf.DUMMYFUNCTION("SPLIT(A5267,"" "")"),"CN(Cc1cccc(-c2ccc3c(c2)OCCOCCOCCOCCOCCO3)n1)C1CCC(N(C)c2ccc3ncc(CF)cc3c2)CC1")</f>
        <v>CN(Cc1cccc(-c2ccc3c(c2)OCCOCCOCCOCCOCCO3)n1)C1CCC(N(C)c2ccc3ncc(CF)cc3c2)CC1</v>
      </c>
      <c r="C5267" s="7">
        <f>IFERROR(__xludf.DUMMYFUNCTION("""COMPUTED_VALUE"""),7.7908316)</f>
        <v>7.7908316</v>
      </c>
      <c r="D5267" s="7">
        <f>IFERROR(__xludf.DUMMYFUNCTION("""COMPUTED_VALUE"""),0.321428571428571)</f>
        <v>0.3214285714</v>
      </c>
    </row>
    <row r="5268">
      <c r="A5268" s="10" t="s">
        <v>6707</v>
      </c>
      <c r="B5268" s="7" t="str">
        <f>IFERROR(__xludf.DUMMYFUNCTION("SPLIT(A5268,"" "")"),"CNCc1cc(CN(C)C2C=CC=CN2)ccn1")</f>
        <v>CNCc1cc(CN(C)C2C=CC=CN2)ccn1</v>
      </c>
      <c r="C5268" s="7">
        <f>IFERROR(__xludf.DUMMYFUNCTION("""COMPUTED_VALUE"""),7.7908225)</f>
        <v>7.7908225</v>
      </c>
      <c r="D5268" s="7">
        <f>IFERROR(__xludf.DUMMYFUNCTION("""COMPUTED_VALUE"""),0.357142857142857)</f>
        <v>0.3571428571</v>
      </c>
    </row>
    <row r="5269">
      <c r="A5269" s="10" t="s">
        <v>6708</v>
      </c>
      <c r="B5269" s="7" t="str">
        <f>IFERROR(__xludf.DUMMYFUNCTION("SPLIT(A5269,"" "")"),"CNC1CC(N(C)Cc2ccccn2)CC(N(Cc2ccccn2)Cc2cc(C)c(C)c(C)n2)C1")</f>
        <v>CNC1CC(N(C)Cc2ccccn2)CC(N(Cc2ccccn2)Cc2cc(C)c(C)c(C)n2)C1</v>
      </c>
      <c r="C5269" s="7">
        <f>IFERROR(__xludf.DUMMYFUNCTION("""COMPUTED_VALUE"""),7.7908216)</f>
        <v>7.7908216</v>
      </c>
      <c r="D5269" s="7">
        <f>IFERROR(__xludf.DUMMYFUNCTION("""COMPUTED_VALUE"""),0.396551724137931)</f>
        <v>0.3965517241</v>
      </c>
    </row>
    <row r="5270">
      <c r="A5270" s="10" t="s">
        <v>6709</v>
      </c>
      <c r="B5270" s="7" t="str">
        <f>IFERROR(__xludf.DUMMYFUNCTION("SPLIT(A5270,"" "")"),"CC(C)[Si](c1ccc(CN2CCN(C)CCN(Cc3cccc([Si](C(C)C)(C(C)C)C(C)C)n3)CC2)nc1)(C(C)C)C(C)C")</f>
        <v>CC(C)[Si](c1ccc(CN2CCN(C)CCN(Cc3cccc([Si](C(C)C)(C(C)C)C(C)C)n3)CC2)nc1)(C(C)C)C(C)C</v>
      </c>
      <c r="C5270" s="7">
        <f>IFERROR(__xludf.DUMMYFUNCTION("""COMPUTED_VALUE"""),7.7908196)</f>
        <v>7.7908196</v>
      </c>
      <c r="D5270" s="7">
        <f>IFERROR(__xludf.DUMMYFUNCTION("""COMPUTED_VALUE"""),0.489795918367346)</f>
        <v>0.4897959184</v>
      </c>
    </row>
    <row r="5271">
      <c r="A5271" s="10" t="s">
        <v>6710</v>
      </c>
      <c r="B5271" s="7" t="str">
        <f>IFERROR(__xludf.DUMMYFUNCTION("SPLIT(A5271,"" "")"),"CNCc1cc(CN(Cc2cccc(C)n2)C2CCC(N(C)Cc3cc(C)c(C)c(C)n3)CC2)ccn1")</f>
        <v>CNCc1cc(CN(Cc2cccc(C)n2)C2CCC(N(C)Cc3cc(C)c(C)c(C)n3)CC2)ccn1</v>
      </c>
      <c r="C5271" s="7">
        <f>IFERROR(__xludf.DUMMYFUNCTION("""COMPUTED_VALUE"""),7.790815)</f>
        <v>7.790815</v>
      </c>
      <c r="D5271" s="7">
        <f>IFERROR(__xludf.DUMMYFUNCTION("""COMPUTED_VALUE"""),0.390625)</f>
        <v>0.390625</v>
      </c>
    </row>
    <row r="5272">
      <c r="A5272" s="10" t="s">
        <v>6711</v>
      </c>
      <c r="B5272" s="7" t="str">
        <f>IFERROR(__xludf.DUMMYFUNCTION("SPLIT(A5272,"" "")"),"CCNC1CC(N(C)Cc2cc(C)ccn2)CC(N(Cc2cc(C)ccn2)Cc2nc(C)ccc2C)C1")</f>
        <v>CCNC1CC(N(C)Cc2cc(C)ccn2)CC(N(Cc2cc(C)ccn2)Cc2nc(C)ccc2C)C1</v>
      </c>
      <c r="C5272" s="7">
        <f>IFERROR(__xludf.DUMMYFUNCTION("""COMPUTED_VALUE"""),7.790801)</f>
        <v>7.790801</v>
      </c>
      <c r="D5272" s="7">
        <f>IFERROR(__xludf.DUMMYFUNCTION("""COMPUTED_VALUE"""),0.272727272727272)</f>
        <v>0.2727272727</v>
      </c>
    </row>
    <row r="5273">
      <c r="A5273" s="10" t="s">
        <v>6712</v>
      </c>
      <c r="B5273" s="7" t="str">
        <f>IFERROR(__xludf.DUMMYFUNCTION("SPLIT(A5273,"" "")"),"CN(Cc1ccc(-c2cccc3c2OCCOCCOCCOCCOCCO3)cn1)C1CCC(N(C)c2ccc3ncc(CF)cc3c2)CC1")</f>
        <v>CN(Cc1ccc(-c2cccc3c2OCCOCCOCCOCCOCCO3)cn1)C1CCC(N(C)c2ccc3ncc(CF)cc3c2)CC1</v>
      </c>
      <c r="C5273" s="7">
        <f>IFERROR(__xludf.DUMMYFUNCTION("""COMPUTED_VALUE"""),7.790797)</f>
        <v>7.790797</v>
      </c>
      <c r="D5273" s="7">
        <f>IFERROR(__xludf.DUMMYFUNCTION("""COMPUTED_VALUE"""),0.298850574712643)</f>
        <v>0.2988505747</v>
      </c>
    </row>
    <row r="5274">
      <c r="A5274" s="10" t="s">
        <v>6713</v>
      </c>
      <c r="B5274" s="7" t="str">
        <f>IFERROR(__xludf.DUMMYFUNCTION("SPLIT(A5274,"" "")"),"CN(Cc1cccc(-c2ccc3c(c2)OCCOCCOCCOCCOCCO3)n1)C1=CC=C(NCc2ccccn2)CN1")</f>
        <v>CN(Cc1cccc(-c2ccc3c(c2)OCCOCCOCCOCCOCCO3)n1)C1=CC=C(NCc2ccccn2)CN1</v>
      </c>
      <c r="C5274" s="7">
        <f>IFERROR(__xludf.DUMMYFUNCTION("""COMPUTED_VALUE"""),7.7907944)</f>
        <v>7.7907944</v>
      </c>
      <c r="D5274" s="7">
        <f>IFERROR(__xludf.DUMMYFUNCTION("""COMPUTED_VALUE"""),0.36)</f>
        <v>0.36</v>
      </c>
    </row>
    <row r="5275">
      <c r="A5275" s="10" t="s">
        <v>6714</v>
      </c>
      <c r="B5275" s="7" t="str">
        <f>IFERROR(__xludf.DUMMYFUNCTION("SPLIT(A5275,"" "")"),"Cc1cc(C)c(CN(C)C2CC(N(C)Cc3ccccn3)CC(N(C)Cc3ccccn3)C2)nc1C")</f>
        <v>Cc1cc(C)c(CN(C)C2CC(N(C)Cc3ccccn3)CC(N(C)Cc3ccccn3)C2)nc1C</v>
      </c>
      <c r="C5275" s="7">
        <f>IFERROR(__xludf.DUMMYFUNCTION("""COMPUTED_VALUE"""),7.790793)</f>
        <v>7.790793</v>
      </c>
      <c r="D5275" s="7">
        <f>IFERROR(__xludf.DUMMYFUNCTION("""COMPUTED_VALUE"""),0.479166666666666)</f>
        <v>0.4791666667</v>
      </c>
    </row>
    <row r="5276">
      <c r="A5276" s="10" t="s">
        <v>6715</v>
      </c>
      <c r="B5276" s="7" t="str">
        <f>IFERROR(__xludf.DUMMYFUNCTION("SPLIT(A5276,"" "")"),"CN(CC1=CCC=C(N(C)Cc2ccccn2)N1)Cc1ncccc1-c1ccc2c(c1)OCCOCCOCCOCCOCCO2")</f>
        <v>CN(CC1=CCC=C(N(C)Cc2ccccn2)N1)Cc1ncccc1-c1ccc2c(c1)OCCOCCOCCOCCOCCO2</v>
      </c>
      <c r="C5276" s="7">
        <f>IFERROR(__xludf.DUMMYFUNCTION("""COMPUTED_VALUE"""),7.790783)</f>
        <v>7.790783</v>
      </c>
      <c r="D5276" s="7">
        <f>IFERROR(__xludf.DUMMYFUNCTION("""COMPUTED_VALUE"""),0.314285714285714)</f>
        <v>0.3142857143</v>
      </c>
    </row>
    <row r="5277">
      <c r="A5277" s="10" t="s">
        <v>6716</v>
      </c>
      <c r="B5277" s="7" t="str">
        <f>IFERROR(__xludf.DUMMYFUNCTION("SPLIT(A5277,"" "")"),"CC1CC(C)C(C)(C)C=C1N(C)Cc1ccccn1")</f>
        <v>CC1CC(C)C(C)(C)C=C1N(C)Cc1ccccn1</v>
      </c>
      <c r="C5277" s="7">
        <f>IFERROR(__xludf.DUMMYFUNCTION("""COMPUTED_VALUE"""),7.790781)</f>
        <v>7.790781</v>
      </c>
      <c r="D5277" s="7">
        <f>IFERROR(__xludf.DUMMYFUNCTION("""COMPUTED_VALUE"""),0.446808510638297)</f>
        <v>0.4468085106</v>
      </c>
    </row>
    <row r="5278">
      <c r="A5278" s="10" t="s">
        <v>6717</v>
      </c>
      <c r="B5278" s="7" t="str">
        <f>IFERROR(__xludf.DUMMYFUNCTION("SPLIT(A5278,"" "")"),"CN(Cc1cccc(-c2ccc3c(c2)OCCOCCOCCOCCOCCO3)n1)C1CCC(N(C)c2ccc3nc(CF)ccc3c2)CC1")</f>
        <v>CN(Cc1cccc(-c2ccc3c(c2)OCCOCCOCCOCCOCCO3)n1)C1CCC(N(C)c2ccc3nc(CF)ccc3c2)CC1</v>
      </c>
      <c r="C5278" s="7">
        <f>IFERROR(__xludf.DUMMYFUNCTION("""COMPUTED_VALUE"""),7.7907662)</f>
        <v>7.7907662</v>
      </c>
      <c r="D5278" s="7">
        <f>IFERROR(__xludf.DUMMYFUNCTION("""COMPUTED_VALUE"""),0.320987654320987)</f>
        <v>0.3209876543</v>
      </c>
    </row>
    <row r="5279">
      <c r="A5279" s="10" t="s">
        <v>6718</v>
      </c>
      <c r="B5279" s="7" t="str">
        <f>IFERROR(__xludf.DUMMYFUNCTION("SPLIT(A5279,"" "")"),"CN(Cc1ccc(-c2ccc3c(c2)OCCOCCOCCOCCOCCO3)cn1)Cc1cccc(N(C)C)n1")</f>
        <v>CN(Cc1ccc(-c2ccc3c(c2)OCCOCCOCCOCCOCCO3)cn1)Cc1cccc(N(C)C)n1</v>
      </c>
      <c r="C5279" s="7">
        <f>IFERROR(__xludf.DUMMYFUNCTION("""COMPUTED_VALUE"""),7.790763)</f>
        <v>7.790763</v>
      </c>
      <c r="D5279" s="7">
        <f>IFERROR(__xludf.DUMMYFUNCTION("""COMPUTED_VALUE"""),0.476190476190476)</f>
        <v>0.4761904762</v>
      </c>
    </row>
    <row r="5280">
      <c r="A5280" s="10" t="s">
        <v>6719</v>
      </c>
      <c r="B5280" s="7" t="str">
        <f>IFERROR(__xludf.DUMMYFUNCTION("SPLIT(A5280,"" "")"),"CNCc1cc(CN(Cc2cc(C)ccn2)C2CCCC(N(C)Cc3cc(C)c(C)c(C)n3)C2)ccn1")</f>
        <v>CNCc1cc(CN(Cc2cc(C)ccn2)C2CCCC(N(C)Cc3cc(C)c(C)c(C)n3)C2)ccn1</v>
      </c>
      <c r="C5280" s="7">
        <f>IFERROR(__xludf.DUMMYFUNCTION("""COMPUTED_VALUE"""),7.7907586)</f>
        <v>7.7907586</v>
      </c>
      <c r="D5280" s="7">
        <f>IFERROR(__xludf.DUMMYFUNCTION("""COMPUTED_VALUE"""),0.275362318840579)</f>
        <v>0.2753623188</v>
      </c>
    </row>
    <row r="5281">
      <c r="A5281" s="10" t="s">
        <v>6720</v>
      </c>
      <c r="B5281" s="7" t="str">
        <f>IFERROR(__xludf.DUMMYFUNCTION("SPLIT(A5281,"" "")"),"Cc1ccc(C)c(CN(Cc2ccccn2)Cc2cc(-c3ccc4c(c3)OCCOCCOCCOCCOCCO4)ccn2)c1C")</f>
        <v>Cc1ccc(C)c(CN(Cc2ccccn2)Cc2cc(-c3ccc4c(c3)OCCOCCOCCOCCOCCO4)ccn2)c1C</v>
      </c>
      <c r="C5281" s="7">
        <f>IFERROR(__xludf.DUMMYFUNCTION("""COMPUTED_VALUE"""),7.7907476)</f>
        <v>7.7907476</v>
      </c>
      <c r="D5281" s="7">
        <f>IFERROR(__xludf.DUMMYFUNCTION("""COMPUTED_VALUE"""),0.377358490566037)</f>
        <v>0.3773584906</v>
      </c>
    </row>
    <row r="5282">
      <c r="A5282" s="10" t="s">
        <v>6721</v>
      </c>
      <c r="B5282" s="7" t="str">
        <f>IFERROR(__xludf.DUMMYFUNCTION("SPLIT(A5282,"" "")"),"Cc1ccnc(CN(C)C2C=CNC(CN(Cc3ccccn3)C(C)C(C)C)=C2)c1")</f>
        <v>Cc1ccnc(CN(C)C2C=CNC(CN(Cc3ccccn3)C(C)C(C)C)=C2)c1</v>
      </c>
      <c r="C5282" s="7">
        <f>IFERROR(__xludf.DUMMYFUNCTION("""COMPUTED_VALUE"""),7.790744)</f>
        <v>7.790744</v>
      </c>
      <c r="D5282" s="7">
        <f>IFERROR(__xludf.DUMMYFUNCTION("""COMPUTED_VALUE"""),0.372881355932203)</f>
        <v>0.3728813559</v>
      </c>
    </row>
    <row r="5283">
      <c r="A5283" s="10" t="s">
        <v>6722</v>
      </c>
      <c r="B5283" s="7" t="str">
        <f>IFERROR(__xludf.DUMMYFUNCTION("SPLIT(A5283,"" "")"),"CC1=NCCC(CN(C)Cc2cc(C)cc(C)n2)=C1")</f>
        <v>CC1=NCCC(CN(C)Cc2cc(C)cc(C)n2)=C1</v>
      </c>
      <c r="C5283" s="7">
        <f>IFERROR(__xludf.DUMMYFUNCTION("""COMPUTED_VALUE"""),7.7907248)</f>
        <v>7.7907248</v>
      </c>
      <c r="D5283" s="7">
        <f>IFERROR(__xludf.DUMMYFUNCTION("""COMPUTED_VALUE"""),0.382978723404255)</f>
        <v>0.3829787234</v>
      </c>
    </row>
    <row r="5284">
      <c r="A5284" s="10" t="s">
        <v>6723</v>
      </c>
      <c r="B5284" s="7" t="str">
        <f>IFERROR(__xludf.DUMMYFUNCTION("SPLIT(A5284,"" "")"),"CN(Cc1ccc(-c2ccc3c(c2)OCCOCCOCCOCCOCCO3)cn1)Cc1ncccc1N(C)C")</f>
        <v>CN(Cc1ccc(-c2ccc3c(c2)OCCOCCOCCOCCOCCO3)cn1)Cc1ncccc1N(C)C</v>
      </c>
      <c r="C5284" s="7">
        <f>IFERROR(__xludf.DUMMYFUNCTION("""COMPUTED_VALUE"""),7.7907176)</f>
        <v>7.7907176</v>
      </c>
      <c r="D5284" s="7">
        <f>IFERROR(__xludf.DUMMYFUNCTION("""COMPUTED_VALUE"""),0.461538461538461)</f>
        <v>0.4615384615</v>
      </c>
    </row>
    <row r="5285">
      <c r="A5285" s="10" t="s">
        <v>6724</v>
      </c>
      <c r="B5285" s="7" t="str">
        <f>IFERROR(__xludf.DUMMYFUNCTION("SPLIT(A5285,"" "")"),"Cc1ccnc(CN(C)CCN)c1C")</f>
        <v>Cc1ccnc(CN(C)CCN)c1C</v>
      </c>
      <c r="C5285" s="7">
        <f>IFERROR(__xludf.DUMMYFUNCTION("""COMPUTED_VALUE"""),7.7907104)</f>
        <v>7.7907104</v>
      </c>
      <c r="D5285" s="7">
        <f>IFERROR(__xludf.DUMMYFUNCTION("""COMPUTED_VALUE"""),0.341463414634146)</f>
        <v>0.3414634146</v>
      </c>
    </row>
    <row r="5286">
      <c r="A5286" s="10" t="s">
        <v>6725</v>
      </c>
      <c r="B5286" s="7" t="str">
        <f>IFERROR(__xludf.DUMMYFUNCTION("SPLIT(A5286,"" "")"),"Cc1ccc(-c2ncccc2CN2CCN(C)CCN(C)CC2)cc1N")</f>
        <v>Cc1ccc(-c2ncccc2CN2CCN(C)CCN(C)CC2)cc1N</v>
      </c>
      <c r="C5286" s="7">
        <f>IFERROR(__xludf.DUMMYFUNCTION("""COMPUTED_VALUE"""),7.7906995)</f>
        <v>7.7906995</v>
      </c>
      <c r="D5286" s="7">
        <f>IFERROR(__xludf.DUMMYFUNCTION("""COMPUTED_VALUE"""),0.428571428571428)</f>
        <v>0.4285714286</v>
      </c>
    </row>
    <row r="5287">
      <c r="A5287" s="10" t="s">
        <v>6726</v>
      </c>
      <c r="B5287" s="7" t="str">
        <f>IFERROR(__xludf.DUMMYFUNCTION("SPLIT(A5287,"" "")"),"CN1CCN(Cc2cccc(-c3ccc4c(c3)OCCOCCOCCOCCOCCO4)n2)CCN(Cc2cccnc2-c2cccc(N=Cc3ccccn3)c2)CC1")</f>
        <v>CN1CCN(Cc2cccc(-c3ccc4c(c3)OCCOCCOCCOCCOCCO4)n2)CCN(Cc2cccnc2-c2cccc(N=Cc3ccccn3)c2)CC1</v>
      </c>
      <c r="C5287" s="7">
        <f>IFERROR(__xludf.DUMMYFUNCTION("""COMPUTED_VALUE"""),7.790696)</f>
        <v>7.790696</v>
      </c>
      <c r="D5287" s="7">
        <f>IFERROR(__xludf.DUMMYFUNCTION("""COMPUTED_VALUE"""),0.342105263157894)</f>
        <v>0.3421052632</v>
      </c>
    </row>
    <row r="5288">
      <c r="A5288" s="10" t="s">
        <v>6727</v>
      </c>
      <c r="B5288" s="7" t="str">
        <f>IFERROR(__xludf.DUMMYFUNCTION("SPLIT(A5288,"" "")"),"CN1CCN(Cc2cncc(-c3cccc(N=Cc4ccccn4)c3)c2)CCN(Cc2cc(-c3ccc4c(c3)OCCOCCOCCOCCOCCO4)ccn2)CC1")</f>
        <v>CN1CCN(Cc2cncc(-c3cccc(N=Cc4ccccn4)c3)c2)CCN(Cc2cc(-c3ccc4c(c3)OCCOCCOCCOCCOCCO4)ccn2)CC1</v>
      </c>
      <c r="C5288" s="7">
        <f>IFERROR(__xludf.DUMMYFUNCTION("""COMPUTED_VALUE"""),7.790693)</f>
        <v>7.790693</v>
      </c>
      <c r="D5288" s="7">
        <f>IFERROR(__xludf.DUMMYFUNCTION("""COMPUTED_VALUE"""),0.346666666666666)</f>
        <v>0.3466666667</v>
      </c>
    </row>
    <row r="5289">
      <c r="A5289" s="10" t="s">
        <v>6728</v>
      </c>
      <c r="B5289" s="7" t="str">
        <f>IFERROR(__xludf.DUMMYFUNCTION("SPLIT(A5289,"" "")"),"CN(Cc1cc(N(C)C)ccn1)Cc1ncccc1-c1cccc2c1OCCOCCOCCOCCOCCO2")</f>
        <v>CN(Cc1cc(N(C)C)ccn1)Cc1ncccc1-c1cccc2c1OCCOCCOCCOCCOCCO2</v>
      </c>
      <c r="C5289" s="7">
        <f>IFERROR(__xludf.DUMMYFUNCTION("""COMPUTED_VALUE"""),7.790677)</f>
        <v>7.790677</v>
      </c>
      <c r="D5289" s="7">
        <f>IFERROR(__xludf.DUMMYFUNCTION("""COMPUTED_VALUE"""),0.296875)</f>
        <v>0.296875</v>
      </c>
    </row>
    <row r="5290">
      <c r="A5290" s="10" t="s">
        <v>6729</v>
      </c>
      <c r="B5290" s="7" t="str">
        <f>IFERROR(__xludf.DUMMYFUNCTION("SPLIT(A5290,"" "")"),"CC1=CC2C=CC=NC2(C)CC1N(C)Cc1ncccc1C(C)(C)C")</f>
        <v>CC1=CC2C=CC=NC2(C)CC1N(C)Cc1ncccc1C(C)(C)C</v>
      </c>
      <c r="C5290" s="7">
        <f>IFERROR(__xludf.DUMMYFUNCTION("""COMPUTED_VALUE"""),7.790677)</f>
        <v>7.790677</v>
      </c>
      <c r="D5290" s="7">
        <f>IFERROR(__xludf.DUMMYFUNCTION("""COMPUTED_VALUE"""),0.242424242424242)</f>
        <v>0.2424242424</v>
      </c>
    </row>
    <row r="5291">
      <c r="A5291" s="10" t="s">
        <v>6730</v>
      </c>
      <c r="B5291" s="7" t="str">
        <f>IFERROR(__xludf.DUMMYFUNCTION("SPLIT(A5291,"" "")"),"Cc1ccccc1N(C)Cc1ncccc1-c1ccc2c(c1)OCCOCCOCCOCCOCCO2")</f>
        <v>Cc1ccccc1N(C)Cc1ncccc1-c1ccc2c(c1)OCCOCCOCCOCCOCCO2</v>
      </c>
      <c r="C5291" s="7">
        <f>IFERROR(__xludf.DUMMYFUNCTION("""COMPUTED_VALUE"""),7.7906675)</f>
        <v>7.7906675</v>
      </c>
      <c r="D5291" s="7">
        <f>IFERROR(__xludf.DUMMYFUNCTION("""COMPUTED_VALUE"""),0.328571428571428)</f>
        <v>0.3285714286</v>
      </c>
    </row>
    <row r="5292">
      <c r="A5292" s="10" t="s">
        <v>6731</v>
      </c>
      <c r="B5292" s="7" t="str">
        <f>IFERROR(__xludf.DUMMYFUNCTION("SPLIT(A5292,"" "")"),"CN(C)Cc1cccnc1CN(Cc1ccccn1)C(C)(N)C1CC(C)(C)C1")</f>
        <v>CN(C)Cc1cccnc1CN(Cc1ccccn1)C(C)(N)C1CC(C)(C)C1</v>
      </c>
      <c r="C5292" s="7">
        <f>IFERROR(__xludf.DUMMYFUNCTION("""COMPUTED_VALUE"""),7.7906666)</f>
        <v>7.7906666</v>
      </c>
      <c r="D5292" s="7">
        <f>IFERROR(__xludf.DUMMYFUNCTION("""COMPUTED_VALUE"""),0.362068965517241)</f>
        <v>0.3620689655</v>
      </c>
    </row>
    <row r="5293">
      <c r="A5293" s="10" t="s">
        <v>6732</v>
      </c>
      <c r="B5293" s="7" t="str">
        <f>IFERROR(__xludf.DUMMYFUNCTION("SPLIT(A5293,"" "")"),"CNCc1cc(C)c(CN(Cc2ccccn2)C2CCC(N(C)Cc3ccon3)CC2)c(C)n1")</f>
        <v>CNCc1cc(C)c(CN(Cc2ccccn2)C2CCC(N(C)Cc3ccon3)CC2)c(C)n1</v>
      </c>
      <c r="C5293" s="7">
        <f>IFERROR(__xludf.DUMMYFUNCTION("""COMPUTED_VALUE"""),7.7906613)</f>
        <v>7.7906613</v>
      </c>
      <c r="D5293" s="7">
        <f>IFERROR(__xludf.DUMMYFUNCTION("""COMPUTED_VALUE"""),0.363636363636363)</f>
        <v>0.3636363636</v>
      </c>
    </row>
    <row r="5294">
      <c r="A5294" s="10" t="s">
        <v>6733</v>
      </c>
      <c r="B5294" s="7" t="str">
        <f>IFERROR(__xludf.DUMMYFUNCTION("SPLIT(A5294,"" "")"),"CN(Cc1ccc(N(C)C)cn1)Cc1ncccc1-c1cccc2c1OCCOCCOCCOCCOCCO2")</f>
        <v>CN(Cc1ccc(N(C)C)cn1)Cc1ncccc1-c1cccc2c1OCCOCCOCCOCCOCCO2</v>
      </c>
      <c r="C5294" s="7">
        <f>IFERROR(__xludf.DUMMYFUNCTION("""COMPUTED_VALUE"""),7.7906604)</f>
        <v>7.7906604</v>
      </c>
      <c r="D5294" s="7">
        <f>IFERROR(__xludf.DUMMYFUNCTION("""COMPUTED_VALUE"""),0.301587301587301)</f>
        <v>0.3015873016</v>
      </c>
    </row>
    <row r="5295">
      <c r="A5295" s="10" t="s">
        <v>6734</v>
      </c>
      <c r="B5295" s="7" t="str">
        <f>IFERROR(__xludf.DUMMYFUNCTION("SPLIT(A5295,"" "")"),"CNC1CCCC(N(Cc2ccccn2)Cc2cc(C)c(C)cn2)C1N(Cc1ccccn1)Cc1cc(C)ccn1")</f>
        <v>CNC1CCCC(N(Cc2ccccn2)Cc2cc(C)c(C)cn2)C1N(Cc1ccccn1)Cc1cc(C)ccn1</v>
      </c>
      <c r="C5295" s="7">
        <f>IFERROR(__xludf.DUMMYFUNCTION("""COMPUTED_VALUE"""),7.7906423)</f>
        <v>7.7906423</v>
      </c>
      <c r="D5295" s="7">
        <f>IFERROR(__xludf.DUMMYFUNCTION("""COMPUTED_VALUE"""),0.406779661016949)</f>
        <v>0.406779661</v>
      </c>
    </row>
    <row r="5296">
      <c r="A5296" s="10" t="s">
        <v>6735</v>
      </c>
      <c r="B5296" s="7" t="str">
        <f>IFERROR(__xludf.DUMMYFUNCTION("SPLIT(A5296,"" "")"),"CNCc1nc(CN(Cc2ccccn2)C2CCC(N(C)Cc3ccon3)CC2)c(C)c(C)c1C")</f>
        <v>CNCc1nc(CN(Cc2ccccn2)C2CCC(N(C)Cc3ccon3)CC2)c(C)c(C)c1C</v>
      </c>
      <c r="C5296" s="7">
        <f>IFERROR(__xludf.DUMMYFUNCTION("""COMPUTED_VALUE"""),7.790641)</f>
        <v>7.790641</v>
      </c>
      <c r="D5296" s="7">
        <f>IFERROR(__xludf.DUMMYFUNCTION("""COMPUTED_VALUE"""),0.38095238095238)</f>
        <v>0.380952381</v>
      </c>
    </row>
    <row r="5297">
      <c r="A5297" s="10" t="s">
        <v>6736</v>
      </c>
      <c r="B5297" s="7" t="str">
        <f>IFERROR(__xludf.DUMMYFUNCTION("SPLIT(A5297,"" "")"),"Cc1cc(C)c(C2=NC(C)(C)CO2)nc1CN1CCN(C)CCN(C)CC1")</f>
        <v>Cc1cc(C)c(C2=NC(C)(C)CO2)nc1CN1CCN(C)CCN(C)CC1</v>
      </c>
      <c r="C5297" s="7">
        <f>IFERROR(__xludf.DUMMYFUNCTION("""COMPUTED_VALUE"""),7.7906337)</f>
        <v>7.7906337</v>
      </c>
      <c r="D5297" s="7">
        <f>IFERROR(__xludf.DUMMYFUNCTION("""COMPUTED_VALUE"""),0.365384615384615)</f>
        <v>0.3653846154</v>
      </c>
    </row>
    <row r="5298">
      <c r="A5298" s="10" t="s">
        <v>6737</v>
      </c>
      <c r="B5298" s="7" t="str">
        <f>IFERROR(__xludf.DUMMYFUNCTION("SPLIT(A5298,"" "")"),"CN(Cc1cc(-c2ccc3c(c2)OCCOCCOCCOCCOCCO3)ccn1)C1CCC(N(C)c2ccc3cc(CF)cnc3c2)CC1")</f>
        <v>CN(Cc1cc(-c2ccc3c(c2)OCCOCCOCCOCCOCCO3)ccn1)C1CCC(N(C)c2ccc3cc(CF)cnc3c2)CC1</v>
      </c>
      <c r="C5298" s="7">
        <f>IFERROR(__xludf.DUMMYFUNCTION("""COMPUTED_VALUE"""),7.7906113)</f>
        <v>7.7906113</v>
      </c>
      <c r="D5298" s="7">
        <f>IFERROR(__xludf.DUMMYFUNCTION("""COMPUTED_VALUE"""),0.35)</f>
        <v>0.35</v>
      </c>
    </row>
    <row r="5299">
      <c r="A5299" s="10" t="s">
        <v>6738</v>
      </c>
      <c r="B5299" s="7" t="str">
        <f>IFERROR(__xludf.DUMMYFUNCTION("SPLIT(A5299,"" "")"),"CC(c1cccc(C2CCC2(C)C)n1)C(C)N(Cc1ccccn1)Cc1ccccn1")</f>
        <v>CC(c1cccc(C2CCC2(C)C)n1)C(C)N(Cc1ccccn1)Cc1ccccn1</v>
      </c>
      <c r="C5299" s="7">
        <f>IFERROR(__xludf.DUMMYFUNCTION("""COMPUTED_VALUE"""),7.790611)</f>
        <v>7.790611</v>
      </c>
      <c r="D5299" s="7">
        <f>IFERROR(__xludf.DUMMYFUNCTION("""COMPUTED_VALUE"""),0.450980392156862)</f>
        <v>0.4509803922</v>
      </c>
    </row>
    <row r="5300">
      <c r="A5300" s="10" t="s">
        <v>6739</v>
      </c>
      <c r="B5300" s="7" t="str">
        <f>IFERROR(__xludf.DUMMYFUNCTION("SPLIT(A5300,"" "")"),"Cc1ccnc2cccc(N(C)CCCN3CCN(C)CCN(C)CC3)c12")</f>
        <v>Cc1ccnc2cccc(N(C)CCCN3CCN(C)CCN(C)CC3)c12</v>
      </c>
      <c r="C5300" s="7">
        <f>IFERROR(__xludf.DUMMYFUNCTION("""COMPUTED_VALUE"""),7.7906036)</f>
        <v>7.7906036</v>
      </c>
      <c r="D5300" s="7">
        <f>IFERROR(__xludf.DUMMYFUNCTION("""COMPUTED_VALUE"""),0.358490566037735)</f>
        <v>0.358490566</v>
      </c>
    </row>
    <row r="5301">
      <c r="A5301" s="10" t="s">
        <v>6740</v>
      </c>
      <c r="B5301" s="7" t="str">
        <f>IFERROR(__xludf.DUMMYFUNCTION("SPLIT(A5301,"" "")"),"Cc1ccc(CN(CC2=CC(N(C)Cc3ccccn3)C=CN2)C2(C)CCC2)nc1")</f>
        <v>Cc1ccc(CN(CC2=CC(N(C)Cc3ccccn3)C=CN2)C2(C)CCC2)nc1</v>
      </c>
      <c r="C5301" s="7">
        <f>IFERROR(__xludf.DUMMYFUNCTION("""COMPUTED_VALUE"""),7.790599)</f>
        <v>7.790599</v>
      </c>
      <c r="D5301" s="7">
        <f>IFERROR(__xludf.DUMMYFUNCTION("""COMPUTED_VALUE"""),0.396825396825396)</f>
        <v>0.3968253968</v>
      </c>
    </row>
    <row r="5302">
      <c r="A5302" s="10" t="s">
        <v>6741</v>
      </c>
      <c r="B5302" s="7" t="str">
        <f>IFERROR(__xludf.DUMMYFUNCTION("SPLIT(A5302,"" "")"),"CNCc1ccc(CN(Cc2cccc(C)n2)C2CCC(N(C)Cc3cc(C)c(C)c(C)n3)CC2)cn1")</f>
        <v>CNCc1ccc(CN(Cc2cccc(C)n2)C2CCC(N(C)Cc3cc(C)c(C)c(C)n3)CC2)cn1</v>
      </c>
      <c r="C5302" s="7">
        <f>IFERROR(__xludf.DUMMYFUNCTION("""COMPUTED_VALUE"""),7.7905984)</f>
        <v>7.7905984</v>
      </c>
      <c r="D5302" s="7">
        <f>IFERROR(__xludf.DUMMYFUNCTION("""COMPUTED_VALUE"""),0.384615384615384)</f>
        <v>0.3846153846</v>
      </c>
    </row>
    <row r="5303">
      <c r="A5303" s="10" t="s">
        <v>6742</v>
      </c>
      <c r="B5303" s="7" t="str">
        <f>IFERROR(__xludf.DUMMYFUNCTION("SPLIT(A5303,"" "")"),"CCN(Cc1ccccn1)Cc1cccc(N(C)C2CCCC(N(C)Cc3cccc(C)n3)C2)n1")</f>
        <v>CCN(Cc1ccccn1)Cc1cccc(N(C)C2CCCC(N(C)Cc3cccc(C)n3)C2)n1</v>
      </c>
      <c r="C5303" s="7">
        <f>IFERROR(__xludf.DUMMYFUNCTION("""COMPUTED_VALUE"""),7.790598)</f>
        <v>7.790598</v>
      </c>
      <c r="D5303" s="7">
        <f>IFERROR(__xludf.DUMMYFUNCTION("""COMPUTED_VALUE"""),0.456140350877192)</f>
        <v>0.4561403509</v>
      </c>
    </row>
    <row r="5304">
      <c r="A5304" s="10" t="s">
        <v>6743</v>
      </c>
      <c r="B5304" s="7" t="str">
        <f>IFERROR(__xludf.DUMMYFUNCTION("SPLIT(A5304,"" "")"),"CNC1CCC(N(Cc2ncc(C)c(C)c2C)Cc2nc(C)c(C)c(C)c2C)CC1")</f>
        <v>CNC1CCC(N(Cc2ncc(C)c(C)c2C)Cc2nc(C)c(C)c(C)c2C)CC1</v>
      </c>
      <c r="C5304" s="7">
        <f>IFERROR(__xludf.DUMMYFUNCTION("""COMPUTED_VALUE"""),7.790597)</f>
        <v>7.790597</v>
      </c>
      <c r="D5304" s="7">
        <f>IFERROR(__xludf.DUMMYFUNCTION("""COMPUTED_VALUE"""),0.23728813559322)</f>
        <v>0.2372881356</v>
      </c>
    </row>
    <row r="5305">
      <c r="A5305" s="10" t="s">
        <v>6744</v>
      </c>
      <c r="B5305" s="7" t="str">
        <f>IFERROR(__xludf.DUMMYFUNCTION("SPLIT(A5305,"" "")"),"CN(Cc1cccc(C2=CCC=CN2)n1)Cc1cccc(-c2cccc3c2OCCOCCOCCOCCOCCO3)n1")</f>
        <v>CN(Cc1cccc(C2=CCC=CN2)n1)Cc1cccc(-c2cccc3c2OCCOCCOCCOCCOCCO3)n1</v>
      </c>
      <c r="C5305" s="7">
        <f>IFERROR(__xludf.DUMMYFUNCTION("""COMPUTED_VALUE"""),7.7905884)</f>
        <v>7.7905884</v>
      </c>
      <c r="D5305" s="7">
        <f>IFERROR(__xludf.DUMMYFUNCTION("""COMPUTED_VALUE"""),0.328125)</f>
        <v>0.328125</v>
      </c>
    </row>
    <row r="5306">
      <c r="A5306" s="10" t="s">
        <v>6745</v>
      </c>
      <c r="B5306" s="7" t="str">
        <f>IFERROR(__xludf.DUMMYFUNCTION("SPLIT(A5306,"" "")"),"CN(CC1=CC(N(C)Cc2ccccn2)C=CN1)C1C=CNC(C(C)(C)C)=C1")</f>
        <v>CN(CC1=CC(N(C)Cc2ccccn2)C=CN1)C1C=CNC(C(C)(C)C)=C1</v>
      </c>
      <c r="C5306" s="7">
        <f>IFERROR(__xludf.DUMMYFUNCTION("""COMPUTED_VALUE"""),7.790585)</f>
        <v>7.790585</v>
      </c>
      <c r="D5306" s="7">
        <f>IFERROR(__xludf.DUMMYFUNCTION("""COMPUTED_VALUE"""),0.415094339622641)</f>
        <v>0.4150943396</v>
      </c>
    </row>
    <row r="5307">
      <c r="A5307" s="10" t="s">
        <v>6746</v>
      </c>
      <c r="B5307" s="7" t="str">
        <f>IFERROR(__xludf.DUMMYFUNCTION("SPLIT(A5307,"" "")"),"CC(C)(C)C1=CC(NCc2ccccn2)C=CN1")</f>
        <v>CC(C)(C)C1=CC(NCc2ccccn2)C=CN1</v>
      </c>
      <c r="C5307" s="7">
        <f>IFERROR(__xludf.DUMMYFUNCTION("""COMPUTED_VALUE"""),7.7905817)</f>
        <v>7.7905817</v>
      </c>
      <c r="D5307" s="7">
        <f>IFERROR(__xludf.DUMMYFUNCTION("""COMPUTED_VALUE"""),0.386363636363636)</f>
        <v>0.3863636364</v>
      </c>
    </row>
    <row r="5308">
      <c r="A5308" s="10" t="s">
        <v>6747</v>
      </c>
      <c r="B5308" s="7" t="str">
        <f>IFERROR(__xludf.DUMMYFUNCTION("SPLIT(A5308,"" "")"),"CN1CCN(C)CCN(C(C)(C)c2cccnc2CN(C)C2CCC(N(C)c3ccc4nccc(CF)c4c3)CC2)CC1")</f>
        <v>CN1CCN(C)CCN(C(C)(C)c2cccnc2CN(C)C2CCC(N(C)c3ccc4nccc(CF)c4c3)CC2)CC1</v>
      </c>
      <c r="C5308" s="7">
        <f>IFERROR(__xludf.DUMMYFUNCTION("""COMPUTED_VALUE"""),7.7905807)</f>
        <v>7.7905807</v>
      </c>
      <c r="D5308" s="7">
        <f>IFERROR(__xludf.DUMMYFUNCTION("""COMPUTED_VALUE"""),0.240506329113924)</f>
        <v>0.2405063291</v>
      </c>
    </row>
    <row r="5309">
      <c r="A5309" s="10" t="s">
        <v>6748</v>
      </c>
      <c r="B5309" s="7" t="str">
        <f>IFERROR(__xludf.DUMMYFUNCTION("SPLIT(A5309,"" "")"),"CN(Cc1cccc(-c2ccc3c(c2)OCCOCCOCCOCCOCCO3)n1)C1CCC(N(C)c2ccc3ccc(CF)nc3c2)CC1")</f>
        <v>CN(Cc1cccc(-c2ccc3c(c2)OCCOCCOCCOCCOCCO3)n1)C1CCC(N(C)c2ccc3ccc(CF)nc3c2)CC1</v>
      </c>
      <c r="C5309" s="7">
        <f>IFERROR(__xludf.DUMMYFUNCTION("""COMPUTED_VALUE"""),7.79058)</f>
        <v>7.79058</v>
      </c>
      <c r="D5309" s="7">
        <f>IFERROR(__xludf.DUMMYFUNCTION("""COMPUTED_VALUE"""),0.325)</f>
        <v>0.325</v>
      </c>
    </row>
    <row r="5310">
      <c r="A5310" s="10" t="s">
        <v>6749</v>
      </c>
      <c r="B5310" s="7" t="str">
        <f>IFERROR(__xludf.DUMMYFUNCTION("SPLIT(A5310,"" "")"),"CN(Cc1ccccn1)Cc1cccnc1CNCF")</f>
        <v>CN(Cc1ccccn1)Cc1cccnc1CNCF</v>
      </c>
      <c r="C5310" s="7">
        <f>IFERROR(__xludf.DUMMYFUNCTION("""COMPUTED_VALUE"""),7.7905784)</f>
        <v>7.7905784</v>
      </c>
      <c r="D5310" s="7">
        <f>IFERROR(__xludf.DUMMYFUNCTION("""COMPUTED_VALUE"""),0.468085106382978)</f>
        <v>0.4680851064</v>
      </c>
    </row>
    <row r="5311">
      <c r="A5311" s="10" t="s">
        <v>6750</v>
      </c>
      <c r="B5311" s="7" t="str">
        <f>IFERROR(__xludf.DUMMYFUNCTION("SPLIT(A5311,"" "")"),"CN(C)CC(C)(C)C")</f>
        <v>CN(C)CC(C)(C)C</v>
      </c>
      <c r="C5311" s="7">
        <f>IFERROR(__xludf.DUMMYFUNCTION("""COMPUTED_VALUE"""),7.790576)</f>
        <v>7.790576</v>
      </c>
      <c r="D5311" s="7">
        <f>IFERROR(__xludf.DUMMYFUNCTION("""COMPUTED_VALUE"""),0.242424242424242)</f>
        <v>0.2424242424</v>
      </c>
    </row>
    <row r="5312">
      <c r="A5312" s="10" t="s">
        <v>6751</v>
      </c>
      <c r="B5312" s="7" t="str">
        <f>IFERROR(__xludf.DUMMYFUNCTION("SPLIT(A5312,"" "")"),"CN(Cc1cccc(-c2ccc3c(c2)OCCOCCOCCOCCOCCO3)n1)C1CCCCC1N(C)c1cccc2nc(CF)ccc12")</f>
        <v>CN(Cc1cccc(-c2ccc3c(c2)OCCOCCOCCOCCOCCO3)n1)C1CCCCC1N(C)c1cccc2nc(CF)ccc12</v>
      </c>
      <c r="C5312" s="7">
        <f>IFERROR(__xludf.DUMMYFUNCTION("""COMPUTED_VALUE"""),7.790575)</f>
        <v>7.790575</v>
      </c>
      <c r="D5312" s="7">
        <f>IFERROR(__xludf.DUMMYFUNCTION("""COMPUTED_VALUE"""),0.410958904109589)</f>
        <v>0.4109589041</v>
      </c>
    </row>
    <row r="5313">
      <c r="A5313" s="10" t="s">
        <v>6752</v>
      </c>
      <c r="B5313" s="7" t="str">
        <f>IFERROR(__xludf.DUMMYFUNCTION("SPLIT(A5313,"" "")"),"CCNCc1ccc(C(C)(C)C)cn1")</f>
        <v>CCNCc1ccc(C(C)(C)C)cn1</v>
      </c>
      <c r="C5313" s="7">
        <f>IFERROR(__xludf.DUMMYFUNCTION("""COMPUTED_VALUE"""),7.79056)</f>
        <v>7.79056</v>
      </c>
      <c r="D5313" s="7">
        <f>IFERROR(__xludf.DUMMYFUNCTION("""COMPUTED_VALUE"""),0.31578947368421)</f>
        <v>0.3157894737</v>
      </c>
    </row>
    <row r="5314">
      <c r="A5314" s="10" t="s">
        <v>6753</v>
      </c>
      <c r="B5314" s="7" t="str">
        <f>IFERROR(__xludf.DUMMYFUNCTION("SPLIT(A5314,"" "")"),"CN(Cc1cccc(-c2ccc3c(c2)OCCOCCOCCOCCOCCO3)n1)C1CCC(N(C)c2cccc3ccc(CF)nc23)CC1")</f>
        <v>CN(Cc1cccc(-c2ccc3c(c2)OCCOCCOCCOCCOCCO3)n1)C1CCC(N(C)c2cccc3ccc(CF)nc23)CC1</v>
      </c>
      <c r="C5314" s="7">
        <f>IFERROR(__xludf.DUMMYFUNCTION("""COMPUTED_VALUE"""),7.7905564)</f>
        <v>7.7905564</v>
      </c>
      <c r="D5314" s="7">
        <f>IFERROR(__xludf.DUMMYFUNCTION("""COMPUTED_VALUE"""),0.44927536231884)</f>
        <v>0.4492753623</v>
      </c>
    </row>
    <row r="5315">
      <c r="A5315" s="10" t="s">
        <v>6754</v>
      </c>
      <c r="B5315" s="7" t="str">
        <f>IFERROR(__xludf.DUMMYFUNCTION("SPLIT(A5315,"" "")"),"CC(C)(C)c1cccc(C2CCC2(C)C)n1")</f>
        <v>CC(C)(C)c1cccc(C2CCC2(C)C)n1</v>
      </c>
      <c r="C5315" s="7">
        <f>IFERROR(__xludf.DUMMYFUNCTION("""COMPUTED_VALUE"""),7.790545)</f>
        <v>7.790545</v>
      </c>
      <c r="D5315" s="7">
        <f>IFERROR(__xludf.DUMMYFUNCTION("""COMPUTED_VALUE"""),0.266666666666666)</f>
        <v>0.2666666667</v>
      </c>
    </row>
    <row r="5316">
      <c r="A5316" s="10" t="s">
        <v>6755</v>
      </c>
      <c r="B5316" s="7" t="str">
        <f>IFERROR(__xludf.DUMMYFUNCTION("SPLIT(A5316,"" "")"),"CC(C)C1(C)N=COC1c1ncccc1CN(Cc1ccccn1)Cc1cccc(-c2ccc3c(c2)OCCOCCOCCOCCOCCO3)n1")</f>
        <v>CC(C)C1(C)N=COC1c1ncccc1CN(Cc1ccccn1)Cc1cccc(-c2ccc3c(c2)OCCOCCOCCOCCOCCO3)n1</v>
      </c>
      <c r="C5316" s="7">
        <f>IFERROR(__xludf.DUMMYFUNCTION("""COMPUTED_VALUE"""),7.7905426)</f>
        <v>7.7905426</v>
      </c>
      <c r="D5316" s="7">
        <f>IFERROR(__xludf.DUMMYFUNCTION("""COMPUTED_VALUE"""),0.3875)</f>
        <v>0.3875</v>
      </c>
    </row>
    <row r="5317">
      <c r="A5317" s="10" t="s">
        <v>6756</v>
      </c>
      <c r="B5317" s="7" t="str">
        <f>IFERROR(__xludf.DUMMYFUNCTION("SPLIT(A5317,"" "")"),"CNC1CC(N(Cc2ccccn2)Cc2nc(C)c(C)c(C)c2C)CCC1N(C)Cc1ncccc1C")</f>
        <v>CNC1CC(N(Cc2ccccn2)Cc2nc(C)c(C)c(C)c2C)CCC1N(C)Cc1ncccc1C</v>
      </c>
      <c r="C5317" s="7">
        <f>IFERROR(__xludf.DUMMYFUNCTION("""COMPUTED_VALUE"""),7.7905407)</f>
        <v>7.7905407</v>
      </c>
      <c r="D5317" s="7">
        <f>IFERROR(__xludf.DUMMYFUNCTION("""COMPUTED_VALUE"""),0.384615384615384)</f>
        <v>0.3846153846</v>
      </c>
    </row>
    <row r="5318">
      <c r="A5318" s="10" t="s">
        <v>6757</v>
      </c>
      <c r="B5318" s="7" t="str">
        <f>IFERROR(__xludf.DUMMYFUNCTION("SPLIT(A5318,"" "")"),"CCOC(C)NCc1cc(C(C)NCc2ccccn2)ccn1")</f>
        <v>CCOC(C)NCc1cc(C(C)NCc2ccccn2)ccn1</v>
      </c>
      <c r="C5318" s="7">
        <f>IFERROR(__xludf.DUMMYFUNCTION("""COMPUTED_VALUE"""),7.7905393)</f>
        <v>7.7905393</v>
      </c>
      <c r="D5318" s="7">
        <f>IFERROR(__xludf.DUMMYFUNCTION("""COMPUTED_VALUE"""),0.369565217391304)</f>
        <v>0.3695652174</v>
      </c>
    </row>
    <row r="5319">
      <c r="A5319" s="10" t="s">
        <v>6758</v>
      </c>
      <c r="B5319" s="7" t="str">
        <f>IFERROR(__xludf.DUMMYFUNCTION("SPLIT(A5319,"" "")"),"CC(C)C1=CC2(C=CN1)CC(C)C(N(C)Cc1ccc(-c3ccc4c(c3)OCCOCCOCCOCCOCCO4)cn1)c1ncccc12")</f>
        <v>CC(C)C1=CC2(C=CN1)CC(C)C(N(C)Cc1ccc(-c3ccc4c(c3)OCCOCCOCCOCCOCCO4)cn1)c1ncccc12</v>
      </c>
      <c r="C5319" s="7">
        <f>IFERROR(__xludf.DUMMYFUNCTION("""COMPUTED_VALUE"""),7.7905326)</f>
        <v>7.7905326</v>
      </c>
      <c r="D5319" s="7">
        <f>IFERROR(__xludf.DUMMYFUNCTION("""COMPUTED_VALUE"""),0.356321839080459)</f>
        <v>0.3563218391</v>
      </c>
    </row>
    <row r="5320">
      <c r="A5320" s="10" t="s">
        <v>6759</v>
      </c>
      <c r="B5320" s="7" t="str">
        <f>IFERROR(__xludf.DUMMYFUNCTION("SPLIT(A5320,"" "")"),"CNCc1ccc(CN(Cc2cc(C)ccn2)C2CCCC(N(C)Cc3cc(C)c(C)c(C)n3)C2)cn1")</f>
        <v>CNCc1ccc(CN(Cc2cc(C)ccn2)C2CCCC(N(C)Cc3cc(C)c(C)c(C)n3)C2)cn1</v>
      </c>
      <c r="C5320" s="7">
        <f>IFERROR(__xludf.DUMMYFUNCTION("""COMPUTED_VALUE"""),7.7905316)</f>
        <v>7.7905316</v>
      </c>
      <c r="D5320" s="7">
        <f>IFERROR(__xludf.DUMMYFUNCTION("""COMPUTED_VALUE"""),0.309859154929577)</f>
        <v>0.3098591549</v>
      </c>
    </row>
    <row r="5321">
      <c r="A5321" s="10" t="s">
        <v>6760</v>
      </c>
      <c r="B5321" s="7" t="str">
        <f>IFERROR(__xludf.DUMMYFUNCTION("SPLIT(A5321,"" "")"),"CN(Cc1cccc(N(C)C)n1)Cc1ncccc1-c1ccc2c(c1)OCCOCCOCCOCCOCCO2")</f>
        <v>CN(Cc1cccc(N(C)C)n1)Cc1ncccc1-c1ccc2c(c1)OCCOCCOCCOCCOCCO2</v>
      </c>
      <c r="C5321" s="7">
        <f>IFERROR(__xludf.DUMMYFUNCTION("""COMPUTED_VALUE"""),7.790531)</f>
        <v>7.790531</v>
      </c>
      <c r="D5321" s="7">
        <f>IFERROR(__xludf.DUMMYFUNCTION("""COMPUTED_VALUE"""),0.333333333333333)</f>
        <v>0.3333333333</v>
      </c>
    </row>
    <row r="5322">
      <c r="A5322" s="10" t="s">
        <v>6761</v>
      </c>
      <c r="B5322" s="7" t="str">
        <f>IFERROR(__xludf.DUMMYFUNCTION("SPLIT(A5322,"" "")"),"CN(Cc1ccc(-c2ccc3c(c2)OCCOCCOCCOCCOCCO3)cn1)C1CCC(N(C)c2ccc3nc(CF)ccc3c2)CC1")</f>
        <v>CN(Cc1ccc(-c2ccc3c(c2)OCCOCCOCCOCCOCCO3)cn1)C1CCC(N(C)c2ccc3nc(CF)ccc3c2)CC1</v>
      </c>
      <c r="C5322" s="7">
        <f>IFERROR(__xludf.DUMMYFUNCTION("""COMPUTED_VALUE"""),7.7905273)</f>
        <v>7.7905273</v>
      </c>
      <c r="D5322" s="7">
        <f>IFERROR(__xludf.DUMMYFUNCTION("""COMPUTED_VALUE"""),0.438356164383561)</f>
        <v>0.4383561644</v>
      </c>
    </row>
    <row r="5323">
      <c r="A5323" s="10" t="s">
        <v>6762</v>
      </c>
      <c r="B5323" s="7" t="str">
        <f>IFERROR(__xludf.DUMMYFUNCTION("SPLIT(A5323,"" "")"),"Cc1ccnc(CN(C)C2CCC(N(Cc3ccccn3)Cc3cccc(CN(C)C)n3)CC2)c1C")</f>
        <v>Cc1ccnc(CN(C)C2CCC(N(Cc3ccccn3)Cc3cccc(CN(C)C)n3)CC2)c1C</v>
      </c>
      <c r="C5323" s="7">
        <f>IFERROR(__xludf.DUMMYFUNCTION("""COMPUTED_VALUE"""),7.7905254)</f>
        <v>7.7905254</v>
      </c>
      <c r="D5323" s="7">
        <f>IFERROR(__xludf.DUMMYFUNCTION("""COMPUTED_VALUE"""),0.418181818181818)</f>
        <v>0.4181818182</v>
      </c>
    </row>
    <row r="5324">
      <c r="A5324" s="10" t="s">
        <v>6763</v>
      </c>
      <c r="B5324" s="7" t="str">
        <f>IFERROR(__xludf.DUMMYFUNCTION("SPLIT(A5324,"" "")"),"Cc1ccncc1CN(C)CCN(C)Cc1ccccn1")</f>
        <v>Cc1ccncc1CN(C)CCN(C)Cc1ccccn1</v>
      </c>
      <c r="C5324" s="7">
        <f>IFERROR(__xludf.DUMMYFUNCTION("""COMPUTED_VALUE"""),7.790522)</f>
        <v>7.790522</v>
      </c>
      <c r="D5324" s="7">
        <f>IFERROR(__xludf.DUMMYFUNCTION("""COMPUTED_VALUE"""),0.465116279069767)</f>
        <v>0.4651162791</v>
      </c>
    </row>
    <row r="5325">
      <c r="A5325" s="10" t="s">
        <v>6764</v>
      </c>
      <c r="B5325" s="7" t="str">
        <f>IFERROR(__xludf.DUMMYFUNCTION("SPLIT(A5325,"" "")"),"Cc1c(N)cccc1-c1ccc(CN2CCN(C)CCN(C)CC2)cn1")</f>
        <v>Cc1c(N)cccc1-c1ccc(CN2CCN(C)CCN(C)CC2)cn1</v>
      </c>
      <c r="C5325" s="7">
        <f>IFERROR(__xludf.DUMMYFUNCTION("""COMPUTED_VALUE"""),7.79052)</f>
        <v>7.79052</v>
      </c>
      <c r="D5325" s="7">
        <f>IFERROR(__xludf.DUMMYFUNCTION("""COMPUTED_VALUE"""),0.4)</f>
        <v>0.4</v>
      </c>
    </row>
    <row r="5326">
      <c r="A5326" s="10" t="s">
        <v>6765</v>
      </c>
      <c r="B5326" s="7" t="str">
        <f>IFERROR(__xludf.DUMMYFUNCTION("SPLIT(A5326,"" "")"),"CNCc1cc(CN(Cc2cccc(F)n2)C2CCC(N(C)Cc3nc(C)c(C)c(C)c3C)CC2)ccn1")</f>
        <v>CNCc1cc(CN(Cc2cccc(F)n2)C2CCC(N(C)Cc3nc(C)c(C)c(C)c3C)CC2)ccn1</v>
      </c>
      <c r="C5326" s="7">
        <f>IFERROR(__xludf.DUMMYFUNCTION("""COMPUTED_VALUE"""),7.790515)</f>
        <v>7.790515</v>
      </c>
      <c r="D5326" s="7">
        <f>IFERROR(__xludf.DUMMYFUNCTION("""COMPUTED_VALUE"""),0.28169014084507)</f>
        <v>0.2816901408</v>
      </c>
    </row>
    <row r="5327">
      <c r="A5327" s="10" t="s">
        <v>6766</v>
      </c>
      <c r="B5327" s="7" t="str">
        <f>IFERROR(__xludf.DUMMYFUNCTION("SPLIT(A5327,"" "")"),"CN(Cc1cc(-c2ccc3c(c2)OCCOCCOCCOCCOCCO3)ccn1)C1CCC(N(C)c2ccc3nc(CF)ccc3c2)CC1")</f>
        <v>CN(Cc1cc(-c2ccc3c(c2)OCCOCCOCCOCCOCCO3)ccn1)C1CCC(N(C)c2ccc3nc(CF)ccc3c2)CC1</v>
      </c>
      <c r="C5327" s="7">
        <f>IFERROR(__xludf.DUMMYFUNCTION("""COMPUTED_VALUE"""),7.790512)</f>
        <v>7.790512</v>
      </c>
      <c r="D5327" s="7">
        <f>IFERROR(__xludf.DUMMYFUNCTION("""COMPUTED_VALUE"""),0.358974358974359)</f>
        <v>0.358974359</v>
      </c>
    </row>
    <row r="5328">
      <c r="A5328" s="10" t="s">
        <v>6767</v>
      </c>
      <c r="B5328" s="7" t="str">
        <f>IFERROR(__xludf.DUMMYFUNCTION("SPLIT(A5328,"" "")"),"CC(C)N(C)CC1=CCC(N(C)CC(C)(C)C)=CN1")</f>
        <v>CC(C)N(C)CC1=CCC(N(C)CC(C)(C)C)=CN1</v>
      </c>
      <c r="C5328" s="7">
        <f>IFERROR(__xludf.DUMMYFUNCTION("""COMPUTED_VALUE"""),7.7905073)</f>
        <v>7.7905073</v>
      </c>
      <c r="D5328" s="7">
        <f>IFERROR(__xludf.DUMMYFUNCTION("""COMPUTED_VALUE"""),0.20754716981132)</f>
        <v>0.2075471698</v>
      </c>
    </row>
    <row r="5329">
      <c r="A5329" s="10" t="s">
        <v>6768</v>
      </c>
      <c r="B5329" s="7" t="str">
        <f>IFERROR(__xludf.DUMMYFUNCTION("SPLIT(A5329,"" "")"),"CNC1C(N(C)Cc2cc(C)c(C)c(C)n2)CCCC1N(C)Cc1cc(C)c(C)c(C)n1")</f>
        <v>CNC1C(N(C)Cc2cc(C)c(C)c(C)n2)CCCC1N(C)Cc1cc(C)c(C)c(C)n1</v>
      </c>
      <c r="C5329" s="7">
        <f>IFERROR(__xludf.DUMMYFUNCTION("""COMPUTED_VALUE"""),7.7904973)</f>
        <v>7.7904973</v>
      </c>
      <c r="D5329" s="7">
        <f>IFERROR(__xludf.DUMMYFUNCTION("""COMPUTED_VALUE"""),0.408163265306122)</f>
        <v>0.4081632653</v>
      </c>
    </row>
    <row r="5330">
      <c r="A5330" s="10" t="s">
        <v>6769</v>
      </c>
      <c r="B5330" s="7" t="str">
        <f>IFERROR(__xludf.DUMMYFUNCTION("SPLIT(A5330,"" "")"),"CN1CCN(Cc2cccc(-c3ccc4c(c3)OCCOCCOCCOCCOCCO4)n2)CCN(Cc2cnccc2-c2cccc(N=Cc3ccccn3)c2)CC1")</f>
        <v>CN1CCN(Cc2cccc(-c3ccc4c(c3)OCCOCCOCCOCCOCCO4)n2)CCN(Cc2cnccc2-c2cccc(N=Cc3ccccn3)c2)CC1</v>
      </c>
      <c r="C5330" s="7">
        <f>IFERROR(__xludf.DUMMYFUNCTION("""COMPUTED_VALUE"""),7.790488)</f>
        <v>7.790488</v>
      </c>
      <c r="D5330" s="7">
        <f>IFERROR(__xludf.DUMMYFUNCTION("""COMPUTED_VALUE"""),0.329113924050632)</f>
        <v>0.3291139241</v>
      </c>
    </row>
    <row r="5331">
      <c r="A5331" s="10" t="s">
        <v>6770</v>
      </c>
      <c r="B5331" s="7" t="str">
        <f>IFERROR(__xludf.DUMMYFUNCTION("SPLIT(A5331,"" "")"),"CCCNCCN(C)Cc1ncc(C)c(C)c1C")</f>
        <v>CCCNCCN(C)Cc1ncc(C)c(C)c1C</v>
      </c>
      <c r="C5331" s="7">
        <f>IFERROR(__xludf.DUMMYFUNCTION("""COMPUTED_VALUE"""),7.790488)</f>
        <v>7.790488</v>
      </c>
      <c r="D5331" s="7">
        <f>IFERROR(__xludf.DUMMYFUNCTION("""COMPUTED_VALUE"""),0.34090909090909)</f>
        <v>0.3409090909</v>
      </c>
    </row>
    <row r="5332">
      <c r="A5332" s="10" t="s">
        <v>6771</v>
      </c>
      <c r="B5332" s="7" t="str">
        <f>IFERROR(__xludf.DUMMYFUNCTION("SPLIT(A5332,"" "")"),"CN1CCN(C)CCN(CCN(C)c2cccc3nc(CF)ccc23)CC1")</f>
        <v>CN1CCN(C)CCN(CCN(C)c2cccc3nc(CF)ccc23)CC1</v>
      </c>
      <c r="C5332" s="7">
        <f>IFERROR(__xludf.DUMMYFUNCTION("""COMPUTED_VALUE"""),7.7904844)</f>
        <v>7.7904844</v>
      </c>
      <c r="D5332" s="7">
        <f>IFERROR(__xludf.DUMMYFUNCTION("""COMPUTED_VALUE"""),0.377358490566037)</f>
        <v>0.3773584906</v>
      </c>
    </row>
    <row r="5333">
      <c r="A5333" s="10" t="s">
        <v>6772</v>
      </c>
      <c r="B5333" s="7" t="str">
        <f>IFERROR(__xludf.DUMMYFUNCTION("SPLIT(A5333,"" "")"),"Cc1cc(CN(C)C2CCC(N(Cc3ccccn3)Cc3nc(C)cc(C)c3C)CC2)ccn1")</f>
        <v>Cc1cc(CN(C)C2CCC(N(Cc3ccccn3)Cc3nc(C)cc(C)c3C)CC2)ccn1</v>
      </c>
      <c r="C5333" s="7">
        <f>IFERROR(__xludf.DUMMYFUNCTION("""COMPUTED_VALUE"""),7.790483)</f>
        <v>7.790483</v>
      </c>
      <c r="D5333" s="7">
        <f>IFERROR(__xludf.DUMMYFUNCTION("""COMPUTED_VALUE"""),0.383333333333333)</f>
        <v>0.3833333333</v>
      </c>
    </row>
    <row r="5334">
      <c r="A5334" s="10" t="s">
        <v>6773</v>
      </c>
      <c r="B5334" s="7" t="str">
        <f>IFERROR(__xludf.DUMMYFUNCTION("SPLIT(A5334,"" "")"),"CC1(C)CC(c2cccc(CN(Cc3cccc(-c4ccc5c(c4)OCCOCCOCCOCCOCCO5)n3)Cc3cccc(C(C)(C)C)n3)n2)C1")</f>
        <v>CC1(C)CC(c2cccc(CN(Cc3cccc(-c4ccc5c(c4)OCCOCCOCCOCCOCCO5)n3)Cc3cccc(C(C)(C)C)n3)n2)C1</v>
      </c>
      <c r="C5334" s="7">
        <f>IFERROR(__xludf.DUMMYFUNCTION("""COMPUTED_VALUE"""),7.7904797)</f>
        <v>7.7904797</v>
      </c>
      <c r="D5334" s="7">
        <f>IFERROR(__xludf.DUMMYFUNCTION("""COMPUTED_VALUE"""),0.32051282051282)</f>
        <v>0.3205128205</v>
      </c>
    </row>
    <row r="5335">
      <c r="A5335" s="10" t="s">
        <v>6774</v>
      </c>
      <c r="B5335" s="7" t="str">
        <f>IFERROR(__xludf.DUMMYFUNCTION("SPLIT(A5335,"" "")"),"CC1=C(N(C)Cc2ccccn2)CC(C)(C)C(C)C1C")</f>
        <v>CC1=C(N(C)Cc2ccccn2)CC(C)(C)C(C)C1C</v>
      </c>
      <c r="C5335" s="7">
        <f>IFERROR(__xludf.DUMMYFUNCTION("""COMPUTED_VALUE"""),7.7904744)</f>
        <v>7.7904744</v>
      </c>
      <c r="D5335" s="7">
        <f>IFERROR(__xludf.DUMMYFUNCTION("""COMPUTED_VALUE"""),0.4375)</f>
        <v>0.4375</v>
      </c>
    </row>
    <row r="5336">
      <c r="A5336" s="10" t="s">
        <v>6775</v>
      </c>
      <c r="B5336" s="7" t="str">
        <f>IFERROR(__xludf.DUMMYFUNCTION("SPLIT(A5336,"" "")"),"Cc1nc(CN(C)C2CCC(N(Cc3ccccn3)Cc3cccnc3F)CC2)c(C)c(C)c1C")</f>
        <v>Cc1nc(CN(C)C2CCC(N(Cc3ccccn3)Cc3cccnc3F)CC2)c(C)c(C)c1C</v>
      </c>
      <c r="C5336" s="7">
        <f>IFERROR(__xludf.DUMMYFUNCTION("""COMPUTED_VALUE"""),7.7904725)</f>
        <v>7.7904725</v>
      </c>
      <c r="D5336" s="7">
        <f>IFERROR(__xludf.DUMMYFUNCTION("""COMPUTED_VALUE"""),0.389830508474576)</f>
        <v>0.3898305085</v>
      </c>
    </row>
    <row r="5337">
      <c r="A5337" s="10" t="s">
        <v>6776</v>
      </c>
      <c r="B5337" s="7" t="str">
        <f>IFERROR(__xludf.DUMMYFUNCTION("SPLIT(A5337,"" "")"),"Cc1cnc(CN(C)C2CC(N(C)Cc3ncccc3C)CC(N(C(C)C)C(C)C)C2)c(C)c1")</f>
        <v>Cc1cnc(CN(C)C2CC(N(C)Cc3ncccc3C)CC(N(C(C)C)C(C)C)C2)c(C)c1</v>
      </c>
      <c r="C5337" s="7">
        <f>IFERROR(__xludf.DUMMYFUNCTION("""COMPUTED_VALUE"""),7.790467)</f>
        <v>7.790467</v>
      </c>
      <c r="D5337" s="7">
        <f>IFERROR(__xludf.DUMMYFUNCTION("""COMPUTED_VALUE"""),0.288135593220339)</f>
        <v>0.2881355932</v>
      </c>
    </row>
    <row r="5338">
      <c r="A5338" s="10" t="s">
        <v>6777</v>
      </c>
      <c r="B5338" s="7" t="str">
        <f>IFERROR(__xludf.DUMMYFUNCTION("SPLIT(A5338,"" "")"),"Cc1ccc(CN(C)C2CCC(N(C)Cc3cccc(C4=CCC=CN4)n3)CC2)nc1")</f>
        <v>Cc1ccc(CN(C)C2CCC(N(C)Cc3cccc(C4=CCC=CN4)n3)CC2)nc1</v>
      </c>
      <c r="C5338" s="7">
        <f>IFERROR(__xludf.DUMMYFUNCTION("""COMPUTED_VALUE"""),7.790458)</f>
        <v>7.790458</v>
      </c>
      <c r="D5338" s="7">
        <f>IFERROR(__xludf.DUMMYFUNCTION("""COMPUTED_VALUE"""),0.43859649122807)</f>
        <v>0.4385964912</v>
      </c>
    </row>
    <row r="5339">
      <c r="A5339" s="10" t="s">
        <v>6778</v>
      </c>
      <c r="B5339" s="7" t="str">
        <f>IFERROR(__xludf.DUMMYFUNCTION("SPLIT(A5339,"" "")"),"Cc1cc(C)c(C)c(CN(C)C2CCCC(N(C)Cc3cc(C)c(C)c(C)n3)C2)n1")</f>
        <v>Cc1cc(C)c(C)c(CN(C)C2CCCC(N(C)Cc3cc(C)c(C)c(C)n3)C2)n1</v>
      </c>
      <c r="C5339" s="7">
        <f>IFERROR(__xludf.DUMMYFUNCTION("""COMPUTED_VALUE"""),7.790457)</f>
        <v>7.790457</v>
      </c>
      <c r="D5339" s="7">
        <f>IFERROR(__xludf.DUMMYFUNCTION("""COMPUTED_VALUE"""),0.333333333333333)</f>
        <v>0.3333333333</v>
      </c>
    </row>
    <row r="5340">
      <c r="A5340" s="10" t="s">
        <v>6779</v>
      </c>
      <c r="B5340" s="7" t="str">
        <f>IFERROR(__xludf.DUMMYFUNCTION("SPLIT(A5340,"" "")"),"CC1C=CCC(c2ncccc2CN(C)Cc2cccc(N)n2)C1C")</f>
        <v>CC1C=CCC(c2ncccc2CN(C)Cc2cccc(N)n2)C1C</v>
      </c>
      <c r="C5340" s="7">
        <f>IFERROR(__xludf.DUMMYFUNCTION("""COMPUTED_VALUE"""),7.790454)</f>
        <v>7.790454</v>
      </c>
      <c r="D5340" s="7">
        <f>IFERROR(__xludf.DUMMYFUNCTION("""COMPUTED_VALUE"""),0.35)</f>
        <v>0.35</v>
      </c>
    </row>
    <row r="5341">
      <c r="A5341" s="10" t="s">
        <v>6780</v>
      </c>
      <c r="B5341" s="7" t="str">
        <f>IFERROR(__xludf.DUMMYFUNCTION("SPLIT(A5341,"" "")"),"CC(N)c1ccccn1")</f>
        <v>CC(N)c1ccccn1</v>
      </c>
      <c r="C5341" s="7">
        <f>IFERROR(__xludf.DUMMYFUNCTION("""COMPUTED_VALUE"""),7.7904525)</f>
        <v>7.7904525</v>
      </c>
      <c r="D5341" s="7">
        <f>IFERROR(__xludf.DUMMYFUNCTION("""COMPUTED_VALUE"""),0.411764705882352)</f>
        <v>0.4117647059</v>
      </c>
    </row>
    <row r="5342">
      <c r="A5342" s="10" t="s">
        <v>6781</v>
      </c>
      <c r="B5342" s="7" t="str">
        <f>IFERROR(__xludf.DUMMYFUNCTION("SPLIT(A5342,"" "")"),"CNCc1cccc(CN(Cc2cccc(C)n2)C2CCCC(N(C)Cc3cc(C)c(C)c(C)n3)C2)n1")</f>
        <v>CNCc1cccc(CN(Cc2cccc(C)n2)C2CCCC(N(C)Cc3cc(C)c(C)c(C)n3)C2)n1</v>
      </c>
      <c r="C5342" s="7">
        <f>IFERROR(__xludf.DUMMYFUNCTION("""COMPUTED_VALUE"""),7.790444)</f>
        <v>7.790444</v>
      </c>
      <c r="D5342" s="7">
        <f>IFERROR(__xludf.DUMMYFUNCTION("""COMPUTED_VALUE"""),0.440677966101694)</f>
        <v>0.4406779661</v>
      </c>
    </row>
    <row r="5343">
      <c r="A5343" s="10" t="s">
        <v>6782</v>
      </c>
      <c r="B5343" s="7" t="str">
        <f>IFERROR(__xludf.DUMMYFUNCTION("SPLIT(A5343,"" "")"),"CN(Cc1ncccc1-c1ccc2c(c1)OCCOCCOCCOCCOCCO2)C1CCC(N(C)c2ccc3cccnc3c2)CC1")</f>
        <v>CN(Cc1ncccc1-c1ccc2c(c1)OCCOCCOCCOCCOCCO2)C1CCC(N(C)c2ccc3cccnc3c2)CC1</v>
      </c>
      <c r="C5343" s="7">
        <f>IFERROR(__xludf.DUMMYFUNCTION("""COMPUTED_VALUE"""),7.7904425)</f>
        <v>7.7904425</v>
      </c>
      <c r="D5343" s="7">
        <f>IFERROR(__xludf.DUMMYFUNCTION("""COMPUTED_VALUE"""),0.316455696202531)</f>
        <v>0.3164556962</v>
      </c>
    </row>
    <row r="5344">
      <c r="A5344" s="10" t="s">
        <v>6783</v>
      </c>
      <c r="B5344" s="7" t="str">
        <f>IFERROR(__xludf.DUMMYFUNCTION("SPLIT(A5344,"" "")"),"CN(Cc1cccnn1)C1C=CC=CN1")</f>
        <v>CN(Cc1cccnn1)C1C=CC=CN1</v>
      </c>
      <c r="C5344" s="7">
        <f>IFERROR(__xludf.DUMMYFUNCTION("""COMPUTED_VALUE"""),7.790438)</f>
        <v>7.790438</v>
      </c>
      <c r="D5344" s="7">
        <f>IFERROR(__xludf.DUMMYFUNCTION("""COMPUTED_VALUE"""),0.48780487804878)</f>
        <v>0.487804878</v>
      </c>
    </row>
    <row r="5345">
      <c r="A5345" s="10" t="s">
        <v>6784</v>
      </c>
      <c r="B5345" s="7" t="str">
        <f>IFERROR(__xludf.DUMMYFUNCTION("SPLIT(A5345,"" "")"),"Cc1nc(CN(C)C2CCC(N(Cc3ccccn3)Cc3ccc(F)cn3)CC2)c(C)c(C)c1C")</f>
        <v>Cc1nc(CN(C)C2CCC(N(Cc3ccccn3)Cc3ccc(F)cn3)CC2)c(C)c(C)c1C</v>
      </c>
      <c r="C5345" s="7">
        <f>IFERROR(__xludf.DUMMYFUNCTION("""COMPUTED_VALUE"""),7.7904277)</f>
        <v>7.7904277</v>
      </c>
      <c r="D5345" s="7">
        <f>IFERROR(__xludf.DUMMYFUNCTION("""COMPUTED_VALUE"""),0.389830508474576)</f>
        <v>0.3898305085</v>
      </c>
    </row>
    <row r="5346">
      <c r="A5346" s="10" t="s">
        <v>6785</v>
      </c>
      <c r="B5346" s="7" t="str">
        <f>IFERROR(__xludf.DUMMYFUNCTION("SPLIT(A5346,"" "")"),"CN(Cc1cc(-c2ccc3c(c2)OCCOCCOCCOCCOCCO3)ccn1)Cc1cccc(N(C)C)n1")</f>
        <v>CN(Cc1cc(-c2ccc3c(c2)OCCOCCOCCOCCOCCO3)ccn1)Cc1cccc(N(C)C)n1</v>
      </c>
      <c r="C5346" s="7">
        <f>IFERROR(__xludf.DUMMYFUNCTION("""COMPUTED_VALUE"""),7.790427)</f>
        <v>7.790427</v>
      </c>
      <c r="D5346" s="7">
        <f>IFERROR(__xludf.DUMMYFUNCTION("""COMPUTED_VALUE"""),0.367647058823529)</f>
        <v>0.3676470588</v>
      </c>
    </row>
    <row r="5347">
      <c r="A5347" s="10" t="s">
        <v>6786</v>
      </c>
      <c r="B5347" s="7" t="str">
        <f>IFERROR(__xludf.DUMMYFUNCTION("SPLIT(A5347,"" "")"),"Cc1ccnc(CN(C)C2C=CNC(CN(C)C(C)(C)C)=C2)c1")</f>
        <v>Cc1ccnc(CN(C)C2C=CNC(CN(C)C(C)(C)C)=C2)c1</v>
      </c>
      <c r="C5347" s="7">
        <f>IFERROR(__xludf.DUMMYFUNCTION("""COMPUTED_VALUE"""),7.7904253)</f>
        <v>7.7904253</v>
      </c>
      <c r="D5347" s="7">
        <f>IFERROR(__xludf.DUMMYFUNCTION("""COMPUTED_VALUE"""),0.295081967213114)</f>
        <v>0.2950819672</v>
      </c>
    </row>
    <row r="5348">
      <c r="A5348" s="10" t="s">
        <v>6787</v>
      </c>
      <c r="B5348" s="7" t="str">
        <f>IFERROR(__xludf.DUMMYFUNCTION("SPLIT(A5348,"" "")"),"Cc1cccnc1CN(C)C(C)(C)C")</f>
        <v>Cc1cccnc1CN(C)C(C)(C)C</v>
      </c>
      <c r="C5348" s="7">
        <f>IFERROR(__xludf.DUMMYFUNCTION("""COMPUTED_VALUE"""),7.790422)</f>
        <v>7.790422</v>
      </c>
      <c r="D5348" s="7">
        <f>IFERROR(__xludf.DUMMYFUNCTION("""COMPUTED_VALUE"""),0.325581395348837)</f>
        <v>0.3255813953</v>
      </c>
    </row>
    <row r="5349">
      <c r="A5349" s="10" t="s">
        <v>6788</v>
      </c>
      <c r="B5349" s="7" t="str">
        <f>IFERROR(__xludf.DUMMYFUNCTION("SPLIT(A5349,"" "")"),"CC1=CCC(C)C=C1CN(C)Cc1ccccn1")</f>
        <v>CC1=CCC(C)C=C1CN(C)Cc1ccccn1</v>
      </c>
      <c r="C5349" s="7">
        <f>IFERROR(__xludf.DUMMYFUNCTION("""COMPUTED_VALUE"""),7.790421)</f>
        <v>7.790421</v>
      </c>
      <c r="D5349" s="7">
        <f>IFERROR(__xludf.DUMMYFUNCTION("""COMPUTED_VALUE"""),0.458333333333333)</f>
        <v>0.4583333333</v>
      </c>
    </row>
    <row r="5350">
      <c r="A5350" s="10" t="s">
        <v>6789</v>
      </c>
      <c r="B5350" s="7" t="str">
        <f>IFERROR(__xludf.DUMMYFUNCTION("SPLIT(A5350,"" "")"),"CNCc1nccc2c1CCC2")</f>
        <v>CNCc1nccc2c1CCC2</v>
      </c>
      <c r="C5350" s="7">
        <f>IFERROR(__xludf.DUMMYFUNCTION("""COMPUTED_VALUE"""),7.7904196)</f>
        <v>7.7904196</v>
      </c>
      <c r="D5350" s="7">
        <f>IFERROR(__xludf.DUMMYFUNCTION("""COMPUTED_VALUE"""),0.229166666666666)</f>
        <v>0.2291666667</v>
      </c>
    </row>
    <row r="5351">
      <c r="A5351" s="10" t="s">
        <v>6790</v>
      </c>
      <c r="B5351" s="7" t="str">
        <f>IFERROR(__xludf.DUMMYFUNCTION("SPLIT(A5351,"" "")"),"CNCc1cc(CN(Cc2ccccn2)C2CCC(N(C)Cc3ncccc3C)CC2N(C)Cc2ncccc2C)ccn1")</f>
        <v>CNCc1cc(CN(Cc2ccccn2)C2CCC(N(C)Cc3ncccc3C)CC2N(C)Cc2ncccc2C)ccn1</v>
      </c>
      <c r="C5351" s="7">
        <f>IFERROR(__xludf.DUMMYFUNCTION("""COMPUTED_VALUE"""),7.790414)</f>
        <v>7.790414</v>
      </c>
      <c r="D5351" s="7">
        <f>IFERROR(__xludf.DUMMYFUNCTION("""COMPUTED_VALUE"""),0.390625)</f>
        <v>0.390625</v>
      </c>
    </row>
    <row r="5352">
      <c r="A5352" s="10" t="s">
        <v>6791</v>
      </c>
      <c r="B5352" s="7" t="str">
        <f>IFERROR(__xludf.DUMMYFUNCTION("SPLIT(A5352,"" "")"),"Cc1ccc(CN(C)C2CCC(N(C)Cc3ccccn3)C(N(Cc3ccccn3)Cc3ncccc3C)C2)nc1")</f>
        <v>Cc1ccc(CN(C)C2CCC(N(C)Cc3ccccn3)C(N(Cc3ccccn3)Cc3ncccc3C)C2)nc1</v>
      </c>
      <c r="C5352" s="7">
        <f>IFERROR(__xludf.DUMMYFUNCTION("""COMPUTED_VALUE"""),7.790405)</f>
        <v>7.790405</v>
      </c>
      <c r="D5352" s="7">
        <f>IFERROR(__xludf.DUMMYFUNCTION("""COMPUTED_VALUE"""),0.491228070175438)</f>
        <v>0.4912280702</v>
      </c>
    </row>
    <row r="5353">
      <c r="A5353" s="10" t="s">
        <v>6792</v>
      </c>
      <c r="B5353" s="7" t="str">
        <f>IFERROR(__xludf.DUMMYFUNCTION("SPLIT(A5353,"" "")"),"CC(C)c1cccc(CN(Cc2ccc(-c3ccc4c(c3)OCCOCCOCCOCCOCCO4)cn2)Cc2cc(C(C)(C)C)ccn2)n1")</f>
        <v>CC(C)c1cccc(CN(Cc2ccc(-c3ccc4c(c3)OCCOCCOCCOCCOCCO4)cn2)Cc2cc(C(C)(C)C)ccn2)n1</v>
      </c>
      <c r="C5353" s="7">
        <f>IFERROR(__xludf.DUMMYFUNCTION("""COMPUTED_VALUE"""),7.790398)</f>
        <v>7.790398</v>
      </c>
      <c r="D5353" s="7">
        <f>IFERROR(__xludf.DUMMYFUNCTION("""COMPUTED_VALUE"""),0.4)</f>
        <v>0.4</v>
      </c>
    </row>
    <row r="5354">
      <c r="A5354" s="10" t="s">
        <v>6793</v>
      </c>
      <c r="B5354" s="7" t="str">
        <f>IFERROR(__xludf.DUMMYFUNCTION("SPLIT(A5354,"" "")"),"Cc1ccccc1N(C)C1CC(N(C)Cc2ccccn2)CC(N(Cc2ccccn2)C(C)C)C1")</f>
        <v>Cc1ccccc1N(C)C1CC(N(C)Cc2ccccn2)CC(N(Cc2ccccn2)C(C)C)C1</v>
      </c>
      <c r="C5354" s="7">
        <f>IFERROR(__xludf.DUMMYFUNCTION("""COMPUTED_VALUE"""),7.790395)</f>
        <v>7.790395</v>
      </c>
      <c r="D5354" s="7">
        <f>IFERROR(__xludf.DUMMYFUNCTION("""COMPUTED_VALUE"""),0.433962264150943)</f>
        <v>0.4339622642</v>
      </c>
    </row>
    <row r="5355">
      <c r="A5355" s="10" t="s">
        <v>6794</v>
      </c>
      <c r="B5355" s="7" t="str">
        <f>IFERROR(__xludf.DUMMYFUNCTION("SPLIT(A5355,"" "")"),"CN(Cc1ncccc1-c1ccc2c(c1)OCCOCCOCCOCCOCCO2)Cc1ncccc1N(C)C")</f>
        <v>CN(Cc1ncccc1-c1ccc2c(c1)OCCOCCOCCOCCOCCO2)Cc1ncccc1N(C)C</v>
      </c>
      <c r="C5355" s="7">
        <f>IFERROR(__xludf.DUMMYFUNCTION("""COMPUTED_VALUE"""),7.7903886)</f>
        <v>7.7903886</v>
      </c>
      <c r="D5355" s="7">
        <f>IFERROR(__xludf.DUMMYFUNCTION("""COMPUTED_VALUE"""),0.338235294117647)</f>
        <v>0.3382352941</v>
      </c>
    </row>
    <row r="5356">
      <c r="A5356" s="10" t="s">
        <v>6795</v>
      </c>
      <c r="B5356" s="7" t="str">
        <f>IFERROR(__xludf.DUMMYFUNCTION("SPLIT(A5356,"" "")"),"CN(Cc1cc(-c2ccc3c(c2)OCCOCCOCCOCCOCCO3)ccn1)Cc1ncccc1N(C)C")</f>
        <v>CN(Cc1cc(-c2ccc3c(c2)OCCOCCOCCOCCOCCO3)ccn1)Cc1ncccc1N(C)C</v>
      </c>
      <c r="C5356" s="7">
        <f>IFERROR(__xludf.DUMMYFUNCTION("""COMPUTED_VALUE"""),7.7903748)</f>
        <v>7.7903748</v>
      </c>
      <c r="D5356" s="7">
        <f>IFERROR(__xludf.DUMMYFUNCTION("""COMPUTED_VALUE"""),0.36231884057971)</f>
        <v>0.3623188406</v>
      </c>
    </row>
    <row r="5357">
      <c r="A5357" s="10" t="s">
        <v>6796</v>
      </c>
      <c r="B5357" s="7" t="str">
        <f>IFERROR(__xludf.DUMMYFUNCTION("SPLIT(A5357,"" "")"),"CNCc1cccc(N(C)C2CCCC(N(C)Cc3nc(C)c(C)cc3C)C2)n1")</f>
        <v>CNCc1cccc(N(C)C2CCCC(N(C)Cc3nc(C)c(C)cc3C)C2)n1</v>
      </c>
      <c r="C5357" s="7">
        <f>IFERROR(__xludf.DUMMYFUNCTION("""COMPUTED_VALUE"""),7.7903748)</f>
        <v>7.7903748</v>
      </c>
      <c r="D5357" s="7">
        <f>IFERROR(__xludf.DUMMYFUNCTION("""COMPUTED_VALUE"""),0.327868852459016)</f>
        <v>0.3278688525</v>
      </c>
    </row>
    <row r="5358">
      <c r="A5358" s="10" t="s">
        <v>6797</v>
      </c>
      <c r="B5358" s="7" t="str">
        <f>IFERROR(__xludf.DUMMYFUNCTION("SPLIT(A5358,"" "")"),"CC(C)C(C)(c1cccnc1)N(C)Cc1ccccn1")</f>
        <v>CC(C)C(C)(c1cccnc1)N(C)Cc1ccccn1</v>
      </c>
      <c r="C5358" s="7">
        <f>IFERROR(__xludf.DUMMYFUNCTION("""COMPUTED_VALUE"""),7.7903748)</f>
        <v>7.7903748</v>
      </c>
      <c r="D5358" s="7">
        <f>IFERROR(__xludf.DUMMYFUNCTION("""COMPUTED_VALUE"""),0.434782608695652)</f>
        <v>0.4347826087</v>
      </c>
    </row>
    <row r="5359">
      <c r="A5359" s="10" t="s">
        <v>6798</v>
      </c>
      <c r="B5359" s="7" t="str">
        <f>IFERROR(__xludf.DUMMYFUNCTION("SPLIT(A5359,"" "")"),"CN(Cc1cccc(C2CC(C)(C)C2)n1)C1CCCC(N(Cc2cccc(F)n2)Cc2cccc(C(C)(C)C)n2)C1")</f>
        <v>CN(Cc1cccc(C2CC(C)(C)C2)n1)C1CCCC(N(Cc2cccc(F)n2)Cc2cccc(C(C)(C)C)n2)C1</v>
      </c>
      <c r="C5359" s="7">
        <f>IFERROR(__xludf.DUMMYFUNCTION("""COMPUTED_VALUE"""),7.79037)</f>
        <v>7.79037</v>
      </c>
      <c r="D5359" s="7">
        <f>IFERROR(__xludf.DUMMYFUNCTION("""COMPUTED_VALUE"""),0.313432835820895)</f>
        <v>0.3134328358</v>
      </c>
    </row>
    <row r="5360">
      <c r="A5360" s="10" t="s">
        <v>6799</v>
      </c>
      <c r="B5360" s="7" t="str">
        <f>IFERROR(__xludf.DUMMYFUNCTION("SPLIT(A5360,"" "")"),"Cc1cnc(CN(C)C2CCC(N(Cc3ccc(C4CC(C)(C)C4)nc3)Cc3ccccn3)CC2)c(C)c1C")</f>
        <v>Cc1cnc(CN(C)C2CCC(N(Cc3ccc(C4CC(C)(C)C4)nc3)Cc3ccccn3)CC2)c(C)c1C</v>
      </c>
      <c r="C5360" s="7">
        <f>IFERROR(__xludf.DUMMYFUNCTION("""COMPUTED_VALUE"""),7.790369)</f>
        <v>7.790369</v>
      </c>
      <c r="D5360" s="7">
        <f>IFERROR(__xludf.DUMMYFUNCTION("""COMPUTED_VALUE"""),0.348484848484848)</f>
        <v>0.3484848485</v>
      </c>
    </row>
    <row r="5361">
      <c r="A5361" s="10" t="s">
        <v>6800</v>
      </c>
      <c r="B5361" s="7" t="str">
        <f>IFERROR(__xludf.DUMMYFUNCTION("SPLIT(A5361,"" "")"),"Cc1cc(C)c(CN(C)C2CC(N(C)Cc3ccccn3)CC(N(Cc3ccccn3)C(C)C)C2)nc1C")</f>
        <v>Cc1cc(C)c(CN(C)C2CC(N(C)Cc3ccccn3)CC(N(Cc3ccccn3)C(C)C)C2)nc1C</v>
      </c>
      <c r="C5361" s="7">
        <f>IFERROR(__xludf.DUMMYFUNCTION("""COMPUTED_VALUE"""),7.7903643)</f>
        <v>7.7903643</v>
      </c>
      <c r="D5361" s="7">
        <f>IFERROR(__xludf.DUMMYFUNCTION("""COMPUTED_VALUE"""),0.418181818181818)</f>
        <v>0.4181818182</v>
      </c>
    </row>
    <row r="5362">
      <c r="A5362" s="10" t="s">
        <v>6801</v>
      </c>
      <c r="B5362" s="7" t="str">
        <f>IFERROR(__xludf.DUMMYFUNCTION("SPLIT(A5362,"" "")"),"Cc1c(N)cccc1-c1ncccc1CN1CCN(C)CCN(C)CC1")</f>
        <v>Cc1c(N)cccc1-c1ncccc1CN1CCN(C)CCN(C)CC1</v>
      </c>
      <c r="C5362" s="7">
        <f>IFERROR(__xludf.DUMMYFUNCTION("""COMPUTED_VALUE"""),7.7903576)</f>
        <v>7.7903576</v>
      </c>
      <c r="D5362" s="7">
        <f>IFERROR(__xludf.DUMMYFUNCTION("""COMPUTED_VALUE"""),0.4375)</f>
        <v>0.4375</v>
      </c>
    </row>
    <row r="5363">
      <c r="A5363" s="10" t="s">
        <v>6802</v>
      </c>
      <c r="B5363" s="7" t="str">
        <f>IFERROR(__xludf.DUMMYFUNCTION("SPLIT(A5363,"" "")"),"Cc1ccc(CN(Cc2ncc(C)c(C)c2C)C2CCCC(N(C)Cc3ccccn3)C2)nc1")</f>
        <v>Cc1ccc(CN(Cc2ncc(C)c(C)c2C)C2CCCC(N(C)Cc3ccccn3)C2)nc1</v>
      </c>
      <c r="C5363" s="7">
        <f>IFERROR(__xludf.DUMMYFUNCTION("""COMPUTED_VALUE"""),7.790353)</f>
        <v>7.790353</v>
      </c>
      <c r="D5363" s="7">
        <f>IFERROR(__xludf.DUMMYFUNCTION("""COMPUTED_VALUE"""),0.456140350877192)</f>
        <v>0.4561403509</v>
      </c>
    </row>
    <row r="5364">
      <c r="A5364" s="10" t="s">
        <v>6803</v>
      </c>
      <c r="B5364" s="7" t="str">
        <f>IFERROR(__xludf.DUMMYFUNCTION("SPLIT(A5364,"" "")"),"CN(CCF)C1CCC(N(C)c2ccc3cccnc3c2)CC1")</f>
        <v>CN(CCF)C1CCC(N(C)c2ccc3cccnc3c2)CC1</v>
      </c>
      <c r="C5364" s="7">
        <f>IFERROR(__xludf.DUMMYFUNCTION("""COMPUTED_VALUE"""),7.790344)</f>
        <v>7.790344</v>
      </c>
      <c r="D5364" s="7">
        <f>IFERROR(__xludf.DUMMYFUNCTION("""COMPUTED_VALUE"""),0.321428571428571)</f>
        <v>0.3214285714</v>
      </c>
    </row>
    <row r="5365">
      <c r="A5365" s="10" t="s">
        <v>6804</v>
      </c>
      <c r="B5365" s="7" t="str">
        <f>IFERROR(__xludf.DUMMYFUNCTION("SPLIT(A5365,"" "")"),"Cc1cncc(CN(C)C2CCC(N(Cc3ccccn3)Cc3nc(C)c(C)c(C)c3C)CC2)c1")</f>
        <v>Cc1cncc(CN(C)C2CCC(N(Cc3ccccn3)Cc3nc(C)c(C)c(C)c3C)CC2)c1</v>
      </c>
      <c r="C5365" s="7">
        <f>IFERROR(__xludf.DUMMYFUNCTION("""COMPUTED_VALUE"""),7.7903414)</f>
        <v>7.7903414</v>
      </c>
      <c r="D5365" s="7">
        <f>IFERROR(__xludf.DUMMYFUNCTION("""COMPUTED_VALUE"""),0.370967741935483)</f>
        <v>0.3709677419</v>
      </c>
    </row>
    <row r="5366">
      <c r="A5366" s="10" t="s">
        <v>6805</v>
      </c>
      <c r="B5366" s="7" t="str">
        <f>IFERROR(__xludf.DUMMYFUNCTION("SPLIT(A5366,"" "")"),"CN1CCN(Cc2cc(-c3cccc(N=Cc4ccccn4)c3)ccn2)CCN(Cc2ncccc2-c2cccc3c2OCCOCCOCCOCCOCCO3)CC1")</f>
        <v>CN1CCN(Cc2cc(-c3cccc(N=Cc4ccccn4)c3)ccn2)CCN(Cc2ncccc2-c2cccc3c2OCCOCCOCCOCCOCCO3)CC1</v>
      </c>
      <c r="C5366" s="7">
        <f>IFERROR(__xludf.DUMMYFUNCTION("""COMPUTED_VALUE"""),7.7903404)</f>
        <v>7.7903404</v>
      </c>
      <c r="D5366" s="7">
        <f>IFERROR(__xludf.DUMMYFUNCTION("""COMPUTED_VALUE"""),0.351351351351351)</f>
        <v>0.3513513514</v>
      </c>
    </row>
    <row r="5367">
      <c r="A5367" s="10" t="s">
        <v>6806</v>
      </c>
      <c r="B5367" s="7" t="str">
        <f>IFERROR(__xludf.DUMMYFUNCTION("SPLIT(A5367,"" "")"),"Cc1cc(CN(C)C2CCCC(N(Cc3ccccn3)Cc3cccc(F)n3)C2)nc(C)c1C")</f>
        <v>Cc1cc(CN(C)C2CCCC(N(Cc3ccccn3)Cc3cccc(F)n3)C2)nc(C)c1C</v>
      </c>
      <c r="C5367" s="7">
        <f>IFERROR(__xludf.DUMMYFUNCTION("""COMPUTED_VALUE"""),7.790339)</f>
        <v>7.790339</v>
      </c>
      <c r="D5367" s="7">
        <f>IFERROR(__xludf.DUMMYFUNCTION("""COMPUTED_VALUE"""),0.416666666666666)</f>
        <v>0.4166666667</v>
      </c>
    </row>
    <row r="5368">
      <c r="A5368" s="10" t="s">
        <v>6807</v>
      </c>
      <c r="B5368" s="7" t="str">
        <f>IFERROR(__xludf.DUMMYFUNCTION("SPLIT(A5368,"" "")"),"Cc1cncc(CN(C)Cc2ccc(N(C)C(C)(C)c3cccnc3CN3CCN(C)CCN(C)CC3)cn2)c1")</f>
        <v>Cc1cncc(CN(C)Cc2ccc(N(C)C(C)(C)c3cccnc3CN3CCN(C)CCN(C)CC3)cn2)c1</v>
      </c>
      <c r="C5368" s="7">
        <f>IFERROR(__xludf.DUMMYFUNCTION("""COMPUTED_VALUE"""),7.7903385)</f>
        <v>7.7903385</v>
      </c>
      <c r="D5368" s="7">
        <f>IFERROR(__xludf.DUMMYFUNCTION("""COMPUTED_VALUE"""),0.338235294117647)</f>
        <v>0.3382352941</v>
      </c>
    </row>
    <row r="5369">
      <c r="A5369" s="10" t="s">
        <v>6808</v>
      </c>
      <c r="B5369" s="7" t="str">
        <f>IFERROR(__xludf.DUMMYFUNCTION("SPLIT(A5369,"" "")"),"Cc1ccc(CN(C)C2CCC(N(C)Cc3ccccn3)CC2N(Cc2ccccn2)Cc2cccc(C)n2)nc1")</f>
        <v>Cc1ccc(CN(C)C2CCC(N(C)Cc3ccccn3)CC2N(Cc2ccccn2)Cc2cccc(C)n2)nc1</v>
      </c>
      <c r="C5369" s="7">
        <f>IFERROR(__xludf.DUMMYFUNCTION("""COMPUTED_VALUE"""),7.790337)</f>
        <v>7.790337</v>
      </c>
      <c r="D5369" s="7">
        <f>IFERROR(__xludf.DUMMYFUNCTION("""COMPUTED_VALUE"""),0.5)</f>
        <v>0.5</v>
      </c>
    </row>
    <row r="5370">
      <c r="A5370" s="10" t="s">
        <v>6809</v>
      </c>
      <c r="B5370" s="7" t="str">
        <f>IFERROR(__xludf.DUMMYFUNCTION("SPLIT(A5370,"" "")"),"CN(Cc1cc(-c2cccc3c2OCCOCCOCCOCCOCCO3)ccn1)Cc1cc(N(C)C)ccn1")</f>
        <v>CN(Cc1cc(-c2cccc3c2OCCOCCOCCOCCOCCO3)ccn1)Cc1cc(N(C)C)ccn1</v>
      </c>
      <c r="C5370" s="7">
        <f>IFERROR(__xludf.DUMMYFUNCTION("""COMPUTED_VALUE"""),7.790336)</f>
        <v>7.790336</v>
      </c>
      <c r="D5370" s="7">
        <f>IFERROR(__xludf.DUMMYFUNCTION("""COMPUTED_VALUE"""),0.290322580645161)</f>
        <v>0.2903225806</v>
      </c>
    </row>
    <row r="5371">
      <c r="A5371" s="10" t="s">
        <v>6810</v>
      </c>
      <c r="B5371" s="7" t="str">
        <f>IFERROR(__xludf.DUMMYFUNCTION("SPLIT(A5371,"" "")"),"CNC1CC(N(C)Cc2ccccn2)CC(N(Cc2ccccn2)Cc2nc(C)c(C)cc2C)C1")</f>
        <v>CNC1CC(N(C)Cc2ccccn2)CC(N(Cc2ccccn2)Cc2nc(C)c(C)cc2C)C1</v>
      </c>
      <c r="C5371" s="7">
        <f>IFERROR(__xludf.DUMMYFUNCTION("""COMPUTED_VALUE"""),7.7903347)</f>
        <v>7.7903347</v>
      </c>
      <c r="D5371" s="7">
        <f>IFERROR(__xludf.DUMMYFUNCTION("""COMPUTED_VALUE"""),0.396551724137931)</f>
        <v>0.3965517241</v>
      </c>
    </row>
    <row r="5372">
      <c r="A5372" s="10" t="s">
        <v>6811</v>
      </c>
      <c r="B5372" s="7" t="str">
        <f>IFERROR(__xludf.DUMMYFUNCTION("SPLIT(A5372,"" "")"),"COC(C)c1nc(CN2CCN(C)CCN(Cc3cc(C(C)(C)c4ccccn4)ccn3)CC2)c(C)c(C)c1C")</f>
        <v>COC(C)c1nc(CN2CCN(C)CCN(Cc3cc(C(C)(C)c4ccccn4)ccn3)CC2)c(C)c(C)c1C</v>
      </c>
      <c r="C5372" s="7">
        <f>IFERROR(__xludf.DUMMYFUNCTION("""COMPUTED_VALUE"""),7.790331)</f>
        <v>7.790331</v>
      </c>
      <c r="D5372" s="7">
        <f>IFERROR(__xludf.DUMMYFUNCTION("""COMPUTED_VALUE"""),0.412698412698412)</f>
        <v>0.4126984127</v>
      </c>
    </row>
    <row r="5373">
      <c r="A5373" s="10" t="s">
        <v>6812</v>
      </c>
      <c r="B5373" s="7" t="str">
        <f>IFERROR(__xludf.DUMMYFUNCTION("SPLIT(A5373,"" "")"),"CCOC(=O)c1cc(CN2CCN(C)CCN(Cc3cccc(C(C)(C)c4ccccn4)n3)CC2)ccn1")</f>
        <v>CCOC(=O)c1cc(CN2CCN(C)CCN(Cc3cccc(C(C)(C)c4ccccn4)n3)CC2)ccn1</v>
      </c>
      <c r="C5373" s="7">
        <f>IFERROR(__xludf.DUMMYFUNCTION("""COMPUTED_VALUE"""),7.790323)</f>
        <v>7.790323</v>
      </c>
      <c r="D5373" s="7">
        <f>IFERROR(__xludf.DUMMYFUNCTION("""COMPUTED_VALUE"""),0.492537313432835)</f>
        <v>0.4925373134</v>
      </c>
    </row>
    <row r="5374">
      <c r="A5374" s="10" t="s">
        <v>6813</v>
      </c>
      <c r="B5374" s="7" t="str">
        <f>IFERROR(__xludf.DUMMYFUNCTION("SPLIT(A5374,"" "")"),"CN(Cc1ccc(-c2ccc3c(c2)OCCOCCOCCOCCOCCO3)cn1)C1CCC(N(C)c2ccc3ccc(CF)nc3c2)CC1")</f>
        <v>CN(Cc1ccc(-c2ccc3c(c2)OCCOCCOCCOCCOCCO3)cn1)C1CCC(N(C)c2ccc3ccc(CF)nc3c2)CC1</v>
      </c>
      <c r="C5374" s="7">
        <f>IFERROR(__xludf.DUMMYFUNCTION("""COMPUTED_VALUE"""),7.7903156)</f>
        <v>7.7903156</v>
      </c>
      <c r="D5374" s="7">
        <f>IFERROR(__xludf.DUMMYFUNCTION("""COMPUTED_VALUE"""),0.444444444444444)</f>
        <v>0.4444444444</v>
      </c>
    </row>
    <row r="5375">
      <c r="A5375" s="10" t="s">
        <v>6814</v>
      </c>
      <c r="B5375" s="7" t="str">
        <f>IFERROR(__xludf.DUMMYFUNCTION("SPLIT(A5375,"" "")"),"C=Nc1cccc(-c2ccncc2CN2CCN(C)CCN(C)CC2)c1")</f>
        <v>C=Nc1cccc(-c2ccncc2CN2CCN(C)CCN(C)CC2)c1</v>
      </c>
      <c r="C5375" s="7">
        <f>IFERROR(__xludf.DUMMYFUNCTION("""COMPUTED_VALUE"""),7.790315)</f>
        <v>7.790315</v>
      </c>
      <c r="D5375" s="7">
        <f>IFERROR(__xludf.DUMMYFUNCTION("""COMPUTED_VALUE"""),0.358490566037735)</f>
        <v>0.358490566</v>
      </c>
    </row>
    <row r="5376">
      <c r="A5376" s="10" t="s">
        <v>6815</v>
      </c>
      <c r="B5376" s="7" t="str">
        <f>IFERROR(__xludf.DUMMYFUNCTION("SPLIT(A5376,"" "")"),"Cc1ccc(N)cc1-c1cncc(CN2CCN(C)CCN(C)CC2)c1")</f>
        <v>Cc1ccc(N)cc1-c1cncc(CN2CCN(C)CCN(C)CC2)c1</v>
      </c>
      <c r="C5376" s="7">
        <f>IFERROR(__xludf.DUMMYFUNCTION("""COMPUTED_VALUE"""),7.79031)</f>
        <v>7.79031</v>
      </c>
      <c r="D5376" s="7">
        <f>IFERROR(__xludf.DUMMYFUNCTION("""COMPUTED_VALUE"""),0.365384615384615)</f>
        <v>0.3653846154</v>
      </c>
    </row>
    <row r="5377">
      <c r="A5377" s="10" t="s">
        <v>6816</v>
      </c>
      <c r="B5377" s="7" t="str">
        <f>IFERROR(__xludf.DUMMYFUNCTION("SPLIT(A5377,"" "")"),"Cc1cccnc1CN(C)c1ccc(-c2cccc(CN(Cc3ccccn3)Cc3cccc(-c4ccc5c(c4)OCCOCCOCCOCCOCCO5)n3)n2)c2c1OCCOCCOCCOCCOCCO2")</f>
        <v>Cc1cccnc1CN(C)c1ccc(-c2cccc(CN(Cc3ccccn3)Cc3cccc(-c4ccc5c(c4)OCCOCCOCCOCCOCCO5)n3)n2)c2c1OCCOCCOCCOCCOCCO2</v>
      </c>
      <c r="C5377" s="7">
        <f>IFERROR(__xludf.DUMMYFUNCTION("""COMPUTED_VALUE"""),7.79031)</f>
        <v>7.79031</v>
      </c>
      <c r="D5377" s="7">
        <f>IFERROR(__xludf.DUMMYFUNCTION("""COMPUTED_VALUE"""),0.397435897435897)</f>
        <v>0.3974358974</v>
      </c>
    </row>
    <row r="5378">
      <c r="A5378" s="10" t="s">
        <v>6817</v>
      </c>
      <c r="B5378" s="7" t="str">
        <f>IFERROR(__xludf.DUMMYFUNCTION("SPLIT(A5378,"" "")"),"Cc1ccc(CN(C)C2CCCC(N(Cc3ccccn3)Cc3ncc(C)c(C)c3C)C2)nc1")</f>
        <v>Cc1ccc(CN(C)C2CCCC(N(Cc3ccccn3)Cc3ncc(C)c(C)c3C)C2)nc1</v>
      </c>
      <c r="C5378" s="7">
        <f>IFERROR(__xludf.DUMMYFUNCTION("""COMPUTED_VALUE"""),7.7903075)</f>
        <v>7.7903075</v>
      </c>
      <c r="D5378" s="7">
        <f>IFERROR(__xludf.DUMMYFUNCTION("""COMPUTED_VALUE"""),0.456140350877192)</f>
        <v>0.4561403509</v>
      </c>
    </row>
    <row r="5379">
      <c r="A5379" s="10" t="s">
        <v>6818</v>
      </c>
      <c r="B5379" s="7" t="str">
        <f>IFERROR(__xludf.DUMMYFUNCTION("SPLIT(A5379,"" "")"),"CN(Cc1cc(-c2ccc3c(c2)OCCOCCOCCOCCOCCO3)ccn1)C1CCC(N(C)c2ccc3ccc(CF)nc3c2)CC1")</f>
        <v>CN(Cc1cc(-c2ccc3c(c2)OCCOCCOCCOCCOCCO3)ccn1)C1CCC(N(C)c2ccc3ccc(CF)nc3c2)CC1</v>
      </c>
      <c r="C5379" s="7">
        <f>IFERROR(__xludf.DUMMYFUNCTION("""COMPUTED_VALUE"""),7.7903037)</f>
        <v>7.7903037</v>
      </c>
      <c r="D5379" s="7">
        <f>IFERROR(__xludf.DUMMYFUNCTION("""COMPUTED_VALUE"""),0.363636363636363)</f>
        <v>0.3636363636</v>
      </c>
    </row>
    <row r="5380">
      <c r="A5380" s="10" t="s">
        <v>6819</v>
      </c>
      <c r="B5380" s="7" t="str">
        <f>IFERROR(__xludf.DUMMYFUNCTION("SPLIT(A5380,"" "")"),"Cc1cncc(CN(C)C2CCCC(N(Cc3ccccn3)Cc3nc(C)c(C)cc3C)C2)c1")</f>
        <v>Cc1cncc(CN(C)C2CCCC(N(Cc3ccccn3)Cc3nc(C)c(C)cc3C)C2)c1</v>
      </c>
      <c r="C5380" s="7">
        <f>IFERROR(__xludf.DUMMYFUNCTION("""COMPUTED_VALUE"""),7.790302)</f>
        <v>7.790302</v>
      </c>
      <c r="D5380" s="7">
        <f>IFERROR(__xludf.DUMMYFUNCTION("""COMPUTED_VALUE"""),0.375)</f>
        <v>0.375</v>
      </c>
    </row>
    <row r="5381">
      <c r="A5381" s="10" t="s">
        <v>6820</v>
      </c>
      <c r="B5381" s="7" t="str">
        <f>IFERROR(__xludf.DUMMYFUNCTION("SPLIT(A5381,"" "")"),"CN(Cc1cc(-c2ccc3c(c2)OCCOCCOCCOCCOCCO3)ccn1)C1CCC(N(C)c2cccc3ccc(CF)nc23)CC1")</f>
        <v>CN(Cc1cc(-c2ccc3c(c2)OCCOCCOCCOCCOCCO3)ccn1)C1CCC(N(C)c2cccc3ccc(CF)nc23)CC1</v>
      </c>
      <c r="C5381" s="7">
        <f>IFERROR(__xludf.DUMMYFUNCTION("""COMPUTED_VALUE"""),7.790301)</f>
        <v>7.790301</v>
      </c>
      <c r="D5381" s="7">
        <f>IFERROR(__xludf.DUMMYFUNCTION("""COMPUTED_VALUE"""),0.442857142857142)</f>
        <v>0.4428571429</v>
      </c>
    </row>
    <row r="5382">
      <c r="A5382" s="10" t="s">
        <v>6821</v>
      </c>
      <c r="B5382" s="7" t="str">
        <f>IFERROR(__xludf.DUMMYFUNCTION("SPLIT(A5382,"" "")"),"CN(CCF)CCN(Cc1ncccc1F)C1CCCCC1N(C)c1ccc2nc(CF)ccc2c1")</f>
        <v>CN(CCF)CCN(Cc1ncccc1F)C1CCCCC1N(C)c1ccc2nc(CF)ccc2c1</v>
      </c>
      <c r="C5382" s="7">
        <f>IFERROR(__xludf.DUMMYFUNCTION("""COMPUTED_VALUE"""),7.7903)</f>
        <v>7.7903</v>
      </c>
      <c r="D5382" s="7">
        <f>IFERROR(__xludf.DUMMYFUNCTION("""COMPUTED_VALUE"""),0.405797101449275)</f>
        <v>0.4057971014</v>
      </c>
    </row>
    <row r="5383">
      <c r="A5383" s="10" t="s">
        <v>6822</v>
      </c>
      <c r="B5383" s="7" t="str">
        <f>IFERROR(__xludf.DUMMYFUNCTION("SPLIT(A5383,"" "")"),"Cc1cc(C)c(CN(Cc2ccccn2)C2CCC(N(C)Cc3cccnc3C)CC2)nc1C")</f>
        <v>Cc1cc(C)c(CN(Cc2ccccn2)C2CCC(N(C)Cc3cccnc3C)CC2)nc1C</v>
      </c>
      <c r="C5383" s="7">
        <f>IFERROR(__xludf.DUMMYFUNCTION("""COMPUTED_VALUE"""),7.7902966)</f>
        <v>7.7902966</v>
      </c>
      <c r="D5383" s="7">
        <f>IFERROR(__xludf.DUMMYFUNCTION("""COMPUTED_VALUE"""),0.396551724137931)</f>
        <v>0.3965517241</v>
      </c>
    </row>
    <row r="5384">
      <c r="A5384" s="10" t="s">
        <v>6823</v>
      </c>
      <c r="B5384" s="7" t="str">
        <f>IFERROR(__xludf.DUMMYFUNCTION("SPLIT(A5384,"" "")"),"c1ccc(N(Cc2ccccn2)Cc2cc(-c3ccc4c(c3)OCCOCCOCCOCCOCCO4)ccn2)cc1")</f>
        <v>c1ccc(N(Cc2ccccn2)Cc2cc(-c3ccc4c(c3)OCCOCCOCCOCCOCCO4)ccn2)cc1</v>
      </c>
      <c r="C5384" s="7">
        <f>IFERROR(__xludf.DUMMYFUNCTION("""COMPUTED_VALUE"""),7.790285)</f>
        <v>7.790285</v>
      </c>
      <c r="D5384" s="7">
        <f>IFERROR(__xludf.DUMMYFUNCTION("""COMPUTED_VALUE"""),0.40625)</f>
        <v>0.40625</v>
      </c>
    </row>
    <row r="5385">
      <c r="A5385" s="10" t="s">
        <v>6824</v>
      </c>
      <c r="B5385" s="7" t="str">
        <f>IFERROR(__xludf.DUMMYFUNCTION("SPLIT(A5385,"" "")"),"Cc1nc(C)c(CN(C)Cc2cccc(-c3cccc4c3OCCOCCOCCOCCOCCO4)n2)c(C)c1C")</f>
        <v>Cc1nc(C)c(CN(C)Cc2cccc(-c3cccc4c3OCCOCCOCCOCCOCCO4)n2)c(C)c1C</v>
      </c>
      <c r="C5385" s="7">
        <f>IFERROR(__xludf.DUMMYFUNCTION("""COMPUTED_VALUE"""),7.7902794)</f>
        <v>7.7902794</v>
      </c>
      <c r="D5385" s="7">
        <f>IFERROR(__xludf.DUMMYFUNCTION("""COMPUTED_VALUE"""),0.344262295081967)</f>
        <v>0.3442622951</v>
      </c>
    </row>
    <row r="5386">
      <c r="A5386" s="10" t="s">
        <v>6825</v>
      </c>
      <c r="B5386" s="7" t="str">
        <f>IFERROR(__xludf.DUMMYFUNCTION("SPLIT(A5386,"" "")"),"Cc1ccc(CN(Cc2cccc(C(C)(C)c3ccc(CN(Cc4cccc(C)n4)C4CCC(N(C)Cc5cccc(-c6ccc7c(c6)OCCOCCOCCOCCOCCO7)n5)CC4)nc3)n2)C(C)C)nc1")</f>
        <v>Cc1ccc(CN(Cc2cccc(C(C)(C)c3ccc(CN(Cc4cccc(C)n4)C4CCC(N(C)Cc5cccc(-c6ccc7c(c6)OCCOCCOCCOCCOCCO7)n5)CC4)nc3)n2)C(C)C)nc1</v>
      </c>
      <c r="C5386" s="7">
        <f>IFERROR(__xludf.DUMMYFUNCTION("""COMPUTED_VALUE"""),7.7902784)</f>
        <v>7.7902784</v>
      </c>
      <c r="D5386" s="7">
        <f>IFERROR(__xludf.DUMMYFUNCTION("""COMPUTED_VALUE"""),0.298969072164948)</f>
        <v>0.2989690722</v>
      </c>
    </row>
    <row r="5387">
      <c r="A5387" s="10" t="s">
        <v>6826</v>
      </c>
      <c r="B5387" s="7" t="str">
        <f>IFERROR(__xludf.DUMMYFUNCTION("SPLIT(A5387,"" "")"),"CN(Cc1ccc(-c2cccc3c2OCCOCCOCCOCCOCCO3)cn1)C1CCC(N(C)c2cccc3cc(CF)cnc23)CC1")</f>
        <v>CN(Cc1ccc(-c2cccc3c2OCCOCCOCCOCCOCCO3)cn1)C1CCC(N(C)c2cccc3cc(CF)cnc23)CC1</v>
      </c>
      <c r="C5387" s="7">
        <f>IFERROR(__xludf.DUMMYFUNCTION("""COMPUTED_VALUE"""),7.790277)</f>
        <v>7.790277</v>
      </c>
      <c r="D5387" s="7">
        <f>IFERROR(__xludf.DUMMYFUNCTION("""COMPUTED_VALUE"""),0.3125)</f>
        <v>0.3125</v>
      </c>
    </row>
    <row r="5388">
      <c r="A5388" s="10" t="s">
        <v>6827</v>
      </c>
      <c r="B5388" s="7" t="str">
        <f>IFERROR(__xludf.DUMMYFUNCTION("SPLIT(A5388,"" "")"),"Cc1cncc(CN(C)C2=CNC(CN(C)Cc3cccc(-c4ccc5c(c4)OCCOCCOCCOCCOCCO5)n3)=CC2)c1C")</f>
        <v>Cc1cncc(CN(C)C2=CNC(CN(C)Cc3cccc(-c4ccc5c(c4)OCCOCCOCCOCCOCCO5)n3)=CC2)c1C</v>
      </c>
      <c r="C5388" s="7">
        <f>IFERROR(__xludf.DUMMYFUNCTION("""COMPUTED_VALUE"""),7.790273)</f>
        <v>7.790273</v>
      </c>
      <c r="D5388" s="7">
        <f>IFERROR(__xludf.DUMMYFUNCTION("""COMPUTED_VALUE"""),0.272727272727272)</f>
        <v>0.2727272727</v>
      </c>
    </row>
    <row r="5389">
      <c r="A5389" s="10" t="s">
        <v>6828</v>
      </c>
      <c r="B5389" s="7" t="str">
        <f>IFERROR(__xludf.DUMMYFUNCTION("SPLIT(A5389,"" "")"),"CC1=C(C)CC(C)(C)C(N(C)Cc2ncccc2C)C1")</f>
        <v>CC1=C(C)CC(C)(C)C(N(C)Cc2ncccc2C)C1</v>
      </c>
      <c r="C5389" s="7">
        <f>IFERROR(__xludf.DUMMYFUNCTION("""COMPUTED_VALUE"""),7.790266)</f>
        <v>7.790266</v>
      </c>
      <c r="D5389" s="7">
        <f>IFERROR(__xludf.DUMMYFUNCTION("""COMPUTED_VALUE"""),0.30188679245283)</f>
        <v>0.3018867925</v>
      </c>
    </row>
    <row r="5390">
      <c r="A5390" s="10" t="s">
        <v>6829</v>
      </c>
      <c r="B5390" s="7" t="str">
        <f>IFERROR(__xludf.DUMMYFUNCTION("SPLIT(A5390,"" "")"),"Cc1cc(CN(C)C2CCCC(N(Cc3ccccn3)Cc3ncc(C)c(C)c3C)C2)ccn1")</f>
        <v>Cc1cc(CN(C)C2CCCC(N(Cc3ccccn3)Cc3ncc(C)c(C)c3C)C2)ccn1</v>
      </c>
      <c r="C5390" s="7">
        <f>IFERROR(__xludf.DUMMYFUNCTION("""COMPUTED_VALUE"""),7.790264)</f>
        <v>7.790264</v>
      </c>
      <c r="D5390" s="7">
        <f>IFERROR(__xludf.DUMMYFUNCTION("""COMPUTED_VALUE"""),0.393442622950819)</f>
        <v>0.393442623</v>
      </c>
    </row>
    <row r="5391">
      <c r="A5391" s="10" t="s">
        <v>6830</v>
      </c>
      <c r="B5391" s="7" t="str">
        <f>IFERROR(__xludf.DUMMYFUNCTION("SPLIT(A5391,"" "")"),"Cc1nc(CN(C)C2CCCC(N(Cc3ccccn3)Cc3ccccn3)C2)c(C)c(C)c1C")</f>
        <v>Cc1nc(CN(C)C2CCCC(N(Cc3ccccn3)Cc3ccccn3)C2)c(C)c(C)c1C</v>
      </c>
      <c r="C5391" s="7">
        <f>IFERROR(__xludf.DUMMYFUNCTION("""COMPUTED_VALUE"""),7.7902536)</f>
        <v>7.7902536</v>
      </c>
      <c r="D5391" s="7">
        <f>IFERROR(__xludf.DUMMYFUNCTION("""COMPUTED_VALUE"""),0.461538461538461)</f>
        <v>0.4615384615</v>
      </c>
    </row>
    <row r="5392">
      <c r="A5392" s="10" t="s">
        <v>6831</v>
      </c>
      <c r="B5392" s="7" t="str">
        <f>IFERROR(__xludf.DUMMYFUNCTION("SPLIT(A5392,"" "")"),"Cc1ccc(CN(C)C2CCC(N(Cc3ccccn3)Cc3nc(C)c(C)cc3C)CC2)nc1")</f>
        <v>Cc1ccc(CN(C)C2CCC(N(Cc3ccccn3)Cc3nc(C)c(C)cc3C)CC2)nc1</v>
      </c>
      <c r="C5392" s="7">
        <f>IFERROR(__xludf.DUMMYFUNCTION("""COMPUTED_VALUE"""),7.7902403)</f>
        <v>7.7902403</v>
      </c>
      <c r="D5392" s="7">
        <f>IFERROR(__xludf.DUMMYFUNCTION("""COMPUTED_VALUE"""),0.43103448275862)</f>
        <v>0.4310344828</v>
      </c>
    </row>
    <row r="5393">
      <c r="A5393" s="10" t="s">
        <v>6832</v>
      </c>
      <c r="B5393" s="7" t="str">
        <f>IFERROR(__xludf.DUMMYFUNCTION("SPLIT(A5393,"" "")"),"CN(Cc1ccc(-c2ccc3c(c2)OCCOCCOCCOCCOCCO3)cn1)C1CCCCC1N(C)c1ccc2c(CF)ccnc2c1")</f>
        <v>CN(Cc1ccc(-c2ccc3c(c2)OCCOCCOCCOCCOCCO3)cn1)C1CCCCC1N(C)c1ccc2c(CF)ccnc2c1</v>
      </c>
      <c r="C5393" s="7">
        <f>IFERROR(__xludf.DUMMYFUNCTION("""COMPUTED_VALUE"""),7.7902303)</f>
        <v>7.7902303</v>
      </c>
      <c r="D5393" s="7">
        <f>IFERROR(__xludf.DUMMYFUNCTION("""COMPUTED_VALUE"""),0.428571428571428)</f>
        <v>0.4285714286</v>
      </c>
    </row>
    <row r="5394">
      <c r="A5394" s="10" t="s">
        <v>6833</v>
      </c>
      <c r="B5394" s="7" t="str">
        <f>IFERROR(__xludf.DUMMYFUNCTION("SPLIT(A5394,"" "")"),"CN(Cc1ncccc1-c1ccc2c(c1)OCCOCCOCCOCCOCCO2)C1CCC(N(C)c2ccc3ncccc3c2)CC1")</f>
        <v>CN(Cc1ncccc1-c1ccc2c(c1)OCCOCCOCCOCCOCCO2)C1CCC(N(C)c2ccc3ncccc3c2)CC1</v>
      </c>
      <c r="C5394" s="7">
        <f>IFERROR(__xludf.DUMMYFUNCTION("""COMPUTED_VALUE"""),7.790227)</f>
        <v>7.790227</v>
      </c>
      <c r="D5394" s="7">
        <f>IFERROR(__xludf.DUMMYFUNCTION("""COMPUTED_VALUE"""),0.32051282051282)</f>
        <v>0.3205128205</v>
      </c>
    </row>
    <row r="5395">
      <c r="A5395" s="10" t="s">
        <v>6834</v>
      </c>
      <c r="B5395" s="7" t="str">
        <f>IFERROR(__xludf.DUMMYFUNCTION("SPLIT(A5395,"" "")"),"CC(C)C1N=COC1c1cc(CN(Cc2ccccn2)Cc2cccc(-c3ccc4c(c3)OCCOCCOCCOCCOCCO4)n2)ccn1")</f>
        <v>CC(C)C1N=COC1c1cc(CN(Cc2ccccn2)Cc2cccc(-c3ccc4c(c3)OCCOCCOCCOCCOCCO4)n2)ccn1</v>
      </c>
      <c r="C5395" s="7">
        <f>IFERROR(__xludf.DUMMYFUNCTION("""COMPUTED_VALUE"""),7.7902226)</f>
        <v>7.7902226</v>
      </c>
      <c r="D5395" s="7">
        <f>IFERROR(__xludf.DUMMYFUNCTION("""COMPUTED_VALUE"""),0.402597402597402)</f>
        <v>0.4025974026</v>
      </c>
    </row>
    <row r="5396">
      <c r="A5396" s="10" t="s">
        <v>6835</v>
      </c>
      <c r="B5396" s="7" t="str">
        <f>IFERROR(__xludf.DUMMYFUNCTION("SPLIT(A5396,"" "")"),"CNCc1ncccc1CN(Cc1ncccc1C)C1CCC(N(C)Cc2nc(C)c(C)c(C)c2C)CC1")</f>
        <v>CNCc1ncccc1CN(Cc1ncccc1C)C1CCC(N(C)Cc2nc(C)c(C)c(C)c2C)CC1</v>
      </c>
      <c r="C5396" s="7">
        <f>IFERROR(__xludf.DUMMYFUNCTION("""COMPUTED_VALUE"""),7.7902217)</f>
        <v>7.7902217</v>
      </c>
      <c r="D5396" s="7">
        <f>IFERROR(__xludf.DUMMYFUNCTION("""COMPUTED_VALUE"""),0.257575757575757)</f>
        <v>0.2575757576</v>
      </c>
    </row>
    <row r="5397">
      <c r="A5397" s="10" t="s">
        <v>6836</v>
      </c>
      <c r="B5397" s="7" t="str">
        <f>IFERROR(__xludf.DUMMYFUNCTION("SPLIT(A5397,"" "")"),"c1ccc2nc(CN(Cc3cc(-c4ccc5c(c4)OCCOCCOCCOCCOCCO5)ccn3)Cc3cc(-c4ccc5c(c4)OCCOCCOCCOCCOCCO5)ccn3)ccc2c1")</f>
        <v>c1ccc2nc(CN(Cc3cc(-c4ccc5c(c4)OCCOCCOCCOCCOCCO5)ccn3)Cc3cc(-c4ccc5c(c4)OCCOCCOCCOCCOCCO5)ccn3)ccc2c1</v>
      </c>
      <c r="C5397" s="7">
        <f>IFERROR(__xludf.DUMMYFUNCTION("""COMPUTED_VALUE"""),7.7902217)</f>
        <v>7.7902217</v>
      </c>
      <c r="D5397" s="7">
        <f>IFERROR(__xludf.DUMMYFUNCTION("""COMPUTED_VALUE"""),0.5)</f>
        <v>0.5</v>
      </c>
    </row>
    <row r="5398">
      <c r="A5398" s="10" t="s">
        <v>6837</v>
      </c>
      <c r="B5398" s="7" t="str">
        <f>IFERROR(__xludf.DUMMYFUNCTION("SPLIT(A5398,"" "")"),"CN1CCN(C)CCN(CCN(C)c2cccc3nccc(CF)c23)CC1")</f>
        <v>CN1CCN(C)CCN(CCN(C)c2cccc3nccc(CF)c23)CC1</v>
      </c>
      <c r="C5398" s="7">
        <f>IFERROR(__xludf.DUMMYFUNCTION("""COMPUTED_VALUE"""),7.790219)</f>
        <v>7.790219</v>
      </c>
      <c r="D5398" s="7">
        <f>IFERROR(__xludf.DUMMYFUNCTION("""COMPUTED_VALUE"""),0.333333333333333)</f>
        <v>0.3333333333</v>
      </c>
    </row>
    <row r="5399">
      <c r="A5399" s="10" t="s">
        <v>6838</v>
      </c>
      <c r="B5399" s="7" t="str">
        <f>IFERROR(__xludf.DUMMYFUNCTION("SPLIT(A5399,"" "")"),"CNC1CC(N(C)Cc2cc(C)ccn2)CCC1N(Cc1cc(C)ccn1)Cc1cc(C)c(C)c(C)n1")</f>
        <v>CNC1CC(N(C)Cc2cc(C)ccn2)CCC1N(Cc1cc(C)ccn1)Cc1cc(C)c(C)c(C)n1</v>
      </c>
      <c r="C5399" s="7">
        <f>IFERROR(__xludf.DUMMYFUNCTION("""COMPUTED_VALUE"""),7.790217)</f>
        <v>7.790217</v>
      </c>
      <c r="D5399" s="7">
        <f>IFERROR(__xludf.DUMMYFUNCTION("""COMPUTED_VALUE"""),0.292307692307692)</f>
        <v>0.2923076923</v>
      </c>
    </row>
    <row r="5400">
      <c r="A5400" s="10" t="s">
        <v>6839</v>
      </c>
      <c r="B5400" s="7" t="str">
        <f>IFERROR(__xludf.DUMMYFUNCTION("SPLIT(A5400,"" "")"),"Cc1cccnc1CN(C)CCN(Cc1cccnc1)C(C)C")</f>
        <v>Cc1cccnc1CN(C)CCN(Cc1cccnc1)C(C)C</v>
      </c>
      <c r="C5400" s="7">
        <f>IFERROR(__xludf.DUMMYFUNCTION("""COMPUTED_VALUE"""),7.79021)</f>
        <v>7.79021</v>
      </c>
      <c r="D5400" s="7">
        <f>IFERROR(__xludf.DUMMYFUNCTION("""COMPUTED_VALUE"""),0.408163265306122)</f>
        <v>0.4081632653</v>
      </c>
    </row>
    <row r="5401">
      <c r="A5401" s="10" t="s">
        <v>6840</v>
      </c>
      <c r="B5401" s="7" t="str">
        <f>IFERROR(__xludf.DUMMYFUNCTION("SPLIT(A5401,"" "")"),"CN(Cc1cccc(-c2ccc3c(c2)OCCOCCOCCOCCOCCO3)n1)C1CCCCC1N(C)c1ccc2nccc(CF)c2c1")</f>
        <v>CN(Cc1cccc(-c2ccc3c(c2)OCCOCCOCCOCCOCCO3)n1)C1CCCCC1N(C)c1ccc2nccc(CF)c2c1</v>
      </c>
      <c r="C5401" s="7">
        <f>IFERROR(__xludf.DUMMYFUNCTION("""COMPUTED_VALUE"""),7.7902083)</f>
        <v>7.7902083</v>
      </c>
      <c r="D5401" s="7">
        <f>IFERROR(__xludf.DUMMYFUNCTION("""COMPUTED_VALUE"""),0.351351351351351)</f>
        <v>0.3513513514</v>
      </c>
    </row>
    <row r="5402">
      <c r="A5402" s="10" t="s">
        <v>6841</v>
      </c>
      <c r="B5402" s="7" t="str">
        <f>IFERROR(__xludf.DUMMYFUNCTION("SPLIT(A5402,"" "")"),"Cc1ccc(CN(Cc2ccccn2)C2CCCC(N(C)Cc3ncc(C)c(C)c3C)C2)nc1")</f>
        <v>Cc1ccc(CN(Cc2ccccn2)C2CCCC(N(C)Cc3ncc(C)c(C)c3C)C2)nc1</v>
      </c>
      <c r="C5402" s="7">
        <f>IFERROR(__xludf.DUMMYFUNCTION("""COMPUTED_VALUE"""),7.790206)</f>
        <v>7.790206</v>
      </c>
      <c r="D5402" s="7">
        <f>IFERROR(__xludf.DUMMYFUNCTION("""COMPUTED_VALUE"""),0.43859649122807)</f>
        <v>0.4385964912</v>
      </c>
    </row>
    <row r="5403">
      <c r="A5403" s="10" t="s">
        <v>6842</v>
      </c>
      <c r="B5403" s="7" t="str">
        <f>IFERROR(__xludf.DUMMYFUNCTION("SPLIT(A5403,"" "")"),"CC1=C(C)C2(C=CNC(C(C)C)=C2)C(N(C)Cc2ccccn2)CC1")</f>
        <v>CC1=C(C)C2(C=CNC(C(C)C)=C2)C(N(C)Cc2ccccn2)CC1</v>
      </c>
      <c r="C5403" s="7">
        <f>IFERROR(__xludf.DUMMYFUNCTION("""COMPUTED_VALUE"""),7.7902017)</f>
        <v>7.7902017</v>
      </c>
      <c r="D5403" s="7">
        <f>IFERROR(__xludf.DUMMYFUNCTION("""COMPUTED_VALUE"""),0.406779661016949)</f>
        <v>0.406779661</v>
      </c>
    </row>
    <row r="5404">
      <c r="A5404" s="10" t="s">
        <v>6843</v>
      </c>
      <c r="B5404" s="7" t="str">
        <f>IFERROR(__xludf.DUMMYFUNCTION("SPLIT(A5404,"" "")"),"Cc1cc(C)c(CN(C)C2CCCC(N(C)Cc3ncc(C)c(C)c3C)C2)nc1C")</f>
        <v>Cc1cc(C)c(CN(C)C2CCCC(N(C)Cc3ncc(C)c(C)c3C)C2)nc1C</v>
      </c>
      <c r="C5404" s="7">
        <f>IFERROR(__xludf.DUMMYFUNCTION("""COMPUTED_VALUE"""),7.790201)</f>
        <v>7.790201</v>
      </c>
      <c r="D5404" s="7">
        <f>IFERROR(__xludf.DUMMYFUNCTION("""COMPUTED_VALUE"""),0.309090909090909)</f>
        <v>0.3090909091</v>
      </c>
    </row>
    <row r="5405">
      <c r="A5405" s="10" t="s">
        <v>6844</v>
      </c>
      <c r="B5405" s="7" t="str">
        <f>IFERROR(__xludf.DUMMYFUNCTION("SPLIT(A5405,"" "")"),"Cc1ncccc1CN(C)CCN(C)Cc1cccnc1")</f>
        <v>Cc1ncccc1CN(C)CCN(C)Cc1cccnc1</v>
      </c>
      <c r="C5405" s="7">
        <f>IFERROR(__xludf.DUMMYFUNCTION("""COMPUTED_VALUE"""),7.790199)</f>
        <v>7.790199</v>
      </c>
      <c r="D5405" s="7">
        <f>IFERROR(__xludf.DUMMYFUNCTION("""COMPUTED_VALUE"""),0.488372093023255)</f>
        <v>0.488372093</v>
      </c>
    </row>
    <row r="5406">
      <c r="A5406" s="10" t="s">
        <v>6845</v>
      </c>
      <c r="B5406" s="7" t="str">
        <f>IFERROR(__xludf.DUMMYFUNCTION("SPLIT(A5406,"" "")"),"CC(C)N(CCN(C)Cc1ccc2ncccc2c1)Cc1cccc(-c2ccc3c(c2)OCCOCCOCCOCCOCCO3)n1")</f>
        <v>CC(C)N(CCN(C)Cc1ccc2ncccc2c1)Cc1cccc(-c2ccc3c(c2)OCCOCCOCCOCCOCCO3)n1</v>
      </c>
      <c r="C5406" s="7">
        <f>IFERROR(__xludf.DUMMYFUNCTION("""COMPUTED_VALUE"""),7.790191)</f>
        <v>7.790191</v>
      </c>
      <c r="D5406" s="7">
        <f>IFERROR(__xludf.DUMMYFUNCTION("""COMPUTED_VALUE"""),0.338235294117647)</f>
        <v>0.3382352941</v>
      </c>
    </row>
    <row r="5407">
      <c r="A5407" s="10" t="s">
        <v>6846</v>
      </c>
      <c r="B5407" s="7" t="str">
        <f>IFERROR(__xludf.DUMMYFUNCTION("SPLIT(A5407,"" "")"),"CN1CCN(Cc2cccc(-c3ccc4c(c3)OCCOCCOCCOCCOCCO4)n2)CCN(Cc2cccnc2-c2ccc(N=Cc3ccccn3)cc2)CC1")</f>
        <v>CN1CCN(Cc2cccc(-c3ccc4c(c3)OCCOCCOCCOCCOCCO4)n2)CCN(Cc2cccnc2-c2ccc(N=Cc3ccccn3)cc2)CC1</v>
      </c>
      <c r="C5407" s="7">
        <f>IFERROR(__xludf.DUMMYFUNCTION("""COMPUTED_VALUE"""),7.7901897)</f>
        <v>7.7901897</v>
      </c>
      <c r="D5407" s="7">
        <f>IFERROR(__xludf.DUMMYFUNCTION("""COMPUTED_VALUE"""),0.351351351351351)</f>
        <v>0.3513513514</v>
      </c>
    </row>
    <row r="5408">
      <c r="A5408" s="10" t="s">
        <v>6847</v>
      </c>
      <c r="B5408" s="7" t="str">
        <f>IFERROR(__xludf.DUMMYFUNCTION("SPLIT(A5408,"" "")"),"Cc1cncc(CN(C)C2CCCC(N(Cc3ccccn3)Cc3cc(C)c(C)c(C)n3)C2)c1")</f>
        <v>Cc1cncc(CN(C)C2CCCC(N(Cc3ccccn3)Cc3cc(C)c(C)c(C)n3)C2)c1</v>
      </c>
      <c r="C5408" s="7">
        <f>IFERROR(__xludf.DUMMYFUNCTION("""COMPUTED_VALUE"""),7.790186)</f>
        <v>7.790186</v>
      </c>
      <c r="D5408" s="7">
        <f>IFERROR(__xludf.DUMMYFUNCTION("""COMPUTED_VALUE"""),0.38095238095238)</f>
        <v>0.380952381</v>
      </c>
    </row>
    <row r="5409">
      <c r="A5409" s="10" t="s">
        <v>6848</v>
      </c>
      <c r="B5409" s="7" t="str">
        <f>IFERROR(__xludf.DUMMYFUNCTION("SPLIT(A5409,"" "")"),"Cc1ccc(CN(Cc2ccccn2)C2CCC(N(C)Cc3cc(C)c(C)c(C)n3)CC2)nc1")</f>
        <v>Cc1ccc(CN(Cc2ccccn2)C2CCC(N(C)Cc3cc(C)c(C)c(C)n3)CC2)nc1</v>
      </c>
      <c r="C5409" s="7">
        <f>IFERROR(__xludf.DUMMYFUNCTION("""COMPUTED_VALUE"""),7.790177)</f>
        <v>7.790177</v>
      </c>
      <c r="D5409" s="7">
        <f>IFERROR(__xludf.DUMMYFUNCTION("""COMPUTED_VALUE"""),0.43859649122807)</f>
        <v>0.4385964912</v>
      </c>
    </row>
    <row r="5410">
      <c r="A5410" s="10" t="s">
        <v>6849</v>
      </c>
      <c r="B5410" s="7" t="str">
        <f>IFERROR(__xludf.DUMMYFUNCTION("SPLIT(A5410,"" "")"),"CN(Cc1ccc(N(C)C)cn1)Cc1cccc(-c2ccc3c(c2)OCCOCCOCCOCCOCCO3)n1")</f>
        <v>CN(Cc1ccc(N(C)C)cn1)Cc1cccc(-c2ccc3c(c2)OCCOCCOCCOCCOCCO3)n1</v>
      </c>
      <c r="C5410" s="7">
        <f>IFERROR(__xludf.DUMMYFUNCTION("""COMPUTED_VALUE"""),7.790162)</f>
        <v>7.790162</v>
      </c>
      <c r="D5410" s="7">
        <f>IFERROR(__xludf.DUMMYFUNCTION("""COMPUTED_VALUE"""),0.402985074626865)</f>
        <v>0.4029850746</v>
      </c>
    </row>
    <row r="5411">
      <c r="A5411" s="10" t="s">
        <v>6850</v>
      </c>
      <c r="B5411" s="7" t="str">
        <f>IFERROR(__xludf.DUMMYFUNCTION("SPLIT(A5411,"" "")"),"CCN(Cc1cc(-c2ccc3c(c2)OCCOCCOCCOCCOCCO3)ccn1)C1CCCCC1N(C)c1ccc2ccc(CN(C)C)nc2c1")</f>
        <v>CCN(Cc1cc(-c2ccc3c(c2)OCCOCCOCCOCCOCCO3)ccn1)C1CCCCC1N(C)c1ccc2ccc(CN(C)C)nc2c1</v>
      </c>
      <c r="C5411" s="7">
        <f>IFERROR(__xludf.DUMMYFUNCTION("""COMPUTED_VALUE"""),7.7901587)</f>
        <v>7.7901587</v>
      </c>
      <c r="D5411" s="7">
        <f>IFERROR(__xludf.DUMMYFUNCTION("""COMPUTED_VALUE"""),0.3625)</f>
        <v>0.3625</v>
      </c>
    </row>
    <row r="5412">
      <c r="A5412" s="10" t="s">
        <v>6851</v>
      </c>
      <c r="B5412" s="7" t="str">
        <f>IFERROR(__xludf.DUMMYFUNCTION("SPLIT(A5412,"" "")"),"Cc1cccc(CN(Cc2ccccn2)C2CCCC(N(Cc3ccccn3)Cc3cccc(F)n3)C2)n1")</f>
        <v>Cc1cccc(CN(Cc2ccccn2)C2CCCC(N(Cc3ccccn3)Cc3cccc(F)n3)C2)n1</v>
      </c>
      <c r="C5412" s="7">
        <f>IFERROR(__xludf.DUMMYFUNCTION("""COMPUTED_VALUE"""),7.79013)</f>
        <v>7.79013</v>
      </c>
      <c r="D5412" s="7">
        <f>IFERROR(__xludf.DUMMYFUNCTION("""COMPUTED_VALUE"""),0.442307692307692)</f>
        <v>0.4423076923</v>
      </c>
    </row>
    <row r="5413">
      <c r="A5413" s="10" t="s">
        <v>6852</v>
      </c>
      <c r="B5413" s="7" t="str">
        <f>IFERROR(__xludf.DUMMYFUNCTION("SPLIT(A5413,"" "")"),"CN(Cc1ncccc1-c1ccc2c(c1)OCCOCCOCCOCCOCCO2)C1CCC(N(C)c2ccc3nc(CF)ccc3c2)CC1")</f>
        <v>CN(Cc1ncccc1-c1ccc2c(c1)OCCOCCOCCOCCOCCO2)C1CCC(N(C)c2ccc3nc(CF)ccc3c2)CC1</v>
      </c>
      <c r="C5413" s="7">
        <f>IFERROR(__xludf.DUMMYFUNCTION("""COMPUTED_VALUE"""),7.7901235)</f>
        <v>7.7901235</v>
      </c>
      <c r="D5413" s="7">
        <f>IFERROR(__xludf.DUMMYFUNCTION("""COMPUTED_VALUE"""),0.325301204819277)</f>
        <v>0.3253012048</v>
      </c>
    </row>
    <row r="5414">
      <c r="A5414" s="10" t="s">
        <v>6853</v>
      </c>
      <c r="B5414" s="7" t="str">
        <f>IFERROR(__xludf.DUMMYFUNCTION("SPLIT(A5414,"" "")"),"CN(Cc1ncccc1-c1ccc2c(c1)OCCOCCOCCOCCOCCO2)C1CCC(N(C)c2ccc3ncc(CF)cc3c2)CC1")</f>
        <v>CN(Cc1ncccc1-c1ccc2c(c1)OCCOCCOCCOCCOCCO2)C1CCC(N(C)c2ccc3ncc(CF)cc3c2)CC1</v>
      </c>
      <c r="C5414" s="7">
        <f>IFERROR(__xludf.DUMMYFUNCTION("""COMPUTED_VALUE"""),7.7901187)</f>
        <v>7.7901187</v>
      </c>
      <c r="D5414" s="7">
        <f>IFERROR(__xludf.DUMMYFUNCTION("""COMPUTED_VALUE"""),0.302325581395348)</f>
        <v>0.3023255814</v>
      </c>
    </row>
    <row r="5415">
      <c r="A5415" s="10" t="s">
        <v>6854</v>
      </c>
      <c r="B5415" s="7" t="str">
        <f>IFERROR(__xludf.DUMMYFUNCTION("SPLIT(A5415,"" "")"),"Cc1ccc(N)cc1-c1ccncc1CN1CCN(C)CCN(C)CC1")</f>
        <v>Cc1ccc(N)cc1-c1ccncc1CN1CCN(C)CCN(C)CC1</v>
      </c>
      <c r="C5415" s="7">
        <f>IFERROR(__xludf.DUMMYFUNCTION("""COMPUTED_VALUE"""),7.790118)</f>
        <v>7.790118</v>
      </c>
      <c r="D5415" s="7">
        <f>IFERROR(__xludf.DUMMYFUNCTION("""COMPUTED_VALUE"""),0.392156862745098)</f>
        <v>0.3921568627</v>
      </c>
    </row>
    <row r="5416">
      <c r="A5416" s="10" t="s">
        <v>6855</v>
      </c>
      <c r="B5416" s="7" t="str">
        <f>IFERROR(__xludf.DUMMYFUNCTION("SPLIT(A5416,"" "")"),"Cc1ccc(CN(Cc2ccccn2)C2CCC(N(C)Cc3nc(C)c(C)cc3C)CC2)nc1")</f>
        <v>Cc1ccc(CN(Cc2ccccn2)C2CCC(N(C)Cc3nc(C)c(C)cc3C)CC2)nc1</v>
      </c>
      <c r="C5416" s="7">
        <f>IFERROR(__xludf.DUMMYFUNCTION("""COMPUTED_VALUE"""),7.790116)</f>
        <v>7.790116</v>
      </c>
      <c r="D5416" s="7">
        <f>IFERROR(__xludf.DUMMYFUNCTION("""COMPUTED_VALUE"""),0.413793103448275)</f>
        <v>0.4137931034</v>
      </c>
    </row>
    <row r="5417">
      <c r="A5417" s="10" t="s">
        <v>6856</v>
      </c>
      <c r="B5417" s="7" t="str">
        <f>IFERROR(__xludf.DUMMYFUNCTION("SPLIT(A5417,"" "")"),"Cc1cc(C)c(CN(Cc2cccnn2)C2CCC(N(C)Cc3cccnc3C)CC2)nc1C")</f>
        <v>Cc1cc(C)c(CN(Cc2cccnn2)C2CCC(N(C)Cc3cccnc3C)CC2)nc1C</v>
      </c>
      <c r="C5417" s="7">
        <f>IFERROR(__xludf.DUMMYFUNCTION("""COMPUTED_VALUE"""),7.790106)</f>
        <v>7.790106</v>
      </c>
      <c r="D5417" s="7">
        <f>IFERROR(__xludf.DUMMYFUNCTION("""COMPUTED_VALUE"""),0.344827586206896)</f>
        <v>0.3448275862</v>
      </c>
    </row>
    <row r="5418">
      <c r="A5418" s="10" t="s">
        <v>6857</v>
      </c>
      <c r="B5418" s="7" t="str">
        <f>IFERROR(__xludf.DUMMYFUNCTION("SPLIT(A5418,"" "")"),"CCCN(Cc1ccccn1)c1c(-c2ncccc2CN(Cc2ccccn2)Cc2ccccn2)ccc2c1OCCOCCOCCOCCOCCO2")</f>
        <v>CCCN(Cc1ccccn1)c1c(-c2ncccc2CN(Cc2ccccn2)Cc2ccccn2)ccc2c1OCCOCCOCCOCCOCCO2</v>
      </c>
      <c r="C5418" s="7">
        <f>IFERROR(__xludf.DUMMYFUNCTION("""COMPUTED_VALUE"""),7.7901034)</f>
        <v>7.7901034</v>
      </c>
      <c r="D5418" s="7">
        <f>IFERROR(__xludf.DUMMYFUNCTION("""COMPUTED_VALUE"""),0.350877192982456)</f>
        <v>0.350877193</v>
      </c>
    </row>
    <row r="5419">
      <c r="A5419" s="10" t="s">
        <v>6858</v>
      </c>
      <c r="B5419" s="7" t="str">
        <f>IFERROR(__xludf.DUMMYFUNCTION("SPLIT(A5419,"" "")"),"CN(Cc1cc(-c2ccc3c(c2)OCCOCCOCCOCCOCCO3)ccn1)C1CCCCC1N(C)c1ccc2c(CF)ccnc2c1")</f>
        <v>CN(Cc1cc(-c2ccc3c(c2)OCCOCCOCCOCCOCCO3)ccn1)C1CCCCC1N(C)c1ccc2c(CF)ccnc2c1</v>
      </c>
      <c r="C5419" s="7">
        <f>IFERROR(__xludf.DUMMYFUNCTION("""COMPUTED_VALUE"""),7.7901)</f>
        <v>7.7901</v>
      </c>
      <c r="D5419" s="7">
        <f>IFERROR(__xludf.DUMMYFUNCTION("""COMPUTED_VALUE"""),0.35)</f>
        <v>0.35</v>
      </c>
    </row>
    <row r="5420">
      <c r="A5420" s="10" t="s">
        <v>6859</v>
      </c>
      <c r="B5420" s="7" t="str">
        <f>IFERROR(__xludf.DUMMYFUNCTION("SPLIT(A5420,"" "")"),"Cc1cc(CN(C)CCN(Cc2ncccc2C)C2CCC(N(C)Cc3nc(C)c(C)c(C)c3C)CC2)c(C)nc1C")</f>
        <v>Cc1cc(CN(C)CCN(Cc2ncccc2C)C2CCC(N(C)Cc3nc(C)c(C)c(C)c3C)CC2)c(C)nc1C</v>
      </c>
      <c r="C5420" s="7">
        <f>IFERROR(__xludf.DUMMYFUNCTION("""COMPUTED_VALUE"""),7.7901)</f>
        <v>7.7901</v>
      </c>
      <c r="D5420" s="7">
        <f>IFERROR(__xludf.DUMMYFUNCTION("""COMPUTED_VALUE"""),0.323076923076923)</f>
        <v>0.3230769231</v>
      </c>
    </row>
    <row r="5421">
      <c r="A5421" s="10" t="s">
        <v>6860</v>
      </c>
      <c r="B5421" s="7" t="str">
        <f>IFERROR(__xludf.DUMMYFUNCTION("SPLIT(A5421,"" "")"),"CNCc1cccc(CN(Cc2cccc(C)n2)C2CCC(N(C)Cc3nc(C)c(C)c(C)c3C)CC2)n1")</f>
        <v>CNCc1cccc(CN(Cc2cccc(C)n2)C2CCC(N(C)Cc3nc(C)c(C)c(C)c3C)CC2)n1</v>
      </c>
      <c r="C5421" s="7">
        <f>IFERROR(__xludf.DUMMYFUNCTION("""COMPUTED_VALUE"""),7.790099)</f>
        <v>7.790099</v>
      </c>
      <c r="D5421" s="7">
        <f>IFERROR(__xludf.DUMMYFUNCTION("""COMPUTED_VALUE"""),0.421052631578947)</f>
        <v>0.4210526316</v>
      </c>
    </row>
    <row r="5422">
      <c r="A5422" s="10" t="s">
        <v>6861</v>
      </c>
      <c r="B5422" s="7" t="str">
        <f>IFERROR(__xludf.DUMMYFUNCTION("SPLIT(A5422,"" "")"),"CN(Cc1cc(N(C)C)ccn1)Cc1cccc(-c2ccc3c(c2)OCCOCCOCCOCCOCCO3)n1")</f>
        <v>CN(Cc1cc(N(C)C)ccn1)Cc1cccc(-c2ccc3c(c2)OCCOCCOCCOCCOCCO3)n1</v>
      </c>
      <c r="C5422" s="7">
        <f>IFERROR(__xludf.DUMMYFUNCTION("""COMPUTED_VALUE"""),7.7900987)</f>
        <v>7.7900987</v>
      </c>
      <c r="D5422" s="7">
        <f>IFERROR(__xludf.DUMMYFUNCTION("""COMPUTED_VALUE"""),0.413793103448275)</f>
        <v>0.4137931034</v>
      </c>
    </row>
    <row r="5423">
      <c r="A5423" s="10" t="s">
        <v>6862</v>
      </c>
      <c r="B5423" s="7" t="str">
        <f>IFERROR(__xludf.DUMMYFUNCTION("SPLIT(A5423,"" "")"),"Cc1cccc(CN(Cc2ccc(CN(C)C)nc2)Cc2cccc(-c3ccc4c(c3)OCCOCCOCCOCCOCCO4)n2)n1")</f>
        <v>Cc1cccc(CN(Cc2ccc(CN(C)C)nc2)Cc2cccc(-c3ccc4c(c3)OCCOCCOCCOCCOCCO4)n2)n1</v>
      </c>
      <c r="C5423" s="7">
        <f>IFERROR(__xludf.DUMMYFUNCTION("""COMPUTED_VALUE"""),7.7900953)</f>
        <v>7.7900953</v>
      </c>
      <c r="D5423" s="7">
        <f>IFERROR(__xludf.DUMMYFUNCTION("""COMPUTED_VALUE"""),0.361111111111111)</f>
        <v>0.3611111111</v>
      </c>
    </row>
    <row r="5424">
      <c r="A5424" s="10" t="s">
        <v>6863</v>
      </c>
      <c r="B5424" s="7" t="str">
        <f>IFERROR(__xludf.DUMMYFUNCTION("SPLIT(A5424,"" "")"),"CNCc1cc(C)ccn1")</f>
        <v>CNCc1cc(C)ccn1</v>
      </c>
      <c r="C5424" s="7">
        <f>IFERROR(__xludf.DUMMYFUNCTION("""COMPUTED_VALUE"""),7.790092)</f>
        <v>7.790092</v>
      </c>
      <c r="D5424" s="7">
        <f>IFERROR(__xludf.DUMMYFUNCTION("""COMPUTED_VALUE"""),0.459459459459459)</f>
        <v>0.4594594595</v>
      </c>
    </row>
    <row r="5425">
      <c r="A5425" s="10" t="s">
        <v>6864</v>
      </c>
      <c r="B5425" s="7" t="str">
        <f>IFERROR(__xludf.DUMMYFUNCTION("SPLIT(A5425,"" "")"),"Cc1ccnc2cc(N(C)CCCN3CCN(C)CCN(C)CC3)ccc12")</f>
        <v>Cc1ccnc2cc(N(C)CCCN3CCN(C)CCN(C)CC3)ccc12</v>
      </c>
      <c r="C5425" s="7">
        <f>IFERROR(__xludf.DUMMYFUNCTION("""COMPUTED_VALUE"""),7.79008)</f>
        <v>7.79008</v>
      </c>
      <c r="D5425" s="7">
        <f>IFERROR(__xludf.DUMMYFUNCTION("""COMPUTED_VALUE"""),0.377358490566037)</f>
        <v>0.3773584906</v>
      </c>
    </row>
    <row r="5426">
      <c r="A5426" s="10" t="s">
        <v>6865</v>
      </c>
      <c r="B5426" s="7" t="str">
        <f>IFERROR(__xludf.DUMMYFUNCTION("SPLIT(A5426,"" "")"),"Cc1cnc(CN(C)C2CCC(N(Cc3ccccn3)Cc3cccc(C(C)(C)C)n3)CC2)c(C)c1")</f>
        <v>Cc1cnc(CN(C)C2CCC(N(Cc3ccccn3)Cc3cccc(C(C)(C)C)n3)CC2)c(C)c1</v>
      </c>
      <c r="C5426" s="7">
        <f>IFERROR(__xludf.DUMMYFUNCTION("""COMPUTED_VALUE"""),7.7900763)</f>
        <v>7.7900763</v>
      </c>
      <c r="D5426" s="7">
        <f>IFERROR(__xludf.DUMMYFUNCTION("""COMPUTED_VALUE"""),0.370967741935483)</f>
        <v>0.3709677419</v>
      </c>
    </row>
    <row r="5427">
      <c r="A5427" s="10" t="s">
        <v>6866</v>
      </c>
      <c r="B5427" s="7" t="str">
        <f>IFERROR(__xludf.DUMMYFUNCTION("SPLIT(A5427,"" "")"),"CC1=CC(N=Cc2ccccn2)CCC1c1ccc(CN(C)C(C)C)cn1")</f>
        <v>CC1=CC(N=Cc2ccccn2)CCC1c1ccc(CN(C)C(C)C)cn1</v>
      </c>
      <c r="C5427" s="7">
        <f>IFERROR(__xludf.DUMMYFUNCTION("""COMPUTED_VALUE"""),7.7900743)</f>
        <v>7.7900743</v>
      </c>
      <c r="D5427" s="7">
        <f>IFERROR(__xludf.DUMMYFUNCTION("""COMPUTED_VALUE"""),0.283582089552238)</f>
        <v>0.2835820896</v>
      </c>
    </row>
    <row r="5428">
      <c r="A5428" s="10" t="s">
        <v>6867</v>
      </c>
      <c r="B5428" s="7" t="str">
        <f>IFERROR(__xludf.DUMMYFUNCTION("SPLIT(A5428,"" "")"),"CC(C)C1(C)N=COC1c1ncccc1CN(Cc1ccccn1)Cc1cc(-c2ccc3c(c2)OCCOCCOCCOCCOCCO3)ccn1")</f>
        <v>CC(C)C1(C)N=COC1c1ncccc1CN(Cc1ccccn1)Cc1cc(-c2ccc3c(c2)OCCOCCOCCOCCOCCO3)ccn1</v>
      </c>
      <c r="C5428" s="7">
        <f>IFERROR(__xludf.DUMMYFUNCTION("""COMPUTED_VALUE"""),7.790073)</f>
        <v>7.790073</v>
      </c>
      <c r="D5428" s="7">
        <f>IFERROR(__xludf.DUMMYFUNCTION("""COMPUTED_VALUE"""),0.302325581395348)</f>
        <v>0.3023255814</v>
      </c>
    </row>
    <row r="5429">
      <c r="A5429" s="10" t="s">
        <v>6868</v>
      </c>
      <c r="B5429" s="7" t="str">
        <f>IFERROR(__xludf.DUMMYFUNCTION("SPLIT(A5429,"" "")"),"Cc1ccc(CN(C)C2CC(N(C)Cc3ccccn3)CC(N(Cc3ccccn3)Cc3ccccn3)C2)cn1")</f>
        <v>Cc1ccc(CN(C)C2CC(N(C)Cc3ccccn3)CC(N(Cc3ccccn3)Cc3ccccn3)C2)cn1</v>
      </c>
      <c r="C5429" s="7">
        <f>IFERROR(__xludf.DUMMYFUNCTION("""COMPUTED_VALUE"""),7.7900696)</f>
        <v>7.7900696</v>
      </c>
      <c r="D5429" s="7">
        <f>IFERROR(__xludf.DUMMYFUNCTION("""COMPUTED_VALUE"""),0.46)</f>
        <v>0.46</v>
      </c>
    </row>
    <row r="5430">
      <c r="A5430" s="10" t="s">
        <v>6869</v>
      </c>
      <c r="B5430" s="7" t="str">
        <f>IFERROR(__xludf.DUMMYFUNCTION("SPLIT(A5430,"" "")"),"CN(Cc1cc(-c2ccc3c(c2)OCCOCCOCCOCCOCCO3)ccn1)C1CCCCC1N(C)c1ccc2nccc(CF)c2c1")</f>
        <v>CN(Cc1cc(-c2ccc3c(c2)OCCOCCOCCOCCOCCO3)ccn1)C1CCCCC1N(C)c1ccc2nccc(CF)c2c1</v>
      </c>
      <c r="C5430" s="7">
        <f>IFERROR(__xludf.DUMMYFUNCTION("""COMPUTED_VALUE"""),7.790057)</f>
        <v>7.790057</v>
      </c>
      <c r="D5430" s="7">
        <f>IFERROR(__xludf.DUMMYFUNCTION("""COMPUTED_VALUE"""),0.345679012345679)</f>
        <v>0.3456790123</v>
      </c>
    </row>
    <row r="5431">
      <c r="A5431" s="10" t="s">
        <v>6870</v>
      </c>
      <c r="B5431" s="7" t="str">
        <f>IFERROR(__xludf.DUMMYFUNCTION("SPLIT(A5431,"" "")"),"Cc1ccc(CN(C)C2CCC(N(Cc3ccccn3)Cc3cc(C)c(C)c(C)n3)CC2)nc1")</f>
        <v>Cc1ccc(CN(C)C2CCC(N(Cc3ccccn3)Cc3cc(C)c(C)c(C)n3)CC2)nc1</v>
      </c>
      <c r="C5431" s="7">
        <f>IFERROR(__xludf.DUMMYFUNCTION("""COMPUTED_VALUE"""),7.7900543)</f>
        <v>7.7900543</v>
      </c>
      <c r="D5431" s="7">
        <f>IFERROR(__xludf.DUMMYFUNCTION("""COMPUTED_VALUE"""),0.43859649122807)</f>
        <v>0.4385964912</v>
      </c>
    </row>
    <row r="5432">
      <c r="A5432" s="10" t="s">
        <v>6871</v>
      </c>
      <c r="B5432" s="7" t="str">
        <f>IFERROR(__xludf.DUMMYFUNCTION("SPLIT(A5432,"" "")"),"CN(CCF)CCN(Cc1ccccn1)C(C)(N)N(Cc1ccccn1)C(C)(C)c1ccccn1")</f>
        <v>CN(CCF)CCN(Cc1ccccn1)C(C)(N)N(Cc1ccccn1)C(C)(C)c1ccccn1</v>
      </c>
      <c r="C5432" s="7">
        <f>IFERROR(__xludf.DUMMYFUNCTION("""COMPUTED_VALUE"""),7.79005)</f>
        <v>7.79005</v>
      </c>
      <c r="D5432" s="7">
        <f>IFERROR(__xludf.DUMMYFUNCTION("""COMPUTED_VALUE"""),0.381818181818181)</f>
        <v>0.3818181818</v>
      </c>
    </row>
    <row r="5433">
      <c r="A5433" s="10" t="s">
        <v>6872</v>
      </c>
      <c r="B5433" s="7" t="str">
        <f>IFERROR(__xludf.DUMMYFUNCTION("SPLIT(A5433,"" "")"),"C=Cc1ccc(CN(Cc2ccccn2)C2CCC(N(C)Cc3ncccc3C)CC2)nc1")</f>
        <v>C=Cc1ccc(CN(Cc2ccccn2)C2CCC(N(C)Cc3ncccc3C)CC2)nc1</v>
      </c>
      <c r="C5433" s="7">
        <f>IFERROR(__xludf.DUMMYFUNCTION("""COMPUTED_VALUE"""),7.790042)</f>
        <v>7.790042</v>
      </c>
      <c r="D5433" s="7">
        <f>IFERROR(__xludf.DUMMYFUNCTION("""COMPUTED_VALUE"""),0.4)</f>
        <v>0.4</v>
      </c>
    </row>
    <row r="5434">
      <c r="A5434" s="10" t="s">
        <v>6873</v>
      </c>
      <c r="B5434" s="7" t="str">
        <f>IFERROR(__xludf.DUMMYFUNCTION("SPLIT(A5434,"" "")"),"CN1CCN(Cc2ccc(-c3ccc4c(c3)OCCOCCOCCOCCOCCO4)cn2)CCN(Cc2cc(-c3ccccc3N=Cc3ccccn3)ccn2)CC1")</f>
        <v>CN1CCN(Cc2ccc(-c3ccc4c(c3)OCCOCCOCCOCCOCCO4)cn2)CCN(Cc2cc(-c3ccccc3N=Cc3ccccn3)ccn2)CC1</v>
      </c>
      <c r="C5434" s="7">
        <f>IFERROR(__xludf.DUMMYFUNCTION("""COMPUTED_VALUE"""),7.790042)</f>
        <v>7.790042</v>
      </c>
      <c r="D5434" s="7">
        <f>IFERROR(__xludf.DUMMYFUNCTION("""COMPUTED_VALUE"""),0.425)</f>
        <v>0.425</v>
      </c>
    </row>
    <row r="5435">
      <c r="A5435" s="10" t="s">
        <v>6874</v>
      </c>
      <c r="B5435" s="7" t="str">
        <f>IFERROR(__xludf.DUMMYFUNCTION("SPLIT(A5435,"" "")"),"Cc1ccnc(CN(Cc2cc(C(C)(C)C)ccn2)C2CCC(N(C)Cc3ncccc3C)CC2)c1")</f>
        <v>Cc1ccnc(CN(Cc2cc(C(C)(C)C)ccn2)C2CCC(N(C)Cc3ncccc3C)CC2)c1</v>
      </c>
      <c r="C5435" s="7">
        <f>IFERROR(__xludf.DUMMYFUNCTION("""COMPUTED_VALUE"""),7.790032)</f>
        <v>7.790032</v>
      </c>
      <c r="D5435" s="7">
        <f>IFERROR(__xludf.DUMMYFUNCTION("""COMPUTED_VALUE"""),0.306451612903225)</f>
        <v>0.3064516129</v>
      </c>
    </row>
    <row r="5436">
      <c r="A5436" s="10" t="s">
        <v>6875</v>
      </c>
      <c r="B5436" s="7" t="str">
        <f>IFERROR(__xludf.DUMMYFUNCTION("SPLIT(A5436,"" "")"),"CNCc1cc(CN(Cc2cc(C)ccn2)C2CCC(N(C)Cc3nc(C)c(C)c(C)c3C)CC2)ccn1")</f>
        <v>CNCc1cc(CN(Cc2cc(C)ccn2)C2CCC(N(C)Cc3nc(C)c(C)c(C)c3C)CC2)ccn1</v>
      </c>
      <c r="C5436" s="7">
        <f>IFERROR(__xludf.DUMMYFUNCTION("""COMPUTED_VALUE"""),7.7900314)</f>
        <v>7.7900314</v>
      </c>
      <c r="D5436" s="7">
        <f>IFERROR(__xludf.DUMMYFUNCTION("""COMPUTED_VALUE"""),0.287878787878787)</f>
        <v>0.2878787879</v>
      </c>
    </row>
    <row r="5437">
      <c r="A5437" s="10" t="s">
        <v>6876</v>
      </c>
      <c r="B5437" s="7" t="str">
        <f>IFERROR(__xludf.DUMMYFUNCTION("SPLIT(A5437,"" "")"),"CN1CCN(Cc2cc(-c3ccc4c(c3)OCCOCCOCCOCCOCCO4)ccn2)CCN(Cc2cccnc2-c2cccc(N=Cc3ccccn3)c2)CC1")</f>
        <v>CN1CCN(Cc2cc(-c3ccc4c(c3)OCCOCCOCCOCCOCCO4)ccn2)CCN(Cc2cccnc2-c2cccc(N=Cc3ccccn3)c2)CC1</v>
      </c>
      <c r="C5437" s="7">
        <f>IFERROR(__xludf.DUMMYFUNCTION("""COMPUTED_VALUE"""),7.790029)</f>
        <v>7.790029</v>
      </c>
      <c r="D5437" s="7">
        <f>IFERROR(__xludf.DUMMYFUNCTION("""COMPUTED_VALUE"""),0.351351351351351)</f>
        <v>0.3513513514</v>
      </c>
    </row>
    <row r="5438">
      <c r="A5438" s="10" t="s">
        <v>6877</v>
      </c>
      <c r="B5438" s="7" t="str">
        <f>IFERROR(__xludf.DUMMYFUNCTION("SPLIT(A5438,"" "")"),"CN1CCN(Cc2ccc(-c3ccc4c(c3)OCCOCCOCCOCCOCCO4)cn2)CCN(Cc2cnccc2-c2cccc(N=Cc3ccccn3)c2)CC1")</f>
        <v>CN1CCN(Cc2ccc(-c3ccc4c(c3)OCCOCCOCCOCCOCCO4)cn2)CCN(Cc2cnccc2-c2cccc(N=Cc3ccccn3)c2)CC1</v>
      </c>
      <c r="C5438" s="7">
        <f>IFERROR(__xludf.DUMMYFUNCTION("""COMPUTED_VALUE"""),7.7900143)</f>
        <v>7.7900143</v>
      </c>
      <c r="D5438" s="7">
        <f>IFERROR(__xludf.DUMMYFUNCTION("""COMPUTED_VALUE"""),0.4)</f>
        <v>0.4</v>
      </c>
    </row>
    <row r="5439">
      <c r="A5439" s="10" t="s">
        <v>6878</v>
      </c>
      <c r="B5439" s="7" t="str">
        <f>IFERROR(__xludf.DUMMYFUNCTION("SPLIT(A5439,"" "")"),"Cc1cc(C)c(C)c(CN(C)C2CCC(N(Cc3ccccn3)Cc3cccnc3C3CC(C)(C)C3)CC2)n1")</f>
        <v>Cc1cc(C)c(C)c(CN(C)C2CCC(N(Cc3ccccn3)Cc3cccnc3C3CC(C)(C)C3)CC2)n1</v>
      </c>
      <c r="C5439" s="7">
        <f>IFERROR(__xludf.DUMMYFUNCTION("""COMPUTED_VALUE"""),7.7900095)</f>
        <v>7.7900095</v>
      </c>
      <c r="D5439" s="7">
        <f>IFERROR(__xludf.DUMMYFUNCTION("""COMPUTED_VALUE"""),0.338235294117647)</f>
        <v>0.3382352941</v>
      </c>
    </row>
    <row r="5440">
      <c r="A5440" s="10" t="s">
        <v>6879</v>
      </c>
      <c r="B5440" s="7" t="str">
        <f>IFERROR(__xludf.DUMMYFUNCTION("SPLIT(A5440,"" "")"),"Cc1cccnc1CN(C)C1CCCC(N(Cc2ccccn2)Cc2ncc(C)c(C)c2C)C1")</f>
        <v>Cc1cccnc1CN(C)C1CCCC(N(Cc2ccccn2)Cc2ncc(C)c(C)c2C)C1</v>
      </c>
      <c r="C5440" s="7">
        <f>IFERROR(__xludf.DUMMYFUNCTION("""COMPUTED_VALUE"""),7.7900033)</f>
        <v>7.7900033</v>
      </c>
      <c r="D5440" s="7">
        <f>IFERROR(__xludf.DUMMYFUNCTION("""COMPUTED_VALUE"""),0.421052631578947)</f>
        <v>0.4210526316</v>
      </c>
    </row>
    <row r="5441">
      <c r="A5441" s="10" t="s">
        <v>6880</v>
      </c>
      <c r="B5441" s="7" t="str">
        <f>IFERROR(__xludf.DUMMYFUNCTION("SPLIT(A5441,"" "")"),"C=Nc1cccc(-c2cccnc2CN2CCN(C)CCN(C)CC2)c1")</f>
        <v>C=Nc1cccc(-c2cccnc2CN2CCN(C)CCN(C)CC2)c1</v>
      </c>
      <c r="C5441" s="7">
        <f>IFERROR(__xludf.DUMMYFUNCTION("""COMPUTED_VALUE"""),7.7900033)</f>
        <v>7.7900033</v>
      </c>
      <c r="D5441" s="7">
        <f>IFERROR(__xludf.DUMMYFUNCTION("""COMPUTED_VALUE"""),0.42)</f>
        <v>0.42</v>
      </c>
    </row>
    <row r="5442">
      <c r="A5442" s="10" t="s">
        <v>6881</v>
      </c>
      <c r="B5442" s="7" t="str">
        <f>IFERROR(__xludf.DUMMYFUNCTION("SPLIT(A5442,"" "")"),"Cc1cnc(CN(C(C)C)C2CC(N(C)Cc3ccnc(C)c3)CC(N(C)Cc3ccccn3)C2)c(C)c1")</f>
        <v>Cc1cnc(CN(C(C)C)C2CC(N(C)Cc3ccnc(C)c3)CC(N(C)Cc3ccccn3)C2)c(C)c1</v>
      </c>
      <c r="C5442" s="7">
        <f>IFERROR(__xludf.DUMMYFUNCTION("""COMPUTED_VALUE"""),7.789986)</f>
        <v>7.789986</v>
      </c>
      <c r="D5442" s="7">
        <f>IFERROR(__xludf.DUMMYFUNCTION("""COMPUTED_VALUE"""),0.365079365079365)</f>
        <v>0.3650793651</v>
      </c>
    </row>
    <row r="5443">
      <c r="A5443" s="10" t="s">
        <v>6882</v>
      </c>
      <c r="B5443" s="7" t="str">
        <f>IFERROR(__xludf.DUMMYFUNCTION("SPLIT(A5443,"" "")"),"CC(C)c1cccnn1")</f>
        <v>CC(C)c1cccnn1</v>
      </c>
      <c r="C5443" s="7">
        <f>IFERROR(__xludf.DUMMYFUNCTION("""COMPUTED_VALUE"""),7.7899737)</f>
        <v>7.7899737</v>
      </c>
      <c r="D5443" s="7">
        <f>IFERROR(__xludf.DUMMYFUNCTION("""COMPUTED_VALUE"""),0.363636363636363)</f>
        <v>0.3636363636</v>
      </c>
    </row>
    <row r="5444">
      <c r="A5444" s="10" t="s">
        <v>6883</v>
      </c>
      <c r="B5444" s="7" t="str">
        <f>IFERROR(__xludf.DUMMYFUNCTION("SPLIT(A5444,"" "")"),"CN(Cc1cccc(Cl)n1)C1CCCCC1N(C)Cc1cccc(C2=CCC=CN2)n1")</f>
        <v>CN(Cc1cccc(Cl)n1)C1CCCCC1N(C)Cc1cccc(C2=CCC=CN2)n1</v>
      </c>
      <c r="C5444" s="7">
        <f>IFERROR(__xludf.DUMMYFUNCTION("""COMPUTED_VALUE"""),7.789968)</f>
        <v>7.789968</v>
      </c>
      <c r="D5444" s="7">
        <f>IFERROR(__xludf.DUMMYFUNCTION("""COMPUTED_VALUE"""),0.481481481481481)</f>
        <v>0.4814814815</v>
      </c>
    </row>
    <row r="5445">
      <c r="A5445" s="10" t="s">
        <v>6884</v>
      </c>
      <c r="B5445" s="7" t="str">
        <f>IFERROR(__xludf.DUMMYFUNCTION("SPLIT(A5445,"" "")"),"CC1C=CC2(C)C=CC=NC2(N(C)Cc2ccccn2)C1")</f>
        <v>CC1C=CC2(C)C=CC=NC2(N(C)Cc2ccccn2)C1</v>
      </c>
      <c r="C5445" s="7">
        <f>IFERROR(__xludf.DUMMYFUNCTION("""COMPUTED_VALUE"""),7.7899666)</f>
        <v>7.7899666</v>
      </c>
      <c r="D5445" s="7">
        <f>IFERROR(__xludf.DUMMYFUNCTION("""COMPUTED_VALUE"""),0.381818181818181)</f>
        <v>0.3818181818</v>
      </c>
    </row>
    <row r="5446">
      <c r="A5446" s="10" t="s">
        <v>6885</v>
      </c>
      <c r="B5446" s="7" t="str">
        <f>IFERROR(__xludf.DUMMYFUNCTION("SPLIT(A5446,"" "")"),"CN(CCF)CCN(Cc1ncccc1F)C1CCCCC1N(C)c1ccc2ccc(CF)nc2c1")</f>
        <v>CN(CCF)CCN(Cc1ncccc1F)C1CCCCC1N(C)c1ccc2ccc(CF)nc2c1</v>
      </c>
      <c r="C5446" s="7">
        <f>IFERROR(__xludf.DUMMYFUNCTION("""COMPUTED_VALUE"""),7.789964)</f>
        <v>7.789964</v>
      </c>
      <c r="D5446" s="7">
        <f>IFERROR(__xludf.DUMMYFUNCTION("""COMPUTED_VALUE"""),0.405797101449275)</f>
        <v>0.4057971014</v>
      </c>
    </row>
    <row r="5447">
      <c r="A5447" s="10" t="s">
        <v>6886</v>
      </c>
      <c r="B5447" s="7" t="str">
        <f>IFERROR(__xludf.DUMMYFUNCTION("SPLIT(A5447,"" "")"),"Cc1cnc(CN(C)C2CCC(N(Cc3ccccn3)Cc3ncccc3C(C)(C)C)CC2)c(C)c1")</f>
        <v>Cc1cnc(CN(C)C2CCC(N(Cc3ccccn3)Cc3ncccc3C(C)(C)C)CC2)c(C)c1</v>
      </c>
      <c r="C5447" s="7">
        <f>IFERROR(__xludf.DUMMYFUNCTION("""COMPUTED_VALUE"""),7.7899623)</f>
        <v>7.7899623</v>
      </c>
      <c r="D5447" s="7">
        <f>IFERROR(__xludf.DUMMYFUNCTION("""COMPUTED_VALUE"""),0.370967741935483)</f>
        <v>0.3709677419</v>
      </c>
    </row>
    <row r="5448">
      <c r="A5448" s="10" t="s">
        <v>6887</v>
      </c>
      <c r="B5448" s="7" t="str">
        <f>IFERROR(__xludf.DUMMYFUNCTION("SPLIT(A5448,"" "")"),"CC1=CC(C)CC(N(C)CC2=C(N(C)Cc3ccccn3)CC=CN2)C1C")</f>
        <v>CC1=CC(C)CC(N(C)CC2=C(N(C)Cc3ccccn3)CC=CN2)C1C</v>
      </c>
      <c r="C5448" s="7">
        <f>IFERROR(__xludf.DUMMYFUNCTION("""COMPUTED_VALUE"""),7.789958)</f>
        <v>7.789958</v>
      </c>
      <c r="D5448" s="7">
        <f>IFERROR(__xludf.DUMMYFUNCTION("""COMPUTED_VALUE"""),0.4)</f>
        <v>0.4</v>
      </c>
    </row>
    <row r="5449">
      <c r="A5449" s="10" t="s">
        <v>6888</v>
      </c>
      <c r="B5449" s="7" t="str">
        <f>IFERROR(__xludf.DUMMYFUNCTION("SPLIT(A5449,"" "")"),"Cc1cc(-c2cc(CN3CCN(C)CCN(C)CC3)ccn2)ccc1N")</f>
        <v>Cc1cc(-c2cc(CN3CCN(C)CCN(C)CC3)ccn2)ccc1N</v>
      </c>
      <c r="C5449" s="7">
        <f>IFERROR(__xludf.DUMMYFUNCTION("""COMPUTED_VALUE"""),7.789954)</f>
        <v>7.789954</v>
      </c>
      <c r="D5449" s="7">
        <f>IFERROR(__xludf.DUMMYFUNCTION("""COMPUTED_VALUE"""),0.448979591836734)</f>
        <v>0.4489795918</v>
      </c>
    </row>
    <row r="5450">
      <c r="A5450" s="10" t="s">
        <v>6889</v>
      </c>
      <c r="B5450" s="7" t="str">
        <f>IFERROR(__xludf.DUMMYFUNCTION("SPLIT(A5450,"" "")"),"Cc1cncc(CN(Cc2ccccn2)C2CCC(N(C)Cc3nc(C)c(C)c(C)c3C)CC2)c1")</f>
        <v>Cc1cncc(CN(Cc2ccccn2)C2CCC(N(C)Cc3nc(C)c(C)c(C)c3C)CC2)c1</v>
      </c>
      <c r="C5450" s="7">
        <f>IFERROR(__xludf.DUMMYFUNCTION("""COMPUTED_VALUE"""),7.7899523)</f>
        <v>7.7899523</v>
      </c>
      <c r="D5450" s="7">
        <f>IFERROR(__xludf.DUMMYFUNCTION("""COMPUTED_VALUE"""),0.370967741935483)</f>
        <v>0.3709677419</v>
      </c>
    </row>
    <row r="5451">
      <c r="A5451" s="10" t="s">
        <v>6890</v>
      </c>
      <c r="B5451" s="7" t="str">
        <f>IFERROR(__xludf.DUMMYFUNCTION("SPLIT(A5451,"" "")"),"CCNCCN(Cc1ccccn1)C(C)(N)N(CCN(C)Cc1nc(C)c(C)c(C)c1C)Cc1ccccn1")</f>
        <v>CCNCCN(Cc1ccccn1)C(C)(N)N(CCN(C)Cc1nc(C)c(C)c(C)c1C)Cc1ccccn1</v>
      </c>
      <c r="C5451" s="7">
        <f>IFERROR(__xludf.DUMMYFUNCTION("""COMPUTED_VALUE"""),7.789946)</f>
        <v>7.789946</v>
      </c>
      <c r="D5451" s="7">
        <f>IFERROR(__xludf.DUMMYFUNCTION("""COMPUTED_VALUE"""),0.338709677419354)</f>
        <v>0.3387096774</v>
      </c>
    </row>
    <row r="5452">
      <c r="A5452" s="10" t="s">
        <v>6891</v>
      </c>
      <c r="B5452" s="7" t="str">
        <f>IFERROR(__xludf.DUMMYFUNCTION("SPLIT(A5452,"" "")"),"Cc1cnc(CN(C)CN(C)Cc2cc(CN(C)C3CCCC(N(C)Cc4cc(C)c(C)c(C)n4)C3)ccn2)cc1C")</f>
        <v>Cc1cnc(CN(C)CN(C)Cc2cc(CN(C)C3CCCC(N(C)Cc4cc(C)c(C)c(C)n4)C3)ccn2)cc1C</v>
      </c>
      <c r="C5452" s="7">
        <f>IFERROR(__xludf.DUMMYFUNCTION("""COMPUTED_VALUE"""),7.7899423)</f>
        <v>7.7899423</v>
      </c>
      <c r="D5452" s="7">
        <f>IFERROR(__xludf.DUMMYFUNCTION("""COMPUTED_VALUE"""),0.333333333333333)</f>
        <v>0.3333333333</v>
      </c>
    </row>
    <row r="5453">
      <c r="A5453" s="10" t="s">
        <v>6892</v>
      </c>
      <c r="B5453" s="7" t="str">
        <f>IFERROR(__xludf.DUMMYFUNCTION("SPLIT(A5453,"" "")"),"CN(Cc1ncccc1-c1ccc2c(c1)OCCOCCOCCOCCOCCO2)C1CCCCC1N(C)c1cccc2nc(CF)ccc12")</f>
        <v>CN(Cc1ncccc1-c1ccc2c(c1)OCCOCCOCCOCCOCCO2)C1CCCCC1N(C)c1cccc2nc(CF)ccc12</v>
      </c>
      <c r="C5453" s="7">
        <f>IFERROR(__xludf.DUMMYFUNCTION("""COMPUTED_VALUE"""),7.7899423)</f>
        <v>7.7899423</v>
      </c>
      <c r="D5453" s="7">
        <f>IFERROR(__xludf.DUMMYFUNCTION("""COMPUTED_VALUE"""),0.389610389610389)</f>
        <v>0.3896103896</v>
      </c>
    </row>
    <row r="5454">
      <c r="A5454" s="10" t="s">
        <v>6893</v>
      </c>
      <c r="B5454" s="7" t="str">
        <f>IFERROR(__xludf.DUMMYFUNCTION("SPLIT(A5454,"" "")"),"CN1CCN(c2ccccc2F)CCN(C2CCCC(N(C)c3cccc4nc(CF)ccc34)C2)CC1")</f>
        <v>CN1CCN(c2ccccc2F)CCN(C2CCCC(N(C)c3cccc4nc(CF)ccc34)C2)CC1</v>
      </c>
      <c r="C5454" s="7">
        <f>IFERROR(__xludf.DUMMYFUNCTION("""COMPUTED_VALUE"""),7.789937)</f>
        <v>7.789937</v>
      </c>
      <c r="D5454" s="7">
        <f>IFERROR(__xludf.DUMMYFUNCTION("""COMPUTED_VALUE"""),0.337837837837837)</f>
        <v>0.3378378378</v>
      </c>
    </row>
    <row r="5455">
      <c r="A5455" s="10" t="s">
        <v>6894</v>
      </c>
      <c r="B5455" s="7" t="str">
        <f>IFERROR(__xludf.DUMMYFUNCTION("SPLIT(A5455,"" "")"),"CCNCC1=NC(c2ccccn2)CO1")</f>
        <v>CCNCC1=NC(c2ccccn2)CO1</v>
      </c>
      <c r="C5455" s="7">
        <f>IFERROR(__xludf.DUMMYFUNCTION("""COMPUTED_VALUE"""),7.789934)</f>
        <v>7.789934</v>
      </c>
      <c r="D5455" s="7">
        <f>IFERROR(__xludf.DUMMYFUNCTION("""COMPUTED_VALUE"""),0.311111111111111)</f>
        <v>0.3111111111</v>
      </c>
    </row>
    <row r="5456">
      <c r="A5456" s="10" t="s">
        <v>6895</v>
      </c>
      <c r="B5456" s="7" t="str">
        <f>IFERROR(__xludf.DUMMYFUNCTION("SPLIT(A5456,"" "")"),"CN(Cc1ccc(-c2ccc3c(c2)OCCOCCOCCOCCOCCO3)cn1)C1CCCC(N(C)c2ccc3ncccc3c2)C1")</f>
        <v>CN(Cc1ccc(-c2ccc3c(c2)OCCOCCOCCOCCOCCO3)cn1)C1CCCC(N(C)c2ccc3ncccc3c2)C1</v>
      </c>
      <c r="C5456" s="7">
        <f>IFERROR(__xludf.DUMMYFUNCTION("""COMPUTED_VALUE"""),7.789933)</f>
        <v>7.789933</v>
      </c>
      <c r="D5456" s="7">
        <f>IFERROR(__xludf.DUMMYFUNCTION("""COMPUTED_VALUE"""),0.445945945945945)</f>
        <v>0.4459459459</v>
      </c>
    </row>
    <row r="5457">
      <c r="A5457" s="10" t="s">
        <v>6896</v>
      </c>
      <c r="B5457" s="7" t="str">
        <f>IFERROR(__xludf.DUMMYFUNCTION("SPLIT(A5457,"" "")"),"CN(Cc1ncccc1-c1ccc2c(c1)OCCOCCOCCOCCOCCO2)C1CCC(N(C)c2ccc3ccc(CF)nc3c2)CC1")</f>
        <v>CN(Cc1ncccc1-c1ccc2c(c1)OCCOCCOCCOCCOCCO2)C1CCC(N(C)c2ccc3ccc(CF)nc3c2)CC1</v>
      </c>
      <c r="C5457" s="7">
        <f>IFERROR(__xludf.DUMMYFUNCTION("""COMPUTED_VALUE"""),7.7899218)</f>
        <v>7.7899218</v>
      </c>
      <c r="D5457" s="7">
        <f>IFERROR(__xludf.DUMMYFUNCTION("""COMPUTED_VALUE"""),0.329268292682926)</f>
        <v>0.3292682927</v>
      </c>
    </row>
    <row r="5458">
      <c r="A5458" s="10" t="s">
        <v>6897</v>
      </c>
      <c r="B5458" s="7" t="str">
        <f>IFERROR(__xludf.DUMMYFUNCTION("SPLIT(A5458,"" "")"),"Cc1cccc(CN(Cc2ccccn2)C2CCCC(N(Cc3ccccn3)Cc3ccc(F)cn3)C2)n1")</f>
        <v>Cc1cccc(CN(Cc2ccccn2)C2CCCC(N(Cc3ccccn3)Cc3ccc(F)cn3)C2)n1</v>
      </c>
      <c r="C5458" s="7">
        <f>IFERROR(__xludf.DUMMYFUNCTION("""COMPUTED_VALUE"""),7.789921)</f>
        <v>7.789921</v>
      </c>
      <c r="D5458" s="7">
        <f>IFERROR(__xludf.DUMMYFUNCTION("""COMPUTED_VALUE"""),0.418181818181818)</f>
        <v>0.4181818182</v>
      </c>
    </row>
    <row r="5459">
      <c r="A5459" s="10" t="s">
        <v>6898</v>
      </c>
      <c r="B5459" s="7" t="str">
        <f>IFERROR(__xludf.DUMMYFUNCTION("SPLIT(A5459,"" "")"),"CN(CCN(C)c1ccc2nc(CF)ccc2c1)c1ccc2c(c1)OCCOCCOCCOCCOCCO2")</f>
        <v>CN(CCN(C)c1ccc2nc(CF)ccc2c1)c1ccc2c(c1)OCCOCCOCCOCCOCCO2</v>
      </c>
      <c r="C5459" s="7">
        <f>IFERROR(__xludf.DUMMYFUNCTION("""COMPUTED_VALUE"""),7.7899184)</f>
        <v>7.7899184</v>
      </c>
      <c r="D5459" s="7">
        <f>IFERROR(__xludf.DUMMYFUNCTION("""COMPUTED_VALUE"""),0.318181818181818)</f>
        <v>0.3181818182</v>
      </c>
    </row>
    <row r="5460">
      <c r="A5460" s="10" t="s">
        <v>6899</v>
      </c>
      <c r="B5460" s="7" t="str">
        <f>IFERROR(__xludf.DUMMYFUNCTION("SPLIT(A5460,"" "")"),"CC1C=CCC(C)C1c1cccc(CN(C)C2CCC(N(C)Cc3ccc4ncccc4c3)CC2)n1")</f>
        <v>CC1C=CCC(C)C1c1cccc(CN(C)C2CCC(N(C)Cc3ccc4ncccc4c3)CC2)n1</v>
      </c>
      <c r="C5460" s="7">
        <f>IFERROR(__xludf.DUMMYFUNCTION("""COMPUTED_VALUE"""),7.789918)</f>
        <v>7.789918</v>
      </c>
      <c r="D5460" s="7">
        <f>IFERROR(__xludf.DUMMYFUNCTION("""COMPUTED_VALUE"""),0.298507462686567)</f>
        <v>0.2985074627</v>
      </c>
    </row>
    <row r="5461">
      <c r="A5461" s="10" t="s">
        <v>6900</v>
      </c>
      <c r="B5461" s="7" t="str">
        <f>IFERROR(__xludf.DUMMYFUNCTION("SPLIT(A5461,"" "")"),"Cc1ccnc(CN(Cc2ncccc2C)C2CCC(N(C)Cc3ncc(C)cc3C)CC2)c1")</f>
        <v>Cc1ccnc(CN(Cc2ncccc2C)C2CCC(N(C)Cc3ncc(C)cc3C)CC2)c1</v>
      </c>
      <c r="C5461" s="7">
        <f>IFERROR(__xludf.DUMMYFUNCTION("""COMPUTED_VALUE"""),7.7899175)</f>
        <v>7.7899175</v>
      </c>
      <c r="D5461" s="7">
        <f>IFERROR(__xludf.DUMMYFUNCTION("""COMPUTED_VALUE"""),0.311475409836065)</f>
        <v>0.3114754098</v>
      </c>
    </row>
    <row r="5462">
      <c r="A5462" s="10" t="s">
        <v>6901</v>
      </c>
      <c r="B5462" s="7" t="str">
        <f>IFERROR(__xludf.DUMMYFUNCTION("SPLIT(A5462,"" "")"),"Cc1cnc(CN(C)Cc2cccc(-c3ccc4c(c3)OCCOCCOCCOCCOCCO4)n2)c(-c2cccc(-c3ccc4c(c3)OCCOCCOCCOCCOCCO4)n2)c1")</f>
        <v>Cc1cnc(CN(C)Cc2cccc(-c3ccc4c(c3)OCCOCCOCCOCCOCCO4)n2)c(-c2cccc(-c3ccc4c(c3)OCCOCCOCCOCCOCCO4)n2)c1</v>
      </c>
      <c r="C5462" s="7">
        <f>IFERROR(__xludf.DUMMYFUNCTION("""COMPUTED_VALUE"""),7.7899175)</f>
        <v>7.7899175</v>
      </c>
      <c r="D5462" s="7">
        <f>IFERROR(__xludf.DUMMYFUNCTION("""COMPUTED_VALUE"""),0.34375)</f>
        <v>0.34375</v>
      </c>
    </row>
    <row r="5463">
      <c r="A5463" s="10" t="s">
        <v>6902</v>
      </c>
      <c r="B5463" s="7" t="str">
        <f>IFERROR(__xludf.DUMMYFUNCTION("SPLIT(A5463,"" "")"),"Cc1ccc(N)cc1-c1ccc(CN2CCN(C)CCN(C)CC2)cn1")</f>
        <v>Cc1ccc(N)cc1-c1ccc(CN2CCN(C)CCN(C)CC2)cn1</v>
      </c>
      <c r="C5463" s="7">
        <f>IFERROR(__xludf.DUMMYFUNCTION("""COMPUTED_VALUE"""),7.7899146)</f>
        <v>7.7899146</v>
      </c>
      <c r="D5463" s="7">
        <f>IFERROR(__xludf.DUMMYFUNCTION("""COMPUTED_VALUE"""),0.392156862745098)</f>
        <v>0.3921568627</v>
      </c>
    </row>
    <row r="5464">
      <c r="A5464" s="10" t="s">
        <v>6903</v>
      </c>
      <c r="B5464" s="7" t="str">
        <f>IFERROR(__xludf.DUMMYFUNCTION("SPLIT(A5464,"" "")"),"Cc1cncc(CN(C)C2CCCC(N(Cc3ccccn3)c3cccc(F)c3)C2)c1")</f>
        <v>Cc1cncc(CN(C)C2CCCC(N(Cc3ccccn3)c3cccc(F)c3)C2)c1</v>
      </c>
      <c r="C5464" s="7">
        <f>IFERROR(__xludf.DUMMYFUNCTION("""COMPUTED_VALUE"""),7.7899146)</f>
        <v>7.7899146</v>
      </c>
      <c r="D5464" s="7">
        <f>IFERROR(__xludf.DUMMYFUNCTION("""COMPUTED_VALUE"""),0.38095238095238)</f>
        <v>0.380952381</v>
      </c>
    </row>
    <row r="5465">
      <c r="A5465" s="10" t="s">
        <v>6904</v>
      </c>
      <c r="B5465" s="7" t="str">
        <f>IFERROR(__xludf.DUMMYFUNCTION("SPLIT(A5465,"" "")"),"Cc1ccc(CN(Cc2ccon2)C2CCCC(N(C)Cc3ccccn3)C2)nc1C")</f>
        <v>Cc1ccc(CN(Cc2ccon2)C2CCCC(N(C)Cc3ccccn3)C2)nc1C</v>
      </c>
      <c r="C5465" s="7">
        <f>IFERROR(__xludf.DUMMYFUNCTION("""COMPUTED_VALUE"""),7.78991)</f>
        <v>7.78991</v>
      </c>
      <c r="D5465" s="7">
        <f>IFERROR(__xludf.DUMMYFUNCTION("""COMPUTED_VALUE"""),0.423728813559322)</f>
        <v>0.4237288136</v>
      </c>
    </row>
    <row r="5466">
      <c r="A5466" s="10" t="s">
        <v>6905</v>
      </c>
      <c r="B5466" s="7" t="str">
        <f>IFERROR(__xludf.DUMMYFUNCTION("SPLIT(A5466,"" "")"),"Cc1cncc(CN(CCN(C)C(C)(c2cccnc2)C(C)C)Cc2ccccn2)c1")</f>
        <v>Cc1cncc(CN(CCN(C)C(C)(c2cccnc2)C(C)C)Cc2ccccn2)c1</v>
      </c>
      <c r="C5466" s="7">
        <f>IFERROR(__xludf.DUMMYFUNCTION("""COMPUTED_VALUE"""),7.7899046)</f>
        <v>7.7899046</v>
      </c>
      <c r="D5466" s="7">
        <f>IFERROR(__xludf.DUMMYFUNCTION("""COMPUTED_VALUE"""),0.413793103448275)</f>
        <v>0.4137931034</v>
      </c>
    </row>
    <row r="5467">
      <c r="A5467" s="10" t="s">
        <v>6906</v>
      </c>
      <c r="B5467" s="7" t="str">
        <f>IFERROR(__xludf.DUMMYFUNCTION("SPLIT(A5467,"" "")"),"CN(Cc1ccc(C2=CCC=CN2)cn1)Cc1cccc(-c2cccc3c2OCCOCCOCCOCCOCCO3)n1")</f>
        <v>CN(Cc1ccc(C2=CCC=CN2)cn1)Cc1cccc(-c2cccc3c2OCCOCCOCCOCCOCCO3)n1</v>
      </c>
      <c r="C5467" s="7">
        <f>IFERROR(__xludf.DUMMYFUNCTION("""COMPUTED_VALUE"""),7.789903)</f>
        <v>7.789903</v>
      </c>
      <c r="D5467" s="7">
        <f>IFERROR(__xludf.DUMMYFUNCTION("""COMPUTED_VALUE"""),0.328571428571428)</f>
        <v>0.3285714286</v>
      </c>
    </row>
    <row r="5468">
      <c r="A5468" s="10" t="s">
        <v>6907</v>
      </c>
      <c r="B5468" s="7" t="str">
        <f>IFERROR(__xludf.DUMMYFUNCTION("SPLIT(A5468,"" "")"),"CNC1CC(N(Cc2ccccn2)Cc2ncccc2C)CCC1N(Cc1ccccn1)Cc1ncccc1C")</f>
        <v>CNC1CC(N(Cc2ccccn2)Cc2ncccc2C)CCC1N(Cc1ccccn1)Cc1ncccc1C</v>
      </c>
      <c r="C5468" s="7">
        <f>IFERROR(__xludf.DUMMYFUNCTION("""COMPUTED_VALUE"""),7.7899003)</f>
        <v>7.7899003</v>
      </c>
      <c r="D5468" s="7">
        <f>IFERROR(__xludf.DUMMYFUNCTION("""COMPUTED_VALUE"""),0.392857142857142)</f>
        <v>0.3928571429</v>
      </c>
    </row>
    <row r="5469">
      <c r="A5469" s="10" t="s">
        <v>6908</v>
      </c>
      <c r="B5469" s="7" t="str">
        <f>IFERROR(__xludf.DUMMYFUNCTION("SPLIT(A5469,"" "")"),"Cc1cncc(CN(C)CCN(C)Cc2ccccn2)c1")</f>
        <v>Cc1cncc(CN(C)CCN(C)Cc2ccccn2)c1</v>
      </c>
      <c r="C5469" s="7">
        <f>IFERROR(__xludf.DUMMYFUNCTION("""COMPUTED_VALUE"""),7.789898)</f>
        <v>7.789898</v>
      </c>
      <c r="D5469" s="7">
        <f>IFERROR(__xludf.DUMMYFUNCTION("""COMPUTED_VALUE"""),0.48076923076923)</f>
        <v>0.4807692308</v>
      </c>
    </row>
    <row r="5470">
      <c r="A5470" s="10" t="s">
        <v>6909</v>
      </c>
      <c r="B5470" s="7" t="str">
        <f>IFERROR(__xludf.DUMMYFUNCTION("SPLIT(A5470,"" "")"),"CC(C)C(C)C(C)c1cc(CN(Cc2cc(C(C)(C)C)ccn2)CC(C)(C)C)ccn1")</f>
        <v>CC(C)C(C)C(C)c1cc(CN(Cc2cc(C(C)(C)C)ccn2)CC(C)(C)C)ccn1</v>
      </c>
      <c r="C5470" s="7">
        <f>IFERROR(__xludf.DUMMYFUNCTION("""COMPUTED_VALUE"""),7.789887)</f>
        <v>7.789887</v>
      </c>
      <c r="D5470" s="7">
        <f>IFERROR(__xludf.DUMMYFUNCTION("""COMPUTED_VALUE"""),0.388888888888888)</f>
        <v>0.3888888889</v>
      </c>
    </row>
    <row r="5471">
      <c r="A5471" s="10" t="s">
        <v>6910</v>
      </c>
      <c r="B5471" s="7" t="str">
        <f>IFERROR(__xludf.DUMMYFUNCTION("SPLIT(A5471,"" "")"),"CN(CC1=CC(N(C)C2C=CC=CN2)C=CN1)Cc1ccccn1")</f>
        <v>CN(CC1=CC(N(C)C2C=CC=CN2)C=CN1)Cc1ccccn1</v>
      </c>
      <c r="C5471" s="7">
        <f>IFERROR(__xludf.DUMMYFUNCTION("""COMPUTED_VALUE"""),7.7898865)</f>
        <v>7.7898865</v>
      </c>
      <c r="D5471" s="7">
        <f>IFERROR(__xludf.DUMMYFUNCTION("""COMPUTED_VALUE"""),0.456140350877192)</f>
        <v>0.4561403509</v>
      </c>
    </row>
    <row r="5472">
      <c r="A5472" s="10" t="s">
        <v>6911</v>
      </c>
      <c r="B5472" s="7" t="str">
        <f>IFERROR(__xludf.DUMMYFUNCTION("SPLIT(A5472,"" "")"),"CC(C)C(C)c1cccnc1CN(Cc1cccc(-c2ccc3c(c2)OCCOCCOCCOCCOCCO3)n1)C1CCC(N(C)c2ccc3nc(CF)ccc3c2)CC1")</f>
        <v>CC(C)C(C)c1cccnc1CN(Cc1cccc(-c2ccc3c(c2)OCCOCCOCCOCCOCCO3)n1)C1CCC(N(C)c2ccc3nc(CF)ccc3c2)CC1</v>
      </c>
      <c r="C5472" s="7">
        <f>IFERROR(__xludf.DUMMYFUNCTION("""COMPUTED_VALUE"""),7.789884)</f>
        <v>7.789884</v>
      </c>
      <c r="D5472" s="7">
        <f>IFERROR(__xludf.DUMMYFUNCTION("""COMPUTED_VALUE"""),0.28125)</f>
        <v>0.28125</v>
      </c>
    </row>
    <row r="5473">
      <c r="A5473" s="10" t="s">
        <v>6912</v>
      </c>
      <c r="B5473" s="7" t="str">
        <f>IFERROR(__xludf.DUMMYFUNCTION("SPLIT(A5473,"" "")"),"Cc1nc(CN(Cc2nc(C)c(C)c(C)c2C)C2CCCCC2N(CF)Cc2ccccn2)c(C)c(C)c1C")</f>
        <v>Cc1nc(CN(Cc2nc(C)c(C)c(C)c2C)C2CCCCC2N(CF)Cc2ccccn2)c(C)c(C)c1C</v>
      </c>
      <c r="C5473" s="7">
        <f>IFERROR(__xludf.DUMMYFUNCTION("""COMPUTED_VALUE"""),7.7898808)</f>
        <v>7.7898808</v>
      </c>
      <c r="D5473" s="7">
        <f>IFERROR(__xludf.DUMMYFUNCTION("""COMPUTED_VALUE"""),0.490196078431372)</f>
        <v>0.4901960784</v>
      </c>
    </row>
    <row r="5474">
      <c r="A5474" s="10" t="s">
        <v>6913</v>
      </c>
      <c r="B5474" s="7" t="str">
        <f>IFERROR(__xludf.DUMMYFUNCTION("SPLIT(A5474,"" "")"),"C=CCN(C)Cc1ncccc1C(C)(C)C")</f>
        <v>C=CCN(C)Cc1ncccc1C(C)(C)C</v>
      </c>
      <c r="C5474" s="7">
        <f>IFERROR(__xludf.DUMMYFUNCTION("""COMPUTED_VALUE"""),7.789878)</f>
        <v>7.789878</v>
      </c>
      <c r="D5474" s="7">
        <f>IFERROR(__xludf.DUMMYFUNCTION("""COMPUTED_VALUE"""),0.3125)</f>
        <v>0.3125</v>
      </c>
    </row>
    <row r="5475">
      <c r="A5475" s="10" t="s">
        <v>6914</v>
      </c>
      <c r="B5475" s="7" t="str">
        <f>IFERROR(__xludf.DUMMYFUNCTION("SPLIT(A5475,"" "")"),"Cc1nc(CN(C)C2CCC(N(Cc3ccccn3)Cc3cccc(F)n3)CC2)c(C)c(C)c1C")</f>
        <v>Cc1nc(CN(C)C2CCC(N(Cc3ccccn3)Cc3cccc(F)n3)CC2)c(C)c(C)c1C</v>
      </c>
      <c r="C5475" s="7">
        <f>IFERROR(__xludf.DUMMYFUNCTION("""COMPUTED_VALUE"""),7.7898774)</f>
        <v>7.7898774</v>
      </c>
      <c r="D5475" s="7">
        <f>IFERROR(__xludf.DUMMYFUNCTION("""COMPUTED_VALUE"""),0.396551724137931)</f>
        <v>0.3965517241</v>
      </c>
    </row>
    <row r="5476">
      <c r="A5476" s="10" t="s">
        <v>6915</v>
      </c>
      <c r="B5476" s="7" t="str">
        <f>IFERROR(__xludf.DUMMYFUNCTION("SPLIT(A5476,"" "")"),"CC(C)C(C)(c1cccnc1)c1cccc(CN(Cc2ccccn2)Cc2cccc(-c3ccc4c(c3)OCCOCCOCCOCCOCCO4)n2)n1")</f>
        <v>CC(C)C(C)(c1cccnc1)c1cccc(CN(Cc2ccccn2)Cc2cccc(-c3ccc4c(c3)OCCOCCOCCOCCOCCO4)n2)n1</v>
      </c>
      <c r="C5476" s="7">
        <f>IFERROR(__xludf.DUMMYFUNCTION("""COMPUTED_VALUE"""),7.7898765)</f>
        <v>7.7898765</v>
      </c>
      <c r="D5476" s="7">
        <f>IFERROR(__xludf.DUMMYFUNCTION("""COMPUTED_VALUE"""),0.407894736842105)</f>
        <v>0.4078947368</v>
      </c>
    </row>
    <row r="5477">
      <c r="A5477" s="10" t="s">
        <v>6916</v>
      </c>
      <c r="B5477" s="7" t="str">
        <f>IFERROR(__xludf.DUMMYFUNCTION("SPLIT(A5477,"" "")"),"CC(C)C1N=COC1c1ncccc1CN(Cc1ccccn1)Cc1cc(-c2ccc3c(c2)OCCOCCOCCOCCOCCO3)ccn1")</f>
        <v>CC(C)C1N=COC1c1ncccc1CN(Cc1ccccn1)Cc1cc(-c2ccc3c(c2)OCCOCCOCCOCCOCCO3)ccn1</v>
      </c>
      <c r="C5477" s="7">
        <f>IFERROR(__xludf.DUMMYFUNCTION("""COMPUTED_VALUE"""),7.789871)</f>
        <v>7.789871</v>
      </c>
      <c r="D5477" s="7">
        <f>IFERROR(__xludf.DUMMYFUNCTION("""COMPUTED_VALUE"""),0.313253012048192)</f>
        <v>0.313253012</v>
      </c>
    </row>
    <row r="5478">
      <c r="A5478" s="10" t="s">
        <v>6917</v>
      </c>
      <c r="B5478" s="7" t="str">
        <f>IFERROR(__xludf.DUMMYFUNCTION("SPLIT(A5478,"" "")"),"Cc1cccnc1CN(Cc1ccnc(C(C)C)c1)Cc1cc(-c2ccc3c(c2)OCCOCCOCCOCCOCCO3)ccn1")</f>
        <v>Cc1cccnc1CN(Cc1ccnc(C(C)C)c1)Cc1cc(-c2ccc3c(c2)OCCOCCOCCOCCOCCO3)ccn1</v>
      </c>
      <c r="C5478" s="7">
        <f>IFERROR(__xludf.DUMMYFUNCTION("""COMPUTED_VALUE"""),7.789868)</f>
        <v>7.789868</v>
      </c>
      <c r="D5478" s="7">
        <f>IFERROR(__xludf.DUMMYFUNCTION("""COMPUTED_VALUE"""),0.316455696202531)</f>
        <v>0.3164556962</v>
      </c>
    </row>
    <row r="5479">
      <c r="A5479" s="10" t="s">
        <v>6918</v>
      </c>
      <c r="B5479" s="7" t="str">
        <f>IFERROR(__xludf.DUMMYFUNCTION("SPLIT(A5479,"" "")"),"CC1=CCC2(CC3(C=C(C)C(C)CC34C(c3ncccc3CN(Cc3ccccn3)Cc3ccccn3)C(C)C=CC4(C)C)CC=C2C)C2(CC=C(C)C3(CC=C(C)CC34CC=C(C)C3(CC=C(C)CC35CC=C(C)C3(CC=C(C)CC36CC=C(C)C(C)C6)C5)C4)C2)C1")</f>
        <v>CC1=CCC2(CC3(C=C(C)C(C)CC34C(c3ncccc3CN(Cc3ccccn3)Cc3ccccn3)C(C)C=CC4(C)C)CC=C2C)C2(CC=C(C)C3(CC=C(C)CC34CC=C(C)C3(CC=C(C)CC35CC=C(C)C3(CC=C(C)CC36CC=C(C)C(C)C6)C5)C4)C2)C1</v>
      </c>
      <c r="C5479" s="7">
        <f>IFERROR(__xludf.DUMMYFUNCTION("""COMPUTED_VALUE"""),7.7898645)</f>
        <v>7.7898645</v>
      </c>
      <c r="D5479" s="7">
        <f>IFERROR(__xludf.DUMMYFUNCTION("""COMPUTED_VALUE"""),0.25)</f>
        <v>0.25</v>
      </c>
    </row>
    <row r="5480">
      <c r="A5480" s="10" t="s">
        <v>6919</v>
      </c>
      <c r="B5480" s="7" t="str">
        <f>IFERROR(__xludf.DUMMYFUNCTION("SPLIT(A5480,"" "")"),"CC(N)C(C)C1=CCC(N(C)CC2=CCC=CN2)=CN1")</f>
        <v>CC(N)C(C)C1=CCC(N(C)CC2=CCC=CN2)=CN1</v>
      </c>
      <c r="C5480" s="7">
        <f>IFERROR(__xludf.DUMMYFUNCTION("""COMPUTED_VALUE"""),7.789861)</f>
        <v>7.789861</v>
      </c>
      <c r="D5480" s="7">
        <f>IFERROR(__xludf.DUMMYFUNCTION("""COMPUTED_VALUE"""),0.350877192982456)</f>
        <v>0.350877193</v>
      </c>
    </row>
    <row r="5481">
      <c r="A5481" s="10" t="s">
        <v>6920</v>
      </c>
      <c r="B5481" s="7" t="str">
        <f>IFERROR(__xludf.DUMMYFUNCTION("SPLIT(A5481,"" "")"),"Cc1cccnc1CN(Cc1cccc(C(C)(C)C)n1)Cc1ncccc1-c1ccc2c(c1)OCCOCCOCCOCCOCCO2")</f>
        <v>Cc1cccnc1CN(Cc1cccc(C(C)(C)C)n1)Cc1ncccc1-c1ccc2c(c1)OCCOCCOCCOCCOCCO2</v>
      </c>
      <c r="C5481" s="7">
        <f>IFERROR(__xludf.DUMMYFUNCTION("""COMPUTED_VALUE"""),7.789856)</f>
        <v>7.789856</v>
      </c>
      <c r="D5481" s="7">
        <f>IFERROR(__xludf.DUMMYFUNCTION("""COMPUTED_VALUE"""),0.30379746835443)</f>
        <v>0.3037974684</v>
      </c>
    </row>
    <row r="5482">
      <c r="A5482" s="10" t="s">
        <v>6921</v>
      </c>
      <c r="B5482" s="7" t="str">
        <f>IFERROR(__xludf.DUMMYFUNCTION("SPLIT(A5482,"" "")"),"C=Cc1ccc(CN(Cc2ccccn2)C2CCCCC2N(Cc2ccccn2)Cc2cccnc2F)nc1")</f>
        <v>C=Cc1ccc(CN(Cc2ccccn2)C2CCCCC2N(Cc2ccccn2)Cc2cccnc2F)nc1</v>
      </c>
      <c r="C5482" s="7">
        <f>IFERROR(__xludf.DUMMYFUNCTION("""COMPUTED_VALUE"""),7.7898536)</f>
        <v>7.7898536</v>
      </c>
      <c r="D5482" s="7">
        <f>IFERROR(__xludf.DUMMYFUNCTION("""COMPUTED_VALUE"""),0.452830188679245)</f>
        <v>0.4528301887</v>
      </c>
    </row>
    <row r="5483">
      <c r="A5483" s="10" t="s">
        <v>6922</v>
      </c>
      <c r="B5483" s="7" t="str">
        <f>IFERROR(__xludf.DUMMYFUNCTION("SPLIT(A5483,"" "")"),"CNCc1cccc(CN(Cc2ccc(N)cn2)C2CCC(N(C)Cc3cc(C)c(C)c(C)n3)CC2)n1")</f>
        <v>CNCc1cccc(CN(Cc2ccc(N)cn2)C2CCC(N(C)Cc3cc(C)c(C)c(C)n3)CC2)n1</v>
      </c>
      <c r="C5483" s="7">
        <f>IFERROR(__xludf.DUMMYFUNCTION("""COMPUTED_VALUE"""),7.7898493)</f>
        <v>7.7898493</v>
      </c>
      <c r="D5483" s="7">
        <f>IFERROR(__xludf.DUMMYFUNCTION("""COMPUTED_VALUE"""),0.308823529411764)</f>
        <v>0.3088235294</v>
      </c>
    </row>
    <row r="5484">
      <c r="A5484" s="10" t="s">
        <v>6923</v>
      </c>
      <c r="B5484" s="7" t="str">
        <f>IFERROR(__xludf.DUMMYFUNCTION("SPLIT(A5484,"" "")"),"CC(C)N1CCN(C)CCN(Cc2ccc(-c3cccc(N(C)C)c3)cn2)CC1")</f>
        <v>CC(C)N1CCN(C)CCN(Cc2ccc(-c3cccc(N(C)C)c3)cn2)CC1</v>
      </c>
      <c r="C5484" s="7">
        <f>IFERROR(__xludf.DUMMYFUNCTION("""COMPUTED_VALUE"""),7.789845)</f>
        <v>7.789845</v>
      </c>
      <c r="D5484" s="7">
        <f>IFERROR(__xludf.DUMMYFUNCTION("""COMPUTED_VALUE"""),0.462962962962962)</f>
        <v>0.462962963</v>
      </c>
    </row>
    <row r="5485">
      <c r="A5485" s="10" t="s">
        <v>6924</v>
      </c>
      <c r="B5485" s="7" t="str">
        <f>IFERROR(__xludf.DUMMYFUNCTION("SPLIT(A5485,"" "")"),"CC(C)C(C)N(C)CC1=C(N(C)Cc2ccccn2)CC=CN1")</f>
        <v>CC(C)C(C)N(C)CC1=C(N(C)Cc2ccccn2)CC=CN1</v>
      </c>
      <c r="C5485" s="7">
        <f>IFERROR(__xludf.DUMMYFUNCTION("""COMPUTED_VALUE"""),7.7898426)</f>
        <v>7.7898426</v>
      </c>
      <c r="D5485" s="7">
        <f>IFERROR(__xludf.DUMMYFUNCTION("""COMPUTED_VALUE"""),0.410714285714285)</f>
        <v>0.4107142857</v>
      </c>
    </row>
    <row r="5486">
      <c r="A5486" s="10" t="s">
        <v>6925</v>
      </c>
      <c r="B5486" s="7" t="str">
        <f>IFERROR(__xludf.DUMMYFUNCTION("SPLIT(A5486,"" "")"),"CN(Cc1cc(-c2ccc3c(c2)OCCOCCOCCOCCOCCO3)ccn1)C1CCCCC1N(C)c1cccc2c(CF)ccnc12")</f>
        <v>CN(Cc1cc(-c2ccc3c(c2)OCCOCCOCCOCCOCCO3)ccn1)C1CCCCC1N(C)c1cccc2c(CF)ccnc12</v>
      </c>
      <c r="C5486" s="7">
        <f>IFERROR(__xludf.DUMMYFUNCTION("""COMPUTED_VALUE"""),7.7898397)</f>
        <v>7.7898397</v>
      </c>
      <c r="D5486" s="7">
        <f>IFERROR(__xludf.DUMMYFUNCTION("""COMPUTED_VALUE"""),0.373333333333333)</f>
        <v>0.3733333333</v>
      </c>
    </row>
    <row r="5487">
      <c r="A5487" s="10" t="s">
        <v>6926</v>
      </c>
      <c r="B5487" s="7" t="str">
        <f>IFERROR(__xludf.DUMMYFUNCTION("SPLIT(A5487,"" "")"),"Cc1ccc(CN(C)C2CCC(N(Cc3ccccn3)Cc3nc(C)c(C)c(C)c3C)CC2)nc1")</f>
        <v>Cc1ccc(CN(C)C2CCC(N(Cc3ccccn3)Cc3nc(C)c(C)c(C)c3C)CC2)nc1</v>
      </c>
      <c r="C5487" s="7">
        <f>IFERROR(__xludf.DUMMYFUNCTION("""COMPUTED_VALUE"""),7.789839)</f>
        <v>7.789839</v>
      </c>
      <c r="D5487" s="7">
        <f>IFERROR(__xludf.DUMMYFUNCTION("""COMPUTED_VALUE"""),0.43859649122807)</f>
        <v>0.4385964912</v>
      </c>
    </row>
    <row r="5488">
      <c r="A5488" s="10" t="s">
        <v>6927</v>
      </c>
      <c r="B5488" s="7" t="str">
        <f>IFERROR(__xludf.DUMMYFUNCTION("SPLIT(A5488,"" "")"),"Cc1ccc(CN(C)Cc2cccnc2CN(C)Cc2cccc(-c3cc(N)c4c(c3)OCCOCCOCCOCCOCCO4)n2)nc1")</f>
        <v>Cc1ccc(CN(C)Cc2cccnc2CN(C)Cc2cccc(-c3cc(N)c4c(c3)OCCOCCOCCOCCOCCO4)n2)nc1</v>
      </c>
      <c r="C5488" s="7">
        <f>IFERROR(__xludf.DUMMYFUNCTION("""COMPUTED_VALUE"""),7.789834)</f>
        <v>7.789834</v>
      </c>
      <c r="D5488" s="7">
        <f>IFERROR(__xludf.DUMMYFUNCTION("""COMPUTED_VALUE"""),0.347222222222222)</f>
        <v>0.3472222222</v>
      </c>
    </row>
    <row r="5489">
      <c r="A5489" s="10" t="s">
        <v>6928</v>
      </c>
      <c r="B5489" s="7" t="str">
        <f>IFERROR(__xludf.DUMMYFUNCTION("SPLIT(A5489,"" "")"),"Cc1nc(CN(C)Cc2cccnc2-c2ccc3c(c2)OCCOCCOCCOCCOCCO3)c(C)c(C)c1C")</f>
        <v>Cc1nc(CN(C)Cc2cccnc2-c2ccc3c(c2)OCCOCCOCCOCCOCCO3)c(C)c(C)c1C</v>
      </c>
      <c r="C5489" s="7">
        <f>IFERROR(__xludf.DUMMYFUNCTION("""COMPUTED_VALUE"""),7.789826)</f>
        <v>7.789826</v>
      </c>
      <c r="D5489" s="7">
        <f>IFERROR(__xludf.DUMMYFUNCTION("""COMPUTED_VALUE"""),0.31081081081081)</f>
        <v>0.3108108108</v>
      </c>
    </row>
    <row r="5490">
      <c r="A5490" s="10" t="s">
        <v>6929</v>
      </c>
      <c r="B5490" s="7" t="str">
        <f>IFERROR(__xludf.DUMMYFUNCTION("SPLIT(A5490,"" "")"),"CCNC1CCC(N(Cc2nc(C)c(C)cc2C)Cc2nc(C)c(C)cc2C)CC1N(C)Cc1ccccn1")</f>
        <v>CCNC1CCC(N(Cc2nc(C)c(C)cc2C)Cc2nc(C)c(C)cc2C)CC1N(C)Cc1ccccn1</v>
      </c>
      <c r="C5490" s="7">
        <f>IFERROR(__xludf.DUMMYFUNCTION("""COMPUTED_VALUE"""),7.7898197)</f>
        <v>7.7898197</v>
      </c>
      <c r="D5490" s="7">
        <f>IFERROR(__xludf.DUMMYFUNCTION("""COMPUTED_VALUE"""),0.433333333333333)</f>
        <v>0.4333333333</v>
      </c>
    </row>
    <row r="5491">
      <c r="A5491" s="10" t="s">
        <v>6930</v>
      </c>
      <c r="B5491" s="7" t="str">
        <f>IFERROR(__xludf.DUMMYFUNCTION("SPLIT(A5491,"" "")"),"Cc1ccc(CN(C)C2CCCC(N(C)Cc3cccc(C4=CCC=CN4)n3)C2)nc1")</f>
        <v>Cc1ccc(CN(C)C2CCCC(N(C)Cc3cccc(C4=CCC=CN4)n3)C2)nc1</v>
      </c>
      <c r="C5491" s="7">
        <f>IFERROR(__xludf.DUMMYFUNCTION("""COMPUTED_VALUE"""),7.789817)</f>
        <v>7.789817</v>
      </c>
      <c r="D5491" s="7">
        <f>IFERROR(__xludf.DUMMYFUNCTION("""COMPUTED_VALUE"""),0.440677966101694)</f>
        <v>0.4406779661</v>
      </c>
    </row>
    <row r="5492">
      <c r="A5492" s="10" t="s">
        <v>6931</v>
      </c>
      <c r="B5492" s="7" t="str">
        <f>IFERROR(__xludf.DUMMYFUNCTION("SPLIT(A5492,"" "")"),"CN(Cc1cccc(C2=CCC=CN2)n1)Cc1cccc(-c2ccc3c(c2)OCCOCCOCCOCCOCCO3)n1")</f>
        <v>CN(Cc1cccc(C2=CCC=CN2)n1)Cc1cccc(-c2ccc3c(c2)OCCOCCOCCOCCOCCO3)n1</v>
      </c>
      <c r="C5492" s="7">
        <f>IFERROR(__xludf.DUMMYFUNCTION("""COMPUTED_VALUE"""),7.789816)</f>
        <v>7.789816</v>
      </c>
      <c r="D5492" s="7">
        <f>IFERROR(__xludf.DUMMYFUNCTION("""COMPUTED_VALUE"""),0.328125)</f>
        <v>0.328125</v>
      </c>
    </row>
    <row r="5493">
      <c r="A5493" s="10" t="s">
        <v>6932</v>
      </c>
      <c r="B5493" s="7" t="str">
        <f>IFERROR(__xludf.DUMMYFUNCTION("SPLIT(A5493,"" "")"),"CN1CCN(c2ccccc2F)CCN(C2CCC(N(C)c3cccc4c(CF)ccnc34)CC2)CC1")</f>
        <v>CN1CCN(c2ccccc2F)CCN(C2CCC(N(C)c3cccc4c(CF)ccnc34)CC2)CC1</v>
      </c>
      <c r="C5493" s="7">
        <f>IFERROR(__xludf.DUMMYFUNCTION("""COMPUTED_VALUE"""),7.789814)</f>
        <v>7.789814</v>
      </c>
      <c r="D5493" s="7">
        <f>IFERROR(__xludf.DUMMYFUNCTION("""COMPUTED_VALUE"""),0.277777777777777)</f>
        <v>0.2777777778</v>
      </c>
    </row>
    <row r="5494">
      <c r="A5494" s="10" t="s">
        <v>6933</v>
      </c>
      <c r="B5494" s="7" t="str">
        <f>IFERROR(__xludf.DUMMYFUNCTION("SPLIT(A5494,"" "")"),"CCN=Cc1ccccn1")</f>
        <v>CCN=Cc1ccccn1</v>
      </c>
      <c r="C5494" s="7">
        <f>IFERROR(__xludf.DUMMYFUNCTION("""COMPUTED_VALUE"""),7.789813)</f>
        <v>7.789813</v>
      </c>
      <c r="D5494" s="7">
        <f>IFERROR(__xludf.DUMMYFUNCTION("""COMPUTED_VALUE"""),0.473684210526315)</f>
        <v>0.4736842105</v>
      </c>
    </row>
    <row r="5495">
      <c r="A5495" s="10" t="s">
        <v>6934</v>
      </c>
      <c r="B5495" s="7" t="str">
        <f>IFERROR(__xludf.DUMMYFUNCTION("SPLIT(A5495,"" "")"),"CC(C)C1=CC(N(C)CC2=CC(N(C)Cc3ccccn3)C=CN2)C=CN1")</f>
        <v>CC(C)C1=CC(N(C)CC2=CC(N(C)Cc3ccccn3)C=CN2)C=CN1</v>
      </c>
      <c r="C5495" s="7">
        <f>IFERROR(__xludf.DUMMYFUNCTION("""COMPUTED_VALUE"""),7.7898107)</f>
        <v>7.7898107</v>
      </c>
      <c r="D5495" s="7">
        <f>IFERROR(__xludf.DUMMYFUNCTION("""COMPUTED_VALUE"""),0.415094339622641)</f>
        <v>0.4150943396</v>
      </c>
    </row>
    <row r="5496">
      <c r="A5496" s="10" t="s">
        <v>6935</v>
      </c>
      <c r="B5496" s="7" t="str">
        <f>IFERROR(__xludf.DUMMYFUNCTION("SPLIT(A5496,"" "")"),"CN(CCNc1ccc(F)cc1)Cc1ccccn1")</f>
        <v>CN(CCNc1ccc(F)cc1)Cc1ccccn1</v>
      </c>
      <c r="C5496" s="7">
        <f>IFERROR(__xludf.DUMMYFUNCTION("""COMPUTED_VALUE"""),7.789795)</f>
        <v>7.789795</v>
      </c>
      <c r="D5496" s="7">
        <f>IFERROR(__xludf.DUMMYFUNCTION("""COMPUTED_VALUE"""),0.476190476190476)</f>
        <v>0.4761904762</v>
      </c>
    </row>
    <row r="5497">
      <c r="A5497" s="10" t="s">
        <v>6936</v>
      </c>
      <c r="B5497" s="7" t="str">
        <f>IFERROR(__xludf.DUMMYFUNCTION("SPLIT(A5497,"" "")"),"Cc1ncccc1CN(C)C1CCC(N(Cc2ccccn2)Cc2nc(C)c(C)c(C)c2C)CC1")</f>
        <v>Cc1ncccc1CN(C)C1CCC(N(Cc2ccccn2)Cc2nc(C)c(C)c(C)c2C)CC1</v>
      </c>
      <c r="C5497" s="7">
        <f>IFERROR(__xludf.DUMMYFUNCTION("""COMPUTED_VALUE"""),7.7897916)</f>
        <v>7.7897916</v>
      </c>
      <c r="D5497" s="7">
        <f>IFERROR(__xludf.DUMMYFUNCTION("""COMPUTED_VALUE"""),0.410714285714285)</f>
        <v>0.4107142857</v>
      </c>
    </row>
    <row r="5498">
      <c r="A5498" s="10" t="s">
        <v>6937</v>
      </c>
      <c r="B5498" s="7" t="str">
        <f>IFERROR(__xludf.DUMMYFUNCTION("SPLIT(A5498,"" "")"),"CC1=C(N(C)Cc2ccccn2)C(C)C(C)CC1")</f>
        <v>CC1=C(N(C)Cc2ccccn2)C(C)C(C)CC1</v>
      </c>
      <c r="C5498" s="7">
        <f>IFERROR(__xludf.DUMMYFUNCTION("""COMPUTED_VALUE"""),7.7897887)</f>
        <v>7.7897887</v>
      </c>
      <c r="D5498" s="7">
        <f>IFERROR(__xludf.DUMMYFUNCTION("""COMPUTED_VALUE"""),0.478260869565217)</f>
        <v>0.4782608696</v>
      </c>
    </row>
    <row r="5499">
      <c r="A5499" s="10" t="s">
        <v>6938</v>
      </c>
      <c r="B5499" s="7" t="str">
        <f>IFERROR(__xludf.DUMMYFUNCTION("SPLIT(A5499,"" "")"),"CN1CCN(C)CCN(CN(C)c2ccc3cccnc3c2)CC1")</f>
        <v>CN1CCN(C)CCN(CN(C)c2ccc3cccnc3c2)CC1</v>
      </c>
      <c r="C5499" s="7">
        <f>IFERROR(__xludf.DUMMYFUNCTION("""COMPUTED_VALUE"""),7.7897806)</f>
        <v>7.7897806</v>
      </c>
      <c r="D5499" s="7">
        <f>IFERROR(__xludf.DUMMYFUNCTION("""COMPUTED_VALUE"""),0.395833333333333)</f>
        <v>0.3958333333</v>
      </c>
    </row>
    <row r="5500">
      <c r="A5500" s="10" t="s">
        <v>6939</v>
      </c>
      <c r="B5500" s="7" t="str">
        <f>IFERROR(__xludf.DUMMYFUNCTION("SPLIT(A5500,"" "")"),"Cc1cnccc1CN(C)C1CCCC(N(Cc2ccccn2)Cc2cc(C)c(C)c(C)n2)C1")</f>
        <v>Cc1cnccc1CN(C)C1CCCC(N(Cc2ccccn2)Cc2cc(C)c(C)c(C)n2)C1</v>
      </c>
      <c r="C5500" s="7">
        <f>IFERROR(__xludf.DUMMYFUNCTION("""COMPUTED_VALUE"""),7.789777)</f>
        <v>7.789777</v>
      </c>
      <c r="D5500" s="7">
        <f>IFERROR(__xludf.DUMMYFUNCTION("""COMPUTED_VALUE"""),0.387096774193548)</f>
        <v>0.3870967742</v>
      </c>
    </row>
    <row r="5501">
      <c r="A5501" s="10" t="s">
        <v>6940</v>
      </c>
      <c r="B5501" s="7" t="str">
        <f>IFERROR(__xludf.DUMMYFUNCTION("SPLIT(A5501,"" "")"),"Cc1nc(CN(C)C2CCCC(N(Cc3ccccn3)Cc3cccnc3F)C2)c(C)c(C)c1C")</f>
        <v>Cc1nc(CN(C)C2CCCC(N(Cc3ccccn3)Cc3cccnc3F)C2)c(C)c(C)c1C</v>
      </c>
      <c r="C5501" s="7">
        <f>IFERROR(__xludf.DUMMYFUNCTION("""COMPUTED_VALUE"""),7.7897754)</f>
        <v>7.7897754</v>
      </c>
      <c r="D5501" s="7">
        <f>IFERROR(__xludf.DUMMYFUNCTION("""COMPUTED_VALUE"""),0.393442622950819)</f>
        <v>0.393442623</v>
      </c>
    </row>
    <row r="5502">
      <c r="A5502" s="10" t="s">
        <v>6941</v>
      </c>
      <c r="B5502" s="7" t="str">
        <f>IFERROR(__xludf.DUMMYFUNCTION("SPLIT(A5502,"" "")"),"CN(Cc1ccccn1)Cc1cccc(CN(Cc2cccc(CNCc3ccccn3)n2)Cc2cccc(-c3ccc4c(c3)OCCOCCOCCOCCOCCO4)n2)n1")</f>
        <v>CN(Cc1ccccn1)Cc1cccc(CN(Cc2cccc(CNCc3ccccn3)n2)Cc2cccc(-c3ccc4c(c3)OCCOCCOCCOCCOCCO4)n2)n1</v>
      </c>
      <c r="C5502" s="7">
        <f>IFERROR(__xludf.DUMMYFUNCTION("""COMPUTED_VALUE"""),7.7897696)</f>
        <v>7.7897696</v>
      </c>
      <c r="D5502" s="7">
        <f>IFERROR(__xludf.DUMMYFUNCTION("""COMPUTED_VALUE"""),0.462686567164179)</f>
        <v>0.4626865672</v>
      </c>
    </row>
    <row r="5503">
      <c r="A5503" s="10" t="s">
        <v>6942</v>
      </c>
      <c r="B5503" s="7" t="str">
        <f>IFERROR(__xludf.DUMMYFUNCTION("SPLIT(A5503,"" "")"),"Cc1cccc(CN(C)C2CCCC(N(Cc3ccccn3)Cc3ncc(C)c(C)c3C)C2)n1")</f>
        <v>Cc1cccc(CN(C)C2CCCC(N(Cc3ccccn3)Cc3ncc(C)c(C)c3C)C2)n1</v>
      </c>
      <c r="C5503" s="7">
        <f>IFERROR(__xludf.DUMMYFUNCTION("""COMPUTED_VALUE"""),7.7897696)</f>
        <v>7.7897696</v>
      </c>
      <c r="D5503" s="7">
        <f>IFERROR(__xludf.DUMMYFUNCTION("""COMPUTED_VALUE"""),0.448275862068965)</f>
        <v>0.4482758621</v>
      </c>
    </row>
    <row r="5504">
      <c r="A5504" s="10" t="s">
        <v>6943</v>
      </c>
      <c r="B5504" s="7" t="str">
        <f>IFERROR(__xludf.DUMMYFUNCTION("SPLIT(A5504,"" "")"),"CC1C=CC(C)C(N(C)Cc2cc(C(C)(C)c3ccccn3)ccn2)C1C")</f>
        <v>CC1C=CC(C)C(N(C)Cc2cc(C(C)(C)c3ccccn3)ccn2)C1C</v>
      </c>
      <c r="C5504" s="7">
        <f>IFERROR(__xludf.DUMMYFUNCTION("""COMPUTED_VALUE"""),7.789768)</f>
        <v>7.789768</v>
      </c>
      <c r="D5504" s="7">
        <f>IFERROR(__xludf.DUMMYFUNCTION("""COMPUTED_VALUE"""),0.357142857142857)</f>
        <v>0.3571428571</v>
      </c>
    </row>
    <row r="5505">
      <c r="A5505" s="10" t="s">
        <v>6944</v>
      </c>
      <c r="B5505" s="7" t="str">
        <f>IFERROR(__xludf.DUMMYFUNCTION("SPLIT(A5505,"" "")"),"CN1CCN(C)CCN(CCN(C)c2ccc3nccc(CF)c3c2)CC1")</f>
        <v>CN1CCN(C)CCN(CCN(C)c2ccc3nccc(CF)c3c2)CC1</v>
      </c>
      <c r="C5505" s="7">
        <f>IFERROR(__xludf.DUMMYFUNCTION("""COMPUTED_VALUE"""),7.7897606)</f>
        <v>7.7897606</v>
      </c>
      <c r="D5505" s="7">
        <f>IFERROR(__xludf.DUMMYFUNCTION("""COMPUTED_VALUE"""),0.368421052631578)</f>
        <v>0.3684210526</v>
      </c>
    </row>
    <row r="5506">
      <c r="A5506" s="10" t="s">
        <v>6945</v>
      </c>
      <c r="B5506" s="7" t="str">
        <f>IFERROR(__xludf.DUMMYFUNCTION("SPLIT(A5506,"" "")"),"C=Nc1ccc(-c2ccc(CN3CCN(C)CCN(C)CC3)cn2)cc1")</f>
        <v>C=Nc1ccc(-c2ccc(CN3CCN(C)CCN(C)CC3)cn2)cc1</v>
      </c>
      <c r="C5506" s="7">
        <f>IFERROR(__xludf.DUMMYFUNCTION("""COMPUTED_VALUE"""),7.789758)</f>
        <v>7.789758</v>
      </c>
      <c r="D5506" s="7">
        <f>IFERROR(__xludf.DUMMYFUNCTION("""COMPUTED_VALUE"""),0.36734693877551)</f>
        <v>0.3673469388</v>
      </c>
    </row>
    <row r="5507">
      <c r="A5507" s="10" t="s">
        <v>6946</v>
      </c>
      <c r="B5507" s="7" t="str">
        <f>IFERROR(__xludf.DUMMYFUNCTION("SPLIT(A5507,"" "")"),"CC(C)N(Cc1cc(C(C)(C)C(C)C)ccn1)CC(C)(C)C")</f>
        <v>CC(C)N(Cc1cc(C(C)(C)C(C)C)ccn1)CC(C)(C)C</v>
      </c>
      <c r="C5507" s="7">
        <f>IFERROR(__xludf.DUMMYFUNCTION("""COMPUTED_VALUE"""),7.789757)</f>
        <v>7.789757</v>
      </c>
      <c r="D5507" s="7">
        <f>IFERROR(__xludf.DUMMYFUNCTION("""COMPUTED_VALUE"""),0.431818181818181)</f>
        <v>0.4318181818</v>
      </c>
    </row>
    <row r="5508">
      <c r="A5508" s="10" t="s">
        <v>6947</v>
      </c>
      <c r="B5508" s="7" t="str">
        <f>IFERROR(__xludf.DUMMYFUNCTION("SPLIT(A5508,"" "")"),"Cc1cncc(CN(C)C2CCCC(N(Cc3ccccn3)Cc3nc(C)c(C)c(C)c3C)C2)c1")</f>
        <v>Cc1cncc(CN(C)C2CCCC(N(Cc3ccccn3)Cc3nc(C)c(C)c(C)c3C)C2)c1</v>
      </c>
      <c r="C5508" s="7">
        <f>IFERROR(__xludf.DUMMYFUNCTION("""COMPUTED_VALUE"""),7.789742)</f>
        <v>7.789742</v>
      </c>
      <c r="D5508" s="7">
        <f>IFERROR(__xludf.DUMMYFUNCTION("""COMPUTED_VALUE"""),0.375)</f>
        <v>0.375</v>
      </c>
    </row>
    <row r="5509">
      <c r="A5509" s="10" t="s">
        <v>6948</v>
      </c>
      <c r="B5509" s="7" t="str">
        <f>IFERROR(__xludf.DUMMYFUNCTION("SPLIT(A5509,"" "")"),"CN1CCN(C)CCN(Cc2ccc(-c3ccc(N)cc3F)nc2)CC1")</f>
        <v>CN1CCN(C)CCN(Cc2ccc(-c3ccc(N)cc3F)nc2)CC1</v>
      </c>
      <c r="C5509" s="7">
        <f>IFERROR(__xludf.DUMMYFUNCTION("""COMPUTED_VALUE"""),7.7897396)</f>
        <v>7.7897396</v>
      </c>
      <c r="D5509" s="7">
        <f>IFERROR(__xludf.DUMMYFUNCTION("""COMPUTED_VALUE"""),0.358490566037735)</f>
        <v>0.358490566</v>
      </c>
    </row>
    <row r="5510">
      <c r="A5510" s="10" t="s">
        <v>6949</v>
      </c>
      <c r="B5510" s="7" t="str">
        <f>IFERROR(__xludf.DUMMYFUNCTION("SPLIT(A5510,"" "")"),"Cc1cccc(CN(Cc2ncccc2C)C2CCC(N(C)Cc3nc(C)ccc3C)CC2)n1")</f>
        <v>Cc1cccc(CN(Cc2ncccc2C)C2CCC(N(C)Cc3nc(C)ccc3C)CC2)n1</v>
      </c>
      <c r="C5510" s="7">
        <f>IFERROR(__xludf.DUMMYFUNCTION("""COMPUTED_VALUE"""),7.789739)</f>
        <v>7.789739</v>
      </c>
      <c r="D5510" s="7">
        <f>IFERROR(__xludf.DUMMYFUNCTION("""COMPUTED_VALUE"""),0.436363636363636)</f>
        <v>0.4363636364</v>
      </c>
    </row>
    <row r="5511">
      <c r="A5511" s="10" t="s">
        <v>6950</v>
      </c>
      <c r="B5511" s="7" t="str">
        <f>IFERROR(__xludf.DUMMYFUNCTION("SPLIT(A5511,"" "")"),"Cc1ccc(CN(Cc2ccccn2)Cc2cccc(CN(C)C3CCC(N(C)Cc4ncccc4C)CC3)n2)nc1")</f>
        <v>Cc1ccc(CN(Cc2ccccn2)Cc2cccc(CN(C)C3CCC(N(C)Cc4ncccc4C)CC3)n2)nc1</v>
      </c>
      <c r="C5511" s="7">
        <f>IFERROR(__xludf.DUMMYFUNCTION("""COMPUTED_VALUE"""),7.789735)</f>
        <v>7.789735</v>
      </c>
      <c r="D5511" s="7">
        <f>IFERROR(__xludf.DUMMYFUNCTION("""COMPUTED_VALUE"""),0.43859649122807)</f>
        <v>0.4385964912</v>
      </c>
    </row>
    <row r="5512">
      <c r="A5512" s="10" t="s">
        <v>6951</v>
      </c>
      <c r="B5512" s="7" t="str">
        <f>IFERROR(__xludf.DUMMYFUNCTION("SPLIT(A5512,"" "")"),"CNCc1cc(CN(Cc2ncccc2C)C2CCC(N(C)Cc3nc(C)c(C)c(C)c3C)CC2)ccn1")</f>
        <v>CNCc1cc(CN(Cc2ncccc2C)C2CCC(N(C)Cc3nc(C)c(C)c(C)c3C)CC2)ccn1</v>
      </c>
      <c r="C5512" s="7">
        <f>IFERROR(__xludf.DUMMYFUNCTION("""COMPUTED_VALUE"""),7.7897267)</f>
        <v>7.7897267</v>
      </c>
      <c r="D5512" s="7">
        <f>IFERROR(__xludf.DUMMYFUNCTION("""COMPUTED_VALUE"""),0.275362318840579)</f>
        <v>0.2753623188</v>
      </c>
    </row>
    <row r="5513">
      <c r="A5513" s="10" t="s">
        <v>6952</v>
      </c>
      <c r="B5513" s="7" t="str">
        <f>IFERROR(__xludf.DUMMYFUNCTION("SPLIT(A5513,"" "")"),"CN(c1ccc2nc3c(cc2c1)CCC3)C1CCC(N(Cc2ccccn2)C2(C)CCCCC2)CC1")</f>
        <v>CN(c1ccc2nc3c(cc2c1)CCC3)C1CCC(N(Cc2ccccn2)C2(C)CCCCC2)CC1</v>
      </c>
      <c r="C5513" s="7">
        <f>IFERROR(__xludf.DUMMYFUNCTION("""COMPUTED_VALUE"""),7.7897253)</f>
        <v>7.7897253</v>
      </c>
      <c r="D5513" s="7">
        <f>IFERROR(__xludf.DUMMYFUNCTION("""COMPUTED_VALUE"""),0.343283582089552)</f>
        <v>0.3432835821</v>
      </c>
    </row>
    <row r="5514">
      <c r="A5514" s="10" t="s">
        <v>6953</v>
      </c>
      <c r="B5514" s="7" t="str">
        <f>IFERROR(__xludf.DUMMYFUNCTION("SPLIT(A5514,"" "")"),"CN1CCN(C)CCN(C(C)(C)c2cncc(CN(C)C3CCCC(N(C)c4ccc5c(CF)ccnc5c4)C3)c2)CC1")</f>
        <v>CN1CCN(C)CCN(C(C)(C)c2cncc(CN(C)C3CCCC(N(C)c4ccc5c(CF)ccnc5c4)C3)c2)CC1</v>
      </c>
      <c r="C5514" s="7">
        <f>IFERROR(__xludf.DUMMYFUNCTION("""COMPUTED_VALUE"""),7.7897086)</f>
        <v>7.7897086</v>
      </c>
      <c r="D5514" s="7">
        <f>IFERROR(__xludf.DUMMYFUNCTION("""COMPUTED_VALUE"""),0.23170731707317)</f>
        <v>0.2317073171</v>
      </c>
    </row>
    <row r="5515">
      <c r="A5515" s="10" t="s">
        <v>6954</v>
      </c>
      <c r="B5515" s="7" t="str">
        <f>IFERROR(__xludf.DUMMYFUNCTION("SPLIT(A5515,"" "")"),"CC1=CC(C)C2(C=CC(c3ncc(C)cc3CN(Cc3ccccn3)C3CCCCC3)C(c3ccc(CN(Cc4ccccn4)Cc4ccccn4)cn3)C23CC=C(C)C(C)C3C)CC1C")</f>
        <v>CC1=CC(C)C2(C=CC(c3ncc(C)cc3CN(Cc3ccccn3)C3CCCCC3)C(c3ccc(CN(Cc4ccccn4)Cc4ccccn4)cn3)C23CC=C(C)C(C)C3C)CC1C</v>
      </c>
      <c r="C5515" s="7">
        <f>IFERROR(__xludf.DUMMYFUNCTION("""COMPUTED_VALUE"""),7.7897034)</f>
        <v>7.7897034</v>
      </c>
      <c r="D5515" s="7">
        <f>IFERROR(__xludf.DUMMYFUNCTION("""COMPUTED_VALUE"""),0.247311827956989)</f>
        <v>0.247311828</v>
      </c>
    </row>
    <row r="5516">
      <c r="A5516" s="10" t="s">
        <v>6955</v>
      </c>
      <c r="B5516" s="7" t="str">
        <f>IFERROR(__xludf.DUMMYFUNCTION("SPLIT(A5516,"" "")"),"Cc1cccc(CN(C)C2CCC(N(Cc3ccccn3)Cc3nc(C)c(C)cc3C)CC2)n1")</f>
        <v>Cc1cccc(CN(C)C2CCC(N(Cc3ccccn3)Cc3nc(C)c(C)cc3C)CC2)n1</v>
      </c>
      <c r="C5516" s="7">
        <f>IFERROR(__xludf.DUMMYFUNCTION("""COMPUTED_VALUE"""),7.789701)</f>
        <v>7.789701</v>
      </c>
      <c r="D5516" s="7">
        <f>IFERROR(__xludf.DUMMYFUNCTION("""COMPUTED_VALUE"""),0.43859649122807)</f>
        <v>0.4385964912</v>
      </c>
    </row>
    <row r="5517">
      <c r="A5517" s="10" t="s">
        <v>6956</v>
      </c>
      <c r="B5517" s="7" t="str">
        <f>IFERROR(__xludf.DUMMYFUNCTION("SPLIT(A5517,"" "")"),"CNCc1ccc(C)cn1")</f>
        <v>CNCc1ccc(C)cn1</v>
      </c>
      <c r="C5517" s="7">
        <f>IFERROR(__xludf.DUMMYFUNCTION("""COMPUTED_VALUE"""),7.7896843)</f>
        <v>7.7896843</v>
      </c>
      <c r="D5517" s="7">
        <f>IFERROR(__xludf.DUMMYFUNCTION("""COMPUTED_VALUE"""),0.5)</f>
        <v>0.5</v>
      </c>
    </row>
    <row r="5518">
      <c r="A5518" s="10" t="s">
        <v>6957</v>
      </c>
      <c r="B5518" s="7" t="str">
        <f>IFERROR(__xludf.DUMMYFUNCTION("SPLIT(A5518,"" "")"),"CN(CCF)CCN(Cc1ccccn1)c1ccc(F)cc1")</f>
        <v>CN(CCF)CCN(Cc1ccccn1)c1ccc(F)cc1</v>
      </c>
      <c r="C5518" s="7">
        <f>IFERROR(__xludf.DUMMYFUNCTION("""COMPUTED_VALUE"""),7.7896824)</f>
        <v>7.7896824</v>
      </c>
      <c r="D5518" s="7">
        <f>IFERROR(__xludf.DUMMYFUNCTION("""COMPUTED_VALUE"""),0.434782608695652)</f>
        <v>0.4347826087</v>
      </c>
    </row>
    <row r="5519">
      <c r="A5519" s="10" t="s">
        <v>6958</v>
      </c>
      <c r="B5519" s="7" t="str">
        <f>IFERROR(__xludf.DUMMYFUNCTION("SPLIT(A5519,"" "")"),"CN(Cc1cccc(-c2ccc3c(c2)OCCOCCOCCOCCOCCO3)n1)C1CCCC(N(C)c2ccc3nc(CF)ccc3c2)C1")</f>
        <v>CN(Cc1cccc(-c2ccc3c(c2)OCCOCCOCCOCCOCCO3)n1)C1CCCC(N(C)c2ccc3nc(CF)ccc3c2)C1</v>
      </c>
      <c r="C5519" s="7">
        <f>IFERROR(__xludf.DUMMYFUNCTION("""COMPUTED_VALUE"""),7.7896824)</f>
        <v>7.7896824</v>
      </c>
      <c r="D5519" s="7">
        <f>IFERROR(__xludf.DUMMYFUNCTION("""COMPUTED_VALUE"""),0.325301204819277)</f>
        <v>0.3253012048</v>
      </c>
    </row>
    <row r="5520">
      <c r="A5520" s="10" t="s">
        <v>6959</v>
      </c>
      <c r="B5520" s="7" t="str">
        <f>IFERROR(__xludf.DUMMYFUNCTION("SPLIT(A5520,"" "")"),"Cc1cc(C)c(CN(C)C2CCC(N(Cc3ccccn3)Cc3ncccc3C)CC2)nc1C")</f>
        <v>Cc1cc(C)c(CN(C)C2CCC(N(Cc3ccccn3)Cc3ncccc3C)CC2)nc1C</v>
      </c>
      <c r="C5520" s="7">
        <f>IFERROR(__xludf.DUMMYFUNCTION("""COMPUTED_VALUE"""),7.7896748)</f>
        <v>7.7896748</v>
      </c>
      <c r="D5520" s="7">
        <f>IFERROR(__xludf.DUMMYFUNCTION("""COMPUTED_VALUE"""),0.403508771929824)</f>
        <v>0.4035087719</v>
      </c>
    </row>
    <row r="5521">
      <c r="A5521" s="10" t="s">
        <v>6960</v>
      </c>
      <c r="B5521" s="7" t="str">
        <f>IFERROR(__xludf.DUMMYFUNCTION("SPLIT(A5521,"" "")"),"Cc1cccnc1CN(Cc1ccccn1)C1CCC(N(C)Cc2cc(C)c(C)c(C)n2)CC1")</f>
        <v>Cc1cccnc1CN(Cc1ccccn1)C1CCC(N(C)Cc2cc(C)c(C)c(C)n2)CC1</v>
      </c>
      <c r="C5521" s="7">
        <f>IFERROR(__xludf.DUMMYFUNCTION("""COMPUTED_VALUE"""),7.7896748)</f>
        <v>7.7896748</v>
      </c>
      <c r="D5521" s="7">
        <f>IFERROR(__xludf.DUMMYFUNCTION("""COMPUTED_VALUE"""),0.421052631578947)</f>
        <v>0.4210526316</v>
      </c>
    </row>
    <row r="5522">
      <c r="A5522" s="10" t="s">
        <v>6961</v>
      </c>
      <c r="B5522" s="7" t="str">
        <f>IFERROR(__xludf.DUMMYFUNCTION("SPLIT(A5522,"" "")"),"C1=CC(NCc2ccccn2)NC(N(Cc2ccccn2)Cc2cccc(-c3ccc4c(c3)OCCOCCOCCOCCOCCO4)n2)=C1")</f>
        <v>C1=CC(NCc2ccccn2)NC(N(Cc2ccccn2)Cc2cccc(-c3ccc4c(c3)OCCOCCOCCOCCOCCO4)n2)=C1</v>
      </c>
      <c r="C5522" s="7">
        <f>IFERROR(__xludf.DUMMYFUNCTION("""COMPUTED_VALUE"""),7.789674)</f>
        <v>7.789674</v>
      </c>
      <c r="D5522" s="7">
        <f>IFERROR(__xludf.DUMMYFUNCTION("""COMPUTED_VALUE"""),0.346153846153846)</f>
        <v>0.3461538462</v>
      </c>
    </row>
    <row r="5523">
      <c r="A5523" s="10" t="s">
        <v>6962</v>
      </c>
      <c r="B5523" s="7" t="str">
        <f>IFERROR(__xludf.DUMMYFUNCTION("SPLIT(A5523,"" "")"),"CN(Cc1ccc(C2CC(C)(C)C2)cn1)C1CCC(N(C)Cc2cccc(C3=CCC=CN3)n2)CC1")</f>
        <v>CN(Cc1ccc(C2CC(C)(C)C2)cn1)C1CCC(N(C)Cc2cccc(C3=CCC=CN3)n2)CC1</v>
      </c>
      <c r="C5523" s="7">
        <f>IFERROR(__xludf.DUMMYFUNCTION("""COMPUTED_VALUE"""),7.789669)</f>
        <v>7.789669</v>
      </c>
      <c r="D5523" s="7">
        <f>IFERROR(__xludf.DUMMYFUNCTION("""COMPUTED_VALUE"""),0.309859154929577)</f>
        <v>0.3098591549</v>
      </c>
    </row>
    <row r="5524">
      <c r="A5524" s="10" t="s">
        <v>6963</v>
      </c>
      <c r="B5524" s="7" t="str">
        <f>IFERROR(__xludf.DUMMYFUNCTION("SPLIT(A5524,"" "")"),"CN(Cc1ccc(-c2ccc3c(c2)OCCOCCOCCOCCOCCO3)cn1)C1CCCC(N(C)c2ccc3ncc(CF)cc3c2)C1")</f>
        <v>CN(Cc1ccc(-c2ccc3c(c2)OCCOCCOCCOCCOCCO3)cn1)C1CCCC(N(C)c2ccc3ncc(CF)cc3c2)C1</v>
      </c>
      <c r="C5524" s="7">
        <f>IFERROR(__xludf.DUMMYFUNCTION("""COMPUTED_VALUE"""),7.789666)</f>
        <v>7.789666</v>
      </c>
      <c r="D5524" s="7">
        <f>IFERROR(__xludf.DUMMYFUNCTION("""COMPUTED_VALUE"""),0.423076923076923)</f>
        <v>0.4230769231</v>
      </c>
    </row>
    <row r="5525">
      <c r="A5525" s="10" t="s">
        <v>6964</v>
      </c>
      <c r="B5525" s="7" t="str">
        <f>IFERROR(__xludf.DUMMYFUNCTION("SPLIT(A5525,"" "")"),"c1ccc(N(Cc2ccccn2)Cc2ncccc2-c2ccc3c(c2)OCCOCCOCCOCCOCCO3)cc1")</f>
        <v>c1ccc(N(Cc2ccccn2)Cc2ncccc2-c2ccc3c(c2)OCCOCCOCCOCCOCCO3)cc1</v>
      </c>
      <c r="C5525" s="7">
        <f>IFERROR(__xludf.DUMMYFUNCTION("""COMPUTED_VALUE"""),7.789661)</f>
        <v>7.789661</v>
      </c>
      <c r="D5525" s="7">
        <f>IFERROR(__xludf.DUMMYFUNCTION("""COMPUTED_VALUE"""),0.36231884057971)</f>
        <v>0.3623188406</v>
      </c>
    </row>
    <row r="5526">
      <c r="A5526" s="10" t="s">
        <v>6965</v>
      </c>
      <c r="B5526" s="7" t="str">
        <f>IFERROR(__xludf.DUMMYFUNCTION("SPLIT(A5526,"" "")"),"Cc1cccc(CN(C)C2CCC(N(Cc3ccccn3)Cc3cccc(C(C)(c4cccnc4)C(C)N)n3)CC2)n1")</f>
        <v>Cc1cccc(CN(C)C2CCC(N(Cc3ccccn3)Cc3cccc(C(C)(c4cccnc4)C(C)N)n3)CC2)n1</v>
      </c>
      <c r="C5526" s="7">
        <f>IFERROR(__xludf.DUMMYFUNCTION("""COMPUTED_VALUE"""),7.7896576)</f>
        <v>7.7896576</v>
      </c>
      <c r="D5526" s="7">
        <f>IFERROR(__xludf.DUMMYFUNCTION("""COMPUTED_VALUE"""),0.36231884057971)</f>
        <v>0.3623188406</v>
      </c>
    </row>
    <row r="5527">
      <c r="A5527" s="10" t="s">
        <v>6966</v>
      </c>
      <c r="B5527" s="7" t="str">
        <f>IFERROR(__xludf.DUMMYFUNCTION("SPLIT(A5527,"" "")"),"Cc1ccc(CN(Cc2ccccn2)C2CCC(N(C)Cc3nc(C)c(C)c(C)c3C)CC2)nc1")</f>
        <v>Cc1ccc(CN(Cc2ccccn2)C2CCC(N(C)Cc3nc(C)c(C)c(C)c3C)CC2)nc1</v>
      </c>
      <c r="C5527" s="7">
        <f>IFERROR(__xludf.DUMMYFUNCTION("""COMPUTED_VALUE"""),7.789651)</f>
        <v>7.789651</v>
      </c>
      <c r="D5527" s="7">
        <f>IFERROR(__xludf.DUMMYFUNCTION("""COMPUTED_VALUE"""),0.421052631578947)</f>
        <v>0.4210526316</v>
      </c>
    </row>
    <row r="5528">
      <c r="A5528" s="10" t="s">
        <v>6967</v>
      </c>
      <c r="B5528" s="7" t="str">
        <f>IFERROR(__xludf.DUMMYFUNCTION("SPLIT(A5528,"" "")"),"Cc1cccnc1CN(Cc1ccccn1)Cc1ccc(-c2cc3c(c(N(C)Cc4cccc(-c5ccc6c(c5)OCCOCCOCCOCCOCCO6)n4)c2)OCCOCCOCCOCCOCCO3)cn1")</f>
        <v>Cc1cccnc1CN(Cc1ccccn1)Cc1ccc(-c2cc3c(c(N(C)Cc4cccc(-c5ccc6c(c5)OCCOCCOCCOCCOCCO6)n4)c2)OCCOCCOCCOCCOCCO3)cn1</v>
      </c>
      <c r="C5528" s="7">
        <f>IFERROR(__xludf.DUMMYFUNCTION("""COMPUTED_VALUE"""),7.7896504)</f>
        <v>7.7896504</v>
      </c>
      <c r="D5528" s="7">
        <f>IFERROR(__xludf.DUMMYFUNCTION("""COMPUTED_VALUE"""),0.382716049382716)</f>
        <v>0.3827160494</v>
      </c>
    </row>
    <row r="5529">
      <c r="A5529" s="10" t="s">
        <v>6968</v>
      </c>
      <c r="B5529" s="7" t="str">
        <f>IFERROR(__xludf.DUMMYFUNCTION("SPLIT(A5529,"" "")"),"CN(Cc1ccc(-c2ccc3c(c2)OCCOCCOCCOCCOCCO3)cn1)Cc1cc(N(C)C)ccn1")</f>
        <v>CN(Cc1ccc(-c2ccc3c(c2)OCCOCCOCCOCCOCCO3)cn1)Cc1cc(N(C)C)ccn1</v>
      </c>
      <c r="C5529" s="7">
        <f>IFERROR(__xludf.DUMMYFUNCTION("""COMPUTED_VALUE"""),7.7896504)</f>
        <v>7.7896504</v>
      </c>
      <c r="D5529" s="7">
        <f>IFERROR(__xludf.DUMMYFUNCTION("""COMPUTED_VALUE"""),0.483870967741935)</f>
        <v>0.4838709677</v>
      </c>
    </row>
    <row r="5530">
      <c r="A5530" s="10" t="s">
        <v>6969</v>
      </c>
      <c r="B5530" s="7" t="str">
        <f>IFERROR(__xludf.DUMMYFUNCTION("SPLIT(A5530,"" "")"),"CCNc1ccc(C)cn1")</f>
        <v>CCNc1ccc(C)cn1</v>
      </c>
      <c r="C5530" s="7">
        <f>IFERROR(__xludf.DUMMYFUNCTION("""COMPUTED_VALUE"""),7.789645)</f>
        <v>7.789645</v>
      </c>
      <c r="D5530" s="7">
        <f>IFERROR(__xludf.DUMMYFUNCTION("""COMPUTED_VALUE"""),0.371428571428571)</f>
        <v>0.3714285714</v>
      </c>
    </row>
    <row r="5531">
      <c r="A5531" s="10" t="s">
        <v>6970</v>
      </c>
      <c r="B5531" s="7" t="str">
        <f>IFERROR(__xludf.DUMMYFUNCTION("SPLIT(A5531,"" "")"),"Cc1cnc(CN(Cc2ccccn2)C2CCC(N(C)Cc3nc(C)ccc3C)CC2)c(C)c1")</f>
        <v>Cc1cnc(CN(Cc2ccccn2)C2CCC(N(C)Cc3nc(C)ccc3C)CC2)c(C)c1</v>
      </c>
      <c r="C5531" s="7">
        <f>IFERROR(__xludf.DUMMYFUNCTION("""COMPUTED_VALUE"""),7.789644)</f>
        <v>7.789644</v>
      </c>
      <c r="D5531" s="7">
        <f>IFERROR(__xludf.DUMMYFUNCTION("""COMPUTED_VALUE"""),0.383333333333333)</f>
        <v>0.3833333333</v>
      </c>
    </row>
    <row r="5532">
      <c r="A5532" s="10" t="s">
        <v>6971</v>
      </c>
      <c r="B5532" s="7" t="str">
        <f>IFERROR(__xludf.DUMMYFUNCTION("SPLIT(A5532,"" "")"),"CN1CCN(C)CCN(CCN(C)c2cccc3c(CF)ccnc23)CC1")</f>
        <v>CN1CCN(C)CCN(CCN(C)c2cccc3c(CF)ccnc23)CC1</v>
      </c>
      <c r="C5532" s="7">
        <f>IFERROR(__xludf.DUMMYFUNCTION("""COMPUTED_VALUE"""),7.7896357)</f>
        <v>7.7896357</v>
      </c>
      <c r="D5532" s="7">
        <f>IFERROR(__xludf.DUMMYFUNCTION("""COMPUTED_VALUE"""),0.392156862745098)</f>
        <v>0.3921568627</v>
      </c>
    </row>
    <row r="5533">
      <c r="A5533" s="10" t="s">
        <v>6972</v>
      </c>
      <c r="B5533" s="7" t="str">
        <f>IFERROR(__xludf.DUMMYFUNCTION("SPLIT(A5533,"" "")"),"Cc1cnc(CN(C)CCN(C)C(C)C(C)C)c(C)c1C")</f>
        <v>Cc1cnc(CN(C)CCN(C)C(C)C(C)C)c(C)c1C</v>
      </c>
      <c r="C5533" s="7">
        <f>IFERROR(__xludf.DUMMYFUNCTION("""COMPUTED_VALUE"""),7.789631)</f>
        <v>7.789631</v>
      </c>
      <c r="D5533" s="7">
        <f>IFERROR(__xludf.DUMMYFUNCTION("""COMPUTED_VALUE"""),0.372093023255813)</f>
        <v>0.3720930233</v>
      </c>
    </row>
    <row r="5534">
      <c r="A5534" s="10" t="s">
        <v>6973</v>
      </c>
      <c r="B5534" s="7" t="str">
        <f>IFERROR(__xludf.DUMMYFUNCTION("SPLIT(A5534,"" "")"),"COC(=O)C1CC(C(C)=O)C(C(=O)C(C)N)N(C)C1C(C)=O")</f>
        <v>COC(=O)C1CC(C(C)=O)C(C(=O)C(C)N)N(C)C1C(C)=O</v>
      </c>
      <c r="C5534" s="7">
        <f>IFERROR(__xludf.DUMMYFUNCTION("""COMPUTED_VALUE"""),7.7896285)</f>
        <v>7.7896285</v>
      </c>
      <c r="D5534" s="7">
        <f>IFERROR(__xludf.DUMMYFUNCTION("""COMPUTED_VALUE"""),0.222222222222222)</f>
        <v>0.2222222222</v>
      </c>
    </row>
    <row r="5535">
      <c r="A5535" s="10" t="s">
        <v>6974</v>
      </c>
      <c r="B5535" s="7" t="str">
        <f>IFERROR(__xludf.DUMMYFUNCTION("SPLIT(A5535,"" "")"),"Cc1cc(CN2CCN(C)CCN(C)CC2)cc2ncccc12")</f>
        <v>Cc1cc(CN2CCN(C)CCN(C)CC2)cc2ncccc12</v>
      </c>
      <c r="C5535" s="7">
        <f>IFERROR(__xludf.DUMMYFUNCTION("""COMPUTED_VALUE"""),7.7896166)</f>
        <v>7.7896166</v>
      </c>
      <c r="D5535" s="7">
        <f>IFERROR(__xludf.DUMMYFUNCTION("""COMPUTED_VALUE"""),0.477272727272727)</f>
        <v>0.4772727273</v>
      </c>
    </row>
    <row r="5536">
      <c r="A5536" s="10" t="s">
        <v>6975</v>
      </c>
      <c r="B5536" s="7" t="str">
        <f>IFERROR(__xludf.DUMMYFUNCTION("SPLIT(A5536,"" "")"),"CC1=CC(C)CC(CN(C)Cc2ccccn2)=C1")</f>
        <v>CC1=CC(C)CC(CN(C)Cc2ccccn2)=C1</v>
      </c>
      <c r="C5536" s="7">
        <f>IFERROR(__xludf.DUMMYFUNCTION("""COMPUTED_VALUE"""),7.78961)</f>
        <v>7.78961</v>
      </c>
      <c r="D5536" s="7">
        <f>IFERROR(__xludf.DUMMYFUNCTION("""COMPUTED_VALUE"""),0.458333333333333)</f>
        <v>0.4583333333</v>
      </c>
    </row>
    <row r="5537">
      <c r="A5537" s="10" t="s">
        <v>6976</v>
      </c>
      <c r="B5537" s="7" t="str">
        <f>IFERROR(__xludf.DUMMYFUNCTION("SPLIT(A5537,"" "")"),"CN(C)Cc1cccnc1N(C)Cc1cncc(-c2cccc3c2OCCOCCOCCOCCOCCO3)c1")</f>
        <v>CN(C)Cc1cccnc1N(C)Cc1cncc(-c2cccc3c2OCCOCCOCCOCCOCCO3)c1</v>
      </c>
      <c r="C5537" s="7">
        <f>IFERROR(__xludf.DUMMYFUNCTION("""COMPUTED_VALUE"""),7.7896037)</f>
        <v>7.7896037</v>
      </c>
      <c r="D5537" s="7">
        <f>IFERROR(__xludf.DUMMYFUNCTION("""COMPUTED_VALUE"""),0.25)</f>
        <v>0.25</v>
      </c>
    </row>
    <row r="5538">
      <c r="A5538" s="10" t="s">
        <v>6977</v>
      </c>
      <c r="B5538" s="7" t="str">
        <f>IFERROR(__xludf.DUMMYFUNCTION("SPLIT(A5538,"" "")"),"Cc1cc(C)c(CN(C)C2CCCC(N(C)Cc3cc(C)c(C)c(C)n3)C2)nc1C")</f>
        <v>Cc1cc(C)c(CN(C)C2CCCC(N(C)Cc3cc(C)c(C)c(C)n3)C2)nc1C</v>
      </c>
      <c r="C5538" s="7">
        <f>IFERROR(__xludf.DUMMYFUNCTION("""COMPUTED_VALUE"""),7.7896023)</f>
        <v>7.7896023</v>
      </c>
      <c r="D5538" s="7">
        <f>IFERROR(__xludf.DUMMYFUNCTION("""COMPUTED_VALUE"""),0.309090909090909)</f>
        <v>0.3090909091</v>
      </c>
    </row>
    <row r="5539">
      <c r="A5539" s="10" t="s">
        <v>6978</v>
      </c>
      <c r="B5539" s="7" t="str">
        <f>IFERROR(__xludf.DUMMYFUNCTION("SPLIT(A5539,"" "")"),"CNCc1cc(CN(Cc2cc(C)ccn2)C2CCCC(N(C)Cc3nc(C)c(C)c(C)c3C)C2)ccn1")</f>
        <v>CNCc1cc(CN(Cc2cc(C)ccn2)C2CCCC(N(C)Cc3nc(C)c(C)c(C)c3C)C2)ccn1</v>
      </c>
      <c r="C5539" s="7">
        <f>IFERROR(__xludf.DUMMYFUNCTION("""COMPUTED_VALUE"""),7.789598)</f>
        <v>7.789598</v>
      </c>
      <c r="D5539" s="7">
        <f>IFERROR(__xludf.DUMMYFUNCTION("""COMPUTED_VALUE"""),0.275362318840579)</f>
        <v>0.2753623188</v>
      </c>
    </row>
    <row r="5540">
      <c r="A5540" s="10" t="s">
        <v>6979</v>
      </c>
      <c r="B5540" s="7" t="str">
        <f>IFERROR(__xludf.DUMMYFUNCTION("SPLIT(A5540,"" "")"),"COC(=O)c1ncc(CN2CCN(C)CCN(Cc3cc(C(C)NCc4ccccn4)ccn3)CC2)c(C)c1C")</f>
        <v>COC(=O)c1ncc(CN2CCN(C)CCN(Cc3cc(C(C)NCc4ccccn4)ccn3)CC2)c(C)c1C</v>
      </c>
      <c r="C5540" s="7">
        <f>IFERROR(__xludf.DUMMYFUNCTION("""COMPUTED_VALUE"""),7.7895975)</f>
        <v>7.7895975</v>
      </c>
      <c r="D5540" s="7">
        <f>IFERROR(__xludf.DUMMYFUNCTION("""COMPUTED_VALUE"""),0.424657534246575)</f>
        <v>0.4246575342</v>
      </c>
    </row>
    <row r="5541">
      <c r="A5541" s="10" t="s">
        <v>6980</v>
      </c>
      <c r="B5541" s="7" t="str">
        <f>IFERROR(__xludf.DUMMYFUNCTION("SPLIT(A5541,"" "")"),"CNCc1ccc(N(C)C2CCCC(N(C)Cc3nc(C)c(C)cc3C)C2)cn1")</f>
        <v>CNCc1ccc(N(C)C2CCCC(N(C)Cc3nc(C)c(C)cc3C)C2)cn1</v>
      </c>
      <c r="C5541" s="7">
        <f>IFERROR(__xludf.DUMMYFUNCTION("""COMPUTED_VALUE"""),7.789583)</f>
        <v>7.789583</v>
      </c>
      <c r="D5541" s="7">
        <f>IFERROR(__xludf.DUMMYFUNCTION("""COMPUTED_VALUE"""),0.32258064516129)</f>
        <v>0.3225806452</v>
      </c>
    </row>
    <row r="5542">
      <c r="A5542" s="10" t="s">
        <v>6981</v>
      </c>
      <c r="B5542" s="7" t="str">
        <f>IFERROR(__xludf.DUMMYFUNCTION("SPLIT(A5542,"" "")"),"CC1=C(CN(C)C)CC(C)CC1C")</f>
        <v>CC1=C(CN(C)C)CC(C)CC1C</v>
      </c>
      <c r="C5542" s="7">
        <f>IFERROR(__xludf.DUMMYFUNCTION("""COMPUTED_VALUE"""),7.7895765)</f>
        <v>7.7895765</v>
      </c>
      <c r="D5542" s="7">
        <f>IFERROR(__xludf.DUMMYFUNCTION("""COMPUTED_VALUE"""),0.191489361702127)</f>
        <v>0.1914893617</v>
      </c>
    </row>
    <row r="5543">
      <c r="A5543" s="10" t="s">
        <v>6982</v>
      </c>
      <c r="B5543" s="7" t="str">
        <f>IFERROR(__xludf.DUMMYFUNCTION("SPLIT(A5543,"" "")"),"CN1CCN(Cc2cc(-c3ccc4c(c3)OCCOCCOCCOCCOCCO4)ccn2)CCN(Cc2ncccc2-c2cccc(N=Cc3ccccn3)c2)CC1")</f>
        <v>CN1CCN(Cc2cc(-c3ccc4c(c3)OCCOCCOCCOCCOCCO4)ccn2)CCN(Cc2ncccc2-c2cccc(N=Cc3ccccn3)c2)CC1</v>
      </c>
      <c r="C5543" s="7">
        <f>IFERROR(__xludf.DUMMYFUNCTION("""COMPUTED_VALUE"""),7.789576)</f>
        <v>7.789576</v>
      </c>
      <c r="D5543" s="7">
        <f>IFERROR(__xludf.DUMMYFUNCTION("""COMPUTED_VALUE"""),0.351351351351351)</f>
        <v>0.3513513514</v>
      </c>
    </row>
    <row r="5544">
      <c r="A5544" s="10" t="s">
        <v>6983</v>
      </c>
      <c r="B5544" s="7" t="str">
        <f>IFERROR(__xludf.DUMMYFUNCTION("SPLIT(A5544,"" "")"),"CC1=CCC2(C(c3cc(CN(Cc4cc(-c5ccc6c(c5)OCCOCCOCCOCCOCCO6)ccn4)Cc4ccc5ccccc5n4)ccn3)C=CC(C)C2(C)C)C(C)C1C")</f>
        <v>CC1=CCC2(C(c3cc(CN(Cc4cc(-c5ccc6c(c5)OCCOCCOCCOCCOCCO6)ccn4)Cc4ccc5ccccc5n4)ccn3)C=CC(C)C2(C)C)C(C)C1C</v>
      </c>
      <c r="C5544" s="7">
        <f>IFERROR(__xludf.DUMMYFUNCTION("""COMPUTED_VALUE"""),7.789575)</f>
        <v>7.789575</v>
      </c>
      <c r="D5544" s="7">
        <f>IFERROR(__xludf.DUMMYFUNCTION("""COMPUTED_VALUE"""),0.298850574712643)</f>
        <v>0.2988505747</v>
      </c>
    </row>
    <row r="5545">
      <c r="A5545" s="10" t="s">
        <v>6984</v>
      </c>
      <c r="B5545" s="7" t="str">
        <f>IFERROR(__xludf.DUMMYFUNCTION("SPLIT(A5545,"" "")"),"CC(C)(CN(Cc1ccccn1)c1ccc2ncccc2c1)c1ccc2c(c1)OCCOCCOCCOCCOCCO2")</f>
        <v>CC(C)(CN(Cc1ccccn1)c1ccc2ncccc2c1)c1ccc2c(c1)OCCOCCOCCOCCOCCO2</v>
      </c>
      <c r="C5545" s="7">
        <f>IFERROR(__xludf.DUMMYFUNCTION("""COMPUTED_VALUE"""),7.789565)</f>
        <v>7.789565</v>
      </c>
      <c r="D5545" s="7">
        <f>IFERROR(__xludf.DUMMYFUNCTION("""COMPUTED_VALUE"""),0.328125)</f>
        <v>0.328125</v>
      </c>
    </row>
    <row r="5546">
      <c r="A5546" s="10" t="s">
        <v>6985</v>
      </c>
      <c r="B5546" s="7" t="str">
        <f>IFERROR(__xludf.DUMMYFUNCTION("SPLIT(A5546,"" "")"),"CC(C)C1CCC1c1cc(CN(Cc2ccccn2)Cc2ccccn2)ccn1")</f>
        <v>CC(C)C1CCC1c1cc(CN(Cc2ccccn2)Cc2ccccn2)ccn1</v>
      </c>
      <c r="C5546" s="7">
        <f>IFERROR(__xludf.DUMMYFUNCTION("""COMPUTED_VALUE"""),7.7895603)</f>
        <v>7.7895603</v>
      </c>
      <c r="D5546" s="7">
        <f>IFERROR(__xludf.DUMMYFUNCTION("""COMPUTED_VALUE"""),0.454545454545454)</f>
        <v>0.4545454545</v>
      </c>
    </row>
    <row r="5547">
      <c r="A5547" s="10" t="s">
        <v>6986</v>
      </c>
      <c r="B5547" s="7" t="str">
        <f>IFERROR(__xludf.DUMMYFUNCTION("SPLIT(A5547,"" "")"),"Cc1cccnc1CN(C)CC1=CCC=C(N(C)Cc2cccc(-c3cccc4c3OCCOCCOCCOCCOCCO4)n2)N1")</f>
        <v>Cc1cccnc1CN(C)CC1=CCC=C(N(C)Cc2cccc(-c3cccc4c3OCCOCCOCCOCCOCCO4)n2)N1</v>
      </c>
      <c r="C5547" s="7">
        <f>IFERROR(__xludf.DUMMYFUNCTION("""COMPUTED_VALUE"""),7.789559)</f>
        <v>7.789559</v>
      </c>
      <c r="D5547" s="7">
        <f>IFERROR(__xludf.DUMMYFUNCTION("""COMPUTED_VALUE"""),0.306666666666666)</f>
        <v>0.3066666667</v>
      </c>
    </row>
    <row r="5548">
      <c r="A5548" s="10" t="s">
        <v>6987</v>
      </c>
      <c r="B5548" s="7" t="str">
        <f>IFERROR(__xludf.DUMMYFUNCTION("SPLIT(A5548,"" "")"),"Cc1cnccc1CN(Cc1ccccn1)C1CCCC(N(C)Cc2nc(C)c(C)cc2C)C1")</f>
        <v>Cc1cnccc1CN(Cc1ccccn1)C1CCCC(N(C)Cc2nc(C)c(C)cc2C)C1</v>
      </c>
      <c r="C5548" s="7">
        <f>IFERROR(__xludf.DUMMYFUNCTION("""COMPUTED_VALUE"""),7.789558)</f>
        <v>7.789558</v>
      </c>
      <c r="D5548" s="7">
        <f>IFERROR(__xludf.DUMMYFUNCTION("""COMPUTED_VALUE"""),0.38095238095238)</f>
        <v>0.380952381</v>
      </c>
    </row>
    <row r="5549">
      <c r="A5549" s="10" t="s">
        <v>6988</v>
      </c>
      <c r="B5549" s="7" t="str">
        <f>IFERROR(__xludf.DUMMYFUNCTION("SPLIT(A5549,"" "")"),"Cc1cncc(CN(C)C2CCCC(N(Cc3cc(C)ccn3)Cc3ncc(C)c(C)c3C)C2)c1")</f>
        <v>Cc1cncc(CN(C)C2CCCC(N(Cc3cc(C)ccn3)Cc3ncc(C)c(C)c3C)C2)c1</v>
      </c>
      <c r="C5549" s="7">
        <f>IFERROR(__xludf.DUMMYFUNCTION("""COMPUTED_VALUE"""),7.789553)</f>
        <v>7.789553</v>
      </c>
      <c r="D5549" s="7">
        <f>IFERROR(__xludf.DUMMYFUNCTION("""COMPUTED_VALUE"""),0.298507462686567)</f>
        <v>0.2985074627</v>
      </c>
    </row>
    <row r="5550">
      <c r="A5550" s="10" t="s">
        <v>6989</v>
      </c>
      <c r="B5550" s="7" t="str">
        <f>IFERROR(__xludf.DUMMYFUNCTION("SPLIT(A5550,"" "")"),"CNC1CC(N(Cc2ccccn2)Cc2cccc(C)n2)CCC1N(Cc1ccccn1)Cc1cccc(C)n1")</f>
        <v>CNC1CC(N(Cc2ccccn2)Cc2cccc(C)n2)CCC1N(Cc1ccccn1)Cc1cccc(C)n1</v>
      </c>
      <c r="C5550" s="7">
        <f>IFERROR(__xludf.DUMMYFUNCTION("""COMPUTED_VALUE"""),7.789545)</f>
        <v>7.789545</v>
      </c>
      <c r="D5550" s="7">
        <f>IFERROR(__xludf.DUMMYFUNCTION("""COMPUTED_VALUE"""),0.418181818181818)</f>
        <v>0.4181818182</v>
      </c>
    </row>
    <row r="5551">
      <c r="A5551" s="10" t="s">
        <v>6990</v>
      </c>
      <c r="B5551" s="7" t="str">
        <f>IFERROR(__xludf.DUMMYFUNCTION("SPLIT(A5551,"" "")"),"CN(Cc1ccc(-c2ccc3c(c2)OCCOCCOCCOCCOCCO3)cn1)C1CCCC(N(C)c2ccc3nc(CF)ccc3c2)C1")</f>
        <v>CN(Cc1ccc(-c2ccc3c(c2)OCCOCCOCCOCCOCCO3)cn1)C1CCCC(N(C)c2ccc3nc(CF)ccc3c2)C1</v>
      </c>
      <c r="C5551" s="7">
        <f>IFERROR(__xludf.DUMMYFUNCTION("""COMPUTED_VALUE"""),7.7895446)</f>
        <v>7.7895446</v>
      </c>
      <c r="D5551" s="7">
        <f>IFERROR(__xludf.DUMMYFUNCTION("""COMPUTED_VALUE"""),0.44)</f>
        <v>0.44</v>
      </c>
    </row>
    <row r="5552">
      <c r="A5552" s="10" t="s">
        <v>6991</v>
      </c>
      <c r="B5552" s="7" t="str">
        <f>IFERROR(__xludf.DUMMYFUNCTION("SPLIT(A5552,"" "")"),"CN(Cc1cccc(C2=CCC=CN2)n1)C1CCC(N(C)Cc2cccc(C3CC(C)(C)C3)n2)CC1")</f>
        <v>CN(Cc1cccc(C2=CCC=CN2)n1)C1CCC(N(C)Cc2cccc(C3CC(C)(C)C3)n2)CC1</v>
      </c>
      <c r="C5552" s="7">
        <f>IFERROR(__xludf.DUMMYFUNCTION("""COMPUTED_VALUE"""),7.7895446)</f>
        <v>7.7895446</v>
      </c>
      <c r="D5552" s="7">
        <f>IFERROR(__xludf.DUMMYFUNCTION("""COMPUTED_VALUE"""),0.317460317460317)</f>
        <v>0.3174603175</v>
      </c>
    </row>
    <row r="5553">
      <c r="A5553" s="10" t="s">
        <v>6992</v>
      </c>
      <c r="B5553" s="7" t="str">
        <f>IFERROR(__xludf.DUMMYFUNCTION("SPLIT(A5553,"" "")"),"CN1CCN(C)CCN(CCN(C)c2ccc3c(CF)ccnc3c2)CC1")</f>
        <v>CN1CCN(C)CCN(CCN(C)c2ccc3c(CF)ccnc3c2)CC1</v>
      </c>
      <c r="C5553" s="7">
        <f>IFERROR(__xludf.DUMMYFUNCTION("""COMPUTED_VALUE"""),7.789542)</f>
        <v>7.789542</v>
      </c>
      <c r="D5553" s="7">
        <f>IFERROR(__xludf.DUMMYFUNCTION("""COMPUTED_VALUE"""),0.375)</f>
        <v>0.375</v>
      </c>
    </row>
    <row r="5554">
      <c r="A5554" s="10" t="s">
        <v>6993</v>
      </c>
      <c r="B5554" s="7" t="str">
        <f>IFERROR(__xludf.DUMMYFUNCTION("SPLIT(A5554,"" "")"),"CNC1CC(N(C)Cc2cc(C)ccn2)CCC1N(Cc1cc(C)ccn1)Cc1nc(C)c(C)c(C)c1C")</f>
        <v>CNC1CC(N(C)Cc2cc(C)ccn2)CCC1N(Cc1cc(C)ccn1)Cc1nc(C)c(C)c(C)c1C</v>
      </c>
      <c r="C5554" s="7">
        <f>IFERROR(__xludf.DUMMYFUNCTION("""COMPUTED_VALUE"""),7.7895346)</f>
        <v>7.7895346</v>
      </c>
      <c r="D5554" s="7">
        <f>IFERROR(__xludf.DUMMYFUNCTION("""COMPUTED_VALUE"""),0.287878787878787)</f>
        <v>0.2878787879</v>
      </c>
    </row>
    <row r="5555">
      <c r="A5555" s="10" t="s">
        <v>6994</v>
      </c>
      <c r="B5555" s="7" t="str">
        <f>IFERROR(__xludf.DUMMYFUNCTION("SPLIT(A5555,"" "")"),"CN(Cc1ncccc1-c1ccc2c(c1)OCCOCCOCCOCCOCCO2)C1CCCCC1N(C)c1ccc2c(CF)ccnc2c1")</f>
        <v>CN(Cc1ncccc1-c1ccc2c(c1)OCCOCCOCCOCCOCCO2)C1CCCCC1N(C)c1ccc2c(CF)ccnc2c1</v>
      </c>
      <c r="C5555" s="7">
        <f>IFERROR(__xludf.DUMMYFUNCTION("""COMPUTED_VALUE"""),7.789534)</f>
        <v>7.789534</v>
      </c>
      <c r="D5555" s="7">
        <f>IFERROR(__xludf.DUMMYFUNCTION("""COMPUTED_VALUE"""),0.306666666666666)</f>
        <v>0.3066666667</v>
      </c>
    </row>
    <row r="5556">
      <c r="A5556" s="10" t="s">
        <v>6995</v>
      </c>
      <c r="B5556" s="7" t="str">
        <f>IFERROR(__xludf.DUMMYFUNCTION("SPLIT(A5556,"" "")"),"Cc1cccc(CN(Cc2ccccn2)C2CCC(N(C)Cc3nc(C)c(C)cc3C)CC2)n1")</f>
        <v>Cc1cccc(CN(Cc2ccccn2)C2CCC(N(C)Cc3nc(C)c(C)cc3C)CC2)n1</v>
      </c>
      <c r="C5556" s="7">
        <f>IFERROR(__xludf.DUMMYFUNCTION("""COMPUTED_VALUE"""),7.7895327)</f>
        <v>7.7895327</v>
      </c>
      <c r="D5556" s="7">
        <f>IFERROR(__xludf.DUMMYFUNCTION("""COMPUTED_VALUE"""),0.421052631578947)</f>
        <v>0.4210526316</v>
      </c>
    </row>
    <row r="5557">
      <c r="A5557" s="10" t="s">
        <v>6996</v>
      </c>
      <c r="B5557" s="7" t="str">
        <f>IFERROR(__xludf.DUMMYFUNCTION("SPLIT(A5557,"" "")"),"Cc1cccc(CN(C)C2CCC(N(Cc3ccccn3)Cc3cc(C)c(C)c(C)n3)CC2)n1")</f>
        <v>Cc1cccc(CN(C)C2CCC(N(Cc3ccccn3)Cc3cc(C)c(C)c(C)n3)CC2)n1</v>
      </c>
      <c r="C5557" s="7">
        <f>IFERROR(__xludf.DUMMYFUNCTION("""COMPUTED_VALUE"""),7.7895136)</f>
        <v>7.7895136</v>
      </c>
      <c r="D5557" s="7">
        <f>IFERROR(__xludf.DUMMYFUNCTION("""COMPUTED_VALUE"""),0.446428571428571)</f>
        <v>0.4464285714</v>
      </c>
    </row>
    <row r="5558">
      <c r="A5558" s="10" t="s">
        <v>6997</v>
      </c>
      <c r="B5558" s="7" t="str">
        <f>IFERROR(__xludf.DUMMYFUNCTION("SPLIT(A5558,"" "")"),"CC1=CNC=CC1c1cccc(CN(Cc2ccccn2)C2CCCC(N(C)Cc3ccccn3)C2)n1")</f>
        <v>CC1=CNC=CC1c1cccc(CN(Cc2ccccn2)C2CCCC(N(C)Cc3ccccn3)C2)n1</v>
      </c>
      <c r="C5558" s="7">
        <f>IFERROR(__xludf.DUMMYFUNCTION("""COMPUTED_VALUE"""),7.7895117)</f>
        <v>7.7895117</v>
      </c>
      <c r="D5558" s="7">
        <f>IFERROR(__xludf.DUMMYFUNCTION("""COMPUTED_VALUE"""),0.40983606557377)</f>
        <v>0.4098360656</v>
      </c>
    </row>
    <row r="5559">
      <c r="A5559" s="10" t="s">
        <v>6998</v>
      </c>
      <c r="B5559" s="7" t="str">
        <f>IFERROR(__xludf.DUMMYFUNCTION("SPLIT(A5559,"" "")"),"CCNc1cc(C)c(CN(Cc2ccccn2)C2CCC(N(C)Cc3nc(C)c(C)c(C)c3C)CC2)cn1")</f>
        <v>CCNc1cc(C)c(CN(Cc2ccccn2)C2CCC(N(C)Cc3nc(C)c(C)c(C)c3C)CC2)cn1</v>
      </c>
      <c r="C5559" s="7">
        <f>IFERROR(__xludf.DUMMYFUNCTION("""COMPUTED_VALUE"""),7.7895036)</f>
        <v>7.7895036</v>
      </c>
      <c r="D5559" s="7">
        <f>IFERROR(__xludf.DUMMYFUNCTION("""COMPUTED_VALUE"""),0.338235294117647)</f>
        <v>0.3382352941</v>
      </c>
    </row>
    <row r="5560">
      <c r="A5560" s="10" t="s">
        <v>6999</v>
      </c>
      <c r="B5560" s="7" t="str">
        <f>IFERROR(__xludf.DUMMYFUNCTION("SPLIT(A5560,"" "")"),"CCNCc1ccccc1CN(C)Cc1ccccn1")</f>
        <v>CCNCc1ccccc1CN(C)Cc1ccccn1</v>
      </c>
      <c r="C5560" s="7">
        <f>IFERROR(__xludf.DUMMYFUNCTION("""COMPUTED_VALUE"""),7.789492)</f>
        <v>7.789492</v>
      </c>
      <c r="D5560" s="7">
        <f>IFERROR(__xludf.DUMMYFUNCTION("""COMPUTED_VALUE"""),0.5)</f>
        <v>0.5</v>
      </c>
    </row>
    <row r="5561">
      <c r="A5561" s="10" t="s">
        <v>7000</v>
      </c>
      <c r="B5561" s="7" t="str">
        <f>IFERROR(__xludf.DUMMYFUNCTION("SPLIT(A5561,"" "")"),"Cc1cc(CN(C)C2CCC(N(Cc3ccccn3)Cc3nc(C)c(C)c(C)c3C)CC2)ccn1")</f>
        <v>Cc1cc(CN(C)C2CCC(N(Cc3ccccn3)Cc3nc(C)c(C)c(C)c3C)CC2)ccn1</v>
      </c>
      <c r="C5561" s="7">
        <f>IFERROR(__xludf.DUMMYFUNCTION("""COMPUTED_VALUE"""),7.7894897)</f>
        <v>7.7894897</v>
      </c>
      <c r="D5561" s="7">
        <f>IFERROR(__xludf.DUMMYFUNCTION("""COMPUTED_VALUE"""),0.383333333333333)</f>
        <v>0.3833333333</v>
      </c>
    </row>
    <row r="5562">
      <c r="A5562" s="10" t="s">
        <v>7001</v>
      </c>
      <c r="B5562" s="7" t="str">
        <f>IFERROR(__xludf.DUMMYFUNCTION("SPLIT(A5562,"" "")"),"CN(Cc1cc(-c2ccc3c(c2)OCCOCCOCCOCCOCCO3)ccn1)C1CCCC(N(C)c2ccc3nc(CF)ccc3c2)C1")</f>
        <v>CN(Cc1cc(-c2ccc3c(c2)OCCOCCOCCOCCOCCO3)ccn1)C1CCCC(N(C)c2ccc3nc(CF)ccc3c2)C1</v>
      </c>
      <c r="C5562" s="7">
        <f>IFERROR(__xludf.DUMMYFUNCTION("""COMPUTED_VALUE"""),7.7894874)</f>
        <v>7.7894874</v>
      </c>
      <c r="D5562" s="7">
        <f>IFERROR(__xludf.DUMMYFUNCTION("""COMPUTED_VALUE"""),0.3625)</f>
        <v>0.3625</v>
      </c>
    </row>
    <row r="5563">
      <c r="A5563" s="10" t="s">
        <v>7002</v>
      </c>
      <c r="B5563" s="7" t="str">
        <f>IFERROR(__xludf.DUMMYFUNCTION("SPLIT(A5563,"" "")"),"CN(Cc1ncccc1-c1ccc2c(c1)OCCOCCOCCOCCOCCO2)C1CCCCC1N(C)c1ccc2nccc(CF)c2c1")</f>
        <v>CN(Cc1ncccc1-c1ccc2c(c1)OCCOCCOCCOCCOCCO2)C1CCCCC1N(C)c1ccc2nccc(CF)c2c1</v>
      </c>
      <c r="C5563" s="7">
        <f>IFERROR(__xludf.DUMMYFUNCTION("""COMPUTED_VALUE"""),7.789484)</f>
        <v>7.789484</v>
      </c>
      <c r="D5563" s="7">
        <f>IFERROR(__xludf.DUMMYFUNCTION("""COMPUTED_VALUE"""),0.302631578947368)</f>
        <v>0.3026315789</v>
      </c>
    </row>
    <row r="5564">
      <c r="A5564" s="10" t="s">
        <v>7003</v>
      </c>
      <c r="B5564" s="7" t="str">
        <f>IFERROR(__xludf.DUMMYFUNCTION("SPLIT(A5564,"" "")"),"CC(C)c1cc(CN(Cc2cc(-c3ccc4c(c3)OCCOCCOCCOCCOCCO4)ccn2)Cc2ncccc2C(C)(C)C)ccn1")</f>
        <v>CC(C)c1cc(CN(Cc2cc(-c3ccc4c(c3)OCCOCCOCCOCCOCCO4)ccn2)Cc2ncccc2C(C)(C)C)ccn1</v>
      </c>
      <c r="C5564" s="7">
        <f>IFERROR(__xludf.DUMMYFUNCTION("""COMPUTED_VALUE"""),7.7894807)</f>
        <v>7.7894807</v>
      </c>
      <c r="D5564" s="7">
        <f>IFERROR(__xludf.DUMMYFUNCTION("""COMPUTED_VALUE"""),0.304878048780487)</f>
        <v>0.3048780488</v>
      </c>
    </row>
    <row r="5565">
      <c r="A5565" s="10" t="s">
        <v>7004</v>
      </c>
      <c r="B5565" s="7" t="str">
        <f>IFERROR(__xludf.DUMMYFUNCTION("SPLIT(A5565,"" "")"),"CNCc1cccc(N(C)C2CCCC(N(Cc3ccc(C)nc3)Cc3ccccn3)C2)n1")</f>
        <v>CNCc1cccc(N(C)C2CCCC(N(Cc3ccc(C)nc3)Cc3ccccn3)C2)n1</v>
      </c>
      <c r="C5565" s="7">
        <f>IFERROR(__xludf.DUMMYFUNCTION("""COMPUTED_VALUE"""),7.789479)</f>
        <v>7.789479</v>
      </c>
      <c r="D5565" s="7">
        <f>IFERROR(__xludf.DUMMYFUNCTION("""COMPUTED_VALUE"""),0.353846153846153)</f>
        <v>0.3538461538</v>
      </c>
    </row>
    <row r="5566">
      <c r="A5566" s="10" t="s">
        <v>7005</v>
      </c>
      <c r="B5566" s="7" t="str">
        <f>IFERROR(__xludf.DUMMYFUNCTION("SPLIT(A5566,"" "")"),"CCCN(Cc1ccccn1)c1c(-c2cc(CN(Cc3ccccn3)Cc3ccccn3)ccn2)ccc2c1OCCOCCOCCOCCOCCO2")</f>
        <v>CCCN(Cc1ccccn1)c1c(-c2cc(CN(Cc3ccccn3)Cc3ccccn3)ccn2)ccc2c1OCCOCCOCCOCCOCCO2</v>
      </c>
      <c r="C5566" s="7">
        <f>IFERROR(__xludf.DUMMYFUNCTION("""COMPUTED_VALUE"""),7.7894735)</f>
        <v>7.7894735</v>
      </c>
      <c r="D5566" s="7">
        <f>IFERROR(__xludf.DUMMYFUNCTION("""COMPUTED_VALUE"""),0.338983050847457)</f>
        <v>0.3389830508</v>
      </c>
    </row>
    <row r="5567">
      <c r="A5567" s="10" t="s">
        <v>7006</v>
      </c>
      <c r="B5567" s="7" t="str">
        <f>IFERROR(__xludf.DUMMYFUNCTION("SPLIT(A5567,"" "")"),"CC(C)N(Cc1cccc(-c2ccc3c(c2)OCCOCCOCCOCCOCCO3)n1)C1CCC(N(C)c2ccc3nccc(CF)c3c2)CC1")</f>
        <v>CC(C)N(Cc1cccc(-c2ccc3c(c2)OCCOCCOCCOCCOCCO3)n1)C1CCC(N(C)c2ccc3nccc(CF)c3c2)CC1</v>
      </c>
      <c r="C5567" s="7">
        <f>IFERROR(__xludf.DUMMYFUNCTION("""COMPUTED_VALUE"""),7.7894673)</f>
        <v>7.7894673</v>
      </c>
      <c r="D5567" s="7">
        <f>IFERROR(__xludf.DUMMYFUNCTION("""COMPUTED_VALUE"""),0.295454545454545)</f>
        <v>0.2954545455</v>
      </c>
    </row>
    <row r="5568">
      <c r="A5568" s="10" t="s">
        <v>7007</v>
      </c>
      <c r="B5568" s="7" t="str">
        <f>IFERROR(__xludf.DUMMYFUNCTION("SPLIT(A5568,"" "")"),"C=Cc1ccc(CN(Cc2ccccn2)C2CCCC(N(C)Cc3cccc(C)n3)C2)nc1")</f>
        <v>C=Cc1ccc(CN(Cc2ccccn2)C2CCCC(N(C)Cc3cccc(C)n3)C2)nc1</v>
      </c>
      <c r="C5568" s="7">
        <f>IFERROR(__xludf.DUMMYFUNCTION("""COMPUTED_VALUE"""),7.789444)</f>
        <v>7.789444</v>
      </c>
      <c r="D5568" s="7">
        <f>IFERROR(__xludf.DUMMYFUNCTION("""COMPUTED_VALUE"""),0.440677966101694)</f>
        <v>0.4406779661</v>
      </c>
    </row>
    <row r="5569">
      <c r="A5569" s="10" t="s">
        <v>7008</v>
      </c>
      <c r="B5569" s="7" t="str">
        <f>IFERROR(__xludf.DUMMYFUNCTION("SPLIT(A5569,"" "")"),"Cc1ccc(CN(C)C2CCCC(N(Cc3ccccn3)Cc3nc(C)c(C)cc3C)C2)nc1")</f>
        <v>Cc1ccc(CN(C)C2CCCC(N(Cc3ccccn3)Cc3nc(C)c(C)cc3C)C2)nc1</v>
      </c>
      <c r="C5569" s="7">
        <f>IFERROR(__xludf.DUMMYFUNCTION("""COMPUTED_VALUE"""),7.7894425)</f>
        <v>7.7894425</v>
      </c>
      <c r="D5569" s="7">
        <f>IFERROR(__xludf.DUMMYFUNCTION("""COMPUTED_VALUE"""),0.433333333333333)</f>
        <v>0.4333333333</v>
      </c>
    </row>
    <row r="5570">
      <c r="A5570" s="10" t="s">
        <v>7009</v>
      </c>
      <c r="B5570" s="7" t="str">
        <f>IFERROR(__xludf.DUMMYFUNCTION("SPLIT(A5570,"" "")"),"Cc1ccc(CN(Cc2ccccn2)C2CCCC(N(C)Cc3cc(C)c(C)c(C)n3)C2)nc1")</f>
        <v>Cc1ccc(CN(Cc2ccccn2)C2CCCC(N(C)Cc3cc(C)c(C)c(C)n3)C2)nc1</v>
      </c>
      <c r="C5570" s="7">
        <f>IFERROR(__xludf.DUMMYFUNCTION("""COMPUTED_VALUE"""),7.7894344)</f>
        <v>7.7894344</v>
      </c>
      <c r="D5570" s="7">
        <f>IFERROR(__xludf.DUMMYFUNCTION("""COMPUTED_VALUE"""),0.440677966101694)</f>
        <v>0.4406779661</v>
      </c>
    </row>
    <row r="5571">
      <c r="A5571" s="10" t="s">
        <v>7010</v>
      </c>
      <c r="B5571" s="7" t="str">
        <f>IFERROR(__xludf.DUMMYFUNCTION("SPLIT(A5571,"" "")"),"CC1C=CC(C)C(C)(c2ncccc2CN(Cc2ccccn2)Cc2ccccn2)C1(C)C")</f>
        <v>CC1C=CC(C)C(C)(c2ncccc2CN(Cc2ccccn2)Cc2ccccn2)C1(C)C</v>
      </c>
      <c r="C5571" s="7">
        <f>IFERROR(__xludf.DUMMYFUNCTION("""COMPUTED_VALUE"""),7.789429)</f>
        <v>7.789429</v>
      </c>
      <c r="D5571" s="7">
        <f>IFERROR(__xludf.DUMMYFUNCTION("""COMPUTED_VALUE"""),0.476190476190476)</f>
        <v>0.4761904762</v>
      </c>
    </row>
    <row r="5572">
      <c r="A5572" s="10" t="s">
        <v>7011</v>
      </c>
      <c r="B5572" s="7" t="str">
        <f>IFERROR(__xludf.DUMMYFUNCTION("SPLIT(A5572,"" "")"),"Cc1ccc(CN(C)Cc2ccc(CN(C)C3CCC(N(C)Cc4nc(C)c(C)cc4C)CC3)cn2)nc1")</f>
        <v>Cc1ccc(CN(C)Cc2ccc(CN(C)C3CCC(N(C)Cc4nc(C)c(C)cc4C)CC3)cn2)nc1</v>
      </c>
      <c r="C5572" s="7">
        <f>IFERROR(__xludf.DUMMYFUNCTION("""COMPUTED_VALUE"""),7.789429)</f>
        <v>7.789429</v>
      </c>
      <c r="D5572" s="7">
        <f>IFERROR(__xludf.DUMMYFUNCTION("""COMPUTED_VALUE"""),0.436363636363636)</f>
        <v>0.4363636364</v>
      </c>
    </row>
    <row r="5573">
      <c r="A5573" s="10" t="s">
        <v>7012</v>
      </c>
      <c r="B5573" s="7" t="str">
        <f>IFERROR(__xludf.DUMMYFUNCTION("SPLIT(A5573,"" "")"),"Cc1cc(C)c(C)c(CN(Cc2ccccn2)C2CCCC(N(C)Cc3ncccc3C)C2)n1")</f>
        <v>Cc1cc(C)c(C)c(CN(Cc2ccccn2)C2CCCC(N(C)Cc3ncccc3C)C2)n1</v>
      </c>
      <c r="C5573" s="7">
        <f>IFERROR(__xludf.DUMMYFUNCTION("""COMPUTED_VALUE"""),7.789423)</f>
        <v>7.789423</v>
      </c>
      <c r="D5573" s="7">
        <f>IFERROR(__xludf.DUMMYFUNCTION("""COMPUTED_VALUE"""),0.4)</f>
        <v>0.4</v>
      </c>
    </row>
    <row r="5574">
      <c r="A5574" s="10" t="s">
        <v>7013</v>
      </c>
      <c r="B5574" s="7" t="str">
        <f>IFERROR(__xludf.DUMMYFUNCTION("SPLIT(A5574,"" "")"),"CNCC1C(N(C)Cc2nc(C)c(C)c(C)c2C)CCN1C(C)C")</f>
        <v>CNCC1C(N(C)Cc2nc(C)c(C)c(C)c2C)CCN1C(C)C</v>
      </c>
      <c r="C5574" s="7">
        <f>IFERROR(__xludf.DUMMYFUNCTION("""COMPUTED_VALUE"""),7.7894177)</f>
        <v>7.7894177</v>
      </c>
      <c r="D5574" s="7">
        <f>IFERROR(__xludf.DUMMYFUNCTION("""COMPUTED_VALUE"""),0.25)</f>
        <v>0.25</v>
      </c>
    </row>
    <row r="5575">
      <c r="A5575" s="10" t="s">
        <v>7014</v>
      </c>
      <c r="B5575" s="7" t="str">
        <f>IFERROR(__xludf.DUMMYFUNCTION("SPLIT(A5575,"" "")"),"Cc1cccnc1CN(Cc1cccc(F)n1)C1CCC(N(C)Cc2ncc(C)c(C)c2C)CC1")</f>
        <v>Cc1cccnc1CN(Cc1cccc(F)n1)C1CCC(N(C)Cc2ncc(C)c(C)c2C)CC1</v>
      </c>
      <c r="C5575" s="7">
        <f>IFERROR(__xludf.DUMMYFUNCTION("""COMPUTED_VALUE"""),7.789415)</f>
        <v>7.789415</v>
      </c>
      <c r="D5575" s="7">
        <f>IFERROR(__xludf.DUMMYFUNCTION("""COMPUTED_VALUE"""),0.32)</f>
        <v>0.32</v>
      </c>
    </row>
    <row r="5576">
      <c r="A5576" s="10" t="s">
        <v>7015</v>
      </c>
      <c r="B5576" s="7" t="str">
        <f>IFERROR(__xludf.DUMMYFUNCTION("SPLIT(A5576,"" "")"),"CC(N)C(C)N(C)CC1=CCC(N(C)Cc2ccccn2)=CN1")</f>
        <v>CC(N)C(C)N(C)CC1=CCC(N(C)Cc2ccccn2)=CN1</v>
      </c>
      <c r="C5576" s="7">
        <f>IFERROR(__xludf.DUMMYFUNCTION("""COMPUTED_VALUE"""),7.7894077)</f>
        <v>7.7894077</v>
      </c>
      <c r="D5576" s="7">
        <f>IFERROR(__xludf.DUMMYFUNCTION("""COMPUTED_VALUE"""),0.389830508474576)</f>
        <v>0.3898305085</v>
      </c>
    </row>
    <row r="5577">
      <c r="A5577" s="10" t="s">
        <v>7016</v>
      </c>
      <c r="B5577" s="7" t="str">
        <f>IFERROR(__xludf.DUMMYFUNCTION("SPLIT(A5577,"" "")"),"Cc1cncc(CN(Cc2ccccn2)C2CCCC(N(C)Cc3nc(C)c(C)c(C)c3C)C2)c1")</f>
        <v>Cc1cncc(CN(Cc2ccccn2)C2CCCC(N(C)Cc3nc(C)c(C)c(C)c3C)C2)c1</v>
      </c>
      <c r="C5577" s="7">
        <f>IFERROR(__xludf.DUMMYFUNCTION("""COMPUTED_VALUE"""),7.7894053)</f>
        <v>7.7894053</v>
      </c>
      <c r="D5577" s="7">
        <f>IFERROR(__xludf.DUMMYFUNCTION("""COMPUTED_VALUE"""),0.375)</f>
        <v>0.375</v>
      </c>
    </row>
    <row r="5578">
      <c r="A5578" s="10" t="s">
        <v>7017</v>
      </c>
      <c r="B5578" s="7" t="str">
        <f>IFERROR(__xludf.DUMMYFUNCTION("SPLIT(A5578,"" "")"),"CNCC1=C(N(C)C(C)C)CC=CN1")</f>
        <v>CNCC1=C(N(C)C(C)C)CC=CN1</v>
      </c>
      <c r="C5578" s="7">
        <f>IFERROR(__xludf.DUMMYFUNCTION("""COMPUTED_VALUE"""),7.7894015)</f>
        <v>7.7894015</v>
      </c>
      <c r="D5578" s="7">
        <f>IFERROR(__xludf.DUMMYFUNCTION("""COMPUTED_VALUE"""),0.183673469387755)</f>
        <v>0.1836734694</v>
      </c>
    </row>
    <row r="5579">
      <c r="A5579" s="10" t="s">
        <v>7018</v>
      </c>
      <c r="B5579" s="7" t="str">
        <f>IFERROR(__xludf.DUMMYFUNCTION("SPLIT(A5579,"" "")"),"CCN(Cc1cc(-c2ccc3c(c2)OCCOCCOCCOCCOCCO3)ccn1)C1CCC(N(C)c2ccc3nccc(CF)c3c2)CC1")</f>
        <v>CCN(Cc1cc(-c2ccc3c(c2)OCCOCCOCCOCCOCCO3)ccn1)C1CCC(N(C)c2ccc3nccc(CF)c3c2)CC1</v>
      </c>
      <c r="C5579" s="7">
        <f>IFERROR(__xludf.DUMMYFUNCTION("""COMPUTED_VALUE"""),7.78939)</f>
        <v>7.78939</v>
      </c>
      <c r="D5579" s="7">
        <f>IFERROR(__xludf.DUMMYFUNCTION("""COMPUTED_VALUE"""),0.325301204819277)</f>
        <v>0.3253012048</v>
      </c>
    </row>
    <row r="5580">
      <c r="A5580" s="10" t="s">
        <v>7019</v>
      </c>
      <c r="B5580" s="7" t="str">
        <f>IFERROR(__xludf.DUMMYFUNCTION("SPLIT(A5580,"" "")"),"CNC1C=C(Cl)C=CN1")</f>
        <v>CNC1C=C(Cl)C=CN1</v>
      </c>
      <c r="C5580" s="7">
        <f>IFERROR(__xludf.DUMMYFUNCTION("""COMPUTED_VALUE"""),7.789383)</f>
        <v>7.789383</v>
      </c>
      <c r="D5580" s="7">
        <f>IFERROR(__xludf.DUMMYFUNCTION("""COMPUTED_VALUE"""),0.14)</f>
        <v>0.14</v>
      </c>
    </row>
    <row r="5581">
      <c r="A5581" s="10" t="s">
        <v>7020</v>
      </c>
      <c r="B5581" s="7" t="str">
        <f>IFERROR(__xludf.DUMMYFUNCTION("SPLIT(A5581,"" "")"),"Cc1cnccc1CN(C)CCN(C)Cc1ccccn1")</f>
        <v>Cc1cnccc1CN(C)CCN(C)Cc1ccccn1</v>
      </c>
      <c r="C5581" s="7">
        <f>IFERROR(__xludf.DUMMYFUNCTION("""COMPUTED_VALUE"""),7.7893825)</f>
        <v>7.7893825</v>
      </c>
      <c r="D5581" s="7">
        <f>IFERROR(__xludf.DUMMYFUNCTION("""COMPUTED_VALUE"""),0.465116279069767)</f>
        <v>0.4651162791</v>
      </c>
    </row>
    <row r="5582">
      <c r="A5582" s="10" t="s">
        <v>7021</v>
      </c>
      <c r="B5582" s="7" t="str">
        <f>IFERROR(__xludf.DUMMYFUNCTION("SPLIT(A5582,"" "")"),"Cc1ccc(CN(C)C2CCC(N(Cc3cccc(F)n3)Cc3nc(C)c(C)cc3C)CC2)nc1")</f>
        <v>Cc1ccc(CN(C)C2CCC(N(Cc3cccc(F)n3)Cc3nc(C)c(C)cc3C)CC2)nc1</v>
      </c>
      <c r="C5582" s="7">
        <f>IFERROR(__xludf.DUMMYFUNCTION("""COMPUTED_VALUE"""),7.789358)</f>
        <v>7.789358</v>
      </c>
      <c r="D5582" s="7">
        <f>IFERROR(__xludf.DUMMYFUNCTION("""COMPUTED_VALUE"""),0.40983606557377)</f>
        <v>0.4098360656</v>
      </c>
    </row>
    <row r="5583">
      <c r="A5583" s="10" t="s">
        <v>7022</v>
      </c>
      <c r="B5583" s="7" t="str">
        <f>IFERROR(__xludf.DUMMYFUNCTION("SPLIT(A5583,"" "")"),"Cc1ccc(CN(Cc2ccccn2)C2CCCC(N(C)Cc3nc(C)c(C)cc3C)C2)nc1")</f>
        <v>Cc1ccc(CN(Cc2ccccn2)C2CCCC(N(C)Cc3nc(C)c(C)cc3C)C2)nc1</v>
      </c>
      <c r="C5583" s="7">
        <f>IFERROR(__xludf.DUMMYFUNCTION("""COMPUTED_VALUE"""),7.789355)</f>
        <v>7.789355</v>
      </c>
      <c r="D5583" s="7">
        <f>IFERROR(__xludf.DUMMYFUNCTION("""COMPUTED_VALUE"""),0.416666666666666)</f>
        <v>0.4166666667</v>
      </c>
    </row>
    <row r="5584">
      <c r="A5584" s="10" t="s">
        <v>7023</v>
      </c>
      <c r="B5584" s="7" t="str">
        <f>IFERROR(__xludf.DUMMYFUNCTION("SPLIT(A5584,"" "")"),"CN(C)C1=CCC(CN(C)C(C)(C)C)=CN1")</f>
        <v>CN(C)C1=CCC(CN(C)C(C)(C)C)=CN1</v>
      </c>
      <c r="C5584" s="7">
        <f>IFERROR(__xludf.DUMMYFUNCTION("""COMPUTED_VALUE"""),7.78933)</f>
        <v>7.78933</v>
      </c>
      <c r="D5584" s="7">
        <f>IFERROR(__xludf.DUMMYFUNCTION("""COMPUTED_VALUE"""),0.185185185185185)</f>
        <v>0.1851851852</v>
      </c>
    </row>
    <row r="5585">
      <c r="A5585" s="10" t="s">
        <v>7024</v>
      </c>
      <c r="B5585" s="7" t="str">
        <f>IFERROR(__xludf.DUMMYFUNCTION("SPLIT(A5585,"" "")"),"C=Nc1ccc(-c2ncccc2CN2CCN(C)CCN(C)CC2)cc1")</f>
        <v>C=Nc1ccc(-c2ncccc2CN2CCN(C)CCN(C)CC2)cc1</v>
      </c>
      <c r="C5585" s="7">
        <f>IFERROR(__xludf.DUMMYFUNCTION("""COMPUTED_VALUE"""),7.7893276)</f>
        <v>7.7893276</v>
      </c>
      <c r="D5585" s="7">
        <f>IFERROR(__xludf.DUMMYFUNCTION("""COMPUTED_VALUE"""),0.446808510638297)</f>
        <v>0.4468085106</v>
      </c>
    </row>
    <row r="5586">
      <c r="A5586" s="10" t="s">
        <v>7025</v>
      </c>
      <c r="B5586" s="7" t="str">
        <f>IFERROR(__xludf.DUMMYFUNCTION("SPLIT(A5586,"" "")"),"Cc1cc(CN(C)C2CCCCC2N(C)Cc2nc(C)c(C)c(C)c2C)nc(C)c1C")</f>
        <v>Cc1cc(CN(C)C2CCCCC2N(C)Cc2nc(C)c(C)c(C)c2C)nc(C)c1C</v>
      </c>
      <c r="C5586" s="7">
        <f>IFERROR(__xludf.DUMMYFUNCTION("""COMPUTED_VALUE"""),7.7893248)</f>
        <v>7.7893248</v>
      </c>
      <c r="D5586" s="7">
        <f>IFERROR(__xludf.DUMMYFUNCTION("""COMPUTED_VALUE"""),0.458333333333333)</f>
        <v>0.4583333333</v>
      </c>
    </row>
    <row r="5587">
      <c r="A5587" s="10" t="s">
        <v>7026</v>
      </c>
      <c r="B5587" s="7" t="str">
        <f>IFERROR(__xludf.DUMMYFUNCTION("SPLIT(A5587,"" "")"),"Cc1ccc(CN(C)C2CCCC(N(Cc3ccccn3)Cc3cc(C)c(C)c(C)n3)C2)nc1")</f>
        <v>Cc1ccc(CN(C)C2CCCC(N(Cc3ccccn3)Cc3cc(C)c(C)c(C)n3)C2)nc1</v>
      </c>
      <c r="C5587" s="7">
        <f>IFERROR(__xludf.DUMMYFUNCTION("""COMPUTED_VALUE"""),7.7893248)</f>
        <v>7.7893248</v>
      </c>
      <c r="D5587" s="7">
        <f>IFERROR(__xludf.DUMMYFUNCTION("""COMPUTED_VALUE"""),0.440677966101694)</f>
        <v>0.4406779661</v>
      </c>
    </row>
    <row r="5588">
      <c r="A5588" s="10" t="s">
        <v>7027</v>
      </c>
      <c r="B5588" s="7" t="str">
        <f>IFERROR(__xludf.DUMMYFUNCTION("SPLIT(A5588,"" "")"),"CN(Cc1ccc(-c2ccc3c(c2)OCCOCCOCCOCCOCCO3)cn1)C1CCCC(N(C)c2cccc3ccc(CF)nc23)C1")</f>
        <v>CN(Cc1ccc(-c2ccc3c(c2)OCCOCCOCCOCCOCCO3)cn1)C1CCCC(N(C)c2cccc3ccc(CF)nc23)C1</v>
      </c>
      <c r="C5588" s="7">
        <f>IFERROR(__xludf.DUMMYFUNCTION("""COMPUTED_VALUE"""),7.7893205)</f>
        <v>7.7893205</v>
      </c>
      <c r="D5588" s="7">
        <f>IFERROR(__xludf.DUMMYFUNCTION("""COMPUTED_VALUE"""),0.450704225352112)</f>
        <v>0.4507042254</v>
      </c>
    </row>
    <row r="5589">
      <c r="A5589" s="10" t="s">
        <v>7028</v>
      </c>
      <c r="B5589" s="7" t="str">
        <f>IFERROR(__xludf.DUMMYFUNCTION("SPLIT(A5589,"" "")"),"CNCCN(Cc1ccccn1)Cc1ncccc1N")</f>
        <v>CNCCN(Cc1ccccn1)Cc1ncccc1N</v>
      </c>
      <c r="C5589" s="7">
        <f>IFERROR(__xludf.DUMMYFUNCTION("""COMPUTED_VALUE"""),7.789307)</f>
        <v>7.789307</v>
      </c>
      <c r="D5589" s="7">
        <f>IFERROR(__xludf.DUMMYFUNCTION("""COMPUTED_VALUE"""),0.5)</f>
        <v>0.5</v>
      </c>
    </row>
    <row r="5590">
      <c r="A5590" s="10" t="s">
        <v>7029</v>
      </c>
      <c r="B5590" s="7" t="str">
        <f>IFERROR(__xludf.DUMMYFUNCTION("SPLIT(A5590,"" "")"),"CCNCCN(Cc1ccccn1)Cc1ncc(C)c(C)c1C")</f>
        <v>CCNCCN(Cc1ccccn1)Cc1ncc(C)c(C)c1C</v>
      </c>
      <c r="C5590" s="7">
        <f>IFERROR(__xludf.DUMMYFUNCTION("""COMPUTED_VALUE"""),7.7893004)</f>
        <v>7.7893004</v>
      </c>
      <c r="D5590" s="7">
        <f>IFERROR(__xludf.DUMMYFUNCTION("""COMPUTED_VALUE"""),0.468085106382978)</f>
        <v>0.4680851064</v>
      </c>
    </row>
    <row r="5591">
      <c r="A5591" s="10" t="s">
        <v>7030</v>
      </c>
      <c r="B5591" s="7" t="str">
        <f>IFERROR(__xludf.DUMMYFUNCTION("SPLIT(A5591,"" "")"),"Cc1cc(CN(C)C2CCCC(N(Cc3ccccn3)Cc3nc(C)c(C)cc3C)C2)ccn1")</f>
        <v>Cc1cc(CN(C)C2CCCC(N(Cc3ccccn3)Cc3nc(C)c(C)cc3C)C2)ccn1</v>
      </c>
      <c r="C5591" s="7">
        <f>IFERROR(__xludf.DUMMYFUNCTION("""COMPUTED_VALUE"""),7.789292)</f>
        <v>7.789292</v>
      </c>
      <c r="D5591" s="7">
        <f>IFERROR(__xludf.DUMMYFUNCTION("""COMPUTED_VALUE"""),0.387096774193548)</f>
        <v>0.3870967742</v>
      </c>
    </row>
    <row r="5592">
      <c r="A5592" s="10" t="s">
        <v>7031</v>
      </c>
      <c r="B5592" s="7" t="str">
        <f>IFERROR(__xludf.DUMMYFUNCTION("SPLIT(A5592,"" "")"),"CC1=CC(C)C(CN(C)CC2=C(N(C)Cc3cccc(C)n3)CC=CN2)CC1C")</f>
        <v>CC1=CC(C)C(CN(C)CC2=C(N(C)Cc3cccc(C)n3)CC=CN2)CC1C</v>
      </c>
      <c r="C5592" s="7">
        <f>IFERROR(__xludf.DUMMYFUNCTION("""COMPUTED_VALUE"""),7.789291)</f>
        <v>7.789291</v>
      </c>
      <c r="D5592" s="7">
        <f>IFERROR(__xludf.DUMMYFUNCTION("""COMPUTED_VALUE"""),0.35)</f>
        <v>0.35</v>
      </c>
    </row>
    <row r="5593">
      <c r="A5593" s="10" t="s">
        <v>7032</v>
      </c>
      <c r="B5593" s="7" t="str">
        <f>IFERROR(__xludf.DUMMYFUNCTION("SPLIT(A5593,"" "")"),"Cc1cc(CN(C)CCN)cnc1C")</f>
        <v>Cc1cc(CN(C)CCN)cnc1C</v>
      </c>
      <c r="C5593" s="7">
        <f>IFERROR(__xludf.DUMMYFUNCTION("""COMPUTED_VALUE"""),7.7892838)</f>
        <v>7.7892838</v>
      </c>
      <c r="D5593" s="7">
        <f>IFERROR(__xludf.DUMMYFUNCTION("""COMPUTED_VALUE"""),0.341463414634146)</f>
        <v>0.3414634146</v>
      </c>
    </row>
    <row r="5594">
      <c r="A5594" s="10" t="s">
        <v>7033</v>
      </c>
      <c r="B5594" s="7" t="str">
        <f>IFERROR(__xludf.DUMMYFUNCTION("SPLIT(A5594,"" "")"),"CC1=C(N(C)Cc2ccccn2)C(C)C(C)(C)CC1")</f>
        <v>CC1=C(N(C)Cc2ccccn2)C(C)C(C)(C)CC1</v>
      </c>
      <c r="C5594" s="7">
        <f>IFERROR(__xludf.DUMMYFUNCTION("""COMPUTED_VALUE"""),7.7892723)</f>
        <v>7.7892723</v>
      </c>
      <c r="D5594" s="7">
        <f>IFERROR(__xludf.DUMMYFUNCTION("""COMPUTED_VALUE"""),0.4375)</f>
        <v>0.4375</v>
      </c>
    </row>
    <row r="5595">
      <c r="A5595" s="10" t="s">
        <v>7034</v>
      </c>
      <c r="B5595" s="7" t="str">
        <f>IFERROR(__xludf.DUMMYFUNCTION("SPLIT(A5595,"" "")"),"Cc1cccnc1CN(C)CC1=CCC=C(N(C)Cc2cccc(-c3ccc4c(c3)OCCOCCOCCOCCOCCO4)n2)N1")</f>
        <v>Cc1cccnc1CN(C)CC1=CCC=C(N(C)Cc2cccc(-c3ccc4c(c3)OCCOCCOCCOCCOCCO4)n2)N1</v>
      </c>
      <c r="C5595" s="7">
        <f>IFERROR(__xludf.DUMMYFUNCTION("""COMPUTED_VALUE"""),7.789272)</f>
        <v>7.789272</v>
      </c>
      <c r="D5595" s="7">
        <f>IFERROR(__xludf.DUMMYFUNCTION("""COMPUTED_VALUE"""),0.306666666666666)</f>
        <v>0.3066666667</v>
      </c>
    </row>
    <row r="5596">
      <c r="A5596" s="10" t="s">
        <v>7035</v>
      </c>
      <c r="B5596" s="7" t="str">
        <f>IFERROR(__xludf.DUMMYFUNCTION("SPLIT(A5596,"" "")"),"Cc1cnccc1CN(C)C1CCCC(N(Cc2ccccn2)Cc2nc(C)c(C)c(C)c2C)C1")</f>
        <v>Cc1cnccc1CN(C)C1CCCC(N(Cc2ccccn2)Cc2nc(C)c(C)c(C)c2C)C1</v>
      </c>
      <c r="C5596" s="7">
        <f>IFERROR(__xludf.DUMMYFUNCTION("""COMPUTED_VALUE"""),7.7892685)</f>
        <v>7.7892685</v>
      </c>
      <c r="D5596" s="7">
        <f>IFERROR(__xludf.DUMMYFUNCTION("""COMPUTED_VALUE"""),0.38095238095238)</f>
        <v>0.380952381</v>
      </c>
    </row>
    <row r="5597">
      <c r="A5597" s="10" t="s">
        <v>7036</v>
      </c>
      <c r="B5597" s="7" t="str">
        <f>IFERROR(__xludf.DUMMYFUNCTION("SPLIT(A5597,"" "")"),"Cc1ccc(-c2ccc(CN3CCN(C)CCN(C)CC3)cn2)c(N)c1")</f>
        <v>Cc1ccc(-c2ccc(CN3CCN(C)CCN(C)CC3)cn2)c(N)c1</v>
      </c>
      <c r="C5597" s="7">
        <f>IFERROR(__xludf.DUMMYFUNCTION("""COMPUTED_VALUE"""),7.7892613)</f>
        <v>7.7892613</v>
      </c>
      <c r="D5597" s="7">
        <f>IFERROR(__xludf.DUMMYFUNCTION("""COMPUTED_VALUE"""),0.448979591836734)</f>
        <v>0.4489795918</v>
      </c>
    </row>
    <row r="5598">
      <c r="A5598" s="10" t="s">
        <v>7037</v>
      </c>
      <c r="B5598" s="7" t="str">
        <f>IFERROR(__xludf.DUMMYFUNCTION("SPLIT(A5598,"" "")"),"CN(Cc1cc(-c2ccc3c(c2)OCCOCCOCCOCCOCCO3)ccn1)C1CCCC(N(C)c2ccc3ccc(CF)nc3c2)C1")</f>
        <v>CN(Cc1cc(-c2ccc3c(c2)OCCOCCOCCOCCOCCO3)ccn1)C1CCCC(N(C)c2ccc3ccc(CF)nc3c2)C1</v>
      </c>
      <c r="C5598" s="7">
        <f>IFERROR(__xludf.DUMMYFUNCTION("""COMPUTED_VALUE"""),7.78926)</f>
        <v>7.78926</v>
      </c>
      <c r="D5598" s="7">
        <f>IFERROR(__xludf.DUMMYFUNCTION("""COMPUTED_VALUE"""),0.367088607594936)</f>
        <v>0.3670886076</v>
      </c>
    </row>
    <row r="5599">
      <c r="A5599" s="10" t="s">
        <v>7038</v>
      </c>
      <c r="B5599" s="7" t="str">
        <f>IFERROR(__xludf.DUMMYFUNCTION("SPLIT(A5599,"" "")"),"Cc1nc(CN(C)C2CCCC(N(Cc3ccccn3)Cc3cccc(F)n3)C2)c(C)c(C)c1C")</f>
        <v>Cc1nc(CN(C)C2CCCC(N(Cc3ccccn3)Cc3cccc(F)n3)C2)c(C)c(C)c1C</v>
      </c>
      <c r="C5599" s="7">
        <f>IFERROR(__xludf.DUMMYFUNCTION("""COMPUTED_VALUE"""),7.789252)</f>
        <v>7.789252</v>
      </c>
      <c r="D5599" s="7">
        <f>IFERROR(__xludf.DUMMYFUNCTION("""COMPUTED_VALUE"""),0.4)</f>
        <v>0.4</v>
      </c>
    </row>
    <row r="5600">
      <c r="A5600" s="10" t="s">
        <v>7039</v>
      </c>
      <c r="B5600" s="7" t="str">
        <f>IFERROR(__xludf.DUMMYFUNCTION("SPLIT(A5600,"" "")"),"Cc1nc(CN(C)C2CCCCC2N(Cc2cccnc2)Cc2ccon2)c(C)c(C)c1C")</f>
        <v>Cc1nc(CN(C)C2CCCCC2N(Cc2cccnc2)Cc2ccon2)c(C)c(C)c1C</v>
      </c>
      <c r="C5600" s="7">
        <f>IFERROR(__xludf.DUMMYFUNCTION("""COMPUTED_VALUE"""),7.7892427)</f>
        <v>7.7892427</v>
      </c>
      <c r="D5600" s="7">
        <f>IFERROR(__xludf.DUMMYFUNCTION("""COMPUTED_VALUE"""),0.359375)</f>
        <v>0.359375</v>
      </c>
    </row>
    <row r="5601">
      <c r="A5601" s="10" t="s">
        <v>7040</v>
      </c>
      <c r="B5601" s="7" t="str">
        <f>IFERROR(__xludf.DUMMYFUNCTION("SPLIT(A5601,"" "")"),"CNCc1cccc(CN(C)C2CCCCC2N(C)Cc2ccc3ncccc3c2)n1")</f>
        <v>CNCc1cccc(CN(C)C2CCCCC2N(C)Cc2ccc3ncccc3c2)n1</v>
      </c>
      <c r="C5601" s="7">
        <f>IFERROR(__xludf.DUMMYFUNCTION("""COMPUTED_VALUE"""),7.789241)</f>
        <v>7.789241</v>
      </c>
      <c r="D5601" s="7">
        <f>IFERROR(__xludf.DUMMYFUNCTION("""COMPUTED_VALUE"""),0.481481481481481)</f>
        <v>0.4814814815</v>
      </c>
    </row>
    <row r="5602">
      <c r="A5602" s="10" t="s">
        <v>7041</v>
      </c>
      <c r="B5602" s="7" t="str">
        <f>IFERROR(__xludf.DUMMYFUNCTION("SPLIT(A5602,"" "")"),"CC(C)c1cc(CN(Cc2cc(-c3ccc4c(c3)OCCOCCOCCOCCOCCO4)ccn2)Cc2cc(C(C)(C)C)ccn2)ccn1")</f>
        <v>CC(C)c1cc(CN(Cc2cc(-c3ccc4c(c3)OCCOCCOCCOCCOCCO4)ccn2)Cc2cc(C(C)(C)C)ccn2)ccn1</v>
      </c>
      <c r="C5602" s="7">
        <f>IFERROR(__xludf.DUMMYFUNCTION("""COMPUTED_VALUE"""),7.78924)</f>
        <v>7.78924</v>
      </c>
      <c r="D5602" s="7">
        <f>IFERROR(__xludf.DUMMYFUNCTION("""COMPUTED_VALUE"""),0.333333333333333)</f>
        <v>0.3333333333</v>
      </c>
    </row>
    <row r="5603">
      <c r="A5603" s="10" t="s">
        <v>7042</v>
      </c>
      <c r="B5603" s="7" t="str">
        <f>IFERROR(__xludf.DUMMYFUNCTION("SPLIT(A5603,"" "")"),"Cc1cccnc1CN(CCN(C)CCF)C1CCCCC1N(C)c1ccc2nc(CF)ccc2c1")</f>
        <v>Cc1cccnc1CN(CCN(C)CCF)C1CCCCC1N(C)c1ccc2nc(CF)ccc2c1</v>
      </c>
      <c r="C5603" s="7">
        <f>IFERROR(__xludf.DUMMYFUNCTION("""COMPUTED_VALUE"""),7.789239)</f>
        <v>7.789239</v>
      </c>
      <c r="D5603" s="7">
        <f>IFERROR(__xludf.DUMMYFUNCTION("""COMPUTED_VALUE"""),0.405797101449275)</f>
        <v>0.4057971014</v>
      </c>
    </row>
    <row r="5604">
      <c r="A5604" s="10" t="s">
        <v>7043</v>
      </c>
      <c r="B5604" s="7" t="str">
        <f>IFERROR(__xludf.DUMMYFUNCTION("SPLIT(A5604,"" "")"),"Cc1cccc(CN(C)C2CCC(N(Cc3ccccn3)Cc3nc(C)c(C)c(C)c3C)CC2)n1")</f>
        <v>Cc1cccc(CN(C)C2CCC(N(Cc3ccccn3)Cc3nc(C)c(C)c(C)c3C)CC2)n1</v>
      </c>
      <c r="C5604" s="7">
        <f>IFERROR(__xludf.DUMMYFUNCTION("""COMPUTED_VALUE"""),7.789222)</f>
        <v>7.789222</v>
      </c>
      <c r="D5604" s="7">
        <f>IFERROR(__xludf.DUMMYFUNCTION("""COMPUTED_VALUE"""),0.446428571428571)</f>
        <v>0.4464285714</v>
      </c>
    </row>
    <row r="5605">
      <c r="A5605" s="10" t="s">
        <v>7044</v>
      </c>
      <c r="B5605" s="7" t="str">
        <f>IFERROR(__xludf.DUMMYFUNCTION("SPLIT(A5605,"" "")"),"Cc1ccc(CN(C)CCN(C)C)cn1")</f>
        <v>Cc1ccc(CN(C)CCN(C)C)cn1</v>
      </c>
      <c r="C5605" s="7">
        <f>IFERROR(__xludf.DUMMYFUNCTION("""COMPUTED_VALUE"""),7.789221)</f>
        <v>7.789221</v>
      </c>
      <c r="D5605" s="7">
        <f>IFERROR(__xludf.DUMMYFUNCTION("""COMPUTED_VALUE"""),0.432432432432432)</f>
        <v>0.4324324324</v>
      </c>
    </row>
    <row r="5606">
      <c r="A5606" s="10" t="s">
        <v>7045</v>
      </c>
      <c r="B5606" s="7" t="str">
        <f>IFERROR(__xludf.DUMMYFUNCTION("SPLIT(A5606,"" "")"),"Cc1ccnc(CN(Cc2cc(C(C)C(C)C)ccn2)CC(C)(C)C)c1")</f>
        <v>Cc1ccnc(CN(Cc2cc(C(C)C(C)C)ccn2)CC(C)(C)C)c1</v>
      </c>
      <c r="C5606" s="7">
        <f>IFERROR(__xludf.DUMMYFUNCTION("""COMPUTED_VALUE"""),7.789213)</f>
        <v>7.789213</v>
      </c>
      <c r="D5606" s="7">
        <f>IFERROR(__xludf.DUMMYFUNCTION("""COMPUTED_VALUE"""),0.446808510638297)</f>
        <v>0.4468085106</v>
      </c>
    </row>
    <row r="5607">
      <c r="A5607" s="10" t="s">
        <v>7046</v>
      </c>
      <c r="B5607" s="7" t="str">
        <f>IFERROR(__xludf.DUMMYFUNCTION("SPLIT(A5607,"" "")"),"CN(C)Cc1ccc2cc(N(C)C3CCCCC3N(C)Cc3cccc(-c4ccc5c(c4)OCCOCCOCCOCCOCCO5)n3)ccc2n1")</f>
        <v>CN(C)Cc1ccc2cc(N(C)C3CCCCC3N(C)Cc3cccc(-c4ccc5c(c4)OCCOCCOCCOCCOCCO5)n3)ccc2n1</v>
      </c>
      <c r="C5607" s="7">
        <f>IFERROR(__xludf.DUMMYFUNCTION("""COMPUTED_VALUE"""),7.7892084)</f>
        <v>7.7892084</v>
      </c>
      <c r="D5607" s="7">
        <f>IFERROR(__xludf.DUMMYFUNCTION("""COMPUTED_VALUE"""),0.38235294117647)</f>
        <v>0.3823529412</v>
      </c>
    </row>
    <row r="5608">
      <c r="A5608" s="10" t="s">
        <v>7047</v>
      </c>
      <c r="B5608" s="7" t="str">
        <f>IFERROR(__xludf.DUMMYFUNCTION("SPLIT(A5608,"" "")"),"Cc1cccnc1CN(C)C1CCC(N(Cc2ccccn2)Cc2nc(C)c(C)c(C)c2C)CC1")</f>
        <v>Cc1cccnc1CN(C)C1CCC(N(Cc2ccccn2)Cc2nc(C)c(C)c(C)c2C)CC1</v>
      </c>
      <c r="C5608" s="7">
        <f>IFERROR(__xludf.DUMMYFUNCTION("""COMPUTED_VALUE"""),7.789206)</f>
        <v>7.789206</v>
      </c>
      <c r="D5608" s="7">
        <f>IFERROR(__xludf.DUMMYFUNCTION("""COMPUTED_VALUE"""),0.403508771929824)</f>
        <v>0.4035087719</v>
      </c>
    </row>
    <row r="5609">
      <c r="A5609" s="10" t="s">
        <v>7048</v>
      </c>
      <c r="B5609" s="7" t="str">
        <f>IFERROR(__xludf.DUMMYFUNCTION("SPLIT(A5609,"" "")"),"CNCc1cccc(CN(Cc2cccc(N)n2)C2CCC(N(C)Cc3nc(C)c(C)c(C)c3C)CC2)n1")</f>
        <v>CNCc1cccc(CN(Cc2cccc(N)n2)C2CCC(N(C)Cc3nc(C)c(C)c(C)c3C)CC2)n1</v>
      </c>
      <c r="C5609" s="7">
        <f>IFERROR(__xludf.DUMMYFUNCTION("""COMPUTED_VALUE"""),7.789203)</f>
        <v>7.789203</v>
      </c>
      <c r="D5609" s="7">
        <f>IFERROR(__xludf.DUMMYFUNCTION("""COMPUTED_VALUE"""),0.317460317460317)</f>
        <v>0.3174603175</v>
      </c>
    </row>
    <row r="5610">
      <c r="A5610" s="10" t="s">
        <v>7049</v>
      </c>
      <c r="B5610" s="7" t="str">
        <f>IFERROR(__xludf.DUMMYFUNCTION("SPLIT(A5610,"" "")"),"CN(CCNCc1ncccc1C(C)(C)C)Cc1ccccn1")</f>
        <v>CN(CCNCc1ncccc1C(C)(C)C)Cc1ccccn1</v>
      </c>
      <c r="C5610" s="7">
        <f>IFERROR(__xludf.DUMMYFUNCTION("""COMPUTED_VALUE"""),7.789202)</f>
        <v>7.789202</v>
      </c>
      <c r="D5610" s="7">
        <f>IFERROR(__xludf.DUMMYFUNCTION("""COMPUTED_VALUE"""),0.422222222222222)</f>
        <v>0.4222222222</v>
      </c>
    </row>
    <row r="5611">
      <c r="A5611" s="10" t="s">
        <v>7050</v>
      </c>
      <c r="B5611" s="7" t="str">
        <f>IFERROR(__xludf.DUMMYFUNCTION("SPLIT(A5611,"" "")"),"CN(Cc1cc(-c2ccc3c(c2)OCCOCCOCCOCCOCCO3)ccn1)Cc1cc(N(C)C)ccn1")</f>
        <v>CN(Cc1cc(-c2ccc3c(c2)OCCOCCOCCOCCOCCO3)ccn1)Cc1cc(N(C)C)ccn1</v>
      </c>
      <c r="C5611" s="7">
        <f>IFERROR(__xludf.DUMMYFUNCTION("""COMPUTED_VALUE"""),7.789191)</f>
        <v>7.789191</v>
      </c>
      <c r="D5611" s="7">
        <f>IFERROR(__xludf.DUMMYFUNCTION("""COMPUTED_VALUE"""),0.396825396825396)</f>
        <v>0.3968253968</v>
      </c>
    </row>
    <row r="5612">
      <c r="A5612" s="10" t="s">
        <v>7051</v>
      </c>
      <c r="B5612" s="7" t="str">
        <f>IFERROR(__xludf.DUMMYFUNCTION("SPLIT(A5612,"" "")"),"CN(Cc1ncccc1-c1cccc2c1OCCOCCOCCOCCOCCO2)C1CCCC(N(C)c2cccc3ncccc23)C1")</f>
        <v>CN(Cc1ncccc1-c1cccc2c1OCCOCCOCCOCCOCCO2)C1CCCC(N(C)c2cccc3ncccc23)C1</v>
      </c>
      <c r="C5612" s="7">
        <f>IFERROR(__xludf.DUMMYFUNCTION("""COMPUTED_VALUE"""),7.7891874)</f>
        <v>7.7891874</v>
      </c>
      <c r="D5612" s="7">
        <f>IFERROR(__xludf.DUMMYFUNCTION("""COMPUTED_VALUE"""),0.277777777777777)</f>
        <v>0.2777777778</v>
      </c>
    </row>
    <row r="5613">
      <c r="A5613" s="10" t="s">
        <v>7052</v>
      </c>
      <c r="B5613" s="7" t="str">
        <f>IFERROR(__xludf.DUMMYFUNCTION("SPLIT(A5613,"" "")"),"Cc1cccnc1CN(C)C1=CC=CC(NCCN(C)C(C)C)N1")</f>
        <v>Cc1cccnc1CN(C)C1=CC=CC(NCCN(C)C(C)C)N1</v>
      </c>
      <c r="C5613" s="7">
        <f>IFERROR(__xludf.DUMMYFUNCTION("""COMPUTED_VALUE"""),7.789187)</f>
        <v>7.789187</v>
      </c>
      <c r="D5613" s="7">
        <f>IFERROR(__xludf.DUMMYFUNCTION("""COMPUTED_VALUE"""),0.258064516129032)</f>
        <v>0.2580645161</v>
      </c>
    </row>
    <row r="5614">
      <c r="A5614" s="10" t="s">
        <v>7053</v>
      </c>
      <c r="B5614" s="7" t="str">
        <f>IFERROR(__xludf.DUMMYFUNCTION("SPLIT(A5614,"" "")"),"CNC1C(N(C)Cc2ccc(Cl)cn2)CCCC1N(Cc1ccc(Cl)cn1)Cc1cc(C)c(C)cn1")</f>
        <v>CNC1C(N(C)Cc2ccc(Cl)cn2)CCCC1N(Cc1ccc(Cl)cn1)Cc1cc(C)c(C)cn1</v>
      </c>
      <c r="C5614" s="7">
        <f>IFERROR(__xludf.DUMMYFUNCTION("""COMPUTED_VALUE"""),7.789184)</f>
        <v>7.789184</v>
      </c>
      <c r="D5614" s="7">
        <f>IFERROR(__xludf.DUMMYFUNCTION("""COMPUTED_VALUE"""),0.462962962962962)</f>
        <v>0.462962963</v>
      </c>
    </row>
    <row r="5615">
      <c r="A5615" s="10" t="s">
        <v>7054</v>
      </c>
      <c r="B5615" s="7" t="str">
        <f>IFERROR(__xludf.DUMMYFUNCTION("SPLIT(A5615,"" "")"),"CNC1C(N(Cc2ccccn2)Cc2ccccn2)CCCC1N(Cc1ccccn1)c1cccc(F)c1")</f>
        <v>CNC1C(N(Cc2ccccn2)Cc2ccccn2)CCCC1N(Cc1ccccn1)c1cccc(F)c1</v>
      </c>
      <c r="C5615" s="7">
        <f>IFERROR(__xludf.DUMMYFUNCTION("""COMPUTED_VALUE"""),7.7891808)</f>
        <v>7.7891808</v>
      </c>
      <c r="D5615" s="7">
        <f>IFERROR(__xludf.DUMMYFUNCTION("""COMPUTED_VALUE"""),0.436363636363636)</f>
        <v>0.4363636364</v>
      </c>
    </row>
    <row r="5616">
      <c r="A5616" s="10" t="s">
        <v>7055</v>
      </c>
      <c r="B5616" s="7" t="str">
        <f>IFERROR(__xludf.DUMMYFUNCTION("SPLIT(A5616,"" "")"),"Cc1cnc(CN(CCN(C)C(C)C)Cc2ncccc2C)cc1C")</f>
        <v>Cc1cnc(CN(CCN(C)C(C)C)Cc2ncccc2C)cc1C</v>
      </c>
      <c r="C5616" s="7">
        <f>IFERROR(__xludf.DUMMYFUNCTION("""COMPUTED_VALUE"""),7.7891774)</f>
        <v>7.7891774</v>
      </c>
      <c r="D5616" s="7">
        <f>IFERROR(__xludf.DUMMYFUNCTION("""COMPUTED_VALUE"""),0.4)</f>
        <v>0.4</v>
      </c>
    </row>
    <row r="5617">
      <c r="A5617" s="10" t="s">
        <v>7056</v>
      </c>
      <c r="B5617" s="7" t="str">
        <f>IFERROR(__xludf.DUMMYFUNCTION("SPLIT(A5617,"" "")"),"Cc1cccc(N)c1-c1ncccc1CN1CCN(C)CCN(C)CC1")</f>
        <v>Cc1cccc(N)c1-c1ncccc1CN1CCN(C)CCN(C)CC1</v>
      </c>
      <c r="C5617" s="7">
        <f>IFERROR(__xludf.DUMMYFUNCTION("""COMPUTED_VALUE"""),7.789176)</f>
        <v>7.789176</v>
      </c>
      <c r="D5617" s="7">
        <f>IFERROR(__xludf.DUMMYFUNCTION("""COMPUTED_VALUE"""),0.446808510638297)</f>
        <v>0.4468085106</v>
      </c>
    </row>
    <row r="5618">
      <c r="A5618" s="10" t="s">
        <v>7057</v>
      </c>
      <c r="B5618" s="7" t="str">
        <f>IFERROR(__xludf.DUMMYFUNCTION("SPLIT(A5618,"" "")"),"CCN(C)Cc1cc(C(C)(C)C)ccn1")</f>
        <v>CCN(C)Cc1cc(C(C)(C)C)ccn1</v>
      </c>
      <c r="C5618" s="7">
        <f>IFERROR(__xludf.DUMMYFUNCTION("""COMPUTED_VALUE"""),7.78917)</f>
        <v>7.78917</v>
      </c>
      <c r="D5618" s="7">
        <f>IFERROR(__xludf.DUMMYFUNCTION("""COMPUTED_VALUE"""),0.326086956521739)</f>
        <v>0.3260869565</v>
      </c>
    </row>
    <row r="5619">
      <c r="A5619" s="10" t="s">
        <v>7058</v>
      </c>
      <c r="B5619" s="7" t="str">
        <f>IFERROR(__xludf.DUMMYFUNCTION("SPLIT(A5619,"" "")"),"Cc1ccc(CN(Cc2cc([SiH3])cc([SiH3])n2)C2CCCCC2N(C)Cc2ccc([SiH3])c([SiH3])n2)nc1C")</f>
        <v>Cc1ccc(CN(Cc2cc([SiH3])cc([SiH3])n2)C2CCCCC2N(C)Cc2ccc([SiH3])c([SiH3])n2)nc1C</v>
      </c>
      <c r="C5619" s="7">
        <f>IFERROR(__xludf.DUMMYFUNCTION("""COMPUTED_VALUE"""),7.789165)</f>
        <v>7.789165</v>
      </c>
      <c r="D5619" s="7">
        <f>IFERROR(__xludf.DUMMYFUNCTION("""COMPUTED_VALUE"""),0.43103448275862)</f>
        <v>0.4310344828</v>
      </c>
    </row>
    <row r="5620">
      <c r="A5620" s="10" t="s">
        <v>7059</v>
      </c>
      <c r="B5620" s="7" t="str">
        <f>IFERROR(__xludf.DUMMYFUNCTION("SPLIT(A5620,"" "")"),"CC1=CC(C)=C(CN(C)Cc2ccccn2)CC1C(C)(C)C")</f>
        <v>CC1=CC(C)=C(CN(C)Cc2ccccn2)CC1C(C)(C)C</v>
      </c>
      <c r="C5620" s="7">
        <f>IFERROR(__xludf.DUMMYFUNCTION("""COMPUTED_VALUE"""),7.789152)</f>
        <v>7.789152</v>
      </c>
      <c r="D5620" s="7">
        <f>IFERROR(__xludf.DUMMYFUNCTION("""COMPUTED_VALUE"""),0.431372549019607)</f>
        <v>0.431372549</v>
      </c>
    </row>
    <row r="5621">
      <c r="A5621" s="10" t="s">
        <v>7060</v>
      </c>
      <c r="B5621" s="7" t="str">
        <f>IFERROR(__xludf.DUMMYFUNCTION("SPLIT(A5621,"" "")"),"Cc1ccc(N(C)C2C=CC=CN2)c(N(C)C2CCCCC2)c1Cl")</f>
        <v>Cc1ccc(N(C)C2C=CC=CN2)c(N(C)C2CCCCC2)c1Cl</v>
      </c>
      <c r="C5621" s="7">
        <f>IFERROR(__xludf.DUMMYFUNCTION("""COMPUTED_VALUE"""),7.7891517)</f>
        <v>7.7891517</v>
      </c>
      <c r="D5621" s="7">
        <f>IFERROR(__xludf.DUMMYFUNCTION("""COMPUTED_VALUE"""),0.21875)</f>
        <v>0.21875</v>
      </c>
    </row>
    <row r="5622">
      <c r="A5622" s="10" t="s">
        <v>7061</v>
      </c>
      <c r="B5622" s="7" t="str">
        <f>IFERROR(__xludf.DUMMYFUNCTION("SPLIT(A5622,"" "")"),"CN(CCF)CCN(Cc1ccccn1)C1CCCC(N(C)c2ccc3ccc(CF)nc3c2)C1")</f>
        <v>CN(CCF)CCN(Cc1ccccn1)C1CCCC(N(C)c2ccc3ccc(CF)nc3c2)C1</v>
      </c>
      <c r="C5622" s="7">
        <f>IFERROR(__xludf.DUMMYFUNCTION("""COMPUTED_VALUE"""),7.789151)</f>
        <v>7.789151</v>
      </c>
      <c r="D5622" s="7">
        <f>IFERROR(__xludf.DUMMYFUNCTION("""COMPUTED_VALUE"""),0.375)</f>
        <v>0.375</v>
      </c>
    </row>
    <row r="5623">
      <c r="A5623" s="10" t="s">
        <v>7062</v>
      </c>
      <c r="B5623" s="7" t="str">
        <f>IFERROR(__xludf.DUMMYFUNCTION("SPLIT(A5623,"" "")"),"CNC(C)(C)c1cc(CN(Cc2ccccn2)C2CCC(N(C)Cc3nc(C)c(C)c(C)c3C)CC2)ccn1")</f>
        <v>CNC(C)(C)c1cc(CN(Cc2ccccn2)C2CCC(N(C)Cc3nc(C)c(C)c(C)c3C)CC2)ccn1</v>
      </c>
      <c r="C5623" s="7">
        <f>IFERROR(__xludf.DUMMYFUNCTION("""COMPUTED_VALUE"""),7.7891436)</f>
        <v>7.7891436</v>
      </c>
      <c r="D5623" s="7">
        <f>IFERROR(__xludf.DUMMYFUNCTION("""COMPUTED_VALUE"""),0.338235294117647)</f>
        <v>0.3382352941</v>
      </c>
    </row>
    <row r="5624">
      <c r="A5624" s="10" t="s">
        <v>7063</v>
      </c>
      <c r="B5624" s="7" t="str">
        <f>IFERROR(__xludf.DUMMYFUNCTION("SPLIT(A5624,"" "")"),"CCOC(C)c1cccc(CNCc2cccc(-c3cccc(CN4CCN(C)CCN(C)CC4)n3)n2)n1")</f>
        <v>CCOC(C)c1cccc(CNCc2cccc(-c3cccc(CN4CCN(C)CCN(C)CC4)n3)n2)n1</v>
      </c>
      <c r="C5624" s="7">
        <f>IFERROR(__xludf.DUMMYFUNCTION("""COMPUTED_VALUE"""),7.789138)</f>
        <v>7.789138</v>
      </c>
      <c r="D5624" s="7">
        <f>IFERROR(__xludf.DUMMYFUNCTION("""COMPUTED_VALUE"""),0.48076923076923)</f>
        <v>0.4807692308</v>
      </c>
    </row>
    <row r="5625">
      <c r="A5625" s="10" t="s">
        <v>7064</v>
      </c>
      <c r="B5625" s="7" t="str">
        <f>IFERROR(__xludf.DUMMYFUNCTION("SPLIT(A5625,"" "")"),"CNC1C(N(C)Cc2ccc(Cl)cn2)CCCC1N(Cc1ccc(Cl)cn1)Cc1ccc(Cl)cn1")</f>
        <v>CNC1C(N(C)Cc2ccc(Cl)cn2)CCCC1N(Cc1ccc(Cl)cn1)Cc1ccc(Cl)cn1</v>
      </c>
      <c r="C5625" s="7">
        <f>IFERROR(__xludf.DUMMYFUNCTION("""COMPUTED_VALUE"""),7.7891226)</f>
        <v>7.7891226</v>
      </c>
      <c r="D5625" s="7">
        <f>IFERROR(__xludf.DUMMYFUNCTION("""COMPUTED_VALUE"""),0.5)</f>
        <v>0.5</v>
      </c>
    </row>
    <row r="5626">
      <c r="A5626" s="10" t="s">
        <v>7065</v>
      </c>
      <c r="B5626" s="7" t="str">
        <f>IFERROR(__xludf.DUMMYFUNCTION("SPLIT(A5626,"" "")"),"Cc1cccnc1CN(C)C1CCC(N(Cc2ccccn2)Cc2cccc(C(C)(c3cccnc3)C(C)C)n2)CC1")</f>
        <v>Cc1cccnc1CN(C)C1CCC(N(Cc2ccccn2)Cc2cccc(C(C)(c3cccnc3)C(C)C)n2)CC1</v>
      </c>
      <c r="C5626" s="7">
        <f>IFERROR(__xludf.DUMMYFUNCTION("""COMPUTED_VALUE"""),7.78912)</f>
        <v>7.78912</v>
      </c>
      <c r="D5626" s="7">
        <f>IFERROR(__xludf.DUMMYFUNCTION("""COMPUTED_VALUE"""),0.328571428571428)</f>
        <v>0.3285714286</v>
      </c>
    </row>
    <row r="5627">
      <c r="A5627" s="10" t="s">
        <v>7066</v>
      </c>
      <c r="B5627" s="7" t="str">
        <f>IFERROR(__xludf.DUMMYFUNCTION("SPLIT(A5627,"" "")"),"COC(=O)C1CN(C)C(C(=O)c2cc(CN3CCN(C)CCN(C)CC3)ccn2)C(c2ccccn2)C1c1ccccn1")</f>
        <v>COC(=O)C1CN(C)C(C(=O)c2cc(CN3CCN(C)CCN(C)CC3)ccn2)C(c2ccccn2)C1c1ccccn1</v>
      </c>
      <c r="C5627" s="7">
        <f>IFERROR(__xludf.DUMMYFUNCTION("""COMPUTED_VALUE"""),7.789117)</f>
        <v>7.789117</v>
      </c>
      <c r="D5627" s="7">
        <f>IFERROR(__xludf.DUMMYFUNCTION("""COMPUTED_VALUE"""),0.359375)</f>
        <v>0.359375</v>
      </c>
    </row>
    <row r="5628">
      <c r="A5628" s="10" t="s">
        <v>7067</v>
      </c>
      <c r="B5628" s="7" t="str">
        <f>IFERROR(__xludf.DUMMYFUNCTION("SPLIT(A5628,"" "")"),"Cc1nc(CN(Cc2cccc(-c3ccc4c(c3)OCCOCCOCCOCCOCCO4)n2)C(C)(c2cccnc2)C(C)C)c(C)c(C)c1C")</f>
        <v>Cc1nc(CN(Cc2cccc(-c3ccc4c(c3)OCCOCCOCCOCCOCCO4)n2)C(C)(c2cccnc2)C(C)C)c(C)c(C)c1C</v>
      </c>
      <c r="C5628" s="7">
        <f>IFERROR(__xludf.DUMMYFUNCTION("""COMPUTED_VALUE"""),7.7891145)</f>
        <v>7.7891145</v>
      </c>
      <c r="D5628" s="7">
        <f>IFERROR(__xludf.DUMMYFUNCTION("""COMPUTED_VALUE"""),0.272727272727272)</f>
        <v>0.2727272727</v>
      </c>
    </row>
    <row r="5629">
      <c r="A5629" s="10" t="s">
        <v>7068</v>
      </c>
      <c r="B5629" s="7" t="str">
        <f>IFERROR(__xludf.DUMMYFUNCTION("SPLIT(A5629,"" "")"),"CCNC1CC(N(Cc2ccccn2)Cc2cccc(C)n2)CC(N(Cc2ccccn2)C(C)(C)c2ccccn2)C1")</f>
        <v>CCNC1CC(N(Cc2ccccn2)Cc2cccc(C)n2)CC(N(Cc2ccccn2)C(C)(C)c2ccccn2)C1</v>
      </c>
      <c r="C5629" s="7">
        <f>IFERROR(__xludf.DUMMYFUNCTION("""COMPUTED_VALUE"""),7.7891135)</f>
        <v>7.7891135</v>
      </c>
      <c r="D5629" s="7">
        <f>IFERROR(__xludf.DUMMYFUNCTION("""COMPUTED_VALUE"""),0.328571428571428)</f>
        <v>0.3285714286</v>
      </c>
    </row>
    <row r="5630">
      <c r="A5630" s="10" t="s">
        <v>7069</v>
      </c>
      <c r="B5630" s="7" t="str">
        <f>IFERROR(__xludf.DUMMYFUNCTION("SPLIT(A5630,"" "")"),"CN(C)Cc1cccnc1N(C)Cc1cccc(-c2cccc3c2OCCOCCOCCOCCOCCO3)n1")</f>
        <v>CN(C)Cc1cccnc1N(C)Cc1cccc(-c2cccc3c2OCCOCCOCCOCCOCCO3)n1</v>
      </c>
      <c r="C5630" s="7">
        <f>IFERROR(__xludf.DUMMYFUNCTION("""COMPUTED_VALUE"""),7.789112)</f>
        <v>7.789112</v>
      </c>
      <c r="D5630" s="7">
        <f>IFERROR(__xludf.DUMMYFUNCTION("""COMPUTED_VALUE"""),0.333333333333333)</f>
        <v>0.3333333333</v>
      </c>
    </row>
    <row r="5631">
      <c r="A5631" s="10" t="s">
        <v>7070</v>
      </c>
      <c r="B5631" s="7" t="str">
        <f>IFERROR(__xludf.DUMMYFUNCTION("SPLIT(A5631,"" "")"),"CNCCN(Cc1ccccn1)C(C)(N)c1ccccn1")</f>
        <v>CNCCN(Cc1ccccn1)C(C)(N)c1ccccn1</v>
      </c>
      <c r="C5631" s="7">
        <f>IFERROR(__xludf.DUMMYFUNCTION("""COMPUTED_VALUE"""),7.789111)</f>
        <v>7.789111</v>
      </c>
      <c r="D5631" s="7">
        <f>IFERROR(__xludf.DUMMYFUNCTION("""COMPUTED_VALUE"""),0.446808510638297)</f>
        <v>0.4468085106</v>
      </c>
    </row>
    <row r="5632">
      <c r="A5632" s="10" t="s">
        <v>7071</v>
      </c>
      <c r="B5632" s="7" t="str">
        <f>IFERROR(__xludf.DUMMYFUNCTION("SPLIT(A5632,"" "")"),"Cc1ccc(C)c(CN(Cc2cccc(-c3ccc4c(c3)OCCOCCOCCOCCOCCO4)n2)Cc2cccc(C(C)C)n2)n1")</f>
        <v>Cc1ccc(C)c(CN(Cc2cccc(-c3ccc4c(c3)OCCOCCOCCOCCOCCO4)n2)Cc2cccc(C(C)C)n2)n1</v>
      </c>
      <c r="C5632" s="7">
        <f>IFERROR(__xludf.DUMMYFUNCTION("""COMPUTED_VALUE"""),7.7891083)</f>
        <v>7.7891083</v>
      </c>
      <c r="D5632" s="7">
        <f>IFERROR(__xludf.DUMMYFUNCTION("""COMPUTED_VALUE"""),0.328767123287671)</f>
        <v>0.3287671233</v>
      </c>
    </row>
    <row r="5633">
      <c r="A5633" s="10" t="s">
        <v>7072</v>
      </c>
      <c r="B5633" s="7" t="str">
        <f>IFERROR(__xludf.DUMMYFUNCTION("SPLIT(A5633,"" "")"),"Cc1ncccc1CN(C)C1CCCC(N(Cc2ccccn2)Cc2nc(C)c(C)c(C)c2C)C1")</f>
        <v>Cc1ncccc1CN(C)C1CCCC(N(Cc2ccccn2)Cc2nc(C)c(C)c(C)c2C)C1</v>
      </c>
      <c r="C5633" s="7">
        <f>IFERROR(__xludf.DUMMYFUNCTION("""COMPUTED_VALUE"""),7.7891083)</f>
        <v>7.7891083</v>
      </c>
      <c r="D5633" s="7">
        <f>IFERROR(__xludf.DUMMYFUNCTION("""COMPUTED_VALUE"""),0.413793103448275)</f>
        <v>0.4137931034</v>
      </c>
    </row>
    <row r="5634">
      <c r="A5634" s="10" t="s">
        <v>7073</v>
      </c>
      <c r="B5634" s="7" t="str">
        <f>IFERROR(__xludf.DUMMYFUNCTION("SPLIT(A5634,"" "")"),"CC1=CCC(N(C)C2=CNC=CC2CN(C)C2C=CC=CN2)=CN1")</f>
        <v>CC1=CCC(N(C)C2=CNC=CC2CN(C)C2C=CC=CN2)=CN1</v>
      </c>
      <c r="C5634" s="7">
        <f>IFERROR(__xludf.DUMMYFUNCTION("""COMPUTED_VALUE"""),7.7890973)</f>
        <v>7.7890973</v>
      </c>
      <c r="D5634" s="7">
        <f>IFERROR(__xludf.DUMMYFUNCTION("""COMPUTED_VALUE"""),0.202898550724637)</f>
        <v>0.2028985507</v>
      </c>
    </row>
    <row r="5635">
      <c r="A5635" s="10" t="s">
        <v>7074</v>
      </c>
      <c r="B5635" s="7" t="str">
        <f>IFERROR(__xludf.DUMMYFUNCTION("SPLIT(A5635,"" "")"),"CN(CCN(C)c1cccc2ncc(CF)cc12)c1cccc2c1OCCOCCOCCOCCOCCO2")</f>
        <v>CN(CCN(C)c1cccc2ncc(CF)cc12)c1cccc2c1OCCOCCOCCOCCOCCO2</v>
      </c>
      <c r="C5635" s="7">
        <f>IFERROR(__xludf.DUMMYFUNCTION("""COMPUTED_VALUE"""),7.789097)</f>
        <v>7.789097</v>
      </c>
      <c r="D5635" s="7">
        <f>IFERROR(__xludf.DUMMYFUNCTION("""COMPUTED_VALUE"""),0.305084745762711)</f>
        <v>0.3050847458</v>
      </c>
    </row>
    <row r="5636">
      <c r="A5636" s="10" t="s">
        <v>7075</v>
      </c>
      <c r="B5636" s="7" t="str">
        <f>IFERROR(__xludf.DUMMYFUNCTION("SPLIT(A5636,"" "")"),"CN(Cc1ncccc1-c1ccc2c(c1)OCCOCCOCCOCCOCCO2)C1CCCC(N(C)c2ccc3nc(CF)ccc3c2)C1")</f>
        <v>CN(Cc1ncccc1-c1ccc2c(c1)OCCOCCOCCOCCOCCO2)C1CCCC(N(C)c2ccc3nc(CF)ccc3c2)C1</v>
      </c>
      <c r="C5636" s="7">
        <f>IFERROR(__xludf.DUMMYFUNCTION("""COMPUTED_VALUE"""),7.7890964)</f>
        <v>7.7890964</v>
      </c>
      <c r="D5636" s="7">
        <f>IFERROR(__xludf.DUMMYFUNCTION("""COMPUTED_VALUE"""),0.329411764705882)</f>
        <v>0.3294117647</v>
      </c>
    </row>
    <row r="5637">
      <c r="A5637" s="10" t="s">
        <v>7076</v>
      </c>
      <c r="B5637" s="7" t="str">
        <f>IFERROR(__xludf.DUMMYFUNCTION("SPLIT(A5637,"" "")"),"CNCC1=CC(N(C)Cc2ccccn2)C=CN1")</f>
        <v>CNCC1=CC(N(C)Cc2ccccn2)C=CN1</v>
      </c>
      <c r="C5637" s="7">
        <f>IFERROR(__xludf.DUMMYFUNCTION("""COMPUTED_VALUE"""),7.78909)</f>
        <v>7.78909</v>
      </c>
      <c r="D5637" s="7">
        <f>IFERROR(__xludf.DUMMYFUNCTION("""COMPUTED_VALUE"""),0.44)</f>
        <v>0.44</v>
      </c>
    </row>
    <row r="5638">
      <c r="A5638" s="10" t="s">
        <v>7077</v>
      </c>
      <c r="B5638" s="7" t="str">
        <f>IFERROR(__xludf.DUMMYFUNCTION("SPLIT(A5638,"" "")"),"CN(Cc1ccccn1)C1=CC=CNC1N(Cc1ccccn1)Cc1cccc(-c2ccc3c(c2)OCCOCCOCCOCCOCCO3)n1")</f>
        <v>CN(Cc1ccccn1)C1=CC=CNC1N(Cc1ccccn1)Cc1cccc(-c2ccc3c(c2)OCCOCCOCCOCCOCCO3)n1</v>
      </c>
      <c r="C5638" s="7">
        <f>IFERROR(__xludf.DUMMYFUNCTION("""COMPUTED_VALUE"""),7.7890816)</f>
        <v>7.7890816</v>
      </c>
      <c r="D5638" s="7">
        <f>IFERROR(__xludf.DUMMYFUNCTION("""COMPUTED_VALUE"""),0.373333333333333)</f>
        <v>0.3733333333</v>
      </c>
    </row>
    <row r="5639">
      <c r="A5639" s="10" t="s">
        <v>7078</v>
      </c>
      <c r="B5639" s="7" t="str">
        <f>IFERROR(__xludf.DUMMYFUNCTION("SPLIT(A5639,"" "")"),"CNCc1nc(C)c(CN(Cc2ccccn2)C2CCC(N(C)Cc3ccon3)CC2)c(C)c1C")</f>
        <v>CNCc1nc(C)c(CN(Cc2ccccn2)C2CCC(N(C)Cc3ccon3)CC2)c(C)c1C</v>
      </c>
      <c r="C5639" s="7">
        <f>IFERROR(__xludf.DUMMYFUNCTION("""COMPUTED_VALUE"""),7.7890797)</f>
        <v>7.7890797</v>
      </c>
      <c r="D5639" s="7">
        <f>IFERROR(__xludf.DUMMYFUNCTION("""COMPUTED_VALUE"""),0.363636363636363)</f>
        <v>0.3636363636</v>
      </c>
    </row>
    <row r="5640">
      <c r="A5640" s="10" t="s">
        <v>7079</v>
      </c>
      <c r="B5640" s="7" t="str">
        <f>IFERROR(__xludf.DUMMYFUNCTION("SPLIT(A5640,"" "")"),"CNCc1ncccc1CN(C)C1C=CC=CN1")</f>
        <v>CNCc1ncccc1CN(C)C1C=CC=CN1</v>
      </c>
      <c r="C5640" s="7">
        <f>IFERROR(__xludf.DUMMYFUNCTION("""COMPUTED_VALUE"""),7.789077)</f>
        <v>7.789077</v>
      </c>
      <c r="D5640" s="7">
        <f>IFERROR(__xludf.DUMMYFUNCTION("""COMPUTED_VALUE"""),0.350877192982456)</f>
        <v>0.350877193</v>
      </c>
    </row>
    <row r="5641">
      <c r="A5641" s="10" t="s">
        <v>7080</v>
      </c>
      <c r="B5641" s="7" t="str">
        <f>IFERROR(__xludf.DUMMYFUNCTION("SPLIT(A5641,"" "")"),"Cc1ccc(CN(C)C2CCCC(N(Cc3ccccn3)Cc3nc(C)c(C)c(C)c3C)C2)nc1")</f>
        <v>Cc1ccc(CN(C)C2CCCC(N(Cc3ccccn3)Cc3nc(C)c(C)c(C)c3C)C2)nc1</v>
      </c>
      <c r="C5641" s="7">
        <f>IFERROR(__xludf.DUMMYFUNCTION("""COMPUTED_VALUE"""),7.7890735)</f>
        <v>7.7890735</v>
      </c>
      <c r="D5641" s="7">
        <f>IFERROR(__xludf.DUMMYFUNCTION("""COMPUTED_VALUE"""),0.440677966101694)</f>
        <v>0.4406779661</v>
      </c>
    </row>
    <row r="5642">
      <c r="A5642" s="10" t="s">
        <v>7081</v>
      </c>
      <c r="B5642" s="7" t="str">
        <f>IFERROR(__xludf.DUMMYFUNCTION("SPLIT(A5642,"" "")"),"CNC1CC(N(C)Cc2ccccn2)CC(N(Cc2ccccn2)Cc2nc(C)c(C)c(C)c2C)C1")</f>
        <v>CNC1CC(N(C)Cc2ccccn2)CC(N(Cc2ccccn2)Cc2nc(C)c(C)c(C)c2C)C1</v>
      </c>
      <c r="C5642" s="7">
        <f>IFERROR(__xludf.DUMMYFUNCTION("""COMPUTED_VALUE"""),7.789072)</f>
        <v>7.789072</v>
      </c>
      <c r="D5642" s="7">
        <f>IFERROR(__xludf.DUMMYFUNCTION("""COMPUTED_VALUE"""),0.396551724137931)</f>
        <v>0.3965517241</v>
      </c>
    </row>
    <row r="5643">
      <c r="A5643" s="10" t="s">
        <v>7082</v>
      </c>
      <c r="B5643" s="7" t="str">
        <f>IFERROR(__xludf.DUMMYFUNCTION("SPLIT(A5643,"" "")"),"Cc1ccnc(CN(CNCF)Cc2ccccn2)c1C")</f>
        <v>Cc1ccnc(CN(CNCF)Cc2ccccn2)c1C</v>
      </c>
      <c r="C5643" s="7">
        <f>IFERROR(__xludf.DUMMYFUNCTION("""COMPUTED_VALUE"""),7.7890654)</f>
        <v>7.7890654</v>
      </c>
      <c r="D5643" s="7">
        <f>IFERROR(__xludf.DUMMYFUNCTION("""COMPUTED_VALUE"""),0.452380952380952)</f>
        <v>0.4523809524</v>
      </c>
    </row>
    <row r="5644">
      <c r="A5644" s="10" t="s">
        <v>7083</v>
      </c>
      <c r="B5644" s="7" t="str">
        <f>IFERROR(__xludf.DUMMYFUNCTION("SPLIT(A5644,"" "")"),"Cc1cccnc1CN(Cc1ccccn1)C1CCC(N(C)Cc2nc(C)c(C)c(C)c2C)CC1")</f>
        <v>Cc1cccnc1CN(Cc1ccccn1)C1CCC(N(C)Cc2nc(C)c(C)c(C)c2C)CC1</v>
      </c>
      <c r="C5644" s="7">
        <f>IFERROR(__xludf.DUMMYFUNCTION("""COMPUTED_VALUE"""),7.7890635)</f>
        <v>7.7890635</v>
      </c>
      <c r="D5644" s="7">
        <f>IFERROR(__xludf.DUMMYFUNCTION("""COMPUTED_VALUE"""),0.403508771929824)</f>
        <v>0.4035087719</v>
      </c>
    </row>
    <row r="5645">
      <c r="A5645" s="10" t="s">
        <v>7084</v>
      </c>
      <c r="B5645" s="7" t="str">
        <f>IFERROR(__xludf.DUMMYFUNCTION("SPLIT(A5645,"" "")"),"CN(C)Cc1ccc2cccc(N(C)C3CCCCC3N(C)Cc3cccc(-c4ccc5c(c4)OCCOCCOCCOCCOCCO5)n3)c2n1")</f>
        <v>CN(C)Cc1ccc2cccc(N(C)C3CCCCC3N(C)Cc3cccc(-c4ccc5c(c4)OCCOCCOCCOCCOCCO5)n3)c2n1</v>
      </c>
      <c r="C5645" s="7">
        <f>IFERROR(__xludf.DUMMYFUNCTION("""COMPUTED_VALUE"""),7.789063)</f>
        <v>7.789063</v>
      </c>
      <c r="D5645" s="7">
        <f>IFERROR(__xludf.DUMMYFUNCTION("""COMPUTED_VALUE"""),0.470588235294117)</f>
        <v>0.4705882353</v>
      </c>
    </row>
    <row r="5646">
      <c r="A5646" s="10" t="s">
        <v>7085</v>
      </c>
      <c r="B5646" s="7" t="str">
        <f>IFERROR(__xludf.DUMMYFUNCTION("SPLIT(A5646,"" "")"),"Cc1ccccc1CN(C)Cc1cc(C(C)C(C)C)ccn1")</f>
        <v>Cc1ccccc1CN(C)Cc1cc(C(C)C(C)C)ccn1</v>
      </c>
      <c r="C5646" s="7">
        <f>IFERROR(__xludf.DUMMYFUNCTION("""COMPUTED_VALUE"""),7.789055)</f>
        <v>7.789055</v>
      </c>
      <c r="D5646" s="7">
        <f>IFERROR(__xludf.DUMMYFUNCTION("""COMPUTED_VALUE"""),0.372549019607843)</f>
        <v>0.3725490196</v>
      </c>
    </row>
    <row r="5647">
      <c r="A5647" s="10" t="s">
        <v>7086</v>
      </c>
      <c r="B5647" s="7" t="str">
        <f>IFERROR(__xludf.DUMMYFUNCTION("SPLIT(A5647,"" "")"),"CC(C)(c1cccc(NCc2ccccn2)c1)c1ncccc1-c1ccc2c(c1)OCCOCCOCCOCCOCCO2")</f>
        <v>CC(C)(c1cccc(NCc2ccccn2)c1)c1ncccc1-c1ccc2c(c1)OCCOCCOCCOCCOCCO2</v>
      </c>
      <c r="C5647" s="7">
        <f>IFERROR(__xludf.DUMMYFUNCTION("""COMPUTED_VALUE"""),7.7890453)</f>
        <v>7.7890453</v>
      </c>
      <c r="D5647" s="7">
        <f>IFERROR(__xludf.DUMMYFUNCTION("""COMPUTED_VALUE"""),0.307692307692307)</f>
        <v>0.3076923077</v>
      </c>
    </row>
    <row r="5648">
      <c r="A5648" s="10" t="s">
        <v>7087</v>
      </c>
      <c r="B5648" s="7" t="str">
        <f>IFERROR(__xludf.DUMMYFUNCTION("SPLIT(A5648,"" "")"),"CNCc1ccc2cccc(N(C)C3CCCCC3N(Cc3ccccn3)Cc3cccc(-c4ccc5c(c4)OCCOCCOCCOCCOCCO5)n3)c2n1")</f>
        <v>CNCc1ccc2cccc(N(C)C3CCCCC3N(Cc3ccccn3)Cc3cccc(-c4ccc5c(c4)OCCOCCOCCOCCOCCO5)n3)c2n1</v>
      </c>
      <c r="C5648" s="7">
        <f>IFERROR(__xludf.DUMMYFUNCTION("""COMPUTED_VALUE"""),7.789045)</f>
        <v>7.789045</v>
      </c>
      <c r="D5648" s="7">
        <f>IFERROR(__xludf.DUMMYFUNCTION("""COMPUTED_VALUE"""),0.40506329113924)</f>
        <v>0.4050632911</v>
      </c>
    </row>
    <row r="5649">
      <c r="A5649" s="10" t="s">
        <v>7088</v>
      </c>
      <c r="B5649" s="7" t="str">
        <f>IFERROR(__xludf.DUMMYFUNCTION("SPLIT(A5649,"" "")"),"CN1CCN(C)CCN(Cc2cc(N(O)C3CCCCC3N(C)c3ccc4ccc(CF)nc4c3)ccn2)CC1")</f>
        <v>CN1CCN(C)CCN(Cc2cc(N(O)C3CCCCC3N(C)c3ccc4ccc(CF)nc4c3)ccn2)CC1</v>
      </c>
      <c r="C5649" s="7">
        <f>IFERROR(__xludf.DUMMYFUNCTION("""COMPUTED_VALUE"""),7.789028)</f>
        <v>7.789028</v>
      </c>
      <c r="D5649" s="7">
        <f>IFERROR(__xludf.DUMMYFUNCTION("""COMPUTED_VALUE"""),0.5)</f>
        <v>0.5</v>
      </c>
    </row>
    <row r="5650">
      <c r="A5650" s="10" t="s">
        <v>7089</v>
      </c>
      <c r="B5650" s="7" t="str">
        <f>IFERROR(__xludf.DUMMYFUNCTION("SPLIT(A5650,"" "")"),"CC(C)[Si](c1ccc(CN(Cc2nccc3ncccc23)C2CCCCC2N(C)Cc2cccc(-c3ccc4c(c3)OCCOCCOCCOCCOCCO4)n2)nc1)(C(C)C)C(C)C")</f>
        <v>CC(C)[Si](c1ccc(CN(Cc2nccc3ncccc23)C2CCCCC2N(C)Cc2cccc(-c3ccc4c(c3)OCCOCCOCCOCCOCCO4)n2)nc1)(C(C)C)C(C)C</v>
      </c>
      <c r="C5650" s="7">
        <f>IFERROR(__xludf.DUMMYFUNCTION("""COMPUTED_VALUE"""),7.7890244)</f>
        <v>7.7890244</v>
      </c>
      <c r="D5650" s="7">
        <f>IFERROR(__xludf.DUMMYFUNCTION("""COMPUTED_VALUE"""),0.321428571428571)</f>
        <v>0.3214285714</v>
      </c>
    </row>
    <row r="5651">
      <c r="A5651" s="10" t="s">
        <v>7090</v>
      </c>
      <c r="B5651" s="7" t="str">
        <f>IFERROR(__xludf.DUMMYFUNCTION("SPLIT(A5651,"" "")"),"Cc1cccc(CN(C)C2CCCC(N(C)Cc3cccc(C4=CCC=CN4)n3)C2)n1")</f>
        <v>Cc1cccc(CN(C)C2CCCC(N(C)Cc3cccc(C4=CCC=CN4)n3)C2)n1</v>
      </c>
      <c r="C5651" s="7">
        <f>IFERROR(__xludf.DUMMYFUNCTION("""COMPUTED_VALUE"""),7.789023)</f>
        <v>7.789023</v>
      </c>
      <c r="D5651" s="7">
        <f>IFERROR(__xludf.DUMMYFUNCTION("""COMPUTED_VALUE"""),0.481481481481481)</f>
        <v>0.4814814815</v>
      </c>
    </row>
    <row r="5652">
      <c r="A5652" s="10" t="s">
        <v>7091</v>
      </c>
      <c r="B5652" s="7" t="str">
        <f>IFERROR(__xludf.DUMMYFUNCTION("SPLIT(A5652,"" "")"),"CNCc1cc(CN(Cc2cc(C)c(C)cn2)C2CCC(N(C)Cc3cc(C)c(C)c(C)n3)CC2)ccn1")</f>
        <v>CNCc1cc(CN(Cc2cc(C)c(C)cn2)C2CCC(N(C)Cc3cc(C)c(C)c(C)n3)CC2)ccn1</v>
      </c>
      <c r="C5652" s="7">
        <f>IFERROR(__xludf.DUMMYFUNCTION("""COMPUTED_VALUE"""),7.789017)</f>
        <v>7.789017</v>
      </c>
      <c r="D5652" s="7">
        <f>IFERROR(__xludf.DUMMYFUNCTION("""COMPUTED_VALUE"""),0.298507462686567)</f>
        <v>0.2985074627</v>
      </c>
    </row>
    <row r="5653">
      <c r="A5653" s="10" t="s">
        <v>7092</v>
      </c>
      <c r="B5653" s="7" t="str">
        <f>IFERROR(__xludf.DUMMYFUNCTION("SPLIT(A5653,"" "")"),"CN(Cc1ccccn1)C1CCC(N(C)Cc2cc(-c3ccc4c(c3)OCCOCCOCCOCCOCCO4)ccn2)C(c2ccc3ncccc3c2)C1")</f>
        <v>CN(Cc1ccccn1)C1CCC(N(C)Cc2cc(-c3ccc4c(c3)OCCOCCOCCOCCOCCO4)ccn2)C(c2ccc3ncccc3c2)C1</v>
      </c>
      <c r="C5653" s="7">
        <f>IFERROR(__xludf.DUMMYFUNCTION("""COMPUTED_VALUE"""),7.7890043)</f>
        <v>7.7890043</v>
      </c>
      <c r="D5653" s="7">
        <f>IFERROR(__xludf.DUMMYFUNCTION("""COMPUTED_VALUE"""),0.361111111111111)</f>
        <v>0.3611111111</v>
      </c>
    </row>
    <row r="5654">
      <c r="A5654" s="10" t="s">
        <v>7093</v>
      </c>
      <c r="B5654" s="7" t="str">
        <f>IFERROR(__xludf.DUMMYFUNCTION("SPLIT(A5654,"" "")"),"Cc1cccnc1CN(Cc1ccccn1)C1CCCC(N(C)Cc2cc(C)c(C)c(C)n2)C1")</f>
        <v>Cc1cccnc1CN(Cc1ccccn1)C1CCCC(N(C)Cc2cc(C)c(C)c(C)n2)C1</v>
      </c>
      <c r="C5654" s="7">
        <f>IFERROR(__xludf.DUMMYFUNCTION("""COMPUTED_VALUE"""),7.789003)</f>
        <v>7.789003</v>
      </c>
      <c r="D5654" s="7">
        <f>IFERROR(__xludf.DUMMYFUNCTION("""COMPUTED_VALUE"""),0.423728813559322)</f>
        <v>0.4237288136</v>
      </c>
    </row>
    <row r="5655">
      <c r="A5655" s="10" t="s">
        <v>7094</v>
      </c>
      <c r="B5655" s="7" t="str">
        <f>IFERROR(__xludf.DUMMYFUNCTION("SPLIT(A5655,"" "")"),"CCN(Cc1ccccn1)C1CCC(N(C)Cc2nc(C)c(C)cc2C)CC1N(C)Cc1nc(C)c(C)cc1C")</f>
        <v>CCN(Cc1ccccn1)C1CCC(N(C)Cc2nc(C)c(C)cc2C)CC1N(C)Cc1nc(C)c(C)cc1C</v>
      </c>
      <c r="C5655" s="7">
        <f>IFERROR(__xludf.DUMMYFUNCTION("""COMPUTED_VALUE"""),7.789001)</f>
        <v>7.789001</v>
      </c>
      <c r="D5655" s="7">
        <f>IFERROR(__xludf.DUMMYFUNCTION("""COMPUTED_VALUE"""),0.43103448275862)</f>
        <v>0.4310344828</v>
      </c>
    </row>
    <row r="5656">
      <c r="A5656" s="10" t="s">
        <v>7095</v>
      </c>
      <c r="B5656" s="7" t="str">
        <f>IFERROR(__xludf.DUMMYFUNCTION("SPLIT(A5656,"" "")"),"Cc1cc(CN(C)C2CCCC(N(C)c3ccc(CF)nc3)C2)nc(C)c1C")</f>
        <v>Cc1cc(CN(C)C2CCCC(N(C)c3ccc(CF)nc3)C2)nc(C)c1C</v>
      </c>
      <c r="C5656" s="7">
        <f>IFERROR(__xludf.DUMMYFUNCTION("""COMPUTED_VALUE"""),7.7889915)</f>
        <v>7.7889915</v>
      </c>
      <c r="D5656" s="7">
        <f>IFERROR(__xludf.DUMMYFUNCTION("""COMPUTED_VALUE"""),0.35)</f>
        <v>0.35</v>
      </c>
    </row>
    <row r="5657">
      <c r="A5657" s="10" t="s">
        <v>7096</v>
      </c>
      <c r="B5657" s="7" t="str">
        <f>IFERROR(__xludf.DUMMYFUNCTION("SPLIT(A5657,"" "")"),"CN(Cc1ccccn1)C1=CNC=C(CN(Cc2ccccn2)Cc2cccc(-c3cccc4c3OCCOCCOCCOCCOCCO4)n2)C1")</f>
        <v>CN(Cc1ccccn1)C1=CNC=C(CN(Cc2ccccn2)Cc2cccc(-c3cccc4c3OCCOCCOCCOCCOCCO4)n2)C1</v>
      </c>
      <c r="C5657" s="7">
        <f>IFERROR(__xludf.DUMMYFUNCTION("""COMPUTED_VALUE"""),7.788986)</f>
        <v>7.788986</v>
      </c>
      <c r="D5657" s="7">
        <f>IFERROR(__xludf.DUMMYFUNCTION("""COMPUTED_VALUE"""),0.36231884057971)</f>
        <v>0.3623188406</v>
      </c>
    </row>
    <row r="5658">
      <c r="A5658" s="10" t="s">
        <v>7097</v>
      </c>
      <c r="B5658" s="7" t="str">
        <f>IFERROR(__xludf.DUMMYFUNCTION("SPLIT(A5658,"" "")"),"CN(Cc1cccc(-c2ccc3c(c2)OCCOCCOCCOCCOCCO3)n1)C1CCC(N(C)c2ccc3c(CF)ccnc3c2)CC1")</f>
        <v>CN(Cc1cccc(-c2ccc3c(c2)OCCOCCOCCOCCOCCO3)n1)C1CCC(N(C)c2ccc3c(CF)ccnc3c2)CC1</v>
      </c>
      <c r="C5658" s="7">
        <f>IFERROR(__xludf.DUMMYFUNCTION("""COMPUTED_VALUE"""),7.7889814)</f>
        <v>7.7889814</v>
      </c>
      <c r="D5658" s="7">
        <f>IFERROR(__xludf.DUMMYFUNCTION("""COMPUTED_VALUE"""),0.309523809523809)</f>
        <v>0.3095238095</v>
      </c>
    </row>
    <row r="5659">
      <c r="A5659" s="10" t="s">
        <v>7098</v>
      </c>
      <c r="B5659" s="7" t="str">
        <f>IFERROR(__xludf.DUMMYFUNCTION("SPLIT(A5659,"" "")"),"CC(C)C(C)N(C)CC1=CCC(N(C)Cc2ccccn2)=CN1")</f>
        <v>CC(C)C(C)N(C)CC1=CCC(N(C)Cc2ccccn2)=CN1</v>
      </c>
      <c r="C5659" s="7">
        <f>IFERROR(__xludf.DUMMYFUNCTION("""COMPUTED_VALUE"""),7.788975)</f>
        <v>7.788975</v>
      </c>
      <c r="D5659" s="7">
        <f>IFERROR(__xludf.DUMMYFUNCTION("""COMPUTED_VALUE"""),0.403508771929824)</f>
        <v>0.4035087719</v>
      </c>
    </row>
    <row r="5660">
      <c r="A5660" s="10" t="s">
        <v>7099</v>
      </c>
      <c r="B5660" s="7" t="str">
        <f>IFERROR(__xludf.DUMMYFUNCTION("SPLIT(A5660,"" "")"),"CCNCCN(Cc1ccccn1)Cc1cc(C)cnc1C(C)(C)C")</f>
        <v>CCNCCN(Cc1ccccn1)Cc1cc(C)cnc1C(C)(C)C</v>
      </c>
      <c r="C5660" s="7">
        <f>IFERROR(__xludf.DUMMYFUNCTION("""COMPUTED_VALUE"""),7.7889695)</f>
        <v>7.7889695</v>
      </c>
      <c r="D5660" s="7">
        <f>IFERROR(__xludf.DUMMYFUNCTION("""COMPUTED_VALUE"""),0.442307692307692)</f>
        <v>0.4423076923</v>
      </c>
    </row>
    <row r="5661">
      <c r="A5661" s="10" t="s">
        <v>7100</v>
      </c>
      <c r="B5661" s="7" t="str">
        <f>IFERROR(__xludf.DUMMYFUNCTION("SPLIT(A5661,"" "")"),"CNC1C(N(Cc2cccc(C)n2)Cc2cccc(C)n2)CCCC1N(Cc1ccccn1)Cc1cccc(C2CC(C)(C)C2)n1")</f>
        <v>CNC1C(N(Cc2cccc(C)n2)Cc2cccc(C)n2)CCCC1N(Cc1ccccn1)Cc1cccc(C2CC(C)(C)C2)n1</v>
      </c>
      <c r="C5661" s="7">
        <f>IFERROR(__xludf.DUMMYFUNCTION("""COMPUTED_VALUE"""),7.7889614)</f>
        <v>7.7889614</v>
      </c>
      <c r="D5661" s="7">
        <f>IFERROR(__xludf.DUMMYFUNCTION("""COMPUTED_VALUE"""),0.416666666666666)</f>
        <v>0.4166666667</v>
      </c>
    </row>
    <row r="5662">
      <c r="A5662" s="10" t="s">
        <v>7101</v>
      </c>
      <c r="B5662" s="7" t="str">
        <f>IFERROR(__xludf.DUMMYFUNCTION("SPLIT(A5662,"" "")"),"CN1CCN(C)CCN(Cc2cncc(-c3ccc(Cl)c(N)c3)c2)CC1")</f>
        <v>CN1CCN(C)CCN(Cc2cncc(-c3ccc(Cl)c(N)c3)c2)CC1</v>
      </c>
      <c r="C5662" s="7">
        <f>IFERROR(__xludf.DUMMYFUNCTION("""COMPUTED_VALUE"""),7.7889566)</f>
        <v>7.7889566</v>
      </c>
      <c r="D5662" s="7">
        <f>IFERROR(__xludf.DUMMYFUNCTION("""COMPUTED_VALUE"""),0.365384615384615)</f>
        <v>0.3653846154</v>
      </c>
    </row>
    <row r="5663">
      <c r="A5663" s="10" t="s">
        <v>7102</v>
      </c>
      <c r="B5663" s="7" t="str">
        <f>IFERROR(__xludf.DUMMYFUNCTION("SPLIT(A5663,"" "")"),"CN(C)Cc1ccc2ccc(N(C)C3CCCCC3N(C)Cc3cccc(-c4ccc5c(c4)OCCOCCOCCOCCOCCO5)n3)cc2n1")</f>
        <v>CN(C)Cc1ccc2ccc(N(C)C3CCCCC3N(C)Cc3cccc(-c4ccc5c(c4)OCCOCCOCCOCCOCCO5)n3)cc2n1</v>
      </c>
      <c r="C5663" s="7">
        <f>IFERROR(__xludf.DUMMYFUNCTION("""COMPUTED_VALUE"""),7.7889547)</f>
        <v>7.7889547</v>
      </c>
      <c r="D5663" s="7">
        <f>IFERROR(__xludf.DUMMYFUNCTION("""COMPUTED_VALUE"""),0.388059701492537)</f>
        <v>0.3880597015</v>
      </c>
    </row>
    <row r="5664">
      <c r="A5664" s="10" t="s">
        <v>7103</v>
      </c>
      <c r="B5664" s="7" t="str">
        <f>IFERROR(__xludf.DUMMYFUNCTION("SPLIT(A5664,"" "")"),"Cc1cccc(C2(C)COC(c3cccc(CN4CCN(C)CCN(C)CC4)n3)=N2)c1")</f>
        <v>Cc1cccc(C2(C)COC(c3cccc(CN4CCN(C)CCN(C)CC4)n3)=N2)c1</v>
      </c>
      <c r="C5664" s="7">
        <f>IFERROR(__xludf.DUMMYFUNCTION("""COMPUTED_VALUE"""),7.7889533)</f>
        <v>7.7889533</v>
      </c>
      <c r="D5664" s="7">
        <f>IFERROR(__xludf.DUMMYFUNCTION("""COMPUTED_VALUE"""),0.462962962962962)</f>
        <v>0.462962963</v>
      </c>
    </row>
    <row r="5665">
      <c r="A5665" s="10" t="s">
        <v>7104</v>
      </c>
      <c r="B5665" s="7" t="str">
        <f>IFERROR(__xludf.DUMMYFUNCTION("SPLIT(A5665,"" "")"),"Cc1cnc(CN(Cc2ncc(C)cc2C)C2CCC(N(Cc3ccccn3)C(C)C)CC2)c(C)c1")</f>
        <v>Cc1cnc(CN(Cc2ncc(C)cc2C)C2CCC(N(Cc3ccccn3)C(C)C)CC2)c(C)c1</v>
      </c>
      <c r="C5665" s="7">
        <f>IFERROR(__xludf.DUMMYFUNCTION("""COMPUTED_VALUE"""),7.788951)</f>
        <v>7.788951</v>
      </c>
      <c r="D5665" s="7">
        <f>IFERROR(__xludf.DUMMYFUNCTION("""COMPUTED_VALUE"""),0.403846153846153)</f>
        <v>0.4038461538</v>
      </c>
    </row>
    <row r="5666">
      <c r="A5666" s="10" t="s">
        <v>7105</v>
      </c>
      <c r="B5666" s="7" t="str">
        <f>IFERROR(__xludf.DUMMYFUNCTION("SPLIT(A5666,"" "")"),"Cc1cc(C)c(CN(Cc2ccccn2)C2CCCC(N(C)Cc3ncccc3C)C2)nc1C")</f>
        <v>Cc1cc(C)c(CN(Cc2ccccn2)C2CCCC(N(C)Cc3ncccc3C)C2)nc1C</v>
      </c>
      <c r="C5666" s="7">
        <f>IFERROR(__xludf.DUMMYFUNCTION("""COMPUTED_VALUE"""),7.7889504)</f>
        <v>7.7889504</v>
      </c>
      <c r="D5666" s="7">
        <f>IFERROR(__xludf.DUMMYFUNCTION("""COMPUTED_VALUE"""),0.406779661016949)</f>
        <v>0.406779661</v>
      </c>
    </row>
    <row r="5667">
      <c r="A5667" s="10" t="s">
        <v>7106</v>
      </c>
      <c r="B5667" s="7" t="str">
        <f>IFERROR(__xludf.DUMMYFUNCTION("SPLIT(A5667,"" "")"),"CCNC1CC(N(C)Cc2cc(C)ccn2)CC(N(Cc2cc(C)ccn2)Cc2nc(C)c(C)cc2C)C1")</f>
        <v>CCNC1CC(N(C)Cc2cc(C)ccn2)CC(N(Cc2cc(C)ccn2)Cc2nc(C)c(C)cc2C)C1</v>
      </c>
      <c r="C5667" s="7">
        <f>IFERROR(__xludf.DUMMYFUNCTION("""COMPUTED_VALUE"""),7.7889404)</f>
        <v>7.7889404</v>
      </c>
      <c r="D5667" s="7">
        <f>IFERROR(__xludf.DUMMYFUNCTION("""COMPUTED_VALUE"""),0.272727272727272)</f>
        <v>0.2727272727</v>
      </c>
    </row>
    <row r="5668">
      <c r="A5668" s="10" t="s">
        <v>7107</v>
      </c>
      <c r="B5668" s="7" t="str">
        <f>IFERROR(__xludf.DUMMYFUNCTION("SPLIT(A5668,"" "")"),"CNCc1cccc(C2CC(C)(C)C2)n1")</f>
        <v>CNCc1cccc(C2CC(C)(C)C2)n1</v>
      </c>
      <c r="C5668" s="7">
        <f>IFERROR(__xludf.DUMMYFUNCTION("""COMPUTED_VALUE"""),7.7889395)</f>
        <v>7.7889395</v>
      </c>
      <c r="D5668" s="7">
        <f>IFERROR(__xludf.DUMMYFUNCTION("""COMPUTED_VALUE"""),0.260869565217391)</f>
        <v>0.2608695652</v>
      </c>
    </row>
    <row r="5669">
      <c r="A5669" s="10" t="s">
        <v>7108</v>
      </c>
      <c r="B5669" s="7" t="str">
        <f>IFERROR(__xludf.DUMMYFUNCTION("SPLIT(A5669,"" "")"),"Cc1cccnc1CN(C)C1=CCC=C(CN(C)Cc2ncccc2-c2cccc3c2OCCOCCOCCOCCOCCO3)N1")</f>
        <v>Cc1cccnc1CN(C)C1=CCC=C(CN(C)Cc2ncccc2-c2cccc3c2OCCOCCOCCOCCOCCO3)N1</v>
      </c>
      <c r="C5669" s="7">
        <f>IFERROR(__xludf.DUMMYFUNCTION("""COMPUTED_VALUE"""),7.7889347)</f>
        <v>7.7889347</v>
      </c>
      <c r="D5669" s="7">
        <f>IFERROR(__xludf.DUMMYFUNCTION("""COMPUTED_VALUE"""),0.216216216216216)</f>
        <v>0.2162162162</v>
      </c>
    </row>
    <row r="5670">
      <c r="A5670" s="10" t="s">
        <v>7109</v>
      </c>
      <c r="B5670" s="7" t="str">
        <f>IFERROR(__xludf.DUMMYFUNCTION("SPLIT(A5670,"" "")"),"Cc1ccc(C)c(CN(C)C2CCCC(N(Cc3nc(C)c(C)c(C)c3C)C(C)C)C2N(C)Cc2ccccn2)n1")</f>
        <v>Cc1ccc(C)c(CN(C)C2CCCC(N(Cc3nc(C)c(C)c(C)c3C)C(C)C)C2N(C)Cc2ccccn2)n1</v>
      </c>
      <c r="C5670" s="7">
        <f>IFERROR(__xludf.DUMMYFUNCTION("""COMPUTED_VALUE"""),7.7889247)</f>
        <v>7.7889247</v>
      </c>
      <c r="D5670" s="7">
        <f>IFERROR(__xludf.DUMMYFUNCTION("""COMPUTED_VALUE"""),0.444444444444444)</f>
        <v>0.4444444444</v>
      </c>
    </row>
    <row r="5671">
      <c r="A5671" s="10" t="s">
        <v>7110</v>
      </c>
      <c r="B5671" s="7" t="str">
        <f>IFERROR(__xludf.DUMMYFUNCTION("SPLIT(A5671,"" "")"),"CC1=CC(C)C(CN(C)Cc2ccccn2)C(C)=C1")</f>
        <v>CC1=CC(C)C(CN(C)Cc2ccccn2)C(C)=C1</v>
      </c>
      <c r="C5671" s="7">
        <f>IFERROR(__xludf.DUMMYFUNCTION("""COMPUTED_VALUE"""),7.78892)</f>
        <v>7.78892</v>
      </c>
      <c r="D5671" s="7">
        <f>IFERROR(__xludf.DUMMYFUNCTION("""COMPUTED_VALUE"""),0.436363636363636)</f>
        <v>0.4363636364</v>
      </c>
    </row>
    <row r="5672">
      <c r="A5672" s="10" t="s">
        <v>7111</v>
      </c>
      <c r="B5672" s="7" t="str">
        <f>IFERROR(__xludf.DUMMYFUNCTION("SPLIT(A5672,"" "")"),"CCN(Cc1ccccn1)Cc1cccc(N(C)Cc2ncccc2-c2cccc3c2OCCOCCOCCOCCOCCO3)n1")</f>
        <v>CCN(Cc1ccccn1)Cc1cccc(N(C)Cc2ncccc2-c2cccc3c2OCCOCCOCCOCCOCCO3)n1</v>
      </c>
      <c r="C5672" s="7">
        <f>IFERROR(__xludf.DUMMYFUNCTION("""COMPUTED_VALUE"""),7.788913)</f>
        <v>7.788913</v>
      </c>
      <c r="D5672" s="7">
        <f>IFERROR(__xludf.DUMMYFUNCTION("""COMPUTED_VALUE"""),0.328358208955223)</f>
        <v>0.328358209</v>
      </c>
    </row>
    <row r="5673">
      <c r="A5673" s="10" t="s">
        <v>7112</v>
      </c>
      <c r="B5673" s="7" t="str">
        <f>IFERROR(__xludf.DUMMYFUNCTION("SPLIT(A5673,"" "")"),"Cc1ccc(CN(Cc2ccccn2)C2CCC(N(C)Cc3ncccc3C(C)(c3ccccn3)C(C)C)CC2)nc1")</f>
        <v>Cc1ccc(CN(Cc2ccccn2)C2CCC(N(C)Cc3ncccc3C(C)(c3ccccn3)C(C)C)CC2)nc1</v>
      </c>
      <c r="C5673" s="7">
        <f>IFERROR(__xludf.DUMMYFUNCTION("""COMPUTED_VALUE"""),7.7889085)</f>
        <v>7.7889085</v>
      </c>
      <c r="D5673" s="7">
        <f>IFERROR(__xludf.DUMMYFUNCTION("""COMPUTED_VALUE"""),0.363636363636363)</f>
        <v>0.3636363636</v>
      </c>
    </row>
    <row r="5674">
      <c r="A5674" s="10" t="s">
        <v>7113</v>
      </c>
      <c r="B5674" s="7" t="str">
        <f>IFERROR(__xludf.DUMMYFUNCTION("SPLIT(A5674,"" "")"),"Cc1cccc(CN(Cc2ccccn2)C2CCCC(N(C)Cc3cc(C)c(C)c(C)n3)C2)n1")</f>
        <v>Cc1cccc(CN(Cc2ccccn2)C2CCCC(N(C)Cc3cc(C)c(C)c(C)n3)C2)n1</v>
      </c>
      <c r="C5674" s="7">
        <f>IFERROR(__xludf.DUMMYFUNCTION("""COMPUTED_VALUE"""),7.7889066)</f>
        <v>7.7889066</v>
      </c>
      <c r="D5674" s="7">
        <f>IFERROR(__xludf.DUMMYFUNCTION("""COMPUTED_VALUE"""),0.448275862068965)</f>
        <v>0.4482758621</v>
      </c>
    </row>
    <row r="5675">
      <c r="A5675" s="10" t="s">
        <v>7114</v>
      </c>
      <c r="B5675" s="7" t="str">
        <f>IFERROR(__xludf.DUMMYFUNCTION("SPLIT(A5675,"" "")"),"Cc1ccc(CN(Cc2ccccn2)C2CCCC(N(C)Cc3nc(C)c(C)c(C)c3C)C2)nc1")</f>
        <v>Cc1ccc(CN(Cc2ccccn2)C2CCCC(N(C)Cc3nc(C)c(C)c(C)c3C)C2)nc1</v>
      </c>
      <c r="C5675" s="7">
        <f>IFERROR(__xludf.DUMMYFUNCTION("""COMPUTED_VALUE"""),7.788905)</f>
        <v>7.788905</v>
      </c>
      <c r="D5675" s="7">
        <f>IFERROR(__xludf.DUMMYFUNCTION("""COMPUTED_VALUE"""),0.423728813559322)</f>
        <v>0.4237288136</v>
      </c>
    </row>
    <row r="5676">
      <c r="A5676" s="10" t="s">
        <v>7115</v>
      </c>
      <c r="B5676" s="7" t="str">
        <f>IFERROR(__xludf.DUMMYFUNCTION("SPLIT(A5676,"" "")"),"Cc1cc(C)c(CN(C)C2CCCC(N(Cc3ccccn3)Cc3ncccc3C)C2)nc1C")</f>
        <v>Cc1cc(C)c(CN(C)C2CCCC(N(Cc3ccccn3)Cc3ncccc3C)C2)nc1C</v>
      </c>
      <c r="C5676" s="7">
        <f>IFERROR(__xludf.DUMMYFUNCTION("""COMPUTED_VALUE"""),7.7888937)</f>
        <v>7.7888937</v>
      </c>
      <c r="D5676" s="7">
        <f>IFERROR(__xludf.DUMMYFUNCTION("""COMPUTED_VALUE"""),0.406779661016949)</f>
        <v>0.406779661</v>
      </c>
    </row>
    <row r="5677">
      <c r="A5677" s="10" t="s">
        <v>7116</v>
      </c>
      <c r="B5677" s="7" t="str">
        <f>IFERROR(__xludf.DUMMYFUNCTION("SPLIT(A5677,"" "")"),"CCNC1C(N(Cc2ncccc2C)Cc2ncccc2C)CCCC1N(Cc1ncccc1C)Cc1ncccc1C")</f>
        <v>CCNC1C(N(Cc2ncccc2C)Cc2ncccc2C)CCCC1N(Cc1ncccc1C)Cc1ncccc1C</v>
      </c>
      <c r="C5677" s="7">
        <f>IFERROR(__xludf.DUMMYFUNCTION("""COMPUTED_VALUE"""),7.788888)</f>
        <v>7.788888</v>
      </c>
      <c r="D5677" s="7">
        <f>IFERROR(__xludf.DUMMYFUNCTION("""COMPUTED_VALUE"""),0.352941176470588)</f>
        <v>0.3529411765</v>
      </c>
    </row>
    <row r="5678">
      <c r="A5678" s="10" t="s">
        <v>7117</v>
      </c>
      <c r="B5678" s="7" t="str">
        <f>IFERROR(__xludf.DUMMYFUNCTION("SPLIT(A5678,"" "")"),"CN(C)Cc1ccc2cc(N(C)C3CCCCC3N(C)Cc3ccc(-c4ccc5c(c4)OCCOCCOCCOCCOCCO5)cn3)ccc2n1")</f>
        <v>CN(C)Cc1ccc2cc(N(C)C3CCCCC3N(C)Cc3ccc(-c4ccc5c(c4)OCCOCCOCCOCCOCCO5)cn3)ccc2n1</v>
      </c>
      <c r="C5678" s="7">
        <f>IFERROR(__xludf.DUMMYFUNCTION("""COMPUTED_VALUE"""),7.7888846)</f>
        <v>7.7888846</v>
      </c>
      <c r="D5678" s="7">
        <f>IFERROR(__xludf.DUMMYFUNCTION("""COMPUTED_VALUE"""),0.452054794520547)</f>
        <v>0.4520547945</v>
      </c>
    </row>
    <row r="5679">
      <c r="A5679" s="10" t="s">
        <v>7118</v>
      </c>
      <c r="B5679" s="7" t="str">
        <f>IFERROR(__xludf.DUMMYFUNCTION("SPLIT(A5679,"" "")"),"CCN(Cc1ccccn1)c1cccc(CN(Cc2ccccn2)Cc2cccc(-c3ccc4c(c3)OCCOCCOCCOCCOCCO4)n2)c1")</f>
        <v>CCN(Cc1ccccn1)c1cccc(CN(Cc2ccccn2)Cc2cccc(-c3ccc4c(c3)OCCOCCOCCOCCOCCO4)n2)c1</v>
      </c>
      <c r="C5679" s="7">
        <f>IFERROR(__xludf.DUMMYFUNCTION("""COMPUTED_VALUE"""),7.7888823)</f>
        <v>7.7888823</v>
      </c>
      <c r="D5679" s="7">
        <f>IFERROR(__xludf.DUMMYFUNCTION("""COMPUTED_VALUE"""),0.44927536231884)</f>
        <v>0.4492753623</v>
      </c>
    </row>
    <row r="5680">
      <c r="A5680" s="10" t="s">
        <v>7119</v>
      </c>
      <c r="B5680" s="7" t="str">
        <f>IFERROR(__xludf.DUMMYFUNCTION("SPLIT(A5680,"" "")"),"C=CCN(C)Cc1cccc(CN(C)Cc2cccc(C3CCC3(C)C)n2)n1")</f>
        <v>C=CCN(C)Cc1cccc(CN(C)Cc2cccc(C3CCC3(C)C)n2)n1</v>
      </c>
      <c r="C5680" s="7">
        <f>IFERROR(__xludf.DUMMYFUNCTION("""COMPUTED_VALUE"""),7.7888794)</f>
        <v>7.7888794</v>
      </c>
      <c r="D5680" s="7">
        <f>IFERROR(__xludf.DUMMYFUNCTION("""COMPUTED_VALUE"""),0.345454545454545)</f>
        <v>0.3454545455</v>
      </c>
    </row>
    <row r="5681">
      <c r="A5681" s="10" t="s">
        <v>7120</v>
      </c>
      <c r="B5681" s="7" t="str">
        <f>IFERROR(__xludf.DUMMYFUNCTION("SPLIT(A5681,"" "")"),"CN(Cc1cccnc1)C1CCCCC1N(C)Cc1cccc2ncccc12")</f>
        <v>CN(Cc1cccnc1)C1CCCCC1N(C)Cc1cccc2ncccc12</v>
      </c>
      <c r="C5681" s="7">
        <f>IFERROR(__xludf.DUMMYFUNCTION("""COMPUTED_VALUE"""),7.7888765)</f>
        <v>7.7888765</v>
      </c>
      <c r="D5681" s="7">
        <f>IFERROR(__xludf.DUMMYFUNCTION("""COMPUTED_VALUE"""),0.450980392156862)</f>
        <v>0.4509803922</v>
      </c>
    </row>
    <row r="5682">
      <c r="A5682" s="10" t="s">
        <v>7121</v>
      </c>
      <c r="B5682" s="7" t="str">
        <f>IFERROR(__xludf.DUMMYFUNCTION("SPLIT(A5682,"" "")"),"CC(C)NCNC(C)C")</f>
        <v>CC(C)NCNC(C)C</v>
      </c>
      <c r="C5682" s="7">
        <f>IFERROR(__xludf.DUMMYFUNCTION("""COMPUTED_VALUE"""),7.788873)</f>
        <v>7.788873</v>
      </c>
      <c r="D5682" s="7">
        <f>IFERROR(__xludf.DUMMYFUNCTION("""COMPUTED_VALUE"""),0.119047619047619)</f>
        <v>0.119047619</v>
      </c>
    </row>
    <row r="5683">
      <c r="A5683" s="10" t="s">
        <v>7122</v>
      </c>
      <c r="B5683" s="7" t="str">
        <f>IFERROR(__xludf.DUMMYFUNCTION("SPLIT(A5683,"" "")"),"C=CCNCNCc1cccc(-c2ccc(CN(C)C3CCC(N(C)Cc4cc(C)c(C)c(C)n4)CC3)nc2)n1")</f>
        <v>C=CCNCNCc1cccc(-c2ccc(CN(C)C3CCC(N(C)Cc4cc(C)c(C)c(C)n4)CC3)nc2)n1</v>
      </c>
      <c r="C5683" s="7">
        <f>IFERROR(__xludf.DUMMYFUNCTION("""COMPUTED_VALUE"""),7.7888675)</f>
        <v>7.7888675</v>
      </c>
      <c r="D5683" s="7">
        <f>IFERROR(__xludf.DUMMYFUNCTION("""COMPUTED_VALUE"""),0.287671232876712)</f>
        <v>0.2876712329</v>
      </c>
    </row>
    <row r="5684">
      <c r="A5684" s="10" t="s">
        <v>7123</v>
      </c>
      <c r="B5684" s="7" t="str">
        <f>IFERROR(__xludf.DUMMYFUNCTION("SPLIT(A5684,"" "")"),"Cc1cncc(CN(C)C2CC(N(C)Cc3ccccn3)CC(N(Cc3ccccn3)Cc3cccc(F)n3)C2)c1")</f>
        <v>Cc1cncc(CN(C)C2CC(N(C)Cc3ccccn3)CC(N(Cc3ccccn3)Cc3cccc(F)n3)C2)c1</v>
      </c>
      <c r="C5684" s="7">
        <f>IFERROR(__xludf.DUMMYFUNCTION("""COMPUTED_VALUE"""),7.788866)</f>
        <v>7.788866</v>
      </c>
      <c r="D5684" s="7">
        <f>IFERROR(__xludf.DUMMYFUNCTION("""COMPUTED_VALUE"""),0.377049180327868)</f>
        <v>0.3770491803</v>
      </c>
    </row>
    <row r="5685">
      <c r="A5685" s="10" t="s">
        <v>7124</v>
      </c>
      <c r="B5685" s="7" t="str">
        <f>IFERROR(__xludf.DUMMYFUNCTION("SPLIT(A5685,"" "")"),"CC1=CC(C)CC2(C1)CC1(CC=C2c2ncccc2CN(Cc2ccccn2)Cc2ccccn2)CC(C)=CC2(CC=C(C)C(C)C2)C1(C)C")</f>
        <v>CC1=CC(C)CC2(C1)CC1(CC=C2c2ncccc2CN(Cc2ccccn2)Cc2ccccn2)CC(C)=CC2(CC=C(C)C(C)C2)C1(C)C</v>
      </c>
      <c r="C5685" s="7">
        <f>IFERROR(__xludf.DUMMYFUNCTION("""COMPUTED_VALUE"""),7.7888646)</f>
        <v>7.7888646</v>
      </c>
      <c r="D5685" s="7">
        <f>IFERROR(__xludf.DUMMYFUNCTION("""COMPUTED_VALUE"""),0.277777777777777)</f>
        <v>0.2777777778</v>
      </c>
    </row>
    <row r="5686">
      <c r="A5686" s="10" t="s">
        <v>7125</v>
      </c>
      <c r="B5686" s="7" t="str">
        <f>IFERROR(__xludf.DUMMYFUNCTION("SPLIT(A5686,"" "")"),"Cc1cc(C)c(CN(C)C2CCC(N(Cc3ccnc(C4CC(C)(C)C4)c3)Cc3ccccn3)CC2)nc1C")</f>
        <v>Cc1cc(C)c(CN(C)C2CCC(N(Cc3ccnc(C4CC(C)(C)C4)c3)Cc3ccccn3)CC2)nc1C</v>
      </c>
      <c r="C5686" s="7">
        <f>IFERROR(__xludf.DUMMYFUNCTION("""COMPUTED_VALUE"""),7.7888637)</f>
        <v>7.7888637</v>
      </c>
      <c r="D5686" s="7">
        <f>IFERROR(__xludf.DUMMYFUNCTION("""COMPUTED_VALUE"""),0.338235294117647)</f>
        <v>0.3382352941</v>
      </c>
    </row>
    <row r="5687">
      <c r="A5687" s="10" t="s">
        <v>7126</v>
      </c>
      <c r="B5687" s="7" t="str">
        <f>IFERROR(__xludf.DUMMYFUNCTION("SPLIT(A5687,"" "")"),"CC1CC(C)(C)C(Cl)C=C1N(C)Cc1ccccn1")</f>
        <v>CC1CC(C)(C)C(Cl)C=C1N(C)Cc1ccccn1</v>
      </c>
      <c r="C5687" s="7">
        <f>IFERROR(__xludf.DUMMYFUNCTION("""COMPUTED_VALUE"""),7.7888613)</f>
        <v>7.7888613</v>
      </c>
      <c r="D5687" s="7">
        <f>IFERROR(__xludf.DUMMYFUNCTION("""COMPUTED_VALUE"""),0.458333333333333)</f>
        <v>0.4583333333</v>
      </c>
    </row>
    <row r="5688">
      <c r="A5688" s="10" t="s">
        <v>7127</v>
      </c>
      <c r="B5688" s="7" t="str">
        <f>IFERROR(__xludf.DUMMYFUNCTION("SPLIT(A5688,"" "")"),"Cc1cnc(C)c(CN(C)C2CCCC(N(Cc3ccccn3)Cc3ncc(C)c(C)c3C)C2)c1")</f>
        <v>Cc1cnc(C)c(CN(C)C2CCCC(N(Cc3ccccn3)Cc3ncc(C)c(C)c3C)C2)c1</v>
      </c>
      <c r="C5688" s="7">
        <f>IFERROR(__xludf.DUMMYFUNCTION("""COMPUTED_VALUE"""),7.788856)</f>
        <v>7.788856</v>
      </c>
      <c r="D5688" s="7">
        <f>IFERROR(__xludf.DUMMYFUNCTION("""COMPUTED_VALUE"""),0.387096774193548)</f>
        <v>0.3870967742</v>
      </c>
    </row>
    <row r="5689">
      <c r="A5689" s="10" t="s">
        <v>7128</v>
      </c>
      <c r="B5689" s="7" t="str">
        <f>IFERROR(__xludf.DUMMYFUNCTION("SPLIT(A5689,"" "")"),"Cc1ccc(CN(C)C2CC(N(C)Cc3ccccn3)CC(N(C)Cc3cc(C)c(C)c(C)n3)C2)nc1")</f>
        <v>Cc1ccc(CN(C)C2CC(N(C)Cc3ccccn3)CC(N(C)Cc3cc(C)c(C)c(C)n3)C2)nc1</v>
      </c>
      <c r="C5689" s="7">
        <f>IFERROR(__xludf.DUMMYFUNCTION("""COMPUTED_VALUE"""),7.7888546)</f>
        <v>7.7888546</v>
      </c>
      <c r="D5689" s="7">
        <f>IFERROR(__xludf.DUMMYFUNCTION("""COMPUTED_VALUE"""),0.444444444444444)</f>
        <v>0.4444444444</v>
      </c>
    </row>
    <row r="5690">
      <c r="A5690" s="10" t="s">
        <v>7129</v>
      </c>
      <c r="B5690" s="7" t="str">
        <f>IFERROR(__xludf.DUMMYFUNCTION("SPLIT(A5690,"" "")"),"CC1=CCC(C)C(C)C12CC(c1cccc(CN(Cc3ccccn3)Cc3ccccn3)n1)C1(C=C2c2cccc(CN(Cc3ccccn3)C3CCCCC3)n2)C(C)C=CC(C)C1C")</f>
        <v>CC1=CCC(C)C(C)C12CC(c1cccc(CN(Cc3ccccn3)Cc3ccccn3)n1)C1(C=C2c2cccc(CN(Cc3ccccn3)C3CCCCC3)n2)C(C)C=CC(C)C1C</v>
      </c>
      <c r="C5690" s="7">
        <f>IFERROR(__xludf.DUMMYFUNCTION("""COMPUTED_VALUE"""),7.788853)</f>
        <v>7.788853</v>
      </c>
      <c r="D5690" s="7">
        <f>IFERROR(__xludf.DUMMYFUNCTION("""COMPUTED_VALUE"""),0.310344827586206)</f>
        <v>0.3103448276</v>
      </c>
    </row>
    <row r="5691">
      <c r="A5691" s="10" t="s">
        <v>7130</v>
      </c>
      <c r="B5691" s="7" t="str">
        <f>IFERROR(__xludf.DUMMYFUNCTION("SPLIT(A5691,"" "")"),"CCN(Cc1ccccn1)C1CCC(N(C)Cc2ncccc2C)CC1N(Cc1ncccc1C)Cc1ncccc1C")</f>
        <v>CCN(Cc1ccccn1)C1CCC(N(C)Cc2ncccc2C)CC1N(Cc1ncccc1C)Cc1ncccc1C</v>
      </c>
      <c r="C5691" s="7">
        <f>IFERROR(__xludf.DUMMYFUNCTION("""COMPUTED_VALUE"""),7.7888527)</f>
        <v>7.7888527</v>
      </c>
      <c r="D5691" s="7">
        <f>IFERROR(__xludf.DUMMYFUNCTION("""COMPUTED_VALUE"""),0.428571428571428)</f>
        <v>0.4285714286</v>
      </c>
    </row>
    <row r="5692">
      <c r="A5692" s="10" t="s">
        <v>7131</v>
      </c>
      <c r="B5692" s="7" t="str">
        <f>IFERROR(__xludf.DUMMYFUNCTION("SPLIT(A5692,"" "")"),"CCOC(C)NCc1ncccc1C(C)NCc1ccccn1")</f>
        <v>CCOC(C)NCc1ncccc1C(C)NCc1ccccn1</v>
      </c>
      <c r="C5692" s="7">
        <f>IFERROR(__xludf.DUMMYFUNCTION("""COMPUTED_VALUE"""),7.7888517)</f>
        <v>7.7888517</v>
      </c>
      <c r="D5692" s="7">
        <f>IFERROR(__xludf.DUMMYFUNCTION("""COMPUTED_VALUE"""),0.361702127659574)</f>
        <v>0.3617021277</v>
      </c>
    </row>
    <row r="5693">
      <c r="A5693" s="10" t="s">
        <v>7132</v>
      </c>
      <c r="B5693" s="7" t="str">
        <f>IFERROR(__xludf.DUMMYFUNCTION("SPLIT(A5693,"" "")"),"CN(Cc1ccccn1)c1ccccc1-c1cccc(CN(C)C2CCCCC2N(C)Cc2cccc(-c3ccc4c(c3)OCCOCCOCCOCCOCCO4)n2)n1")</f>
        <v>CN(Cc1ccccn1)c1ccccc1-c1cccc(CN(C)C2CCCCC2N(C)Cc2cccc(-c3ccc4c(c3)OCCOCCOCCOCCOCCO4)n2)n1</v>
      </c>
      <c r="C5693" s="7">
        <f>IFERROR(__xludf.DUMMYFUNCTION("""COMPUTED_VALUE"""),7.788843)</f>
        <v>7.788843</v>
      </c>
      <c r="D5693" s="7">
        <f>IFERROR(__xludf.DUMMYFUNCTION("""COMPUTED_VALUE"""),0.46875)</f>
        <v>0.46875</v>
      </c>
    </row>
    <row r="5694">
      <c r="A5694" s="10" t="s">
        <v>7133</v>
      </c>
      <c r="B5694" s="7" t="str">
        <f>IFERROR(__xludf.DUMMYFUNCTION("SPLIT(A5694,"" "")"),"C=CCNCNCc1cccc(-c2ccc(CN(Cc3ccccn3)C3CCCCC3N(C)Cc3cccc(C)n3)nc2)n1")</f>
        <v>C=CCNCNCc1cccc(-c2ccc(CN(Cc3ccccn3)C3CCCCC3N(C)Cc3cccc(C)n3)nc2)n1</v>
      </c>
      <c r="C5694" s="7">
        <f>IFERROR(__xludf.DUMMYFUNCTION("""COMPUTED_VALUE"""),7.788838)</f>
        <v>7.788838</v>
      </c>
      <c r="D5694" s="7">
        <f>IFERROR(__xludf.DUMMYFUNCTION("""COMPUTED_VALUE"""),0.44927536231884)</f>
        <v>0.4492753623</v>
      </c>
    </row>
    <row r="5695">
      <c r="A5695" s="10" t="s">
        <v>7134</v>
      </c>
      <c r="B5695" s="7" t="str">
        <f>IFERROR(__xludf.DUMMYFUNCTION("SPLIT(A5695,"" "")"),"CC(C)CNCc1ncccc1C(C)(C)C")</f>
        <v>CC(C)CNCc1ncccc1C(C)(C)C</v>
      </c>
      <c r="C5695" s="7">
        <f>IFERROR(__xludf.DUMMYFUNCTION("""COMPUTED_VALUE"""),7.788832)</f>
        <v>7.788832</v>
      </c>
      <c r="D5695" s="7">
        <f>IFERROR(__xludf.DUMMYFUNCTION("""COMPUTED_VALUE"""),0.285714285714285)</f>
        <v>0.2857142857</v>
      </c>
    </row>
    <row r="5696">
      <c r="A5696" s="10" t="s">
        <v>7135</v>
      </c>
      <c r="B5696" s="7" t="str">
        <f>IFERROR(__xludf.DUMMYFUNCTION("SPLIT(A5696,"" "")"),"CCNC1CCC(N(C)Cc2ncccc2C)C(N(Cc2ncc(C)c(C)c2C)Cc2ncc(C)c(C)c2C)C1")</f>
        <v>CCNC1CCC(N(C)Cc2ncccc2C)C(N(Cc2ncc(C)c(C)c2C)Cc2ncc(C)c(C)c2C)C1</v>
      </c>
      <c r="C5696" s="7">
        <f>IFERROR(__xludf.DUMMYFUNCTION("""COMPUTED_VALUE"""),7.788826)</f>
        <v>7.788826</v>
      </c>
      <c r="D5696" s="7">
        <f>IFERROR(__xludf.DUMMYFUNCTION("""COMPUTED_VALUE"""),0.338709677419354)</f>
        <v>0.3387096774</v>
      </c>
    </row>
    <row r="5697">
      <c r="A5697" s="10" t="s">
        <v>7136</v>
      </c>
      <c r="B5697" s="7" t="str">
        <f>IFERROR(__xludf.DUMMYFUNCTION("SPLIT(A5697,"" "")"),"Cc1cnc(CN(C)C2CCCC(N(Cc3ccccn3)Cc3cccnc3CN(C)C)C2)c(C)c1C")</f>
        <v>Cc1cnc(CN(C)C2CCCC(N(Cc3ccccn3)Cc3cccnc3CN(C)C)C2)c(C)c1C</v>
      </c>
      <c r="C5697" s="7">
        <f>IFERROR(__xludf.DUMMYFUNCTION("""COMPUTED_VALUE"""),7.788826)</f>
        <v>7.788826</v>
      </c>
      <c r="D5697" s="7">
        <f>IFERROR(__xludf.DUMMYFUNCTION("""COMPUTED_VALUE"""),0.393442622950819)</f>
        <v>0.393442623</v>
      </c>
    </row>
    <row r="5698">
      <c r="A5698" s="10" t="s">
        <v>7137</v>
      </c>
      <c r="B5698" s="7" t="str">
        <f>IFERROR(__xludf.DUMMYFUNCTION("SPLIT(A5698,"" "")"),"CCCN(C)Cc1cc(C(C)(C)C)ccn1")</f>
        <v>CCCN(C)Cc1cc(C(C)(C)C)ccn1</v>
      </c>
      <c r="C5698" s="7">
        <f>IFERROR(__xludf.DUMMYFUNCTION("""COMPUTED_VALUE"""),7.7888255)</f>
        <v>7.7888255</v>
      </c>
      <c r="D5698" s="7">
        <f>IFERROR(__xludf.DUMMYFUNCTION("""COMPUTED_VALUE"""),0.365853658536585)</f>
        <v>0.3658536585</v>
      </c>
    </row>
    <row r="5699">
      <c r="A5699" s="10" t="s">
        <v>7138</v>
      </c>
      <c r="B5699" s="7" t="str">
        <f>IFERROR(__xludf.DUMMYFUNCTION("SPLIT(A5699,"" "")"),"CCN(C)Cc1ccc(C(C)(C)C)cn1")</f>
        <v>CCN(C)Cc1ccc(C(C)(C)C)cn1</v>
      </c>
      <c r="C5699" s="7">
        <f>IFERROR(__xludf.DUMMYFUNCTION("""COMPUTED_VALUE"""),7.7888227)</f>
        <v>7.7888227</v>
      </c>
      <c r="D5699" s="7">
        <f>IFERROR(__xludf.DUMMYFUNCTION("""COMPUTED_VALUE"""),0.459459459459459)</f>
        <v>0.4594594595</v>
      </c>
    </row>
    <row r="5700">
      <c r="A5700" s="10" t="s">
        <v>7139</v>
      </c>
      <c r="B5700" s="7" t="str">
        <f>IFERROR(__xludf.DUMMYFUNCTION("SPLIT(A5700,"" "")"),"CC1=CC(N(C)Cc2ncccc2C(C)(C)c2ccccn2)CC(C)C1C")</f>
        <v>CC1=CC(N(C)Cc2ncccc2C(C)(C)c2ccccn2)CC(C)C1C</v>
      </c>
      <c r="C5700" s="7">
        <f>IFERROR(__xludf.DUMMYFUNCTION("""COMPUTED_VALUE"""),7.7888217)</f>
        <v>7.7888217</v>
      </c>
      <c r="D5700" s="7">
        <f>IFERROR(__xludf.DUMMYFUNCTION("""COMPUTED_VALUE"""),0.3)</f>
        <v>0.3</v>
      </c>
    </row>
    <row r="5701">
      <c r="A5701" s="10" t="s">
        <v>7140</v>
      </c>
      <c r="B5701" s="7" t="str">
        <f>IFERROR(__xludf.DUMMYFUNCTION("SPLIT(A5701,"" "")"),"CN1CCN(C)CCN(Cc2cncc(-c3ccc(N)c(Cl)c3)c2)CC1")</f>
        <v>CN1CCN(C)CCN(Cc2cncc(-c3ccc(N)c(Cl)c3)c2)CC1</v>
      </c>
      <c r="C5701" s="7">
        <f>IFERROR(__xludf.DUMMYFUNCTION("""COMPUTED_VALUE"""),7.7888217)</f>
        <v>7.7888217</v>
      </c>
      <c r="D5701" s="7">
        <f>IFERROR(__xludf.DUMMYFUNCTION("""COMPUTED_VALUE"""),0.365384615384615)</f>
        <v>0.3653846154</v>
      </c>
    </row>
    <row r="5702">
      <c r="A5702" s="10" t="s">
        <v>7141</v>
      </c>
      <c r="B5702" s="7" t="str">
        <f>IFERROR(__xludf.DUMMYFUNCTION("SPLIT(A5702,"" "")"),"CC1=CC(C)CC(C)(c2cc(CN(Cc3ccccn3)C3CCC(N(C)Cc4nc(C)c(C)c(C)c4C)CC3)ccn2)C1")</f>
        <v>CC1=CC(C)CC(C)(c2cc(CN(Cc3ccccn3)C3CCC(N(C)Cc4nc(C)c(C)c(C)c4C)CC3)ccn2)C1</v>
      </c>
      <c r="C5702" s="7">
        <f>IFERROR(__xludf.DUMMYFUNCTION("""COMPUTED_VALUE"""),7.788821)</f>
        <v>7.788821</v>
      </c>
      <c r="D5702" s="7">
        <f>IFERROR(__xludf.DUMMYFUNCTION("""COMPUTED_VALUE"""),0.306666666666666)</f>
        <v>0.3066666667</v>
      </c>
    </row>
    <row r="5703">
      <c r="A5703" s="10" t="s">
        <v>7142</v>
      </c>
      <c r="B5703" s="7" t="str">
        <f>IFERROR(__xludf.DUMMYFUNCTION("SPLIT(A5703,"" "")"),"Fc1ccccn1")</f>
        <v>Fc1ccccn1</v>
      </c>
      <c r="C5703" s="7">
        <f>IFERROR(__xludf.DUMMYFUNCTION("""COMPUTED_VALUE"""),7.7888093)</f>
        <v>7.7888093</v>
      </c>
      <c r="D5703" s="7">
        <f>IFERROR(__xludf.DUMMYFUNCTION("""COMPUTED_VALUE"""),0.384615384615384)</f>
        <v>0.3846153846</v>
      </c>
    </row>
    <row r="5704">
      <c r="A5704" s="10" t="s">
        <v>7143</v>
      </c>
      <c r="B5704" s="7" t="str">
        <f>IFERROR(__xludf.DUMMYFUNCTION("SPLIT(A5704,"" "")"),"Cc1cc(CN(C)C2CCCC(N(Cc3ccccn3)Cc3nc(C)c(C)c(C)c3C)C2)ccn1")</f>
        <v>Cc1cc(CN(C)C2CCCC(N(Cc3ccccn3)Cc3nc(C)c(C)c(C)c3C)C2)ccn1</v>
      </c>
      <c r="C5704" s="7">
        <f>IFERROR(__xludf.DUMMYFUNCTION("""COMPUTED_VALUE"""),7.788808)</f>
        <v>7.788808</v>
      </c>
      <c r="D5704" s="7">
        <f>IFERROR(__xludf.DUMMYFUNCTION("""COMPUTED_VALUE"""),0.387096774193548)</f>
        <v>0.3870967742</v>
      </c>
    </row>
    <row r="5705">
      <c r="A5705" s="10" t="s">
        <v>7144</v>
      </c>
      <c r="B5705" s="7" t="str">
        <f>IFERROR(__xludf.DUMMYFUNCTION("SPLIT(A5705,"" "")"),"C=Nc1ccc(-c2ccncc2CN2CCN(C)CCN(C)CC2)cc1")</f>
        <v>C=Nc1ccc(-c2ccncc2CN2CCN(C)CCN(C)CC2)cc1</v>
      </c>
      <c r="C5705" s="7">
        <f>IFERROR(__xludf.DUMMYFUNCTION("""COMPUTED_VALUE"""),7.7887993)</f>
        <v>7.7887993</v>
      </c>
      <c r="D5705" s="7">
        <f>IFERROR(__xludf.DUMMYFUNCTION("""COMPUTED_VALUE"""),0.36)</f>
        <v>0.36</v>
      </c>
    </row>
    <row r="5706">
      <c r="A5706" s="10" t="s">
        <v>7145</v>
      </c>
      <c r="B5706" s="7" t="str">
        <f>IFERROR(__xludf.DUMMYFUNCTION("SPLIT(A5706,"" "")"),"CC1=C(C)C(C)C2(CC1)C(c1cccc(CN(Cc3ccccn3)C3CCCCC3)n1)C=CC(c1cccc(CN(Cc3ccccn3)Cc3ccccn3)n1)C21C(C)C=CC(C)(C)C12CC(C)C=CC2C")</f>
        <v>CC1=C(C)C(C)C2(CC1)C(c1cccc(CN(Cc3ccccn3)C3CCCCC3)n1)C=CC(c1cccc(CN(Cc3ccccn3)Cc3ccccn3)n1)C21C(C)C=CC(C)(C)C12CC(C)C=CC2C</v>
      </c>
      <c r="C5706" s="7">
        <f>IFERROR(__xludf.DUMMYFUNCTION("""COMPUTED_VALUE"""),7.788795)</f>
        <v>7.788795</v>
      </c>
      <c r="D5706" s="7">
        <f>IFERROR(__xludf.DUMMYFUNCTION("""COMPUTED_VALUE"""),0.267441860465116)</f>
        <v>0.2674418605</v>
      </c>
    </row>
    <row r="5707">
      <c r="A5707" s="10" t="s">
        <v>7146</v>
      </c>
      <c r="B5707" s="7" t="str">
        <f>IFERROR(__xludf.DUMMYFUNCTION("SPLIT(A5707,"" "")"),"CC(c1ccccc1)(c1ccccn1)c1cccc(CN(Cc2ccccn2)c2ccc3c(c2)OCCOCCOCCOCCOCCO3)n1")</f>
        <v>CC(c1ccccc1)(c1ccccn1)c1cccc(CN(Cc2ccccn2)c2ccc3c(c2)OCCOCCOCCOCCOCCO3)n1</v>
      </c>
      <c r="C5707" s="7">
        <f>IFERROR(__xludf.DUMMYFUNCTION("""COMPUTED_VALUE"""),7.788791)</f>
        <v>7.788791</v>
      </c>
      <c r="D5707" s="7">
        <f>IFERROR(__xludf.DUMMYFUNCTION("""COMPUTED_VALUE"""),0.338461538461538)</f>
        <v>0.3384615385</v>
      </c>
    </row>
    <row r="5708">
      <c r="A5708" s="10" t="s">
        <v>7147</v>
      </c>
      <c r="B5708" s="7" t="str">
        <f>IFERROR(__xludf.DUMMYFUNCTION("SPLIT(A5708,"" "")"),"CN(C)C1=C(CN(C)C2C=CC=CN2)NC=CC1")</f>
        <v>CN(C)C1=C(CN(C)C2C=CC=CN2)NC=CC1</v>
      </c>
      <c r="C5708" s="7">
        <f>IFERROR(__xludf.DUMMYFUNCTION("""COMPUTED_VALUE"""),7.7887897)</f>
        <v>7.7887897</v>
      </c>
      <c r="D5708" s="7">
        <f>IFERROR(__xludf.DUMMYFUNCTION("""COMPUTED_VALUE"""),0.245614035087719)</f>
        <v>0.2456140351</v>
      </c>
    </row>
    <row r="5709">
      <c r="A5709" s="10" t="s">
        <v>7148</v>
      </c>
      <c r="B5709" s="7" t="str">
        <f>IFERROR(__xludf.DUMMYFUNCTION("SPLIT(A5709,"" "")"),"CN(Cc1cc(-c2ccc3c(c2)OCCOCCOCCOCCOCCO3)ccn1)C1CCC(N(C)c2ccc3c(CF)ccnc3c2)CC1")</f>
        <v>CN(Cc1cc(-c2ccc3c(c2)OCCOCCOCCOCCOCCO3)ccn1)C1CCC(N(C)c2ccc3c(CF)ccnc3c2)CC1</v>
      </c>
      <c r="C5709" s="7">
        <f>IFERROR(__xludf.DUMMYFUNCTION("""COMPUTED_VALUE"""),7.788785)</f>
        <v>7.788785</v>
      </c>
      <c r="D5709" s="7">
        <f>IFERROR(__xludf.DUMMYFUNCTION("""COMPUTED_VALUE"""),0.341772151898734)</f>
        <v>0.3417721519</v>
      </c>
    </row>
    <row r="5710">
      <c r="A5710" s="10" t="s">
        <v>7149</v>
      </c>
      <c r="B5710" s="7" t="str">
        <f>IFERROR(__xludf.DUMMYFUNCTION("SPLIT(A5710,"" "")"),"CCNC1=C(C)CC(C)(C)CC1N=Cc1ccccn1")</f>
        <v>CCNC1=C(C)CC(C)(C)CC1N=Cc1ccccn1</v>
      </c>
      <c r="C5710" s="7">
        <f>IFERROR(__xludf.DUMMYFUNCTION("""COMPUTED_VALUE"""),7.7887673)</f>
        <v>7.7887673</v>
      </c>
      <c r="D5710" s="7">
        <f>IFERROR(__xludf.DUMMYFUNCTION("""COMPUTED_VALUE"""),0.339285714285714)</f>
        <v>0.3392857143</v>
      </c>
    </row>
    <row r="5711">
      <c r="A5711" s="10" t="s">
        <v>7150</v>
      </c>
      <c r="B5711" s="7" t="str">
        <f>IFERROR(__xludf.DUMMYFUNCTION("SPLIT(A5711,"" "")"),"CN(Cc1ccc(-c2ccc3c(c2)OCCOCCOCCOCCOCCO3)cn1)C1CCC(N(C)c2ccc3nccc(CF)c3c2)CC1")</f>
        <v>CN(Cc1ccc(-c2ccc3c(c2)OCCOCCOCCOCCOCCO3)cn1)C1CCC(N(C)c2ccc3nccc(CF)c3c2)CC1</v>
      </c>
      <c r="C5711" s="7">
        <f>IFERROR(__xludf.DUMMYFUNCTION("""COMPUTED_VALUE"""),7.788766)</f>
        <v>7.788766</v>
      </c>
      <c r="D5711" s="7">
        <f>IFERROR(__xludf.DUMMYFUNCTION("""COMPUTED_VALUE"""),0.415584415584415)</f>
        <v>0.4155844156</v>
      </c>
    </row>
    <row r="5712">
      <c r="A5712" s="10" t="s">
        <v>7151</v>
      </c>
      <c r="B5712" s="7" t="str">
        <f>IFERROR(__xludf.DUMMYFUNCTION("SPLIT(A5712,"" "")"),"CN1CCN(Cc2cc(-c3ccc4c(c3)OCCOCCOCCOCCOCCO4)ccn2)CCN(C(C)(C)c2cccnc2-c2cccc(N=Cc3ccccn3)c2)CC1")</f>
        <v>CN1CCN(Cc2cc(-c3ccc4c(c3)OCCOCCOCCOCCOCCO4)ccn2)CCN(C(C)(C)c2cccnc2-c2cccc(N=Cc3ccccn3)c2)CC1</v>
      </c>
      <c r="C5712" s="7">
        <f>IFERROR(__xludf.DUMMYFUNCTION("""COMPUTED_VALUE"""),7.788763)</f>
        <v>7.788763</v>
      </c>
      <c r="D5712" s="7">
        <f>IFERROR(__xludf.DUMMYFUNCTION("""COMPUTED_VALUE"""),0.325)</f>
        <v>0.325</v>
      </c>
    </row>
    <row r="5713">
      <c r="A5713" s="10" t="s">
        <v>7152</v>
      </c>
      <c r="B5713" s="7" t="str">
        <f>IFERROR(__xludf.DUMMYFUNCTION("SPLIT(A5713,"" "")"),"CN(Cc1ncccc1-c1ccc2c(c1)OCCOCCOCCOCCOCCO2)C1CCCC(N(C)c2cccc3ccc(CF)nc23)C1")</f>
        <v>CN(Cc1ncccc1-c1ccc2c(c1)OCCOCCOCCOCCOCCO2)C1CCCC(N(C)c2cccc3ccc(CF)nc23)C1</v>
      </c>
      <c r="C5713" s="7">
        <f>IFERROR(__xludf.DUMMYFUNCTION("""COMPUTED_VALUE"""),7.7887588)</f>
        <v>7.7887588</v>
      </c>
      <c r="D5713" s="7">
        <f>IFERROR(__xludf.DUMMYFUNCTION("""COMPUTED_VALUE"""),0.426666666666666)</f>
        <v>0.4266666667</v>
      </c>
    </row>
    <row r="5714">
      <c r="A5714" s="10" t="s">
        <v>7153</v>
      </c>
      <c r="B5714" s="7" t="str">
        <f>IFERROR(__xludf.DUMMYFUNCTION("SPLIT(A5714,"" "")"),"C=CCN(C)CC1=CC(N(C)Cc2cccc(C)n2)C=CN1")</f>
        <v>C=CCN(C)CC1=CC(N(C)Cc2cccc(C)n2)C=CN1</v>
      </c>
      <c r="C5714" s="7">
        <f>IFERROR(__xludf.DUMMYFUNCTION("""COMPUTED_VALUE"""),7.788747)</f>
        <v>7.788747</v>
      </c>
      <c r="D5714" s="7">
        <f>IFERROR(__xludf.DUMMYFUNCTION("""COMPUTED_VALUE"""),0.418181818181818)</f>
        <v>0.4181818182</v>
      </c>
    </row>
    <row r="5715">
      <c r="A5715" s="10" t="s">
        <v>7154</v>
      </c>
      <c r="B5715" s="7" t="str">
        <f>IFERROR(__xludf.DUMMYFUNCTION("SPLIT(A5715,"" "")"),"CC(NCc1ccccn1)C1=CCC=CN1")</f>
        <v>CC(NCc1ccccn1)C1=CCC=CN1</v>
      </c>
      <c r="C5715" s="7">
        <f>IFERROR(__xludf.DUMMYFUNCTION("""COMPUTED_VALUE"""),7.7887444)</f>
        <v>7.7887444</v>
      </c>
      <c r="D5715" s="7">
        <f>IFERROR(__xludf.DUMMYFUNCTION("""COMPUTED_VALUE"""),0.489795918367346)</f>
        <v>0.4897959184</v>
      </c>
    </row>
    <row r="5716">
      <c r="A5716" s="10" t="s">
        <v>7155</v>
      </c>
      <c r="B5716" s="7" t="str">
        <f>IFERROR(__xludf.DUMMYFUNCTION("SPLIT(A5716,"" "")"),"Cc1ccncc1")</f>
        <v>Cc1ccncc1</v>
      </c>
      <c r="C5716" s="7">
        <f>IFERROR(__xludf.DUMMYFUNCTION("""COMPUTED_VALUE"""),7.788739)</f>
        <v>7.788739</v>
      </c>
      <c r="D5716" s="7">
        <f>IFERROR(__xludf.DUMMYFUNCTION("""COMPUTED_VALUE"""),0.411764705882352)</f>
        <v>0.4117647059</v>
      </c>
    </row>
    <row r="5717">
      <c r="A5717" s="10" t="s">
        <v>7156</v>
      </c>
      <c r="B5717" s="7" t="str">
        <f>IFERROR(__xludf.DUMMYFUNCTION("SPLIT(A5717,"" "")"),"CC1=CCC(C)C=C1CN(C)CC1=CC(N(C)Cc2ccccn2)C=CN1")</f>
        <v>CC1=CCC(C)C=C1CN(C)CC1=CC(N(C)Cc2ccccn2)C=CN1</v>
      </c>
      <c r="C5717" s="7">
        <f>IFERROR(__xludf.DUMMYFUNCTION("""COMPUTED_VALUE"""),7.788729)</f>
        <v>7.788729</v>
      </c>
      <c r="D5717" s="7">
        <f>IFERROR(__xludf.DUMMYFUNCTION("""COMPUTED_VALUE"""),0.377049180327868)</f>
        <v>0.3770491803</v>
      </c>
    </row>
    <row r="5718">
      <c r="A5718" s="10" t="s">
        <v>7157</v>
      </c>
      <c r="B5718" s="7" t="str">
        <f>IFERROR(__xludf.DUMMYFUNCTION("SPLIT(A5718,"" "")"),"Cc1ccnc(CN(C(C)C)C2CC(N(C)Cc3ncccc3C)CCC2N(Cc2ccccn2)Cc2ncccc2C)c1")</f>
        <v>Cc1ccnc(CN(C(C)C)C2CC(N(C)Cc3ncccc3C)CCC2N(Cc2ccccn2)Cc2ncccc2C)c1</v>
      </c>
      <c r="C5718" s="7">
        <f>IFERROR(__xludf.DUMMYFUNCTION("""COMPUTED_VALUE"""),7.7887244)</f>
        <v>7.7887244</v>
      </c>
      <c r="D5718" s="7">
        <f>IFERROR(__xludf.DUMMYFUNCTION("""COMPUTED_VALUE"""),0.363636363636363)</f>
        <v>0.3636363636</v>
      </c>
    </row>
    <row r="5719">
      <c r="A5719" s="10" t="s">
        <v>7158</v>
      </c>
      <c r="B5719" s="7" t="str">
        <f>IFERROR(__xludf.DUMMYFUNCTION("SPLIT(A5719,"" "")"),"CNC1CCCCC1N(Cc1nc(C)c(C)c(C)c1[SiH3])Cc1nc(C)c([SiH3])c([SiH3])c1[SiH3]")</f>
        <v>CNC1CCCCC1N(Cc1nc(C)c(C)c(C)c1[SiH3])Cc1nc(C)c([SiH3])c([SiH3])c1[SiH3]</v>
      </c>
      <c r="C5719" s="7">
        <f>IFERROR(__xludf.DUMMYFUNCTION("""COMPUTED_VALUE"""),7.7887177)</f>
        <v>7.7887177</v>
      </c>
      <c r="D5719" s="7">
        <f>IFERROR(__xludf.DUMMYFUNCTION("""COMPUTED_VALUE"""),0.258620689655172)</f>
        <v>0.2586206897</v>
      </c>
    </row>
    <row r="5720">
      <c r="A5720" s="10" t="s">
        <v>7159</v>
      </c>
      <c r="B5720" s="7" t="str">
        <f>IFERROR(__xludf.DUMMYFUNCTION("SPLIT(A5720,"" "")"),"CC1=CCCC(CN(C)Cc2ncccc2C)=C1C")</f>
        <v>CC1=CCCC(CN(C)Cc2ncccc2C)=C1C</v>
      </c>
      <c r="C5720" s="7">
        <f>IFERROR(__xludf.DUMMYFUNCTION("""COMPUTED_VALUE"""),7.7887063)</f>
        <v>7.7887063</v>
      </c>
      <c r="D5720" s="7">
        <f>IFERROR(__xludf.DUMMYFUNCTION("""COMPUTED_VALUE"""),0.288461538461538)</f>
        <v>0.2884615385</v>
      </c>
    </row>
    <row r="5721">
      <c r="A5721" s="10" t="s">
        <v>7160</v>
      </c>
      <c r="B5721" s="7" t="str">
        <f>IFERROR(__xludf.DUMMYFUNCTION("SPLIT(A5721,"" "")"),"CNCc1cccc(CNCc2cccc(N(C)Cc3cccc(-c4ccc5c(c4)OCCOCCOCCOCCOCCO5)n3)n2)n1")</f>
        <v>CNCc1cccc(CNCc2cccc(N(C)Cc3cccc(-c4ccc5c(c4)OCCOCCOCCOCCOCCO5)n3)n2)n1</v>
      </c>
      <c r="C5721" s="7">
        <f>IFERROR(__xludf.DUMMYFUNCTION("""COMPUTED_VALUE"""),7.788699)</f>
        <v>7.788699</v>
      </c>
      <c r="D5721" s="7">
        <f>IFERROR(__xludf.DUMMYFUNCTION("""COMPUTED_VALUE"""),0.306666666666666)</f>
        <v>0.3066666667</v>
      </c>
    </row>
    <row r="5722">
      <c r="A5722" s="10" t="s">
        <v>7161</v>
      </c>
      <c r="B5722" s="7" t="str">
        <f>IFERROR(__xludf.DUMMYFUNCTION("SPLIT(A5722,"" "")"),"CNC1CCCCC1N(Cc1nc([SiH3])c([SiH3])c(C)c1C)Cc1nc(C)c([SiH3])c([SiH3])c1C")</f>
        <v>CNC1CCCCC1N(Cc1nc([SiH3])c([SiH3])c(C)c1C)Cc1nc(C)c([SiH3])c([SiH3])c1C</v>
      </c>
      <c r="C5722" s="7">
        <f>IFERROR(__xludf.DUMMYFUNCTION("""COMPUTED_VALUE"""),7.788686)</f>
        <v>7.788686</v>
      </c>
      <c r="D5722" s="7">
        <f>IFERROR(__xludf.DUMMYFUNCTION("""COMPUTED_VALUE"""),0.25)</f>
        <v>0.25</v>
      </c>
    </row>
    <row r="5723">
      <c r="A5723" s="10" t="s">
        <v>7162</v>
      </c>
      <c r="B5723" s="7" t="str">
        <f>IFERROR(__xludf.DUMMYFUNCTION("SPLIT(A5723,"" "")"),"CN(Cc1cccc(C2=CCC=CN2)n1)C1CCC(N(C)Cc2cccc(C(C)(C)C)n2)CC1")</f>
        <v>CN(Cc1cccc(C2=CCC=CN2)n1)C1CCC(N(C)Cc2cccc(C(C)(C)C)n2)CC1</v>
      </c>
      <c r="C5723" s="7">
        <f>IFERROR(__xludf.DUMMYFUNCTION("""COMPUTED_VALUE"""),7.78868)</f>
        <v>7.78868</v>
      </c>
      <c r="D5723" s="7">
        <f>IFERROR(__xludf.DUMMYFUNCTION("""COMPUTED_VALUE"""),0.333333333333333)</f>
        <v>0.3333333333</v>
      </c>
    </row>
    <row r="5724">
      <c r="A5724" s="10" t="s">
        <v>7163</v>
      </c>
      <c r="B5724" s="7" t="str">
        <f>IFERROR(__xludf.DUMMYFUNCTION("SPLIT(A5724,"" "")"),"Cc1cc(CN(C)C2CCCC(N(C)Cc3nc(C)c(C)c(C)c3C)C2)nc2c1CCC2")</f>
        <v>Cc1cc(CN(C)C2CCCC(N(C)Cc3nc(C)c(C)c(C)c3C)C2)nc2c1CCC2</v>
      </c>
      <c r="C5724" s="7">
        <f>IFERROR(__xludf.DUMMYFUNCTION("""COMPUTED_VALUE"""),7.7886753)</f>
        <v>7.7886753</v>
      </c>
      <c r="D5724" s="7">
        <f>IFERROR(__xludf.DUMMYFUNCTION("""COMPUTED_VALUE"""),0.283333333333333)</f>
        <v>0.2833333333</v>
      </c>
    </row>
    <row r="5725">
      <c r="A5725" s="10" t="s">
        <v>7164</v>
      </c>
      <c r="B5725" s="7" t="str">
        <f>IFERROR(__xludf.DUMMYFUNCTION("SPLIT(A5725,"" "")"),"CN(Cc1cc(-c2ccc3c(c2)OCCOCCOCCOCCOCCO3)ccn1)C1CCC(N(C)c2ccc3nccc(CF)c3c2)CC1")</f>
        <v>CN(Cc1cc(-c2ccc3c(c2)OCCOCCOCCOCCOCCO3)ccn1)C1CCC(N(C)c2ccc3nccc(CF)c3c2)CC1</v>
      </c>
      <c r="C5725" s="7">
        <f>IFERROR(__xludf.DUMMYFUNCTION("""COMPUTED_VALUE"""),7.7886662)</f>
        <v>7.7886662</v>
      </c>
      <c r="D5725" s="7">
        <f>IFERROR(__xludf.DUMMYFUNCTION("""COMPUTED_VALUE"""),0.3375)</f>
        <v>0.3375</v>
      </c>
    </row>
    <row r="5726">
      <c r="A5726" s="10" t="s">
        <v>7165</v>
      </c>
      <c r="B5726" s="7" t="str">
        <f>IFERROR(__xludf.DUMMYFUNCTION("SPLIT(A5726,"" "")"),"CC1=C(C)C(C)CC(N(C)Cc2cc(C(C)(C)C)ccn2)C1")</f>
        <v>CC1=C(C)C(C)CC(N(C)Cc2cc(C(C)(C)C)ccn2)C1</v>
      </c>
      <c r="C5726" s="7">
        <f>IFERROR(__xludf.DUMMYFUNCTION("""COMPUTED_VALUE"""),7.7886558)</f>
        <v>7.7886558</v>
      </c>
      <c r="D5726" s="7">
        <f>IFERROR(__xludf.DUMMYFUNCTION("""COMPUTED_VALUE"""),0.303571428571428)</f>
        <v>0.3035714286</v>
      </c>
    </row>
    <row r="5727">
      <c r="A5727" s="10" t="s">
        <v>7166</v>
      </c>
      <c r="B5727" s="7" t="str">
        <f>IFERROR(__xludf.DUMMYFUNCTION("SPLIT(A5727,"" "")"),"CC1=C(C)C(C)(C)CC(N(C)Cc2cc(C(C)(C)C)ccn2)C1")</f>
        <v>CC1=C(C)C(C)(C)CC(N(C)Cc2cc(C(C)(C)C)ccn2)C1</v>
      </c>
      <c r="C5727" s="7">
        <f>IFERROR(__xludf.DUMMYFUNCTION("""COMPUTED_VALUE"""),7.788645)</f>
        <v>7.788645</v>
      </c>
      <c r="D5727" s="7">
        <f>IFERROR(__xludf.DUMMYFUNCTION("""COMPUTED_VALUE"""),0.298245614035087)</f>
        <v>0.298245614</v>
      </c>
    </row>
    <row r="5728">
      <c r="A5728" s="10" t="s">
        <v>7167</v>
      </c>
      <c r="B5728" s="7" t="str">
        <f>IFERROR(__xludf.DUMMYFUNCTION("SPLIT(A5728,"" "")"),"CCNC1CC(N(C)Cc2cc(C)ccn2)CC(N(Cc2cc(C)ccn2)Cc2cc(C)c(C)c(C)n2)C1")</f>
        <v>CCNC1CC(N(C)Cc2cc(C)ccn2)CC(N(Cc2cc(C)ccn2)Cc2cc(C)c(C)c(C)n2)C1</v>
      </c>
      <c r="C5728" s="7">
        <f>IFERROR(__xludf.DUMMYFUNCTION("""COMPUTED_VALUE"""),7.788639)</f>
        <v>7.788639</v>
      </c>
      <c r="D5728" s="7">
        <f>IFERROR(__xludf.DUMMYFUNCTION("""COMPUTED_VALUE"""),0.276923076923076)</f>
        <v>0.2769230769</v>
      </c>
    </row>
    <row r="5729">
      <c r="A5729" s="10" t="s">
        <v>7168</v>
      </c>
      <c r="B5729" s="7" t="str">
        <f>IFERROR(__xludf.DUMMYFUNCTION("SPLIT(A5729,"" "")"),"CC(C)N(Cc1ccccn1)Cc1cccc(N(C)Cc2cccc(-c3cccc4c3OCCOCCOCCOCCOCCO4)n2)n1")</f>
        <v>CC(C)N(Cc1ccccn1)Cc1cccc(N(C)Cc2cccc(-c3cccc4c3OCCOCCOCCOCCOCCO4)n2)n1</v>
      </c>
      <c r="C5729" s="7">
        <f>IFERROR(__xludf.DUMMYFUNCTION("""COMPUTED_VALUE"""),7.7886314)</f>
        <v>7.7886314</v>
      </c>
      <c r="D5729" s="7">
        <f>IFERROR(__xludf.DUMMYFUNCTION("""COMPUTED_VALUE"""),0.393442622950819)</f>
        <v>0.393442623</v>
      </c>
    </row>
    <row r="5730">
      <c r="A5730" s="10" t="s">
        <v>7169</v>
      </c>
      <c r="B5730" s="7" t="str">
        <f>IFERROR(__xludf.DUMMYFUNCTION("SPLIT(A5730,"" "")"),"CC1=CC(CN(Cc2ccccn2)C2CCC(N(C)c3ccc4cc(CF)cnc4c3)CC2)C(N(C)Cc2ccccn2)C(C)C1C")</f>
        <v>CC1=CC(CN(Cc2ccccn2)C2CCC(N(C)c3ccc4cc(CF)cnc4c3)CC2)C(N(C)Cc2ccccn2)C(C)C1C</v>
      </c>
      <c r="C5730" s="7">
        <f>IFERROR(__xludf.DUMMYFUNCTION("""COMPUTED_VALUE"""),7.788631)</f>
        <v>7.788631</v>
      </c>
      <c r="D5730" s="7">
        <f>IFERROR(__xludf.DUMMYFUNCTION("""COMPUTED_VALUE"""),0.324324324324324)</f>
        <v>0.3243243243</v>
      </c>
    </row>
    <row r="5731">
      <c r="A5731" s="10" t="s">
        <v>7170</v>
      </c>
      <c r="B5731" s="7" t="str">
        <f>IFERROR(__xludf.DUMMYFUNCTION("SPLIT(A5731,"" "")"),"CCNCc1cc(CN(Cc2cc(C)c(C)c(C)n2)C2CCCC(N(C)Cc3cc(C)c(C)c(C)n3)C2)ccn1")</f>
        <v>CCNCc1cc(CN(Cc2cc(C)c(C)c(C)n2)C2CCCC(N(C)Cc3cc(C)c(C)c(C)n3)C2)ccn1</v>
      </c>
      <c r="C5731" s="7">
        <f>IFERROR(__xludf.DUMMYFUNCTION("""COMPUTED_VALUE"""),7.788626)</f>
        <v>7.788626</v>
      </c>
      <c r="D5731" s="7">
        <f>IFERROR(__xludf.DUMMYFUNCTION("""COMPUTED_VALUE"""),0.287878787878787)</f>
        <v>0.2878787879</v>
      </c>
    </row>
    <row r="5732">
      <c r="A5732" s="10" t="s">
        <v>7171</v>
      </c>
      <c r="B5732" s="7" t="str">
        <f>IFERROR(__xludf.DUMMYFUNCTION("SPLIT(A5732,"" "")"),"CN1CCN(C)CCN(Cc2cnccc2-c2cccc(N)c2Cl)CC1")</f>
        <v>CN1CCN(C)CCN(Cc2cnccc2-c2cccc(N)c2Cl)CC1</v>
      </c>
      <c r="C5732" s="7">
        <f>IFERROR(__xludf.DUMMYFUNCTION("""COMPUTED_VALUE"""),7.7886252)</f>
        <v>7.7886252</v>
      </c>
      <c r="D5732" s="7">
        <f>IFERROR(__xludf.DUMMYFUNCTION("""COMPUTED_VALUE"""),0.411764705882352)</f>
        <v>0.4117647059</v>
      </c>
    </row>
    <row r="5733">
      <c r="A5733" s="10" t="s">
        <v>7172</v>
      </c>
      <c r="B5733" s="7" t="str">
        <f>IFERROR(__xludf.DUMMYFUNCTION("SPLIT(A5733,"" "")"),"CNCc1cccc(F)n1")</f>
        <v>CNCc1cccc(F)n1</v>
      </c>
      <c r="C5733" s="7">
        <f>IFERROR(__xludf.DUMMYFUNCTION("""COMPUTED_VALUE"""),7.7886252)</f>
        <v>7.7886252</v>
      </c>
      <c r="D5733" s="7">
        <f>IFERROR(__xludf.DUMMYFUNCTION("""COMPUTED_VALUE"""),0.459459459459459)</f>
        <v>0.4594594595</v>
      </c>
    </row>
    <row r="5734">
      <c r="A5734" s="10" t="s">
        <v>7173</v>
      </c>
      <c r="B5734" s="7" t="str">
        <f>IFERROR(__xludf.DUMMYFUNCTION("SPLIT(A5734,"" "")"),"Cc1c(CN(C)Cc2cccc(-c3cccc4c3OCCOCCOCCOCCOCCO4)n2)nc(C(C)(C)C)c(C)c1C")</f>
        <v>Cc1c(CN(C)Cc2cccc(-c3cccc4c3OCCOCCOCCOCCOCCO4)n2)nc(C(C)(C)C)c(C)c1C</v>
      </c>
      <c r="C5734" s="7">
        <f>IFERROR(__xludf.DUMMYFUNCTION("""COMPUTED_VALUE"""),7.7886186)</f>
        <v>7.7886186</v>
      </c>
      <c r="D5734" s="7">
        <f>IFERROR(__xludf.DUMMYFUNCTION("""COMPUTED_VALUE"""),0.323076923076923)</f>
        <v>0.3230769231</v>
      </c>
    </row>
    <row r="5735">
      <c r="A5735" s="10" t="s">
        <v>7174</v>
      </c>
      <c r="B5735" s="7" t="str">
        <f>IFERROR(__xludf.DUMMYFUNCTION("SPLIT(A5735,"" "")"),"CN(C)Cc1ccc2cccc(N(C)C3CCCCC3N(C)Cc3cc(-c4ccc5c(c4)OCCOCCOCCOCCOCCO5)ccn3)c2n1")</f>
        <v>CN(C)Cc1ccc2cccc(N(C)C3CCCCC3N(C)Cc3cc(-c4ccc5c(c4)OCCOCCOCCOCCOCCO5)ccn3)c2n1</v>
      </c>
      <c r="C5735" s="7">
        <f>IFERROR(__xludf.DUMMYFUNCTION("""COMPUTED_VALUE"""),7.7886086)</f>
        <v>7.7886086</v>
      </c>
      <c r="D5735" s="7">
        <f>IFERROR(__xludf.DUMMYFUNCTION("""COMPUTED_VALUE"""),0.457142857142857)</f>
        <v>0.4571428571</v>
      </c>
    </row>
    <row r="5736">
      <c r="A5736" s="10" t="s">
        <v>7175</v>
      </c>
      <c r="B5736" s="7" t="str">
        <f>IFERROR(__xludf.DUMMYFUNCTION("SPLIT(A5736,"" "")"),"CCNCCN(C)Cc1ncc(C)c(C)c1C")</f>
        <v>CCNCCN(C)Cc1ncc(C)c(C)c1C</v>
      </c>
      <c r="C5736" s="7">
        <f>IFERROR(__xludf.DUMMYFUNCTION("""COMPUTED_VALUE"""),7.7886066)</f>
        <v>7.7886066</v>
      </c>
      <c r="D5736" s="7">
        <f>IFERROR(__xludf.DUMMYFUNCTION("""COMPUTED_VALUE"""),0.348837209302325)</f>
        <v>0.3488372093</v>
      </c>
    </row>
    <row r="5737">
      <c r="A5737" s="10" t="s">
        <v>7176</v>
      </c>
      <c r="B5737" s="7" t="str">
        <f>IFERROR(__xludf.DUMMYFUNCTION("SPLIT(A5737,"" "")"),"Cc1c(C)c(C)c(N(C)C2CCC(N(C)Cc3cccnn3)CC2)c(C)c1C")</f>
        <v>Cc1c(C)c(C)c(N(C)C2CCC(N(C)Cc3cccnn3)CC2)c(C)c1C</v>
      </c>
      <c r="C5737" s="7">
        <f>IFERROR(__xludf.DUMMYFUNCTION("""COMPUTED_VALUE"""),7.7885995)</f>
        <v>7.7885995</v>
      </c>
      <c r="D5737" s="7">
        <f>IFERROR(__xludf.DUMMYFUNCTION("""COMPUTED_VALUE"""),0.465116279069767)</f>
        <v>0.4651162791</v>
      </c>
    </row>
    <row r="5738">
      <c r="A5738" s="10" t="s">
        <v>7177</v>
      </c>
      <c r="B5738" s="7" t="str">
        <f>IFERROR(__xludf.DUMMYFUNCTION("SPLIT(A5738,"" "")"),"Fc1cccnc1")</f>
        <v>Fc1cccnc1</v>
      </c>
      <c r="C5738" s="7">
        <f>IFERROR(__xludf.DUMMYFUNCTION("""COMPUTED_VALUE"""),7.7885923)</f>
        <v>7.7885923</v>
      </c>
      <c r="D5738" s="7">
        <f>IFERROR(__xludf.DUMMYFUNCTION("""COMPUTED_VALUE"""),0.235294117647058)</f>
        <v>0.2352941176</v>
      </c>
    </row>
    <row r="5739">
      <c r="A5739" s="10" t="s">
        <v>7178</v>
      </c>
      <c r="B5739" s="7" t="str">
        <f>IFERROR(__xludf.DUMMYFUNCTION("SPLIT(A5739,"" "")"),"CC(C)C(C)c1cccnc1CN(Cc1cccc(C(C)(C)C)n1)CC(C)(C)C")</f>
        <v>CC(C)C(C)c1cccnc1CN(Cc1cccc(C(C)(C)C)n1)CC(C)(C)C</v>
      </c>
      <c r="C5739" s="7">
        <f>IFERROR(__xludf.DUMMYFUNCTION("""COMPUTED_VALUE"""),7.788581)</f>
        <v>7.788581</v>
      </c>
      <c r="D5739" s="7">
        <f>IFERROR(__xludf.DUMMYFUNCTION("""COMPUTED_VALUE"""),0.423076923076923)</f>
        <v>0.4230769231</v>
      </c>
    </row>
    <row r="5740">
      <c r="A5740" s="10" t="s">
        <v>7179</v>
      </c>
      <c r="B5740" s="7" t="str">
        <f>IFERROR(__xludf.DUMMYFUNCTION("SPLIT(A5740,"" "")"),"Cc1ccc(CN(C)C2CCC(N(Cc3cc(C)ccn3)Cc3cc(C)c(C)c(C)n3)CC2)nc1")</f>
        <v>Cc1ccc(CN(C)C2CCC(N(Cc3cc(C)ccn3)Cc3cc(C)c(C)c(C)n3)CC2)nc1</v>
      </c>
      <c r="C5740" s="7">
        <f>IFERROR(__xludf.DUMMYFUNCTION("""COMPUTED_VALUE"""),7.788568)</f>
        <v>7.788568</v>
      </c>
      <c r="D5740" s="7">
        <f>IFERROR(__xludf.DUMMYFUNCTION("""COMPUTED_VALUE"""),0.43859649122807)</f>
        <v>0.4385964912</v>
      </c>
    </row>
    <row r="5741">
      <c r="A5741" s="10" t="s">
        <v>7180</v>
      </c>
      <c r="B5741" s="7" t="str">
        <f>IFERROR(__xludf.DUMMYFUNCTION("SPLIT(A5741,"" "")"),"Cc1cnc(CN(C)c2cccnc2CN2CCN(Cc3ncccc3C)CCN(C3C=CC=CN3)CC2)c(C)c1")</f>
        <v>Cc1cnc(CN(C)c2cccnc2CN2CCN(Cc3ncccc3C)CCN(C3C=CC=CN3)CC2)c(C)c1</v>
      </c>
      <c r="C5741" s="7">
        <f>IFERROR(__xludf.DUMMYFUNCTION("""COMPUTED_VALUE"""),7.7885647)</f>
        <v>7.7885647</v>
      </c>
      <c r="D5741" s="7">
        <f>IFERROR(__xludf.DUMMYFUNCTION("""COMPUTED_VALUE"""),0.266666666666666)</f>
        <v>0.2666666667</v>
      </c>
    </row>
    <row r="5742">
      <c r="A5742" s="10" t="s">
        <v>7181</v>
      </c>
      <c r="B5742" s="7" t="str">
        <f>IFERROR(__xludf.DUMMYFUNCTION("SPLIT(A5742,"" "")"),"CCN(CCN(C)Cc1ncccc1C)Cc1ncccc1C")</f>
        <v>CCN(CCN(C)Cc1ncccc1C)Cc1ncccc1C</v>
      </c>
      <c r="C5742" s="7">
        <f>IFERROR(__xludf.DUMMYFUNCTION("""COMPUTED_VALUE"""),7.788563)</f>
        <v>7.788563</v>
      </c>
      <c r="D5742" s="7">
        <f>IFERROR(__xludf.DUMMYFUNCTION("""COMPUTED_VALUE"""),0.409090909090909)</f>
        <v>0.4090909091</v>
      </c>
    </row>
    <row r="5743">
      <c r="A5743" s="10" t="s">
        <v>7182</v>
      </c>
      <c r="B5743" s="7" t="str">
        <f>IFERROR(__xludf.DUMMYFUNCTION("SPLIT(A5743,"" "")"),"CN1CCN(C)CCN(Cc2cncc(-c3cccc(N)c3Cl)c2)CC1")</f>
        <v>CN1CCN(C)CCN(Cc2cncc(-c3cccc(N)c3Cl)c2)CC1</v>
      </c>
      <c r="C5743" s="7">
        <f>IFERROR(__xludf.DUMMYFUNCTION("""COMPUTED_VALUE"""),7.788557)</f>
        <v>7.788557</v>
      </c>
      <c r="D5743" s="7">
        <f>IFERROR(__xludf.DUMMYFUNCTION("""COMPUTED_VALUE"""),0.403846153846153)</f>
        <v>0.4038461538</v>
      </c>
    </row>
    <row r="5744">
      <c r="A5744" s="10" t="s">
        <v>7183</v>
      </c>
      <c r="B5744" s="7" t="str">
        <f>IFERROR(__xludf.DUMMYFUNCTION("SPLIT(A5744,"" "")"),"CN(CCN(C)c1cccc2nccc(CF)c12)c1cccc2c1OCCOCCOCCOCCOCCO2")</f>
        <v>CN(CCN(C)c1cccc2nccc(CF)c12)c1cccc2c1OCCOCCOCCOCCOCCO2</v>
      </c>
      <c r="C5744" s="7">
        <f>IFERROR(__xludf.DUMMYFUNCTION("""COMPUTED_VALUE"""),7.7885466)</f>
        <v>7.7885466</v>
      </c>
      <c r="D5744" s="7">
        <f>IFERROR(__xludf.DUMMYFUNCTION("""COMPUTED_VALUE"""),0.310344827586206)</f>
        <v>0.3103448276</v>
      </c>
    </row>
    <row r="5745">
      <c r="A5745" s="10" t="s">
        <v>7184</v>
      </c>
      <c r="B5745" s="7" t="str">
        <f>IFERROR(__xludf.DUMMYFUNCTION("SPLIT(A5745,"" "")"),"CN(C)Cc1ccc2cc(N(C)C3CCC(N(C)Cc4cccc(-c5cccc6c5OCCOCCOCCOCCOCCO6)n4)CC3)ccc2n1")</f>
        <v>CN(C)Cc1ccc2cc(N(C)C3CCC(N(C)Cc4cccc(-c5cccc6c5OCCOCCOCCOCCOCCO6)n4)CC3)ccc2n1</v>
      </c>
      <c r="C5745" s="7">
        <f>IFERROR(__xludf.DUMMYFUNCTION("""COMPUTED_VALUE"""),7.7885427)</f>
        <v>7.7885427</v>
      </c>
      <c r="D5745" s="7">
        <f>IFERROR(__xludf.DUMMYFUNCTION("""COMPUTED_VALUE"""),0.273972602739726)</f>
        <v>0.2739726027</v>
      </c>
    </row>
    <row r="5746">
      <c r="A5746" s="10" t="s">
        <v>7185</v>
      </c>
      <c r="B5746" s="7" t="str">
        <f>IFERROR(__xludf.DUMMYFUNCTION("SPLIT(A5746,"" "")"),"Cc1cnccc1CN(C)CCN(Cc1ccccn1)C(C)(C)C")</f>
        <v>Cc1cnccc1CN(C)CCN(Cc1ccccn1)C(C)(C)C</v>
      </c>
      <c r="C5746" s="7">
        <f>IFERROR(__xludf.DUMMYFUNCTION("""COMPUTED_VALUE"""),7.788538)</f>
        <v>7.788538</v>
      </c>
      <c r="D5746" s="7">
        <f>IFERROR(__xludf.DUMMYFUNCTION("""COMPUTED_VALUE"""),0.411764705882352)</f>
        <v>0.4117647059</v>
      </c>
    </row>
    <row r="5747">
      <c r="A5747" s="10" t="s">
        <v>7186</v>
      </c>
      <c r="B5747" s="7" t="str">
        <f>IFERROR(__xludf.DUMMYFUNCTION("SPLIT(A5747,"" "")"),"CNCN(Cc1ccccn1)Cc1cccc(C2CC(C)(C)C2)n1")</f>
        <v>CNCN(Cc1ccccn1)Cc1cccc(C2CC(C)(C)C2)n1</v>
      </c>
      <c r="C5747" s="7">
        <f>IFERROR(__xludf.DUMMYFUNCTION("""COMPUTED_VALUE"""),7.7885337)</f>
        <v>7.7885337</v>
      </c>
      <c r="D5747" s="7">
        <f>IFERROR(__xludf.DUMMYFUNCTION("""COMPUTED_VALUE"""),0.422222222222222)</f>
        <v>0.4222222222</v>
      </c>
    </row>
    <row r="5748">
      <c r="A5748" s="10" t="s">
        <v>7187</v>
      </c>
      <c r="B5748" s="7" t="str">
        <f>IFERROR(__xludf.DUMMYFUNCTION("SPLIT(A5748,"" "")"),"CC(C)N(Cc1ccccn1)Cc1ccc2cccc(N(C)C3CCC(N(C)Cc4cccc(-c5ccc6c(c5)OCCOCCOCCOCCOCCO6)n4)CC3)c2n1")</f>
        <v>CC(C)N(Cc1ccccn1)Cc1ccc2cccc(N(C)C3CCC(N(C)Cc4cccc(-c5ccc6c(c5)OCCOCCOCCOCCOCCO6)n4)CC3)c2n1</v>
      </c>
      <c r="C5748" s="7">
        <f>IFERROR(__xludf.DUMMYFUNCTION("""COMPUTED_VALUE"""),7.7885327)</f>
        <v>7.7885327</v>
      </c>
      <c r="D5748" s="7">
        <f>IFERROR(__xludf.DUMMYFUNCTION("""COMPUTED_VALUE"""),0.349397590361445)</f>
        <v>0.3493975904</v>
      </c>
    </row>
    <row r="5749">
      <c r="A5749" s="10" t="s">
        <v>7188</v>
      </c>
      <c r="B5749" s="7" t="str">
        <f>IFERROR(__xludf.DUMMYFUNCTION("SPLIT(A5749,"" "")"),"CN(c1ccc2nc(CF)ccc2c1)C1CCCCC1N(Cc1ccccn1)Cc1ccc(-c2cccc3c2OCCOCCOCCOCCOCCO3)cn1")</f>
        <v>CN(c1ccc2nc(CF)ccc2c1)C1CCCCC1N(Cc1ccccn1)Cc1ccc(-c2cccc3c2OCCOCCOCCOCCOCCO3)cn1</v>
      </c>
      <c r="C5749" s="7">
        <f>IFERROR(__xludf.DUMMYFUNCTION("""COMPUTED_VALUE"""),7.7885265)</f>
        <v>7.7885265</v>
      </c>
      <c r="D5749" s="7">
        <f>IFERROR(__xludf.DUMMYFUNCTION("""COMPUTED_VALUE"""),0.353658536585365)</f>
        <v>0.3536585366</v>
      </c>
    </row>
    <row r="5750">
      <c r="A5750" s="10" t="s">
        <v>7189</v>
      </c>
      <c r="B5750" s="7" t="str">
        <f>IFERROR(__xludf.DUMMYFUNCTION("SPLIT(A5750,"" "")"),"CC(C)(C1=CC2(C=CN1)C=CC(c1ccc(CN(Cc3ccccn3)Cc3ccccn3)cn1)C(c1cc(CN(Cc3ccccn3)Cc3ccccn3)ccn1)C2(C)C)c1ccc2c(c1)OCCOCCOCCOCCOCCO2")</f>
        <v>CC(C)(C1=CC2(C=CN1)C=CC(c1ccc(CN(Cc3ccccn3)Cc3ccccn3)cn1)C(c1cc(CN(Cc3ccccn3)Cc3ccccn3)ccn1)C2(C)C)c1ccc2c(c1)OCCOCCOCCOCCOCCO2</v>
      </c>
      <c r="C5750" s="7">
        <f>IFERROR(__xludf.DUMMYFUNCTION("""COMPUTED_VALUE"""),7.7885184)</f>
        <v>7.7885184</v>
      </c>
      <c r="D5750" s="7">
        <f>IFERROR(__xludf.DUMMYFUNCTION("""COMPUTED_VALUE"""),0.25531914893617)</f>
        <v>0.2553191489</v>
      </c>
    </row>
    <row r="5751">
      <c r="A5751" s="10" t="s">
        <v>7190</v>
      </c>
      <c r="B5751" s="7" t="str">
        <f>IFERROR(__xludf.DUMMYFUNCTION("SPLIT(A5751,"" "")"),"CNCc1cccc(C)n1")</f>
        <v>CNCc1cccc(C)n1</v>
      </c>
      <c r="C5751" s="7">
        <f>IFERROR(__xludf.DUMMYFUNCTION("""COMPUTED_VALUE"""),7.788518)</f>
        <v>7.788518</v>
      </c>
      <c r="D5751" s="7">
        <f>IFERROR(__xludf.DUMMYFUNCTION("""COMPUTED_VALUE"""),0.5)</f>
        <v>0.5</v>
      </c>
    </row>
    <row r="5752">
      <c r="A5752" s="10" t="s">
        <v>7191</v>
      </c>
      <c r="B5752" s="7" t="str">
        <f>IFERROR(__xludf.DUMMYFUNCTION("SPLIT(A5752,"" "")"),"Cc1cccnc1")</f>
        <v>Cc1cccnc1</v>
      </c>
      <c r="C5752" s="7">
        <f>IFERROR(__xludf.DUMMYFUNCTION("""COMPUTED_VALUE"""),7.7885165)</f>
        <v>7.7885165</v>
      </c>
      <c r="D5752" s="7">
        <f>IFERROR(__xludf.DUMMYFUNCTION("""COMPUTED_VALUE"""),0.4)</f>
        <v>0.4</v>
      </c>
    </row>
    <row r="5753">
      <c r="A5753" s="10" t="s">
        <v>7192</v>
      </c>
      <c r="B5753" s="7" t="str">
        <f>IFERROR(__xludf.DUMMYFUNCTION("SPLIT(A5753,"" "")"),"Cc1cnc(C)c(CN(C)C2CCCC(N(Cc3ccccn3)Cc3nc(C)cc(C)c3C)C2)c1")</f>
        <v>Cc1cnc(C)c(CN(C)C2CCCC(N(Cc3ccccn3)Cc3nc(C)cc(C)c3C)C2)c1</v>
      </c>
      <c r="C5753" s="7">
        <f>IFERROR(__xludf.DUMMYFUNCTION("""COMPUTED_VALUE"""),7.788516)</f>
        <v>7.788516</v>
      </c>
      <c r="D5753" s="7">
        <f>IFERROR(__xludf.DUMMYFUNCTION("""COMPUTED_VALUE"""),0.369230769230769)</f>
        <v>0.3692307692</v>
      </c>
    </row>
    <row r="5754">
      <c r="A5754" s="10" t="s">
        <v>7193</v>
      </c>
      <c r="B5754" s="7" t="str">
        <f>IFERROR(__xludf.DUMMYFUNCTION("SPLIT(A5754,"" "")"),"c1ccc(-c2cccc(-c3ccc4c(c3)OCCOCCOCCOCCOCCO4)n2)nc1")</f>
        <v>c1ccc(-c2cccc(-c3ccc4c(c3)OCCOCCOCCOCCOCCO4)n2)nc1</v>
      </c>
      <c r="C5754" s="7">
        <f>IFERROR(__xludf.DUMMYFUNCTION("""COMPUTED_VALUE"""),7.788515)</f>
        <v>7.788515</v>
      </c>
      <c r="D5754" s="7">
        <f>IFERROR(__xludf.DUMMYFUNCTION("""COMPUTED_VALUE"""),0.372881355932203)</f>
        <v>0.3728813559</v>
      </c>
    </row>
    <row r="5755">
      <c r="A5755" s="10" t="s">
        <v>7194</v>
      </c>
      <c r="B5755" s="7" t="str">
        <f>IFERROR(__xludf.DUMMYFUNCTION("SPLIT(A5755,"" "")"),"CC(C)N(C)C1CCC(N(C)c2ccc3cccnc3c2)CC1")</f>
        <v>CC(C)N(C)C1CCC(N(C)c2ccc3cccnc3c2)CC1</v>
      </c>
      <c r="C5755" s="7">
        <f>IFERROR(__xludf.DUMMYFUNCTION("""COMPUTED_VALUE"""),7.788503)</f>
        <v>7.788503</v>
      </c>
      <c r="D5755" s="7">
        <f>IFERROR(__xludf.DUMMYFUNCTION("""COMPUTED_VALUE"""),0.339622641509433)</f>
        <v>0.3396226415</v>
      </c>
    </row>
    <row r="5756">
      <c r="A5756" s="10" t="s">
        <v>7195</v>
      </c>
      <c r="B5756" s="7" t="str">
        <f>IFERROR(__xludf.DUMMYFUNCTION("SPLIT(A5756,"" "")"),"CCOC1(C)N=COC1c1ncccc1CN(Cc1ccccn1)Cc1ccc(-c2ccc3c(c2)OCCOCCOCCOCCOCCO3)cn1")</f>
        <v>CCOC1(C)N=COC1c1ncccc1CN(Cc1ccccn1)Cc1ccc(-c2ccc3c(c2)OCCOCCOCCOCCOCCO3)cn1</v>
      </c>
      <c r="C5756" s="7">
        <f>IFERROR(__xludf.DUMMYFUNCTION("""COMPUTED_VALUE"""),7.7884917)</f>
        <v>7.7884917</v>
      </c>
      <c r="D5756" s="7">
        <f>IFERROR(__xludf.DUMMYFUNCTION("""COMPUTED_VALUE"""),0.369047619047619)</f>
        <v>0.369047619</v>
      </c>
    </row>
    <row r="5757">
      <c r="A5757" s="10" t="s">
        <v>7196</v>
      </c>
      <c r="B5757" s="7" t="str">
        <f>IFERROR(__xludf.DUMMYFUNCTION("SPLIT(A5757,"" "")"),"Cc1nccc(CN(C)CCN(C)CC(C)(C)C)c1C")</f>
        <v>Cc1nccc(CN(C)CCN(C)CC(C)(C)C)c1C</v>
      </c>
      <c r="C5757" s="7">
        <f>IFERROR(__xludf.DUMMYFUNCTION("""COMPUTED_VALUE"""),7.788488)</f>
        <v>7.788488</v>
      </c>
      <c r="D5757" s="7">
        <f>IFERROR(__xludf.DUMMYFUNCTION("""COMPUTED_VALUE"""),0.377777777777777)</f>
        <v>0.3777777778</v>
      </c>
    </row>
    <row r="5758">
      <c r="A5758" s="10" t="s">
        <v>7197</v>
      </c>
      <c r="B5758" s="7" t="str">
        <f>IFERROR(__xludf.DUMMYFUNCTION("SPLIT(A5758,"" "")"),"Cc1cncc(CN(C)CCN(C)C)c1")</f>
        <v>Cc1cncc(CN(C)CCN(C)C)c1</v>
      </c>
      <c r="C5758" s="7">
        <f>IFERROR(__xludf.DUMMYFUNCTION("""COMPUTED_VALUE"""),7.788488)</f>
        <v>7.788488</v>
      </c>
      <c r="D5758" s="7">
        <f>IFERROR(__xludf.DUMMYFUNCTION("""COMPUTED_VALUE"""),0.394736842105263)</f>
        <v>0.3947368421</v>
      </c>
    </row>
    <row r="5759">
      <c r="A5759" s="10" t="s">
        <v>7198</v>
      </c>
      <c r="B5759" s="7" t="str">
        <f>IFERROR(__xludf.DUMMYFUNCTION("SPLIT(A5759,"" "")"),"CC1C(N)CC1C(C)(c1ccccn1)N(C)C1CCCC(N(C)c2ccc3cccnc3c2)C1")</f>
        <v>CC1C(N)CC1C(C)(c1ccccn1)N(C)C1CCCC(N(C)c2ccc3cccnc3c2)C1</v>
      </c>
      <c r="C5759" s="7">
        <f>IFERROR(__xludf.DUMMYFUNCTION("""COMPUTED_VALUE"""),7.7884684)</f>
        <v>7.7884684</v>
      </c>
      <c r="D5759" s="7">
        <f>IFERROR(__xludf.DUMMYFUNCTION("""COMPUTED_VALUE"""),0.318181818181818)</f>
        <v>0.3181818182</v>
      </c>
    </row>
    <row r="5760">
      <c r="A5760" s="10" t="s">
        <v>7199</v>
      </c>
      <c r="B5760" s="7" t="str">
        <f>IFERROR(__xludf.DUMMYFUNCTION("SPLIT(A5760,"" "")"),"Cc1cccnc1CN(C)C1CCCC(N(Cc2ccccn2)Cc2nc(C)c(C)c(C)c2C)C1")</f>
        <v>Cc1cccnc1CN(C)C1CCCC(N(Cc2ccccn2)Cc2nc(C)c(C)c(C)c2C)C1</v>
      </c>
      <c r="C5760" s="7">
        <f>IFERROR(__xludf.DUMMYFUNCTION("""COMPUTED_VALUE"""),7.7884636)</f>
        <v>7.7884636</v>
      </c>
      <c r="D5760" s="7">
        <f>IFERROR(__xludf.DUMMYFUNCTION("""COMPUTED_VALUE"""),0.406779661016949)</f>
        <v>0.406779661</v>
      </c>
    </row>
    <row r="5761">
      <c r="A5761" s="10" t="s">
        <v>7200</v>
      </c>
      <c r="B5761" s="7" t="str">
        <f>IFERROR(__xludf.DUMMYFUNCTION("SPLIT(A5761,"" "")"),"CN(Cc1ccccn1)Cc1cc(N(C)C(C)(C)c2cnccc2-c2ccc3c(c2)OCCOCCOCCOCCOCCO3)ccn1")</f>
        <v>CN(Cc1ccccn1)Cc1cc(N(C)C(C)(C)c2cnccc2-c2ccc3c(c2)OCCOCCOCCOCCOCCO3)ccn1</v>
      </c>
      <c r="C5761" s="7">
        <f>IFERROR(__xludf.DUMMYFUNCTION("""COMPUTED_VALUE"""),7.788455)</f>
        <v>7.788455</v>
      </c>
      <c r="D5761" s="7">
        <f>IFERROR(__xludf.DUMMYFUNCTION("""COMPUTED_VALUE"""),0.309859154929577)</f>
        <v>0.3098591549</v>
      </c>
    </row>
    <row r="5762">
      <c r="A5762" s="10" t="s">
        <v>7201</v>
      </c>
      <c r="B5762" s="7" t="str">
        <f>IFERROR(__xludf.DUMMYFUNCTION("SPLIT(A5762,"" "")"),"Cc1cc(CN(C)C2CCC(N(C)c3ccc4nc(CN5CCN(C)CCN(C)CC5)ccc4c3)CC2)nc(C)c1C")</f>
        <v>Cc1cc(CN(C)C2CCC(N(C)c3ccc4nc(CN5CCN(C)CCN(C)CC5)ccc4c3)CC2)nc(C)c1C</v>
      </c>
      <c r="C5762" s="7">
        <f>IFERROR(__xludf.DUMMYFUNCTION("""COMPUTED_VALUE"""),7.788454)</f>
        <v>7.788454</v>
      </c>
      <c r="D5762" s="7">
        <f>IFERROR(__xludf.DUMMYFUNCTION("""COMPUTED_VALUE"""),0.349206349206349)</f>
        <v>0.3492063492</v>
      </c>
    </row>
    <row r="5763">
      <c r="A5763" s="10" t="s">
        <v>7202</v>
      </c>
      <c r="B5763" s="7" t="str">
        <f>IFERROR(__xludf.DUMMYFUNCTION("SPLIT(A5763,"" "")"),"CNC1C(N(C)Cc2cc(C)c(C)cn2)CCCC1N(Cc1cc(C)ccn1)Cc1nc(C)c(C)c(C)c1C")</f>
        <v>CNC1C(N(C)Cc2cc(C)c(C)cn2)CCCC1N(Cc1cc(C)ccn1)Cc1nc(C)c(C)c(C)c1C</v>
      </c>
      <c r="C5763" s="7">
        <f>IFERROR(__xludf.DUMMYFUNCTION("""COMPUTED_VALUE"""),7.788436)</f>
        <v>7.788436</v>
      </c>
      <c r="D5763" s="7">
        <f>IFERROR(__xludf.DUMMYFUNCTION("""COMPUTED_VALUE"""),0.384615384615384)</f>
        <v>0.3846153846</v>
      </c>
    </row>
    <row r="5764">
      <c r="A5764" s="10" t="s">
        <v>7203</v>
      </c>
      <c r="B5764" s="7" t="str">
        <f>IFERROR(__xludf.DUMMYFUNCTION("SPLIT(A5764,"" "")"),"Cc1cnc(CN(C)C2CCCC(N(Cc3ccccn3)Cc3ncc(C)cc3C)C2)c(C)c1")</f>
        <v>Cc1cnc(CN(C)C2CCCC(N(Cc3ccccn3)Cc3ncc(C)cc3C)C2)c(C)c1</v>
      </c>
      <c r="C5764" s="7">
        <f>IFERROR(__xludf.DUMMYFUNCTION("""COMPUTED_VALUE"""),7.788435)</f>
        <v>7.788435</v>
      </c>
      <c r="D5764" s="7">
        <f>IFERROR(__xludf.DUMMYFUNCTION("""COMPUTED_VALUE"""),0.444444444444444)</f>
        <v>0.4444444444</v>
      </c>
    </row>
    <row r="5765">
      <c r="A5765" s="10" t="s">
        <v>7204</v>
      </c>
      <c r="B5765" s="7" t="str">
        <f>IFERROR(__xludf.DUMMYFUNCTION("SPLIT(A5765,"" "")"),"CC1C=CC(C)(C)C(C)(c2cccc(CN(Cc3ccccn3)Cc3ccccn3)n2)C1C")</f>
        <v>CC1C=CC(C)(C)C(C)(c2cccc(CN(Cc3ccccn3)Cc3ccccn3)n2)C1C</v>
      </c>
      <c r="C5765" s="7">
        <f>IFERROR(__xludf.DUMMYFUNCTION("""COMPUTED_VALUE"""),7.788433)</f>
        <v>7.788433</v>
      </c>
      <c r="D5765" s="7">
        <f>IFERROR(__xludf.DUMMYFUNCTION("""COMPUTED_VALUE"""),0.454545454545454)</f>
        <v>0.4545454545</v>
      </c>
    </row>
    <row r="5766">
      <c r="A5766" s="10" t="s">
        <v>7205</v>
      </c>
      <c r="B5766" s="7" t="str">
        <f>IFERROR(__xludf.DUMMYFUNCTION("SPLIT(A5766,"" "")"),"C=CCN(C)Cc1cccc(C(C)(C)C)n1")</f>
        <v>C=CCN(C)Cc1cccc(C(C)(C)C)n1</v>
      </c>
      <c r="C5766" s="7">
        <f>IFERROR(__xludf.DUMMYFUNCTION("""COMPUTED_VALUE"""),7.7884307)</f>
        <v>7.7884307</v>
      </c>
      <c r="D5766" s="7">
        <f>IFERROR(__xludf.DUMMYFUNCTION("""COMPUTED_VALUE"""),0.414634146341463)</f>
        <v>0.4146341463</v>
      </c>
    </row>
    <row r="5767">
      <c r="A5767" s="10" t="s">
        <v>7206</v>
      </c>
      <c r="B5767" s="7" t="str">
        <f>IFERROR(__xludf.DUMMYFUNCTION("SPLIT(A5767,"" "")"),"CNC1CCCC(N(Cc2ccccn2)Cc2ncccc2C)C1N(Cc1ncccc1C)Cc1ncccc1C")</f>
        <v>CNC1CCCC(N(Cc2ccccn2)Cc2ncccc2C)C1N(Cc1ncccc1C)Cc1ncccc1C</v>
      </c>
      <c r="C5767" s="7">
        <f>IFERROR(__xludf.DUMMYFUNCTION("""COMPUTED_VALUE"""),7.7884297)</f>
        <v>7.7884297</v>
      </c>
      <c r="D5767" s="7">
        <f>IFERROR(__xludf.DUMMYFUNCTION("""COMPUTED_VALUE"""),0.444444444444444)</f>
        <v>0.4444444444</v>
      </c>
    </row>
    <row r="5768">
      <c r="A5768" s="10" t="s">
        <v>7207</v>
      </c>
      <c r="B5768" s="7" t="str">
        <f>IFERROR(__xludf.DUMMYFUNCTION("SPLIT(A5768,"" "")"),"CN(Cc1ccccn1)C1CCC(N(C)CN(Cc2ccccn2)C2CCC(N(C)Cc3ccccn3)CC2N(C)c2cccc3nccc(CF)c23)CC1")</f>
        <v>CN(Cc1ccccn1)C1CCC(N(C)CN(Cc2ccccn2)C2CCC(N(C)Cc3ccccn3)CC2N(C)c2cccc3nccc(CF)c23)CC1</v>
      </c>
      <c r="C5768" s="7">
        <f>IFERROR(__xludf.DUMMYFUNCTION("""COMPUTED_VALUE"""),7.7884274)</f>
        <v>7.7884274</v>
      </c>
      <c r="D5768" s="7">
        <f>IFERROR(__xludf.DUMMYFUNCTION("""COMPUTED_VALUE"""),0.378787878787878)</f>
        <v>0.3787878788</v>
      </c>
    </row>
    <row r="5769">
      <c r="A5769" s="10" t="s">
        <v>7208</v>
      </c>
      <c r="B5769" s="7" t="str">
        <f>IFERROR(__xludf.DUMMYFUNCTION("SPLIT(A5769,"" "")"),"COC(=O)c1cc(CN(Cc2ccccn2)Cc2cc(CN3CCN(C)CCN(C)CC3)ccn2)ccn1")</f>
        <v>COC(=O)c1cc(CN(Cc2ccccn2)Cc2cc(CN3CCN(C)CCN(C)CC3)ccn2)ccn1</v>
      </c>
      <c r="C5769" s="7">
        <f>IFERROR(__xludf.DUMMYFUNCTION("""COMPUTED_VALUE"""),7.7884216)</f>
        <v>7.7884216</v>
      </c>
      <c r="D5769" s="7">
        <f>IFERROR(__xludf.DUMMYFUNCTION("""COMPUTED_VALUE"""),0.472727272727272)</f>
        <v>0.4727272727</v>
      </c>
    </row>
    <row r="5770">
      <c r="A5770" s="10" t="s">
        <v>7209</v>
      </c>
      <c r="B5770" s="7" t="str">
        <f>IFERROR(__xludf.DUMMYFUNCTION("SPLIT(A5770,"" "")"),"Cc1nc(CN(Cc2cc(-c3ccc4c(c3)OCCOCCOCCOCCOCCO4)ccn2)C(C)(c2cccnc2)C(C)C)c(C)c(C)c1C")</f>
        <v>Cc1nc(CN(Cc2cc(-c3ccc4c(c3)OCCOCCOCCOCCOCCO4)ccn2)C(C)(c2cccnc2)C(C)C)c(C)c(C)c1C</v>
      </c>
      <c r="C5770" s="7">
        <f>IFERROR(__xludf.DUMMYFUNCTION("""COMPUTED_VALUE"""),7.7884207)</f>
        <v>7.7884207</v>
      </c>
      <c r="D5770" s="7">
        <f>IFERROR(__xludf.DUMMYFUNCTION("""COMPUTED_VALUE"""),0.305882352941176)</f>
        <v>0.3058823529</v>
      </c>
    </row>
    <row r="5771">
      <c r="A5771" s="10" t="s">
        <v>7210</v>
      </c>
      <c r="B5771" s="7" t="str">
        <f>IFERROR(__xludf.DUMMYFUNCTION("SPLIT(A5771,"" "")"),"Cc1ccc(-c2cccnc2CN2CCN(C)CCN(C)CC2)c(N)c1")</f>
        <v>Cc1ccc(-c2cccnc2CN2CCN(C)CCN(C)CC2)c(N)c1</v>
      </c>
      <c r="C5771" s="7">
        <f>IFERROR(__xludf.DUMMYFUNCTION("""COMPUTED_VALUE"""),7.788416)</f>
        <v>7.788416</v>
      </c>
      <c r="D5771" s="7">
        <f>IFERROR(__xludf.DUMMYFUNCTION("""COMPUTED_VALUE"""),0.479166666666666)</f>
        <v>0.4791666667</v>
      </c>
    </row>
    <row r="5772">
      <c r="A5772" s="10" t="s">
        <v>7211</v>
      </c>
      <c r="B5772" s="7" t="str">
        <f>IFERROR(__xludf.DUMMYFUNCTION("SPLIT(A5772,"" "")"),"Cc1cc(CN(Cc2cc(C)c(C)c(C)n2)C2CCCC(N(C)c3c(Cl)ncc(CN4CCN(C)CCN(C)CC4)c3C)C2)nc(C)c1C")</f>
        <v>Cc1cc(CN(Cc2cc(C)c(C)c(C)n2)C2CCCC(N(C)c3c(Cl)ncc(CN4CCN(C)CCN(C)CC4)c3C)C2)nc(C)c1C</v>
      </c>
      <c r="C5772" s="7">
        <f>IFERROR(__xludf.DUMMYFUNCTION("""COMPUTED_VALUE"""),7.788412)</f>
        <v>7.788412</v>
      </c>
      <c r="D5772" s="7">
        <f>IFERROR(__xludf.DUMMYFUNCTION("""COMPUTED_VALUE"""),0.305555555555555)</f>
        <v>0.3055555556</v>
      </c>
    </row>
    <row r="5773">
      <c r="A5773" s="10" t="s">
        <v>7212</v>
      </c>
      <c r="B5773" s="7" t="str">
        <f>IFERROR(__xludf.DUMMYFUNCTION("SPLIT(A5773,"" "")"),"Cc1ccnc(CN(C)CCN(C)CC(C)(C)C)c1C")</f>
        <v>Cc1ccnc(CN(C)CCN(C)CC(C)(C)C)c1C</v>
      </c>
      <c r="C5773" s="7">
        <f>IFERROR(__xludf.DUMMYFUNCTION("""COMPUTED_VALUE"""),7.7884116)</f>
        <v>7.7884116</v>
      </c>
      <c r="D5773" s="7">
        <f>IFERROR(__xludf.DUMMYFUNCTION("""COMPUTED_VALUE"""),0.348837209302325)</f>
        <v>0.3488372093</v>
      </c>
    </row>
    <row r="5774">
      <c r="A5774" s="10" t="s">
        <v>7213</v>
      </c>
      <c r="B5774" s="7" t="str">
        <f>IFERROR(__xludf.DUMMYFUNCTION("SPLIT(A5774,"" "")"),"Cc1ccc(C)c(CN(Cc2ccccn2)C2CCC(N(C)Cc3cc(C)c(C)c(C)n3)CC2)n1")</f>
        <v>Cc1ccc(C)c(CN(Cc2ccccn2)C2CCC(N(C)Cc3cc(C)c(C)c(C)n3)CC2)n1</v>
      </c>
      <c r="C5774" s="7">
        <f>IFERROR(__xludf.DUMMYFUNCTION("""COMPUTED_VALUE"""),7.788375)</f>
        <v>7.788375</v>
      </c>
      <c r="D5774" s="7">
        <f>IFERROR(__xludf.DUMMYFUNCTION("""COMPUTED_VALUE"""),0.406779661016949)</f>
        <v>0.406779661</v>
      </c>
    </row>
    <row r="5775">
      <c r="A5775" s="10" t="s">
        <v>7214</v>
      </c>
      <c r="B5775" s="7" t="str">
        <f>IFERROR(__xludf.DUMMYFUNCTION("SPLIT(A5775,"" "")"),"Cc1cccnc1CN(CCN(C)Cc1cncc(C)c1C)CC(C)(C)C")</f>
        <v>Cc1cccnc1CN(CCN(C)Cc1cncc(C)c1C)CC(C)(C)C</v>
      </c>
      <c r="C5775" s="7">
        <f>IFERROR(__xludf.DUMMYFUNCTION("""COMPUTED_VALUE"""),7.7883673)</f>
        <v>7.7883673</v>
      </c>
      <c r="D5775" s="7">
        <f>IFERROR(__xludf.DUMMYFUNCTION("""COMPUTED_VALUE"""),0.415094339622641)</f>
        <v>0.4150943396</v>
      </c>
    </row>
    <row r="5776">
      <c r="A5776" s="10" t="s">
        <v>7215</v>
      </c>
      <c r="B5776" s="7" t="str">
        <f>IFERROR(__xludf.DUMMYFUNCTION("SPLIT(A5776,"" "")"),"CC1=CC(C)(C)C2(CCC3(CC=C(C)C(C)C3C)C(c3ncccc3CN(Cc3ccccn3)C3CCCCC3)=C2c2ncccc2CN(Cc2ccccn2)Cc2ccccn2)C2(CC=CC(C)C2C)C1")</f>
        <v>CC1=CC(C)(C)C2(CCC3(CC=C(C)C(C)C3C)C(c3ncccc3CN(Cc3ccccn3)C3CCCCC3)=C2c2ncccc2CN(Cc2ccccn2)Cc2ccccn2)C2(CC=CC(C)C2C)C1</v>
      </c>
      <c r="C5776" s="7">
        <f>IFERROR(__xludf.DUMMYFUNCTION("""COMPUTED_VALUE"""),7.7883635)</f>
        <v>7.7883635</v>
      </c>
      <c r="D5776" s="7">
        <f>IFERROR(__xludf.DUMMYFUNCTION("""COMPUTED_VALUE"""),0.252747252747252)</f>
        <v>0.2527472527</v>
      </c>
    </row>
    <row r="5777">
      <c r="A5777" s="10" t="s">
        <v>7216</v>
      </c>
      <c r="B5777" s="7" t="str">
        <f>IFERROR(__xludf.DUMMYFUNCTION("SPLIT(A5777,"" "")"),"Cc1cccnc1CN(Cc1cc(C(C)(C(C)C)C(C)C)ccn1)C(C)C(C)c1ccnc(C2CCC2(C)C)c1")</f>
        <v>Cc1cccnc1CN(Cc1cc(C(C)(C(C)C)C(C)C)ccn1)C(C)C(C)c1ccnc(C2CCC2(C)C)c1</v>
      </c>
      <c r="C5777" s="7">
        <f>IFERROR(__xludf.DUMMYFUNCTION("""COMPUTED_VALUE"""),7.788359)</f>
        <v>7.788359</v>
      </c>
      <c r="D5777" s="7">
        <f>IFERROR(__xludf.DUMMYFUNCTION("""COMPUTED_VALUE"""),0.267605633802816)</f>
        <v>0.2676056338</v>
      </c>
    </row>
    <row r="5778">
      <c r="A5778" s="10" t="s">
        <v>7217</v>
      </c>
      <c r="B5778" s="7" t="str">
        <f>IFERROR(__xludf.DUMMYFUNCTION("SPLIT(A5778,"" "")"),"COCc1cccc(CN(Cc2ccccn2)C2CCC(N(C)Cc3ncccc3C)CC2N(C)Cc2ncccc2C)n1")</f>
        <v>COCc1cccc(CN(Cc2ccccn2)C2CCC(N(C)Cc3ncccc3C)CC2N(C)Cc2ncccc2C)n1</v>
      </c>
      <c r="C5778" s="7">
        <f>IFERROR(__xludf.DUMMYFUNCTION("""COMPUTED_VALUE"""),7.7883534)</f>
        <v>7.7883534</v>
      </c>
      <c r="D5778" s="7">
        <f>IFERROR(__xludf.DUMMYFUNCTION("""COMPUTED_VALUE"""),0.403225806451612)</f>
        <v>0.4032258065</v>
      </c>
    </row>
    <row r="5779">
      <c r="A5779" s="10" t="s">
        <v>7218</v>
      </c>
      <c r="B5779" s="7" t="str">
        <f>IFERROR(__xludf.DUMMYFUNCTION("SPLIT(A5779,"" "")"),"CNCCN(Cc1ccccn1)Cc1ncccc1C(C)(C)C")</f>
        <v>CNCCN(Cc1ccccn1)Cc1ncccc1C(C)(C)C</v>
      </c>
      <c r="C5779" s="7">
        <f>IFERROR(__xludf.DUMMYFUNCTION("""COMPUTED_VALUE"""),7.788352)</f>
        <v>7.788352</v>
      </c>
      <c r="D5779" s="7">
        <f>IFERROR(__xludf.DUMMYFUNCTION("""COMPUTED_VALUE"""),0.489361702127659)</f>
        <v>0.4893617021</v>
      </c>
    </row>
    <row r="5780">
      <c r="A5780" s="10" t="s">
        <v>7219</v>
      </c>
      <c r="B5780" s="7" t="str">
        <f>IFERROR(__xludf.DUMMYFUNCTION("SPLIT(A5780,"" "")"),"CNC1CCCCC1N(Cc1nc(C)c([SiH3])c(C)c1C)Cc1nc([SiH3])c(C)c(C)c1[SiH3]")</f>
        <v>CNC1CCCCC1N(Cc1nc(C)c([SiH3])c(C)c1C)Cc1nc([SiH3])c(C)c(C)c1[SiH3]</v>
      </c>
      <c r="C5780" s="7">
        <f>IFERROR(__xludf.DUMMYFUNCTION("""COMPUTED_VALUE"""),7.788349)</f>
        <v>7.788349</v>
      </c>
      <c r="D5780" s="7">
        <f>IFERROR(__xludf.DUMMYFUNCTION("""COMPUTED_VALUE"""),0.25)</f>
        <v>0.25</v>
      </c>
    </row>
    <row r="5781">
      <c r="A5781" s="10" t="s">
        <v>7220</v>
      </c>
      <c r="B5781" s="7" t="str">
        <f>IFERROR(__xludf.DUMMYFUNCTION("SPLIT(A5781,"" "")"),"Cc1cc(CN(C)C2CCCCC2N(C)Cc2cccc(C3=CCC=CN3)n2)nc(C)c1C")</f>
        <v>Cc1cc(CN(C)C2CCCCC2N(C)Cc2cccc(C3=CCC=CN3)n2)nc(C)c1C</v>
      </c>
      <c r="C5781" s="7">
        <f>IFERROR(__xludf.DUMMYFUNCTION("""COMPUTED_VALUE"""),7.7883487)</f>
        <v>7.7883487</v>
      </c>
      <c r="D5781" s="7">
        <f>IFERROR(__xludf.DUMMYFUNCTION("""COMPUTED_VALUE"""),0.46551724137931)</f>
        <v>0.4655172414</v>
      </c>
    </row>
    <row r="5782">
      <c r="A5782" s="10" t="s">
        <v>7221</v>
      </c>
      <c r="B5782" s="7" t="str">
        <f>IFERROR(__xludf.DUMMYFUNCTION("SPLIT(A5782,"" "")"),"CC1C=CC(C)(C)C(C)C1(C)c1cccc(CN(Cc2ccccn2)Cc2ccccn2)n1")</f>
        <v>CC1C=CC(C)(C)C(C)C1(C)c1cccc(CN(Cc2ccccn2)Cc2ccccn2)n1</v>
      </c>
      <c r="C5782" s="7">
        <f>IFERROR(__xludf.DUMMYFUNCTION("""COMPUTED_VALUE"""),7.788346)</f>
        <v>7.788346</v>
      </c>
      <c r="D5782" s="7">
        <f>IFERROR(__xludf.DUMMYFUNCTION("""COMPUTED_VALUE"""),0.454545454545454)</f>
        <v>0.4545454545</v>
      </c>
    </row>
    <row r="5783">
      <c r="A5783" s="10" t="s">
        <v>7222</v>
      </c>
      <c r="B5783" s="7" t="str">
        <f>IFERROR(__xludf.DUMMYFUNCTION("SPLIT(A5783,"" "")"),"CC(C)N(C)CN(C)CC1=CCC=C(N(C)C(C)C)N1")</f>
        <v>CC(C)N(C)CN(C)CC1=CCC=C(N(C)C(C)C)N1</v>
      </c>
      <c r="C5783" s="7">
        <f>IFERROR(__xludf.DUMMYFUNCTION("""COMPUTED_VALUE"""),7.7883444)</f>
        <v>7.7883444</v>
      </c>
      <c r="D5783" s="7">
        <f>IFERROR(__xludf.DUMMYFUNCTION("""COMPUTED_VALUE"""),0.196078431372549)</f>
        <v>0.1960784314</v>
      </c>
    </row>
    <row r="5784">
      <c r="A5784" s="10" t="s">
        <v>7223</v>
      </c>
      <c r="B5784" s="7" t="str">
        <f>IFERROR(__xludf.DUMMYFUNCTION("SPLIT(A5784,"" "")"),"CNC1CCC(N(C)Cc2cc(C)c(C)c(C)n2)CC1N(C)Cc1cc(C)c(C)c(C)n1")</f>
        <v>CNC1CCC(N(C)Cc2cc(C)c(C)c(C)n2)CC1N(C)Cc1cc(C)c(C)c(C)n1</v>
      </c>
      <c r="C5784" s="7">
        <f>IFERROR(__xludf.DUMMYFUNCTION("""COMPUTED_VALUE"""),7.788328)</f>
        <v>7.788328</v>
      </c>
      <c r="D5784" s="7">
        <f>IFERROR(__xludf.DUMMYFUNCTION("""COMPUTED_VALUE"""),0.327272727272727)</f>
        <v>0.3272727273</v>
      </c>
    </row>
    <row r="5785">
      <c r="A5785" s="10" t="s">
        <v>7224</v>
      </c>
      <c r="B5785" s="7" t="str">
        <f>IFERROR(__xludf.DUMMYFUNCTION("SPLIT(A5785,"" "")"),"Cc1ccc(CN(C)C2CCC(N(Cc3ccccn3)Cc3ncccc3C)CC2N(Cc2cccc(C)n2)C(C)C)nc1")</f>
        <v>Cc1ccc(CN(C)C2CCC(N(Cc3ccccn3)Cc3ncccc3C)CC2N(Cc2cccc(C)n2)C(C)C)nc1</v>
      </c>
      <c r="C5785" s="7">
        <f>IFERROR(__xludf.DUMMYFUNCTION("""COMPUTED_VALUE"""),7.788327)</f>
        <v>7.788327</v>
      </c>
      <c r="D5785" s="7">
        <f>IFERROR(__xludf.DUMMYFUNCTION("""COMPUTED_VALUE"""),0.4)</f>
        <v>0.4</v>
      </c>
    </row>
    <row r="5786">
      <c r="A5786" s="10" t="s">
        <v>7225</v>
      </c>
      <c r="B5786" s="7" t="str">
        <f>IFERROR(__xludf.DUMMYFUNCTION("SPLIT(A5786,"" "")"),"CC1=C(C)C(CN(Cc2ccccn2)Cc2ncccc2N)C(N(C)Cc2ccccn2)CC1C")</f>
        <v>CC1=C(C)C(CN(Cc2ccccn2)Cc2ncccc2N)C(N(C)Cc2ccccn2)CC1C</v>
      </c>
      <c r="C5786" s="7">
        <f>IFERROR(__xludf.DUMMYFUNCTION("""COMPUTED_VALUE"""),7.788324)</f>
        <v>7.788324</v>
      </c>
      <c r="D5786" s="7">
        <f>IFERROR(__xludf.DUMMYFUNCTION("""COMPUTED_VALUE"""),0.43859649122807)</f>
        <v>0.4385964912</v>
      </c>
    </row>
    <row r="5787">
      <c r="A5787" s="10" t="s">
        <v>7226</v>
      </c>
      <c r="B5787" s="7" t="str">
        <f>IFERROR(__xludf.DUMMYFUNCTION("SPLIT(A5787,"" "")"),"CNC1CCCC(N(Cc2nc(C)c(C)c(C)c2C)C(C)C)C1N(C(C)C)C(C)C")</f>
        <v>CNC1CCCC(N(Cc2nc(C)c(C)c(C)c2C)C(C)C)C1N(C(C)C)C(C)C</v>
      </c>
      <c r="C5787" s="7">
        <f>IFERROR(__xludf.DUMMYFUNCTION("""COMPUTED_VALUE"""),7.78832)</f>
        <v>7.78832</v>
      </c>
      <c r="D5787" s="7">
        <f>IFERROR(__xludf.DUMMYFUNCTION("""COMPUTED_VALUE"""),0.254237288135593)</f>
        <v>0.2542372881</v>
      </c>
    </row>
    <row r="5788">
      <c r="A5788" s="10" t="s">
        <v>7227</v>
      </c>
      <c r="B5788" s="7" t="str">
        <f>IFERROR(__xludf.DUMMYFUNCTION("SPLIT(A5788,"" "")"),"CCCN(C)C1CC(N(Cc2ccccn2)Cc2ncccc2C)CC(N(Cc2ncccc2C)Cc2ncccc2C)C1")</f>
        <v>CCCN(C)C1CC(N(Cc2ccccn2)Cc2ncccc2C)CC(N(Cc2ncccc2C)Cc2ncccc2C)C1</v>
      </c>
      <c r="C5788" s="7">
        <f>IFERROR(__xludf.DUMMYFUNCTION("""COMPUTED_VALUE"""),7.788314)</f>
        <v>7.788314</v>
      </c>
      <c r="D5788" s="7">
        <f>IFERROR(__xludf.DUMMYFUNCTION("""COMPUTED_VALUE"""),0.415094339622641)</f>
        <v>0.4150943396</v>
      </c>
    </row>
    <row r="5789">
      <c r="A5789" s="10" t="s">
        <v>7228</v>
      </c>
      <c r="B5789" s="7" t="str">
        <f>IFERROR(__xludf.DUMMYFUNCTION("SPLIT(A5789,"" "")"),"Cc1ccnc(CN(Cc2ncccc2C)C2CCC(N(C)Cc3cc(C)c(C)c(C)n3)CC2)c1")</f>
        <v>Cc1ccnc(CN(Cc2ncccc2C)C2CCC(N(C)Cc3cc(C)c(C)c(C)n3)CC2)c1</v>
      </c>
      <c r="C5789" s="7">
        <f>IFERROR(__xludf.DUMMYFUNCTION("""COMPUTED_VALUE"""),7.788304)</f>
        <v>7.788304</v>
      </c>
      <c r="D5789" s="7">
        <f>IFERROR(__xludf.DUMMYFUNCTION("""COMPUTED_VALUE"""),0.317460317460317)</f>
        <v>0.3174603175</v>
      </c>
    </row>
    <row r="5790">
      <c r="A5790" s="10" t="s">
        <v>7229</v>
      </c>
      <c r="B5790" s="7" t="str">
        <f>IFERROR(__xludf.DUMMYFUNCTION("SPLIT(A5790,"" "")"),"CC1=CC(SCc2ccccn2)CC(SCc2ccccn2)C1")</f>
        <v>CC1=CC(SCc2ccccn2)CC(SCc2ccccn2)C1</v>
      </c>
      <c r="C5790" s="7">
        <f>IFERROR(__xludf.DUMMYFUNCTION("""COMPUTED_VALUE"""),7.788303)</f>
        <v>7.788303</v>
      </c>
      <c r="D5790" s="7">
        <f>IFERROR(__xludf.DUMMYFUNCTION("""COMPUTED_VALUE"""),0.414634146341463)</f>
        <v>0.4146341463</v>
      </c>
    </row>
    <row r="5791">
      <c r="A5791" s="10" t="s">
        <v>7230</v>
      </c>
      <c r="B5791" s="7" t="str">
        <f>IFERROR(__xludf.DUMMYFUNCTION("SPLIT(A5791,"" "")"),"CCN(Cc1nc(C)c(C)c(C)c1C)C1CCCCC1N(C)Cc1nc(C)c(C)c(C)c1C")</f>
        <v>CCN(Cc1nc(C)c(C)c(C)c1C)C1CCCCC1N(C)Cc1nc(C)c(C)c(C)c1C</v>
      </c>
      <c r="C5791" s="7">
        <f>IFERROR(__xludf.DUMMYFUNCTION("""COMPUTED_VALUE"""),7.788297)</f>
        <v>7.788297</v>
      </c>
      <c r="D5791" s="7">
        <f>IFERROR(__xludf.DUMMYFUNCTION("""COMPUTED_VALUE"""),0.395833333333333)</f>
        <v>0.3958333333</v>
      </c>
    </row>
    <row r="5792">
      <c r="A5792" s="10" t="s">
        <v>7231</v>
      </c>
      <c r="B5792" s="7" t="str">
        <f>IFERROR(__xludf.DUMMYFUNCTION("SPLIT(A5792,"" "")"),"CNc1cccc(CN(Cc2ccccn2)C2CCC(N(C)Cc3nc(C)ccc3C)CC2)n1")</f>
        <v>CNc1cccc(CN(Cc2ccccn2)C2CCC(N(C)Cc3nc(C)ccc3C)CC2)n1</v>
      </c>
      <c r="C5792" s="7">
        <f>IFERROR(__xludf.DUMMYFUNCTION("""COMPUTED_VALUE"""),7.7882895)</f>
        <v>7.7882895</v>
      </c>
      <c r="D5792" s="7">
        <f>IFERROR(__xludf.DUMMYFUNCTION("""COMPUTED_VALUE"""),0.389830508474576)</f>
        <v>0.3898305085</v>
      </c>
    </row>
    <row r="5793">
      <c r="A5793" s="10" t="s">
        <v>7232</v>
      </c>
      <c r="B5793" s="7" t="str">
        <f>IFERROR(__xludf.DUMMYFUNCTION("SPLIT(A5793,"" "")"),"Cc1ccncc1CN(C)CCN(Cc1cnccc1C)C(C)C")</f>
        <v>Cc1ccncc1CN(C)CCN(Cc1cnccc1C)C(C)C</v>
      </c>
      <c r="C5793" s="7">
        <f>IFERROR(__xludf.DUMMYFUNCTION("""COMPUTED_VALUE"""),7.788288)</f>
        <v>7.788288</v>
      </c>
      <c r="D5793" s="7">
        <f>IFERROR(__xludf.DUMMYFUNCTION("""COMPUTED_VALUE"""),0.386363636363636)</f>
        <v>0.3863636364</v>
      </c>
    </row>
    <row r="5794">
      <c r="A5794" s="10" t="s">
        <v>7233</v>
      </c>
      <c r="B5794" s="7" t="str">
        <f>IFERROR(__xludf.DUMMYFUNCTION("SPLIT(A5794,"" "")"),"CN1CCN(C)CCN(Cc2ccc(-c3ccc(Cl)c(N)c3)nc2)CC1")</f>
        <v>CN1CCN(C)CCN(Cc2ccc(-c3ccc(Cl)c(N)c3)nc2)CC1</v>
      </c>
      <c r="C5794" s="7">
        <f>IFERROR(__xludf.DUMMYFUNCTION("""COMPUTED_VALUE"""),7.7882857)</f>
        <v>7.7882857</v>
      </c>
      <c r="D5794" s="7">
        <f>IFERROR(__xludf.DUMMYFUNCTION("""COMPUTED_VALUE"""),0.358490566037735)</f>
        <v>0.358490566</v>
      </c>
    </row>
    <row r="5795">
      <c r="A5795" s="10" t="s">
        <v>7234</v>
      </c>
      <c r="B5795" s="7" t="str">
        <f>IFERROR(__xludf.DUMMYFUNCTION("SPLIT(A5795,"" "")"),"COC(=O)C1C(c2ccc(C)c(C)n2)C(c2ccc(CN3CCN(C)CCN(C)CC3)cn2)CN(C)C1c1ccccn1")</f>
        <v>COC(=O)C1C(c2ccc(C)c(C)n2)C(c2ccc(CN3CCN(C)CCN(C)CC3)cn2)CN(C)C1c1ccccn1</v>
      </c>
      <c r="C5795" s="7">
        <f>IFERROR(__xludf.DUMMYFUNCTION("""COMPUTED_VALUE"""),7.78828)</f>
        <v>7.78828</v>
      </c>
      <c r="D5795" s="7">
        <f>IFERROR(__xludf.DUMMYFUNCTION("""COMPUTED_VALUE"""),0.319444444444444)</f>
        <v>0.3194444444</v>
      </c>
    </row>
    <row r="5796">
      <c r="A5796" s="10" t="s">
        <v>7235</v>
      </c>
      <c r="B5796" s="7" t="str">
        <f>IFERROR(__xludf.DUMMYFUNCTION("SPLIT(A5796,"" "")"),"CN(CN)C1NC=CC=C1NCc1ccccn1")</f>
        <v>CN(CN)C1NC=CC=C1NCc1ccccn1</v>
      </c>
      <c r="C5796" s="7">
        <f>IFERROR(__xludf.DUMMYFUNCTION("""COMPUTED_VALUE"""),7.7882752)</f>
        <v>7.7882752</v>
      </c>
      <c r="D5796" s="7">
        <f>IFERROR(__xludf.DUMMYFUNCTION("""COMPUTED_VALUE"""),0.392857142857142)</f>
        <v>0.3928571429</v>
      </c>
    </row>
    <row r="5797">
      <c r="A5797" s="10" t="s">
        <v>7236</v>
      </c>
      <c r="B5797" s="7" t="str">
        <f>IFERROR(__xludf.DUMMYFUNCTION("SPLIT(A5797,"" "")"),"CNCCN(Cc1cccc(F)n1)Cc1cccc(F)n1")</f>
        <v>CNCCN(Cc1cccc(F)n1)Cc1cccc(F)n1</v>
      </c>
      <c r="C5797" s="7">
        <f>IFERROR(__xludf.DUMMYFUNCTION("""COMPUTED_VALUE"""),7.7882586)</f>
        <v>7.7882586</v>
      </c>
      <c r="D5797" s="7">
        <f>IFERROR(__xludf.DUMMYFUNCTION("""COMPUTED_VALUE"""),0.4375)</f>
        <v>0.4375</v>
      </c>
    </row>
    <row r="5798">
      <c r="A5798" s="10" t="s">
        <v>7237</v>
      </c>
      <c r="B5798" s="7" t="str">
        <f>IFERROR(__xludf.DUMMYFUNCTION("SPLIT(A5798,"" "")"),"CNC1CCC(N(Cc2nc(C)c([SiH3])c(C)c2[SiH3])Cc2nc([SiH3])c([SiH3])c(C)c2[SiH3])CC1")</f>
        <v>CNC1CCC(N(Cc2nc(C)c([SiH3])c(C)c2[SiH3])Cc2nc([SiH3])c([SiH3])c(C)c2[SiH3])CC1</v>
      </c>
      <c r="C5798" s="7">
        <f>IFERROR(__xludf.DUMMYFUNCTION("""COMPUTED_VALUE"""),7.788256)</f>
        <v>7.788256</v>
      </c>
      <c r="D5798" s="7">
        <f>IFERROR(__xludf.DUMMYFUNCTION("""COMPUTED_VALUE"""),0.183333333333333)</f>
        <v>0.1833333333</v>
      </c>
    </row>
    <row r="5799">
      <c r="A5799" s="10" t="s">
        <v>7238</v>
      </c>
      <c r="B5799" s="7" t="str">
        <f>IFERROR(__xludf.DUMMYFUNCTION("SPLIT(A5799,"" "")"),"Cc1cncc(CN(C)CCN(Cc2ccccn2)C(C)NCc2ccccn2)c1")</f>
        <v>Cc1cncc(CN(C)CCN(Cc2ccccn2)C(C)NCc2ccccn2)c1</v>
      </c>
      <c r="C5799" s="7">
        <f>IFERROR(__xludf.DUMMYFUNCTION("""COMPUTED_VALUE"""),7.788244)</f>
        <v>7.788244</v>
      </c>
      <c r="D5799" s="7">
        <f>IFERROR(__xludf.DUMMYFUNCTION("""COMPUTED_VALUE"""),0.452830188679245)</f>
        <v>0.4528301887</v>
      </c>
    </row>
    <row r="5800">
      <c r="A5800" s="10" t="s">
        <v>7239</v>
      </c>
      <c r="B5800" s="7" t="str">
        <f>IFERROR(__xludf.DUMMYFUNCTION("SPLIT(A5800,"" "")"),"CC1=CC(C)CC(CNCc2cc(C(C)(C)c3ccccn3)ccn2)C1")</f>
        <v>CC1=CC(C)CC(CNCc2cc(C(C)(C)c3ccccn3)ccn2)C1</v>
      </c>
      <c r="C5800" s="7">
        <f>IFERROR(__xludf.DUMMYFUNCTION("""COMPUTED_VALUE"""),7.7882433)</f>
        <v>7.7882433</v>
      </c>
      <c r="D5800" s="7">
        <f>IFERROR(__xludf.DUMMYFUNCTION("""COMPUTED_VALUE"""),0.298245614035087)</f>
        <v>0.298245614</v>
      </c>
    </row>
    <row r="5801">
      <c r="A5801" s="10" t="s">
        <v>7240</v>
      </c>
      <c r="B5801" s="7" t="str">
        <f>IFERROR(__xludf.DUMMYFUNCTION("SPLIT(A5801,"" "")"),"Cc1cc(C)c(CN(C)C2CCC(N(Cc3ccccn3)Cc3nc(C)c(C)cc3C)CC2)cn1")</f>
        <v>Cc1cc(C)c(CN(C)C2CCC(N(Cc3ccccn3)Cc3nc(C)c(C)cc3C)CC2)cn1</v>
      </c>
      <c r="C5801" s="7">
        <f>IFERROR(__xludf.DUMMYFUNCTION("""COMPUTED_VALUE"""),7.7882404)</f>
        <v>7.7882404</v>
      </c>
      <c r="D5801" s="7">
        <f>IFERROR(__xludf.DUMMYFUNCTION("""COMPUTED_VALUE"""),0.377049180327868)</f>
        <v>0.3770491803</v>
      </c>
    </row>
    <row r="5802">
      <c r="A5802" s="10" t="s">
        <v>7241</v>
      </c>
      <c r="B5802" s="7" t="str">
        <f>IFERROR(__xludf.DUMMYFUNCTION("SPLIT(A5802,"" "")"),"CN(Cc1ccccn1)C1C=CNC(CN(C)C2C=CC=CN2)=C1")</f>
        <v>CN(Cc1ccccn1)C1C=CNC(CN(C)C2C=CC=CN2)=C1</v>
      </c>
      <c r="C5802" s="7">
        <f>IFERROR(__xludf.DUMMYFUNCTION("""COMPUTED_VALUE"""),7.788238)</f>
        <v>7.788238</v>
      </c>
      <c r="D5802" s="7">
        <f>IFERROR(__xludf.DUMMYFUNCTION("""COMPUTED_VALUE"""),0.464285714285714)</f>
        <v>0.4642857143</v>
      </c>
    </row>
    <row r="5803">
      <c r="A5803" s="10" t="s">
        <v>7242</v>
      </c>
      <c r="B5803" s="7" t="str">
        <f>IFERROR(__xludf.DUMMYFUNCTION("SPLIT(A5803,"" "")"),"CN(Cc1ccccn1)C1=CNC(CN(Cc2ccccn2)Cc2cccc(-c3ccc4c(c3)OCCOCCOCCOCCOCCO4)n2)=CC1")</f>
        <v>CN(Cc1ccccn1)C1=CNC(CN(Cc2ccccn2)Cc2cccc(-c3ccc4c(c3)OCCOCCOCCOCCOCCO4)n2)=CC1</v>
      </c>
      <c r="C5803" s="7">
        <f>IFERROR(__xludf.DUMMYFUNCTION("""COMPUTED_VALUE"""),7.7882285)</f>
        <v>7.7882285</v>
      </c>
      <c r="D5803" s="7">
        <f>IFERROR(__xludf.DUMMYFUNCTION("""COMPUTED_VALUE"""),0.430555555555555)</f>
        <v>0.4305555556</v>
      </c>
    </row>
    <row r="5804">
      <c r="A5804" s="10" t="s">
        <v>7243</v>
      </c>
      <c r="B5804" s="7" t="str">
        <f>IFERROR(__xludf.DUMMYFUNCTION("SPLIT(A5804,"" "")"),"CC(C)(c1cccc(CN(Cc2ccccn2)Cc2cccc(-c3ccc4c(c3)OCCOCCOCCOCCOCCO4)n2)n1)c1cccc(C2CCC2(C)C)n1")</f>
        <v>CC(C)(c1cccc(CN(Cc2ccccn2)Cc2cccc(-c3ccc4c(c3)OCCOCCOCCOCCOCCO4)n2)n1)c1cccc(C2CCC2(C)C)n1</v>
      </c>
      <c r="C5804" s="7">
        <f>IFERROR(__xludf.DUMMYFUNCTION("""COMPUTED_VALUE"""),7.7882257)</f>
        <v>7.7882257</v>
      </c>
      <c r="D5804" s="7">
        <f>IFERROR(__xludf.DUMMYFUNCTION("""COMPUTED_VALUE"""),0.402597402597402)</f>
        <v>0.4025974026</v>
      </c>
    </row>
    <row r="5805">
      <c r="A5805" s="10" t="s">
        <v>7244</v>
      </c>
      <c r="B5805" s="7" t="str">
        <f>IFERROR(__xludf.DUMMYFUNCTION("SPLIT(A5805,"" "")"),"Cc1ccc(CN(C)C2CCC(N(C)Cc3ccccn3)CC2N(Cc2cccc(C)n2)Cc2cccc(C)n2)nc1")</f>
        <v>Cc1ccc(CN(C)C2CCC(N(C)Cc3ccccn3)CC2N(Cc2cccc(C)n2)Cc2cccc(C)n2)nc1</v>
      </c>
      <c r="C5805" s="7">
        <f>IFERROR(__xludf.DUMMYFUNCTION("""COMPUTED_VALUE"""),7.7881994)</f>
        <v>7.7881994</v>
      </c>
      <c r="D5805" s="7">
        <f>IFERROR(__xludf.DUMMYFUNCTION("""COMPUTED_VALUE"""),0.5)</f>
        <v>0.5</v>
      </c>
    </row>
    <row r="5806">
      <c r="A5806" s="10" t="s">
        <v>7245</v>
      </c>
      <c r="B5806" s="7" t="str">
        <f>IFERROR(__xludf.DUMMYFUNCTION("SPLIT(A5806,"" "")"),"CN(C)Cc1ccc2cc(N(C)C3CCC(N(C)Cc4cccc(-c5ccc6c(c5)OCCOCCOCCOCCOCCO6)n4)CC3)ccc2n1")</f>
        <v>CN(C)Cc1ccc2cc(N(C)C3CCC(N(C)Cc4cccc(-c5ccc6c(c5)OCCOCCOCCOCCOCCO6)n4)CC3)ccc2n1</v>
      </c>
      <c r="C5806" s="7">
        <f>IFERROR(__xludf.DUMMYFUNCTION("""COMPUTED_VALUE"""),7.788191)</f>
        <v>7.788191</v>
      </c>
      <c r="D5806" s="7">
        <f>IFERROR(__xludf.DUMMYFUNCTION("""COMPUTED_VALUE"""),0.329113924050632)</f>
        <v>0.3291139241</v>
      </c>
    </row>
    <row r="5807">
      <c r="A5807" s="10" t="s">
        <v>7246</v>
      </c>
      <c r="B5807" s="7" t="str">
        <f>IFERROR(__xludf.DUMMYFUNCTION("SPLIT(A5807,"" "")"),"c1ccnnc1")</f>
        <v>c1ccnnc1</v>
      </c>
      <c r="C5807" s="7">
        <f>IFERROR(__xludf.DUMMYFUNCTION("""COMPUTED_VALUE"""),7.7881866)</f>
        <v>7.7881866</v>
      </c>
      <c r="D5807" s="7">
        <f>IFERROR(__xludf.DUMMYFUNCTION("""COMPUTED_VALUE"""),0.25)</f>
        <v>0.25</v>
      </c>
    </row>
    <row r="5808">
      <c r="A5808" s="10" t="s">
        <v>7247</v>
      </c>
      <c r="B5808" s="7" t="str">
        <f>IFERROR(__xludf.DUMMYFUNCTION("SPLIT(A5808,"" "")"),"COC(=O)C(=O)C(C)C(C)NCc1cc(CNCc2cc(C(C)C(C)N)ccn2)ccn1")</f>
        <v>COC(=O)C(=O)C(C)C(C)NCc1cc(CNCc2cc(C(C)C(C)N)ccn2)ccn1</v>
      </c>
      <c r="C5808" s="7">
        <f>IFERROR(__xludf.DUMMYFUNCTION("""COMPUTED_VALUE"""),7.7881846)</f>
        <v>7.7881846</v>
      </c>
      <c r="D5808" s="7">
        <f>IFERROR(__xludf.DUMMYFUNCTION("""COMPUTED_VALUE"""),0.23728813559322)</f>
        <v>0.2372881356</v>
      </c>
    </row>
    <row r="5809">
      <c r="A5809" s="10" t="s">
        <v>7248</v>
      </c>
      <c r="B5809" s="7" t="str">
        <f>IFERROR(__xludf.DUMMYFUNCTION("SPLIT(A5809,"" "")"),"CC(C)(C)c1ccccn1")</f>
        <v>CC(C)(C)c1ccccn1</v>
      </c>
      <c r="C5809" s="7">
        <f>IFERROR(__xludf.DUMMYFUNCTION("""COMPUTED_VALUE"""),7.788181)</f>
        <v>7.788181</v>
      </c>
      <c r="D5809" s="7">
        <f>IFERROR(__xludf.DUMMYFUNCTION("""COMPUTED_VALUE"""),0.470588235294117)</f>
        <v>0.4705882353</v>
      </c>
    </row>
    <row r="5810">
      <c r="A5810" s="10" t="s">
        <v>7249</v>
      </c>
      <c r="B5810" s="7" t="str">
        <f>IFERROR(__xludf.DUMMYFUNCTION("SPLIT(A5810,"" "")"),"Cc1cc(CN(C)CCN(C)Cc2ccccn2)ccn1")</f>
        <v>Cc1cc(CN(C)CCN(C)Cc2ccccn2)ccn1</v>
      </c>
      <c r="C5810" s="7">
        <f>IFERROR(__xludf.DUMMYFUNCTION("""COMPUTED_VALUE"""),7.7881794)</f>
        <v>7.7881794</v>
      </c>
      <c r="D5810" s="7">
        <f>IFERROR(__xludf.DUMMYFUNCTION("""COMPUTED_VALUE"""),0.5)</f>
        <v>0.5</v>
      </c>
    </row>
    <row r="5811">
      <c r="A5811" s="10" t="s">
        <v>7250</v>
      </c>
      <c r="B5811" s="7" t="str">
        <f>IFERROR(__xludf.DUMMYFUNCTION("SPLIT(A5811,"" "")"),"Cc1ccnc2cc(N(C)C3CCCCC3N(Cc3ccccn3)CC3CC(N)C3C)ccc12")</f>
        <v>Cc1ccnc2cc(N(C)C3CCCCC3N(Cc3ccccn3)CC3CC(N)C3C)ccc12</v>
      </c>
      <c r="C5811" s="7">
        <f>IFERROR(__xludf.DUMMYFUNCTION("""COMPUTED_VALUE"""),7.7881756)</f>
        <v>7.7881756</v>
      </c>
      <c r="D5811" s="7">
        <f>IFERROR(__xludf.DUMMYFUNCTION("""COMPUTED_VALUE"""),0.393939393939393)</f>
        <v>0.3939393939</v>
      </c>
    </row>
    <row r="5812">
      <c r="A5812" s="10" t="s">
        <v>7251</v>
      </c>
      <c r="B5812" s="7" t="str">
        <f>IFERROR(__xludf.DUMMYFUNCTION("SPLIT(A5812,"" "")"),"C=CCOCc1ncccc1CNCc1ccccn1")</f>
        <v>C=CCOCc1ncccc1CNCc1ccccn1</v>
      </c>
      <c r="C5812" s="7">
        <f>IFERROR(__xludf.DUMMYFUNCTION("""COMPUTED_VALUE"""),7.788175)</f>
        <v>7.788175</v>
      </c>
      <c r="D5812" s="7">
        <f>IFERROR(__xludf.DUMMYFUNCTION("""COMPUTED_VALUE"""),0.490196078431372)</f>
        <v>0.4901960784</v>
      </c>
    </row>
    <row r="5813">
      <c r="A5813" s="10" t="s">
        <v>7252</v>
      </c>
      <c r="B5813" s="7" t="str">
        <f>IFERROR(__xludf.DUMMYFUNCTION("SPLIT(A5813,"" "")"),"CN(Cc1ncccc1-c1ccc2c(c1)OCCOCCOCCOCCOCCO2)C1CCC(N(C)c2ccc3nccc(CF)c3c2)CC1")</f>
        <v>CN(Cc1ncccc1-c1ccc2c(c1)OCCOCCOCCOCCOCCO2)C1CCC(N(C)c2ccc3nccc(CF)c3c2)CC1</v>
      </c>
      <c r="C5813" s="7">
        <f>IFERROR(__xludf.DUMMYFUNCTION("""COMPUTED_VALUE"""),7.788174)</f>
        <v>7.788174</v>
      </c>
      <c r="D5813" s="7">
        <f>IFERROR(__xludf.DUMMYFUNCTION("""COMPUTED_VALUE"""),0.290697674418604)</f>
        <v>0.2906976744</v>
      </c>
    </row>
    <row r="5814">
      <c r="A5814" s="10" t="s">
        <v>7253</v>
      </c>
      <c r="B5814" s="7" t="str">
        <f>IFERROR(__xludf.DUMMYFUNCTION("SPLIT(A5814,"" "")"),"Cc1ccc(CN(Cc2ccccn2)C2CCC(N(C)Cc3cc(C)c(C)c(C)n3)CC2)nc1C")</f>
        <v>Cc1ccc(CN(Cc2ccccn2)C2CCC(N(C)Cc3cc(C)c(C)c(C)n3)CC2)nc1C</v>
      </c>
      <c r="C5814" s="7">
        <f>IFERROR(__xludf.DUMMYFUNCTION("""COMPUTED_VALUE"""),7.788149)</f>
        <v>7.788149</v>
      </c>
      <c r="D5814" s="7">
        <f>IFERROR(__xludf.DUMMYFUNCTION("""COMPUTED_VALUE"""),0.436363636363636)</f>
        <v>0.4363636364</v>
      </c>
    </row>
    <row r="5815">
      <c r="A5815" s="10" t="s">
        <v>7254</v>
      </c>
      <c r="B5815" s="7" t="str">
        <f>IFERROR(__xludf.DUMMYFUNCTION("SPLIT(A5815,"" "")"),"Cc1ccc(CN(C)C2CCC(N(C)Cc3ccccn3)C(N(Cc3cccc(C)n3)Cc3ncccc3C)C2)nc1")</f>
        <v>Cc1ccc(CN(C)C2CCC(N(C)Cc3ccccn3)C(N(Cc3cccc(C)n3)Cc3ncccc3C)C2)nc1</v>
      </c>
      <c r="C5815" s="7">
        <f>IFERROR(__xludf.DUMMYFUNCTION("""COMPUTED_VALUE"""),7.78814)</f>
        <v>7.78814</v>
      </c>
      <c r="D5815" s="7">
        <f>IFERROR(__xludf.DUMMYFUNCTION("""COMPUTED_VALUE"""),0.4375)</f>
        <v>0.4375</v>
      </c>
    </row>
    <row r="5816">
      <c r="A5816" s="10" t="s">
        <v>7255</v>
      </c>
      <c r="B5816" s="7" t="str">
        <f>IFERROR(__xludf.DUMMYFUNCTION("SPLIT(A5816,"" "")"),"CN(Cc1cccc(-c2ccc3c(c2)OCCOCCOCCOCCOCCO3)n1)CN(Cc1ccccn1)Cc1cc(N(C)C(C)(C)c2cccnc2)ccn1")</f>
        <v>CN(Cc1cccc(-c2ccc3c(c2)OCCOCCOCCOCCOCCO3)n1)CN(Cc1ccccn1)Cc1cc(N(C)C(C)(C)c2cccnc2)ccn1</v>
      </c>
      <c r="C5816" s="7">
        <f>IFERROR(__xludf.DUMMYFUNCTION("""COMPUTED_VALUE"""),7.7881384)</f>
        <v>7.7881384</v>
      </c>
      <c r="D5816" s="7">
        <f>IFERROR(__xludf.DUMMYFUNCTION("""COMPUTED_VALUE"""),0.36144578313253)</f>
        <v>0.3614457831</v>
      </c>
    </row>
    <row r="5817">
      <c r="A5817" s="10" t="s">
        <v>7256</v>
      </c>
      <c r="B5817" s="7" t="str">
        <f>IFERROR(__xludf.DUMMYFUNCTION("SPLIT(A5817,"" "")"),"Cc1cc(CN(C)CCN(C)CCN)nc(C)c1C")</f>
        <v>Cc1cc(CN(C)CCN(C)CCN)nc(C)c1C</v>
      </c>
      <c r="C5817" s="7">
        <f>IFERROR(__xludf.DUMMYFUNCTION("""COMPUTED_VALUE"""),7.7881246)</f>
        <v>7.7881246</v>
      </c>
      <c r="D5817" s="7">
        <f>IFERROR(__xludf.DUMMYFUNCTION("""COMPUTED_VALUE"""),0.390243902439024)</f>
        <v>0.3902439024</v>
      </c>
    </row>
    <row r="5818">
      <c r="A5818" s="10" t="s">
        <v>7257</v>
      </c>
      <c r="B5818" s="7" t="str">
        <f>IFERROR(__xludf.DUMMYFUNCTION("SPLIT(A5818,"" "")"),"CN(Cc1ccc(-c2cccc3c2OCCOCCOCCOCCOCCO3)cn1)C1CCCC(N(C)c2cccc3nc(CF)ccc23)C1")</f>
        <v>CN(Cc1ccc(-c2cccc3c2OCCOCCOCCOCCOCCO3)cn1)C1CCCC(N(C)c2cccc3nc(CF)ccc23)C1</v>
      </c>
      <c r="C5818" s="7">
        <f>IFERROR(__xludf.DUMMYFUNCTION("""COMPUTED_VALUE"""),7.788123)</f>
        <v>7.788123</v>
      </c>
      <c r="D5818" s="7">
        <f>IFERROR(__xludf.DUMMYFUNCTION("""COMPUTED_VALUE"""),0.3125)</f>
        <v>0.3125</v>
      </c>
    </row>
    <row r="5819">
      <c r="A5819" s="10" t="s">
        <v>7258</v>
      </c>
      <c r="B5819" s="7" t="str">
        <f>IFERROR(__xludf.DUMMYFUNCTION("SPLIT(A5819,"" "")"),"Cc1cncc(CN(C)CCN(Cc2ccccn2)C(C)(C)C)c1")</f>
        <v>Cc1cncc(CN(C)CCN(Cc2ccccn2)C(C)(C)C)c1</v>
      </c>
      <c r="C5819" s="7">
        <f>IFERROR(__xludf.DUMMYFUNCTION("""COMPUTED_VALUE"""),7.788115)</f>
        <v>7.788115</v>
      </c>
      <c r="D5819" s="7">
        <f>IFERROR(__xludf.DUMMYFUNCTION("""COMPUTED_VALUE"""),0.403846153846153)</f>
        <v>0.4038461538</v>
      </c>
    </row>
    <row r="5820">
      <c r="A5820" s="10" t="s">
        <v>7259</v>
      </c>
      <c r="B5820" s="7" t="str">
        <f>IFERROR(__xludf.DUMMYFUNCTION("SPLIT(A5820,"" "")"),"CNCc1cc(CN(Cc2ncc(C)cc2C)C2CCCC(N(C)Cc3ncc(C)c(C)c3C)C2)ccn1")</f>
        <v>CNCc1cc(CN(Cc2ncc(C)cc2C)C2CCCC(N(C)Cc3ncc(C)c(C)c3C)C2)ccn1</v>
      </c>
      <c r="C5820" s="7">
        <f>IFERROR(__xludf.DUMMYFUNCTION("""COMPUTED_VALUE"""),7.788113)</f>
        <v>7.788113</v>
      </c>
      <c r="D5820" s="7">
        <f>IFERROR(__xludf.DUMMYFUNCTION("""COMPUTED_VALUE"""),0.304347826086956)</f>
        <v>0.3043478261</v>
      </c>
    </row>
    <row r="5821">
      <c r="A5821" s="10" t="s">
        <v>7260</v>
      </c>
      <c r="B5821" s="7" t="str">
        <f>IFERROR(__xludf.DUMMYFUNCTION("SPLIT(A5821,"" "")"),"CN(Cc1cccc(C2=CCC=CN2)n1)C1CCC(N(C)Cc2cccc(C3C(Cl)CC3Cl)n2)CC1")</f>
        <v>CN(Cc1cccc(C2=CCC=CN2)n1)C1CCC(N(C)Cc2cccc(C3C(Cl)CC3Cl)n2)CC1</v>
      </c>
      <c r="C5821" s="7">
        <f>IFERROR(__xludf.DUMMYFUNCTION("""COMPUTED_VALUE"""),7.7881107)</f>
        <v>7.7881107</v>
      </c>
      <c r="D5821" s="7">
        <f>IFERROR(__xludf.DUMMYFUNCTION("""COMPUTED_VALUE"""),0.323076923076923)</f>
        <v>0.3230769231</v>
      </c>
    </row>
    <row r="5822">
      <c r="A5822" s="10" t="s">
        <v>7261</v>
      </c>
      <c r="B5822" s="7" t="str">
        <f>IFERROR(__xludf.DUMMYFUNCTION("SPLIT(A5822,"" "")"),"CN(c1ccc2nc(CF)ccc2c1)C1CCCCC1N(Cc1ccccn1)Cc1ccc(-c2ccc3c(c2)OCCOCCOCCOCCOCCO3)cn1")</f>
        <v>CN(c1ccc2nc(CF)ccc2c1)C1CCCCC1N(Cc1ccccn1)Cc1ccc(-c2ccc3c(c2)OCCOCCOCCOCCOCCO3)cn1</v>
      </c>
      <c r="C5822" s="7">
        <f>IFERROR(__xludf.DUMMYFUNCTION("""COMPUTED_VALUE"""),7.7881002)</f>
        <v>7.7881002</v>
      </c>
      <c r="D5822" s="7">
        <f>IFERROR(__xludf.DUMMYFUNCTION("""COMPUTED_VALUE"""),0.407407407407407)</f>
        <v>0.4074074074</v>
      </c>
    </row>
    <row r="5823">
      <c r="A5823" s="10" t="s">
        <v>7262</v>
      </c>
      <c r="B5823" s="7" t="str">
        <f>IFERROR(__xludf.DUMMYFUNCTION("SPLIT(A5823,"" "")"),"Cc1ccc(CN(Cc2ccccn2)C2CCC(N(C)Cc3nc(C)c(C)cc3C)CC2)nc1C")</f>
        <v>Cc1ccc(CN(Cc2ccccn2)C2CCC(N(C)Cc3nc(C)c(C)cc3C)CC2)nc1C</v>
      </c>
      <c r="C5823" s="7">
        <f>IFERROR(__xludf.DUMMYFUNCTION("""COMPUTED_VALUE"""),7.7880993)</f>
        <v>7.7880993</v>
      </c>
      <c r="D5823" s="7">
        <f>IFERROR(__xludf.DUMMYFUNCTION("""COMPUTED_VALUE"""),0.410714285714285)</f>
        <v>0.4107142857</v>
      </c>
    </row>
    <row r="5824">
      <c r="A5824" s="10" t="s">
        <v>7263</v>
      </c>
      <c r="B5824" s="7" t="str">
        <f>IFERROR(__xludf.DUMMYFUNCTION("SPLIT(A5824,"" "")"),"CN(Cc1cccc(-c2ccc3ncccc3c2)n1)C1CCC(N(Cc2ccc(-c3ccc4c(c3)OCCOCCOCCOCCOCCO4)cn2)Cc2cccc(-c3ccc4c(c3)OCCOCCOCCOCCOCCO4)n2)CC1")</f>
        <v>CN(Cc1cccc(-c2ccc3ncccc3c2)n1)C1CCC(N(Cc2ccc(-c3ccc4c(c3)OCCOCCOCCOCCOCCO4)cn2)Cc2cccc(-c3ccc4c(c3)OCCOCCOCCOCCOCCO4)n2)CC1</v>
      </c>
      <c r="C5824" s="7">
        <f>IFERROR(__xludf.DUMMYFUNCTION("""COMPUTED_VALUE"""),7.788098)</f>
        <v>7.788098</v>
      </c>
      <c r="D5824" s="7">
        <f>IFERROR(__xludf.DUMMYFUNCTION("""COMPUTED_VALUE"""),0.40506329113924)</f>
        <v>0.4050632911</v>
      </c>
    </row>
    <row r="5825">
      <c r="A5825" s="10" t="s">
        <v>7264</v>
      </c>
      <c r="B5825" s="7" t="str">
        <f>IFERROR(__xludf.DUMMYFUNCTION("SPLIT(A5825,"" "")"),"Cc1cncc(CN(C)C2CCCC(N(Cc3cncc(C)c3)Cc3nc(C)c(C)c(C)c3C)C2)c1")</f>
        <v>Cc1cncc(CN(C)C2CCCC(N(Cc3cncc(C)c3)Cc3nc(C)c(C)c(C)c3C)C2)c1</v>
      </c>
      <c r="C5825" s="7">
        <f>IFERROR(__xludf.DUMMYFUNCTION("""COMPUTED_VALUE"""),7.7880974)</f>
        <v>7.7880974</v>
      </c>
      <c r="D5825" s="7">
        <f>IFERROR(__xludf.DUMMYFUNCTION("""COMPUTED_VALUE"""),0.258064516129032)</f>
        <v>0.2580645161</v>
      </c>
    </row>
    <row r="5826">
      <c r="A5826" s="10" t="s">
        <v>7265</v>
      </c>
      <c r="B5826" s="7" t="str">
        <f>IFERROR(__xludf.DUMMYFUNCTION("SPLIT(A5826,"" "")"),"Cc1cnc(CN(C)CCN(C)CC(C)(C)C)cc1C")</f>
        <v>Cc1cnc(CN(C)CCN(C)CC(C)(C)C)cc1C</v>
      </c>
      <c r="C5826" s="7">
        <f>IFERROR(__xludf.DUMMYFUNCTION("""COMPUTED_VALUE"""),7.78809)</f>
        <v>7.78809</v>
      </c>
      <c r="D5826" s="7">
        <f>IFERROR(__xludf.DUMMYFUNCTION("""COMPUTED_VALUE"""),0.5)</f>
        <v>0.5</v>
      </c>
    </row>
    <row r="5827">
      <c r="A5827" s="10" t="s">
        <v>7266</v>
      </c>
      <c r="B5827" s="7" t="str">
        <f>IFERROR(__xludf.DUMMYFUNCTION("SPLIT(A5827,"" "")"),"CN1CCN(C)CCN(Cc2ccc(-c3ccc(N)c(Cl)c3)nc2)CC1")</f>
        <v>CN1CCN(C)CCN(Cc2ccc(-c3ccc(N)c(Cl)c3)nc2)CC1</v>
      </c>
      <c r="C5827" s="7">
        <f>IFERROR(__xludf.DUMMYFUNCTION("""COMPUTED_VALUE"""),7.788086)</f>
        <v>7.788086</v>
      </c>
      <c r="D5827" s="7">
        <f>IFERROR(__xludf.DUMMYFUNCTION("""COMPUTED_VALUE"""),0.384615384615384)</f>
        <v>0.3846153846</v>
      </c>
    </row>
    <row r="5828">
      <c r="A5828" s="10" t="s">
        <v>7267</v>
      </c>
      <c r="B5828" s="7" t="str">
        <f>IFERROR(__xludf.DUMMYFUNCTION("SPLIT(A5828,"" "")"),"CN(CCN(C)Cc1cccc(-c2ccc3c(c2)OCCOCCOCCOCCOCCO3)n1)Cc1ccc2ncccc2c1")</f>
        <v>CN(CCN(C)Cc1cccc(-c2ccc3c(c2)OCCOCCOCCOCCOCCO3)n1)Cc1ccc2ncccc2c1</v>
      </c>
      <c r="C5828" s="7">
        <f>IFERROR(__xludf.DUMMYFUNCTION("""COMPUTED_VALUE"""),7.7880754)</f>
        <v>7.7880754</v>
      </c>
      <c r="D5828" s="7">
        <f>IFERROR(__xludf.DUMMYFUNCTION("""COMPUTED_VALUE"""),0.353846153846153)</f>
        <v>0.3538461538</v>
      </c>
    </row>
    <row r="5829">
      <c r="A5829" s="10" t="s">
        <v>7268</v>
      </c>
      <c r="B5829" s="7" t="str">
        <f>IFERROR(__xludf.DUMMYFUNCTION("SPLIT(A5829,"" "")"),"Fc1ccccc1N(Cc1ccccn1)Cc1ncccc1-c1ccc2c(c1)OCCOCCOCCOCCOCCO2")</f>
        <v>Fc1ccccc1N(Cc1ccccn1)Cc1ncccc1-c1ccc2c(c1)OCCOCCOCCOCCOCCO2</v>
      </c>
      <c r="C5829" s="7">
        <f>IFERROR(__xludf.DUMMYFUNCTION("""COMPUTED_VALUE"""),7.788066)</f>
        <v>7.788066</v>
      </c>
      <c r="D5829" s="7">
        <f>IFERROR(__xludf.DUMMYFUNCTION("""COMPUTED_VALUE"""),0.342465753424657)</f>
        <v>0.3424657534</v>
      </c>
    </row>
    <row r="5830">
      <c r="A5830" s="10" t="s">
        <v>7269</v>
      </c>
      <c r="B5830" s="7" t="str">
        <f>IFERROR(__xludf.DUMMYFUNCTION("SPLIT(A5830,"" "")"),"CC(N)c1cccnn1")</f>
        <v>CC(N)c1cccnn1</v>
      </c>
      <c r="C5830" s="7">
        <f>IFERROR(__xludf.DUMMYFUNCTION("""COMPUTED_VALUE"""),7.7880626)</f>
        <v>7.7880626</v>
      </c>
      <c r="D5830" s="7">
        <f>IFERROR(__xludf.DUMMYFUNCTION("""COMPUTED_VALUE"""),0.342857142857142)</f>
        <v>0.3428571429</v>
      </c>
    </row>
    <row r="5831">
      <c r="A5831" s="10" t="s">
        <v>7270</v>
      </c>
      <c r="B5831" s="7" t="str">
        <f>IFERROR(__xludf.DUMMYFUNCTION("SPLIT(A5831,"" "")"),"Cc1cc(C)c(CN(Cc2ncccc2C)C2CCC(N(C)Cc3ncccc3C)CC2)nc1C")</f>
        <v>Cc1cc(C)c(CN(Cc2ncccc2C)C2CCC(N(C)Cc3ncccc3C)CC2)nc1C</v>
      </c>
      <c r="C5831" s="7">
        <f>IFERROR(__xludf.DUMMYFUNCTION("""COMPUTED_VALUE"""),7.788055)</f>
        <v>7.788055</v>
      </c>
      <c r="D5831" s="7">
        <f>IFERROR(__xludf.DUMMYFUNCTION("""COMPUTED_VALUE"""),0.303571428571428)</f>
        <v>0.3035714286</v>
      </c>
    </row>
    <row r="5832">
      <c r="A5832" s="10" t="s">
        <v>7271</v>
      </c>
      <c r="B5832" s="7" t="str">
        <f>IFERROR(__xludf.DUMMYFUNCTION("SPLIT(A5832,"" "")"),"CCN(Cc1ccccn1)Cc1ncccc1N(C)Cc1cc(-c2cccc3c2OCCOCCOCCOCCOCCO3)ccn1")</f>
        <v>CCN(Cc1ccccn1)Cc1ncccc1N(C)Cc1cc(-c2cccc3c2OCCOCCOCCOCCOCCO3)ccn1</v>
      </c>
      <c r="C5832" s="7">
        <f>IFERROR(__xludf.DUMMYFUNCTION("""COMPUTED_VALUE"""),7.788055)</f>
        <v>7.788055</v>
      </c>
      <c r="D5832" s="7">
        <f>IFERROR(__xludf.DUMMYFUNCTION("""COMPUTED_VALUE"""),0.35820895522388)</f>
        <v>0.3582089552</v>
      </c>
    </row>
    <row r="5833">
      <c r="A5833" s="10" t="s">
        <v>7272</v>
      </c>
      <c r="B5833" s="7" t="str">
        <f>IFERROR(__xludf.DUMMYFUNCTION("SPLIT(A5833,"" "")"),"CC(C)N(Cc1ccccn1)Cc1cccc(N(C)Cc2cccc(-c3ccc4c(c3)OCCOCCOCCOCCOCCO4)n2)n1")</f>
        <v>CC(C)N(Cc1ccccn1)Cc1cccc(N(C)Cc2cccc(-c3ccc4c(c3)OCCOCCOCCOCCOCCO4)n2)n1</v>
      </c>
      <c r="C5833" s="7">
        <f>IFERROR(__xludf.DUMMYFUNCTION("""COMPUTED_VALUE"""),7.788055)</f>
        <v>7.788055</v>
      </c>
      <c r="D5833" s="7">
        <f>IFERROR(__xludf.DUMMYFUNCTION("""COMPUTED_VALUE"""),0.4)</f>
        <v>0.4</v>
      </c>
    </row>
    <row r="5834">
      <c r="A5834" s="10" t="s">
        <v>7273</v>
      </c>
      <c r="B5834" s="7" t="str">
        <f>IFERROR(__xludf.DUMMYFUNCTION("SPLIT(A5834,"" "")"),"CC1C=CC(C)(C)C(C)(c2ncccc2CN(Cc2ccccn2)Cc2ccccn2)C1C")</f>
        <v>CC1C=CC(C)(C)C(C)(c2ncccc2CN(Cc2ccccn2)Cc2ccccn2)C1C</v>
      </c>
      <c r="C5834" s="7">
        <f>IFERROR(__xludf.DUMMYFUNCTION("""COMPUTED_VALUE"""),7.7880526)</f>
        <v>7.7880526</v>
      </c>
      <c r="D5834" s="7">
        <f>IFERROR(__xludf.DUMMYFUNCTION("""COMPUTED_VALUE"""),0.444444444444444)</f>
        <v>0.4444444444</v>
      </c>
    </row>
    <row r="5835">
      <c r="A5835" s="10" t="s">
        <v>7274</v>
      </c>
      <c r="B5835" s="7" t="str">
        <f>IFERROR(__xludf.DUMMYFUNCTION("SPLIT(A5835,"" "")"),"CCN(Cc1ccccn1)Cc1ccc2cccc(N(C)C3CCC(N(C)Cc4ncccc4-c4ccc5c(c4)OCCOCCOCCOCCOCCO5)CC3)c2n1")</f>
        <v>CCN(Cc1ccccn1)Cc1ccc2cccc(N(C)C3CCC(N(C)Cc4ncccc4-c4ccc5c(c4)OCCOCCOCCOCCOCCO5)CC3)c2n1</v>
      </c>
      <c r="C5835" s="7">
        <f>IFERROR(__xludf.DUMMYFUNCTION("""COMPUTED_VALUE"""),7.788035)</f>
        <v>7.788035</v>
      </c>
      <c r="D5835" s="7">
        <f>IFERROR(__xludf.DUMMYFUNCTION("""COMPUTED_VALUE"""),0.305882352941176)</f>
        <v>0.3058823529</v>
      </c>
    </row>
    <row r="5836">
      <c r="A5836" s="10" t="s">
        <v>7275</v>
      </c>
      <c r="B5836" s="7" t="str">
        <f>IFERROR(__xludf.DUMMYFUNCTION("SPLIT(A5836,"" "")"),"Cc1cccc(CN(Cc2ccccn2)Cc2cc(CN(C)Cc3cc(-c4cccc5c4OCCOCCOCCOCCOCCO5)ccn3)ccn2)n1")</f>
        <v>Cc1cccc(CN(Cc2ccccn2)Cc2cc(CN(C)Cc3cc(-c4cccc5c4OCCOCCOCCOCCOCCO5)ccn3)ccn2)n1</v>
      </c>
      <c r="C5836" s="7">
        <f>IFERROR(__xludf.DUMMYFUNCTION("""COMPUTED_VALUE"""),7.7880087)</f>
        <v>7.7880087</v>
      </c>
      <c r="D5836" s="7">
        <f>IFERROR(__xludf.DUMMYFUNCTION("""COMPUTED_VALUE"""),0.367647058823529)</f>
        <v>0.3676470588</v>
      </c>
    </row>
    <row r="5837">
      <c r="A5837" s="10" t="s">
        <v>7276</v>
      </c>
      <c r="B5837" s="7" t="str">
        <f>IFERROR(__xludf.DUMMYFUNCTION("SPLIT(A5837,"" "")"),"Cc1cnc(CN(Cc2ccccn2)C2CCC(N(C)Cc3ccccn3)CC2)c(CN(Cc2ccccn2)Cc2ccccn2)c1")</f>
        <v>Cc1cnc(CN(Cc2ccccn2)C2CCC(N(C)Cc3ccccn3)CC2)c(CN(Cc2ccccn2)Cc2ccccn2)c1</v>
      </c>
      <c r="C5837" s="7">
        <f>IFERROR(__xludf.DUMMYFUNCTION("""COMPUTED_VALUE"""),7.7880087)</f>
        <v>7.7880087</v>
      </c>
      <c r="D5837" s="7">
        <f>IFERROR(__xludf.DUMMYFUNCTION("""COMPUTED_VALUE"""),0.436363636363636)</f>
        <v>0.4363636364</v>
      </c>
    </row>
    <row r="5838">
      <c r="A5838" s="10" t="s">
        <v>7277</v>
      </c>
      <c r="B5838" s="7" t="str">
        <f>IFERROR(__xludf.DUMMYFUNCTION("SPLIT(A5838,"" "")"),"CCN(Cc1ccccn1)C1CCC(N(C)Cc2ncccc2C)C(N(Cc2ncccc2C)Cc2ncccc2C)C1")</f>
        <v>CCN(Cc1ccccn1)C1CCC(N(C)Cc2ncccc2C)C(N(Cc2ncccc2C)Cc2ncccc2C)C1</v>
      </c>
      <c r="C5838" s="7">
        <f>IFERROR(__xludf.DUMMYFUNCTION("""COMPUTED_VALUE"""),7.788003)</f>
        <v>7.788003</v>
      </c>
      <c r="D5838" s="7">
        <f>IFERROR(__xludf.DUMMYFUNCTION("""COMPUTED_VALUE"""),0.481481481481481)</f>
        <v>0.4814814815</v>
      </c>
    </row>
    <row r="5839">
      <c r="A5839" s="10" t="s">
        <v>7278</v>
      </c>
      <c r="B5839" s="7" t="str">
        <f>IFERROR(__xludf.DUMMYFUNCTION("SPLIT(A5839,"" "")"),"Fc1ccccc1N(Cc1ccccn1)C1CCCCC1N(Cc1ccccn1)Cc1cccnc1F")</f>
        <v>Fc1ccccc1N(Cc1ccccn1)C1CCCCC1N(Cc1ccccn1)Cc1cccnc1F</v>
      </c>
      <c r="C5839" s="7">
        <f>IFERROR(__xludf.DUMMYFUNCTION("""COMPUTED_VALUE"""),7.7880025)</f>
        <v>7.7880025</v>
      </c>
      <c r="D5839" s="7">
        <f>IFERROR(__xludf.DUMMYFUNCTION("""COMPUTED_VALUE"""),0.452830188679245)</f>
        <v>0.4528301887</v>
      </c>
    </row>
    <row r="5840">
      <c r="A5840" s="10" t="s">
        <v>7279</v>
      </c>
      <c r="B5840" s="7" t="str">
        <f>IFERROR(__xludf.DUMMYFUNCTION("SPLIT(A5840,"" "")"),"Cc1ccc(CN(Cc2ncccc2C)C2CCC(N(C)Cc3ncccc3C)C3N=CC=CC32)nc1")</f>
        <v>Cc1ccc(CN(Cc2ncccc2C)C2CCC(N(C)Cc3ncccc3C)C3N=CC=CC32)nc1</v>
      </c>
      <c r="C5840" s="7">
        <f>IFERROR(__xludf.DUMMYFUNCTION("""COMPUTED_VALUE"""),7.788001)</f>
        <v>7.788001</v>
      </c>
      <c r="D5840" s="7">
        <f>IFERROR(__xludf.DUMMYFUNCTION("""COMPUTED_VALUE"""),0.426229508196721)</f>
        <v>0.4262295082</v>
      </c>
    </row>
    <row r="5841">
      <c r="A5841" s="10" t="s">
        <v>7280</v>
      </c>
      <c r="B5841" s="7" t="str">
        <f>IFERROR(__xludf.DUMMYFUNCTION("SPLIT(A5841,"" "")"),"CN(C)Cc1ccc2c(N(C)C3CCCCC3N(C)Cc3cccc(-c4ccc5c(c4)OCCOCCOCCOCCOCCO5)n3)cccc2n1")</f>
        <v>CN(C)Cc1ccc2c(N(C)C3CCCCC3N(C)Cc3cccc(-c4ccc5c(c4)OCCOCCOCCOCCOCCO5)n3)cccc2n1</v>
      </c>
      <c r="C5841" s="7">
        <f>IFERROR(__xludf.DUMMYFUNCTION("""COMPUTED_VALUE"""),7.7879977)</f>
        <v>7.7879977</v>
      </c>
      <c r="D5841" s="7">
        <f>IFERROR(__xludf.DUMMYFUNCTION("""COMPUTED_VALUE"""),0.376811594202898)</f>
        <v>0.3768115942</v>
      </c>
    </row>
    <row r="5842">
      <c r="A5842" s="10" t="s">
        <v>7281</v>
      </c>
      <c r="B5842" s="7" t="str">
        <f>IFERROR(__xludf.DUMMYFUNCTION("SPLIT(A5842,"" "")"),"Cc1c(CN(C)Cc2ncccc2-c2cccc3c2OCCOCCOCCOCCOCCO3)nc(C(C)(C)C)c(C)c1C")</f>
        <v>Cc1c(CN(C)Cc2ncccc2-c2cccc3c2OCCOCCOCCOCCOCCO3)nc(C(C)(C)C)c(C)c1C</v>
      </c>
      <c r="C5842" s="7">
        <f>IFERROR(__xludf.DUMMYFUNCTION("""COMPUTED_VALUE"""),7.7879953)</f>
        <v>7.7879953</v>
      </c>
      <c r="D5842" s="7">
        <f>IFERROR(__xludf.DUMMYFUNCTION("""COMPUTED_VALUE"""),0.257575757575757)</f>
        <v>0.2575757576</v>
      </c>
    </row>
    <row r="5843">
      <c r="A5843" s="10" t="s">
        <v>7282</v>
      </c>
      <c r="B5843" s="7" t="str">
        <f>IFERROR(__xludf.DUMMYFUNCTION("SPLIT(A5843,"" "")"),"CC(C)N(C)Cc1ncccc1C(C)(C)C")</f>
        <v>CC(C)N(C)Cc1ncccc1C(C)(C)C</v>
      </c>
      <c r="C5843" s="7">
        <f>IFERROR(__xludf.DUMMYFUNCTION("""COMPUTED_VALUE"""),7.7879906)</f>
        <v>7.7879906</v>
      </c>
      <c r="D5843" s="7">
        <f>IFERROR(__xludf.DUMMYFUNCTION("""COMPUTED_VALUE"""),0.348837209302325)</f>
        <v>0.3488372093</v>
      </c>
    </row>
    <row r="5844">
      <c r="A5844" s="10" t="s">
        <v>7283</v>
      </c>
      <c r="B5844" s="7" t="str">
        <f>IFERROR(__xludf.DUMMYFUNCTION("SPLIT(A5844,"" "")"),"CNCc1nc(CN(C)C2CCCCC2N(C)Cc2nc(C)c(C)c(C)c2C)c(C)c(C)c1C")</f>
        <v>CNCc1nc(CN(C)C2CCCCC2N(C)Cc2nc(C)c(C)c(C)c2C)c(C)c(C)c1C</v>
      </c>
      <c r="C5844" s="7">
        <f>IFERROR(__xludf.DUMMYFUNCTION("""COMPUTED_VALUE"""),7.787984)</f>
        <v>7.787984</v>
      </c>
      <c r="D5844" s="7">
        <f>IFERROR(__xludf.DUMMYFUNCTION("""COMPUTED_VALUE"""),0.387755102040816)</f>
        <v>0.387755102</v>
      </c>
    </row>
    <row r="5845">
      <c r="A5845" s="10" t="s">
        <v>7284</v>
      </c>
      <c r="B5845" s="7" t="str">
        <f>IFERROR(__xludf.DUMMYFUNCTION("SPLIT(A5845,"" "")"),"CN(C)Cc1ccc2ccc(N(C)C3CCC(N(C)Cc4cccc(-c5ccc6c(c5)OCCOCCOCCOCCOCCO6)n4)CC3)cc2n1")</f>
        <v>CN(C)Cc1ccc2ccc(N(C)C3CCC(N(C)Cc4cccc(-c5ccc6c(c5)OCCOCCOCCOCCOCCO6)n4)CC3)cc2n1</v>
      </c>
      <c r="C5845" s="7">
        <f>IFERROR(__xludf.DUMMYFUNCTION("""COMPUTED_VALUE"""),7.787977)</f>
        <v>7.787977</v>
      </c>
      <c r="D5845" s="7">
        <f>IFERROR(__xludf.DUMMYFUNCTION("""COMPUTED_VALUE"""),0.333333333333333)</f>
        <v>0.3333333333</v>
      </c>
    </row>
    <row r="5846">
      <c r="A5846" s="10" t="s">
        <v>7285</v>
      </c>
      <c r="B5846" s="7" t="str">
        <f>IFERROR(__xludf.DUMMYFUNCTION("SPLIT(A5846,"" "")"),"Cc1cc(CN(Cc2ccc(CN3CCN(C)CCN(C)CC3)nc2)Cc2cc(C)c(C)c(C)n2)nc(C)c1C")</f>
        <v>Cc1cc(CN(Cc2ccc(CN3CCN(C)CCN(C)CC3)nc2)Cc2cc(C)c(C)c(C)n2)nc(C)c1C</v>
      </c>
      <c r="C5846" s="7">
        <f>IFERROR(__xludf.DUMMYFUNCTION("""COMPUTED_VALUE"""),7.7879663)</f>
        <v>7.7879663</v>
      </c>
      <c r="D5846" s="7">
        <f>IFERROR(__xludf.DUMMYFUNCTION("""COMPUTED_VALUE"""),0.407407407407407)</f>
        <v>0.4074074074</v>
      </c>
    </row>
    <row r="5847">
      <c r="A5847" s="10" t="s">
        <v>7286</v>
      </c>
      <c r="B5847" s="7" t="str">
        <f>IFERROR(__xludf.DUMMYFUNCTION("SPLIT(A5847,"" "")"),"CCNC1CCCC(N(Cc2ncccc2C)Cc2ncccc2C)C1N(Cc1ncccc1C)Cc1ncccc1C")</f>
        <v>CCNC1CCCC(N(Cc2ncccc2C)Cc2ncccc2C)C1N(Cc1ncccc1C)Cc1ncccc1C</v>
      </c>
      <c r="C5847" s="7">
        <f>IFERROR(__xludf.DUMMYFUNCTION("""COMPUTED_VALUE"""),7.7879615)</f>
        <v>7.7879615</v>
      </c>
      <c r="D5847" s="7">
        <f>IFERROR(__xludf.DUMMYFUNCTION("""COMPUTED_VALUE"""),0.327272727272727)</f>
        <v>0.3272727273</v>
      </c>
    </row>
    <row r="5848">
      <c r="A5848" s="10" t="s">
        <v>7287</v>
      </c>
      <c r="B5848" s="7" t="str">
        <f>IFERROR(__xludf.DUMMYFUNCTION("SPLIT(A5848,"" "")"),"CC1C=CC(C)C(N(C)CCN(C)Cc2cccc3ncccc23)C1")</f>
        <v>CC1C=CC(C)C(N(C)CCN(C)Cc2cccc3ncccc23)C1</v>
      </c>
      <c r="C5848" s="7">
        <f>IFERROR(__xludf.DUMMYFUNCTION("""COMPUTED_VALUE"""),7.7879486)</f>
        <v>7.7879486</v>
      </c>
      <c r="D5848" s="7">
        <f>IFERROR(__xludf.DUMMYFUNCTION("""COMPUTED_VALUE"""),0.415094339622641)</f>
        <v>0.4150943396</v>
      </c>
    </row>
    <row r="5849">
      <c r="A5849" s="10" t="s">
        <v>7288</v>
      </c>
      <c r="B5849" s="7" t="str">
        <f>IFERROR(__xludf.DUMMYFUNCTION("SPLIT(A5849,"" "")"),"CNC1CCCC(N(Cc2cc(C)c(C)c(C)n2)Cc2nc(C)c(C)c(C)c2C)C1")</f>
        <v>CNC1CCCC(N(Cc2cc(C)c(C)c(C)n2)Cc2nc(C)c(C)c(C)c2C)C1</v>
      </c>
      <c r="C5849" s="7">
        <f>IFERROR(__xludf.DUMMYFUNCTION("""COMPUTED_VALUE"""),7.7879477)</f>
        <v>7.7879477</v>
      </c>
      <c r="D5849" s="7">
        <f>IFERROR(__xludf.DUMMYFUNCTION("""COMPUTED_VALUE"""),0.222222222222222)</f>
        <v>0.2222222222</v>
      </c>
    </row>
    <row r="5850">
      <c r="A5850" s="10" t="s">
        <v>7289</v>
      </c>
      <c r="B5850" s="7" t="str">
        <f>IFERROR(__xludf.DUMMYFUNCTION("SPLIT(A5850,"" "")"),"CN1CCN(C)CCN(Cc2cnccc2-c2ccc(Cl)c(N)c2)CC1")</f>
        <v>CN1CCN(C)CCN(Cc2cnccc2-c2ccc(Cl)c(N)c2)CC1</v>
      </c>
      <c r="C5850" s="7">
        <f>IFERROR(__xludf.DUMMYFUNCTION("""COMPUTED_VALUE"""),7.78794)</f>
        <v>7.78794</v>
      </c>
      <c r="D5850" s="7">
        <f>IFERROR(__xludf.DUMMYFUNCTION("""COMPUTED_VALUE"""),0.351851851851851)</f>
        <v>0.3518518519</v>
      </c>
    </row>
    <row r="5851">
      <c r="A5851" s="10" t="s">
        <v>7290</v>
      </c>
      <c r="B5851" s="7" t="str">
        <f>IFERROR(__xludf.DUMMYFUNCTION("SPLIT(A5851,"" "")"),"CC1=C(NCc2ccccn2)CC(C)(C)CC1C(C)(C)N(C)Cc1ccccn1")</f>
        <v>CC1=C(NCc2ccccn2)CC(C)(C)CC1C(C)(C)N(C)Cc1ccccn1</v>
      </c>
      <c r="C5851" s="7">
        <f>IFERROR(__xludf.DUMMYFUNCTION("""COMPUTED_VALUE"""),7.787938)</f>
        <v>7.787938</v>
      </c>
      <c r="D5851" s="7">
        <f>IFERROR(__xludf.DUMMYFUNCTION("""COMPUTED_VALUE"""),0.368421052631578)</f>
        <v>0.3684210526</v>
      </c>
    </row>
    <row r="5852">
      <c r="A5852" s="10" t="s">
        <v>7291</v>
      </c>
      <c r="B5852" s="7" t="str">
        <f>IFERROR(__xludf.DUMMYFUNCTION("SPLIT(A5852,"" "")"),"CC(C)N(Cc1ccccn1)Cc1ccc2cc(N(C)C3CCC(N(C)Cc4ncccc4-c4ccc5c(c4)OCCOCCOCCOCCOCCO5)CC3)ccc2n1")</f>
        <v>CC(C)N(Cc1ccccn1)Cc1ccc2cc(N(C)C3CCC(N(C)Cc4ncccc4-c4ccc5c(c4)OCCOCCOCCOCCOCCO5)CC3)ccc2n1</v>
      </c>
      <c r="C5852" s="7">
        <f>IFERROR(__xludf.DUMMYFUNCTION("""COMPUTED_VALUE"""),7.7879357)</f>
        <v>7.7879357</v>
      </c>
      <c r="D5852" s="7">
        <f>IFERROR(__xludf.DUMMYFUNCTION("""COMPUTED_VALUE"""),0.328947368421052)</f>
        <v>0.3289473684</v>
      </c>
    </row>
    <row r="5853">
      <c r="A5853" s="10" t="s">
        <v>7292</v>
      </c>
      <c r="B5853" s="7" t="str">
        <f>IFERROR(__xludf.DUMMYFUNCTION("SPLIT(A5853,"" "")"),"CNc1cccc(CN(Cc2cccc(F)n2)C2CCC(N(C)Cc3cccc(C4C(Cl)CC4Cl)n3)CC2)n1")</f>
        <v>CNc1cccc(CN(Cc2cccc(F)n2)C2CCC(N(C)Cc3cccc(C4C(Cl)CC4Cl)n3)CC2)n1</v>
      </c>
      <c r="C5853" s="7">
        <f>IFERROR(__xludf.DUMMYFUNCTION("""COMPUTED_VALUE"""),7.7879353)</f>
        <v>7.7879353</v>
      </c>
      <c r="D5853" s="7">
        <f>IFERROR(__xludf.DUMMYFUNCTION("""COMPUTED_VALUE"""),0.317460317460317)</f>
        <v>0.3174603175</v>
      </c>
    </row>
    <row r="5854">
      <c r="A5854" s="10" t="s">
        <v>7293</v>
      </c>
      <c r="B5854" s="7" t="str">
        <f>IFERROR(__xludf.DUMMYFUNCTION("SPLIT(A5854,"" "")"),"Cc1ccc(CN(Cc2ncccc2C)C2CCC(N(C)Cc3nccc(C)c3C(C)(C)C)CC2)nc1")</f>
        <v>Cc1ccc(CN(Cc2ncccc2C)C2CCC(N(C)Cc3nccc(C)c3C(C)(C)C)CC2)nc1</v>
      </c>
      <c r="C5854" s="7">
        <f>IFERROR(__xludf.DUMMYFUNCTION("""COMPUTED_VALUE"""),7.787932)</f>
        <v>7.787932</v>
      </c>
      <c r="D5854" s="7">
        <f>IFERROR(__xludf.DUMMYFUNCTION("""COMPUTED_VALUE"""),0.393442622950819)</f>
        <v>0.393442623</v>
      </c>
    </row>
    <row r="5855">
      <c r="A5855" s="10" t="s">
        <v>7294</v>
      </c>
      <c r="B5855" s="7" t="str">
        <f>IFERROR(__xludf.DUMMYFUNCTION("SPLIT(A5855,"" "")"),"Cc1cnc(CN(C)C2CCCC(N(Cc3ccccn3)Cc3cc(C)c(C)c(C)n3)C2)cc1C")</f>
        <v>Cc1cnc(CN(C)C2CCCC(N(Cc3ccccn3)Cc3cc(C)c(C)c(C)n3)C2)cc1C</v>
      </c>
      <c r="C5855" s="7">
        <f>IFERROR(__xludf.DUMMYFUNCTION("""COMPUTED_VALUE"""),7.787929)</f>
        <v>7.787929</v>
      </c>
      <c r="D5855" s="7">
        <f>IFERROR(__xludf.DUMMYFUNCTION("""COMPUTED_VALUE"""),0.43859649122807)</f>
        <v>0.4385964912</v>
      </c>
    </row>
    <row r="5856">
      <c r="A5856" s="10" t="s">
        <v>7295</v>
      </c>
      <c r="B5856" s="7" t="str">
        <f>IFERROR(__xludf.DUMMYFUNCTION("SPLIT(A5856,"" "")"),"CN(Cc1ncccc1-c1cccc2c1OCCOCCOCCOCCOCCO2)C1CCCC(N(C)c2cccc3nc(CF)ccc23)C1")</f>
        <v>CN(Cc1ncccc1-c1cccc2c1OCCOCCOCCOCCOCCO2)C1CCCC(N(C)c2cccc3nc(CF)ccc23)C1</v>
      </c>
      <c r="C5856" s="7">
        <f>IFERROR(__xludf.DUMMYFUNCTION("""COMPUTED_VALUE"""),7.7879252)</f>
        <v>7.7879252</v>
      </c>
      <c r="D5856" s="7">
        <f>IFERROR(__xludf.DUMMYFUNCTION("""COMPUTED_VALUE"""),0.3125)</f>
        <v>0.3125</v>
      </c>
    </row>
    <row r="5857">
      <c r="A5857" s="10" t="s">
        <v>7296</v>
      </c>
      <c r="B5857" s="7" t="str">
        <f>IFERROR(__xludf.DUMMYFUNCTION("SPLIT(A5857,"" "")"),"CCNCc1ncccc1CN(C)Cc1cccnc1")</f>
        <v>CCNCc1ncccc1CN(C)Cc1cccnc1</v>
      </c>
      <c r="C5857" s="7">
        <f>IFERROR(__xludf.DUMMYFUNCTION("""COMPUTED_VALUE"""),7.7879243)</f>
        <v>7.7879243</v>
      </c>
      <c r="D5857" s="7">
        <f>IFERROR(__xludf.DUMMYFUNCTION("""COMPUTED_VALUE"""),0.352941176470588)</f>
        <v>0.3529411765</v>
      </c>
    </row>
    <row r="5858">
      <c r="A5858" s="10" t="s">
        <v>7297</v>
      </c>
      <c r="B5858" s="7" t="str">
        <f>IFERROR(__xludf.DUMMYFUNCTION("SPLIT(A5858,"" "")"),"CN(CN)C1C=CC=C(NCc2ccccn2)N1")</f>
        <v>CN(CN)C1C=CC=C(NCc2ccccn2)N1</v>
      </c>
      <c r="C5858" s="7">
        <f>IFERROR(__xludf.DUMMYFUNCTION("""COMPUTED_VALUE"""),7.787917)</f>
        <v>7.787917</v>
      </c>
      <c r="D5858" s="7">
        <f>IFERROR(__xludf.DUMMYFUNCTION("""COMPUTED_VALUE"""),0.354166666666666)</f>
        <v>0.3541666667</v>
      </c>
    </row>
    <row r="5859">
      <c r="A5859" s="10" t="s">
        <v>7298</v>
      </c>
      <c r="B5859" s="7" t="str">
        <f>IFERROR(__xludf.DUMMYFUNCTION("SPLIT(A5859,"" "")"),"CNCc1nc(CN(Cc2ccccn2)C2CCC(N(C)Cc3nc(C)c(C)cc3C)CC2)c(C)c(C)c1C")</f>
        <v>CNCc1nc(CN(Cc2ccccn2)C2CCC(N(C)Cc3nc(C)c(C)cc3C)CC2)c(C)c(C)c1C</v>
      </c>
      <c r="C5859" s="7">
        <f>IFERROR(__xludf.DUMMYFUNCTION("""COMPUTED_VALUE"""),7.787917)</f>
        <v>7.787917</v>
      </c>
      <c r="D5859" s="7">
        <f>IFERROR(__xludf.DUMMYFUNCTION("""COMPUTED_VALUE"""),0.365079365079365)</f>
        <v>0.3650793651</v>
      </c>
    </row>
    <row r="5860">
      <c r="A5860" s="10" t="s">
        <v>7299</v>
      </c>
      <c r="B5860" s="7" t="str">
        <f>IFERROR(__xludf.DUMMYFUNCTION("SPLIT(A5860,"" "")"),"CN1CCN(C)CCN(Cc2cnccc2-c2ccc(N)c(Cl)c2)CC1")</f>
        <v>CN1CCN(C)CCN(Cc2cnccc2-c2ccc(N)c(Cl)c2)CC1</v>
      </c>
      <c r="C5860" s="7">
        <f>IFERROR(__xludf.DUMMYFUNCTION("""COMPUTED_VALUE"""),7.787912)</f>
        <v>7.787912</v>
      </c>
      <c r="D5860" s="7">
        <f>IFERROR(__xludf.DUMMYFUNCTION("""COMPUTED_VALUE"""),0.377358490566037)</f>
        <v>0.3773584906</v>
      </c>
    </row>
    <row r="5861">
      <c r="A5861" s="10" t="s">
        <v>7300</v>
      </c>
      <c r="B5861" s="7" t="str">
        <f>IFERROR(__xludf.DUMMYFUNCTION("SPLIT(A5861,"" "")"),"CC(C)N(Cc1cccc(-c2ccc3c(c2)OCCOCCOCCOCCOCCO3)n1)C1CCC(N(C)c2ccc3nc(CN(C)C)ccc3c2)CC1")</f>
        <v>CC(C)N(Cc1cccc(-c2ccc3c(c2)OCCOCCOCCOCCOCCO3)n1)C1CCC(N(C)c2ccc3nc(CN(C)C)ccc3c2)CC1</v>
      </c>
      <c r="C5861" s="7">
        <f>IFERROR(__xludf.DUMMYFUNCTION("""COMPUTED_VALUE"""),7.78791)</f>
        <v>7.78791</v>
      </c>
      <c r="D5861" s="7">
        <f>IFERROR(__xludf.DUMMYFUNCTION("""COMPUTED_VALUE"""),0.317073170731707)</f>
        <v>0.3170731707</v>
      </c>
    </row>
    <row r="5862">
      <c r="A5862" s="10" t="s">
        <v>7301</v>
      </c>
      <c r="B5862" s="7" t="str">
        <f>IFERROR(__xludf.DUMMYFUNCTION("SPLIT(A5862,"" "")"),"Cc1ccc(CN(C)C2CCC(N(C)Cc3ccccn3)C(N(Cc3ncccc3C)Cc3ncccc3C)C2)nc1")</f>
        <v>Cc1ccc(CN(C)C2CCC(N(C)Cc3ccccn3)C(N(Cc3ncccc3C)Cc3ncccc3C)C2)nc1</v>
      </c>
      <c r="C5862" s="7">
        <f>IFERROR(__xludf.DUMMYFUNCTION("""COMPUTED_VALUE"""),7.7879066)</f>
        <v>7.7879066</v>
      </c>
      <c r="D5862" s="7">
        <f>IFERROR(__xludf.DUMMYFUNCTION("""COMPUTED_VALUE"""),0.5)</f>
        <v>0.5</v>
      </c>
    </row>
    <row r="5863">
      <c r="A5863" s="10" t="s">
        <v>7302</v>
      </c>
      <c r="B5863" s="7" t="str">
        <f>IFERROR(__xludf.DUMMYFUNCTION("SPLIT(A5863,"" "")"),"Cc1cccnc1CN(C)CCN(C)Cc1ccccn1")</f>
        <v>Cc1cccnc1CN(C)CCN(C)Cc1ccccn1</v>
      </c>
      <c r="C5863" s="7">
        <f>IFERROR(__xludf.DUMMYFUNCTION("""COMPUTED_VALUE"""),7.787901)</f>
        <v>7.787901</v>
      </c>
      <c r="D5863" s="7">
        <f>IFERROR(__xludf.DUMMYFUNCTION("""COMPUTED_VALUE"""),0.5)</f>
        <v>0.5</v>
      </c>
    </row>
    <row r="5864">
      <c r="A5864" s="10" t="s">
        <v>7303</v>
      </c>
      <c r="B5864" s="7" t="str">
        <f>IFERROR(__xludf.DUMMYFUNCTION("SPLIT(A5864,"" "")"),"Cc1cccnc1CN(C)CCN(Cc1ccccn1)C(C)(C)C")</f>
        <v>Cc1cccnc1CN(C)CCN(Cc1ccccn1)C(C)(C)C</v>
      </c>
      <c r="C5864" s="7">
        <f>IFERROR(__xludf.DUMMYFUNCTION("""COMPUTED_VALUE"""),7.7878957)</f>
        <v>7.7878957</v>
      </c>
      <c r="D5864" s="7">
        <f>IFERROR(__xludf.DUMMYFUNCTION("""COMPUTED_VALUE"""),0.4375)</f>
        <v>0.4375</v>
      </c>
    </row>
    <row r="5865">
      <c r="A5865" s="10" t="s">
        <v>7304</v>
      </c>
      <c r="B5865" s="7" t="str">
        <f>IFERROR(__xludf.DUMMYFUNCTION("SPLIT(A5865,"" "")"),"C=CCNCNCc1cccc(C(C)(C)c2ccccn2)n1")</f>
        <v>C=CCNCNCc1cccc(C(C)(C)c2ccccn2)n1</v>
      </c>
      <c r="C5865" s="7">
        <f>IFERROR(__xludf.DUMMYFUNCTION("""COMPUTED_VALUE"""),7.787893)</f>
        <v>7.787893</v>
      </c>
      <c r="D5865" s="7">
        <f>IFERROR(__xludf.DUMMYFUNCTION("""COMPUTED_VALUE"""),0.361702127659574)</f>
        <v>0.3617021277</v>
      </c>
    </row>
    <row r="5866">
      <c r="A5866" s="10" t="s">
        <v>7305</v>
      </c>
      <c r="B5866" s="7" t="str">
        <f>IFERROR(__xludf.DUMMYFUNCTION("SPLIT(A5866,"" "")"),"CC1=C(N(C)Cc2ccccn2)C(C)(C)CC(C(C)(C)C)C1")</f>
        <v>CC1=C(N(C)Cc2ccccn2)C(C)(C)CC(C(C)(C)C)C1</v>
      </c>
      <c r="C5866" s="7">
        <f>IFERROR(__xludf.DUMMYFUNCTION("""COMPUTED_VALUE"""),7.7878914)</f>
        <v>7.7878914</v>
      </c>
      <c r="D5866" s="7">
        <f>IFERROR(__xludf.DUMMYFUNCTION("""COMPUTED_VALUE"""),0.44)</f>
        <v>0.44</v>
      </c>
    </row>
    <row r="5867">
      <c r="A5867" s="10" t="s">
        <v>7306</v>
      </c>
      <c r="B5867" s="7" t="str">
        <f>IFERROR(__xludf.DUMMYFUNCTION("SPLIT(A5867,"" "")"),"Cc1cccnc1CN(C)C1CCC(N(Cc2ccnc(C(C)(c3cccnc3)C(C)N)c2)Cc2ccccn2)CC1")</f>
        <v>Cc1cccnc1CN(C)C1CCC(N(Cc2ccnc(C(C)(c3cccnc3)C(C)N)c2)Cc2ccccn2)CC1</v>
      </c>
      <c r="C5867" s="7">
        <f>IFERROR(__xludf.DUMMYFUNCTION("""COMPUTED_VALUE"""),7.787884)</f>
        <v>7.787884</v>
      </c>
      <c r="D5867" s="7">
        <f>IFERROR(__xludf.DUMMYFUNCTION("""COMPUTED_VALUE"""),0.31081081081081)</f>
        <v>0.3108108108</v>
      </c>
    </row>
    <row r="5868">
      <c r="A5868" s="10" t="s">
        <v>7307</v>
      </c>
      <c r="B5868" s="7" t="str">
        <f>IFERROR(__xludf.DUMMYFUNCTION("SPLIT(A5868,"" "")"),"Cc1cnc(CN(Cc2nc(C)c(C)cc2C)C2CCC(N(C)Cc3ccccn3)CC2)c(C)c1")</f>
        <v>Cc1cnc(CN(Cc2nc(C)c(C)cc2C)C2CCC(N(C)Cc3ccccn3)CC2)c(C)c1</v>
      </c>
      <c r="C5868" s="7">
        <f>IFERROR(__xludf.DUMMYFUNCTION("""COMPUTED_VALUE"""),7.7878785)</f>
        <v>7.7878785</v>
      </c>
      <c r="D5868" s="7">
        <f>IFERROR(__xludf.DUMMYFUNCTION("""COMPUTED_VALUE"""),0.421052631578947)</f>
        <v>0.4210526316</v>
      </c>
    </row>
    <row r="5869">
      <c r="A5869" s="10" t="s">
        <v>7308</v>
      </c>
      <c r="B5869" s="7" t="str">
        <f>IFERROR(__xludf.DUMMYFUNCTION("SPLIT(A5869,"" "")"),"CN1CCN(C)CCN(Cc2cccnc2-c2cccc(N)c2Cl)CC1")</f>
        <v>CN1CCN(C)CCN(Cc2cccnc2-c2cccc(N)c2Cl)CC1</v>
      </c>
      <c r="C5869" s="7">
        <f>IFERROR(__xludf.DUMMYFUNCTION("""COMPUTED_VALUE"""),7.78787)</f>
        <v>7.78787</v>
      </c>
      <c r="D5869" s="7">
        <f>IFERROR(__xludf.DUMMYFUNCTION("""COMPUTED_VALUE"""),0.428571428571428)</f>
        <v>0.4285714286</v>
      </c>
    </row>
    <row r="5870">
      <c r="A5870" s="10" t="s">
        <v>7309</v>
      </c>
      <c r="B5870" s="7" t="str">
        <f>IFERROR(__xludf.DUMMYFUNCTION("SPLIT(A5870,"" "")"),"COC(=O)c1cc(CN2CCN(C)CCN(Cc3cccc(C(C)N=Cc4ccccn4)n3)CC2)ccn1")</f>
        <v>COC(=O)c1cc(CN2CCN(C)CCN(Cc3cccc(C(C)N=Cc4ccccn4)n3)CC2)ccn1</v>
      </c>
      <c r="C5870" s="7">
        <f>IFERROR(__xludf.DUMMYFUNCTION("""COMPUTED_VALUE"""),7.7878623)</f>
        <v>7.7878623</v>
      </c>
      <c r="D5870" s="7">
        <f>IFERROR(__xludf.DUMMYFUNCTION("""COMPUTED_VALUE"""),0.38235294117647)</f>
        <v>0.3823529412</v>
      </c>
    </row>
    <row r="5871">
      <c r="A5871" s="10" t="s">
        <v>7310</v>
      </c>
      <c r="B5871" s="7" t="str">
        <f>IFERROR(__xludf.DUMMYFUNCTION("SPLIT(A5871,"" "")"),"CNC1C(N(Cc2ccccn2)Cc2ccccn2)CCC(N(Cc2ccccn2)Cc2ccccn2)C1N(Cc1ccccn1)Cc1ccccn1")</f>
        <v>CNC1C(N(Cc2ccccn2)Cc2ccccn2)CCC(N(Cc2ccccn2)Cc2ccccn2)C1N(Cc1ccccn1)Cc1ccccn1</v>
      </c>
      <c r="C5871" s="7">
        <f>IFERROR(__xludf.DUMMYFUNCTION("""COMPUTED_VALUE"""),7.7878475)</f>
        <v>7.7878475</v>
      </c>
      <c r="D5871" s="7">
        <f>IFERROR(__xludf.DUMMYFUNCTION("""COMPUTED_VALUE"""),0.5)</f>
        <v>0.5</v>
      </c>
    </row>
    <row r="5872">
      <c r="A5872" s="10" t="s">
        <v>7311</v>
      </c>
      <c r="B5872" s="7" t="str">
        <f>IFERROR(__xludf.DUMMYFUNCTION("SPLIT(A5872,"" "")"),"CNC1CCCCC1N(Cc1nc(C)c(C)c(C)c1C)Cc1nc(C)c([SiH3])c([SiH3])c1[SiH3]")</f>
        <v>CNC1CCCCC1N(Cc1nc(C)c(C)c(C)c1C)Cc1nc(C)c([SiH3])c([SiH3])c1[SiH3]</v>
      </c>
      <c r="C5872" s="7">
        <f>IFERROR(__xludf.DUMMYFUNCTION("""COMPUTED_VALUE"""),7.7878437)</f>
        <v>7.7878437</v>
      </c>
      <c r="D5872" s="7">
        <f>IFERROR(__xludf.DUMMYFUNCTION("""COMPUTED_VALUE"""),0.254237288135593)</f>
        <v>0.2542372881</v>
      </c>
    </row>
    <row r="5873">
      <c r="A5873" s="10" t="s">
        <v>7312</v>
      </c>
      <c r="B5873" s="7" t="str">
        <f>IFERROR(__xludf.DUMMYFUNCTION("SPLIT(A5873,"" "")"),"Cc1nc(CN(C)C2CCCC(N(Cc3cccc(F)n3)Cc3cccc(F)n3)C2)c(C)c(C)c1C")</f>
        <v>Cc1nc(CN(C)C2CCCC(N(Cc3cccc(F)n3)Cc3cccc(F)n3)C2)c(C)c(C)c1C</v>
      </c>
      <c r="C5873" s="7">
        <f>IFERROR(__xludf.DUMMYFUNCTION("""COMPUTED_VALUE"""),7.787839)</f>
        <v>7.787839</v>
      </c>
      <c r="D5873" s="7">
        <f>IFERROR(__xludf.DUMMYFUNCTION("""COMPUTED_VALUE"""),0.368421052631578)</f>
        <v>0.3684210526</v>
      </c>
    </row>
    <row r="5874">
      <c r="A5874" s="10" t="s">
        <v>7313</v>
      </c>
      <c r="B5874" s="7" t="str">
        <f>IFERROR(__xludf.DUMMYFUNCTION("SPLIT(A5874,"" "")"),"Cc1nc(CN(Cc2ccccn2)C2CCC(N(C)C3=CCC=CN3)CC2)c(C)c(C)c1C")</f>
        <v>Cc1nc(CN(Cc2ccccn2)C2CCC(N(C)C3=CCC=CN3)CC2)c(C)c(C)c1C</v>
      </c>
      <c r="C5874" s="7">
        <f>IFERROR(__xludf.DUMMYFUNCTION("""COMPUTED_VALUE"""),7.787839)</f>
        <v>7.787839</v>
      </c>
      <c r="D5874" s="7">
        <f>IFERROR(__xludf.DUMMYFUNCTION("""COMPUTED_VALUE"""),0.421875)</f>
        <v>0.421875</v>
      </c>
    </row>
    <row r="5875">
      <c r="A5875" s="10" t="s">
        <v>7314</v>
      </c>
      <c r="B5875" s="7" t="str">
        <f>IFERROR(__xludf.DUMMYFUNCTION("SPLIT(A5875,"" "")"),"Cc1cnc(CN(C)C2CCC(N(Cc3ccccn3)Cc3nc(C)c(C)cc3C)CC2)c(C)c1")</f>
        <v>Cc1cnc(CN(C)C2CCC(N(Cc3ccccn3)Cc3nc(C)c(C)cc3C)CC2)c(C)c1</v>
      </c>
      <c r="C5875" s="7">
        <f>IFERROR(__xludf.DUMMYFUNCTION("""COMPUTED_VALUE"""),7.787835)</f>
        <v>7.787835</v>
      </c>
      <c r="D5875" s="7">
        <f>IFERROR(__xludf.DUMMYFUNCTION("""COMPUTED_VALUE"""),0.389830508474576)</f>
        <v>0.3898305085</v>
      </c>
    </row>
    <row r="5876">
      <c r="A5876" s="10" t="s">
        <v>7315</v>
      </c>
      <c r="B5876" s="7" t="str">
        <f>IFERROR(__xludf.DUMMYFUNCTION("SPLIT(A5876,"" "")"),"CN(Cc1cc(-c2ccc3c(c2)OCCOCCOCCOCCOCCO3)ccn1)C1CCCC(N(C)c2ccc3c(CF)ccnc3c2)C1")</f>
        <v>CN(Cc1cc(-c2ccc3c(c2)OCCOCCOCCOCCOCCO3)ccn1)C1CCCC(N(C)c2ccc3c(CF)ccnc3c2)C1</v>
      </c>
      <c r="C5876" s="7">
        <f>IFERROR(__xludf.DUMMYFUNCTION("""COMPUTED_VALUE"""),7.7878227)</f>
        <v>7.7878227</v>
      </c>
      <c r="D5876" s="7">
        <f>IFERROR(__xludf.DUMMYFUNCTION("""COMPUTED_VALUE"""),0.345679012345679)</f>
        <v>0.3456790123</v>
      </c>
    </row>
    <row r="5877">
      <c r="A5877" s="10" t="s">
        <v>7316</v>
      </c>
      <c r="B5877" s="7" t="str">
        <f>IFERROR(__xludf.DUMMYFUNCTION("SPLIT(A5877,"" "")"),"CN(c1ccc2ncccc2c1)C1CCCCC1N(Cc1ccccn1)Cc1ccc(-c2ccc3c(c2)OCCOCCOCCOCCOCCO3)cn1")</f>
        <v>CN(c1ccc2ncccc2c1)C1CCCCC1N(Cc1ccccn1)Cc1ccc(-c2ccc3c(c2)OCCOCCOCCOCCOCCO3)cn1</v>
      </c>
      <c r="C5877" s="7">
        <f>IFERROR(__xludf.DUMMYFUNCTION("""COMPUTED_VALUE"""),7.7878094)</f>
        <v>7.7878094</v>
      </c>
      <c r="D5877" s="7">
        <f>IFERROR(__xludf.DUMMYFUNCTION("""COMPUTED_VALUE"""),0.428571428571428)</f>
        <v>0.4285714286</v>
      </c>
    </row>
    <row r="5878">
      <c r="A5878" s="10" t="s">
        <v>7317</v>
      </c>
      <c r="B5878" s="7" t="str">
        <f>IFERROR(__xludf.DUMMYFUNCTION("SPLIT(A5878,"" "")"),"COC(=O)c1cc(CN2CCN(C)CCN(Cc3ncc(C(C)NCc4ccccn4)c(C)c3C)CC2)ccn1")</f>
        <v>COC(=O)c1cc(CN2CCN(C)CCN(Cc3ncc(C(C)NCc4ccccn4)c(C)c3C)CC2)ccn1</v>
      </c>
      <c r="C5878" s="7">
        <f>IFERROR(__xludf.DUMMYFUNCTION("""COMPUTED_VALUE"""),7.7878065)</f>
        <v>7.7878065</v>
      </c>
      <c r="D5878" s="7">
        <f>IFERROR(__xludf.DUMMYFUNCTION("""COMPUTED_VALUE"""),0.388059701492537)</f>
        <v>0.3880597015</v>
      </c>
    </row>
    <row r="5879">
      <c r="A5879" s="10" t="s">
        <v>7318</v>
      </c>
      <c r="B5879" s="7" t="str">
        <f>IFERROR(__xludf.DUMMYFUNCTION("SPLIT(A5879,"" "")"),"Cc1cncc(C(C)(C)N(C)CCN(C)C)c1")</f>
        <v>Cc1cncc(C(C)(C)N(C)CCN(C)C)c1</v>
      </c>
      <c r="C5879" s="7">
        <f>IFERROR(__xludf.DUMMYFUNCTION("""COMPUTED_VALUE"""),7.787805)</f>
        <v>7.787805</v>
      </c>
      <c r="D5879" s="7">
        <f>IFERROR(__xludf.DUMMYFUNCTION("""COMPUTED_VALUE"""),0.25)</f>
        <v>0.25</v>
      </c>
    </row>
    <row r="5880">
      <c r="A5880" s="10" t="s">
        <v>7319</v>
      </c>
      <c r="B5880" s="7" t="str">
        <f>IFERROR(__xludf.DUMMYFUNCTION("SPLIT(A5880,"" "")"),"Cc1cnc(C)c(CN(C)C2CCCC(N(Cc3ccccn3)Cc3cc(C)c(C)c(C)n3)C2)c1")</f>
        <v>Cc1cnc(C)c(CN(C)C2CCCC(N(Cc3ccccn3)Cc3cc(C)c(C)c(C)n3)C2)c1</v>
      </c>
      <c r="C5880" s="7">
        <f>IFERROR(__xludf.DUMMYFUNCTION("""COMPUTED_VALUE"""),7.7877884)</f>
        <v>7.7877884</v>
      </c>
      <c r="D5880" s="7">
        <f>IFERROR(__xludf.DUMMYFUNCTION("""COMPUTED_VALUE"""),0.387096774193548)</f>
        <v>0.3870967742</v>
      </c>
    </row>
    <row r="5881">
      <c r="A5881" s="10" t="s">
        <v>7320</v>
      </c>
      <c r="B5881" s="7" t="str">
        <f>IFERROR(__xludf.DUMMYFUNCTION("SPLIT(A5881,"" "")"),"CNC1CC(N(Cc2ccccn2)Cc2cccc(F)n2)CC(N(Cc2ccccn2)Cc2cccc(F)n2)C1")</f>
        <v>CNC1CC(N(Cc2ccccn2)Cc2cccc(F)n2)CC(N(Cc2ccccn2)Cc2cccc(F)n2)C1</v>
      </c>
      <c r="C5881" s="7">
        <f>IFERROR(__xludf.DUMMYFUNCTION("""COMPUTED_VALUE"""),7.787786)</f>
        <v>7.787786</v>
      </c>
      <c r="D5881" s="7">
        <f>IFERROR(__xludf.DUMMYFUNCTION("""COMPUTED_VALUE"""),0.466666666666666)</f>
        <v>0.4666666667</v>
      </c>
    </row>
    <row r="5882">
      <c r="A5882" s="10" t="s">
        <v>7321</v>
      </c>
      <c r="B5882" s="7" t="str">
        <f>IFERROR(__xludf.DUMMYFUNCTION("SPLIT(A5882,"" "")"),"Cc1cccc(CN(Cc2ncccc2C)C2CCC(N(C)Cc3cc(C)c(C)c(C)n3)CC2)n1")</f>
        <v>Cc1cccc(CN(Cc2ncccc2C)C2CCC(N(C)Cc3cc(C)c(C)c(C)n3)CC2)n1</v>
      </c>
      <c r="C5882" s="7">
        <f>IFERROR(__xludf.DUMMYFUNCTION("""COMPUTED_VALUE"""),7.787786)</f>
        <v>7.787786</v>
      </c>
      <c r="D5882" s="7">
        <f>IFERROR(__xludf.DUMMYFUNCTION("""COMPUTED_VALUE"""),0.423728813559322)</f>
        <v>0.4237288136</v>
      </c>
    </row>
    <row r="5883">
      <c r="A5883" s="10" t="s">
        <v>7322</v>
      </c>
      <c r="B5883" s="7" t="str">
        <f>IFERROR(__xludf.DUMMYFUNCTION("SPLIT(A5883,"" "")"),"CN1CCN(Cc2ccc(C3OC=NC3(C)C)nc2)CCN(Cc2cc(C(C)(C)c3ccccn3)ccn2)CC1")</f>
        <v>CN1CCN(Cc2ccc(C3OC=NC3(C)C)nc2)CCN(Cc2cc(C(C)(C)c3ccccn3)ccn2)CC1</v>
      </c>
      <c r="C5883" s="7">
        <f>IFERROR(__xludf.DUMMYFUNCTION("""COMPUTED_VALUE"""),7.787775)</f>
        <v>7.787775</v>
      </c>
      <c r="D5883" s="7">
        <f>IFERROR(__xludf.DUMMYFUNCTION("""COMPUTED_VALUE"""),0.388059701492537)</f>
        <v>0.3880597015</v>
      </c>
    </row>
    <row r="5884">
      <c r="A5884" s="10" t="s">
        <v>7323</v>
      </c>
      <c r="B5884" s="7" t="str">
        <f>IFERROR(__xludf.DUMMYFUNCTION("SPLIT(A5884,"" "")"),"CN1CCN(C)CCN(Cc2ccc(-c3cccc(N)c3Cl)nc2)CC1")</f>
        <v>CN1CCN(C)CCN(Cc2ccc(-c3cccc(N)c3Cl)nc2)CC1</v>
      </c>
      <c r="C5884" s="7">
        <f>IFERROR(__xludf.DUMMYFUNCTION("""COMPUTED_VALUE"""),7.7877703)</f>
        <v>7.7877703</v>
      </c>
      <c r="D5884" s="7">
        <f>IFERROR(__xludf.DUMMYFUNCTION("""COMPUTED_VALUE"""),0.411764705882352)</f>
        <v>0.4117647059</v>
      </c>
    </row>
    <row r="5885">
      <c r="A5885" s="10" t="s">
        <v>7324</v>
      </c>
      <c r="B5885" s="7" t="str">
        <f>IFERROR(__xludf.DUMMYFUNCTION("SPLIT(A5885,"" "")"),"CNCCN(C)Cc1nccc(C)c1C")</f>
        <v>CNCCN(C)Cc1nccc(C)c1C</v>
      </c>
      <c r="C5885" s="7">
        <f>IFERROR(__xludf.DUMMYFUNCTION("""COMPUTED_VALUE"""),7.787767)</f>
        <v>7.787767</v>
      </c>
      <c r="D5885" s="7">
        <f>IFERROR(__xludf.DUMMYFUNCTION("""COMPUTED_VALUE"""),0.325581395348837)</f>
        <v>0.3255813953</v>
      </c>
    </row>
    <row r="5886">
      <c r="A5886" s="10" t="s">
        <v>7325</v>
      </c>
      <c r="B5886" s="7" t="str">
        <f>IFERROR(__xludf.DUMMYFUNCTION("SPLIT(A5886,"" "")"),"CCNCc1cccc(CN(Cc2ccccn2)C2CCC(N(C)Cc3cccc(-c4ccccc4)n3)CC2)n1")</f>
        <v>CCNCc1cccc(CN(Cc2ccccn2)C2CCC(N(C)Cc3cccc(-c4ccccc4)n3)CC2)n1</v>
      </c>
      <c r="C5886" s="7">
        <f>IFERROR(__xludf.DUMMYFUNCTION("""COMPUTED_VALUE"""),7.787758)</f>
        <v>7.787758</v>
      </c>
      <c r="D5886" s="7">
        <f>IFERROR(__xludf.DUMMYFUNCTION("""COMPUTED_VALUE"""),0.423728813559322)</f>
        <v>0.4237288136</v>
      </c>
    </row>
    <row r="5887">
      <c r="A5887" s="10" t="s">
        <v>7326</v>
      </c>
      <c r="B5887" s="7" t="str">
        <f>IFERROR(__xludf.DUMMYFUNCTION("SPLIT(A5887,"" "")"),"Cc1ccc(C)c(N(C)Cc2cccc(-c3ccc4c(c3)OCCOCCOCCOCCOCCO4)n2)c1")</f>
        <v>Cc1ccc(C)c(N(C)Cc2cccc(-c3ccc4c(c3)OCCOCCOCCOCCOCCO4)n2)c1</v>
      </c>
      <c r="C5887" s="7">
        <f>IFERROR(__xludf.DUMMYFUNCTION("""COMPUTED_VALUE"""),7.7877536)</f>
        <v>7.7877536</v>
      </c>
      <c r="D5887" s="7">
        <f>IFERROR(__xludf.DUMMYFUNCTION("""COMPUTED_VALUE"""),0.342857142857142)</f>
        <v>0.3428571429</v>
      </c>
    </row>
    <row r="5888">
      <c r="A5888" s="10" t="s">
        <v>7327</v>
      </c>
      <c r="B5888" s="7" t="str">
        <f>IFERROR(__xludf.DUMMYFUNCTION("SPLIT(A5888,"" "")"),"Cc1cccnc1CN(C)C1CCC(N(Cc2ccc(C(C)(c3ccccn3)C(C)N)nc2)Cc2ccccn2)CC1")</f>
        <v>Cc1cccnc1CN(C)C1CCC(N(Cc2ccc(C(C)(c3ccccn3)C(C)N)nc2)Cc2ccccn2)CC1</v>
      </c>
      <c r="C5888" s="7">
        <f>IFERROR(__xludf.DUMMYFUNCTION("""COMPUTED_VALUE"""),7.78775)</f>
        <v>7.78775</v>
      </c>
      <c r="D5888" s="7">
        <f>IFERROR(__xludf.DUMMYFUNCTION("""COMPUTED_VALUE"""),0.333333333333333)</f>
        <v>0.3333333333</v>
      </c>
    </row>
    <row r="5889">
      <c r="A5889" s="10" t="s">
        <v>7328</v>
      </c>
      <c r="B5889" s="7" t="str">
        <f>IFERROR(__xludf.DUMMYFUNCTION("SPLIT(A5889,"" "")"),"Cc1ccc(NCc2ccccn2)c(CN(Cc2ccccn2)Cc2cc(-c3cccc4c3OCCOCCOCCOCCOCCO4)ccn2)c1")</f>
        <v>Cc1ccc(NCc2ccccn2)c(CN(Cc2ccccn2)Cc2cc(-c3cccc4c3OCCOCCOCCOCCOCCO4)ccn2)c1</v>
      </c>
      <c r="C5889" s="7">
        <f>IFERROR(__xludf.DUMMYFUNCTION("""COMPUTED_VALUE"""),7.7877474)</f>
        <v>7.7877474</v>
      </c>
      <c r="D5889" s="7">
        <f>IFERROR(__xludf.DUMMYFUNCTION("""COMPUTED_VALUE"""),0.317460317460317)</f>
        <v>0.3174603175</v>
      </c>
    </row>
    <row r="5890">
      <c r="A5890" s="10" t="s">
        <v>7329</v>
      </c>
      <c r="B5890" s="7" t="str">
        <f>IFERROR(__xludf.DUMMYFUNCTION("SPLIT(A5890,"" "")"),"Cc1cc(C)c(CN(C)C2CCCC(N(Cc3ccccn3)Cc3nc(C)c(C)cc3C)C2)cn1")</f>
        <v>Cc1cc(C)c(CN(C)C2CCCC(N(Cc3ccccn3)Cc3nc(C)c(C)cc3C)C2)cn1</v>
      </c>
      <c r="C5890" s="7">
        <f>IFERROR(__xludf.DUMMYFUNCTION("""COMPUTED_VALUE"""),7.7877364)</f>
        <v>7.7877364</v>
      </c>
      <c r="D5890" s="7">
        <f>IFERROR(__xludf.DUMMYFUNCTION("""COMPUTED_VALUE"""),0.38095238095238)</f>
        <v>0.380952381</v>
      </c>
    </row>
    <row r="5891">
      <c r="A5891" s="10" t="s">
        <v>7330</v>
      </c>
      <c r="B5891" s="7" t="str">
        <f>IFERROR(__xludf.DUMMYFUNCTION("SPLIT(A5891,"" "")"),"CN1CCN(C)CCN(Cc2cccnc2-c2ccc(N)c(Cl)c2)CC1")</f>
        <v>CN1CCN(C)CCN(Cc2cccnc2-c2ccc(N)c(Cl)c2)CC1</v>
      </c>
      <c r="C5891" s="7">
        <f>IFERROR(__xludf.DUMMYFUNCTION("""COMPUTED_VALUE"""),7.787732)</f>
        <v>7.787732</v>
      </c>
      <c r="D5891" s="7">
        <f>IFERROR(__xludf.DUMMYFUNCTION("""COMPUTED_VALUE"""),0.448979591836734)</f>
        <v>0.4489795918</v>
      </c>
    </row>
    <row r="5892">
      <c r="A5892" s="10" t="s">
        <v>7331</v>
      </c>
      <c r="B5892" s="7" t="str">
        <f>IFERROR(__xludf.DUMMYFUNCTION("SPLIT(A5892,"" "")"),"CC1C=CC(C)C(C)(c2cc(CN(Cc3ccccn3)Cc3ccccn3)ccn2)C1(C)C")</f>
        <v>CC1C=CC(C)C(C)(c2cc(CN(Cc3ccccn3)Cc3ccccn3)ccn2)C1(C)C</v>
      </c>
      <c r="C5892" s="7">
        <f>IFERROR(__xludf.DUMMYFUNCTION("""COMPUTED_VALUE"""),7.787729)</f>
        <v>7.787729</v>
      </c>
      <c r="D5892" s="7">
        <f>IFERROR(__xludf.DUMMYFUNCTION("""COMPUTED_VALUE"""),0.454545454545454)</f>
        <v>0.4545454545</v>
      </c>
    </row>
    <row r="5893">
      <c r="A5893" s="10" t="s">
        <v>7332</v>
      </c>
      <c r="B5893" s="7" t="str">
        <f>IFERROR(__xludf.DUMMYFUNCTION("SPLIT(A5893,"" "")"),"CCN(Cc1ccccn1)Cc1cccc(C2CC(Cl)C2Cl)n1")</f>
        <v>CCN(Cc1ccccn1)Cc1cccc(C2CC(Cl)C2Cl)n1</v>
      </c>
      <c r="C5893" s="7">
        <f>IFERROR(__xludf.DUMMYFUNCTION("""COMPUTED_VALUE"""),7.787725)</f>
        <v>7.787725</v>
      </c>
      <c r="D5893" s="7">
        <f>IFERROR(__xludf.DUMMYFUNCTION("""COMPUTED_VALUE"""),0.431818181818181)</f>
        <v>0.4318181818</v>
      </c>
    </row>
    <row r="5894">
      <c r="A5894" s="10" t="s">
        <v>7333</v>
      </c>
      <c r="B5894" s="7" t="str">
        <f>IFERROR(__xludf.DUMMYFUNCTION("SPLIT(A5894,"" "")"),"CN1CCN(C)CCN(Cc2cncc(-c3cccc(Cl)c3N)c2)CC1")</f>
        <v>CN1CCN(C)CCN(Cc2cncc(-c3cccc(Cl)c3N)c2)CC1</v>
      </c>
      <c r="C5894" s="7">
        <f>IFERROR(__xludf.DUMMYFUNCTION("""COMPUTED_VALUE"""),7.787721)</f>
        <v>7.787721</v>
      </c>
      <c r="D5894" s="7">
        <f>IFERROR(__xludf.DUMMYFUNCTION("""COMPUTED_VALUE"""),0.403846153846153)</f>
        <v>0.4038461538</v>
      </c>
    </row>
    <row r="5895">
      <c r="A5895" s="10" t="s">
        <v>7334</v>
      </c>
      <c r="B5895" s="7" t="str">
        <f>IFERROR(__xludf.DUMMYFUNCTION("SPLIT(A5895,"" "")"),"CN(C)Cc1ccc2cc(N(C)C3CCC(N(C)Cc4ccc(-c5ccc6c(c5)OCCOCCOCCOCCOCCO6)cn4)CC3)ccc2n1")</f>
        <v>CN(C)Cc1ccc2cc(N(C)C3CCC(N(C)Cc4ccc(-c5ccc6c(c5)OCCOCCOCCOCCOCCO6)cn4)CC3)ccc2n1</v>
      </c>
      <c r="C5895" s="7">
        <f>IFERROR(__xludf.DUMMYFUNCTION("""COMPUTED_VALUE"""),7.787714)</f>
        <v>7.787714</v>
      </c>
      <c r="D5895" s="7">
        <f>IFERROR(__xludf.DUMMYFUNCTION("""COMPUTED_VALUE"""),0.444444444444444)</f>
        <v>0.4444444444</v>
      </c>
    </row>
    <row r="5896">
      <c r="A5896" s="10" t="s">
        <v>7335</v>
      </c>
      <c r="B5896" s="7" t="str">
        <f>IFERROR(__xludf.DUMMYFUNCTION("SPLIT(A5896,"" "")"),"CC1=C(CN(C)C2CCC(N(C)Cc3ccc4ncccc4c3)CC2)C(C)CC(C(C)(C)C)=C1")</f>
        <v>CC1=C(CN(C)C2CCC(N(C)Cc3ccc4ncccc4c3)CC2)C(C)CC(C(C)(C)C)=C1</v>
      </c>
      <c r="C5896" s="7">
        <f>IFERROR(__xludf.DUMMYFUNCTION("""COMPUTED_VALUE"""),7.7877064)</f>
        <v>7.7877064</v>
      </c>
      <c r="D5896" s="7">
        <f>IFERROR(__xludf.DUMMYFUNCTION("""COMPUTED_VALUE"""),0.253731343283582)</f>
        <v>0.2537313433</v>
      </c>
    </row>
    <row r="5897">
      <c r="A5897" s="10" t="s">
        <v>7336</v>
      </c>
      <c r="B5897" s="7" t="str">
        <f>IFERROR(__xludf.DUMMYFUNCTION("SPLIT(A5897,"" "")"),"CN(Cc1cc(-c2ccc3c(c2)OCCOCCOCCOCCOCCO3)ccn1)C1CCCC(N(C)c2ccc3nccc(CF)c3c2)C1")</f>
        <v>CN(Cc1cc(-c2ccc3c(c2)OCCOCCOCCOCCOCCO3)ccn1)C1CCCC(N(C)c2ccc3nccc(CF)c3c2)C1</v>
      </c>
      <c r="C5897" s="7">
        <f>IFERROR(__xludf.DUMMYFUNCTION("""COMPUTED_VALUE"""),7.787702)</f>
        <v>7.787702</v>
      </c>
      <c r="D5897" s="7">
        <f>IFERROR(__xludf.DUMMYFUNCTION("""COMPUTED_VALUE"""),0.341463414634146)</f>
        <v>0.3414634146</v>
      </c>
    </row>
    <row r="5898">
      <c r="A5898" s="10" t="s">
        <v>7337</v>
      </c>
      <c r="B5898" s="7" t="str">
        <f>IFERROR(__xludf.DUMMYFUNCTION("SPLIT(A5898,"" "")"),"CN1CCN(C)CCN(Cc2cccnc2-c2ccc(Cl)c(N)c2)CC1")</f>
        <v>CN1CCN(C)CCN(Cc2cccnc2-c2ccc(Cl)c(N)c2)CC1</v>
      </c>
      <c r="C5898" s="7">
        <f>IFERROR(__xludf.DUMMYFUNCTION("""COMPUTED_VALUE"""),7.787701)</f>
        <v>7.787701</v>
      </c>
      <c r="D5898" s="7">
        <f>IFERROR(__xludf.DUMMYFUNCTION("""COMPUTED_VALUE"""),0.42)</f>
        <v>0.42</v>
      </c>
    </row>
    <row r="5899">
      <c r="A5899" s="10" t="s">
        <v>7338</v>
      </c>
      <c r="B5899" s="7" t="str">
        <f>IFERROR(__xludf.DUMMYFUNCTION("SPLIT(A5899,"" "")"),"Cc1cccnc1CN(C)CCN(C)C")</f>
        <v>Cc1cccnc1CN(C)CCN(C)C</v>
      </c>
      <c r="C5899" s="7">
        <f>IFERROR(__xludf.DUMMYFUNCTION("""COMPUTED_VALUE"""),7.7877007)</f>
        <v>7.7877007</v>
      </c>
      <c r="D5899" s="7">
        <f>IFERROR(__xludf.DUMMYFUNCTION("""COMPUTED_VALUE"""),0.45)</f>
        <v>0.45</v>
      </c>
    </row>
    <row r="5900">
      <c r="A5900" s="10" t="s">
        <v>7339</v>
      </c>
      <c r="B5900" s="7" t="str">
        <f>IFERROR(__xludf.DUMMYFUNCTION("SPLIT(A5900,"" "")"),"C=CCNCc1cc(C(C)(C)N(C)Cc2ccccn2)ccn1")</f>
        <v>C=CCNCc1cc(C(C)(C)N(C)Cc2ccccn2)ccn1</v>
      </c>
      <c r="C5900" s="7">
        <f>IFERROR(__xludf.DUMMYFUNCTION("""COMPUTED_VALUE"""),7.787692)</f>
        <v>7.787692</v>
      </c>
      <c r="D5900" s="7">
        <f>IFERROR(__xludf.DUMMYFUNCTION("""COMPUTED_VALUE"""),0.396226415094339)</f>
        <v>0.3962264151</v>
      </c>
    </row>
    <row r="5901">
      <c r="A5901" s="10" t="s">
        <v>7340</v>
      </c>
      <c r="B5901" s="7" t="str">
        <f>IFERROR(__xludf.DUMMYFUNCTION("SPLIT(A5901,"" "")"),"Cc1ccc(N(C)C2CCCC(N(C)Cc3ccon3)C2)c(C)c1C")</f>
        <v>Cc1ccc(N(C)C2CCCC(N(C)Cc3ccon3)C2)c(C)c1C</v>
      </c>
      <c r="C5901" s="7">
        <f>IFERROR(__xludf.DUMMYFUNCTION("""COMPUTED_VALUE"""),7.787691)</f>
        <v>7.787691</v>
      </c>
      <c r="D5901" s="7">
        <f>IFERROR(__xludf.DUMMYFUNCTION("""COMPUTED_VALUE"""),0.387755102040816)</f>
        <v>0.387755102</v>
      </c>
    </row>
    <row r="5902">
      <c r="A5902" s="10" t="s">
        <v>7341</v>
      </c>
      <c r="B5902" s="7" t="str">
        <f>IFERROR(__xludf.DUMMYFUNCTION("SPLIT(A5902,"" "")"),"CC(C)N(C)CC1=CNC(N(C)C)=CC1")</f>
        <v>CC(C)N(C)CC1=CNC(N(C)C)=CC1</v>
      </c>
      <c r="C5902" s="7">
        <f>IFERROR(__xludf.DUMMYFUNCTION("""COMPUTED_VALUE"""),7.7876897)</f>
        <v>7.7876897</v>
      </c>
      <c r="D5902" s="7">
        <f>IFERROR(__xludf.DUMMYFUNCTION("""COMPUTED_VALUE"""),0.1875)</f>
        <v>0.1875</v>
      </c>
    </row>
    <row r="5903">
      <c r="A5903" s="10" t="s">
        <v>7342</v>
      </c>
      <c r="B5903" s="7" t="str">
        <f>IFERROR(__xludf.DUMMYFUNCTION("SPLIT(A5903,"" "")"),"CN1CCN(C)CCN(Cc2cccnc2-c2cc(Cl)ccc2N)CC1")</f>
        <v>CN1CCN(C)CCN(Cc2cccnc2-c2cc(Cl)ccc2N)CC1</v>
      </c>
      <c r="C5903" s="7">
        <f>IFERROR(__xludf.DUMMYFUNCTION("""COMPUTED_VALUE"""),7.787677)</f>
        <v>7.787677</v>
      </c>
      <c r="D5903" s="7">
        <f>IFERROR(__xludf.DUMMYFUNCTION("""COMPUTED_VALUE"""),0.42)</f>
        <v>0.42</v>
      </c>
    </row>
    <row r="5904">
      <c r="A5904" s="10" t="s">
        <v>7343</v>
      </c>
      <c r="B5904" s="7" t="str">
        <f>IFERROR(__xludf.DUMMYFUNCTION("SPLIT(A5904,"" "")"),"Cc1cnc(C)c(CN(Cc2ccccn2)C2CCC(N(C)Cc3nc(C)c(C)c(C)c3C)CC2)c1")</f>
        <v>Cc1cnc(C)c(CN(Cc2ccccn2)C2CCC(N(C)Cc3nc(C)c(C)c(C)c3C)CC2)c1</v>
      </c>
      <c r="C5904" s="7">
        <f>IFERROR(__xludf.DUMMYFUNCTION("""COMPUTED_VALUE"""),7.7876754)</f>
        <v>7.7876754</v>
      </c>
      <c r="D5904" s="7">
        <f>IFERROR(__xludf.DUMMYFUNCTION("""COMPUTED_VALUE"""),0.377049180327868)</f>
        <v>0.3770491803</v>
      </c>
    </row>
    <row r="5905">
      <c r="A5905" s="10" t="s">
        <v>7344</v>
      </c>
      <c r="B5905" s="7" t="str">
        <f>IFERROR(__xludf.DUMMYFUNCTION("SPLIT(A5905,"" "")"),"Cc1cncc(CN(C)CCN(Cc2ccccn2)C(C)N(Cc2ccccn2)C(C)C)c1")</f>
        <v>Cc1cncc(CN(C)CCN(Cc2ccccn2)C(C)N(Cc2ccccn2)C(C)C)c1</v>
      </c>
      <c r="C5905" s="7">
        <f>IFERROR(__xludf.DUMMYFUNCTION("""COMPUTED_VALUE"""),7.7876706)</f>
        <v>7.7876706</v>
      </c>
      <c r="D5905" s="7">
        <f>IFERROR(__xludf.DUMMYFUNCTION("""COMPUTED_VALUE"""),0.490196078431372)</f>
        <v>0.4901960784</v>
      </c>
    </row>
    <row r="5906">
      <c r="A5906" s="10" t="s">
        <v>7345</v>
      </c>
      <c r="B5906" s="7" t="str">
        <f>IFERROR(__xludf.DUMMYFUNCTION("SPLIT(A5906,"" "")"),"CN(Cc1cccc(-c2ccc3c(c2)OCCOCCOCCOCCOCCO3)n1)C1=CNC(CN(C)C2CCCCC2N(C)c2ccc3nc(CF)ccc3c2)=CC1")</f>
        <v>CN(Cc1cccc(-c2ccc3c(c2)OCCOCCOCCOCCOCCO3)n1)C1=CNC(CN(C)C2CCCCC2N(C)c2ccc3nc(CF)ccc3c2)=CC1</v>
      </c>
      <c r="C5906" s="7">
        <f>IFERROR(__xludf.DUMMYFUNCTION("""COMPUTED_VALUE"""),7.787667)</f>
        <v>7.787667</v>
      </c>
      <c r="D5906" s="7">
        <f>IFERROR(__xludf.DUMMYFUNCTION("""COMPUTED_VALUE"""),0.337209302325581)</f>
        <v>0.3372093023</v>
      </c>
    </row>
    <row r="5907">
      <c r="A5907" s="10" t="s">
        <v>7346</v>
      </c>
      <c r="B5907" s="7" t="str">
        <f>IFERROR(__xludf.DUMMYFUNCTION("SPLIT(A5907,"" "")"),"CC1C=CC(C)C2(C=CC3(CC4(C=CCCC4C)C=CC3C(C)(C)C)C(c3cccc(CN(Cc4ccccn4)Cc4ccccn4)n3)C2c2cccc(CN(Cc3ccccn3)Cc3ccccn3)n2)C1C")</f>
        <v>CC1C=CC(C)C2(C=CC3(CC4(C=CCCC4C)C=CC3C(C)(C)C)C(c3cccc(CN(Cc4ccccn4)Cc4ccccn4)n3)C2c2cccc(CN(Cc3ccccn3)Cc3ccccn3)n2)C1C</v>
      </c>
      <c r="C5907" s="7">
        <f>IFERROR(__xludf.DUMMYFUNCTION("""COMPUTED_VALUE"""),7.7876563)</f>
        <v>7.7876563</v>
      </c>
      <c r="D5907" s="7">
        <f>IFERROR(__xludf.DUMMYFUNCTION("""COMPUTED_VALUE"""),0.294117647058823)</f>
        <v>0.2941176471</v>
      </c>
    </row>
    <row r="5908">
      <c r="A5908" s="10" t="s">
        <v>7347</v>
      </c>
      <c r="B5908" s="7" t="str">
        <f>IFERROR(__xludf.DUMMYFUNCTION("SPLIT(A5908,"" "")"),"Cc1nc(CN(C)C2CCC(N(Cc3ccccn3)Cc3cccc(C(C)C)n3)CC2)c(C)c(C)c1C")</f>
        <v>Cc1nc(CN(C)C2CCC(N(Cc3ccccn3)Cc3cccc(C(C)C)n3)CC2)c(C)c(C)c1C</v>
      </c>
      <c r="C5908" s="7">
        <f>IFERROR(__xludf.DUMMYFUNCTION("""COMPUTED_VALUE"""),7.7876515)</f>
        <v>7.7876515</v>
      </c>
      <c r="D5908" s="7">
        <f>IFERROR(__xludf.DUMMYFUNCTION("""COMPUTED_VALUE"""),0.383333333333333)</f>
        <v>0.3833333333</v>
      </c>
    </row>
    <row r="5909">
      <c r="A5909" s="10" t="s">
        <v>7348</v>
      </c>
      <c r="B5909" s="7" t="str">
        <f>IFERROR(__xludf.DUMMYFUNCTION("SPLIT(A5909,"" "")"),"CC(C)Nc1ccccn1")</f>
        <v>CC(C)Nc1ccccn1</v>
      </c>
      <c r="C5909" s="7">
        <f>IFERROR(__xludf.DUMMYFUNCTION("""COMPUTED_VALUE"""),7.787647)</f>
        <v>7.787647</v>
      </c>
      <c r="D5909" s="7">
        <f>IFERROR(__xludf.DUMMYFUNCTION("""COMPUTED_VALUE"""),0.361111111111111)</f>
        <v>0.3611111111</v>
      </c>
    </row>
    <row r="5910">
      <c r="A5910" s="10" t="s">
        <v>7349</v>
      </c>
      <c r="B5910" s="7" t="str">
        <f>IFERROR(__xludf.DUMMYFUNCTION("SPLIT(A5910,"" "")"),"CN(Cc1cccc(-c2ccc3c(c2)OCCOCCOCCOCCOCCO3)n1)C1=CNC(CN(C)C2CCCCC2N(C)c2ccc3cc(CF)cnc3c2)=CC1")</f>
        <v>CN(Cc1cccc(-c2ccc3c(c2)OCCOCCOCCOCCOCCO3)n1)C1=CNC(CN(C)C2CCCCC2N(C)c2ccc3cc(CF)cnc3c2)=CC1</v>
      </c>
      <c r="C5910" s="7">
        <f>IFERROR(__xludf.DUMMYFUNCTION("""COMPUTED_VALUE"""),7.787626)</f>
        <v>7.787626</v>
      </c>
      <c r="D5910" s="7">
        <f>IFERROR(__xludf.DUMMYFUNCTION("""COMPUTED_VALUE"""),0.293478260869565)</f>
        <v>0.2934782609</v>
      </c>
    </row>
    <row r="5911">
      <c r="A5911" s="10" t="s">
        <v>7350</v>
      </c>
      <c r="B5911" s="7" t="str">
        <f>IFERROR(__xludf.DUMMYFUNCTION("SPLIT(A5911,"" "")"),"Cc1ccc(C)c(CN(C)C2CCCC(N(Cc3ccccn3)Cc3cc(C)c(C)c(C)n3)C2)n1")</f>
        <v>Cc1ccc(C)c(CN(C)C2CCCC(N(Cc3ccccn3)Cc3cc(C)c(C)c(C)n3)C2)n1</v>
      </c>
      <c r="C5911" s="7">
        <f>IFERROR(__xludf.DUMMYFUNCTION("""COMPUTED_VALUE"""),7.787617)</f>
        <v>7.787617</v>
      </c>
      <c r="D5911" s="7">
        <f>IFERROR(__xludf.DUMMYFUNCTION("""COMPUTED_VALUE"""),0.393442622950819)</f>
        <v>0.393442623</v>
      </c>
    </row>
    <row r="5912">
      <c r="A5912" s="10" t="s">
        <v>7351</v>
      </c>
      <c r="B5912" s="7" t="str">
        <f>IFERROR(__xludf.DUMMYFUNCTION("SPLIT(A5912,"" "")"),"Cc1ccc(CN(C)C2CCCC(N(Cc3ccccn3)Cc3cccc(CN(C)Cc4cccc(C)n4)n3)C2)nc1")</f>
        <v>Cc1ccc(CN(C)C2CCCC(N(Cc3ccccn3)Cc3cccc(CN(C)Cc4cccc(C)n4)n3)C2)nc1</v>
      </c>
      <c r="C5912" s="7">
        <f>IFERROR(__xludf.DUMMYFUNCTION("""COMPUTED_VALUE"""),7.787617)</f>
        <v>7.787617</v>
      </c>
      <c r="D5912" s="7">
        <f>IFERROR(__xludf.DUMMYFUNCTION("""COMPUTED_VALUE"""),0.440677966101694)</f>
        <v>0.4406779661</v>
      </c>
    </row>
    <row r="5913">
      <c r="A5913" s="10" t="s">
        <v>7352</v>
      </c>
      <c r="B5913" s="7" t="str">
        <f>IFERROR(__xludf.DUMMYFUNCTION("SPLIT(A5913,"" "")"),"CN1CCN(C)CCN(CCc2nc3ncccc3o2)CC1")</f>
        <v>CN1CCN(C)CCN(CCc2nc3ncccc3o2)CC1</v>
      </c>
      <c r="C5913" s="7">
        <f>IFERROR(__xludf.DUMMYFUNCTION("""COMPUTED_VALUE"""),7.7876067)</f>
        <v>7.7876067</v>
      </c>
      <c r="D5913" s="7">
        <f>IFERROR(__xludf.DUMMYFUNCTION("""COMPUTED_VALUE"""),0.413043478260869)</f>
        <v>0.4130434783</v>
      </c>
    </row>
    <row r="5914">
      <c r="A5914" s="10" t="s">
        <v>7353</v>
      </c>
      <c r="B5914" s="7" t="str">
        <f>IFERROR(__xludf.DUMMYFUNCTION("SPLIT(A5914,"" "")"),"CC(C)(C1=CC2(C=CN1)C=CC(C)(C)C(c1cc(CN(Cc3ccccn3)Cc3ccccn3)ccn1)C2c1ncccc1CN(Cc1ccccn1)Cc1ccccn1)c1ccc2c(c1)OCCOCCOCCOCCOCCO2")</f>
        <v>CC(C)(C1=CC2(C=CN1)C=CC(C)(C)C(c1cc(CN(Cc3ccccn3)Cc3ccccn3)ccn1)C2c1ncccc1CN(Cc1ccccn1)Cc1ccccn1)c1ccc2c(c1)OCCOCCOCCOCCOCCO2</v>
      </c>
      <c r="C5914" s="7">
        <f>IFERROR(__xludf.DUMMYFUNCTION("""COMPUTED_VALUE"""),7.7875867)</f>
        <v>7.7875867</v>
      </c>
      <c r="D5914" s="7">
        <f>IFERROR(__xludf.DUMMYFUNCTION("""COMPUTED_VALUE"""),0.258064516129032)</f>
        <v>0.2580645161</v>
      </c>
    </row>
    <row r="5915">
      <c r="A5915" s="10" t="s">
        <v>7354</v>
      </c>
      <c r="B5915" s="7" t="str">
        <f>IFERROR(__xludf.DUMMYFUNCTION("SPLIT(A5915,"" "")"),"Cc1nc(CN(Cc2nc(C)c(C)c(C)c2C)C2CCCCC2N)c(C)c(C)c1C")</f>
        <v>Cc1nc(CN(Cc2nc(C)c(C)c(C)c2C)C2CCCCC2N)c(C)c(C)c1C</v>
      </c>
      <c r="C5915" s="7">
        <f>IFERROR(__xludf.DUMMYFUNCTION("""COMPUTED_VALUE"""),7.787577)</f>
        <v>7.787577</v>
      </c>
      <c r="D5915" s="7">
        <f>IFERROR(__xludf.DUMMYFUNCTION("""COMPUTED_VALUE"""),0.306122448979591)</f>
        <v>0.306122449</v>
      </c>
    </row>
    <row r="5916">
      <c r="A5916" s="10" t="s">
        <v>7355</v>
      </c>
      <c r="B5916" s="7" t="str">
        <f>IFERROR(__xludf.DUMMYFUNCTION("SPLIT(A5916,"" "")"),"Cc1ccc(CN(Cc2ccccn2)C2CCCC(N(C)Cc3cc(C)c(C)c(C)n3)C2)nc1C")</f>
        <v>Cc1ccc(CN(Cc2ccccn2)C2CCCC(N(C)Cc3cc(C)c(C)c(C)n3)C2)nc1C</v>
      </c>
      <c r="C5916" s="7">
        <f>IFERROR(__xludf.DUMMYFUNCTION("""COMPUTED_VALUE"""),7.787574)</f>
        <v>7.787574</v>
      </c>
      <c r="D5916" s="7">
        <f>IFERROR(__xludf.DUMMYFUNCTION("""COMPUTED_VALUE"""),0.43859649122807)</f>
        <v>0.4385964912</v>
      </c>
    </row>
    <row r="5917">
      <c r="A5917" s="10" t="s">
        <v>7356</v>
      </c>
      <c r="B5917" s="7" t="str">
        <f>IFERROR(__xludf.DUMMYFUNCTION("SPLIT(A5917,"" "")"),"Fc1cccc(CN(Cc2ccccn2)C2CCCCC2N(Cc2ccccn2)c2ccccc2F)n1")</f>
        <v>Fc1cccc(CN(Cc2ccccn2)C2CCCCC2N(Cc2ccccn2)c2ccccc2F)n1</v>
      </c>
      <c r="C5917" s="7">
        <f>IFERROR(__xludf.DUMMYFUNCTION("""COMPUTED_VALUE"""),7.787573)</f>
        <v>7.787573</v>
      </c>
      <c r="D5917" s="7">
        <f>IFERROR(__xludf.DUMMYFUNCTION("""COMPUTED_VALUE"""),0.452830188679245)</f>
        <v>0.4528301887</v>
      </c>
    </row>
    <row r="5918">
      <c r="A5918" s="10" t="s">
        <v>7357</v>
      </c>
      <c r="B5918" s="7" t="str">
        <f>IFERROR(__xludf.DUMMYFUNCTION("SPLIT(A5918,"" "")"),"Cc1cncc(N(C)C2CC(N(C)Cc3ccccn3)CC(N(Cc3ccccn3)C(C)C)C2)c1")</f>
        <v>Cc1cncc(N(C)C2CC(N(C)Cc3ccccn3)CC(N(Cc3ccccn3)C(C)C)C2)c1</v>
      </c>
      <c r="C5918" s="7">
        <f>IFERROR(__xludf.DUMMYFUNCTION("""COMPUTED_VALUE"""),7.7875724)</f>
        <v>7.7875724</v>
      </c>
      <c r="D5918" s="7">
        <f>IFERROR(__xludf.DUMMYFUNCTION("""COMPUTED_VALUE"""),0.403508771929824)</f>
        <v>0.4035087719</v>
      </c>
    </row>
    <row r="5919">
      <c r="A5919" s="10" t="s">
        <v>7358</v>
      </c>
      <c r="B5919" s="7" t="str">
        <f>IFERROR(__xludf.DUMMYFUNCTION("SPLIT(A5919,"" "")"),"CN1CCN(C)CCN(Cc2cccnc2-c2cccc(Cl)c2N)CC1")</f>
        <v>CN1CCN(C)CCN(Cc2cccnc2-c2cccc(Cl)c2N)CC1</v>
      </c>
      <c r="C5919" s="7">
        <f>IFERROR(__xludf.DUMMYFUNCTION("""COMPUTED_VALUE"""),7.787569)</f>
        <v>7.787569</v>
      </c>
      <c r="D5919" s="7">
        <f>IFERROR(__xludf.DUMMYFUNCTION("""COMPUTED_VALUE"""),0.428571428571428)</f>
        <v>0.4285714286</v>
      </c>
    </row>
    <row r="5920">
      <c r="A5920" s="10" t="s">
        <v>7359</v>
      </c>
      <c r="B5920" s="7" t="str">
        <f>IFERROR(__xludf.DUMMYFUNCTION("SPLIT(A5920,"" "")"),"CC(C)C1=NC(C2=NC(C(C)C)CO2)CO1")</f>
        <v>CC(C)C1=NC(C2=NC(C(C)C)CO2)CO1</v>
      </c>
      <c r="C5920" s="7">
        <f>IFERROR(__xludf.DUMMYFUNCTION("""COMPUTED_VALUE"""),7.787566)</f>
        <v>7.787566</v>
      </c>
      <c r="D5920" s="7">
        <f>IFERROR(__xludf.DUMMYFUNCTION("""COMPUTED_VALUE"""),0.140350877192982)</f>
        <v>0.1403508772</v>
      </c>
    </row>
    <row r="5921">
      <c r="A5921" s="10" t="s">
        <v>7360</v>
      </c>
      <c r="B5921" s="7" t="str">
        <f>IFERROR(__xludf.DUMMYFUNCTION("SPLIT(A5921,"" "")"),"Cc1cnc(CN(C)CCN(C)CCF)c(C)c1C")</f>
        <v>Cc1cnc(CN(C)CCN(C)CCF)c(C)c1C</v>
      </c>
      <c r="C5921" s="7">
        <f>IFERROR(__xludf.DUMMYFUNCTION("""COMPUTED_VALUE"""),7.7875648)</f>
        <v>7.7875648</v>
      </c>
      <c r="D5921" s="7">
        <f>IFERROR(__xludf.DUMMYFUNCTION("""COMPUTED_VALUE"""),0.435897435897435)</f>
        <v>0.4358974359</v>
      </c>
    </row>
    <row r="5922">
      <c r="A5922" s="10" t="s">
        <v>7361</v>
      </c>
      <c r="B5922" s="7" t="str">
        <f>IFERROR(__xludf.DUMMYFUNCTION("SPLIT(A5922,"" "")"),"CNC1CCCC(N(Cc2nc(C)c(C)cc2C)Cc2nc(C)c(C)c(C)c2C)C1")</f>
        <v>CNC1CCCC(N(Cc2nc(C)c(C)cc2C)Cc2nc(C)c(C)c(C)c2C)C1</v>
      </c>
      <c r="C5922" s="7">
        <f>IFERROR(__xludf.DUMMYFUNCTION("""COMPUTED_VALUE"""),7.7875586)</f>
        <v>7.7875586</v>
      </c>
      <c r="D5922" s="7">
        <f>IFERROR(__xludf.DUMMYFUNCTION("""COMPUTED_VALUE"""),0.21311475409836)</f>
        <v>0.2131147541</v>
      </c>
    </row>
    <row r="5923">
      <c r="A5923" s="10" t="s">
        <v>7362</v>
      </c>
      <c r="B5923" s="7" t="str">
        <f>IFERROR(__xludf.DUMMYFUNCTION("SPLIT(A5923,"" "")"),"Cc1ccccc1CN(C)C1CCCCC1N(C)Cc1ccc2ncccc2c1")</f>
        <v>Cc1ccccc1CN(C)C1CCCCC1N(C)Cc1ccc2ncccc2c1</v>
      </c>
      <c r="C5923" s="7">
        <f>IFERROR(__xludf.DUMMYFUNCTION("""COMPUTED_VALUE"""),7.7875547)</f>
        <v>7.7875547</v>
      </c>
      <c r="D5923" s="7">
        <f>IFERROR(__xludf.DUMMYFUNCTION("""COMPUTED_VALUE"""),0.461538461538461)</f>
        <v>0.4615384615</v>
      </c>
    </row>
    <row r="5924">
      <c r="A5924" s="10" t="s">
        <v>7363</v>
      </c>
      <c r="B5924" s="7" t="str">
        <f>IFERROR(__xludf.DUMMYFUNCTION("SPLIT(A5924,"" "")"),"CC1C=C(N(C)Cc2ccccn2)C(C)(C)C(Cl)C1")</f>
        <v>CC1C=C(N(C)Cc2ccccn2)C(C)(C)C(Cl)C1</v>
      </c>
      <c r="C5924" s="7">
        <f>IFERROR(__xludf.DUMMYFUNCTION("""COMPUTED_VALUE"""),7.7875543)</f>
        <v>7.7875543</v>
      </c>
      <c r="D5924" s="7">
        <f>IFERROR(__xludf.DUMMYFUNCTION("""COMPUTED_VALUE"""),0.458333333333333)</f>
        <v>0.4583333333</v>
      </c>
    </row>
    <row r="5925">
      <c r="A5925" s="10" t="s">
        <v>7364</v>
      </c>
      <c r="B5925" s="7" t="str">
        <f>IFERROR(__xludf.DUMMYFUNCTION("SPLIT(A5925,"" "")"),"CN(Cc1ncccc1-c1cccc2c1OCCOCCOCCOCCOCCO2)C1CCCC(N(C)c2ccc3nccc(CF)c3c2)C1")</f>
        <v>CN(Cc1ncccc1-c1cccc2c1OCCOCCOCCOCCOCCO2)C1CCCC(N(C)c2ccc3nccc(CF)c3c2)C1</v>
      </c>
      <c r="C5925" s="7">
        <f>IFERROR(__xludf.DUMMYFUNCTION("""COMPUTED_VALUE"""),7.7875466)</f>
        <v>7.7875466</v>
      </c>
      <c r="D5925" s="7">
        <f>IFERROR(__xludf.DUMMYFUNCTION("""COMPUTED_VALUE"""),0.222222222222222)</f>
        <v>0.2222222222</v>
      </c>
    </row>
    <row r="5926">
      <c r="A5926" s="10" t="s">
        <v>7365</v>
      </c>
      <c r="B5926" s="7" t="str">
        <f>IFERROR(__xludf.DUMMYFUNCTION("SPLIT(A5926,"" "")"),"Cc1ccc(CN(C)C2CCC(N(C)Cc3ccccn3)C(N(Cc3ccccn3)Cc3ncccc3C)C2)nc1C")</f>
        <v>Cc1ccc(CN(C)C2CCC(N(C)Cc3ccccn3)C(N(Cc3ccccn3)Cc3ncccc3C)C2)nc1C</v>
      </c>
      <c r="C5926" s="7">
        <f>IFERROR(__xludf.DUMMYFUNCTION("""COMPUTED_VALUE"""),7.787546)</f>
        <v>7.787546</v>
      </c>
      <c r="D5926" s="7">
        <f>IFERROR(__xludf.DUMMYFUNCTION("""COMPUTED_VALUE"""),0.46551724137931)</f>
        <v>0.4655172414</v>
      </c>
    </row>
    <row r="5927">
      <c r="A5927" s="10" t="s">
        <v>7366</v>
      </c>
      <c r="B5927" s="7" t="str">
        <f>IFERROR(__xludf.DUMMYFUNCTION("SPLIT(A5927,"" "")"),"CC1=CC(C)C2(C=C(C)CCC23CC2(C=C(c4cc(CN(Cc5ccccn5)Cc5ccccn5)ccn4)C3c3cc(CN(Cc4ccccn4)C4CCCCC4)ccn3)CC=C(C)C3(C=C(C)CC4(CC(C)C(C)C=C4C)C3(C)C)C2C)CC1")</f>
        <v>CC1=CC(C)C2(C=C(C)CCC23CC2(C=C(c4cc(CN(Cc5ccccn5)Cc5ccccn5)ccn4)C3c3cc(CN(Cc4ccccn4)C4CCCCC4)ccn3)CC=C(C)C3(C=C(C)CC4(CC(C)C(C)C=C4C)C3(C)C)C2C)CC1</v>
      </c>
      <c r="C5927" s="7">
        <f>IFERROR(__xludf.DUMMYFUNCTION("""COMPUTED_VALUE"""),7.787544)</f>
        <v>7.787544</v>
      </c>
      <c r="D5927" s="7">
        <f>IFERROR(__xludf.DUMMYFUNCTION("""COMPUTED_VALUE"""),0.213675213675213)</f>
        <v>0.2136752137</v>
      </c>
    </row>
    <row r="5928">
      <c r="A5928" s="10" t="s">
        <v>7367</v>
      </c>
      <c r="B5928" s="7" t="str">
        <f>IFERROR(__xludf.DUMMYFUNCTION("SPLIT(A5928,"" "")"),"C=CCN(C)CC1=CC(N(C)Cc2ncccc2C)C=CN1")</f>
        <v>C=CCN(C)CC1=CC(N(C)Cc2ncccc2C)C=CN1</v>
      </c>
      <c r="C5928" s="7">
        <f>IFERROR(__xludf.DUMMYFUNCTION("""COMPUTED_VALUE"""),7.787527)</f>
        <v>7.787527</v>
      </c>
      <c r="D5928" s="7">
        <f>IFERROR(__xludf.DUMMYFUNCTION("""COMPUTED_VALUE"""),0.301587301587301)</f>
        <v>0.3015873016</v>
      </c>
    </row>
    <row r="5929">
      <c r="A5929" s="10" t="s">
        <v>7368</v>
      </c>
      <c r="B5929" s="7" t="str">
        <f>IFERROR(__xludf.DUMMYFUNCTION("SPLIT(A5929,"" "")"),"Cc1cc(N)ccc1-c1ccc(CN2CCN(C)CCN(C)CC2)cn1")</f>
        <v>Cc1cc(N)ccc1-c1ccc(CN2CCN(C)CCN(C)CC2)cn1</v>
      </c>
      <c r="C5929" s="7">
        <f>IFERROR(__xludf.DUMMYFUNCTION("""COMPUTED_VALUE"""),7.7875233)</f>
        <v>7.7875233</v>
      </c>
      <c r="D5929" s="7">
        <f>IFERROR(__xludf.DUMMYFUNCTION("""COMPUTED_VALUE"""),0.392156862745098)</f>
        <v>0.3921568627</v>
      </c>
    </row>
    <row r="5930">
      <c r="A5930" s="10" t="s">
        <v>7369</v>
      </c>
      <c r="B5930" s="7" t="str">
        <f>IFERROR(__xludf.DUMMYFUNCTION("SPLIT(A5930,"" "")"),"Cc1ccc(CN(Cc2ccccn2)C2CCCC(N(C)Cc3nc(C)c(C)cc3C)C2)nc1C")</f>
        <v>Cc1ccc(CN(Cc2ccccn2)C2CCCC(N(C)Cc3nc(C)c(C)cc3C)C2)nc1C</v>
      </c>
      <c r="C5930" s="7">
        <f>IFERROR(__xludf.DUMMYFUNCTION("""COMPUTED_VALUE"""),7.7875223)</f>
        <v>7.7875223</v>
      </c>
      <c r="D5930" s="7">
        <f>IFERROR(__xludf.DUMMYFUNCTION("""COMPUTED_VALUE"""),0.413793103448275)</f>
        <v>0.4137931034</v>
      </c>
    </row>
    <row r="5931">
      <c r="A5931" s="10" t="s">
        <v>7370</v>
      </c>
      <c r="B5931" s="7" t="str">
        <f>IFERROR(__xludf.DUMMYFUNCTION("SPLIT(A5931,"" "")"),"CN(C)Cc1ccc2cc(N(C)C3CCC(N(C)Cc4cc(-c5ccc6c(c5)OCCOCCOCCOCCOCCO6)ccn4)CC3)ccc2n1")</f>
        <v>CN(C)Cc1ccc2cc(N(C)C3CCC(N(C)Cc4cc(-c5ccc6c(c5)OCCOCCOCCOCCOCCO6)ccn4)CC3)ccc2n1</v>
      </c>
      <c r="C5931" s="7">
        <f>IFERROR(__xludf.DUMMYFUNCTION("""COMPUTED_VALUE"""),7.78752)</f>
        <v>7.78752</v>
      </c>
      <c r="D5931" s="7">
        <f>IFERROR(__xludf.DUMMYFUNCTION("""COMPUTED_VALUE"""),0.363636363636363)</f>
        <v>0.3636363636</v>
      </c>
    </row>
    <row r="5932">
      <c r="A5932" s="10" t="s">
        <v>7371</v>
      </c>
      <c r="B5932" s="7" t="str">
        <f>IFERROR(__xludf.DUMMYFUNCTION("SPLIT(A5932,"" "")"),"CCN(Cc1cccc(CN(Cc2ccc([SiH3])cn2)Cc2cccc(-c3ccc4c(c3)OCCOCCOCCOCCOCCO4)n2)n1)Cc1ncccc1C")</f>
        <v>CCN(Cc1cccc(CN(Cc2ccc([SiH3])cn2)Cc2cccc(-c3ccc4c(c3)OCCOCCOCCOCCOCCO4)n2)n1)Cc1ncccc1C</v>
      </c>
      <c r="C5932" s="7">
        <f>IFERROR(__xludf.DUMMYFUNCTION("""COMPUTED_VALUE"""),7.7875195)</f>
        <v>7.7875195</v>
      </c>
      <c r="D5932" s="7">
        <f>IFERROR(__xludf.DUMMYFUNCTION("""COMPUTED_VALUE"""),0.358974358974359)</f>
        <v>0.358974359</v>
      </c>
    </row>
    <row r="5933">
      <c r="A5933" s="10" t="s">
        <v>7372</v>
      </c>
      <c r="B5933" s="7" t="str">
        <f>IFERROR(__xludf.DUMMYFUNCTION("SPLIT(A5933,"" "")"),"COC(C)c1cccc(CN2CCN(C)CCN(Cc3cccc(C(C)(c4ccccn4)c4ccccn4)n3)CC2)n1")</f>
        <v>COC(C)c1cccc(CN2CCN(C)CCN(Cc3cccc(C(C)(c4ccccn4)c4ccccn4)n3)CC2)n1</v>
      </c>
      <c r="C5933" s="7">
        <f>IFERROR(__xludf.DUMMYFUNCTION("""COMPUTED_VALUE"""),7.7875185)</f>
        <v>7.7875185</v>
      </c>
      <c r="D5933" s="7">
        <f>IFERROR(__xludf.DUMMYFUNCTION("""COMPUTED_VALUE"""),0.490566037735849)</f>
        <v>0.4905660377</v>
      </c>
    </row>
    <row r="5934">
      <c r="A5934" s="10" t="s">
        <v>7373</v>
      </c>
      <c r="B5934" s="7" t="str">
        <f>IFERROR(__xludf.DUMMYFUNCTION("SPLIT(A5934,"" "")"),"Cc1ccc(N(C)Cc2cccc(-c3ccc4c(c3)OCCOCCOCCOCCOCCO4)n2)cc1C")</f>
        <v>Cc1ccc(N(C)Cc2cccc(-c3ccc4c(c3)OCCOCCOCCOCCOCCO4)n2)cc1C</v>
      </c>
      <c r="C5934" s="7">
        <f>IFERROR(__xludf.DUMMYFUNCTION("""COMPUTED_VALUE"""),7.7875175)</f>
        <v>7.7875175</v>
      </c>
      <c r="D5934" s="7">
        <f>IFERROR(__xludf.DUMMYFUNCTION("""COMPUTED_VALUE"""),0.328571428571428)</f>
        <v>0.3285714286</v>
      </c>
    </row>
    <row r="5935">
      <c r="A5935" s="10" t="s">
        <v>7374</v>
      </c>
      <c r="B5935" s="7" t="str">
        <f>IFERROR(__xludf.DUMMYFUNCTION("SPLIT(A5935,"" "")"),"Cc1cc(C)c(CN(C)C2CCCC(N(Cc3ccccn3)Cc3cc(C)c(C)c(C)n3)C2)cn1")</f>
        <v>Cc1cc(C)c(CN(C)C2CCCC(N(Cc3ccccn3)Cc3cc(C)c(C)c(C)n3)C2)cn1</v>
      </c>
      <c r="C5935" s="7">
        <f>IFERROR(__xludf.DUMMYFUNCTION("""COMPUTED_VALUE"""),7.7875156)</f>
        <v>7.7875156</v>
      </c>
      <c r="D5935" s="7">
        <f>IFERROR(__xludf.DUMMYFUNCTION("""COMPUTED_VALUE"""),0.387096774193548)</f>
        <v>0.3870967742</v>
      </c>
    </row>
    <row r="5936">
      <c r="A5936" s="10" t="s">
        <v>7375</v>
      </c>
      <c r="B5936" s="7" t="str">
        <f>IFERROR(__xludf.DUMMYFUNCTION("SPLIT(A5936,"" "")"),"CN(c1cccc2cccnc12)C1CCCCC1N(Cc1ccccn1)Cc1ncccc1-c1ccc2c(c1)OCCOCCOCCOCCOCCO2")</f>
        <v>CN(c1cccc2cccnc12)C1CCCCC1N(Cc1ccccn1)Cc1ncccc1-c1ccc2c(c1)OCCOCCOCCOCCOCCO2</v>
      </c>
      <c r="C5936" s="7">
        <f>IFERROR(__xludf.DUMMYFUNCTION("""COMPUTED_VALUE"""),7.787506)</f>
        <v>7.787506</v>
      </c>
      <c r="D5936" s="7">
        <f>IFERROR(__xludf.DUMMYFUNCTION("""COMPUTED_VALUE"""),0.470588235294117)</f>
        <v>0.4705882353</v>
      </c>
    </row>
    <row r="5937">
      <c r="A5937" s="10" t="s">
        <v>7376</v>
      </c>
      <c r="B5937" s="7" t="str">
        <f>IFERROR(__xludf.DUMMYFUNCTION("SPLIT(A5937,"" "")"),"CN1CCN(C)CCN(CCc2nc3cccnc3o2)CC1")</f>
        <v>CN1CCN(C)CCN(CCc2nc3cccnc3o2)CC1</v>
      </c>
      <c r="C5937" s="7">
        <f>IFERROR(__xludf.DUMMYFUNCTION("""COMPUTED_VALUE"""),7.7875056)</f>
        <v>7.7875056</v>
      </c>
      <c r="D5937" s="7">
        <f>IFERROR(__xludf.DUMMYFUNCTION("""COMPUTED_VALUE"""),0.413043478260869)</f>
        <v>0.4130434783</v>
      </c>
    </row>
    <row r="5938">
      <c r="A5938" s="10" t="s">
        <v>7377</v>
      </c>
      <c r="B5938" s="7" t="str">
        <f>IFERROR(__xludf.DUMMYFUNCTION("SPLIT(A5938,"" "")"),"Cc1cc(CN(C)C2CCC(N(Cc3ccnc(C4=CCC(C)(C)CC4C)c3)Cc3ccccn3)CC2)nc(C)c1C")</f>
        <v>Cc1cc(CN(C)C2CCC(N(Cc3ccnc(C4=CCC(C)(C)CC4C)c3)Cc3ccccn3)CC2)nc(C)c1C</v>
      </c>
      <c r="C5938" s="7">
        <f>IFERROR(__xludf.DUMMYFUNCTION("""COMPUTED_VALUE"""),7.7875047)</f>
        <v>7.7875047</v>
      </c>
      <c r="D5938" s="7">
        <f>IFERROR(__xludf.DUMMYFUNCTION("""COMPUTED_VALUE"""),0.324324324324324)</f>
        <v>0.3243243243</v>
      </c>
    </row>
    <row r="5939">
      <c r="A5939" s="10" t="s">
        <v>7378</v>
      </c>
      <c r="B5939" s="7" t="str">
        <f>IFERROR(__xludf.DUMMYFUNCTION("SPLIT(A5939,"" "")"),"CN1CCN(C)CCN(Cc2cncc(-c3cc(Cl)ccc3N)c2)CC1")</f>
        <v>CN1CCN(C)CCN(Cc2cncc(-c3cc(Cl)ccc3N)c2)CC1</v>
      </c>
      <c r="C5939" s="7">
        <f>IFERROR(__xludf.DUMMYFUNCTION("""COMPUTED_VALUE"""),7.787496)</f>
        <v>7.787496</v>
      </c>
      <c r="D5939" s="7">
        <f>IFERROR(__xludf.DUMMYFUNCTION("""COMPUTED_VALUE"""),0.365384615384615)</f>
        <v>0.3653846154</v>
      </c>
    </row>
    <row r="5940">
      <c r="A5940" s="10" t="s">
        <v>7379</v>
      </c>
      <c r="B5940" s="7" t="str">
        <f>IFERROR(__xludf.DUMMYFUNCTION("SPLIT(A5940,"" "")"),"Cc1ccc2c(c1)OCCOCCOCC(N)OCC(C(C)(C)c1cccc(CN(Cc3ccccn3)C3CCC(N(C)c4ccc5ncc(CN(C)C)cc5c4)CC3)n1)OCCO2")</f>
        <v>Cc1ccc2c(c1)OCCOCCOCC(N)OCC(C(C)(C)c1cccc(CN(Cc3ccccn3)C3CCC(N(C)c4ccc5ncc(CN(C)C)cc5c4)CC3)n1)OCCO2</v>
      </c>
      <c r="C5940" s="7">
        <f>IFERROR(__xludf.DUMMYFUNCTION("""COMPUTED_VALUE"""),7.7874956)</f>
        <v>7.7874956</v>
      </c>
      <c r="D5940" s="7">
        <f>IFERROR(__xludf.DUMMYFUNCTION("""COMPUTED_VALUE"""),0.224489795918367)</f>
        <v>0.2244897959</v>
      </c>
    </row>
    <row r="5941">
      <c r="A5941" s="10" t="s">
        <v>7380</v>
      </c>
      <c r="B5941" s="7" t="str">
        <f>IFERROR(__xludf.DUMMYFUNCTION("SPLIT(A5941,"" "")"),"CN(C)CCN(C)Cc1ccc(C2CC(C)(C)C2)nc1")</f>
        <v>CN(C)CCN(C)Cc1ccc(C2CC(C)(C)C2)nc1</v>
      </c>
      <c r="C5941" s="7">
        <f>IFERROR(__xludf.DUMMYFUNCTION("""COMPUTED_VALUE"""),7.787492)</f>
        <v>7.787492</v>
      </c>
      <c r="D5941" s="7">
        <f>IFERROR(__xludf.DUMMYFUNCTION("""COMPUTED_VALUE"""),0.319148936170212)</f>
        <v>0.3191489362</v>
      </c>
    </row>
    <row r="5942">
      <c r="A5942" s="10" t="s">
        <v>7381</v>
      </c>
      <c r="B5942" s="7" t="str">
        <f>IFERROR(__xludf.DUMMYFUNCTION("SPLIT(A5942,"" "")"),"CN(C)Cc1ccc2cc(N(C)C3CCC(N(C)Cc4ncccc4-c4ccc5c(c4)OCCOCCOCCOCCOCCO5)CC3)ccc2n1")</f>
        <v>CN(C)Cc1ccc2cc(N(C)C3CCC(N(C)Cc4ncccc4-c4ccc5c(c4)OCCOCCOCCOCCOCCO5)CC3)ccc2n1</v>
      </c>
      <c r="C5942" s="7">
        <f>IFERROR(__xludf.DUMMYFUNCTION("""COMPUTED_VALUE"""),7.787487)</f>
        <v>7.787487</v>
      </c>
      <c r="D5942" s="7">
        <f>IFERROR(__xludf.DUMMYFUNCTION("""COMPUTED_VALUE"""),0.329268292682926)</f>
        <v>0.3292682927</v>
      </c>
    </row>
    <row r="5943">
      <c r="A5943" s="10" t="s">
        <v>7382</v>
      </c>
      <c r="B5943" s="7" t="str">
        <f>IFERROR(__xludf.DUMMYFUNCTION("SPLIT(A5943,"" "")"),"CN1CCN(Cc2ccc(CN(Cc3ccccn3)Cc3cccc(-c4cccc(N(C)C)c4)n3)nc2)CCN(Cc2cc(-c3ccc4c(c3)OCCOCCOCCOCCOCCO4)ccn2)CC1")</f>
        <v>CN1CCN(Cc2ccc(CN(Cc3ccccn3)Cc3cccc(-c4cccc(N(C)C)c4)n3)nc2)CCN(Cc2cc(-c3ccc4c(c3)OCCOCCOCCOCCOCCO4)ccn2)CC1</v>
      </c>
      <c r="C5943" s="7">
        <f>IFERROR(__xludf.DUMMYFUNCTION("""COMPUTED_VALUE"""),7.7874866)</f>
        <v>7.7874866</v>
      </c>
      <c r="D5943" s="7">
        <f>IFERROR(__xludf.DUMMYFUNCTION("""COMPUTED_VALUE"""),0.372093023255813)</f>
        <v>0.3720930233</v>
      </c>
    </row>
    <row r="5944">
      <c r="A5944" s="10" t="s">
        <v>7383</v>
      </c>
      <c r="B5944" s="7" t="str">
        <f>IFERROR(__xludf.DUMMYFUNCTION("SPLIT(A5944,"" "")"),"Cc1ccc(CN(C)C2CCC(N(Cc3ccccn3)Cc3nc(C)c(C)c(C)c3C)CC2)nc1C")</f>
        <v>Cc1ccc(CN(C)C2CCC(N(Cc3ccccn3)Cc3nc(C)c(C)c(C)c3C)CC2)nc1C</v>
      </c>
      <c r="C5944" s="7">
        <f>IFERROR(__xludf.DUMMYFUNCTION("""COMPUTED_VALUE"""),7.7874813)</f>
        <v>7.7874813</v>
      </c>
      <c r="D5944" s="7">
        <f>IFERROR(__xludf.DUMMYFUNCTION("""COMPUTED_VALUE"""),0.421052631578947)</f>
        <v>0.4210526316</v>
      </c>
    </row>
    <row r="5945">
      <c r="A5945" s="10" t="s">
        <v>7384</v>
      </c>
      <c r="B5945" s="7" t="str">
        <f>IFERROR(__xludf.DUMMYFUNCTION("SPLIT(A5945,"" "")"),"CCCN(C)CC1=CC(N(C)Cc2cc(C)c(C)cn2)C=CN1")</f>
        <v>CCCN(C)CC1=CC(N(C)Cc2cc(C)c(C)cn2)C=CN1</v>
      </c>
      <c r="C5945" s="7">
        <f>IFERROR(__xludf.DUMMYFUNCTION("""COMPUTED_VALUE"""),7.7874794)</f>
        <v>7.7874794</v>
      </c>
      <c r="D5945" s="7">
        <f>IFERROR(__xludf.DUMMYFUNCTION("""COMPUTED_VALUE"""),0.320754716981132)</f>
        <v>0.320754717</v>
      </c>
    </row>
    <row r="5946">
      <c r="A5946" s="10" t="s">
        <v>7385</v>
      </c>
      <c r="B5946" s="7" t="str">
        <f>IFERROR(__xludf.DUMMYFUNCTION("SPLIT(A5946,"" "")"),"Cc1ccc(CN(C)CCN(C)CC(C)(C)C)c(C)c1C")</f>
        <v>Cc1ccc(CN(C)CCN(C)CC(C)(C)C)c(C)c1C</v>
      </c>
      <c r="C5946" s="7">
        <f>IFERROR(__xludf.DUMMYFUNCTION("""COMPUTED_VALUE"""),7.78747)</f>
        <v>7.78747</v>
      </c>
      <c r="D5946" s="7">
        <f>IFERROR(__xludf.DUMMYFUNCTION("""COMPUTED_VALUE"""),0.311111111111111)</f>
        <v>0.3111111111</v>
      </c>
    </row>
    <row r="5947">
      <c r="A5947" s="10" t="s">
        <v>7386</v>
      </c>
      <c r="B5947" s="7" t="str">
        <f>IFERROR(__xludf.DUMMYFUNCTION("SPLIT(A5947,"" "")"),"CNC1C(N(C)Cc2ccccn2)CCCC1N(Cc1nc(C)c(C)cc1C)Cc1nc(C)c(C)c(C)c1C")</f>
        <v>CNC1C(N(C)Cc2ccccn2)CCCC1N(Cc1nc(C)c(C)cc1C)Cc1nc(C)c(C)c(C)c1C</v>
      </c>
      <c r="C5947" s="7">
        <f>IFERROR(__xludf.DUMMYFUNCTION("""COMPUTED_VALUE"""),7.787461)</f>
        <v>7.787461</v>
      </c>
      <c r="D5947" s="7">
        <f>IFERROR(__xludf.DUMMYFUNCTION("""COMPUTED_VALUE"""),0.47457627118644)</f>
        <v>0.4745762712</v>
      </c>
    </row>
    <row r="5948">
      <c r="A5948" s="10" t="s">
        <v>7387</v>
      </c>
      <c r="B5948" s="7" t="str">
        <f>IFERROR(__xludf.DUMMYFUNCTION("SPLIT(A5948,"" "")"),"Cc1cc(C)c(CN(C)C2CCCC(N(Cc3ccccn3)Cc3ccc(N)cn3)C2)nc1C")</f>
        <v>Cc1cc(C)c(CN(C)C2CCCC(N(Cc3ccccn3)Cc3ccc(N)cn3)C2)nc1C</v>
      </c>
      <c r="C5948" s="7">
        <f>IFERROR(__xludf.DUMMYFUNCTION("""COMPUTED_VALUE"""),7.787456)</f>
        <v>7.787456</v>
      </c>
      <c r="D5948" s="7">
        <f>IFERROR(__xludf.DUMMYFUNCTION("""COMPUTED_VALUE"""),0.387096774193548)</f>
        <v>0.3870967742</v>
      </c>
    </row>
    <row r="5949">
      <c r="A5949" s="10" t="s">
        <v>7388</v>
      </c>
      <c r="B5949" s="7" t="str">
        <f>IFERROR(__xludf.DUMMYFUNCTION("SPLIT(A5949,"" "")"),"CC(C)(C1=CC2(C=CN1)C=CC(C)(C)C(c1cccc(CN(Cc3ccccn3)Cc3ccccn3)n1)C2c1cccc(CN(Cc2ccccn2)Cc2cccc(-c3ccc4c(c3)OCCOCCOCCOCCOCCO4)n2)n1)c1cccc(-c2ccc3c(c2)OCCOCCOCCOCCOCCO3)n1")</f>
        <v>CC(C)(C1=CC2(C=CN1)C=CC(C)(C)C(c1cccc(CN(Cc3ccccn3)Cc3ccccn3)n1)C2c1cccc(CN(Cc2ccccn2)Cc2cccc(-c3ccc4c(c3)OCCOCCOCCOCCOCCO4)n2)n1)c1cccc(-c2ccc3c(c2)OCCOCCOCCOCCOCCO3)n1</v>
      </c>
      <c r="C5949" s="7">
        <f>IFERROR(__xludf.DUMMYFUNCTION("""COMPUTED_VALUE"""),7.787448)</f>
        <v>7.787448</v>
      </c>
      <c r="D5949" s="7">
        <f>IFERROR(__xludf.DUMMYFUNCTION("""COMPUTED_VALUE"""),0.352272727272727)</f>
        <v>0.3522727273</v>
      </c>
    </row>
    <row r="5950">
      <c r="A5950" s="10" t="s">
        <v>7389</v>
      </c>
      <c r="B5950" s="7" t="str">
        <f>IFERROR(__xludf.DUMMYFUNCTION("SPLIT(A5950,"" "")"),"Cc1cnc(C)c(CN(C)C2CCCC(N(Cc3ccccn3)Cc3nc(C)c(C)c(C)c3C)C2)c1")</f>
        <v>Cc1cnc(C)c(CN(C)C2CCCC(N(Cc3ccccn3)Cc3nc(C)c(C)c(C)c3C)C2)c1</v>
      </c>
      <c r="C5950" s="7">
        <f>IFERROR(__xludf.DUMMYFUNCTION("""COMPUTED_VALUE"""),7.787436)</f>
        <v>7.787436</v>
      </c>
      <c r="D5950" s="7">
        <f>IFERROR(__xludf.DUMMYFUNCTION("""COMPUTED_VALUE"""),0.38095238095238)</f>
        <v>0.380952381</v>
      </c>
    </row>
    <row r="5951">
      <c r="A5951" s="10" t="s">
        <v>7390</v>
      </c>
      <c r="B5951" s="7" t="str">
        <f>IFERROR(__xludf.DUMMYFUNCTION("SPLIT(A5951,"" "")"),"CNC1CCCCC1N(Cc1nc(C)c(C)c(C)c1C)Cc1nc(C)c([SiH3])c(C)c1C")</f>
        <v>CNC1CCCCC1N(Cc1nc(C)c(C)c(C)c1C)Cc1nc(C)c([SiH3])c(C)c1C</v>
      </c>
      <c r="C5951" s="7">
        <f>IFERROR(__xludf.DUMMYFUNCTION("""COMPUTED_VALUE"""),7.7874312)</f>
        <v>7.7874312</v>
      </c>
      <c r="D5951" s="7">
        <f>IFERROR(__xludf.DUMMYFUNCTION("""COMPUTED_VALUE"""),0.263157894736842)</f>
        <v>0.2631578947</v>
      </c>
    </row>
    <row r="5952">
      <c r="A5952" s="10" t="s">
        <v>7391</v>
      </c>
      <c r="B5952" s="7" t="str">
        <f>IFERROR(__xludf.DUMMYFUNCTION("SPLIT(A5952,"" "")"),"CN(Cc1cccc(-c2ccc3c(c2)OCCOCCOCCOCCOCCO3)n1)C1=CNC(CN(C)C2CCCCC2N(C)c2ccc3ccc(CF)nc3c2)=CC1")</f>
        <v>CN(Cc1cccc(-c2ccc3c(c2)OCCOCCOCCOCCOCCO3)n1)C1=CNC(CN(C)C2CCCCC2N(C)c2ccc3ccc(CF)nc3c2)=CC1</v>
      </c>
      <c r="C5952" s="7">
        <f>IFERROR(__xludf.DUMMYFUNCTION("""COMPUTED_VALUE"""),7.787428)</f>
        <v>7.787428</v>
      </c>
      <c r="D5952" s="7">
        <f>IFERROR(__xludf.DUMMYFUNCTION("""COMPUTED_VALUE"""),0.341176470588235)</f>
        <v>0.3411764706</v>
      </c>
    </row>
    <row r="5953">
      <c r="A5953" s="10" t="s">
        <v>7392</v>
      </c>
      <c r="B5953" s="7" t="str">
        <f>IFERROR(__xludf.DUMMYFUNCTION("SPLIT(A5953,"" "")"),"C#CCN(C)Cc1ncccc1C(C)(C)c1ccccn1")</f>
        <v>C#CCN(C)Cc1ncccc1C(C)(C)c1ccccn1</v>
      </c>
      <c r="C5953" s="7">
        <f>IFERROR(__xludf.DUMMYFUNCTION("""COMPUTED_VALUE"""),7.7874274)</f>
        <v>7.7874274</v>
      </c>
      <c r="D5953" s="7">
        <f>IFERROR(__xludf.DUMMYFUNCTION("""COMPUTED_VALUE"""),0.320754716981132)</f>
        <v>0.320754717</v>
      </c>
    </row>
    <row r="5954">
      <c r="A5954" s="10" t="s">
        <v>7393</v>
      </c>
      <c r="B5954" s="7" t="str">
        <f>IFERROR(__xludf.DUMMYFUNCTION("SPLIT(A5954,"" "")"),"CCNC1CCCC(N(Cc2nc(C)c(C)c(C)c2C)Cc2nc(C)c(C)c(C)c2C)C1")</f>
        <v>CCNC1CCCC(N(Cc2nc(C)c(C)c(C)c2C)Cc2nc(C)c(C)c(C)c2C)C1</v>
      </c>
      <c r="C5954" s="7">
        <f>IFERROR(__xludf.DUMMYFUNCTION("""COMPUTED_VALUE"""),7.787393)</f>
        <v>7.787393</v>
      </c>
      <c r="D5954" s="7">
        <f>IFERROR(__xludf.DUMMYFUNCTION("""COMPUTED_VALUE"""),0.210526315789473)</f>
        <v>0.2105263158</v>
      </c>
    </row>
    <row r="5955">
      <c r="A5955" s="10" t="s">
        <v>7394</v>
      </c>
      <c r="B5955" s="7" t="str">
        <f>IFERROR(__xludf.DUMMYFUNCTION("SPLIT(A5955,"" "")"),"CC1C=CCC(C)(c2cccc(CN(Cc3ccccn3)Cc3ccccn3)n2)C1C")</f>
        <v>CC1C=CCC(C)(c2cccc(CN(Cc3ccccn3)Cc3ccccn3)n2)C1C</v>
      </c>
      <c r="C5955" s="7">
        <f>IFERROR(__xludf.DUMMYFUNCTION("""COMPUTED_VALUE"""),7.787384)</f>
        <v>7.787384</v>
      </c>
      <c r="D5955" s="7">
        <f>IFERROR(__xludf.DUMMYFUNCTION("""COMPUTED_VALUE"""),0.444444444444444)</f>
        <v>0.4444444444</v>
      </c>
    </row>
    <row r="5956">
      <c r="A5956" s="10" t="s">
        <v>7395</v>
      </c>
      <c r="B5956" s="7" t="str">
        <f>IFERROR(__xludf.DUMMYFUNCTION("SPLIT(A5956,"" "")"),"CC(C)N(C)CC1=CCC=C(N(C)C(C)C)N1")</f>
        <v>CC(C)N(C)CC1=CCC=C(N(C)C(C)C)N1</v>
      </c>
      <c r="C5956" s="7">
        <f>IFERROR(__xludf.DUMMYFUNCTION("""COMPUTED_VALUE"""),7.7873616)</f>
        <v>7.7873616</v>
      </c>
      <c r="D5956" s="7">
        <f>IFERROR(__xludf.DUMMYFUNCTION("""COMPUTED_VALUE"""),0.212765957446808)</f>
        <v>0.2127659574</v>
      </c>
    </row>
    <row r="5957">
      <c r="A5957" s="10" t="s">
        <v>7396</v>
      </c>
      <c r="B5957" s="7" t="str">
        <f>IFERROR(__xludf.DUMMYFUNCTION("SPLIT(A5957,"" "")"),"Cc1cncc(CN(C)C2CCCC(N(C)Cc3ccccn3)C2N(Cc2ccccn2)c2ccccc2F)c1")</f>
        <v>Cc1cncc(CN(C)C2CCCC(N(C)Cc3ccccn3)C2N(Cc2ccccn2)c2ccccc2F)c1</v>
      </c>
      <c r="C5957" s="7">
        <f>IFERROR(__xludf.DUMMYFUNCTION("""COMPUTED_VALUE"""),7.78736)</f>
        <v>7.78736</v>
      </c>
      <c r="D5957" s="7">
        <f>IFERROR(__xludf.DUMMYFUNCTION("""COMPUTED_VALUE"""),0.482758620689655)</f>
        <v>0.4827586207</v>
      </c>
    </row>
    <row r="5958">
      <c r="A5958" s="10" t="s">
        <v>7397</v>
      </c>
      <c r="B5958" s="7" t="str">
        <f>IFERROR(__xludf.DUMMYFUNCTION("SPLIT(A5958,"" "")"),"CC1=NCC(C(C)N(C)Cc2cc(C(C)(C)C)ccn2)O1")</f>
        <v>CC1=NCC(C(C)N(C)Cc2cc(C(C)(C)C)ccn2)O1</v>
      </c>
      <c r="C5958" s="7">
        <f>IFERROR(__xludf.DUMMYFUNCTION("""COMPUTED_VALUE"""),7.7873588)</f>
        <v>7.7873588</v>
      </c>
      <c r="D5958" s="7">
        <f>IFERROR(__xludf.DUMMYFUNCTION("""COMPUTED_VALUE"""),0.254237288135593)</f>
        <v>0.2542372881</v>
      </c>
    </row>
    <row r="5959">
      <c r="A5959" s="10" t="s">
        <v>7398</v>
      </c>
      <c r="B5959" s="7" t="str">
        <f>IFERROR(__xludf.DUMMYFUNCTION("SPLIT(A5959,"" "")"),"Cc1cc(C)c(CN(Cc2ccccn2)C2CCC(N(C)Cc3nc(C)c(C)c(C)c3C)CC2)cn1")</f>
        <v>Cc1cc(C)c(CN(Cc2ccccn2)C2CCC(N(C)Cc3nc(C)c(C)c(C)c3C)CC2)cn1</v>
      </c>
      <c r="C5959" s="7">
        <f>IFERROR(__xludf.DUMMYFUNCTION("""COMPUTED_VALUE"""),7.787355)</f>
        <v>7.787355</v>
      </c>
      <c r="D5959" s="7">
        <f>IFERROR(__xludf.DUMMYFUNCTION("""COMPUTED_VALUE"""),0.370967741935483)</f>
        <v>0.3709677419</v>
      </c>
    </row>
    <row r="5960">
      <c r="A5960" s="10" t="s">
        <v>7399</v>
      </c>
      <c r="B5960" s="7" t="str">
        <f>IFERROR(__xludf.DUMMYFUNCTION("SPLIT(A5960,"" "")"),"CNC1CCCCC1N(Cc1nc(C)c(C)c(C)c1C)Cc1nc(C)c(C)c(C)c1C")</f>
        <v>CNC1CCCCC1N(Cc1nc(C)c(C)c(C)c1C)Cc1nc(C)c(C)c(C)c1C</v>
      </c>
      <c r="C5960" s="7">
        <f>IFERROR(__xludf.DUMMYFUNCTION("""COMPUTED_VALUE"""),7.787349)</f>
        <v>7.787349</v>
      </c>
      <c r="D5960" s="7">
        <f>IFERROR(__xludf.DUMMYFUNCTION("""COMPUTED_VALUE"""),0.294117647058823)</f>
        <v>0.2941176471</v>
      </c>
    </row>
    <row r="5961">
      <c r="A5961" s="10" t="s">
        <v>7400</v>
      </c>
      <c r="B5961" s="7" t="str">
        <f>IFERROR(__xludf.DUMMYFUNCTION("SPLIT(A5961,"" "")"),"CNC1CCCCC1N(Cc1nc(C)c(C)c(C)c1C)Cc1nc(C)c([SiH3])c([SiH3])c1C")</f>
        <v>CNC1CCCCC1N(Cc1nc(C)c(C)c(C)c1C)Cc1nc(C)c([SiH3])c([SiH3])c1C</v>
      </c>
      <c r="C5961" s="7">
        <f>IFERROR(__xludf.DUMMYFUNCTION("""COMPUTED_VALUE"""),7.7873344)</f>
        <v>7.7873344</v>
      </c>
      <c r="D5961" s="7">
        <f>IFERROR(__xludf.DUMMYFUNCTION("""COMPUTED_VALUE"""),0.258620689655172)</f>
        <v>0.2586206897</v>
      </c>
    </row>
    <row r="5962">
      <c r="A5962" s="10" t="s">
        <v>7401</v>
      </c>
      <c r="B5962" s="7" t="str">
        <f>IFERROR(__xludf.DUMMYFUNCTION("SPLIT(A5962,"" "")"),"Cc1ccnc(CN(Cc2ccnc(C)c2)C2CCC(N(C)Cc3nc(C)c(C)c(C)c3C)CC2)c1")</f>
        <v>Cc1ccnc(CN(Cc2ccnc(C)c2)C2CCC(N(C)Cc3nc(C)c(C)c(C)c3C)CC2)c1</v>
      </c>
      <c r="C5962" s="7">
        <f>IFERROR(__xludf.DUMMYFUNCTION("""COMPUTED_VALUE"""),7.787321)</f>
        <v>7.787321</v>
      </c>
      <c r="D5962" s="7">
        <f>IFERROR(__xludf.DUMMYFUNCTION("""COMPUTED_VALUE"""),0.301587301587301)</f>
        <v>0.3015873016</v>
      </c>
    </row>
    <row r="5963">
      <c r="A5963" s="10" t="s">
        <v>7402</v>
      </c>
      <c r="B5963" s="7" t="str">
        <f>IFERROR(__xludf.DUMMYFUNCTION("SPLIT(A5963,"" "")"),"Cc1cnc(CN(C)C2CCCC(N(Cc3ccccn3)Cc3nc(C)c(C)cc3C)C2)c(C)c1")</f>
        <v>Cc1cnc(CN(C)C2CCCC(N(Cc3ccccn3)Cc3nc(C)c(C)cc3C)C2)c(C)c1</v>
      </c>
      <c r="C5963" s="7">
        <f>IFERROR(__xludf.DUMMYFUNCTION("""COMPUTED_VALUE"""),7.787299)</f>
        <v>7.787299</v>
      </c>
      <c r="D5963" s="7">
        <f>IFERROR(__xludf.DUMMYFUNCTION("""COMPUTED_VALUE"""),0.393442622950819)</f>
        <v>0.393442623</v>
      </c>
    </row>
    <row r="5964">
      <c r="A5964" s="10" t="s">
        <v>7403</v>
      </c>
      <c r="B5964" s="7" t="str">
        <f>IFERROR(__xludf.DUMMYFUNCTION("SPLIT(A5964,"" "")"),"Cc1cc(N)cc(-c2cc(C)c(CN3CCN(C)CCN(C)CC3)cn2)c1")</f>
        <v>Cc1cc(N)cc(-c2cc(C)c(CN3CCN(C)CCN(C)CC3)cn2)c1</v>
      </c>
      <c r="C5964" s="7">
        <f>IFERROR(__xludf.DUMMYFUNCTION("""COMPUTED_VALUE"""),7.787298)</f>
        <v>7.787298</v>
      </c>
      <c r="D5964" s="7">
        <f>IFERROR(__xludf.DUMMYFUNCTION("""COMPUTED_VALUE"""),0.4)</f>
        <v>0.4</v>
      </c>
    </row>
    <row r="5965">
      <c r="A5965" s="10" t="s">
        <v>7404</v>
      </c>
      <c r="B5965" s="7" t="str">
        <f>IFERROR(__xludf.DUMMYFUNCTION("SPLIT(A5965,"" "")"),"CNCc1nc(CN(C)C(C)C)ccc1C")</f>
        <v>CNCc1nc(CN(C)C(C)C)ccc1C</v>
      </c>
      <c r="C5965" s="7">
        <f>IFERROR(__xludf.DUMMYFUNCTION("""COMPUTED_VALUE"""),7.787284)</f>
        <v>7.787284</v>
      </c>
      <c r="D5965" s="7">
        <f>IFERROR(__xludf.DUMMYFUNCTION("""COMPUTED_VALUE"""),0.288888888888888)</f>
        <v>0.2888888889</v>
      </c>
    </row>
    <row r="5966">
      <c r="A5966" s="10" t="s">
        <v>7405</v>
      </c>
      <c r="B5966" s="7" t="str">
        <f>IFERROR(__xludf.DUMMYFUNCTION("SPLIT(A5966,"" "")"),"CN(Cc1ccc2c(c1)OCCOCCOCCOCCOCCO2)Cc1cc(-c2cccc(N=Cc3ccccn3)c2)ccn1")</f>
        <v>CN(Cc1ccc2c(c1)OCCOCCOCCOCCOCCO2)Cc1cc(-c2cccc(N=Cc3ccccn3)c2)ccn1</v>
      </c>
      <c r="C5966" s="7">
        <f>IFERROR(__xludf.DUMMYFUNCTION("""COMPUTED_VALUE"""),7.7872796)</f>
        <v>7.7872796</v>
      </c>
      <c r="D5966" s="7">
        <f>IFERROR(__xludf.DUMMYFUNCTION("""COMPUTED_VALUE"""),0.295774647887323)</f>
        <v>0.2957746479</v>
      </c>
    </row>
    <row r="5967">
      <c r="A5967" s="10" t="s">
        <v>7406</v>
      </c>
      <c r="B5967" s="7" t="str">
        <f>IFERROR(__xludf.DUMMYFUNCTION("SPLIT(A5967,"" "")"),"CN(C)Cc1ccc2ccc(N(C)C3CCC(N(C)Cc4ncccc4-c4ccc5c(c4)OCCOCCOCCOCCOCCO5)CC3)cc2n1")</f>
        <v>CN(C)Cc1ccc2ccc(N(C)C3CCC(N(C)Cc4ncccc4-c4ccc5c(c4)OCCOCCOCCOCCOCCO5)CC3)cc2n1</v>
      </c>
      <c r="C5967" s="7">
        <f>IFERROR(__xludf.DUMMYFUNCTION("""COMPUTED_VALUE"""),7.7872787)</f>
        <v>7.7872787</v>
      </c>
      <c r="D5967" s="7">
        <f>IFERROR(__xludf.DUMMYFUNCTION("""COMPUTED_VALUE"""),0.333333333333333)</f>
        <v>0.3333333333</v>
      </c>
    </row>
    <row r="5968">
      <c r="A5968" s="10" t="s">
        <v>7407</v>
      </c>
      <c r="B5968" s="7" t="str">
        <f>IFERROR(__xludf.DUMMYFUNCTION("SPLIT(A5968,"" "")"),"CN(C)Cc1ccc2c(N(C)C3CCC(N(C)Cc4cccc(-c5cccc6c5OCCOCCOCCOCCOCCO6)n4)CC3)cccc2n1")</f>
        <v>CN(C)Cc1ccc2c(N(C)C3CCC(N(C)Cc4cccc(-c5cccc6c5OCCOCCOCCOCCOCCO6)n4)CC3)cccc2n1</v>
      </c>
      <c r="C5968" s="7">
        <f>IFERROR(__xludf.DUMMYFUNCTION("""COMPUTED_VALUE"""),7.787278)</f>
        <v>7.787278</v>
      </c>
      <c r="D5968" s="7">
        <f>IFERROR(__xludf.DUMMYFUNCTION("""COMPUTED_VALUE"""),0.273972602739726)</f>
        <v>0.2739726027</v>
      </c>
    </row>
    <row r="5969">
      <c r="A5969" s="10" t="s">
        <v>7408</v>
      </c>
      <c r="B5969" s="7" t="str">
        <f>IFERROR(__xludf.DUMMYFUNCTION("SPLIT(A5969,"" "")"),"Cc1cccc(C(C)(c2ccccn2)c2ncccc2CN2CCN(C)CCN(C)CC2)c1")</f>
        <v>Cc1cccc(C(C)(c2ccccn2)c2ncccc2CN2CCN(C)CCN(C)CC2)c1</v>
      </c>
      <c r="C5969" s="7">
        <f>IFERROR(__xludf.DUMMYFUNCTION("""COMPUTED_VALUE"""),7.7872734)</f>
        <v>7.7872734</v>
      </c>
      <c r="D5969" s="7">
        <f>IFERROR(__xludf.DUMMYFUNCTION("""COMPUTED_VALUE"""),0.425925925925925)</f>
        <v>0.4259259259</v>
      </c>
    </row>
    <row r="5970">
      <c r="A5970" s="10" t="s">
        <v>7409</v>
      </c>
      <c r="B5970" s="7" t="str">
        <f>IFERROR(__xludf.DUMMYFUNCTION("SPLIT(A5970,"" "")"),"CN1CCN(C)CCN(Cc2cncc(-c3cc(N)ccc3Cl)c2)CC1")</f>
        <v>CN1CCN(C)CCN(Cc2cncc(-c3cc(N)ccc3Cl)c2)CC1</v>
      </c>
      <c r="C5970" s="7">
        <f>IFERROR(__xludf.DUMMYFUNCTION("""COMPUTED_VALUE"""),7.787271)</f>
        <v>7.787271</v>
      </c>
      <c r="D5970" s="7">
        <f>IFERROR(__xludf.DUMMYFUNCTION("""COMPUTED_VALUE"""),0.358490566037735)</f>
        <v>0.358490566</v>
      </c>
    </row>
    <row r="5971">
      <c r="A5971" s="10" t="s">
        <v>7410</v>
      </c>
      <c r="B5971" s="7" t="str">
        <f>IFERROR(__xludf.DUMMYFUNCTION("SPLIT(A5971,"" "")"),"CCC")</f>
        <v>CCC</v>
      </c>
      <c r="C5971" s="7">
        <f>IFERROR(__xludf.DUMMYFUNCTION("""COMPUTED_VALUE"""),7.7872605)</f>
        <v>7.7872605</v>
      </c>
      <c r="D5971" s="7">
        <f>IFERROR(__xludf.DUMMYFUNCTION("""COMPUTED_VALUE"""),0.111111111111111)</f>
        <v>0.1111111111</v>
      </c>
    </row>
    <row r="5972">
      <c r="A5972" s="10" t="s">
        <v>7411</v>
      </c>
      <c r="B5972" s="7" t="str">
        <f>IFERROR(__xludf.DUMMYFUNCTION("SPLIT(A5972,"" "")"),"Cc1nc(CN(C)C2CCC(N(Cc3cccc(F)n3)Cc3ncccc3N)CC2)c(C)c(C)c1C")</f>
        <v>Cc1nc(CN(C)C2CCC(N(Cc3cccc(F)n3)Cc3ncccc3N)CC2)c(C)c(C)c1C</v>
      </c>
      <c r="C5972" s="7">
        <f>IFERROR(__xludf.DUMMYFUNCTION("""COMPUTED_VALUE"""),7.7872586)</f>
        <v>7.7872586</v>
      </c>
      <c r="D5972" s="7">
        <f>IFERROR(__xludf.DUMMYFUNCTION("""COMPUTED_VALUE"""),0.298507462686567)</f>
        <v>0.2985074627</v>
      </c>
    </row>
    <row r="5973">
      <c r="A5973" s="10" t="s">
        <v>7412</v>
      </c>
      <c r="B5973" s="7" t="str">
        <f>IFERROR(__xludf.DUMMYFUNCTION("SPLIT(A5973,"" "")"),"CC(C)[Si](c1ccc(CN(Cc2ccc([Si](C(C)C)(C(C)C)C(C)C)cn2)Cc2cccc(-c3ccc4c(c3)OCCOCCOCCOCCOCCO4)n2)nc1)(C(C)C)C(C)C")</f>
        <v>CC(C)[Si](c1ccc(CN(Cc2ccc([Si](C(C)C)(C(C)C)C(C)C)cn2)Cc2cccc(-c3ccc4c(c3)OCCOCCOCCOCCOCCO4)n2)nc1)(C(C)C)C(C)C</v>
      </c>
      <c r="C5973" s="7">
        <f>IFERROR(__xludf.DUMMYFUNCTION("""COMPUTED_VALUE"""),7.787257)</f>
        <v>7.787257</v>
      </c>
      <c r="D5973" s="7">
        <f>IFERROR(__xludf.DUMMYFUNCTION("""COMPUTED_VALUE"""),0.5)</f>
        <v>0.5</v>
      </c>
    </row>
    <row r="5974">
      <c r="A5974" s="10" t="s">
        <v>7413</v>
      </c>
      <c r="B5974" s="7" t="str">
        <f>IFERROR(__xludf.DUMMYFUNCTION("SPLIT(A5974,"" "")"),"CNCc1cccc(CN(Cc2ccccn2)C2CCC(N(C)Cc3ccccn3)C(N(Cc3ccccn3)Cc3ncccc3C)C2)n1")</f>
        <v>CNCc1cccc(CN(Cc2ccccn2)C2CCC(N(C)Cc3ccccn3)C(N(Cc3ccccn3)Cc3ncccc3C)C2)n1</v>
      </c>
      <c r="C5974" s="7">
        <f>IFERROR(__xludf.DUMMYFUNCTION("""COMPUTED_VALUE"""),7.7872562)</f>
        <v>7.7872562</v>
      </c>
      <c r="D5974" s="7">
        <f>IFERROR(__xludf.DUMMYFUNCTION("""COMPUTED_VALUE"""),0.442622950819672)</f>
        <v>0.4426229508</v>
      </c>
    </row>
    <row r="5975">
      <c r="A5975" s="10" t="s">
        <v>7414</v>
      </c>
      <c r="B5975" s="7" t="str">
        <f>IFERROR(__xludf.DUMMYFUNCTION("SPLIT(A5975,"" "")"),"CN1CCN(C)CCN(Cc2ccc(-c3cc(Cl)ccc3N)nc2)CC1")</f>
        <v>CN1CCN(C)CCN(Cc2ccc(-c3cc(Cl)ccc3N)nc2)CC1</v>
      </c>
      <c r="C5975" s="7">
        <f>IFERROR(__xludf.DUMMYFUNCTION("""COMPUTED_VALUE"""),7.787255)</f>
        <v>7.787255</v>
      </c>
      <c r="D5975" s="7">
        <f>IFERROR(__xludf.DUMMYFUNCTION("""COMPUTED_VALUE"""),0.358490566037735)</f>
        <v>0.358490566</v>
      </c>
    </row>
    <row r="5976">
      <c r="A5976" s="10" t="s">
        <v>7415</v>
      </c>
      <c r="B5976" s="7" t="str">
        <f>IFERROR(__xludf.DUMMYFUNCTION("SPLIT(A5976,"" "")"),"CCN(Cc1ccccn1)Cc1cccc(CN(Cc2ccccn2)C2CCC(N(C)Cc3nc(C)c(C)cc3C)CC2)n1")</f>
        <v>CCN(Cc1ccccn1)Cc1cccc(CN(Cc2ccccn2)C2CCC(N(C)Cc3nc(C)c(C)cc3C)CC2)n1</v>
      </c>
      <c r="C5976" s="7">
        <f>IFERROR(__xludf.DUMMYFUNCTION("""COMPUTED_VALUE"""),7.7872496)</f>
        <v>7.7872496</v>
      </c>
      <c r="D5976" s="7">
        <f>IFERROR(__xludf.DUMMYFUNCTION("""COMPUTED_VALUE"""),0.383333333333333)</f>
        <v>0.3833333333</v>
      </c>
    </row>
    <row r="5977">
      <c r="A5977" s="10" t="s">
        <v>7416</v>
      </c>
      <c r="B5977" s="7" t="str">
        <f>IFERROR(__xludf.DUMMYFUNCTION("SPLIT(A5977,"" "")"),"CN(Cc1ccccn1)C1=CCC=C(CN(Cc2ccccn2)Cc2cccc(-c3cccc4c3OCCOCCOCCOCCOCCO4)n2)N1")</f>
        <v>CN(Cc1ccccn1)C1=CCC=C(CN(Cc2ccccn2)Cc2cccc(-c3cccc4c3OCCOCCOCCOCCOCCO4)n2)N1</v>
      </c>
      <c r="C5977" s="7">
        <f>IFERROR(__xludf.DUMMYFUNCTION("""COMPUTED_VALUE"""),7.7872477)</f>
        <v>7.7872477</v>
      </c>
      <c r="D5977" s="7">
        <f>IFERROR(__xludf.DUMMYFUNCTION("""COMPUTED_VALUE"""),0.380281690140845)</f>
        <v>0.3802816901</v>
      </c>
    </row>
    <row r="5978">
      <c r="A5978" s="10" t="s">
        <v>7417</v>
      </c>
      <c r="B5978" s="7" t="str">
        <f>IFERROR(__xludf.DUMMYFUNCTION("SPLIT(A5978,"" "")"),"Cc1cnc(CN(C)C2CCC(N(Cc3ccccn3)Cc3cccc(CN(C)C(C)(C)c4ccccn4)n3)CC2)c(C)c1")</f>
        <v>Cc1cnc(CN(C)C2CCC(N(Cc3ccccn3)Cc3cccc(CN(C)C(C)(C)c4ccccn4)n3)CC2)c(C)c1</v>
      </c>
      <c r="C5978" s="7">
        <f>IFERROR(__xludf.DUMMYFUNCTION("""COMPUTED_VALUE"""),7.7872467)</f>
        <v>7.7872467</v>
      </c>
      <c r="D5978" s="7">
        <f>IFERROR(__xludf.DUMMYFUNCTION("""COMPUTED_VALUE"""),0.348484848484848)</f>
        <v>0.3484848485</v>
      </c>
    </row>
    <row r="5979">
      <c r="A5979" s="10" t="s">
        <v>7418</v>
      </c>
      <c r="B5979" s="7" t="str">
        <f>IFERROR(__xludf.DUMMYFUNCTION("SPLIT(A5979,"" "")"),"CCNCCN(Cc1ccccn1)Cc1nc(C)c(C)cc1C")</f>
        <v>CCNCCN(Cc1ccccn1)Cc1nc(C)c(C)cc1C</v>
      </c>
      <c r="C5979" s="7">
        <f>IFERROR(__xludf.DUMMYFUNCTION("""COMPUTED_VALUE"""),7.7872276)</f>
        <v>7.7872276</v>
      </c>
      <c r="D5979" s="7">
        <f>IFERROR(__xludf.DUMMYFUNCTION("""COMPUTED_VALUE"""),0.448979591836734)</f>
        <v>0.4489795918</v>
      </c>
    </row>
    <row r="5980">
      <c r="A5980" s="10" t="s">
        <v>7419</v>
      </c>
      <c r="B5980" s="7" t="str">
        <f>IFERROR(__xludf.DUMMYFUNCTION("SPLIT(A5980,"" "")"),"Cc1cccnc1CN(CF)C1CCCCC1N(Cc1nc(C)c(C)c(C)c1C)Cc1nc(C)c(C)c(C)c1C")</f>
        <v>Cc1cccnc1CN(CF)C1CCCCC1N(Cc1nc(C)c(C)c(C)c1C)Cc1nc(C)c(C)c(C)c1C</v>
      </c>
      <c r="C5980" s="7">
        <f>IFERROR(__xludf.DUMMYFUNCTION("""COMPUTED_VALUE"""),7.7872214)</f>
        <v>7.7872214</v>
      </c>
      <c r="D5980" s="7">
        <f>IFERROR(__xludf.DUMMYFUNCTION("""COMPUTED_VALUE"""),0.339285714285714)</f>
        <v>0.3392857143</v>
      </c>
    </row>
    <row r="5981">
      <c r="A5981" s="10" t="s">
        <v>7420</v>
      </c>
      <c r="B5981" s="7" t="str">
        <f>IFERROR(__xludf.DUMMYFUNCTION("SPLIT(A5981,"" "")"),"Cc1cncc(CN(C)CC2=CC(N(C)C3C=CC=CN3)C=CN2)c1")</f>
        <v>Cc1cncc(CN(C)CC2=CC(N(C)C3C=CC=CN3)C=CN2)c1</v>
      </c>
      <c r="C5981" s="7">
        <f>IFERROR(__xludf.DUMMYFUNCTION("""COMPUTED_VALUE"""),7.7872205)</f>
        <v>7.7872205</v>
      </c>
      <c r="D5981" s="7">
        <f>IFERROR(__xludf.DUMMYFUNCTION("""COMPUTED_VALUE"""),0.296875)</f>
        <v>0.296875</v>
      </c>
    </row>
    <row r="5982">
      <c r="A5982" s="10" t="s">
        <v>7421</v>
      </c>
      <c r="B5982" s="7" t="str">
        <f>IFERROR(__xludf.DUMMYFUNCTION("SPLIT(A5982,"" "")"),"CCN(Cc1cccc(C2CCC2(C)C)n1)Cc1cccc(C(C)(C)C)n1")</f>
        <v>CCN(Cc1cccc(C2CCC2(C)C)n1)Cc1cccc(C(C)(C)C)n1</v>
      </c>
      <c r="C5982" s="7">
        <f>IFERROR(__xludf.DUMMYFUNCTION("""COMPUTED_VALUE"""),7.78722)</f>
        <v>7.78722</v>
      </c>
      <c r="D5982" s="7">
        <f>IFERROR(__xludf.DUMMYFUNCTION("""COMPUTED_VALUE"""),0.293103448275862)</f>
        <v>0.2931034483</v>
      </c>
    </row>
    <row r="5983">
      <c r="A5983" s="10" t="s">
        <v>7422</v>
      </c>
      <c r="B5983" s="7" t="str">
        <f>IFERROR(__xludf.DUMMYFUNCTION("SPLIT(A5983,"" "")"),"CN1CCN(C)CCN(Cc2ccc(-c3cccc(Cl)c3N)nc2)CC1")</f>
        <v>CN1CCN(C)CCN(Cc2ccc(-c3cccc(Cl)c3N)nc2)CC1</v>
      </c>
      <c r="C5983" s="7">
        <f>IFERROR(__xludf.DUMMYFUNCTION("""COMPUTED_VALUE"""),7.787216)</f>
        <v>7.787216</v>
      </c>
      <c r="D5983" s="7">
        <f>IFERROR(__xludf.DUMMYFUNCTION("""COMPUTED_VALUE"""),0.411764705882352)</f>
        <v>0.4117647059</v>
      </c>
    </row>
    <row r="5984">
      <c r="A5984" s="10" t="s">
        <v>7423</v>
      </c>
      <c r="B5984" s="7" t="str">
        <f>IFERROR(__xludf.DUMMYFUNCTION("SPLIT(A5984,"" "")"),"CC1CC(C)(C)C(C)C=C1N(Cc1ccccn1)Cc1ccccn1")</f>
        <v>CC1CC(C)(C)C(C)C=C1N(Cc1ccccn1)Cc1ccccn1</v>
      </c>
      <c r="C5984" s="7">
        <f>IFERROR(__xludf.DUMMYFUNCTION("""COMPUTED_VALUE"""),7.787214)</f>
        <v>7.787214</v>
      </c>
      <c r="D5984" s="7">
        <f>IFERROR(__xludf.DUMMYFUNCTION("""COMPUTED_VALUE"""),0.416666666666666)</f>
        <v>0.4166666667</v>
      </c>
    </row>
    <row r="5985">
      <c r="A5985" s="10" t="s">
        <v>7424</v>
      </c>
      <c r="B5985" s="7" t="str">
        <f>IFERROR(__xludf.DUMMYFUNCTION("SPLIT(A5985,"" "")"),"Cc1cc(C)c(CN(C)C2CCC(N(Cc3ccnc(C(C)C)c3)Cc3ccccn3)CC2)nc1C")</f>
        <v>Cc1cc(C)c(CN(C)C2CCC(N(Cc3ccnc(C(C)C)c3)Cc3ccccn3)CC2)nc1C</v>
      </c>
      <c r="C5985" s="7">
        <f>IFERROR(__xludf.DUMMYFUNCTION("""COMPUTED_VALUE"""),7.787213)</f>
        <v>7.787213</v>
      </c>
      <c r="D5985" s="7">
        <f>IFERROR(__xludf.DUMMYFUNCTION("""COMPUTED_VALUE"""),0.359375)</f>
        <v>0.359375</v>
      </c>
    </row>
    <row r="5986">
      <c r="A5986" s="10" t="s">
        <v>7425</v>
      </c>
      <c r="B5986" s="7" t="str">
        <f>IFERROR(__xludf.DUMMYFUNCTION("SPLIT(A5986,"" "")"),"CN(Cc1ncccc1-c1ccc2c(c1)OCCOCCOCCOCCOCCO2)C1CCCC(N(C)c2ccc3nccc(CF)c3c2)C1")</f>
        <v>CN(Cc1ncccc1-c1ccc2c(c1)OCCOCCOCCOCCOCCO2)C1CCCC(N(C)c2ccc3nccc(CF)c3c2)C1</v>
      </c>
      <c r="C5986" s="7">
        <f>IFERROR(__xludf.DUMMYFUNCTION("""COMPUTED_VALUE"""),7.7872047)</f>
        <v>7.7872047</v>
      </c>
      <c r="D5986" s="7">
        <f>IFERROR(__xludf.DUMMYFUNCTION("""COMPUTED_VALUE"""),0.295454545454545)</f>
        <v>0.2954545455</v>
      </c>
    </row>
    <row r="5987">
      <c r="A5987" s="10" t="s">
        <v>7426</v>
      </c>
      <c r="B5987" s="7" t="str">
        <f>IFERROR(__xludf.DUMMYFUNCTION("SPLIT(A5987,"" "")"),"CC1=CC(C)C2(C=C(C)C3(C=CC4(CC(C)C(C)=CC45CC(C)=CCC5C)C(c4ncccc4CN(Cc4ccccn4)Cc4ccccn4)C34CC(C)=CCC4C)C3(CC=C(C)C(C)C3)C2)CC1")</f>
        <v>CC1=CC(C)C2(C=C(C)C3(C=CC4(CC(C)C(C)=CC45CC(C)=CCC5C)C(c4ncccc4CN(Cc4ccccn4)Cc4ccccn4)C34CC(C)=CCC4C)C3(CC=C(C)C(C)C3)C2)CC1</v>
      </c>
      <c r="C5987" s="7">
        <f>IFERROR(__xludf.DUMMYFUNCTION("""COMPUTED_VALUE"""),7.7872043)</f>
        <v>7.7872043</v>
      </c>
      <c r="D5987" s="7">
        <f>IFERROR(__xludf.DUMMYFUNCTION("""COMPUTED_VALUE"""),0.229166666666666)</f>
        <v>0.2291666667</v>
      </c>
    </row>
    <row r="5988">
      <c r="A5988" s="10" t="s">
        <v>7427</v>
      </c>
      <c r="B5988" s="7" t="str">
        <f>IFERROR(__xludf.DUMMYFUNCTION("SPLIT(A5988,"" "")"),"CC(N=Cc1ccccn1)C(C)c1cccc(C2CCC2(C)C)n1")</f>
        <v>CC(N=Cc1ccccn1)C(C)c1cccc(C2CCC2(C)C)n1</v>
      </c>
      <c r="C5988" s="7">
        <f>IFERROR(__xludf.DUMMYFUNCTION("""COMPUTED_VALUE"""),7.787204)</f>
        <v>7.787204</v>
      </c>
      <c r="D5988" s="7">
        <f>IFERROR(__xludf.DUMMYFUNCTION("""COMPUTED_VALUE"""),0.333333333333333)</f>
        <v>0.3333333333</v>
      </c>
    </row>
    <row r="5989">
      <c r="A5989" s="10" t="s">
        <v>7428</v>
      </c>
      <c r="B5989" s="7" t="str">
        <f>IFERROR(__xludf.DUMMYFUNCTION("SPLIT(A5989,"" "")"),"CN1CCN(C)CCN(Cc2cccnc2-c2c(N)cccc2Cl)CC1")</f>
        <v>CN1CCN(C)CCN(Cc2cccnc2-c2c(N)cccc2Cl)CC1</v>
      </c>
      <c r="C5989" s="7">
        <f>IFERROR(__xludf.DUMMYFUNCTION("""COMPUTED_VALUE"""),7.787203)</f>
        <v>7.787203</v>
      </c>
      <c r="D5989" s="7">
        <f>IFERROR(__xludf.DUMMYFUNCTION("""COMPUTED_VALUE"""),0.428571428571428)</f>
        <v>0.4285714286</v>
      </c>
    </row>
    <row r="5990">
      <c r="A5990" s="10" t="s">
        <v>7429</v>
      </c>
      <c r="B5990" s="7" t="str">
        <f>IFERROR(__xludf.DUMMYFUNCTION("SPLIT(A5990,"" "")"),"CC1=CC(c2cccc(CN(C)C3CCC(N(C)Cc4ccc5ncccc5c4)CC3)n2)C(C)C(N(C)Cc2ccccn2)C1C")</f>
        <v>CC1=CC(c2cccc(CN(C)C3CCC(N(C)Cc4ccc5ncccc5c4)CC3)n2)C(C)C(N(C)Cc2ccccn2)C1C</v>
      </c>
      <c r="C5990" s="7">
        <f>IFERROR(__xludf.DUMMYFUNCTION("""COMPUTED_VALUE"""),7.7871976)</f>
        <v>7.7871976</v>
      </c>
      <c r="D5990" s="7">
        <f>IFERROR(__xludf.DUMMYFUNCTION("""COMPUTED_VALUE"""),0.347826086956521)</f>
        <v>0.347826087</v>
      </c>
    </row>
    <row r="5991">
      <c r="A5991" s="10" t="s">
        <v>7430</v>
      </c>
      <c r="B5991" s="7" t="str">
        <f>IFERROR(__xludf.DUMMYFUNCTION("SPLIT(A5991,"" "")"),"Cc1cc(C)c(CN(C)C2CCCC(N(Cc3ccccn3)Cc3nc(C)c(C)c(C)c3C)C2)cn1")</f>
        <v>Cc1cc(C)c(CN(C)C2CCCC(N(Cc3ccccn3)Cc3nc(C)c(C)c(C)c3C)C2)cn1</v>
      </c>
      <c r="C5991" s="7">
        <f>IFERROR(__xludf.DUMMYFUNCTION("""COMPUTED_VALUE"""),7.7871933)</f>
        <v>7.7871933</v>
      </c>
      <c r="D5991" s="7">
        <f>IFERROR(__xludf.DUMMYFUNCTION("""COMPUTED_VALUE"""),0.375)</f>
        <v>0.375</v>
      </c>
    </row>
    <row r="5992">
      <c r="A5992" s="10" t="s">
        <v>7431</v>
      </c>
      <c r="B5992" s="7" t="str">
        <f>IFERROR(__xludf.DUMMYFUNCTION("SPLIT(A5992,"" "")"),"CN1CCN(Cc2cccc(C(C)(C)c3ccccn3)n2)CCN(Cc2cccc(C(C)(C)c3cccc(C4CCC4(C)C)n3)n2)CC1")</f>
        <v>CN1CCN(Cc2cccc(C(C)(C)c3ccccn3)n2)CCN(Cc2cccc(C(C)(C)c3cccc(C4CCC4(C)C)n3)n2)CC1</v>
      </c>
      <c r="C5992" s="7">
        <f>IFERROR(__xludf.DUMMYFUNCTION("""COMPUTED_VALUE"""),7.7871866)</f>
        <v>7.7871866</v>
      </c>
      <c r="D5992" s="7">
        <f>IFERROR(__xludf.DUMMYFUNCTION("""COMPUTED_VALUE"""),0.464285714285714)</f>
        <v>0.4642857143</v>
      </c>
    </row>
    <row r="5993">
      <c r="A5993" s="10" t="s">
        <v>7432</v>
      </c>
      <c r="B5993" s="7" t="str">
        <f>IFERROR(__xludf.DUMMYFUNCTION("SPLIT(A5993,"" "")"),"CN(CCF)C1CCCCC1N(C)c1ccc2c(CF)ccnc2c1")</f>
        <v>CN(CCF)C1CCCCC1N(C)c1ccc2c(CF)ccnc2c1</v>
      </c>
      <c r="C5993" s="7">
        <f>IFERROR(__xludf.DUMMYFUNCTION("""COMPUTED_VALUE"""),7.787183)</f>
        <v>7.787183</v>
      </c>
      <c r="D5993" s="7">
        <f>IFERROR(__xludf.DUMMYFUNCTION("""COMPUTED_VALUE"""),0.344262295081967)</f>
        <v>0.3442622951</v>
      </c>
    </row>
    <row r="5994">
      <c r="A5994" s="10" t="s">
        <v>7433</v>
      </c>
      <c r="B5994" s="7" t="str">
        <f>IFERROR(__xludf.DUMMYFUNCTION("SPLIT(A5994,"" "")"),"CC(C)N(Cc1ccccn1)Cc1cc(N(C)Cc2cccc(-c3ccc4c(c3)OCCOCCOCCOCCOCCO4)n2)ccn1")</f>
        <v>CC(C)N(Cc1ccccn1)Cc1cc(N(C)Cc2cccc(-c3ccc4c(c3)OCCOCCOCCOCCOCCO4)n2)ccn1</v>
      </c>
      <c r="C5994" s="7">
        <f>IFERROR(__xludf.DUMMYFUNCTION("""COMPUTED_VALUE"""),7.787168)</f>
        <v>7.787168</v>
      </c>
      <c r="D5994" s="7">
        <f>IFERROR(__xludf.DUMMYFUNCTION("""COMPUTED_VALUE"""),0.388888888888888)</f>
        <v>0.3888888889</v>
      </c>
    </row>
    <row r="5995">
      <c r="A5995" s="10" t="s">
        <v>7434</v>
      </c>
      <c r="B5995" s="7" t="str">
        <f>IFERROR(__xludf.DUMMYFUNCTION("SPLIT(A5995,"" "")"),"Cc1ccc(CN(Cc2ncccc2C)C2CCCCC2N(C)Cc2ncccc2C(C)(c2ccccn2)C(C)C)nc1")</f>
        <v>Cc1ccc(CN(Cc2ncccc2C)C2CCCCC2N(C)Cc2ncccc2C(C)(c2ccccn2)C(C)C)nc1</v>
      </c>
      <c r="C5995" s="7">
        <f>IFERROR(__xludf.DUMMYFUNCTION("""COMPUTED_VALUE"""),7.7871647)</f>
        <v>7.7871647</v>
      </c>
      <c r="D5995" s="7">
        <f>IFERROR(__xludf.DUMMYFUNCTION("""COMPUTED_VALUE"""),0.461538461538461)</f>
        <v>0.4615384615</v>
      </c>
    </row>
    <row r="5996">
      <c r="A5996" s="10" t="s">
        <v>7435</v>
      </c>
      <c r="B5996" s="7" t="str">
        <f>IFERROR(__xludf.DUMMYFUNCTION("SPLIT(A5996,"" "")"),"Cc1cncc(CN(C)C2CCCC(N(C)CC3=CCC(N(C)Cc4nc(C)c(C)cc4C)=CN3)C2)c1")</f>
        <v>Cc1cncc(CN(C)C2CCCC(N(C)CC3=CCC(N(C)Cc4nc(C)c(C)cc4C)=CN3)C2)c1</v>
      </c>
      <c r="C5996" s="7">
        <f>IFERROR(__xludf.DUMMYFUNCTION("""COMPUTED_VALUE"""),7.7871513)</f>
        <v>7.7871513</v>
      </c>
      <c r="D5996" s="7">
        <f>IFERROR(__xludf.DUMMYFUNCTION("""COMPUTED_VALUE"""),0.21917808219178)</f>
        <v>0.2191780822</v>
      </c>
    </row>
    <row r="5997">
      <c r="A5997" s="10" t="s">
        <v>7436</v>
      </c>
      <c r="B5997" s="7" t="str">
        <f>IFERROR(__xludf.DUMMYFUNCTION("SPLIT(A5997,"" "")"),"Cc1ccc(N(C)Cc2cccc(-c3ccc4c(c3)OCCOCCOCCOCCOCCO4)n2)c(C)c1")</f>
        <v>Cc1ccc(N(C)Cc2cccc(-c3ccc4c(c3)OCCOCCOCCOCCOCCO4)n2)c(C)c1</v>
      </c>
      <c r="C5997" s="7">
        <f>IFERROR(__xludf.DUMMYFUNCTION("""COMPUTED_VALUE"""),7.787146)</f>
        <v>7.787146</v>
      </c>
      <c r="D5997" s="7">
        <f>IFERROR(__xludf.DUMMYFUNCTION("""COMPUTED_VALUE"""),0.323943661971831)</f>
        <v>0.323943662</v>
      </c>
    </row>
    <row r="5998">
      <c r="A5998" s="10" t="s">
        <v>7437</v>
      </c>
      <c r="B5998" s="7" t="str">
        <f>IFERROR(__xludf.DUMMYFUNCTION("SPLIT(A5998,"" "")"),"CC(C)N(CCN(C)C(c1ccccc1)c1ccccn1)Cc1cccnc1")</f>
        <v>CC(C)N(CCN(C)C(c1ccccc1)c1ccccn1)Cc1cccnc1</v>
      </c>
      <c r="C5998" s="7">
        <f>IFERROR(__xludf.DUMMYFUNCTION("""COMPUTED_VALUE"""),7.787144)</f>
        <v>7.787144</v>
      </c>
      <c r="D5998" s="7">
        <f>IFERROR(__xludf.DUMMYFUNCTION("""COMPUTED_VALUE"""),0.44)</f>
        <v>0.44</v>
      </c>
    </row>
    <row r="5999">
      <c r="A5999" s="10" t="s">
        <v>7438</v>
      </c>
      <c r="B5999" s="7" t="str">
        <f>IFERROR(__xludf.DUMMYFUNCTION("SPLIT(A5999,"" "")"),"CC1C=CC(Cl)C(SCc2ccccn2)C1SCc1ccccn1")</f>
        <v>CC1C=CC(Cl)C(SCc2ccccn2)C1SCc1ccccn1</v>
      </c>
      <c r="C5999" s="7">
        <f>IFERROR(__xludf.DUMMYFUNCTION("""COMPUTED_VALUE"""),7.7871366)</f>
        <v>7.7871366</v>
      </c>
      <c r="D5999" s="7">
        <f>IFERROR(__xludf.DUMMYFUNCTION("""COMPUTED_VALUE"""),0.425)</f>
        <v>0.425</v>
      </c>
    </row>
    <row r="6000">
      <c r="A6000" s="10" t="s">
        <v>7439</v>
      </c>
      <c r="B6000" s="7" t="str">
        <f>IFERROR(__xludf.DUMMYFUNCTION("SPLIT(A6000,"" "")"),"Cc1nc(CN(C)C2CCCC(N(Cc3ccccn3)Cc3cccnc3CN(C)C)C2)c(C)c(C)c1C")</f>
        <v>Cc1nc(CN(C)C2CCCC(N(Cc3ccccn3)Cc3cccnc3CN(C)C)C2)c(C)c(C)c1C</v>
      </c>
      <c r="C6000" s="7">
        <f>IFERROR(__xludf.DUMMYFUNCTION("""COMPUTED_VALUE"""),7.7871256)</f>
        <v>7.7871256</v>
      </c>
      <c r="D6000" s="7">
        <f>IFERROR(__xludf.DUMMYFUNCTION("""COMPUTED_VALUE"""),0.387096774193548)</f>
        <v>0.3870967742</v>
      </c>
    </row>
    <row r="6001">
      <c r="A6001" s="10" t="s">
        <v>7440</v>
      </c>
      <c r="B6001" s="7" t="str">
        <f>IFERROR(__xludf.DUMMYFUNCTION("SPLIT(A6001,"" "")"),"CNC1NC=CC=C1N(C)C")</f>
        <v>CNC1NC=CC=C1N(C)C</v>
      </c>
      <c r="C6001" s="7">
        <f>IFERROR(__xludf.DUMMYFUNCTION("""COMPUTED_VALUE"""),7.787119)</f>
        <v>7.787119</v>
      </c>
      <c r="D6001" s="7">
        <f>IFERROR(__xludf.DUMMYFUNCTION("""COMPUTED_VALUE"""),0.176470588235294)</f>
        <v>0.1764705882</v>
      </c>
    </row>
    <row r="6002">
      <c r="A6002" s="10" t="s">
        <v>7441</v>
      </c>
      <c r="B6002" s="7" t="str">
        <f>IFERROR(__xludf.DUMMYFUNCTION("SPLIT(A6002,"" "")"),"COC(=O)C1CC(C(C)C)C(=O)N(C)C1C(=O)C(C)NCc1ccccn1")</f>
        <v>COC(=O)C1CC(C(C)C)C(=O)N(C)C1C(=O)C(C)NCc1ccccn1</v>
      </c>
      <c r="C6002" s="7">
        <f>IFERROR(__xludf.DUMMYFUNCTION("""COMPUTED_VALUE"""),7.787108)</f>
        <v>7.787108</v>
      </c>
      <c r="D6002" s="7">
        <f>IFERROR(__xludf.DUMMYFUNCTION("""COMPUTED_VALUE"""),0.315068493150684)</f>
        <v>0.3150684932</v>
      </c>
    </row>
    <row r="6003">
      <c r="A6003" s="10" t="s">
        <v>7442</v>
      </c>
      <c r="B6003" s="7" t="str">
        <f>IFERROR(__xludf.DUMMYFUNCTION("SPLIT(A6003,"" "")"),"CC(C)C1=CC2(C=CN1)C=CC(c1cccc(CN(Cc3ccccn3)Cc3ccccn3)n1)C(c1cccc(CN(Cc3ccccn3)C3CCCCC3)n1)C2(C)C")</f>
        <v>CC(C)C1=CC2(C=CN1)C=CC(c1cccc(CN(Cc3ccccn3)Cc3ccccn3)n1)C(c1cccc(CN(Cc3ccccn3)C3CCCCC3)n1)C2(C)C</v>
      </c>
      <c r="C6003" s="7">
        <f>IFERROR(__xludf.DUMMYFUNCTION("""COMPUTED_VALUE"""),7.7871075)</f>
        <v>7.7871075</v>
      </c>
      <c r="D6003" s="7">
        <f>IFERROR(__xludf.DUMMYFUNCTION("""COMPUTED_VALUE"""),0.306666666666666)</f>
        <v>0.3066666667</v>
      </c>
    </row>
    <row r="6004">
      <c r="A6004" s="10" t="s">
        <v>7443</v>
      </c>
      <c r="B6004" s="7" t="str">
        <f>IFERROR(__xludf.DUMMYFUNCTION("SPLIT(A6004,"" "")"),"Cc1ccc(CN(C)C2CCCC(N(Cc3ccccn3)Cc3cc(C)c(C)c(C)n3)C2N(C)Cc2ccccn2)nc1")</f>
        <v>Cc1ccc(CN(C)C2CCCC(N(Cc3ccccn3)Cc3cc(C)c(C)c(C)n3)C2N(C)Cc2ccccn2)nc1</v>
      </c>
      <c r="C6004" s="7">
        <f>IFERROR(__xludf.DUMMYFUNCTION("""COMPUTED_VALUE"""),7.7871056)</f>
        <v>7.7871056</v>
      </c>
      <c r="D6004" s="7">
        <f>IFERROR(__xludf.DUMMYFUNCTION("""COMPUTED_VALUE"""),0.5)</f>
        <v>0.5</v>
      </c>
    </row>
    <row r="6005">
      <c r="A6005" s="10" t="s">
        <v>7444</v>
      </c>
      <c r="B6005" s="7" t="str">
        <f>IFERROR(__xludf.DUMMYFUNCTION("SPLIT(A6005,"" "")"),"CC(C)C(C)(c1cccnc1)N(Cc1cc(-c2ccc3c(c2)OCCOCCOCCOCCOCCO3)ccn1)Cc1cc(C(C)(C)c2ccccn2)ccn1")</f>
        <v>CC(C)C(C)(c1cccnc1)N(Cc1cc(-c2ccc3c(c2)OCCOCCOCCOCCOCCO3)ccn1)Cc1cc(C(C)(C)c2ccccn2)ccn1</v>
      </c>
      <c r="C6005" s="7">
        <f>IFERROR(__xludf.DUMMYFUNCTION("""COMPUTED_VALUE"""),7.787105)</f>
        <v>7.787105</v>
      </c>
      <c r="D6005" s="7">
        <f>IFERROR(__xludf.DUMMYFUNCTION("""COMPUTED_VALUE"""),0.309523809523809)</f>
        <v>0.3095238095</v>
      </c>
    </row>
    <row r="6006">
      <c r="A6006" s="10" t="s">
        <v>7445</v>
      </c>
      <c r="B6006" s="7" t="str">
        <f>IFERROR(__xludf.DUMMYFUNCTION("SPLIT(A6006,"" "")"),"Fc1ccccc1N(Cc1ccccn1)C1CCCCC1N(Cc1ccccn1)Cc1ncccc1F")</f>
        <v>Fc1ccccc1N(Cc1ccccn1)C1CCCCC1N(Cc1ccccn1)Cc1ncccc1F</v>
      </c>
      <c r="C6006" s="7">
        <f>IFERROR(__xludf.DUMMYFUNCTION("""COMPUTED_VALUE"""),7.787102)</f>
        <v>7.787102</v>
      </c>
      <c r="D6006" s="7">
        <f>IFERROR(__xludf.DUMMYFUNCTION("""COMPUTED_VALUE"""),0.461538461538461)</f>
        <v>0.4615384615</v>
      </c>
    </row>
    <row r="6007">
      <c r="A6007" s="10" t="s">
        <v>7446</v>
      </c>
      <c r="B6007" s="7" t="str">
        <f>IFERROR(__xludf.DUMMYFUNCTION("SPLIT(A6007,"" "")"),"Cc1ccncc1CN(C)CCN(C)Cc1cnccc1C")</f>
        <v>Cc1ccncc1CN(C)CCN(C)Cc1cnccc1C</v>
      </c>
      <c r="C6007" s="7">
        <f>IFERROR(__xludf.DUMMYFUNCTION("""COMPUTED_VALUE"""),7.7870965)</f>
        <v>7.7870965</v>
      </c>
      <c r="D6007" s="7">
        <f>IFERROR(__xludf.DUMMYFUNCTION("""COMPUTED_VALUE"""),0.416666666666666)</f>
        <v>0.4166666667</v>
      </c>
    </row>
    <row r="6008">
      <c r="A6008" s="10" t="s">
        <v>7447</v>
      </c>
      <c r="B6008" s="7" t="str">
        <f>IFERROR(__xludf.DUMMYFUNCTION("SPLIT(A6008,"" "")"),"Cc1ccc(C)c(CN(CCN(C)CCF)Cc2nc(C)ccc2C)n1")</f>
        <v>Cc1ccc(C)c(CN(CCN(C)CCF)Cc2nc(C)ccc2C)n1</v>
      </c>
      <c r="C6008" s="7">
        <f>IFERROR(__xludf.DUMMYFUNCTION("""COMPUTED_VALUE"""),7.7870955)</f>
        <v>7.7870955</v>
      </c>
      <c r="D6008" s="7">
        <f>IFERROR(__xludf.DUMMYFUNCTION("""COMPUTED_VALUE"""),0.414634146341463)</f>
        <v>0.4146341463</v>
      </c>
    </row>
    <row r="6009">
      <c r="A6009" s="10" t="s">
        <v>7448</v>
      </c>
      <c r="B6009" s="7" t="str">
        <f>IFERROR(__xludf.DUMMYFUNCTION("SPLIT(A6009,"" "")"),"Cc1ccc(CN(C)C2=CNC=CC2CN(C)C(C)C)nc1")</f>
        <v>Cc1ccc(CN(C)C2=CNC=CC2CN(C)C(C)C)nc1</v>
      </c>
      <c r="C6009" s="7">
        <f>IFERROR(__xludf.DUMMYFUNCTION("""COMPUTED_VALUE"""),7.7870946)</f>
        <v>7.7870946</v>
      </c>
      <c r="D6009" s="7">
        <f>IFERROR(__xludf.DUMMYFUNCTION("""COMPUTED_VALUE"""),0.4)</f>
        <v>0.4</v>
      </c>
    </row>
    <row r="6010">
      <c r="A6010" s="10" t="s">
        <v>7449</v>
      </c>
      <c r="B6010" s="7" t="str">
        <f>IFERROR(__xludf.DUMMYFUNCTION("SPLIT(A6010,"" "")"),"CCCN(Cc1ccccn1)Cc1cccc(CN(Cc2ccccn2)Cc2cccc(CN(Cc3cccc(-c4cccc5c4OCCOCCOCCOCCOCCO5)n3)C(C)(C)c3ccccn3)n2)n1")</f>
        <v>CCCN(Cc1ccccn1)Cc1cccc(CN(Cc2ccccn2)Cc2cccc(CN(Cc3cccc(-c4cccc5c4OCCOCCOCCOCCOCCO5)n3)C(C)(C)c3ccccn3)n2)n1</v>
      </c>
      <c r="C6010" s="7">
        <f>IFERROR(__xludf.DUMMYFUNCTION("""COMPUTED_VALUE"""),7.787091)</f>
        <v>7.787091</v>
      </c>
      <c r="D6010" s="7">
        <f>IFERROR(__xludf.DUMMYFUNCTION("""COMPUTED_VALUE"""),0.35064935064935)</f>
        <v>0.3506493506</v>
      </c>
    </row>
    <row r="6011">
      <c r="A6011" s="10" t="s">
        <v>7450</v>
      </c>
      <c r="B6011" s="7" t="str">
        <f>IFERROR(__xludf.DUMMYFUNCTION("SPLIT(A6011,"" "")"),"Cc1cnc(CN(C)C2CCC(N(Cc3ccccn3)Cc3nc(C)c(C)c(C)c3C)CC2)c(C)c1")</f>
        <v>Cc1cnc(CN(C)C2CCC(N(Cc3ccccn3)Cc3nc(C)c(C)c(C)c3C)CC2)c(C)c1</v>
      </c>
      <c r="C6011" s="7">
        <f>IFERROR(__xludf.DUMMYFUNCTION("""COMPUTED_VALUE"""),7.7870893)</f>
        <v>7.7870893</v>
      </c>
      <c r="D6011" s="7">
        <f>IFERROR(__xludf.DUMMYFUNCTION("""COMPUTED_VALUE"""),0.377049180327868)</f>
        <v>0.3770491803</v>
      </c>
    </row>
    <row r="6012">
      <c r="A6012" s="10" t="s">
        <v>7451</v>
      </c>
      <c r="B6012" s="7" t="str">
        <f>IFERROR(__xludf.DUMMYFUNCTION("SPLIT(A6012,"" "")"),"CNCc1ncc(CN(Cc2ccccn2)C2CCCC(N(C)Cc3nc(C)c(C)c(C)c3C)C2)c(C)c1C")</f>
        <v>CNCc1ncc(CN(Cc2ccccn2)C2CCCC(N(C)Cc3nc(C)c(C)c(C)c3C)C2)c(C)c1C</v>
      </c>
      <c r="C6012" s="7">
        <f>IFERROR(__xludf.DUMMYFUNCTION("""COMPUTED_VALUE"""),7.7870784)</f>
        <v>7.7870784</v>
      </c>
      <c r="D6012" s="7">
        <f>IFERROR(__xludf.DUMMYFUNCTION("""COMPUTED_VALUE"""),0.363636363636363)</f>
        <v>0.3636363636</v>
      </c>
    </row>
    <row r="6013">
      <c r="A6013" s="10" t="s">
        <v>7452</v>
      </c>
      <c r="B6013" s="7" t="str">
        <f>IFERROR(__xludf.DUMMYFUNCTION("SPLIT(A6013,"" "")"),"CCNCCN(C)Cc1cc(C)c(C)c(C)n1")</f>
        <v>CCNCCN(C)Cc1cc(C)c(C)c(C)n1</v>
      </c>
      <c r="C6013" s="7">
        <f>IFERROR(__xludf.DUMMYFUNCTION("""COMPUTED_VALUE"""),7.787074)</f>
        <v>7.787074</v>
      </c>
      <c r="D6013" s="7">
        <f>IFERROR(__xludf.DUMMYFUNCTION("""COMPUTED_VALUE"""),0.34090909090909)</f>
        <v>0.3409090909</v>
      </c>
    </row>
    <row r="6014">
      <c r="A6014" s="10" t="s">
        <v>7453</v>
      </c>
      <c r="B6014" s="7" t="str">
        <f>IFERROR(__xludf.DUMMYFUNCTION("SPLIT(A6014,"" "")"),"CCCN(Cc1ccccn1)c1cc2c(c(-c3cccc(CN(Cc4ccccn4)Cc4ccc(F)cn4)n3)c1)OCCOCCOCCOCCOCCO2")</f>
        <v>CCCN(Cc1ccccn1)c1cc2c(c(-c3cccc(CN(Cc4ccccn4)Cc4ccc(F)cn4)n3)c1)OCCOCCOCCOCCOCCO2</v>
      </c>
      <c r="C6014" s="7">
        <f>IFERROR(__xludf.DUMMYFUNCTION("""COMPUTED_VALUE"""),7.7870717)</f>
        <v>7.7870717</v>
      </c>
      <c r="D6014" s="7">
        <f>IFERROR(__xludf.DUMMYFUNCTION("""COMPUTED_VALUE"""),0.358974358974359)</f>
        <v>0.358974359</v>
      </c>
    </row>
    <row r="6015">
      <c r="A6015" s="10" t="s">
        <v>7454</v>
      </c>
      <c r="B6015" s="7" t="str">
        <f>IFERROR(__xludf.DUMMYFUNCTION("SPLIT(A6015,"" "")"),"Cc1cnc(CN(CCN(C)C(C)C)Cc2ncccc2C)c(C)c1")</f>
        <v>Cc1cnc(CN(CCN(C)C(C)C)Cc2ncccc2C)c(C)c1</v>
      </c>
      <c r="C6015" s="7">
        <f>IFERROR(__xludf.DUMMYFUNCTION("""COMPUTED_VALUE"""),7.787054)</f>
        <v>7.787054</v>
      </c>
      <c r="D6015" s="7">
        <f>IFERROR(__xludf.DUMMYFUNCTION("""COMPUTED_VALUE"""),0.333333333333333)</f>
        <v>0.3333333333</v>
      </c>
    </row>
    <row r="6016">
      <c r="A6016" s="10" t="s">
        <v>7455</v>
      </c>
      <c r="B6016" s="7" t="str">
        <f>IFERROR(__xludf.DUMMYFUNCTION("SPLIT(A6016,"" "")"),"Cc1cccc(N(C)C2CC(N(C)Cc3ccccn3)CC(N(Cc3ccccn3)C(C)C)C2)c1C")</f>
        <v>Cc1cccc(N(C)C2CC(N(C)Cc3ccccn3)CC(N(Cc3ccccn3)C(C)C)C2)c1C</v>
      </c>
      <c r="C6016" s="7">
        <f>IFERROR(__xludf.DUMMYFUNCTION("""COMPUTED_VALUE"""),7.787046)</f>
        <v>7.787046</v>
      </c>
      <c r="D6016" s="7">
        <f>IFERROR(__xludf.DUMMYFUNCTION("""COMPUTED_VALUE"""),0.410714285714285)</f>
        <v>0.4107142857</v>
      </c>
    </row>
    <row r="6017">
      <c r="A6017" s="10" t="s">
        <v>7456</v>
      </c>
      <c r="B6017" s="7" t="str">
        <f>IFERROR(__xludf.DUMMYFUNCTION("SPLIT(A6017,"" "")"),"CCOC(=O)c1cccc(CN(Cc2ccccn2)Cc2cccc(-c3ccc4c(c3)OCCOCCOCCOCCOCCO4)n2)n1")</f>
        <v>CCOC(=O)c1cccc(CN(Cc2ccccn2)Cc2cccc(-c3ccc4c(c3)OCCOCCOCCOCCOCCO4)n2)n1</v>
      </c>
      <c r="C6017" s="7">
        <f>IFERROR(__xludf.DUMMYFUNCTION("""COMPUTED_VALUE"""),7.7870383)</f>
        <v>7.7870383</v>
      </c>
      <c r="D6017" s="7">
        <f>IFERROR(__xludf.DUMMYFUNCTION("""COMPUTED_VALUE"""),0.463768115942029)</f>
        <v>0.4637681159</v>
      </c>
    </row>
    <row r="6018">
      <c r="A6018" s="10" t="s">
        <v>7457</v>
      </c>
      <c r="B6018" s="7" t="str">
        <f>IFERROR(__xludf.DUMMYFUNCTION("SPLIT(A6018,"" "")"),"CN(C)Cc1ccc(N(C)Cc2cccc(-c3ccc4c(c3)OCCOCCOCCOCCOCCO4)n2)cn1")</f>
        <v>CN(C)Cc1ccc(N(C)Cc2cccc(-c3ccc4c(c3)OCCOCCOCCOCCOCCO4)n2)cn1</v>
      </c>
      <c r="C6018" s="7">
        <f>IFERROR(__xludf.DUMMYFUNCTION("""COMPUTED_VALUE"""),7.787027)</f>
        <v>7.787027</v>
      </c>
      <c r="D6018" s="7">
        <f>IFERROR(__xludf.DUMMYFUNCTION("""COMPUTED_VALUE"""),0.397058823529411)</f>
        <v>0.3970588235</v>
      </c>
    </row>
    <row r="6019">
      <c r="A6019" s="10" t="s">
        <v>7458</v>
      </c>
      <c r="B6019" s="7" t="str">
        <f>IFERROR(__xludf.DUMMYFUNCTION("SPLIT(A6019,"" "")"),"Cc1cncc(CN(C)C2CCC(N(C)Cc3ccccn3)CC2N(Cc2ccccn2)Cc2ncc(C)c(C)c2C)c1")</f>
        <v>Cc1cncc(CN(C)C2CCC(N(C)Cc3ccccn3)CC2N(Cc2ccccn2)Cc2ncc(C)c(C)c2C)c1</v>
      </c>
      <c r="C6019" s="7">
        <f>IFERROR(__xludf.DUMMYFUNCTION("""COMPUTED_VALUE"""),7.7870226)</f>
        <v>7.7870226</v>
      </c>
      <c r="D6019" s="7">
        <f>IFERROR(__xludf.DUMMYFUNCTION("""COMPUTED_VALUE"""),0.428571428571428)</f>
        <v>0.4285714286</v>
      </c>
    </row>
    <row r="6020">
      <c r="A6020" s="10" t="s">
        <v>7459</v>
      </c>
      <c r="B6020" s="7" t="str">
        <f>IFERROR(__xludf.DUMMYFUNCTION("SPLIT(A6020,"" "")"),"Cc1ccccc1N(Cc1ccccn1)C1CCC(N(C)Cc2ncccc2C)CC1")</f>
        <v>Cc1ccccc1N(Cc1ccccn1)C1CCC(N(C)Cc2ncccc2C)CC1</v>
      </c>
      <c r="C6020" s="7">
        <f>IFERROR(__xludf.DUMMYFUNCTION("""COMPUTED_VALUE"""),7.7870135)</f>
        <v>7.7870135</v>
      </c>
      <c r="D6020" s="7">
        <f>IFERROR(__xludf.DUMMYFUNCTION("""COMPUTED_VALUE"""),0.450980392156862)</f>
        <v>0.4509803922</v>
      </c>
    </row>
    <row r="6021">
      <c r="A6021" s="10" t="s">
        <v>7460</v>
      </c>
      <c r="B6021" s="7" t="str">
        <f>IFERROR(__xludf.DUMMYFUNCTION("SPLIT(A6021,"" "")"),"Cc1cc(CN(C)C2CC(N(C)Cc3cc(C)c(C)cn3)CC(N(C)Cc3nc(C)ccc3C)C2)ccn1")</f>
        <v>Cc1cc(CN(C)C2CC(N(C)Cc3cc(C)c(C)cn3)CC(N(C)Cc3nc(C)ccc3C)C2)ccn1</v>
      </c>
      <c r="C6021" s="7">
        <f>IFERROR(__xludf.DUMMYFUNCTION("""COMPUTED_VALUE"""),7.787012)</f>
        <v>7.787012</v>
      </c>
      <c r="D6021" s="7">
        <f>IFERROR(__xludf.DUMMYFUNCTION("""COMPUTED_VALUE"""),0.311475409836065)</f>
        <v>0.3114754098</v>
      </c>
    </row>
    <row r="6022">
      <c r="A6022" s="10" t="s">
        <v>7461</v>
      </c>
      <c r="B6022" s="7" t="str">
        <f>IFERROR(__xludf.DUMMYFUNCTION("SPLIT(A6022,"" "")"),"CNCc1ncccc1C(C)(C)C")</f>
        <v>CNCc1ncccc1C(C)(C)C</v>
      </c>
      <c r="C6022" s="7">
        <f>IFERROR(__xludf.DUMMYFUNCTION("""COMPUTED_VALUE"""),7.7870092)</f>
        <v>7.7870092</v>
      </c>
      <c r="D6022" s="7">
        <f>IFERROR(__xludf.DUMMYFUNCTION("""COMPUTED_VALUE"""),0.289473684210526)</f>
        <v>0.2894736842</v>
      </c>
    </row>
    <row r="6023">
      <c r="A6023" s="10" t="s">
        <v>7462</v>
      </c>
      <c r="B6023" s="7" t="str">
        <f>IFERROR(__xludf.DUMMYFUNCTION("SPLIT(A6023,"" "")"),"Cc1cnc(CN(C)C2CCCC(N(Cc3ccccn3)Cc3cc(C)c(C)c(C)n3)C2)c(C)c1")</f>
        <v>Cc1cnc(CN(C)C2CCCC(N(Cc3ccccn3)Cc3cc(C)c(C)c(C)n3)C2)c(C)c1</v>
      </c>
      <c r="C6023" s="7">
        <f>IFERROR(__xludf.DUMMYFUNCTION("""COMPUTED_VALUE"""),7.786998)</f>
        <v>7.786998</v>
      </c>
      <c r="D6023" s="7">
        <f>IFERROR(__xludf.DUMMYFUNCTION("""COMPUTED_VALUE"""),0.387096774193548)</f>
        <v>0.3870967742</v>
      </c>
    </row>
    <row r="6024">
      <c r="A6024" s="10" t="s">
        <v>7463</v>
      </c>
      <c r="B6024" s="7" t="str">
        <f>IFERROR(__xludf.DUMMYFUNCTION("SPLIT(A6024,"" "")"),"CC(C)C1(C)COC(c2cccc(CN(Cc3ccccn3)Cc3cccc(-c4ccc5c(c4)OCCOCCOCCOCCOCCO5)n3)n2)=N1")</f>
        <v>CC(C)C1(C)COC(c2cccc(CN(Cc3ccccn3)Cc3cccc(-c4ccc5c(c4)OCCOCCOCCOCCOCCO5)n3)n2)=N1</v>
      </c>
      <c r="C6024" s="7">
        <f>IFERROR(__xludf.DUMMYFUNCTION("""COMPUTED_VALUE"""),7.786992)</f>
        <v>7.786992</v>
      </c>
      <c r="D6024" s="7">
        <f>IFERROR(__xludf.DUMMYFUNCTION("""COMPUTED_VALUE"""),0.436619718309859)</f>
        <v>0.4366197183</v>
      </c>
    </row>
    <row r="6025">
      <c r="A6025" s="10" t="s">
        <v>7464</v>
      </c>
      <c r="B6025" s="7" t="str">
        <f>IFERROR(__xludf.DUMMYFUNCTION("SPLIT(A6025,"" "")"),"Cc1cc(CN(C)C2CCCCC2N(C)Cc2ccc(CN(C)Cc3ncc(C)c(C)c3C)nc2)nc(C)c1C")</f>
        <v>Cc1cc(CN(C)C2CCCCC2N(C)Cc2ccc(CN(C)Cc3ncc(C)c(C)c3C)nc2)nc(C)c1C</v>
      </c>
      <c r="C6025" s="7">
        <f>IFERROR(__xludf.DUMMYFUNCTION("""COMPUTED_VALUE"""),7.7869916)</f>
        <v>7.7869916</v>
      </c>
      <c r="D6025" s="7">
        <f>IFERROR(__xludf.DUMMYFUNCTION("""COMPUTED_VALUE"""),0.473684210526315)</f>
        <v>0.4736842105</v>
      </c>
    </row>
    <row r="6026">
      <c r="A6026" s="10" t="s">
        <v>7465</v>
      </c>
      <c r="B6026" s="7" t="str">
        <f>IFERROR(__xludf.DUMMYFUNCTION("SPLIT(A6026,"" "")"),"Cc1ccc(CN(C)CC2=CC(N(C)C3C=CC=CN3)C=CN2)nc1")</f>
        <v>Cc1ccc(CN(C)CC2=CC(N(C)C3C=CC=CN3)C=CN2)nc1</v>
      </c>
      <c r="C6026" s="7">
        <f>IFERROR(__xludf.DUMMYFUNCTION("""COMPUTED_VALUE"""),7.786988)</f>
        <v>7.786988</v>
      </c>
      <c r="D6026" s="7">
        <f>IFERROR(__xludf.DUMMYFUNCTION("""COMPUTED_VALUE"""),0.423076923076923)</f>
        <v>0.4230769231</v>
      </c>
    </row>
    <row r="6027">
      <c r="A6027" s="10" t="s">
        <v>7466</v>
      </c>
      <c r="B6027" s="7" t="str">
        <f>IFERROR(__xludf.DUMMYFUNCTION("SPLIT(A6027,"" "")"),"CC1=C(N(C)Cc2ccccn2)C(C)C(C)(C)CC1C")</f>
        <v>CC1=C(N(C)Cc2ccccn2)C(C)C(C)(C)CC1C</v>
      </c>
      <c r="C6027" s="7">
        <f>IFERROR(__xludf.DUMMYFUNCTION("""COMPUTED_VALUE"""),7.7869854)</f>
        <v>7.7869854</v>
      </c>
      <c r="D6027" s="7">
        <f>IFERROR(__xludf.DUMMYFUNCTION("""COMPUTED_VALUE"""),0.4375)</f>
        <v>0.4375</v>
      </c>
    </row>
    <row r="6028">
      <c r="A6028" s="10" t="s">
        <v>7467</v>
      </c>
      <c r="B6028" s="7" t="str">
        <f>IFERROR(__xludf.DUMMYFUNCTION("SPLIT(A6028,"" "")"),"Cc1ccc(N(C)Cc2ncccc2-c2ccc3c(c2)OCCOCCOCCOCCOCCO3)cc1C")</f>
        <v>Cc1ccc(N(C)Cc2ncccc2-c2ccc3c(c2)OCCOCCOCCOCCOCCO3)cc1C</v>
      </c>
      <c r="C6028" s="7">
        <f>IFERROR(__xludf.DUMMYFUNCTION("""COMPUTED_VALUE"""),7.786971)</f>
        <v>7.786971</v>
      </c>
      <c r="D6028" s="7">
        <f>IFERROR(__xludf.DUMMYFUNCTION("""COMPUTED_VALUE"""),0.323943661971831)</f>
        <v>0.323943662</v>
      </c>
    </row>
    <row r="6029">
      <c r="A6029" s="10" t="s">
        <v>7468</v>
      </c>
      <c r="B6029" s="7" t="str">
        <f>IFERROR(__xludf.DUMMYFUNCTION("SPLIT(A6029,"" "")"),"CCNCc1ccc(CN(C)Cc2ccccn2)cn1")</f>
        <v>CCNCc1ccc(CN(C)Cc2ccccn2)cn1</v>
      </c>
      <c r="C6029" s="7">
        <f>IFERROR(__xludf.DUMMYFUNCTION("""COMPUTED_VALUE"""),7.7869706)</f>
        <v>7.7869706</v>
      </c>
      <c r="D6029" s="7">
        <f>IFERROR(__xludf.DUMMYFUNCTION("""COMPUTED_VALUE"""),0.458333333333333)</f>
        <v>0.4583333333</v>
      </c>
    </row>
    <row r="6030">
      <c r="A6030" s="10" t="s">
        <v>7469</v>
      </c>
      <c r="B6030" s="7" t="str">
        <f>IFERROR(__xludf.DUMMYFUNCTION("SPLIT(A6030,"" "")"),"CN(CNCc1cccc(C(C)(C)C)n1)C1CCC(N(C)Cc2cc(-c3ccccn3)ccn2)CC1")</f>
        <v>CN(CNCc1cccc(C(C)(C)C)n1)C1CCC(N(C)Cc2cc(-c3ccccn3)ccn2)CC1</v>
      </c>
      <c r="C6030" s="7">
        <f>IFERROR(__xludf.DUMMYFUNCTION("""COMPUTED_VALUE"""),7.786968)</f>
        <v>7.786968</v>
      </c>
      <c r="D6030" s="7">
        <f>IFERROR(__xludf.DUMMYFUNCTION("""COMPUTED_VALUE"""),0.359375)</f>
        <v>0.359375</v>
      </c>
    </row>
    <row r="6031">
      <c r="A6031" s="10" t="s">
        <v>7470</v>
      </c>
      <c r="B6031" s="7" t="str">
        <f>IFERROR(__xludf.DUMMYFUNCTION("SPLIT(A6031,"" "")"),"COC(=O)c1ncccc1CN1CCN(C)CCN(Cc2ncccc2C(C)(C)c2ccccn2)CC1")</f>
        <v>COC(=O)c1ncccc1CN1CCN(C)CCN(Cc2ncccc2C(C)(C)c2ccccn2)CC1</v>
      </c>
      <c r="C6031" s="7">
        <f>IFERROR(__xludf.DUMMYFUNCTION("""COMPUTED_VALUE"""),7.786967)</f>
        <v>7.786967</v>
      </c>
      <c r="D6031" s="7">
        <f>IFERROR(__xludf.DUMMYFUNCTION("""COMPUTED_VALUE"""),0.383333333333333)</f>
        <v>0.3833333333</v>
      </c>
    </row>
    <row r="6032">
      <c r="A6032" s="10" t="s">
        <v>7471</v>
      </c>
      <c r="B6032" s="7" t="str">
        <f>IFERROR(__xludf.DUMMYFUNCTION("SPLIT(A6032,"" "")"),"CC(C)(C)c1ccnc(CN(CNCF)Cc2cc(C(C)(C)C)ccn2)c1")</f>
        <v>CC(C)(C)c1ccnc(CN(CNCF)Cc2cc(C(C)(C)C)ccn2)c1</v>
      </c>
      <c r="C6032" s="7">
        <f>IFERROR(__xludf.DUMMYFUNCTION("""COMPUTED_VALUE"""),7.7869635)</f>
        <v>7.7869635</v>
      </c>
      <c r="D6032" s="7">
        <f>IFERROR(__xludf.DUMMYFUNCTION("""COMPUTED_VALUE"""),0.333333333333333)</f>
        <v>0.3333333333</v>
      </c>
    </row>
    <row r="6033">
      <c r="A6033" s="10" t="s">
        <v>7472</v>
      </c>
      <c r="B6033" s="7" t="str">
        <f>IFERROR(__xludf.DUMMYFUNCTION("SPLIT(A6033,"" "")"),"Cc1ccc(-c2ccc(CN(Cc3ccccn3)C3CCCCC3N(C)c3ccc4ncccc4c3)cn2)c2c1OCCOCCOCCOCCOCCO2")</f>
        <v>Cc1ccc(-c2ccc(CN(Cc3ccccn3)C3CCCCC3N(C)c3ccc4ncccc4c3)cn2)c2c1OCCOCCOCCOCCOCCO2</v>
      </c>
      <c r="C6033" s="7">
        <f>IFERROR(__xludf.DUMMYFUNCTION("""COMPUTED_VALUE"""),7.7869534)</f>
        <v>7.7869534</v>
      </c>
      <c r="D6033" s="7">
        <f>IFERROR(__xludf.DUMMYFUNCTION("""COMPUTED_VALUE"""),0.337662337662337)</f>
        <v>0.3376623377</v>
      </c>
    </row>
    <row r="6034">
      <c r="A6034" s="10" t="s">
        <v>7473</v>
      </c>
      <c r="B6034" s="7" t="str">
        <f>IFERROR(__xludf.DUMMYFUNCTION("SPLIT(A6034,"" "")"),"CN(Cc1ccccn1)Cc1cccc(N(C)Cc2cccc(-c3cccc4c3OCCOCCOCCOCCOCCO4)n2)n1")</f>
        <v>CN(Cc1ccccn1)Cc1cccc(N(C)Cc2cccc(-c3cccc4c3OCCOCCOCCOCCOCCO4)n2)n1</v>
      </c>
      <c r="C6034" s="7">
        <f>IFERROR(__xludf.DUMMYFUNCTION("""COMPUTED_VALUE"""),7.786949)</f>
        <v>7.786949</v>
      </c>
      <c r="D6034" s="7">
        <f>IFERROR(__xludf.DUMMYFUNCTION("""COMPUTED_VALUE"""),0.491228070175438)</f>
        <v>0.4912280702</v>
      </c>
    </row>
    <row r="6035">
      <c r="A6035" s="10" t="s">
        <v>7474</v>
      </c>
      <c r="B6035" s="7" t="str">
        <f>IFERROR(__xludf.DUMMYFUNCTION("SPLIT(A6035,"" "")"),"C#CCNCc1ncccc1CN(Cc1ccccn1)Cc1ncccc1C")</f>
        <v>C#CCNCc1ncccc1CN(Cc1ccccn1)Cc1ncccc1C</v>
      </c>
      <c r="C6035" s="7">
        <f>IFERROR(__xludf.DUMMYFUNCTION("""COMPUTED_VALUE"""),7.7869387)</f>
        <v>7.7869387</v>
      </c>
      <c r="D6035" s="7">
        <f>IFERROR(__xludf.DUMMYFUNCTION("""COMPUTED_VALUE"""),0.434782608695652)</f>
        <v>0.4347826087</v>
      </c>
    </row>
    <row r="6036">
      <c r="A6036" s="10" t="s">
        <v>7475</v>
      </c>
      <c r="B6036" s="7" t="str">
        <f>IFERROR(__xludf.DUMMYFUNCTION("SPLIT(A6036,"" "")"),"CNCc1nc(CN(Cc2ccccn2)C2CCC(N(C)Cc3nc(C)c(C)c(C)c3C)CC2)c(C)cc1C")</f>
        <v>CNCc1nc(CN(Cc2ccccn2)C2CCC(N(C)Cc3nc(C)c(C)c(C)c3C)CC2)c(C)cc1C</v>
      </c>
      <c r="C6036" s="7">
        <f>IFERROR(__xludf.DUMMYFUNCTION("""COMPUTED_VALUE"""),7.7869334)</f>
        <v>7.7869334</v>
      </c>
      <c r="D6036" s="7">
        <f>IFERROR(__xludf.DUMMYFUNCTION("""COMPUTED_VALUE"""),0.359375)</f>
        <v>0.359375</v>
      </c>
    </row>
    <row r="6037">
      <c r="A6037" s="10" t="s">
        <v>7476</v>
      </c>
      <c r="B6037" s="7" t="str">
        <f>IFERROR(__xludf.DUMMYFUNCTION("SPLIT(A6037,"" "")"),"CN(C)c1cccc(-c2ccc(CN(Cc3ccccn3)C3CCCC(N(C)Cc4cccc(-c5cccc6c5OCCOCCOCCOCCOCCO6)n4)C3)cn2)c1")</f>
        <v>CN(C)c1cccc(-c2ccc(CN(Cc3ccccn3)C3CCCC(N(C)Cc4cccc(-c5cccc6c5OCCOCCOCCOCCOCCO6)n4)C3)cn2)c1</v>
      </c>
      <c r="C6037" s="7">
        <f>IFERROR(__xludf.DUMMYFUNCTION("""COMPUTED_VALUE"""),7.786932)</f>
        <v>7.786932</v>
      </c>
      <c r="D6037" s="7">
        <f>IFERROR(__xludf.DUMMYFUNCTION("""COMPUTED_VALUE"""),0.329545454545454)</f>
        <v>0.3295454545</v>
      </c>
    </row>
    <row r="6038">
      <c r="A6038" s="10" t="s">
        <v>7477</v>
      </c>
      <c r="B6038" s="7" t="str">
        <f>IFERROR(__xludf.DUMMYFUNCTION("SPLIT(A6038,"" "")"),"COC(=O)C1CN(C)C(C(=O)C(C)C)C(=O)C1C(=O)OC")</f>
        <v>COC(=O)C1CN(C)C(C(=O)C(C)C)C(=O)C1C(=O)OC</v>
      </c>
      <c r="C6038" s="7">
        <f>IFERROR(__xludf.DUMMYFUNCTION("""COMPUTED_VALUE"""),7.7869143)</f>
        <v>7.7869143</v>
      </c>
      <c r="D6038" s="7">
        <f>IFERROR(__xludf.DUMMYFUNCTION("""COMPUTED_VALUE"""),0.241935483870967)</f>
        <v>0.2419354839</v>
      </c>
    </row>
    <row r="6039">
      <c r="A6039" s="10" t="s">
        <v>7478</v>
      </c>
      <c r="B6039" s="7" t="str">
        <f>IFERROR(__xludf.DUMMYFUNCTION("SPLIT(A6039,"" "")"),"Cc1cnc(CN(Cc2ccccn2)C2CCC(N(C)Cc3nc(C)c(C)c(C)c3C)CC2)c(C)c1")</f>
        <v>Cc1cnc(CN(Cc2ccccn2)C2CCC(N(C)Cc3nc(C)c(C)c(C)c3C)CC2)c(C)c1</v>
      </c>
      <c r="C6039" s="7">
        <f>IFERROR(__xludf.DUMMYFUNCTION("""COMPUTED_VALUE"""),7.786912)</f>
        <v>7.786912</v>
      </c>
      <c r="D6039" s="7">
        <f>IFERROR(__xludf.DUMMYFUNCTION("""COMPUTED_VALUE"""),0.377049180327868)</f>
        <v>0.3770491803</v>
      </c>
    </row>
    <row r="6040">
      <c r="A6040" s="10" t="s">
        <v>7479</v>
      </c>
      <c r="B6040" s="7" t="str">
        <f>IFERROR(__xludf.DUMMYFUNCTION("SPLIT(A6040,"" "")"),"Cc1cc(CN(Cc2ccccn2)C2CCCCC2N(Cc2ccccn2)Cc2cccc(F)n2)nc(C)c1C")</f>
        <v>Cc1cc(CN(Cc2ccccn2)C2CCCCC2N(Cc2ccccn2)Cc2cccc(F)n2)nc(C)c1C</v>
      </c>
      <c r="C6040" s="7">
        <f>IFERROR(__xludf.DUMMYFUNCTION("""COMPUTED_VALUE"""),7.7868943)</f>
        <v>7.7868943</v>
      </c>
      <c r="D6040" s="7">
        <f>IFERROR(__xludf.DUMMYFUNCTION("""COMPUTED_VALUE"""),0.462962962962962)</f>
        <v>0.462962963</v>
      </c>
    </row>
    <row r="6041">
      <c r="A6041" s="10" t="s">
        <v>7480</v>
      </c>
      <c r="B6041" s="7" t="str">
        <f>IFERROR(__xludf.DUMMYFUNCTION("SPLIT(A6041,"" "")"),"CC1=C(C)C2(C=CNC(C(C)C)=C2)CC(C)(C)C1")</f>
        <v>CC1=C(C)C2(C=CNC(C(C)C)=C2)CC(C)(C)C1</v>
      </c>
      <c r="C6041" s="7">
        <f>IFERROR(__xludf.DUMMYFUNCTION("""COMPUTED_VALUE"""),7.786889)</f>
        <v>7.786889</v>
      </c>
      <c r="D6041" s="7">
        <f>IFERROR(__xludf.DUMMYFUNCTION("""COMPUTED_VALUE"""),0.120689655172413)</f>
        <v>0.1206896552</v>
      </c>
    </row>
    <row r="6042">
      <c r="A6042" s="10" t="s">
        <v>7481</v>
      </c>
      <c r="B6042" s="7" t="str">
        <f>IFERROR(__xludf.DUMMYFUNCTION("SPLIT(A6042,"" "")"),"CNC1CC(N(Cc2ccccn2)Cc2ncccc2C)CCC1N(Cc1ncccc1C)Cc1ncccc1C")</f>
        <v>CNC1CC(N(Cc2ccccn2)Cc2ncccc2C)CCC1N(Cc1ncccc1C)Cc1ncccc1C</v>
      </c>
      <c r="C6042" s="7">
        <f>IFERROR(__xludf.DUMMYFUNCTION("""COMPUTED_VALUE"""),7.7868843)</f>
        <v>7.7868843</v>
      </c>
      <c r="D6042" s="7">
        <f>IFERROR(__xludf.DUMMYFUNCTION("""COMPUTED_VALUE"""),0.392857142857142)</f>
        <v>0.3928571429</v>
      </c>
    </row>
    <row r="6043">
      <c r="A6043" s="10" t="s">
        <v>7482</v>
      </c>
      <c r="B6043" s="7" t="str">
        <f>IFERROR(__xludf.DUMMYFUNCTION("SPLIT(A6043,"" "")"),"CNCc1cc(-c2cccc(-c3ccc4c(c3)OCCOCCOCCOCCOCCO4)n2)ccn1")</f>
        <v>CNCc1cc(-c2cccc(-c3ccc4c(c3)OCCOCCOCCOCCOCCO4)n2)ccn1</v>
      </c>
      <c r="C6043" s="7">
        <f>IFERROR(__xludf.DUMMYFUNCTION("""COMPUTED_VALUE"""),7.786865)</f>
        <v>7.786865</v>
      </c>
      <c r="D6043" s="7">
        <f>IFERROR(__xludf.DUMMYFUNCTION("""COMPUTED_VALUE"""),0.369230769230769)</f>
        <v>0.3692307692</v>
      </c>
    </row>
    <row r="6044">
      <c r="A6044" s="10" t="s">
        <v>7483</v>
      </c>
      <c r="B6044" s="7" t="str">
        <f>IFERROR(__xludf.DUMMYFUNCTION("SPLIT(A6044,"" "")"),"CC(C)N(C)Cc1cncc(C(C)(C)C)c1")</f>
        <v>CC(C)N(C)Cc1cncc(C(C)(C)C)c1</v>
      </c>
      <c r="C6044" s="7">
        <f>IFERROR(__xludf.DUMMYFUNCTION("""COMPUTED_VALUE"""),7.786862)</f>
        <v>7.786862</v>
      </c>
      <c r="D6044" s="7">
        <f>IFERROR(__xludf.DUMMYFUNCTION("""COMPUTED_VALUE"""),0.212765957446808)</f>
        <v>0.2127659574</v>
      </c>
    </row>
    <row r="6045">
      <c r="A6045" s="10" t="s">
        <v>7484</v>
      </c>
      <c r="B6045" s="7" t="str">
        <f>IFERROR(__xludf.DUMMYFUNCTION("SPLIT(A6045,"" "")"),"Cc1cccc(CN(Cc2ccc(CN(C)C)nc2)C2CCCC(N(C)Cc3nccc(C)c3C)C2)n1")</f>
        <v>Cc1cccc(CN(Cc2ccc(CN(C)C)nc2)C2CCCC(N(C)Cc3nccc(C)c3C)C2)n1</v>
      </c>
      <c r="C6045" s="7">
        <f>IFERROR(__xludf.DUMMYFUNCTION("""COMPUTED_VALUE"""),7.7868547)</f>
        <v>7.7868547</v>
      </c>
      <c r="D6045" s="7">
        <f>IFERROR(__xludf.DUMMYFUNCTION("""COMPUTED_VALUE"""),0.390625)</f>
        <v>0.390625</v>
      </c>
    </row>
    <row r="6046">
      <c r="A6046" s="10" t="s">
        <v>7485</v>
      </c>
      <c r="B6046" s="7" t="str">
        <f>IFERROR(__xludf.DUMMYFUNCTION("SPLIT(A6046,"" "")"),"C1=CC(NCc2ccccn2)C=CN1")</f>
        <v>C1=CC(NCc2ccccn2)C=CN1</v>
      </c>
      <c r="C6046" s="7">
        <f>IFERROR(__xludf.DUMMYFUNCTION("""COMPUTED_VALUE"""),7.786852)</f>
        <v>7.786852</v>
      </c>
      <c r="D6046" s="7">
        <f>IFERROR(__xludf.DUMMYFUNCTION("""COMPUTED_VALUE"""),0.485714285714285)</f>
        <v>0.4857142857</v>
      </c>
    </row>
    <row r="6047">
      <c r="A6047" s="10" t="s">
        <v>7486</v>
      </c>
      <c r="B6047" s="7" t="str">
        <f>IFERROR(__xludf.DUMMYFUNCTION("SPLIT(A6047,"" "")"),"CC(C)C1(C)COC(c2ncccc2CN(Cc2ccccn2)Cc2cccc(-c3ccc4c(c3)OCCOCCOCCOCCOCCO4)n2)=N1")</f>
        <v>CC(C)C1(C)COC(c2ncccc2CN(Cc2ccccn2)Cc2cccc(-c3ccc4c(c3)OCCOCCOCCOCCOCCO4)n2)=N1</v>
      </c>
      <c r="C6047" s="7">
        <f>IFERROR(__xludf.DUMMYFUNCTION("""COMPUTED_VALUE"""),7.786847)</f>
        <v>7.786847</v>
      </c>
      <c r="D6047" s="7">
        <f>IFERROR(__xludf.DUMMYFUNCTION("""COMPUTED_VALUE"""),0.402597402597402)</f>
        <v>0.4025974026</v>
      </c>
    </row>
    <row r="6048">
      <c r="A6048" s="10" t="s">
        <v>7487</v>
      </c>
      <c r="B6048" s="7" t="str">
        <f>IFERROR(__xludf.DUMMYFUNCTION("SPLIT(A6048,"" "")"),"CN(c1ccc2nc(CF)ccc2c1)C1CCC(N(Cc2ccccn2)Cc2cccc(-c3ccc4c(c3)OCCOCCOCCOCCOCCO4)n2)CC1")</f>
        <v>CN(c1ccc2nc(CF)ccc2c1)C1CCC(N(Cc2ccccn2)Cc2cccc(-c3ccc4c(c3)OCCOCCOCCOCCOCCO4)n2)CC1</v>
      </c>
      <c r="C6048" s="7">
        <f>IFERROR(__xludf.DUMMYFUNCTION("""COMPUTED_VALUE"""),7.786847)</f>
        <v>7.786847</v>
      </c>
      <c r="D6048" s="7">
        <f>IFERROR(__xludf.DUMMYFUNCTION("""COMPUTED_VALUE"""),0.346666666666666)</f>
        <v>0.3466666667</v>
      </c>
    </row>
    <row r="6049">
      <c r="A6049" s="10" t="s">
        <v>7488</v>
      </c>
      <c r="B6049" s="7" t="str">
        <f>IFERROR(__xludf.DUMMYFUNCTION("SPLIT(A6049,"" "")"),"Cc1cccnc1CN(C)C1CC(N(Cc2ccccn2)Cc2ncccc2C)CC(N(Cc2ccccn2)C(C)C)C1")</f>
        <v>Cc1cccnc1CN(C)C1CC(N(Cc2ccccn2)Cc2ncccc2C)CC(N(Cc2ccccn2)C(C)C)C1</v>
      </c>
      <c r="C6049" s="7">
        <f>IFERROR(__xludf.DUMMYFUNCTION("""COMPUTED_VALUE"""),7.786843)</f>
        <v>7.786843</v>
      </c>
      <c r="D6049" s="7">
        <f>IFERROR(__xludf.DUMMYFUNCTION("""COMPUTED_VALUE"""),0.385964912280701)</f>
        <v>0.3859649123</v>
      </c>
    </row>
    <row r="6050">
      <c r="A6050" s="10" t="s">
        <v>7489</v>
      </c>
      <c r="B6050" s="7" t="str">
        <f>IFERROR(__xludf.DUMMYFUNCTION("SPLIT(A6050,"" "")"),"CC(C)C(C)c1cc(C(C)(C)C)cnc1C1CCC1(C)C")</f>
        <v>CC(C)C(C)c1cc(C(C)(C)C)cnc1C1CCC1(C)C</v>
      </c>
      <c r="C6050" s="7">
        <f>IFERROR(__xludf.DUMMYFUNCTION("""COMPUTED_VALUE"""),7.7868385)</f>
        <v>7.7868385</v>
      </c>
      <c r="D6050" s="7">
        <f>IFERROR(__xludf.DUMMYFUNCTION("""COMPUTED_VALUE"""),0.191176470588235)</f>
        <v>0.1911764706</v>
      </c>
    </row>
    <row r="6051">
      <c r="A6051" s="10" t="s">
        <v>7490</v>
      </c>
      <c r="B6051" s="7" t="str">
        <f>IFERROR(__xludf.DUMMYFUNCTION("SPLIT(A6051,"" "")"),"COC(C)c1ncccc1CN1CCN(C)CCN(Cc2ncccc2C(C)(c2ccccn2)c2ccccn2)CC1")</f>
        <v>COC(C)c1ncccc1CN1CCN(C)CCN(Cc2ncccc2C(C)(c2ccccn2)c2ccccn2)CC1</v>
      </c>
      <c r="C6051" s="7">
        <f>IFERROR(__xludf.DUMMYFUNCTION("""COMPUTED_VALUE"""),7.7868357)</f>
        <v>7.7868357</v>
      </c>
      <c r="D6051" s="7">
        <f>IFERROR(__xludf.DUMMYFUNCTION("""COMPUTED_VALUE"""),0.389830508474576)</f>
        <v>0.3898305085</v>
      </c>
    </row>
    <row r="6052">
      <c r="A6052" s="10" t="s">
        <v>7491</v>
      </c>
      <c r="B6052" s="7" t="str">
        <f>IFERROR(__xludf.DUMMYFUNCTION("SPLIT(A6052,"" "")"),"CCNCc1ncccc1CN(C)Cc1ccccn1")</f>
        <v>CCNCc1ncccc1CN(C)Cc1ccccn1</v>
      </c>
      <c r="C6052" s="7">
        <f>IFERROR(__xludf.DUMMYFUNCTION("""COMPUTED_VALUE"""),7.786834)</f>
        <v>7.786834</v>
      </c>
      <c r="D6052" s="7">
        <f>IFERROR(__xludf.DUMMYFUNCTION("""COMPUTED_VALUE"""),0.468085106382978)</f>
        <v>0.4680851064</v>
      </c>
    </row>
    <row r="6053">
      <c r="A6053" s="10" t="s">
        <v>7492</v>
      </c>
      <c r="B6053" s="7" t="str">
        <f>IFERROR(__xludf.DUMMYFUNCTION("SPLIT(A6053,"" "")"),"CN(c1cccc2cc(CF)cnc12)C1CCC(N(Cc2ccccn2)Cc2nc(C3CCC3(C)C)ccc2-c2ccc3c(c2)OCCOCCOCCOCCOCCO3)CC1")</f>
        <v>CN(c1cccc2cc(CF)cnc12)C1CCC(N(Cc2ccccn2)Cc2nc(C3CCC3(C)C)ccc2-c2ccc3c(c2)OCCOCCOCCOCCOCCO3)CC1</v>
      </c>
      <c r="C6053" s="7">
        <f>IFERROR(__xludf.DUMMYFUNCTION("""COMPUTED_VALUE"""),7.786818)</f>
        <v>7.786818</v>
      </c>
      <c r="D6053" s="7">
        <f>IFERROR(__xludf.DUMMYFUNCTION("""COMPUTED_VALUE"""),0.262135922330097)</f>
        <v>0.2621359223</v>
      </c>
    </row>
    <row r="6054">
      <c r="A6054" s="10" t="s">
        <v>7493</v>
      </c>
      <c r="B6054" s="7" t="str">
        <f>IFERROR(__xludf.DUMMYFUNCTION("SPLIT(A6054,"" "")"),"CN1CCN(C)CCN(Cc2cncc(-c3cc(N)cc(Cl)c3)c2)CC1")</f>
        <v>CN1CCN(C)CCN(Cc2cncc(-c3cc(N)cc(Cl)c3)c2)CC1</v>
      </c>
      <c r="C6054" s="7">
        <f>IFERROR(__xludf.DUMMYFUNCTION("""COMPUTED_VALUE"""),7.7868123)</f>
        <v>7.7868123</v>
      </c>
      <c r="D6054" s="7">
        <f>IFERROR(__xludf.DUMMYFUNCTION("""COMPUTED_VALUE"""),0.346153846153846)</f>
        <v>0.3461538462</v>
      </c>
    </row>
    <row r="6055">
      <c r="A6055" s="10" t="s">
        <v>7494</v>
      </c>
      <c r="B6055" s="7" t="str">
        <f>IFERROR(__xludf.DUMMYFUNCTION("SPLIT(A6055,"" "")"),"CC(C)(c1cccc(CNCc2cccc(-c3cccc4c3OCCOCCOCCOCCOCCO4)n2)n1)c1cccc(CN(Cc2ccccn2)Cc2ccccn2)n1")</f>
        <v>CC(C)(c1cccc(CNCc2cccc(-c3cccc4c3OCCOCCOCCOCCOCCO4)n2)n1)c1cccc(CN(Cc2ccccn2)Cc2ccccn2)n1</v>
      </c>
      <c r="C6055" s="7">
        <f>IFERROR(__xludf.DUMMYFUNCTION("""COMPUTED_VALUE"""),7.78681)</f>
        <v>7.78681</v>
      </c>
      <c r="D6055" s="7">
        <f>IFERROR(__xludf.DUMMYFUNCTION("""COMPUTED_VALUE"""),0.36986301369863)</f>
        <v>0.3698630137</v>
      </c>
    </row>
    <row r="6056">
      <c r="A6056" s="10" t="s">
        <v>7495</v>
      </c>
      <c r="B6056" s="7" t="str">
        <f>IFERROR(__xludf.DUMMYFUNCTION("SPLIT(A6056,"" "")"),"Cc1cccc(CN(C)C2CCC(N(Cc3ccccn3)Cc3cccc(C4CCC4C)n3)CC2N(Cc2cccc(C)n2)Cc2cccc(C)n2)n1")</f>
        <v>Cc1cccc(CN(C)C2CCC(N(Cc3ccccn3)Cc3cccc(C4CCC4C)n3)CC2N(Cc2cccc(C)n2)Cc2cccc(C)n2)n1</v>
      </c>
      <c r="C6056" s="7">
        <f>IFERROR(__xludf.DUMMYFUNCTION("""COMPUTED_VALUE"""),7.7867937)</f>
        <v>7.7867937</v>
      </c>
      <c r="D6056" s="7">
        <f>IFERROR(__xludf.DUMMYFUNCTION("""COMPUTED_VALUE"""),0.466666666666666)</f>
        <v>0.4666666667</v>
      </c>
    </row>
    <row r="6057">
      <c r="A6057" s="10" t="s">
        <v>7496</v>
      </c>
      <c r="B6057" s="7" t="str">
        <f>IFERROR(__xludf.DUMMYFUNCTION("SPLIT(A6057,"" "")"),"CN1CCN(C)CCN(Cc2ccc(-c3cc(Cl)ccc3N)cn2)CC1")</f>
        <v>CN1CCN(C)CCN(Cc2ccc(-c3cc(Cl)ccc3N)cn2)CC1</v>
      </c>
      <c r="C6057" s="7">
        <f>IFERROR(__xludf.DUMMYFUNCTION("""COMPUTED_VALUE"""),7.7867913)</f>
        <v>7.7867913</v>
      </c>
      <c r="D6057" s="7">
        <f>IFERROR(__xludf.DUMMYFUNCTION("""COMPUTED_VALUE"""),0.428571428571428)</f>
        <v>0.4285714286</v>
      </c>
    </row>
    <row r="6058">
      <c r="A6058" s="10" t="s">
        <v>7497</v>
      </c>
      <c r="B6058" s="7" t="str">
        <f>IFERROR(__xludf.DUMMYFUNCTION("SPLIT(A6058,"" "")"),"CN(CC1=CNC(N(C)CCN)=CC1)Cc1ccccn1")</f>
        <v>CN(CC1=CNC(N(C)CCN)=CC1)Cc1ccccn1</v>
      </c>
      <c r="C6058" s="7">
        <f>IFERROR(__xludf.DUMMYFUNCTION("""COMPUTED_VALUE"""),7.7867837)</f>
        <v>7.7867837</v>
      </c>
      <c r="D6058" s="7">
        <f>IFERROR(__xludf.DUMMYFUNCTION("""COMPUTED_VALUE"""),0.433962264150943)</f>
        <v>0.4339622642</v>
      </c>
    </row>
    <row r="6059">
      <c r="A6059" s="10" t="s">
        <v>7498</v>
      </c>
      <c r="B6059" s="7" t="str">
        <f>IFERROR(__xludf.DUMMYFUNCTION("SPLIT(A6059,"" "")"),"CN(C)Cc1ccc2cccc(N(C)C3CCCCC3N(Cc3ccccn3)Cc3cccc(-c4cccc5c4OCCOCCOCCOCCOCCO5)n3)c2n1")</f>
        <v>CN(C)Cc1ccc2cccc(N(C)C3CCCCC3N(Cc3ccccn3)Cc3cccc(-c4cccc5c4OCCOCCOCCOCCOCCO5)n3)c2n1</v>
      </c>
      <c r="C6059" s="7">
        <f>IFERROR(__xludf.DUMMYFUNCTION("""COMPUTED_VALUE"""),7.7867675)</f>
        <v>7.7867675</v>
      </c>
      <c r="D6059" s="7">
        <f>IFERROR(__xludf.DUMMYFUNCTION("""COMPUTED_VALUE"""),0.426666666666666)</f>
        <v>0.4266666667</v>
      </c>
    </row>
    <row r="6060">
      <c r="A6060" s="10" t="s">
        <v>7499</v>
      </c>
      <c r="B6060" s="7" t="str">
        <f>IFERROR(__xludf.DUMMYFUNCTION("SPLIT(A6060,"" "")"),"Cc1ccc(CN(Cc2ccccn2)Cc2ncccc2CN(C)C2CCC(N(C)Cc3ncccc3C)CC2)nc1C")</f>
        <v>Cc1ccc(CN(Cc2ccccn2)Cc2ncccc2CN(C)C2CCC(N(C)Cc3ncccc3C)CC2)nc1C</v>
      </c>
      <c r="C6060" s="7">
        <f>IFERROR(__xludf.DUMMYFUNCTION("""COMPUTED_VALUE"""),7.7867594)</f>
        <v>7.7867594</v>
      </c>
      <c r="D6060" s="7">
        <f>IFERROR(__xludf.DUMMYFUNCTION("""COMPUTED_VALUE"""),0.383333333333333)</f>
        <v>0.3833333333</v>
      </c>
    </row>
    <row r="6061">
      <c r="A6061" s="10" t="s">
        <v>7500</v>
      </c>
      <c r="B6061" s="7" t="str">
        <f>IFERROR(__xludf.DUMMYFUNCTION("SPLIT(A6061,"" "")"),"Cc1cccnc1CN(C)C1=CNC(CN(C)C(C)(C)C(C)N)=CC1")</f>
        <v>Cc1cccnc1CN(C)C1=CNC(CN(C)C(C)(C)C(C)N)=CC1</v>
      </c>
      <c r="C6061" s="7">
        <f>IFERROR(__xludf.DUMMYFUNCTION("""COMPUTED_VALUE"""),7.786753)</f>
        <v>7.786753</v>
      </c>
      <c r="D6061" s="7">
        <f>IFERROR(__xludf.DUMMYFUNCTION("""COMPUTED_VALUE"""),0.246376811594202)</f>
        <v>0.2463768116</v>
      </c>
    </row>
    <row r="6062">
      <c r="A6062" s="10" t="s">
        <v>7501</v>
      </c>
      <c r="B6062" s="7" t="str">
        <f>IFERROR(__xludf.DUMMYFUNCTION("SPLIT(A6062,"" "")"),"CCCN(CC1=CC(N(C)Cc2ccccn2)C=CN1)Cc1ccccn1")</f>
        <v>CCCN(CC1=CC(N(C)Cc2ccccn2)C=CN1)Cc1ccccn1</v>
      </c>
      <c r="C6062" s="7">
        <f>IFERROR(__xludf.DUMMYFUNCTION("""COMPUTED_VALUE"""),7.786751)</f>
        <v>7.786751</v>
      </c>
      <c r="D6062" s="7">
        <f>IFERROR(__xludf.DUMMYFUNCTION("""COMPUTED_VALUE"""),0.46938775510204)</f>
        <v>0.4693877551</v>
      </c>
    </row>
    <row r="6063">
      <c r="A6063" s="10" t="s">
        <v>7502</v>
      </c>
      <c r="B6063" s="7" t="str">
        <f>IFERROR(__xludf.DUMMYFUNCTION("SPLIT(A6063,"" "")"),"CC(C)N(C)Cc1cccc(CN(C(C)C)C(C)C)n1")</f>
        <v>CC(C)N(C)Cc1cccc(CN(C(C)C)C(C)C)n1</v>
      </c>
      <c r="C6063" s="7">
        <f>IFERROR(__xludf.DUMMYFUNCTION("""COMPUTED_VALUE"""),7.7867494)</f>
        <v>7.7867494</v>
      </c>
      <c r="D6063" s="7">
        <f>IFERROR(__xludf.DUMMYFUNCTION("""COMPUTED_VALUE"""),0.444444444444444)</f>
        <v>0.4444444444</v>
      </c>
    </row>
    <row r="6064">
      <c r="A6064" s="10" t="s">
        <v>7503</v>
      </c>
      <c r="B6064" s="7" t="str">
        <f>IFERROR(__xludf.DUMMYFUNCTION("SPLIT(A6064,"" "")"),"CCN(Cc1ccccn1)C1=C(CN(C)C(C)C)CC=CN1")</f>
        <v>CCN(Cc1ccccn1)C1=C(CN(C)C(C)C)CC=CN1</v>
      </c>
      <c r="C6064" s="7">
        <f>IFERROR(__xludf.DUMMYFUNCTION("""COMPUTED_VALUE"""),7.786742)</f>
        <v>7.786742</v>
      </c>
      <c r="D6064" s="7">
        <f>IFERROR(__xludf.DUMMYFUNCTION("""COMPUTED_VALUE"""),0.403846153846153)</f>
        <v>0.4038461538</v>
      </c>
    </row>
    <row r="6065">
      <c r="A6065" s="10" t="s">
        <v>7504</v>
      </c>
      <c r="B6065" s="7" t="str">
        <f>IFERROR(__xludf.DUMMYFUNCTION("SPLIT(A6065,"" "")"),"COC1(C)N=COC1c1ncccc1CN(Cc1ccccn1)Cc1cc(-c2ccc3c(c2)OCCOCCOCCOCCOCCO3)ccn1")</f>
        <v>COC1(C)N=COC1c1ncccc1CN(Cc1ccccn1)Cc1cc(-c2ccc3c(c2)OCCOCCOCCOCCOCCO3)ccn1</v>
      </c>
      <c r="C6065" s="7">
        <f>IFERROR(__xludf.DUMMYFUNCTION("""COMPUTED_VALUE"""),7.7867303)</f>
        <v>7.7867303</v>
      </c>
      <c r="D6065" s="7">
        <f>IFERROR(__xludf.DUMMYFUNCTION("""COMPUTED_VALUE"""),0.302325581395348)</f>
        <v>0.3023255814</v>
      </c>
    </row>
    <row r="6066">
      <c r="A6066" s="10" t="s">
        <v>7505</v>
      </c>
      <c r="B6066" s="7" t="str">
        <f>IFERROR(__xludf.DUMMYFUNCTION("SPLIT(A6066,"" "")"),"CCN(Cc1ccccn1)Cc1ncccc1N(C)Cc1ncccc1-c1ccc2c(c1)OCCOCCOCCOCCOCCO2")</f>
        <v>CCN(Cc1ccccn1)Cc1ncccc1N(C)Cc1ncccc1-c1ccc2c(c1)OCCOCCOCCOCCOCCO2</v>
      </c>
      <c r="C6066" s="7">
        <f>IFERROR(__xludf.DUMMYFUNCTION("""COMPUTED_VALUE"""),7.786729)</f>
        <v>7.786729</v>
      </c>
      <c r="D6066" s="7">
        <f>IFERROR(__xludf.DUMMYFUNCTION("""COMPUTED_VALUE"""),0.359375)</f>
        <v>0.359375</v>
      </c>
    </row>
    <row r="6067">
      <c r="A6067" s="10" t="s">
        <v>7506</v>
      </c>
      <c r="B6067" s="7" t="str">
        <f>IFERROR(__xludf.DUMMYFUNCTION("SPLIT(A6067,"" "")"),"CCN(Cc1ccccn1)Cc1cccc(CN(Cc2ccccn2)C2CCCC(N(C)Cc3nc(C)c(C)cc3C)C2)n1")</f>
        <v>CCN(Cc1ccccn1)Cc1cccc(CN(Cc2ccccn2)C2CCCC(N(C)Cc3nc(C)c(C)cc3C)C2)n1</v>
      </c>
      <c r="C6067" s="7">
        <f>IFERROR(__xludf.DUMMYFUNCTION("""COMPUTED_VALUE"""),7.7867084)</f>
        <v>7.7867084</v>
      </c>
      <c r="D6067" s="7">
        <f>IFERROR(__xludf.DUMMYFUNCTION("""COMPUTED_VALUE"""),0.387096774193548)</f>
        <v>0.3870967742</v>
      </c>
    </row>
    <row r="6068">
      <c r="A6068" s="10" t="s">
        <v>7507</v>
      </c>
      <c r="B6068" s="7" t="str">
        <f>IFERROR(__xludf.DUMMYFUNCTION("SPLIT(A6068,"" "")"),"Cc1cc(C)c(C)c(CN(C)CCN(C)CCF)n1")</f>
        <v>Cc1cc(C)c(C)c(CN(C)CCN(C)CCF)n1</v>
      </c>
      <c r="C6068" s="7">
        <f>IFERROR(__xludf.DUMMYFUNCTION("""COMPUTED_VALUE"""),7.7867084)</f>
        <v>7.7867084</v>
      </c>
      <c r="D6068" s="7">
        <f>IFERROR(__xludf.DUMMYFUNCTION("""COMPUTED_VALUE"""),0.390243902439024)</f>
        <v>0.3902439024</v>
      </c>
    </row>
    <row r="6069">
      <c r="A6069" s="10" t="s">
        <v>7508</v>
      </c>
      <c r="B6069" s="7" t="str">
        <f>IFERROR(__xludf.DUMMYFUNCTION("SPLIT(A6069,"" "")"),"CNCNCc1cc(CN(Cc2cc(C)ccn2)C(C)C)ccn1")</f>
        <v>CNCNCc1cc(CN(Cc2cc(C)ccn2)C(C)C)ccn1</v>
      </c>
      <c r="C6069" s="7">
        <f>IFERROR(__xludf.DUMMYFUNCTION("""COMPUTED_VALUE"""),7.7867002)</f>
        <v>7.7867002</v>
      </c>
      <c r="D6069" s="7">
        <f>IFERROR(__xludf.DUMMYFUNCTION("""COMPUTED_VALUE"""),0.36)</f>
        <v>0.36</v>
      </c>
    </row>
    <row r="6070">
      <c r="A6070" s="10" t="s">
        <v>7509</v>
      </c>
      <c r="B6070" s="7" t="str">
        <f>IFERROR(__xludf.DUMMYFUNCTION("SPLIT(A6070,"" "")"),"CN1CCN(C)CCN(Cc2ccc(-c3cc(N)ccc3Cl)nc2)CC1")</f>
        <v>CN1CCN(C)CCN(Cc2ccc(-c3cc(N)ccc3Cl)nc2)CC1</v>
      </c>
      <c r="C6070" s="7">
        <f>IFERROR(__xludf.DUMMYFUNCTION("""COMPUTED_VALUE"""),7.7866964)</f>
        <v>7.7866964</v>
      </c>
      <c r="D6070" s="7">
        <f>IFERROR(__xludf.DUMMYFUNCTION("""COMPUTED_VALUE"""),0.358490566037735)</f>
        <v>0.358490566</v>
      </c>
    </row>
    <row r="6071">
      <c r="A6071" s="10" t="s">
        <v>7510</v>
      </c>
      <c r="B6071" s="7" t="str">
        <f>IFERROR(__xludf.DUMMYFUNCTION("SPLIT(A6071,"" "")"),"C=Cc1ccc(N(C)Cc2cccc(-c3ccc4c(c3)OCCOCCOCCOCCOCCO4)n2)cc1")</f>
        <v>C=Cc1ccc(N(C)Cc2cccc(-c3ccc4c(c3)OCCOCCOCCOCCOCCO4)n2)cc1</v>
      </c>
      <c r="C6071" s="7">
        <f>IFERROR(__xludf.DUMMYFUNCTION("""COMPUTED_VALUE"""),7.786695)</f>
        <v>7.786695</v>
      </c>
      <c r="D6071" s="7">
        <f>IFERROR(__xludf.DUMMYFUNCTION("""COMPUTED_VALUE"""),0.319444444444444)</f>
        <v>0.3194444444</v>
      </c>
    </row>
    <row r="6072">
      <c r="A6072" s="10" t="s">
        <v>7511</v>
      </c>
      <c r="B6072" s="7" t="str">
        <f>IFERROR(__xludf.DUMMYFUNCTION("SPLIT(A6072,"" "")"),"COC(C)CN(Cc1ccccn1)Cc1ncccc1C(C)(C)C")</f>
        <v>COC(C)CN(Cc1ccccn1)Cc1ncccc1C(C)(C)C</v>
      </c>
      <c r="C6072" s="7">
        <f>IFERROR(__xludf.DUMMYFUNCTION("""COMPUTED_VALUE"""),7.7866793)</f>
        <v>7.7866793</v>
      </c>
      <c r="D6072" s="7">
        <f>IFERROR(__xludf.DUMMYFUNCTION("""COMPUTED_VALUE"""),0.44)</f>
        <v>0.44</v>
      </c>
    </row>
    <row r="6073">
      <c r="A6073" s="10" t="s">
        <v>7512</v>
      </c>
      <c r="B6073" s="7" t="str">
        <f>IFERROR(__xludf.DUMMYFUNCTION("SPLIT(A6073,"" "")"),"CC1C=CCC(C)(c2ccc(CN(Cc3ccccn3)Cc3ccccn3)cn2)C1C")</f>
        <v>CC1C=CCC(C)(c2ccc(CN(Cc3ccccn3)Cc3ccccn3)cn2)C1C</v>
      </c>
      <c r="C6073" s="7">
        <f>IFERROR(__xludf.DUMMYFUNCTION("""COMPUTED_VALUE"""),7.7866764)</f>
        <v>7.7866764</v>
      </c>
      <c r="D6073" s="7">
        <f>IFERROR(__xludf.DUMMYFUNCTION("""COMPUTED_VALUE"""),0.416666666666666)</f>
        <v>0.4166666667</v>
      </c>
    </row>
    <row r="6074">
      <c r="A6074" s="10" t="s">
        <v>7513</v>
      </c>
      <c r="B6074" s="7" t="str">
        <f>IFERROR(__xludf.DUMMYFUNCTION("SPLIT(A6074,"" "")"),"Cc1cncc(CN(C)C2=CNC(CN(Cc3ccccn3)Cc3cccc(-c4ccc5c(c4)OCCOCCOCCOCCOCCO5)n3)=CC2)c1")</f>
        <v>Cc1cncc(CN(C)C2=CNC(CN(Cc3ccccn3)Cc3cccc(-c4ccc5c(c4)OCCOCCOCCOCCOCCO5)n3)=CC2)c1</v>
      </c>
      <c r="C6074" s="7">
        <f>IFERROR(__xludf.DUMMYFUNCTION("""COMPUTED_VALUE"""),7.7866716)</f>
        <v>7.7866716</v>
      </c>
      <c r="D6074" s="7">
        <f>IFERROR(__xludf.DUMMYFUNCTION("""COMPUTED_VALUE"""),0.373493975903614)</f>
        <v>0.3734939759</v>
      </c>
    </row>
    <row r="6075">
      <c r="A6075" s="10" t="s">
        <v>7514</v>
      </c>
      <c r="B6075" s="7" t="str">
        <f>IFERROR(__xludf.DUMMYFUNCTION("SPLIT(A6075,"" "")"),"Cc1cccc(-c2ccc(CN(Cc3ccccn3)C3CCCCC3)cn2)c1")</f>
        <v>Cc1cccc(-c2ccc(CN(Cc3ccccn3)C3CCCCC3)cn2)c1</v>
      </c>
      <c r="C6075" s="7">
        <f>IFERROR(__xludf.DUMMYFUNCTION("""COMPUTED_VALUE"""),7.786671)</f>
        <v>7.786671</v>
      </c>
      <c r="D6075" s="7">
        <f>IFERROR(__xludf.DUMMYFUNCTION("""COMPUTED_VALUE"""),0.403508771929824)</f>
        <v>0.4035087719</v>
      </c>
    </row>
    <row r="6076">
      <c r="A6076" s="10" t="s">
        <v>7515</v>
      </c>
      <c r="B6076" s="7" t="str">
        <f>IFERROR(__xludf.DUMMYFUNCTION("SPLIT(A6076,"" "")"),"CCN(Cc1cccc(C2CC(C)C2Cl)n1)Cc1ncccc1C")</f>
        <v>CCN(Cc1cccc(C2CC(C)C2Cl)n1)Cc1ncccc1C</v>
      </c>
      <c r="C6076" s="7">
        <f>IFERROR(__xludf.DUMMYFUNCTION("""COMPUTED_VALUE"""),7.786664)</f>
        <v>7.786664</v>
      </c>
      <c r="D6076" s="7">
        <f>IFERROR(__xludf.DUMMYFUNCTION("""COMPUTED_VALUE"""),0.290322580645161)</f>
        <v>0.2903225806</v>
      </c>
    </row>
    <row r="6077">
      <c r="A6077" s="10" t="s">
        <v>7516</v>
      </c>
      <c r="B6077" s="7" t="str">
        <f>IFERROR(__xludf.DUMMYFUNCTION("SPLIT(A6077,"" "")"),"CCNCc1cccc(CN(Cc2ccccn2)C2CCC(N(C)Cc3ccc(-c4ccccc4)cn3)CC2)n1")</f>
        <v>CCNCc1cccc(CN(Cc2ccccn2)C2CCC(N(C)Cc3ccc(-c4ccccc4)cn3)CC2)n1</v>
      </c>
      <c r="C6077" s="7">
        <f>IFERROR(__xludf.DUMMYFUNCTION("""COMPUTED_VALUE"""),7.78666)</f>
        <v>7.78666</v>
      </c>
      <c r="D6077" s="7">
        <f>IFERROR(__xludf.DUMMYFUNCTION("""COMPUTED_VALUE"""),0.393442622950819)</f>
        <v>0.393442623</v>
      </c>
    </row>
    <row r="6078">
      <c r="A6078" s="10" t="s">
        <v>7517</v>
      </c>
      <c r="B6078" s="7" t="str">
        <f>IFERROR(__xludf.DUMMYFUNCTION("SPLIT(A6078,"" "")"),"CCOC(C)c1ncccc1CN1CCN(C)CCN(Cc2ncccc2C(C)(c2ccccn2)c2ccccn2)CC1")</f>
        <v>CCOC(C)c1ncccc1CN1CCN(C)CCN(Cc2ncccc2C(C)(c2ccccn2)c2ccccn2)CC1</v>
      </c>
      <c r="C6078" s="7">
        <f>IFERROR(__xludf.DUMMYFUNCTION("""COMPUTED_VALUE"""),7.786655)</f>
        <v>7.786655</v>
      </c>
      <c r="D6078" s="7">
        <f>IFERROR(__xludf.DUMMYFUNCTION("""COMPUTED_VALUE"""),0.383333333333333)</f>
        <v>0.3833333333</v>
      </c>
    </row>
    <row r="6079">
      <c r="A6079" s="10" t="s">
        <v>7518</v>
      </c>
      <c r="B6079" s="7" t="str">
        <f>IFERROR(__xludf.DUMMYFUNCTION("SPLIT(A6079,"" "")"),"CN(C)c1ccc(CN(Cc2ccc(-c3cccc4c3OCCOCCOCCOCCOCCO4)nc2)Cc2ccccn2)nc1")</f>
        <v>CN(C)c1ccc(CN(Cc2ccc(-c3cccc4c3OCCOCCOCCOCCOCCO4)nc2)Cc2ccccn2)nc1</v>
      </c>
      <c r="C6079" s="7">
        <f>IFERROR(__xludf.DUMMYFUNCTION("""COMPUTED_VALUE"""),7.786652)</f>
        <v>7.786652</v>
      </c>
      <c r="D6079" s="7">
        <f>IFERROR(__xludf.DUMMYFUNCTION("""COMPUTED_VALUE"""),0.344827586206896)</f>
        <v>0.3448275862</v>
      </c>
    </row>
    <row r="6080">
      <c r="A6080" s="10" t="s">
        <v>7519</v>
      </c>
      <c r="B6080" s="7" t="str">
        <f>IFERROR(__xludf.DUMMYFUNCTION("SPLIT(A6080,"" "")"),"CC(C)N(C)C1CCC(N(C)c2ccc3nc4c(cc3c2)CCCC4)CC1")</f>
        <v>CC(C)N(C)C1CCC(N(C)c2ccc3nc4c(cc3c2)CCCC4)CC1</v>
      </c>
      <c r="C6080" s="7">
        <f>IFERROR(__xludf.DUMMYFUNCTION("""COMPUTED_VALUE"""),7.7866507)</f>
        <v>7.7866507</v>
      </c>
      <c r="D6080" s="7">
        <f>IFERROR(__xludf.DUMMYFUNCTION("""COMPUTED_VALUE"""),0.396551724137931)</f>
        <v>0.3965517241</v>
      </c>
    </row>
    <row r="6081">
      <c r="A6081" s="10" t="s">
        <v>7520</v>
      </c>
      <c r="B6081" s="7" t="str">
        <f>IFERROR(__xludf.DUMMYFUNCTION("SPLIT(A6081,"" "")"),"Cc1ccc(C)c(N(Cc2ccccn2)C2CCC(N(C)Cc3ccccn3)CC2)c1")</f>
        <v>Cc1ccc(C)c(N(Cc2ccccn2)C2CCC(N(C)Cc3ccccn3)CC2)c1</v>
      </c>
      <c r="C6081" s="7">
        <f>IFERROR(__xludf.DUMMYFUNCTION("""COMPUTED_VALUE"""),7.7866473)</f>
        <v>7.7866473</v>
      </c>
      <c r="D6081" s="7">
        <f>IFERROR(__xludf.DUMMYFUNCTION("""COMPUTED_VALUE"""),0.489795918367346)</f>
        <v>0.4897959184</v>
      </c>
    </row>
    <row r="6082">
      <c r="A6082" s="10" t="s">
        <v>7521</v>
      </c>
      <c r="B6082" s="7" t="str">
        <f>IFERROR(__xludf.DUMMYFUNCTION("SPLIT(A6082,"" "")"),"CCC(C)C(C)N(C)CC1=CC(N(C)Cc2nc(C)c(C)c(C)c2C)C=CN1")</f>
        <v>CCC(C)C(C)N(C)CC1=CC(N(C)Cc2nc(C)c(C)c(C)c2C)C=CN1</v>
      </c>
      <c r="C6082" s="7">
        <f>IFERROR(__xludf.DUMMYFUNCTION("""COMPUTED_VALUE"""),7.786642)</f>
        <v>7.786642</v>
      </c>
      <c r="D6082" s="7">
        <f>IFERROR(__xludf.DUMMYFUNCTION("""COMPUTED_VALUE"""),0.28125)</f>
        <v>0.28125</v>
      </c>
    </row>
    <row r="6083">
      <c r="A6083" s="10" t="s">
        <v>7522</v>
      </c>
      <c r="B6083" s="7" t="str">
        <f>IFERROR(__xludf.DUMMYFUNCTION("SPLIT(A6083,"" "")"),"Cc1nc(CN(CC(C)(C)C)C(C)(N)N(CCN(C)C(C)C)Cc2ccccn2)c(C)c(C)c1C")</f>
        <v>Cc1nc(CN(CC(C)(C)C)C(C)(N)N(CCN(C)C(C)C)Cc2ccccn2)c(C)c(C)c1C</v>
      </c>
      <c r="C6083" s="7">
        <f>IFERROR(__xludf.DUMMYFUNCTION("""COMPUTED_VALUE"""),7.78664)</f>
        <v>7.78664</v>
      </c>
      <c r="D6083" s="7">
        <f>IFERROR(__xludf.DUMMYFUNCTION("""COMPUTED_VALUE"""),0.406779661016949)</f>
        <v>0.406779661</v>
      </c>
    </row>
    <row r="6084">
      <c r="A6084" s="10" t="s">
        <v>7523</v>
      </c>
      <c r="B6084" s="7" t="str">
        <f>IFERROR(__xludf.DUMMYFUNCTION("SPLIT(A6084,"" "")"),"C=Cc1cccnc1CN(Cc1ccccn1)C1CCCCC1N(C)Cc1nc(C)c(C)cc1C")</f>
        <v>C=Cc1cccnc1CN(Cc1ccccn1)C1CCCCC1N(C)Cc1nc(C)c(C)cc1C</v>
      </c>
      <c r="C6084" s="7">
        <f>IFERROR(__xludf.DUMMYFUNCTION("""COMPUTED_VALUE"""),7.78664)</f>
        <v>7.78664</v>
      </c>
      <c r="D6084" s="7">
        <f>IFERROR(__xludf.DUMMYFUNCTION("""COMPUTED_VALUE"""),0.491525423728813)</f>
        <v>0.4915254237</v>
      </c>
    </row>
    <row r="6085">
      <c r="A6085" s="10" t="s">
        <v>7524</v>
      </c>
      <c r="B6085" s="7" t="str">
        <f>IFERROR(__xludf.DUMMYFUNCTION("SPLIT(A6085,"" "")"),"COC(C)c1ccc(CN2CCN(C)CCN(Cc3cccc(C(C)(c4ccccn4)c4ccccn4)n3)CC2)cn1")</f>
        <v>COC(C)c1ccc(CN2CCN(C)CCN(Cc3cccc(C(C)(c4ccccn4)c4ccccn4)n3)CC2)cn1</v>
      </c>
      <c r="C6085" s="7">
        <f>IFERROR(__xludf.DUMMYFUNCTION("""COMPUTED_VALUE"""),7.786633)</f>
        <v>7.786633</v>
      </c>
      <c r="D6085" s="7">
        <f>IFERROR(__xludf.DUMMYFUNCTION("""COMPUTED_VALUE"""),0.440677966101694)</f>
        <v>0.4406779661</v>
      </c>
    </row>
    <row r="6086">
      <c r="A6086" s="10" t="s">
        <v>7525</v>
      </c>
      <c r="B6086" s="7" t="str">
        <f>IFERROR(__xludf.DUMMYFUNCTION("SPLIT(A6086,"" "")"),"CC1CCC1N(Cc1ccccn1)C1CCC(N(C)c2ccc3cccnc3c2)CC1")</f>
        <v>CC1CCC1N(Cc1ccccn1)C1CCC(N(C)c2ccc3cccnc3c2)CC1</v>
      </c>
      <c r="C6086" s="7">
        <f>IFERROR(__xludf.DUMMYFUNCTION("""COMPUTED_VALUE"""),7.7866306)</f>
        <v>7.7866306</v>
      </c>
      <c r="D6086" s="7">
        <f>IFERROR(__xludf.DUMMYFUNCTION("""COMPUTED_VALUE"""),0.403508771929824)</f>
        <v>0.4035087719</v>
      </c>
    </row>
    <row r="6087">
      <c r="A6087" s="10" t="s">
        <v>7526</v>
      </c>
      <c r="B6087" s="7" t="str">
        <f>IFERROR(__xludf.DUMMYFUNCTION("SPLIT(A6087,"" "")"),"CC1=C(NCc2ccccn2)CC(CN(Cc2ccccn2)Cc2ccccn2)CC1C")</f>
        <v>CC1=C(NCc2ccccn2)CC(CN(Cc2ccccn2)Cc2ccccn2)CC1C</v>
      </c>
      <c r="C6087" s="7">
        <f>IFERROR(__xludf.DUMMYFUNCTION("""COMPUTED_VALUE"""),7.7866244)</f>
        <v>7.7866244</v>
      </c>
      <c r="D6087" s="7">
        <f>IFERROR(__xludf.DUMMYFUNCTION("""COMPUTED_VALUE"""),0.413043478260869)</f>
        <v>0.4130434783</v>
      </c>
    </row>
    <row r="6088">
      <c r="A6088" s="10" t="s">
        <v>7527</v>
      </c>
      <c r="B6088" s="7" t="str">
        <f>IFERROR(__xludf.DUMMYFUNCTION("SPLIT(A6088,"" "")"),"CNC1C(N(Cc2ccc(C)cn2)Cc2cccc(C)n2)CCCC1N(Cc1cccc(C)n1)Cc1cccc(C)n1")</f>
        <v>CNC1C(N(Cc2ccc(C)cn2)Cc2cccc(C)n2)CCCC1N(Cc1cccc(C)n1)Cc1cccc(C)n1</v>
      </c>
      <c r="C6088" s="7">
        <f>IFERROR(__xludf.DUMMYFUNCTION("""COMPUTED_VALUE"""),7.7866187)</f>
        <v>7.7866187</v>
      </c>
      <c r="D6088" s="7">
        <f>IFERROR(__xludf.DUMMYFUNCTION("""COMPUTED_VALUE"""),0.5)</f>
        <v>0.5</v>
      </c>
    </row>
    <row r="6089">
      <c r="A6089" s="10" t="s">
        <v>7528</v>
      </c>
      <c r="B6089" s="7" t="str">
        <f>IFERROR(__xludf.DUMMYFUNCTION("SPLIT(A6089,"" "")"),"CN(Cc1ccc(C2=CC3OC=COCCOCCOCCOCCOC3C=C2)cn1)Cc1ccc(-c2ccc(N(C)C)cc2)cn1")</f>
        <v>CN(Cc1ccc(C2=CC3OC=COCCOCCOCCOCCOC3C=C2)cn1)Cc1ccc(-c2ccc(N(C)C)cc2)cn1</v>
      </c>
      <c r="C6089" s="7">
        <f>IFERROR(__xludf.DUMMYFUNCTION("""COMPUTED_VALUE"""),7.7866178)</f>
        <v>7.7866178</v>
      </c>
      <c r="D6089" s="7">
        <f>IFERROR(__xludf.DUMMYFUNCTION("""COMPUTED_VALUE"""),0.28125)</f>
        <v>0.28125</v>
      </c>
    </row>
    <row r="6090">
      <c r="A6090" s="10" t="s">
        <v>7529</v>
      </c>
      <c r="B6090" s="7" t="str">
        <f>IFERROR(__xludf.DUMMYFUNCTION("SPLIT(A6090,"" "")"),"Cc1cccc(CNCCCN(C)Cc2ncc(C)c(C)c2C)n1")</f>
        <v>Cc1cccc(CNCCCN(C)Cc2ncc(C)c(C)c2C)n1</v>
      </c>
      <c r="C6090" s="7">
        <f>IFERROR(__xludf.DUMMYFUNCTION("""COMPUTED_VALUE"""),7.786615)</f>
        <v>7.786615</v>
      </c>
      <c r="D6090" s="7">
        <f>IFERROR(__xludf.DUMMYFUNCTION("""COMPUTED_VALUE"""),0.458333333333333)</f>
        <v>0.4583333333</v>
      </c>
    </row>
    <row r="6091">
      <c r="A6091" s="10" t="s">
        <v>7530</v>
      </c>
      <c r="B6091" s="7" t="str">
        <f>IFERROR(__xludf.DUMMYFUNCTION("SPLIT(A6091,"" "")"),"CC(C)N(C)C1CCCC(N(C)c2cccc3ncccc23)C1")</f>
        <v>CC(C)N(C)C1CCCC(N(C)c2cccc3ncccc23)C1</v>
      </c>
      <c r="C6091" s="7">
        <f>IFERROR(__xludf.DUMMYFUNCTION("""COMPUTED_VALUE"""),7.7866144)</f>
        <v>7.7866144</v>
      </c>
      <c r="D6091" s="7">
        <f>IFERROR(__xludf.DUMMYFUNCTION("""COMPUTED_VALUE"""),0.377358490566037)</f>
        <v>0.3773584906</v>
      </c>
    </row>
    <row r="6092">
      <c r="A6092" s="10" t="s">
        <v>7531</v>
      </c>
      <c r="B6092" s="7" t="str">
        <f>IFERROR(__xludf.DUMMYFUNCTION("SPLIT(A6092,"" "")"),"CN(Cc1ccccn1)C1=CCC=C(CN(Cc2ccccn2)Cc2cccc(-c3ccc4c(c3)OCCOCCOCCOCCOCCO4)n2)N1")</f>
        <v>CN(Cc1ccccn1)C1=CCC=C(CN(Cc2ccccn2)Cc2cccc(-c3ccc4c(c3)OCCOCCOCCOCCOCCO4)n2)N1</v>
      </c>
      <c r="C6092" s="7">
        <f>IFERROR(__xludf.DUMMYFUNCTION("""COMPUTED_VALUE"""),7.7866077)</f>
        <v>7.7866077</v>
      </c>
      <c r="D6092" s="7">
        <f>IFERROR(__xludf.DUMMYFUNCTION("""COMPUTED_VALUE"""),0.430555555555555)</f>
        <v>0.4305555556</v>
      </c>
    </row>
    <row r="6093">
      <c r="A6093" s="10" t="s">
        <v>7532</v>
      </c>
      <c r="B6093" s="7" t="str">
        <f>IFERROR(__xludf.DUMMYFUNCTION("SPLIT(A6093,"" "")"),"Cc1cccnc1CN(Cc1ccccn1)C1CC(N(C)Cc2ccccn2)CC(N(C)Cc2cccnc2C)C1")</f>
        <v>Cc1cccnc1CN(Cc1ccccn1)C1CC(N(C)Cc2ccccn2)CC(N(C)Cc2cccnc2C)C1</v>
      </c>
      <c r="C6093" s="7">
        <f>IFERROR(__xludf.DUMMYFUNCTION("""COMPUTED_VALUE"""),7.7865963)</f>
        <v>7.7865963</v>
      </c>
      <c r="D6093" s="7">
        <f>IFERROR(__xludf.DUMMYFUNCTION("""COMPUTED_VALUE"""),0.418181818181818)</f>
        <v>0.4181818182</v>
      </c>
    </row>
    <row r="6094">
      <c r="A6094" s="10" t="s">
        <v>7533</v>
      </c>
      <c r="B6094" s="7" t="str">
        <f>IFERROR(__xludf.DUMMYFUNCTION("SPLIT(A6094,"" "")"),"Cc1ccc(CN(Cc2ncccc2C)C2CC(N(C)Cc3cncc(C)c3)CC(N(C)Cc3ccccn3)C2)nc1")</f>
        <v>Cc1ccc(CN(Cc2ncccc2C)C2CC(N(C)Cc3cncc(C)c3)CC(N(C)Cc3ccccn3)C2)nc1</v>
      </c>
      <c r="C6094" s="7">
        <f>IFERROR(__xludf.DUMMYFUNCTION("""COMPUTED_VALUE"""),7.7865844)</f>
        <v>7.7865844</v>
      </c>
      <c r="D6094" s="7">
        <f>IFERROR(__xludf.DUMMYFUNCTION("""COMPUTED_VALUE"""),0.369230769230769)</f>
        <v>0.3692307692</v>
      </c>
    </row>
    <row r="6095">
      <c r="A6095" s="10" t="s">
        <v>7534</v>
      </c>
      <c r="B6095" s="7" t="str">
        <f>IFERROR(__xludf.DUMMYFUNCTION("SPLIT(A6095,"" "")"),"Cc1nc(CN(C)C2CCCC(N(Cc3cccc(F)n3)Cc3ncccc3N)C2)c(C)c(C)c1C")</f>
        <v>Cc1nc(CN(C)C2CCCC(N(Cc3cccc(F)n3)Cc3ncccc3N)C2)c(C)c(C)c1C</v>
      </c>
      <c r="C6095" s="7">
        <f>IFERROR(__xludf.DUMMYFUNCTION("""COMPUTED_VALUE"""),7.786583)</f>
        <v>7.786583</v>
      </c>
      <c r="D6095" s="7">
        <f>IFERROR(__xludf.DUMMYFUNCTION("""COMPUTED_VALUE"""),0.304347826086956)</f>
        <v>0.3043478261</v>
      </c>
    </row>
    <row r="6096">
      <c r="A6096" s="10" t="s">
        <v>7535</v>
      </c>
      <c r="B6096" s="7" t="str">
        <f>IFERROR(__xludf.DUMMYFUNCTION("SPLIT(A6096,"" "")"),"Cc1cc(CN(Cc2ccccn2)C2CCC(N(C)Cc3nc(C)c(C)c(C)c3C)CC2)cnc1C")</f>
        <v>Cc1cc(CN(Cc2ccccn2)C2CCC(N(C)Cc3nc(C)c(C)c(C)c3C)CC2)cnc1C</v>
      </c>
      <c r="C6096" s="7">
        <f>IFERROR(__xludf.DUMMYFUNCTION("""COMPUTED_VALUE"""),7.786574)</f>
        <v>7.786574</v>
      </c>
      <c r="D6096" s="7">
        <f>IFERROR(__xludf.DUMMYFUNCTION("""COMPUTED_VALUE"""),0.377049180327868)</f>
        <v>0.3770491803</v>
      </c>
    </row>
    <row r="6097">
      <c r="A6097" s="10" t="s">
        <v>7536</v>
      </c>
      <c r="B6097" s="7" t="str">
        <f>IFERROR(__xludf.DUMMYFUNCTION("SPLIT(A6097,"" "")"),"CC(C)(c1ccccn1)N(Cc1ccccn1)C1CCCCC1N(Cc1ccccn1)c1ccccc1F")</f>
        <v>CC(C)(c1ccccn1)N(Cc1ccccn1)C1CCCCC1N(Cc1ccccn1)c1ccccc1F</v>
      </c>
      <c r="C6097" s="7">
        <f>IFERROR(__xludf.DUMMYFUNCTION("""COMPUTED_VALUE"""),7.786566)</f>
        <v>7.786566</v>
      </c>
      <c r="D6097" s="7">
        <f>IFERROR(__xludf.DUMMYFUNCTION("""COMPUTED_VALUE"""),0.462962962962962)</f>
        <v>0.462962963</v>
      </c>
    </row>
    <row r="6098">
      <c r="A6098" s="10" t="s">
        <v>7537</v>
      </c>
      <c r="B6098" s="7" t="str">
        <f>IFERROR(__xludf.DUMMYFUNCTION("SPLIT(A6098,"" "")"),"Cc1ccc(CN(C)C2CC(N(C)Cc3ccccn3)CC(N(Cc3ccccn3)Cc3cccc(C)n3)C2)nc1")</f>
        <v>Cc1ccc(CN(C)C2CC(N(C)Cc3ccccn3)CC(N(Cc3ccccn3)Cc3cccc(C)n3)C2)nc1</v>
      </c>
      <c r="C6098" s="7">
        <f>IFERROR(__xludf.DUMMYFUNCTION("""COMPUTED_VALUE"""),7.786566)</f>
        <v>7.786566</v>
      </c>
      <c r="D6098" s="7">
        <f>IFERROR(__xludf.DUMMYFUNCTION("""COMPUTED_VALUE"""),0.444444444444444)</f>
        <v>0.4444444444</v>
      </c>
    </row>
    <row r="6099">
      <c r="A6099" s="10" t="s">
        <v>7538</v>
      </c>
      <c r="B6099" s="7" t="str">
        <f>IFERROR(__xludf.DUMMYFUNCTION("SPLIT(A6099,"" "")"),"FCc1cccc(N(Cc2ccccn2)Cc2ccc(-c3ccc4c(c3)OCCOCCOCCOCCOCCO4)cn2)n1")</f>
        <v>FCc1cccc(N(Cc2ccccn2)Cc2ccc(-c3ccc4c(c3)OCCOCCOCCOCCOCCO4)cn2)n1</v>
      </c>
      <c r="C6099" s="7">
        <f>IFERROR(__xludf.DUMMYFUNCTION("""COMPUTED_VALUE"""),7.786565)</f>
        <v>7.786565</v>
      </c>
      <c r="D6099" s="7">
        <f>IFERROR(__xludf.DUMMYFUNCTION("""COMPUTED_VALUE"""),0.44776119402985)</f>
        <v>0.447761194</v>
      </c>
    </row>
    <row r="6100">
      <c r="A6100" s="10" t="s">
        <v>7539</v>
      </c>
      <c r="B6100" s="7" t="str">
        <f>IFERROR(__xludf.DUMMYFUNCTION("SPLIT(A6100,"" "")"),"Cc1cnc(CN(C)C2CCCC(N(Cc3ccccn3)Cc3nc(C)c(C)c(C)c3C)C2)c(C)c1")</f>
        <v>Cc1cnc(CN(C)C2CCCC(N(Cc3ccccn3)Cc3nc(C)c(C)c(C)c3C)C2)c(C)c1</v>
      </c>
      <c r="C6100" s="7">
        <f>IFERROR(__xludf.DUMMYFUNCTION("""COMPUTED_VALUE"""),7.7865586)</f>
        <v>7.7865586</v>
      </c>
      <c r="D6100" s="7">
        <f>IFERROR(__xludf.DUMMYFUNCTION("""COMPUTED_VALUE"""),0.38095238095238)</f>
        <v>0.380952381</v>
      </c>
    </row>
    <row r="6101">
      <c r="A6101" s="10" t="s">
        <v>7540</v>
      </c>
      <c r="B6101" s="7" t="str">
        <f>IFERROR(__xludf.DUMMYFUNCTION("SPLIT(A6101,"" "")"),"COC(=O)C(=O)C(C)c1cccc(CN(Cc2ccccn2)Cc2cc(-c3ccc4c(c3)OCCOCCOCCOCCOCCO4)ccn2)n1")</f>
        <v>COC(=O)C(=O)C(C)c1cccc(CN(Cc2ccccn2)Cc2cc(-c3ccc4c(c3)OCCOCCOCCOCCOCCO4)ccn2)n1</v>
      </c>
      <c r="C6101" s="7">
        <f>IFERROR(__xludf.DUMMYFUNCTION("""COMPUTED_VALUE"""),7.786557)</f>
        <v>7.786557</v>
      </c>
      <c r="D6101" s="7">
        <f>IFERROR(__xludf.DUMMYFUNCTION("""COMPUTED_VALUE"""),0.363636363636363)</f>
        <v>0.3636363636</v>
      </c>
    </row>
    <row r="6102">
      <c r="A6102" s="10" t="s">
        <v>7541</v>
      </c>
      <c r="B6102" s="7" t="str">
        <f>IFERROR(__xludf.DUMMYFUNCTION("SPLIT(A6102,"" "")"),"CNCCNC1C=CC=C(N(C)Cc2ccccn2)N1")</f>
        <v>CNCCNC1C=CC=C(N(C)Cc2ccccn2)N1</v>
      </c>
      <c r="C6102" s="7">
        <f>IFERROR(__xludf.DUMMYFUNCTION("""COMPUTED_VALUE"""),7.786554)</f>
        <v>7.786554</v>
      </c>
      <c r="D6102" s="7">
        <f>IFERROR(__xludf.DUMMYFUNCTION("""COMPUTED_VALUE"""),0.396226415094339)</f>
        <v>0.3962264151</v>
      </c>
    </row>
    <row r="6103">
      <c r="A6103" s="10" t="s">
        <v>7542</v>
      </c>
      <c r="B6103" s="7" t="str">
        <f>IFERROR(__xludf.DUMMYFUNCTION("SPLIT(A6103,"" "")"),"CC1C=CC=C(N(C)Cc2ccccn2)C1C")</f>
        <v>CC1C=CC=C(N(C)Cc2ccccn2)C1C</v>
      </c>
      <c r="C6103" s="7">
        <f>IFERROR(__xludf.DUMMYFUNCTION("""COMPUTED_VALUE"""),7.78655)</f>
        <v>7.78655</v>
      </c>
      <c r="D6103" s="7">
        <f>IFERROR(__xludf.DUMMYFUNCTION("""COMPUTED_VALUE"""),0.488372093023255)</f>
        <v>0.488372093</v>
      </c>
    </row>
    <row r="6104">
      <c r="A6104" s="10" t="s">
        <v>7543</v>
      </c>
      <c r="B6104" s="7" t="str">
        <f>IFERROR(__xludf.DUMMYFUNCTION("SPLIT(A6104,"" "")"),"Cc1cnccc1CN(C)C1=CNC=CC1CN(C)C(C)C")</f>
        <v>Cc1cnccc1CN(C)C1=CNC=CC1CN(C)C(C)C</v>
      </c>
      <c r="C6104" s="7">
        <f>IFERROR(__xludf.DUMMYFUNCTION("""COMPUTED_VALUE"""),7.786548)</f>
        <v>7.786548</v>
      </c>
      <c r="D6104" s="7">
        <f>IFERROR(__xludf.DUMMYFUNCTION("""COMPUTED_VALUE"""),0.196721311475409)</f>
        <v>0.1967213115</v>
      </c>
    </row>
    <row r="6105">
      <c r="A6105" s="10" t="s">
        <v>7544</v>
      </c>
      <c r="B6105" s="7" t="str">
        <f>IFERROR(__xludf.DUMMYFUNCTION("SPLIT(A6105,"" "")"),"Cc1ccnc(CN(C)C2CCCCC2N(C)c2cccc(CN(C)Cc3ncccc3C)n2)c1")</f>
        <v>Cc1ccnc(CN(C)C2CCCCC2N(C)c2cccc(CN(C)Cc3ncccc3C)n2)c1</v>
      </c>
      <c r="C6105" s="7">
        <f>IFERROR(__xludf.DUMMYFUNCTION("""COMPUTED_VALUE"""),7.7865353)</f>
        <v>7.7865353</v>
      </c>
      <c r="D6105" s="7">
        <f>IFERROR(__xludf.DUMMYFUNCTION("""COMPUTED_VALUE"""),0.457627118644067)</f>
        <v>0.4576271186</v>
      </c>
    </row>
    <row r="6106">
      <c r="A6106" s="10" t="s">
        <v>7545</v>
      </c>
      <c r="B6106" s="7" t="str">
        <f>IFERROR(__xludf.DUMMYFUNCTION("SPLIT(A6106,"" "")"),"Cc1ccc(CN2CCN(C)CCN(Cc3ccnc(-c4ccccc4C)c3)CC2)nc1")</f>
        <v>Cc1ccc(CN2CCN(C)CCN(Cc3ccnc(-c4ccccc4C)c3)CC2)nc1</v>
      </c>
      <c r="C6106" s="7">
        <f>IFERROR(__xludf.DUMMYFUNCTION("""COMPUTED_VALUE"""),7.786522)</f>
        <v>7.786522</v>
      </c>
      <c r="D6106" s="7">
        <f>IFERROR(__xludf.DUMMYFUNCTION("""COMPUTED_VALUE"""),0.471698113207547)</f>
        <v>0.4716981132</v>
      </c>
    </row>
    <row r="6107">
      <c r="A6107" s="10" t="s">
        <v>7546</v>
      </c>
      <c r="B6107" s="7" t="str">
        <f>IFERROR(__xludf.DUMMYFUNCTION("SPLIT(A6107,"" "")"),"Nc1ccccc1F")</f>
        <v>Nc1ccccc1F</v>
      </c>
      <c r="C6107" s="7">
        <f>IFERROR(__xludf.DUMMYFUNCTION("""COMPUTED_VALUE"""),7.7865186)</f>
        <v>7.7865186</v>
      </c>
      <c r="D6107" s="7">
        <f>IFERROR(__xludf.DUMMYFUNCTION("""COMPUTED_VALUE"""),0.264705882352941)</f>
        <v>0.2647058824</v>
      </c>
    </row>
    <row r="6108">
      <c r="A6108" s="10" t="s">
        <v>7547</v>
      </c>
      <c r="B6108" s="7" t="str">
        <f>IFERROR(__xludf.DUMMYFUNCTION("SPLIT(A6108,"" "")"),"CC1C=CCC(C)(c2ncccc2CN(Cc2ccccn2)Cc2ccccn2)C1C")</f>
        <v>CC1C=CCC(C)(c2ncccc2CN(Cc2ccccn2)Cc2ccccn2)C1C</v>
      </c>
      <c r="C6108" s="7">
        <f>IFERROR(__xludf.DUMMYFUNCTION("""COMPUTED_VALUE"""),7.7865057)</f>
        <v>7.7865057</v>
      </c>
      <c r="D6108" s="7">
        <f>IFERROR(__xludf.DUMMYFUNCTION("""COMPUTED_VALUE"""),0.434782608695652)</f>
        <v>0.4347826087</v>
      </c>
    </row>
    <row r="6109">
      <c r="A6109" s="10" t="s">
        <v>7548</v>
      </c>
      <c r="B6109" s="7" t="str">
        <f>IFERROR(__xludf.DUMMYFUNCTION("SPLIT(A6109,"" "")"),"CCNCCN(C)Cc1nc(C)c(C)cc1C")</f>
        <v>CCNCCN(C)Cc1nc(C)c(C)cc1C</v>
      </c>
      <c r="C6109" s="7">
        <f>IFERROR(__xludf.DUMMYFUNCTION("""COMPUTED_VALUE"""),7.786505)</f>
        <v>7.786505</v>
      </c>
      <c r="D6109" s="7">
        <f>IFERROR(__xludf.DUMMYFUNCTION("""COMPUTED_VALUE"""),0.288888888888888)</f>
        <v>0.2888888889</v>
      </c>
    </row>
    <row r="6110">
      <c r="A6110" s="10" t="s">
        <v>7549</v>
      </c>
      <c r="B6110" s="7" t="str">
        <f>IFERROR(__xludf.DUMMYFUNCTION("SPLIT(A6110,"" "")"),"Cc1nc(CN(C)C2CCCC(N(Cc3ccc(CN(C)C)nc3)Cc3ccccn3)C2)c(C)c(C)c1C")</f>
        <v>Cc1nc(CN(C)C2CCCC(N(Cc3ccc(CN(C)C)nc3)Cc3ccccn3)C2)c(C)c(C)c1C</v>
      </c>
      <c r="C6110" s="7">
        <f>IFERROR(__xludf.DUMMYFUNCTION("""COMPUTED_VALUE"""),7.786502)</f>
        <v>7.786502</v>
      </c>
      <c r="D6110" s="7">
        <f>IFERROR(__xludf.DUMMYFUNCTION("""COMPUTED_VALUE"""),0.38095238095238)</f>
        <v>0.380952381</v>
      </c>
    </row>
    <row r="6111">
      <c r="A6111" s="10" t="s">
        <v>7550</v>
      </c>
      <c r="B6111" s="7" t="str">
        <f>IFERROR(__xludf.DUMMYFUNCTION("SPLIT(A6111,"" "")"),"Cc1cc(CN(C)C2CCCC(N(Cc3ccccn3)Cc3nc(C)c(C)c(C)c3C)C2)cnc1C")</f>
        <v>Cc1cc(CN(C)C2CCCC(N(Cc3ccccn3)Cc3nc(C)c(C)c(C)c3C)C2)cnc1C</v>
      </c>
      <c r="C6111" s="7">
        <f>IFERROR(__xludf.DUMMYFUNCTION("""COMPUTED_VALUE"""),7.7864985)</f>
        <v>7.7864985</v>
      </c>
      <c r="D6111" s="7">
        <f>IFERROR(__xludf.DUMMYFUNCTION("""COMPUTED_VALUE"""),0.38095238095238)</f>
        <v>0.380952381</v>
      </c>
    </row>
    <row r="6112">
      <c r="A6112" s="10" t="s">
        <v>7551</v>
      </c>
      <c r="B6112" s="7" t="str">
        <f>IFERROR(__xludf.DUMMYFUNCTION("SPLIT(A6112,"" "")"),"CNc1cncc(CN(Cc2ccccn2)C2CCC(N(C)Cc3cc(C)c(C)c(C)n3)CC2)c1")</f>
        <v>CNc1cncc(CN(Cc2ccccn2)C2CCC(N(C)Cc3cc(C)c(C)c(C)n3)CC2)c1</v>
      </c>
      <c r="C6112" s="7">
        <f>IFERROR(__xludf.DUMMYFUNCTION("""COMPUTED_VALUE"""),7.786496)</f>
        <v>7.786496</v>
      </c>
      <c r="D6112" s="7">
        <f>IFERROR(__xludf.DUMMYFUNCTION("""COMPUTED_VALUE"""),0.369230769230769)</f>
        <v>0.3692307692</v>
      </c>
    </row>
    <row r="6113">
      <c r="A6113" s="10" t="s">
        <v>7552</v>
      </c>
      <c r="B6113" s="7" t="str">
        <f>IFERROR(__xludf.DUMMYFUNCTION("SPLIT(A6113,"" "")"),"Cc1ccccc1CN(C)Cc1cccc(N(C)Cc2cccc(-c3ccc4c(c3)OCCOCCOCCOCCOCCO4)n2)n1")</f>
        <v>Cc1ccccc1CN(C)Cc1cccc(N(C)Cc2cccc(-c3ccc4c(c3)OCCOCCOCCOCCOCCO4)n2)n1</v>
      </c>
      <c r="C6113" s="7">
        <f>IFERROR(__xludf.DUMMYFUNCTION("""COMPUTED_VALUE"""),7.7864933)</f>
        <v>7.7864933</v>
      </c>
      <c r="D6113" s="7">
        <f>IFERROR(__xludf.DUMMYFUNCTION("""COMPUTED_VALUE"""),0.338461538461538)</f>
        <v>0.3384615385</v>
      </c>
    </row>
    <row r="6114">
      <c r="A6114" s="10" t="s">
        <v>7553</v>
      </c>
      <c r="B6114" s="7" t="str">
        <f>IFERROR(__xludf.DUMMYFUNCTION("SPLIT(A6114,"" "")"),"Cc1cc(C)c(C)c(-c2ncccc2CN2CCN(C)CCN(C)CC2)c1")</f>
        <v>Cc1cc(C)c(C)c(-c2ncccc2CN2CCN(C)CCN(C)CC2)c1</v>
      </c>
      <c r="C6114" s="7">
        <f>IFERROR(__xludf.DUMMYFUNCTION("""COMPUTED_VALUE"""),7.7864823)</f>
        <v>7.7864823</v>
      </c>
      <c r="D6114" s="7">
        <f>IFERROR(__xludf.DUMMYFUNCTION("""COMPUTED_VALUE"""),0.448979591836734)</f>
        <v>0.4489795918</v>
      </c>
    </row>
    <row r="6115">
      <c r="A6115" s="10" t="s">
        <v>7554</v>
      </c>
      <c r="B6115" s="7" t="str">
        <f>IFERROR(__xludf.DUMMYFUNCTION("SPLIT(A6115,"" "")"),"Cc1cc(CN(C)CCN(C)CCF)nc(C)c1C")</f>
        <v>Cc1cc(CN(C)CCN(C)CCF)nc(C)c1C</v>
      </c>
      <c r="C6115" s="7">
        <f>IFERROR(__xludf.DUMMYFUNCTION("""COMPUTED_VALUE"""),7.786475)</f>
        <v>7.786475</v>
      </c>
      <c r="D6115" s="7">
        <f>IFERROR(__xludf.DUMMYFUNCTION("""COMPUTED_VALUE"""),0.4)</f>
        <v>0.4</v>
      </c>
    </row>
    <row r="6116">
      <c r="A6116" s="10" t="s">
        <v>7555</v>
      </c>
      <c r="B6116" s="7" t="str">
        <f>IFERROR(__xludf.DUMMYFUNCTION("SPLIT(A6116,"" "")"),"CC(N)C(C)C(C)N(Cc1ccccn1)Cc1cccc(C(C)(C)c2ccccn2)n1")</f>
        <v>CC(N)C(C)C(C)N(Cc1ccccn1)Cc1cccc(C(C)(C)c2ccccn2)n1</v>
      </c>
      <c r="C6116" s="7">
        <f>IFERROR(__xludf.DUMMYFUNCTION("""COMPUTED_VALUE"""),7.786468)</f>
        <v>7.786468</v>
      </c>
      <c r="D6116" s="7">
        <f>IFERROR(__xludf.DUMMYFUNCTION("""COMPUTED_VALUE"""),0.448979591836734)</f>
        <v>0.4489795918</v>
      </c>
    </row>
    <row r="6117">
      <c r="A6117" s="10" t="s">
        <v>7556</v>
      </c>
      <c r="B6117" s="7" t="str">
        <f>IFERROR(__xludf.DUMMYFUNCTION("SPLIT(A6117,"" "")"),"CCN(Cc1ccccn1)C1CC(N(C)Cc2ccccn2)CC(N(Cc2ccccn2)Cc2ncc(C)c(C)c2C)C1")</f>
        <v>CCN(Cc1ccccn1)C1CC(N(C)Cc2ccccn2)CC(N(Cc2ccccn2)Cc2ncc(C)c(C)c2C)C1</v>
      </c>
      <c r="C6117" s="7">
        <f>IFERROR(__xludf.DUMMYFUNCTION("""COMPUTED_VALUE"""),7.7864633)</f>
        <v>7.7864633</v>
      </c>
      <c r="D6117" s="7">
        <f>IFERROR(__xludf.DUMMYFUNCTION("""COMPUTED_VALUE"""),0.425925925925925)</f>
        <v>0.4259259259</v>
      </c>
    </row>
    <row r="6118">
      <c r="A6118" s="10" t="s">
        <v>7557</v>
      </c>
      <c r="B6118" s="7" t="str">
        <f>IFERROR(__xludf.DUMMYFUNCTION("SPLIT(A6118,"" "")"),"CC1C=C(N(C)Cc2ccccn2)C(C(C)(C)CN(Cc2ccccn2)Cc2ccon2)CC1C")</f>
        <v>CC1C=C(N(C)Cc2ccccn2)C(C(C)(C)CN(Cc2ccccn2)Cc2ccon2)CC1C</v>
      </c>
      <c r="C6118" s="7">
        <f>IFERROR(__xludf.DUMMYFUNCTION("""COMPUTED_VALUE"""),7.7864566)</f>
        <v>7.7864566</v>
      </c>
      <c r="D6118" s="7">
        <f>IFERROR(__xludf.DUMMYFUNCTION("""COMPUTED_VALUE"""),0.377049180327868)</f>
        <v>0.3770491803</v>
      </c>
    </row>
    <row r="6119">
      <c r="A6119" s="10" t="s">
        <v>7558</v>
      </c>
      <c r="B6119" s="7" t="str">
        <f>IFERROR(__xludf.DUMMYFUNCTION("SPLIT(A6119,"" "")"),"C=CCN(C)Cc1cc(C(C)(C)C)ccn1")</f>
        <v>C=CCN(C)Cc1cc(C(C)(C)C)ccn1</v>
      </c>
      <c r="C6119" s="7">
        <f>IFERROR(__xludf.DUMMYFUNCTION("""COMPUTED_VALUE"""),7.786456)</f>
        <v>7.786456</v>
      </c>
      <c r="D6119" s="7">
        <f>IFERROR(__xludf.DUMMYFUNCTION("""COMPUTED_VALUE"""),0.321428571428571)</f>
        <v>0.3214285714</v>
      </c>
    </row>
    <row r="6120">
      <c r="A6120" s="10" t="s">
        <v>7559</v>
      </c>
      <c r="B6120" s="7" t="str">
        <f>IFERROR(__xludf.DUMMYFUNCTION("SPLIT(A6120,"" "")"),"CN(c1ccc2nc(CF)ccc2c1)C1CCC(N(Cc2ccccn2)Cc2ccc(-c3ccc4c(c3)OCCOCCOCCOCCOCCO4)cn2)CC1")</f>
        <v>CN(c1ccc2nc(CF)ccc2c1)C1CCC(N(Cc2ccccn2)Cc2ccc(-c3ccc4c(c3)OCCOCCOCCOCCOCCO4)cn2)CC1</v>
      </c>
      <c r="C6120" s="7">
        <f>IFERROR(__xludf.DUMMYFUNCTION("""COMPUTED_VALUE"""),7.786456)</f>
        <v>7.786456</v>
      </c>
      <c r="D6120" s="7">
        <f>IFERROR(__xludf.DUMMYFUNCTION("""COMPUTED_VALUE"""),0.4)</f>
        <v>0.4</v>
      </c>
    </row>
    <row r="6121">
      <c r="A6121" s="10" t="s">
        <v>7560</v>
      </c>
      <c r="B6121" s="7" t="str">
        <f>IFERROR(__xludf.DUMMYFUNCTION("SPLIT(A6121,"" "")"),"Cc1cccc(CN(C)CC2=CC(N(C)C3C=CC=CN3)C=CN2)n1")</f>
        <v>Cc1cccc(CN(C)CC2=CC(N(C)C3C=CC=CN3)C=CN2)n1</v>
      </c>
      <c r="C6121" s="7">
        <f>IFERROR(__xludf.DUMMYFUNCTION("""COMPUTED_VALUE"""),7.786456)</f>
        <v>7.786456</v>
      </c>
      <c r="D6121" s="7">
        <f>IFERROR(__xludf.DUMMYFUNCTION("""COMPUTED_VALUE"""),0.423076923076923)</f>
        <v>0.4230769231</v>
      </c>
    </row>
    <row r="6122">
      <c r="A6122" s="10" t="s">
        <v>7561</v>
      </c>
      <c r="B6122" s="7" t="str">
        <f>IFERROR(__xludf.DUMMYFUNCTION("SPLIT(A6122,"" "")"),"c1ccc(C2N=C(CC3CCN(Cc4ccccn4)C3)OC2CN(Cc2ccccn2)Cc2ccccn2)cc1")</f>
        <v>c1ccc(C2N=C(CC3CCN(Cc4ccccn4)C3)OC2CN(Cc2ccccn2)Cc2ccccn2)cc1</v>
      </c>
      <c r="C6122" s="7">
        <f>IFERROR(__xludf.DUMMYFUNCTION("""COMPUTED_VALUE"""),7.786442)</f>
        <v>7.786442</v>
      </c>
      <c r="D6122" s="7">
        <f>IFERROR(__xludf.DUMMYFUNCTION("""COMPUTED_VALUE"""),0.36231884057971)</f>
        <v>0.3623188406</v>
      </c>
    </row>
    <row r="6123">
      <c r="A6123" s="10" t="s">
        <v>7562</v>
      </c>
      <c r="B6123" s="7" t="str">
        <f>IFERROR(__xludf.DUMMYFUNCTION("SPLIT(A6123,"" "")"),"CN(c1ccc2nccc(CF)c2c1)C1CCCCC1N(Cc1ccccn1)Cc1cccc(-c2ccc3c(c2)OCCOCCOCCOCCOCCO3)n1")</f>
        <v>CN(c1ccc2nccc(CF)c2c1)C1CCCCC1N(Cc1ccccn1)Cc1cccc(-c2ccc3c(c2)OCCOCCOCCOCCOCCO3)n1</v>
      </c>
      <c r="C6123" s="7">
        <f>IFERROR(__xludf.DUMMYFUNCTION("""COMPUTED_VALUE"""),7.786436)</f>
        <v>7.786436</v>
      </c>
      <c r="D6123" s="7">
        <f>IFERROR(__xludf.DUMMYFUNCTION("""COMPUTED_VALUE"""),0.333333333333333)</f>
        <v>0.3333333333</v>
      </c>
    </row>
    <row r="6124">
      <c r="A6124" s="10" t="s">
        <v>7563</v>
      </c>
      <c r="B6124" s="7" t="str">
        <f>IFERROR(__xludf.DUMMYFUNCTION("SPLIT(A6124,"" "")"),"CC(C)N(C)C1CCC(N(C)c2ccc3nc(CF)ccc3c2)CC1")</f>
        <v>CC(C)N(C)C1CCC(N(C)c2ccc3nc(CF)ccc3c2)CC1</v>
      </c>
      <c r="C6124" s="7">
        <f>IFERROR(__xludf.DUMMYFUNCTION("""COMPUTED_VALUE"""),7.786429)</f>
        <v>7.786429</v>
      </c>
      <c r="D6124" s="7">
        <f>IFERROR(__xludf.DUMMYFUNCTION("""COMPUTED_VALUE"""),0.368421052631578)</f>
        <v>0.3684210526</v>
      </c>
    </row>
    <row r="6125">
      <c r="A6125" s="10" t="s">
        <v>7564</v>
      </c>
      <c r="B6125" s="7" t="str">
        <f>IFERROR(__xludf.DUMMYFUNCTION("SPLIT(A6125,"" "")"),"CC(C)C1COC(c2cccc(CN(Cc3ccccn3)Cc3cccc(-c4ccc5c(c4)OCCOCCOCCOCCOCCO5)n3)n2)=N1")</f>
        <v>CC(C)C1COC(c2cccc(CN(Cc3ccccn3)Cc3cccc(-c4ccc5c(c4)OCCOCCOCCOCCOCCO5)n3)n2)=N1</v>
      </c>
      <c r="C6125" s="7">
        <f>IFERROR(__xludf.DUMMYFUNCTION("""COMPUTED_VALUE"""),7.7864127)</f>
        <v>7.7864127</v>
      </c>
      <c r="D6125" s="7">
        <f>IFERROR(__xludf.DUMMYFUNCTION("""COMPUTED_VALUE"""),0.442857142857142)</f>
        <v>0.4428571429</v>
      </c>
    </row>
    <row r="6126">
      <c r="A6126" s="10" t="s">
        <v>7565</v>
      </c>
      <c r="B6126" s="7" t="str">
        <f>IFERROR(__xludf.DUMMYFUNCTION("SPLIT(A6126,"" "")"),"Cc1ccc(CN(C)C2CCC(N(C)Cc3ccc(C4CC(C)(C)C4)nc3CN(Cc3ccccn3)Cc3ncccc3F)CC2)nc1")</f>
        <v>Cc1ccc(CN(C)C2CCC(N(C)Cc3ccc(C4CC(C)(C)C4)nc3CN(Cc3ccccn3)Cc3ncccc3F)CC2)nc1</v>
      </c>
      <c r="C6126" s="7">
        <f>IFERROR(__xludf.DUMMYFUNCTION("""COMPUTED_VALUE"""),7.7863975)</f>
        <v>7.7863975</v>
      </c>
      <c r="D6126" s="7">
        <f>IFERROR(__xludf.DUMMYFUNCTION("""COMPUTED_VALUE"""),0.342465753424657)</f>
        <v>0.3424657534</v>
      </c>
    </row>
    <row r="6127">
      <c r="A6127" s="10" t="s">
        <v>7566</v>
      </c>
      <c r="B6127" s="7" t="str">
        <f>IFERROR(__xludf.DUMMYFUNCTION("SPLIT(A6127,"" "")"),"CNCc1ccc(C2CC(C)(C)C2)c(C(C)C(C)C)n1")</f>
        <v>CNCc1ccc(C2CC(C)(C)C2)c(C(C)C(C)C)n1</v>
      </c>
      <c r="C6127" s="7">
        <f>IFERROR(__xludf.DUMMYFUNCTION("""COMPUTED_VALUE"""),7.786386)</f>
        <v>7.786386</v>
      </c>
      <c r="D6127" s="7">
        <f>IFERROR(__xludf.DUMMYFUNCTION("""COMPUTED_VALUE"""),0.210526315789473)</f>
        <v>0.2105263158</v>
      </c>
    </row>
    <row r="6128">
      <c r="A6128" s="10" t="s">
        <v>7567</v>
      </c>
      <c r="B6128" s="7" t="str">
        <f>IFERROR(__xludf.DUMMYFUNCTION("SPLIT(A6128,"" "")"),"Cc1cnc(CN(Cc2ccccn2)C2CCCC(N(C)Cc3nc(C)c(C)c(C)c3C)C2)c(C)c1")</f>
        <v>Cc1cnc(CN(Cc2ccccn2)C2CCCC(N(C)Cc3nc(C)c(C)c(C)c3C)C2)c(C)c1</v>
      </c>
      <c r="C6128" s="7">
        <f>IFERROR(__xludf.DUMMYFUNCTION("""COMPUTED_VALUE"""),7.786383)</f>
        <v>7.786383</v>
      </c>
      <c r="D6128" s="7">
        <f>IFERROR(__xludf.DUMMYFUNCTION("""COMPUTED_VALUE"""),0.38095238095238)</f>
        <v>0.380952381</v>
      </c>
    </row>
    <row r="6129">
      <c r="A6129" s="10" t="s">
        <v>7568</v>
      </c>
      <c r="B6129" s="7" t="str">
        <f>IFERROR(__xludf.DUMMYFUNCTION("SPLIT(A6129,"" "")"),"CC1=CCC(C)(C)C2(C=CC(c3ncccc3CN(Cc3ccccn3)Cc3ccccn3)C(C)C2C)C12C(C)C=CCC2C")</f>
        <v>CC1=CCC(C)(C)C2(C=CC(c3ncccc3CN(Cc3ccccn3)Cc3ccccn3)C(C)C2C)C12C(C)C=CCC2C</v>
      </c>
      <c r="C6129" s="7">
        <f>IFERROR(__xludf.DUMMYFUNCTION("""COMPUTED_VALUE"""),7.7863774)</f>
        <v>7.7863774</v>
      </c>
      <c r="D6129" s="7">
        <f>IFERROR(__xludf.DUMMYFUNCTION("""COMPUTED_VALUE"""),0.311688311688311)</f>
        <v>0.3116883117</v>
      </c>
    </row>
    <row r="6130">
      <c r="A6130" s="10" t="s">
        <v>7569</v>
      </c>
      <c r="B6130" s="7" t="str">
        <f>IFERROR(__xludf.DUMMYFUNCTION("SPLIT(A6130,"" "")"),"Fc1ccccc1N(Cc1ccccn1)C1CCCC(N(Cc2ccccn2)Cc2cccnn2)C1")</f>
        <v>Fc1ccccc1N(Cc1ccccn1)C1CCCC(N(Cc2ccccn2)Cc2cccnn2)C1</v>
      </c>
      <c r="C6130" s="7">
        <f>IFERROR(__xludf.DUMMYFUNCTION("""COMPUTED_VALUE"""),7.786376)</f>
        <v>7.786376</v>
      </c>
      <c r="D6130" s="7">
        <f>IFERROR(__xludf.DUMMYFUNCTION("""COMPUTED_VALUE"""),0.470588235294117)</f>
        <v>0.4705882353</v>
      </c>
    </row>
    <row r="6131">
      <c r="A6131" s="10" t="s">
        <v>7570</v>
      </c>
      <c r="B6131" s="7" t="str">
        <f>IFERROR(__xludf.DUMMYFUNCTION("SPLIT(A6131,"" "")"),"Cc1ccnc(CN(C)CCN(C)C)c1")</f>
        <v>Cc1ccnc(CN(C)CCN(C)C)c1</v>
      </c>
      <c r="C6131" s="7">
        <f>IFERROR(__xludf.DUMMYFUNCTION("""COMPUTED_VALUE"""),7.7863727)</f>
        <v>7.7863727</v>
      </c>
      <c r="D6131" s="7">
        <f>IFERROR(__xludf.DUMMYFUNCTION("""COMPUTED_VALUE"""),0.5)</f>
        <v>0.5</v>
      </c>
    </row>
    <row r="6132">
      <c r="A6132" s="10" t="s">
        <v>7571</v>
      </c>
      <c r="B6132" s="7" t="str">
        <f>IFERROR(__xludf.DUMMYFUNCTION("SPLIT(A6132,"" "")"),"CC1=C(C)C(C)CC2(C=CC(c3cc(CN(Cc4ccccn4)C4CCCCC4)ccn3)C(c3ccc(CN(Cc4ccccn4)Cc4ccccn4)cn3)C23CCC(C)=C(C)C3C)C1")</f>
        <v>CC1=C(C)C(C)CC2(C=CC(c3cc(CN(Cc4ccccn4)C4CCCCC4)ccn3)C(c3ccc(CN(Cc4ccccn4)Cc4ccccn4)cn3)C23CCC(C)=C(C)C3C)C1</v>
      </c>
      <c r="C6132" s="7">
        <f>IFERROR(__xludf.DUMMYFUNCTION("""COMPUTED_VALUE"""),7.786372)</f>
        <v>7.786372</v>
      </c>
      <c r="D6132" s="7">
        <f>IFERROR(__xludf.DUMMYFUNCTION("""COMPUTED_VALUE"""),0.261363636363636)</f>
        <v>0.2613636364</v>
      </c>
    </row>
    <row r="6133">
      <c r="A6133" s="10" t="s">
        <v>7572</v>
      </c>
      <c r="B6133" s="7" t="str">
        <f>IFERROR(__xludf.DUMMYFUNCTION("SPLIT(A6133,"" "")"),"CC(N)C(C)CN(C)CC1=CCC(N(C)Cc2ccccn2)=CN1")</f>
        <v>CC(N)C(C)CN(C)CC1=CCC(N(C)Cc2ccccn2)=CN1</v>
      </c>
      <c r="C6133" s="7">
        <f>IFERROR(__xludf.DUMMYFUNCTION("""COMPUTED_VALUE"""),7.7863626)</f>
        <v>7.7863626</v>
      </c>
      <c r="D6133" s="7">
        <f>IFERROR(__xludf.DUMMYFUNCTION("""COMPUTED_VALUE"""),0.377049180327868)</f>
        <v>0.3770491803</v>
      </c>
    </row>
    <row r="6134">
      <c r="A6134" s="10" t="s">
        <v>7573</v>
      </c>
      <c r="B6134" s="7" t="str">
        <f>IFERROR(__xludf.DUMMYFUNCTION("SPLIT(A6134,"" "")"),"Cc1cc(C)c(C)c(CN(Cc2ccccn2)C2CCCC(N(C)Cc3nc(C)c(C)cc3C)C2)n1")</f>
        <v>Cc1cc(C)c(C)c(CN(Cc2ccccn2)C2CCCC(N(C)Cc3nc(C)c(C)cc3C)C2)n1</v>
      </c>
      <c r="C6134" s="7">
        <f>IFERROR(__xludf.DUMMYFUNCTION("""COMPUTED_VALUE"""),7.786352)</f>
        <v>7.786352</v>
      </c>
      <c r="D6134" s="7">
        <f>IFERROR(__xludf.DUMMYFUNCTION("""COMPUTED_VALUE"""),0.387096774193548)</f>
        <v>0.3870967742</v>
      </c>
    </row>
    <row r="6135">
      <c r="A6135" s="10" t="s">
        <v>7574</v>
      </c>
      <c r="B6135" s="7" t="str">
        <f>IFERROR(__xludf.DUMMYFUNCTION("SPLIT(A6135,"" "")"),"Cc1ccc(CN(CC2=C(N(C)Cc3ccccn3)CC=CN2)C2CCCCC2N(C)Cc2cccc(C)n2)nc1")</f>
        <v>Cc1ccc(CN(CC2=C(N(C)Cc3ccccn3)CC=CN2)C2CCCCC2N(C)Cc2cccc(C)n2)nc1</v>
      </c>
      <c r="C6135" s="7">
        <f>IFERROR(__xludf.DUMMYFUNCTION("""COMPUTED_VALUE"""),7.7863493)</f>
        <v>7.7863493</v>
      </c>
      <c r="D6135" s="7">
        <f>IFERROR(__xludf.DUMMYFUNCTION("""COMPUTED_VALUE"""),0.469696969696969)</f>
        <v>0.4696969697</v>
      </c>
    </row>
    <row r="6136">
      <c r="A6136" s="10" t="s">
        <v>7575</v>
      </c>
      <c r="B6136" s="7" t="str">
        <f>IFERROR(__xludf.DUMMYFUNCTION("SPLIT(A6136,"" "")"),"Cc1cnc(CN(C)CCN(C)C(C)(c2cccnc2)C(C)C)c(C)c1C")</f>
        <v>Cc1cnc(CN(C)CCN(C)C(C)(c2cccnc2)C(C)C)c(C)c1C</v>
      </c>
      <c r="C6136" s="7">
        <f>IFERROR(__xludf.DUMMYFUNCTION("""COMPUTED_VALUE"""),7.786346)</f>
        <v>7.786346</v>
      </c>
      <c r="D6136" s="7">
        <f>IFERROR(__xludf.DUMMYFUNCTION("""COMPUTED_VALUE"""),0.309090909090909)</f>
        <v>0.3090909091</v>
      </c>
    </row>
    <row r="6137">
      <c r="A6137" s="10" t="s">
        <v>7576</v>
      </c>
      <c r="B6137" s="7" t="str">
        <f>IFERROR(__xludf.DUMMYFUNCTION("SPLIT(A6137,"" "")"),"CN(Cc1ccccn1)Cc1ncccc1N(C)Cc1cncc(-c2cccc3c2OCCOCCOCCOCCOCCO3)c1")</f>
        <v>CN(Cc1ccccn1)Cc1ncccc1N(C)Cc1cncc(-c2cccc3c2OCCOCCOCCOCCOCCO3)c1</v>
      </c>
      <c r="C6137" s="7">
        <f>IFERROR(__xludf.DUMMYFUNCTION("""COMPUTED_VALUE"""),7.7863383)</f>
        <v>7.7863383</v>
      </c>
      <c r="D6137" s="7">
        <f>IFERROR(__xludf.DUMMYFUNCTION("""COMPUTED_VALUE"""),0.333333333333333)</f>
        <v>0.3333333333</v>
      </c>
    </row>
    <row r="6138">
      <c r="A6138" s="10" t="s">
        <v>7577</v>
      </c>
      <c r="B6138" s="7" t="str">
        <f>IFERROR(__xludf.DUMMYFUNCTION("SPLIT(A6138,"" "")"),"CN1C=CC(CN(C)Cc2ncccc2N)C=C1")</f>
        <v>CN1C=CC(CN(C)Cc2ncccc2N)C=C1</v>
      </c>
      <c r="C6138" s="7">
        <f>IFERROR(__xludf.DUMMYFUNCTION("""COMPUTED_VALUE"""),7.7863383)</f>
        <v>7.7863383</v>
      </c>
      <c r="D6138" s="7">
        <f>IFERROR(__xludf.DUMMYFUNCTION("""COMPUTED_VALUE"""),0.3)</f>
        <v>0.3</v>
      </c>
    </row>
    <row r="6139">
      <c r="A6139" s="10" t="s">
        <v>7578</v>
      </c>
      <c r="B6139" s="7" t="str">
        <f>IFERROR(__xludf.DUMMYFUNCTION("SPLIT(A6139,"" "")"),"CC1CC(NCc2ccccn2)C=C(c2cccnc2CN(CCNCc2ccccn2)Cc2ccccn2)C1C")</f>
        <v>CC1CC(NCc2ccccn2)C=C(c2cccnc2CN(CCNCc2ccccn2)Cc2ccccn2)C1C</v>
      </c>
      <c r="C6139" s="7">
        <f>IFERROR(__xludf.DUMMYFUNCTION("""COMPUTED_VALUE"""),7.7863297)</f>
        <v>7.7863297</v>
      </c>
      <c r="D6139" s="7">
        <f>IFERROR(__xludf.DUMMYFUNCTION("""COMPUTED_VALUE"""),0.362068965517241)</f>
        <v>0.3620689655</v>
      </c>
    </row>
    <row r="6140">
      <c r="A6140" s="10" t="s">
        <v>7579</v>
      </c>
      <c r="B6140" s="7" t="str">
        <f>IFERROR(__xludf.DUMMYFUNCTION("SPLIT(A6140,"" "")"),"Cc1cccc(CN(Cc2ccccn2)C2CCCC(N(C)Cc3ccccn3)C2N(C)Cc2nc(C)c(C)cc2C)n1")</f>
        <v>Cc1cccc(CN(Cc2ccccn2)C2CCCC(N(C)Cc3ccccn3)C2N(C)Cc2nc(C)c(C)cc2C)n1</v>
      </c>
      <c r="C6140" s="7">
        <f>IFERROR(__xludf.DUMMYFUNCTION("""COMPUTED_VALUE"""),7.7863216)</f>
        <v>7.7863216</v>
      </c>
      <c r="D6140" s="7">
        <f>IFERROR(__xludf.DUMMYFUNCTION("""COMPUTED_VALUE"""),0.5)</f>
        <v>0.5</v>
      </c>
    </row>
    <row r="6141">
      <c r="A6141" s="10" t="s">
        <v>7580</v>
      </c>
      <c r="B6141" s="7" t="str">
        <f>IFERROR(__xludf.DUMMYFUNCTION("SPLIT(A6141,"" "")"),"CC1C=CC(C)(C)C(C)(c2cc(CN(Cc3ccccn3)Cc3ccccn3)ccn2)C1C")</f>
        <v>CC1C=CC(C)(C)C(C)(c2cc(CN(Cc3ccccn3)Cc3ccccn3)ccn2)C1C</v>
      </c>
      <c r="C6141" s="7">
        <f>IFERROR(__xludf.DUMMYFUNCTION("""COMPUTED_VALUE"""),7.786317)</f>
        <v>7.786317</v>
      </c>
      <c r="D6141" s="7">
        <f>IFERROR(__xludf.DUMMYFUNCTION("""COMPUTED_VALUE"""),0.434782608695652)</f>
        <v>0.4347826087</v>
      </c>
    </row>
    <row r="6142">
      <c r="A6142" s="10" t="s">
        <v>7581</v>
      </c>
      <c r="B6142" s="7" t="str">
        <f>IFERROR(__xludf.DUMMYFUNCTION("SPLIT(A6142,"" "")"),"CN(C)C1=C(CN(C)C2C=CC=CN2)CC=CN1")</f>
        <v>CN(C)C1=C(CN(C)C2C=CC=CN2)CC=CN1</v>
      </c>
      <c r="C6142" s="7">
        <f>IFERROR(__xludf.DUMMYFUNCTION("""COMPUTED_VALUE"""),7.786317)</f>
        <v>7.786317</v>
      </c>
      <c r="D6142" s="7">
        <f>IFERROR(__xludf.DUMMYFUNCTION("""COMPUTED_VALUE"""),0.241379310344827)</f>
        <v>0.2413793103</v>
      </c>
    </row>
    <row r="6143">
      <c r="A6143" s="10" t="s">
        <v>7582</v>
      </c>
      <c r="B6143" s="7" t="str">
        <f>IFERROR(__xludf.DUMMYFUNCTION("SPLIT(A6143,"" "")"),"CNCc1cc(CN(C)C2CCC(N(C)Cc3ccc4cccnc4c3)CC2)ccn1")</f>
        <v>CNCc1cc(CN(C)C2CCC(N(C)Cc3ccc4cccnc4c3)CC2)ccn1</v>
      </c>
      <c r="C6143" s="7">
        <f>IFERROR(__xludf.DUMMYFUNCTION("""COMPUTED_VALUE"""),7.7863154)</f>
        <v>7.7863154</v>
      </c>
      <c r="D6143" s="7">
        <f>IFERROR(__xludf.DUMMYFUNCTION("""COMPUTED_VALUE"""),0.333333333333333)</f>
        <v>0.3333333333</v>
      </c>
    </row>
    <row r="6144">
      <c r="A6144" s="10" t="s">
        <v>7583</v>
      </c>
      <c r="B6144" s="7" t="str">
        <f>IFERROR(__xludf.DUMMYFUNCTION("SPLIT(A6144,"" "")"),"CC(C)C(C)(c1cccnc1)N(C)CC1=CC(N(C)Cc2ccccn2)C=CN1")</f>
        <v>CC(C)C(C)(c1cccnc1)N(C)CC1=CC(N(C)Cc2ccccn2)C=CN1</v>
      </c>
      <c r="C6144" s="7">
        <f>IFERROR(__xludf.DUMMYFUNCTION("""COMPUTED_VALUE"""),7.7863135)</f>
        <v>7.7863135</v>
      </c>
      <c r="D6144" s="7">
        <f>IFERROR(__xludf.DUMMYFUNCTION("""COMPUTED_VALUE"""),0.34375)</f>
        <v>0.34375</v>
      </c>
    </row>
    <row r="6145">
      <c r="A6145" s="10" t="s">
        <v>7584</v>
      </c>
      <c r="B6145" s="7" t="str">
        <f>IFERROR(__xludf.DUMMYFUNCTION("SPLIT(A6145,"" "")"),"COC(C)c1cc(CN2CCN(C)CCN(Cc3cccc(C(C)(c4ccccn4)c4ccccn4)n3)CC2)ccn1")</f>
        <v>COC(C)c1cc(CN2CCN(C)CCN(Cc3cccc(C(C)(c4ccccn4)c4ccccn4)n3)CC2)ccn1</v>
      </c>
      <c r="C6145" s="7">
        <f>IFERROR(__xludf.DUMMYFUNCTION("""COMPUTED_VALUE"""),7.7863107)</f>
        <v>7.7863107</v>
      </c>
      <c r="D6145" s="7">
        <f>IFERROR(__xludf.DUMMYFUNCTION("""COMPUTED_VALUE"""),0.440677966101694)</f>
        <v>0.4406779661</v>
      </c>
    </row>
    <row r="6146">
      <c r="A6146" s="10" t="s">
        <v>7585</v>
      </c>
      <c r="B6146" s="7" t="str">
        <f>IFERROR(__xludf.DUMMYFUNCTION("SPLIT(A6146,"" "")"),"Cc1cc([SiH3])nc(CN(Cc2nc([SiH3])c(C)c(C)c2C)C2CCCCC2N(C)Cc2ccc([SiH3])c([SiH3])n2)c1")</f>
        <v>Cc1cc([SiH3])nc(CN(Cc2nc([SiH3])c(C)c(C)c2C)C2CCCCC2N(C)Cc2ccc([SiH3])c([SiH3])n2)c1</v>
      </c>
      <c r="C6146" s="7">
        <f>IFERROR(__xludf.DUMMYFUNCTION("""COMPUTED_VALUE"""),7.786309)</f>
        <v>7.786309</v>
      </c>
      <c r="D6146" s="7">
        <f>IFERROR(__xludf.DUMMYFUNCTION("""COMPUTED_VALUE"""),0.387096774193548)</f>
        <v>0.3870967742</v>
      </c>
    </row>
    <row r="6147">
      <c r="A6147" s="10" t="s">
        <v>7586</v>
      </c>
      <c r="B6147" s="7" t="str">
        <f>IFERROR(__xludf.DUMMYFUNCTION("SPLIT(A6147,"" "")"),"Cc1cnc(CN(C)C2CCC(N(C)Cc3cccc(C4=CCC=CN4)n3)CC2)c(C)c1C")</f>
        <v>Cc1cnc(CN(C)C2CCC(N(C)Cc3cccc(C4=CCC=CN4)n3)CC2)c(C)c1C</v>
      </c>
      <c r="C6147" s="7">
        <f>IFERROR(__xludf.DUMMYFUNCTION("""COMPUTED_VALUE"""),7.7863073)</f>
        <v>7.7863073</v>
      </c>
      <c r="D6147" s="7">
        <f>IFERROR(__xludf.DUMMYFUNCTION("""COMPUTED_VALUE"""),0.328358208955223)</f>
        <v>0.328358209</v>
      </c>
    </row>
    <row r="6148">
      <c r="A6148" s="10" t="s">
        <v>7587</v>
      </c>
      <c r="B6148" s="7" t="str">
        <f>IFERROR(__xludf.DUMMYFUNCTION("SPLIT(A6148,"" "")"),"CC1C=CC(C)C(C)(c2cccc(CN(C)Cc3ccccn3)n2)C1")</f>
        <v>CC1C=CC(C)C(C)(c2cccc(CN(C)Cc3ccccn3)n2)C1</v>
      </c>
      <c r="C6148" s="7">
        <f>IFERROR(__xludf.DUMMYFUNCTION("""COMPUTED_VALUE"""),7.786307)</f>
        <v>7.786307</v>
      </c>
      <c r="D6148" s="7">
        <f>IFERROR(__xludf.DUMMYFUNCTION("""COMPUTED_VALUE"""),0.490196078431372)</f>
        <v>0.4901960784</v>
      </c>
    </row>
    <row r="6149">
      <c r="A6149" s="10" t="s">
        <v>7588</v>
      </c>
      <c r="B6149" s="7" t="str">
        <f>IFERROR(__xludf.DUMMYFUNCTION("SPLIT(A6149,"" "")"),"Cc1cc(C)c(CN(Cc2ccccn2)C2CCC(N(C)Cc3cc(C)c(C)c(C)n3)CC2)nc1C")</f>
        <v>Cc1cc(C)c(CN(Cc2ccccn2)C2CCC(N(C)Cc3cc(C)c(C)c(C)n3)CC2)nc1C</v>
      </c>
      <c r="C6149" s="7">
        <f>IFERROR(__xludf.DUMMYFUNCTION("""COMPUTED_VALUE"""),7.786304)</f>
        <v>7.786304</v>
      </c>
      <c r="D6149" s="7">
        <f>IFERROR(__xludf.DUMMYFUNCTION("""COMPUTED_VALUE"""),0.413793103448275)</f>
        <v>0.4137931034</v>
      </c>
    </row>
    <row r="6150">
      <c r="A6150" s="10" t="s">
        <v>7589</v>
      </c>
      <c r="B6150" s="7" t="str">
        <f>IFERROR(__xludf.DUMMYFUNCTION("SPLIT(A6150,"" "")"),"C=Cc1ccc(CN(Cc2ccccn2)C2CCC(N(C)Cc3nccc(C)c3C)CC2)nc1")</f>
        <v>C=Cc1ccc(CN(Cc2ccccn2)C2CCC(N(C)Cc3nccc(C)c3C)CC2)nc1</v>
      </c>
      <c r="C6150" s="7">
        <f>IFERROR(__xludf.DUMMYFUNCTION("""COMPUTED_VALUE"""),7.786289)</f>
        <v>7.786289</v>
      </c>
      <c r="D6150" s="7">
        <f>IFERROR(__xludf.DUMMYFUNCTION("""COMPUTED_VALUE"""),0.393939393939393)</f>
        <v>0.3939393939</v>
      </c>
    </row>
    <row r="6151">
      <c r="A6151" s="10" t="s">
        <v>7590</v>
      </c>
      <c r="B6151" s="7" t="str">
        <f>IFERROR(__xludf.DUMMYFUNCTION("SPLIT(A6151,"" "")"),"Cc1cnc(CN(C)C2CCCC(N(C)Cc3cccc(C4=CCC=CN4)n3)C2)c(C)c1")</f>
        <v>Cc1cnc(CN(C)C2CCCC(N(C)Cc3cccc(C4=CCC=CN4)n3)C2)c(C)c1</v>
      </c>
      <c r="C6151" s="7">
        <f>IFERROR(__xludf.DUMMYFUNCTION("""COMPUTED_VALUE"""),7.7862854)</f>
        <v>7.7862854</v>
      </c>
      <c r="D6151" s="7">
        <f>IFERROR(__xludf.DUMMYFUNCTION("""COMPUTED_VALUE"""),0.328358208955223)</f>
        <v>0.328358209</v>
      </c>
    </row>
    <row r="6152">
      <c r="A6152" s="10" t="s">
        <v>7591</v>
      </c>
      <c r="B6152" s="7" t="str">
        <f>IFERROR(__xludf.DUMMYFUNCTION("SPLIT(A6152,"" "")"),"CCNc1ncccc1C")</f>
        <v>CCNc1ncccc1C</v>
      </c>
      <c r="C6152" s="7">
        <f>IFERROR(__xludf.DUMMYFUNCTION("""COMPUTED_VALUE"""),7.7862806)</f>
        <v>7.7862806</v>
      </c>
      <c r="D6152" s="7">
        <f>IFERROR(__xludf.DUMMYFUNCTION("""COMPUTED_VALUE"""),0.326086956521739)</f>
        <v>0.3260869565</v>
      </c>
    </row>
    <row r="6153">
      <c r="A6153" s="10" t="s">
        <v>7592</v>
      </c>
      <c r="B6153" s="7" t="str">
        <f>IFERROR(__xludf.DUMMYFUNCTION("SPLIT(A6153,"" "")"),"CC(C)N(C)Cc1cccc(C(C)(C)C)n1")</f>
        <v>CC(C)N(C)Cc1cccc(C(C)(C)C)n1</v>
      </c>
      <c r="C6153" s="7">
        <f>IFERROR(__xludf.DUMMYFUNCTION("""COMPUTED_VALUE"""),7.7862782)</f>
        <v>7.7862782</v>
      </c>
      <c r="D6153" s="7">
        <f>IFERROR(__xludf.DUMMYFUNCTION("""COMPUTED_VALUE"""),0.375)</f>
        <v>0.375</v>
      </c>
    </row>
    <row r="6154">
      <c r="A6154" s="10" t="s">
        <v>7593</v>
      </c>
      <c r="B6154" s="7" t="str">
        <f>IFERROR(__xludf.DUMMYFUNCTION("SPLIT(A6154,"" "")"),"Cc1ccc(CN(C)C2CCC(N(Cc3ccccn3)Cc3cc(CN(C)C(C)(C)c4cccnc4CN(C)C4CCC(N(C)Cc5ccccn5)CC4N(Cc4ccccn4)Cc4nc(C)c(C)c(C)c4C)ccn3)CC2)nc1")</f>
        <v>Cc1ccc(CN(C)C2CCC(N(Cc3ccccn3)Cc3cc(CN(C)C(C)(C)c4cccnc4CN(C)C4CCC(N(C)Cc5ccccn5)CC4N(Cc4ccccn4)Cc4nc(C)c(C)c(C)c4C)ccn3)CC2)nc1</v>
      </c>
      <c r="C6154" s="7">
        <f>IFERROR(__xludf.DUMMYFUNCTION("""COMPUTED_VALUE"""),7.786274)</f>
        <v>7.786274</v>
      </c>
      <c r="D6154" s="7">
        <f>IFERROR(__xludf.DUMMYFUNCTION("""COMPUTED_VALUE"""),0.337349397590361)</f>
        <v>0.3373493976</v>
      </c>
    </row>
    <row r="6155">
      <c r="A6155" s="10" t="s">
        <v>7594</v>
      </c>
      <c r="B6155" s="7" t="str">
        <f>IFERROR(__xludf.DUMMYFUNCTION("SPLIT(A6155,"" "")"),"Cc1ccc(CN(C)CCN(C)C2CCC(N(Cc3nc(C)c(C)cc3C)Cc3nc(C)c(C)c(C)c3C)CC2N(C)Cc2ccccn2)nc1")</f>
        <v>Cc1ccc(CN(C)CCN(C)C2CCC(N(Cc3nc(C)c(C)cc3C)Cc3nc(C)c(C)c(C)c3C)CC2N(C)Cc2ccccn2)nc1</v>
      </c>
      <c r="C6155" s="7">
        <f>IFERROR(__xludf.DUMMYFUNCTION("""COMPUTED_VALUE"""),7.7862678)</f>
        <v>7.7862678</v>
      </c>
      <c r="D6155" s="7">
        <f>IFERROR(__xludf.DUMMYFUNCTION("""COMPUTED_VALUE"""),0.388888888888888)</f>
        <v>0.3888888889</v>
      </c>
    </row>
    <row r="6156">
      <c r="A6156" s="10" t="s">
        <v>7595</v>
      </c>
      <c r="B6156" s="7" t="str">
        <f>IFERROR(__xludf.DUMMYFUNCTION("SPLIT(A6156,"" "")"),"CC(C)C(C)(C)c1nc(C2CCC2(C)C)ccc1C(C)(C)C")</f>
        <v>CC(C)C(C)(C)c1nc(C2CCC2(C)C)ccc1C(C)(C)C</v>
      </c>
      <c r="C6156" s="7">
        <f>IFERROR(__xludf.DUMMYFUNCTION("""COMPUTED_VALUE"""),7.786267)</f>
        <v>7.786267</v>
      </c>
      <c r="D6156" s="7">
        <f>IFERROR(__xludf.DUMMYFUNCTION("""COMPUTED_VALUE"""),0.204081632653061)</f>
        <v>0.2040816327</v>
      </c>
    </row>
    <row r="6157">
      <c r="A6157" s="10" t="s">
        <v>7596</v>
      </c>
      <c r="B6157" s="7" t="str">
        <f>IFERROR(__xludf.DUMMYFUNCTION("SPLIT(A6157,"" "")"),"Cc1ccccc1C(C)(C)C")</f>
        <v>Cc1ccccc1C(C)(C)C</v>
      </c>
      <c r="C6157" s="7">
        <f>IFERROR(__xludf.DUMMYFUNCTION("""COMPUTED_VALUE"""),7.786267)</f>
        <v>7.786267</v>
      </c>
      <c r="D6157" s="7">
        <f>IFERROR(__xludf.DUMMYFUNCTION("""COMPUTED_VALUE"""),0.333333333333333)</f>
        <v>0.3333333333</v>
      </c>
    </row>
    <row r="6158">
      <c r="A6158" s="10" t="s">
        <v>7597</v>
      </c>
      <c r="B6158" s="7" t="str">
        <f>IFERROR(__xludf.DUMMYFUNCTION("SPLIT(A6158,"" "")"),"Cc1ccc(CN(C)C2CCCC(N(Cc3ccccn3)Cc3cccc(CN(C)C(C)(C)c4cccnc4C)n3)C2)nc1")</f>
        <v>Cc1ccc(CN(C)C2CCCC(N(Cc3ccccn3)Cc3cccc(CN(C)C(C)(C)c4cccnc4C)n3)C2)nc1</v>
      </c>
      <c r="C6158" s="7">
        <f>IFERROR(__xludf.DUMMYFUNCTION("""COMPUTED_VALUE"""),7.7862597)</f>
        <v>7.7862597</v>
      </c>
      <c r="D6158" s="7">
        <f>IFERROR(__xludf.DUMMYFUNCTION("""COMPUTED_VALUE"""),0.393939393939393)</f>
        <v>0.3939393939</v>
      </c>
    </row>
    <row r="6159">
      <c r="A6159" s="10" t="s">
        <v>7598</v>
      </c>
      <c r="B6159" s="7" t="str">
        <f>IFERROR(__xludf.DUMMYFUNCTION("SPLIT(A6159,"" "")"),"CN(Cc1ccccn1)Cc1cccc(N(C)Cc2ncccc2-c2cccc3c2OCCOCCOCCOCCOCCO3)n1")</f>
        <v>CN(Cc1ccccn1)Cc1cccc(N(C)Cc2ncccc2-c2cccc3c2OCCOCCOCCOCCOCCO3)n1</v>
      </c>
      <c r="C6159" s="7">
        <f>IFERROR(__xludf.DUMMYFUNCTION("""COMPUTED_VALUE"""),7.7862597)</f>
        <v>7.7862597</v>
      </c>
      <c r="D6159" s="7">
        <f>IFERROR(__xludf.DUMMYFUNCTION("""COMPUTED_VALUE"""),0.40983606557377)</f>
        <v>0.4098360656</v>
      </c>
    </row>
    <row r="6160">
      <c r="A6160" s="10" t="s">
        <v>7599</v>
      </c>
      <c r="B6160" s="7" t="str">
        <f>IFERROR(__xludf.DUMMYFUNCTION("SPLIT(A6160,"" "")"),"CN(c1ccc2nc(CF)ccc2c1)C1CCC(N(Cc2ccccn2)Cc2cc(-c3ccc4c(c3)OCCOCCOCCOCCOCCO4)ccn2)CC1")</f>
        <v>CN(c1ccc2nc(CF)ccc2c1)C1CCC(N(Cc2ccccn2)Cc2cc(-c3ccc4c(c3)OCCOCCOCCOCCOCCO4)ccn2)CC1</v>
      </c>
      <c r="C6160" s="7">
        <f>IFERROR(__xludf.DUMMYFUNCTION("""COMPUTED_VALUE"""),7.786259)</f>
        <v>7.786259</v>
      </c>
      <c r="D6160" s="7">
        <f>IFERROR(__xludf.DUMMYFUNCTION("""COMPUTED_VALUE"""),0.333333333333333)</f>
        <v>0.3333333333</v>
      </c>
    </row>
    <row r="6161">
      <c r="A6161" s="10" t="s">
        <v>7600</v>
      </c>
      <c r="B6161" s="7" t="str">
        <f>IFERROR(__xludf.DUMMYFUNCTION("SPLIT(A6161,"" "")"),"C=Cc1cccnc1CN(Cc1ccccn1)C1CCC(N(C)Cc2nccc(C)c2C)CC1")</f>
        <v>C=Cc1cccnc1CN(Cc1ccccn1)C1CCC(N(C)Cc2nccc(C)c2C)CC1</v>
      </c>
      <c r="C6161" s="7">
        <f>IFERROR(__xludf.DUMMYFUNCTION("""COMPUTED_VALUE"""),7.7862577)</f>
        <v>7.7862577</v>
      </c>
      <c r="D6161" s="7">
        <f>IFERROR(__xludf.DUMMYFUNCTION("""COMPUTED_VALUE"""),0.389830508474576)</f>
        <v>0.3898305085</v>
      </c>
    </row>
    <row r="6162">
      <c r="A6162" s="10" t="s">
        <v>7601</v>
      </c>
      <c r="B6162" s="7" t="str">
        <f>IFERROR(__xludf.DUMMYFUNCTION("SPLIT(A6162,"" "")"),"CN(CNCc1ncccc1C(C)(C)C)C1CCC(N(C)Cc2ncccc2-c2ccccn2)CC1")</f>
        <v>CN(CNCc1ncccc1C(C)(C)C)C1CCC(N(C)Cc2ncccc2-c2ccccn2)CC1</v>
      </c>
      <c r="C6162" s="7">
        <f>IFERROR(__xludf.DUMMYFUNCTION("""COMPUTED_VALUE"""),7.7862577)</f>
        <v>7.7862577</v>
      </c>
      <c r="D6162" s="7">
        <f>IFERROR(__xludf.DUMMYFUNCTION("""COMPUTED_VALUE"""),0.306451612903225)</f>
        <v>0.3064516129</v>
      </c>
    </row>
    <row r="6163">
      <c r="A6163" s="10" t="s">
        <v>7602</v>
      </c>
      <c r="B6163" s="7" t="str">
        <f>IFERROR(__xludf.DUMMYFUNCTION("SPLIT(A6163,"" "")"),"CN(CCN(C)C1(C)CCC1)Cc1cccc2ncccc12")</f>
        <v>CN(CCN(C)C1(C)CCC1)Cc1cccc2ncccc12</v>
      </c>
      <c r="C6163" s="7">
        <f>IFERROR(__xludf.DUMMYFUNCTION("""COMPUTED_VALUE"""),7.786252)</f>
        <v>7.786252</v>
      </c>
      <c r="D6163" s="7">
        <f>IFERROR(__xludf.DUMMYFUNCTION("""COMPUTED_VALUE"""),0.458333333333333)</f>
        <v>0.4583333333</v>
      </c>
    </row>
    <row r="6164">
      <c r="A6164" s="10" t="s">
        <v>7603</v>
      </c>
      <c r="B6164" s="7" t="str">
        <f>IFERROR(__xludf.DUMMYFUNCTION("SPLIT(A6164,"" "")"),"CCCN(Cc1ccccn1)c1ccc2c(c1-c1cccc(CN(Cc3ccccn3)Cc3ncccc3C)n1)OCCOCCOCCOCCOCCO2")</f>
        <v>CCCN(Cc1ccccn1)c1ccc2c(c1-c1cccc(CN(Cc3ccccn3)Cc3ncccc3C)n1)OCCOCCOCCOCCOCCO2</v>
      </c>
      <c r="C6164" s="7">
        <f>IFERROR(__xludf.DUMMYFUNCTION("""COMPUTED_VALUE"""),7.7862496)</f>
        <v>7.7862496</v>
      </c>
      <c r="D6164" s="7">
        <f>IFERROR(__xludf.DUMMYFUNCTION("""COMPUTED_VALUE"""),0.346153846153846)</f>
        <v>0.3461538462</v>
      </c>
    </row>
    <row r="6165">
      <c r="A6165" s="10" t="s">
        <v>7604</v>
      </c>
      <c r="B6165" s="7" t="str">
        <f>IFERROR(__xludf.DUMMYFUNCTION("SPLIT(A6165,"" "")"),"Cc1ccc(CN(C2CCC(N(C)c3ccc4nc(-c5cccc(C)n5)ccc4c3)CC2)C2COCCOC3C=CC=CC3OCCOCCOC=CO2)nc1")</f>
        <v>Cc1ccc(CN(C2CCC(N(C)c3ccc4nc(-c5cccc(C)n5)ccc4c3)CC2)C2COCCOC3C=CC=CC3OCCOCCOC=CO2)nc1</v>
      </c>
      <c r="C6165" s="7">
        <f>IFERROR(__xludf.DUMMYFUNCTION("""COMPUTED_VALUE"""),7.786242)</f>
        <v>7.786242</v>
      </c>
      <c r="D6165" s="7">
        <f>IFERROR(__xludf.DUMMYFUNCTION("""COMPUTED_VALUE"""),0.267441860465116)</f>
        <v>0.2674418605</v>
      </c>
    </row>
    <row r="6166">
      <c r="A6166" s="10" t="s">
        <v>7605</v>
      </c>
      <c r="B6166" s="7" t="str">
        <f>IFERROR(__xludf.DUMMYFUNCTION("SPLIT(A6166,"" "")"),"CCN(Cc1ccccn1)C1CCC(N(C)Cc2nc(C)c(C)c(C)c2C)C(N(C)Cc2cc(C)c(C)c(C)n2)C1")</f>
        <v>CCN(Cc1ccccn1)C1CCC(N(C)Cc2nc(C)c(C)c(C)c2C)C(N(C)Cc2cc(C)c(C)c(C)n2)C1</v>
      </c>
      <c r="C6166" s="7">
        <f>IFERROR(__xludf.DUMMYFUNCTION("""COMPUTED_VALUE"""),7.7862344)</f>
        <v>7.7862344</v>
      </c>
      <c r="D6166" s="7">
        <f>IFERROR(__xludf.DUMMYFUNCTION("""COMPUTED_VALUE"""),0.435483870967741)</f>
        <v>0.435483871</v>
      </c>
    </row>
    <row r="6167">
      <c r="A6167" s="10" t="s">
        <v>7606</v>
      </c>
      <c r="B6167" s="7" t="str">
        <f>IFERROR(__xludf.DUMMYFUNCTION("SPLIT(A6167,"" "")"),"CC(C)C1COC(c2cccc(CN3CCN(C)CCN(Cc4cc(C(C)(C)c5ccccn5)ccn4)CC3)n2)=N1")</f>
        <v>CC(C)C1COC(c2cccc(CN3CCN(C)CCN(Cc4cc(C(C)(C)c5ccccn5)ccn4)CC3)n2)=N1</v>
      </c>
      <c r="C6167" s="7">
        <f>IFERROR(__xludf.DUMMYFUNCTION("""COMPUTED_VALUE"""),7.786227)</f>
        <v>7.786227</v>
      </c>
      <c r="D6167" s="7">
        <f>IFERROR(__xludf.DUMMYFUNCTION("""COMPUTED_VALUE"""),0.409090909090909)</f>
        <v>0.4090909091</v>
      </c>
    </row>
    <row r="6168">
      <c r="A6168" s="10" t="s">
        <v>7607</v>
      </c>
      <c r="B6168" s="7" t="str">
        <f>IFERROR(__xludf.DUMMYFUNCTION("SPLIT(A6168,"" "")"),"CN(Cc1ccccn1)Cc1cccc(N(C)Cc2ccc(-c3cccc4c3OCCOCCOCCOCCOCCO4)cn2)n1")</f>
        <v>CN(Cc1ccccn1)Cc1cccc(N(C)Cc2ccc(-c3cccc4c3OCCOCCOCCOCCOCCO4)cn2)n1</v>
      </c>
      <c r="C6168" s="7">
        <f>IFERROR(__xludf.DUMMYFUNCTION("""COMPUTED_VALUE"""),7.786226)</f>
        <v>7.786226</v>
      </c>
      <c r="D6168" s="7">
        <f>IFERROR(__xludf.DUMMYFUNCTION("""COMPUTED_VALUE"""),0.396825396825396)</f>
        <v>0.3968253968</v>
      </c>
    </row>
    <row r="6169">
      <c r="A6169" s="10" t="s">
        <v>7608</v>
      </c>
      <c r="B6169" s="7" t="str">
        <f>IFERROR(__xludf.DUMMYFUNCTION("SPLIT(A6169,"" "")"),"CCNC1C(N(C)Cc2cc(C)ccn2)CCCC1N(Cc1nc(C)c(C)c(C)c1C)Cc1nc(C)c(C)c(C)c1C")</f>
        <v>CCNC1C(N(C)Cc2cc(C)ccn2)CCCC1N(Cc1nc(C)c(C)c(C)c1C)Cc1nc(C)c(C)c(C)c1C</v>
      </c>
      <c r="C6169" s="7">
        <f>IFERROR(__xludf.DUMMYFUNCTION("""COMPUTED_VALUE"""),7.786226)</f>
        <v>7.786226</v>
      </c>
      <c r="D6169" s="7">
        <f>IFERROR(__xludf.DUMMYFUNCTION("""COMPUTED_VALUE"""),0.354838709677419)</f>
        <v>0.3548387097</v>
      </c>
    </row>
    <row r="6170">
      <c r="A6170" s="10" t="s">
        <v>7609</v>
      </c>
      <c r="B6170" s="7" t="str">
        <f>IFERROR(__xludf.DUMMYFUNCTION("SPLIT(A6170,"" "")"),"CN(CCNc1ccc2ncccc2c1)Cc1cccc(-c2ccc3c(c2)OCCOCCOCCOCCOCCO3)n1")</f>
        <v>CN(CCNc1ccc2ncccc2c1)Cc1cccc(-c2ccc3c(c2)OCCOCCOCCOCCOCCO3)n1</v>
      </c>
      <c r="C6170" s="7">
        <f>IFERROR(__xludf.DUMMYFUNCTION("""COMPUTED_VALUE"""),7.786224)</f>
        <v>7.786224</v>
      </c>
      <c r="D6170" s="7">
        <f>IFERROR(__xludf.DUMMYFUNCTION("""COMPUTED_VALUE"""),0.338235294117647)</f>
        <v>0.3382352941</v>
      </c>
    </row>
    <row r="6171">
      <c r="A6171" s="10" t="s">
        <v>7610</v>
      </c>
      <c r="B6171" s="7" t="str">
        <f>IFERROR(__xludf.DUMMYFUNCTION("SPLIT(A6171,"" "")"),"Cc1cc(C)c(C)c(CN(C)C2CCC(N(Cc3ccccn3)Cc3cccnc3CN(Cc3ccccn3)C(C)C)CC2)n1")</f>
        <v>Cc1cc(C)c(C)c(CN(C)C2CCC(N(Cc3ccccn3)Cc3cccnc3CN(Cc3ccccn3)C(C)C)CC2)n1</v>
      </c>
      <c r="C6171" s="7">
        <f>IFERROR(__xludf.DUMMYFUNCTION("""COMPUTED_VALUE"""),7.7862225)</f>
        <v>7.7862225</v>
      </c>
      <c r="D6171" s="7">
        <f>IFERROR(__xludf.DUMMYFUNCTION("""COMPUTED_VALUE"""),0.416666666666666)</f>
        <v>0.4166666667</v>
      </c>
    </row>
    <row r="6172">
      <c r="A6172" s="10" t="s">
        <v>7611</v>
      </c>
      <c r="B6172" s="7" t="str">
        <f>IFERROR(__xludf.DUMMYFUNCTION("SPLIT(A6172,"" "")"),"Cc1ccc(N(C)Cc2cc(-c3ccc4c(c3)OCCOCCOCCOCCOCCO4)ccn2)c(C)c1")</f>
        <v>Cc1ccc(N(C)Cc2cc(-c3ccc4c(c3)OCCOCCOCCOCCOCCO4)ccn2)c(C)c1</v>
      </c>
      <c r="C6172" s="7">
        <f>IFERROR(__xludf.DUMMYFUNCTION("""COMPUTED_VALUE"""),7.786221)</f>
        <v>7.786221</v>
      </c>
      <c r="D6172" s="7">
        <f>IFERROR(__xludf.DUMMYFUNCTION("""COMPUTED_VALUE"""),0.373134328358209)</f>
        <v>0.3731343284</v>
      </c>
    </row>
    <row r="6173">
      <c r="A6173" s="10" t="s">
        <v>7612</v>
      </c>
      <c r="B6173" s="7" t="str">
        <f>IFERROR(__xludf.DUMMYFUNCTION("SPLIT(A6173,"" "")"),"Cc1cnc(CN(C)CCCN(C)CC(C)(C)C)c(C)c1C")</f>
        <v>Cc1cnc(CN(C)CCCN(C)CC(C)(C)C)c(C)c1C</v>
      </c>
      <c r="C6173" s="7">
        <f>IFERROR(__xludf.DUMMYFUNCTION("""COMPUTED_VALUE"""),7.786211)</f>
        <v>7.786211</v>
      </c>
      <c r="D6173" s="7">
        <f>IFERROR(__xludf.DUMMYFUNCTION("""COMPUTED_VALUE"""),0.34090909090909)</f>
        <v>0.3409090909</v>
      </c>
    </row>
    <row r="6174">
      <c r="A6174" s="10" t="s">
        <v>7613</v>
      </c>
      <c r="B6174" s="7" t="str">
        <f>IFERROR(__xludf.DUMMYFUNCTION("SPLIT(A6174,"" "")"),"CCN(Cc1cc(C(C)(C)C)ccn1)Cc1cccc(C2CCC2(C)C)n1")</f>
        <v>CCN(Cc1cc(C(C)(C)C)ccn1)Cc1cccc(C2CCC2(C)C)n1</v>
      </c>
      <c r="C6174" s="7">
        <f>IFERROR(__xludf.DUMMYFUNCTION("""COMPUTED_VALUE"""),7.786209)</f>
        <v>7.786209</v>
      </c>
      <c r="D6174" s="7">
        <f>IFERROR(__xludf.DUMMYFUNCTION("""COMPUTED_VALUE"""),0.304347826086956)</f>
        <v>0.3043478261</v>
      </c>
    </row>
    <row r="6175">
      <c r="A6175" s="10" t="s">
        <v>7614</v>
      </c>
      <c r="B6175" s="7" t="str">
        <f>IFERROR(__xludf.DUMMYFUNCTION("SPLIT(A6175,"" "")"),"CN(Cc1ccccn1)Cc1ncccc1N(C)Cc1cccc(-c2cccc3c2OCCOCCOCCOCCOCCO3)n1")</f>
        <v>CN(Cc1ccccn1)Cc1ncccc1N(C)Cc1cccc(-c2cccc3c2OCCOCCOCCOCCOCCO3)n1</v>
      </c>
      <c r="C6175" s="7">
        <f>IFERROR(__xludf.DUMMYFUNCTION("""COMPUTED_VALUE"""),7.7862024)</f>
        <v>7.7862024</v>
      </c>
      <c r="D6175" s="7">
        <f>IFERROR(__xludf.DUMMYFUNCTION("""COMPUTED_VALUE"""),0.459016393442622)</f>
        <v>0.4590163934</v>
      </c>
    </row>
    <row r="6176">
      <c r="A6176" s="10" t="s">
        <v>7615</v>
      </c>
      <c r="B6176" s="7" t="str">
        <f>IFERROR(__xludf.DUMMYFUNCTION("SPLIT(A6176,"" "")"),"CN(CCNc1ccc2ncccc2c1)Cc1ncccc1-c1cccc2c1OCCOCCOCCOCCOCCO2")</f>
        <v>CN(CCNc1ccc2ncccc2c1)Cc1ncccc1-c1cccc2c1OCCOCCOCCOCCOCCO2</v>
      </c>
      <c r="C6176" s="7">
        <f>IFERROR(__xludf.DUMMYFUNCTION("""COMPUTED_VALUE"""),7.786202)</f>
        <v>7.786202</v>
      </c>
      <c r="D6176" s="7">
        <f>IFERROR(__xludf.DUMMYFUNCTION("""COMPUTED_VALUE"""),0.294117647058823)</f>
        <v>0.2941176471</v>
      </c>
    </row>
    <row r="6177">
      <c r="A6177" s="10" t="s">
        <v>7616</v>
      </c>
      <c r="B6177" s="7" t="str">
        <f>IFERROR(__xludf.DUMMYFUNCTION("SPLIT(A6177,"" "")"),"CCN(CC1=C(N(C)Cc2ccccn2)CC=CN1)CC(C)(C)C")</f>
        <v>CCN(CC1=C(N(C)Cc2ccccn2)CC=CN1)CC(C)(C)C</v>
      </c>
      <c r="C6177" s="7">
        <f>IFERROR(__xludf.DUMMYFUNCTION("""COMPUTED_VALUE"""),7.786195)</f>
        <v>7.786195</v>
      </c>
      <c r="D6177" s="7">
        <f>IFERROR(__xludf.DUMMYFUNCTION("""COMPUTED_VALUE"""),0.48076923076923)</f>
        <v>0.4807692308</v>
      </c>
    </row>
    <row r="6178">
      <c r="A6178" s="10" t="s">
        <v>7617</v>
      </c>
      <c r="B6178" s="7" t="str">
        <f>IFERROR(__xludf.DUMMYFUNCTION("SPLIT(A6178,"" "")"),"CCN(Cc1ccccn1)c1cccnc1CN(Cc1ccccn1)Cc1cccc(-c2ccc3c(c2)OCCOCCOCCOCCOCCO3)n1")</f>
        <v>CCN(Cc1ccccn1)c1cccnc1CN(Cc1ccccn1)Cc1cccc(-c2ccc3c(c2)OCCOCCOCCOCCOCCO3)n1</v>
      </c>
      <c r="C6178" s="7">
        <f>IFERROR(__xludf.DUMMYFUNCTION("""COMPUTED_VALUE"""),7.786194)</f>
        <v>7.786194</v>
      </c>
      <c r="D6178" s="7">
        <f>IFERROR(__xludf.DUMMYFUNCTION("""COMPUTED_VALUE"""),0.44927536231884)</f>
        <v>0.4492753623</v>
      </c>
    </row>
    <row r="6179">
      <c r="A6179" s="10" t="s">
        <v>7618</v>
      </c>
      <c r="B6179" s="7" t="str">
        <f>IFERROR(__xludf.DUMMYFUNCTION("SPLIT(A6179,"" "")"),"Cc1cc(NCc2ccccn2)ccc1C(C)(C)N(C)C1CC(N(C)Cc2ccccn2)CC(N(Cc2ccccn2)C(C)C)C1")</f>
        <v>Cc1cc(NCc2ccccn2)ccc1C(C)(C)N(C)C1CC(N(C)Cc2ccccn2)CC(N(Cc2ccccn2)C(C)C)C1</v>
      </c>
      <c r="C6179" s="7">
        <f>IFERROR(__xludf.DUMMYFUNCTION("""COMPUTED_VALUE"""),7.78618)</f>
        <v>7.78618</v>
      </c>
      <c r="D6179" s="7">
        <f>IFERROR(__xludf.DUMMYFUNCTION("""COMPUTED_VALUE"""),0.348484848484848)</f>
        <v>0.3484848485</v>
      </c>
    </row>
    <row r="6180">
      <c r="A6180" s="10" t="s">
        <v>7619</v>
      </c>
      <c r="B6180" s="7" t="str">
        <f>IFERROR(__xludf.DUMMYFUNCTION("SPLIT(A6180,"" "")"),"CCNc1nc(C)ccc1C(C)(C(C)C)C(C)C")</f>
        <v>CCNc1nc(C)ccc1C(C)(C(C)C)C(C)C</v>
      </c>
      <c r="C6180" s="7">
        <f>IFERROR(__xludf.DUMMYFUNCTION("""COMPUTED_VALUE"""),7.7861786)</f>
        <v>7.7861786</v>
      </c>
      <c r="D6180" s="7">
        <f>IFERROR(__xludf.DUMMYFUNCTION("""COMPUTED_VALUE"""),0.259259259259259)</f>
        <v>0.2592592593</v>
      </c>
    </row>
    <row r="6181">
      <c r="A6181" s="10" t="s">
        <v>7620</v>
      </c>
      <c r="B6181" s="7" t="str">
        <f>IFERROR(__xludf.DUMMYFUNCTION("SPLIT(A6181,"" "")"),"Cc1cc(CN(Cc2ccccn2)C2CCCC(N(C)Cc3nc(C)c(C)c(C)c3C)C2)cnc1C")</f>
        <v>Cc1cc(CN(Cc2ccccn2)C2CCCC(N(C)Cc3nc(C)c(C)c(C)c3C)C2)cnc1C</v>
      </c>
      <c r="C6181" s="7">
        <f>IFERROR(__xludf.DUMMYFUNCTION("""COMPUTED_VALUE"""),7.7861767)</f>
        <v>7.7861767</v>
      </c>
      <c r="D6181" s="7">
        <f>IFERROR(__xludf.DUMMYFUNCTION("""COMPUTED_VALUE"""),0.38095238095238)</f>
        <v>0.380952381</v>
      </c>
    </row>
    <row r="6182">
      <c r="A6182" s="10" t="s">
        <v>7621</v>
      </c>
      <c r="B6182" s="7" t="str">
        <f>IFERROR(__xludf.DUMMYFUNCTION("SPLIT(A6182,"" "")"),"CCNC1CC(N(C)Cc2ccccn2)CC(N(Cc2nc(C)c(C)cc2C)Cc2nc(C)c(C)cc2C)C1")</f>
        <v>CCNC1CC(N(C)Cc2ccccn2)CC(N(Cc2nc(C)c(C)cc2C)Cc2nc(C)c(C)cc2C)C1</v>
      </c>
      <c r="C6182" s="7">
        <f>IFERROR(__xludf.DUMMYFUNCTION("""COMPUTED_VALUE"""),7.7861743)</f>
        <v>7.7861743</v>
      </c>
      <c r="D6182" s="7">
        <f>IFERROR(__xludf.DUMMYFUNCTION("""COMPUTED_VALUE"""),0.383333333333333)</f>
        <v>0.3833333333</v>
      </c>
    </row>
    <row r="6183">
      <c r="A6183" s="10" t="s">
        <v>7622</v>
      </c>
      <c r="B6183" s="7" t="str">
        <f>IFERROR(__xludf.DUMMYFUNCTION("SPLIT(A6183,"" "")"),"Cc1cncc(CN(C)C2CC(N(C)Cc3ccccn3)CC(N(Cc3ccccn3)Cc3ccc(C)c(C)n3)C2)c1")</f>
        <v>Cc1cncc(CN(C)C2CC(N(C)Cc3ccccn3)CC(N(Cc3ccccn3)Cc3ccc(C)c(C)n3)C2)c1</v>
      </c>
      <c r="C6183" s="7">
        <f>IFERROR(__xludf.DUMMYFUNCTION("""COMPUTED_VALUE"""),7.7861433)</f>
        <v>7.7861433</v>
      </c>
      <c r="D6183" s="7">
        <f>IFERROR(__xludf.DUMMYFUNCTION("""COMPUTED_VALUE"""),0.377049180327868)</f>
        <v>0.3770491803</v>
      </c>
    </row>
    <row r="6184">
      <c r="A6184" s="10" t="s">
        <v>7623</v>
      </c>
      <c r="B6184" s="7" t="str">
        <f>IFERROR(__xludf.DUMMYFUNCTION("SPLIT(A6184,"" "")"),"CN(CCN(Cc1ccccn1)c1ccc2ncccc2c1)c1cccc2c1OCCOCCOCCOCCOCCO2")</f>
        <v>CN(CCN(Cc1ccccn1)c1ccc2ncccc2c1)c1cccc2c1OCCOCCOCCOCCOCCO2</v>
      </c>
      <c r="C6184" s="7">
        <f>IFERROR(__xludf.DUMMYFUNCTION("""COMPUTED_VALUE"""),7.7861414)</f>
        <v>7.7861414</v>
      </c>
      <c r="D6184" s="7">
        <f>IFERROR(__xludf.DUMMYFUNCTION("""COMPUTED_VALUE"""),0.349206349206349)</f>
        <v>0.3492063492</v>
      </c>
    </row>
    <row r="6185">
      <c r="A6185" s="10" t="s">
        <v>7624</v>
      </c>
      <c r="B6185" s="7" t="str">
        <f>IFERROR(__xludf.DUMMYFUNCTION("SPLIT(A6185,"" "")"),"CN(CNCc1cc(C(C)(C)C)ccn1)C1CCC(N(C)Cc2cc(-c3ccccn3)ccn2)CC1")</f>
        <v>CN(CNCc1cc(C(C)(C)C)ccn1)C1CCC(N(C)Cc2cc(-c3ccccn3)ccn2)CC1</v>
      </c>
      <c r="C6185" s="7">
        <f>IFERROR(__xludf.DUMMYFUNCTION("""COMPUTED_VALUE"""),7.7861295)</f>
        <v>7.7861295</v>
      </c>
      <c r="D6185" s="7">
        <f>IFERROR(__xludf.DUMMYFUNCTION("""COMPUTED_VALUE"""),0.354838709677419)</f>
        <v>0.3548387097</v>
      </c>
    </row>
    <row r="6186">
      <c r="A6186" s="10" t="s">
        <v>7625</v>
      </c>
      <c r="B6186" s="7" t="str">
        <f>IFERROR(__xludf.DUMMYFUNCTION("SPLIT(A6186,"" "")"),"CCOC(C)c1nc(CN(Cc2ccccn2)Cc2ccccn2)ccc1CN(Cc1ccccn1)Cc1cccc(-c2ccc3c(c2)OCCOCCOCCOCCOCCO3)n1")</f>
        <v>CCOC(C)c1nc(CN(Cc2ccccn2)Cc2ccccn2)ccc1CN(Cc1ccccn1)Cc1cccc(-c2ccc3c(c2)OCCOCCOCCOCCOCCO3)n1</v>
      </c>
      <c r="C6186" s="7">
        <f>IFERROR(__xludf.DUMMYFUNCTION("""COMPUTED_VALUE"""),7.786126)</f>
        <v>7.786126</v>
      </c>
      <c r="D6186" s="7">
        <f>IFERROR(__xludf.DUMMYFUNCTION("""COMPUTED_VALUE"""),0.444444444444444)</f>
        <v>0.4444444444</v>
      </c>
    </row>
    <row r="6187">
      <c r="A6187" s="10" t="s">
        <v>7626</v>
      </c>
      <c r="B6187" s="7" t="str">
        <f>IFERROR(__xludf.DUMMYFUNCTION("SPLIT(A6187,"" "")"),"CN(CC1=CCC=CN1)C1=CCNC=C1")</f>
        <v>CN(CC1=CCC=CN1)C1=CCNC=C1</v>
      </c>
      <c r="C6187" s="7">
        <f>IFERROR(__xludf.DUMMYFUNCTION("""COMPUTED_VALUE"""),7.78612)</f>
        <v>7.78612</v>
      </c>
      <c r="D6187" s="7">
        <f>IFERROR(__xludf.DUMMYFUNCTION("""COMPUTED_VALUE"""),0.387755102040816)</f>
        <v>0.387755102</v>
      </c>
    </row>
    <row r="6188">
      <c r="A6188" s="10" t="s">
        <v>7627</v>
      </c>
      <c r="B6188" s="7" t="str">
        <f>IFERROR(__xludf.DUMMYFUNCTION("SPLIT(A6188,"" "")"),"C=CCN(C)CCN(C)CC1=C(N(C)Cc2ccccn2)NC=CC1")</f>
        <v>C=CCN(C)CCN(C)CC1=C(N(C)Cc2ccccn2)NC=CC1</v>
      </c>
      <c r="C6188" s="7">
        <f>IFERROR(__xludf.DUMMYFUNCTION("""COMPUTED_VALUE"""),7.7861195)</f>
        <v>7.7861195</v>
      </c>
      <c r="D6188" s="7">
        <f>IFERROR(__xludf.DUMMYFUNCTION("""COMPUTED_VALUE"""),0.412698412698412)</f>
        <v>0.4126984127</v>
      </c>
    </row>
    <row r="6189">
      <c r="A6189" s="10" t="s">
        <v>7628</v>
      </c>
      <c r="B6189" s="7" t="str">
        <f>IFERROR(__xludf.DUMMYFUNCTION("SPLIT(A6189,"" "")"),"COCc1cccc(CN2CCC(C3CCCN3Cc3cc(C(C)(c4ccccn4)c4ccccn4)ccn3)C2)n1")</f>
        <v>COCc1cccc(CN2CCC(C3CCCN3Cc3cc(C(C)(c4ccccn4)c4ccccn4)ccn3)C2)n1</v>
      </c>
      <c r="C6189" s="7">
        <f>IFERROR(__xludf.DUMMYFUNCTION("""COMPUTED_VALUE"""),7.7861075)</f>
        <v>7.7861075</v>
      </c>
      <c r="D6189" s="7">
        <f>IFERROR(__xludf.DUMMYFUNCTION("""COMPUTED_VALUE"""),0.409090909090909)</f>
        <v>0.4090909091</v>
      </c>
    </row>
    <row r="6190">
      <c r="A6190" s="10" t="s">
        <v>7629</v>
      </c>
      <c r="B6190" s="7" t="str">
        <f>IFERROR(__xludf.DUMMYFUNCTION("SPLIT(A6190,"" "")"),"FCc1ncccc1N(Cc1ccccn1)Cc1ncccc1-c1cccc2c1OCCOCCOCCOCCOCCO2")</f>
        <v>FCc1ncccc1N(Cc1ccccn1)Cc1ncccc1-c1cccc2c1OCCOCCOCCOCCOCCO2</v>
      </c>
      <c r="C6190" s="7">
        <f>IFERROR(__xludf.DUMMYFUNCTION("""COMPUTED_VALUE"""),7.786107)</f>
        <v>7.786107</v>
      </c>
      <c r="D6190" s="7">
        <f>IFERROR(__xludf.DUMMYFUNCTION("""COMPUTED_VALUE"""),0.303571428571428)</f>
        <v>0.3035714286</v>
      </c>
    </row>
    <row r="6191">
      <c r="A6191" s="10" t="s">
        <v>7630</v>
      </c>
      <c r="B6191" s="7" t="str">
        <f>IFERROR(__xludf.DUMMYFUNCTION("SPLIT(A6191,"" "")"),"Cc1cc(C)c(CN(C)C2CCC(N(Cc3ccccn3)Cc3cc(C)c(C)c(C)n3)CC2)nc1C")</f>
        <v>Cc1cc(C)c(CN(C)C2CCC(N(Cc3ccccn3)Cc3cc(C)c(C)c(C)n3)CC2)nc1C</v>
      </c>
      <c r="C6191" s="7">
        <f>IFERROR(__xludf.DUMMYFUNCTION("""COMPUTED_VALUE"""),7.786101)</f>
        <v>7.786101</v>
      </c>
      <c r="D6191" s="7">
        <f>IFERROR(__xludf.DUMMYFUNCTION("""COMPUTED_VALUE"""),0.396551724137931)</f>
        <v>0.3965517241</v>
      </c>
    </row>
    <row r="6192">
      <c r="A6192" s="10" t="s">
        <v>7631</v>
      </c>
      <c r="B6192" s="7" t="str">
        <f>IFERROR(__xludf.DUMMYFUNCTION("SPLIT(A6192,"" "")"),"Cc1ccc(CN(Cc2cc(C)c(C)c(C)n2)C2CCCC(N(C)Cc3ccc(C)c(C)n3)C2)cn1")</f>
        <v>Cc1ccc(CN(Cc2cc(C)c(C)c(C)n2)C2CCCC(N(C)Cc3ccc(C)c(C)n3)C2)cn1</v>
      </c>
      <c r="C6192" s="7">
        <f>IFERROR(__xludf.DUMMYFUNCTION("""COMPUTED_VALUE"""),7.786096)</f>
        <v>7.786096</v>
      </c>
      <c r="D6192" s="7">
        <f>IFERROR(__xludf.DUMMYFUNCTION("""COMPUTED_VALUE"""),0.307692307692307)</f>
        <v>0.3076923077</v>
      </c>
    </row>
    <row r="6193">
      <c r="A6193" s="10" t="s">
        <v>7632</v>
      </c>
      <c r="B6193" s="7" t="str">
        <f>IFERROR(__xludf.DUMMYFUNCTION("SPLIT(A6193,"" "")"),"COC(C)c1ncccc1CN1CCN(C)CCN(Cc2cc(C(C)(c3ccccn3)c3ccccn3)ccn2)CC1")</f>
        <v>COC(C)c1ncccc1CN1CCN(C)CCN(Cc2cc(C(C)(c3ccccn3)c3ccccn3)ccn2)CC1</v>
      </c>
      <c r="C6193" s="7">
        <f>IFERROR(__xludf.DUMMYFUNCTION("""COMPUTED_VALUE"""),7.7860937)</f>
        <v>7.7860937</v>
      </c>
      <c r="D6193" s="7">
        <f>IFERROR(__xludf.DUMMYFUNCTION("""COMPUTED_VALUE"""),0.440677966101694)</f>
        <v>0.4406779661</v>
      </c>
    </row>
    <row r="6194">
      <c r="A6194" s="10" t="s">
        <v>7633</v>
      </c>
      <c r="B6194" s="7" t="str">
        <f>IFERROR(__xludf.DUMMYFUNCTION("SPLIT(A6194,"" "")"),"Cc1cnccc1CN(C)C1=CNC=CC1CN(C)C(C)(C)C")</f>
        <v>Cc1cnccc1CN(C)C1=CNC=CC1CN(C)C(C)(C)C</v>
      </c>
      <c r="C6194" s="7">
        <f>IFERROR(__xludf.DUMMYFUNCTION("""COMPUTED_VALUE"""),7.786081)</f>
        <v>7.786081</v>
      </c>
      <c r="D6194" s="7">
        <f>IFERROR(__xludf.DUMMYFUNCTION("""COMPUTED_VALUE"""),0.191176470588235)</f>
        <v>0.1911764706</v>
      </c>
    </row>
    <row r="6195">
      <c r="A6195" s="10" t="s">
        <v>7634</v>
      </c>
      <c r="B6195" s="7" t="str">
        <f>IFERROR(__xludf.DUMMYFUNCTION("SPLIT(A6195,"" "")"),"CNCc1cc(CN(C)C2CCC(N(C)Cc3ccc4ncccc4c3)CC2)ccn1")</f>
        <v>CNCc1cc(CN(C)C2CCC(N(C)Cc3ccc4ncccc4c3)CC2)ccn1</v>
      </c>
      <c r="C6195" s="7">
        <f>IFERROR(__xludf.DUMMYFUNCTION("""COMPUTED_VALUE"""),7.7860785)</f>
        <v>7.7860785</v>
      </c>
      <c r="D6195" s="7">
        <f>IFERROR(__xludf.DUMMYFUNCTION("""COMPUTED_VALUE"""),0.333333333333333)</f>
        <v>0.3333333333</v>
      </c>
    </row>
    <row r="6196">
      <c r="A6196" s="10" t="s">
        <v>7635</v>
      </c>
      <c r="B6196" s="7" t="str">
        <f>IFERROR(__xludf.DUMMYFUNCTION("SPLIT(A6196,"" "")"),"Cc1cccnc1CN(Cc1ccc(N)cn1)C1CCCC(N(C)Cc2cc(C)c(C)c(C)n2)C1")</f>
        <v>Cc1cccnc1CN(Cc1ccc(N)cn1)C1CCCC(N(C)Cc2cc(C)c(C)c(C)n2)C1</v>
      </c>
      <c r="C6196" s="7">
        <f>IFERROR(__xludf.DUMMYFUNCTION("""COMPUTED_VALUE"""),7.7860713)</f>
        <v>7.7860713</v>
      </c>
      <c r="D6196" s="7">
        <f>IFERROR(__xludf.DUMMYFUNCTION("""COMPUTED_VALUE"""),0.323529411764705)</f>
        <v>0.3235294118</v>
      </c>
    </row>
    <row r="6197">
      <c r="A6197" s="10" t="s">
        <v>7636</v>
      </c>
      <c r="B6197" s="7" t="str">
        <f>IFERROR(__xludf.DUMMYFUNCTION("SPLIT(A6197,"" "")"),"CC(C)N(C)C1CCC(N(C)c2ccc3ncc(CF)cc3c2)CC1")</f>
        <v>CC(C)N(C)C1CCC(N(C)c2ccc3ncc(CF)cc3c2)CC1</v>
      </c>
      <c r="C6197" s="7">
        <f>IFERROR(__xludf.DUMMYFUNCTION("""COMPUTED_VALUE"""),7.7860627)</f>
        <v>7.7860627</v>
      </c>
      <c r="D6197" s="7">
        <f>IFERROR(__xludf.DUMMYFUNCTION("""COMPUTED_VALUE"""),0.246153846153846)</f>
        <v>0.2461538462</v>
      </c>
    </row>
    <row r="6198">
      <c r="A6198" s="10" t="s">
        <v>7637</v>
      </c>
      <c r="B6198" s="7" t="str">
        <f>IFERROR(__xludf.DUMMYFUNCTION("SPLIT(A6198,"" "")"),"CN(Cc1ccccn1)CN(Cc1ccccn1)Cc1cc(N(C)Cc2cccc(-c3ccc4c(c3)OCCOCCOCCOCCOCCO4)n2)ccn1")</f>
        <v>CN(Cc1ccccn1)CN(Cc1ccccn1)Cc1cc(N(C)Cc2cccc(-c3ccc4c(c3)OCCOCCOCCOCCOCCO4)n2)ccn1</v>
      </c>
      <c r="C6198" s="7">
        <f>IFERROR(__xludf.DUMMYFUNCTION("""COMPUTED_VALUE"""),7.7860594)</f>
        <v>7.7860594</v>
      </c>
      <c r="D6198" s="7">
        <f>IFERROR(__xludf.DUMMYFUNCTION("""COMPUTED_VALUE"""),0.422535211267605)</f>
        <v>0.4225352113</v>
      </c>
    </row>
    <row r="6199">
      <c r="A6199" s="10" t="s">
        <v>7638</v>
      </c>
      <c r="B6199" s="7" t="str">
        <f>IFERROR(__xludf.DUMMYFUNCTION("SPLIT(A6199,"" "")"),"CNCc1cc(CN(Cc2nc(C)c(C)cc2C)C2CCC(N(C)Cc3nc(C)c(C)cc3C)CC2)ccn1")</f>
        <v>CNCc1cc(CN(Cc2nc(C)c(C)cc2C)C2CCC(N(C)Cc3nc(C)c(C)cc3C)CC2)ccn1</v>
      </c>
      <c r="C6199" s="7">
        <f>IFERROR(__xludf.DUMMYFUNCTION("""COMPUTED_VALUE"""),7.7860546)</f>
        <v>7.7860546</v>
      </c>
      <c r="D6199" s="7">
        <f>IFERROR(__xludf.DUMMYFUNCTION("""COMPUTED_VALUE"""),0.274193548387096)</f>
        <v>0.2741935484</v>
      </c>
    </row>
    <row r="6200">
      <c r="A6200" s="10" t="s">
        <v>7639</v>
      </c>
      <c r="B6200" s="7" t="str">
        <f>IFERROR(__xludf.DUMMYFUNCTION("SPLIT(A6200,"" "")"),"CN(Cc1ccccn1)Cc1cccc(N(C)Cc2cccc(-c3ccc4c(c3)OCCOCCOCCOCCOCCO4)n2)n1")</f>
        <v>CN(Cc1ccccn1)Cc1cccc(N(C)Cc2cccc(-c3ccc4c(c3)OCCOCCOCCOCCOCCO4)n2)n1</v>
      </c>
      <c r="C6200" s="7">
        <f>IFERROR(__xludf.DUMMYFUNCTION("""COMPUTED_VALUE"""),7.786049)</f>
        <v>7.786049</v>
      </c>
      <c r="D6200" s="7">
        <f>IFERROR(__xludf.DUMMYFUNCTION("""COMPUTED_VALUE"""),0.491228070175438)</f>
        <v>0.4912280702</v>
      </c>
    </row>
    <row r="6201">
      <c r="A6201" s="10" t="s">
        <v>7640</v>
      </c>
      <c r="B6201" s="7" t="str">
        <f>IFERROR(__xludf.DUMMYFUNCTION("SPLIT(A6201,"" "")"),"CN(Cc1ccccn1)Cc1ncccc1N(C)Cc1ccc(-c2cccc3c2OCCOCCOCCOCCOCCO3)nc1")</f>
        <v>CN(Cc1ccccn1)Cc1ncccc1N(C)Cc1ccc(-c2cccc3c2OCCOCCOCCOCCOCCO3)nc1</v>
      </c>
      <c r="C6201" s="7">
        <f>IFERROR(__xludf.DUMMYFUNCTION("""COMPUTED_VALUE"""),7.7860475)</f>
        <v>7.7860475</v>
      </c>
      <c r="D6201" s="7">
        <f>IFERROR(__xludf.DUMMYFUNCTION("""COMPUTED_VALUE"""),0.352941176470588)</f>
        <v>0.3529411765</v>
      </c>
    </row>
    <row r="6202">
      <c r="A6202" s="10" t="s">
        <v>7641</v>
      </c>
      <c r="B6202" s="7" t="str">
        <f>IFERROR(__xludf.DUMMYFUNCTION("SPLIT(A6202,"" "")"),"Cc1cccnc1CN(C)C1CC(N(C)Cc2ccccn2)CC(N(Cc2cccc(F)n2)Cc2cccnc2F)C1")</f>
        <v>Cc1cccnc1CN(C)C1CC(N(C)Cc2ccccn2)CC(N(Cc2cccc(F)n2)Cc2cccnc2F)C1</v>
      </c>
      <c r="C6202" s="7">
        <f>IFERROR(__xludf.DUMMYFUNCTION("""COMPUTED_VALUE"""),7.7860427)</f>
        <v>7.7860427</v>
      </c>
      <c r="D6202" s="7">
        <f>IFERROR(__xludf.DUMMYFUNCTION("""COMPUTED_VALUE"""),0.365079365079365)</f>
        <v>0.3650793651</v>
      </c>
    </row>
    <row r="6203">
      <c r="A6203" s="10" t="s">
        <v>7642</v>
      </c>
      <c r="B6203" s="7" t="str">
        <f>IFERROR(__xludf.DUMMYFUNCTION("SPLIT(A6203,"" "")"),"CC(C)C(C)N(C)Cc1ncccc1C(C)(C)c1ccccn1")</f>
        <v>CC(C)C(C)N(C)Cc1ncccc1C(C)(C)c1ccccn1</v>
      </c>
      <c r="C6203" s="7">
        <f>IFERROR(__xludf.DUMMYFUNCTION("""COMPUTED_VALUE"""),7.786042)</f>
        <v>7.786042</v>
      </c>
      <c r="D6203" s="7">
        <f>IFERROR(__xludf.DUMMYFUNCTION("""COMPUTED_VALUE"""),0.320754716981132)</f>
        <v>0.320754717</v>
      </c>
    </row>
    <row r="6204">
      <c r="A6204" s="10" t="s">
        <v>7643</v>
      </c>
      <c r="B6204" s="7" t="str">
        <f>IFERROR(__xludf.DUMMYFUNCTION("SPLIT(A6204,"" "")"),"Cc1cc(C)c(C)c(CN(C)C2CCCC(N(C)Cc3nc(C)c(C)c(C)c3C)C2)n1")</f>
        <v>Cc1cc(C)c(C)c(CN(C)C2CCCC(N(C)Cc3nc(C)c(C)c(C)c3C)C2)n1</v>
      </c>
      <c r="C6204" s="7">
        <f>IFERROR(__xludf.DUMMYFUNCTION("""COMPUTED_VALUE"""),7.7860417)</f>
        <v>7.7860417</v>
      </c>
      <c r="D6204" s="7">
        <f>IFERROR(__xludf.DUMMYFUNCTION("""COMPUTED_VALUE"""),0.296296296296296)</f>
        <v>0.2962962963</v>
      </c>
    </row>
    <row r="6205">
      <c r="A6205" s="10" t="s">
        <v>7644</v>
      </c>
      <c r="B6205" s="7" t="str">
        <f>IFERROR(__xludf.DUMMYFUNCTION("SPLIT(A6205,"" "")"),"CC(C)NC1=C(N(C)C(C)C)C=CNC1")</f>
        <v>CC(C)NC1=C(N(C)C(C)C)C=CNC1</v>
      </c>
      <c r="C6205" s="7">
        <f>IFERROR(__xludf.DUMMYFUNCTION("""COMPUTED_VALUE"""),7.7860384)</f>
        <v>7.7860384</v>
      </c>
      <c r="D6205" s="7">
        <f>IFERROR(__xludf.DUMMYFUNCTION("""COMPUTED_VALUE"""),0.163265306122448)</f>
        <v>0.1632653061</v>
      </c>
    </row>
    <row r="6206">
      <c r="A6206" s="10" t="s">
        <v>7645</v>
      </c>
      <c r="B6206" s="7" t="str">
        <f>IFERROR(__xludf.DUMMYFUNCTION("SPLIT(A6206,"" "")"),"CN(CCN(Cc1ccccn1)c1cccc2ncccc12)c1cccc2c1OCCOCCOCCOCCOCCO2")</f>
        <v>CN(CCN(Cc1ccccn1)c1cccc2ncccc12)c1cccc2c1OCCOCCOCCOCCOCCO2</v>
      </c>
      <c r="C6206" s="7">
        <f>IFERROR(__xludf.DUMMYFUNCTION("""COMPUTED_VALUE"""),7.786034)</f>
        <v>7.786034</v>
      </c>
      <c r="D6206" s="7">
        <f>IFERROR(__xludf.DUMMYFUNCTION("""COMPUTED_VALUE"""),0.333333333333333)</f>
        <v>0.3333333333</v>
      </c>
    </row>
    <row r="6207">
      <c r="A6207" s="10" t="s">
        <v>7646</v>
      </c>
      <c r="B6207" s="7" t="str">
        <f>IFERROR(__xludf.DUMMYFUNCTION("SPLIT(A6207,"" "")"),"CN(c1ccc2ncc(CF)cc2c1)C1CCC(N(Cc2ccccn2)Cc2ccc(-c3ccc4c(c3)OCCOCCOCCOCCOCCO4)cn2)CC1")</f>
        <v>CN(c1ccc2ncc(CF)cc2c1)C1CCC(N(Cc2ccccn2)Cc2ccc(-c3ccc4c(c3)OCCOCCOCCOCCOCCO4)cn2)CC1</v>
      </c>
      <c r="C6207" s="7">
        <f>IFERROR(__xludf.DUMMYFUNCTION("""COMPUTED_VALUE"""),7.7860165)</f>
        <v>7.7860165</v>
      </c>
      <c r="D6207" s="7">
        <f>IFERROR(__xludf.DUMMYFUNCTION("""COMPUTED_VALUE"""),0.385542168674698)</f>
        <v>0.3855421687</v>
      </c>
    </row>
    <row r="6208">
      <c r="A6208" s="10" t="s">
        <v>7647</v>
      </c>
      <c r="B6208" s="7" t="str">
        <f>IFERROR(__xludf.DUMMYFUNCTION("SPLIT(A6208,"" "")"),"CNCc1nc(CN(Cc2ccccn2)C2CCC(N(C)Cc3nc(C)c(C)c(C)c3C)CC2)c(C)c(C)c1C")</f>
        <v>CNCc1nc(CN(Cc2ccccn2)C2CCC(N(C)Cc3nc(C)c(C)c(C)c3C)CC2)c(C)c(C)c1C</v>
      </c>
      <c r="C6208" s="7">
        <f>IFERROR(__xludf.DUMMYFUNCTION("""COMPUTED_VALUE"""),7.7860165)</f>
        <v>7.7860165</v>
      </c>
      <c r="D6208" s="7">
        <f>IFERROR(__xludf.DUMMYFUNCTION("""COMPUTED_VALUE"""),0.389830508474576)</f>
        <v>0.3898305085</v>
      </c>
    </row>
    <row r="6209">
      <c r="A6209" s="10" t="s">
        <v>7648</v>
      </c>
      <c r="B6209" s="7" t="str">
        <f>IFERROR(__xludf.DUMMYFUNCTION("SPLIT(A6209,"" "")"),"CN(c1cccc2cc(CF)cnc12)C1CCC(N(Cc2ccccn2)Cc2ccc(-c3ccc4c(c3)OCCOCCOCCOCCOCCO4)cn2)CC1")</f>
        <v>CN(c1cccc2cc(CF)cnc12)C1CCC(N(Cc2ccccn2)Cc2ccc(-c3ccc4c(c3)OCCOCCOCCOCCOCCO4)cn2)CC1</v>
      </c>
      <c r="C6209" s="7">
        <f>IFERROR(__xludf.DUMMYFUNCTION("""COMPUTED_VALUE"""),7.7860126)</f>
        <v>7.7860126</v>
      </c>
      <c r="D6209" s="7">
        <f>IFERROR(__xludf.DUMMYFUNCTION("""COMPUTED_VALUE"""),0.385542168674698)</f>
        <v>0.3855421687</v>
      </c>
    </row>
    <row r="6210">
      <c r="A6210" s="10" t="s">
        <v>7649</v>
      </c>
      <c r="B6210" s="7" t="str">
        <f>IFERROR(__xludf.DUMMYFUNCTION("SPLIT(A6210,"" "")"),"CN1CCN(C)CCN(Cc2cncc(-c3ccc(Cl)c(Cl)c3)c2)CC1")</f>
        <v>CN1CCN(C)CCN(Cc2cncc(-c3ccc(Cl)c(Cl)c3)c2)CC1</v>
      </c>
      <c r="C6210" s="7">
        <f>IFERROR(__xludf.DUMMYFUNCTION("""COMPUTED_VALUE"""),7.7860103)</f>
        <v>7.7860103</v>
      </c>
      <c r="D6210" s="7">
        <f>IFERROR(__xludf.DUMMYFUNCTION("""COMPUTED_VALUE"""),0.387755102040816)</f>
        <v>0.387755102</v>
      </c>
    </row>
    <row r="6211">
      <c r="A6211" s="10" t="s">
        <v>7650</v>
      </c>
      <c r="B6211" s="7" t="str">
        <f>IFERROR(__xludf.DUMMYFUNCTION("SPLIT(A6211,"" "")"),"CC1=C(C)CC(N(C)Cc2ncccc2C(C)(C)C)C(C)C1")</f>
        <v>CC1=C(C)CC(N(C)Cc2ncccc2C(C)(C)C)C(C)C1</v>
      </c>
      <c r="C6211" s="7">
        <f>IFERROR(__xludf.DUMMYFUNCTION("""COMPUTED_VALUE"""),7.786008)</f>
        <v>7.786008</v>
      </c>
      <c r="D6211" s="7">
        <f>IFERROR(__xludf.DUMMYFUNCTION("""COMPUTED_VALUE"""),0.346153846153846)</f>
        <v>0.3461538462</v>
      </c>
    </row>
    <row r="6212">
      <c r="A6212" s="10" t="s">
        <v>7651</v>
      </c>
      <c r="B6212" s="7" t="str">
        <f>IFERROR(__xludf.DUMMYFUNCTION("SPLIT(A6212,"" "")"),"Cc1cc(CN(C)CCN(C)Cc2cccc(C3CCC3(C)C)n2)nc(C)c1C")</f>
        <v>Cc1cc(CN(C)CCN(C)Cc2cccc(C3CCC3(C)C)n2)nc(C)c1C</v>
      </c>
      <c r="C6212" s="7">
        <f>IFERROR(__xludf.DUMMYFUNCTION("""COMPUTED_VALUE"""),7.786006)</f>
        <v>7.786006</v>
      </c>
      <c r="D6212" s="7">
        <f>IFERROR(__xludf.DUMMYFUNCTION("""COMPUTED_VALUE"""),0.411764705882352)</f>
        <v>0.4117647059</v>
      </c>
    </row>
    <row r="6213">
      <c r="A6213" s="10" t="s">
        <v>7652</v>
      </c>
      <c r="B6213" s="7" t="str">
        <f>IFERROR(__xludf.DUMMYFUNCTION("SPLIT(A6213,"" "")"),"CN(Cc1cc(-c2ccc3c(c2)OCCOCCOCCOCCOCCO3)ccn1)C1=CC(c2cccc(N(C)C)c2)CC=C1")</f>
        <v>CN(Cc1cc(-c2ccc3c(c2)OCCOCCOCCOCCOCCO3)ccn1)C1=CC(c2cccc(N(C)C)c2)CC=C1</v>
      </c>
      <c r="C6213" s="7">
        <f>IFERROR(__xludf.DUMMYFUNCTION("""COMPUTED_VALUE"""),7.7860007)</f>
        <v>7.7860007</v>
      </c>
      <c r="D6213" s="7">
        <f>IFERROR(__xludf.DUMMYFUNCTION("""COMPUTED_VALUE"""),0.333333333333333)</f>
        <v>0.3333333333</v>
      </c>
    </row>
    <row r="6214">
      <c r="A6214" s="10" t="s">
        <v>7653</v>
      </c>
      <c r="B6214" s="7" t="str">
        <f>IFERROR(__xludf.DUMMYFUNCTION("SPLIT(A6214,"" "")"),"COC(=O)c1cc(CN2CCN(C)CCN(Cc3ncccc3C(C)(C)c3ccccn3)CC2)ccn1")</f>
        <v>COC(=O)c1cc(CN2CCN(C)CCN(Cc3ncccc3C(C)(C)c3ccccn3)CC2)ccn1</v>
      </c>
      <c r="C6214" s="7">
        <f>IFERROR(__xludf.DUMMYFUNCTION("""COMPUTED_VALUE"""),7.7859855)</f>
        <v>7.7859855</v>
      </c>
      <c r="D6214" s="7">
        <f>IFERROR(__xludf.DUMMYFUNCTION("""COMPUTED_VALUE"""),0.365079365079365)</f>
        <v>0.3650793651</v>
      </c>
    </row>
    <row r="6215">
      <c r="A6215" s="10" t="s">
        <v>7654</v>
      </c>
      <c r="B6215" s="7" t="str">
        <f>IFERROR(__xludf.DUMMYFUNCTION("SPLIT(A6215,"" "")"),"Cc1cc(CN(C)C2CCCC(N(Cc3ccccn3)Cc3ncc(N)c(C)c3C)C2)cnc1C")</f>
        <v>Cc1cc(CN(C)C2CCCC(N(Cc3ccccn3)Cc3ncc(N)c(C)c3C)C2)cnc1C</v>
      </c>
      <c r="C6215" s="7">
        <f>IFERROR(__xludf.DUMMYFUNCTION("""COMPUTED_VALUE"""),7.7859845)</f>
        <v>7.7859845</v>
      </c>
      <c r="D6215" s="7">
        <f>IFERROR(__xludf.DUMMYFUNCTION("""COMPUTED_VALUE"""),0.369230769230769)</f>
        <v>0.3692307692</v>
      </c>
    </row>
    <row r="6216">
      <c r="A6216" s="10" t="s">
        <v>7655</v>
      </c>
      <c r="B6216" s="7" t="str">
        <f>IFERROR(__xludf.DUMMYFUNCTION("SPLIT(A6216,"" "")"),"Cc1cccc(C(C)NCc2ccccn2)c1")</f>
        <v>Cc1cccc(C(C)NCc2ccccn2)c1</v>
      </c>
      <c r="C6216" s="7">
        <f>IFERROR(__xludf.DUMMYFUNCTION("""COMPUTED_VALUE"""),7.785984)</f>
        <v>7.785984</v>
      </c>
      <c r="D6216" s="7">
        <f>IFERROR(__xludf.DUMMYFUNCTION("""COMPUTED_VALUE"""),0.425)</f>
        <v>0.425</v>
      </c>
    </row>
    <row r="6217">
      <c r="A6217" s="10" t="s">
        <v>7656</v>
      </c>
      <c r="B6217" s="7" t="str">
        <f>IFERROR(__xludf.DUMMYFUNCTION("SPLIT(A6217,"" "")"),"Cc1cnc(CN(C)C2C(N(C)Cc3ccccn3)CCCC2N(Cc2ncccc2C)Cc2ncccc2C)c(C)c1")</f>
        <v>Cc1cnc(CN(C)C2C(N(C)Cc3ccccn3)CCCC2N(Cc2ncccc2C)Cc2ncccc2C)c(C)c1</v>
      </c>
      <c r="C6217" s="7">
        <f>IFERROR(__xludf.DUMMYFUNCTION("""COMPUTED_VALUE"""),7.785978)</f>
        <v>7.785978</v>
      </c>
      <c r="D6217" s="7">
        <f>IFERROR(__xludf.DUMMYFUNCTION("""COMPUTED_VALUE"""),0.5)</f>
        <v>0.5</v>
      </c>
    </row>
    <row r="6218">
      <c r="A6218" s="10" t="s">
        <v>7657</v>
      </c>
      <c r="B6218" s="7" t="str">
        <f>IFERROR(__xludf.DUMMYFUNCTION("SPLIT(A6218,"" "")"),"CN1CCN(C)CCN(Cc2cccnc2CN(C)Cc2cccc(-c3cccc(N)c3)n2)CC1")</f>
        <v>CN1CCN(C)CCN(Cc2cccnc2CN(C)Cc2cccc(-c3cccc(N)c3)n2)CC1</v>
      </c>
      <c r="C6218" s="7">
        <f>IFERROR(__xludf.DUMMYFUNCTION("""COMPUTED_VALUE"""),7.7859735)</f>
        <v>7.7859735</v>
      </c>
      <c r="D6218" s="7">
        <f>IFERROR(__xludf.DUMMYFUNCTION("""COMPUTED_VALUE"""),0.393442622950819)</f>
        <v>0.393442623</v>
      </c>
    </row>
    <row r="6219">
      <c r="A6219" s="10" t="s">
        <v>7658</v>
      </c>
      <c r="B6219" s="7" t="str">
        <f>IFERROR(__xludf.DUMMYFUNCTION("SPLIT(A6219,"" "")"),"CC1C=C(N(C)Cc2ccccn2)C2C=CC=NC2C1")</f>
        <v>CC1C=C(N(C)Cc2ccccn2)C2C=CC=NC2C1</v>
      </c>
      <c r="C6219" s="7">
        <f>IFERROR(__xludf.DUMMYFUNCTION("""COMPUTED_VALUE"""),7.78595)</f>
        <v>7.78595</v>
      </c>
      <c r="D6219" s="7">
        <f>IFERROR(__xludf.DUMMYFUNCTION("""COMPUTED_VALUE"""),0.396226415094339)</f>
        <v>0.3962264151</v>
      </c>
    </row>
    <row r="6220">
      <c r="A6220" s="10" t="s">
        <v>7659</v>
      </c>
      <c r="B6220" s="7" t="str">
        <f>IFERROR(__xludf.DUMMYFUNCTION("SPLIT(A6220,"" "")"),"Cc1cncc(CN(Cc2ccon2)C2CCC(N(C)Cc3cc(C)c(C)c(C)n3)CC2)c1")</f>
        <v>Cc1cncc(CN(Cc2ccon2)C2CCC(N(C)Cc3cc(C)c(C)c(C)n3)CC2)c1</v>
      </c>
      <c r="C6220" s="7">
        <f>IFERROR(__xludf.DUMMYFUNCTION("""COMPUTED_VALUE"""),7.7859397)</f>
        <v>7.7859397</v>
      </c>
      <c r="D6220" s="7">
        <f>IFERROR(__xludf.DUMMYFUNCTION("""COMPUTED_VALUE"""),0.322033898305084)</f>
        <v>0.3220338983</v>
      </c>
    </row>
    <row r="6221">
      <c r="A6221" s="10" t="s">
        <v>7660</v>
      </c>
      <c r="B6221" s="7" t="str">
        <f>IFERROR(__xludf.DUMMYFUNCTION("SPLIT(A6221,"" "")"),"Fc1cccc(N(Cc2ccccn2)C2CCCCC2N(Cc2ccc3ncccc3c2)Cc2ccc(-c3ccc4c(c3)OCCOCCOCCOCCOCCO4)cn2)c1")</f>
        <v>Fc1cccc(N(Cc2ccccn2)C2CCCCC2N(Cc2ccc3ncccc3c2)Cc2ccc(-c3ccc4c(c3)OCCOCCOCCOCCOCCO4)cn2)c1</v>
      </c>
      <c r="C6221" s="7">
        <f>IFERROR(__xludf.DUMMYFUNCTION("""COMPUTED_VALUE"""),7.785936)</f>
        <v>7.785936</v>
      </c>
      <c r="D6221" s="7">
        <f>IFERROR(__xludf.DUMMYFUNCTION("""COMPUTED_VALUE"""),0.383720930232558)</f>
        <v>0.3837209302</v>
      </c>
    </row>
    <row r="6222">
      <c r="A6222" s="10" t="s">
        <v>7661</v>
      </c>
      <c r="B6222" s="7" t="str">
        <f>IFERROR(__xludf.DUMMYFUNCTION("SPLIT(A6222,"" "")"),"CNC1C(N(Cc2ncccc2C)Cc2ncccc2C)CCCC1N(Cc1ncccc1C)Cc1ncccc1C")</f>
        <v>CNC1C(N(Cc2ncccc2C)Cc2ncccc2C)CCCC1N(Cc1ncccc1C)Cc1ncccc1C</v>
      </c>
      <c r="C6222" s="7">
        <f>IFERROR(__xludf.DUMMYFUNCTION("""COMPUTED_VALUE"""),7.785934)</f>
        <v>7.785934</v>
      </c>
      <c r="D6222" s="7">
        <f>IFERROR(__xludf.DUMMYFUNCTION("""COMPUTED_VALUE"""),0.36734693877551)</f>
        <v>0.3673469388</v>
      </c>
    </row>
    <row r="6223">
      <c r="A6223" s="10" t="s">
        <v>7662</v>
      </c>
      <c r="B6223" s="7" t="str">
        <f>IFERROR(__xludf.DUMMYFUNCTION("SPLIT(A6223,"" "")"),"CCOC(=O)C1CN(C)C(C(=O)C2(C)COC(c3cc(CN4CCN(C)CCN(C)CC4)ccn3)=N2)C(c2ccccn2)C1c1ccccn1")</f>
        <v>CCOC(=O)C1CN(C)C(C(=O)C2(C)COC(c3cc(CN4CCN(C)CCN(C)CC4)ccn3)=N2)C(c2ccccn2)C1c1ccccn1</v>
      </c>
      <c r="C6223" s="7">
        <f>IFERROR(__xludf.DUMMYFUNCTION("""COMPUTED_VALUE"""),7.785931)</f>
        <v>7.785931</v>
      </c>
      <c r="D6223" s="7">
        <f>IFERROR(__xludf.DUMMYFUNCTION("""COMPUTED_VALUE"""),0.345238095238095)</f>
        <v>0.3452380952</v>
      </c>
    </row>
    <row r="6224">
      <c r="A6224" s="10" t="s">
        <v>7663</v>
      </c>
      <c r="B6224" s="7" t="str">
        <f>IFERROR(__xludf.DUMMYFUNCTION("SPLIT(A6224,"" "")"),"Cc1cncc(CN(C)C2CC(N(C)Cc3ccccn3)CC(N(Cc3cccc(C)n3)Cc3cccc(C)n3)C2)c1")</f>
        <v>Cc1cncc(CN(C)C2CC(N(C)Cc3ccccn3)CC(N(Cc3cccc(C)n3)Cc3cccc(C)n3)C2)c1</v>
      </c>
      <c r="C6224" s="7">
        <f>IFERROR(__xludf.DUMMYFUNCTION("""COMPUTED_VALUE"""),7.7859206)</f>
        <v>7.7859206</v>
      </c>
      <c r="D6224" s="7">
        <f>IFERROR(__xludf.DUMMYFUNCTION("""COMPUTED_VALUE"""),0.406779661016949)</f>
        <v>0.406779661</v>
      </c>
    </row>
    <row r="6225">
      <c r="A6225" s="10" t="s">
        <v>7664</v>
      </c>
      <c r="B6225" s="7" t="str">
        <f>IFERROR(__xludf.DUMMYFUNCTION("SPLIT(A6225,"" "")"),"CC1N=C(CCC2CN(C)CCN(C)CCN2Cc2nc3ccccc3n2C)OC1C")</f>
        <v>CC1N=C(CCC2CN(C)CCN(C)CCN2Cc2nc3ccccc3n2C)OC1C</v>
      </c>
      <c r="C6225" s="7">
        <f>IFERROR(__xludf.DUMMYFUNCTION("""COMPUTED_VALUE"""),7.7859197)</f>
        <v>7.7859197</v>
      </c>
      <c r="D6225" s="7">
        <f>IFERROR(__xludf.DUMMYFUNCTION("""COMPUTED_VALUE"""),0.491228070175438)</f>
        <v>0.4912280702</v>
      </c>
    </row>
    <row r="6226">
      <c r="A6226" s="10" t="s">
        <v>7665</v>
      </c>
      <c r="B6226" s="7" t="str">
        <f>IFERROR(__xludf.DUMMYFUNCTION("SPLIT(A6226,"" "")"),"Cc1ccnc2cccc(N(C)C3CCCC(N(Cc4ccccn4)C(C)C(C)C(C)N)C3)c12")</f>
        <v>Cc1ccnc2cccc(N(C)C3CCCC(N(Cc4ccccn4)C(C)C(C)C(C)N)C3)c12</v>
      </c>
      <c r="C6226" s="7">
        <f>IFERROR(__xludf.DUMMYFUNCTION("""COMPUTED_VALUE"""),7.7858996)</f>
        <v>7.7858996</v>
      </c>
      <c r="D6226" s="7">
        <f>IFERROR(__xludf.DUMMYFUNCTION("""COMPUTED_VALUE"""),0.348484848484848)</f>
        <v>0.3484848485</v>
      </c>
    </row>
    <row r="6227">
      <c r="A6227" s="10" t="s">
        <v>7666</v>
      </c>
      <c r="B6227" s="7" t="str">
        <f>IFERROR(__xludf.DUMMYFUNCTION("SPLIT(A6227,"" "")"),"CCOC(C)c1ncccc1CN1CCN(C)CCN(Cc2cc(C(C)(c3ccccn3)c3ccccn3)ccn2)CC1")</f>
        <v>CCOC(C)c1ncccc1CN1CCN(C)CCN(Cc2cc(C(C)(c3ccccn3)c3ccccn3)ccn2)CC1</v>
      </c>
      <c r="C6227" s="7">
        <f>IFERROR(__xludf.DUMMYFUNCTION("""COMPUTED_VALUE"""),7.7858973)</f>
        <v>7.7858973</v>
      </c>
      <c r="D6227" s="7">
        <f>IFERROR(__xludf.DUMMYFUNCTION("""COMPUTED_VALUE"""),0.426229508196721)</f>
        <v>0.4262295082</v>
      </c>
    </row>
    <row r="6228">
      <c r="A6228" s="10" t="s">
        <v>7667</v>
      </c>
      <c r="B6228" s="7" t="str">
        <f>IFERROR(__xludf.DUMMYFUNCTION("SPLIT(A6228,"" "")"),"Cc1cccc(CN(Cc2cccc(CN(C)C)n2)C2CCC(N(C)Cc3cc(C)c(C)c(C)n3)CC2)n1")</f>
        <v>Cc1cccc(CN(Cc2cccc(CN(C)C)n2)C2CCC(N(C)Cc3cc(C)c(C)c(C)n3)CC2)n1</v>
      </c>
      <c r="C6228" s="7">
        <f>IFERROR(__xludf.DUMMYFUNCTION("""COMPUTED_VALUE"""),7.7858973)</f>
        <v>7.7858973</v>
      </c>
      <c r="D6228" s="7">
        <f>IFERROR(__xludf.DUMMYFUNCTION("""COMPUTED_VALUE"""),0.471698113207547)</f>
        <v>0.4716981132</v>
      </c>
    </row>
    <row r="6229">
      <c r="A6229" s="10" t="s">
        <v>7668</v>
      </c>
      <c r="B6229" s="7" t="str">
        <f>IFERROR(__xludf.DUMMYFUNCTION("SPLIT(A6229,"" "")"),"CNC1C(N(C)Cc2ccccn2)CCCC1N(c1ccc2cccnc2c1)C1(C)CCC1")</f>
        <v>CNC1C(N(C)Cc2ccccn2)CCCC1N(c1ccc2cccnc2c1)C1(C)CCC1</v>
      </c>
      <c r="C6229" s="7">
        <f>IFERROR(__xludf.DUMMYFUNCTION("""COMPUTED_VALUE"""),7.7858953)</f>
        <v>7.7858953</v>
      </c>
      <c r="D6229" s="7">
        <f>IFERROR(__xludf.DUMMYFUNCTION("""COMPUTED_VALUE"""),0.466666666666666)</f>
        <v>0.4666666667</v>
      </c>
    </row>
    <row r="6230">
      <c r="A6230" s="10" t="s">
        <v>7669</v>
      </c>
      <c r="B6230" s="7" t="str">
        <f>IFERROR(__xludf.DUMMYFUNCTION("SPLIT(A6230,"" "")"),"Cc1ccc(CN(C)C2CCCC(N(C)Cc3cc(C)c(C)c(C)n3)C2)c(NCc2ccccn2)c1")</f>
        <v>Cc1ccc(CN(C)C2CCCC(N(C)Cc3cc(C)c(C)c(C)n3)C2)c(NCc2ccccn2)c1</v>
      </c>
      <c r="C6230" s="7">
        <f>IFERROR(__xludf.DUMMYFUNCTION("""COMPUTED_VALUE"""),7.785895)</f>
        <v>7.785895</v>
      </c>
      <c r="D6230" s="7">
        <f>IFERROR(__xludf.DUMMYFUNCTION("""COMPUTED_VALUE"""),0.375)</f>
        <v>0.375</v>
      </c>
    </row>
    <row r="6231">
      <c r="A6231" s="10" t="s">
        <v>7670</v>
      </c>
      <c r="B6231" s="7" t="str">
        <f>IFERROR(__xludf.DUMMYFUNCTION("SPLIT(A6231,"" "")"),"Cc1cccc(CN(C)C2C=CNC(CN(C)C3C=CNC(C(C)C)=C3)=C2)n1")</f>
        <v>Cc1cccc(CN(C)C2C=CNC(CN(C)C3C=CNC(C(C)C)=C3)=C2)n1</v>
      </c>
      <c r="C6231" s="7">
        <f>IFERROR(__xludf.DUMMYFUNCTION("""COMPUTED_VALUE"""),7.785882)</f>
        <v>7.785882</v>
      </c>
      <c r="D6231" s="7">
        <f>IFERROR(__xludf.DUMMYFUNCTION("""COMPUTED_VALUE"""),0.425925925925925)</f>
        <v>0.4259259259</v>
      </c>
    </row>
    <row r="6232">
      <c r="A6232" s="10" t="s">
        <v>7671</v>
      </c>
      <c r="B6232" s="7" t="str">
        <f>IFERROR(__xludf.DUMMYFUNCTION("SPLIT(A6232,"" "")"),"CN(CCNCc1ccccn1)CCN(Cc1ccccn1)c1cccc(F)c1")</f>
        <v>CN(CCNCc1ccccn1)CCN(Cc1ccccn1)c1cccc(F)c1</v>
      </c>
      <c r="C6232" s="7">
        <f>IFERROR(__xludf.DUMMYFUNCTION("""COMPUTED_VALUE"""),7.78588)</f>
        <v>7.78588</v>
      </c>
      <c r="D6232" s="7">
        <f>IFERROR(__xludf.DUMMYFUNCTION("""COMPUTED_VALUE"""),0.456521739130434)</f>
        <v>0.4565217391</v>
      </c>
    </row>
    <row r="6233">
      <c r="A6233" s="10" t="s">
        <v>7672</v>
      </c>
      <c r="B6233" s="7" t="str">
        <f>IFERROR(__xludf.DUMMYFUNCTION("SPLIT(A6233,"" "")"),"Cc1cnc(CN(C)C2CCCCC2N(Cc2ccccn2)Cc2cccc(C(C)(c3cccnc3)C(C)N)n2)c(C)c1C")</f>
        <v>Cc1cnc(CN(C)C2CCCCC2N(Cc2ccccn2)Cc2cccc(C(C)(c3cccnc3)C(C)N)n2)c(C)c1C</v>
      </c>
      <c r="C6233" s="7">
        <f>IFERROR(__xludf.DUMMYFUNCTION("""COMPUTED_VALUE"""),7.7858753)</f>
        <v>7.7858753</v>
      </c>
      <c r="D6233" s="7">
        <f>IFERROR(__xludf.DUMMYFUNCTION("""COMPUTED_VALUE"""),0.414285714285714)</f>
        <v>0.4142857143</v>
      </c>
    </row>
    <row r="6234">
      <c r="A6234" s="10" t="s">
        <v>7673</v>
      </c>
      <c r="B6234" s="7" t="str">
        <f>IFERROR(__xludf.DUMMYFUNCTION("SPLIT(A6234,"" "")"),"Cc1cccnc1CN(C)CCN(C(C)C)C(C)C")</f>
        <v>Cc1cccnc1CN(C)CCN(C(C)C)C(C)C</v>
      </c>
      <c r="C6234" s="7">
        <f>IFERROR(__xludf.DUMMYFUNCTION("""COMPUTED_VALUE"""),7.785871)</f>
        <v>7.785871</v>
      </c>
      <c r="D6234" s="7">
        <f>IFERROR(__xludf.DUMMYFUNCTION("""COMPUTED_VALUE"""),0.409090909090909)</f>
        <v>0.4090909091</v>
      </c>
    </row>
    <row r="6235">
      <c r="A6235" s="10" t="s">
        <v>7674</v>
      </c>
      <c r="B6235" s="7" t="str">
        <f>IFERROR(__xludf.DUMMYFUNCTION("SPLIT(A6235,"" "")"),"CCN(Cc1ccccn1)C1=CC(N(C)Cc2cccc(C3CCC3(C)C)n2)C(Cl)C(C2CCC2(C)C)=C1C")</f>
        <v>CCN(Cc1ccccn1)C1=CC(N(C)Cc2cccc(C3CCC3(C)C)n2)C(Cl)C(C2CCC2(C)C)=C1C</v>
      </c>
      <c r="C6235" s="7">
        <f>IFERROR(__xludf.DUMMYFUNCTION("""COMPUTED_VALUE"""),7.785868)</f>
        <v>7.785868</v>
      </c>
      <c r="D6235" s="7">
        <f>IFERROR(__xludf.DUMMYFUNCTION("""COMPUTED_VALUE"""),0.347826086956521)</f>
        <v>0.347826087</v>
      </c>
    </row>
    <row r="6236">
      <c r="A6236" s="10" t="s">
        <v>7675</v>
      </c>
      <c r="B6236" s="7" t="str">
        <f>IFERROR(__xludf.DUMMYFUNCTION("SPLIT(A6236,"" "")"),"CNC1CCCC(N(Cc2ncccc2C)Cc2ncccc2C)C1N(Cc1ncccc1C)Cc1ncccc1C")</f>
        <v>CNC1CCCC(N(Cc2ncccc2C)Cc2ncccc2C)C1N(Cc1ncccc1C)Cc1ncccc1C</v>
      </c>
      <c r="C6236" s="7">
        <f>IFERROR(__xludf.DUMMYFUNCTION("""COMPUTED_VALUE"""),7.7858653)</f>
        <v>7.7858653</v>
      </c>
      <c r="D6236" s="7">
        <f>IFERROR(__xludf.DUMMYFUNCTION("""COMPUTED_VALUE"""),0.339622641509433)</f>
        <v>0.3396226415</v>
      </c>
    </row>
    <row r="6237">
      <c r="A6237" s="10" t="s">
        <v>7676</v>
      </c>
      <c r="B6237" s="7" t="str">
        <f>IFERROR(__xludf.DUMMYFUNCTION("SPLIT(A6237,"" "")"),"CCN(Cc1cc(C)c(C)c(C)n1)C(C)(C)C1C(C)C(C(=O)OC)CN(C)C1C(=O)C(C)N")</f>
        <v>CCN(Cc1cc(C)c(C)c(C)n1)C(C)(C)C1C(C)C(C(=O)OC)CN(C)C1C(=O)C(C)N</v>
      </c>
      <c r="C6237" s="7">
        <f>IFERROR(__xludf.DUMMYFUNCTION("""COMPUTED_VALUE"""),7.7858577)</f>
        <v>7.7858577</v>
      </c>
      <c r="D6237" s="7">
        <f>IFERROR(__xludf.DUMMYFUNCTION("""COMPUTED_VALUE"""),0.183908045977011)</f>
        <v>0.183908046</v>
      </c>
    </row>
    <row r="6238">
      <c r="A6238" s="10" t="s">
        <v>7677</v>
      </c>
      <c r="B6238" s="7" t="str">
        <f>IFERROR(__xludf.DUMMYFUNCTION("SPLIT(A6238,"" "")"),"CN(Cc1ccccn1)Cc1cccc(N(C)Cc2ccc(-c3ccc4c(c3)OCCOCCOCCOCCOCCO4)nc2)n1")</f>
        <v>CN(Cc1ccccn1)Cc1cccc(N(C)Cc2ccc(-c3ccc4c(c3)OCCOCCOCCOCCOCCO4)nc2)n1</v>
      </c>
      <c r="C6238" s="7">
        <f>IFERROR(__xludf.DUMMYFUNCTION("""COMPUTED_VALUE"""),7.785851)</f>
        <v>7.785851</v>
      </c>
      <c r="D6238" s="7">
        <f>IFERROR(__xludf.DUMMYFUNCTION("""COMPUTED_VALUE"""),0.40625)</f>
        <v>0.40625</v>
      </c>
    </row>
    <row r="6239">
      <c r="A6239" s="10" t="s">
        <v>7678</v>
      </c>
      <c r="B6239" s="7" t="str">
        <f>IFERROR(__xludf.DUMMYFUNCTION("SPLIT(A6239,"" "")"),"CN(C)Cc1ccnc2cc(N(C)C3CCC(N(C)Cc4cc(-c5ccc6c(c5)OCCOCCOCCOCCOCCO6)ccn4)CC3)ccc12")</f>
        <v>CN(C)Cc1ccnc2cc(N(C)C3CCC(N(C)Cc4cc(-c5ccc6c(c5)OCCOCCOCCOCCOCCO6)ccn4)CC3)ccc12</v>
      </c>
      <c r="C6239" s="7">
        <f>IFERROR(__xludf.DUMMYFUNCTION("""COMPUTED_VALUE"""),7.785825)</f>
        <v>7.785825</v>
      </c>
      <c r="D6239" s="7">
        <f>IFERROR(__xludf.DUMMYFUNCTION("""COMPUTED_VALUE"""),0.346153846153846)</f>
        <v>0.3461538462</v>
      </c>
    </row>
    <row r="6240">
      <c r="A6240" s="10" t="s">
        <v>7679</v>
      </c>
      <c r="B6240" s="7" t="str">
        <f>IFERROR(__xludf.DUMMYFUNCTION("SPLIT(A6240,"" "")"),"CC1=C(C)C(C)C(N(C)CC2=CC(N(C)Cc3nc(C)c(C)c(C)c3C)C=CN2)CC1")</f>
        <v>CC1=C(C)C(C)C(N(C)CC2=CC(N(C)Cc3nc(C)c(C)c(C)c3C)C=CN2)CC1</v>
      </c>
      <c r="C6240" s="7">
        <f>IFERROR(__xludf.DUMMYFUNCTION("""COMPUTED_VALUE"""),7.78582)</f>
        <v>7.78582</v>
      </c>
      <c r="D6240" s="7">
        <f>IFERROR(__xludf.DUMMYFUNCTION("""COMPUTED_VALUE"""),0.283582089552238)</f>
        <v>0.2835820896</v>
      </c>
    </row>
    <row r="6241">
      <c r="A6241" s="10" t="s">
        <v>7680</v>
      </c>
      <c r="B6241" s="7" t="str">
        <f>IFERROR(__xludf.DUMMYFUNCTION("SPLIT(A6241,"" "")"),"Cc1ccc(CN(Cc2cccc(CN(Cc3cccc(C)n3)C(C)C)n2)C2CCCC(N(C)Cc3ncccc3C)C2)nc1")</f>
        <v>Cc1ccc(CN(Cc2cccc(CN(Cc3cccc(C)n3)C(C)C)n2)C2CCCC(N(C)Cc3ncccc3C)C2)nc1</v>
      </c>
      <c r="C6241" s="7">
        <f>IFERROR(__xludf.DUMMYFUNCTION("""COMPUTED_VALUE"""),7.7858195)</f>
        <v>7.7858195</v>
      </c>
      <c r="D6241" s="7">
        <f>IFERROR(__xludf.DUMMYFUNCTION("""COMPUTED_VALUE"""),0.367647058823529)</f>
        <v>0.3676470588</v>
      </c>
    </row>
    <row r="6242">
      <c r="A6242" s="10" t="s">
        <v>7681</v>
      </c>
      <c r="B6242" s="7" t="str">
        <f>IFERROR(__xludf.DUMMYFUNCTION("SPLIT(A6242,"" "")"),"Cc1cccc(CN(Cc2cccc(C(C)(c3cccnc3)C(C)N)n2)C2CCC(N(C)Cc3ncccc3C)CC2)n1")</f>
        <v>Cc1cccc(CN(Cc2cccc(C(C)(c3cccnc3)C(C)N)n2)C2CCC(N(C)Cc3ncccc3C)CC2)n1</v>
      </c>
      <c r="C6242" s="7">
        <f>IFERROR(__xludf.DUMMYFUNCTION("""COMPUTED_VALUE"""),7.7858152)</f>
        <v>7.7858152</v>
      </c>
      <c r="D6242" s="7">
        <f>IFERROR(__xludf.DUMMYFUNCTION("""COMPUTED_VALUE"""),0.333333333333333)</f>
        <v>0.3333333333</v>
      </c>
    </row>
    <row r="6243">
      <c r="A6243" s="10" t="s">
        <v>7682</v>
      </c>
      <c r="B6243" s="7" t="str">
        <f>IFERROR(__xludf.DUMMYFUNCTION("SPLIT(A6243,"" "")"),"CC(C)N(C)CC1C=CNC=C1N(C)Cc1ccc(N)cn1")</f>
        <v>CC(C)N(C)CC1C=CNC=C1N(C)Cc1ccc(N)cn1</v>
      </c>
      <c r="C6243" s="7">
        <f>IFERROR(__xludf.DUMMYFUNCTION("""COMPUTED_VALUE"""),7.785779)</f>
        <v>7.785779</v>
      </c>
      <c r="D6243" s="7">
        <f>IFERROR(__xludf.DUMMYFUNCTION("""COMPUTED_VALUE"""),0.280701754385964)</f>
        <v>0.2807017544</v>
      </c>
    </row>
    <row r="6244">
      <c r="A6244" s="10" t="s">
        <v>7683</v>
      </c>
      <c r="B6244" s="7" t="str">
        <f>IFERROR(__xludf.DUMMYFUNCTION("SPLIT(A6244,"" "")"),"Cc1cc(C)c(CN(Cc2ccccn2)C2CCCC(N(C)Cc3cc(C)c(C)c(C)n3)C2)nc1C")</f>
        <v>Cc1cc(C)c(CN(Cc2ccccn2)C2CCCC(N(C)Cc3cc(C)c(C)c(C)n3)C2)nc1C</v>
      </c>
      <c r="C6244" s="7">
        <f>IFERROR(__xludf.DUMMYFUNCTION("""COMPUTED_VALUE"""),7.7857757)</f>
        <v>7.7857757</v>
      </c>
      <c r="D6244" s="7">
        <f>IFERROR(__xludf.DUMMYFUNCTION("""COMPUTED_VALUE"""),0.416666666666666)</f>
        <v>0.4166666667</v>
      </c>
    </row>
    <row r="6245">
      <c r="A6245" s="10" t="s">
        <v>7684</v>
      </c>
      <c r="B6245" s="7" t="str">
        <f>IFERROR(__xludf.DUMMYFUNCTION("SPLIT(A6245,"" "")"),"Cc1cncc(CN(C)C2CCCC(N(C)Cc3ccccn3)C2N(Cc2ccccn2)Cc2nc(C)c(C)c(C)c2C)c1")</f>
        <v>Cc1cncc(CN(C)C2CCCC(N(C)Cc3ccccn3)C2N(Cc2ccccn2)Cc2nc(C)c(C)c(C)c2C)c1</v>
      </c>
      <c r="C6245" s="7">
        <f>IFERROR(__xludf.DUMMYFUNCTION("""COMPUTED_VALUE"""),7.7857757)</f>
        <v>7.7857757</v>
      </c>
      <c r="D6245" s="7">
        <f>IFERROR(__xludf.DUMMYFUNCTION("""COMPUTED_VALUE"""),0.459016393442622)</f>
        <v>0.4590163934</v>
      </c>
    </row>
    <row r="6246">
      <c r="A6246" s="10" t="s">
        <v>7685</v>
      </c>
      <c r="B6246" s="7" t="str">
        <f>IFERROR(__xludf.DUMMYFUNCTION("SPLIT(A6246,"" "")"),"CC(C)(C1=CC2(C=CN1)C=CC(C)(C)C(c1cc(CN(Cc3ccccn3)Cc3cc(-c4ccc5c(c4)OCCOCCOCCOCCOCCO5)ccn3)ccn1)C2c1cc(CN(Cc2ccccn2)Cc2ccccn2)ccn1)c1ccc(-c2ccc3c(c2)OCCOCCOCCOCCOCCO3)cn1")</f>
        <v>CC(C)(C1=CC2(C=CN1)C=CC(C)(C)C(c1cc(CN(Cc3ccccn3)Cc3cc(-c4ccc5c(c4)OCCOCCOCCOCCOCCO5)ccn3)ccn1)C2c1cc(CN(Cc2ccccn2)Cc2ccccn2)ccn1)c1ccc(-c2ccc3c(c2)OCCOCCOCCOCCOCCO3)cn1</v>
      </c>
      <c r="C6246" s="7">
        <f>IFERROR(__xludf.DUMMYFUNCTION("""COMPUTED_VALUE"""),7.785766)</f>
        <v>7.785766</v>
      </c>
      <c r="D6246" s="7">
        <f>IFERROR(__xludf.DUMMYFUNCTION("""COMPUTED_VALUE"""),0.292929292929292)</f>
        <v>0.2929292929</v>
      </c>
    </row>
    <row r="6247">
      <c r="A6247" s="10" t="s">
        <v>7686</v>
      </c>
      <c r="B6247" s="7" t="str">
        <f>IFERROR(__xludf.DUMMYFUNCTION("SPLIT(A6247,"" "")"),"COCC(C)(CN(Cc1ccccn1)Cc1cccc(C(C)(c2ccccn2)c2ccccn2)n1)c1cccc(CN(Cc2cccc(-c3ccc4c(c3)OCCOCCOCCOCCOCCO4)n2)Cc2cccc(-c3ccc4c(c3)OCCOCCOCCOCCOCCO4)n2)n1")</f>
        <v>COCC(C)(CN(Cc1ccccn1)Cc1cccc(C(C)(c2ccccn2)c2ccccn2)n1)c1cccc(CN(Cc2cccc(-c3ccc4c(c3)OCCOCCOCCOCCOCCO4)n2)Cc2cccc(-c3ccc4c(c3)OCCOCCOCCOCCOCCO4)n2)n1</v>
      </c>
      <c r="C6247" s="7">
        <f>IFERROR(__xludf.DUMMYFUNCTION("""COMPUTED_VALUE"""),7.78575)</f>
        <v>7.78575</v>
      </c>
      <c r="D6247" s="7">
        <f>IFERROR(__xludf.DUMMYFUNCTION("""COMPUTED_VALUE"""),0.44)</f>
        <v>0.44</v>
      </c>
    </row>
    <row r="6248">
      <c r="A6248" s="10" t="s">
        <v>7687</v>
      </c>
      <c r="B6248" s="7" t="str">
        <f>IFERROR(__xludf.DUMMYFUNCTION("SPLIT(A6248,"" "")"),"CCNc1ccc(C(C)(C)C(C)N)c(C)n1")</f>
        <v>CCNc1ccc(C(C)(C)C(C)N)c(C)n1</v>
      </c>
      <c r="C6248" s="7">
        <f>IFERROR(__xludf.DUMMYFUNCTION("""COMPUTED_VALUE"""),7.7857494)</f>
        <v>7.7857494</v>
      </c>
      <c r="D6248" s="7">
        <f>IFERROR(__xludf.DUMMYFUNCTION("""COMPUTED_VALUE"""),0.320754716981132)</f>
        <v>0.320754717</v>
      </c>
    </row>
    <row r="6249">
      <c r="A6249" s="10" t="s">
        <v>7688</v>
      </c>
      <c r="B6249" s="7" t="str">
        <f>IFERROR(__xludf.DUMMYFUNCTION("SPLIT(A6249,"" "")"),"CNc1ccccc1")</f>
        <v>CNc1ccccc1</v>
      </c>
      <c r="C6249" s="7">
        <f>IFERROR(__xludf.DUMMYFUNCTION("""COMPUTED_VALUE"""),7.785749)</f>
        <v>7.785749</v>
      </c>
      <c r="D6249" s="7">
        <f>IFERROR(__xludf.DUMMYFUNCTION("""COMPUTED_VALUE"""),0.388888888888888)</f>
        <v>0.3888888889</v>
      </c>
    </row>
    <row r="6250">
      <c r="A6250" s="10" t="s">
        <v>7689</v>
      </c>
      <c r="B6250" s="7" t="str">
        <f>IFERROR(__xludf.DUMMYFUNCTION("SPLIT(A6250,"" "")"),"CN1CCN(C)CCN(Cc2ccc(-c3cc(N)cc(Cl)c3)nc2)CC1")</f>
        <v>CN1CCN(C)CCN(Cc2ccc(-c3cc(N)cc(Cl)c3)nc2)CC1</v>
      </c>
      <c r="C6250" s="7">
        <f>IFERROR(__xludf.DUMMYFUNCTION("""COMPUTED_VALUE"""),7.785741)</f>
        <v>7.785741</v>
      </c>
      <c r="D6250" s="7">
        <f>IFERROR(__xludf.DUMMYFUNCTION("""COMPUTED_VALUE"""),0.358490566037735)</f>
        <v>0.358490566</v>
      </c>
    </row>
    <row r="6251">
      <c r="A6251" s="10" t="s">
        <v>7690</v>
      </c>
      <c r="B6251" s="7" t="str">
        <f>IFERROR(__xludf.DUMMYFUNCTION("SPLIT(A6251,"" "")"),"CN(Cc1ccccn1)Cc1cc(N(C)Cc2cccc(-c3cccc4c3OCCOCCOCCOCCOCCO4)n2)ccn1")</f>
        <v>CN(Cc1ccccn1)Cc1cc(N(C)Cc2cccc(-c3cccc4c3OCCOCCOCCOCCOCCO4)n2)ccn1</v>
      </c>
      <c r="C6251" s="7">
        <f>IFERROR(__xludf.DUMMYFUNCTION("""COMPUTED_VALUE"""),7.78574)</f>
        <v>7.78574</v>
      </c>
      <c r="D6251" s="7">
        <f>IFERROR(__xludf.DUMMYFUNCTION("""COMPUTED_VALUE"""),0.466666666666666)</f>
        <v>0.4666666667</v>
      </c>
    </row>
    <row r="6252">
      <c r="A6252" s="10" t="s">
        <v>7691</v>
      </c>
      <c r="B6252" s="7" t="str">
        <f>IFERROR(__xludf.DUMMYFUNCTION("SPLIT(A6252,"" "")"),"Cc1cccnc1CN(Cc1ncccc1C(C)C(C)N)C(C)C")</f>
        <v>Cc1cccnc1CN(Cc1ncccc1C(C)C(C)N)C(C)C</v>
      </c>
      <c r="C6252" s="7">
        <f>IFERROR(__xludf.DUMMYFUNCTION("""COMPUTED_VALUE"""),7.7857347)</f>
        <v>7.7857347</v>
      </c>
      <c r="D6252" s="7">
        <f>IFERROR(__xludf.DUMMYFUNCTION("""COMPUTED_VALUE"""),0.422222222222222)</f>
        <v>0.4222222222</v>
      </c>
    </row>
    <row r="6253">
      <c r="A6253" s="10" t="s">
        <v>7692</v>
      </c>
      <c r="B6253" s="7" t="str">
        <f>IFERROR(__xludf.DUMMYFUNCTION("SPLIT(A6253,"" "")"),"Cc1nc(CN(Cc2ccccn2)C2C(N(C)Cc3ccccn3)CCCC2N(C)Cc2ccc(F)cn2)c(C)c(C)c1C")</f>
        <v>Cc1nc(CN(Cc2ccccn2)C2C(N(C)Cc3ccccn3)CCCC2N(C)Cc2ccc(F)cn2)c(C)c(C)c1C</v>
      </c>
      <c r="C6253" s="7">
        <f>IFERROR(__xludf.DUMMYFUNCTION("""COMPUTED_VALUE"""),7.785734)</f>
        <v>7.785734</v>
      </c>
      <c r="D6253" s="7">
        <f>IFERROR(__xludf.DUMMYFUNCTION("""COMPUTED_VALUE"""),0.482758620689655)</f>
        <v>0.4827586207</v>
      </c>
    </row>
    <row r="6254">
      <c r="A6254" s="10" t="s">
        <v>7693</v>
      </c>
      <c r="B6254" s="7" t="str">
        <f>IFERROR(__xludf.DUMMYFUNCTION("SPLIT(A6254,"" "")"),"CNCc1cc(CN(Cc2cc(C)c(C)c(C)n2)C2CCCC(N(C)Cc3cc(C)c(C)c(C)n3)C2)ccn1")</f>
        <v>CNCc1cc(CN(Cc2cc(C)c(C)c(C)n2)C2CCCC(N(C)Cc3cc(C)c(C)c(C)n3)C2)ccn1</v>
      </c>
      <c r="C6254" s="7">
        <f>IFERROR(__xludf.DUMMYFUNCTION("""COMPUTED_VALUE"""),7.785729)</f>
        <v>7.785729</v>
      </c>
      <c r="D6254" s="7">
        <f>IFERROR(__xludf.DUMMYFUNCTION("""COMPUTED_VALUE"""),0.296875)</f>
        <v>0.296875</v>
      </c>
    </row>
    <row r="6255">
      <c r="A6255" s="10" t="s">
        <v>7694</v>
      </c>
      <c r="B6255" s="7" t="str">
        <f>IFERROR(__xludf.DUMMYFUNCTION("SPLIT(A6255,"" "")"),"CN1CCN(C)CCN(Cc2ccc(CN(C)Cc3cccc(-c4ccccc4N)n3)nc2)CC1")</f>
        <v>CN1CCN(C)CCN(Cc2ccc(CN(C)Cc3cccc(-c4ccccc4N)n3)nc2)CC1</v>
      </c>
      <c r="C6255" s="7">
        <f>IFERROR(__xludf.DUMMYFUNCTION("""COMPUTED_VALUE"""),7.7857146)</f>
        <v>7.7857146</v>
      </c>
      <c r="D6255" s="7">
        <f>IFERROR(__xludf.DUMMYFUNCTION("""COMPUTED_VALUE"""),0.413793103448275)</f>
        <v>0.4137931034</v>
      </c>
    </row>
    <row r="6256">
      <c r="A6256" s="10" t="s">
        <v>7695</v>
      </c>
      <c r="B6256" s="7" t="str">
        <f>IFERROR(__xludf.DUMMYFUNCTION("SPLIT(A6256,"" "")"),"CC1=CC(C)C(C)(C)C(C)(c2ncccc2CN(Cc2ccccn2)Cc2ccccn2)C1C")</f>
        <v>CC1=CC(C)C(C)(C)C(C)(c2ncccc2CN(Cc2ccccn2)Cc2ccccn2)C1C</v>
      </c>
      <c r="C6256" s="7">
        <f>IFERROR(__xludf.DUMMYFUNCTION("""COMPUTED_VALUE"""),7.785709)</f>
        <v>7.785709</v>
      </c>
      <c r="D6256" s="7">
        <f>IFERROR(__xludf.DUMMYFUNCTION("""COMPUTED_VALUE"""),0.444444444444444)</f>
        <v>0.4444444444</v>
      </c>
    </row>
    <row r="6257">
      <c r="A6257" s="10" t="s">
        <v>7696</v>
      </c>
      <c r="B6257" s="7" t="str">
        <f>IFERROR(__xludf.DUMMYFUNCTION("SPLIT(A6257,"" "")"),"CN(C)Cc1ccc2cc(N(C)C3CCCCC3N(Cc3ccccn3)Cc3ccc(-c4ccc5c(c4)OCCOCCOCCOCCOCCO5)cn3)ccc2n1")</f>
        <v>CN(C)Cc1ccc2cc(N(C)C3CCCCC3N(Cc3ccccn3)Cc3ccc(-c4ccc5c(c4)OCCOCCOCCOCCOCCO5)cn3)ccc2n1</v>
      </c>
      <c r="C6257" s="7">
        <f>IFERROR(__xludf.DUMMYFUNCTION("""COMPUTED_VALUE"""),7.785705)</f>
        <v>7.785705</v>
      </c>
      <c r="D6257" s="7">
        <f>IFERROR(__xludf.DUMMYFUNCTION("""COMPUTED_VALUE"""),0.4125)</f>
        <v>0.4125</v>
      </c>
    </row>
    <row r="6258">
      <c r="A6258" s="10" t="s">
        <v>7697</v>
      </c>
      <c r="B6258" s="7" t="str">
        <f>IFERROR(__xludf.DUMMYFUNCTION("SPLIT(A6258,"" "")"),"CC(C)N(C)Cc1ccnc(CN(C)C)c1")</f>
        <v>CC(C)N(C)Cc1ccnc(CN(C)C)c1</v>
      </c>
      <c r="C6258" s="7">
        <f>IFERROR(__xludf.DUMMYFUNCTION("""COMPUTED_VALUE"""),7.7857018)</f>
        <v>7.7857018</v>
      </c>
      <c r="D6258" s="7">
        <f>IFERROR(__xludf.DUMMYFUNCTION("""COMPUTED_VALUE"""),0.365853658536585)</f>
        <v>0.3658536585</v>
      </c>
    </row>
    <row r="6259">
      <c r="A6259" s="10" t="s">
        <v>7698</v>
      </c>
      <c r="B6259" s="7" t="str">
        <f>IFERROR(__xludf.DUMMYFUNCTION("SPLIT(A6259,"" "")"),"FCc1ccc(N(Cc2ccccn2)Cc2cccc(-c3ccc4c(c3)OCCOCCOCCOCCOCCO4)n2)cn1")</f>
        <v>FCc1ccc(N(Cc2ccccn2)Cc2cccc(-c3ccc4c(c3)OCCOCCOCCOCCOCCO4)n2)cn1</v>
      </c>
      <c r="C6259" s="7">
        <f>IFERROR(__xludf.DUMMYFUNCTION("""COMPUTED_VALUE"""),7.7856913)</f>
        <v>7.7856913</v>
      </c>
      <c r="D6259" s="7">
        <f>IFERROR(__xludf.DUMMYFUNCTION("""COMPUTED_VALUE"""),0.391304347826087)</f>
        <v>0.3913043478</v>
      </c>
    </row>
    <row r="6260">
      <c r="A6260" s="10" t="s">
        <v>7699</v>
      </c>
      <c r="B6260" s="7" t="str">
        <f>IFERROR(__xludf.DUMMYFUNCTION("SPLIT(A6260,"" "")"),"Cc1cccc(N2CCN(C)CCN(Cc3ncccc3C(C)(C)c3ccccn3)CC2)c1")</f>
        <v>Cc1cccc(N2CCN(C)CCN(Cc3ncccc3C(C)(C)c3ccccn3)CC2)c1</v>
      </c>
      <c r="C6260" s="7">
        <f>IFERROR(__xludf.DUMMYFUNCTION("""COMPUTED_VALUE"""),7.785682)</f>
        <v>7.785682</v>
      </c>
      <c r="D6260" s="7">
        <f>IFERROR(__xludf.DUMMYFUNCTION("""COMPUTED_VALUE"""),0.403508771929824)</f>
        <v>0.4035087719</v>
      </c>
    </row>
    <row r="6261">
      <c r="A6261" s="10" t="s">
        <v>7700</v>
      </c>
      <c r="B6261" s="7" t="str">
        <f>IFERROR(__xludf.DUMMYFUNCTION("SPLIT(A6261,"" "")"),"Cc1cccnc1CN(C)C1=CNC=CC1CN(C)C(C)C")</f>
        <v>Cc1cccnc1CN(C)C1=CNC=CC1CN(C)C(C)C</v>
      </c>
      <c r="C6261" s="7">
        <f>IFERROR(__xludf.DUMMYFUNCTION("""COMPUTED_VALUE"""),7.7856674)</f>
        <v>7.7856674</v>
      </c>
      <c r="D6261" s="7">
        <f>IFERROR(__xludf.DUMMYFUNCTION("""COMPUTED_VALUE"""),0.258620689655172)</f>
        <v>0.2586206897</v>
      </c>
    </row>
    <row r="6262">
      <c r="A6262" s="10" t="s">
        <v>7701</v>
      </c>
      <c r="B6262" s="7" t="str">
        <f>IFERROR(__xludf.DUMMYFUNCTION("SPLIT(A6262,"" "")"),"CN1CCN(C)CCN(Cc2cccnc2-c2ccc(Cl)cc2N)CC1")</f>
        <v>CN1CCN(C)CCN(Cc2cccnc2-c2ccc(Cl)cc2N)CC1</v>
      </c>
      <c r="C6262" s="7">
        <f>IFERROR(__xludf.DUMMYFUNCTION("""COMPUTED_VALUE"""),7.7856593)</f>
        <v>7.7856593</v>
      </c>
      <c r="D6262" s="7">
        <f>IFERROR(__xludf.DUMMYFUNCTION("""COMPUTED_VALUE"""),0.42)</f>
        <v>0.42</v>
      </c>
    </row>
    <row r="6263">
      <c r="A6263" s="10" t="s">
        <v>7702</v>
      </c>
      <c r="B6263" s="7" t="str">
        <f>IFERROR(__xludf.DUMMYFUNCTION("SPLIT(A6263,"" "")"),"Cc1cnc(CN(C)C2CCCC(N(Cc3ccccn3)Cc3c(C)cnc(C)c3C)C2)c(C)c1C")</f>
        <v>Cc1cnc(CN(C)C2CCCC(N(Cc3ccccn3)Cc3c(C)cnc(C)c3C)C2)c(C)c1C</v>
      </c>
      <c r="C6263" s="7">
        <f>IFERROR(__xludf.DUMMYFUNCTION("""COMPUTED_VALUE"""),7.785652)</f>
        <v>7.785652</v>
      </c>
      <c r="D6263" s="7">
        <f>IFERROR(__xludf.DUMMYFUNCTION("""COMPUTED_VALUE"""),0.406779661016949)</f>
        <v>0.406779661</v>
      </c>
    </row>
    <row r="6264">
      <c r="A6264" s="10" t="s">
        <v>7703</v>
      </c>
      <c r="B6264" s="7" t="str">
        <f>IFERROR(__xludf.DUMMYFUNCTION("SPLIT(A6264,"" "")"),"Cc1ccnc(CN(C)Cc2ncccc2N(C)C(C)(C)c2ccc(-c3ccc4c(c3)OCCOCCOCCOCCOCCO4)nc2)c1")</f>
        <v>Cc1ccnc(CN(C)Cc2ncccc2N(C)C(C)(C)c2ccc(-c3ccc4c(c3)OCCOCCOCCOCCOCCO4)nc2)c1</v>
      </c>
      <c r="C6264" s="7">
        <f>IFERROR(__xludf.DUMMYFUNCTION("""COMPUTED_VALUE"""),7.785652)</f>
        <v>7.785652</v>
      </c>
      <c r="D6264" s="7">
        <f>IFERROR(__xludf.DUMMYFUNCTION("""COMPUTED_VALUE"""),0.294117647058823)</f>
        <v>0.2941176471</v>
      </c>
    </row>
    <row r="6265">
      <c r="A6265" s="10" t="s">
        <v>7704</v>
      </c>
      <c r="B6265" s="7" t="str">
        <f>IFERROR(__xludf.DUMMYFUNCTION("SPLIT(A6265,"" "")"),"CNCc1cccc(C(C)(C)C)n1")</f>
        <v>CNCc1cccc(C(C)(C)C)n1</v>
      </c>
      <c r="C6265" s="7">
        <f>IFERROR(__xludf.DUMMYFUNCTION("""COMPUTED_VALUE"""),7.7856517)</f>
        <v>7.7856517</v>
      </c>
      <c r="D6265" s="7">
        <f>IFERROR(__xludf.DUMMYFUNCTION("""COMPUTED_VALUE"""),0.285714285714285)</f>
        <v>0.2857142857</v>
      </c>
    </row>
    <row r="6266">
      <c r="A6266" s="10" t="s">
        <v>7705</v>
      </c>
      <c r="B6266" s="7" t="str">
        <f>IFERROR(__xludf.DUMMYFUNCTION("SPLIT(A6266,"" "")"),"CCN(Cc1ccccn1)Cc1cccc(N(C)C2CCC(N(C)Cc3cc(C)c(C)c(C)n3)CC2)n1")</f>
        <v>CCN(Cc1ccccn1)Cc1cccc(N(C)C2CCC(N(C)Cc3cc(C)c(C)c(C)n3)CC2)n1</v>
      </c>
      <c r="C6266" s="7">
        <f>IFERROR(__xludf.DUMMYFUNCTION("""COMPUTED_VALUE"""),7.785643)</f>
        <v>7.785643</v>
      </c>
      <c r="D6266" s="7">
        <f>IFERROR(__xludf.DUMMYFUNCTION("""COMPUTED_VALUE"""),0.393442622950819)</f>
        <v>0.393442623</v>
      </c>
    </row>
    <row r="6267">
      <c r="A6267" s="10" t="s">
        <v>7706</v>
      </c>
      <c r="B6267" s="7" t="str">
        <f>IFERROR(__xludf.DUMMYFUNCTION("SPLIT(A6267,"" "")"),"CN1CCN(C)CCN(Cc2ccc(-c3c(N)cccc3Cl)nc2)CC1")</f>
        <v>CN1CCN(C)CCN(Cc2ccc(-c3c(N)cccc3Cl)nc2)CC1</v>
      </c>
      <c r="C6267" s="7">
        <f>IFERROR(__xludf.DUMMYFUNCTION("""COMPUTED_VALUE"""),7.7856417)</f>
        <v>7.7856417</v>
      </c>
      <c r="D6267" s="7">
        <f>IFERROR(__xludf.DUMMYFUNCTION("""COMPUTED_VALUE"""),0.42)</f>
        <v>0.42</v>
      </c>
    </row>
    <row r="6268">
      <c r="A6268" s="10" t="s">
        <v>7707</v>
      </c>
      <c r="B6268" s="7" t="str">
        <f>IFERROR(__xludf.DUMMYFUNCTION("SPLIT(A6268,"" "")"),"CC1=CC(C)C(C)(c2cccc(CN(Cc3ccccn3)Cc3ccccn3)n2)C(C)C1(C)C")</f>
        <v>CC1=CC(C)C(C)(c2cccc(CN(Cc3ccccn3)Cc3ccccn3)n2)C(C)C1(C)C</v>
      </c>
      <c r="C6268" s="7">
        <f>IFERROR(__xludf.DUMMYFUNCTION("""COMPUTED_VALUE"""),7.785637)</f>
        <v>7.785637</v>
      </c>
      <c r="D6268" s="7">
        <f>IFERROR(__xludf.DUMMYFUNCTION("""COMPUTED_VALUE"""),0.444444444444444)</f>
        <v>0.4444444444</v>
      </c>
    </row>
    <row r="6269">
      <c r="A6269" s="10" t="s">
        <v>7708</v>
      </c>
      <c r="B6269" s="7" t="str">
        <f>IFERROR(__xludf.DUMMYFUNCTION("SPLIT(A6269,"" "")"),"CC1=C(N(C)CC2=CCC=CN2)CCC(C)C1")</f>
        <v>CC1=C(N(C)CC2=CCC=CN2)CCC(C)C1</v>
      </c>
      <c r="C6269" s="7">
        <f>IFERROR(__xludf.DUMMYFUNCTION("""COMPUTED_VALUE"""),7.785627)</f>
        <v>7.785627</v>
      </c>
      <c r="D6269" s="7">
        <f>IFERROR(__xludf.DUMMYFUNCTION("""COMPUTED_VALUE"""),0.345454545454545)</f>
        <v>0.3454545455</v>
      </c>
    </row>
    <row r="6270">
      <c r="A6270" s="10" t="s">
        <v>7709</v>
      </c>
      <c r="B6270" s="7" t="str">
        <f>IFERROR(__xludf.DUMMYFUNCTION("SPLIT(A6270,"" "")"),"Cc1cncc(CN(C)C2CCCCC2N(C)Cc2ccc3cccnc3c2)c1")</f>
        <v>Cc1cncc(CN(C)C2CCCCC2N(C)Cc2ccc3cccnc3c2)c1</v>
      </c>
      <c r="C6270" s="7">
        <f>IFERROR(__xludf.DUMMYFUNCTION("""COMPUTED_VALUE"""),7.785625)</f>
        <v>7.785625</v>
      </c>
      <c r="D6270" s="7">
        <f>IFERROR(__xludf.DUMMYFUNCTION("""COMPUTED_VALUE"""),0.425925925925925)</f>
        <v>0.4259259259</v>
      </c>
    </row>
    <row r="6271">
      <c r="A6271" s="10" t="s">
        <v>7710</v>
      </c>
      <c r="B6271" s="7" t="str">
        <f>IFERROR(__xludf.DUMMYFUNCTION("SPLIT(A6271,"" "")"),"Cc1cc(N(C)c2cncc(CN3CCN(C)CCN(C)CC3)c2)cnc1C")</f>
        <v>Cc1cc(N(C)c2cncc(CN3CCN(C)CCN(C)CC3)c2)cnc1C</v>
      </c>
      <c r="C6271" s="7">
        <f>IFERROR(__xludf.DUMMYFUNCTION("""COMPUTED_VALUE"""),7.7856226)</f>
        <v>7.7856226</v>
      </c>
      <c r="D6271" s="7">
        <f>IFERROR(__xludf.DUMMYFUNCTION("""COMPUTED_VALUE"""),0.388888888888888)</f>
        <v>0.3888888889</v>
      </c>
    </row>
    <row r="6272">
      <c r="A6272" s="10" t="s">
        <v>7711</v>
      </c>
      <c r="B6272" s="7" t="str">
        <f>IFERROR(__xludf.DUMMYFUNCTION("SPLIT(A6272,"" "")"),"Cc1cnc(CN(C)CCCN(C)Cc2ncccc2CF)c(C)c1C")</f>
        <v>Cc1cnc(CN(C)CCCN(C)Cc2ncccc2CF)c(C)c1C</v>
      </c>
      <c r="C6272" s="7">
        <f>IFERROR(__xludf.DUMMYFUNCTION("""COMPUTED_VALUE"""),7.7856054)</f>
        <v>7.7856054</v>
      </c>
      <c r="D6272" s="7">
        <f>IFERROR(__xludf.DUMMYFUNCTION("""COMPUTED_VALUE"""),0.372549019607843)</f>
        <v>0.3725490196</v>
      </c>
    </row>
    <row r="6273">
      <c r="A6273" s="10" t="s">
        <v>7712</v>
      </c>
      <c r="B6273" s="7" t="str">
        <f>IFERROR(__xludf.DUMMYFUNCTION("SPLIT(A6273,"" "")"),"CNCc1ncccc1C")</f>
        <v>CNCc1ncccc1C</v>
      </c>
      <c r="C6273" s="7">
        <f>IFERROR(__xludf.DUMMYFUNCTION("""COMPUTED_VALUE"""),7.7856007)</f>
        <v>7.7856007</v>
      </c>
      <c r="D6273" s="7">
        <f>IFERROR(__xludf.DUMMYFUNCTION("""COMPUTED_VALUE"""),0.314285714285714)</f>
        <v>0.3142857143</v>
      </c>
    </row>
    <row r="6274">
      <c r="A6274" s="10" t="s">
        <v>7713</v>
      </c>
      <c r="B6274" s="7" t="str">
        <f>IFERROR(__xludf.DUMMYFUNCTION("SPLIT(A6274,"" "")"),"Cc1cc(C)c(CN(C)C2CCCC(N(Cc3ccccn3)Cc3cc(C)c(C)c(C)n3)C2)nc1C")</f>
        <v>Cc1cc(C)c(CN(C)C2CCCC(N(Cc3ccccn3)Cc3cc(C)c(C)c(C)n3)C2)nc1C</v>
      </c>
      <c r="C6274" s="7">
        <f>IFERROR(__xludf.DUMMYFUNCTION("""COMPUTED_VALUE"""),7.7856007)</f>
        <v>7.7856007</v>
      </c>
      <c r="D6274" s="7">
        <f>IFERROR(__xludf.DUMMYFUNCTION("""COMPUTED_VALUE"""),0.4)</f>
        <v>0.4</v>
      </c>
    </row>
    <row r="6275">
      <c r="A6275" s="10" t="s">
        <v>7714</v>
      </c>
      <c r="B6275" s="7" t="str">
        <f>IFERROR(__xludf.DUMMYFUNCTION("SPLIT(A6275,"" "")"),"CCN(Cc1ccccn1)C1CC(N(C)Cc2cc(C)c(C)c(C)n2)CC(N(C)Cc2cc(C)c(C)c(C)n2)C1")</f>
        <v>CCN(Cc1ccccn1)C1CC(N(C)Cc2cc(C)c(C)c(C)n2)CC(N(C)Cc2cc(C)c(C)c(C)n2)C1</v>
      </c>
      <c r="C6275" s="7">
        <f>IFERROR(__xludf.DUMMYFUNCTION("""COMPUTED_VALUE"""),7.7855988)</f>
        <v>7.7855988</v>
      </c>
      <c r="D6275" s="7">
        <f>IFERROR(__xludf.DUMMYFUNCTION("""COMPUTED_VALUE"""),0.425925925925925)</f>
        <v>0.4259259259</v>
      </c>
    </row>
    <row r="6276">
      <c r="A6276" s="10" t="s">
        <v>7715</v>
      </c>
      <c r="B6276" s="7" t="str">
        <f>IFERROR(__xludf.DUMMYFUNCTION("SPLIT(A6276,"" "")"),"CN1CCN(C)CCN(Cc2cnccc2-c2ccc(Cl)cc2N)CC1")</f>
        <v>CN1CCN(C)CCN(Cc2cnccc2-c2ccc(Cl)cc2N)CC1</v>
      </c>
      <c r="C6276" s="7">
        <f>IFERROR(__xludf.DUMMYFUNCTION("""COMPUTED_VALUE"""),7.785598)</f>
        <v>7.785598</v>
      </c>
      <c r="D6276" s="7">
        <f>IFERROR(__xludf.DUMMYFUNCTION("""COMPUTED_VALUE"""),0.358490566037735)</f>
        <v>0.358490566</v>
      </c>
    </row>
    <row r="6277">
      <c r="A6277" s="10" t="s">
        <v>7716</v>
      </c>
      <c r="B6277" s="7" t="str">
        <f>IFERROR(__xludf.DUMMYFUNCTION("SPLIT(A6277,"" "")"),"CCN(C)CCN(C)Cc1ncc(C)c(C)c1C")</f>
        <v>CCN(C)CCN(C)Cc1ncc(C)c(C)c1C</v>
      </c>
      <c r="C6277" s="7">
        <f>IFERROR(__xludf.DUMMYFUNCTION("""COMPUTED_VALUE"""),7.785593)</f>
        <v>7.785593</v>
      </c>
      <c r="D6277" s="7">
        <f>IFERROR(__xludf.DUMMYFUNCTION("""COMPUTED_VALUE"""),0.421052631578947)</f>
        <v>0.4210526316</v>
      </c>
    </row>
    <row r="6278">
      <c r="A6278" s="10" t="s">
        <v>7717</v>
      </c>
      <c r="B6278" s="7" t="str">
        <f>IFERROR(__xludf.DUMMYFUNCTION("SPLIT(A6278,"" "")"),"Nc1c(Cl)cccc1N1CCC(CCN(Cc2ccccn2)Cc2ccccn2)C1")</f>
        <v>Nc1c(Cl)cccc1N1CCC(CCN(Cc2ccccn2)Cc2ccccn2)C1</v>
      </c>
      <c r="C6278" s="7">
        <f>IFERROR(__xludf.DUMMYFUNCTION("""COMPUTED_VALUE"""),7.785589)</f>
        <v>7.785589</v>
      </c>
      <c r="D6278" s="7">
        <f>IFERROR(__xludf.DUMMYFUNCTION("""COMPUTED_VALUE"""),0.375)</f>
        <v>0.375</v>
      </c>
    </row>
    <row r="6279">
      <c r="A6279" s="10" t="s">
        <v>7718</v>
      </c>
      <c r="B6279" s="7" t="str">
        <f>IFERROR(__xludf.DUMMYFUNCTION("SPLIT(A6279,"" "")"),"CCN(Cc1ccccn1)Cc1cccc(N(C)C2CCC(N(C)Cc3nc(C)c(C)cc3C)CC2)n1")</f>
        <v>CCN(Cc1ccccn1)Cc1cccc(N(C)C2CCC(N(C)Cc3nc(C)c(C)cc3C)CC2)n1</v>
      </c>
      <c r="C6279" s="7">
        <f>IFERROR(__xludf.DUMMYFUNCTION("""COMPUTED_VALUE"""),7.7855873)</f>
        <v>7.7855873</v>
      </c>
      <c r="D6279" s="7">
        <f>IFERROR(__xludf.DUMMYFUNCTION("""COMPUTED_VALUE"""),0.370967741935483)</f>
        <v>0.3709677419</v>
      </c>
    </row>
    <row r="6280">
      <c r="A6280" s="10" t="s">
        <v>7719</v>
      </c>
      <c r="B6280" s="7" t="str">
        <f>IFERROR(__xludf.DUMMYFUNCTION("SPLIT(A6280,"" "")"),"CC1=C(N(C)Cc2ccccn2)C(C)(C)C(C(C)(C)c2ncccc2CN(Cc2ccccn2)C2CCC(N(C)Cc3ncccc3C)CC2)CC1C")</f>
        <v>CC1=C(N(C)Cc2ccccn2)C(C)(C)C(C(C)(C)c2ncccc2CN(Cc2ccccn2)C2CCC(N(C)Cc3ncccc3C)CC2)CC1C</v>
      </c>
      <c r="C6280" s="7">
        <f>IFERROR(__xludf.DUMMYFUNCTION("""COMPUTED_VALUE"""),7.785582)</f>
        <v>7.785582</v>
      </c>
      <c r="D6280" s="7">
        <f>IFERROR(__xludf.DUMMYFUNCTION("""COMPUTED_VALUE"""),0.32)</f>
        <v>0.32</v>
      </c>
    </row>
    <row r="6281">
      <c r="A6281" s="10" t="s">
        <v>7720</v>
      </c>
      <c r="B6281" s="7" t="str">
        <f>IFERROR(__xludf.DUMMYFUNCTION("SPLIT(A6281,"" "")"),"Cc1cc(C)c(CN(C)C2CCCC(N(Cc3ccccn3)Cc3cccnc3CN(Cc3ccccn3)C(C)C)C2)nc1C")</f>
        <v>Cc1cc(C)c(CN(C)C2CCCC(N(Cc3ccccn3)Cc3cccnc3CN(Cc3ccccn3)C(C)C)C2)nc1C</v>
      </c>
      <c r="C6281" s="7">
        <f>IFERROR(__xludf.DUMMYFUNCTION("""COMPUTED_VALUE"""),7.7855816)</f>
        <v>7.7855816</v>
      </c>
      <c r="D6281" s="7">
        <f>IFERROR(__xludf.DUMMYFUNCTION("""COMPUTED_VALUE"""),0.375)</f>
        <v>0.375</v>
      </c>
    </row>
    <row r="6282">
      <c r="A6282" s="10" t="s">
        <v>7721</v>
      </c>
      <c r="B6282" s="7" t="str">
        <f>IFERROR(__xludf.DUMMYFUNCTION("SPLIT(A6282,"" "")"),"CNCc1ccc(CN(Cc2cc(C)c(C)c(C)n2)C2CCC(N(C)Cc3cc(C)c(C)c(C)n3)CC2)cn1")</f>
        <v>CNCc1ccc(CN(Cc2cc(C)c(C)c(C)n2)C2CCC(N(C)Cc3cc(C)c(C)c(C)n3)CC2)cn1</v>
      </c>
      <c r="C6282" s="7">
        <f>IFERROR(__xludf.DUMMYFUNCTION("""COMPUTED_VALUE"""),7.7855806)</f>
        <v>7.7855806</v>
      </c>
      <c r="D6282" s="7">
        <f>IFERROR(__xludf.DUMMYFUNCTION("""COMPUTED_VALUE"""),0.32258064516129)</f>
        <v>0.3225806452</v>
      </c>
    </row>
    <row r="6283">
      <c r="A6283" s="10" t="s">
        <v>7722</v>
      </c>
      <c r="B6283" s="7" t="str">
        <f>IFERROR(__xludf.DUMMYFUNCTION("SPLIT(A6283,"" "")"),"COC(C)c1cc(CN2CCN(C)CCN(Cc3cc(C(C)(c4ccccn4)c4ccccn4)ccn3)CC2)ccn1")</f>
        <v>COC(C)c1cc(CN2CCN(C)CCN(Cc3cc(C(C)(c4ccccn4)c4ccccn4)ccn3)CC2)ccn1</v>
      </c>
      <c r="C6283" s="7">
        <f>IFERROR(__xludf.DUMMYFUNCTION("""COMPUTED_VALUE"""),7.7855797)</f>
        <v>7.7855797</v>
      </c>
      <c r="D6283" s="7">
        <f>IFERROR(__xludf.DUMMYFUNCTION("""COMPUTED_VALUE"""),0.440677966101694)</f>
        <v>0.4406779661</v>
      </c>
    </row>
    <row r="6284">
      <c r="A6284" s="10" t="s">
        <v>7723</v>
      </c>
      <c r="B6284" s="7" t="str">
        <f>IFERROR(__xludf.DUMMYFUNCTION("SPLIT(A6284,"" "")"),"Cc1nc(CN(Cc2ccccn2)C2CCCC(N(C)Cc3ccon3)C2)c(C)c(C)c1C")</f>
        <v>Cc1nc(CN(Cc2ccccn2)C2CCCC(N(C)Cc3ccon3)C2)c(C)c(C)c1C</v>
      </c>
      <c r="C6284" s="7">
        <f>IFERROR(__xludf.DUMMYFUNCTION("""COMPUTED_VALUE"""),7.7855673)</f>
        <v>7.7855673</v>
      </c>
      <c r="D6284" s="7">
        <f>IFERROR(__xludf.DUMMYFUNCTION("""COMPUTED_VALUE"""),0.40983606557377)</f>
        <v>0.4098360656</v>
      </c>
    </row>
    <row r="6285">
      <c r="A6285" s="10" t="s">
        <v>7724</v>
      </c>
      <c r="B6285" s="7" t="str">
        <f>IFERROR(__xludf.DUMMYFUNCTION("SPLIT(A6285,"" "")"),"CN(C)Cc1nccc2cccc(N(C)C3CCCCC3N(Cc3ccccn3)Cc3cccc(-c4cccc5c4OCCOCCOCCOCCOCCO5)n3)c12")</f>
        <v>CN(C)Cc1nccc2cccc(N(C)C3CCCCC3N(Cc3ccccn3)Cc3cccc(-c4cccc5c4OCCOCCOCCOCCOCCO5)n3)c12</v>
      </c>
      <c r="C6285" s="7">
        <f>IFERROR(__xludf.DUMMYFUNCTION("""COMPUTED_VALUE"""),7.7855597)</f>
        <v>7.7855597</v>
      </c>
      <c r="D6285" s="7">
        <f>IFERROR(__xludf.DUMMYFUNCTION("""COMPUTED_VALUE"""),0.342105263157894)</f>
        <v>0.3421052632</v>
      </c>
    </row>
    <row r="6286">
      <c r="A6286" s="10" t="s">
        <v>7725</v>
      </c>
      <c r="B6286" s="7" t="str">
        <f>IFERROR(__xludf.DUMMYFUNCTION("SPLIT(A6286,"" "")"),"Cc1ccnc(CN(C)C2CCCC(N(Cc3ccccn3)Cc3cccc(C(C)(c4cccnc4)C(C)N)n3)C2)c1C")</f>
        <v>Cc1ccnc(CN(C)C2CCCC(N(Cc3ccccn3)Cc3cccc(C(C)(c4cccnc4)C(C)N)n3)C2)c1C</v>
      </c>
      <c r="C6286" s="7">
        <f>IFERROR(__xludf.DUMMYFUNCTION("""COMPUTED_VALUE"""),7.7855425)</f>
        <v>7.7855425</v>
      </c>
      <c r="D6286" s="7">
        <f>IFERROR(__xludf.DUMMYFUNCTION("""COMPUTED_VALUE"""),0.31578947368421)</f>
        <v>0.3157894737</v>
      </c>
    </row>
    <row r="6287">
      <c r="A6287" s="10" t="s">
        <v>7726</v>
      </c>
      <c r="B6287" s="7" t="str">
        <f>IFERROR(__xludf.DUMMYFUNCTION("SPLIT(A6287,"" "")"),"Cc1cc(C)c(CN(C)C2=C(CN(C)C3CCCC(N(C)Cc4cc(C)c(C)c(C)n4)C3)NC=CC2)cn1")</f>
        <v>Cc1cc(C)c(CN(C)C2=C(CN(C)C3CCCC(N(C)Cc4cc(C)c(C)c(C)n4)C3)NC=CC2)cn1</v>
      </c>
      <c r="C6287" s="7">
        <f>IFERROR(__xludf.DUMMYFUNCTION("""COMPUTED_VALUE"""),7.7855377)</f>
        <v>7.7855377</v>
      </c>
      <c r="D6287" s="7">
        <f>IFERROR(__xludf.DUMMYFUNCTION("""COMPUTED_VALUE"""),0.246575342465753)</f>
        <v>0.2465753425</v>
      </c>
    </row>
    <row r="6288">
      <c r="A6288" s="10" t="s">
        <v>7727</v>
      </c>
      <c r="B6288" s="7" t="str">
        <f>IFERROR(__xludf.DUMMYFUNCTION("SPLIT(A6288,"" "")"),"Cc1cnc(CN(C)CCN(Cc2ccccn2)C(C)(C)c2cnccc2CN(Cc2ccccn2)Cc2cccc(-c3ccc4c(c3)OCCOCCOCCOCCOCCO4)n2)c(C)c1")</f>
        <v>Cc1cnc(CN(C)CCN(Cc2ccccn2)C(C)(C)c2cnccc2CN(Cc2ccccn2)Cc2cccc(-c3ccc4c(c3)OCCOCCOCCOCCOCCO4)n2)c(C)c1</v>
      </c>
      <c r="C6288" s="7">
        <f>IFERROR(__xludf.DUMMYFUNCTION("""COMPUTED_VALUE"""),7.7855315)</f>
        <v>7.7855315</v>
      </c>
      <c r="D6288" s="7">
        <f>IFERROR(__xludf.DUMMYFUNCTION("""COMPUTED_VALUE"""),0.348314606741573)</f>
        <v>0.3483146067</v>
      </c>
    </row>
    <row r="6289">
      <c r="A6289" s="10" t="s">
        <v>7728</v>
      </c>
      <c r="B6289" s="7" t="str">
        <f>IFERROR(__xludf.DUMMYFUNCTION("SPLIT(A6289,"" "")"),"CCN(Cc1cc(C)ccn1)Cc1nc(CN(C)C2CCC(N(C)Cc3nc(C)c(C)c(C)c3C)CC2)c(C)c(C)c1C")</f>
        <v>CCN(Cc1cc(C)ccn1)Cc1nc(CN(C)C2CCC(N(C)Cc3nc(C)c(C)c(C)c3C)CC2)c(C)c(C)c1C</v>
      </c>
      <c r="C6289" s="7">
        <f>IFERROR(__xludf.DUMMYFUNCTION("""COMPUTED_VALUE"""),7.785526)</f>
        <v>7.785526</v>
      </c>
      <c r="D6289" s="7">
        <f>IFERROR(__xludf.DUMMYFUNCTION("""COMPUTED_VALUE"""),0.3)</f>
        <v>0.3</v>
      </c>
    </row>
    <row r="6290">
      <c r="A6290" s="10" t="s">
        <v>7729</v>
      </c>
      <c r="B6290" s="7" t="str">
        <f>IFERROR(__xludf.DUMMYFUNCTION("SPLIT(A6290,"" "")"),"CC(C)C(C)c1cncc(CN(Cc2cc(C(C)(C)C)ccn2)CC(C)(C)C)c1")</f>
        <v>CC(C)C(C)c1cncc(CN(Cc2cc(C(C)(C)C)ccn2)CC(C)(C)C)c1</v>
      </c>
      <c r="C6290" s="7">
        <f>IFERROR(__xludf.DUMMYFUNCTION("""COMPUTED_VALUE"""),7.7855206)</f>
        <v>7.7855206</v>
      </c>
      <c r="D6290" s="7">
        <f>IFERROR(__xludf.DUMMYFUNCTION("""COMPUTED_VALUE"""),0.381818181818181)</f>
        <v>0.3818181818</v>
      </c>
    </row>
    <row r="6291">
      <c r="A6291" s="10" t="s">
        <v>7730</v>
      </c>
      <c r="B6291" s="7" t="str">
        <f>IFERROR(__xludf.DUMMYFUNCTION("SPLIT(A6291,"" "")"),"CCOC(=O)c1cc(CN(Cc2ccccn2)C2CCC(N(C)Cc3ncccc3C)CC2)ccn1")</f>
        <v>CCOC(=O)c1cc(CN(Cc2ccccn2)C2CCC(N(C)Cc3ncccc3C)CC2)ccn1</v>
      </c>
      <c r="C6291" s="7">
        <f>IFERROR(__xludf.DUMMYFUNCTION("""COMPUTED_VALUE"""),7.7855134)</f>
        <v>7.7855134</v>
      </c>
      <c r="D6291" s="7">
        <f>IFERROR(__xludf.DUMMYFUNCTION("""COMPUTED_VALUE"""),0.343283582089552)</f>
        <v>0.3432835821</v>
      </c>
    </row>
    <row r="6292">
      <c r="A6292" s="10" t="s">
        <v>7731</v>
      </c>
      <c r="B6292" s="7" t="str">
        <f>IFERROR(__xludf.DUMMYFUNCTION("SPLIT(A6292,"" "")"),"CC1CC(c2cccc(CN(C)C3CCCCC3N(C)Cc3ccc4cccnc4c3)n2)C1")</f>
        <v>CC1CC(c2cccc(CN(C)C3CCCCC3N(C)Cc3ccc4cccnc4c3)n2)C1</v>
      </c>
      <c r="C6292" s="7">
        <f>IFERROR(__xludf.DUMMYFUNCTION("""COMPUTED_VALUE"""),7.7855134)</f>
        <v>7.7855134</v>
      </c>
      <c r="D6292" s="7">
        <f>IFERROR(__xludf.DUMMYFUNCTION("""COMPUTED_VALUE"""),0.456140350877192)</f>
        <v>0.4561403509</v>
      </c>
    </row>
    <row r="6293">
      <c r="A6293" s="10" t="s">
        <v>7732</v>
      </c>
      <c r="B6293" s="7" t="str">
        <f>IFERROR(__xludf.DUMMYFUNCTION("SPLIT(A6293,"" "")"),"CC(C)N1CCCC1CN(C)C1=CCC=C(c2ccccn2)N1")</f>
        <v>CC(C)N1CCCC1CN(C)C1=CCC=C(c2ccccn2)N1</v>
      </c>
      <c r="C6293" s="7">
        <f>IFERROR(__xludf.DUMMYFUNCTION("""COMPUTED_VALUE"""),7.7855124)</f>
        <v>7.7855124</v>
      </c>
      <c r="D6293" s="7">
        <f>IFERROR(__xludf.DUMMYFUNCTION("""COMPUTED_VALUE"""),0.35820895522388)</f>
        <v>0.3582089552</v>
      </c>
    </row>
    <row r="6294">
      <c r="A6294" s="10" t="s">
        <v>7733</v>
      </c>
      <c r="B6294" s="7" t="str">
        <f>IFERROR(__xludf.DUMMYFUNCTION("SPLIT(A6294,"" "")"),"Cc1ccnc(CN(CN(C)C(C)C)C(C)C)c1C")</f>
        <v>Cc1ccnc(CN(CN(C)C(C)C)C(C)C)c1C</v>
      </c>
      <c r="C6294" s="7">
        <f>IFERROR(__xludf.DUMMYFUNCTION("""COMPUTED_VALUE"""),7.785507)</f>
        <v>7.785507</v>
      </c>
      <c r="D6294" s="7">
        <f>IFERROR(__xludf.DUMMYFUNCTION("""COMPUTED_VALUE"""),0.363636363636363)</f>
        <v>0.3636363636</v>
      </c>
    </row>
    <row r="6295">
      <c r="A6295" s="10" t="s">
        <v>7734</v>
      </c>
      <c r="B6295" s="7" t="str">
        <f>IFERROR(__xludf.DUMMYFUNCTION("SPLIT(A6295,"" "")"),"CNCCN(C)Cc1cc(C)cc(C)n1")</f>
        <v>CNCCN(C)Cc1cc(C)cc(C)n1</v>
      </c>
      <c r="C6295" s="7">
        <f>IFERROR(__xludf.DUMMYFUNCTION("""COMPUTED_VALUE"""),7.785498)</f>
        <v>7.785498</v>
      </c>
      <c r="D6295" s="7">
        <f>IFERROR(__xludf.DUMMYFUNCTION("""COMPUTED_VALUE"""),0.435897435897435)</f>
        <v>0.4358974359</v>
      </c>
    </row>
    <row r="6296">
      <c r="A6296" s="10" t="s">
        <v>7735</v>
      </c>
      <c r="B6296" s="7" t="str">
        <f>IFERROR(__xludf.DUMMYFUNCTION("SPLIT(A6296,"" "")"),"CN(Cc1ccccn1)Cc1ccc(N(C)Cc2cccc(-c3cccc4c3OCCOCCOCCOCCOCCO4)n2)cn1")</f>
        <v>CN(Cc1ccccn1)Cc1ccc(N(C)Cc2cccc(-c3cccc4c3OCCOCCOCCOCCOCCO4)n2)cn1</v>
      </c>
      <c r="C6296" s="7">
        <f>IFERROR(__xludf.DUMMYFUNCTION("""COMPUTED_VALUE"""),7.7854967)</f>
        <v>7.7854967</v>
      </c>
      <c r="D6296" s="7">
        <f>IFERROR(__xludf.DUMMYFUNCTION("""COMPUTED_VALUE"""),0.47457627118644)</f>
        <v>0.4745762712</v>
      </c>
    </row>
    <row r="6297">
      <c r="A6297" s="10" t="s">
        <v>7736</v>
      </c>
      <c r="B6297" s="7" t="str">
        <f>IFERROR(__xludf.DUMMYFUNCTION("SPLIT(A6297,"" "")"),"Cc1cnc(CN(C)C2CC(N(C)Cc3ccccn3)CC(N(Cc3ccccn3)Cc3cnccc3C)C2)c(C)c1")</f>
        <v>Cc1cnc(CN(C)C2CC(N(C)Cc3ccccn3)CC(N(Cc3ccccn3)Cc3cnccc3C)C2)c(C)c1</v>
      </c>
      <c r="C6297" s="7">
        <f>IFERROR(__xludf.DUMMYFUNCTION("""COMPUTED_VALUE"""),7.785496)</f>
        <v>7.785496</v>
      </c>
      <c r="D6297" s="7">
        <f>IFERROR(__xludf.DUMMYFUNCTION("""COMPUTED_VALUE"""),0.377049180327868)</f>
        <v>0.3770491803</v>
      </c>
    </row>
    <row r="6298">
      <c r="A6298" s="10" t="s">
        <v>7737</v>
      </c>
      <c r="B6298" s="7" t="str">
        <f>IFERROR(__xludf.DUMMYFUNCTION("SPLIT(A6298,"" "")"),"Cc1ccc(CN(Cc2ccccn2)C2CC(N(C)Cc3ccccn3)CC(N(Cc3ccccn3)Cc3cccc(C4CC(Cl)C4Cl)n3)C2)nc1")</f>
        <v>Cc1ccc(CN(Cc2ccccn2)C2CC(N(C)Cc3ccccn3)CC(N(Cc3ccccn3)Cc3cccc(C4CC(Cl)C4Cl)n3)C2)nc1</v>
      </c>
      <c r="C6298" s="7">
        <f>IFERROR(__xludf.DUMMYFUNCTION("""COMPUTED_VALUE"""),7.785487)</f>
        <v>7.785487</v>
      </c>
      <c r="D6298" s="7">
        <f>IFERROR(__xludf.DUMMYFUNCTION("""COMPUTED_VALUE"""),0.38095238095238)</f>
        <v>0.380952381</v>
      </c>
    </row>
    <row r="6299">
      <c r="A6299" s="10" t="s">
        <v>7738</v>
      </c>
      <c r="B6299" s="7" t="str">
        <f>IFERROR(__xludf.DUMMYFUNCTION("SPLIT(A6299,"" "")"),"Cc1cnc(CN(C)C2CCC(N(Cc3ccccn3)c3ccccc3F)CC2)c(C)c1")</f>
        <v>Cc1cnc(CN(C)C2CCC(N(Cc3ccccn3)c3ccccc3F)CC2)c(C)c1</v>
      </c>
      <c r="C6299" s="7">
        <f>IFERROR(__xludf.DUMMYFUNCTION("""COMPUTED_VALUE"""),7.785481)</f>
        <v>7.785481</v>
      </c>
      <c r="D6299" s="7">
        <f>IFERROR(__xludf.DUMMYFUNCTION("""COMPUTED_VALUE"""),0.389830508474576)</f>
        <v>0.3898305085</v>
      </c>
    </row>
    <row r="6300">
      <c r="A6300" s="10" t="s">
        <v>7739</v>
      </c>
      <c r="B6300" s="7" t="str">
        <f>IFERROR(__xludf.DUMMYFUNCTION("SPLIT(A6300,"" "")"),"Cc1cnc(CN(C)C2NC=CC=C2N(Cc2ccccn2)Cc2cccnn2)c(-c2ccc3c(c2)OCCOCCOCCOCCOCCO3)c1")</f>
        <v>Cc1cnc(CN(C)C2NC=CC=C2N(Cc2ccccn2)Cc2cccnn2)c(-c2ccc3c(c2)OCCOCCOCCOCCOCCO3)c1</v>
      </c>
      <c r="C6300" s="7">
        <f>IFERROR(__xludf.DUMMYFUNCTION("""COMPUTED_VALUE"""),7.7854786)</f>
        <v>7.7854786</v>
      </c>
      <c r="D6300" s="7">
        <f>IFERROR(__xludf.DUMMYFUNCTION("""COMPUTED_VALUE"""),0.322222222222222)</f>
        <v>0.3222222222</v>
      </c>
    </row>
    <row r="6301">
      <c r="A6301" s="10" t="s">
        <v>7740</v>
      </c>
      <c r="B6301" s="7" t="str">
        <f>IFERROR(__xludf.DUMMYFUNCTION("SPLIT(A6301,"" "")"),"Cc1cc(CN(C)C2CCC(N(C)Cc3cccc(C4=CCC=CN4)n3)CC2)nc(C)c1C")</f>
        <v>Cc1cc(CN(C)C2CCC(N(C)Cc3cccc(C4=CCC=CN4)n3)CC2)nc(C)c1C</v>
      </c>
      <c r="C6301" s="7">
        <f>IFERROR(__xludf.DUMMYFUNCTION("""COMPUTED_VALUE"""),7.785465)</f>
        <v>7.785465</v>
      </c>
      <c r="D6301" s="7">
        <f>IFERROR(__xludf.DUMMYFUNCTION("""COMPUTED_VALUE"""),0.338709677419354)</f>
        <v>0.3387096774</v>
      </c>
    </row>
    <row r="6302">
      <c r="A6302" s="10" t="s">
        <v>7741</v>
      </c>
      <c r="B6302" s="7" t="str">
        <f>IFERROR(__xludf.DUMMYFUNCTION("SPLIT(A6302,"" "")"),"CN(Cc1ccccn1)Cc1ncccc1N(C)Cc1ncccc1-c1cccc2c1OCCOCCOCCOCCOCCO2")</f>
        <v>CN(Cc1ccccn1)Cc1ncccc1N(C)Cc1ncccc1-c1cccc2c1OCCOCCOCCOCCOCCO2</v>
      </c>
      <c r="C6302" s="7">
        <f>IFERROR(__xludf.DUMMYFUNCTION("""COMPUTED_VALUE"""),7.785462)</f>
        <v>7.785462</v>
      </c>
      <c r="D6302" s="7">
        <f>IFERROR(__xludf.DUMMYFUNCTION("""COMPUTED_VALUE"""),0.370967741935483)</f>
        <v>0.3709677419</v>
      </c>
    </row>
    <row r="6303">
      <c r="A6303" s="10" t="s">
        <v>7742</v>
      </c>
      <c r="B6303" s="7" t="str">
        <f>IFERROR(__xludf.DUMMYFUNCTION("SPLIT(A6303,"" "")"),"CC1CCC1N(Cc1ccccn1)C1CCC(N(C)c2ccc3nc(CF)ccc3c2)CC1")</f>
        <v>CC1CCC1N(Cc1ccccn1)C1CCC(N(C)c2ccc3nc(CF)ccc3c2)CC1</v>
      </c>
      <c r="C6303" s="7">
        <f>IFERROR(__xludf.DUMMYFUNCTION("""COMPUTED_VALUE"""),7.78546)</f>
        <v>7.78546</v>
      </c>
      <c r="D6303" s="7">
        <f>IFERROR(__xludf.DUMMYFUNCTION("""COMPUTED_VALUE"""),0.370967741935483)</f>
        <v>0.3709677419</v>
      </c>
    </row>
    <row r="6304">
      <c r="A6304" s="10" t="s">
        <v>7743</v>
      </c>
      <c r="B6304" s="7" t="str">
        <f>IFERROR(__xludf.DUMMYFUNCTION("SPLIT(A6304,"" "")"),"CCN(Cc1ccccn1)Cc1ncccc1N(C)C1CCCC(N(C)Cc2ncc(C)c(C)c2C)C1")</f>
        <v>CCN(Cc1ccccn1)Cc1ncccc1N(C)C1CCCC(N(C)Cc2ncc(C)c(C)c2C)C1</v>
      </c>
      <c r="C6304" s="7">
        <f>IFERROR(__xludf.DUMMYFUNCTION("""COMPUTED_VALUE"""),7.785449)</f>
        <v>7.785449</v>
      </c>
      <c r="D6304" s="7">
        <f>IFERROR(__xludf.DUMMYFUNCTION("""COMPUTED_VALUE"""),0.38095238095238)</f>
        <v>0.380952381</v>
      </c>
    </row>
    <row r="6305">
      <c r="A6305" s="10" t="s">
        <v>7744</v>
      </c>
      <c r="B6305" s="7" t="str">
        <f>IFERROR(__xludf.DUMMYFUNCTION("SPLIT(A6305,"" "")"),"CNC1CCC(N(Cc2nc(C)c(C)c(C)c2C)Cc2nc(C)c(C)c(C)c2C)CC1")</f>
        <v>CNC1CCC(N(Cc2nc(C)c(C)c(C)c2C)Cc2nc(C)c(C)c(C)c2C)CC1</v>
      </c>
      <c r="C6305" s="7">
        <f>IFERROR(__xludf.DUMMYFUNCTION("""COMPUTED_VALUE"""),7.7854486)</f>
        <v>7.7854486</v>
      </c>
      <c r="D6305" s="7">
        <f>IFERROR(__xludf.DUMMYFUNCTION("""COMPUTED_VALUE"""),0.20754716981132)</f>
        <v>0.2075471698</v>
      </c>
    </row>
    <row r="6306">
      <c r="A6306" s="10" t="s">
        <v>7745</v>
      </c>
      <c r="B6306" s="7" t="str">
        <f>IFERROR(__xludf.DUMMYFUNCTION("SPLIT(A6306,"" "")"),"CN(C)Cc1ccc(CN(C)C(C)(C)C)cn1")</f>
        <v>CN(C)Cc1ccc(CN(C)C(C)(C)C)cn1</v>
      </c>
      <c r="C6306" s="7">
        <f>IFERROR(__xludf.DUMMYFUNCTION("""COMPUTED_VALUE"""),7.785437)</f>
        <v>7.785437</v>
      </c>
      <c r="D6306" s="7">
        <f>IFERROR(__xludf.DUMMYFUNCTION("""COMPUTED_VALUE"""),0.384615384615384)</f>
        <v>0.3846153846</v>
      </c>
    </row>
    <row r="6307">
      <c r="A6307" s="10" t="s">
        <v>7746</v>
      </c>
      <c r="B6307" s="7" t="str">
        <f>IFERROR(__xludf.DUMMYFUNCTION("SPLIT(A6307,"" "")"),"Cc1cncc(CN(C)C2=CNC=C(CN(C)C(C)C(C)C)C2)c1")</f>
        <v>Cc1cncc(CN(C)C2=CNC=C(CN(C)C(C)C(C)C)C2)c1</v>
      </c>
      <c r="C6307" s="7">
        <f>IFERROR(__xludf.DUMMYFUNCTION("""COMPUTED_VALUE"""),7.7854295)</f>
        <v>7.7854295</v>
      </c>
      <c r="D6307" s="7">
        <f>IFERROR(__xludf.DUMMYFUNCTION("""COMPUTED_VALUE"""),0.206349206349206)</f>
        <v>0.2063492063</v>
      </c>
    </row>
    <row r="6308">
      <c r="A6308" s="10" t="s">
        <v>7747</v>
      </c>
      <c r="B6308" s="7" t="str">
        <f>IFERROR(__xludf.DUMMYFUNCTION("SPLIT(A6308,"" "")"),"Cc1cccc(-c2cccc(CN(C)C3CCCC(N(C)Cc4ccccn4)C3)n2)c1")</f>
        <v>Cc1cccc(-c2cccc(CN(C)C3CCCC(N(C)Cc4ccccn4)C3)n2)c1</v>
      </c>
      <c r="C6308" s="7">
        <f>IFERROR(__xludf.DUMMYFUNCTION("""COMPUTED_VALUE"""),7.7854257)</f>
        <v>7.7854257</v>
      </c>
      <c r="D6308" s="7">
        <f>IFERROR(__xludf.DUMMYFUNCTION("""COMPUTED_VALUE"""),0.5)</f>
        <v>0.5</v>
      </c>
    </row>
    <row r="6309">
      <c r="A6309" s="10" t="s">
        <v>7748</v>
      </c>
      <c r="B6309" s="7" t="str">
        <f>IFERROR(__xludf.DUMMYFUNCTION("SPLIT(A6309,"" "")"),"CCc1ccccc1CN(C)CC1=CCC=CN1")</f>
        <v>CCc1ccccc1CN(C)CC1=CCC=CN1</v>
      </c>
      <c r="C6309" s="7">
        <f>IFERROR(__xludf.DUMMYFUNCTION("""COMPUTED_VALUE"""),7.785425)</f>
        <v>7.785425</v>
      </c>
      <c r="D6309" s="7">
        <f>IFERROR(__xludf.DUMMYFUNCTION("""COMPUTED_VALUE"""),0.458333333333333)</f>
        <v>0.4583333333</v>
      </c>
    </row>
    <row r="6310">
      <c r="A6310" s="10" t="s">
        <v>7749</v>
      </c>
      <c r="B6310" s="7" t="str">
        <f>IFERROR(__xludf.DUMMYFUNCTION("SPLIT(A6310,"" "")"),"CC1=CC(C)C(CN(C)Cc2cc(N)ccn2)C=C1C")</f>
        <v>CC1=CC(C)C(CN(C)Cc2cc(N)ccn2)C=C1C</v>
      </c>
      <c r="C6310" s="7">
        <f>IFERROR(__xludf.DUMMYFUNCTION("""COMPUTED_VALUE"""),7.785412)</f>
        <v>7.785412</v>
      </c>
      <c r="D6310" s="7">
        <f>IFERROR(__xludf.DUMMYFUNCTION("""COMPUTED_VALUE"""),0.295081967213114)</f>
        <v>0.2950819672</v>
      </c>
    </row>
    <row r="6311">
      <c r="A6311" s="10" t="s">
        <v>7750</v>
      </c>
      <c r="B6311" s="7" t="str">
        <f>IFERROR(__xludf.DUMMYFUNCTION("SPLIT(A6311,"" "")"),"CN1C=CCC(CN(C)Cc2ccccn2)=C1")</f>
        <v>CN1C=CCC(CN(C)Cc2ccccn2)=C1</v>
      </c>
      <c r="C6311" s="7">
        <f>IFERROR(__xludf.DUMMYFUNCTION("""COMPUTED_VALUE"""),7.7853904)</f>
        <v>7.7853904</v>
      </c>
      <c r="D6311" s="7">
        <f>IFERROR(__xludf.DUMMYFUNCTION("""COMPUTED_VALUE"""),0.468085106382978)</f>
        <v>0.4680851064</v>
      </c>
    </row>
    <row r="6312">
      <c r="A6312" s="10" t="s">
        <v>7751</v>
      </c>
      <c r="B6312" s="7" t="str">
        <f>IFERROR(__xludf.DUMMYFUNCTION("SPLIT(A6312,"" "")"),"CN(Cc1cccc(-c2ccc3c(c2)OCCOCCOCCOCCOCCO3)n1)Cc1ccc(C2=NC(=O)C(=O)O2)c(-c2ccc3c(c2)OCCOCCOCCOCCOCCO3)n1")</f>
        <v>CN(Cc1cccc(-c2ccc3c(c2)OCCOCCOCCOCCOCCO3)n1)Cc1ccc(C2=NC(=O)C(=O)O2)c(-c2ccc3c(c2)OCCOCCOCCOCCOCCO3)n1</v>
      </c>
      <c r="C6312" s="7">
        <f>IFERROR(__xludf.DUMMYFUNCTION("""COMPUTED_VALUE"""),7.785386)</f>
        <v>7.785386</v>
      </c>
      <c r="D6312" s="7">
        <f>IFERROR(__xludf.DUMMYFUNCTION("""COMPUTED_VALUE"""),0.308823529411764)</f>
        <v>0.3088235294</v>
      </c>
    </row>
    <row r="6313">
      <c r="A6313" s="10" t="s">
        <v>7752</v>
      </c>
      <c r="B6313" s="7" t="str">
        <f>IFERROR(__xludf.DUMMYFUNCTION("SPLIT(A6313,"" "")"),"CN(Cc1ccccn1)C1CCC(N(C)c2cccc(CN(Cc3ccccn3)Cc3ccc(F)cn3)n2)CC1")</f>
        <v>CN(Cc1ccccn1)C1CCC(N(C)c2cccc(CN(Cc3ccccn3)Cc3ccc(F)cn3)n2)CC1</v>
      </c>
      <c r="C6313" s="7">
        <f>IFERROR(__xludf.DUMMYFUNCTION("""COMPUTED_VALUE"""),7.7853765)</f>
        <v>7.7853765</v>
      </c>
      <c r="D6313" s="7">
        <f>IFERROR(__xludf.DUMMYFUNCTION("""COMPUTED_VALUE"""),0.428571428571428)</f>
        <v>0.4285714286</v>
      </c>
    </row>
    <row r="6314">
      <c r="A6314" s="10" t="s">
        <v>7753</v>
      </c>
      <c r="B6314" s="7" t="str">
        <f>IFERROR(__xludf.DUMMYFUNCTION("SPLIT(A6314,"" "")"),"CC(C)N(Cc1ccccn1)C1CCC(N(C)Cc2cccc3ncccc23)CC1")</f>
        <v>CC(C)N(Cc1ccccn1)C1CCC(N(C)Cc2cccc3ncccc23)CC1</v>
      </c>
      <c r="C6314" s="7">
        <f>IFERROR(__xludf.DUMMYFUNCTION("""COMPUTED_VALUE"""),7.7853646)</f>
        <v>7.7853646</v>
      </c>
      <c r="D6314" s="7">
        <f>IFERROR(__xludf.DUMMYFUNCTION("""COMPUTED_VALUE"""),0.425925925925925)</f>
        <v>0.4259259259</v>
      </c>
    </row>
    <row r="6315">
      <c r="A6315" s="10" t="s">
        <v>7754</v>
      </c>
      <c r="B6315" s="7" t="str">
        <f>IFERROR(__xludf.DUMMYFUNCTION("SPLIT(A6315,"" "")"),"CNCCN(Cc1ccccn1)Cc1nccc(C)c1C")</f>
        <v>CNCCN(Cc1ccccn1)Cc1nccc(C)c1C</v>
      </c>
      <c r="C6315" s="7">
        <f>IFERROR(__xludf.DUMMYFUNCTION("""COMPUTED_VALUE"""),7.7853646)</f>
        <v>7.7853646</v>
      </c>
      <c r="D6315" s="7">
        <f>IFERROR(__xludf.DUMMYFUNCTION("""COMPUTED_VALUE"""),0.488888888888888)</f>
        <v>0.4888888889</v>
      </c>
    </row>
    <row r="6316">
      <c r="A6316" s="10" t="s">
        <v>7755</v>
      </c>
      <c r="B6316" s="7" t="str">
        <f>IFERROR(__xludf.DUMMYFUNCTION("SPLIT(A6316,"" "")"),"CCOC(C)c1cc(CN2CCN(C)CCN(Cc3cc(C(C)(c4ccccn4)c4ccccn4)ccn3)CC2)ccn1")</f>
        <v>CCOC(C)c1cc(CN2CCN(C)CCN(Cc3cc(C(C)(c4ccccn4)c4ccccn4)ccn3)CC2)ccn1</v>
      </c>
      <c r="C6316" s="7">
        <f>IFERROR(__xludf.DUMMYFUNCTION("""COMPUTED_VALUE"""),7.7853565)</f>
        <v>7.7853565</v>
      </c>
      <c r="D6316" s="7">
        <f>IFERROR(__xludf.DUMMYFUNCTION("""COMPUTED_VALUE"""),0.426229508196721)</f>
        <v>0.4262295082</v>
      </c>
    </row>
    <row r="6317">
      <c r="A6317" s="10" t="s">
        <v>7756</v>
      </c>
      <c r="B6317" s="7" t="str">
        <f>IFERROR(__xludf.DUMMYFUNCTION("SPLIT(A6317,"" "")"),"COC(=O)C1CN(C)C2C=CC=CC2(C(C)(C)NCc2cc(C)c(C)c(C)n2)C1C(=O)OC")</f>
        <v>COC(=O)C1CN(C)C2C=CC=CC2(C(C)(C)NCc2cc(C)c(C)c(C)n2)C1C(=O)OC</v>
      </c>
      <c r="C6317" s="7">
        <f>IFERROR(__xludf.DUMMYFUNCTION("""COMPUTED_VALUE"""),7.7853537)</f>
        <v>7.7853537</v>
      </c>
      <c r="D6317" s="7">
        <f>IFERROR(__xludf.DUMMYFUNCTION("""COMPUTED_VALUE"""),0.19047619047619)</f>
        <v>0.1904761905</v>
      </c>
    </row>
    <row r="6318">
      <c r="A6318" s="10" t="s">
        <v>7757</v>
      </c>
      <c r="B6318" s="7" t="str">
        <f>IFERROR(__xludf.DUMMYFUNCTION("SPLIT(A6318,"" "")"),"CN(Cc1ccccn1)c1cccc(CN(Cc2ccccn2)Cc2ncccc2-c2cccc3c2OCCOCCOCCOCCOCCO3)c1")</f>
        <v>CN(Cc1ccccn1)c1cccc(CN(Cc2ccccn2)Cc2ncccc2-c2cccc3c2OCCOCCOCCOCCOCCO3)c1</v>
      </c>
      <c r="C6318" s="7">
        <f>IFERROR(__xludf.DUMMYFUNCTION("""COMPUTED_VALUE"""),7.7853518)</f>
        <v>7.7853518</v>
      </c>
      <c r="D6318" s="7">
        <f>IFERROR(__xludf.DUMMYFUNCTION("""COMPUTED_VALUE"""),0.338983050847457)</f>
        <v>0.3389830508</v>
      </c>
    </row>
    <row r="6319">
      <c r="A6319" s="10" t="s">
        <v>7758</v>
      </c>
      <c r="B6319" s="7" t="str">
        <f>IFERROR(__xludf.DUMMYFUNCTION("SPLIT(A6319,"" "")"),"CN(CC1=CNC=CC1)Cc1ccccn1")</f>
        <v>CN(CC1=CNC=CC1)Cc1ccccn1</v>
      </c>
      <c r="C6319" s="7">
        <f>IFERROR(__xludf.DUMMYFUNCTION("""COMPUTED_VALUE"""),7.7853513)</f>
        <v>7.7853513</v>
      </c>
      <c r="D6319" s="7">
        <f>IFERROR(__xludf.DUMMYFUNCTION("""COMPUTED_VALUE"""),0.478260869565217)</f>
        <v>0.4782608696</v>
      </c>
    </row>
    <row r="6320">
      <c r="A6320" s="10" t="s">
        <v>7759</v>
      </c>
      <c r="B6320" s="7" t="str">
        <f>IFERROR(__xludf.DUMMYFUNCTION("SPLIT(A6320,"" "")"),"CN(C)Cc1ccc2cc(N(C)C3CCC(N(Cc4ccccn4)Cc4cccc(-c5cccc6c5OCCOCCOCCOCCOCCO6)n4)CC3)ccc2n1")</f>
        <v>CN(C)Cc1ccc2cc(N(C)C3CCC(N(Cc4ccccn4)Cc4cccc(-c5cccc6c5OCCOCCOCCOCCOCCO6)n4)CC3)ccc2n1</v>
      </c>
      <c r="C6320" s="7">
        <f>IFERROR(__xludf.DUMMYFUNCTION("""COMPUTED_VALUE"""),7.7853494)</f>
        <v>7.7853494</v>
      </c>
      <c r="D6320" s="7">
        <f>IFERROR(__xludf.DUMMYFUNCTION("""COMPUTED_VALUE"""),0.333333333333333)</f>
        <v>0.3333333333</v>
      </c>
    </row>
    <row r="6321">
      <c r="A6321" s="10" t="s">
        <v>7760</v>
      </c>
      <c r="B6321" s="7" t="str">
        <f>IFERROR(__xludf.DUMMYFUNCTION("SPLIT(A6321,"" "")"),"Cc1cnc(CN(C)CCN(C)CC2=CCC=CN2)c(C)c1C")</f>
        <v>Cc1cnc(CN(C)CCN(C)CC2=CCC=CN2)c(C)c1C</v>
      </c>
      <c r="C6321" s="7">
        <f>IFERROR(__xludf.DUMMYFUNCTION("""COMPUTED_VALUE"""),7.785348)</f>
        <v>7.785348</v>
      </c>
      <c r="D6321" s="7">
        <f>IFERROR(__xludf.DUMMYFUNCTION("""COMPUTED_VALUE"""),0.415094339622641)</f>
        <v>0.4150943396</v>
      </c>
    </row>
    <row r="6322">
      <c r="A6322" s="10" t="s">
        <v>7761</v>
      </c>
      <c r="B6322" s="7" t="str">
        <f>IFERROR(__xludf.DUMMYFUNCTION("SPLIT(A6322,"" "")"),"Cc1cnc(CN(C)CC2=CC(N(C)C(C)C)C=CN2)c(C)c1")</f>
        <v>Cc1cnc(CN(C)CC2=CC(N(C)C(C)C)C=CN2)c(C)c1</v>
      </c>
      <c r="C6322" s="7">
        <f>IFERROR(__xludf.DUMMYFUNCTION("""COMPUTED_VALUE"""),7.785339)</f>
        <v>7.785339</v>
      </c>
      <c r="D6322" s="7">
        <f>IFERROR(__xludf.DUMMYFUNCTION("""COMPUTED_VALUE"""),0.316666666666666)</f>
        <v>0.3166666667</v>
      </c>
    </row>
    <row r="6323">
      <c r="A6323" s="10" t="s">
        <v>7762</v>
      </c>
      <c r="B6323" s="7" t="str">
        <f>IFERROR(__xludf.DUMMYFUNCTION("SPLIT(A6323,"" "")"),"CN(CCF)C1CCCC(N(C)c2cccc3ncc(CF)cc23)C1")</f>
        <v>CN(CCF)C1CCCC(N(C)c2cccc3ncc(CF)cc23)C1</v>
      </c>
      <c r="C6323" s="7">
        <f>IFERROR(__xludf.DUMMYFUNCTION("""COMPUTED_VALUE"""),7.7853384)</f>
        <v>7.7853384</v>
      </c>
      <c r="D6323" s="7">
        <f>IFERROR(__xludf.DUMMYFUNCTION("""COMPUTED_VALUE"""),0.307692307692307)</f>
        <v>0.3076923077</v>
      </c>
    </row>
    <row r="6324">
      <c r="A6324" s="10" t="s">
        <v>7763</v>
      </c>
      <c r="B6324" s="7" t="str">
        <f>IFERROR(__xludf.DUMMYFUNCTION("SPLIT(A6324,"" "")"),"CN(C)Cc1cc2cccc(N(C)C3CCCCC3N(Cc3ccccn3)Cc3cccc(-c4ccc5c(c4)OCCOCCOCCOCCOCCO5)n3)c2cn1")</f>
        <v>CN(C)Cc1cc2cccc(N(C)C3CCCCC3N(Cc3ccccn3)Cc3cccc(-c4ccc5c(c4)OCCOCCOCCOCCOCCO5)n3)c2cn1</v>
      </c>
      <c r="C6324" s="7">
        <f>IFERROR(__xludf.DUMMYFUNCTION("""COMPUTED_VALUE"""),7.7853374)</f>
        <v>7.7853374</v>
      </c>
      <c r="D6324" s="7">
        <f>IFERROR(__xludf.DUMMYFUNCTION("""COMPUTED_VALUE"""),0.349397590361445)</f>
        <v>0.3493975904</v>
      </c>
    </row>
    <row r="6325">
      <c r="A6325" s="10" t="s">
        <v>7764</v>
      </c>
      <c r="B6325" s="7" t="str">
        <f>IFERROR(__xludf.DUMMYFUNCTION("SPLIT(A6325,"" "")"),"CC1CC(c2cccc(CN(C)C3CCCCC3N(C)Cc3ccc4ncccc4c3)n2)C1")</f>
        <v>CC1CC(c2cccc(CN(C)C3CCCCC3N(C)Cc3ccc4ncccc4c3)n2)C1</v>
      </c>
      <c r="C6325" s="7">
        <f>IFERROR(__xludf.DUMMYFUNCTION("""COMPUTED_VALUE"""),7.7853365)</f>
        <v>7.7853365</v>
      </c>
      <c r="D6325" s="7">
        <f>IFERROR(__xludf.DUMMYFUNCTION("""COMPUTED_VALUE"""),0.456140350877192)</f>
        <v>0.4561403509</v>
      </c>
    </row>
    <row r="6326">
      <c r="A6326" s="10" t="s">
        <v>7765</v>
      </c>
      <c r="B6326" s="7" t="str">
        <f>IFERROR(__xludf.DUMMYFUNCTION("SPLIT(A6326,"" "")"),"CC(C)N(C)c1ccccc1-c1ccncc1C(C)(C)N1CCN(C)CCN(C)CC1")</f>
        <v>CC(C)N(C)c1ccccc1-c1ccncc1C(C)(C)N1CCN(C)CCN(C)CC1</v>
      </c>
      <c r="C6326" s="7">
        <f>IFERROR(__xludf.DUMMYFUNCTION("""COMPUTED_VALUE"""),7.7853346)</f>
        <v>7.7853346</v>
      </c>
      <c r="D6326" s="7">
        <f>IFERROR(__xludf.DUMMYFUNCTION("""COMPUTED_VALUE"""),0.258620689655172)</f>
        <v>0.2586206897</v>
      </c>
    </row>
    <row r="6327">
      <c r="A6327" s="10" t="s">
        <v>7766</v>
      </c>
      <c r="B6327" s="7" t="str">
        <f>IFERROR(__xludf.DUMMYFUNCTION("SPLIT(A6327,"" "")"),"Cc1ccc(CN(C)C2=CNC(CN(C)C(C)C(C)N)=CC2)nc1")</f>
        <v>Cc1ccc(CN(C)C2=CNC(CN(C)C(C)C(C)N)=CC2)nc1</v>
      </c>
      <c r="C6327" s="7">
        <f>IFERROR(__xludf.DUMMYFUNCTION("""COMPUTED_VALUE"""),7.785334)</f>
        <v>7.785334</v>
      </c>
      <c r="D6327" s="7">
        <f>IFERROR(__xludf.DUMMYFUNCTION("""COMPUTED_VALUE"""),0.377358490566037)</f>
        <v>0.3773584906</v>
      </c>
    </row>
    <row r="6328">
      <c r="A6328" s="10" t="s">
        <v>7767</v>
      </c>
      <c r="B6328" s="7" t="str">
        <f>IFERROR(__xludf.DUMMYFUNCTION("SPLIT(A6328,"" "")"),"CC1CC(N)C1CN(Cc1ccccn1)C1CCCC(N(C)c2ccc3cc(CF)cnc3c2)C1")</f>
        <v>CC1CC(N)C1CN(Cc1ccccn1)C1CCCC(N(C)c2ccc3cc(CF)cnc3c2)C1</v>
      </c>
      <c r="C6328" s="7">
        <f>IFERROR(__xludf.DUMMYFUNCTION("""COMPUTED_VALUE"""),7.785332)</f>
        <v>7.785332</v>
      </c>
      <c r="D6328" s="7">
        <f>IFERROR(__xludf.DUMMYFUNCTION("""COMPUTED_VALUE"""),0.319444444444444)</f>
        <v>0.3194444444</v>
      </c>
    </row>
    <row r="6329">
      <c r="A6329" s="10" t="s">
        <v>7768</v>
      </c>
      <c r="B6329" s="7" t="str">
        <f>IFERROR(__xludf.DUMMYFUNCTION("SPLIT(A6329,"" "")"),"Cc1cnccc1CN(C)CCN(C(C)C)C(C)(N)N(CC1=CCC=CN1)Cc1ccccn1")</f>
        <v>Cc1cnccc1CN(C)CCN(C(C)C)C(C)(N)N(CC1=CCC=CN1)Cc1ccccn1</v>
      </c>
      <c r="C6329" s="7">
        <f>IFERROR(__xludf.DUMMYFUNCTION("""COMPUTED_VALUE"""),7.785326)</f>
        <v>7.785326</v>
      </c>
      <c r="D6329" s="7">
        <f>IFERROR(__xludf.DUMMYFUNCTION("""COMPUTED_VALUE"""),0.442857142857142)</f>
        <v>0.4428571429</v>
      </c>
    </row>
    <row r="6330">
      <c r="A6330" s="10" t="s">
        <v>7769</v>
      </c>
      <c r="B6330" s="7" t="str">
        <f>IFERROR(__xludf.DUMMYFUNCTION("SPLIT(A6330,"" "")"),"Cc1cccnc1CN(C)C1CCC(N(C)Cc2cccc(-c3ccccc3)n2)CC1")</f>
        <v>Cc1cccnc1CN(C)C1CCC(N(C)Cc2cccc(-c3ccccc3)n2)CC1</v>
      </c>
      <c r="C6330" s="7">
        <f>IFERROR(__xludf.DUMMYFUNCTION("""COMPUTED_VALUE"""),7.7853255)</f>
        <v>7.7853255</v>
      </c>
      <c r="D6330" s="7">
        <f>IFERROR(__xludf.DUMMYFUNCTION("""COMPUTED_VALUE"""),0.407407407407407)</f>
        <v>0.4074074074</v>
      </c>
    </row>
    <row r="6331">
      <c r="A6331" s="10" t="s">
        <v>7770</v>
      </c>
      <c r="B6331" s="7" t="str">
        <f>IFERROR(__xludf.DUMMYFUNCTION("SPLIT(A6331,"" "")"),"COC(=O)C1CN(C)C(c2ccc(CN3CCN(C)CCN(C)CC3)cn2)C(c2cc(C)c(C)c(C)n2)C1c1ccccn1")</f>
        <v>COC(=O)C1CN(C)C(c2ccc(CN3CCN(C)CCN(C)CC3)cn2)C(c2cc(C)c(C)c(C)n2)C1c1ccccn1</v>
      </c>
      <c r="C6331" s="7">
        <f>IFERROR(__xludf.DUMMYFUNCTION("""COMPUTED_VALUE"""),7.785324)</f>
        <v>7.785324</v>
      </c>
      <c r="D6331" s="7">
        <f>IFERROR(__xludf.DUMMYFUNCTION("""COMPUTED_VALUE"""),0.315068493150684)</f>
        <v>0.3150684932</v>
      </c>
    </row>
    <row r="6332">
      <c r="A6332" s="10" t="s">
        <v>7771</v>
      </c>
      <c r="B6332" s="7" t="str">
        <f>IFERROR(__xludf.DUMMYFUNCTION("SPLIT(A6332,"" "")"),"CN(C)c1cccc(-c2cccc(CN(Cc3cccc(-c4ccc5c(c4)OCCOCCOCCOCCOCCO5)n3)Cc3cccc(-c4ccc5c(c4)OCCOCCOCCOCCOCCO5)n3)n2)c1")</f>
        <v>CN(C)c1cccc(-c2cccc(CN(Cc3cccc(-c4ccc5c(c4)OCCOCCOCCOCCOCCO5)n3)Cc3cccc(-c4ccc5c(c4)OCCOCCOCCOCCOCCO5)n3)n2)c1</v>
      </c>
      <c r="C6332" s="7">
        <f>IFERROR(__xludf.DUMMYFUNCTION("""COMPUTED_VALUE"""),7.7853127)</f>
        <v>7.7853127</v>
      </c>
      <c r="D6332" s="7">
        <f>IFERROR(__xludf.DUMMYFUNCTION("""COMPUTED_VALUE"""),0.403225806451612)</f>
        <v>0.4032258065</v>
      </c>
    </row>
    <row r="6333">
      <c r="A6333" s="10" t="s">
        <v>7772</v>
      </c>
      <c r="B6333" s="7" t="str">
        <f>IFERROR(__xludf.DUMMYFUNCTION("SPLIT(A6333,"" "")"),"Cc1cccc(CNCCN(C)Cc2ncccc2C)n1")</f>
        <v>Cc1cccc(CNCCN(C)Cc2ncccc2C)n1</v>
      </c>
      <c r="C6333" s="7">
        <f>IFERROR(__xludf.DUMMYFUNCTION("""COMPUTED_VALUE"""),7.7853093)</f>
        <v>7.7853093</v>
      </c>
      <c r="D6333" s="7">
        <f>IFERROR(__xludf.DUMMYFUNCTION("""COMPUTED_VALUE"""),0.488888888888888)</f>
        <v>0.4888888889</v>
      </c>
    </row>
    <row r="6334">
      <c r="A6334" s="10" t="s">
        <v>7773</v>
      </c>
      <c r="B6334" s="7" t="str">
        <f>IFERROR(__xludf.DUMMYFUNCTION("SPLIT(A6334,"" "")"),"CCOC(=O)C(C)NCc1cc(C(C)NCc2ccccn2)ccn1")</f>
        <v>CCOC(=O)C(C)NCc1cc(C(C)NCc2ccccn2)ccn1</v>
      </c>
      <c r="C6334" s="7">
        <f>IFERROR(__xludf.DUMMYFUNCTION("""COMPUTED_VALUE"""),7.7853026)</f>
        <v>7.7853026</v>
      </c>
      <c r="D6334" s="7">
        <f>IFERROR(__xludf.DUMMYFUNCTION("""COMPUTED_VALUE"""),0.34)</f>
        <v>0.34</v>
      </c>
    </row>
    <row r="6335">
      <c r="A6335" s="10" t="s">
        <v>7774</v>
      </c>
      <c r="B6335" s="7" t="str">
        <f>IFERROR(__xludf.DUMMYFUNCTION("SPLIT(A6335,"" "")"),"CN1CCN(C)CCN(Cc2cncc(-c3c(N)cccc3Cl)c2)CC1")</f>
        <v>CN1CCN(C)CCN(Cc2cncc(-c3c(N)cccc3Cl)c2)CC1</v>
      </c>
      <c r="C6335" s="7">
        <f>IFERROR(__xludf.DUMMYFUNCTION("""COMPUTED_VALUE"""),7.785302)</f>
        <v>7.785302</v>
      </c>
      <c r="D6335" s="7">
        <f>IFERROR(__xludf.DUMMYFUNCTION("""COMPUTED_VALUE"""),0.411764705882352)</f>
        <v>0.4117647059</v>
      </c>
    </row>
    <row r="6336">
      <c r="A6336" s="10" t="s">
        <v>7775</v>
      </c>
      <c r="B6336" s="7" t="str">
        <f>IFERROR(__xludf.DUMMYFUNCTION("SPLIT(A6336,"" "")"),"CCN(Cc1ccccn1)Cc1ccc2cccc(N(Cc3ccccn3)C3CCCCC3N(C)Cc3ncccc3-c3ccc4c(c3)OCCOCCOCCOCCOCCO4)c2n1")</f>
        <v>CCN(Cc1ccccn1)Cc1ccc2cccc(N(Cc3ccccn3)C3CCCCC3N(C)Cc3ncccc3-c3ccc4c(c3)OCCOCCOCCOCCOCCO4)c2n1</v>
      </c>
      <c r="C6336" s="7">
        <f>IFERROR(__xludf.DUMMYFUNCTION("""COMPUTED_VALUE"""),7.7852964)</f>
        <v>7.7852964</v>
      </c>
      <c r="D6336" s="7">
        <f>IFERROR(__xludf.DUMMYFUNCTION("""COMPUTED_VALUE"""),0.371794871794871)</f>
        <v>0.3717948718</v>
      </c>
    </row>
    <row r="6337">
      <c r="A6337" s="10" t="s">
        <v>7776</v>
      </c>
      <c r="B6337" s="7" t="str">
        <f>IFERROR(__xludf.DUMMYFUNCTION("SPLIT(A6337,"" "")"),"Cc1ccncc1C(C)(C)N(C)CCN(C)C")</f>
        <v>Cc1ccncc1C(C)(C)N(C)CCN(C)C</v>
      </c>
      <c r="C6337" s="7">
        <f>IFERROR(__xludf.DUMMYFUNCTION("""COMPUTED_VALUE"""),7.7852936)</f>
        <v>7.7852936</v>
      </c>
      <c r="D6337" s="7">
        <f>IFERROR(__xludf.DUMMYFUNCTION("""COMPUTED_VALUE"""),0.288888888888888)</f>
        <v>0.2888888889</v>
      </c>
    </row>
    <row r="6338">
      <c r="A6338" s="10" t="s">
        <v>7777</v>
      </c>
      <c r="B6338" s="7" t="str">
        <f>IFERROR(__xludf.DUMMYFUNCTION("SPLIT(A6338,"" "")"),"CC(C)N(C)CC1=CCC(N(Cc2ccccn2)C(C)C)=CN1")</f>
        <v>CC(C)N(C)CC1=CCC(N(Cc2ccccn2)C(C)C)=CN1</v>
      </c>
      <c r="C6338" s="7">
        <f>IFERROR(__xludf.DUMMYFUNCTION("""COMPUTED_VALUE"""),7.7852883)</f>
        <v>7.7852883</v>
      </c>
      <c r="D6338" s="7">
        <f>IFERROR(__xludf.DUMMYFUNCTION("""COMPUTED_VALUE"""),0.428571428571428)</f>
        <v>0.4285714286</v>
      </c>
    </row>
    <row r="6339">
      <c r="A6339" s="10" t="s">
        <v>7778</v>
      </c>
      <c r="B6339" s="7" t="str">
        <f>IFERROR(__xludf.DUMMYFUNCTION("SPLIT(A6339,"" "")"),"Cc1ncc(-c2cccc(N)c2N)cc1CN1CCN(C)CCN(C)CC1")</f>
        <v>Cc1ncc(-c2cccc(N)c2N)cc1CN1CCN(C)CCN(C)CC1</v>
      </c>
      <c r="C6339" s="7">
        <f>IFERROR(__xludf.DUMMYFUNCTION("""COMPUTED_VALUE"""),7.7852626)</f>
        <v>7.7852626</v>
      </c>
      <c r="D6339" s="7">
        <f>IFERROR(__xludf.DUMMYFUNCTION("""COMPUTED_VALUE"""),0.384615384615384)</f>
        <v>0.3846153846</v>
      </c>
    </row>
    <row r="6340">
      <c r="A6340" s="10" t="s">
        <v>7779</v>
      </c>
      <c r="B6340" s="7" t="str">
        <f>IFERROR(__xludf.DUMMYFUNCTION("SPLIT(A6340,"" "")"),"CNCc1cc(-c2cc(-c3ccc4c(c3)OCCOCCOCCOCCOCCO4)ccn2)ccn1")</f>
        <v>CNCc1cc(-c2cc(-c3ccc4c(c3)OCCOCCOCCOCCOCCO4)ccn2)ccn1</v>
      </c>
      <c r="C6340" s="7">
        <f>IFERROR(__xludf.DUMMYFUNCTION("""COMPUTED_VALUE"""),7.785254)</f>
        <v>7.785254</v>
      </c>
      <c r="D6340" s="7">
        <f>IFERROR(__xludf.DUMMYFUNCTION("""COMPUTED_VALUE"""),0.403225806451612)</f>
        <v>0.4032258065</v>
      </c>
    </row>
    <row r="6341">
      <c r="A6341" s="10" t="s">
        <v>7780</v>
      </c>
      <c r="B6341" s="7" t="str">
        <f>IFERROR(__xludf.DUMMYFUNCTION("SPLIT(A6341,"" "")"),"Cc1nc(CN(Cc2ccccn2)C2CCCCC2N(Cc2ccccn2)Cc2cccc(CF)n2)c(C)c(C)c1C")</f>
        <v>Cc1nc(CN(Cc2ccccn2)C2CCCCC2N(Cc2ccccn2)Cc2cccc(CF)n2)c(C)c(C)c1C</v>
      </c>
      <c r="C6341" s="7">
        <f>IFERROR(__xludf.DUMMYFUNCTION("""COMPUTED_VALUE"""),7.7852516)</f>
        <v>7.7852516</v>
      </c>
      <c r="D6341" s="7">
        <f>IFERROR(__xludf.DUMMYFUNCTION("""COMPUTED_VALUE"""),0.462962962962962)</f>
        <v>0.462962963</v>
      </c>
    </row>
    <row r="6342">
      <c r="A6342" s="10" t="s">
        <v>7781</v>
      </c>
      <c r="B6342" s="7" t="str">
        <f>IFERROR(__xludf.DUMMYFUNCTION("SPLIT(A6342,"" "")"),"COCc1cccc(-c2cccc(CN(Cc3ccccn3)C3CCCCC3)n2)n1")</f>
        <v>COCc1cccc(-c2cccc(CN(Cc3ccccn3)C3CCCCC3)n2)n1</v>
      </c>
      <c r="C6342" s="7">
        <f>IFERROR(__xludf.DUMMYFUNCTION("""COMPUTED_VALUE"""),7.7852507)</f>
        <v>7.7852507</v>
      </c>
      <c r="D6342" s="7">
        <f>IFERROR(__xludf.DUMMYFUNCTION("""COMPUTED_VALUE"""),0.5)</f>
        <v>0.5</v>
      </c>
    </row>
    <row r="6343">
      <c r="A6343" s="10" t="s">
        <v>7782</v>
      </c>
      <c r="B6343" s="7" t="str">
        <f>IFERROR(__xludf.DUMMYFUNCTION("SPLIT(A6343,"" "")"),"CN(CCNc1ccc2nc(CF)ccc2c1)Cc1cccc(-c2ccc3c(c2)OCCOCCOCCOCCOCCO3)n1")</f>
        <v>CN(CCNc1ccc2nc(CF)ccc2c1)Cc1cccc(-c2ccc3c(c2)OCCOCCOCCOCCOCCO3)n1</v>
      </c>
      <c r="C6343" s="7">
        <f>IFERROR(__xludf.DUMMYFUNCTION("""COMPUTED_VALUE"""),7.785249)</f>
        <v>7.785249</v>
      </c>
      <c r="D6343" s="7">
        <f>IFERROR(__xludf.DUMMYFUNCTION("""COMPUTED_VALUE"""),0.3)</f>
        <v>0.3</v>
      </c>
    </row>
    <row r="6344">
      <c r="A6344" s="10" t="s">
        <v>7783</v>
      </c>
      <c r="B6344" s="7" t="str">
        <f>IFERROR(__xludf.DUMMYFUNCTION("SPLIT(A6344,"" "")"),"Cc1ccc(CN(C)C2CC(N(C)Cc3ccccn3)CC(N(Cc3ccc(C)nc3)Cc3ncccc3C)C2)nc1")</f>
        <v>Cc1ccc(CN(C)C2CC(N(C)Cc3ccccn3)CC(N(Cc3ccc(C)nc3)Cc3ncccc3C)C2)nc1</v>
      </c>
      <c r="C6344" s="7">
        <f>IFERROR(__xludf.DUMMYFUNCTION("""COMPUTED_VALUE"""),7.7852407)</f>
        <v>7.7852407</v>
      </c>
      <c r="D6344" s="7">
        <f>IFERROR(__xludf.DUMMYFUNCTION("""COMPUTED_VALUE"""),0.387096774193548)</f>
        <v>0.3870967742</v>
      </c>
    </row>
    <row r="6345">
      <c r="A6345" s="10" t="s">
        <v>7784</v>
      </c>
      <c r="B6345" s="7" t="str">
        <f>IFERROR(__xludf.DUMMYFUNCTION("SPLIT(A6345,"" "")"),"CC(C)C(C)c1cccc(CN(Cc2cc(C(C)(C)C)ccn2)CC(C)(C)C)n1")</f>
        <v>CC(C)C(C)c1cccc(CN(Cc2cc(C(C)(C)C)ccn2)CC(C)(C)C)n1</v>
      </c>
      <c r="C6345" s="7">
        <f>IFERROR(__xludf.DUMMYFUNCTION("""COMPUTED_VALUE"""),7.78523)</f>
        <v>7.78523</v>
      </c>
      <c r="D6345" s="7">
        <f>IFERROR(__xludf.DUMMYFUNCTION("""COMPUTED_VALUE"""),0.431372549019607)</f>
        <v>0.431372549</v>
      </c>
    </row>
    <row r="6346">
      <c r="A6346" s="10" t="s">
        <v>7785</v>
      </c>
      <c r="B6346" s="7" t="str">
        <f>IFERROR(__xludf.DUMMYFUNCTION("SPLIT(A6346,"" "")"),"CC(c1ccccn1)(c1ccccn1)c1cccc(CN(Cc2ccccn2)c2ccc3c(c2)OCCOCCOCCOCCOCCO3)n1")</f>
        <v>CC(c1ccccn1)(c1ccccn1)c1cccc(CN(Cc2ccccn2)c2ccc3c(c2)OCCOCCOCCOCCOCCO3)n1</v>
      </c>
      <c r="C6346" s="7">
        <f>IFERROR(__xludf.DUMMYFUNCTION("""COMPUTED_VALUE"""),7.785227)</f>
        <v>7.785227</v>
      </c>
      <c r="D6346" s="7">
        <f>IFERROR(__xludf.DUMMYFUNCTION("""COMPUTED_VALUE"""),0.369230769230769)</f>
        <v>0.3692307692</v>
      </c>
    </row>
    <row r="6347">
      <c r="A6347" s="10" t="s">
        <v>7786</v>
      </c>
      <c r="B6347" s="7" t="str">
        <f>IFERROR(__xludf.DUMMYFUNCTION("SPLIT(A6347,"" "")"),"CN(CCNc1ccc2ncccc2c1)Cc1cc(-c2ccc3c(c2)OCCOCCOCCOCCOCCO3)ccn1")</f>
        <v>CN(CCNc1ccc2ncccc2c1)Cc1cc(-c2ccc3c(c2)OCCOCCOCCOCCOCCO3)ccn1</v>
      </c>
      <c r="C6347" s="7">
        <f>IFERROR(__xludf.DUMMYFUNCTION("""COMPUTED_VALUE"""),7.7852097)</f>
        <v>7.7852097</v>
      </c>
      <c r="D6347" s="7">
        <f>IFERROR(__xludf.DUMMYFUNCTION("""COMPUTED_VALUE"""),0.324675324675324)</f>
        <v>0.3246753247</v>
      </c>
    </row>
    <row r="6348">
      <c r="A6348" s="10" t="s">
        <v>7787</v>
      </c>
      <c r="B6348" s="7" t="str">
        <f>IFERROR(__xludf.DUMMYFUNCTION("SPLIT(A6348,"" "")"),"Cc1ccnc(CN(Cc2ncccc2C(C)C(C)C)C(C)C)c1")</f>
        <v>Cc1ccnc(CN(Cc2ncccc2C(C)C(C)C)C(C)C)c1</v>
      </c>
      <c r="C6348" s="7">
        <f>IFERROR(__xludf.DUMMYFUNCTION("""COMPUTED_VALUE"""),7.7852097)</f>
        <v>7.7852097</v>
      </c>
      <c r="D6348" s="7">
        <f>IFERROR(__xludf.DUMMYFUNCTION("""COMPUTED_VALUE"""),0.456521739130434)</f>
        <v>0.4565217391</v>
      </c>
    </row>
    <row r="6349">
      <c r="A6349" s="10" t="s">
        <v>7788</v>
      </c>
      <c r="B6349" s="7" t="str">
        <f>IFERROR(__xludf.DUMMYFUNCTION("SPLIT(A6349,"" "")"),"CC(C)C(C)N(C)Cc1cccc(-c2ccccc2N(C)Cc2cccc(-c3cccc4c3OCCOCCOCCOCCOCCO4)n2)n1")</f>
        <v>CC(C)C(C)N(C)Cc1cccc(-c2ccccc2N(C)Cc2cccc(-c3cccc4c3OCCOCCOCCOCCOCCO4)n2)n1</v>
      </c>
      <c r="C6349" s="7">
        <f>IFERROR(__xludf.DUMMYFUNCTION("""COMPUTED_VALUE"""),7.7852)</f>
        <v>7.7852</v>
      </c>
      <c r="D6349" s="7">
        <f>IFERROR(__xludf.DUMMYFUNCTION("""COMPUTED_VALUE"""),0.287878787878787)</f>
        <v>0.2878787879</v>
      </c>
    </row>
    <row r="6350">
      <c r="A6350" s="10" t="s">
        <v>7789</v>
      </c>
      <c r="B6350" s="7" t="str">
        <f>IFERROR(__xludf.DUMMYFUNCTION("SPLIT(A6350,"" "")"),"CC(C)C1=CC2(C=CN1)C(N(C)Cc1ccccn1)=CCC(C)C2C")</f>
        <v>CC(C)C1=CC2(C=CN1)C(N(C)Cc1ccccn1)=CCC(C)C2C</v>
      </c>
      <c r="C6350" s="7">
        <f>IFERROR(__xludf.DUMMYFUNCTION("""COMPUTED_VALUE"""),7.785198)</f>
        <v>7.785198</v>
      </c>
      <c r="D6350" s="7">
        <f>IFERROR(__xludf.DUMMYFUNCTION("""COMPUTED_VALUE"""),0.35)</f>
        <v>0.35</v>
      </c>
    </row>
    <row r="6351">
      <c r="A6351" s="10" t="s">
        <v>7790</v>
      </c>
      <c r="B6351" s="7" t="str">
        <f>IFERROR(__xludf.DUMMYFUNCTION("SPLIT(A6351,"" "")"),"Cc1ccnc(CN(C)CCN(C(C)C)C(C)C)c1")</f>
        <v>Cc1ccnc(CN(C)CCN(C(C)C)C(C)C)c1</v>
      </c>
      <c r="C6351" s="7">
        <f>IFERROR(__xludf.DUMMYFUNCTION("""COMPUTED_VALUE"""),7.7851963)</f>
        <v>7.7851963</v>
      </c>
      <c r="D6351" s="7">
        <f>IFERROR(__xludf.DUMMYFUNCTION("""COMPUTED_VALUE"""),0.45)</f>
        <v>0.45</v>
      </c>
    </row>
    <row r="6352">
      <c r="A6352" s="10" t="s">
        <v>7791</v>
      </c>
      <c r="B6352" s="7" t="str">
        <f>IFERROR(__xludf.DUMMYFUNCTION("SPLIT(A6352,"" "")"),"CN(Cc1ccccn1)Cc1cccc(N(C)Cc2cc(-c3ccc4c(c3)OCCOCCOCCOCCOCCO4)ccn2)n1")</f>
        <v>CN(Cc1ccccn1)Cc1cccc(N(C)Cc2cc(-c3ccc4c(c3)OCCOCCOCCOCCOCCO4)ccn2)n1</v>
      </c>
      <c r="C6352" s="7">
        <f>IFERROR(__xludf.DUMMYFUNCTION("""COMPUTED_VALUE"""),7.785194)</f>
        <v>7.785194</v>
      </c>
      <c r="D6352" s="7">
        <f>IFERROR(__xludf.DUMMYFUNCTION("""COMPUTED_VALUE"""),0.416666666666666)</f>
        <v>0.4166666667</v>
      </c>
    </row>
    <row r="6353">
      <c r="A6353" s="10" t="s">
        <v>7792</v>
      </c>
      <c r="B6353" s="7" t="str">
        <f>IFERROR(__xludf.DUMMYFUNCTION("SPLIT(A6353,"" "")"),"CNc1cncc(CN(Cc2ccccn2)C2CCC(N(C)Cc3nc(C)c(C)c(C)c3C)CC2)c1")</f>
        <v>CNc1cncc(CN(Cc2ccccn2)C2CCC(N(C)Cc3nc(C)c(C)c(C)c3C)CC2)c1</v>
      </c>
      <c r="C6353" s="7">
        <f>IFERROR(__xludf.DUMMYFUNCTION("""COMPUTED_VALUE"""),7.785187)</f>
        <v>7.785187</v>
      </c>
      <c r="D6353" s="7">
        <f>IFERROR(__xludf.DUMMYFUNCTION("""COMPUTED_VALUE"""),0.348484848484848)</f>
        <v>0.3484848485</v>
      </c>
    </row>
    <row r="6354">
      <c r="A6354" s="10" t="s">
        <v>7793</v>
      </c>
      <c r="B6354" s="7" t="str">
        <f>IFERROR(__xludf.DUMMYFUNCTION("SPLIT(A6354,"" "")"),"Cc1ccnc2c(N(C)CCN3CCN(C)CCN(C)CC3)cccc12")</f>
        <v>Cc1ccnc2c(N(C)CCN3CCN(C)CCN(C)CC3)cccc12</v>
      </c>
      <c r="C6354" s="7">
        <f>IFERROR(__xludf.DUMMYFUNCTION("""COMPUTED_VALUE"""),7.7851768)</f>
        <v>7.7851768</v>
      </c>
      <c r="D6354" s="7">
        <f>IFERROR(__xludf.DUMMYFUNCTION("""COMPUTED_VALUE"""),0.416666666666666)</f>
        <v>0.4166666667</v>
      </c>
    </row>
    <row r="6355">
      <c r="A6355" s="10" t="s">
        <v>7794</v>
      </c>
      <c r="B6355" s="7" t="str">
        <f>IFERROR(__xludf.DUMMYFUNCTION("SPLIT(A6355,"" "")"),"Cc1cccnc1CN(C)C1=CC(C)CC(C)C1C")</f>
        <v>Cc1cccnc1CN(C)C1=CC(C)CC(C)C1C</v>
      </c>
      <c r="C6355" s="7">
        <f>IFERROR(__xludf.DUMMYFUNCTION("""COMPUTED_VALUE"""),7.7851763)</f>
        <v>7.7851763</v>
      </c>
      <c r="D6355" s="7">
        <f>IFERROR(__xludf.DUMMYFUNCTION("""COMPUTED_VALUE"""),0.277777777777777)</f>
        <v>0.2777777778</v>
      </c>
    </row>
    <row r="6356">
      <c r="A6356" s="10" t="s">
        <v>7795</v>
      </c>
      <c r="B6356" s="7" t="str">
        <f>IFERROR(__xludf.DUMMYFUNCTION("SPLIT(A6356,"" "")"),"C#CCN(C)Cc1cc(C(C)(C)c2ccccn2)ccn1")</f>
        <v>C#CCN(C)Cc1cc(C(C)(C)c2ccccn2)ccn1</v>
      </c>
      <c r="C6356" s="7">
        <f>IFERROR(__xludf.DUMMYFUNCTION("""COMPUTED_VALUE"""),7.785173)</f>
        <v>7.785173</v>
      </c>
      <c r="D6356" s="7">
        <f>IFERROR(__xludf.DUMMYFUNCTION("""COMPUTED_VALUE"""),0.366666666666666)</f>
        <v>0.3666666667</v>
      </c>
    </row>
    <row r="6357">
      <c r="A6357" s="10" t="s">
        <v>7796</v>
      </c>
      <c r="B6357" s="7" t="str">
        <f>IFERROR(__xludf.DUMMYFUNCTION("SPLIT(A6357,"" "")"),"C=CCN(C)CCN(C)C(c1ccccn1)c1ccccn1")</f>
        <v>C=CCN(C)CCN(C)C(c1ccccn1)c1ccccn1</v>
      </c>
      <c r="C6357" s="7">
        <f>IFERROR(__xludf.DUMMYFUNCTION("""COMPUTED_VALUE"""),7.7851634)</f>
        <v>7.7851634</v>
      </c>
      <c r="D6357" s="7">
        <f>IFERROR(__xludf.DUMMYFUNCTION("""COMPUTED_VALUE"""),0.38)</f>
        <v>0.38</v>
      </c>
    </row>
    <row r="6358">
      <c r="A6358" s="10" t="s">
        <v>7797</v>
      </c>
      <c r="B6358" s="7" t="str">
        <f>IFERROR(__xludf.DUMMYFUNCTION("SPLIT(A6358,"" "")"),"CN1CCN(C)CCN(Cc2ccc(-c3ccc(Cl)c(Cl)c3)nc2)CC1")</f>
        <v>CN1CCN(C)CCN(Cc2ccc(-c3ccc(Cl)c(Cl)c3)nc2)CC1</v>
      </c>
      <c r="C6358" s="7">
        <f>IFERROR(__xludf.DUMMYFUNCTION("""COMPUTED_VALUE"""),7.7851524)</f>
        <v>7.7851524</v>
      </c>
      <c r="D6358" s="7">
        <f>IFERROR(__xludf.DUMMYFUNCTION("""COMPUTED_VALUE"""),0.38)</f>
        <v>0.38</v>
      </c>
    </row>
    <row r="6359">
      <c r="A6359" s="10" t="s">
        <v>7798</v>
      </c>
      <c r="B6359" s="7" t="str">
        <f>IFERROR(__xludf.DUMMYFUNCTION("SPLIT(A6359,"" "")"),"CNCc1ccon1")</f>
        <v>CNCc1ccon1</v>
      </c>
      <c r="C6359" s="7">
        <f>IFERROR(__xludf.DUMMYFUNCTION("""COMPUTED_VALUE"""),7.7851443)</f>
        <v>7.7851443</v>
      </c>
      <c r="D6359" s="7">
        <f>IFERROR(__xludf.DUMMYFUNCTION("""COMPUTED_VALUE"""),0.483870967741935)</f>
        <v>0.4838709677</v>
      </c>
    </row>
    <row r="6360">
      <c r="A6360" s="10" t="s">
        <v>7799</v>
      </c>
      <c r="B6360" s="7" t="str">
        <f>IFERROR(__xludf.DUMMYFUNCTION("SPLIT(A6360,"" "")"),"CC1=CC(C)C(CN(C)Cc2cc(C(C)(C)c3ccccn3)ccn2)C(C)C1")</f>
        <v>CC1=CC(C)C(CN(C)Cc2cc(C(C)(C)c3ccccn3)ccn2)C(C)C1</v>
      </c>
      <c r="C6360" s="7">
        <f>IFERROR(__xludf.DUMMYFUNCTION("""COMPUTED_VALUE"""),7.785143)</f>
        <v>7.785143</v>
      </c>
      <c r="D6360" s="7">
        <f>IFERROR(__xludf.DUMMYFUNCTION("""COMPUTED_VALUE"""),0.333333333333333)</f>
        <v>0.3333333333</v>
      </c>
    </row>
    <row r="6361">
      <c r="A6361" s="10" t="s">
        <v>7800</v>
      </c>
      <c r="B6361" s="7" t="str">
        <f>IFERROR(__xludf.DUMMYFUNCTION("SPLIT(A6361,"" "")"),"CN1CCN(C)CCN(Cc2cccnc2-c2cc(N)cc(Cl)c2)CC1")</f>
        <v>CN1CCN(C)CCN(Cc2cccnc2-c2cc(N)cc(Cl)c2)CC1</v>
      </c>
      <c r="C6361" s="7">
        <f>IFERROR(__xludf.DUMMYFUNCTION("""COMPUTED_VALUE"""),7.7851343)</f>
        <v>7.7851343</v>
      </c>
      <c r="D6361" s="7">
        <f>IFERROR(__xludf.DUMMYFUNCTION("""COMPUTED_VALUE"""),0.42)</f>
        <v>0.42</v>
      </c>
    </row>
    <row r="6362">
      <c r="A6362" s="10" t="s">
        <v>7801</v>
      </c>
      <c r="B6362" s="7" t="str">
        <f>IFERROR(__xludf.DUMMYFUNCTION("SPLIT(A6362,"" "")"),"CN1CCN(C)CCN(Cc2cncc(-c3cccc(N(C)C)c3)c2)CC1")</f>
        <v>CN1CCN(C)CCN(Cc2cncc(-c3cccc(N(C)C)c3)c2)CC1</v>
      </c>
      <c r="C6362" s="7">
        <f>IFERROR(__xludf.DUMMYFUNCTION("""COMPUTED_VALUE"""),7.785132)</f>
        <v>7.785132</v>
      </c>
      <c r="D6362" s="7">
        <f>IFERROR(__xludf.DUMMYFUNCTION("""COMPUTED_VALUE"""),0.372549019607843)</f>
        <v>0.3725490196</v>
      </c>
    </row>
    <row r="6363">
      <c r="A6363" s="10" t="s">
        <v>7802</v>
      </c>
      <c r="B6363" s="7" t="str">
        <f>IFERROR(__xludf.DUMMYFUNCTION("SPLIT(A6363,"" "")"),"Cc1cccc(CN(Cc2cccc(-c3ccc4c(c3)OCCOCCOCCOCCOCCO4)n2)Cc2nc(C)c(C)n2C)n1")</f>
        <v>Cc1cccc(CN(Cc2cccc(-c3ccc4c(c3)OCCOCCOCCOCCOCCO4)n2)Cc2nc(C)c(C)n2C)n1</v>
      </c>
      <c r="C6363" s="7">
        <f>IFERROR(__xludf.DUMMYFUNCTION("""COMPUTED_VALUE"""),7.7851305)</f>
        <v>7.7851305</v>
      </c>
      <c r="D6363" s="7">
        <f>IFERROR(__xludf.DUMMYFUNCTION("""COMPUTED_VALUE"""),0.333333333333333)</f>
        <v>0.3333333333</v>
      </c>
    </row>
    <row r="6364">
      <c r="A6364" s="10" t="s">
        <v>7803</v>
      </c>
      <c r="B6364" s="7" t="str">
        <f>IFERROR(__xludf.DUMMYFUNCTION("SPLIT(A6364,"" "")"),"Cc1nc(CN(C)C2CCCCC2N(C)Cc2nc(C)c(C)c(C)c2C)c(C)c(C)c1C")</f>
        <v>Cc1nc(CN(C)C2CCCCC2N(C)Cc2nc(C)c(C)c(C)c2C)c(C)c(C)c1C</v>
      </c>
      <c r="C6364" s="7">
        <f>IFERROR(__xludf.DUMMYFUNCTION("""COMPUTED_VALUE"""),7.7851305)</f>
        <v>7.7851305</v>
      </c>
      <c r="D6364" s="7">
        <f>IFERROR(__xludf.DUMMYFUNCTION("""COMPUTED_VALUE"""),0.463414634146341)</f>
        <v>0.4634146341</v>
      </c>
    </row>
    <row r="6365">
      <c r="A6365" s="10" t="s">
        <v>7804</v>
      </c>
      <c r="B6365" s="7" t="str">
        <f>IFERROR(__xludf.DUMMYFUNCTION("SPLIT(A6365,"" "")"),"Cc1cccc(CN(Cc2cccc(CN(C)Cc3ncccc3C)n2)Cc2cccc(-c3cccc4c3OCCOCCOCCOCCOCCO4)n2)n1")</f>
        <v>Cc1cccc(CN(Cc2cccc(CN(C)Cc3ncccc3C)n2)Cc2cccc(-c3cccc4c3OCCOCCOCCOCCOCCO4)n2)n1</v>
      </c>
      <c r="C6365" s="7">
        <f>IFERROR(__xludf.DUMMYFUNCTION("""COMPUTED_VALUE"""),7.785129)</f>
        <v>7.785129</v>
      </c>
      <c r="D6365" s="7">
        <f>IFERROR(__xludf.DUMMYFUNCTION("""COMPUTED_VALUE"""),0.35820895522388)</f>
        <v>0.3582089552</v>
      </c>
    </row>
    <row r="6366">
      <c r="A6366" s="10" t="s">
        <v>7805</v>
      </c>
      <c r="B6366" s="7" t="str">
        <f>IFERROR(__xludf.DUMMYFUNCTION("SPLIT(A6366,"" "")"),"Cc1cccc(CN(C)C2CCC(N(Cc3ccccn3)Cc3cc(C)c(C)c(C)n3)CC2N(C)Cc2ccccn2)n1")</f>
        <v>Cc1cccc(CN(C)C2CCC(N(Cc3ccccn3)Cc3cc(C)c(C)c(C)n3)CC2N(C)Cc2ccccn2)n1</v>
      </c>
      <c r="C6366" s="7">
        <f>IFERROR(__xludf.DUMMYFUNCTION("""COMPUTED_VALUE"""),7.7851286)</f>
        <v>7.7851286</v>
      </c>
      <c r="D6366" s="7">
        <f>IFERROR(__xludf.DUMMYFUNCTION("""COMPUTED_VALUE"""),0.482758620689655)</f>
        <v>0.4827586207</v>
      </c>
    </row>
    <row r="6367">
      <c r="A6367" s="10" t="s">
        <v>7806</v>
      </c>
      <c r="B6367" s="7" t="str">
        <f>IFERROR(__xludf.DUMMYFUNCTION("SPLIT(A6367,"" "")"),"Cc1cccc(CN(C)C2C=CNC(C(C)C)=C2)n1")</f>
        <v>Cc1cccc(CN(C)C2C=CNC(C(C)C)=C2)n1</v>
      </c>
      <c r="C6367" s="7">
        <f>IFERROR(__xludf.DUMMYFUNCTION("""COMPUTED_VALUE"""),7.785125)</f>
        <v>7.785125</v>
      </c>
      <c r="D6367" s="7">
        <f>IFERROR(__xludf.DUMMYFUNCTION("""COMPUTED_VALUE"""),0.46938775510204)</f>
        <v>0.4693877551</v>
      </c>
    </row>
    <row r="6368">
      <c r="A6368" s="10" t="s">
        <v>7807</v>
      </c>
      <c r="B6368" s="7" t="str">
        <f>IFERROR(__xludf.DUMMYFUNCTION("SPLIT(A6368,"" "")"),"CN1CCN(Cc2cccc(C3=NCC(C)(C)O3)n2)CCN(Cc2cccc(C(C)(C)c3ccccn3)n2)CC1")</f>
        <v>CN1CCN(Cc2cccc(C3=NCC(C)(C)O3)n2)CCN(Cc2cccc(C(C)(C)c3ccccn3)n2)CC1</v>
      </c>
      <c r="C6368" s="7">
        <f>IFERROR(__xludf.DUMMYFUNCTION("""COMPUTED_VALUE"""),7.785122)</f>
        <v>7.785122</v>
      </c>
      <c r="D6368" s="7">
        <f>IFERROR(__xludf.DUMMYFUNCTION("""COMPUTED_VALUE"""),0.448275862068965)</f>
        <v>0.4482758621</v>
      </c>
    </row>
    <row r="6369">
      <c r="A6369" s="10" t="s">
        <v>7808</v>
      </c>
      <c r="B6369" s="7" t="str">
        <f>IFERROR(__xludf.DUMMYFUNCTION("SPLIT(A6369,"" "")"),"Cc1cncc(CN(C)C2CCC(N(C)Cc3ccccn3)CC2N(Cc2ccccn2)c2ccccc2F)c1")</f>
        <v>Cc1cncc(CN(C)C2CCC(N(C)Cc3ccccn3)CC2N(Cc2ccccn2)c2ccccc2F)c1</v>
      </c>
      <c r="C6369" s="7">
        <f>IFERROR(__xludf.DUMMYFUNCTION("""COMPUTED_VALUE"""),7.7851152)</f>
        <v>7.7851152</v>
      </c>
      <c r="D6369" s="7">
        <f>IFERROR(__xludf.DUMMYFUNCTION("""COMPUTED_VALUE"""),0.435483870967741)</f>
        <v>0.435483871</v>
      </c>
    </row>
    <row r="6370">
      <c r="A6370" s="10" t="s">
        <v>7809</v>
      </c>
      <c r="B6370" s="7" t="str">
        <f>IFERROR(__xludf.DUMMYFUNCTION("SPLIT(A6370,"" "")"),"Cc1ccc(N(C)C2CCC(N(C)Cc3nc(C)c(C)c(C)c3C)CC2)nc1")</f>
        <v>Cc1ccc(N(C)C2CCC(N(C)Cc3nc(C)c(C)c(C)c3C)CC2)nc1</v>
      </c>
      <c r="C6370" s="7">
        <f>IFERROR(__xludf.DUMMYFUNCTION("""COMPUTED_VALUE"""),7.785115)</f>
        <v>7.785115</v>
      </c>
      <c r="D6370" s="7">
        <f>IFERROR(__xludf.DUMMYFUNCTION("""COMPUTED_VALUE"""),0.403846153846153)</f>
        <v>0.4038461538</v>
      </c>
    </row>
    <row r="6371">
      <c r="A6371" s="10" t="s">
        <v>7810</v>
      </c>
      <c r="B6371" s="7" t="str">
        <f>IFERROR(__xludf.DUMMYFUNCTION("SPLIT(A6371,"" "")"),"CN1CCN(C)CCN(Cc2ccc(-c3cccc(Cl)c3Cl)nc2)CC1")</f>
        <v>CN1CCN(C)CCN(Cc2ccc(-c3cccc(Cl)c3Cl)nc2)CC1</v>
      </c>
      <c r="C6371" s="7">
        <f>IFERROR(__xludf.DUMMYFUNCTION("""COMPUTED_VALUE"""),7.7851057)</f>
        <v>7.7851057</v>
      </c>
      <c r="D6371" s="7">
        <f>IFERROR(__xludf.DUMMYFUNCTION("""COMPUTED_VALUE"""),0.428571428571428)</f>
        <v>0.4285714286</v>
      </c>
    </row>
    <row r="6372">
      <c r="A6372" s="10" t="s">
        <v>7811</v>
      </c>
      <c r="B6372" s="7" t="str">
        <f>IFERROR(__xludf.DUMMYFUNCTION("SPLIT(A6372,"" "")"),"Cc1ccc(CN(C)C2CC(N(C)Cc3ccccn3)CC(N(Cc3ccccn3)Cc3nc(C)ccc3C)C2)nc1")</f>
        <v>Cc1ccc(CN(C)C2CC(N(C)Cc3ccccn3)CC(N(Cc3ccccn3)Cc3nc(C)ccc3C)C2)nc1</v>
      </c>
      <c r="C6372" s="7">
        <f>IFERROR(__xludf.DUMMYFUNCTION("""COMPUTED_VALUE"""),7.785097)</f>
        <v>7.785097</v>
      </c>
      <c r="D6372" s="7">
        <f>IFERROR(__xludf.DUMMYFUNCTION("""COMPUTED_VALUE"""),0.413793103448275)</f>
        <v>0.4137931034</v>
      </c>
    </row>
    <row r="6373">
      <c r="A6373" s="10" t="s">
        <v>7812</v>
      </c>
      <c r="B6373" s="7" t="str">
        <f>IFERROR(__xludf.DUMMYFUNCTION("SPLIT(A6373,"" "")"),"CN1CCN(C)CCN(Cc2cncc(-c3ccc(Cl)cc3N)c2)CC1")</f>
        <v>CN1CCN(C)CCN(Cc2cncc(-c3ccc(Cl)cc3N)c2)CC1</v>
      </c>
      <c r="C6373" s="7">
        <f>IFERROR(__xludf.DUMMYFUNCTION("""COMPUTED_VALUE"""),7.7850947)</f>
        <v>7.7850947</v>
      </c>
      <c r="D6373" s="7">
        <f>IFERROR(__xludf.DUMMYFUNCTION("""COMPUTED_VALUE"""),0.358490566037735)</f>
        <v>0.358490566</v>
      </c>
    </row>
    <row r="6374">
      <c r="A6374" s="10" t="s">
        <v>7813</v>
      </c>
      <c r="B6374" s="7" t="str">
        <f>IFERROR(__xludf.DUMMYFUNCTION("SPLIT(A6374,"" "")"),"Cc1ccc(CN(CCF)C2CCC(N(C)Cc3ccc4ncccc4c3)CC2)nc1C")</f>
        <v>Cc1ccc(CN(CCF)C2CCC(N(C)Cc3ccc4ncccc4c3)CC2)nc1C</v>
      </c>
      <c r="C6374" s="7">
        <f>IFERROR(__xludf.DUMMYFUNCTION("""COMPUTED_VALUE"""),7.7850943)</f>
        <v>7.7850943</v>
      </c>
      <c r="D6374" s="7">
        <f>IFERROR(__xludf.DUMMYFUNCTION("""COMPUTED_VALUE"""),0.26865671641791)</f>
        <v>0.2686567164</v>
      </c>
    </row>
    <row r="6375">
      <c r="A6375" s="10" t="s">
        <v>7814</v>
      </c>
      <c r="B6375" s="7" t="str">
        <f>IFERROR(__xludf.DUMMYFUNCTION("SPLIT(A6375,"" "")"),"c1ccc(C2CCC2c2ccccn2)nc1")</f>
        <v>c1ccc(C2CCC2c2ccccn2)nc1</v>
      </c>
      <c r="C6375" s="7">
        <f>IFERROR(__xludf.DUMMYFUNCTION("""COMPUTED_VALUE"""),7.785094)</f>
        <v>7.785094</v>
      </c>
      <c r="D6375" s="7">
        <f>IFERROR(__xludf.DUMMYFUNCTION("""COMPUTED_VALUE"""),0.361111111111111)</f>
        <v>0.3611111111</v>
      </c>
    </row>
    <row r="6376">
      <c r="A6376" s="10" t="s">
        <v>7815</v>
      </c>
      <c r="B6376" s="7" t="str">
        <f>IFERROR(__xludf.DUMMYFUNCTION("SPLIT(A6376,"" "")"),"Cc1cc(C)c(CN(Cc2ccccn2)C2CCC(N(C)Cc3nc(C)c(C)c(C)c3C)CC2)nc1C")</f>
        <v>Cc1cc(C)c(CN(Cc2ccccn2)C2CCC(N(C)Cc3nc(C)c(C)c(C)c3C)CC2)nc1C</v>
      </c>
      <c r="C6376" s="7">
        <f>IFERROR(__xludf.DUMMYFUNCTION("""COMPUTED_VALUE"""),7.785093)</f>
        <v>7.785093</v>
      </c>
      <c r="D6376" s="7">
        <f>IFERROR(__xludf.DUMMYFUNCTION("""COMPUTED_VALUE"""),0.396551724137931)</f>
        <v>0.3965517241</v>
      </c>
    </row>
    <row r="6377">
      <c r="A6377" s="10" t="s">
        <v>7816</v>
      </c>
      <c r="B6377" s="7" t="str">
        <f>IFERROR(__xludf.DUMMYFUNCTION("SPLIT(A6377,"" "")"),"Cc1cccnc1CN(Cc1ncccc1C(C)C(C)C)C(C)C")</f>
        <v>Cc1cccnc1CN(Cc1ncccc1C(C)C(C)C)C(C)C</v>
      </c>
      <c r="C6377" s="7">
        <f>IFERROR(__xludf.DUMMYFUNCTION("""COMPUTED_VALUE"""),7.7850914)</f>
        <v>7.7850914</v>
      </c>
      <c r="D6377" s="7">
        <f>IFERROR(__xludf.DUMMYFUNCTION("""COMPUTED_VALUE"""),0.441860465116279)</f>
        <v>0.4418604651</v>
      </c>
    </row>
    <row r="6378">
      <c r="A6378" s="10" t="s">
        <v>7817</v>
      </c>
      <c r="B6378" s="7" t="str">
        <f>IFERROR(__xludf.DUMMYFUNCTION("SPLIT(A6378,"" "")"),"Cc1cccc(CN(Cc2ccccn2)Cc2cccc(CN(C)C(C)C(C)C)n2)n1")</f>
        <v>Cc1cccc(CN(Cc2ccccn2)Cc2cccc(CN(C)C(C)C(C)C)n2)n1</v>
      </c>
      <c r="C6378" s="7">
        <f>IFERROR(__xludf.DUMMYFUNCTION("""COMPUTED_VALUE"""),7.785087)</f>
        <v>7.785087</v>
      </c>
      <c r="D6378" s="7">
        <f>IFERROR(__xludf.DUMMYFUNCTION("""COMPUTED_VALUE"""),0.5)</f>
        <v>0.5</v>
      </c>
    </row>
    <row r="6379">
      <c r="A6379" s="10" t="s">
        <v>7818</v>
      </c>
      <c r="B6379" s="7" t="str">
        <f>IFERROR(__xludf.DUMMYFUNCTION("SPLIT(A6379,"" "")"),"CN(Cc1cccc(CN(C)C2CCC(N(C)Cc3cccc(-c4ccc5c(c4)OCCOCCOCCOCCOCCO5)n3)CC2)n1)c1ccc2ncccc2c1")</f>
        <v>CN(Cc1cccc(CN(C)C2CCC(N(C)Cc3cccc(-c4ccc5c(c4)OCCOCCOCCOCCOCCO5)n3)CC2)n1)c1ccc2ncccc2c1</v>
      </c>
      <c r="C6379" s="7">
        <f>IFERROR(__xludf.DUMMYFUNCTION("""COMPUTED_VALUE"""),7.785085)</f>
        <v>7.785085</v>
      </c>
      <c r="D6379" s="7">
        <f>IFERROR(__xludf.DUMMYFUNCTION("""COMPUTED_VALUE"""),0.325)</f>
        <v>0.325</v>
      </c>
    </row>
    <row r="6380">
      <c r="A6380" s="10" t="s">
        <v>7819</v>
      </c>
      <c r="B6380" s="7" t="str">
        <f>IFERROR(__xludf.DUMMYFUNCTION("SPLIT(A6380,"" "")"),"CC1=CC(NCc2ccccn2)CC(c2ccc(CN(C)Cc3ccccn3)cn2)C1C")</f>
        <v>CC1=CC(NCc2ccccn2)CC(c2ccc(CN(C)Cc3ccccn3)cn2)C1C</v>
      </c>
      <c r="C6380" s="7">
        <f>IFERROR(__xludf.DUMMYFUNCTION("""COMPUTED_VALUE"""),7.7850847)</f>
        <v>7.7850847</v>
      </c>
      <c r="D6380" s="7">
        <f>IFERROR(__xludf.DUMMYFUNCTION("""COMPUTED_VALUE"""),0.377049180327868)</f>
        <v>0.3770491803</v>
      </c>
    </row>
    <row r="6381">
      <c r="A6381" s="10" t="s">
        <v>7820</v>
      </c>
      <c r="B6381" s="7" t="str">
        <f>IFERROR(__xludf.DUMMYFUNCTION("SPLIT(A6381,"" "")"),"Cc1cc(NCc2ccccn2)cc(-c2cccc(CN(Cc3ccccn3)C3CCCC(N(C)Cc4cccc(-c5ccc6c(c5)OCCOCCOCCOCCOCCO6)n4)C3)n2)c1")</f>
        <v>Cc1cc(NCc2ccccn2)cc(-c2cccc(CN(Cc3ccccn3)C3CCCC(N(C)Cc4cccc(-c5ccc6c(c5)OCCOCCOCCOCCOCCO6)n4)C3)n2)c1</v>
      </c>
      <c r="C6381" s="7">
        <f>IFERROR(__xludf.DUMMYFUNCTION("""COMPUTED_VALUE"""),7.7850723)</f>
        <v>7.7850723</v>
      </c>
      <c r="D6381" s="7">
        <f>IFERROR(__xludf.DUMMYFUNCTION("""COMPUTED_VALUE"""),0.345238095238095)</f>
        <v>0.3452380952</v>
      </c>
    </row>
    <row r="6382">
      <c r="A6382" s="10" t="s">
        <v>7821</v>
      </c>
      <c r="B6382" s="7" t="str">
        <f>IFERROR(__xludf.DUMMYFUNCTION("SPLIT(A6382,"" "")"),"CN1CCN(C)CCN(CC2NC=CC=C2N(C)c2ccc3cccnc3c2)CC1")</f>
        <v>CN1CCN(C)CCN(CC2NC=CC=C2N(C)c2ccc3cccnc3c2)CC1</v>
      </c>
      <c r="C6382" s="7">
        <f>IFERROR(__xludf.DUMMYFUNCTION("""COMPUTED_VALUE"""),7.7850666)</f>
        <v>7.7850666</v>
      </c>
      <c r="D6382" s="7">
        <f>IFERROR(__xludf.DUMMYFUNCTION("""COMPUTED_VALUE"""),0.338461538461538)</f>
        <v>0.3384615385</v>
      </c>
    </row>
    <row r="6383">
      <c r="A6383" s="10" t="s">
        <v>7822</v>
      </c>
      <c r="B6383" s="7" t="str">
        <f>IFERROR(__xludf.DUMMYFUNCTION("SPLIT(A6383,"" "")"),"Cc1cnc(CN(C)C2CCC(N(Cc3ccccn3)Cc3cccc(CN(C)Cc4ncccc4C)n3)CC2)c(C)c1")</f>
        <v>Cc1cnc(CN(C)C2CCC(N(Cc3ccccn3)Cc3cccc(CN(C)Cc4ncccc4C)n3)CC2)c(C)c1</v>
      </c>
      <c r="C6383" s="7">
        <f>IFERROR(__xludf.DUMMYFUNCTION("""COMPUTED_VALUE"""),7.7850647)</f>
        <v>7.7850647</v>
      </c>
      <c r="D6383" s="7">
        <f>IFERROR(__xludf.DUMMYFUNCTION("""COMPUTED_VALUE"""),0.403225806451612)</f>
        <v>0.4032258065</v>
      </c>
    </row>
    <row r="6384">
      <c r="A6384" s="10" t="s">
        <v>7823</v>
      </c>
      <c r="B6384" s="7" t="str">
        <f>IFERROR(__xludf.DUMMYFUNCTION("SPLIT(A6384,"" "")"),"Cc1cnccc1CN(C)CCN(Cc1ncccc1C)C(C)C")</f>
        <v>Cc1cnccc1CN(C)CCN(Cc1ncccc1C)C(C)C</v>
      </c>
      <c r="C6384" s="7">
        <f>IFERROR(__xludf.DUMMYFUNCTION("""COMPUTED_VALUE"""),7.7850647)</f>
        <v>7.7850647</v>
      </c>
      <c r="D6384" s="7">
        <f>IFERROR(__xludf.DUMMYFUNCTION("""COMPUTED_VALUE"""),0.428571428571428)</f>
        <v>0.4285714286</v>
      </c>
    </row>
    <row r="6385">
      <c r="A6385" s="10" t="s">
        <v>7824</v>
      </c>
      <c r="B6385" s="7" t="str">
        <f>IFERROR(__xludf.DUMMYFUNCTION("SPLIT(A6385,"" "")"),"CN1CCN(C)CCN(Cc2ccc(-c3ccc(Cl)cc3N)nc2)CC1")</f>
        <v>CN1CCN(C)CCN(Cc2ccc(-c3ccc(Cl)cc3N)nc2)CC1</v>
      </c>
      <c r="C6385" s="7">
        <f>IFERROR(__xludf.DUMMYFUNCTION("""COMPUTED_VALUE"""),7.785062)</f>
        <v>7.785062</v>
      </c>
      <c r="D6385" s="7">
        <f>IFERROR(__xludf.DUMMYFUNCTION("""COMPUTED_VALUE"""),0.358490566037735)</f>
        <v>0.358490566</v>
      </c>
    </row>
    <row r="6386">
      <c r="A6386" s="10" t="s">
        <v>7825</v>
      </c>
      <c r="B6386" s="7" t="str">
        <f>IFERROR(__xludf.DUMMYFUNCTION("SPLIT(A6386,"" "")"),"Cc1cccc(CN(C)CCN(Cc2ccccn2)C(C)(c2cccnc2)C(C)C)n1")</f>
        <v>Cc1cccc(CN(C)CCN(Cc2ccccn2)C(C)(c2cccnc2)C(C)C)n1</v>
      </c>
      <c r="C6386" s="7">
        <f>IFERROR(__xludf.DUMMYFUNCTION("""COMPUTED_VALUE"""),7.7850385)</f>
        <v>7.7850385</v>
      </c>
      <c r="D6386" s="7">
        <f>IFERROR(__xludf.DUMMYFUNCTION("""COMPUTED_VALUE"""),0.471698113207547)</f>
        <v>0.4716981132</v>
      </c>
    </row>
    <row r="6387">
      <c r="A6387" s="10" t="s">
        <v>7826</v>
      </c>
      <c r="B6387" s="7" t="str">
        <f>IFERROR(__xludf.DUMMYFUNCTION("SPLIT(A6387,"" "")"),"CCN(Cc1ccccn1)Cc1cccc(N(C)C2CCC(N(C)Cc3nc(C)c(C)c(C)c3C)CC2)n1")</f>
        <v>CCN(Cc1ccccn1)Cc1cccc(N(C)C2CCC(N(C)Cc3nc(C)c(C)c(C)c3C)CC2)n1</v>
      </c>
      <c r="C6387" s="7">
        <f>IFERROR(__xludf.DUMMYFUNCTION("""COMPUTED_VALUE"""),7.785035)</f>
        <v>7.785035</v>
      </c>
      <c r="D6387" s="7">
        <f>IFERROR(__xludf.DUMMYFUNCTION("""COMPUTED_VALUE"""),0.377049180327868)</f>
        <v>0.3770491803</v>
      </c>
    </row>
    <row r="6388">
      <c r="A6388" s="10" t="s">
        <v>7827</v>
      </c>
      <c r="B6388" s="7" t="str">
        <f>IFERROR(__xludf.DUMMYFUNCTION("SPLIT(A6388,"" "")"),"CNC1C(N(Cc2ncccc2C)Cc2ncccc2C)CCC(C)C1N(Cc1ncccc1C)Cc1ncccc1C")</f>
        <v>CNC1C(N(Cc2ncccc2C)Cc2ncccc2C)CCC(C)C1N(Cc1ncccc1C)Cc1ncccc1C</v>
      </c>
      <c r="C6388" s="7">
        <f>IFERROR(__xludf.DUMMYFUNCTION("""COMPUTED_VALUE"""),7.7850327)</f>
        <v>7.7850327</v>
      </c>
      <c r="D6388" s="7">
        <f>IFERROR(__xludf.DUMMYFUNCTION("""COMPUTED_VALUE"""),0.285714285714285)</f>
        <v>0.2857142857</v>
      </c>
    </row>
    <row r="6389">
      <c r="A6389" s="10" t="s">
        <v>7828</v>
      </c>
      <c r="B6389" s="7" t="str">
        <f>IFERROR(__xludf.DUMMYFUNCTION("SPLIT(A6389,"" "")"),"CNCC1=CC(N(C)Cc2cccc(C)n2)C=CN1")</f>
        <v>CNCC1=CC(N(C)Cc2cccc(C)n2)C=CN1</v>
      </c>
      <c r="C6389" s="7">
        <f>IFERROR(__xludf.DUMMYFUNCTION("""COMPUTED_VALUE"""),7.785031)</f>
        <v>7.785031</v>
      </c>
      <c r="D6389" s="7">
        <f>IFERROR(__xludf.DUMMYFUNCTION("""COMPUTED_VALUE"""),0.450980392156862)</f>
        <v>0.4509803922</v>
      </c>
    </row>
    <row r="6390">
      <c r="A6390" s="10" t="s">
        <v>7829</v>
      </c>
      <c r="B6390" s="7" t="str">
        <f>IFERROR(__xludf.DUMMYFUNCTION("SPLIT(A6390,"" "")"),"Cc1cccnc1CN(CCN(C)Cc1cccnc1C)C(C)C")</f>
        <v>Cc1cccnc1CN(CCN(C)Cc1cccnc1C)C(C)C</v>
      </c>
      <c r="C6390" s="7">
        <f>IFERROR(__xludf.DUMMYFUNCTION("""COMPUTED_VALUE"""),7.785027)</f>
        <v>7.785027</v>
      </c>
      <c r="D6390" s="7">
        <f>IFERROR(__xludf.DUMMYFUNCTION("""COMPUTED_VALUE"""),0.456521739130434)</f>
        <v>0.4565217391</v>
      </c>
    </row>
    <row r="6391">
      <c r="A6391" s="10" t="s">
        <v>7830</v>
      </c>
      <c r="B6391" s="7" t="str">
        <f>IFERROR(__xludf.DUMMYFUNCTION("SPLIT(A6391,"" "")"),"CNC(c1ccccc1)c1cccnc1CNCF")</f>
        <v>CNC(c1ccccc1)c1cccnc1CNCF</v>
      </c>
      <c r="C6391" s="7">
        <f>IFERROR(__xludf.DUMMYFUNCTION("""COMPUTED_VALUE"""),7.785021)</f>
        <v>7.785021</v>
      </c>
      <c r="D6391" s="7">
        <f>IFERROR(__xludf.DUMMYFUNCTION("""COMPUTED_VALUE"""),0.282608695652173)</f>
        <v>0.2826086957</v>
      </c>
    </row>
    <row r="6392">
      <c r="A6392" s="10" t="s">
        <v>7831</v>
      </c>
      <c r="B6392" s="7" t="str">
        <f>IFERROR(__xludf.DUMMYFUNCTION("SPLIT(A6392,"" "")"),"CC1=C(C)CC(C)(N(Cc2ccccn2)Cc2ccccn2)C(C)C1")</f>
        <v>CC1=C(C)CC(C)(N(Cc2ccccn2)Cc2ccccn2)C(C)C1</v>
      </c>
      <c r="C6392" s="7">
        <f>IFERROR(__xludf.DUMMYFUNCTION("""COMPUTED_VALUE"""),7.7850156)</f>
        <v>7.7850156</v>
      </c>
      <c r="D6392" s="7">
        <f>IFERROR(__xludf.DUMMYFUNCTION("""COMPUTED_VALUE"""),0.416666666666666)</f>
        <v>0.4166666667</v>
      </c>
    </row>
    <row r="6393">
      <c r="A6393" s="10" t="s">
        <v>7832</v>
      </c>
      <c r="B6393" s="7" t="str">
        <f>IFERROR(__xludf.DUMMYFUNCTION("SPLIT(A6393,"" "")"),"CNCC1=CC(N(C)Cc2cc(C)ccn2)C=CN1")</f>
        <v>CNCC1=CC(N(C)Cc2cc(C)ccn2)C=CN1</v>
      </c>
      <c r="C6393" s="7">
        <f>IFERROR(__xludf.DUMMYFUNCTION("""COMPUTED_VALUE"""),7.7850113)</f>
        <v>7.7850113</v>
      </c>
      <c r="D6393" s="7">
        <f>IFERROR(__xludf.DUMMYFUNCTION("""COMPUTED_VALUE"""),0.3)</f>
        <v>0.3</v>
      </c>
    </row>
    <row r="6394">
      <c r="A6394" s="10" t="s">
        <v>7833</v>
      </c>
      <c r="B6394" s="7" t="str">
        <f>IFERROR(__xludf.DUMMYFUNCTION("SPLIT(A6394,"" "")"),"CN(Cc1ccc(-c2ccccc2)nc1)Cc1cc(-c2ccc3c(c2)OCCOCCOCCOCCOCCO3)ccn1")</f>
        <v>CN(Cc1ccc(-c2ccccc2)nc1)Cc1cc(-c2ccc3c(c2)OCCOCCOCCOCCOCCO3)ccn1</v>
      </c>
      <c r="C6394" s="7">
        <f>IFERROR(__xludf.DUMMYFUNCTION("""COMPUTED_VALUE"""),7.784998)</f>
        <v>7.784998</v>
      </c>
      <c r="D6394" s="7">
        <f>IFERROR(__xludf.DUMMYFUNCTION("""COMPUTED_VALUE"""),0.366197183098591)</f>
        <v>0.3661971831</v>
      </c>
    </row>
    <row r="6395">
      <c r="A6395" s="10" t="s">
        <v>7834</v>
      </c>
      <c r="B6395" s="7" t="str">
        <f>IFERROR(__xludf.DUMMYFUNCTION("SPLIT(A6395,"" "")"),"CN(Cc1ccccn1)Cc1cccc(N(O)Cc2ncccc2-c2cccc3c2OCCOCCOCCOCCOCCO3)n1")</f>
        <v>CN(Cc1ccccn1)Cc1cccc(N(O)Cc2ncccc2-c2cccc3c2OCCOCCOCCOCCOCCO3)n1</v>
      </c>
      <c r="C6395" s="7">
        <f>IFERROR(__xludf.DUMMYFUNCTION("""COMPUTED_VALUE"""),7.7849956)</f>
        <v>7.7849956</v>
      </c>
      <c r="D6395" s="7">
        <f>IFERROR(__xludf.DUMMYFUNCTION("""COMPUTED_VALUE"""),0.396825396825396)</f>
        <v>0.3968253968</v>
      </c>
    </row>
    <row r="6396">
      <c r="A6396" s="10" t="s">
        <v>7835</v>
      </c>
      <c r="B6396" s="7" t="str">
        <f>IFERROR(__xludf.DUMMYFUNCTION("SPLIT(A6396,"" "")"),"CN1CCN(C)CCN(Cc2ccc(-c3ccccc3N(C)C)nc2)CC1")</f>
        <v>CN1CCN(C)CCN(Cc2ccc(-c3ccccc3N(C)C)nc2)CC1</v>
      </c>
      <c r="C6396" s="7">
        <f>IFERROR(__xludf.DUMMYFUNCTION("""COMPUTED_VALUE"""),7.784994)</f>
        <v>7.784994</v>
      </c>
      <c r="D6396" s="7">
        <f>IFERROR(__xludf.DUMMYFUNCTION("""COMPUTED_VALUE"""),0.416666666666666)</f>
        <v>0.4166666667</v>
      </c>
    </row>
    <row r="6397">
      <c r="A6397" s="10" t="s">
        <v>7836</v>
      </c>
      <c r="B6397" s="7" t="str">
        <f>IFERROR(__xludf.DUMMYFUNCTION("SPLIT(A6397,"" "")"),"CCN(CCN(C)Cc1cc(C)c(C)cn1)Cc1cc(C)ccn1")</f>
        <v>CCN(CCN(C)Cc1cc(C)c(C)cn1)Cc1cc(C)ccn1</v>
      </c>
      <c r="C6397" s="7">
        <f>IFERROR(__xludf.DUMMYFUNCTION("""COMPUTED_VALUE"""),7.784993)</f>
        <v>7.784993</v>
      </c>
      <c r="D6397" s="7">
        <f>IFERROR(__xludf.DUMMYFUNCTION("""COMPUTED_VALUE"""),0.477272727272727)</f>
        <v>0.4772727273</v>
      </c>
    </row>
    <row r="6398">
      <c r="A6398" s="10" t="s">
        <v>7837</v>
      </c>
      <c r="B6398" s="7" t="str">
        <f>IFERROR(__xludf.DUMMYFUNCTION("SPLIT(A6398,"" "")"),"CC(N)N(CC1=CCC(N(C)C(C)C)=CN1)Cc1ccccn1")</f>
        <v>CC(N)N(CC1=CCC(N(C)C(C)C)=CN1)Cc1ccccn1</v>
      </c>
      <c r="C6398" s="7">
        <f>IFERROR(__xludf.DUMMYFUNCTION("""COMPUTED_VALUE"""),7.7849927)</f>
        <v>7.7849927</v>
      </c>
      <c r="D6398" s="7">
        <f>IFERROR(__xludf.DUMMYFUNCTION("""COMPUTED_VALUE"""),0.48)</f>
        <v>0.48</v>
      </c>
    </row>
    <row r="6399">
      <c r="A6399" s="10" t="s">
        <v>7838</v>
      </c>
      <c r="B6399" s="7" t="str">
        <f>IFERROR(__xludf.DUMMYFUNCTION("SPLIT(A6399,"" "")"),"COC(=O)C1CN(C)C(C(=O)C(C)N)C(C(=O)OC)C1=O")</f>
        <v>COC(=O)C1CN(C)C(C(=O)C(C)N)C(C(=O)OC)C1=O</v>
      </c>
      <c r="C6399" s="7">
        <f>IFERROR(__xludf.DUMMYFUNCTION("""COMPUTED_VALUE"""),7.7849894)</f>
        <v>7.7849894</v>
      </c>
      <c r="D6399" s="7">
        <f>IFERROR(__xludf.DUMMYFUNCTION("""COMPUTED_VALUE"""),0.253968253968253)</f>
        <v>0.253968254</v>
      </c>
    </row>
    <row r="6400">
      <c r="A6400" s="10" t="s">
        <v>7839</v>
      </c>
      <c r="B6400" s="7" t="str">
        <f>IFERROR(__xludf.DUMMYFUNCTION("SPLIT(A6400,"" "")"),"Cc1cc(CNCCN(C)Cc2ncccc2C)ccn1")</f>
        <v>Cc1cc(CNCCN(C)Cc2ncccc2C)ccn1</v>
      </c>
      <c r="C6400" s="7">
        <f>IFERROR(__xludf.DUMMYFUNCTION("""COMPUTED_VALUE"""),7.784987)</f>
        <v>7.784987</v>
      </c>
      <c r="D6400" s="7">
        <f>IFERROR(__xludf.DUMMYFUNCTION("""COMPUTED_VALUE"""),0.314814814814814)</f>
        <v>0.3148148148</v>
      </c>
    </row>
    <row r="6401">
      <c r="A6401" s="10" t="s">
        <v>7840</v>
      </c>
      <c r="B6401" s="7" t="str">
        <f>IFERROR(__xludf.DUMMYFUNCTION("SPLIT(A6401,"" "")"),"Cc1cccnc1CN(C)Cc1cccc(N(C)C(C)(C)c2ccc(-c3ccc4c(c3)OCCOCCOCCOCCOCCO4)nc2)n1")</f>
        <v>Cc1cccnc1CN(C)Cc1cccc(N(C)C(C)(C)c2ccc(-c3ccc4c(c3)OCCOCCOCCOCCOCCO4)nc2)n1</v>
      </c>
      <c r="C6401" s="7">
        <f>IFERROR(__xludf.DUMMYFUNCTION("""COMPUTED_VALUE"""),7.7849836)</f>
        <v>7.7849836</v>
      </c>
      <c r="D6401" s="7">
        <f>IFERROR(__xludf.DUMMYFUNCTION("""COMPUTED_VALUE"""),0.290697674418604)</f>
        <v>0.2906976744</v>
      </c>
    </row>
    <row r="6402">
      <c r="A6402" s="10" t="s">
        <v>7841</v>
      </c>
      <c r="B6402" s="7" t="str">
        <f>IFERROR(__xludf.DUMMYFUNCTION("SPLIT(A6402,"" "")"),"Cc1ccc(CN(Cc2ccccn2)Cc2ncccc2CN(C)Cc2cccc(-c3ccc4c(c3)OCCOCCOCCOCCOCCO4)n2)nc1C")</f>
        <v>Cc1ccc(CN(Cc2ccccn2)Cc2ncccc2CN(C)Cc2cccc(-c3ccc4c(c3)OCCOCCOCCOCCOCCO4)n2)nc1C</v>
      </c>
      <c r="C6402" s="7">
        <f>IFERROR(__xludf.DUMMYFUNCTION("""COMPUTED_VALUE"""),7.784983)</f>
        <v>7.784983</v>
      </c>
      <c r="D6402" s="7">
        <f>IFERROR(__xludf.DUMMYFUNCTION("""COMPUTED_VALUE"""),0.407894736842105)</f>
        <v>0.4078947368</v>
      </c>
    </row>
    <row r="6403">
      <c r="A6403" s="10" t="s">
        <v>7842</v>
      </c>
      <c r="B6403" s="7" t="str">
        <f>IFERROR(__xludf.DUMMYFUNCTION("SPLIT(A6403,"" "")"),"CNCCN(Cc1cc(C)ccn1)C(C)(N)N(Cc1cc(C)ccn1)C(C)C")</f>
        <v>CNCCN(Cc1cc(C)ccn1)C(C)(N)N(Cc1cc(C)ccn1)C(C)C</v>
      </c>
      <c r="C6403" s="7">
        <f>IFERROR(__xludf.DUMMYFUNCTION("""COMPUTED_VALUE"""),7.7849803)</f>
        <v>7.7849803</v>
      </c>
      <c r="D6403" s="7">
        <f>IFERROR(__xludf.DUMMYFUNCTION("""COMPUTED_VALUE"""),0.298245614035087)</f>
        <v>0.298245614</v>
      </c>
    </row>
    <row r="6404">
      <c r="A6404" s="10" t="s">
        <v>7843</v>
      </c>
      <c r="B6404" s="7" t="str">
        <f>IFERROR(__xludf.DUMMYFUNCTION("SPLIT(A6404,"" "")"),"CNCc1cccc(CN(Cc2nc(C)c(C)c(C)c2C)C2CCCCC2N(C)Cc2nc(C)c(C)c(C)c2C)n1")</f>
        <v>CNCc1cccc(CN(Cc2nc(C)c(C)c(C)c2C)C2CCCCC2N(C)Cc2nc(C)c(C)c(C)c2C)n1</v>
      </c>
      <c r="C6404" s="7">
        <f>IFERROR(__xludf.DUMMYFUNCTION("""COMPUTED_VALUE"""),7.784973)</f>
        <v>7.784973</v>
      </c>
      <c r="D6404" s="7">
        <f>IFERROR(__xludf.DUMMYFUNCTION("""COMPUTED_VALUE"""),0.481481481481481)</f>
        <v>0.4814814815</v>
      </c>
    </row>
    <row r="6405">
      <c r="A6405" s="10" t="s">
        <v>7844</v>
      </c>
      <c r="B6405" s="7" t="str">
        <f>IFERROR(__xludf.DUMMYFUNCTION("SPLIT(A6405,"" "")"),"CN(Cc1ccccn1)Cc1cccc(N(C)Cc2ncccc2-c2ccc3c(c2)OCCOCCOCCOCCOCCO3)n1")</f>
        <v>CN(Cc1ccccn1)Cc1cccc(N(C)Cc2ncccc2-c2ccc3c(c2)OCCOCCOCCOCCOCCO3)n1</v>
      </c>
      <c r="C6405" s="7">
        <f>IFERROR(__xludf.DUMMYFUNCTION("""COMPUTED_VALUE"""),7.7849636)</f>
        <v>7.7849636</v>
      </c>
      <c r="D6405" s="7">
        <f>IFERROR(__xludf.DUMMYFUNCTION("""COMPUTED_VALUE"""),0.396825396825396)</f>
        <v>0.3968253968</v>
      </c>
    </row>
    <row r="6406">
      <c r="A6406" s="10" t="s">
        <v>7845</v>
      </c>
      <c r="B6406" s="7" t="str">
        <f>IFERROR(__xludf.DUMMYFUNCTION("SPLIT(A6406,"" "")"),"CCN(Cc1ccccn1)Cc1cccc(N(C)C2CCCC(N(C)Cc3nc(C)c(C)cc3C)C2)n1")</f>
        <v>CCN(Cc1ccccn1)Cc1cccc(N(C)C2CCCC(N(C)Cc3nc(C)c(C)cc3C)C2)n1</v>
      </c>
      <c r="C6406" s="7">
        <f>IFERROR(__xludf.DUMMYFUNCTION("""COMPUTED_VALUE"""),7.78496)</f>
        <v>7.78496</v>
      </c>
      <c r="D6406" s="7">
        <f>IFERROR(__xludf.DUMMYFUNCTION("""COMPUTED_VALUE"""),0.375)</f>
        <v>0.375</v>
      </c>
    </row>
    <row r="6407">
      <c r="A6407" s="10" t="s">
        <v>7846</v>
      </c>
      <c r="B6407" s="7" t="str">
        <f>IFERROR(__xludf.DUMMYFUNCTION("SPLIT(A6407,"" "")"),"CCCN(C)C1=C(CN(C)Cc2ccccn2)NC=CC1")</f>
        <v>CCCN(C)C1=C(CN(C)Cc2ccccn2)NC=CC1</v>
      </c>
      <c r="C6407" s="7">
        <f>IFERROR(__xludf.DUMMYFUNCTION("""COMPUTED_VALUE"""),7.78496)</f>
        <v>7.78496</v>
      </c>
      <c r="D6407" s="7">
        <f>IFERROR(__xludf.DUMMYFUNCTION("""COMPUTED_VALUE"""),0.415094339622641)</f>
        <v>0.4150943396</v>
      </c>
    </row>
    <row r="6408">
      <c r="A6408" s="10" t="s">
        <v>7847</v>
      </c>
      <c r="B6408" s="7" t="str">
        <f>IFERROR(__xludf.DUMMYFUNCTION("SPLIT(A6408,"" "")"),"CN(CCN)Cc1ccccc1N(C)C")</f>
        <v>CN(CCN)Cc1ccccc1N(C)C</v>
      </c>
      <c r="C6408" s="7">
        <f>IFERROR(__xludf.DUMMYFUNCTION("""COMPUTED_VALUE"""),7.7849574)</f>
        <v>7.7849574</v>
      </c>
      <c r="D6408" s="7">
        <f>IFERROR(__xludf.DUMMYFUNCTION("""COMPUTED_VALUE"""),0.365853658536585)</f>
        <v>0.3658536585</v>
      </c>
    </row>
    <row r="6409">
      <c r="A6409" s="10" t="s">
        <v>7848</v>
      </c>
      <c r="B6409" s="7" t="str">
        <f>IFERROR(__xludf.DUMMYFUNCTION("SPLIT(A6409,"" "")"),"Cc1cncc(CN(C)C2=CNC(CN(C)C(C)C(C)C)=CC2)c1")</f>
        <v>Cc1cncc(CN(C)C2=CNC(CN(C)C(C)C(C)C)=CC2)c1</v>
      </c>
      <c r="C6409" s="7">
        <f>IFERROR(__xludf.DUMMYFUNCTION("""COMPUTED_VALUE"""),7.7849555)</f>
        <v>7.7849555</v>
      </c>
      <c r="D6409" s="7">
        <f>IFERROR(__xludf.DUMMYFUNCTION("""COMPUTED_VALUE"""),0.184615384615384)</f>
        <v>0.1846153846</v>
      </c>
    </row>
    <row r="6410">
      <c r="A6410" s="10" t="s">
        <v>7849</v>
      </c>
      <c r="B6410" s="7" t="str">
        <f>IFERROR(__xludf.DUMMYFUNCTION("SPLIT(A6410,"" "")"),"Cc1ccc(CN(C)C2CCCC(N(Cc3ccccn3)Cc3nc(C)c(C)c(C)c3C)C2N(C)Cc2ccccn2)nc1")</f>
        <v>Cc1ccc(CN(C)C2CCCC(N(Cc3ccccn3)Cc3nc(C)c(C)c(C)c3C)C2N(C)Cc2ccccn2)nc1</v>
      </c>
      <c r="C6410" s="7">
        <f>IFERROR(__xludf.DUMMYFUNCTION("""COMPUTED_VALUE"""),7.7849545)</f>
        <v>7.7849545</v>
      </c>
      <c r="D6410" s="7">
        <f>IFERROR(__xludf.DUMMYFUNCTION("""COMPUTED_VALUE"""),0.5)</f>
        <v>0.5</v>
      </c>
    </row>
    <row r="6411">
      <c r="A6411" s="10" t="s">
        <v>7850</v>
      </c>
      <c r="B6411" s="7" t="str">
        <f>IFERROR(__xludf.DUMMYFUNCTION("SPLIT(A6411,"" "")"),"CN(CCNc1ccc2ncccc2c1)Cc1ncccc1-c1ccc2c(c1)OCCOCCOCCOCCOCCO2")</f>
        <v>CN(CCNc1ccc2ncccc2c1)Cc1ncccc1-c1ccc2c(c1)OCCOCCOCCOCCOCCO2</v>
      </c>
      <c r="C6411" s="7">
        <f>IFERROR(__xludf.DUMMYFUNCTION("""COMPUTED_VALUE"""),7.784951)</f>
        <v>7.784951</v>
      </c>
      <c r="D6411" s="7">
        <f>IFERROR(__xludf.DUMMYFUNCTION("""COMPUTED_VALUE"""),0.2875)</f>
        <v>0.2875</v>
      </c>
    </row>
    <row r="6412">
      <c r="A6412" s="10" t="s">
        <v>7851</v>
      </c>
      <c r="B6412" s="7" t="str">
        <f>IFERROR(__xludf.DUMMYFUNCTION("SPLIT(A6412,"" "")"),"Cc1cc2c(c(-c3ccc(CN(Cc4ccccn4)Cc4cccc(N(C)C)n4)nc3)c1)OCCOCCOCCOCCOCCO2")</f>
        <v>Cc1cc2c(c(-c3ccc(CN(Cc4ccccn4)Cc4cccc(N(C)C)n4)nc3)c1)OCCOCCOCCOCCOCCO2</v>
      </c>
      <c r="C6412" s="7">
        <f>IFERROR(__xludf.DUMMYFUNCTION("""COMPUTED_VALUE"""),7.784946)</f>
        <v>7.784946</v>
      </c>
      <c r="D6412" s="7">
        <f>IFERROR(__xludf.DUMMYFUNCTION("""COMPUTED_VALUE"""),0.351351351351351)</f>
        <v>0.3513513514</v>
      </c>
    </row>
    <row r="6413">
      <c r="A6413" s="10" t="s">
        <v>7852</v>
      </c>
      <c r="B6413" s="7" t="str">
        <f>IFERROR(__xludf.DUMMYFUNCTION("SPLIT(A6413,"" "")"),"Cc1ccc(CN(C)C2CCC(N(C)Cc3ccccn3)CC2N(Cc2ncccc2C)Cc2ncccc2C)nc1C")</f>
        <v>Cc1ccc(CN(C)C2CCC(N(C)Cc3ccccn3)CC2N(Cc2ncccc2C)Cc2ncccc2C)nc1C</v>
      </c>
      <c r="C6413" s="7">
        <f>IFERROR(__xludf.DUMMYFUNCTION("""COMPUTED_VALUE"""),7.7849445)</f>
        <v>7.7849445</v>
      </c>
      <c r="D6413" s="7">
        <f>IFERROR(__xludf.DUMMYFUNCTION("""COMPUTED_VALUE"""),0.473684210526315)</f>
        <v>0.4736842105</v>
      </c>
    </row>
    <row r="6414">
      <c r="A6414" s="10" t="s">
        <v>7853</v>
      </c>
      <c r="B6414" s="7" t="str">
        <f>IFERROR(__xludf.DUMMYFUNCTION("SPLIT(A6414,"" "")"),"Cc1cccnc1CN(C)CC1C=CNC(N(C)C(C)C)=C1")</f>
        <v>Cc1cccnc1CN(C)CC1C=CNC(N(C)C(C)C)=C1</v>
      </c>
      <c r="C6414" s="7">
        <f>IFERROR(__xludf.DUMMYFUNCTION("""COMPUTED_VALUE"""),7.784935)</f>
        <v>7.784935</v>
      </c>
      <c r="D6414" s="7">
        <f>IFERROR(__xludf.DUMMYFUNCTION("""COMPUTED_VALUE"""),0.280701754385964)</f>
        <v>0.2807017544</v>
      </c>
    </row>
    <row r="6415">
      <c r="A6415" s="10" t="s">
        <v>7854</v>
      </c>
      <c r="B6415" s="7" t="str">
        <f>IFERROR(__xludf.DUMMYFUNCTION("SPLIT(A6415,"" "")"),"CN(C)CCN(C)Cc1ncccc1C(C)(C)C")</f>
        <v>CN(C)CCN(C)Cc1ncccc1C(C)(C)C</v>
      </c>
      <c r="C6415" s="7">
        <f>IFERROR(__xludf.DUMMYFUNCTION("""COMPUTED_VALUE"""),7.784923)</f>
        <v>7.784923</v>
      </c>
      <c r="D6415" s="7">
        <f>IFERROR(__xludf.DUMMYFUNCTION("""COMPUTED_VALUE"""),0.41860465116279)</f>
        <v>0.4186046512</v>
      </c>
    </row>
    <row r="6416">
      <c r="A6416" s="10" t="s">
        <v>7855</v>
      </c>
      <c r="B6416" s="7" t="str">
        <f>IFERROR(__xludf.DUMMYFUNCTION("SPLIT(A6416,"" "")"),"CNCC1=CCC=C(N(C)C2C=CC=CN2)N1")</f>
        <v>CNCC1=CCC=C(N(C)C2C=CC=CN2)N1</v>
      </c>
      <c r="C6416" s="7">
        <f>IFERROR(__xludf.DUMMYFUNCTION("""COMPUTED_VALUE"""),7.7849145)</f>
        <v>7.7849145</v>
      </c>
      <c r="D6416" s="7">
        <f>IFERROR(__xludf.DUMMYFUNCTION("""COMPUTED_VALUE"""),0.21311475409836)</f>
        <v>0.2131147541</v>
      </c>
    </row>
    <row r="6417">
      <c r="A6417" s="10" t="s">
        <v>7856</v>
      </c>
      <c r="B6417" s="7" t="str">
        <f>IFERROR(__xludf.DUMMYFUNCTION("SPLIT(A6417,"" "")"),"CNC1CC(N(C)Cc2ncc(C)c(C)c2C)CC(N(C)Cc2ncc(C)c(C)c2C)C1")</f>
        <v>CNC1CC(N(C)Cc2ncc(C)c(C)c2C)CC(N(C)Cc2ncc(C)c(C)c2C)C1</v>
      </c>
      <c r="C6417" s="7">
        <f>IFERROR(__xludf.DUMMYFUNCTION("""COMPUTED_VALUE"""),7.784913)</f>
        <v>7.784913</v>
      </c>
      <c r="D6417" s="7">
        <f>IFERROR(__xludf.DUMMYFUNCTION("""COMPUTED_VALUE"""),0.288461538461538)</f>
        <v>0.2884615385</v>
      </c>
    </row>
    <row r="6418">
      <c r="A6418" s="10" t="s">
        <v>7857</v>
      </c>
      <c r="B6418" s="7" t="str">
        <f>IFERROR(__xludf.DUMMYFUNCTION("SPLIT(A6418,"" "")"),"CC(C)NCC1=C(N(C)C(C)C)CC=CN1")</f>
        <v>CC(C)NCC1=C(N(C)C(C)C)CC=CN1</v>
      </c>
      <c r="C6418" s="7">
        <f>IFERROR(__xludf.DUMMYFUNCTION("""COMPUTED_VALUE"""),7.7849083)</f>
        <v>7.7849083</v>
      </c>
      <c r="D6418" s="7">
        <f>IFERROR(__xludf.DUMMYFUNCTION("""COMPUTED_VALUE"""),0.18)</f>
        <v>0.18</v>
      </c>
    </row>
    <row r="6419">
      <c r="A6419" s="10" t="s">
        <v>7858</v>
      </c>
      <c r="B6419" s="7" t="str">
        <f>IFERROR(__xludf.DUMMYFUNCTION("SPLIT(A6419,"" "")"),"Cc1ccncc1CN(C)CCN(C)Cc1ncccc1C")</f>
        <v>Cc1ccncc1CN(C)CCN(C)Cc1ncccc1C</v>
      </c>
      <c r="C6419" s="7">
        <f>IFERROR(__xludf.DUMMYFUNCTION("""COMPUTED_VALUE"""),7.7849073)</f>
        <v>7.7849073</v>
      </c>
      <c r="D6419" s="7">
        <f>IFERROR(__xludf.DUMMYFUNCTION("""COMPUTED_VALUE"""),0.444444444444444)</f>
        <v>0.4444444444</v>
      </c>
    </row>
    <row r="6420">
      <c r="A6420" s="10" t="s">
        <v>7859</v>
      </c>
      <c r="B6420" s="7" t="str">
        <f>IFERROR(__xludf.DUMMYFUNCTION("SPLIT(A6420,"" "")"),"COc1ccnc(CN(Cc2cccc(F)n2)C2CCCCC2N(C)Cc2cc(C)c(C)c(C)n2)c1")</f>
        <v>COc1ccnc(CN(Cc2cccc(F)n2)C2CCCCC2N(C)Cc2cc(C)c(C)c(C)n2)c1</v>
      </c>
      <c r="C6420" s="7">
        <f>IFERROR(__xludf.DUMMYFUNCTION("""COMPUTED_VALUE"""),7.7849064)</f>
        <v>7.7849064</v>
      </c>
      <c r="D6420" s="7">
        <f>IFERROR(__xludf.DUMMYFUNCTION("""COMPUTED_VALUE"""),0.421875)</f>
        <v>0.421875</v>
      </c>
    </row>
    <row r="6421">
      <c r="A6421" s="10" t="s">
        <v>7860</v>
      </c>
      <c r="B6421" s="7" t="str">
        <f>IFERROR(__xludf.DUMMYFUNCTION("SPLIT(A6421,"" "")"),"CN(Cc1ncccc1C(C)(C)c1ccccn1)C1CCC(N(Cc2ccccn2)C(C)(C)c2ccccn2)CC1")</f>
        <v>CN(Cc1ncccc1C(C)(C)c1ccccn1)C1CCC(N(Cc2ccccn2)C(C)(C)c2ccccn2)CC1</v>
      </c>
      <c r="C6421" s="7">
        <f>IFERROR(__xludf.DUMMYFUNCTION("""COMPUTED_VALUE"""),7.7849064)</f>
        <v>7.7849064</v>
      </c>
      <c r="D6421" s="7">
        <f>IFERROR(__xludf.DUMMYFUNCTION("""COMPUTED_VALUE"""),0.403508771929824)</f>
        <v>0.4035087719</v>
      </c>
    </row>
    <row r="6422">
      <c r="A6422" s="10" t="s">
        <v>7861</v>
      </c>
      <c r="B6422" s="7" t="str">
        <f>IFERROR(__xludf.DUMMYFUNCTION("SPLIT(A6422,"" "")"),"CC1=CC(C)C(C)(c2cccc(CN(C)Cc3ccccn3)n2)CC1")</f>
        <v>CC1=CC(C)C(C)(c2cccc(CN(C)Cc3ccccn3)n2)CC1</v>
      </c>
      <c r="C6422" s="7">
        <f>IFERROR(__xludf.DUMMYFUNCTION("""COMPUTED_VALUE"""),7.784905)</f>
        <v>7.784905</v>
      </c>
      <c r="D6422" s="7">
        <f>IFERROR(__xludf.DUMMYFUNCTION("""COMPUTED_VALUE"""),0.48076923076923)</f>
        <v>0.4807692308</v>
      </c>
    </row>
    <row r="6423">
      <c r="A6423" s="10" t="s">
        <v>7862</v>
      </c>
      <c r="B6423" s="7" t="str">
        <f>IFERROR(__xludf.DUMMYFUNCTION("SPLIT(A6423,"" "")"),"CC1C=C(N(C)C2CCCC(N(C)Cc3ccccn3)C2)c2ncccc2C1Cl")</f>
        <v>CC1C=C(N(C)C2CCCC(N(C)Cc3ccccn3)C2)c2ncccc2C1Cl</v>
      </c>
      <c r="C6423" s="7">
        <f>IFERROR(__xludf.DUMMYFUNCTION("""COMPUTED_VALUE"""),7.784903)</f>
        <v>7.784903</v>
      </c>
      <c r="D6423" s="7">
        <f>IFERROR(__xludf.DUMMYFUNCTION("""COMPUTED_VALUE"""),0.43859649122807)</f>
        <v>0.4385964912</v>
      </c>
    </row>
    <row r="6424">
      <c r="A6424" s="10" t="s">
        <v>7863</v>
      </c>
      <c r="B6424" s="7" t="str">
        <f>IFERROR(__xludf.DUMMYFUNCTION("SPLIT(A6424,"" "")"),"COC(C)c1cc(CN2CCN(C)CCN(Cc3ccc(C(C)(c4ccccn4)c4ccccn4)cn3)CC2)ccn1")</f>
        <v>COC(C)c1cc(CN2CCN(C)CCN(Cc3ccc(C(C)(c4ccccn4)c4ccccn4)cn3)CC2)ccn1</v>
      </c>
      <c r="C6424" s="7">
        <f>IFERROR(__xludf.DUMMYFUNCTION("""COMPUTED_VALUE"""),7.7849)</f>
        <v>7.7849</v>
      </c>
      <c r="D6424" s="7">
        <f>IFERROR(__xludf.DUMMYFUNCTION("""COMPUTED_VALUE"""),0.433333333333333)</f>
        <v>0.4333333333</v>
      </c>
    </row>
    <row r="6425">
      <c r="A6425" s="10" t="s">
        <v>7864</v>
      </c>
      <c r="B6425" s="7" t="str">
        <f>IFERROR(__xludf.DUMMYFUNCTION("SPLIT(A6425,"" "")"),"CCC1(C)COC(c2cccc(CN(Cc3ccccn3)Cc3cccc(-c4ccc5c(c4)OCCOCCOCCOCCOCCO5)n3)n2)=N1")</f>
        <v>CCC1(C)COC(c2cccc(CN(Cc3ccccn3)Cc3cccc(-c4ccc5c(c4)OCCOCCOCCOCCOCCO5)n3)n2)=N1</v>
      </c>
      <c r="C6425" s="7">
        <f>IFERROR(__xludf.DUMMYFUNCTION("""COMPUTED_VALUE"""),7.7848854)</f>
        <v>7.7848854</v>
      </c>
      <c r="D6425" s="7">
        <f>IFERROR(__xludf.DUMMYFUNCTION("""COMPUTED_VALUE"""),0.442857142857142)</f>
        <v>0.4428571429</v>
      </c>
    </row>
    <row r="6426">
      <c r="A6426" s="10" t="s">
        <v>7865</v>
      </c>
      <c r="B6426" s="7" t="str">
        <f>IFERROR(__xludf.DUMMYFUNCTION("SPLIT(A6426,"" "")"),"CC(N)C(C)N(C)CC1=CCC=C(N(C)Cc2ccccn2)N1")</f>
        <v>CC(N)C(C)N(C)CC1=CCC=C(N(C)Cc2ccccn2)N1</v>
      </c>
      <c r="C6426" s="7">
        <f>IFERROR(__xludf.DUMMYFUNCTION("""COMPUTED_VALUE"""),7.7848835)</f>
        <v>7.7848835</v>
      </c>
      <c r="D6426" s="7">
        <f>IFERROR(__xludf.DUMMYFUNCTION("""COMPUTED_VALUE"""),0.396551724137931)</f>
        <v>0.3965517241</v>
      </c>
    </row>
    <row r="6427">
      <c r="A6427" s="10" t="s">
        <v>7866</v>
      </c>
      <c r="B6427" s="7" t="str">
        <f>IFERROR(__xludf.DUMMYFUNCTION("SPLIT(A6427,"" "")"),"CNCc1cc(CN(Cc2nc(C)c(C)c(C)c2C)C2CCCCC2N(C)Cc2nc(C)c(C)c(C)c2C)ccn1")</f>
        <v>CNCc1cc(CN(Cc2nc(C)c(C)c(C)c2C)C2CCCCC2N(C)Cc2nc(C)c(C)c(C)c2C)ccn1</v>
      </c>
      <c r="C6427" s="7">
        <f>IFERROR(__xludf.DUMMYFUNCTION("""COMPUTED_VALUE"""),7.784879)</f>
        <v>7.784879</v>
      </c>
      <c r="D6427" s="7">
        <f>IFERROR(__xludf.DUMMYFUNCTION("""COMPUTED_VALUE"""),0.389830508474576)</f>
        <v>0.3898305085</v>
      </c>
    </row>
    <row r="6428">
      <c r="A6428" s="10" t="s">
        <v>7867</v>
      </c>
      <c r="B6428" s="7" t="str">
        <f>IFERROR(__xludf.DUMMYFUNCTION("SPLIT(A6428,"" "")"),"CC1=CC(C)CC(C)C12C(c1ccc(CN(Cc3ccccn3)Cc3ccccn3)cn1)C(c1ccc(CN(Cc3ccccn3)C3CCCCC3)cn1)C=CC21CCC(C)=C(C)C1C")</f>
        <v>CC1=CC(C)CC(C)C12C(c1ccc(CN(Cc3ccccn3)Cc3ccccn3)cn1)C(c1ccc(CN(Cc3ccccn3)C3CCCCC3)cn1)C=CC21CCC(C)=C(C)C1C</v>
      </c>
      <c r="C6428" s="7">
        <f>IFERROR(__xludf.DUMMYFUNCTION("""COMPUTED_VALUE"""),7.784874)</f>
        <v>7.784874</v>
      </c>
      <c r="D6428" s="7">
        <f>IFERROR(__xludf.DUMMYFUNCTION("""COMPUTED_VALUE"""),0.267441860465116)</f>
        <v>0.2674418605</v>
      </c>
    </row>
    <row r="6429">
      <c r="A6429" s="10" t="s">
        <v>7868</v>
      </c>
      <c r="B6429" s="7" t="str">
        <f>IFERROR(__xludf.DUMMYFUNCTION("SPLIT(A6429,"" "")"),"Cc1ccnc(CN(C)C2C=CNC(C(C)C)=C2)c1")</f>
        <v>Cc1ccnc(CN(C)C2C=CNC(C(C)C)=C2)c1</v>
      </c>
      <c r="C6429" s="7">
        <f>IFERROR(__xludf.DUMMYFUNCTION("""COMPUTED_VALUE"""),7.7848654)</f>
        <v>7.7848654</v>
      </c>
      <c r="D6429" s="7">
        <f>IFERROR(__xludf.DUMMYFUNCTION("""COMPUTED_VALUE"""),0.309090909090909)</f>
        <v>0.3090909091</v>
      </c>
    </row>
    <row r="6430">
      <c r="A6430" s="10" t="s">
        <v>7869</v>
      </c>
      <c r="B6430" s="7" t="str">
        <f>IFERROR(__xludf.DUMMYFUNCTION("SPLIT(A6430,"" "")"),"Cc1ccnc2cccc(N(C)CCN3CCN(C)CCN(C)CC3)c12")</f>
        <v>Cc1ccnc2cccc(N(C)CCN3CCN(C)CCN(C)CC3)c12</v>
      </c>
      <c r="C6430" s="7">
        <f>IFERROR(__xludf.DUMMYFUNCTION("""COMPUTED_VALUE"""),7.784865)</f>
        <v>7.784865</v>
      </c>
      <c r="D6430" s="7">
        <f>IFERROR(__xludf.DUMMYFUNCTION("""COMPUTED_VALUE"""),0.365384615384615)</f>
        <v>0.3653846154</v>
      </c>
    </row>
    <row r="6431">
      <c r="A6431" s="10" t="s">
        <v>7870</v>
      </c>
      <c r="B6431" s="7" t="str">
        <f>IFERROR(__xludf.DUMMYFUNCTION("SPLIT(A6431,"" "")"),"Cc1ccc(CN(C)C2CC(N(C)Cc3ccccn3)CC(N(Cc3cccc(C)n3)Cc3cccc(C)n3)C2)nc1")</f>
        <v>Cc1ccc(CN(C)C2CC(N(C)Cc3ccccn3)CC(N(Cc3cccc(C)n3)Cc3cccc(C)n3)C2)nc1</v>
      </c>
      <c r="C6431" s="7">
        <f>IFERROR(__xludf.DUMMYFUNCTION("""COMPUTED_VALUE"""),7.78486)</f>
        <v>7.78486</v>
      </c>
      <c r="D6431" s="7">
        <f>IFERROR(__xludf.DUMMYFUNCTION("""COMPUTED_VALUE"""),0.444444444444444)</f>
        <v>0.4444444444</v>
      </c>
    </row>
    <row r="6432">
      <c r="A6432" s="10" t="s">
        <v>7871</v>
      </c>
      <c r="B6432" s="7" t="str">
        <f>IFERROR(__xludf.DUMMYFUNCTION("SPLIT(A6432,"" "")"),"CC1=CC2(C=CNC(C(C)C)=C2)C(c2ccccn2)CC1C")</f>
        <v>CC1=CC2(C=CNC(C(C)C)=C2)C(c2ccccn2)CC1C</v>
      </c>
      <c r="C6432" s="7">
        <f>IFERROR(__xludf.DUMMYFUNCTION("""COMPUTED_VALUE"""),7.784853)</f>
        <v>7.784853</v>
      </c>
      <c r="D6432" s="7">
        <f>IFERROR(__xludf.DUMMYFUNCTION("""COMPUTED_VALUE"""),0.260869565217391)</f>
        <v>0.2608695652</v>
      </c>
    </row>
    <row r="6433">
      <c r="A6433" s="10" t="s">
        <v>7872</v>
      </c>
      <c r="B6433" s="7" t="str">
        <f>IFERROR(__xludf.DUMMYFUNCTION("SPLIT(A6433,"" "")"),"CC1CCC1N(Cc1ccccn1)C1CCC(N(C)c2ccc3ncc(CF)cc3c2)CC1")</f>
        <v>CC1CCC1N(Cc1ccccn1)C1CCC(N(C)c2ccc3ncc(CF)cc3c2)CC1</v>
      </c>
      <c r="C6433" s="7">
        <f>IFERROR(__xludf.DUMMYFUNCTION("""COMPUTED_VALUE"""),7.784836)</f>
        <v>7.784836</v>
      </c>
      <c r="D6433" s="7">
        <f>IFERROR(__xludf.DUMMYFUNCTION("""COMPUTED_VALUE"""),0.353846153846153)</f>
        <v>0.3538461538</v>
      </c>
    </row>
    <row r="6434">
      <c r="A6434" s="10" t="s">
        <v>7873</v>
      </c>
      <c r="B6434" s="7" t="str">
        <f>IFERROR(__xludf.DUMMYFUNCTION("SPLIT(A6434,"" "")"),"COCC(C)(CN(Cc1ccccn1)Cc1ccccn1)c1cccc(C2CCC2(C)C)n1")</f>
        <v>COCC(C)(CN(Cc1ccccn1)Cc1ccccn1)c1cccc(C2CCC2(C)C)n1</v>
      </c>
      <c r="C6434" s="7">
        <f>IFERROR(__xludf.DUMMYFUNCTION("""COMPUTED_VALUE"""),7.784831)</f>
        <v>7.784831</v>
      </c>
      <c r="D6434" s="7">
        <f>IFERROR(__xludf.DUMMYFUNCTION("""COMPUTED_VALUE"""),0.383333333333333)</f>
        <v>0.3833333333</v>
      </c>
    </row>
    <row r="6435">
      <c r="A6435" s="10" t="s">
        <v>7874</v>
      </c>
      <c r="B6435" s="7" t="str">
        <f>IFERROR(__xludf.DUMMYFUNCTION("SPLIT(A6435,"" "")"),"Cc1c(CN(C)C2CCC(N(Cc3ccccn3)Cc3ccc([Si](C(C)C)(C(C)C)C(C)C)cn3)CC2)nc([SiH3])c([SiH3])c1[SiH3]")</f>
        <v>Cc1c(CN(C)C2CCC(N(Cc3ccccn3)Cc3ccc([Si](C(C)C)(C(C)C)C(C)C)cn3)CC2)nc([SiH3])c([SiH3])c1[SiH3]</v>
      </c>
      <c r="C6435" s="7">
        <f>IFERROR(__xludf.DUMMYFUNCTION("""COMPUTED_VALUE"""),7.7848215)</f>
        <v>7.7848215</v>
      </c>
      <c r="D6435" s="7">
        <f>IFERROR(__xludf.DUMMYFUNCTION("""COMPUTED_VALUE"""),0.387096774193548)</f>
        <v>0.3870967742</v>
      </c>
    </row>
    <row r="6436">
      <c r="A6436" s="10" t="s">
        <v>7875</v>
      </c>
      <c r="B6436" s="7" t="str">
        <f>IFERROR(__xludf.DUMMYFUNCTION("SPLIT(A6436,"" "")"),"CN(C)Cc1ccc2cc(N(C)C3CCCCC3N(C)CCF)ccc2n1")</f>
        <v>CN(C)Cc1ccc2cc(N(C)C3CCCCC3N(C)CCF)ccc2n1</v>
      </c>
      <c r="C6436" s="7">
        <f>IFERROR(__xludf.DUMMYFUNCTION("""COMPUTED_VALUE"""),7.7848034)</f>
        <v>7.7848034</v>
      </c>
      <c r="D6436" s="7">
        <f>IFERROR(__xludf.DUMMYFUNCTION("""COMPUTED_VALUE"""),0.421052631578947)</f>
        <v>0.4210526316</v>
      </c>
    </row>
    <row r="6437">
      <c r="A6437" s="10" t="s">
        <v>7876</v>
      </c>
      <c r="B6437" s="7" t="str">
        <f>IFERROR(__xludf.DUMMYFUNCTION("SPLIT(A6437,"" "")"),"CN(Cc1ccccn1)Cc1ccc(N(C)Cc2ccc(-c3cccc4c3OCCOCCOCCOCCOCCO4)cn2)cn1")</f>
        <v>CN(Cc1ccccn1)Cc1ccc(N(C)Cc2ccc(-c3cccc4c3OCCOCCOCCOCCOCCO4)cn2)cn1</v>
      </c>
      <c r="C6437" s="7">
        <f>IFERROR(__xludf.DUMMYFUNCTION("""COMPUTED_VALUE"""),7.7848015)</f>
        <v>7.7848015</v>
      </c>
      <c r="D6437" s="7">
        <f>IFERROR(__xludf.DUMMYFUNCTION("""COMPUTED_VALUE"""),0.370967741935483)</f>
        <v>0.3709677419</v>
      </c>
    </row>
    <row r="6438">
      <c r="A6438" s="10" t="s">
        <v>7877</v>
      </c>
      <c r="B6438" s="7" t="str">
        <f>IFERROR(__xludf.DUMMYFUNCTION("SPLIT(A6438,"" "")"),"Cc1cnc(C)c(CN(C)C2CCCC(N(Cc3ccccn3)Cc3ccccn3)C2N(Cc2ccccn2)C(C)(C)c2ccccn2)c1")</f>
        <v>Cc1cnc(C)c(CN(C)C2CCCC(N(Cc3ccccn3)Cc3ccccn3)C2N(Cc2ccccn2)C(C)(C)c2ccccn2)c1</v>
      </c>
      <c r="C6438" s="7">
        <f>IFERROR(__xludf.DUMMYFUNCTION("""COMPUTED_VALUE"""),7.7848005)</f>
        <v>7.7848005</v>
      </c>
      <c r="D6438" s="7">
        <f>IFERROR(__xludf.DUMMYFUNCTION("""COMPUTED_VALUE"""),0.435483870967741)</f>
        <v>0.435483871</v>
      </c>
    </row>
    <row r="6439">
      <c r="A6439" s="10" t="s">
        <v>7878</v>
      </c>
      <c r="B6439" s="7" t="str">
        <f>IFERROR(__xludf.DUMMYFUNCTION("SPLIT(A6439,"" "")"),"CN(Cc1ccccn1)Cc1cc(N(C)Cc2cccc(-c3ccc4c(c3)OCCOCCOCCOCCOCCO4)n2)ccn1")</f>
        <v>CN(Cc1ccccn1)Cc1cc(N(C)Cc2cccc(-c3ccc4c(c3)OCCOCCOCCOCCOCCO4)n2)ccn1</v>
      </c>
      <c r="C6439" s="7">
        <f>IFERROR(__xludf.DUMMYFUNCTION("""COMPUTED_VALUE"""),7.7847986)</f>
        <v>7.7847986</v>
      </c>
      <c r="D6439" s="7">
        <f>IFERROR(__xludf.DUMMYFUNCTION("""COMPUTED_VALUE"""),0.47457627118644)</f>
        <v>0.4745762712</v>
      </c>
    </row>
    <row r="6440">
      <c r="A6440" s="10" t="s">
        <v>7879</v>
      </c>
      <c r="B6440" s="7" t="str">
        <f>IFERROR(__xludf.DUMMYFUNCTION("SPLIT(A6440,"" "")"),"COC(=O)C(=O)C(C)CNCc1ccccn1")</f>
        <v>COC(=O)C(=O)C(C)CNCc1ccccn1</v>
      </c>
      <c r="C6440" s="7">
        <f>IFERROR(__xludf.DUMMYFUNCTION("""COMPUTED_VALUE"""),7.784791)</f>
        <v>7.784791</v>
      </c>
      <c r="D6440" s="7">
        <f>IFERROR(__xludf.DUMMYFUNCTION("""COMPUTED_VALUE"""),0.475)</f>
        <v>0.475</v>
      </c>
    </row>
    <row r="6441">
      <c r="A6441" s="10" t="s">
        <v>7880</v>
      </c>
      <c r="B6441" s="7" t="str">
        <f>IFERROR(__xludf.DUMMYFUNCTION("SPLIT(A6441,"" "")"),"CC(C)C(C)N(C)Cc1cccc(-c2cccc(N(C)Cc3cccc(-c4ccc5c(c4)OCCOCCOCCOCCOCCO5)n3)c2)n1")</f>
        <v>CC(C)C(C)N(C)Cc1cccc(-c2cccc(N(C)Cc3cccc(-c4ccc5c(c4)OCCOCCOCCOCCOCCO5)n3)c2)n1</v>
      </c>
      <c r="C6441" s="7">
        <f>IFERROR(__xludf.DUMMYFUNCTION("""COMPUTED_VALUE"""),7.784789)</f>
        <v>7.784789</v>
      </c>
      <c r="D6441" s="7">
        <f>IFERROR(__xludf.DUMMYFUNCTION("""COMPUTED_VALUE"""),0.306666666666666)</f>
        <v>0.3066666667</v>
      </c>
    </row>
    <row r="6442">
      <c r="A6442" s="10" t="s">
        <v>7881</v>
      </c>
      <c r="B6442" s="7" t="str">
        <f>IFERROR(__xludf.DUMMYFUNCTION("SPLIT(A6442,"" "")"),"Cc1cnc(CN(C)C2CCCC(N(C)Cc3ccc(C4=CCC=CN4)cn3)C2)c(C)c1C")</f>
        <v>Cc1cnc(CN(C)C2CCCC(N(C)Cc3ccc(C4=CCC=CN4)cn3)C2)c(C)c1C</v>
      </c>
      <c r="C6442" s="7">
        <f>IFERROR(__xludf.DUMMYFUNCTION("""COMPUTED_VALUE"""),7.7847886)</f>
        <v>7.7847886</v>
      </c>
      <c r="D6442" s="7">
        <f>IFERROR(__xludf.DUMMYFUNCTION("""COMPUTED_VALUE"""),0.349206349206349)</f>
        <v>0.3492063492</v>
      </c>
    </row>
    <row r="6443">
      <c r="A6443" s="10" t="s">
        <v>7882</v>
      </c>
      <c r="B6443" s="7" t="str">
        <f>IFERROR(__xludf.DUMMYFUNCTION("SPLIT(A6443,"" "")"),"Cc1ccccc1CN(C)Cc1cc(C(C)(C)C(C)C)ccn1")</f>
        <v>Cc1ccccc1CN(C)Cc1cc(C(C)(C)C(C)C)ccn1</v>
      </c>
      <c r="C6443" s="7">
        <f>IFERROR(__xludf.DUMMYFUNCTION("""COMPUTED_VALUE"""),7.7847853)</f>
        <v>7.7847853</v>
      </c>
      <c r="D6443" s="7">
        <f>IFERROR(__xludf.DUMMYFUNCTION("""COMPUTED_VALUE"""),0.358490566037735)</f>
        <v>0.358490566</v>
      </c>
    </row>
    <row r="6444">
      <c r="A6444" s="10" t="s">
        <v>7883</v>
      </c>
      <c r="B6444" s="7" t="str">
        <f>IFERROR(__xludf.DUMMYFUNCTION("SPLIT(A6444,"" "")"),"CNCc1ncccc1F")</f>
        <v>CNCc1ncccc1F</v>
      </c>
      <c r="C6444" s="7">
        <f>IFERROR(__xludf.DUMMYFUNCTION("""COMPUTED_VALUE"""),7.784785)</f>
        <v>7.784785</v>
      </c>
      <c r="D6444" s="7">
        <f>IFERROR(__xludf.DUMMYFUNCTION("""COMPUTED_VALUE"""),0.305555555555555)</f>
        <v>0.3055555556</v>
      </c>
    </row>
    <row r="6445">
      <c r="A6445" s="10" t="s">
        <v>7884</v>
      </c>
      <c r="B6445" s="7" t="str">
        <f>IFERROR(__xludf.DUMMYFUNCTION("SPLIT(A6445,"" "")"),"CN(Cc1ccccn1)Cc1ccc(N(C)Cc2ncccc2-c2cccc3c2OCCOCCOCCOCCOCCO3)cn1")</f>
        <v>CN(Cc1ccccn1)Cc1ccc(N(C)Cc2ncccc2-c2cccc3c2OCCOCCOCCOCCOCCO3)cn1</v>
      </c>
      <c r="C6445" s="7">
        <f>IFERROR(__xludf.DUMMYFUNCTION("""COMPUTED_VALUE"""),7.7847805)</f>
        <v>7.7847805</v>
      </c>
      <c r="D6445" s="7">
        <f>IFERROR(__xludf.DUMMYFUNCTION("""COMPUTED_VALUE"""),0.365079365079365)</f>
        <v>0.3650793651</v>
      </c>
    </row>
    <row r="6446">
      <c r="A6446" s="10" t="s">
        <v>7885</v>
      </c>
      <c r="B6446" s="7" t="str">
        <f>IFERROR(__xludf.DUMMYFUNCTION("SPLIT(A6446,"" "")"),"CC(C)c1cccc(CN(Cc2cccc(-c3ccc4c(c3)OCCOCCOCCOCCOCCO4)n2)C2CCC(N(C)c3ccc4nc(CF)ccc4c3)CC2)n1")</f>
        <v>CC(C)c1cccc(CN(Cc2cccc(-c3ccc4c(c3)OCCOCCOCCOCCOCCO4)n2)C2CCC(N(C)c3ccc4nc(CF)ccc4c3)CC2)n1</v>
      </c>
      <c r="C6446" s="7">
        <f>IFERROR(__xludf.DUMMYFUNCTION("""COMPUTED_VALUE"""),7.7847776)</f>
        <v>7.7847776</v>
      </c>
      <c r="D6446" s="7">
        <f>IFERROR(__xludf.DUMMYFUNCTION("""COMPUTED_VALUE"""),0.292134831460674)</f>
        <v>0.2921348315</v>
      </c>
    </row>
    <row r="6447">
      <c r="A6447" s="10" t="s">
        <v>7886</v>
      </c>
      <c r="B6447" s="7" t="str">
        <f>IFERROR(__xludf.DUMMYFUNCTION("SPLIT(A6447,"" "")"),"Cc1cc(C)c(CN(C)C2CCC(N(Cc3ncccc3C)Cc3ncc(C)c(C)c3C)CC2)nc1C")</f>
        <v>Cc1cc(C)c(CN(C)C2CCC(N(Cc3ncccc3C)Cc3ncc(C)c(C)c3C)CC2)nc1C</v>
      </c>
      <c r="C6447" s="7">
        <f>IFERROR(__xludf.DUMMYFUNCTION("""COMPUTED_VALUE"""),7.784755)</f>
        <v>7.784755</v>
      </c>
      <c r="D6447" s="7">
        <f>IFERROR(__xludf.DUMMYFUNCTION("""COMPUTED_VALUE"""),0.285714285714285)</f>
        <v>0.2857142857</v>
      </c>
    </row>
    <row r="6448">
      <c r="A6448" s="10" t="s">
        <v>7887</v>
      </c>
      <c r="B6448" s="7" t="str">
        <f>IFERROR(__xludf.DUMMYFUNCTION("SPLIT(A6448,"" "")"),"CC1=NCC(C(C)N=Cc2ccccn2)O1")</f>
        <v>CC1=NCC(C(C)N=Cc2ccccn2)O1</v>
      </c>
      <c r="C6448" s="7">
        <f>IFERROR(__xludf.DUMMYFUNCTION("""COMPUTED_VALUE"""),7.784745)</f>
        <v>7.784745</v>
      </c>
      <c r="D6448" s="7">
        <f>IFERROR(__xludf.DUMMYFUNCTION("""COMPUTED_VALUE"""),0.372549019607843)</f>
        <v>0.3725490196</v>
      </c>
    </row>
    <row r="6449">
      <c r="A6449" s="10" t="s">
        <v>7888</v>
      </c>
      <c r="B6449" s="7" t="str">
        <f>IFERROR(__xludf.DUMMYFUNCTION("SPLIT(A6449,"" "")"),"Cc1c(C)c(C)c(N(C)C2CCCCC2N(C)Cc2ccon2)c(C)c1C")</f>
        <v>Cc1c(C)c(C)c(N(C)C2CCCCC2N(C)Cc2ccon2)c(C)c1C</v>
      </c>
      <c r="C6449" s="7">
        <f>IFERROR(__xludf.DUMMYFUNCTION("""COMPUTED_VALUE"""),7.7847395)</f>
        <v>7.7847395</v>
      </c>
      <c r="D6449" s="7">
        <f>IFERROR(__xludf.DUMMYFUNCTION("""COMPUTED_VALUE"""),0.458333333333333)</f>
        <v>0.4583333333</v>
      </c>
    </row>
    <row r="6450">
      <c r="A6450" s="10" t="s">
        <v>7889</v>
      </c>
      <c r="B6450" s="7" t="str">
        <f>IFERROR(__xludf.DUMMYFUNCTION("SPLIT(A6450,"" "")"),"Cc1cccc(N(C)Cc2ccccn2)c1CN(C)Cc1ccc(-c2ccc3c(c2)OCCOCCOCCOCCOCCO3)cn1")</f>
        <v>Cc1cccc(N(C)Cc2ccccn2)c1CN(C)Cc1ccc(-c2ccc3c(c2)OCCOCCOCCOCCOCCO3)cn1</v>
      </c>
      <c r="C6450" s="7">
        <f>IFERROR(__xludf.DUMMYFUNCTION("""COMPUTED_VALUE"""),7.784739)</f>
        <v>7.784739</v>
      </c>
      <c r="D6450" s="7">
        <f>IFERROR(__xludf.DUMMYFUNCTION("""COMPUTED_VALUE"""),0.410958904109589)</f>
        <v>0.4109589041</v>
      </c>
    </row>
    <row r="6451">
      <c r="A6451" s="10" t="s">
        <v>7890</v>
      </c>
      <c r="B6451" s="7" t="str">
        <f>IFERROR(__xludf.DUMMYFUNCTION("SPLIT(A6451,"" "")"),"C=Cc1ccc(CN(Cc2ccccn2)C2CCC(N(C)Cc3ncc(C)c(C)c3C)CC2)nc1")</f>
        <v>C=Cc1ccc(CN(Cc2ccccn2)C2CCC(N(C)Cc3ncc(C)c(C)c3C)CC2)nc1</v>
      </c>
      <c r="C6451" s="7">
        <f>IFERROR(__xludf.DUMMYFUNCTION("""COMPUTED_VALUE"""),7.7847376)</f>
        <v>7.7847376</v>
      </c>
      <c r="D6451" s="7">
        <f>IFERROR(__xludf.DUMMYFUNCTION("""COMPUTED_VALUE"""),0.393939393939393)</f>
        <v>0.3939393939</v>
      </c>
    </row>
    <row r="6452">
      <c r="A6452" s="10" t="s">
        <v>7891</v>
      </c>
      <c r="B6452" s="7" t="str">
        <f>IFERROR(__xludf.DUMMYFUNCTION("SPLIT(A6452,"" "")"),"CN(Cc1ccccn1)Cc1ncccc1N(C)Cc1cccnc1-c1ccc2c(c1)OCCOCCOCCOCCOCCO2")</f>
        <v>CN(Cc1ccccn1)Cc1ncccc1N(C)Cc1cccnc1-c1ccc2c(c1)OCCOCCOCCOCCOCCO2</v>
      </c>
      <c r="C6452" s="7">
        <f>IFERROR(__xludf.DUMMYFUNCTION("""COMPUTED_VALUE"""),7.7847347)</f>
        <v>7.7847347</v>
      </c>
      <c r="D6452" s="7">
        <f>IFERROR(__xludf.DUMMYFUNCTION("""COMPUTED_VALUE"""),0.365079365079365)</f>
        <v>0.3650793651</v>
      </c>
    </row>
    <row r="6453">
      <c r="A6453" s="10" t="s">
        <v>7892</v>
      </c>
      <c r="B6453" s="7" t="str">
        <f>IFERROR(__xludf.DUMMYFUNCTION("SPLIT(A6453,"" "")"),"Cc1cccnc1CN(CCN(C)C(C)(c1cccnc1)C(C)C)Cc1ncccc1C")</f>
        <v>Cc1cccnc1CN(CCN(C)C(C)(c1cccnc1)C(C)C)Cc1ncccc1C</v>
      </c>
      <c r="C6453" s="7">
        <f>IFERROR(__xludf.DUMMYFUNCTION("""COMPUTED_VALUE"""),7.784733)</f>
        <v>7.784733</v>
      </c>
      <c r="D6453" s="7">
        <f>IFERROR(__xludf.DUMMYFUNCTION("""COMPUTED_VALUE"""),0.309090909090909)</f>
        <v>0.3090909091</v>
      </c>
    </row>
    <row r="6454">
      <c r="A6454" s="10" t="s">
        <v>7893</v>
      </c>
      <c r="B6454" s="7" t="str">
        <f>IFERROR(__xludf.DUMMYFUNCTION("SPLIT(A6454,"" "")"),"Cc1cncc(CN(C)C2CCCC(N(C)Cc3ccccn3)C2N(Cc2cc(C)c(C)c(C)n2)Cc2ncccc2C)c1")</f>
        <v>Cc1cncc(CN(C)C2CCCC(N(C)Cc3ccccn3)C2N(Cc2cc(C)c(C)c(C)n2)Cc2ncccc2C)c1</v>
      </c>
      <c r="C6454" s="7">
        <f>IFERROR(__xludf.DUMMYFUNCTION("""COMPUTED_VALUE"""),7.78473)</f>
        <v>7.78473</v>
      </c>
      <c r="D6454" s="7">
        <f>IFERROR(__xludf.DUMMYFUNCTION("""COMPUTED_VALUE"""),0.417910447761194)</f>
        <v>0.4179104478</v>
      </c>
    </row>
    <row r="6455">
      <c r="A6455" s="10" t="s">
        <v>7894</v>
      </c>
      <c r="B6455" s="7" t="str">
        <f>IFERROR(__xludf.DUMMYFUNCTION("SPLIT(A6455,"" "")"),"FCc1cc(-c2cc3c(cc2NCc2ccccn2)OCCOCCOCCOCCOCCO3)cc(NCc2ccccn2)n1")</f>
        <v>FCc1cc(-c2cc3c(cc2NCc2ccccn2)OCCOCCOCCOCCOCCO3)cc(NCc2ccccn2)n1</v>
      </c>
      <c r="C6455" s="7">
        <f>IFERROR(__xludf.DUMMYFUNCTION("""COMPUTED_VALUE"""),7.7847295)</f>
        <v>7.7847295</v>
      </c>
      <c r="D6455" s="7">
        <f>IFERROR(__xludf.DUMMYFUNCTION("""COMPUTED_VALUE"""),0.348484848484848)</f>
        <v>0.3484848485</v>
      </c>
    </row>
    <row r="6456">
      <c r="A6456" s="10" t="s">
        <v>7895</v>
      </c>
      <c r="B6456" s="7" t="str">
        <f>IFERROR(__xludf.DUMMYFUNCTION("SPLIT(A6456,"" "")"),"Cc1cc(CN(C)CCCN(C)Cc2nc(C)ccc2C)ccn1")</f>
        <v>Cc1cc(CN(C)CCCN(C)Cc2nc(C)ccc2C)ccn1</v>
      </c>
      <c r="C6456" s="7">
        <f>IFERROR(__xludf.DUMMYFUNCTION("""COMPUTED_VALUE"""),7.7847276)</f>
        <v>7.7847276</v>
      </c>
      <c r="D6456" s="7">
        <f>IFERROR(__xludf.DUMMYFUNCTION("""COMPUTED_VALUE"""),0.340425531914893)</f>
        <v>0.3404255319</v>
      </c>
    </row>
    <row r="6457">
      <c r="A6457" s="10" t="s">
        <v>7896</v>
      </c>
      <c r="B6457" s="7" t="str">
        <f>IFERROR(__xludf.DUMMYFUNCTION("SPLIT(A6457,"" "")"),"CN(CCN(Cc1ccccn1)c1ccc2c(c1)OCCOCCOCCOCCOCCO2)c1ccc2nc(CF)ccc2c1")</f>
        <v>CN(CCN(Cc1ccccn1)c1ccc2c(c1)OCCOCCOCCOCCOCCO2)c1ccc2nc(CF)ccc2c1</v>
      </c>
      <c r="C6457" s="7">
        <f>IFERROR(__xludf.DUMMYFUNCTION("""COMPUTED_VALUE"""),7.7847157)</f>
        <v>7.7847157</v>
      </c>
      <c r="D6457" s="7">
        <f>IFERROR(__xludf.DUMMYFUNCTION("""COMPUTED_VALUE"""),0.359375)</f>
        <v>0.359375</v>
      </c>
    </row>
    <row r="6458">
      <c r="A6458" s="10" t="s">
        <v>7897</v>
      </c>
      <c r="B6458" s="7" t="str">
        <f>IFERROR(__xludf.DUMMYFUNCTION("SPLIT(A6458,"" "")"),"CC(N)N(Cc1ccccn1)C(C)(N)N(C(C)C)C(C)C")</f>
        <v>CC(N)N(Cc1ccccn1)C(C)(N)N(C(C)C)C(C)C</v>
      </c>
      <c r="C6458" s="7">
        <f>IFERROR(__xludf.DUMMYFUNCTION("""COMPUTED_VALUE"""),7.784697)</f>
        <v>7.784697</v>
      </c>
      <c r="D6458" s="7">
        <f>IFERROR(__xludf.DUMMYFUNCTION("""COMPUTED_VALUE"""),0.5)</f>
        <v>0.5</v>
      </c>
    </row>
    <row r="6459">
      <c r="A6459" s="10" t="s">
        <v>7898</v>
      </c>
      <c r="B6459" s="7" t="str">
        <f>IFERROR(__xludf.DUMMYFUNCTION("SPLIT(A6459,"" "")"),"CN(C)Cc1ccc2cc(N(C)C3CCC(N(Cc4ccccn4)Cc4cccc(-c5ccc6c(c5)OCCOCCOCCOCCOCCO6)n4)CC3)ccc2n1")</f>
        <v>CN(C)Cc1ccc2cc(N(C)C3CCC(N(Cc4ccccn4)Cc4cccc(-c5ccc6c(c5)OCCOCCOCCOCCOCCO6)n4)CC3)ccc2n1</v>
      </c>
      <c r="C6459" s="7">
        <f>IFERROR(__xludf.DUMMYFUNCTION("""COMPUTED_VALUE"""),7.7846956)</f>
        <v>7.7846956</v>
      </c>
      <c r="D6459" s="7">
        <f>IFERROR(__xludf.DUMMYFUNCTION("""COMPUTED_VALUE"""),0.35)</f>
        <v>0.35</v>
      </c>
    </row>
    <row r="6460">
      <c r="A6460" s="10" t="s">
        <v>7899</v>
      </c>
      <c r="B6460" s="7" t="str">
        <f>IFERROR(__xludf.DUMMYFUNCTION("SPLIT(A6460,"" "")"),"Cc1cc(C)c(C)c(CN(C)C2C=CNC(CN(C)C(C)C(C)C)=C2)n1")</f>
        <v>Cc1cc(C)c(C)c(CN(C)C2C=CNC(CN(C)C(C)C(C)C)=C2)n1</v>
      </c>
      <c r="C6460" s="7">
        <f>IFERROR(__xludf.DUMMYFUNCTION("""COMPUTED_VALUE"""),7.78468)</f>
        <v>7.78468</v>
      </c>
      <c r="D6460" s="7">
        <f>IFERROR(__xludf.DUMMYFUNCTION("""COMPUTED_VALUE"""),0.285714285714285)</f>
        <v>0.2857142857</v>
      </c>
    </row>
    <row r="6461">
      <c r="A6461" s="10" t="s">
        <v>7900</v>
      </c>
      <c r="B6461" s="7" t="str">
        <f>IFERROR(__xludf.DUMMYFUNCTION("SPLIT(A6461,"" "")"),"CC1=CCC(N(C)CC2=C(N(C)Cc3ncccc3C)CC=CN2)C(C)C1")</f>
        <v>CC1=CCC(N(C)CC2=C(N(C)Cc3ncccc3C)CC=CN2)C(C)C1</v>
      </c>
      <c r="C6461" s="7">
        <f>IFERROR(__xludf.DUMMYFUNCTION("""COMPUTED_VALUE"""),7.7846766)</f>
        <v>7.7846766</v>
      </c>
      <c r="D6461" s="7">
        <f>IFERROR(__xludf.DUMMYFUNCTION("""COMPUTED_VALUE"""),0.26865671641791)</f>
        <v>0.2686567164</v>
      </c>
    </row>
    <row r="6462">
      <c r="A6462" s="10" t="s">
        <v>7901</v>
      </c>
      <c r="B6462" s="7" t="str">
        <f>IFERROR(__xludf.DUMMYFUNCTION("SPLIT(A6462,"" "")"),"CC(C)C(C)(c1cccnc1)N(Cc1ccccn1)Cc1cccc(N(C)Cc2cccc(-c3ccc4c(c3)OCCOCCOCCOCCOCCO4)n2)n1")</f>
        <v>CC(C)C(C)(c1cccnc1)N(Cc1ccccn1)Cc1cccc(N(C)Cc2cccc(-c3ccc4c(c3)OCCOCCOCCOCCOCCO4)n2)n1</v>
      </c>
      <c r="C6462" s="7">
        <f>IFERROR(__xludf.DUMMYFUNCTION("""COMPUTED_VALUE"""),7.7846694)</f>
        <v>7.7846694</v>
      </c>
      <c r="D6462" s="7">
        <f>IFERROR(__xludf.DUMMYFUNCTION("""COMPUTED_VALUE"""),0.337349397590361)</f>
        <v>0.3373493976</v>
      </c>
    </row>
    <row r="6463">
      <c r="A6463" s="10" t="s">
        <v>7902</v>
      </c>
      <c r="B6463" s="7" t="str">
        <f>IFERROR(__xludf.DUMMYFUNCTION("SPLIT(A6463,"" "")"),"CN1CCN(CC2=CCC=CN2)CCN(Cc2ccc(-c3cccc(NCc4ccccn4)c3)cn2)CC1")</f>
        <v>CN1CCN(CC2=CCC=CN2)CCN(Cc2ccc(-c3cccc(NCc4ccccn4)c3)cn2)CC1</v>
      </c>
      <c r="C6463" s="7">
        <f>IFERROR(__xludf.DUMMYFUNCTION("""COMPUTED_VALUE"""),7.7846694)</f>
        <v>7.7846694</v>
      </c>
      <c r="D6463" s="7">
        <f>IFERROR(__xludf.DUMMYFUNCTION("""COMPUTED_VALUE"""),0.444444444444444)</f>
        <v>0.4444444444</v>
      </c>
    </row>
    <row r="6464">
      <c r="A6464" s="10" t="s">
        <v>7903</v>
      </c>
      <c r="B6464" s="7" t="str">
        <f>IFERROR(__xludf.DUMMYFUNCTION("SPLIT(A6464,"" "")"),"Cc1cccnc1CN(C)C1CCCC(N(C)Cc2ccccn2)C1N(Cc1ccccn1)Cc1nc(C)c(C)c(C)c1C")</f>
        <v>Cc1cccnc1CN(C)C1CCCC(N(C)Cc2ccccn2)C1N(Cc1ccccn1)Cc1nc(C)c(C)c(C)c1C</v>
      </c>
      <c r="C6464" s="7">
        <f>IFERROR(__xludf.DUMMYFUNCTION("""COMPUTED_VALUE"""),7.78466)</f>
        <v>7.78466</v>
      </c>
      <c r="D6464" s="7">
        <f>IFERROR(__xludf.DUMMYFUNCTION("""COMPUTED_VALUE"""),0.5)</f>
        <v>0.5</v>
      </c>
    </row>
    <row r="6465">
      <c r="A6465" s="10" t="s">
        <v>7904</v>
      </c>
      <c r="B6465" s="7" t="str">
        <f>IFERROR(__xludf.DUMMYFUNCTION("SPLIT(A6465,"" "")"),"Cc1cccc(CNCCCN(C)Cc2cc(C)c(C)c(C)n2)n1")</f>
        <v>Cc1cccc(CNCCCN(C)Cc2cc(C)c(C)c(C)n2)n1</v>
      </c>
      <c r="C6465" s="7">
        <f>IFERROR(__xludf.DUMMYFUNCTION("""COMPUTED_VALUE"""),7.784646)</f>
        <v>7.784646</v>
      </c>
      <c r="D6465" s="7">
        <f>IFERROR(__xludf.DUMMYFUNCTION("""COMPUTED_VALUE"""),0.5)</f>
        <v>0.5</v>
      </c>
    </row>
    <row r="6466">
      <c r="A6466" s="10" t="s">
        <v>7905</v>
      </c>
      <c r="B6466" s="7" t="str">
        <f>IFERROR(__xludf.DUMMYFUNCTION("SPLIT(A6466,"" "")"),"CC(C)C(C)(C)CN(Cc1ccccn1)Cc1ncccc1C(C)(C)c1ccccn1")</f>
        <v>CC(C)C(C)(C)CN(Cc1ccccn1)Cc1ncccc1C(C)(C)c1ccccn1</v>
      </c>
      <c r="C6466" s="7">
        <f>IFERROR(__xludf.DUMMYFUNCTION("""COMPUTED_VALUE"""),7.7846413)</f>
        <v>7.7846413</v>
      </c>
      <c r="D6466" s="7">
        <f>IFERROR(__xludf.DUMMYFUNCTION("""COMPUTED_VALUE"""),0.46938775510204)</f>
        <v>0.4693877551</v>
      </c>
    </row>
    <row r="6467">
      <c r="A6467" s="10" t="s">
        <v>7906</v>
      </c>
      <c r="B6467" s="7" t="str">
        <f>IFERROR(__xludf.DUMMYFUNCTION("SPLIT(A6467,"" "")"),"CN(C)c1cc2c(c(-c3cccc(CN(Cc4ccccn4)Cc4cccc(F)n4)n3)c1)OCCOCCOCCOCCOCCO2")</f>
        <v>CN(C)c1cc2c(c(-c3cccc(CN(Cc4ccccn4)Cc4cccc(F)n4)n3)c1)OCCOCCOCCOCCOCCO2</v>
      </c>
      <c r="C6467" s="7">
        <f>IFERROR(__xludf.DUMMYFUNCTION("""COMPUTED_VALUE"""),7.78464)</f>
        <v>7.78464</v>
      </c>
      <c r="D6467" s="7">
        <f>IFERROR(__xludf.DUMMYFUNCTION("""COMPUTED_VALUE"""),0.412698412698412)</f>
        <v>0.4126984127</v>
      </c>
    </row>
    <row r="6468">
      <c r="A6468" s="10" t="s">
        <v>7907</v>
      </c>
      <c r="B6468" s="7" t="str">
        <f>IFERROR(__xludf.DUMMYFUNCTION("SPLIT(A6468,"" "")"),"Cc1ccnc(CN(C)C2CCC(N(Cc3cc(C)ccn3)Cc3cc(C)c(C)cn3)CC2N(C)Cc2cc(C)ccn2)c1")</f>
        <v>Cc1ccnc(CN(C)C2CCC(N(Cc3cc(C)ccn3)Cc3cc(C)c(C)cn3)CC2N(C)Cc2cc(C)ccn2)c1</v>
      </c>
      <c r="C6468" s="7">
        <f>IFERROR(__xludf.DUMMYFUNCTION("""COMPUTED_VALUE"""),7.784622)</f>
        <v>7.784622</v>
      </c>
      <c r="D6468" s="7">
        <f>IFERROR(__xludf.DUMMYFUNCTION("""COMPUTED_VALUE"""),0.452830188679245)</f>
        <v>0.4528301887</v>
      </c>
    </row>
    <row r="6469">
      <c r="A6469" s="10" t="s">
        <v>7908</v>
      </c>
      <c r="B6469" s="7" t="str">
        <f>IFERROR(__xludf.DUMMYFUNCTION("SPLIT(A6469,"" "")"),"CC(C)C1=NC(C)(C)CO1")</f>
        <v>CC(C)C1=NC(C)(C)CO1</v>
      </c>
      <c r="C6469" s="7">
        <f>IFERROR(__xludf.DUMMYFUNCTION("""COMPUTED_VALUE"""),7.784621)</f>
        <v>7.784621</v>
      </c>
      <c r="D6469" s="7">
        <f>IFERROR(__xludf.DUMMYFUNCTION("""COMPUTED_VALUE"""),0.38235294117647)</f>
        <v>0.3823529412</v>
      </c>
    </row>
    <row r="6470">
      <c r="A6470" s="10" t="s">
        <v>7909</v>
      </c>
      <c r="B6470" s="7" t="str">
        <f>IFERROR(__xludf.DUMMYFUNCTION("SPLIT(A6470,"" "")"),"CN(C)C1=CCC=C(CN(C)C2C=CC=CN2)N1")</f>
        <v>CN(C)C1=CCC=C(CN(C)C2C=CC=CN2)N1</v>
      </c>
      <c r="C6470" s="7">
        <f>IFERROR(__xludf.DUMMYFUNCTION("""COMPUTED_VALUE"""),7.78462)</f>
        <v>7.78462</v>
      </c>
      <c r="D6470" s="7">
        <f>IFERROR(__xludf.DUMMYFUNCTION("""COMPUTED_VALUE"""),0.241379310344827)</f>
        <v>0.2413793103</v>
      </c>
    </row>
    <row r="6471">
      <c r="A6471" s="10" t="s">
        <v>7910</v>
      </c>
      <c r="B6471" s="7" t="str">
        <f>IFERROR(__xludf.DUMMYFUNCTION("SPLIT(A6471,"" "")"),"CNc1cccc(CN(Cc2ccccn2)C2CCC(N(C)Cc3nc(C)c(C)cc3C)CC2)n1")</f>
        <v>CNc1cccc(CN(Cc2ccccn2)C2CCC(N(C)Cc3nc(C)c(C)cc3C)CC2)n1</v>
      </c>
      <c r="C6471" s="7">
        <f>IFERROR(__xludf.DUMMYFUNCTION("""COMPUTED_VALUE"""),7.784618)</f>
        <v>7.784618</v>
      </c>
      <c r="D6471" s="7">
        <f>IFERROR(__xludf.DUMMYFUNCTION("""COMPUTED_VALUE"""),0.389830508474576)</f>
        <v>0.3898305085</v>
      </c>
    </row>
    <row r="6472">
      <c r="A6472" s="10" t="s">
        <v>7911</v>
      </c>
      <c r="B6472" s="7" t="str">
        <f>IFERROR(__xludf.DUMMYFUNCTION("SPLIT(A6472,"" "")"),"CN(Cc1ccccn1)Cc1ccc(N(C)Cc2cccc(-c3ccc4c(c3)OCCOCCOCCOCCOCCO4)n2)cn1")</f>
        <v>CN(Cc1ccccn1)Cc1ccc(N(C)Cc2cccc(-c3ccc4c(c3)OCCOCCOCCOCCOCCO4)n2)cn1</v>
      </c>
      <c r="C6472" s="7">
        <f>IFERROR(__xludf.DUMMYFUNCTION("""COMPUTED_VALUE"""),7.7846065)</f>
        <v>7.7846065</v>
      </c>
      <c r="D6472" s="7">
        <f>IFERROR(__xludf.DUMMYFUNCTION("""COMPUTED_VALUE"""),0.47457627118644)</f>
        <v>0.4745762712</v>
      </c>
    </row>
    <row r="6473">
      <c r="A6473" s="10" t="s">
        <v>7912</v>
      </c>
      <c r="B6473" s="7" t="str">
        <f>IFERROR(__xludf.DUMMYFUNCTION("SPLIT(A6473,"" "")"),"CNC1CC(N(Cc2cccc(C)n2)Cc2cccc(C)n2)CCC1N(Cc1cccc(C)n1)Cc1cccc(C)n1")</f>
        <v>CNC1CC(N(Cc2cccc(C)n2)Cc2cccc(C)n2)CCC1N(Cc1cccc(C)n1)Cc1cccc(C)n1</v>
      </c>
      <c r="C6473" s="7">
        <f>IFERROR(__xludf.DUMMYFUNCTION("""COMPUTED_VALUE"""),7.7846055)</f>
        <v>7.7846055</v>
      </c>
      <c r="D6473" s="7">
        <f>IFERROR(__xludf.DUMMYFUNCTION("""COMPUTED_VALUE"""),0.479166666666666)</f>
        <v>0.4791666667</v>
      </c>
    </row>
    <row r="6474">
      <c r="A6474" s="10" t="s">
        <v>7913</v>
      </c>
      <c r="B6474" s="7" t="str">
        <f>IFERROR(__xludf.DUMMYFUNCTION("SPLIT(A6474,"" "")"),"COC(=O)C1CN(C)C(C(=O)C(C)N)C(=O)C1C(=O)OC")</f>
        <v>COC(=O)C1CN(C)C(C(=O)C(C)N)C(=O)C1C(=O)OC</v>
      </c>
      <c r="C6474" s="7">
        <f>IFERROR(__xludf.DUMMYFUNCTION("""COMPUTED_VALUE"""),7.7846003)</f>
        <v>7.7846003</v>
      </c>
      <c r="D6474" s="7">
        <f>IFERROR(__xludf.DUMMYFUNCTION("""COMPUTED_VALUE"""),0.253968253968253)</f>
        <v>0.253968254</v>
      </c>
    </row>
    <row r="6475">
      <c r="A6475" s="10" t="s">
        <v>7914</v>
      </c>
      <c r="B6475" s="7" t="str">
        <f>IFERROR(__xludf.DUMMYFUNCTION("SPLIT(A6475,"" "")"),"CN1CCN(C)CC(CCC2=NC(C)(C)CO2)N(Cc2nc3ccccc3n2C)CC1")</f>
        <v>CN1CCN(C)CC(CCC2=NC(C)(C)CO2)N(Cc2nc3ccccc3n2C)CC1</v>
      </c>
      <c r="C6475" s="7">
        <f>IFERROR(__xludf.DUMMYFUNCTION("""COMPUTED_VALUE"""),7.7846)</f>
        <v>7.7846</v>
      </c>
      <c r="D6475" s="7">
        <f>IFERROR(__xludf.DUMMYFUNCTION("""COMPUTED_VALUE"""),0.491228070175438)</f>
        <v>0.4912280702</v>
      </c>
    </row>
    <row r="6476">
      <c r="A6476" s="10" t="s">
        <v>7915</v>
      </c>
      <c r="B6476" s="7" t="str">
        <f>IFERROR(__xludf.DUMMYFUNCTION("SPLIT(A6476,"" "")"),"CN1CCN(C)CCN(Cc2ncccc2-c2cccc(Cl)c2Cl)CC1")</f>
        <v>CN1CCN(C)CCN(Cc2ncccc2-c2cccc(Cl)c2Cl)CC1</v>
      </c>
      <c r="C6476" s="7">
        <f>IFERROR(__xludf.DUMMYFUNCTION("""COMPUTED_VALUE"""),7.7846)</f>
        <v>7.7846</v>
      </c>
      <c r="D6476" s="7">
        <f>IFERROR(__xludf.DUMMYFUNCTION("""COMPUTED_VALUE"""),0.466666666666666)</f>
        <v>0.4666666667</v>
      </c>
    </row>
    <row r="6477">
      <c r="A6477" s="10" t="s">
        <v>7916</v>
      </c>
      <c r="B6477" s="7" t="str">
        <f>IFERROR(__xludf.DUMMYFUNCTION("SPLIT(A6477,"" "")"),"CN1CCN(C)CCN(Cc2ccc(-c3ccc(Cl)cc3N)cn2)CC1")</f>
        <v>CN1CCN(C)CCN(Cc2ccc(-c3ccc(Cl)cc3N)cn2)CC1</v>
      </c>
      <c r="C6477" s="7">
        <f>IFERROR(__xludf.DUMMYFUNCTION("""COMPUTED_VALUE"""),7.784596)</f>
        <v>7.784596</v>
      </c>
      <c r="D6477" s="7">
        <f>IFERROR(__xludf.DUMMYFUNCTION("""COMPUTED_VALUE"""),0.428571428571428)</f>
        <v>0.4285714286</v>
      </c>
    </row>
    <row r="6478">
      <c r="A6478" s="10" t="s">
        <v>7917</v>
      </c>
      <c r="B6478" s="7" t="str">
        <f>IFERROR(__xludf.DUMMYFUNCTION("SPLIT(A6478,"" "")"),"CCCN(Cc1ccccn1)c1cc2c(cc1-c1cccc(CN(Cc3ccccn3)Cc3ncccc3C)n1)OCCOCCOCCOCCOCCO2")</f>
        <v>CCCN(Cc1ccccn1)c1cc2c(cc1-c1cccc(CN(Cc3ccccn3)Cc3ncccc3C)n1)OCCOCCOCCOCCOCCO2</v>
      </c>
      <c r="C6478" s="7">
        <f>IFERROR(__xludf.DUMMYFUNCTION("""COMPUTED_VALUE"""),7.784595)</f>
        <v>7.784595</v>
      </c>
      <c r="D6478" s="7">
        <f>IFERROR(__xludf.DUMMYFUNCTION("""COMPUTED_VALUE"""),0.373333333333333)</f>
        <v>0.3733333333</v>
      </c>
    </row>
    <row r="6479">
      <c r="A6479" s="10" t="s">
        <v>7918</v>
      </c>
      <c r="B6479" s="7" t="str">
        <f>IFERROR(__xludf.DUMMYFUNCTION("SPLIT(A6479,"" "")"),"Cc1cnc(CN(C)C2CCC(N(C)Cc3ccccn3)CC2N(Cc2ncccc2C)Cc2ncccc2C)c(C)c1")</f>
        <v>Cc1cnc(CN(C)C2CCC(N(C)Cc3ccccn3)CC2N(Cc2ncccc2C)Cc2ncccc2C)c(C)c1</v>
      </c>
      <c r="C6479" s="7">
        <f>IFERROR(__xludf.DUMMYFUNCTION("""COMPUTED_VALUE"""),7.784585)</f>
        <v>7.784585</v>
      </c>
      <c r="D6479" s="7">
        <f>IFERROR(__xludf.DUMMYFUNCTION("""COMPUTED_VALUE"""),0.46551724137931)</f>
        <v>0.4655172414</v>
      </c>
    </row>
    <row r="6480">
      <c r="A6480" s="10" t="s">
        <v>7919</v>
      </c>
      <c r="B6480" s="7" t="str">
        <f>IFERROR(__xludf.DUMMYFUNCTION("SPLIT(A6480,"" "")"),"CC1C=CCC2(C=CC(C)C(C)C23C(c2ncccc2CN(Cc2ccccn2)Cc2ccccn2)C=CC2(C=CC(C(C)(C)C)CC2(C)C)C3c2ncccc2CN(Cc2ccccn2)Cc2ccccn2)C1C")</f>
        <v>CC1C=CCC2(C=CC(C)C(C)C23C(c2ncccc2CN(Cc2ccccn2)Cc2ccccn2)C=CC2(C=CC(C(C)(C)C)CC2(C)C)C3c2ncccc2CN(Cc2ccccn2)Cc2ccccn2)C1C</v>
      </c>
      <c r="C6480" s="7">
        <f>IFERROR(__xludf.DUMMYFUNCTION("""COMPUTED_VALUE"""),7.7845836)</f>
        <v>7.7845836</v>
      </c>
      <c r="D6480" s="7">
        <f>IFERROR(__xludf.DUMMYFUNCTION("""COMPUTED_VALUE"""),0.3125)</f>
        <v>0.3125</v>
      </c>
    </row>
    <row r="6481">
      <c r="A6481" s="10" t="s">
        <v>7920</v>
      </c>
      <c r="B6481" s="7" t="str">
        <f>IFERROR(__xludf.DUMMYFUNCTION("SPLIT(A6481,"" "")"),"CC1=C(C)CC(N(C)CC2=CCC=C(N(C)Cc3ccccn3)N2)CC1")</f>
        <v>CC1=C(C)CC(N(C)CC2=CCC=C(N(C)Cc3ccccn3)N2)CC1</v>
      </c>
      <c r="C6481" s="7">
        <f>IFERROR(__xludf.DUMMYFUNCTION("""COMPUTED_VALUE"""),7.784583)</f>
        <v>7.784583</v>
      </c>
      <c r="D6481" s="7">
        <f>IFERROR(__xludf.DUMMYFUNCTION("""COMPUTED_VALUE"""),0.396551724137931)</f>
        <v>0.3965517241</v>
      </c>
    </row>
    <row r="6482">
      <c r="A6482" s="10" t="s">
        <v>7921</v>
      </c>
      <c r="B6482" s="7" t="str">
        <f>IFERROR(__xludf.DUMMYFUNCTION("SPLIT(A6482,"" "")"),"Cc1ccnc(CN(C)C2CCC(N(C)Cc3cc(-c4ccccc4)ccn3)CC2)c1")</f>
        <v>Cc1ccnc(CN(C)C2CCC(N(C)Cc3cc(-c4ccccc4)ccn3)CC2)c1</v>
      </c>
      <c r="C6482" s="7">
        <f>IFERROR(__xludf.DUMMYFUNCTION("""COMPUTED_VALUE"""),7.7845736)</f>
        <v>7.7845736</v>
      </c>
      <c r="D6482" s="7">
        <f>IFERROR(__xludf.DUMMYFUNCTION("""COMPUTED_VALUE"""),0.408163265306122)</f>
        <v>0.4081632653</v>
      </c>
    </row>
    <row r="6483">
      <c r="A6483" s="10" t="s">
        <v>7922</v>
      </c>
      <c r="B6483" s="7" t="str">
        <f>IFERROR(__xludf.DUMMYFUNCTION("SPLIT(A6483,"" "")"),"Cc1cccc(CN(C)C2CCC(N(Cc3ccccn3)Cc3ccccn3)CC2N(Cc2ccccn2)Cc2ncccc2C)n1")</f>
        <v>Cc1cccc(CN(C)C2CCC(N(Cc3ccccn3)Cc3ccccn3)CC2N(Cc2ccccn2)Cc2ncccc2C)n1</v>
      </c>
      <c r="C6483" s="7">
        <f>IFERROR(__xludf.DUMMYFUNCTION("""COMPUTED_VALUE"""),7.784562)</f>
        <v>7.784562</v>
      </c>
      <c r="D6483" s="7">
        <f>IFERROR(__xludf.DUMMYFUNCTION("""COMPUTED_VALUE"""),0.491228070175438)</f>
        <v>0.4912280702</v>
      </c>
    </row>
    <row r="6484">
      <c r="A6484" s="10" t="s">
        <v>7923</v>
      </c>
      <c r="B6484" s="7" t="str">
        <f>IFERROR(__xludf.DUMMYFUNCTION("SPLIT(A6484,"" "")"),"Cc1ccc(CN(Cc2ccccn2)Cc2ncccc2CN(C)C2CCC(N(Cc3ccccn3)Cc3ncccc3C)CC2)nc1")</f>
        <v>Cc1ccc(CN(Cc2ccccn2)Cc2ncccc2CN(C)C2CCC(N(Cc3ccccn3)Cc3ncccc3C)CC2)nc1</v>
      </c>
      <c r="C6484" s="7">
        <f>IFERROR(__xludf.DUMMYFUNCTION("""COMPUTED_VALUE"""),7.7845473)</f>
        <v>7.7845473</v>
      </c>
      <c r="D6484" s="7">
        <f>IFERROR(__xludf.DUMMYFUNCTION("""COMPUTED_VALUE"""),0.38095238095238)</f>
        <v>0.380952381</v>
      </c>
    </row>
    <row r="6485">
      <c r="A6485" s="10" t="s">
        <v>7924</v>
      </c>
      <c r="B6485" s="7" t="str">
        <f>IFERROR(__xludf.DUMMYFUNCTION("SPLIT(A6485,"" "")"),"Cc1cccnc1CN(Cc1ccccn1)Cc1cccc(CN(C)Cc2cccc(-c3ccc4c(c3N)OCCOCCOCCOCCOCCO4)n2)n1")</f>
        <v>Cc1cccnc1CN(Cc1ccccn1)Cc1cccc(CN(C)Cc2cccc(-c3ccc4c(c3N)OCCOCCOCCOCCOCCO4)n2)n1</v>
      </c>
      <c r="C6485" s="7">
        <f>IFERROR(__xludf.DUMMYFUNCTION("""COMPUTED_VALUE"""),7.784539)</f>
        <v>7.784539</v>
      </c>
      <c r="D6485" s="7">
        <f>IFERROR(__xludf.DUMMYFUNCTION("""COMPUTED_VALUE"""),0.417910447761194)</f>
        <v>0.4179104478</v>
      </c>
    </row>
    <row r="6486">
      <c r="A6486" s="10" t="s">
        <v>7925</v>
      </c>
      <c r="B6486" s="7" t="str">
        <f>IFERROR(__xludf.DUMMYFUNCTION("SPLIT(A6486,"" "")"),"Cc1cncc(CN(C)C2=CNC(CN(Cc3ccccn3)Cc3ccccn3)=CC2)c1-c1ccc2c(c1)OCCOCCOCCOCCOCCO2")</f>
        <v>Cc1cncc(CN(C)C2=CNC(CN(Cc3ccccn3)Cc3ccccn3)=CC2)c1-c1ccc2c(c1)OCCOCCOCCOCCOCCO2</v>
      </c>
      <c r="C6486" s="7">
        <f>IFERROR(__xludf.DUMMYFUNCTION("""COMPUTED_VALUE"""),7.7845383)</f>
        <v>7.7845383</v>
      </c>
      <c r="D6486" s="7">
        <f>IFERROR(__xludf.DUMMYFUNCTION("""COMPUTED_VALUE"""),0.35064935064935)</f>
        <v>0.3506493506</v>
      </c>
    </row>
    <row r="6487">
      <c r="A6487" s="10" t="s">
        <v>7926</v>
      </c>
      <c r="B6487" s="7" t="str">
        <f>IFERROR(__xludf.DUMMYFUNCTION("SPLIT(A6487,"" "")"),"CN(Cc1ncccc1-c1ccon1)C1CCCCC1")</f>
        <v>CN(Cc1ncccc1-c1ccon1)C1CCCCC1</v>
      </c>
      <c r="C6487" s="7">
        <f>IFERROR(__xludf.DUMMYFUNCTION("""COMPUTED_VALUE"""),7.7845345)</f>
        <v>7.7845345</v>
      </c>
      <c r="D6487" s="7">
        <f>IFERROR(__xludf.DUMMYFUNCTION("""COMPUTED_VALUE"""),0.358490566037735)</f>
        <v>0.358490566</v>
      </c>
    </row>
    <row r="6488">
      <c r="A6488" s="10" t="s">
        <v>7927</v>
      </c>
      <c r="B6488" s="7" t="str">
        <f>IFERROR(__xludf.DUMMYFUNCTION("SPLIT(A6488,"" "")"),"CNC1C(N(C)Cc2cc(C)ccn2)CCCC1N(Cc1nc(C)c(C)cc1C)Cc1nc(C)c(C)c(C)c1C")</f>
        <v>CNC1C(N(C)Cc2cc(C)ccn2)CCCC1N(Cc1nc(C)c(C)cc1C)Cc1nc(C)c(C)c(C)c1C</v>
      </c>
      <c r="C6488" s="7">
        <f>IFERROR(__xludf.DUMMYFUNCTION("""COMPUTED_VALUE"""),7.7845325)</f>
        <v>7.7845325</v>
      </c>
      <c r="D6488" s="7">
        <f>IFERROR(__xludf.DUMMYFUNCTION("""COMPUTED_VALUE"""),0.338461538461538)</f>
        <v>0.3384615385</v>
      </c>
    </row>
    <row r="6489">
      <c r="A6489" s="10" t="s">
        <v>7928</v>
      </c>
      <c r="B6489" s="7" t="str">
        <f>IFERROR(__xludf.DUMMYFUNCTION("SPLIT(A6489,"" "")"),"CN1CCN(C)CCN(Cc2ccc(-c3cccc(N(C)C)c3)cn2)CC1")</f>
        <v>CN1CCN(C)CCN(Cc2ccc(-c3cccc(N(C)C)c3)cn2)CC1</v>
      </c>
      <c r="C6489" s="7">
        <f>IFERROR(__xludf.DUMMYFUNCTION("""COMPUTED_VALUE"""),7.784532)</f>
        <v>7.784532</v>
      </c>
      <c r="D6489" s="7">
        <f>IFERROR(__xludf.DUMMYFUNCTION("""COMPUTED_VALUE"""),0.468085106382978)</f>
        <v>0.4680851064</v>
      </c>
    </row>
    <row r="6490">
      <c r="A6490" s="10" t="s">
        <v>7929</v>
      </c>
      <c r="B6490" s="7" t="str">
        <f>IFERROR(__xludf.DUMMYFUNCTION("SPLIT(A6490,"" "")"),"CNCc1cccc(CN(Cc2ccccn2)C2CCC(N(C)Cc3cccc(-c4ccccc4)n3)CC2)n1")</f>
        <v>CNCc1cccc(CN(Cc2ccccn2)C2CCC(N(C)Cc3cccc(-c4ccccc4)n3)CC2)n1</v>
      </c>
      <c r="C6490" s="7">
        <f>IFERROR(__xludf.DUMMYFUNCTION("""COMPUTED_VALUE"""),7.7845287)</f>
        <v>7.7845287</v>
      </c>
      <c r="D6490" s="7">
        <f>IFERROR(__xludf.DUMMYFUNCTION("""COMPUTED_VALUE"""),0.43859649122807)</f>
        <v>0.4385964912</v>
      </c>
    </row>
    <row r="6491">
      <c r="A6491" s="10" t="s">
        <v>7930</v>
      </c>
      <c r="B6491" s="7" t="str">
        <f>IFERROR(__xludf.DUMMYFUNCTION("SPLIT(A6491,"" "")"),"Cc1ccnc2cc(N(C)CCN3CCN(C)CCN(C)CC3)ccc12")</f>
        <v>Cc1ccnc2cc(N(C)CCN3CCN(C)CCN(C)CC3)ccc12</v>
      </c>
      <c r="C6491" s="7">
        <f>IFERROR(__xludf.DUMMYFUNCTION("""COMPUTED_VALUE"""),7.784528)</f>
        <v>7.784528</v>
      </c>
      <c r="D6491" s="7">
        <f>IFERROR(__xludf.DUMMYFUNCTION("""COMPUTED_VALUE"""),0.392156862745098)</f>
        <v>0.3921568627</v>
      </c>
    </row>
    <row r="6492">
      <c r="A6492" s="10" t="s">
        <v>7931</v>
      </c>
      <c r="B6492" s="7" t="str">
        <f>IFERROR(__xludf.DUMMYFUNCTION("SPLIT(A6492,"" "")"),"Cc1cncc(CN(Cc2ccccn2)C2CCCCC2N(C)c2c(C)ccc(C)c2C)c1")</f>
        <v>Cc1cncc(CN(Cc2ccccn2)C2CCCCC2N(C)c2c(C)ccc(C)c2C)c1</v>
      </c>
      <c r="C6492" s="7">
        <f>IFERROR(__xludf.DUMMYFUNCTION("""COMPUTED_VALUE"""),7.7845273)</f>
        <v>7.7845273</v>
      </c>
      <c r="D6492" s="7">
        <f>IFERROR(__xludf.DUMMYFUNCTION("""COMPUTED_VALUE"""),0.456140350877192)</f>
        <v>0.4561403509</v>
      </c>
    </row>
    <row r="6493">
      <c r="A6493" s="10" t="s">
        <v>7932</v>
      </c>
      <c r="B6493" s="7" t="str">
        <f>IFERROR(__xludf.DUMMYFUNCTION("SPLIT(A6493,"" "")"),"Cc1ccnc(CN(Cc2ccnc(CN(C)C)c2)C2CCC(N(C)Cc3nc(C)c(C)c(C)c3C)CC2)c1")</f>
        <v>Cc1ccnc(CN(Cc2ccnc(CN(C)C)c2)C2CCC(N(C)Cc3nc(C)c(C)c(C)c3C)CC2)c1</v>
      </c>
      <c r="C6493" s="7">
        <f>IFERROR(__xludf.DUMMYFUNCTION("""COMPUTED_VALUE"""),7.784519)</f>
        <v>7.784519</v>
      </c>
      <c r="D6493" s="7">
        <f>IFERROR(__xludf.DUMMYFUNCTION("""COMPUTED_VALUE"""),0.327868852459016)</f>
        <v>0.3278688525</v>
      </c>
    </row>
    <row r="6494">
      <c r="A6494" s="10" t="s">
        <v>7933</v>
      </c>
      <c r="B6494" s="7" t="str">
        <f>IFERROR(__xludf.DUMMYFUNCTION("SPLIT(A6494,"" "")"),"CN1CCN(C)CCN(Cc2ccc(-c3cccc(N(C)C)c3)nc2)CC1")</f>
        <v>CN1CCN(C)CCN(Cc2ccc(-c3cccc(N(C)C)c3)nc2)CC1</v>
      </c>
      <c r="C6494" s="7">
        <f>IFERROR(__xludf.DUMMYFUNCTION("""COMPUTED_VALUE"""),7.7845144)</f>
        <v>7.7845144</v>
      </c>
      <c r="D6494" s="7">
        <f>IFERROR(__xludf.DUMMYFUNCTION("""COMPUTED_VALUE"""),0.381818181818181)</f>
        <v>0.3818181818</v>
      </c>
    </row>
    <row r="6495">
      <c r="A6495" s="10" t="s">
        <v>7934</v>
      </c>
      <c r="B6495" s="7" t="str">
        <f>IFERROR(__xludf.DUMMYFUNCTION("SPLIT(A6495,"" "")"),"CC(C)C(C)C1=CC2(CCC(C)(C)C=C2c2ncccc2CN(Cc2ccccn2)Cc2cc(C(C)(C)C(C)C)ccn2)CC(C)(C)C1")</f>
        <v>CC(C)C(C)C1=CC2(CCC(C)(C)C=C2c2ncccc2CN(Cc2ccccn2)Cc2cc(C(C)(C)C(C)C)ccn2)CC(C)(C)C1</v>
      </c>
      <c r="C6495" s="7">
        <f>IFERROR(__xludf.DUMMYFUNCTION("""COMPUTED_VALUE"""),7.7845125)</f>
        <v>7.7845125</v>
      </c>
      <c r="D6495" s="7">
        <f>IFERROR(__xludf.DUMMYFUNCTION("""COMPUTED_VALUE"""),0.289855072463768)</f>
        <v>0.2898550725</v>
      </c>
    </row>
    <row r="6496">
      <c r="A6496" s="10" t="s">
        <v>7935</v>
      </c>
      <c r="B6496" s="7" t="str">
        <f>IFERROR(__xludf.DUMMYFUNCTION("SPLIT(A6496,"" "")"),"CC1=CC(C)CC(C)C12C(c1ccc(CN(Cc3ccccn3)Cc3ccccn3)cn1)C(c1cc(CN(Cc3ccccn3)C3CCCCC3)ccn1)C=CC21CCC(C)=C(C)C1C")</f>
        <v>CC1=CC(C)CC(C)C12C(c1ccc(CN(Cc3ccccn3)Cc3ccccn3)cn1)C(c1cc(CN(Cc3ccccn3)C3CCCCC3)ccn1)C=CC21CCC(C)=C(C)C1C</v>
      </c>
      <c r="C6496" s="7">
        <f>IFERROR(__xludf.DUMMYFUNCTION("""COMPUTED_VALUE"""),7.784502)</f>
        <v>7.784502</v>
      </c>
      <c r="D6496" s="7">
        <f>IFERROR(__xludf.DUMMYFUNCTION("""COMPUTED_VALUE"""),0.252747252747252)</f>
        <v>0.2527472527</v>
      </c>
    </row>
    <row r="6497">
      <c r="A6497" s="10" t="s">
        <v>7936</v>
      </c>
      <c r="B6497" s="7" t="str">
        <f>IFERROR(__xludf.DUMMYFUNCTION("SPLIT(A6497,"" "")"),"CC(N)N(Cc1ccccn1)C(C)(N)N(CCN(C)Cc1ccccn1)Cc1ccccn1")</f>
        <v>CC(N)N(Cc1ccccn1)C(C)(N)N(CCN(C)Cc1ccccn1)Cc1ccccn1</v>
      </c>
      <c r="C6497" s="7">
        <f>IFERROR(__xludf.DUMMYFUNCTION("""COMPUTED_VALUE"""),7.7844973)</f>
        <v>7.7844973</v>
      </c>
      <c r="D6497" s="7">
        <f>IFERROR(__xludf.DUMMYFUNCTION("""COMPUTED_VALUE"""),0.4375)</f>
        <v>0.4375</v>
      </c>
    </row>
    <row r="6498">
      <c r="A6498" s="10" t="s">
        <v>7937</v>
      </c>
      <c r="B6498" s="7" t="str">
        <f>IFERROR(__xludf.DUMMYFUNCTION("SPLIT(A6498,"" "")"),"CC(N)C(C)c1cccnc1C1OC=NC1(C)C")</f>
        <v>CC(N)C(C)c1cccnc1C1OC=NC1(C)C</v>
      </c>
      <c r="C6498" s="7">
        <f>IFERROR(__xludf.DUMMYFUNCTION("""COMPUTED_VALUE"""),7.7844853)</f>
        <v>7.7844853</v>
      </c>
      <c r="D6498" s="7">
        <f>IFERROR(__xludf.DUMMYFUNCTION("""COMPUTED_VALUE"""),0.226415094339622)</f>
        <v>0.2264150943</v>
      </c>
    </row>
    <row r="6499">
      <c r="A6499" s="10" t="s">
        <v>7938</v>
      </c>
      <c r="B6499" s="7" t="str">
        <f>IFERROR(__xludf.DUMMYFUNCTION("SPLIT(A6499,"" "")"),"CC1=CC(c2ncccc2CN(C)Cc2ccccn2)C(C)C(C)C1N(C)Cc1ccccn1")</f>
        <v>CC1=CC(c2ncccc2CN(C)Cc2ccccn2)C(C)C(C)C1N(C)Cc1ccccn1</v>
      </c>
      <c r="C6499" s="7">
        <f>IFERROR(__xludf.DUMMYFUNCTION("""COMPUTED_VALUE"""),7.784485)</f>
        <v>7.784485</v>
      </c>
      <c r="D6499" s="7">
        <f>IFERROR(__xludf.DUMMYFUNCTION("""COMPUTED_VALUE"""),0.4)</f>
        <v>0.4</v>
      </c>
    </row>
    <row r="6500">
      <c r="A6500" s="10" t="s">
        <v>7939</v>
      </c>
      <c r="B6500" s="7" t="str">
        <f>IFERROR(__xludf.DUMMYFUNCTION("SPLIT(A6500,"" "")"),"Cc1cccnc1CN(C)C1CCC(N(C)Cc2ncccc2C)C(N(Cc2ncccc2C)Cc2ncccc2C)C1")</f>
        <v>Cc1cccnc1CN(C)C1CCC(N(C)Cc2ncccc2C)C(N(Cc2ncccc2C)Cc2ncccc2C)C1</v>
      </c>
      <c r="C6500" s="7">
        <f>IFERROR(__xludf.DUMMYFUNCTION("""COMPUTED_VALUE"""),7.7844834)</f>
        <v>7.7844834</v>
      </c>
      <c r="D6500" s="7">
        <f>IFERROR(__xludf.DUMMYFUNCTION("""COMPUTED_VALUE"""),0.4)</f>
        <v>0.4</v>
      </c>
    </row>
    <row r="6501">
      <c r="A6501" s="10" t="s">
        <v>7940</v>
      </c>
      <c r="B6501" s="7" t="str">
        <f>IFERROR(__xludf.DUMMYFUNCTION("SPLIT(A6501,"" "")"),"Cc1cc(CN(C)C2CCC(N(C)c3cccnc3Cl)CC2)nc(C)c1C")</f>
        <v>Cc1cc(CN(C)C2CCC(N(C)c3cccnc3Cl)CC2)nc(C)c1C</v>
      </c>
      <c r="C6501" s="7">
        <f>IFERROR(__xludf.DUMMYFUNCTION("""COMPUTED_VALUE"""),7.7844806)</f>
        <v>7.7844806</v>
      </c>
      <c r="D6501" s="7">
        <f>IFERROR(__xludf.DUMMYFUNCTION("""COMPUTED_VALUE"""),0.327586206896551)</f>
        <v>0.3275862069</v>
      </c>
    </row>
    <row r="6502">
      <c r="A6502" s="10" t="s">
        <v>7941</v>
      </c>
      <c r="B6502" s="7" t="str">
        <f>IFERROR(__xludf.DUMMYFUNCTION("SPLIT(A6502,"" "")"),"CNC1N=CC=CC1CN(C)Cc1nc(C)c(C)cc1C")</f>
        <v>CNC1N=CC=CC1CN(C)Cc1nc(C)c(C)cc1C</v>
      </c>
      <c r="C6502" s="7">
        <f>IFERROR(__xludf.DUMMYFUNCTION("""COMPUTED_VALUE"""),7.784478)</f>
        <v>7.784478</v>
      </c>
      <c r="D6502" s="7">
        <f>IFERROR(__xludf.DUMMYFUNCTION("""COMPUTED_VALUE"""),0.2)</f>
        <v>0.2</v>
      </c>
    </row>
    <row r="6503">
      <c r="A6503" s="10" t="s">
        <v>7942</v>
      </c>
      <c r="B6503" s="7" t="str">
        <f>IFERROR(__xludf.DUMMYFUNCTION("SPLIT(A6503,"" "")"),"Cc1nc(CN(Cc2ccccn2)C2CCCCC2N(C)c2ccccc2F)c(C)c(C)c1C")</f>
        <v>Cc1nc(CN(Cc2ccccn2)C2CCCCC2N(C)c2ccccc2F)c(C)c(C)c1C</v>
      </c>
      <c r="C6503" s="7">
        <f>IFERROR(__xludf.DUMMYFUNCTION("""COMPUTED_VALUE"""),7.7844663)</f>
        <v>7.7844663</v>
      </c>
      <c r="D6503" s="7">
        <f>IFERROR(__xludf.DUMMYFUNCTION("""COMPUTED_VALUE"""),0.456140350877192)</f>
        <v>0.4561403509</v>
      </c>
    </row>
    <row r="6504">
      <c r="A6504" s="10" t="s">
        <v>7943</v>
      </c>
      <c r="B6504" s="7" t="str">
        <f>IFERROR(__xludf.DUMMYFUNCTION("SPLIT(A6504,"" "")"),"CCN(CCN(C)CC(C)(C)C)Cc1cc(C)c(C)c(C)n1")</f>
        <v>CCN(CCN(C)CC(C)(C)C)Cc1cc(C)c(C)c(C)n1</v>
      </c>
      <c r="C6504" s="7">
        <f>IFERROR(__xludf.DUMMYFUNCTION("""COMPUTED_VALUE"""),7.7844615)</f>
        <v>7.7844615</v>
      </c>
      <c r="D6504" s="7">
        <f>IFERROR(__xludf.DUMMYFUNCTION("""COMPUTED_VALUE"""),0.34)</f>
        <v>0.34</v>
      </c>
    </row>
    <row r="6505">
      <c r="A6505" s="10" t="s">
        <v>7944</v>
      </c>
      <c r="B6505" s="7" t="str">
        <f>IFERROR(__xludf.DUMMYFUNCTION("SPLIT(A6505,"" "")"),"Cc1cccc(CN(Cc2ccccn2)C2CC(N(C)Cc3ccccn3)CC(N(C)Cc3ccc(C)c(C)n3)C2)n1")</f>
        <v>Cc1cccc(CN(Cc2ccccn2)C2CC(N(C)Cc3ccccn3)CC(N(C)Cc3ccc(C)c(C)n3)C2)n1</v>
      </c>
      <c r="C6505" s="7">
        <f>IFERROR(__xludf.DUMMYFUNCTION("""COMPUTED_VALUE"""),7.784455)</f>
        <v>7.784455</v>
      </c>
      <c r="D6505" s="7">
        <f>IFERROR(__xludf.DUMMYFUNCTION("""COMPUTED_VALUE"""),0.444444444444444)</f>
        <v>0.4444444444</v>
      </c>
    </row>
    <row r="6506">
      <c r="A6506" s="10" t="s">
        <v>7945</v>
      </c>
      <c r="B6506" s="7" t="str">
        <f>IFERROR(__xludf.DUMMYFUNCTION("SPLIT(A6506,"" "")"),"Cc1cccc(CN(Cc2ccc(C(C)C(C)C)cn2)C(C)C)n1")</f>
        <v>Cc1cccc(CN(Cc2ccc(C(C)C(C)C)cn2)C(C)C)n1</v>
      </c>
      <c r="C6506" s="7">
        <f>IFERROR(__xludf.DUMMYFUNCTION("""COMPUTED_VALUE"""),7.7844515)</f>
        <v>7.7844515</v>
      </c>
      <c r="D6506" s="7">
        <f>IFERROR(__xludf.DUMMYFUNCTION("""COMPUTED_VALUE"""),0.431818181818181)</f>
        <v>0.4318181818</v>
      </c>
    </row>
    <row r="6507">
      <c r="A6507" s="10" t="s">
        <v>7946</v>
      </c>
      <c r="B6507" s="7" t="str">
        <f>IFERROR(__xludf.DUMMYFUNCTION("SPLIT(A6507,"" "")"),"CNCCN(Cc1ccccn1)C(C)(N)N(Cc1nc(C)c(C)c(C)c1C)CC(C)(C)C")</f>
        <v>CNCCN(Cc1ccccn1)C(C)(N)N(Cc1nc(C)c(C)c(C)c1C)CC(C)(C)C</v>
      </c>
      <c r="C6507" s="7">
        <f>IFERROR(__xludf.DUMMYFUNCTION("""COMPUTED_VALUE"""),7.784449)</f>
        <v>7.784449</v>
      </c>
      <c r="D6507" s="7">
        <f>IFERROR(__xludf.DUMMYFUNCTION("""COMPUTED_VALUE"""),0.421052631578947)</f>
        <v>0.4210526316</v>
      </c>
    </row>
    <row r="6508">
      <c r="A6508" s="10" t="s">
        <v>7947</v>
      </c>
      <c r="B6508" s="7" t="str">
        <f>IFERROR(__xludf.DUMMYFUNCTION("SPLIT(A6508,"" "")"),"CC1=CCC(C)(c2ncccc2CN(Cc2ccccn2)Cc2ccccn2)C(C)C1C")</f>
        <v>CC1=CCC(C)(c2ncccc2CN(Cc2ccccn2)Cc2ccccn2)C(C)C1C</v>
      </c>
      <c r="C6508" s="7">
        <f>IFERROR(__xludf.DUMMYFUNCTION("""COMPUTED_VALUE"""),7.784445)</f>
        <v>7.784445</v>
      </c>
      <c r="D6508" s="7">
        <f>IFERROR(__xludf.DUMMYFUNCTION("""COMPUTED_VALUE"""),0.434782608695652)</f>
        <v>0.4347826087</v>
      </c>
    </row>
    <row r="6509">
      <c r="A6509" s="10" t="s">
        <v>7948</v>
      </c>
      <c r="B6509" s="7" t="str">
        <f>IFERROR(__xludf.DUMMYFUNCTION("SPLIT(A6509,"" "")"),"CN1CCN(C)CCN(Cc2cccnc2-c2ccc(Cl)c(Cl)c2)CC1")</f>
        <v>CN1CCN(C)CCN(Cc2cccnc2-c2ccc(Cl)c(Cl)c2)CC1</v>
      </c>
      <c r="C6509" s="7">
        <f>IFERROR(__xludf.DUMMYFUNCTION("""COMPUTED_VALUE"""),7.784443)</f>
        <v>7.784443</v>
      </c>
      <c r="D6509" s="7">
        <f>IFERROR(__xludf.DUMMYFUNCTION("""COMPUTED_VALUE"""),0.446808510638297)</f>
        <v>0.4468085106</v>
      </c>
    </row>
    <row r="6510">
      <c r="A6510" s="10" t="s">
        <v>7949</v>
      </c>
      <c r="B6510" s="7" t="str">
        <f>IFERROR(__xludf.DUMMYFUNCTION("SPLIT(A6510,"" "")"),"CC1=C(N(C)Cc2ccccn2)C(C)(C)C(C)CC1C")</f>
        <v>CC1=C(N(C)Cc2ccccn2)C(C)(C)C(C)CC1C</v>
      </c>
      <c r="C6510" s="7">
        <f>IFERROR(__xludf.DUMMYFUNCTION("""COMPUTED_VALUE"""),7.784437)</f>
        <v>7.784437</v>
      </c>
      <c r="D6510" s="7">
        <f>IFERROR(__xludf.DUMMYFUNCTION("""COMPUTED_VALUE"""),0.458333333333333)</f>
        <v>0.4583333333</v>
      </c>
    </row>
    <row r="6511">
      <c r="A6511" s="10" t="s">
        <v>7950</v>
      </c>
      <c r="B6511" s="7" t="str">
        <f>IFERROR(__xludf.DUMMYFUNCTION("SPLIT(A6511,"" "")"),"CCC1=NC(C2=CCC(c3cccc(CN(Cc4ccccn4)Cc4ccccn4)n3)C(C)C2C)CO1")</f>
        <v>CCC1=NC(C2=CCC(c3cccc(CN(Cc4ccccn4)Cc4ccccn4)n3)C(C)C2C)CO1</v>
      </c>
      <c r="C6511" s="7">
        <f>IFERROR(__xludf.DUMMYFUNCTION("""COMPUTED_VALUE"""),7.784434)</f>
        <v>7.784434</v>
      </c>
      <c r="D6511" s="7">
        <f>IFERROR(__xludf.DUMMYFUNCTION("""COMPUTED_VALUE"""),0.350877192982456)</f>
        <v>0.350877193</v>
      </c>
    </row>
    <row r="6512">
      <c r="A6512" s="10" t="s">
        <v>7951</v>
      </c>
      <c r="B6512" s="7" t="str">
        <f>IFERROR(__xludf.DUMMYFUNCTION("SPLIT(A6512,"" "")"),"Cc1cc(C)c(CN(C)C2CCCC(N(C)C3CCCC(N(C)c4cccc5ccc(CN(C)C)nc45)C3)C2)nc1C")</f>
        <v>Cc1cc(C)c(CN(C)C2CCCC(N(C)C3CCCC(N(C)c4cccc5ccc(CN(C)C)nc45)C3)C2)nc1C</v>
      </c>
      <c r="C6512" s="7">
        <f>IFERROR(__xludf.DUMMYFUNCTION("""COMPUTED_VALUE"""),7.7844315)</f>
        <v>7.7844315</v>
      </c>
      <c r="D6512" s="7">
        <f>IFERROR(__xludf.DUMMYFUNCTION("""COMPUTED_VALUE"""),0.409090909090909)</f>
        <v>0.4090909091</v>
      </c>
    </row>
    <row r="6513">
      <c r="A6513" s="10" t="s">
        <v>7952</v>
      </c>
      <c r="B6513" s="7" t="str">
        <f>IFERROR(__xludf.DUMMYFUNCTION("SPLIT(A6513,"" "")"),"Cc1cc(C)c(CN(C)C2=C(CN(Cc3ccccn3)Cc3cccc(-c4ccc5c(c4)OCCOCCOCCOCCOCCO5)n3)NC=CC2)cn1")</f>
        <v>Cc1cc(C)c(CN(C)C2=C(CN(Cc3ccccn3)Cc3cccc(-c4ccc5c(c4)OCCOCCOCCOCCOCCO5)n3)NC=CC2)cn1</v>
      </c>
      <c r="C6513" s="7">
        <f>IFERROR(__xludf.DUMMYFUNCTION("""COMPUTED_VALUE"""),7.784425)</f>
        <v>7.784425</v>
      </c>
      <c r="D6513" s="7">
        <f>IFERROR(__xludf.DUMMYFUNCTION("""COMPUTED_VALUE"""),0.369047619047619)</f>
        <v>0.369047619</v>
      </c>
    </row>
    <row r="6514">
      <c r="A6514" s="10" t="s">
        <v>7953</v>
      </c>
      <c r="B6514" s="7" t="str">
        <f>IFERROR(__xludf.DUMMYFUNCTION("SPLIT(A6514,"" "")"),"Cc1cc(CN(CCF)Cc2cc(C(C)C(C)N)ccn2)nc(C)c1C")</f>
        <v>Cc1cc(CN(CCF)Cc2cc(C(C)C(C)N)ccn2)nc(C)c1C</v>
      </c>
      <c r="C6514" s="7">
        <f>IFERROR(__xludf.DUMMYFUNCTION("""COMPUTED_VALUE"""),7.784423)</f>
        <v>7.784423</v>
      </c>
      <c r="D6514" s="7">
        <f>IFERROR(__xludf.DUMMYFUNCTION("""COMPUTED_VALUE"""),0.298245614035087)</f>
        <v>0.298245614</v>
      </c>
    </row>
    <row r="6515">
      <c r="A6515" s="10" t="s">
        <v>7954</v>
      </c>
      <c r="B6515" s="7" t="str">
        <f>IFERROR(__xludf.DUMMYFUNCTION("SPLIT(A6515,"" "")"),"CC1CCC1N(Cc1ccccn1)C1CCCC(N(C)c2ccc3cc(CF)cnc3c2)C1")</f>
        <v>CC1CCC1N(Cc1ccccn1)C1CCCC(N(C)c2ccc3cc(CF)cnc3c2)C1</v>
      </c>
      <c r="C6515" s="7">
        <f>IFERROR(__xludf.DUMMYFUNCTION("""COMPUTED_VALUE"""),7.784413)</f>
        <v>7.784413</v>
      </c>
      <c r="D6515" s="7">
        <f>IFERROR(__xludf.DUMMYFUNCTION("""COMPUTED_VALUE"""),0.369230769230769)</f>
        <v>0.3692307692</v>
      </c>
    </row>
    <row r="6516">
      <c r="A6516" s="10" t="s">
        <v>7955</v>
      </c>
      <c r="B6516" s="7" t="str">
        <f>IFERROR(__xludf.DUMMYFUNCTION("SPLIT(A6516,"" "")"),"Cc1ccnc(C2CCC2(C)C)c1C(C)(C)C(C)N(Cc1ccccn1)Cc1ccccn1")</f>
        <v>Cc1ccnc(C2CCC2(C)C)c1C(C)(C)C(C)N(Cc1ccccn1)Cc1ccccn1</v>
      </c>
      <c r="C6516" s="7">
        <f>IFERROR(__xludf.DUMMYFUNCTION("""COMPUTED_VALUE"""),7.784413)</f>
        <v>7.784413</v>
      </c>
      <c r="D6516" s="7">
        <f>IFERROR(__xludf.DUMMYFUNCTION("""COMPUTED_VALUE"""),0.4)</f>
        <v>0.4</v>
      </c>
    </row>
    <row r="6517">
      <c r="A6517" s="10" t="s">
        <v>7956</v>
      </c>
      <c r="B6517" s="7" t="str">
        <f>IFERROR(__xludf.DUMMYFUNCTION("SPLIT(A6517,"" "")"),"CC1=C(c2ccccn2)CCC(N(CCN(C)Cc2ncccc2C)Cc2ccccn2)C1C")</f>
        <v>CC1=C(c2ccccn2)CCC(N(CCN(C)Cc2ncccc2C)Cc2ccccn2)C1C</v>
      </c>
      <c r="C6517" s="7">
        <f>IFERROR(__xludf.DUMMYFUNCTION("""COMPUTED_VALUE"""),7.784412)</f>
        <v>7.784412</v>
      </c>
      <c r="D6517" s="7">
        <f>IFERROR(__xludf.DUMMYFUNCTION("""COMPUTED_VALUE"""),0.370967741935483)</f>
        <v>0.3709677419</v>
      </c>
    </row>
    <row r="6518">
      <c r="A6518" s="10" t="s">
        <v>7957</v>
      </c>
      <c r="B6518" s="7" t="str">
        <f>IFERROR(__xludf.DUMMYFUNCTION("SPLIT(A6518,"" "")"),"COCC(=O)OC")</f>
        <v>COCC(=O)OC</v>
      </c>
      <c r="C6518" s="7">
        <f>IFERROR(__xludf.DUMMYFUNCTION("""COMPUTED_VALUE"""),7.784403)</f>
        <v>7.784403</v>
      </c>
      <c r="D6518" s="7">
        <f>IFERROR(__xludf.DUMMYFUNCTION("""COMPUTED_VALUE"""),0.14)</f>
        <v>0.14</v>
      </c>
    </row>
    <row r="6519">
      <c r="A6519" s="10" t="s">
        <v>7958</v>
      </c>
      <c r="B6519" s="7" t="str">
        <f>IFERROR(__xludf.DUMMYFUNCTION("SPLIT(A6519,"" "")"),"Cc1ccc(CN(C)C2CC(N(C)Cc3ncccc3C)CC(N(Cc3cccc(F)n3)Cc3cnccc3F)C2)nc1")</f>
        <v>Cc1ccc(CN(C)C2CC(N(C)Cc3ncccc3C)CC(N(Cc3cccc(F)n3)Cc3cnccc3F)C2)nc1</v>
      </c>
      <c r="C6519" s="7">
        <f>IFERROR(__xludf.DUMMYFUNCTION("""COMPUTED_VALUE"""),7.7843966)</f>
        <v>7.7843966</v>
      </c>
      <c r="D6519" s="7">
        <f>IFERROR(__xludf.DUMMYFUNCTION("""COMPUTED_VALUE"""),0.338028169014084)</f>
        <v>0.338028169</v>
      </c>
    </row>
    <row r="6520">
      <c r="A6520" s="10" t="s">
        <v>7959</v>
      </c>
      <c r="B6520" s="7" t="str">
        <f>IFERROR(__xludf.DUMMYFUNCTION("SPLIT(A6520,"" "")"),"Cc1ccncc1CN(Cc1cccnc1)C1CCCC(N(C)c2cccnc2CN(C)C)C1")</f>
        <v>Cc1ccncc1CN(Cc1cccnc1)C1CCCC(N(C)c2cccnc2CN(C)C)C1</v>
      </c>
      <c r="C6520" s="7">
        <f>IFERROR(__xludf.DUMMYFUNCTION("""COMPUTED_VALUE"""),7.784395)</f>
        <v>7.784395</v>
      </c>
      <c r="D6520" s="7">
        <f>IFERROR(__xludf.DUMMYFUNCTION("""COMPUTED_VALUE"""),0.279411764705882)</f>
        <v>0.2794117647</v>
      </c>
    </row>
    <row r="6521">
      <c r="A6521" s="10" t="s">
        <v>7960</v>
      </c>
      <c r="B6521" s="7" t="str">
        <f>IFERROR(__xludf.DUMMYFUNCTION("SPLIT(A6521,"" "")"),"Cc1cnc(CN(C)C2CC(N(C)Cc3ccccn3)CC(N(Cc3ccccn3)Cc3cccc(C)n3)C2)c(C)c1")</f>
        <v>Cc1cnc(CN(C)C2CC(N(C)Cc3ccccn3)CC(N(Cc3ccccn3)Cc3cccc(C)n3)C2)c(C)c1</v>
      </c>
      <c r="C6521" s="7">
        <f>IFERROR(__xludf.DUMMYFUNCTION("""COMPUTED_VALUE"""),7.784394)</f>
        <v>7.784394</v>
      </c>
      <c r="D6521" s="7">
        <f>IFERROR(__xludf.DUMMYFUNCTION("""COMPUTED_VALUE"""),0.406779661016949)</f>
        <v>0.406779661</v>
      </c>
    </row>
    <row r="6522">
      <c r="A6522" s="10" t="s">
        <v>7961</v>
      </c>
      <c r="B6522" s="7" t="str">
        <f>IFERROR(__xludf.DUMMYFUNCTION("SPLIT(A6522,"" "")"),"CN1CCN(C)CCN(Cc2cccnc2-c2ccccc2N(C)C)CC1")</f>
        <v>CN1CCN(C)CCN(Cc2cccnc2-c2ccccc2N(C)C)CC1</v>
      </c>
      <c r="C6522" s="7">
        <f>IFERROR(__xludf.DUMMYFUNCTION("""COMPUTED_VALUE"""),7.78439)</f>
        <v>7.78439</v>
      </c>
      <c r="D6522" s="7">
        <f>IFERROR(__xludf.DUMMYFUNCTION("""COMPUTED_VALUE"""),0.478260869565217)</f>
        <v>0.4782608696</v>
      </c>
    </row>
    <row r="6523">
      <c r="A6523" s="10" t="s">
        <v>7962</v>
      </c>
      <c r="B6523" s="7" t="str">
        <f>IFERROR(__xludf.DUMMYFUNCTION("SPLIT(A6523,"" "")"),"Cc1cncc(CN(C)C2C=CC=CN2)c1")</f>
        <v>Cc1cncc(CN(C)C2C=CC=CN2)c1</v>
      </c>
      <c r="C6523" s="7">
        <f>IFERROR(__xludf.DUMMYFUNCTION("""COMPUTED_VALUE"""),7.7843866)</f>
        <v>7.7843866</v>
      </c>
      <c r="D6523" s="7">
        <f>IFERROR(__xludf.DUMMYFUNCTION("""COMPUTED_VALUE"""),0.267857142857142)</f>
        <v>0.2678571429</v>
      </c>
    </row>
    <row r="6524">
      <c r="A6524" s="10" t="s">
        <v>7963</v>
      </c>
      <c r="B6524" s="7" t="str">
        <f>IFERROR(__xludf.DUMMYFUNCTION("SPLIT(A6524,"" "")"),"Cc1cccc(CN(C)C2=CCC=C(CN(C)C3CCC(N(C)Cc4cc(C)c(C)c(C)n4)CC3)N2)n1")</f>
        <v>Cc1cccc(CN(C)C2=CCC=C(CN(C)C3CCC(N(C)Cc4cc(C)c(C)c(C)n4)CC3)N2)n1</v>
      </c>
      <c r="C6524" s="7">
        <f>IFERROR(__xludf.DUMMYFUNCTION("""COMPUTED_VALUE"""),7.7843766)</f>
        <v>7.7843766</v>
      </c>
      <c r="D6524" s="7">
        <f>IFERROR(__xludf.DUMMYFUNCTION("""COMPUTED_VALUE"""),0.40983606557377)</f>
        <v>0.4098360656</v>
      </c>
    </row>
    <row r="6525">
      <c r="A6525" s="10" t="s">
        <v>7964</v>
      </c>
      <c r="B6525" s="7" t="str">
        <f>IFERROR(__xludf.DUMMYFUNCTION("SPLIT(A6525,"" "")"),"Cc1cc(C)c(C)c(CN(C)C2CCCCC2N(Cc2ccccn2)Cc2cccnc2C(C)(c2cccnc2)C(C)N)n1")</f>
        <v>Cc1cc(C)c(C)c(CN(C)C2CCCCC2N(Cc2ccccn2)Cc2cccnc2C(C)(c2cccnc2)C(C)N)n1</v>
      </c>
      <c r="C6525" s="7">
        <f>IFERROR(__xludf.DUMMYFUNCTION("""COMPUTED_VALUE"""),7.7843757)</f>
        <v>7.7843757</v>
      </c>
      <c r="D6525" s="7">
        <f>IFERROR(__xludf.DUMMYFUNCTION("""COMPUTED_VALUE"""),0.391891891891891)</f>
        <v>0.3918918919</v>
      </c>
    </row>
    <row r="6526">
      <c r="A6526" s="10" t="s">
        <v>7965</v>
      </c>
      <c r="B6526" s="7" t="str">
        <f>IFERROR(__xludf.DUMMYFUNCTION("SPLIT(A6526,"" "")"),"CC1=CC(C)C(C)C(c2cccc(CN(Cc3ccccn3)Cc3ccccn3)n2)C1")</f>
        <v>CC1=CC(C)C(C)C(c2cccc(CN(Cc3ccccn3)Cc3ccccn3)n2)C1</v>
      </c>
      <c r="C6526" s="7">
        <f>IFERROR(__xludf.DUMMYFUNCTION("""COMPUTED_VALUE"""),7.784363)</f>
        <v>7.784363</v>
      </c>
      <c r="D6526" s="7">
        <f>IFERROR(__xludf.DUMMYFUNCTION("""COMPUTED_VALUE"""),0.454545454545454)</f>
        <v>0.4545454545</v>
      </c>
    </row>
    <row r="6527">
      <c r="A6527" s="10" t="s">
        <v>7966</v>
      </c>
      <c r="B6527" s="7" t="str">
        <f>IFERROR(__xludf.DUMMYFUNCTION("SPLIT(A6527,"" "")"),"Cc1ccc(CN(C)C2=CCC=C(CN(Cc3ccccn3)Cc3cccc(-c4ccc5c(c4)OCCOCCOCCOCCOCCO5)n3)N2)nc1")</f>
        <v>Cc1ccc(CN(C)C2=CCC=C(CN(Cc3ccccn3)Cc3cccc(-c4ccc5c(c4)OCCOCCOCCOCCOCCO5)n3)N2)nc1</v>
      </c>
      <c r="C6527" s="7">
        <f>IFERROR(__xludf.DUMMYFUNCTION("""COMPUTED_VALUE"""),7.7843623)</f>
        <v>7.7843623</v>
      </c>
      <c r="D6527" s="7">
        <f>IFERROR(__xludf.DUMMYFUNCTION("""COMPUTED_VALUE"""),0.3875)</f>
        <v>0.3875</v>
      </c>
    </row>
    <row r="6528">
      <c r="A6528" s="10" t="s">
        <v>7967</v>
      </c>
      <c r="B6528" s="7" t="str">
        <f>IFERROR(__xludf.DUMMYFUNCTION("SPLIT(A6528,"" "")"),"CN(CCN(CC(C)(C)C)CC(C)(C)C)Cc1ccc2ncccc2c1")</f>
        <v>CN(CCN(CC(C)(C)C)CC(C)(C)C)Cc1ccc2ncccc2c1</v>
      </c>
      <c r="C6528" s="7">
        <f>IFERROR(__xludf.DUMMYFUNCTION("""COMPUTED_VALUE"""),7.7843614)</f>
        <v>7.7843614</v>
      </c>
      <c r="D6528" s="7">
        <f>IFERROR(__xludf.DUMMYFUNCTION("""COMPUTED_VALUE"""),0.4375)</f>
        <v>0.4375</v>
      </c>
    </row>
    <row r="6529">
      <c r="A6529" s="10" t="s">
        <v>7968</v>
      </c>
      <c r="B6529" s="7" t="str">
        <f>IFERROR(__xludf.DUMMYFUNCTION("SPLIT(A6529,"" "")"),"CC(C)N(Cc1cccc2ncccc12)C1CCC(N(C)Cc2cccnn2)CC1")</f>
        <v>CC(C)N(Cc1cccc2ncccc12)C1CCC(N(C)Cc2cccnn2)CC1</v>
      </c>
      <c r="C6529" s="7">
        <f>IFERROR(__xludf.DUMMYFUNCTION("""COMPUTED_VALUE"""),7.784357)</f>
        <v>7.784357</v>
      </c>
      <c r="D6529" s="7">
        <f>IFERROR(__xludf.DUMMYFUNCTION("""COMPUTED_VALUE"""),0.37037037037037)</f>
        <v>0.3703703704</v>
      </c>
    </row>
    <row r="6530">
      <c r="A6530" s="10" t="s">
        <v>7969</v>
      </c>
      <c r="B6530" s="7" t="str">
        <f>IFERROR(__xludf.DUMMYFUNCTION("SPLIT(A6530,"" "")"),"Cc1cc(C)c(CN(C)C2CCCC(N(Cc3ccccn3)Cc3nc(C)c(C)c(C)c3C)C2)nc1C")</f>
        <v>Cc1cc(C)c(CN(C)C2CCCC(N(Cc3ccccn3)Cc3nc(C)c(C)c(C)c3C)C2)nc1C</v>
      </c>
      <c r="C6530" s="7">
        <f>IFERROR(__xludf.DUMMYFUNCTION("""COMPUTED_VALUE"""),7.784348)</f>
        <v>7.784348</v>
      </c>
      <c r="D6530" s="7">
        <f>IFERROR(__xludf.DUMMYFUNCTION("""COMPUTED_VALUE"""),0.4)</f>
        <v>0.4</v>
      </c>
    </row>
    <row r="6531">
      <c r="A6531" s="10" t="s">
        <v>7970</v>
      </c>
      <c r="B6531" s="7" t="str">
        <f>IFERROR(__xludf.DUMMYFUNCTION("SPLIT(A6531,"" "")"),"CN1CCN(Cc2cccc(C3=NC(C)(C)CO3)n2)CCN(Cc2cccc(C3=NCC(C)(C)O3)n2)CC1")</f>
        <v>CN1CCN(Cc2cccc(C3=NC(C)(C)CO3)n2)CCN(Cc2cccc(C3=NCC(C)(C)O3)n2)CC1</v>
      </c>
      <c r="C6531" s="7">
        <f>IFERROR(__xludf.DUMMYFUNCTION("""COMPUTED_VALUE"""),7.784343)</f>
        <v>7.784343</v>
      </c>
      <c r="D6531" s="7">
        <f>IFERROR(__xludf.DUMMYFUNCTION("""COMPUTED_VALUE"""),0.490196078431372)</f>
        <v>0.4901960784</v>
      </c>
    </row>
    <row r="6532">
      <c r="A6532" s="10" t="s">
        <v>7971</v>
      </c>
      <c r="B6532" s="7" t="str">
        <f>IFERROR(__xludf.DUMMYFUNCTION("SPLIT(A6532,"" "")"),"CC(C)C(C)N(C)CC1=CCC=C(N(C)Cc2ccccn2)N1")</f>
        <v>CC(C)C(C)N(C)CC1=CCC=C(N(C)Cc2ccccn2)N1</v>
      </c>
      <c r="C6532" s="7">
        <f>IFERROR(__xludf.DUMMYFUNCTION("""COMPUTED_VALUE"""),7.784333)</f>
        <v>7.784333</v>
      </c>
      <c r="D6532" s="7">
        <f>IFERROR(__xludf.DUMMYFUNCTION("""COMPUTED_VALUE"""),0.410714285714285)</f>
        <v>0.4107142857</v>
      </c>
    </row>
    <row r="6533">
      <c r="A6533" s="10" t="s">
        <v>7972</v>
      </c>
      <c r="B6533" s="7" t="str">
        <f>IFERROR(__xludf.DUMMYFUNCTION("SPLIT(A6533,"" "")"),"CNCCN(C)Cc1ncc(C)cc1C")</f>
        <v>CNCCN(C)Cc1ncc(C)cc1C</v>
      </c>
      <c r="C6533" s="7">
        <f>IFERROR(__xludf.DUMMYFUNCTION("""COMPUTED_VALUE"""),7.784322)</f>
        <v>7.784322</v>
      </c>
      <c r="D6533" s="7">
        <f>IFERROR(__xludf.DUMMYFUNCTION("""COMPUTED_VALUE"""),0.390243902439024)</f>
        <v>0.3902439024</v>
      </c>
    </row>
    <row r="6534">
      <c r="A6534" s="10" t="s">
        <v>7973</v>
      </c>
      <c r="B6534" s="7" t="str">
        <f>IFERROR(__xludf.DUMMYFUNCTION("SPLIT(A6534,"" "")"),"CN(CCN(Cc1ccccn1)Cc1cccc(C2CC(C)(C)C2)n1)Cc1ccccn1")</f>
        <v>CN(CCN(Cc1ccccn1)Cc1cccc(C2CC(C)(C)C2)n1)Cc1ccccn1</v>
      </c>
      <c r="C6534" s="7">
        <f>IFERROR(__xludf.DUMMYFUNCTION("""COMPUTED_VALUE"""),7.7843146)</f>
        <v>7.7843146</v>
      </c>
      <c r="D6534" s="7">
        <f>IFERROR(__xludf.DUMMYFUNCTION("""COMPUTED_VALUE"""),0.5)</f>
        <v>0.5</v>
      </c>
    </row>
    <row r="6535">
      <c r="A6535" s="10" t="s">
        <v>7974</v>
      </c>
      <c r="B6535" s="7" t="str">
        <f>IFERROR(__xludf.DUMMYFUNCTION("SPLIT(A6535,"" "")"),"CNCc1ncccc1N(C)C1CCCCC1N(Cc1ccccn1)Cc1nc(C)c(C)c(C)c1C")</f>
        <v>CNCc1ncccc1N(C)C1CCCCC1N(Cc1ccccn1)Cc1nc(C)c(C)c(C)c1C</v>
      </c>
      <c r="C6535" s="7">
        <f>IFERROR(__xludf.DUMMYFUNCTION("""COMPUTED_VALUE"""),7.7842927)</f>
        <v>7.7842927</v>
      </c>
      <c r="D6535" s="7">
        <f>IFERROR(__xludf.DUMMYFUNCTION("""COMPUTED_VALUE"""),0.426229508196721)</f>
        <v>0.4262295082</v>
      </c>
    </row>
    <row r="6536">
      <c r="A6536" s="10" t="s">
        <v>7975</v>
      </c>
      <c r="B6536" s="7" t="str">
        <f>IFERROR(__xludf.DUMMYFUNCTION("SPLIT(A6536,"" "")"),"CC1(C)CC(c2ccc(CN(Cc3ccccn3)Cc3ccccn3)c(CN(Cc3ccccn3)Cc3cccc(-c4ccc5c(c4)OCCOCCOCCOCCOCCO5)n3)n2)C1")</f>
        <v>CC1(C)CC(c2ccc(CN(Cc3ccccn3)Cc3ccccn3)c(CN(Cc3ccccn3)Cc3cccc(-c4ccc5c(c4)OCCOCCOCCOCCOCCO5)n3)n2)C1</v>
      </c>
      <c r="C6536" s="7">
        <f>IFERROR(__xludf.DUMMYFUNCTION("""COMPUTED_VALUE"""),7.7842884)</f>
        <v>7.7842884</v>
      </c>
      <c r="D6536" s="7">
        <f>IFERROR(__xludf.DUMMYFUNCTION("""COMPUTED_VALUE"""),0.418918918918918)</f>
        <v>0.4189189189</v>
      </c>
    </row>
    <row r="6537">
      <c r="A6537" s="10" t="s">
        <v>7976</v>
      </c>
      <c r="B6537" s="7" t="str">
        <f>IFERROR(__xludf.DUMMYFUNCTION("SPLIT(A6537,"" "")"),"Cc1ccnc(CN(C)CCNCc2ncccc2C)c1")</f>
        <v>Cc1ccnc(CN(C)CCNCc2ncccc2C)c1</v>
      </c>
      <c r="C6537" s="7">
        <f>IFERROR(__xludf.DUMMYFUNCTION("""COMPUTED_VALUE"""),7.784286)</f>
        <v>7.784286</v>
      </c>
      <c r="D6537" s="7">
        <f>IFERROR(__xludf.DUMMYFUNCTION("""COMPUTED_VALUE"""),0.358490566037735)</f>
        <v>0.358490566</v>
      </c>
    </row>
    <row r="6538">
      <c r="A6538" s="10" t="s">
        <v>7977</v>
      </c>
      <c r="B6538" s="7" t="str">
        <f>IFERROR(__xludf.DUMMYFUNCTION("SPLIT(A6538,"" "")"),"Cc1cc(CN(Cc2ncc(C)c(C)c2C)CN(C)C2CCCC(N(C)Cc3ncc(C)c(C)c3C)C2)nc(C)c1C")</f>
        <v>Cc1cc(CN(Cc2ncc(C)c(C)c2C)CN(C)C2CCCC(N(C)Cc3ncc(C)c(C)c3C)C2)nc(C)c1C</v>
      </c>
      <c r="C6538" s="7">
        <f>IFERROR(__xludf.DUMMYFUNCTION("""COMPUTED_VALUE"""),7.784283)</f>
        <v>7.784283</v>
      </c>
      <c r="D6538" s="7">
        <f>IFERROR(__xludf.DUMMYFUNCTION("""COMPUTED_VALUE"""),0.290322580645161)</f>
        <v>0.2903225806</v>
      </c>
    </row>
    <row r="6539">
      <c r="A6539" s="10" t="s">
        <v>7978</v>
      </c>
      <c r="B6539" s="7" t="str">
        <f>IFERROR(__xludf.DUMMYFUNCTION("SPLIT(A6539,"" "")"),"CC1=CC(N(C)Cc2ccccn2)C=CN1")</f>
        <v>CC1=CC(N(C)Cc2ccccn2)C=CN1</v>
      </c>
      <c r="C6539" s="7">
        <f>IFERROR(__xludf.DUMMYFUNCTION("""COMPUTED_VALUE"""),7.784276)</f>
        <v>7.784276</v>
      </c>
      <c r="D6539" s="7">
        <f>IFERROR(__xludf.DUMMYFUNCTION("""COMPUTED_VALUE"""),0.488888888888888)</f>
        <v>0.4888888889</v>
      </c>
    </row>
    <row r="6540">
      <c r="A6540" s="10" t="s">
        <v>7979</v>
      </c>
      <c r="B6540" s="7" t="str">
        <f>IFERROR(__xludf.DUMMYFUNCTION("SPLIT(A6540,"" "")"),"Cc1cc(CN(C)CC2=CCC(N(C)c3ncccc3CN3CCN(C)CCN(Cc4ccccn4)CC3)=CN2)nc(C)c1C")</f>
        <v>Cc1cc(CN(C)CC2=CCC(N(C)c3ncccc3CN3CCN(C)CCN(Cc4ccccn4)CC3)=CN2)nc(C)c1C</v>
      </c>
      <c r="C6540" s="7">
        <f>IFERROR(__xludf.DUMMYFUNCTION("""COMPUTED_VALUE"""),7.784261)</f>
        <v>7.784261</v>
      </c>
      <c r="D6540" s="7">
        <f>IFERROR(__xludf.DUMMYFUNCTION("""COMPUTED_VALUE"""),0.411764705882352)</f>
        <v>0.4117647059</v>
      </c>
    </row>
    <row r="6541">
      <c r="A6541" s="10" t="s">
        <v>7980</v>
      </c>
      <c r="B6541" s="7" t="str">
        <f>IFERROR(__xludf.DUMMYFUNCTION("SPLIT(A6541,"" "")"),"CC(C)C1COC(C2OC(c3cccc(CN(Cc4ccccn4)Cc4cccc(-c5ccc6c(c5)OCCOCCOCCOCCOCCO6)n4)n3)=NC2C(C)C)=N1")</f>
        <v>CC(C)C1COC(C2OC(c3cccc(CN(Cc4ccccn4)Cc4cccc(-c5ccc6c(c5)OCCOCCOCCOCCOCCO6)n4)n3)=NC2C(C)C)=N1</v>
      </c>
      <c r="C6541" s="7">
        <f>IFERROR(__xludf.DUMMYFUNCTION("""COMPUTED_VALUE"""),7.784259)</f>
        <v>7.784259</v>
      </c>
      <c r="D6541" s="7">
        <f>IFERROR(__xludf.DUMMYFUNCTION("""COMPUTED_VALUE"""),0.392405063291139)</f>
        <v>0.3924050633</v>
      </c>
    </row>
    <row r="6542">
      <c r="A6542" s="10" t="s">
        <v>7981</v>
      </c>
      <c r="B6542" s="7" t="str">
        <f>IFERROR(__xludf.DUMMYFUNCTION("SPLIT(A6542,"" "")"),"Cc1ccc(CN(C)Cc2cccc(N(C)Cc3cccc(-c4cccc5c4OCCOCCOCCOCCOCCO5)n3)n2)nc1")</f>
        <v>Cc1ccc(CN(C)Cc2cccc(N(C)Cc3cccc(-c4cccc5c4OCCOCCOCCOCCOCCO5)n3)n2)nc1</v>
      </c>
      <c r="C6542" s="7">
        <f>IFERROR(__xludf.DUMMYFUNCTION("""COMPUTED_VALUE"""),7.784254)</f>
        <v>7.784254</v>
      </c>
      <c r="D6542" s="7">
        <f>IFERROR(__xludf.DUMMYFUNCTION("""COMPUTED_VALUE"""),0.366666666666666)</f>
        <v>0.3666666667</v>
      </c>
    </row>
    <row r="6543">
      <c r="A6543" s="10" t="s">
        <v>7982</v>
      </c>
      <c r="B6543" s="7" t="str">
        <f>IFERROR(__xludf.DUMMYFUNCTION("SPLIT(A6543,"" "")"),"CC(C)N(C)Cc1ccc(N(Cc2ccccn2)C2(C)CCC2)nc1")</f>
        <v>CC(C)N(C)Cc1ccc(N(Cc2ccccn2)C2(C)CCC2)nc1</v>
      </c>
      <c r="C6543" s="7">
        <f>IFERROR(__xludf.DUMMYFUNCTION("""COMPUTED_VALUE"""),7.784247)</f>
        <v>7.784247</v>
      </c>
      <c r="D6543" s="7">
        <f>IFERROR(__xludf.DUMMYFUNCTION("""COMPUTED_VALUE"""),0.403846153846153)</f>
        <v>0.4038461538</v>
      </c>
    </row>
    <row r="6544">
      <c r="A6544" s="10" t="s">
        <v>7983</v>
      </c>
      <c r="B6544" s="7" t="str">
        <f>IFERROR(__xludf.DUMMYFUNCTION("SPLIT(A6544,"" "")"),"Cc1cccc(CN(Cc2cccc(-c3ccc4c(c3)OCCOCCOCCOCCOCCO4)n2)C2CCC(N(C)c3ccc4nc(CF)ccc4c3)CC2)n1")</f>
        <v>Cc1cccc(CN(Cc2cccc(-c3ccc4c(c3)OCCOCCOCCOCCOCCO4)n2)C2CCC(N(C)c3ccc4nc(CF)ccc4c3)CC2)n1</v>
      </c>
      <c r="C6544" s="7">
        <f>IFERROR(__xludf.DUMMYFUNCTION("""COMPUTED_VALUE"""),7.7842445)</f>
        <v>7.7842445</v>
      </c>
      <c r="D6544" s="7">
        <f>IFERROR(__xludf.DUMMYFUNCTION("""COMPUTED_VALUE"""),0.309859154929577)</f>
        <v>0.3098591549</v>
      </c>
    </row>
    <row r="6545">
      <c r="A6545" s="10" t="s">
        <v>7984</v>
      </c>
      <c r="B6545" s="7" t="str">
        <f>IFERROR(__xludf.DUMMYFUNCTION("SPLIT(A6545,"" "")"),"CCN(Cc1cccc(C2=NC(C)(C)CO2)n1)C1CCCCC1N(C)Cc1nc(C)c(C)c(C)c1C")</f>
        <v>CCN(Cc1cccc(C2=NC(C)(C)CO2)n1)C1CCCCC1N(C)Cc1nc(C)c(C)c(C)c1C</v>
      </c>
      <c r="C6545" s="7">
        <f>IFERROR(__xludf.DUMMYFUNCTION("""COMPUTED_VALUE"""),7.7842436)</f>
        <v>7.7842436</v>
      </c>
      <c r="D6545" s="7">
        <f>IFERROR(__xludf.DUMMYFUNCTION("""COMPUTED_VALUE"""),0.416666666666666)</f>
        <v>0.4166666667</v>
      </c>
    </row>
    <row r="6546">
      <c r="A6546" s="10" t="s">
        <v>7985</v>
      </c>
      <c r="B6546" s="7" t="str">
        <f>IFERROR(__xludf.DUMMYFUNCTION("SPLIT(A6546,"" "")"),"COC(=O)c1cccc(CN(Cc2ccccn2)Cc2cccc(-c3ccc4c(c3)OCCOCCOCCOCCOCCO4)n2)n1")</f>
        <v>COC(=O)c1cccc(CN(Cc2ccccn2)Cc2cccc(-c3ccc4c(c3)OCCOCCOCCOCCOCCO4)n2)n1</v>
      </c>
      <c r="C6546" s="7">
        <f>IFERROR(__xludf.DUMMYFUNCTION("""COMPUTED_VALUE"""),7.784225)</f>
        <v>7.784225</v>
      </c>
      <c r="D6546" s="7">
        <f>IFERROR(__xludf.DUMMYFUNCTION("""COMPUTED_VALUE"""),0.5)</f>
        <v>0.5</v>
      </c>
    </row>
    <row r="6547">
      <c r="A6547" s="10" t="s">
        <v>7986</v>
      </c>
      <c r="B6547" s="7" t="str">
        <f>IFERROR(__xludf.DUMMYFUNCTION("SPLIT(A6547,"" "")"),"CNC1CCC(N(C)Cc2nc(C)c(C)c(C)c2C)CC1N(C)Cc1cc(C)c(C)c(C)n1")</f>
        <v>CNC1CCC(N(C)Cc2nc(C)c(C)c(C)c2C)CC1N(C)Cc1cc(C)c(C)c(C)n1</v>
      </c>
      <c r="C6547" s="7">
        <f>IFERROR(__xludf.DUMMYFUNCTION("""COMPUTED_VALUE"""),7.7842135)</f>
        <v>7.7842135</v>
      </c>
      <c r="D6547" s="7">
        <f>IFERROR(__xludf.DUMMYFUNCTION("""COMPUTED_VALUE"""),0.290322580645161)</f>
        <v>0.2903225806</v>
      </c>
    </row>
    <row r="6548">
      <c r="A6548" s="10" t="s">
        <v>7987</v>
      </c>
      <c r="B6548" s="7" t="str">
        <f>IFERROR(__xludf.DUMMYFUNCTION("SPLIT(A6548,"" "")"),"CC(C)N(C)Cc1cc(C(C)(C)C)ccn1")</f>
        <v>CC(C)N(C)Cc1cc(C(C)(C)C)ccn1</v>
      </c>
      <c r="C6548" s="7">
        <f>IFERROR(__xludf.DUMMYFUNCTION("""COMPUTED_VALUE"""),7.7842016)</f>
        <v>7.7842016</v>
      </c>
      <c r="D6548" s="7">
        <f>IFERROR(__xludf.DUMMYFUNCTION("""COMPUTED_VALUE"""),0.348837209302325)</f>
        <v>0.3488372093</v>
      </c>
    </row>
    <row r="6549">
      <c r="A6549" s="10" t="s">
        <v>7988</v>
      </c>
      <c r="B6549" s="7" t="str">
        <f>IFERROR(__xludf.DUMMYFUNCTION("SPLIT(A6549,"" "")"),"CC1=CC(C)CC(CN(Cc2ccccn2)C2CCC(N(C)c3ccc4nccc(C)c4c3)CC2)C1C")</f>
        <v>CC1=CC(C)CC(CN(Cc2ccccn2)C2CCC(N(C)c3ccc4nccc(C)c4c3)CC2)C1C</v>
      </c>
      <c r="C6549" s="7">
        <f>IFERROR(__xludf.DUMMYFUNCTION("""COMPUTED_VALUE"""),7.784189)</f>
        <v>7.784189</v>
      </c>
      <c r="D6549" s="7">
        <f>IFERROR(__xludf.DUMMYFUNCTION("""COMPUTED_VALUE"""),0.314285714285714)</f>
        <v>0.3142857143</v>
      </c>
    </row>
    <row r="6550">
      <c r="A6550" s="10" t="s">
        <v>7989</v>
      </c>
      <c r="B6550" s="7" t="str">
        <f>IFERROR(__xludf.DUMMYFUNCTION("SPLIT(A6550,"" "")"),"CCN(C)CCN(C)Cc1nc(C)c(C)cc1C")</f>
        <v>CCN(C)CCN(C)Cc1nc(C)c(C)cc1C</v>
      </c>
      <c r="C6550" s="7">
        <f>IFERROR(__xludf.DUMMYFUNCTION("""COMPUTED_VALUE"""),7.78418)</f>
        <v>7.78418</v>
      </c>
      <c r="D6550" s="7">
        <f>IFERROR(__xludf.DUMMYFUNCTION("""COMPUTED_VALUE"""),0.35)</f>
        <v>0.35</v>
      </c>
    </row>
    <row r="6551">
      <c r="A6551" s="10" t="s">
        <v>7990</v>
      </c>
      <c r="B6551" s="7" t="str">
        <f>IFERROR(__xludf.DUMMYFUNCTION("SPLIT(A6551,"" "")"),"Cc1cccc(CN(Cc2ccccn2)Cc2cccc(CN(C)C3CCC(N(Cc4ccccn4)Cc4ncccc4C)CC3)n2)n1")</f>
        <v>Cc1cccc(CN(Cc2ccccn2)Cc2cccc(CN(C)C3CCC(N(Cc4ccccn4)Cc4ncccc4C)CC3)n2)n1</v>
      </c>
      <c r="C6551" s="7">
        <f>IFERROR(__xludf.DUMMYFUNCTION("""COMPUTED_VALUE"""),7.7841687)</f>
        <v>7.7841687</v>
      </c>
      <c r="D6551" s="7">
        <f>IFERROR(__xludf.DUMMYFUNCTION("""COMPUTED_VALUE"""),0.43103448275862)</f>
        <v>0.4310344828</v>
      </c>
    </row>
    <row r="6552">
      <c r="A6552" s="10" t="s">
        <v>7991</v>
      </c>
      <c r="B6552" s="7" t="str">
        <f>IFERROR(__xludf.DUMMYFUNCTION("SPLIT(A6552,"" "")"),"Cc1cncc(CN(C)Cc2cccc(N(C)Cc3cccc(-c4ccc5c(c4)OCCOCCOCCOCCOCCO5)n3)n2)c1")</f>
        <v>Cc1cncc(CN(C)Cc2cccc(N(C)Cc3cccc(-c4ccc5c(c4)OCCOCCOCCOCCOCCO5)n3)n2)c1</v>
      </c>
      <c r="C6552" s="7">
        <f>IFERROR(__xludf.DUMMYFUNCTION("""COMPUTED_VALUE"""),7.784165)</f>
        <v>7.784165</v>
      </c>
      <c r="D6552" s="7">
        <f>IFERROR(__xludf.DUMMYFUNCTION("""COMPUTED_VALUE"""),0.304347826086956)</f>
        <v>0.3043478261</v>
      </c>
    </row>
    <row r="6553">
      <c r="A6553" s="10" t="s">
        <v>7992</v>
      </c>
      <c r="B6553" s="7" t="str">
        <f>IFERROR(__xludf.DUMMYFUNCTION("SPLIT(A6553,"" "")"),"CN(c1ccc2nccc(CF)c2c1)C1CCC(N(Cc2ccccn2)Cc2cc(-c3ccc4c(c3)OCCOCCOCCOCCOCCO4)ccn2)CC1")</f>
        <v>CN(c1ccc2nccc(CF)c2c1)C1CCC(N(Cc2ccccn2)Cc2cc(-c3ccc4c(c3)OCCOCCOCCOCCOCCO4)ccn2)CC1</v>
      </c>
      <c r="C6553" s="7">
        <f>IFERROR(__xludf.DUMMYFUNCTION("""COMPUTED_VALUE"""),7.7841625)</f>
        <v>7.7841625</v>
      </c>
      <c r="D6553" s="7">
        <f>IFERROR(__xludf.DUMMYFUNCTION("""COMPUTED_VALUE"""),0.313953488372093)</f>
        <v>0.3139534884</v>
      </c>
    </row>
    <row r="6554">
      <c r="A6554" s="10" t="s">
        <v>7993</v>
      </c>
      <c r="B6554" s="7" t="str">
        <f>IFERROR(__xludf.DUMMYFUNCTION("SPLIT(A6554,"" "")"),"Cc1cc(C)c(CN(C)C2CC(N(C)Cc3ccccn3)CC(N(Cc3ccccn3)Cc3ccccn3)C2)nc1C")</f>
        <v>Cc1cc(C)c(CN(C)C2CC(N(C)Cc3ccccn3)CC(N(Cc3ccccn3)Cc3ccccn3)C2)nc1C</v>
      </c>
      <c r="C6554" s="7">
        <f>IFERROR(__xludf.DUMMYFUNCTION("""COMPUTED_VALUE"""),7.7841625)</f>
        <v>7.7841625</v>
      </c>
      <c r="D6554" s="7">
        <f>IFERROR(__xludf.DUMMYFUNCTION("""COMPUTED_VALUE"""),0.442307692307692)</f>
        <v>0.4423076923</v>
      </c>
    </row>
    <row r="6555">
      <c r="A6555" s="10" t="s">
        <v>7994</v>
      </c>
      <c r="B6555" s="7" t="str">
        <f>IFERROR(__xludf.DUMMYFUNCTION("SPLIT(A6555,"" "")"),"CCN(Cc1ccccn1)c1ccc2c(c1-c1cc(CN(Cc3ccccn3)Cc3cccc(F)n3)ccn1)OCCOCCOCCOCCOCCO2")</f>
        <v>CCN(Cc1ccccn1)c1ccc2c(c1-c1cc(CN(Cc3ccccn3)Cc3cccc(F)n3)ccn1)OCCOCCOCCOCCOCCO2</v>
      </c>
      <c r="C6555" s="7">
        <f>IFERROR(__xludf.DUMMYFUNCTION("""COMPUTED_VALUE"""),7.7841587)</f>
        <v>7.7841587</v>
      </c>
      <c r="D6555" s="7">
        <f>IFERROR(__xludf.DUMMYFUNCTION("""COMPUTED_VALUE"""),0.347222222222222)</f>
        <v>0.3472222222</v>
      </c>
    </row>
    <row r="6556">
      <c r="A6556" s="10" t="s">
        <v>7995</v>
      </c>
      <c r="B6556" s="7" t="str">
        <f>IFERROR(__xludf.DUMMYFUNCTION("SPLIT(A6556,"" "")"),"CC(C)N(C)C1CCCCC1N(C)c1cccc2c(CF)ccnc12")</f>
        <v>CC(C)N(C)C1CCCCC1N(C)c1cccc2c(CF)ccnc12</v>
      </c>
      <c r="C6556" s="7">
        <f>IFERROR(__xludf.DUMMYFUNCTION("""COMPUTED_VALUE"""),7.784154)</f>
        <v>7.784154</v>
      </c>
      <c r="D6556" s="7">
        <f>IFERROR(__xludf.DUMMYFUNCTION("""COMPUTED_VALUE"""),0.5)</f>
        <v>0.5</v>
      </c>
    </row>
    <row r="6557">
      <c r="A6557" s="10" t="s">
        <v>7996</v>
      </c>
      <c r="B6557" s="7" t="str">
        <f>IFERROR(__xludf.DUMMYFUNCTION("SPLIT(A6557,"" "")"),"CN(c1cccc2c(CF)ccnc12)C1CCC(N(Cc2ccccn2)Cc2ncccc2-c2ccc3c(c2)OCCOCCOCCOCCOCCO3)CC1")</f>
        <v>CN(c1cccc2c(CF)ccnc12)C1CCC(N(Cc2ccccn2)Cc2ncccc2-c2ccc3c(c2)OCCOCCOCCOCCOCCO3)CC1</v>
      </c>
      <c r="C6557" s="7">
        <f>IFERROR(__xludf.DUMMYFUNCTION("""COMPUTED_VALUE"""),7.78415)</f>
        <v>7.78415</v>
      </c>
      <c r="D6557" s="7">
        <f>IFERROR(__xludf.DUMMYFUNCTION("""COMPUTED_VALUE"""),0.282608695652173)</f>
        <v>0.2826086957</v>
      </c>
    </row>
    <row r="6558">
      <c r="A6558" s="10" t="s">
        <v>7997</v>
      </c>
      <c r="B6558" s="7" t="str">
        <f>IFERROR(__xludf.DUMMYFUNCTION("SPLIT(A6558,"" "")"),"CCCNCC1=CCC(N(C)Cc2ccccn2)=CN1")</f>
        <v>CCCNCC1=CCC(N(C)Cc2ccccn2)=CN1</v>
      </c>
      <c r="C6558" s="7">
        <f>IFERROR(__xludf.DUMMYFUNCTION("""COMPUTED_VALUE"""),7.784138)</f>
        <v>7.784138</v>
      </c>
      <c r="D6558" s="7">
        <f>IFERROR(__xludf.DUMMYFUNCTION("""COMPUTED_VALUE"""),0.388888888888888)</f>
        <v>0.3888888889</v>
      </c>
    </row>
    <row r="6559">
      <c r="A6559" s="10" t="s">
        <v>7998</v>
      </c>
      <c r="B6559" s="7" t="str">
        <f>IFERROR(__xludf.DUMMYFUNCTION("SPLIT(A6559,"" "")"),"Cc1cccc(CN(Cc2cccc(C)n2)C2CC(N(C)Cc3ccccn3)CC(N(C)Cc3ncccc3C)C2)n1")</f>
        <v>Cc1cccc(CN(Cc2cccc(C)n2)C2CC(N(C)Cc3ccccn3)CC(N(C)Cc3ncccc3C)C2)n1</v>
      </c>
      <c r="C6559" s="7">
        <f>IFERROR(__xludf.DUMMYFUNCTION("""COMPUTED_VALUE"""),7.784138)</f>
        <v>7.784138</v>
      </c>
      <c r="D6559" s="7">
        <f>IFERROR(__xludf.DUMMYFUNCTION("""COMPUTED_VALUE"""),0.436363636363636)</f>
        <v>0.4363636364</v>
      </c>
    </row>
    <row r="6560">
      <c r="A6560" s="10" t="s">
        <v>7999</v>
      </c>
      <c r="B6560" s="7" t="str">
        <f>IFERROR(__xludf.DUMMYFUNCTION("SPLIT(A6560,"" "")"),"Cc1nc(CN(C)C2CCC(N(C)Cc3cccc(C4=CCC=CN4)n3)CC2)c(C)c(C)c1C")</f>
        <v>Cc1nc(CN(C)C2CCC(N(C)Cc3cccc(C4=CCC=CN4)n3)CC2)c(C)c(C)c1C</v>
      </c>
      <c r="C6560" s="7">
        <f>IFERROR(__xludf.DUMMYFUNCTION("""COMPUTED_VALUE"""),7.7841344)</f>
        <v>7.7841344</v>
      </c>
      <c r="D6560" s="7">
        <f>IFERROR(__xludf.DUMMYFUNCTION("""COMPUTED_VALUE"""),0.338709677419354)</f>
        <v>0.3387096774</v>
      </c>
    </row>
    <row r="6561">
      <c r="A6561" s="10" t="s">
        <v>8000</v>
      </c>
      <c r="B6561" s="7" t="str">
        <f>IFERROR(__xludf.DUMMYFUNCTION("SPLIT(A6561,"" "")"),"CNCc1cccc(N)n1")</f>
        <v>CNCc1cccc(N)n1</v>
      </c>
      <c r="C6561" s="7">
        <f>IFERROR(__xludf.DUMMYFUNCTION("""COMPUTED_VALUE"""),7.784121)</f>
        <v>7.784121</v>
      </c>
      <c r="D6561" s="7">
        <f>IFERROR(__xludf.DUMMYFUNCTION("""COMPUTED_VALUE"""),0.289473684210526)</f>
        <v>0.2894736842</v>
      </c>
    </row>
    <row r="6562">
      <c r="A6562" s="10" t="s">
        <v>8001</v>
      </c>
      <c r="B6562" s="7" t="str">
        <f>IFERROR(__xludf.DUMMYFUNCTION("SPLIT(A6562,"" "")"),"CCN(Cc1ccccn1)Cc1ccc2cccc(N(C)C3CCC(N(Cc4ccccn4)Cc4ncccc4-c4ccc5c(c4)OCCOCCOCCOCCOCCO5)CC3)c2n1")</f>
        <v>CCN(Cc1ccccn1)Cc1ccc2cccc(N(C)C3CCC(N(Cc4ccccn4)Cc4ncccc4-c4ccc5c(c4)OCCOCCOCCOCCOCCO5)CC3)c2n1</v>
      </c>
      <c r="C6562" s="7">
        <f>IFERROR(__xludf.DUMMYFUNCTION("""COMPUTED_VALUE"""),7.784118)</f>
        <v>7.784118</v>
      </c>
      <c r="D6562" s="7">
        <f>IFERROR(__xludf.DUMMYFUNCTION("""COMPUTED_VALUE"""),0.302325581395348)</f>
        <v>0.3023255814</v>
      </c>
    </row>
    <row r="6563">
      <c r="A6563" s="10" t="s">
        <v>8002</v>
      </c>
      <c r="B6563" s="7" t="str">
        <f>IFERROR(__xludf.DUMMYFUNCTION("SPLIT(A6563,"" "")"),"Cc1cnc(CNCCN(C)CC(C)(C)C)c(C)c1C")</f>
        <v>Cc1cnc(CNCCN(C)CC(C)(C)C)c(C)c1C</v>
      </c>
      <c r="C6563" s="7">
        <f>IFERROR(__xludf.DUMMYFUNCTION("""COMPUTED_VALUE"""),7.7841015)</f>
        <v>7.7841015</v>
      </c>
      <c r="D6563" s="7">
        <f>IFERROR(__xludf.DUMMYFUNCTION("""COMPUTED_VALUE"""),0.274509803921568)</f>
        <v>0.2745098039</v>
      </c>
    </row>
    <row r="6564">
      <c r="A6564" s="10" t="s">
        <v>8003</v>
      </c>
      <c r="B6564" s="7" t="str">
        <f>IFERROR(__xludf.DUMMYFUNCTION("SPLIT(A6564,"" "")"),"CN1CCN(C)CCN(Cc2cccnc2-c2cccc(N(C)C)c2)CC1")</f>
        <v>CN1CCN(C)CCN(Cc2cccnc2-c2cccc(N(C)C)c2)CC1</v>
      </c>
      <c r="C6564" s="7">
        <f>IFERROR(__xludf.DUMMYFUNCTION("""COMPUTED_VALUE"""),7.7840886)</f>
        <v>7.7840886</v>
      </c>
      <c r="D6564" s="7">
        <f>IFERROR(__xludf.DUMMYFUNCTION("""COMPUTED_VALUE"""),0.428571428571428)</f>
        <v>0.4285714286</v>
      </c>
    </row>
    <row r="6565">
      <c r="A6565" s="10" t="s">
        <v>8004</v>
      </c>
      <c r="B6565" s="7" t="str">
        <f>IFERROR(__xludf.DUMMYFUNCTION("SPLIT(A6565,"" "")"),"Cc1cnc(CN(CN(C)C(C)C)C(C)C)c(C)c1")</f>
        <v>Cc1cnc(CN(CN(C)C(C)C)C(C)C)c(C)c1</v>
      </c>
      <c r="C6565" s="7">
        <f>IFERROR(__xludf.DUMMYFUNCTION("""COMPUTED_VALUE"""),7.7840843)</f>
        <v>7.7840843</v>
      </c>
      <c r="D6565" s="7">
        <f>IFERROR(__xludf.DUMMYFUNCTION("""COMPUTED_VALUE"""),0.318181818181818)</f>
        <v>0.3181818182</v>
      </c>
    </row>
    <row r="6566">
      <c r="A6566" s="10" t="s">
        <v>8005</v>
      </c>
      <c r="B6566" s="7" t="str">
        <f>IFERROR(__xludf.DUMMYFUNCTION("SPLIT(A6566,"" "")"),"CCNCN(C)C1CCCC(N(C)c2cccc3c(CF)ccnc23)C1")</f>
        <v>CCNCN(C)C1CCCC(N(C)c2cccc3c(CF)ccnc23)C1</v>
      </c>
      <c r="C6566" s="7">
        <f>IFERROR(__xludf.DUMMYFUNCTION("""COMPUTED_VALUE"""),7.7840767)</f>
        <v>7.7840767</v>
      </c>
      <c r="D6566" s="7">
        <f>IFERROR(__xludf.DUMMYFUNCTION("""COMPUTED_VALUE"""),0.338709677419354)</f>
        <v>0.3387096774</v>
      </c>
    </row>
    <row r="6567">
      <c r="A6567" s="10" t="s">
        <v>8006</v>
      </c>
      <c r="B6567" s="7" t="str">
        <f>IFERROR(__xludf.DUMMYFUNCTION("SPLIT(A6567,"" "")"),"COC(=O)C1CC(c2ccccn2)C(c2ccccn2)N(C)C1c1cc(CN(Cc2ccccn2)C2CCCCC2)ccn1")</f>
        <v>COC(=O)C1CC(c2ccccn2)C(c2ccccn2)N(C)C1c1cc(CN(Cc2ccccn2)C2CCCCC2)ccn1</v>
      </c>
      <c r="C6567" s="7">
        <f>IFERROR(__xludf.DUMMYFUNCTION("""COMPUTED_VALUE"""),7.784064)</f>
        <v>7.784064</v>
      </c>
      <c r="D6567" s="7">
        <f>IFERROR(__xludf.DUMMYFUNCTION("""COMPUTED_VALUE"""),0.319444444444444)</f>
        <v>0.3194444444</v>
      </c>
    </row>
    <row r="6568">
      <c r="A6568" s="10" t="s">
        <v>8007</v>
      </c>
      <c r="B6568" s="7" t="str">
        <f>IFERROR(__xludf.DUMMYFUNCTION("SPLIT(A6568,"" "")"),"Cc1cncc(CN(C)C2CC(N(C)Cc3ccccn3)CC(N(Cc3ccccn3)Cc3ncc(C)c(C)c3C)C2)c1")</f>
        <v>Cc1cncc(CN(C)C2CC(N(C)Cc3ccccn3)CC(N(Cc3ccccn3)Cc3ncc(C)c(C)c3C)C2)c1</v>
      </c>
      <c r="C6568" s="7">
        <f>IFERROR(__xludf.DUMMYFUNCTION("""COMPUTED_VALUE"""),7.7840543)</f>
        <v>7.7840543</v>
      </c>
      <c r="D6568" s="7">
        <f>IFERROR(__xludf.DUMMYFUNCTION("""COMPUTED_VALUE"""),0.377049180327868)</f>
        <v>0.3770491803</v>
      </c>
    </row>
    <row r="6569">
      <c r="A6569" s="10" t="s">
        <v>8008</v>
      </c>
      <c r="B6569" s="7" t="str">
        <f>IFERROR(__xludf.DUMMYFUNCTION("SPLIT(A6569,"" "")"),"Cc1cnc(CN(C)CCN(C)C(C)(C)c2ccccn2)c(C)c1")</f>
        <v>Cc1cnc(CN(C)CCN(C)C(C)(C)c2ccccn2)c(C)c1</v>
      </c>
      <c r="C6569" s="7">
        <f>IFERROR(__xludf.DUMMYFUNCTION("""COMPUTED_VALUE"""),7.784053)</f>
        <v>7.784053</v>
      </c>
      <c r="D6569" s="7">
        <f>IFERROR(__xludf.DUMMYFUNCTION("""COMPUTED_VALUE"""),0.36734693877551)</f>
        <v>0.3673469388</v>
      </c>
    </row>
    <row r="6570">
      <c r="A6570" s="10" t="s">
        <v>8009</v>
      </c>
      <c r="B6570" s="7" t="str">
        <f>IFERROR(__xludf.DUMMYFUNCTION("SPLIT(A6570,"" "")"),"CC(C)N(C)c1cccc(-c2cncc(C(C)(C)N3CCN(C)CCN(C)CC3)c2)c1")</f>
        <v>CC(C)N(C)c1cccc(-c2cncc(C(C)(C)N3CCN(C)CCN(C)CC3)c2)c1</v>
      </c>
      <c r="C6570" s="7">
        <f>IFERROR(__xludf.DUMMYFUNCTION("""COMPUTED_VALUE"""),7.784051)</f>
        <v>7.784051</v>
      </c>
      <c r="D6570" s="7">
        <f>IFERROR(__xludf.DUMMYFUNCTION("""COMPUTED_VALUE"""),0.259259259259259)</f>
        <v>0.2592592593</v>
      </c>
    </row>
    <row r="6571">
      <c r="A6571" s="10" t="s">
        <v>8010</v>
      </c>
      <c r="B6571" s="7" t="str">
        <f>IFERROR(__xludf.DUMMYFUNCTION("SPLIT(A6571,"" "")"),"CNCCN(Cc1ccccn1)C(C)(N)c1ccon1")</f>
        <v>CNCCN(Cc1ccccn1)C(C)(N)c1ccon1</v>
      </c>
      <c r="C6571" s="7">
        <f>IFERROR(__xludf.DUMMYFUNCTION("""COMPUTED_VALUE"""),7.784048)</f>
        <v>7.784048</v>
      </c>
      <c r="D6571" s="7">
        <f>IFERROR(__xludf.DUMMYFUNCTION("""COMPUTED_VALUE"""),0.396226415094339)</f>
        <v>0.3962264151</v>
      </c>
    </row>
    <row r="6572">
      <c r="A6572" s="10" t="s">
        <v>8011</v>
      </c>
      <c r="B6572" s="7" t="str">
        <f>IFERROR(__xludf.DUMMYFUNCTION("SPLIT(A6572,"" "")"),"CC1(C)CC(c2cccc(CN(Cc3cccc(-c4ccc5c(c4)OCCOCCOCCOCCOCCO5)n3)Cc3cccc(C(C)(C)c4ccccn4)n3)n2)C1")</f>
        <v>CC1(C)CC(c2cccc(CN(Cc3cccc(-c4ccc5c(c4)OCCOCCOCCOCCOCCO5)n3)Cc3cccc(C(C)(C)c4ccccn4)n3)n2)C1</v>
      </c>
      <c r="C6572" s="7">
        <f>IFERROR(__xludf.DUMMYFUNCTION("""COMPUTED_VALUE"""),7.7840433)</f>
        <v>7.7840433</v>
      </c>
      <c r="D6572" s="7">
        <f>IFERROR(__xludf.DUMMYFUNCTION("""COMPUTED_VALUE"""),0.376623376623376)</f>
        <v>0.3766233766</v>
      </c>
    </row>
    <row r="6573">
      <c r="A6573" s="10" t="s">
        <v>8012</v>
      </c>
      <c r="B6573" s="7" t="str">
        <f>IFERROR(__xludf.DUMMYFUNCTION("SPLIT(A6573,"" "")"),"CC(C)C1=CC2(C=CN1)C=CC(c1cccc(CN(Cc3ccccn3)Cc3ccccn3)n1)C(c1cccc(CN(Cc3ccccn3)Cc3cccc(-c4cccc5c4OCCOCCOCCOCCOCCO5)n3)n1)C2(C)C")</f>
        <v>CC(C)C1=CC2(C=CN1)C=CC(c1cccc(CN(Cc3ccccn3)Cc3ccccn3)n1)C(c1cccc(CN(Cc3ccccn3)Cc3cccc(-c4cccc5c4OCCOCCOCCOCCOCCO5)n3)n1)C2(C)C</v>
      </c>
      <c r="C6573" s="7">
        <f>IFERROR(__xludf.DUMMYFUNCTION("""COMPUTED_VALUE"""),7.784043)</f>
        <v>7.784043</v>
      </c>
      <c r="D6573" s="7">
        <f>IFERROR(__xludf.DUMMYFUNCTION("""COMPUTED_VALUE"""),0.296703296703296)</f>
        <v>0.2967032967</v>
      </c>
    </row>
    <row r="6574">
      <c r="A6574" s="10" t="s">
        <v>8013</v>
      </c>
      <c r="B6574" s="7" t="str">
        <f>IFERROR(__xludf.DUMMYFUNCTION("SPLIT(A6574,"" "")"),"CN(C)Cc1nccc2cc(N(C)C3CCC(N(Cc4ccccn4)Cc4cccc(-c5cccc6c5OCCOCCOCCOCCOCCO6)n4)CC3)ccc12")</f>
        <v>CN(C)Cc1nccc2cc(N(C)C3CCC(N(Cc4ccccn4)Cc4cccc(-c5cccc6c5OCCOCCOCCOCCOCCO6)n4)CC3)ccc12</v>
      </c>
      <c r="C6574" s="7">
        <f>IFERROR(__xludf.DUMMYFUNCTION("""COMPUTED_VALUE"""),7.784034)</f>
        <v>7.784034</v>
      </c>
      <c r="D6574" s="7">
        <f>IFERROR(__xludf.DUMMYFUNCTION("""COMPUTED_VALUE"""),0.32051282051282)</f>
        <v>0.3205128205</v>
      </c>
    </row>
    <row r="6575">
      <c r="A6575" s="10" t="s">
        <v>8014</v>
      </c>
      <c r="B6575" s="7" t="str">
        <f>IFERROR(__xludf.DUMMYFUNCTION("SPLIT(A6575,"" "")"),"CNCCN(Cc1ccccn1)Cc1ncc(C)cc1C")</f>
        <v>CNCCN(Cc1ccccn1)Cc1ncc(C)cc1C</v>
      </c>
      <c r="C6575" s="7">
        <f>IFERROR(__xludf.DUMMYFUNCTION("""COMPUTED_VALUE"""),7.784031)</f>
        <v>7.784031</v>
      </c>
      <c r="D6575" s="7">
        <f>IFERROR(__xludf.DUMMYFUNCTION("""COMPUTED_VALUE"""),0.468085106382978)</f>
        <v>0.4680851064</v>
      </c>
    </row>
    <row r="6576">
      <c r="A6576" s="10" t="s">
        <v>8015</v>
      </c>
      <c r="B6576" s="7" t="str">
        <f>IFERROR(__xludf.DUMMYFUNCTION("SPLIT(A6576,"" "")"),"CC(NCc1ccccn1)c1ccccn1")</f>
        <v>CC(NCc1ccccn1)c1ccccn1</v>
      </c>
      <c r="C6576" s="7">
        <f>IFERROR(__xludf.DUMMYFUNCTION("""COMPUTED_VALUE"""),7.784026)</f>
        <v>7.784026</v>
      </c>
      <c r="D6576" s="7">
        <f>IFERROR(__xludf.DUMMYFUNCTION("""COMPUTED_VALUE"""),0.5)</f>
        <v>0.5</v>
      </c>
    </row>
    <row r="6577">
      <c r="A6577" s="10" t="s">
        <v>8016</v>
      </c>
      <c r="B6577" s="7" t="str">
        <f>IFERROR(__xludf.DUMMYFUNCTION("SPLIT(A6577,"" "")"),"COC(=O)C(C)NCc1cc(C(C)N)ccn1")</f>
        <v>COC(=O)C(C)NCc1cc(C(C)N)ccn1</v>
      </c>
      <c r="C6577" s="7">
        <f>IFERROR(__xludf.DUMMYFUNCTION("""COMPUTED_VALUE"""),7.7840123)</f>
        <v>7.7840123</v>
      </c>
      <c r="D6577" s="7">
        <f>IFERROR(__xludf.DUMMYFUNCTION("""COMPUTED_VALUE"""),0.278688524590163)</f>
        <v>0.2786885246</v>
      </c>
    </row>
    <row r="6578">
      <c r="A6578" s="10" t="s">
        <v>8017</v>
      </c>
      <c r="B6578" s="7" t="str">
        <f>IFERROR(__xludf.DUMMYFUNCTION("SPLIT(A6578,"" "")"),"CCN(CCN(C)Cc1nc(C)c(C)cc1C)Cc1ccccn1")</f>
        <v>CCN(CCN(C)Cc1nc(C)c(C)cc1C)Cc1ccccn1</v>
      </c>
      <c r="C6578" s="7">
        <f>IFERROR(__xludf.DUMMYFUNCTION("""COMPUTED_VALUE"""),7.783996)</f>
        <v>7.783996</v>
      </c>
      <c r="D6578" s="7">
        <f>IFERROR(__xludf.DUMMYFUNCTION("""COMPUTED_VALUE"""),0.5)</f>
        <v>0.5</v>
      </c>
    </row>
    <row r="6579">
      <c r="A6579" s="10" t="s">
        <v>8018</v>
      </c>
      <c r="B6579" s="7" t="str">
        <f>IFERROR(__xludf.DUMMYFUNCTION("SPLIT(A6579,"" "")"),"Cc1ccc(CN(Cc2cccc(C(C)C(C)C)n2)C(C)C)nc1")</f>
        <v>Cc1ccc(CN(Cc2cccc(C(C)C(C)C)n2)C(C)C)nc1</v>
      </c>
      <c r="C6579" s="7">
        <f>IFERROR(__xludf.DUMMYFUNCTION("""COMPUTED_VALUE"""),7.7839894)</f>
        <v>7.7839894</v>
      </c>
      <c r="D6579" s="7">
        <f>IFERROR(__xludf.DUMMYFUNCTION("""COMPUTED_VALUE"""),0.441860465116279)</f>
        <v>0.4418604651</v>
      </c>
    </row>
    <row r="6580">
      <c r="A6580" s="10" t="s">
        <v>8019</v>
      </c>
      <c r="B6580" s="7" t="str">
        <f>IFERROR(__xludf.DUMMYFUNCTION("SPLIT(A6580,"" "")"),"CCC1=NC(C2=CC(c3cccc(CN(Cc4ccccn4)Cc4ccccn4)n3)CC(C)C2C)CO1")</f>
        <v>CCC1=NC(C2=CC(c3cccc(CN(Cc4ccccn4)Cc4ccccn4)n3)CC(C)C2C)CO1</v>
      </c>
      <c r="C6580" s="7">
        <f>IFERROR(__xludf.DUMMYFUNCTION("""COMPUTED_VALUE"""),7.783989)</f>
        <v>7.783989</v>
      </c>
      <c r="D6580" s="7">
        <f>IFERROR(__xludf.DUMMYFUNCTION("""COMPUTED_VALUE"""),0.350877192982456)</f>
        <v>0.350877193</v>
      </c>
    </row>
    <row r="6581">
      <c r="A6581" s="10" t="s">
        <v>8020</v>
      </c>
      <c r="B6581" s="7" t="str">
        <f>IFERROR(__xludf.DUMMYFUNCTION("SPLIT(A6581,"" "")"),"CC(C)NCCN(C)Cc1ccccc1N(C)C")</f>
        <v>CC(C)NCCN(C)Cc1ccccc1N(C)C</v>
      </c>
      <c r="C6581" s="7">
        <f>IFERROR(__xludf.DUMMYFUNCTION("""COMPUTED_VALUE"""),7.7839856)</f>
        <v>7.7839856</v>
      </c>
      <c r="D6581" s="7">
        <f>IFERROR(__xludf.DUMMYFUNCTION("""COMPUTED_VALUE"""),0.326086956521739)</f>
        <v>0.3260869565</v>
      </c>
    </row>
    <row r="6582">
      <c r="A6582" s="10" t="s">
        <v>8021</v>
      </c>
      <c r="B6582" s="7" t="str">
        <f>IFERROR(__xludf.DUMMYFUNCTION("SPLIT(A6582,"" "")"),"Cc1cccnc1CN(C)C1CC(N(C)Cc2ccccn2)CC(N(Cc2ccccn2)Cc2nccc(C)c2C)C1")</f>
        <v>Cc1cccnc1CN(C)C1CC(N(C)Cc2ccccn2)CC(N(Cc2ccccn2)Cc2nccc(C)c2C)C1</v>
      </c>
      <c r="C6582" s="7">
        <f>IFERROR(__xludf.DUMMYFUNCTION("""COMPUTED_VALUE"""),7.783985)</f>
        <v>7.783985</v>
      </c>
      <c r="D6582" s="7">
        <f>IFERROR(__xludf.DUMMYFUNCTION("""COMPUTED_VALUE"""),0.425925925925925)</f>
        <v>0.4259259259</v>
      </c>
    </row>
    <row r="6583">
      <c r="A6583" s="10" t="s">
        <v>8022</v>
      </c>
      <c r="B6583" s="7" t="str">
        <f>IFERROR(__xludf.DUMMYFUNCTION("SPLIT(A6583,"" "")"),"Cc1cccc(CN(C)C2=CNC(CN(C)C(C)C(C)N)=CC2)n1")</f>
        <v>Cc1cccc(CN(C)C2=CNC(CN(C)C(C)C(C)N)=CC2)n1</v>
      </c>
      <c r="C6583" s="7">
        <f>IFERROR(__xludf.DUMMYFUNCTION("""COMPUTED_VALUE"""),7.7839794)</f>
        <v>7.7839794</v>
      </c>
      <c r="D6583" s="7">
        <f>IFERROR(__xludf.DUMMYFUNCTION("""COMPUTED_VALUE"""),0.384615384615384)</f>
        <v>0.3846153846</v>
      </c>
    </row>
    <row r="6584">
      <c r="A6584" s="10" t="s">
        <v>8023</v>
      </c>
      <c r="B6584" s="7" t="str">
        <f>IFERROR(__xludf.DUMMYFUNCTION("SPLIT(A6584,"" "")"),"CC1=CC(C)C2(C=C(c3cccc(CN(Cc4ccccn4)C4CCCCC4)n3)C(c3ccc(CN(Cc4ccccn4)Cc4ccccn4)cn3)C3(CCC(C)=C(C)C3C)C2)C(C)C1")</f>
        <v>CC1=CC(C)C2(C=C(c3cccc(CN(Cc4ccccn4)C4CCCCC4)n3)C(c3ccc(CN(Cc4ccccn4)Cc4ccccn4)cn3)C3(CCC(C)=C(C)C3C)C2)C(C)C1</v>
      </c>
      <c r="C6584" s="7">
        <f>IFERROR(__xludf.DUMMYFUNCTION("""COMPUTED_VALUE"""),7.7839556)</f>
        <v>7.7839556</v>
      </c>
      <c r="D6584" s="7">
        <f>IFERROR(__xludf.DUMMYFUNCTION("""COMPUTED_VALUE"""),0.284210526315789)</f>
        <v>0.2842105263</v>
      </c>
    </row>
    <row r="6585">
      <c r="A6585" s="10" t="s">
        <v>8024</v>
      </c>
      <c r="B6585" s="7" t="str">
        <f>IFERROR(__xludf.DUMMYFUNCTION("SPLIT(A6585,"" "")"),"CCCN(CC1=CC(N(C)Cc2cccc(C)n2)C=CN1)Cc1ccccn1")</f>
        <v>CCCN(CC1=CC(N(C)Cc2cccc(C)n2)C=CN1)Cc1ccccn1</v>
      </c>
      <c r="C6585" s="7">
        <f>IFERROR(__xludf.DUMMYFUNCTION("""COMPUTED_VALUE"""),7.783952)</f>
        <v>7.783952</v>
      </c>
      <c r="D6585" s="7">
        <f>IFERROR(__xludf.DUMMYFUNCTION("""COMPUTED_VALUE"""),0.403508771929824)</f>
        <v>0.4035087719</v>
      </c>
    </row>
    <row r="6586">
      <c r="A6586" s="10" t="s">
        <v>8025</v>
      </c>
      <c r="B6586" s="7" t="str">
        <f>IFERROR(__xludf.DUMMYFUNCTION("SPLIT(A6586,"" "")"),"Cc1ccc(CN(Cc2ccccn2)C2=CNC(CN(C)Cc3cccc(-c4ccc5c(c4)OCCOCCOCCOCCOCCO5)n3)=CC2)nc1C")</f>
        <v>Cc1ccc(CN(Cc2ccccn2)C2=CNC(CN(C)Cc3cccc(-c4ccc5c(c4)OCCOCCOCCOCCOCCO5)n3)=CC2)nc1C</v>
      </c>
      <c r="C6586" s="7">
        <f>IFERROR(__xludf.DUMMYFUNCTION("""COMPUTED_VALUE"""),7.783952)</f>
        <v>7.783952</v>
      </c>
      <c r="D6586" s="7">
        <f>IFERROR(__xludf.DUMMYFUNCTION("""COMPUTED_VALUE"""),0.383561643835616)</f>
        <v>0.3835616438</v>
      </c>
    </row>
    <row r="6587">
      <c r="A6587" s="10" t="s">
        <v>8026</v>
      </c>
      <c r="B6587" s="7" t="str">
        <f>IFERROR(__xludf.DUMMYFUNCTION("SPLIT(A6587,"" "")"),"Cc1ccc(CN(C)CC2=CCC=CN2)cc1")</f>
        <v>Cc1ccc(CN(C)CC2=CCC=CN2)cc1</v>
      </c>
      <c r="C6587" s="7">
        <f>IFERROR(__xludf.DUMMYFUNCTION("""COMPUTED_VALUE"""),7.7839513)</f>
        <v>7.7839513</v>
      </c>
      <c r="D6587" s="7">
        <f>IFERROR(__xludf.DUMMYFUNCTION("""COMPUTED_VALUE"""),0.416666666666666)</f>
        <v>0.4166666667</v>
      </c>
    </row>
    <row r="6588">
      <c r="A6588" s="10" t="s">
        <v>8027</v>
      </c>
      <c r="B6588" s="7" t="str">
        <f>IFERROR(__xludf.DUMMYFUNCTION("SPLIT(A6588,"" "")"),"Cc1cccnc1CNCCN(C)Cc1ncccc1C")</f>
        <v>Cc1cccnc1CNCCN(C)Cc1ncccc1C</v>
      </c>
      <c r="C6588" s="7">
        <f>IFERROR(__xludf.DUMMYFUNCTION("""COMPUTED_VALUE"""),7.7839484)</f>
        <v>7.7839484</v>
      </c>
      <c r="D6588" s="7">
        <f>IFERROR(__xludf.DUMMYFUNCTION("""COMPUTED_VALUE"""),0.369565217391304)</f>
        <v>0.3695652174</v>
      </c>
    </row>
    <row r="6589">
      <c r="A6589" s="10" t="s">
        <v>8028</v>
      </c>
      <c r="B6589" s="7" t="str">
        <f>IFERROR(__xludf.DUMMYFUNCTION("SPLIT(A6589,"" "")"),"Cc1ccc(C)c(CN(CCF)Cc2ccccn2)n1")</f>
        <v>Cc1ccc(C)c(CN(CCF)Cc2ccccn2)n1</v>
      </c>
      <c r="C6589" s="7">
        <f>IFERROR(__xludf.DUMMYFUNCTION("""COMPUTED_VALUE"""),7.783948)</f>
        <v>7.783948</v>
      </c>
      <c r="D6589" s="7">
        <f>IFERROR(__xludf.DUMMYFUNCTION("""COMPUTED_VALUE"""),0.5)</f>
        <v>0.5</v>
      </c>
    </row>
    <row r="6590">
      <c r="A6590" s="10" t="s">
        <v>8029</v>
      </c>
      <c r="B6590" s="7" t="str">
        <f>IFERROR(__xludf.DUMMYFUNCTION("SPLIT(A6590,"" "")"),"CNC1CC(N(Cc2ccccn2)Cc2ccccn2)CC(N(Cc2ccccn2)Cc2ncc(C)c(C)c2C)C1")</f>
        <v>CNC1CC(N(Cc2ccccn2)Cc2ccccn2)CC(N(Cc2ccccn2)Cc2ncc(C)c(C)c2C)C1</v>
      </c>
      <c r="C6590" s="7">
        <f>IFERROR(__xludf.DUMMYFUNCTION("""COMPUTED_VALUE"""),7.7839465)</f>
        <v>7.7839465</v>
      </c>
      <c r="D6590" s="7">
        <f>IFERROR(__xludf.DUMMYFUNCTION("""COMPUTED_VALUE"""),0.363636363636363)</f>
        <v>0.3636363636</v>
      </c>
    </row>
    <row r="6591">
      <c r="A6591" s="10" t="s">
        <v>8030</v>
      </c>
      <c r="B6591" s="7" t="str">
        <f>IFERROR(__xludf.DUMMYFUNCTION("SPLIT(A6591,"" "")"),"CC1=CNC=CC1CSCc1ccccn1")</f>
        <v>CC1=CNC=CC1CSCc1ccccn1</v>
      </c>
      <c r="C6591" s="7">
        <f>IFERROR(__xludf.DUMMYFUNCTION("""COMPUTED_VALUE"""),7.7839403)</f>
        <v>7.7839403</v>
      </c>
      <c r="D6591" s="7">
        <f>IFERROR(__xludf.DUMMYFUNCTION("""COMPUTED_VALUE"""),0.463414634146341)</f>
        <v>0.4634146341</v>
      </c>
    </row>
    <row r="6592">
      <c r="A6592" s="10" t="s">
        <v>8031</v>
      </c>
      <c r="B6592" s="7" t="str">
        <f>IFERROR(__xludf.DUMMYFUNCTION("SPLIT(A6592,"" "")"),"Cc1cncc(CN(C)C2CCCC(N(Cc3nc(C)c(C)cc3C)Cc3nc(C)c(C)cc3C)C2)c1")</f>
        <v>Cc1cncc(CN(C)C2CCCC(N(Cc3nc(C)c(C)cc3C)Cc3nc(C)c(C)cc3C)C2)c1</v>
      </c>
      <c r="C6592" s="7">
        <f>IFERROR(__xludf.DUMMYFUNCTION("""COMPUTED_VALUE"""),7.7839394)</f>
        <v>7.7839394</v>
      </c>
      <c r="D6592" s="7">
        <f>IFERROR(__xludf.DUMMYFUNCTION("""COMPUTED_VALUE"""),0.262295081967213)</f>
        <v>0.262295082</v>
      </c>
    </row>
    <row r="6593">
      <c r="A6593" s="10" t="s">
        <v>8032</v>
      </c>
      <c r="B6593" s="7" t="str">
        <f>IFERROR(__xludf.DUMMYFUNCTION("SPLIT(A6593,"" "")"),"CNc1cc2c(c(-c3cccc(CN(Cc4ccccn4)C4CCCCC4N(C)c4ccc5nc(CF)ccc5c4)n3)c1)OCCOCCOCCOCCOCCO2")</f>
        <v>CNc1cc2c(c(-c3cccc(CN(Cc4ccccn4)C4CCCCC4N(C)c4ccc5nc(CF)ccc5c4)n3)c1)OCCOCCOCCOCCOCCO2</v>
      </c>
      <c r="C6593" s="7">
        <f>IFERROR(__xludf.DUMMYFUNCTION("""COMPUTED_VALUE"""),7.783933)</f>
        <v>7.783933</v>
      </c>
      <c r="D6593" s="7">
        <f>IFERROR(__xludf.DUMMYFUNCTION("""COMPUTED_VALUE"""),0.341176470588235)</f>
        <v>0.3411764706</v>
      </c>
    </row>
    <row r="6594">
      <c r="A6594" s="10" t="s">
        <v>8033</v>
      </c>
      <c r="B6594" s="7" t="str">
        <f>IFERROR(__xludf.DUMMYFUNCTION("SPLIT(A6594,"" "")"),"Cc1ccc(CN(C)C2C=CNC(C(C)N)=C2)nc1")</f>
        <v>Cc1ccc(CN(C)C2C=CNC(C(C)N)=C2)nc1</v>
      </c>
      <c r="C6594" s="7">
        <f>IFERROR(__xludf.DUMMYFUNCTION("""COMPUTED_VALUE"""),7.783932)</f>
        <v>7.783932</v>
      </c>
      <c r="D6594" s="7">
        <f>IFERROR(__xludf.DUMMYFUNCTION("""COMPUTED_VALUE"""),0.450980392156862)</f>
        <v>0.4509803922</v>
      </c>
    </row>
    <row r="6595">
      <c r="A6595" s="10" t="s">
        <v>8034</v>
      </c>
      <c r="B6595" s="7" t="str">
        <f>IFERROR(__xludf.DUMMYFUNCTION("SPLIT(A6595,"" "")"),"Cc1ccc(C)c(CN(Cc2ncc(C)c(C)c2C)C2CCCC(N(C)Cc3cnc(C)c(C)c3)C2)n1")</f>
        <v>Cc1ccc(C)c(CN(Cc2ncc(C)c(C)c2C)C2CCCC(N(C)Cc3cnc(C)c(C)c3)C2)n1</v>
      </c>
      <c r="C6595" s="7">
        <f>IFERROR(__xludf.DUMMYFUNCTION("""COMPUTED_VALUE"""),7.7839303)</f>
        <v>7.7839303</v>
      </c>
      <c r="D6595" s="7">
        <f>IFERROR(__xludf.DUMMYFUNCTION("""COMPUTED_VALUE"""),0.26865671641791)</f>
        <v>0.2686567164</v>
      </c>
    </row>
    <row r="6596">
      <c r="A6596" s="10" t="s">
        <v>8035</v>
      </c>
      <c r="B6596" s="7" t="str">
        <f>IFERROR(__xludf.DUMMYFUNCTION("SPLIT(A6596,"" "")"),"CNC1C=CC=C(N(C)C)N1")</f>
        <v>CNC1C=CC=C(N(C)C)N1</v>
      </c>
      <c r="C6596" s="7">
        <f>IFERROR(__xludf.DUMMYFUNCTION("""COMPUTED_VALUE"""),7.783929)</f>
        <v>7.783929</v>
      </c>
      <c r="D6596" s="7">
        <f>IFERROR(__xludf.DUMMYFUNCTION("""COMPUTED_VALUE"""),0.156862745098039)</f>
        <v>0.1568627451</v>
      </c>
    </row>
    <row r="6597">
      <c r="A6597" s="10" t="s">
        <v>8036</v>
      </c>
      <c r="B6597" s="7" t="str">
        <f>IFERROR(__xludf.DUMMYFUNCTION("SPLIT(A6597,"" "")"),"Cc1ccccc1CN(C)CC1=C(N(C)C(C)C)CC=CN1")</f>
        <v>Cc1ccccc1CN(C)CC1=C(N(C)C(C)C)CC=CN1</v>
      </c>
      <c r="C6597" s="7">
        <f>IFERROR(__xludf.DUMMYFUNCTION("""COMPUTED_VALUE"""),7.78391)</f>
        <v>7.78391</v>
      </c>
      <c r="D6597" s="7">
        <f>IFERROR(__xludf.DUMMYFUNCTION("""COMPUTED_VALUE"""),0.254545454545454)</f>
        <v>0.2545454545</v>
      </c>
    </row>
    <row r="6598">
      <c r="A6598" s="10" t="s">
        <v>8037</v>
      </c>
      <c r="B6598" s="7" t="str">
        <f>IFERROR(__xludf.DUMMYFUNCTION("SPLIT(A6598,"" "")"),"Cc1cc(CN2CCN(C)CCN(Cc3cc(C(C)(c4ccccn4)c4ccccn4)ccn3)CC2)ccn1")</f>
        <v>Cc1cc(CN2CCN(C)CCN(Cc3cc(C(C)(c4ccccn4)c4ccccn4)ccn3)CC2)ccn1</v>
      </c>
      <c r="C6598" s="7">
        <f>IFERROR(__xludf.DUMMYFUNCTION("""COMPUTED_VALUE"""),7.783909)</f>
        <v>7.783909</v>
      </c>
      <c r="D6598" s="7">
        <f>IFERROR(__xludf.DUMMYFUNCTION("""COMPUTED_VALUE"""),0.5)</f>
        <v>0.5</v>
      </c>
    </row>
    <row r="6599">
      <c r="A6599" s="10" t="s">
        <v>8038</v>
      </c>
      <c r="B6599" s="7" t="str">
        <f>IFERROR(__xludf.DUMMYFUNCTION("SPLIT(A6599,"" "")"),"CCCNCC1=C(N(C)Cc2ccccn2)CC=CN1")</f>
        <v>CCCNCC1=C(N(C)Cc2ccccn2)CC=CN1</v>
      </c>
      <c r="C6599" s="7">
        <f>IFERROR(__xludf.DUMMYFUNCTION("""COMPUTED_VALUE"""),7.7839084)</f>
        <v>7.7839084</v>
      </c>
      <c r="D6599" s="7">
        <f>IFERROR(__xludf.DUMMYFUNCTION("""COMPUTED_VALUE"""),0.403508771929824)</f>
        <v>0.4035087719</v>
      </c>
    </row>
    <row r="6600">
      <c r="A6600" s="10" t="s">
        <v>8039</v>
      </c>
      <c r="B6600" s="7" t="str">
        <f>IFERROR(__xludf.DUMMYFUNCTION("SPLIT(A6600,"" "")"),"CNc1cccc(CN(Cc2cccc(F)n2)C2CCC(N(C)Cc3nc(C)c(C)cc3C)CC2)n1")</f>
        <v>CNc1cccc(CN(Cc2cccc(F)n2)C2CCC(N(C)Cc3nc(C)c(C)cc3C)CC2)n1</v>
      </c>
      <c r="C6600" s="7">
        <f>IFERROR(__xludf.DUMMYFUNCTION("""COMPUTED_VALUE"""),7.783899)</f>
        <v>7.783899</v>
      </c>
      <c r="D6600" s="7">
        <f>IFERROR(__xludf.DUMMYFUNCTION("""COMPUTED_VALUE"""),0.32258064516129)</f>
        <v>0.3225806452</v>
      </c>
    </row>
    <row r="6601">
      <c r="A6601" s="10" t="s">
        <v>8040</v>
      </c>
      <c r="B6601" s="7" t="str">
        <f>IFERROR(__xludf.DUMMYFUNCTION("SPLIT(A6601,"" "")"),"CC(C)C(C)N(C)CCN(C)Cc1cccc2ncccc12")</f>
        <v>CC(C)C(C)N(C)CCN(C)Cc1cccc2ncccc12</v>
      </c>
      <c r="C6601" s="7">
        <f>IFERROR(__xludf.DUMMYFUNCTION("""COMPUTED_VALUE"""),7.7838926)</f>
        <v>7.7838926</v>
      </c>
      <c r="D6601" s="7">
        <f>IFERROR(__xludf.DUMMYFUNCTION("""COMPUTED_VALUE"""),0.488888888888888)</f>
        <v>0.4888888889</v>
      </c>
    </row>
    <row r="6602">
      <c r="A6602" s="10" t="s">
        <v>8041</v>
      </c>
      <c r="B6602" s="7" t="str">
        <f>IFERROR(__xludf.DUMMYFUNCTION("SPLIT(A6602,"" "")"),"Fc1ccncc1CN(Cc1ccccn1)C1CCCC(N(Cc2ccccn2)c2ccccc2F)C1")</f>
        <v>Fc1ccncc1CN(Cc1ccccn1)C1CCCC(N(Cc2ccccn2)c2ccccc2F)C1</v>
      </c>
      <c r="C6602" s="7">
        <f>IFERROR(__xludf.DUMMYFUNCTION("""COMPUTED_VALUE"""),7.7838845)</f>
        <v>7.7838845</v>
      </c>
      <c r="D6602" s="7">
        <f>IFERROR(__xludf.DUMMYFUNCTION("""COMPUTED_VALUE"""),0.35)</f>
        <v>0.35</v>
      </c>
    </row>
    <row r="6603">
      <c r="A6603" s="10" t="s">
        <v>8042</v>
      </c>
      <c r="B6603" s="7" t="str">
        <f>IFERROR(__xludf.DUMMYFUNCTION("SPLIT(A6603,"" "")"),"Cc1cnc(CN(CN(C)Cc2nc(C)c(C)cc2C)C(C)(N)N(CCN(C)C(C)C)Cc2ccccn2)cc1C")</f>
        <v>Cc1cnc(CN(CN(C)Cc2nc(C)c(C)cc2C)C(C)(N)N(CCN(C)C(C)C)Cc2ccccn2)cc1C</v>
      </c>
      <c r="C6603" s="7">
        <f>IFERROR(__xludf.DUMMYFUNCTION("""COMPUTED_VALUE"""),7.783883)</f>
        <v>7.783883</v>
      </c>
      <c r="D6603" s="7">
        <f>IFERROR(__xludf.DUMMYFUNCTION("""COMPUTED_VALUE"""),0.333333333333333)</f>
        <v>0.3333333333</v>
      </c>
    </row>
    <row r="6604">
      <c r="A6604" s="10" t="s">
        <v>8043</v>
      </c>
      <c r="B6604" s="7" t="str">
        <f>IFERROR(__xludf.DUMMYFUNCTION("SPLIT(A6604,"" "")"),"CC(C)N(C)C1CCC(N(C)c2cccc3ncc(CF)cc23)CC1")</f>
        <v>CC(C)N(C)C1CCC(N(C)c2cccc3ncc(CF)cc23)CC1</v>
      </c>
      <c r="C6604" s="7">
        <f>IFERROR(__xludf.DUMMYFUNCTION("""COMPUTED_VALUE"""),7.783878)</f>
        <v>7.783878</v>
      </c>
      <c r="D6604" s="7">
        <f>IFERROR(__xludf.DUMMYFUNCTION("""COMPUTED_VALUE"""),0.301587301587301)</f>
        <v>0.3015873016</v>
      </c>
    </row>
    <row r="6605">
      <c r="A6605" s="10" t="s">
        <v>8044</v>
      </c>
      <c r="B6605" s="7" t="str">
        <f>IFERROR(__xludf.DUMMYFUNCTION("SPLIT(A6605,"" "")"),"Cc1cncc(CN(C)C2CCC(N(Cc3ncc(C)c(C)c3C)Cc3nc(C)c(C)c(C)c3C)CC2)c1")</f>
        <v>Cc1cncc(CN(C)C2CCC(N(Cc3ncc(C)c(C)c3C)Cc3nc(C)c(C)c(C)c3C)CC2)c1</v>
      </c>
      <c r="C6605" s="7">
        <f>IFERROR(__xludf.DUMMYFUNCTION("""COMPUTED_VALUE"""),7.783876)</f>
        <v>7.783876</v>
      </c>
      <c r="D6605" s="7">
        <f>IFERROR(__xludf.DUMMYFUNCTION("""COMPUTED_VALUE"""),0.265625)</f>
        <v>0.265625</v>
      </c>
    </row>
    <row r="6606">
      <c r="A6606" s="10" t="s">
        <v>8045</v>
      </c>
      <c r="B6606" s="7" t="str">
        <f>IFERROR(__xludf.DUMMYFUNCTION("SPLIT(A6606,"" "")"),"CC1=C(C)CC2(C=CC3(C(C)C=CC(C)C3C)C(c3cccc(CN(Cc4ccccn4)C4CCCCC4)n3)C2c2cccc(CN(Cc3ccccn3)C3CCC(N(C)c4ccc5nc(CF)ccc5c4)CC3)n2)C(C)C1")</f>
        <v>CC1=C(C)CC2(C=CC3(C(C)C=CC(C)C3C)C(c3cccc(CN(Cc4ccccn4)C4CCCCC4)n3)C2c2cccc(CN(Cc3ccccn3)C3CCC(N(C)c4ccc5nc(CF)ccc5c4)CC3)n2)C(C)C1</v>
      </c>
      <c r="C6606" s="7">
        <f>IFERROR(__xludf.DUMMYFUNCTION("""COMPUTED_VALUE"""),7.783875)</f>
        <v>7.783875</v>
      </c>
      <c r="D6606" s="7">
        <f>IFERROR(__xludf.DUMMYFUNCTION("""COMPUTED_VALUE"""),0.25531914893617)</f>
        <v>0.2553191489</v>
      </c>
    </row>
    <row r="6607">
      <c r="A6607" s="10" t="s">
        <v>8046</v>
      </c>
      <c r="B6607" s="7" t="str">
        <f>IFERROR(__xludf.DUMMYFUNCTION("SPLIT(A6607,"" "")"),"CN(c1ccc2nccc(CF)c2c1)C1CCC(N(Cc2ccccn2)Cc2ncccc2-c2ccc3c(c2)OCCOCCOCCOCCOCCO3)CC1")</f>
        <v>CN(c1ccc2nccc(CF)c2c1)C1CCC(N(Cc2ccccn2)Cc2ncccc2-c2ccc3c(c2)OCCOCCOCCOCCOCCO3)CC1</v>
      </c>
      <c r="C6607" s="7">
        <f>IFERROR(__xludf.DUMMYFUNCTION("""COMPUTED_VALUE"""),7.7838736)</f>
        <v>7.7838736</v>
      </c>
      <c r="D6607" s="7">
        <f>IFERROR(__xludf.DUMMYFUNCTION("""COMPUTED_VALUE"""),0.282608695652173)</f>
        <v>0.2826086957</v>
      </c>
    </row>
    <row r="6608">
      <c r="A6608" s="10" t="s">
        <v>8047</v>
      </c>
      <c r="B6608" s="7" t="str">
        <f>IFERROR(__xludf.DUMMYFUNCTION("SPLIT(A6608,"" "")"),"CNCc1cccc(CN(Cc2ccccn2)C2CCCC(N(C)Cc3cccc(C4=CCC=CN4)n3)C2)n1")</f>
        <v>CNCc1cccc(CN(Cc2ccccn2)C2CCCC(N(C)Cc3cccc(C4=CCC=CN4)n3)C2)n1</v>
      </c>
      <c r="C6608" s="7">
        <f>IFERROR(__xludf.DUMMYFUNCTION("""COMPUTED_VALUE"""),7.7838564)</f>
        <v>7.7838564</v>
      </c>
      <c r="D6608" s="7">
        <f>IFERROR(__xludf.DUMMYFUNCTION("""COMPUTED_VALUE"""),0.380281690140845)</f>
        <v>0.3802816901</v>
      </c>
    </row>
    <row r="6609">
      <c r="A6609" s="10" t="s">
        <v>8048</v>
      </c>
      <c r="B6609" s="7" t="str">
        <f>IFERROR(__xludf.DUMMYFUNCTION("SPLIT(A6609,"" "")"),"Cc1ccc(CN(C)C2CC(N(C)Cc3ccc(C)nc3)CC(N(Cc3ccc(C)cn3)Cc3ccc(C)cn3)C2)nc1")</f>
        <v>Cc1ccc(CN(C)C2CC(N(C)Cc3ccc(C)nc3)CC(N(Cc3ccc(C)cn3)Cc3ccc(C)cn3)C2)nc1</v>
      </c>
      <c r="C6609" s="7">
        <f>IFERROR(__xludf.DUMMYFUNCTION("""COMPUTED_VALUE"""),7.783855)</f>
        <v>7.783855</v>
      </c>
      <c r="D6609" s="7">
        <f>IFERROR(__xludf.DUMMYFUNCTION("""COMPUTED_VALUE"""),0.489795918367346)</f>
        <v>0.4897959184</v>
      </c>
    </row>
    <row r="6610">
      <c r="A6610" s="10" t="s">
        <v>8049</v>
      </c>
      <c r="B6610" s="7" t="str">
        <f>IFERROR(__xludf.DUMMYFUNCTION("SPLIT(A6610,"" "")"),"COC(=O)c1cc(CN(Cc2ccccn2)Cc2cc(-c3cccc4c3OCCOCCOCCOCCOCCO4)ccn2)ccn1")</f>
        <v>COC(=O)c1cc(CN(Cc2ccccn2)Cc2cc(-c3cccc4c3OCCOCCOCCOCCOCCO4)ccn2)ccn1</v>
      </c>
      <c r="C6610" s="7">
        <f>IFERROR(__xludf.DUMMYFUNCTION("""COMPUTED_VALUE"""),7.7838516)</f>
        <v>7.7838516</v>
      </c>
      <c r="D6610" s="7">
        <f>IFERROR(__xludf.DUMMYFUNCTION("""COMPUTED_VALUE"""),0.337662337662337)</f>
        <v>0.3376623377</v>
      </c>
    </row>
    <row r="6611">
      <c r="A6611" s="10" t="s">
        <v>8050</v>
      </c>
      <c r="B6611" s="7" t="str">
        <f>IFERROR(__xludf.DUMMYFUNCTION("SPLIT(A6611,"" "")"),"Cc1ccc(CN(C)C2CCC(N(C)Cc3ccccn3)C(N(C)Cc3cccc(C4=CCC=CN4)n3)C2)nc1")</f>
        <v>Cc1ccc(CN(C)C2CCC(N(C)Cc3ccccn3)C(N(C)Cc3cccc(C4=CCC=CN4)n3)C2)nc1</v>
      </c>
      <c r="C6611" s="7">
        <f>IFERROR(__xludf.DUMMYFUNCTION("""COMPUTED_VALUE"""),7.783851)</f>
        <v>7.783851</v>
      </c>
      <c r="D6611" s="7">
        <f>IFERROR(__xludf.DUMMYFUNCTION("""COMPUTED_VALUE"""),0.424242424242424)</f>
        <v>0.4242424242</v>
      </c>
    </row>
    <row r="6612">
      <c r="A6612" s="10" t="s">
        <v>8051</v>
      </c>
      <c r="B6612" s="7" t="str">
        <f>IFERROR(__xludf.DUMMYFUNCTION("SPLIT(A6612,"" "")"),"Cc1cnc(CN(CCN(C)C(C)(c2cccnc2)C(C)C)Cc2ccccn2)c(C)c1")</f>
        <v>Cc1cnc(CN(CCN(C)C(C)(c2cccnc2)C(C)C)Cc2ccccn2)c(C)c1</v>
      </c>
      <c r="C6612" s="7">
        <f>IFERROR(__xludf.DUMMYFUNCTION("""COMPUTED_VALUE"""),7.7838435)</f>
        <v>7.7838435</v>
      </c>
      <c r="D6612" s="7">
        <f>IFERROR(__xludf.DUMMYFUNCTION("""COMPUTED_VALUE"""),0.406779661016949)</f>
        <v>0.406779661</v>
      </c>
    </row>
    <row r="6613">
      <c r="A6613" s="10" t="s">
        <v>8052</v>
      </c>
      <c r="B6613" s="7" t="str">
        <f>IFERROR(__xludf.DUMMYFUNCTION("SPLIT(A6613,"" "")"),"CCN(Cc1ccccn1)C1CCCC(N(Cc2nc(C)c(C)c(C)c2C)Cc2nc(C)c(C)c(C)c2C)C1")</f>
        <v>CCN(Cc1ccccn1)C1CCCC(N(Cc2nc(C)c(C)c(C)c2C)Cc2nc(C)c(C)c(C)c2C)C1</v>
      </c>
      <c r="C6613" s="7">
        <f>IFERROR(__xludf.DUMMYFUNCTION("""COMPUTED_VALUE"""),7.783823)</f>
        <v>7.783823</v>
      </c>
      <c r="D6613" s="7">
        <f>IFERROR(__xludf.DUMMYFUNCTION("""COMPUTED_VALUE"""),0.407407407407407)</f>
        <v>0.4074074074</v>
      </c>
    </row>
    <row r="6614">
      <c r="A6614" s="10" t="s">
        <v>8053</v>
      </c>
      <c r="B6614" s="7" t="str">
        <f>IFERROR(__xludf.DUMMYFUNCTION("SPLIT(A6614,"" "")"),"CN1CCN(C)CCN(Cc2cnccc2-c2cccc(N(C)C)c2)CC1")</f>
        <v>CN1CCN(C)CCN(Cc2cnccc2-c2cccc(N(C)C)c2)CC1</v>
      </c>
      <c r="C6614" s="7">
        <f>IFERROR(__xludf.DUMMYFUNCTION("""COMPUTED_VALUE"""),7.7838225)</f>
        <v>7.7838225</v>
      </c>
      <c r="D6614" s="7">
        <f>IFERROR(__xludf.DUMMYFUNCTION("""COMPUTED_VALUE"""),0.375)</f>
        <v>0.375</v>
      </c>
    </row>
    <row r="6615">
      <c r="A6615" s="10" t="s">
        <v>8054</v>
      </c>
      <c r="B6615" s="7" t="str">
        <f>IFERROR(__xludf.DUMMYFUNCTION("SPLIT(A6615,"" "")"),"Cc1cc(C)c(CN(Cc2ccccn2)C2CCCC(N(Cc3ccccn3)Cc3cccnc3F)C2)nc1C")</f>
        <v>Cc1cc(C)c(CN(Cc2ccccn2)C2CCCC(N(Cc3ccccn3)Cc3cccnc3F)C2)nc1C</v>
      </c>
      <c r="C6615" s="7">
        <f>IFERROR(__xludf.DUMMYFUNCTION("""COMPUTED_VALUE"""),7.7838116)</f>
        <v>7.7838116</v>
      </c>
      <c r="D6615" s="7">
        <f>IFERROR(__xludf.DUMMYFUNCTION("""COMPUTED_VALUE"""),0.366666666666666)</f>
        <v>0.3666666667</v>
      </c>
    </row>
    <row r="6616">
      <c r="A6616" s="10" t="s">
        <v>8055</v>
      </c>
      <c r="B6616" s="7" t="str">
        <f>IFERROR(__xludf.DUMMYFUNCTION("SPLIT(A6616,"" "")"),"Cc1cccnc1CN(Cc1cccc(C(C)(C)C)n1)C1CCC(N(Cc2cccc(-c3ccc4c(c3)OCCOCCOCCOCCOCCO4)n2)Cc2ncccc2-c2ccccn2)CC1")</f>
        <v>Cc1cccnc1CN(Cc1cccc(C(C)(C)C)n1)C1CCC(N(Cc2cccc(-c3ccc4c(c3)OCCOCCOCCOCCOCCO4)n2)Cc2ncccc2-c2ccccn2)CC1</v>
      </c>
      <c r="C6616" s="7">
        <f>IFERROR(__xludf.DUMMYFUNCTION("""COMPUTED_VALUE"""),7.783807)</f>
        <v>7.783807</v>
      </c>
      <c r="D6616" s="7">
        <f>IFERROR(__xludf.DUMMYFUNCTION("""COMPUTED_VALUE"""),0.302325581395348)</f>
        <v>0.3023255814</v>
      </c>
    </row>
    <row r="6617">
      <c r="A6617" s="10" t="s">
        <v>8056</v>
      </c>
      <c r="B6617" s="7" t="str">
        <f>IFERROR(__xludf.DUMMYFUNCTION("SPLIT(A6617,"" "")"),"CCN(CC1=CC(N(C)Cc2ccccn2)C=CN1)Cc1ccccn1")</f>
        <v>CCN(CC1=CC(N(C)Cc2ccccn2)C=CN1)Cc1ccccn1</v>
      </c>
      <c r="C6617" s="7">
        <f>IFERROR(__xludf.DUMMYFUNCTION("""COMPUTED_VALUE"""),7.7838016)</f>
        <v>7.7838016</v>
      </c>
      <c r="D6617" s="7">
        <f>IFERROR(__xludf.DUMMYFUNCTION("""COMPUTED_VALUE"""),0.471698113207547)</f>
        <v>0.4716981132</v>
      </c>
    </row>
    <row r="6618">
      <c r="A6618" s="10" t="s">
        <v>8057</v>
      </c>
      <c r="B6618" s="7" t="str">
        <f>IFERROR(__xludf.DUMMYFUNCTION("SPLIT(A6618,"" "")"),"CNC1CCCC(N(Cc2nc(C)c(C)c(C)c2C)Cc2nc(C)c(C)c(C)c2C)C1")</f>
        <v>CNC1CCCC(N(Cc2nc(C)c(C)c(C)c2C)Cc2nc(C)c(C)c(C)c2C)C1</v>
      </c>
      <c r="C6618" s="7">
        <f>IFERROR(__xludf.DUMMYFUNCTION("""COMPUTED_VALUE"""),7.783793)</f>
        <v>7.783793</v>
      </c>
      <c r="D6618" s="7">
        <f>IFERROR(__xludf.DUMMYFUNCTION("""COMPUTED_VALUE"""),0.218181818181818)</f>
        <v>0.2181818182</v>
      </c>
    </row>
    <row r="6619">
      <c r="A6619" s="10" t="s">
        <v>8058</v>
      </c>
      <c r="B6619" s="7" t="str">
        <f>IFERROR(__xludf.DUMMYFUNCTION("SPLIT(A6619,"" "")"),"C=Cc1ccc(CN(Cc2ccccn2)C2CCC(N(C)Cc3nc(C)c(C)cc3C)CC2)nc1")</f>
        <v>C=Cc1ccc(CN(Cc2ccccn2)C2CCC(N(C)Cc3nc(C)c(C)cc3C)CC2)nc1</v>
      </c>
      <c r="C6619" s="7">
        <f>IFERROR(__xludf.DUMMYFUNCTION("""COMPUTED_VALUE"""),7.783791)</f>
        <v>7.783791</v>
      </c>
      <c r="D6619" s="7">
        <f>IFERROR(__xludf.DUMMYFUNCTION("""COMPUTED_VALUE"""),0.376811594202898)</f>
        <v>0.3768115942</v>
      </c>
    </row>
    <row r="6620">
      <c r="A6620" s="10" t="s">
        <v>8059</v>
      </c>
      <c r="B6620" s="7" t="str">
        <f>IFERROR(__xludf.DUMMYFUNCTION("SPLIT(A6620,"" "")"),"Cc1ccc(N)c(N(C)CCN(C)C(C)C)c1")</f>
        <v>Cc1ccc(N)c(N(C)CCN(C)C(C)C)c1</v>
      </c>
      <c r="C6620" s="7">
        <f>IFERROR(__xludf.DUMMYFUNCTION("""COMPUTED_VALUE"""),7.7837763)</f>
        <v>7.7837763</v>
      </c>
      <c r="D6620" s="7">
        <f>IFERROR(__xludf.DUMMYFUNCTION("""COMPUTED_VALUE"""),0.272727272727272)</f>
        <v>0.2727272727</v>
      </c>
    </row>
    <row r="6621">
      <c r="A6621" s="10" t="s">
        <v>8060</v>
      </c>
      <c r="B6621" s="7" t="str">
        <f>IFERROR(__xludf.DUMMYFUNCTION("SPLIT(A6621,"" "")"),"CC(C)N(C)c1ccc2nc(CN(C)C(C)(C)c3cccnc3CN(C)C3CCC(N(C)C(C)C)CC3)ccc2c1")</f>
        <v>CC(C)N(C)c1ccc2nc(CN(C)C(C)(C)c3cccnc3CN(C)C3CCC(N(C)C(C)C)CC3)ccc2c1</v>
      </c>
      <c r="C6621" s="7">
        <f>IFERROR(__xludf.DUMMYFUNCTION("""COMPUTED_VALUE"""),7.783774)</f>
        <v>7.783774</v>
      </c>
      <c r="D6621" s="7">
        <f>IFERROR(__xludf.DUMMYFUNCTION("""COMPUTED_VALUE"""),0.271428571428571)</f>
        <v>0.2714285714</v>
      </c>
    </row>
    <row r="6622">
      <c r="A6622" s="10" t="s">
        <v>8061</v>
      </c>
      <c r="B6622" s="7" t="str">
        <f>IFERROR(__xludf.DUMMYFUNCTION("SPLIT(A6622,"" "")"),"CC(C)C1=CC2C(c3cccc(CN(Cc4ccc5c(c4)OCCOCCOCCOCCOCCO5)Cc4ccc5ccccc5n4)n3)=CC(C)(C)C(N(C)Cc3ccccn3)C2=CN1")</f>
        <v>CC(C)C1=CC2C(c3cccc(CN(Cc4ccc5c(c4)OCCOCCOCCOCCOCCO5)Cc4ccc5ccccc5n4)n3)=CC(C)(C)C(N(C)Cc3ccccn3)C2=CN1</v>
      </c>
      <c r="C6622" s="7">
        <f>IFERROR(__xludf.DUMMYFUNCTION("""COMPUTED_VALUE"""),7.7837577)</f>
        <v>7.7837577</v>
      </c>
      <c r="D6622" s="7">
        <f>IFERROR(__xludf.DUMMYFUNCTION("""COMPUTED_VALUE"""),0.348837209302325)</f>
        <v>0.3488372093</v>
      </c>
    </row>
    <row r="6623">
      <c r="A6623" s="10" t="s">
        <v>8062</v>
      </c>
      <c r="B6623" s="7" t="str">
        <f>IFERROR(__xludf.DUMMYFUNCTION("SPLIT(A6623,"" "")"),"CCCN(CC1=CCC(N(C)Cc2ccccn2)=CN1)C(C)C")</f>
        <v>CCCN(CC1=CCC(N(C)Cc2ccccn2)=CN1)C(C)C</v>
      </c>
      <c r="C6623" s="7">
        <f>IFERROR(__xludf.DUMMYFUNCTION("""COMPUTED_VALUE"""),7.783755)</f>
        <v>7.783755</v>
      </c>
      <c r="D6623" s="7">
        <f>IFERROR(__xludf.DUMMYFUNCTION("""COMPUTED_VALUE"""),0.5)</f>
        <v>0.5</v>
      </c>
    </row>
    <row r="6624">
      <c r="A6624" s="10" t="s">
        <v>8063</v>
      </c>
      <c r="B6624" s="7" t="str">
        <f>IFERROR(__xludf.DUMMYFUNCTION("SPLIT(A6624,"" "")"),"CN(c1ccc2ccc(CF)nc2c1)C1CCCCC1N(C)C1C=CNC=C1")</f>
        <v>CN(c1ccc2ccc(CF)nc2c1)C1CCCCC1N(C)C1C=CNC=C1</v>
      </c>
      <c r="C6624" s="7">
        <f>IFERROR(__xludf.DUMMYFUNCTION("""COMPUTED_VALUE"""),7.7837496)</f>
        <v>7.7837496</v>
      </c>
      <c r="D6624" s="7">
        <f>IFERROR(__xludf.DUMMYFUNCTION("""COMPUTED_VALUE"""),0.473684210526315)</f>
        <v>0.4736842105</v>
      </c>
    </row>
    <row r="6625">
      <c r="A6625" s="10" t="s">
        <v>8064</v>
      </c>
      <c r="B6625" s="7" t="str">
        <f>IFERROR(__xludf.DUMMYFUNCTION("SPLIT(A6625,"" "")"),"CC(C)(C)C1=CC2(C=CN1)C=CC(c1cccc(CN(Cc3ccccn3)Cc3cccc(-c4ccc5c(c4)OCCOCCOCCOCCOCCO5)n3)n1)C(c1cccc(CN(Cc3ccccn3)Cc3ccccn3)n1)C2(C)C")</f>
        <v>CC(C)(C)C1=CC2(C=CN1)C=CC(c1cccc(CN(Cc3ccccn3)Cc3cccc(-c4ccc5c(c4)OCCOCCOCCOCCOCCO5)n3)n1)C(c1cccc(CN(Cc3ccccn3)Cc3ccccn3)n1)C2(C)C</v>
      </c>
      <c r="C6625" s="7">
        <f>IFERROR(__xludf.DUMMYFUNCTION("""COMPUTED_VALUE"""),7.7837477)</f>
        <v>7.7837477</v>
      </c>
      <c r="D6625" s="7">
        <f>IFERROR(__xludf.DUMMYFUNCTION("""COMPUTED_VALUE"""),0.360465116279069)</f>
        <v>0.3604651163</v>
      </c>
    </row>
    <row r="6626">
      <c r="A6626" s="10" t="s">
        <v>8065</v>
      </c>
      <c r="B6626" s="7" t="str">
        <f>IFERROR(__xludf.DUMMYFUNCTION("SPLIT(A6626,"" "")"),"C=CCN(CC1=CC(N(C)Cc2ccccn2)C=CN1)Cc1ccccn1")</f>
        <v>C=CCN(CC1=CC(N(C)Cc2ccccn2)C=CN1)Cc1ccccn1</v>
      </c>
      <c r="C6626" s="7">
        <f>IFERROR(__xludf.DUMMYFUNCTION("""COMPUTED_VALUE"""),7.783744)</f>
        <v>7.783744</v>
      </c>
      <c r="D6626" s="7">
        <f>IFERROR(__xludf.DUMMYFUNCTION("""COMPUTED_VALUE"""),0.43859649122807)</f>
        <v>0.4385964912</v>
      </c>
    </row>
    <row r="6627">
      <c r="A6627" s="10" t="s">
        <v>8066</v>
      </c>
      <c r="B6627" s="7" t="str">
        <f>IFERROR(__xludf.DUMMYFUNCTION("SPLIT(A6627,"" "")"),"Cc1cnccc1CN1CCN(C)CCN(CCN(C)c2ccc3c(CF)ccnc3c2)CC1")</f>
        <v>Cc1cnccc1CN1CCN(C)CCN(CCN(C)c2ccc3c(CF)ccnc3c2)CC1</v>
      </c>
      <c r="C6627" s="7">
        <f>IFERROR(__xludf.DUMMYFUNCTION("""COMPUTED_VALUE"""),7.783739)</f>
        <v>7.783739</v>
      </c>
      <c r="D6627" s="7">
        <f>IFERROR(__xludf.DUMMYFUNCTION("""COMPUTED_VALUE"""),0.349206349206349)</f>
        <v>0.3492063492</v>
      </c>
    </row>
    <row r="6628">
      <c r="A6628" s="10" t="s">
        <v>8067</v>
      </c>
      <c r="B6628" s="7" t="str">
        <f>IFERROR(__xludf.DUMMYFUNCTION("SPLIT(A6628,"" "")"),"Cc1cc(C)c(C)c(CN(C)C2CCCC(N(C)c3cccnc3CN(C)C)C2)n1")</f>
        <v>Cc1cc(C)c(C)c(CN(C)C2CCCC(N(C)c3cccnc3CN(C)C)C2)n1</v>
      </c>
      <c r="C6628" s="7">
        <f>IFERROR(__xludf.DUMMYFUNCTION("""COMPUTED_VALUE"""),7.783726)</f>
        <v>7.783726</v>
      </c>
      <c r="D6628" s="7">
        <f>IFERROR(__xludf.DUMMYFUNCTION("""COMPUTED_VALUE"""),0.32258064516129)</f>
        <v>0.3225806452</v>
      </c>
    </row>
    <row r="6629">
      <c r="A6629" s="10" t="s">
        <v>8068</v>
      </c>
      <c r="B6629" s="7" t="str">
        <f>IFERROR(__xludf.DUMMYFUNCTION("SPLIT(A6629,"" "")"),"CC(C)N(C)Cc1ccc(C(C)(C)C)cn1")</f>
        <v>CC(C)N(C)Cc1ccc(C(C)(C)C)cn1</v>
      </c>
      <c r="C6629" s="7">
        <f>IFERROR(__xludf.DUMMYFUNCTION("""COMPUTED_VALUE"""),7.783721)</f>
        <v>7.783721</v>
      </c>
      <c r="D6629" s="7">
        <f>IFERROR(__xludf.DUMMYFUNCTION("""COMPUTED_VALUE"""),0.390243902439024)</f>
        <v>0.3902439024</v>
      </c>
    </row>
    <row r="6630">
      <c r="A6630" s="10" t="s">
        <v>8069</v>
      </c>
      <c r="B6630" s="7" t="str">
        <f>IFERROR(__xludf.DUMMYFUNCTION("SPLIT(A6630,"" "")"),"Cc1ccc(CN(C)C2=CNC(CN(C)C(C)C(C)C)=CC2)nc1")</f>
        <v>Cc1ccc(CN(C)C2=CNC(CN(C)C(C)C(C)C)=CC2)nc1</v>
      </c>
      <c r="C6630" s="7">
        <f>IFERROR(__xludf.DUMMYFUNCTION("""COMPUTED_VALUE"""),7.78372)</f>
        <v>7.78372</v>
      </c>
      <c r="D6630" s="7">
        <f>IFERROR(__xludf.DUMMYFUNCTION("""COMPUTED_VALUE"""),0.392156862745098)</f>
        <v>0.3921568627</v>
      </c>
    </row>
    <row r="6631">
      <c r="A6631" s="10" t="s">
        <v>8070</v>
      </c>
      <c r="B6631" s="7" t="str">
        <f>IFERROR(__xludf.DUMMYFUNCTION("SPLIT(A6631,"" "")"),"CC(C)N(C)C1=C(CN(C)Cc2ccccn2)NC=CC1")</f>
        <v>CC(C)N(C)C1=C(CN(C)Cc2ccccn2)NC=CC1</v>
      </c>
      <c r="C6631" s="7">
        <f>IFERROR(__xludf.DUMMYFUNCTION("""COMPUTED_VALUE"""),7.783718)</f>
        <v>7.783718</v>
      </c>
      <c r="D6631" s="7">
        <f>IFERROR(__xludf.DUMMYFUNCTION("""COMPUTED_VALUE"""),0.468085106382978)</f>
        <v>0.4680851064</v>
      </c>
    </row>
    <row r="6632">
      <c r="A6632" s="10" t="s">
        <v>8071</v>
      </c>
      <c r="B6632" s="7" t="str">
        <f>IFERROR(__xludf.DUMMYFUNCTION("SPLIT(A6632,"" "")"),"CN(Cc1cccc(-c2ccc3c(c2)OCCOCCOCCOCCOCCO3)n1)C1CCCCC1N(C)Cc1cccc(-c2ccc3cccnc3c2)n1")</f>
        <v>CN(Cc1cccc(-c2ccc3c(c2)OCCOCCOCCOCCOCCO3)n1)C1CCCCC1N(C)Cc1cccc(-c2ccc3cccnc3c2)n1</v>
      </c>
      <c r="C6632" s="7">
        <f>IFERROR(__xludf.DUMMYFUNCTION("""COMPUTED_VALUE"""),7.783713)</f>
        <v>7.783713</v>
      </c>
      <c r="D6632" s="7">
        <f>IFERROR(__xludf.DUMMYFUNCTION("""COMPUTED_VALUE"""),0.419354838709677)</f>
        <v>0.4193548387</v>
      </c>
    </row>
    <row r="6633">
      <c r="A6633" s="10" t="s">
        <v>8072</v>
      </c>
      <c r="B6633" s="7" t="str">
        <f>IFERROR(__xludf.DUMMYFUNCTION("SPLIT(A6633,"" "")"),"CN(Cc1ccccn1)Cc1cc(N(C)Cc2ncccc2-c2ccc3c(c2)OCCOCCOCCOCCOCCO3)ccn1")</f>
        <v>CN(Cc1ccccn1)Cc1cc(N(C)Cc2ncccc2-c2ccc3c(c2)OCCOCCOCCOCCOCCO3)ccn1</v>
      </c>
      <c r="C6633" s="7">
        <f>IFERROR(__xludf.DUMMYFUNCTION("""COMPUTED_VALUE"""),7.783704)</f>
        <v>7.783704</v>
      </c>
      <c r="D6633" s="7">
        <f>IFERROR(__xludf.DUMMYFUNCTION("""COMPUTED_VALUE"""),0.338461538461538)</f>
        <v>0.3384615385</v>
      </c>
    </row>
    <row r="6634">
      <c r="A6634" s="10" t="s">
        <v>8073</v>
      </c>
      <c r="B6634" s="7" t="str">
        <f>IFERROR(__xludf.DUMMYFUNCTION("SPLIT(A6634,"" "")"),"CC1=C(N(C)C2C=CC=CN2)CC=CN1")</f>
        <v>CC1=C(N(C)C2C=CC=CN2)CC=CN1</v>
      </c>
      <c r="C6634" s="7">
        <f>IFERROR(__xludf.DUMMYFUNCTION("""COMPUTED_VALUE"""),7.783694)</f>
        <v>7.783694</v>
      </c>
      <c r="D6634" s="7">
        <f>IFERROR(__xludf.DUMMYFUNCTION("""COMPUTED_VALUE"""),0.214285714285714)</f>
        <v>0.2142857143</v>
      </c>
    </row>
    <row r="6635">
      <c r="A6635" s="10" t="s">
        <v>8074</v>
      </c>
      <c r="B6635" s="7" t="str">
        <f>IFERROR(__xludf.DUMMYFUNCTION("SPLIT(A6635,"" "")"),"CN(Cc1ccccn1)C1CCC(N(Cc2ccccn2)Cc2cccc(C3=CCC=CN3)n2)CC1")</f>
        <v>CN(Cc1ccccn1)C1CCC(N(Cc2ccccn2)Cc2cccc(C3=CCC=CN3)n2)CC1</v>
      </c>
      <c r="C6635" s="7">
        <f>IFERROR(__xludf.DUMMYFUNCTION("""COMPUTED_VALUE"""),7.7836905)</f>
        <v>7.7836905</v>
      </c>
      <c r="D6635" s="7">
        <f>IFERROR(__xludf.DUMMYFUNCTION("""COMPUTED_VALUE"""),0.45)</f>
        <v>0.45</v>
      </c>
    </row>
    <row r="6636">
      <c r="A6636" s="10" t="s">
        <v>8075</v>
      </c>
      <c r="B6636" s="7" t="str">
        <f>IFERROR(__xludf.DUMMYFUNCTION("SPLIT(A6636,"" "")"),"Cc1cncc(CN(Cc2ccccn2)C2CCCC(N(Cc3ccccn3)c3ccccc3F)C2)c1")</f>
        <v>Cc1cncc(CN(Cc2ccccn2)C2CCCC(N(Cc3ccccn3)c3ccccc3F)C2)c1</v>
      </c>
      <c r="C6636" s="7">
        <f>IFERROR(__xludf.DUMMYFUNCTION("""COMPUTED_VALUE"""),7.7836742)</f>
        <v>7.7836742</v>
      </c>
      <c r="D6636" s="7">
        <f>IFERROR(__xludf.DUMMYFUNCTION("""COMPUTED_VALUE"""),0.349206349206349)</f>
        <v>0.3492063492</v>
      </c>
    </row>
    <row r="6637">
      <c r="A6637" s="10" t="s">
        <v>8076</v>
      </c>
      <c r="B6637" s="7" t="str">
        <f>IFERROR(__xludf.DUMMYFUNCTION("SPLIT(A6637,"" "")"),"Cc1ccnc(CN(Cc2nc(C)c(C)c(C)c2C)C2CCCC(N(C)Cc3ccccn3)C2N(C)Cc2ccnc(C)c2)c1")</f>
        <v>Cc1ccnc(CN(Cc2nc(C)c(C)c(C)c2C)C2CCCC(N(C)Cc3ccccn3)C2N(C)Cc2ccnc(C)c2)c1</v>
      </c>
      <c r="C6637" s="7">
        <f>IFERROR(__xludf.DUMMYFUNCTION("""COMPUTED_VALUE"""),7.783669)</f>
        <v>7.783669</v>
      </c>
      <c r="D6637" s="7">
        <f>IFERROR(__xludf.DUMMYFUNCTION("""COMPUTED_VALUE"""),0.424242424242424)</f>
        <v>0.4242424242</v>
      </c>
    </row>
    <row r="6638">
      <c r="A6638" s="10" t="s">
        <v>8077</v>
      </c>
      <c r="B6638" s="7" t="str">
        <f>IFERROR(__xludf.DUMMYFUNCTION("SPLIT(A6638,"" "")"),"Cc1nc(CN(C)C2CCC(N(Cc3ccccn3)Cc3cccc(CN(Cc4cccc(C5CC(C)(C)C5)n4)C(C)C)n3)CC2)c(C)c(C)c1C")</f>
        <v>Cc1nc(CN(C)C2CCC(N(Cc3ccccn3)Cc3cccc(CN(Cc4cccc(C5CC(C)(C)C5)n4)C(C)C)n3)CC2)c(C)c(C)c1C</v>
      </c>
      <c r="C6638" s="7">
        <f>IFERROR(__xludf.DUMMYFUNCTION("""COMPUTED_VALUE"""),7.783668)</f>
        <v>7.783668</v>
      </c>
      <c r="D6638" s="7">
        <f>IFERROR(__xludf.DUMMYFUNCTION("""COMPUTED_VALUE"""),0.35820895522388)</f>
        <v>0.3582089552</v>
      </c>
    </row>
    <row r="6639">
      <c r="A6639" s="10" t="s">
        <v>8078</v>
      </c>
      <c r="B6639" s="7" t="str">
        <f>IFERROR(__xludf.DUMMYFUNCTION("SPLIT(A6639,"" "")"),"Cc1ccc(C)c(N(Cc2ccccn2)Cc2cccc(-c3ccc4c(c3)OCCOCCOCCOCCOCCO4)n2)c1")</f>
        <v>Cc1ccc(C)c(N(Cc2ccccn2)Cc2cccc(-c3ccc4c(c3)OCCOCCOCCOCCOCCO4)n2)c1</v>
      </c>
      <c r="C6639" s="7">
        <f>IFERROR(__xludf.DUMMYFUNCTION("""COMPUTED_VALUE"""),7.7836676)</f>
        <v>7.7836676</v>
      </c>
      <c r="D6639" s="7">
        <f>IFERROR(__xludf.DUMMYFUNCTION("""COMPUTED_VALUE"""),0.411764705882352)</f>
        <v>0.4117647059</v>
      </c>
    </row>
    <row r="6640">
      <c r="A6640" s="10" t="s">
        <v>8079</v>
      </c>
      <c r="B6640" s="7" t="str">
        <f>IFERROR(__xludf.DUMMYFUNCTION("SPLIT(A6640,"" "")"),"Cc1cccnc1CN(C)Cc1cccc(N(C)Cc2cccc(-c3cccc4c3OCCOCCOCCOCCOCCO4)n2)n1")</f>
        <v>Cc1cccnc1CN(C)Cc1cccc(N(C)Cc2cccc(-c3cccc4c3OCCOCCOCCOCCOCCO4)n2)n1</v>
      </c>
      <c r="C6640" s="7">
        <f>IFERROR(__xludf.DUMMYFUNCTION("""COMPUTED_VALUE"""),7.783662)</f>
        <v>7.783662</v>
      </c>
      <c r="D6640" s="7">
        <f>IFERROR(__xludf.DUMMYFUNCTION("""COMPUTED_VALUE"""),0.363636363636363)</f>
        <v>0.3636363636</v>
      </c>
    </row>
    <row r="6641">
      <c r="A6641" s="10" t="s">
        <v>8080</v>
      </c>
      <c r="B6641" s="7" t="str">
        <f>IFERROR(__xludf.DUMMYFUNCTION("SPLIT(A6641,"" "")"),"CC(C)C(C)N(C)CCN(C)Cc1ccc2ncccc2c1")</f>
        <v>CC(C)C(C)N(C)CCN(C)Cc1ccc2ncccc2c1</v>
      </c>
      <c r="C6641" s="7">
        <f>IFERROR(__xludf.DUMMYFUNCTION("""COMPUTED_VALUE"""),7.7836256)</f>
        <v>7.7836256</v>
      </c>
      <c r="D6641" s="7">
        <f>IFERROR(__xludf.DUMMYFUNCTION("""COMPUTED_VALUE"""),0.408163265306122)</f>
        <v>0.4081632653</v>
      </c>
    </row>
    <row r="6642">
      <c r="A6642" s="10" t="s">
        <v>8081</v>
      </c>
      <c r="B6642" s="7" t="str">
        <f>IFERROR(__xludf.DUMMYFUNCTION("SPLIT(A6642,"" "")"),"CNC1C(N(C)Cc2cc(C)c(C)c(C)n2)CCCC1N(Cc1cc(C)c(C)cn1)Cc1cc(C)c(C)c(C)n1")</f>
        <v>CNC1C(N(C)Cc2cc(C)c(C)c(C)n2)CCCC1N(Cc1cc(C)c(C)cn1)Cc1cc(C)c(C)c(C)n1</v>
      </c>
      <c r="C6642" s="7">
        <f>IFERROR(__xludf.DUMMYFUNCTION("""COMPUTED_VALUE"""),7.7836056)</f>
        <v>7.7836056</v>
      </c>
      <c r="D6642" s="7">
        <f>IFERROR(__xludf.DUMMYFUNCTION("""COMPUTED_VALUE"""),0.410714285714285)</f>
        <v>0.4107142857</v>
      </c>
    </row>
    <row r="6643">
      <c r="A6643" s="10" t="s">
        <v>8082</v>
      </c>
      <c r="B6643" s="7" t="str">
        <f>IFERROR(__xludf.DUMMYFUNCTION("SPLIT(A6643,"" "")"),"COC(=O)C1C(=O)CC(C(=O)OC)N(C)C1C(=O)C(C)N")</f>
        <v>COC(=O)C1C(=O)CC(C(=O)OC)N(C)C1C(=O)C(C)N</v>
      </c>
      <c r="C6643" s="7">
        <f>IFERROR(__xludf.DUMMYFUNCTION("""COMPUTED_VALUE"""),7.7836013)</f>
        <v>7.7836013</v>
      </c>
      <c r="D6643" s="7">
        <f>IFERROR(__xludf.DUMMYFUNCTION("""COMPUTED_VALUE"""),0.262295081967213)</f>
        <v>0.262295082</v>
      </c>
    </row>
    <row r="6644">
      <c r="A6644" s="10" t="s">
        <v>8083</v>
      </c>
      <c r="B6644" s="7" t="str">
        <f>IFERROR(__xludf.DUMMYFUNCTION("SPLIT(A6644,"" "")"),"CC1=C(CN(C)Cc2cc(C(C)(C)c3ccccn3)ccn2)C(C)C(C)CC1")</f>
        <v>CC1=C(CN(C)Cc2cc(C(C)(C)c3ccccn3)ccn2)C(C)C(C)CC1</v>
      </c>
      <c r="C6644" s="7">
        <f>IFERROR(__xludf.DUMMYFUNCTION("""COMPUTED_VALUE"""),7.7835956)</f>
        <v>7.7835956</v>
      </c>
      <c r="D6644" s="7">
        <f>IFERROR(__xludf.DUMMYFUNCTION("""COMPUTED_VALUE"""),0.32258064516129)</f>
        <v>0.3225806452</v>
      </c>
    </row>
    <row r="6645">
      <c r="A6645" s="10" t="s">
        <v>8084</v>
      </c>
      <c r="B6645" s="7" t="str">
        <f>IFERROR(__xludf.DUMMYFUNCTION("SPLIT(A6645,"" "")"),"CC(C)N1CCN(C)CCN(C(C)c2cncc(-c3cncc(NC4=CCC=CN4)c3)c2)CC1")</f>
        <v>CC(C)N1CCN(C)CCN(C(C)c2cncc(-c3cncc(NC4=CCC=CN4)c3)c2)CC1</v>
      </c>
      <c r="C6645" s="7">
        <f>IFERROR(__xludf.DUMMYFUNCTION("""COMPUTED_VALUE"""),7.783589)</f>
        <v>7.783589</v>
      </c>
      <c r="D6645" s="7">
        <f>IFERROR(__xludf.DUMMYFUNCTION("""COMPUTED_VALUE"""),0.208955223880597)</f>
        <v>0.2089552239</v>
      </c>
    </row>
    <row r="6646">
      <c r="A6646" s="10" t="s">
        <v>8085</v>
      </c>
      <c r="B6646" s="7" t="str">
        <f>IFERROR(__xludf.DUMMYFUNCTION("SPLIT(A6646,"" "")"),"Cc1cccc(CN(C)C2=C(CN(C)C(C)C(C)C)NC=CC2)n1")</f>
        <v>Cc1cccc(CN(C)C2=C(CN(C)C(C)C(C)C)NC=CC2)n1</v>
      </c>
      <c r="C6646" s="7">
        <f>IFERROR(__xludf.DUMMYFUNCTION("""COMPUTED_VALUE"""),7.783586)</f>
        <v>7.783586</v>
      </c>
      <c r="D6646" s="7">
        <f>IFERROR(__xludf.DUMMYFUNCTION("""COMPUTED_VALUE"""),0.4)</f>
        <v>0.4</v>
      </c>
    </row>
    <row r="6647">
      <c r="A6647" s="10" t="s">
        <v>8086</v>
      </c>
      <c r="B6647" s="7" t="str">
        <f>IFERROR(__xludf.DUMMYFUNCTION("SPLIT(A6647,"" "")"),"CC1=C(C)CC(C)(c2ccccn2)C(C)C1")</f>
        <v>CC1=C(C)CC(C)(c2ccccn2)C(C)C1</v>
      </c>
      <c r="C6647" s="7">
        <f>IFERROR(__xludf.DUMMYFUNCTION("""COMPUTED_VALUE"""),7.7835827)</f>
        <v>7.7835827</v>
      </c>
      <c r="D6647" s="7">
        <f>IFERROR(__xludf.DUMMYFUNCTION("""COMPUTED_VALUE"""),0.265306122448979)</f>
        <v>0.2653061224</v>
      </c>
    </row>
    <row r="6648">
      <c r="A6648" s="10" t="s">
        <v>8087</v>
      </c>
      <c r="B6648" s="7" t="str">
        <f>IFERROR(__xludf.DUMMYFUNCTION("SPLIT(A6648,"" "")"),"CNC1C(N(Cc2ncccc2C)Cc2ncccc2C)CCCC1N(Cc1ncccc1C)Cc1ncc(C)cc1C")</f>
        <v>CNC1C(N(Cc2ncccc2C)Cc2ncccc2C)CCCC1N(Cc1ncccc1C)Cc1ncc(C)cc1C</v>
      </c>
      <c r="C6648" s="7">
        <f>IFERROR(__xludf.DUMMYFUNCTION("""COMPUTED_VALUE"""),7.78358)</f>
        <v>7.78358</v>
      </c>
      <c r="D6648" s="7">
        <f>IFERROR(__xludf.DUMMYFUNCTION("""COMPUTED_VALUE"""),0.333333333333333)</f>
        <v>0.3333333333</v>
      </c>
    </row>
    <row r="6649">
      <c r="A6649" s="10" t="s">
        <v>8088</v>
      </c>
      <c r="B6649" s="7" t="str">
        <f>IFERROR(__xludf.DUMMYFUNCTION("SPLIT(A6649,"" "")"),"Cc1cnc(CN(C)CCNCc2ccc(-c3ccc4c(c3)OCCOCCOCCOCCOCCO4)cn2)c(C)c1-c1ccccn1")</f>
        <v>Cc1cnc(CN(C)CCNCc2ccc(-c3ccc4c(c3)OCCOCCOCCOCCOCCO4)cn2)c(C)c1-c1ccccn1</v>
      </c>
      <c r="C6649" s="7">
        <f>IFERROR(__xludf.DUMMYFUNCTION("""COMPUTED_VALUE"""),7.7835736)</f>
        <v>7.7835736</v>
      </c>
      <c r="D6649" s="7">
        <f>IFERROR(__xludf.DUMMYFUNCTION("""COMPUTED_VALUE"""),0.375)</f>
        <v>0.375</v>
      </c>
    </row>
    <row r="6650">
      <c r="A6650" s="10" t="s">
        <v>8089</v>
      </c>
      <c r="B6650" s="7" t="str">
        <f>IFERROR(__xludf.DUMMYFUNCTION("SPLIT(A6650,"" "")"),"Cc1cc(CN(C)CCN(Cc2ccccn2)C(C)(C)C)cnc1C")</f>
        <v>Cc1cc(CN(C)CCN(Cc2ccccn2)C(C)(C)C)cnc1C</v>
      </c>
      <c r="C6650" s="7">
        <f>IFERROR(__xludf.DUMMYFUNCTION("""COMPUTED_VALUE"""),7.783566)</f>
        <v>7.783566</v>
      </c>
      <c r="D6650" s="7">
        <f>IFERROR(__xludf.DUMMYFUNCTION("""COMPUTED_VALUE"""),0.403846153846153)</f>
        <v>0.4038461538</v>
      </c>
    </row>
    <row r="6651">
      <c r="A6651" s="10" t="s">
        <v>8090</v>
      </c>
      <c r="B6651" s="7" t="str">
        <f>IFERROR(__xludf.DUMMYFUNCTION("SPLIT(A6651,"" "")"),"CC1C=CCC(C)C1(C)c1ccc(CN(Cc2ccccn2)Cc2ccccn2)cn1")</f>
        <v>CC1C=CCC(C)C1(C)c1ccc(CN(Cc2ccccn2)Cc2ccccn2)cn1</v>
      </c>
      <c r="C6651" s="7">
        <f>IFERROR(__xludf.DUMMYFUNCTION("""COMPUTED_VALUE"""),7.7835555)</f>
        <v>7.7835555</v>
      </c>
      <c r="D6651" s="7">
        <f>IFERROR(__xludf.DUMMYFUNCTION("""COMPUTED_VALUE"""),0.416666666666666)</f>
        <v>0.4166666667</v>
      </c>
    </row>
    <row r="6652">
      <c r="A6652" s="10" t="s">
        <v>8091</v>
      </c>
      <c r="B6652" s="7" t="str">
        <f>IFERROR(__xludf.DUMMYFUNCTION("SPLIT(A6652,"" "")"),"Cc1cnc(CN(C)CCNCc2ccccn2)c(C)c1")</f>
        <v>Cc1cnc(CN(C)CCNCc2ccccn2)c(C)c1</v>
      </c>
      <c r="C6652" s="7">
        <f>IFERROR(__xludf.DUMMYFUNCTION("""COMPUTED_VALUE"""),7.783553)</f>
        <v>7.783553</v>
      </c>
      <c r="D6652" s="7">
        <f>IFERROR(__xludf.DUMMYFUNCTION("""COMPUTED_VALUE"""),0.477272727272727)</f>
        <v>0.4772727273</v>
      </c>
    </row>
    <row r="6653">
      <c r="A6653" s="10" t="s">
        <v>8092</v>
      </c>
      <c r="B6653" s="7" t="str">
        <f>IFERROR(__xludf.DUMMYFUNCTION("SPLIT(A6653,"" "")"),"CN1CCN(C)CCN(Cc2ccc(-c3ccc(N(C)C)cc3)nc2)CC1")</f>
        <v>CN1CCN(C)CCN(Cc2ccc(-c3ccc(N(C)C)cc3)nc2)CC1</v>
      </c>
      <c r="C6653" s="7">
        <f>IFERROR(__xludf.DUMMYFUNCTION("""COMPUTED_VALUE"""),7.7835503)</f>
        <v>7.7835503</v>
      </c>
      <c r="D6653" s="7">
        <f>IFERROR(__xludf.DUMMYFUNCTION("""COMPUTED_VALUE"""),0.384615384615384)</f>
        <v>0.3846153846</v>
      </c>
    </row>
    <row r="6654">
      <c r="A6654" s="10" t="s">
        <v>8093</v>
      </c>
      <c r="B6654" s="7" t="str">
        <f>IFERROR(__xludf.DUMMYFUNCTION("SPLIT(A6654,"" "")"),"CC(C)C(C)N(C)Cc1ccc(-c2cccc(N(C)Cc3cc(-c4ccc5c(c4)OCCOCCOCCOCCOCCO5)ccn3)c2)cn1")</f>
        <v>CC(C)C(C)N(C)Cc1ccc(-c2cccc(N(C)Cc3cc(-c4ccc5c(c4)OCCOCCOCCOCCOCCO5)ccn3)c2)cn1</v>
      </c>
      <c r="C6654" s="7">
        <f>IFERROR(__xludf.DUMMYFUNCTION("""COMPUTED_VALUE"""),7.783539)</f>
        <v>7.783539</v>
      </c>
      <c r="D6654" s="7">
        <f>IFERROR(__xludf.DUMMYFUNCTION("""COMPUTED_VALUE"""),0.405405405405405)</f>
        <v>0.4054054054</v>
      </c>
    </row>
    <row r="6655">
      <c r="A6655" s="10" t="s">
        <v>8094</v>
      </c>
      <c r="B6655" s="7" t="str">
        <f>IFERROR(__xludf.DUMMYFUNCTION("SPLIT(A6655,"" "")"),"CCC1=CCCC(C)(c2ncccc2CN(Cc2ccccn2)Cc2ccccn2)C1C")</f>
        <v>CCC1=CCCC(C)(c2ncccc2CN(Cc2ccccn2)Cc2ccccn2)C1C</v>
      </c>
      <c r="C6655" s="7">
        <f>IFERROR(__xludf.DUMMYFUNCTION("""COMPUTED_VALUE"""),7.7835255)</f>
        <v>7.7835255</v>
      </c>
      <c r="D6655" s="7">
        <f>IFERROR(__xludf.DUMMYFUNCTION("""COMPUTED_VALUE"""),0.408163265306122)</f>
        <v>0.4081632653</v>
      </c>
    </row>
    <row r="6656">
      <c r="A6656" s="10" t="s">
        <v>8095</v>
      </c>
      <c r="B6656" s="7" t="str">
        <f>IFERROR(__xludf.DUMMYFUNCTION("SPLIT(A6656,"" "")"),"Cc1ccccc1-c1cccc(CN(C)C2CCCC(N(C)Cc3ccccn3)C2)n1")</f>
        <v>Cc1ccccc1-c1cccc(CN(C)C2CCCC(N(C)Cc3ccccn3)C2)n1</v>
      </c>
      <c r="C6656" s="7">
        <f>IFERROR(__xludf.DUMMYFUNCTION("""COMPUTED_VALUE"""),7.7835183)</f>
        <v>7.7835183</v>
      </c>
      <c r="D6656" s="7">
        <f>IFERROR(__xludf.DUMMYFUNCTION("""COMPUTED_VALUE"""),0.5)</f>
        <v>0.5</v>
      </c>
    </row>
    <row r="6657">
      <c r="A6657" s="10" t="s">
        <v>8096</v>
      </c>
      <c r="B6657" s="7" t="str">
        <f>IFERROR(__xludf.DUMMYFUNCTION("SPLIT(A6657,"" "")"),"Cc1ccc(CN(C)C2CCC(N(C)Cc3ccccn3)CC2N(Cc2ccccn2)Cc2nc(C)c(C)c(C)c2C)nc1")</f>
        <v>Cc1ccc(CN(C)C2CCC(N(C)Cc3ccccn3)CC2N(Cc2ccccn2)Cc2nc(C)c(C)c(C)c2C)nc1</v>
      </c>
      <c r="C6657" s="7">
        <f>IFERROR(__xludf.DUMMYFUNCTION("""COMPUTED_VALUE"""),7.783514)</f>
        <v>7.783514</v>
      </c>
      <c r="D6657" s="7">
        <f>IFERROR(__xludf.DUMMYFUNCTION("""COMPUTED_VALUE"""),0.466666666666666)</f>
        <v>0.4666666667</v>
      </c>
    </row>
    <row r="6658">
      <c r="A6658" s="10" t="s">
        <v>8097</v>
      </c>
      <c r="B6658" s="7" t="str">
        <f>IFERROR(__xludf.DUMMYFUNCTION("SPLIT(A6658,"" "")"),"CCOC(=O)C(C)NCc1ncccc1C(C)NCc1ccccn1")</f>
        <v>CCOC(=O)C(C)NCc1ncccc1C(C)NCc1ccccn1</v>
      </c>
      <c r="C6658" s="7">
        <f>IFERROR(__xludf.DUMMYFUNCTION("""COMPUTED_VALUE"""),7.78351)</f>
        <v>7.78351</v>
      </c>
      <c r="D6658" s="7">
        <f>IFERROR(__xludf.DUMMYFUNCTION("""COMPUTED_VALUE"""),0.333333333333333)</f>
        <v>0.3333333333</v>
      </c>
    </row>
    <row r="6659">
      <c r="A6659" s="10" t="s">
        <v>8098</v>
      </c>
      <c r="B6659" s="7" t="str">
        <f>IFERROR(__xludf.DUMMYFUNCTION("SPLIT(A6659,"" "")"),"CN(CCN(Cc1ccccn1)C(C)(C)c1ccccn1)Cc1ccccn1")</f>
        <v>CN(CCN(Cc1ccccn1)C(C)(C)c1ccccn1)Cc1ccccn1</v>
      </c>
      <c r="C6659" s="7">
        <f>IFERROR(__xludf.DUMMYFUNCTION("""COMPUTED_VALUE"""),7.7834964)</f>
        <v>7.7834964</v>
      </c>
      <c r="D6659" s="7">
        <f>IFERROR(__xludf.DUMMYFUNCTION("""COMPUTED_VALUE"""),0.477272727272727)</f>
        <v>0.4772727273</v>
      </c>
    </row>
    <row r="6660">
      <c r="A6660" s="10" t="s">
        <v>8099</v>
      </c>
      <c r="B6660" s="7" t="str">
        <f>IFERROR(__xludf.DUMMYFUNCTION("SPLIT(A6660,"" "")"),"CC(NC1C=CC=CN1)c1ccccn1")</f>
        <v>CC(NC1C=CC=CN1)c1ccccn1</v>
      </c>
      <c r="C6660" s="7">
        <f>IFERROR(__xludf.DUMMYFUNCTION("""COMPUTED_VALUE"""),7.7834945)</f>
        <v>7.7834945</v>
      </c>
      <c r="D6660" s="7">
        <f>IFERROR(__xludf.DUMMYFUNCTION("""COMPUTED_VALUE"""),0.372549019607843)</f>
        <v>0.3725490196</v>
      </c>
    </row>
    <row r="6661">
      <c r="A6661" s="10" t="s">
        <v>8100</v>
      </c>
      <c r="B6661" s="7" t="str">
        <f>IFERROR(__xludf.DUMMYFUNCTION("SPLIT(A6661,"" "")"),"CN(C1=CNC=CC1C1=CCC=CN1)C1C=CC=CN1")</f>
        <v>CN(C1=CNC=CC1C1=CCC=CN1)C1C=CC=CN1</v>
      </c>
      <c r="C6661" s="7">
        <f>IFERROR(__xludf.DUMMYFUNCTION("""COMPUTED_VALUE"""),7.7834945)</f>
        <v>7.7834945</v>
      </c>
      <c r="D6661" s="7">
        <f>IFERROR(__xludf.DUMMYFUNCTION("""COMPUTED_VALUE"""),0.203125)</f>
        <v>0.203125</v>
      </c>
    </row>
    <row r="6662">
      <c r="A6662" s="10" t="s">
        <v>8101</v>
      </c>
      <c r="B6662" s="7" t="str">
        <f>IFERROR(__xludf.DUMMYFUNCTION("SPLIT(A6662,"" "")"),"Cc1cnc(C)c(CN(C)CCN)c1C")</f>
        <v>Cc1cnc(C)c(CN(C)CCN)c1C</v>
      </c>
      <c r="C6662" s="7">
        <f>IFERROR(__xludf.DUMMYFUNCTION("""COMPUTED_VALUE"""),7.783493)</f>
        <v>7.783493</v>
      </c>
      <c r="D6662" s="7">
        <f>IFERROR(__xludf.DUMMYFUNCTION("""COMPUTED_VALUE"""),0.375)</f>
        <v>0.375</v>
      </c>
    </row>
    <row r="6663">
      <c r="A6663" s="10" t="s">
        <v>8102</v>
      </c>
      <c r="B6663" s="7" t="str">
        <f>IFERROR(__xludf.DUMMYFUNCTION("SPLIT(A6663,"" "")"),"Cc1nccc(CN(C)C2CCCC(N(Cc3ccccn3)c3ccccc3F)C2)c1C")</f>
        <v>Cc1nccc(CN(C)C2CCCC(N(Cc3ccccn3)c3ccccc3F)C2)c1C</v>
      </c>
      <c r="C6663" s="7">
        <f>IFERROR(__xludf.DUMMYFUNCTION("""COMPUTED_VALUE"""),7.783491)</f>
        <v>7.783491</v>
      </c>
      <c r="D6663" s="7">
        <f>IFERROR(__xludf.DUMMYFUNCTION("""COMPUTED_VALUE"""),0.406779661016949)</f>
        <v>0.406779661</v>
      </c>
    </row>
    <row r="6664">
      <c r="A6664" s="10" t="s">
        <v>8103</v>
      </c>
      <c r="B6664" s="7" t="str">
        <f>IFERROR(__xludf.DUMMYFUNCTION("SPLIT(A6664,"" "")"),"CCCN(C)C1CCC(N(C)Cc2ccccn2)C(N(Cc2ccc3cccnc3c2)Cc2ncccc2C)C1")</f>
        <v>CCCN(C)C1CCC(N(C)Cc2ccccn2)C(N(Cc2ccc3cccnc3c2)Cc2ncccc2C)C1</v>
      </c>
      <c r="C6664" s="7">
        <f>IFERROR(__xludf.DUMMYFUNCTION("""COMPUTED_VALUE"""),7.783485)</f>
        <v>7.783485</v>
      </c>
      <c r="D6664" s="7">
        <f>IFERROR(__xludf.DUMMYFUNCTION("""COMPUTED_VALUE"""),0.402985074626865)</f>
        <v>0.4029850746</v>
      </c>
    </row>
    <row r="6665">
      <c r="A6665" s="10" t="s">
        <v>8104</v>
      </c>
      <c r="B6665" s="7" t="str">
        <f>IFERROR(__xludf.DUMMYFUNCTION("SPLIT(A6665,"" "")"),"CN(C)CC1=CC(N(C)Cc2ccccn2)C=CN1")</f>
        <v>CN(C)CC1=CC(N(C)Cc2ccccn2)C=CN1</v>
      </c>
      <c r="C6665" s="7">
        <f>IFERROR(__xludf.DUMMYFUNCTION("""COMPUTED_VALUE"""),7.7834787)</f>
        <v>7.7834787</v>
      </c>
      <c r="D6665" s="7">
        <f>IFERROR(__xludf.DUMMYFUNCTION("""COMPUTED_VALUE"""),0.468085106382978)</f>
        <v>0.4680851064</v>
      </c>
    </row>
    <row r="6666">
      <c r="A6666" s="10" t="s">
        <v>8105</v>
      </c>
      <c r="B6666" s="7" t="str">
        <f>IFERROR(__xludf.DUMMYFUNCTION("SPLIT(A6666,"" "")"),"Cc1cncc(CN(C)C2CC(N(C)Cc3ccccn3)CC(N(Cc3ccccn3)Cc3cc(C)c(C)c(C)n3)C2)c1")</f>
        <v>Cc1cncc(CN(C)C2CC(N(C)Cc3ccccn3)CC(N(Cc3ccccn3)Cc3cc(C)c(C)c(C)n3)C2)c1</v>
      </c>
      <c r="C6666" s="7">
        <f>IFERROR(__xludf.DUMMYFUNCTION("""COMPUTED_VALUE"""),7.7834744)</f>
        <v>7.7834744</v>
      </c>
      <c r="D6666" s="7">
        <f>IFERROR(__xludf.DUMMYFUNCTION("""COMPUTED_VALUE"""),0.370967741935483)</f>
        <v>0.3709677419</v>
      </c>
    </row>
    <row r="6667">
      <c r="A6667" s="10" t="s">
        <v>8106</v>
      </c>
      <c r="B6667" s="7" t="str">
        <f>IFERROR(__xludf.DUMMYFUNCTION("SPLIT(A6667,"" "")"),"CC(NCc1ccccn1)c1cccnc1NCF")</f>
        <v>CC(NCc1ccccn1)c1cccnc1NCF</v>
      </c>
      <c r="C6667" s="7">
        <f>IFERROR(__xludf.DUMMYFUNCTION("""COMPUTED_VALUE"""),7.7834697)</f>
        <v>7.7834697</v>
      </c>
      <c r="D6667" s="7">
        <f>IFERROR(__xludf.DUMMYFUNCTION("""COMPUTED_VALUE"""),0.395348837209302)</f>
        <v>0.3953488372</v>
      </c>
    </row>
    <row r="6668">
      <c r="A6668" s="10" t="s">
        <v>8107</v>
      </c>
      <c r="B6668" s="7" t="str">
        <f>IFERROR(__xludf.DUMMYFUNCTION("SPLIT(A6668,"" "")"),"CC(C)C1=CC2(C=CN1)C=CC(c1cccc(CN(Cc3ccccn3)Cc3cccc(-c4ccc5c(c4)OCCOCCOCCOCCOCCO5)n3)n1)C(c1cccc(CN(Cc3ccccn3)Cc3ccccn3)n1)C2(C)C")</f>
        <v>CC(C)C1=CC2(C=CN1)C=CC(c1cccc(CN(Cc3ccccn3)Cc3cccc(-c4ccc5c(c4)OCCOCCOCCOCCOCCO5)n3)n1)C(c1cccc(CN(Cc3ccccn3)Cc3ccccn3)n1)C2(C)C</v>
      </c>
      <c r="C6668" s="7">
        <f>IFERROR(__xludf.DUMMYFUNCTION("""COMPUTED_VALUE"""),7.783444)</f>
        <v>7.783444</v>
      </c>
      <c r="D6668" s="7">
        <f>IFERROR(__xludf.DUMMYFUNCTION("""COMPUTED_VALUE"""),0.360465116279069)</f>
        <v>0.3604651163</v>
      </c>
    </row>
    <row r="6669">
      <c r="A6669" s="10" t="s">
        <v>8108</v>
      </c>
      <c r="B6669" s="7" t="str">
        <f>IFERROR(__xludf.DUMMYFUNCTION("SPLIT(A6669,"" "")"),"CC(C)C1=CC2(C=CN1)C=CC(c1cccc(CN(Cc3ccccn3)Cc3ccccn3)n1)C(c1cccc(CN(Cc3ccccn3)Cc3cccc(-c4ccc5c(c4)OCCOCCOCCOCCOCCO5)n3)n1)C2(C)C")</f>
        <v>CC(C)C1=CC2(C=CN1)C=CC(c1cccc(CN(Cc3ccccn3)Cc3ccccn3)n1)C(c1cccc(CN(Cc3ccccn3)Cc3cccc(-c4ccc5c(c4)OCCOCCOCCOCCOCCO5)n3)n1)C2(C)C</v>
      </c>
      <c r="C6669" s="7">
        <f>IFERROR(__xludf.DUMMYFUNCTION("""COMPUTED_VALUE"""),7.783444)</f>
        <v>7.783444</v>
      </c>
      <c r="D6669" s="7">
        <f>IFERROR(__xludf.DUMMYFUNCTION("""COMPUTED_VALUE"""),0.360465116279069)</f>
        <v>0.3604651163</v>
      </c>
    </row>
    <row r="6670">
      <c r="A6670" s="10" t="s">
        <v>8109</v>
      </c>
      <c r="B6670" s="7" t="str">
        <f>IFERROR(__xludf.DUMMYFUNCTION("SPLIT(A6670,"" "")"),"COC(=O)C1CN(C)C(C(C)(C)NCc2ccccn2)C(c2cc(C)c(C)c(C)n2)C1C(C)C")</f>
        <v>COC(=O)C1CN(C)C(C(C)(C)NCc2ccccn2)C(c2cc(C)c(C)c(C)n2)C1C(C)C</v>
      </c>
      <c r="C6670" s="7">
        <f>IFERROR(__xludf.DUMMYFUNCTION("""COMPUTED_VALUE"""),7.783444)</f>
        <v>7.783444</v>
      </c>
      <c r="D6670" s="7">
        <f>IFERROR(__xludf.DUMMYFUNCTION("""COMPUTED_VALUE"""),0.270588235294117)</f>
        <v>0.2705882353</v>
      </c>
    </row>
    <row r="6671">
      <c r="A6671" s="10" t="s">
        <v>8110</v>
      </c>
      <c r="B6671" s="7" t="str">
        <f>IFERROR(__xludf.DUMMYFUNCTION("SPLIT(A6671,"" "")"),"Cc1ccnc(CN(Cc2ncccc2C(C)(C)C(C)C)C(C)C)c1")</f>
        <v>Cc1ccnc(CN(Cc2ncccc2C(C)(C)C(C)C)C(C)C)c1</v>
      </c>
      <c r="C6671" s="7">
        <f>IFERROR(__xludf.DUMMYFUNCTION("""COMPUTED_VALUE"""),7.783442)</f>
        <v>7.783442</v>
      </c>
      <c r="D6671" s="7">
        <f>IFERROR(__xludf.DUMMYFUNCTION("""COMPUTED_VALUE"""),0.4375)</f>
        <v>0.4375</v>
      </c>
    </row>
    <row r="6672">
      <c r="A6672" s="10" t="s">
        <v>8111</v>
      </c>
      <c r="B6672" s="7" t="str">
        <f>IFERROR(__xludf.DUMMYFUNCTION("SPLIT(A6672,"" "")"),"Cc1cncc(CN(C)CCN(C)Cc2ncccc2C)c1")</f>
        <v>Cc1cncc(CN(C)CCN(C)Cc2ncccc2C)c1</v>
      </c>
      <c r="C6672" s="7">
        <f>IFERROR(__xludf.DUMMYFUNCTION("""COMPUTED_VALUE"""),7.7834344)</f>
        <v>7.7834344</v>
      </c>
      <c r="D6672" s="7">
        <f>IFERROR(__xludf.DUMMYFUNCTION("""COMPUTED_VALUE"""),0.369565217391304)</f>
        <v>0.3695652174</v>
      </c>
    </row>
    <row r="6673">
      <c r="A6673" s="10" t="s">
        <v>8112</v>
      </c>
      <c r="B6673" s="7" t="str">
        <f>IFERROR(__xludf.DUMMYFUNCTION("SPLIT(A6673,"" "")"),"CCNCc1ccccc1CN(C)Cc1cc(C)ccn1")</f>
        <v>CCNCc1ccccc1CN(C)Cc1cc(C)ccn1</v>
      </c>
      <c r="C6673" s="7">
        <f>IFERROR(__xludf.DUMMYFUNCTION("""COMPUTED_VALUE"""),7.7834334)</f>
        <v>7.7834334</v>
      </c>
      <c r="D6673" s="7">
        <f>IFERROR(__xludf.DUMMYFUNCTION("""COMPUTED_VALUE"""),0.352941176470588)</f>
        <v>0.3529411765</v>
      </c>
    </row>
    <row r="6674">
      <c r="A6674" s="10" t="s">
        <v>8113</v>
      </c>
      <c r="B6674" s="7" t="str">
        <f>IFERROR(__xludf.DUMMYFUNCTION("SPLIT(A6674,"" "")"),"CC1C(N)CC1c1ccc(CN(C)Cc2cc(N)ccn2)cn1")</f>
        <v>CC1C(N)CC1c1ccc(CN(C)Cc2cc(N)ccn2)cn1</v>
      </c>
      <c r="C6674" s="7">
        <f>IFERROR(__xludf.DUMMYFUNCTION("""COMPUTED_VALUE"""),7.783432)</f>
        <v>7.783432</v>
      </c>
      <c r="D6674" s="7">
        <f>IFERROR(__xludf.DUMMYFUNCTION("""COMPUTED_VALUE"""),0.278688524590163)</f>
        <v>0.2786885246</v>
      </c>
    </row>
    <row r="6675">
      <c r="A6675" s="10" t="s">
        <v>8114</v>
      </c>
      <c r="B6675" s="7" t="str">
        <f>IFERROR(__xludf.DUMMYFUNCTION("SPLIT(A6675,"" "")"),"Cc1cccnc1CN(Cc1ccccn1)C1CCCC(N(C)c2cccnc2CN(Cc2ccccn2)C(C)C)C1")</f>
        <v>Cc1cccnc1CN(Cc1ccccn1)C1CCCC(N(C)c2cccnc2CN(Cc2ccccn2)C(C)C)C1</v>
      </c>
      <c r="C6675" s="7">
        <f>IFERROR(__xludf.DUMMYFUNCTION("""COMPUTED_VALUE"""),7.7834306)</f>
        <v>7.7834306</v>
      </c>
      <c r="D6675" s="7">
        <f>IFERROR(__xludf.DUMMYFUNCTION("""COMPUTED_VALUE"""),0.421052631578947)</f>
        <v>0.4210526316</v>
      </c>
    </row>
    <row r="6676">
      <c r="A6676" s="10" t="s">
        <v>8115</v>
      </c>
      <c r="B6676" s="7" t="str">
        <f>IFERROR(__xludf.DUMMYFUNCTION("SPLIT(A6676,"" "")"),"CN(c1ccc2nc(CF)ccc2c1)C1CCCCC1N(C)C1C=CC=CN1")</f>
        <v>CN(c1ccc2nc(CF)ccc2c1)C1CCCCC1N(C)C1C=CC=CN1</v>
      </c>
      <c r="C6676" s="7">
        <f>IFERROR(__xludf.DUMMYFUNCTION("""COMPUTED_VALUE"""),7.783419)</f>
        <v>7.783419</v>
      </c>
      <c r="D6676" s="7">
        <f>IFERROR(__xludf.DUMMYFUNCTION("""COMPUTED_VALUE"""),0.442622950819672)</f>
        <v>0.4426229508</v>
      </c>
    </row>
    <row r="6677">
      <c r="A6677" s="10" t="s">
        <v>8116</v>
      </c>
      <c r="B6677" s="7" t="str">
        <f>IFERROR(__xludf.DUMMYFUNCTION("SPLIT(A6677,"" "")"),"CC(N)C(C)(c1cccnc1)N(C)Cc1ncccc1N")</f>
        <v>CC(N)C(C)(c1cccnc1)N(C)Cc1ncccc1N</v>
      </c>
      <c r="C6677" s="7">
        <f>IFERROR(__xludf.DUMMYFUNCTION("""COMPUTED_VALUE"""),7.7834177)</f>
        <v>7.7834177</v>
      </c>
      <c r="D6677" s="7">
        <f>IFERROR(__xludf.DUMMYFUNCTION("""COMPUTED_VALUE"""),0.259259259259259)</f>
        <v>0.2592592593</v>
      </c>
    </row>
    <row r="6678">
      <c r="A6678" s="10" t="s">
        <v>8117</v>
      </c>
      <c r="B6678" s="7" t="str">
        <f>IFERROR(__xludf.DUMMYFUNCTION("SPLIT(A6678,"" "")"),"Cc1ccc(CN(Cc2cncc(C)c2)C2CC(N(C)Cc3ccccn3)CC(N(C)Cc3ncc(C)cc3C)C2)nc1")</f>
        <v>Cc1ccc(CN(Cc2cncc(C)c2)C2CC(N(C)Cc3ccccn3)CC(N(C)Cc3ncc(C)cc3C)C2)nc1</v>
      </c>
      <c r="C6678" s="7">
        <f>IFERROR(__xludf.DUMMYFUNCTION("""COMPUTED_VALUE"""),7.783415)</f>
        <v>7.783415</v>
      </c>
      <c r="D6678" s="7">
        <f>IFERROR(__xludf.DUMMYFUNCTION("""COMPUTED_VALUE"""),0.375)</f>
        <v>0.375</v>
      </c>
    </row>
    <row r="6679">
      <c r="A6679" s="10" t="s">
        <v>8118</v>
      </c>
      <c r="B6679" s="7" t="str">
        <f>IFERROR(__xludf.DUMMYFUNCTION("SPLIT(A6679,"" "")"),"Cc1cccc(-c2cccc(CN(C)Cc3cccc(-c4ccc5c(c4)OCCOCCOCCOCCOCCO5)n3)n2)c1")</f>
        <v>Cc1cccc(-c2cccc(CN(C)Cc3cccc(-c4ccc5c(c4)OCCOCCOCCOCCOCCO5)n3)n2)c1</v>
      </c>
      <c r="C6679" s="7">
        <f>IFERROR(__xludf.DUMMYFUNCTION("""COMPUTED_VALUE"""),7.7834115)</f>
        <v>7.7834115</v>
      </c>
      <c r="D6679" s="7">
        <f>IFERROR(__xludf.DUMMYFUNCTION("""COMPUTED_VALUE"""),0.375)</f>
        <v>0.375</v>
      </c>
    </row>
    <row r="6680">
      <c r="A6680" s="10" t="s">
        <v>8119</v>
      </c>
      <c r="B6680" s="7" t="str">
        <f>IFERROR(__xludf.DUMMYFUNCTION("SPLIT(A6680,"" "")"),"CC1=CC(CN(C)Cc2cc(C)c(C)cn2)CC(C)C1N(C)Cc1cc(C)c(C)cn1")</f>
        <v>CC1=CC(CN(C)Cc2cc(C)c(C)cn2)CC(C)C1N(C)Cc1cc(C)c(C)cn1</v>
      </c>
      <c r="C6680" s="7">
        <f>IFERROR(__xludf.DUMMYFUNCTION("""COMPUTED_VALUE"""),7.7834015)</f>
        <v>7.7834015</v>
      </c>
      <c r="D6680" s="7">
        <f>IFERROR(__xludf.DUMMYFUNCTION("""COMPUTED_VALUE"""),0.345454545454545)</f>
        <v>0.3454545455</v>
      </c>
    </row>
    <row r="6681">
      <c r="A6681" s="10" t="s">
        <v>8120</v>
      </c>
      <c r="B6681" s="7" t="str">
        <f>IFERROR(__xludf.DUMMYFUNCTION("SPLIT(A6681,"" "")"),"CNc1ccc(CN(Cc2cccc(C)n2)C2CCC(N(C)Cc3cc(C)c(C)c(C)n3)CC2)nc1")</f>
        <v>CNc1ccc(CN(Cc2cccc(C)n2)C2CCC(N(C)Cc3cc(C)c(C)c(C)n3)CC2)nc1</v>
      </c>
      <c r="C6681" s="7">
        <f>IFERROR(__xludf.DUMMYFUNCTION("""COMPUTED_VALUE"""),7.7833986)</f>
        <v>7.7833986</v>
      </c>
      <c r="D6681" s="7">
        <f>IFERROR(__xludf.DUMMYFUNCTION("""COMPUTED_VALUE"""),0.403225806451612)</f>
        <v>0.4032258065</v>
      </c>
    </row>
    <row r="6682">
      <c r="A6682" s="10" t="s">
        <v>8121</v>
      </c>
      <c r="B6682" s="7" t="str">
        <f>IFERROR(__xludf.DUMMYFUNCTION("SPLIT(A6682,"" "")"),"CN1CCN(C)CCN(Cc2cccnc2-c2ccc(N(C)C)cc2)CC1")</f>
        <v>CN1CCN(C)CCN(Cc2cccnc2-c2ccc(N(C)C)cc2)CC1</v>
      </c>
      <c r="C6682" s="7">
        <f>IFERROR(__xludf.DUMMYFUNCTION("""COMPUTED_VALUE"""),7.783396)</f>
        <v>7.783396</v>
      </c>
      <c r="D6682" s="7">
        <f>IFERROR(__xludf.DUMMYFUNCTION("""COMPUTED_VALUE"""),0.456521739130434)</f>
        <v>0.4565217391</v>
      </c>
    </row>
    <row r="6683">
      <c r="A6683" s="10" t="s">
        <v>8122</v>
      </c>
      <c r="B6683" s="7" t="str">
        <f>IFERROR(__xludf.DUMMYFUNCTION("SPLIT(A6683,"" "")"),"Cc1cnc(CN(C)C2=CNC(CN(Cc3ccccn3)Cc3cccc(-c4ccc5c(c4)OCCOCCOCCOCCOCCO5)n3)=CC2)c(C)c1")</f>
        <v>Cc1cnc(CN(C)C2=CNC(CN(Cc3ccccn3)Cc3cccc(-c4ccc5c(c4)OCCOCCOCCOCCOCCO5)n3)=CC2)c(C)c1</v>
      </c>
      <c r="C6683" s="7">
        <f>IFERROR(__xludf.DUMMYFUNCTION("""COMPUTED_VALUE"""),7.7833843)</f>
        <v>7.7833843</v>
      </c>
      <c r="D6683" s="7">
        <f>IFERROR(__xludf.DUMMYFUNCTION("""COMPUTED_VALUE"""),0.373493975903614)</f>
        <v>0.3734939759</v>
      </c>
    </row>
    <row r="6684">
      <c r="A6684" s="10" t="s">
        <v>8123</v>
      </c>
      <c r="B6684" s="7" t="str">
        <f>IFERROR(__xludf.DUMMYFUNCTION("SPLIT(A6684,"" "")"),"CNCC1=CC(N(C)Cc2ncccc2C)C=CN1")</f>
        <v>CNCC1=CC(N(C)Cc2ncccc2C)C=CN1</v>
      </c>
      <c r="C6684" s="7">
        <f>IFERROR(__xludf.DUMMYFUNCTION("""COMPUTED_VALUE"""),7.783381)</f>
        <v>7.783381</v>
      </c>
      <c r="D6684" s="7">
        <f>IFERROR(__xludf.DUMMYFUNCTION("""COMPUTED_VALUE"""),0.3)</f>
        <v>0.3</v>
      </c>
    </row>
    <row r="6685">
      <c r="A6685" s="10" t="s">
        <v>8124</v>
      </c>
      <c r="B6685" s="7" t="str">
        <f>IFERROR(__xludf.DUMMYFUNCTION("SPLIT(A6685,"" "")"),"Cc1cncc(CN(C)C2CCC(N(C)Cc3ccccn3)CC2N(Cc2nccc(C)c2C)Cc2nccc(C)c2C)c1")</f>
        <v>Cc1cncc(CN(C)C2CCC(N(C)Cc3ccccn3)CC2N(Cc2nccc(C)c2C)Cc2nccc(C)c2C)c1</v>
      </c>
      <c r="C6685" s="7">
        <f>IFERROR(__xludf.DUMMYFUNCTION("""COMPUTED_VALUE"""),7.7833753)</f>
        <v>7.7833753</v>
      </c>
      <c r="D6685" s="7">
        <f>IFERROR(__xludf.DUMMYFUNCTION("""COMPUTED_VALUE"""),0.428571428571428)</f>
        <v>0.4285714286</v>
      </c>
    </row>
    <row r="6686">
      <c r="A6686" s="10" t="s">
        <v>8125</v>
      </c>
      <c r="B6686" s="7" t="str">
        <f>IFERROR(__xludf.DUMMYFUNCTION("SPLIT(A6686,"" "")"),"Cc1ccc(CN(C)C2CC(N(C)Cc3ncccc3C)CC(N(Cc3ccc(C)cn3)Cc3ccc(C)cn3)C2)nc1")</f>
        <v>Cc1ccc(CN(C)C2CC(N(C)Cc3ncccc3C)CC(N(Cc3ccc(C)cn3)Cc3ccc(C)cn3)C2)nc1</v>
      </c>
      <c r="C6686" s="7">
        <f>IFERROR(__xludf.DUMMYFUNCTION("""COMPUTED_VALUE"""),7.7833676)</f>
        <v>7.7833676</v>
      </c>
      <c r="D6686" s="7">
        <f>IFERROR(__xludf.DUMMYFUNCTION("""COMPUTED_VALUE"""),0.470588235294117)</f>
        <v>0.4705882353</v>
      </c>
    </row>
    <row r="6687">
      <c r="A6687" s="10" t="s">
        <v>8126</v>
      </c>
      <c r="B6687" s="7" t="str">
        <f>IFERROR(__xludf.DUMMYFUNCTION("SPLIT(A6687,"" "")"),"CCCN(Cc1ccccn1)c1ccc2c(c1-c1cccc(CN(Cc3ccccn3)Cc3nccc(C)c3C)n1)OCCOCCOCCOCCOCCO2")</f>
        <v>CCCN(Cc1ccccn1)c1ccc2c(c1-c1cccc(CN(Cc3ccccn3)Cc3nccc(C)c3C)n1)OCCOCCOCCOCCOCCO2</v>
      </c>
      <c r="C6687" s="7">
        <f>IFERROR(__xludf.DUMMYFUNCTION("""COMPUTED_VALUE"""),7.783367)</f>
        <v>7.783367</v>
      </c>
      <c r="D6687" s="7">
        <f>IFERROR(__xludf.DUMMYFUNCTION("""COMPUTED_VALUE"""),0.3375)</f>
        <v>0.3375</v>
      </c>
    </row>
    <row r="6688">
      <c r="A6688" s="10" t="s">
        <v>8127</v>
      </c>
      <c r="B6688" s="7" t="str">
        <f>IFERROR(__xludf.DUMMYFUNCTION("SPLIT(A6688,"" "")"),"CNc1cccc(CN(Cc2cccc(F)n2)C2CCCC(N(C)Cc3cc(C)c(C)c(C)n3)C2)n1")</f>
        <v>CNc1cccc(CN(Cc2cccc(F)n2)C2CCCC(N(C)Cc3cc(C)c(C)c(C)n3)C2)n1</v>
      </c>
      <c r="C6688" s="7">
        <f>IFERROR(__xludf.DUMMYFUNCTION("""COMPUTED_VALUE"""),7.783364)</f>
        <v>7.783364</v>
      </c>
      <c r="D6688" s="7">
        <f>IFERROR(__xludf.DUMMYFUNCTION("""COMPUTED_VALUE"""),0.34375)</f>
        <v>0.34375</v>
      </c>
    </row>
    <row r="6689">
      <c r="A6689" s="10" t="s">
        <v>8128</v>
      </c>
      <c r="B6689" s="7" t="str">
        <f>IFERROR(__xludf.DUMMYFUNCTION("SPLIT(A6689,"" "")"),"Cc1cccnc1CN(C)C1C=CNC(C(C)C)=C1")</f>
        <v>Cc1cccnc1CN(C)C1C=CNC(C(C)C)=C1</v>
      </c>
      <c r="C6689" s="7">
        <f>IFERROR(__xludf.DUMMYFUNCTION("""COMPUTED_VALUE"""),7.7833633)</f>
        <v>7.7833633</v>
      </c>
      <c r="D6689" s="7">
        <f>IFERROR(__xludf.DUMMYFUNCTION("""COMPUTED_VALUE"""),0.267857142857142)</f>
        <v>0.2678571429</v>
      </c>
    </row>
    <row r="6690">
      <c r="A6690" s="10" t="s">
        <v>8129</v>
      </c>
      <c r="B6690" s="7" t="str">
        <f>IFERROR(__xludf.DUMMYFUNCTION("SPLIT(A6690,"" "")"),"Cc1ccc(CN(C)C2CCC(N(C)Cc3ccccn3)CC2N(Cc2ccccn2)Cc2ncc(Cl)c(C)c2C)nc1")</f>
        <v>Cc1ccc(CN(C)C2CCC(N(C)Cc3ccccn3)CC2N(Cc2ccccn2)Cc2ncc(Cl)c(C)c2C)nc1</v>
      </c>
      <c r="C6690" s="7">
        <f>IFERROR(__xludf.DUMMYFUNCTION("""COMPUTED_VALUE"""),7.7833543)</f>
        <v>7.7833543</v>
      </c>
      <c r="D6690" s="7">
        <f>IFERROR(__xludf.DUMMYFUNCTION("""COMPUTED_VALUE"""),0.459016393442622)</f>
        <v>0.4590163934</v>
      </c>
    </row>
    <row r="6691">
      <c r="A6691" s="10" t="s">
        <v>8130</v>
      </c>
      <c r="B6691" s="7" t="str">
        <f>IFERROR(__xludf.DUMMYFUNCTION("SPLIT(A6691,"" "")"),"Cc1ccc(CN(C)Cc2cccc(N(C)Cc3cccc(-c4ccc5c(c4)OCCOCCOCCOCCOCCO5)n3)n2)nc1")</f>
        <v>Cc1ccc(CN(C)Cc2cccc(N(C)Cc3cccc(-c4ccc5c(c4)OCCOCCOCCOCCOCCO5)n3)n2)nc1</v>
      </c>
      <c r="C6691" s="7">
        <f>IFERROR(__xludf.DUMMYFUNCTION("""COMPUTED_VALUE"""),7.7833524)</f>
        <v>7.7833524</v>
      </c>
      <c r="D6691" s="7">
        <f>IFERROR(__xludf.DUMMYFUNCTION("""COMPUTED_VALUE"""),0.366666666666666)</f>
        <v>0.3666666667</v>
      </c>
    </row>
    <row r="6692">
      <c r="A6692" s="10" t="s">
        <v>8131</v>
      </c>
      <c r="B6692" s="7" t="str">
        <f>IFERROR(__xludf.DUMMYFUNCTION("SPLIT(A6692,"" "")"),"COC(=O)C1CC(c2ccccn2)C(C(=O)C(C)N)N(C)C1C(C)(C)N(Cc1ccccn1)Cc1ccccn1")</f>
        <v>COC(=O)C1CC(c2ccccn2)C(C(=O)C(C)N)N(C)C1C(C)(C)N(Cc1ccccn1)Cc1ccccn1</v>
      </c>
      <c r="C6692" s="7">
        <f>IFERROR(__xludf.DUMMYFUNCTION("""COMPUTED_VALUE"""),7.783347)</f>
        <v>7.783347</v>
      </c>
      <c r="D6692" s="7">
        <f>IFERROR(__xludf.DUMMYFUNCTION("""COMPUTED_VALUE"""),0.328947368421052)</f>
        <v>0.3289473684</v>
      </c>
    </row>
    <row r="6693">
      <c r="A6693" s="10" t="s">
        <v>8132</v>
      </c>
      <c r="B6693" s="7" t="str">
        <f>IFERROR(__xludf.DUMMYFUNCTION("SPLIT(A6693,"" "")"),"CC(C)C(C)c1cc(CN(Cc2cc(C(C)(C)C)ccn2)CC(C)(C)C)ccn1")</f>
        <v>CC(C)C(C)c1cc(CN(Cc2cc(C(C)(C)C)ccn2)CC(C)(C)C)ccn1</v>
      </c>
      <c r="C6693" s="7">
        <f>IFERROR(__xludf.DUMMYFUNCTION("""COMPUTED_VALUE"""),7.7833457)</f>
        <v>7.7833457</v>
      </c>
      <c r="D6693" s="7">
        <f>IFERROR(__xludf.DUMMYFUNCTION("""COMPUTED_VALUE"""),0.403846153846153)</f>
        <v>0.4038461538</v>
      </c>
    </row>
    <row r="6694">
      <c r="A6694" s="10" t="s">
        <v>8133</v>
      </c>
      <c r="B6694" s="7" t="str">
        <f>IFERROR(__xludf.DUMMYFUNCTION("SPLIT(A6694,"" "")"),"CCC(C)C(C)C(C)C(C)C(C)C(C)C(C)C(C)C(C)C(C)C(C)C(C)C(=O)C(=O)C(=O)C(C)C(=O)C(=O)C(=O)C(=O)C(=O)C(=O)C(C)C(C)C(C)C(C)C(=O)C(=O)C(C)C(=O)C(=O)C(=O)C(=O)c1ccnc(C2CCC2(C)C)c1C1=NC(=O)C(=O)O1")</f>
        <v>CCC(C)C(C)C(C)C(C)C(C)C(C)C(C)C(C)C(C)C(C)C(C)C(C)C(=O)C(=O)C(=O)C(C)C(=O)C(=O)C(=O)C(=O)C(=O)C(=O)C(C)C(C)C(C)C(C)C(=O)C(=O)C(C)C(=O)C(=O)C(=O)C(=O)c1ccnc(C2CCC2(C)C)c1C1=NC(=O)C(=O)O1</v>
      </c>
      <c r="C6694" s="7">
        <f>IFERROR(__xludf.DUMMYFUNCTION("""COMPUTED_VALUE"""),7.783341)</f>
        <v>7.783341</v>
      </c>
      <c r="D6694" s="7">
        <f>IFERROR(__xludf.DUMMYFUNCTION("""COMPUTED_VALUE"""),0.170212765957446)</f>
        <v>0.170212766</v>
      </c>
    </row>
    <row r="6695">
      <c r="A6695" s="10" t="s">
        <v>8134</v>
      </c>
      <c r="B6695" s="7" t="str">
        <f>IFERROR(__xludf.DUMMYFUNCTION("SPLIT(A6695,"" "")"),"Cc1nc(CN(Cc2nc(C)c(C)c(C)c2C)C2CCCCC2NC2CCCCC2N(Cc2nc(C)c(C)c(C)c2C)Cc2nc(C)c(C)c(C)c2C)c(C)c(C)c1C")</f>
        <v>Cc1nc(CN(Cc2nc(C)c(C)c(C)c2C)C2CCCCC2NC2CCCCC2N(Cc2nc(C)c(C)c(C)c2C)Cc2nc(C)c(C)c(C)c2C)c(C)c(C)c1C</v>
      </c>
      <c r="C6695" s="7">
        <f>IFERROR(__xludf.DUMMYFUNCTION("""COMPUTED_VALUE"""),7.783339)</f>
        <v>7.783339</v>
      </c>
      <c r="D6695" s="7">
        <f>IFERROR(__xludf.DUMMYFUNCTION("""COMPUTED_VALUE"""),0.3)</f>
        <v>0.3</v>
      </c>
    </row>
    <row r="6696">
      <c r="A6696" s="10" t="s">
        <v>8135</v>
      </c>
      <c r="B6696" s="7" t="str">
        <f>IFERROR(__xludf.DUMMYFUNCTION("SPLIT(A6696,"" "")"),"CCN(Cc1cc(-c2ccc3c(c2)OCCOCCOCCOCCOCCO3)ccn1)Cc1ccc2cc(N(C)Cc3cccc(-c4ccc5c(c4)OCCOCCOCCOCCOCCO5)n3)ccc2n1")</f>
        <v>CCN(Cc1cc(-c2ccc3c(c2)OCCOCCOCCOCCOCCO3)ccn1)Cc1ccc2cc(N(C)Cc3cccc(-c4ccc5c(c4)OCCOCCOCCOCCOCCO5)n3)ccc2n1</v>
      </c>
      <c r="C6696" s="7">
        <f>IFERROR(__xludf.DUMMYFUNCTION("""COMPUTED_VALUE"""),7.7833347)</f>
        <v>7.7833347</v>
      </c>
      <c r="D6696" s="7">
        <f>IFERROR(__xludf.DUMMYFUNCTION("""COMPUTED_VALUE"""),0.333333333333333)</f>
        <v>0.3333333333</v>
      </c>
    </row>
    <row r="6697">
      <c r="A6697" s="10" t="s">
        <v>8136</v>
      </c>
      <c r="B6697" s="7" t="str">
        <f>IFERROR(__xludf.DUMMYFUNCTION("SPLIT(A6697,"" "")"),"CC1(C)COC(c2cccc(CN(Cc3ccccn3)Cc3cccc(-c4cccc5c4OCCOCCOCCOCCOCCO5)n3)n2)=N1")</f>
        <v>CC1(C)COC(c2cccc(CN(Cc3ccccn3)Cc3cccc(-c4cccc5c4OCCOCCOCCOCCOCCO5)n3)n2)=N1</v>
      </c>
      <c r="C6697" s="7">
        <f>IFERROR(__xludf.DUMMYFUNCTION("""COMPUTED_VALUE"""),7.7833285)</f>
        <v>7.7833285</v>
      </c>
      <c r="D6697" s="7">
        <f>IFERROR(__xludf.DUMMYFUNCTION("""COMPUTED_VALUE"""),0.423728813559322)</f>
        <v>0.4237288136</v>
      </c>
    </row>
    <row r="6698">
      <c r="A6698" s="10" t="s">
        <v>8137</v>
      </c>
      <c r="B6698" s="7" t="str">
        <f>IFERROR(__xludf.DUMMYFUNCTION("SPLIT(A6698,"" "")"),"CCN(Cc1ccc2ncccc2c1)Cc1ncccc1-c1ccc2c(c1)OCCOCCOCCOCCOCCO2")</f>
        <v>CCN(Cc1ccc2ncccc2c1)Cc1ncccc1-c1ccc2c(c1)OCCOCCOCCOCCOCCO2</v>
      </c>
      <c r="C6698" s="7">
        <f>IFERROR(__xludf.DUMMYFUNCTION("""COMPUTED_VALUE"""),7.783326)</f>
        <v>7.783326</v>
      </c>
      <c r="D6698" s="7">
        <f>IFERROR(__xludf.DUMMYFUNCTION("""COMPUTED_VALUE"""),0.302631578947368)</f>
        <v>0.3026315789</v>
      </c>
    </row>
    <row r="6699">
      <c r="A6699" s="10" t="s">
        <v>8138</v>
      </c>
      <c r="B6699" s="7" t="str">
        <f>IFERROR(__xludf.DUMMYFUNCTION("SPLIT(A6699,"" "")"),"CN1CCN(C)CCN(Cc2ncccc2-c2cccc(N(C)C)c2)CC1")</f>
        <v>CN1CCN(C)CCN(Cc2ncccc2-c2cccc(N(C)C)c2)CC1</v>
      </c>
      <c r="C6699" s="7">
        <f>IFERROR(__xludf.DUMMYFUNCTION("""COMPUTED_VALUE"""),7.7833223)</f>
        <v>7.7833223</v>
      </c>
      <c r="D6699" s="7">
        <f>IFERROR(__xludf.DUMMYFUNCTION("""COMPUTED_VALUE"""),0.428571428571428)</f>
        <v>0.4285714286</v>
      </c>
    </row>
    <row r="6700">
      <c r="A6700" s="10" t="s">
        <v>8139</v>
      </c>
      <c r="B6700" s="7" t="str">
        <f>IFERROR(__xludf.DUMMYFUNCTION("SPLIT(A6700,"" "")"),"CN1CCN(C)CCN(Cc2ccc(-c3cccc(NCc4ccccn4)c3)nc2)CC1")</f>
        <v>CN1CCN(C)CCN(Cc2ccc(-c3cccc(NCc4ccccn4)c3)nc2)CC1</v>
      </c>
      <c r="C6700" s="7">
        <f>IFERROR(__xludf.DUMMYFUNCTION("""COMPUTED_VALUE"""),7.783322)</f>
        <v>7.783322</v>
      </c>
      <c r="D6700" s="7">
        <f>IFERROR(__xludf.DUMMYFUNCTION("""COMPUTED_VALUE"""),0.490566037735849)</f>
        <v>0.4905660377</v>
      </c>
    </row>
    <row r="6701">
      <c r="A6701" s="10" t="s">
        <v>8140</v>
      </c>
      <c r="B6701" s="7" t="str">
        <f>IFERROR(__xludf.DUMMYFUNCTION("SPLIT(A6701,"" "")"),"Cc1cnc(CN(Cc2cccc(CN(Cc3ccc([Si](C(C)C)(C(C)C)C(C)C)cn3)Cc3cccc(-c4ccc5c(c4)OCCOCCOCCOCCOCCO5)n3)n2)Cc2cccc(C3CCC3(C)C)n2)c(C)c1")</f>
        <v>Cc1cnc(CN(Cc2cccc(CN(Cc3ccc([Si](C(C)C)(C(C)C)C(C)C)cn3)Cc3cccc(-c4ccc5c(c4)OCCOCCOCCOCCOCCO5)n3)n2)Cc2cccc(C3CCC3(C)C)n2)c(C)c1</v>
      </c>
      <c r="C6701" s="7">
        <f>IFERROR(__xludf.DUMMYFUNCTION("""COMPUTED_VALUE"""),7.783318)</f>
        <v>7.783318</v>
      </c>
      <c r="D6701" s="7">
        <f>IFERROR(__xludf.DUMMYFUNCTION("""COMPUTED_VALUE"""),0.3375)</f>
        <v>0.3375</v>
      </c>
    </row>
    <row r="6702">
      <c r="A6702" s="10" t="s">
        <v>8141</v>
      </c>
      <c r="B6702" s="7" t="str">
        <f>IFERROR(__xludf.DUMMYFUNCTION("SPLIT(A6702,"" "")"),"CN(CN(C)C1CCCCC1N(C)C)c1cccc2ncc3c(c12)CCCC3")</f>
        <v>CN(CN(C)C1CCCCC1N(C)C)c1cccc2ncc3c(c12)CCCC3</v>
      </c>
      <c r="C6702" s="7">
        <f>IFERROR(__xludf.DUMMYFUNCTION("""COMPUTED_VALUE"""),7.783316)</f>
        <v>7.783316</v>
      </c>
      <c r="D6702" s="7">
        <f>IFERROR(__xludf.DUMMYFUNCTION("""COMPUTED_VALUE"""),0.349206349206349)</f>
        <v>0.3492063492</v>
      </c>
    </row>
    <row r="6703">
      <c r="A6703" s="10" t="s">
        <v>8142</v>
      </c>
      <c r="B6703" s="7" t="str">
        <f>IFERROR(__xludf.DUMMYFUNCTION("SPLIT(A6703,"" "")"),"CNC1CC(N(C)Cc2ccccn2)CC(N(Cc2nc(C)c(C)cc2C)Cc2nc(C)c(C)cc2C)C1")</f>
        <v>CNC1CC(N(C)Cc2ccccn2)CC(N(Cc2nc(C)c(C)cc2C)Cc2nc(C)c(C)cc2C)C1</v>
      </c>
      <c r="C6703" s="7">
        <f>IFERROR(__xludf.DUMMYFUNCTION("""COMPUTED_VALUE"""),7.7833076)</f>
        <v>7.7833076</v>
      </c>
      <c r="D6703" s="7">
        <f>IFERROR(__xludf.DUMMYFUNCTION("""COMPUTED_VALUE"""),0.403508771929824)</f>
        <v>0.4035087719</v>
      </c>
    </row>
    <row r="6704">
      <c r="A6704" s="10" t="s">
        <v>8143</v>
      </c>
      <c r="B6704" s="7" t="str">
        <f>IFERROR(__xludf.DUMMYFUNCTION("SPLIT(A6704,"" "")"),"CC(C)C1COC(c2ncccc2CN(Cc2cc(-c3ccc4c(c3)OCCOCCOCCOCCOCCO4)ccn2)Cc2ncccc2C(C)(C)C)=N1")</f>
        <v>CC(C)C1COC(c2ncccc2CN(Cc2cc(-c3ccc4c(c3)OCCOCCOCCOCCOCCO4)ccn2)Cc2ncccc2C(C)(C)C)=N1</v>
      </c>
      <c r="C6704" s="7">
        <f>IFERROR(__xludf.DUMMYFUNCTION("""COMPUTED_VALUE"""),7.783304)</f>
        <v>7.783304</v>
      </c>
      <c r="D6704" s="7">
        <f>IFERROR(__xludf.DUMMYFUNCTION("""COMPUTED_VALUE"""),0.292134831460674)</f>
        <v>0.2921348315</v>
      </c>
    </row>
    <row r="6705">
      <c r="A6705" s="10" t="s">
        <v>8144</v>
      </c>
      <c r="B6705" s="7" t="str">
        <f>IFERROR(__xludf.DUMMYFUNCTION("SPLIT(A6705,"" "")"),"CC1=C(c2cc(CN(Cc3ccccn3)C3CCCC(N(C)Cc4ccon4)C3)ccn2)C(C)CC(C)C1")</f>
        <v>CC1=C(c2cc(CN(Cc3ccccn3)C3CCCC(N(C)Cc4ccon4)C3)ccn2)C(C)CC(C)C1</v>
      </c>
      <c r="C6705" s="7">
        <f>IFERROR(__xludf.DUMMYFUNCTION("""COMPUTED_VALUE"""),7.7833037)</f>
        <v>7.7833037</v>
      </c>
      <c r="D6705" s="7">
        <f>IFERROR(__xludf.DUMMYFUNCTION("""COMPUTED_VALUE"""),0.352112676056338)</f>
        <v>0.3521126761</v>
      </c>
    </row>
    <row r="6706">
      <c r="A6706" s="10" t="s">
        <v>8145</v>
      </c>
      <c r="B6706" s="7" t="str">
        <f>IFERROR(__xludf.DUMMYFUNCTION("SPLIT(A6706,"" "")"),"CNCCN(Cc1ccccn1)C(C)(N)N(Cc1ncc(C)cc1C)C(C)C")</f>
        <v>CNCCN(Cc1ccccn1)C(C)(N)N(Cc1ncc(C)cc1C)C(C)C</v>
      </c>
      <c r="C6706" s="7">
        <f>IFERROR(__xludf.DUMMYFUNCTION("""COMPUTED_VALUE"""),7.783303)</f>
        <v>7.783303</v>
      </c>
      <c r="D6706" s="7">
        <f>IFERROR(__xludf.DUMMYFUNCTION("""COMPUTED_VALUE"""),0.372881355932203)</f>
        <v>0.3728813559</v>
      </c>
    </row>
    <row r="6707">
      <c r="A6707" s="10" t="s">
        <v>8146</v>
      </c>
      <c r="B6707" s="7" t="str">
        <f>IFERROR(__xludf.DUMMYFUNCTION("SPLIT(A6707,"" "")"),"CC(C)C1CC(c2ncccc2CN(Cc2ccccn2)Cc2ccccn2)C1")</f>
        <v>CC(C)C1CC(c2ncccc2CN(Cc2ccccn2)Cc2ccccn2)C1</v>
      </c>
      <c r="C6707" s="7">
        <f>IFERROR(__xludf.DUMMYFUNCTION("""COMPUTED_VALUE"""),7.7833004)</f>
        <v>7.7833004</v>
      </c>
      <c r="D6707" s="7">
        <f>IFERROR(__xludf.DUMMYFUNCTION("""COMPUTED_VALUE"""),0.48780487804878)</f>
        <v>0.487804878</v>
      </c>
    </row>
    <row r="6708">
      <c r="A6708" s="10" t="s">
        <v>8147</v>
      </c>
      <c r="B6708" s="7" t="str">
        <f>IFERROR(__xludf.DUMMYFUNCTION("SPLIT(A6708,"" "")"),"Cc1cncc(CN(C)CN(C)CC2=CCC(N(C)C(C)C)=CN2)c1")</f>
        <v>Cc1cncc(CN(C)CN(C)CC2=CCC(N(C)C(C)C)=CN2)c1</v>
      </c>
      <c r="C6708" s="7">
        <f>IFERROR(__xludf.DUMMYFUNCTION("""COMPUTED_VALUE"""),7.7832966)</f>
        <v>7.7832966</v>
      </c>
      <c r="D6708" s="7">
        <f>IFERROR(__xludf.DUMMYFUNCTION("""COMPUTED_VALUE"""),0.224137931034482)</f>
        <v>0.224137931</v>
      </c>
    </row>
    <row r="6709">
      <c r="A6709" s="10" t="s">
        <v>8148</v>
      </c>
      <c r="B6709" s="7" t="str">
        <f>IFERROR(__xludf.DUMMYFUNCTION("SPLIT(A6709,"" "")"),"CC1C=CCC(C)(N(Cc2ccccn2)C2CCC(N(C)c3cccc4nccc(CN(C)C)c34)CC2)C1C")</f>
        <v>CC1C=CCC(C)(N(Cc2ccccn2)C2CCC(N(C)c3cccc4nccc(CN(C)C)c34)CC2)C1C</v>
      </c>
      <c r="C6709" s="7">
        <f>IFERROR(__xludf.DUMMYFUNCTION("""COMPUTED_VALUE"""),7.7832937)</f>
        <v>7.7832937</v>
      </c>
      <c r="D6709" s="7">
        <f>IFERROR(__xludf.DUMMYFUNCTION("""COMPUTED_VALUE"""),0.309859154929577)</f>
        <v>0.3098591549</v>
      </c>
    </row>
    <row r="6710">
      <c r="A6710" s="10" t="s">
        <v>8149</v>
      </c>
      <c r="B6710" s="7" t="str">
        <f>IFERROR(__xludf.DUMMYFUNCTION("SPLIT(A6710,"" "")"),"Cc1cccc(N(C)CC2=CC(N(C)C(C)C)C=CN2)c1")</f>
        <v>Cc1cccc(N(C)CC2=CC(N(C)C(C)C)C=CN2)c1</v>
      </c>
      <c r="C6710" s="7">
        <f>IFERROR(__xludf.DUMMYFUNCTION("""COMPUTED_VALUE"""),7.7832856)</f>
        <v>7.7832856</v>
      </c>
      <c r="D6710" s="7">
        <f>IFERROR(__xludf.DUMMYFUNCTION("""COMPUTED_VALUE"""),0.310344827586206)</f>
        <v>0.3103448276</v>
      </c>
    </row>
    <row r="6711">
      <c r="A6711" s="10" t="s">
        <v>8150</v>
      </c>
      <c r="B6711" s="7" t="str">
        <f>IFERROR(__xludf.DUMMYFUNCTION("SPLIT(A6711,"" "")"),"Cc1ccc(CN(C)C2CC(N(C)Cc3cccc(C)n3)CC(N(Cc3ccc(C)cn3)Cc3ccc(C)cn3)C2)nc1")</f>
        <v>Cc1ccc(CN(C)C2CC(N(C)Cc3cccc(C)n3)CC(N(Cc3ccc(C)cn3)Cc3ccc(C)cn3)C2)nc1</v>
      </c>
      <c r="C6711" s="7">
        <f>IFERROR(__xludf.DUMMYFUNCTION("""COMPUTED_VALUE"""),7.783284)</f>
        <v>7.783284</v>
      </c>
      <c r="D6711" s="7">
        <f>IFERROR(__xludf.DUMMYFUNCTION("""COMPUTED_VALUE"""),0.489795918367346)</f>
        <v>0.4897959184</v>
      </c>
    </row>
    <row r="6712">
      <c r="A6712" s="10" t="s">
        <v>8151</v>
      </c>
      <c r="B6712" s="7" t="str">
        <f>IFERROR(__xludf.DUMMYFUNCTION("SPLIT(A6712,"" "")"),"CCC(C)C(C)N(Cc1ccccn1)Cc1cc(C(C)(C)c2ccccn2)ccn1")</f>
        <v>CCC(C)C(C)N(Cc1ccccn1)Cc1cc(C(C)(C)c2ccccn2)ccn1</v>
      </c>
      <c r="C6712" s="7">
        <f>IFERROR(__xludf.DUMMYFUNCTION("""COMPUTED_VALUE"""),7.7832747)</f>
        <v>7.7832747</v>
      </c>
      <c r="D6712" s="7">
        <f>IFERROR(__xludf.DUMMYFUNCTION("""COMPUTED_VALUE"""),0.44)</f>
        <v>0.44</v>
      </c>
    </row>
    <row r="6713">
      <c r="A6713" s="10" t="s">
        <v>8152</v>
      </c>
      <c r="B6713" s="7" t="str">
        <f>IFERROR(__xludf.DUMMYFUNCTION("SPLIT(A6713,"" "")"),"Cc1cccnc1CN(C)C1=CNC(CN(C)C(C)C(C)N)=CC1")</f>
        <v>Cc1cccnc1CN(C)C1=CNC(CN(C)C(C)C(C)N)=CC1</v>
      </c>
      <c r="C6713" s="7">
        <f>IFERROR(__xludf.DUMMYFUNCTION("""COMPUTED_VALUE"""),7.783256)</f>
        <v>7.783256</v>
      </c>
      <c r="D6713" s="7">
        <f>IFERROR(__xludf.DUMMYFUNCTION("""COMPUTED_VALUE"""),0.253731343283582)</f>
        <v>0.2537313433</v>
      </c>
    </row>
    <row r="6714">
      <c r="A6714" s="10" t="s">
        <v>8153</v>
      </c>
      <c r="B6714" s="7" t="str">
        <f>IFERROR(__xludf.DUMMYFUNCTION("SPLIT(A6714,"" "")"),"Cc1cccc(CN(Cc2ccccn2)C2CCCC(N(C)c3cccnc3CN(Cc3ccccn3)C(C)C)C2)n1")</f>
        <v>Cc1cccc(CN(Cc2ccccn2)C2CCCC(N(C)c3cccnc3CN(Cc3ccccn3)C(C)C)C2)n1</v>
      </c>
      <c r="C6714" s="7">
        <f>IFERROR(__xludf.DUMMYFUNCTION("""COMPUTED_VALUE"""),7.78325)</f>
        <v>7.78325</v>
      </c>
      <c r="D6714" s="7">
        <f>IFERROR(__xludf.DUMMYFUNCTION("""COMPUTED_VALUE"""),0.406779661016949)</f>
        <v>0.406779661</v>
      </c>
    </row>
    <row r="6715">
      <c r="A6715" s="10" t="s">
        <v>8154</v>
      </c>
      <c r="B6715" s="7" t="str">
        <f>IFERROR(__xludf.DUMMYFUNCTION("SPLIT(A6715,"" "")"),"CCN1CCN(C)CCN(c2ccc3c(CF)ccnc3c2)CC1")</f>
        <v>CCN1CCN(C)CCN(c2ccc3c(CF)ccnc3c2)CC1</v>
      </c>
      <c r="C6715" s="7">
        <f>IFERROR(__xludf.DUMMYFUNCTION("""COMPUTED_VALUE"""),7.7832494)</f>
        <v>7.7832494</v>
      </c>
      <c r="D6715" s="7">
        <f>IFERROR(__xludf.DUMMYFUNCTION("""COMPUTED_VALUE"""),0.358490566037735)</f>
        <v>0.358490566</v>
      </c>
    </row>
    <row r="6716">
      <c r="A6716" s="10" t="s">
        <v>8155</v>
      </c>
      <c r="B6716" s="7" t="str">
        <f>IFERROR(__xludf.DUMMYFUNCTION("SPLIT(A6716,"" "")"),"CN1CCN(C)CCN(Cc2ccc(-c3ccc(N(C)C)cc3)cn2)CC1")</f>
        <v>CN1CCN(C)CCN(Cc2ccc(-c3ccc(N(C)C)cc3)cn2)CC1</v>
      </c>
      <c r="C6716" s="7">
        <f>IFERROR(__xludf.DUMMYFUNCTION("""COMPUTED_VALUE"""),7.7832475)</f>
        <v>7.7832475</v>
      </c>
      <c r="D6716" s="7">
        <f>IFERROR(__xludf.DUMMYFUNCTION("""COMPUTED_VALUE"""),0.488372093023255)</f>
        <v>0.488372093</v>
      </c>
    </row>
    <row r="6717">
      <c r="A6717" s="10" t="s">
        <v>8156</v>
      </c>
      <c r="B6717" s="7" t="str">
        <f>IFERROR(__xludf.DUMMYFUNCTION("SPLIT(A6717,"" "")"),"CNC1CC(N(C)Cc2ccccn2)CCC1N(Cc1nc(C)c(C)c(C)c1C)Cc1nc(C)c(C)c(C)c1C")</f>
        <v>CNC1CC(N(C)Cc2ccccn2)CCC1N(Cc1nc(C)c(C)c(C)c1C)Cc1nc(C)c(C)c(C)c1C</v>
      </c>
      <c r="C6717" s="7">
        <f>IFERROR(__xludf.DUMMYFUNCTION("""COMPUTED_VALUE"""),7.7832456)</f>
        <v>7.7832456</v>
      </c>
      <c r="D6717" s="7">
        <f>IFERROR(__xludf.DUMMYFUNCTION("""COMPUTED_VALUE"""),0.43103448275862)</f>
        <v>0.4310344828</v>
      </c>
    </row>
    <row r="6718">
      <c r="A6718" s="10" t="s">
        <v>8157</v>
      </c>
      <c r="B6718" s="7" t="str">
        <f>IFERROR(__xludf.DUMMYFUNCTION("SPLIT(A6718,"" "")"),"COC(=O)C(=O)C(C)CN(C)Cc1ccccn1")</f>
        <v>COC(=O)C(=O)C(C)CN(C)Cc1ccccn1</v>
      </c>
      <c r="C6718" s="7">
        <f>IFERROR(__xludf.DUMMYFUNCTION("""COMPUTED_VALUE"""),7.783245)</f>
        <v>7.783245</v>
      </c>
      <c r="D6718" s="7">
        <f>IFERROR(__xludf.DUMMYFUNCTION("""COMPUTED_VALUE"""),0.434782608695652)</f>
        <v>0.4347826087</v>
      </c>
    </row>
    <row r="6719">
      <c r="A6719" s="10" t="s">
        <v>8158</v>
      </c>
      <c r="B6719" s="7" t="str">
        <f>IFERROR(__xludf.DUMMYFUNCTION("SPLIT(A6719,"" "")"),"CC(C)NCc1ncccc1C(C)(C)C")</f>
        <v>CC(C)NCc1ncccc1C(C)(C)C</v>
      </c>
      <c r="C6719" s="7">
        <f>IFERROR(__xludf.DUMMYFUNCTION("""COMPUTED_VALUE"""),7.7832446)</f>
        <v>7.7832446</v>
      </c>
      <c r="D6719" s="7">
        <f>IFERROR(__xludf.DUMMYFUNCTION("""COMPUTED_VALUE"""),0.268292682926829)</f>
        <v>0.2682926829</v>
      </c>
    </row>
    <row r="6720">
      <c r="A6720" s="10" t="s">
        <v>8159</v>
      </c>
      <c r="B6720" s="7" t="str">
        <f>IFERROR(__xludf.DUMMYFUNCTION("SPLIT(A6720,"" "")"),"CNCc1ccc(CN(C)C2=CNC=CC2C(C)(C)C)cn1")</f>
        <v>CNCc1ccc(CN(C)C2=CNC=CC2C(C)(C)C)cn1</v>
      </c>
      <c r="C6720" s="7">
        <f>IFERROR(__xludf.DUMMYFUNCTION("""COMPUTED_VALUE"""),7.7832417)</f>
        <v>7.7832417</v>
      </c>
      <c r="D6720" s="7">
        <f>IFERROR(__xludf.DUMMYFUNCTION("""COMPUTED_VALUE"""),0.245614035087719)</f>
        <v>0.2456140351</v>
      </c>
    </row>
    <row r="6721">
      <c r="A6721" s="10" t="s">
        <v>8160</v>
      </c>
      <c r="B6721" s="7" t="str">
        <f>IFERROR(__xludf.DUMMYFUNCTION("SPLIT(A6721,"" "")"),"Cc1cccc(CN(C)CC2=CCC=CN2)c1")</f>
        <v>Cc1cccc(CN(C)CC2=CCC=CN2)c1</v>
      </c>
      <c r="C6721" s="7">
        <f>IFERROR(__xludf.DUMMYFUNCTION("""COMPUTED_VALUE"""),7.7832327)</f>
        <v>7.7832327</v>
      </c>
      <c r="D6721" s="7">
        <f>IFERROR(__xludf.DUMMYFUNCTION("""COMPUTED_VALUE"""),0.42)</f>
        <v>0.42</v>
      </c>
    </row>
    <row r="6722">
      <c r="A6722" s="10" t="s">
        <v>8161</v>
      </c>
      <c r="B6722" s="7" t="str">
        <f>IFERROR(__xludf.DUMMYFUNCTION("SPLIT(A6722,"" "")"),"Cc1cncc(CN(C)C2CC(N(C)Cc3ccccn3)CC(N(Cc3ccccn3)Cc3nc(C)c(C)cc3C)C2)c1")</f>
        <v>Cc1cncc(CN(C)C2CC(N(C)Cc3ccccn3)CC(N(Cc3ccccn3)Cc3nc(C)c(C)cc3C)C2)c1</v>
      </c>
      <c r="C6722" s="7">
        <f>IFERROR(__xludf.DUMMYFUNCTION("""COMPUTED_VALUE"""),7.783232)</f>
        <v>7.783232</v>
      </c>
      <c r="D6722" s="7">
        <f>IFERROR(__xludf.DUMMYFUNCTION("""COMPUTED_VALUE"""),0.365079365079365)</f>
        <v>0.3650793651</v>
      </c>
    </row>
    <row r="6723">
      <c r="A6723" s="10" t="s">
        <v>8162</v>
      </c>
      <c r="B6723" s="7" t="str">
        <f>IFERROR(__xludf.DUMMYFUNCTION("SPLIT(A6723,"" "")"),"CC(N)C(C)(c1ccccn1)C(C)N=Cc1ccccn1")</f>
        <v>CC(N)C(C)(c1ccccn1)C(C)N=Cc1ccccn1</v>
      </c>
      <c r="C6723" s="7">
        <f>IFERROR(__xludf.DUMMYFUNCTION("""COMPUTED_VALUE"""),7.783227)</f>
        <v>7.783227</v>
      </c>
      <c r="D6723" s="7">
        <f>IFERROR(__xludf.DUMMYFUNCTION("""COMPUTED_VALUE"""),0.387755102040816)</f>
        <v>0.387755102</v>
      </c>
    </row>
    <row r="6724">
      <c r="A6724" s="10" t="s">
        <v>8163</v>
      </c>
      <c r="B6724" s="7" t="str">
        <f>IFERROR(__xludf.DUMMYFUNCTION("SPLIT(A6724,"" "")"),"C=Cc1ccc(CN(Cc2cccc(-c3cccc(N(C)C)c3)n2)C2CCC(N(C)Cc3cccc(-c4ccc5c(c4)OCCOCCOCCOCCOCCO5)n3)CC2)nc1")</f>
        <v>C=Cc1ccc(CN(Cc2cccc(-c3cccc(N(C)C)c3)n2)C2CCC(N(C)Cc3cccc(-c4ccc5c(c4)OCCOCCOCCOCCOCCO5)n3)CC2)nc1</v>
      </c>
      <c r="C6724" s="7">
        <f>IFERROR(__xludf.DUMMYFUNCTION("""COMPUTED_VALUE"""),7.7832246)</f>
        <v>7.7832246</v>
      </c>
      <c r="D6724" s="7">
        <f>IFERROR(__xludf.DUMMYFUNCTION("""COMPUTED_VALUE"""),0.345238095238095)</f>
        <v>0.3452380952</v>
      </c>
    </row>
    <row r="6725">
      <c r="A6725" s="10" t="s">
        <v>8164</v>
      </c>
      <c r="B6725" s="7" t="str">
        <f>IFERROR(__xludf.DUMMYFUNCTION("SPLIT(A6725,"" "")"),"CC1=CC(C)CC(N(C)Cc2cc(C(C)(C)c3ccccn3)ccn2)C1C")</f>
        <v>CC1=CC(C)CC(N(C)Cc2cc(C(C)(C)c3ccccn3)ccn2)C1C</v>
      </c>
      <c r="C6725" s="7">
        <f>IFERROR(__xludf.DUMMYFUNCTION("""COMPUTED_VALUE"""),7.783221)</f>
        <v>7.783221</v>
      </c>
      <c r="D6725" s="7">
        <f>IFERROR(__xludf.DUMMYFUNCTION("""COMPUTED_VALUE"""),0.396551724137931)</f>
        <v>0.3965517241</v>
      </c>
    </row>
    <row r="6726">
      <c r="A6726" s="10" t="s">
        <v>8165</v>
      </c>
      <c r="B6726" s="7" t="str">
        <f>IFERROR(__xludf.DUMMYFUNCTION("SPLIT(A6726,"" "")"),"CC1=C(C)C(N(C)Cc2ncccc2C(C)(C)C)C(C)(C)CC1C")</f>
        <v>CC1=C(C)C(N(C)Cc2ncccc2C(C)(C)C)C(C)(C)CC1C</v>
      </c>
      <c r="C6726" s="7">
        <f>IFERROR(__xludf.DUMMYFUNCTION("""COMPUTED_VALUE"""),7.7832184)</f>
        <v>7.7832184</v>
      </c>
      <c r="D6726" s="7">
        <f>IFERROR(__xludf.DUMMYFUNCTION("""COMPUTED_VALUE"""),0.275862068965517)</f>
        <v>0.275862069</v>
      </c>
    </row>
    <row r="6727">
      <c r="A6727" s="10" t="s">
        <v>8166</v>
      </c>
      <c r="B6727" s="7" t="str">
        <f>IFERROR(__xludf.DUMMYFUNCTION("SPLIT(A6727,"" "")"),"CN(Cc1cccc(-c2ccc3c(c2)OCCOCCOCCOCCOCCO3)n1)Cc1ccc2ccccc2n1")</f>
        <v>CN(Cc1cccc(-c2ccc3c(c2)OCCOCCOCCOCCOCCO3)n1)Cc1ccc2ccccc2n1</v>
      </c>
      <c r="C6727" s="7">
        <f>IFERROR(__xludf.DUMMYFUNCTION("""COMPUTED_VALUE"""),7.783214)</f>
        <v>7.783214</v>
      </c>
      <c r="D6727" s="7">
        <f>IFERROR(__xludf.DUMMYFUNCTION("""COMPUTED_VALUE"""),0.384615384615384)</f>
        <v>0.3846153846</v>
      </c>
    </row>
    <row r="6728">
      <c r="A6728" s="10" t="s">
        <v>8167</v>
      </c>
      <c r="B6728" s="7" t="str">
        <f>IFERROR(__xludf.DUMMYFUNCTION("SPLIT(A6728,"" "")"),"Cc1ccc(CN(Cc2ncc(C)c(C)c2C)C2CCC(N(C)Cc3nc(C)c(C)c(C)c3C)CC2)nc1")</f>
        <v>Cc1ccc(CN(Cc2ncc(C)c(C)c2C)C2CCC(N(C)Cc3nc(C)c(C)c(C)c3C)CC2)nc1</v>
      </c>
      <c r="C6728" s="7">
        <f>IFERROR(__xludf.DUMMYFUNCTION("""COMPUTED_VALUE"""),7.7832108)</f>
        <v>7.7832108</v>
      </c>
      <c r="D6728" s="7">
        <f>IFERROR(__xludf.DUMMYFUNCTION("""COMPUTED_VALUE"""),0.428571428571428)</f>
        <v>0.4285714286</v>
      </c>
    </row>
    <row r="6729">
      <c r="A6729" s="10" t="s">
        <v>8168</v>
      </c>
      <c r="B6729" s="7" t="str">
        <f>IFERROR(__xludf.DUMMYFUNCTION("SPLIT(A6729,"" "")"),"Cc1ccc(CN(CC2=CCC=C(N(C)Cc3ccccn3)N2)C2CCC(N(C)Cc3ccccn3)CC2)nc1")</f>
        <v>Cc1ccc(CN(CC2=CCC=C(N(C)Cc3ccccn3)N2)C2CCC(N(C)Cc3ccccn3)CC2)nc1</v>
      </c>
      <c r="C6729" s="7">
        <f>IFERROR(__xludf.DUMMYFUNCTION("""COMPUTED_VALUE"""),7.7832046)</f>
        <v>7.7832046</v>
      </c>
      <c r="D6729" s="7">
        <f>IFERROR(__xludf.DUMMYFUNCTION("""COMPUTED_VALUE"""),0.403225806451612)</f>
        <v>0.4032258065</v>
      </c>
    </row>
    <row r="6730">
      <c r="A6730" s="10" t="s">
        <v>8169</v>
      </c>
      <c r="B6730" s="7" t="str">
        <f>IFERROR(__xludf.DUMMYFUNCTION("SPLIT(A6730,"" "")"),"CC1=C(C(C)(C)N(C)Cc2ccccn2)C(C)(C)CC(N=Cc2ccccn2)C1")</f>
        <v>CC1=C(C(C)(C)N(C)Cc2ccccn2)C(C)(C)CC(N=Cc2ccccn2)C1</v>
      </c>
      <c r="C6730" s="7">
        <f>IFERROR(__xludf.DUMMYFUNCTION("""COMPUTED_VALUE"""),7.7831974)</f>
        <v>7.7831974</v>
      </c>
      <c r="D6730" s="7">
        <f>IFERROR(__xludf.DUMMYFUNCTION("""COMPUTED_VALUE"""),0.338709677419354)</f>
        <v>0.3387096774</v>
      </c>
    </row>
    <row r="6731">
      <c r="A6731" s="10" t="s">
        <v>8170</v>
      </c>
      <c r="B6731" s="7" t="str">
        <f>IFERROR(__xludf.DUMMYFUNCTION("SPLIT(A6731,"" "")"),"CCOC1(C)COC(c2ncccc2CN(Cc2ccccn2)Cc2cccc(-c3ccc4c(c3)OCCOCCOCCOCCOCCO4)n2)=N1")</f>
        <v>CCOC1(C)COC(c2ncccc2CN(Cc2ccccn2)Cc2cccc(-c3ccc4c(c3)OCCOCCOCCOCCOCCO4)n2)=N1</v>
      </c>
      <c r="C6731" s="7">
        <f>IFERROR(__xludf.DUMMYFUNCTION("""COMPUTED_VALUE"""),7.7831964)</f>
        <v>7.7831964</v>
      </c>
      <c r="D6731" s="7">
        <f>IFERROR(__xludf.DUMMYFUNCTION("""COMPUTED_VALUE"""),0.41025641025641)</f>
        <v>0.4102564103</v>
      </c>
    </row>
    <row r="6732">
      <c r="A6732" s="10" t="s">
        <v>8171</v>
      </c>
      <c r="B6732" s="7" t="str">
        <f>IFERROR(__xludf.DUMMYFUNCTION("SPLIT(A6732,"" "")"),"CC1=C(C)C(C)(c2ccccn2)CC(C)C1")</f>
        <v>CC1=C(C)C(C)(c2ccccn2)CC(C)C1</v>
      </c>
      <c r="C6732" s="7">
        <f>IFERROR(__xludf.DUMMYFUNCTION("""COMPUTED_VALUE"""),7.783175)</f>
        <v>7.783175</v>
      </c>
      <c r="D6732" s="7">
        <f>IFERROR(__xludf.DUMMYFUNCTION("""COMPUTED_VALUE"""),0.265306122448979)</f>
        <v>0.2653061224</v>
      </c>
    </row>
    <row r="6733">
      <c r="A6733" s="10" t="s">
        <v>8172</v>
      </c>
      <c r="B6733" s="7" t="str">
        <f>IFERROR(__xludf.DUMMYFUNCTION("SPLIT(A6733,"" "")"),"CC1C=CC(c2ccc(CN(Cc3ccccn3)C3CCC(N(C)c4ccc5nc(CF)ccc5c4)CC3)nc2)C(C)C1C")</f>
        <v>CC1C=CC(c2ccc(CN(Cc3ccccn3)C3CCC(N(C)c4ccc5nc(CF)ccc5c4)CC3)nc2)C(C)C1C</v>
      </c>
      <c r="C6733" s="7">
        <f>IFERROR(__xludf.DUMMYFUNCTION("""COMPUTED_VALUE"""),7.783168)</f>
        <v>7.783168</v>
      </c>
      <c r="D6733" s="7">
        <f>IFERROR(__xludf.DUMMYFUNCTION("""COMPUTED_VALUE"""),0.319444444444444)</f>
        <v>0.3194444444</v>
      </c>
    </row>
    <row r="6734">
      <c r="A6734" s="10" t="s">
        <v>8173</v>
      </c>
      <c r="B6734" s="7" t="str">
        <f>IFERROR(__xludf.DUMMYFUNCTION("SPLIT(A6734,"" "")"),"Cc1cccnc1CN(C)C1=C(CN(C)C(C)C(C)C)NC=CC1")</f>
        <v>Cc1cccnc1CN(C)C1=C(CN(C)C(C)C(C)C)NC=CC1</v>
      </c>
      <c r="C6734" s="7">
        <f>IFERROR(__xludf.DUMMYFUNCTION("""COMPUTED_VALUE"""),7.7831473)</f>
        <v>7.7831473</v>
      </c>
      <c r="D6734" s="7">
        <f>IFERROR(__xludf.DUMMYFUNCTION("""COMPUTED_VALUE"""),0.265625)</f>
        <v>0.265625</v>
      </c>
    </row>
    <row r="6735">
      <c r="A6735" s="10" t="s">
        <v>8174</v>
      </c>
      <c r="B6735" s="7" t="str">
        <f>IFERROR(__xludf.DUMMYFUNCTION("SPLIT(A6735,"" "")"),"CC(C)C1=CC2(C=CN1)CC(C)C(C)C=C2N(C)Cc1ccccn1")</f>
        <v>CC(C)C1=CC2(C=CN1)CC(C)C(C)C=C2N(C)Cc1ccccn1</v>
      </c>
      <c r="C6735" s="7">
        <f>IFERROR(__xludf.DUMMYFUNCTION("""COMPUTED_VALUE"""),7.7831445)</f>
        <v>7.7831445</v>
      </c>
      <c r="D6735" s="7">
        <f>IFERROR(__xludf.DUMMYFUNCTION("""COMPUTED_VALUE"""),0.344262295081967)</f>
        <v>0.3442622951</v>
      </c>
    </row>
    <row r="6736">
      <c r="A6736" s="10" t="s">
        <v>8175</v>
      </c>
      <c r="B6736" s="7" t="str">
        <f>IFERROR(__xludf.DUMMYFUNCTION("SPLIT(A6736,"" "")"),"Cc1ccc(CN(C)C2C(N(C)Cc3ccccn3)CCCC2N(Cc2ccccn2)Cc2nc(C)c(C)c(C)c2C)nc1C")</f>
        <v>Cc1ccc(CN(C)C2C(N(C)Cc3ccccn3)CCCC2N(Cc2ccccn2)Cc2nc(C)c(C)c(C)c2C)nc1C</v>
      </c>
      <c r="C6736" s="7">
        <f>IFERROR(__xludf.DUMMYFUNCTION("""COMPUTED_VALUE"""),7.7831373)</f>
        <v>7.7831373</v>
      </c>
      <c r="D6736" s="7">
        <f>IFERROR(__xludf.DUMMYFUNCTION("""COMPUTED_VALUE"""),0.482758620689655)</f>
        <v>0.4827586207</v>
      </c>
    </row>
    <row r="6737">
      <c r="A6737" s="10" t="s">
        <v>8176</v>
      </c>
      <c r="B6737" s="7" t="str">
        <f>IFERROR(__xludf.DUMMYFUNCTION("SPLIT(A6737,"" "")"),"Cc1cnc(CN(C)CCN(C)C(C)C)c(C)c1C")</f>
        <v>Cc1cnc(CN(C)CCN(C)C(C)C)c(C)c1C</v>
      </c>
      <c r="C6737" s="7">
        <f>IFERROR(__xludf.DUMMYFUNCTION("""COMPUTED_VALUE"""),7.783136)</f>
        <v>7.783136</v>
      </c>
      <c r="D6737" s="7">
        <f>IFERROR(__xludf.DUMMYFUNCTION("""COMPUTED_VALUE"""),0.390243902439024)</f>
        <v>0.3902439024</v>
      </c>
    </row>
    <row r="6738">
      <c r="A6738" s="10" t="s">
        <v>8177</v>
      </c>
      <c r="B6738" s="7" t="str">
        <f>IFERROR(__xludf.DUMMYFUNCTION("SPLIT(A6738,"" "")"),"CC(C)C1CCC1c1ncccc1CN(Cc1ccccn1)Cc1ncccc1C(C)(C)C")</f>
        <v>CC(C)C1CCC1c1ncccc1CN(Cc1ccccn1)Cc1ncccc1C(C)(C)C</v>
      </c>
      <c r="C6738" s="7">
        <f>IFERROR(__xludf.DUMMYFUNCTION("""COMPUTED_VALUE"""),7.783136)</f>
        <v>7.783136</v>
      </c>
      <c r="D6738" s="7">
        <f>IFERROR(__xludf.DUMMYFUNCTION("""COMPUTED_VALUE"""),0.377358490566037)</f>
        <v>0.3773584906</v>
      </c>
    </row>
    <row r="6739">
      <c r="A6739" s="10" t="s">
        <v>8178</v>
      </c>
      <c r="B6739" s="7" t="str">
        <f>IFERROR(__xludf.DUMMYFUNCTION("SPLIT(A6739,"" "")"),"Cc1cccnc1CN(C)C1CCCC(N(C)Cc2ccc(-c3ccccc3)cn2)C1")</f>
        <v>Cc1cccnc1CN(C)C1CCCC(N(C)Cc2ccc(-c3ccccc3)cn2)C1</v>
      </c>
      <c r="C6739" s="7">
        <f>IFERROR(__xludf.DUMMYFUNCTION("""COMPUTED_VALUE"""),7.783123)</f>
        <v>7.783123</v>
      </c>
      <c r="D6739" s="7">
        <f>IFERROR(__xludf.DUMMYFUNCTION("""COMPUTED_VALUE"""),0.4)</f>
        <v>0.4</v>
      </c>
    </row>
    <row r="6740">
      <c r="A6740" s="10" t="s">
        <v>8179</v>
      </c>
      <c r="B6740" s="7" t="str">
        <f>IFERROR(__xludf.DUMMYFUNCTION("SPLIT(A6740,"" "")"),"CC1=CC(C)CCC1N(C)Cc1ncccc1C(C)(C)c1ccccn1")</f>
        <v>CC1=CC(C)CCC1N(C)Cc1ncccc1C(C)(C)c1ccccn1</v>
      </c>
      <c r="C6740" s="7">
        <f>IFERROR(__xludf.DUMMYFUNCTION("""COMPUTED_VALUE"""),7.7831182)</f>
        <v>7.7831182</v>
      </c>
      <c r="D6740" s="7">
        <f>IFERROR(__xludf.DUMMYFUNCTION("""COMPUTED_VALUE"""),0.322033898305084)</f>
        <v>0.3220338983</v>
      </c>
    </row>
    <row r="6741">
      <c r="A6741" s="10" t="s">
        <v>8180</v>
      </c>
      <c r="B6741" s="7" t="str">
        <f>IFERROR(__xludf.DUMMYFUNCTION("SPLIT(A6741,"" "")"),"CC(C)C(C)N(C)Cc1cc(C(C)(C)c2ccccn2)ccn1")</f>
        <v>CC(C)C(C)N(C)Cc1cc(C(C)(C)c2ccccn2)ccn1</v>
      </c>
      <c r="C6741" s="7">
        <f>IFERROR(__xludf.DUMMYFUNCTION("""COMPUTED_VALUE"""),7.7831125)</f>
        <v>7.7831125</v>
      </c>
      <c r="D6741" s="7">
        <f>IFERROR(__xludf.DUMMYFUNCTION("""COMPUTED_VALUE"""),0.372549019607843)</f>
        <v>0.3725490196</v>
      </c>
    </row>
    <row r="6742">
      <c r="A6742" s="10" t="s">
        <v>8181</v>
      </c>
      <c r="B6742" s="7" t="str">
        <f>IFERROR(__xludf.DUMMYFUNCTION("SPLIT(A6742,"" "")"),"Cc1cccnc1CN(Cc1ncccc1C)C1CCCC(N(Cc2ncccc2C)Cc2ncccc2C)C1N(C)C")</f>
        <v>Cc1cccnc1CN(Cc1ncccc1C)C1CCCC(N(Cc2ncccc2C)Cc2ncccc2C)C1N(C)C</v>
      </c>
      <c r="C6742" s="7">
        <f>IFERROR(__xludf.DUMMYFUNCTION("""COMPUTED_VALUE"""),7.7830863)</f>
        <v>7.7830863</v>
      </c>
      <c r="D6742" s="7">
        <f>IFERROR(__xludf.DUMMYFUNCTION("""COMPUTED_VALUE"""),0.404255319148936)</f>
        <v>0.4042553191</v>
      </c>
    </row>
    <row r="6743">
      <c r="A6743" s="10" t="s">
        <v>8182</v>
      </c>
      <c r="B6743" s="7" t="str">
        <f>IFERROR(__xludf.DUMMYFUNCTION("SPLIT(A6743,"" "")"),"Cc1cncc(CN(C)C2CCCC(N(Cc3ncc(C)c(C)c3C)Cc3nc(C)c(C)c(C)c3C)C2)c1")</f>
        <v>Cc1cncc(CN(C)C2CCCC(N(Cc3ncc(C)c(C)c3C)Cc3nc(C)c(C)c(C)c3C)C2)c1</v>
      </c>
      <c r="C6743" s="7">
        <f>IFERROR(__xludf.DUMMYFUNCTION("""COMPUTED_VALUE"""),7.783086)</f>
        <v>7.783086</v>
      </c>
      <c r="D6743" s="7">
        <f>IFERROR(__xludf.DUMMYFUNCTION("""COMPUTED_VALUE"""),0.272727272727272)</f>
        <v>0.2727272727</v>
      </c>
    </row>
    <row r="6744">
      <c r="A6744" s="10" t="s">
        <v>8183</v>
      </c>
      <c r="B6744" s="7" t="str">
        <f>IFERROR(__xludf.DUMMYFUNCTION("SPLIT(A6744,"" "")"),"Cc1ccc(N(C)CC2=CC(N(C)C(C)C)C=CN2)cc1")</f>
        <v>Cc1ccc(N(C)CC2=CC(N(C)C(C)C)C=CN2)cc1</v>
      </c>
      <c r="C6744" s="7">
        <f>IFERROR(__xludf.DUMMYFUNCTION("""COMPUTED_VALUE"""),7.783085)</f>
        <v>7.783085</v>
      </c>
      <c r="D6744" s="7">
        <f>IFERROR(__xludf.DUMMYFUNCTION("""COMPUTED_VALUE"""),0.333333333333333)</f>
        <v>0.3333333333</v>
      </c>
    </row>
    <row r="6745">
      <c r="A6745" s="10" t="s">
        <v>8184</v>
      </c>
      <c r="B6745" s="7" t="str">
        <f>IFERROR(__xludf.DUMMYFUNCTION("SPLIT(A6745,"" "")"),"C=Cc1ccc(CN(Cc2ccccn2)C2CCC(N(C)Cc3nc(C)c(C)c(C)c3C)CC2)nc1")</f>
        <v>C=Cc1ccc(CN(Cc2ccccn2)C2CCC(N(C)Cc3nc(C)c(C)c(C)c3C)CC2)nc1</v>
      </c>
      <c r="C6745" s="7">
        <f>IFERROR(__xludf.DUMMYFUNCTION("""COMPUTED_VALUE"""),7.783078)</f>
        <v>7.783078</v>
      </c>
      <c r="D6745" s="7">
        <f>IFERROR(__xludf.DUMMYFUNCTION("""COMPUTED_VALUE"""),0.38235294117647)</f>
        <v>0.3823529412</v>
      </c>
    </row>
    <row r="6746">
      <c r="A6746" s="10" t="s">
        <v>8185</v>
      </c>
      <c r="B6746" s="7" t="str">
        <f>IFERROR(__xludf.DUMMYFUNCTION("SPLIT(A6746,"" "")"),"Cc1cncc(CN(Cc2ccccn2)C2CCCCC2N(C)c2ccc3nccc(CF)c3c2)c1-c1ccc2c(c1)OCCOCCOCCOCCOCCO2")</f>
        <v>Cc1cncc(CN(Cc2ccccn2)C2CCCCC2N(C)c2ccc3nccc(CF)c3c2)c1-c1ccc2c(c1)OCCOCCOCCOCCOCCO2</v>
      </c>
      <c r="C6746" s="7">
        <f>IFERROR(__xludf.DUMMYFUNCTION("""COMPUTED_VALUE"""),7.7830772)</f>
        <v>7.7830772</v>
      </c>
      <c r="D6746" s="7">
        <f>IFERROR(__xludf.DUMMYFUNCTION("""COMPUTED_VALUE"""),0.309523809523809)</f>
        <v>0.3095238095</v>
      </c>
    </row>
    <row r="6747">
      <c r="A6747" s="10" t="s">
        <v>8186</v>
      </c>
      <c r="B6747" s="7" t="str">
        <f>IFERROR(__xludf.DUMMYFUNCTION("SPLIT(A6747,"" "")"),"Cc1ccccc1-c1cc(CN(C)C2CCC(N(C)Cc3ccccn3)CC2)ccn1")</f>
        <v>Cc1ccccc1-c1cc(CN(C)C2CCC(N(C)Cc3ccccn3)CC2)ccn1</v>
      </c>
      <c r="C6747" s="7">
        <f>IFERROR(__xludf.DUMMYFUNCTION("""COMPUTED_VALUE"""),7.783066)</f>
        <v>7.783066</v>
      </c>
      <c r="D6747" s="7">
        <f>IFERROR(__xludf.DUMMYFUNCTION("""COMPUTED_VALUE"""),0.470588235294117)</f>
        <v>0.4705882353</v>
      </c>
    </row>
    <row r="6748">
      <c r="A6748" s="10" t="s">
        <v>8187</v>
      </c>
      <c r="B6748" s="7" t="str">
        <f>IFERROR(__xludf.DUMMYFUNCTION("SPLIT(A6748,"" "")"),"Cc1cnccc1CN(C)Cc1ncccc1N(C)Cc1ncccc1-c1cccc2c1OCCOCCOCCOCCOCCO2")</f>
        <v>Cc1cnccc1CN(C)Cc1ncccc1N(C)Cc1ncccc1-c1cccc2c1OCCOCCOCCOCCOCCO2</v>
      </c>
      <c r="C6748" s="7">
        <f>IFERROR(__xludf.DUMMYFUNCTION("""COMPUTED_VALUE"""),7.783057)</f>
        <v>7.783057</v>
      </c>
      <c r="D6748" s="7">
        <f>IFERROR(__xludf.DUMMYFUNCTION("""COMPUTED_VALUE"""),0.257142857142857)</f>
        <v>0.2571428571</v>
      </c>
    </row>
    <row r="6749">
      <c r="A6749" s="10" t="s">
        <v>8188</v>
      </c>
      <c r="B6749" s="7" t="str">
        <f>IFERROR(__xludf.DUMMYFUNCTION("SPLIT(A6749,"" "")"),"Cc1cccc(CN(C)C2=C(CN(C)C3CCC(N(Cc4ccccn4)Cc4cccc(C)n4)CC3)NC=CC2)n1")</f>
        <v>Cc1cccc(CN(C)C2=C(CN(C)C3CCC(N(Cc4ccccn4)Cc4cccc(C)n4)CC3)NC=CC2)n1</v>
      </c>
      <c r="C6749" s="7">
        <f>IFERROR(__xludf.DUMMYFUNCTION("""COMPUTED_VALUE"""),7.78305)</f>
        <v>7.78305</v>
      </c>
      <c r="D6749" s="7">
        <f>IFERROR(__xludf.DUMMYFUNCTION("""COMPUTED_VALUE"""),0.38095238095238)</f>
        <v>0.380952381</v>
      </c>
    </row>
    <row r="6750">
      <c r="A6750" s="10" t="s">
        <v>8189</v>
      </c>
      <c r="B6750" s="7" t="str">
        <f>IFERROR(__xludf.DUMMYFUNCTION("SPLIT(A6750,"" "")"),"Cc1cc(CN(C)C2CCCCC2N(C)Cc2cccc3ncccc23)ccn1")</f>
        <v>Cc1cc(CN(C)C2CCCCC2N(C)Cc2cccc3ncccc23)ccn1</v>
      </c>
      <c r="C6750" s="7">
        <f>IFERROR(__xludf.DUMMYFUNCTION("""COMPUTED_VALUE"""),7.7830424)</f>
        <v>7.7830424</v>
      </c>
      <c r="D6750" s="7">
        <f>IFERROR(__xludf.DUMMYFUNCTION("""COMPUTED_VALUE"""),0.433962264150943)</f>
        <v>0.4339622642</v>
      </c>
    </row>
    <row r="6751">
      <c r="A6751" s="10" t="s">
        <v>8190</v>
      </c>
      <c r="B6751" s="7" t="str">
        <f>IFERROR(__xludf.DUMMYFUNCTION("SPLIT(A6751,"" "")"),"Cc1ccc(CNCCl)nc1CNCc1ccccn1")</f>
        <v>Cc1ccc(CNCCl)nc1CNCc1ccccn1</v>
      </c>
      <c r="C6751" s="7">
        <f>IFERROR(__xludf.DUMMYFUNCTION("""COMPUTED_VALUE"""),7.7830386)</f>
        <v>7.7830386</v>
      </c>
      <c r="D6751" s="7">
        <f>IFERROR(__xludf.DUMMYFUNCTION("""COMPUTED_VALUE"""),0.475)</f>
        <v>0.475</v>
      </c>
    </row>
    <row r="6752">
      <c r="A6752" s="10" t="s">
        <v>8191</v>
      </c>
      <c r="B6752" s="7" t="str">
        <f>IFERROR(__xludf.DUMMYFUNCTION("SPLIT(A6752,"" "")"),"CC1=CCC(C)C=C1CN(C)Cc1cccc(N)n1")</f>
        <v>CC1=CCC(C)C=C1CN(C)Cc1cccc(N)n1</v>
      </c>
      <c r="C6752" s="7">
        <f>IFERROR(__xludf.DUMMYFUNCTION("""COMPUTED_VALUE"""),7.7830358)</f>
        <v>7.7830358</v>
      </c>
      <c r="D6752" s="7">
        <f>IFERROR(__xludf.DUMMYFUNCTION("""COMPUTED_VALUE"""),0.375)</f>
        <v>0.375</v>
      </c>
    </row>
    <row r="6753">
      <c r="A6753" s="10" t="s">
        <v>8192</v>
      </c>
      <c r="B6753" s="7" t="str">
        <f>IFERROR(__xludf.DUMMYFUNCTION("SPLIT(A6753,"" "")"),"Cc1ccccc1N(C)C1CCCC(N(Cc2ccccn2)Cc2nccc(C)c2C)C1")</f>
        <v>Cc1ccccc1N(C)C1CCCC(N(Cc2ccccn2)Cc2nccc(C)c2C)C1</v>
      </c>
      <c r="C6753" s="7">
        <f>IFERROR(__xludf.DUMMYFUNCTION("""COMPUTED_VALUE"""),7.7830315)</f>
        <v>7.7830315</v>
      </c>
      <c r="D6753" s="7">
        <f>IFERROR(__xludf.DUMMYFUNCTION("""COMPUTED_VALUE"""),0.410714285714285)</f>
        <v>0.4107142857</v>
      </c>
    </row>
    <row r="6754">
      <c r="A6754" s="10" t="s">
        <v>8193</v>
      </c>
      <c r="B6754" s="7" t="str">
        <f>IFERROR(__xludf.DUMMYFUNCTION("SPLIT(A6754,"" "")"),"CCNCc1cc(CN(Cc2cc(C)ccn2)C(C)C)ccn1")</f>
        <v>CCNCc1cc(CN(Cc2cc(C)ccn2)C(C)C)ccn1</v>
      </c>
      <c r="C6754" s="7">
        <f>IFERROR(__xludf.DUMMYFUNCTION("""COMPUTED_VALUE"""),7.7830224)</f>
        <v>7.7830224</v>
      </c>
      <c r="D6754" s="7">
        <f>IFERROR(__xludf.DUMMYFUNCTION("""COMPUTED_VALUE"""),0.36734693877551)</f>
        <v>0.3673469388</v>
      </c>
    </row>
    <row r="6755">
      <c r="A6755" s="10" t="s">
        <v>8194</v>
      </c>
      <c r="B6755" s="7" t="str">
        <f>IFERROR(__xludf.DUMMYFUNCTION("SPLIT(A6755,"" "")"),"Cc1cccnc1CN(C)C1CCCCC1N(C)Cc1ccc2ncccc2c1")</f>
        <v>Cc1cccnc1CN(C)C1CCCCC1N(C)Cc1ccc2ncccc2c1</v>
      </c>
      <c r="C6755" s="7">
        <f>IFERROR(__xludf.DUMMYFUNCTION("""COMPUTED_VALUE"""),7.7830124)</f>
        <v>7.7830124</v>
      </c>
      <c r="D6755" s="7">
        <f>IFERROR(__xludf.DUMMYFUNCTION("""COMPUTED_VALUE"""),0.442307692307692)</f>
        <v>0.4423076923</v>
      </c>
    </row>
    <row r="6756">
      <c r="A6756" s="10" t="s">
        <v>8195</v>
      </c>
      <c r="B6756" s="7" t="str">
        <f>IFERROR(__xludf.DUMMYFUNCTION("SPLIT(A6756,"" "")"),"FCc1ccc2cccc(N(Cc3cccc(-c4ccc5c(c4)OCCOCCOCCOCCOCCO5)n3)Cc3cccc(-c4ccc5c(c4)OCCOCCOCCOCCOCCO5)n3)c2n1")</f>
        <v>FCc1ccc2cccc(N(Cc3cccc(-c4ccc5c(c4)OCCOCCOCCOCCOCCO5)n3)Cc3cccc(-c4ccc5c(c4)OCCOCCOCCOCCOCCO5)n3)c2n1</v>
      </c>
      <c r="C6756" s="7">
        <f>IFERROR(__xludf.DUMMYFUNCTION("""COMPUTED_VALUE"""),7.7829995)</f>
        <v>7.7829995</v>
      </c>
      <c r="D6756" s="7">
        <f>IFERROR(__xludf.DUMMYFUNCTION("""COMPUTED_VALUE"""),0.384615384615384)</f>
        <v>0.3846153846</v>
      </c>
    </row>
    <row r="6757">
      <c r="A6757" s="10" t="s">
        <v>8196</v>
      </c>
      <c r="B6757" s="7" t="str">
        <f>IFERROR(__xludf.DUMMYFUNCTION("SPLIT(A6757,"" "")"),"CCCN(Cc1ccccn1)C1CCCCC1N(C)c1ccc2nc(CF)ccc2c1")</f>
        <v>CCCN(Cc1ccccn1)C1CCCCC1N(C)c1ccc2nc(CF)ccc2c1</v>
      </c>
      <c r="C6757" s="7">
        <f>IFERROR(__xludf.DUMMYFUNCTION("""COMPUTED_VALUE"""),7.7829967)</f>
        <v>7.7829967</v>
      </c>
      <c r="D6757" s="7">
        <f>IFERROR(__xludf.DUMMYFUNCTION("""COMPUTED_VALUE"""),0.448275862068965)</f>
        <v>0.4482758621</v>
      </c>
    </row>
    <row r="6758">
      <c r="A6758" s="10" t="s">
        <v>8197</v>
      </c>
      <c r="B6758" s="7" t="str">
        <f>IFERROR(__xludf.DUMMYFUNCTION("SPLIT(A6758,"" "")"),"CCN(Cc1cc(-c2ccc3c(c2)OCCOCCOCCOCCOCCO3)ccn1)Cc1ccc2cccc(N(C)Cc3cc(-c4ccc5c(c4)OCCOCCOCCOCCOCCO5)ccn3)c2n1")</f>
        <v>CCN(Cc1cc(-c2ccc3c(c2)OCCOCCOCCOCCOCCO3)ccn1)Cc1ccc2cccc(N(C)Cc3cc(-c4ccc5c(c4)OCCOCCOCCOCCOCCO5)ccn3)c2n1</v>
      </c>
      <c r="C6758" s="7">
        <f>IFERROR(__xludf.DUMMYFUNCTION("""COMPUTED_VALUE"""),7.7829914)</f>
        <v>7.7829914</v>
      </c>
      <c r="D6758" s="7">
        <f>IFERROR(__xludf.DUMMYFUNCTION("""COMPUTED_VALUE"""),0.342105263157894)</f>
        <v>0.3421052632</v>
      </c>
    </row>
    <row r="6759">
      <c r="A6759" s="10" t="s">
        <v>8198</v>
      </c>
      <c r="B6759" s="7" t="str">
        <f>IFERROR(__xludf.DUMMYFUNCTION("SPLIT(A6759,"" "")"),"CCNCc1ncccc1C(C)(C)N(C)Cc1ncccc1C")</f>
        <v>CCNCc1ncccc1C(C)(C)N(C)Cc1ncccc1C</v>
      </c>
      <c r="C6759" s="7">
        <f>IFERROR(__xludf.DUMMYFUNCTION("""COMPUTED_VALUE"""),7.7829814)</f>
        <v>7.7829814</v>
      </c>
      <c r="D6759" s="7">
        <f>IFERROR(__xludf.DUMMYFUNCTION("""COMPUTED_VALUE"""),0.254545454545454)</f>
        <v>0.2545454545</v>
      </c>
    </row>
    <row r="6760">
      <c r="A6760" s="10" t="s">
        <v>8199</v>
      </c>
      <c r="B6760" s="7" t="str">
        <f>IFERROR(__xludf.DUMMYFUNCTION("SPLIT(A6760,"" "")"),"CCOC(=O)C1CN(C)C(CN(C)Cc2ccccn2)C(c2ccccn2)C1c1ccccn1")</f>
        <v>CCOC(=O)C1CN(C)C(CN(C)Cc2ccccn2)C(c2ccccn2)C1c1ccccn1</v>
      </c>
      <c r="C6760" s="7">
        <f>IFERROR(__xludf.DUMMYFUNCTION("""COMPUTED_VALUE"""),7.7829776)</f>
        <v>7.7829776</v>
      </c>
      <c r="D6760" s="7">
        <f>IFERROR(__xludf.DUMMYFUNCTION("""COMPUTED_VALUE"""),0.38235294117647)</f>
        <v>0.3823529412</v>
      </c>
    </row>
    <row r="6761">
      <c r="A6761" s="10" t="s">
        <v>8200</v>
      </c>
      <c r="B6761" s="7" t="str">
        <f>IFERROR(__xludf.DUMMYFUNCTION("SPLIT(A6761,"" "")"),"FC1=CC(CN(Cc2ccccn2)Cc2ccccn2)C=CN1")</f>
        <v>FC1=CC(CN(Cc2ccccn2)Cc2ccccn2)C=CN1</v>
      </c>
      <c r="C6761" s="7">
        <f>IFERROR(__xludf.DUMMYFUNCTION("""COMPUTED_VALUE"""),7.7829757)</f>
        <v>7.7829757</v>
      </c>
      <c r="D6761" s="7">
        <f>IFERROR(__xludf.DUMMYFUNCTION("""COMPUTED_VALUE"""),0.489795918367346)</f>
        <v>0.4897959184</v>
      </c>
    </row>
    <row r="6762">
      <c r="A6762" s="10" t="s">
        <v>8201</v>
      </c>
      <c r="B6762" s="7" t="str">
        <f>IFERROR(__xludf.DUMMYFUNCTION("SPLIT(A6762,"" "")"),"CC(C)N(C)CC1=CC(N(C)C(c2ccccc2)c2ccccn2)C=CN1")</f>
        <v>CC(C)N(C)CC1=CC(N(C)C(c2ccccc2)c2ccccn2)C=CN1</v>
      </c>
      <c r="C6762" s="7">
        <f>IFERROR(__xludf.DUMMYFUNCTION("""COMPUTED_VALUE"""),7.782968)</f>
        <v>7.782968</v>
      </c>
      <c r="D6762" s="7">
        <f>IFERROR(__xludf.DUMMYFUNCTION("""COMPUTED_VALUE"""),0.464285714285714)</f>
        <v>0.4642857143</v>
      </c>
    </row>
    <row r="6763">
      <c r="A6763" s="10" t="s">
        <v>8202</v>
      </c>
      <c r="B6763" s="7" t="str">
        <f>IFERROR(__xludf.DUMMYFUNCTION("SPLIT(A6763,"" "")"),"COC(C)c1ccc(C)c(CN2CCN(C)CCN(Cc3ncccc3C(C)(c3ccccn3)c3ccccn3)CC2)n1")</f>
        <v>COC(C)c1ccc(C)c(CN2CCN(C)CCN(Cc3ncccc3C(C)(c3ccccn3)c3ccccn3)CC2)n1</v>
      </c>
      <c r="C6763" s="7">
        <f>IFERROR(__xludf.DUMMYFUNCTION("""COMPUTED_VALUE"""),7.7829633)</f>
        <v>7.7829633</v>
      </c>
      <c r="D6763" s="7">
        <f>IFERROR(__xludf.DUMMYFUNCTION("""COMPUTED_VALUE"""),0.370967741935483)</f>
        <v>0.3709677419</v>
      </c>
    </row>
    <row r="6764">
      <c r="A6764" s="10" t="s">
        <v>8203</v>
      </c>
      <c r="B6764" s="7" t="str">
        <f>IFERROR(__xludf.DUMMYFUNCTION("SPLIT(A6764,"" "")"),"Cc1ncccc1CN(C)C1CCCCC1N(C)Cc1cccc2ncccc12")</f>
        <v>Cc1ncccc1CN(C)C1CCCCC1N(C)Cc1cccc2ncccc12</v>
      </c>
      <c r="C6764" s="7">
        <f>IFERROR(__xludf.DUMMYFUNCTION("""COMPUTED_VALUE"""),7.7829566)</f>
        <v>7.7829566</v>
      </c>
      <c r="D6764" s="7">
        <f>IFERROR(__xludf.DUMMYFUNCTION("""COMPUTED_VALUE"""),0.489361702127659)</f>
        <v>0.4893617021</v>
      </c>
    </row>
    <row r="6765">
      <c r="A6765" s="10" t="s">
        <v>8204</v>
      </c>
      <c r="B6765" s="7" t="str">
        <f>IFERROR(__xludf.DUMMYFUNCTION("SPLIT(A6765,"" "")"),"CC1=CC(C)C2(CC1)C(c1cc(CN(Cc3ccccn3)C3CCCC(N(C)c4ccc5nc(CN(C)C)ccc5c4)C3)ccn1)C=CC(C1C(C)=CC(C)CC1C)C21CC(C)=C(C)C(C)C1")</f>
        <v>CC1=CC(C)C2(CC1)C(c1cc(CN(Cc3ccccn3)C3CCCC(N(C)c4ccc5nc(CN(C)C)ccc5c4)C3)ccn1)C=CC(C1C(C)=CC(C)CC1C)C21CC(C)=C(C)C(C)C1</v>
      </c>
      <c r="C6765" s="7">
        <f>IFERROR(__xludf.DUMMYFUNCTION("""COMPUTED_VALUE"""),7.782952)</f>
        <v>7.782952</v>
      </c>
      <c r="D6765" s="7">
        <f>IFERROR(__xludf.DUMMYFUNCTION("""COMPUTED_VALUE"""),0.22429906542056)</f>
        <v>0.2242990654</v>
      </c>
    </row>
    <row r="6766">
      <c r="A6766" s="10" t="s">
        <v>8205</v>
      </c>
      <c r="B6766" s="7" t="str">
        <f>IFERROR(__xludf.DUMMYFUNCTION("SPLIT(A6766,"" "")"),"Cc1ccc(CN(C)C2CCC(N(C)Cc3ccccn3)CC2N(Cc2nc(C)ccc2C)Cc2nc(C)ccc2C)nc1")</f>
        <v>Cc1ccc(CN(C)C2CCC(N(C)Cc3ccccn3)CC2N(Cc2nc(C)ccc2C)Cc2nc(C)ccc2C)nc1</v>
      </c>
      <c r="C6766" s="7">
        <f>IFERROR(__xludf.DUMMYFUNCTION("""COMPUTED_VALUE"""),7.782951)</f>
        <v>7.782951</v>
      </c>
      <c r="D6766" s="7">
        <f>IFERROR(__xludf.DUMMYFUNCTION("""COMPUTED_VALUE"""),0.47457627118644)</f>
        <v>0.4745762712</v>
      </c>
    </row>
    <row r="6767">
      <c r="A6767" s="10" t="s">
        <v>8206</v>
      </c>
      <c r="B6767" s="7" t="str">
        <f>IFERROR(__xludf.DUMMYFUNCTION("SPLIT(A6767,"" "")"),"Cc1cccnc1CN(C)Cc1cccc(N(C)Cc2cccc(-c3ccc4c(c3)OCCOCCOCCOCCOCCO4)n2)n1")</f>
        <v>Cc1cccnc1CN(C)Cc1cccc(N(C)Cc2cccc(-c3ccc4c(c3)OCCOCCOCCOCCOCCO4)n2)n1</v>
      </c>
      <c r="C6767" s="7">
        <f>IFERROR(__xludf.DUMMYFUNCTION("""COMPUTED_VALUE"""),7.782927)</f>
        <v>7.782927</v>
      </c>
      <c r="D6767" s="7">
        <f>IFERROR(__xludf.DUMMYFUNCTION("""COMPUTED_VALUE"""),0.363636363636363)</f>
        <v>0.3636363636</v>
      </c>
    </row>
    <row r="6768">
      <c r="A6768" s="10" t="s">
        <v>8207</v>
      </c>
      <c r="B6768" s="7" t="str">
        <f>IFERROR(__xludf.DUMMYFUNCTION("SPLIT(A6768,"" "")"),"CC1=CC(C)C(C)C(N(C)Cc2ccccn2)C1c1cnccc1CN(C)Cc1ccccn1")</f>
        <v>CC1=CC(C)C(C)C(N(C)Cc2ccccn2)C1c1cnccc1CN(C)Cc1ccccn1</v>
      </c>
      <c r="C6768" s="7">
        <f>IFERROR(__xludf.DUMMYFUNCTION("""COMPUTED_VALUE"""),7.782923)</f>
        <v>7.782923</v>
      </c>
      <c r="D6768" s="7">
        <f>IFERROR(__xludf.DUMMYFUNCTION("""COMPUTED_VALUE"""),0.372881355932203)</f>
        <v>0.3728813559</v>
      </c>
    </row>
    <row r="6769">
      <c r="A6769" s="10" t="s">
        <v>8208</v>
      </c>
      <c r="B6769" s="7" t="str">
        <f>IFERROR(__xludf.DUMMYFUNCTION("SPLIT(A6769,"" "")"),"Cc1cccc(CN(C)Cc2cccc(N(C)Cc3cccc(-c4ccc5c(c4)OCCOCCOCCOCCOCCO5)n3)n2)n1")</f>
        <v>Cc1cccc(CN(C)Cc2cccc(N(C)Cc3cccc(-c4ccc5c(c4)OCCOCCOCCOCCOCCO5)n3)n2)n1</v>
      </c>
      <c r="C6769" s="7">
        <f>IFERROR(__xludf.DUMMYFUNCTION("""COMPUTED_VALUE"""),7.782923)</f>
        <v>7.782923</v>
      </c>
      <c r="D6769" s="7">
        <f>IFERROR(__xludf.DUMMYFUNCTION("""COMPUTED_VALUE"""),0.4)</f>
        <v>0.4</v>
      </c>
    </row>
    <row r="6770">
      <c r="A6770" s="10" t="s">
        <v>8209</v>
      </c>
      <c r="B6770" s="7" t="str">
        <f>IFERROR(__xludf.DUMMYFUNCTION("SPLIT(A6770,"" "")"),"CCNc1ccc(CN(Cc2ccccn2)C2CCC(N(C)Cc3cccc(-c4ccccc4)n3)CC2)cn1")</f>
        <v>CCNc1ccc(CN(Cc2ccccn2)C2CCC(N(C)Cc3cccc(-c4ccccc4)n3)CC2)cn1</v>
      </c>
      <c r="C6770" s="7">
        <f>IFERROR(__xludf.DUMMYFUNCTION("""COMPUTED_VALUE"""),7.782917)</f>
        <v>7.782917</v>
      </c>
      <c r="D6770" s="7">
        <f>IFERROR(__xludf.DUMMYFUNCTION("""COMPUTED_VALUE"""),0.384615384615384)</f>
        <v>0.3846153846</v>
      </c>
    </row>
    <row r="6771">
      <c r="A6771" s="10" t="s">
        <v>8210</v>
      </c>
      <c r="B6771" s="7" t="str">
        <f>IFERROR(__xludf.DUMMYFUNCTION("SPLIT(A6771,"" "")"),"CC1=CC(C)CCC1(C)N(C)Cc1cccc(C2=CCC=CN2)n1")</f>
        <v>CC1=CC(C)CCC1(C)N(C)Cc1cccc(C2=CCC=CN2)n1</v>
      </c>
      <c r="C6771" s="7">
        <f>IFERROR(__xludf.DUMMYFUNCTION("""COMPUTED_VALUE"""),7.782912)</f>
        <v>7.782912</v>
      </c>
      <c r="D6771" s="7">
        <f>IFERROR(__xludf.DUMMYFUNCTION("""COMPUTED_VALUE"""),0.294117647058823)</f>
        <v>0.2941176471</v>
      </c>
    </row>
    <row r="6772">
      <c r="A6772" s="10" t="s">
        <v>8211</v>
      </c>
      <c r="B6772" s="7" t="str">
        <f>IFERROR(__xludf.DUMMYFUNCTION("SPLIT(A6772,"" "")"),"Cc1cccc(CN(C)C2C=CNC(CN(Cc3ccccn3)CC(C)(C)C)=C2)n1")</f>
        <v>Cc1cccc(CN(C)C2C=CNC(CN(Cc3ccccn3)CC(C)(C)C)=C2)n1</v>
      </c>
      <c r="C6772" s="7">
        <f>IFERROR(__xludf.DUMMYFUNCTION("""COMPUTED_VALUE"""),7.782898)</f>
        <v>7.782898</v>
      </c>
      <c r="D6772" s="7">
        <f>IFERROR(__xludf.DUMMYFUNCTION("""COMPUTED_VALUE"""),0.456140350877192)</f>
        <v>0.4561403509</v>
      </c>
    </row>
    <row r="6773">
      <c r="A6773" s="10" t="s">
        <v>8212</v>
      </c>
      <c r="B6773" s="7" t="str">
        <f>IFERROR(__xludf.DUMMYFUNCTION("SPLIT(A6773,"" "")"),"Nc1nc2c(c(N)c1N)CCCC2")</f>
        <v>Nc1nc2c(c(N)c1N)CCCC2</v>
      </c>
      <c r="C6773" s="7">
        <f>IFERROR(__xludf.DUMMYFUNCTION("""COMPUTED_VALUE"""),7.782893)</f>
        <v>7.782893</v>
      </c>
      <c r="D6773" s="7">
        <f>IFERROR(__xludf.DUMMYFUNCTION("""COMPUTED_VALUE"""),0.18)</f>
        <v>0.18</v>
      </c>
    </row>
    <row r="6774">
      <c r="A6774" s="10" t="s">
        <v>8213</v>
      </c>
      <c r="B6774" s="7" t="str">
        <f>IFERROR(__xludf.DUMMYFUNCTION("SPLIT(A6774,"" "")"),"COC(=O)c1cccc(CN(Cc2ccccn2)Cc2ncccc2-c2ccc3c(c2)OCCOCCOCCOCCOCCO3)n1")</f>
        <v>COC(=O)c1cccc(CN(Cc2ccccn2)Cc2ncccc2-c2ccc3c(c2)OCCOCCOCCOCCOCCO3)n1</v>
      </c>
      <c r="C6774" s="7">
        <f>IFERROR(__xludf.DUMMYFUNCTION("""COMPUTED_VALUE"""),7.7828918)</f>
        <v>7.7828918</v>
      </c>
      <c r="D6774" s="7">
        <f>IFERROR(__xludf.DUMMYFUNCTION("""COMPUTED_VALUE"""),0.373333333333333)</f>
        <v>0.3733333333</v>
      </c>
    </row>
    <row r="6775">
      <c r="A6775" s="10" t="s">
        <v>8214</v>
      </c>
      <c r="B6775" s="7" t="str">
        <f>IFERROR(__xludf.DUMMYFUNCTION("SPLIT(A6775,"" "")"),"CC(C)C1=CC2(C=CN1)C=CC(c1cccc(CN(Cc3ccccn3)Cc3ccccn3)n1)C(C)(C)C2c1cccc(CN(Cc2ccccn2)Cc2cccc(-c3ccc4c(c3)OCCOCCOCCOCCOCCO4)n2)n1")</f>
        <v>CC(C)C1=CC2(C=CN1)C=CC(c1cccc(CN(Cc3ccccn3)Cc3ccccn3)n1)C(C)(C)C2c1cccc(CN(Cc2ccccn2)Cc2cccc(-c3ccc4c(c3)OCCOCCOCCOCCOCCO4)n2)n1</v>
      </c>
      <c r="C6775" s="7">
        <f>IFERROR(__xludf.DUMMYFUNCTION("""COMPUTED_VALUE"""),7.7828865)</f>
        <v>7.7828865</v>
      </c>
      <c r="D6775" s="7">
        <f>IFERROR(__xludf.DUMMYFUNCTION("""COMPUTED_VALUE"""),0.364705882352941)</f>
        <v>0.3647058824</v>
      </c>
    </row>
    <row r="6776">
      <c r="A6776" s="10" t="s">
        <v>8215</v>
      </c>
      <c r="B6776" s="7" t="str">
        <f>IFERROR(__xludf.DUMMYFUNCTION("SPLIT(A6776,"" "")"),"CNC1CC(N(Cc2nc(C)c(C)c(C)c2C)Cc2nc(C)c(C)c(C)c2C)CCC1N(C)Cc1ccccn1")</f>
        <v>CNC1CC(N(Cc2nc(C)c(C)c(C)c2C)Cc2nc(C)c(C)c(C)c2C)CCC1N(C)Cc1ccccn1</v>
      </c>
      <c r="C6776" s="7">
        <f>IFERROR(__xludf.DUMMYFUNCTION("""COMPUTED_VALUE"""),7.7828856)</f>
        <v>7.7828856</v>
      </c>
      <c r="D6776" s="7">
        <f>IFERROR(__xludf.DUMMYFUNCTION("""COMPUTED_VALUE"""),0.456140350877192)</f>
        <v>0.4561403509</v>
      </c>
    </row>
    <row r="6777">
      <c r="A6777" s="10" t="s">
        <v>8216</v>
      </c>
      <c r="B6777" s="7" t="str">
        <f>IFERROR(__xludf.DUMMYFUNCTION("SPLIT(A6777,"" "")"),"COC(=O)c1cc(CN(Cc2ccccn2)Cc2cc(-c3ccc4c(c3)OCCOCCOCCOCCOCCO4)ccn2)ccn1")</f>
        <v>COC(=O)c1cc(CN(Cc2ccccn2)Cc2cc(-c3ccc4c(c3)OCCOCCOCCOCCOCCO4)ccn2)ccn1</v>
      </c>
      <c r="C6777" s="7">
        <f>IFERROR(__xludf.DUMMYFUNCTION("""COMPUTED_VALUE"""),7.782883)</f>
        <v>7.782883</v>
      </c>
      <c r="D6777" s="7">
        <f>IFERROR(__xludf.DUMMYFUNCTION("""COMPUTED_VALUE"""),0.338983050847457)</f>
        <v>0.3389830508</v>
      </c>
    </row>
    <row r="6778">
      <c r="A6778" s="10" t="s">
        <v>8217</v>
      </c>
      <c r="B6778" s="7" t="str">
        <f>IFERROR(__xludf.DUMMYFUNCTION("SPLIT(A6778,"" "")"),"CCNCc1ncc(C)cc1C")</f>
        <v>CCNCc1ncc(C)cc1C</v>
      </c>
      <c r="C6778" s="7">
        <f>IFERROR(__xludf.DUMMYFUNCTION("""COMPUTED_VALUE"""),7.7828684)</f>
        <v>7.7828684</v>
      </c>
      <c r="D6778" s="7">
        <f>IFERROR(__xludf.DUMMYFUNCTION("""COMPUTED_VALUE"""),0.24390243902439)</f>
        <v>0.243902439</v>
      </c>
    </row>
    <row r="6779">
      <c r="A6779" s="10" t="s">
        <v>8218</v>
      </c>
      <c r="B6779" s="7" t="str">
        <f>IFERROR(__xludf.DUMMYFUNCTION("SPLIT(A6779,"" "")"),"CC(C)N(C)Cc1cncc(N(C)C(C)(C)C)c1")</f>
        <v>CC(C)N(C)Cc1cncc(N(C)C(C)(C)C)c1</v>
      </c>
      <c r="C6779" s="7">
        <f>IFERROR(__xludf.DUMMYFUNCTION("""COMPUTED_VALUE"""),7.782866)</f>
        <v>7.782866</v>
      </c>
      <c r="D6779" s="7">
        <f>IFERROR(__xludf.DUMMYFUNCTION("""COMPUTED_VALUE"""),0.204081632653061)</f>
        <v>0.2040816327</v>
      </c>
    </row>
    <row r="6780">
      <c r="A6780" s="10" t="s">
        <v>8219</v>
      </c>
      <c r="B6780" s="7" t="str">
        <f>IFERROR(__xludf.DUMMYFUNCTION("SPLIT(A6780,"" "")"),"CN(Cc1ccc(-c2ccc3c(c2)OCCOCCOCCOCCOCCO3)cn1)C(C)(C)N(C)c1ccc2cccnc2c1")</f>
        <v>CN(Cc1ccc(-c2ccc3c(c2)OCCOCCOCCOCCOCCO3)cn1)C(C)(C)N(C)c1ccc2cccnc2c1</v>
      </c>
      <c r="C6780" s="7">
        <f>IFERROR(__xludf.DUMMYFUNCTION("""COMPUTED_VALUE"""),7.782851)</f>
        <v>7.782851</v>
      </c>
      <c r="D6780" s="7">
        <f>IFERROR(__xludf.DUMMYFUNCTION("""COMPUTED_VALUE"""),0.410958904109589)</f>
        <v>0.4109589041</v>
      </c>
    </row>
    <row r="6781">
      <c r="A6781" s="10" t="s">
        <v>8220</v>
      </c>
      <c r="B6781" s="7" t="str">
        <f>IFERROR(__xludf.DUMMYFUNCTION("SPLIT(A6781,"" "")"),"CN(CCF)Cc1cccc(N(C)C2C=CC=CN2)n1")</f>
        <v>CN(CCF)Cc1cccc(N(C)C2C=CC=CN2)n1</v>
      </c>
      <c r="C6781" s="7">
        <f>IFERROR(__xludf.DUMMYFUNCTION("""COMPUTED_VALUE"""),7.782839)</f>
        <v>7.782839</v>
      </c>
      <c r="D6781" s="7">
        <f>IFERROR(__xludf.DUMMYFUNCTION("""COMPUTED_VALUE"""),0.395833333333333)</f>
        <v>0.3958333333</v>
      </c>
    </row>
    <row r="6782">
      <c r="A6782" s="10" t="s">
        <v>8221</v>
      </c>
      <c r="B6782" s="7" t="str">
        <f>IFERROR(__xludf.DUMMYFUNCTION("SPLIT(A6782,"" "")"),"Cc1cc(C)c(C)c(CN(C)CCN(C)C(C)C)n1")</f>
        <v>Cc1cc(C)c(C)c(CN(C)CCN(C)C(C)C)n1</v>
      </c>
      <c r="C6782" s="7">
        <f>IFERROR(__xludf.DUMMYFUNCTION("""COMPUTED_VALUE"""),7.7828317)</f>
        <v>7.7828317</v>
      </c>
      <c r="D6782" s="7">
        <f>IFERROR(__xludf.DUMMYFUNCTION("""COMPUTED_VALUE"""),0.348837209302325)</f>
        <v>0.3488372093</v>
      </c>
    </row>
    <row r="6783">
      <c r="A6783" s="10" t="s">
        <v>8222</v>
      </c>
      <c r="B6783" s="7" t="str">
        <f>IFERROR(__xludf.DUMMYFUNCTION("SPLIT(A6783,"" "")"),"Cc1ccc(CN(C)C2CCC(N(C)Cc3nc(C)ccc3C)C(N(Cc3cccc(C)n3)Cc3cccc(C)n3)C2)nc1")</f>
        <v>Cc1ccc(CN(C)C2CCC(N(C)Cc3nc(C)ccc3C)C(N(Cc3cccc(C)n3)Cc3cccc(C)n3)C2)nc1</v>
      </c>
      <c r="C6783" s="7">
        <f>IFERROR(__xludf.DUMMYFUNCTION("""COMPUTED_VALUE"""),7.7828255)</f>
        <v>7.7828255</v>
      </c>
      <c r="D6783" s="7">
        <f>IFERROR(__xludf.DUMMYFUNCTION("""COMPUTED_VALUE"""),0.47457627118644)</f>
        <v>0.4745762712</v>
      </c>
    </row>
    <row r="6784">
      <c r="A6784" s="10" t="s">
        <v>8223</v>
      </c>
      <c r="B6784" s="7" t="str">
        <f>IFERROR(__xludf.DUMMYFUNCTION("SPLIT(A6784,"" "")"),"Cc1cnc(CN(C)C2=CNC(CN(Cc3ccccn3)Cc3cccc(-c4ccc5c(c4)OCCOCCOCCOCCOCCO5)n3)=CC2)c(C)c1C")</f>
        <v>Cc1cnc(CN(C)C2=CNC(CN(Cc3ccccn3)Cc3cccc(-c4ccc5c(c4)OCCOCCOCCOCCOCCO5)n3)=CC2)c(C)c1C</v>
      </c>
      <c r="C6784" s="7">
        <f>IFERROR(__xludf.DUMMYFUNCTION("""COMPUTED_VALUE"""),7.7828093)</f>
        <v>7.7828093</v>
      </c>
      <c r="D6784" s="7">
        <f>IFERROR(__xludf.DUMMYFUNCTION("""COMPUTED_VALUE"""),0.378048780487804)</f>
        <v>0.3780487805</v>
      </c>
    </row>
    <row r="6785">
      <c r="A6785" s="10" t="s">
        <v>8224</v>
      </c>
      <c r="B6785" s="7" t="str">
        <f>IFERROR(__xludf.DUMMYFUNCTION("SPLIT(A6785,"" "")"),"Cc1ccccc1CN(C)CC1=CCC=CN1")</f>
        <v>Cc1ccccc1CN(C)CC1=CCC=CN1</v>
      </c>
      <c r="C6785" s="7">
        <f>IFERROR(__xludf.DUMMYFUNCTION("""COMPUTED_VALUE"""),7.782809)</f>
        <v>7.782809</v>
      </c>
      <c r="D6785" s="7">
        <f>IFERROR(__xludf.DUMMYFUNCTION("""COMPUTED_VALUE"""),0.458333333333333)</f>
        <v>0.4583333333</v>
      </c>
    </row>
    <row r="6786">
      <c r="A6786" s="10" t="s">
        <v>8225</v>
      </c>
      <c r="B6786" s="7" t="str">
        <f>IFERROR(__xludf.DUMMYFUNCTION("SPLIT(A6786,"" "")"),"Cc1ccnc(CN(C)CCN(C)Cc2ncccc2C)c1")</f>
        <v>Cc1ccnc(CN(C)CCN(C)Cc2ncccc2C)c1</v>
      </c>
      <c r="C6786" s="7">
        <f>IFERROR(__xludf.DUMMYFUNCTION("""COMPUTED_VALUE"""),7.7827964)</f>
        <v>7.7827964</v>
      </c>
      <c r="D6786" s="7">
        <f>IFERROR(__xludf.DUMMYFUNCTION("""COMPUTED_VALUE"""),0.41860465116279)</f>
        <v>0.4186046512</v>
      </c>
    </row>
    <row r="6787">
      <c r="A6787" s="10" t="s">
        <v>8226</v>
      </c>
      <c r="B6787" s="7" t="str">
        <f>IFERROR(__xludf.DUMMYFUNCTION("SPLIT(A6787,"" "")"),"CNCc1cc(C(C)(C)C)ccn1")</f>
        <v>CNCc1cc(C(C)(C)C)ccn1</v>
      </c>
      <c r="C6787" s="7">
        <f>IFERROR(__xludf.DUMMYFUNCTION("""COMPUTED_VALUE"""),7.7827716)</f>
        <v>7.7827716</v>
      </c>
      <c r="D6787" s="7">
        <f>IFERROR(__xludf.DUMMYFUNCTION("""COMPUTED_VALUE"""),0.289473684210526)</f>
        <v>0.2894736842</v>
      </c>
    </row>
    <row r="6788">
      <c r="A6788" s="10" t="s">
        <v>8227</v>
      </c>
      <c r="B6788" s="7" t="str">
        <f>IFERROR(__xludf.DUMMYFUNCTION("SPLIT(A6788,"" "")"),"CCCN(Cc1ccccn1)c1ccc(-c2ccc3c(c2)OCCOCCOCCOCCOCCO3)c(Cl)c1-c1cccc(CN(Cc2ccccn2)Cc2cccc(-c3ccc4c(c3)OCCOCCOCCOCCOCCO4)n2)n1")</f>
        <v>CCCN(Cc1ccccn1)c1ccc(-c2ccc3c(c2)OCCOCCOCCOCCOCCO3)c(Cl)c1-c1cccc(CN(Cc2ccccn2)Cc2cccc(-c3ccc4c(c3)OCCOCCOCCOCCOCCO4)n2)n1</v>
      </c>
      <c r="C6788" s="7">
        <f>IFERROR(__xludf.DUMMYFUNCTION("""COMPUTED_VALUE"""),7.7827497)</f>
        <v>7.7827497</v>
      </c>
      <c r="D6788" s="7">
        <f>IFERROR(__xludf.DUMMYFUNCTION("""COMPUTED_VALUE"""),0.402597402597402)</f>
        <v>0.4025974026</v>
      </c>
    </row>
    <row r="6789">
      <c r="A6789" s="10" t="s">
        <v>8228</v>
      </c>
      <c r="B6789" s="7" t="str">
        <f>IFERROR(__xludf.DUMMYFUNCTION("SPLIT(A6789,"" "")"),"Cc1cccc(CN(C)C2=CNC(CN(C)C(C)C(C)C)=CC2)n1")</f>
        <v>Cc1cccc(CN(C)C2=CNC(CN(C)C(C)C(C)C)=CC2)n1</v>
      </c>
      <c r="C6789" s="7">
        <f>IFERROR(__xludf.DUMMYFUNCTION("""COMPUTED_VALUE"""),7.7827473)</f>
        <v>7.7827473</v>
      </c>
      <c r="D6789" s="7">
        <f>IFERROR(__xludf.DUMMYFUNCTION("""COMPUTED_VALUE"""),0.4)</f>
        <v>0.4</v>
      </c>
    </row>
    <row r="6790">
      <c r="A6790" s="10" t="s">
        <v>8229</v>
      </c>
      <c r="B6790" s="7" t="str">
        <f>IFERROR(__xludf.DUMMYFUNCTION("SPLIT(A6790,"" "")"),"CN(CCF)CC1=CCC(N(C)Cc2ccccn2)=CN1")</f>
        <v>CN(CCF)CC1=CCC(N(C)Cc2ccccn2)=CN1</v>
      </c>
      <c r="C6790" s="7">
        <f>IFERROR(__xludf.DUMMYFUNCTION("""COMPUTED_VALUE"""),7.7827454)</f>
        <v>7.7827454</v>
      </c>
      <c r="D6790" s="7">
        <f>IFERROR(__xludf.DUMMYFUNCTION("""COMPUTED_VALUE"""),0.407407407407407)</f>
        <v>0.4074074074</v>
      </c>
    </row>
    <row r="6791">
      <c r="A6791" s="10" t="s">
        <v>8230</v>
      </c>
      <c r="B6791" s="7" t="str">
        <f>IFERROR(__xludf.DUMMYFUNCTION("SPLIT(A6791,"" "")"),"CC1=CCC(C)C2(C=CC3(CCC(C)=C(C)C3C)C(c3ncccc3CN(Cc3ccccn3)C3CCCCC3)C2c2ncccc2CN(Cc2ccccn2)C2CCCCC2N(C)c2cccc3c(CF)ccnc23)C1(C)C")</f>
        <v>CC1=CCC(C)C2(C=CC3(CCC(C)=C(C)C3C)C(c3ncccc3CN(Cc3ccccn3)C3CCCCC3)C2c2ncccc2CN(Cc2ccccn2)C2CCCCC2N(C)c2cccc3c(CF)ccnc23)C1(C)C</v>
      </c>
      <c r="C6791" s="7">
        <f>IFERROR(__xludf.DUMMYFUNCTION("""COMPUTED_VALUE"""),7.7827353)</f>
        <v>7.7827353</v>
      </c>
      <c r="D6791" s="7">
        <f>IFERROR(__xludf.DUMMYFUNCTION("""COMPUTED_VALUE"""),0.28)</f>
        <v>0.28</v>
      </c>
    </row>
    <row r="6792">
      <c r="A6792" s="10" t="s">
        <v>8231</v>
      </c>
      <c r="B6792" s="7" t="str">
        <f>IFERROR(__xludf.DUMMYFUNCTION("SPLIT(A6792,"" "")"),"Cc1cc(CN2CCN(C)CCN(C)CC2)cnc1-c1cccc(N)c1Cl")</f>
        <v>Cc1cc(CN2CCN(C)CCN(C)CC2)cnc1-c1cccc(N)c1Cl</v>
      </c>
      <c r="C6792" s="7">
        <f>IFERROR(__xludf.DUMMYFUNCTION("""COMPUTED_VALUE"""),7.782734)</f>
        <v>7.782734</v>
      </c>
      <c r="D6792" s="7">
        <f>IFERROR(__xludf.DUMMYFUNCTION("""COMPUTED_VALUE"""),0.388888888888888)</f>
        <v>0.3888888889</v>
      </c>
    </row>
    <row r="6793">
      <c r="A6793" s="10" t="s">
        <v>8232</v>
      </c>
      <c r="B6793" s="7" t="str">
        <f>IFERROR(__xludf.DUMMYFUNCTION("SPLIT(A6793,"" "")"),"Cc1cccnc1CN(C)CCN(C)Cc1ncccc1C")</f>
        <v>Cc1cccnc1CN(C)CCN(C)Cc1ncccc1C</v>
      </c>
      <c r="C6793" s="7">
        <f>IFERROR(__xludf.DUMMYFUNCTION("""COMPUTED_VALUE"""),7.7827287)</f>
        <v>7.7827287</v>
      </c>
      <c r="D6793" s="7">
        <f>IFERROR(__xludf.DUMMYFUNCTION("""COMPUTED_VALUE"""),0.486486486486486)</f>
        <v>0.4864864865</v>
      </c>
    </row>
    <row r="6794">
      <c r="A6794" s="10" t="s">
        <v>8233</v>
      </c>
      <c r="B6794" s="7" t="str">
        <f>IFERROR(__xludf.DUMMYFUNCTION("SPLIT(A6794,"" "")"),"Cc1cccnc1CN(Cc1cccc(-c2ccc3c(c2)OCCOCCOCCOCCOCCO3)n1)C1CCC(N(C)c2ccc3nc(CN(C)C)ccc3c2)CC1")</f>
        <v>Cc1cccnc1CN(Cc1cccc(-c2ccc3c(c2)OCCOCCOCCOCCOCCO3)n1)C1CCC(N(C)c2ccc3nc(CN(C)C)ccc3c2)CC1</v>
      </c>
      <c r="C6794" s="7">
        <f>IFERROR(__xludf.DUMMYFUNCTION("""COMPUTED_VALUE"""),7.7827277)</f>
        <v>7.7827277</v>
      </c>
      <c r="D6794" s="7">
        <f>IFERROR(__xludf.DUMMYFUNCTION("""COMPUTED_VALUE"""),0.3)</f>
        <v>0.3</v>
      </c>
    </row>
    <row r="6795">
      <c r="A6795" s="10" t="s">
        <v>8234</v>
      </c>
      <c r="B6795" s="7" t="str">
        <f>IFERROR(__xludf.DUMMYFUNCTION("SPLIT(A6795,"" "")"),"Cc1ccc(CN(C)C2CC(N(C)Cc3ccccn3)CC(N(Cc3ccccn3)Cc3cc(C)c(C)c(C)n3)C2)nc1")</f>
        <v>Cc1ccc(CN(C)C2CC(N(C)Cc3ccccn3)CC(N(Cc3ccccn3)Cc3cc(C)c(C)c(C)n3)C2)nc1</v>
      </c>
      <c r="C6795" s="7">
        <f>IFERROR(__xludf.DUMMYFUNCTION("""COMPUTED_VALUE"""),7.782724)</f>
        <v>7.782724</v>
      </c>
      <c r="D6795" s="7">
        <f>IFERROR(__xludf.DUMMYFUNCTION("""COMPUTED_VALUE"""),0.413793103448275)</f>
        <v>0.4137931034</v>
      </c>
    </row>
    <row r="6796">
      <c r="A6796" s="10" t="s">
        <v>8235</v>
      </c>
      <c r="B6796" s="7" t="str">
        <f>IFERROR(__xludf.DUMMYFUNCTION("SPLIT(A6796,"" "")"),"CCN1CCN(C)CCN(Cc2cc(-c3cccc(N=Cc4ccccn4)c3)ccn2)CC1")</f>
        <v>CCN1CCN(C)CCN(Cc2cc(-c3cccc(N=Cc4ccccn4)c3)ccn2)CC1</v>
      </c>
      <c r="C6796" s="7">
        <f>IFERROR(__xludf.DUMMYFUNCTION("""COMPUTED_VALUE"""),7.782723)</f>
        <v>7.782723</v>
      </c>
      <c r="D6796" s="7">
        <f>IFERROR(__xludf.DUMMYFUNCTION("""COMPUTED_VALUE"""),0.472727272727272)</f>
        <v>0.4727272727</v>
      </c>
    </row>
    <row r="6797">
      <c r="A6797" s="10" t="s">
        <v>8236</v>
      </c>
      <c r="B6797" s="7" t="str">
        <f>IFERROR(__xludf.DUMMYFUNCTION("SPLIT(A6797,"" "")"),"CNC1C(N(C)Cc2nc(C)c(C)c(C)c2C)CCCC1N(C)Cc1nc(C)c(C)c(C)c1C")</f>
        <v>CNC1C(N(C)Cc2nc(C)c(C)c(C)c2C)CCCC1N(C)Cc1nc(C)c(C)c(C)c1C</v>
      </c>
      <c r="C6797" s="7">
        <f>IFERROR(__xludf.DUMMYFUNCTION("""COMPUTED_VALUE"""),7.7827115)</f>
        <v>7.7827115</v>
      </c>
      <c r="D6797" s="7">
        <f>IFERROR(__xludf.DUMMYFUNCTION("""COMPUTED_VALUE"""),0.346938775510204)</f>
        <v>0.3469387755</v>
      </c>
    </row>
    <row r="6798">
      <c r="A6798" s="10" t="s">
        <v>8237</v>
      </c>
      <c r="B6798" s="7" t="str">
        <f>IFERROR(__xludf.DUMMYFUNCTION("SPLIT(A6798,"" "")"),"CC(C)(NCc1ccccn1)c1ccccn1")</f>
        <v>CC(C)(NCc1ccccn1)c1ccccn1</v>
      </c>
      <c r="C6798" s="7">
        <f>IFERROR(__xludf.DUMMYFUNCTION("""COMPUTED_VALUE"""),7.7827086)</f>
        <v>7.7827086</v>
      </c>
      <c r="D6798" s="7">
        <f>IFERROR(__xludf.DUMMYFUNCTION("""COMPUTED_VALUE"""),0.5)</f>
        <v>0.5</v>
      </c>
    </row>
    <row r="6799">
      <c r="A6799" s="10" t="s">
        <v>8238</v>
      </c>
      <c r="B6799" s="7" t="str">
        <f>IFERROR(__xludf.DUMMYFUNCTION("SPLIT(A6799,"" "")"),"Cc1cccnc1CN(Cc1nc(C)c(C)c(C)c1C)C1CCCCC1N(C)Cc1nc(C)c(C)c(C)c1C")</f>
        <v>Cc1cccnc1CN(Cc1nc(C)c(C)c(C)c1C)C1CCCCC1N(C)Cc1nc(C)c(C)c(C)c1C</v>
      </c>
      <c r="C6799" s="7">
        <f>IFERROR(__xludf.DUMMYFUNCTION("""COMPUTED_VALUE"""),7.7827044)</f>
        <v>7.7827044</v>
      </c>
      <c r="D6799" s="7">
        <f>IFERROR(__xludf.DUMMYFUNCTION("""COMPUTED_VALUE"""),0.442307692307692)</f>
        <v>0.4423076923</v>
      </c>
    </row>
    <row r="6800">
      <c r="A6800" s="10" t="s">
        <v>8239</v>
      </c>
      <c r="B6800" s="7" t="str">
        <f>IFERROR(__xludf.DUMMYFUNCTION("SPLIT(A6800,"" "")"),"Cc1cc(C)c(N(C)Cc2cc(-c3ccc4c(c3)OCCOCCOCCOCCOCCO4)ccn2)c(C)c1")</f>
        <v>Cc1cc(C)c(N(C)Cc2cc(-c3ccc4c(c3)OCCOCCOCCOCCOCCO4)ccn2)c(C)c1</v>
      </c>
      <c r="C6800" s="7">
        <f>IFERROR(__xludf.DUMMYFUNCTION("""COMPUTED_VALUE"""),7.782703)</f>
        <v>7.782703</v>
      </c>
      <c r="D6800" s="7">
        <f>IFERROR(__xludf.DUMMYFUNCTION("""COMPUTED_VALUE"""),0.390625)</f>
        <v>0.390625</v>
      </c>
    </row>
    <row r="6801">
      <c r="A6801" s="10" t="s">
        <v>8240</v>
      </c>
      <c r="B6801" s="7" t="str">
        <f>IFERROR(__xludf.DUMMYFUNCTION("SPLIT(A6801,"" "")"),"C1=CCNC(N(Cc2cccnn2)CC2C=CC=CN2)=C1")</f>
        <v>C1=CCNC(N(Cc2cccnn2)CC2C=CC=CN2)=C1</v>
      </c>
      <c r="C6801" s="7">
        <f>IFERROR(__xludf.DUMMYFUNCTION("""COMPUTED_VALUE"""),7.78269)</f>
        <v>7.78269</v>
      </c>
      <c r="D6801" s="7">
        <f>IFERROR(__xludf.DUMMYFUNCTION("""COMPUTED_VALUE"""),0.43859649122807)</f>
        <v>0.4385964912</v>
      </c>
    </row>
    <row r="6802">
      <c r="A6802" s="10" t="s">
        <v>8241</v>
      </c>
      <c r="B6802" s="7" t="str">
        <f>IFERROR(__xludf.DUMMYFUNCTION("SPLIT(A6802,"" "")"),"CC(C)C1=CC2(C=CN1)C=CC(C)(C)C(c1cccc(CN(Cc3ccccn3)Cc3ccccn3)n1)C2c1cccc(CN(Cc2ccccn2)Cc2cccc(-c3ccc4c(c3)OCCOCCOCCOCCOCCO4)n2)n1")</f>
        <v>CC(C)C1=CC2(C=CN1)C=CC(C)(C)C(c1cccc(CN(Cc3ccccn3)Cc3ccccn3)n1)C2c1cccc(CN(Cc2ccccn2)Cc2cccc(-c3ccc4c(c3)OCCOCCOCCOCCOCCO4)n2)n1</v>
      </c>
      <c r="C6802" s="7">
        <f>IFERROR(__xludf.DUMMYFUNCTION("""COMPUTED_VALUE"""),7.782682)</f>
        <v>7.782682</v>
      </c>
      <c r="D6802" s="7">
        <f>IFERROR(__xludf.DUMMYFUNCTION("""COMPUTED_VALUE"""),0.369047619047619)</f>
        <v>0.369047619</v>
      </c>
    </row>
    <row r="6803">
      <c r="A6803" s="10" t="s">
        <v>8242</v>
      </c>
      <c r="B6803" s="7" t="str">
        <f>IFERROR(__xludf.DUMMYFUNCTION("SPLIT(A6803,"" "")"),"CC(C)C1=CC2(C=CN1)C=CC(C)(C)C(c1cccc(CN(Cc3ccccn3)Cc3cccc(-c4ccc5c(c4)OCCOCCOCCOCCOCCO5)n3)n1)C2c1cccc(CN(Cc2ccccn2)Cc2ccccn2)n1")</f>
        <v>CC(C)C1=CC2(C=CN1)C=CC(C)(C)C(c1cccc(CN(Cc3ccccn3)Cc3cccc(-c4ccc5c(c4)OCCOCCOCCOCCOCCO5)n3)n1)C2c1cccc(CN(Cc2ccccn2)Cc2ccccn2)n1</v>
      </c>
      <c r="C6803" s="7">
        <f>IFERROR(__xludf.DUMMYFUNCTION("""COMPUTED_VALUE"""),7.782682)</f>
        <v>7.782682</v>
      </c>
      <c r="D6803" s="7">
        <f>IFERROR(__xludf.DUMMYFUNCTION("""COMPUTED_VALUE"""),0.369047619047619)</f>
        <v>0.369047619</v>
      </c>
    </row>
    <row r="6804">
      <c r="A6804" s="10" t="s">
        <v>8243</v>
      </c>
      <c r="B6804" s="7" t="str">
        <f>IFERROR(__xludf.DUMMYFUNCTION("SPLIT(A6804,"" "")"),"CCCNCc1cccc(C(C)(C)c2ccccn2)n1")</f>
        <v>CCCNCc1cccc(C(C)(C)c2ccccn2)n1</v>
      </c>
      <c r="C6804" s="7">
        <f>IFERROR(__xludf.DUMMYFUNCTION("""COMPUTED_VALUE"""),7.782662)</f>
        <v>7.782662</v>
      </c>
      <c r="D6804" s="7">
        <f>IFERROR(__xludf.DUMMYFUNCTION("""COMPUTED_VALUE"""),0.475)</f>
        <v>0.475</v>
      </c>
    </row>
    <row r="6805">
      <c r="A6805" s="10" t="s">
        <v>8244</v>
      </c>
      <c r="B6805" s="7" t="str">
        <f>IFERROR(__xludf.DUMMYFUNCTION("SPLIT(A6805,"" "")"),"CN(Cc1cc(-c2ccc3c(c2)OCCOCCOCCOCCOCCO3)ccn1)C1CCCCC1N(C)Cc1cc(-c2cccc3cccnc23)ccn1")</f>
        <v>CN(Cc1cc(-c2ccc3c(c2)OCCOCCOCCOCCOCCO3)ccn1)C1CCCCC1N(C)Cc1cc(-c2cccc3cccnc23)ccn1</v>
      </c>
      <c r="C6805" s="7">
        <f>IFERROR(__xludf.DUMMYFUNCTION("""COMPUTED_VALUE"""),7.7826586)</f>
        <v>7.7826586</v>
      </c>
      <c r="D6805" s="7">
        <f>IFERROR(__xludf.DUMMYFUNCTION("""COMPUTED_VALUE"""),0.412698412698412)</f>
        <v>0.4126984127</v>
      </c>
    </row>
    <row r="6806">
      <c r="A6806" s="10" t="s">
        <v>8245</v>
      </c>
      <c r="B6806" s="7" t="str">
        <f>IFERROR(__xludf.DUMMYFUNCTION("SPLIT(A6806,"" "")"),"CC(c1ccccc1)c1ccccn1")</f>
        <v>CC(c1ccccc1)c1ccccn1</v>
      </c>
      <c r="C6806" s="7">
        <f>IFERROR(__xludf.DUMMYFUNCTION("""COMPUTED_VALUE"""),7.7826524)</f>
        <v>7.7826524</v>
      </c>
      <c r="D6806" s="7">
        <f>IFERROR(__xludf.DUMMYFUNCTION("""COMPUTED_VALUE"""),0.461538461538461)</f>
        <v>0.4615384615</v>
      </c>
    </row>
    <row r="6807">
      <c r="A6807" s="10" t="s">
        <v>8246</v>
      </c>
      <c r="B6807" s="7" t="str">
        <f>IFERROR(__xludf.DUMMYFUNCTION("SPLIT(A6807,"" "")"),"CCN(Cc1ccccn1)c1ccccc1CN(C)C(C)C")</f>
        <v>CCN(Cc1ccccn1)c1ccccc1CN(C)C(C)C</v>
      </c>
      <c r="C6807" s="7">
        <f>IFERROR(__xludf.DUMMYFUNCTION("""COMPUTED_VALUE"""),7.782647)</f>
        <v>7.782647</v>
      </c>
      <c r="D6807" s="7">
        <f>IFERROR(__xludf.DUMMYFUNCTION("""COMPUTED_VALUE"""),0.477272727272727)</f>
        <v>0.4772727273</v>
      </c>
    </row>
    <row r="6808">
      <c r="A6808" s="10" t="s">
        <v>8247</v>
      </c>
      <c r="B6808" s="7" t="str">
        <f>IFERROR(__xludf.DUMMYFUNCTION("SPLIT(A6808,"" "")"),"Cc1ccc(CN(C)C2CC(N(C)Cc3ccccn3)CC(N(Cc3ccccn3)Cc3nc(C)c(C)cc3C)C2)cn1")</f>
        <v>Cc1ccc(CN(C)C2CC(N(C)Cc3ccccn3)CC(N(Cc3ccccn3)Cc3nc(C)c(C)cc3C)C2)cn1</v>
      </c>
      <c r="C6808" s="7">
        <f>IFERROR(__xludf.DUMMYFUNCTION("""COMPUTED_VALUE"""),7.782637)</f>
        <v>7.782637</v>
      </c>
      <c r="D6808" s="7">
        <f>IFERROR(__xludf.DUMMYFUNCTION("""COMPUTED_VALUE"""),0.370967741935483)</f>
        <v>0.3709677419</v>
      </c>
    </row>
    <row r="6809">
      <c r="A6809" s="10" t="s">
        <v>8248</v>
      </c>
      <c r="B6809" s="7" t="str">
        <f>IFERROR(__xludf.DUMMYFUNCTION("SPLIT(A6809,"" "")"),"CC(C)N(C)C1=CNC(CN(C)Cc2ccccn2)=CC1")</f>
        <v>CC(C)N(C)C1=CNC(CN(C)Cc2ccccn2)=CC1</v>
      </c>
      <c r="C6809" s="7">
        <f>IFERROR(__xludf.DUMMYFUNCTION("""COMPUTED_VALUE"""),7.782633)</f>
        <v>7.782633</v>
      </c>
      <c r="D6809" s="7">
        <f>IFERROR(__xludf.DUMMYFUNCTION("""COMPUTED_VALUE"""),0.458333333333333)</f>
        <v>0.4583333333</v>
      </c>
    </row>
    <row r="6810">
      <c r="A6810" s="10" t="s">
        <v>8249</v>
      </c>
      <c r="B6810" s="7" t="str">
        <f>IFERROR(__xludf.DUMMYFUNCTION("SPLIT(A6810,"" "")"),"CC1=CCC(C)C2(C=CC3(C(C)C=CC4(C(C)C=CCC4C)C3C)C(c3cccc(CN(Cc4ccccn4)Cc4ccccn4)n3)C2c2cccc(CN(Cc3ccccn3)Cc3ccccn3)n2)C1C")</f>
        <v>CC1=CCC(C)C2(C=CC3(C(C)C=CC4(C(C)C=CCC4C)C3C)C(c3cccc(CN(Cc4ccccn4)Cc4ccccn4)n3)C2c2cccc(CN(Cc3ccccn3)Cc3ccccn3)n2)C1C</v>
      </c>
      <c r="C6810" s="7">
        <f>IFERROR(__xludf.DUMMYFUNCTION("""COMPUTED_VALUE"""),7.7826285)</f>
        <v>7.7826285</v>
      </c>
      <c r="D6810" s="7">
        <f>IFERROR(__xludf.DUMMYFUNCTION("""COMPUTED_VALUE"""),0.324675324675324)</f>
        <v>0.3246753247</v>
      </c>
    </row>
    <row r="6811">
      <c r="A6811" s="10" t="s">
        <v>8250</v>
      </c>
      <c r="B6811" s="7" t="str">
        <f>IFERROR(__xludf.DUMMYFUNCTION("SPLIT(A6811,"" "")"),"Cc1cccnc1CN(Cc1cccnc1)C1CCCC(N(C)c2ccnc(CN(C)C)c2)C1")</f>
        <v>Cc1cccnc1CN(Cc1cccnc1)C1CCCC(N(C)c2ccnc(CN(C)C)c2)C1</v>
      </c>
      <c r="C6811" s="7">
        <f>IFERROR(__xludf.DUMMYFUNCTION("""COMPUTED_VALUE"""),7.782627)</f>
        <v>7.782627</v>
      </c>
      <c r="D6811" s="7">
        <f>IFERROR(__xludf.DUMMYFUNCTION("""COMPUTED_VALUE"""),0.279411764705882)</f>
        <v>0.2794117647</v>
      </c>
    </row>
    <row r="6812">
      <c r="A6812" s="10" t="s">
        <v>8251</v>
      </c>
      <c r="B6812" s="7" t="str">
        <f>IFERROR(__xludf.DUMMYFUNCTION("SPLIT(A6812,"" "")"),"Cc1nc(CN(C)C2CCC(N(C)c3ccnc(CN(Cc4ccccn4)C(C)C)c3)CC2)c(C)c(C)c1C")</f>
        <v>Cc1nc(CN(C)C2CCC(N(C)c3ccnc(CN(Cc4ccccn4)C(C)C)c3)CC2)c(C)c(C)c1C</v>
      </c>
      <c r="C6812" s="7">
        <f>IFERROR(__xludf.DUMMYFUNCTION("""COMPUTED_VALUE"""),7.7825985)</f>
        <v>7.7825985</v>
      </c>
      <c r="D6812" s="7">
        <f>IFERROR(__xludf.DUMMYFUNCTION("""COMPUTED_VALUE"""),0.413793103448275)</f>
        <v>0.4137931034</v>
      </c>
    </row>
    <row r="6813">
      <c r="A6813" s="10" t="s">
        <v>8252</v>
      </c>
      <c r="B6813" s="7" t="str">
        <f>IFERROR(__xludf.DUMMYFUNCTION("SPLIT(A6813,"" "")"),"CCNCc1cccc(CN(Cc2ccccn2)C2C=CC=CN2)n1")</f>
        <v>CCNCc1cccc(CN(Cc2ccccn2)C2C=CC=CN2)n1</v>
      </c>
      <c r="C6813" s="7">
        <f>IFERROR(__xludf.DUMMYFUNCTION("""COMPUTED_VALUE"""),7.7825904)</f>
        <v>7.7825904</v>
      </c>
      <c r="D6813" s="7">
        <f>IFERROR(__xludf.DUMMYFUNCTION("""COMPUTED_VALUE"""),0.464285714285714)</f>
        <v>0.4642857143</v>
      </c>
    </row>
    <row r="6814">
      <c r="A6814" s="10" t="s">
        <v>8253</v>
      </c>
      <c r="B6814" s="7" t="str">
        <f>IFERROR(__xludf.DUMMYFUNCTION("SPLIT(A6814,"" "")"),"CCNCc1cc(CN(Cc2ncccc2C)C(C)C)ccn1")</f>
        <v>CCNCc1cc(CN(Cc2ncccc2C)C(C)C)ccn1</v>
      </c>
      <c r="C6814" s="7">
        <f>IFERROR(__xludf.DUMMYFUNCTION("""COMPUTED_VALUE"""),7.782587)</f>
        <v>7.782587</v>
      </c>
      <c r="D6814" s="7">
        <f>IFERROR(__xludf.DUMMYFUNCTION("""COMPUTED_VALUE"""),0.372549019607843)</f>
        <v>0.3725490196</v>
      </c>
    </row>
    <row r="6815">
      <c r="A6815" s="10" t="s">
        <v>8254</v>
      </c>
      <c r="B6815" s="7" t="str">
        <f>IFERROR(__xludf.DUMMYFUNCTION("SPLIT(A6815,"" "")"),"Cc1ccc(CN(CC2=CCC=C(N(C)Cc3ccccn3)N2)C2CCCC(N(C)Cc3ccccn3)C2)nc1")</f>
        <v>Cc1ccc(CN(CC2=CCC=C(N(C)Cc3ccccn3)N2)C2CCCC(N(C)Cc3ccccn3)C2)nc1</v>
      </c>
      <c r="C6815" s="7">
        <f>IFERROR(__xludf.DUMMYFUNCTION("""COMPUTED_VALUE"""),7.7825813)</f>
        <v>7.7825813</v>
      </c>
      <c r="D6815" s="7">
        <f>IFERROR(__xludf.DUMMYFUNCTION("""COMPUTED_VALUE"""),0.40625)</f>
        <v>0.40625</v>
      </c>
    </row>
    <row r="6816">
      <c r="A6816" s="10" t="s">
        <v>8255</v>
      </c>
      <c r="B6816" s="7" t="str">
        <f>IFERROR(__xludf.DUMMYFUNCTION("SPLIT(A6816,"" "")"),"Cc1cnc(CN(Cc2ccccn2)C(C)(N)N(Cc2ccccn2)C(C)(N)N(Cc2ccccn2)C(C)(N)N(Cc2ccccn2)Cc2ccc(CN3CCN(C)CCN(C)CC3)cn2)c(C)c1")</f>
        <v>Cc1cnc(CN(Cc2ccccn2)C(C)(N)N(Cc2ccccn2)C(C)(N)N(Cc2ccccn2)C(C)(N)N(Cc2ccccn2)Cc2ccc(CN3CCN(C)CCN(C)CC3)cn2)c(C)c1</v>
      </c>
      <c r="C6816" s="7">
        <f>IFERROR(__xludf.DUMMYFUNCTION("""COMPUTED_VALUE"""),7.7825794)</f>
        <v>7.7825794</v>
      </c>
      <c r="D6816" s="7">
        <f>IFERROR(__xludf.DUMMYFUNCTION("""COMPUTED_VALUE"""),0.40625)</f>
        <v>0.40625</v>
      </c>
    </row>
    <row r="6817">
      <c r="A6817" s="10" t="s">
        <v>8256</v>
      </c>
      <c r="B6817" s="7" t="str">
        <f>IFERROR(__xludf.DUMMYFUNCTION("SPLIT(A6817,"" "")"),"CN1CCN(Cc2cccc(C3=NC(C)(C)CO3)n2)CCN(Cc2cccc(C(C)(C)c3ccccn3)n2)CC1")</f>
        <v>CN1CCN(Cc2cccc(C3=NC(C)(C)CO3)n2)CCN(Cc2cccc(C(C)(C)c3ccccn3)n2)CC1</v>
      </c>
      <c r="C6817" s="7">
        <f>IFERROR(__xludf.DUMMYFUNCTION("""COMPUTED_VALUE"""),7.7825546)</f>
        <v>7.7825546</v>
      </c>
      <c r="D6817" s="7">
        <f>IFERROR(__xludf.DUMMYFUNCTION("""COMPUTED_VALUE"""),0.448275862068965)</f>
        <v>0.4482758621</v>
      </c>
    </row>
    <row r="6818">
      <c r="A6818" s="10" t="s">
        <v>8257</v>
      </c>
      <c r="B6818" s="7" t="str">
        <f>IFERROR(__xludf.DUMMYFUNCTION("SPLIT(A6818,"" "")"),"Cc1cc(CNCCN(C)CC(C)(C)C)nc(C)c1C")</f>
        <v>Cc1cc(CNCCN(C)CC(C)(C)C)nc(C)c1C</v>
      </c>
      <c r="C6818" s="7">
        <f>IFERROR(__xludf.DUMMYFUNCTION("""COMPUTED_VALUE"""),7.782554)</f>
        <v>7.782554</v>
      </c>
      <c r="D6818" s="7">
        <f>IFERROR(__xludf.DUMMYFUNCTION("""COMPUTED_VALUE"""),0.245283018867924)</f>
        <v>0.2452830189</v>
      </c>
    </row>
    <row r="6819">
      <c r="A6819" s="10" t="s">
        <v>8258</v>
      </c>
      <c r="B6819" s="7" t="str">
        <f>IFERROR(__xludf.DUMMYFUNCTION("SPLIT(A6819,"" "")"),"Cc1cc(CN(C)CCN(C)Cc2ncccc2C)ccn1")</f>
        <v>Cc1cc(CN(C)CCN(C)Cc2ncccc2C)ccn1</v>
      </c>
      <c r="C6819" s="7">
        <f>IFERROR(__xludf.DUMMYFUNCTION("""COMPUTED_VALUE"""),7.7825513)</f>
        <v>7.7825513</v>
      </c>
      <c r="D6819" s="7">
        <f>IFERROR(__xludf.DUMMYFUNCTION("""COMPUTED_VALUE"""),0.382978723404255)</f>
        <v>0.3829787234</v>
      </c>
    </row>
    <row r="6820">
      <c r="A6820" s="10" t="s">
        <v>8259</v>
      </c>
      <c r="B6820" s="7" t="str">
        <f>IFERROR(__xludf.DUMMYFUNCTION("SPLIT(A6820,"" "")"),"CC1(C)COC(c2cccc(CN(Cc3ccccn3)Cc3cccc(-c4ccc5c(c4)OCCOCCOCCOCCOCCO5)n3)n2)=N1")</f>
        <v>CC1(C)COC(c2cccc(CN(Cc3ccccn3)Cc3cccc(-c4ccc5c(c4)OCCOCCOCCOCCOCCO5)n3)n2)=N1</v>
      </c>
      <c r="C6820" s="7">
        <f>IFERROR(__xludf.DUMMYFUNCTION("""COMPUTED_VALUE"""),7.7825394)</f>
        <v>7.7825394</v>
      </c>
      <c r="D6820" s="7">
        <f>IFERROR(__xludf.DUMMYFUNCTION("""COMPUTED_VALUE"""),0.462686567164179)</f>
        <v>0.4626865672</v>
      </c>
    </row>
    <row r="6821">
      <c r="A6821" s="10" t="s">
        <v>8260</v>
      </c>
      <c r="B6821" s="7" t="str">
        <f>IFERROR(__xludf.DUMMYFUNCTION("SPLIT(A6821,"" "")"),"Cc1ccnc(CN(C)C2C=CNC(C(C)(C)C)=C2)c1")</f>
        <v>Cc1ccnc(CN(C)C2C=CNC(C(C)(C)C)=C2)c1</v>
      </c>
      <c r="C6821" s="7">
        <f>IFERROR(__xludf.DUMMYFUNCTION("""COMPUTED_VALUE"""),7.782538)</f>
        <v>7.782538</v>
      </c>
      <c r="D6821" s="7">
        <f>IFERROR(__xludf.DUMMYFUNCTION("""COMPUTED_VALUE"""),0.309090909090909)</f>
        <v>0.3090909091</v>
      </c>
    </row>
    <row r="6822">
      <c r="A6822" s="10" t="s">
        <v>8261</v>
      </c>
      <c r="B6822" s="7" t="str">
        <f>IFERROR(__xludf.DUMMYFUNCTION("SPLIT(A6822,"" "")"),"Cc1cccnc1CN(C)Cc1ccc(N(C)Cc2cccc(-c3cccc4c3OCCOCCOCCOCCOCCO4)n2)cn1")</f>
        <v>Cc1cccnc1CN(C)Cc1ccc(N(C)Cc2cccc(-c3cccc4c3OCCOCCOCCOCCOCCO4)n2)cn1</v>
      </c>
      <c r="C6822" s="7">
        <f>IFERROR(__xludf.DUMMYFUNCTION("""COMPUTED_VALUE"""),7.7825346)</f>
        <v>7.7825346</v>
      </c>
      <c r="D6822" s="7">
        <f>IFERROR(__xludf.DUMMYFUNCTION("""COMPUTED_VALUE"""),0.367647058823529)</f>
        <v>0.3676470588</v>
      </c>
    </row>
    <row r="6823">
      <c r="A6823" s="10" t="s">
        <v>8262</v>
      </c>
      <c r="B6823" s="7" t="str">
        <f>IFERROR(__xludf.DUMMYFUNCTION("SPLIT(A6823,"" "")"),"CC(C)(C)N1CCN=CC2C=CC=C(c3cccc(n3)C1)N2C(C)(C)C")</f>
        <v>CC(C)(C)N1CCN=CC2C=CC=C(c3cccc(n3)C1)N2C(C)(C)C</v>
      </c>
      <c r="C6823" s="7">
        <f>IFERROR(__xludf.DUMMYFUNCTION("""COMPUTED_VALUE"""),7.7825284)</f>
        <v>7.7825284</v>
      </c>
      <c r="D6823" s="7">
        <f>IFERROR(__xludf.DUMMYFUNCTION("""COMPUTED_VALUE"""),0.416666666666666)</f>
        <v>0.4166666667</v>
      </c>
    </row>
    <row r="6824">
      <c r="A6824" s="10" t="s">
        <v>8263</v>
      </c>
      <c r="B6824" s="7" t="str">
        <f>IFERROR(__xludf.DUMMYFUNCTION("SPLIT(A6824,"" "")"),"Cc1ccnc(CN(C)CCN(C)Cc2ccccn2)c1C")</f>
        <v>Cc1ccnc(CN(C)CCN(C)Cc2ccccn2)c1C</v>
      </c>
      <c r="C6824" s="7">
        <f>IFERROR(__xludf.DUMMYFUNCTION("""COMPUTED_VALUE"""),7.7825174)</f>
        <v>7.7825174</v>
      </c>
      <c r="D6824" s="7">
        <f>IFERROR(__xludf.DUMMYFUNCTION("""COMPUTED_VALUE"""),0.476190476190476)</f>
        <v>0.4761904762</v>
      </c>
    </row>
    <row r="6825">
      <c r="A6825" s="10" t="s">
        <v>8264</v>
      </c>
      <c r="B6825" s="7" t="str">
        <f>IFERROR(__xludf.DUMMYFUNCTION("SPLIT(A6825,"" "")"),"CCN(CCN(C)Cc1nc(C)c(C)c(C)c1C)Cc1ccccn1")</f>
        <v>CCN(CCN(C)Cc1nc(C)c(C)c(C)c1C)Cc1ccccn1</v>
      </c>
      <c r="C6825" s="7">
        <f>IFERROR(__xludf.DUMMYFUNCTION("""COMPUTED_VALUE"""),7.7825165)</f>
        <v>7.7825165</v>
      </c>
      <c r="D6825" s="7">
        <f>IFERROR(__xludf.DUMMYFUNCTION("""COMPUTED_VALUE"""),0.5)</f>
        <v>0.5</v>
      </c>
    </row>
    <row r="6826">
      <c r="A6826" s="10" t="s">
        <v>8265</v>
      </c>
      <c r="B6826" s="7" t="str">
        <f>IFERROR(__xludf.DUMMYFUNCTION("SPLIT(A6826,"" "")"),"CN(Cc1cccc(C2CC(Cl)C2Cl)n1)Cc1cccc(C2CC(Cl)C2Cl)n1")</f>
        <v>CN(Cc1cccc(C2CC(Cl)C2Cl)n1)Cc1cccc(C2CC(Cl)C2Cl)n1</v>
      </c>
      <c r="C6826" s="7">
        <f>IFERROR(__xludf.DUMMYFUNCTION("""COMPUTED_VALUE"""),7.7825165)</f>
        <v>7.7825165</v>
      </c>
      <c r="D6826" s="7">
        <f>IFERROR(__xludf.DUMMYFUNCTION("""COMPUTED_VALUE"""),0.413043478260869)</f>
        <v>0.4130434783</v>
      </c>
    </row>
    <row r="6827">
      <c r="A6827" s="10" t="s">
        <v>8266</v>
      </c>
      <c r="B6827" s="7" t="str">
        <f>IFERROR(__xludf.DUMMYFUNCTION("SPLIT(A6827,"" "")"),"Cc1cccnc1CN(Cc1cccc(-c2ccc3c(c2)OCCOCCOCCOCCOCCO3)n1)C1CCC(N(C)c2cccc3ccc(CN(C)C)nc23)CC1")</f>
        <v>Cc1cccnc1CN(Cc1cccc(-c2ccc3c(c2)OCCOCCOCCOCCOCCO3)n1)C1CCC(N(C)c2cccc3ccc(CN(C)C)nc23)CC1</v>
      </c>
      <c r="C6827" s="7">
        <f>IFERROR(__xludf.DUMMYFUNCTION("""COMPUTED_VALUE"""),7.782516)</f>
        <v>7.782516</v>
      </c>
      <c r="D6827" s="7">
        <f>IFERROR(__xludf.DUMMYFUNCTION("""COMPUTED_VALUE"""),0.309523809523809)</f>
        <v>0.3095238095</v>
      </c>
    </row>
    <row r="6828">
      <c r="A6828" s="10" t="s">
        <v>8267</v>
      </c>
      <c r="B6828" s="7" t="str">
        <f>IFERROR(__xludf.DUMMYFUNCTION("SPLIT(A6828,"" "")"),"CN(Cc1ccccn1)C1=CNC=CC1CN(C)C1C=CC=CN1")</f>
        <v>CN(Cc1ccccn1)C1=CNC=CC1CN(C)C1C=CC=CN1</v>
      </c>
      <c r="C6828" s="7">
        <f>IFERROR(__xludf.DUMMYFUNCTION("""COMPUTED_VALUE"""),7.782515)</f>
        <v>7.782515</v>
      </c>
      <c r="D6828" s="7">
        <f>IFERROR(__xludf.DUMMYFUNCTION("""COMPUTED_VALUE"""),0.473684210526315)</f>
        <v>0.4736842105</v>
      </c>
    </row>
    <row r="6829">
      <c r="A6829" s="10" t="s">
        <v>8268</v>
      </c>
      <c r="B6829" s="7" t="str">
        <f>IFERROR(__xludf.DUMMYFUNCTION("SPLIT(A6829,"" "")"),"Cc1cnc(CN(C)CCN)c(C)c1C")</f>
        <v>Cc1cnc(CN(C)CCN)c(C)c1C</v>
      </c>
      <c r="C6829" s="7">
        <f>IFERROR(__xludf.DUMMYFUNCTION("""COMPUTED_VALUE"""),7.7824993)</f>
        <v>7.7824993</v>
      </c>
      <c r="D6829" s="7">
        <f>IFERROR(__xludf.DUMMYFUNCTION("""COMPUTED_VALUE"""),0.384615384615384)</f>
        <v>0.3846153846</v>
      </c>
    </row>
    <row r="6830">
      <c r="A6830" s="10" t="s">
        <v>8269</v>
      </c>
      <c r="B6830" s="7" t="str">
        <f>IFERROR(__xludf.DUMMYFUNCTION("SPLIT(A6830,"" "")"),"Cc1cnc(CN(C)C2CCCC(N(Cc3ccccn3)Cc3cccnc3C(C)(c3cccnc3)C(C)N)C2)c(C)c1C")</f>
        <v>Cc1cnc(CN(C)C2CCCC(N(Cc3ccccn3)Cc3cccnc3C(C)(c3cccnc3)C(C)N)C2)c(C)c1C</v>
      </c>
      <c r="C6830" s="7">
        <f>IFERROR(__xludf.DUMMYFUNCTION("""COMPUTED_VALUE"""),7.782486)</f>
        <v>7.782486</v>
      </c>
      <c r="D6830" s="7">
        <f>IFERROR(__xludf.DUMMYFUNCTION("""COMPUTED_VALUE"""),0.31578947368421)</f>
        <v>0.3157894737</v>
      </c>
    </row>
    <row r="6831">
      <c r="A6831" s="10" t="s">
        <v>8270</v>
      </c>
      <c r="B6831" s="7" t="str">
        <f>IFERROR(__xludf.DUMMYFUNCTION("SPLIT(A6831,"" "")"),"CNC1C(N(C)Cc2nc(C)ccc2C)CCCC1N(Cc1nc(C)c(C)cc1C)Cc1nc(C)c(C)cc1C")</f>
        <v>CNC1C(N(C)Cc2nc(C)ccc2C)CCCC1N(Cc1nc(C)c(C)cc1C)Cc1nc(C)c(C)cc1C</v>
      </c>
      <c r="C6831" s="7">
        <f>IFERROR(__xludf.DUMMYFUNCTION("""COMPUTED_VALUE"""),7.7824645)</f>
        <v>7.7824645</v>
      </c>
      <c r="D6831" s="7">
        <f>IFERROR(__xludf.DUMMYFUNCTION("""COMPUTED_VALUE"""),0.368421052631578)</f>
        <v>0.3684210526</v>
      </c>
    </row>
    <row r="6832">
      <c r="A6832" s="10" t="s">
        <v>8271</v>
      </c>
      <c r="B6832" s="7" t="str">
        <f>IFERROR(__xludf.DUMMYFUNCTION("SPLIT(A6832,"" "")"),"CNCc1cccc(CN(Cc2nc(C)c(C)c(C)c2C)C2CCC(N(C)Cc3nc(C)c(C)c(C)c3C)CC2)n1")</f>
        <v>CNCc1cccc(CN(Cc2nc(C)c(C)c(C)c2C)C2CCC(N(C)Cc3nc(C)c(C)c(C)c3C)CC2)n1</v>
      </c>
      <c r="C6832" s="7">
        <f>IFERROR(__xludf.DUMMYFUNCTION("""COMPUTED_VALUE"""),7.782462)</f>
        <v>7.782462</v>
      </c>
      <c r="D6832" s="7">
        <f>IFERROR(__xludf.DUMMYFUNCTION("""COMPUTED_VALUE"""),0.344827586206896)</f>
        <v>0.3448275862</v>
      </c>
    </row>
    <row r="6833">
      <c r="A6833" s="10" t="s">
        <v>8272</v>
      </c>
      <c r="B6833" s="7" t="str">
        <f>IFERROR(__xludf.DUMMYFUNCTION("SPLIT(A6833,"" "")"),"Cc1ccccc1N(Cc1ccccn1)C1CCC(N(C)Cc2nccc(C)c2C)CC1")</f>
        <v>Cc1ccccc1N(Cc1ccccn1)C1CCC(N(C)Cc2nccc(C)c2C)CC1</v>
      </c>
      <c r="C6833" s="7">
        <f>IFERROR(__xludf.DUMMYFUNCTION("""COMPUTED_VALUE"""),7.7824597)</f>
        <v>7.7824597</v>
      </c>
      <c r="D6833" s="7">
        <f>IFERROR(__xludf.DUMMYFUNCTION("""COMPUTED_VALUE"""),0.425925925925925)</f>
        <v>0.4259259259</v>
      </c>
    </row>
    <row r="6834">
      <c r="A6834" s="10" t="s">
        <v>8273</v>
      </c>
      <c r="B6834" s="7" t="str">
        <f>IFERROR(__xludf.DUMMYFUNCTION("SPLIT(A6834,"" "")"),"CNCc1ccc(C)c(CN(Cc2nc(C)c(C)c(C)c2C)C2CCCCC2N(C)Cc2nc(C)c(C)c(C)c2C)n1")</f>
        <v>CNCc1ccc(C)c(CN(Cc2nc(C)c(C)c(C)c2C)C2CCCCC2N(C)Cc2nc(C)c(C)c(C)c2C)n1</v>
      </c>
      <c r="C6834" s="7">
        <f>IFERROR(__xludf.DUMMYFUNCTION("""COMPUTED_VALUE"""),7.782459)</f>
        <v>7.782459</v>
      </c>
      <c r="D6834" s="7">
        <f>IFERROR(__xludf.DUMMYFUNCTION("""COMPUTED_VALUE"""),0.379310344827586)</f>
        <v>0.3793103448</v>
      </c>
    </row>
    <row r="6835">
      <c r="A6835" s="10" t="s">
        <v>8274</v>
      </c>
      <c r="B6835" s="7" t="str">
        <f>IFERROR(__xludf.DUMMYFUNCTION("SPLIT(A6835,"" "")"),"Cc1cncc(CN(C)C2CCC(N(C)Cc3ccc4ncccc4c3)CC2)c1")</f>
        <v>Cc1cncc(CN(C)C2CCC(N(C)Cc3ccc4ncccc4c3)CC2)c1</v>
      </c>
      <c r="C6835" s="7">
        <f>IFERROR(__xludf.DUMMYFUNCTION("""COMPUTED_VALUE"""),7.7824492)</f>
        <v>7.7824492</v>
      </c>
      <c r="D6835" s="7">
        <f>IFERROR(__xludf.DUMMYFUNCTION("""COMPUTED_VALUE"""),0.293103448275862)</f>
        <v>0.2931034483</v>
      </c>
    </row>
    <row r="6836">
      <c r="A6836" s="10" t="s">
        <v>8275</v>
      </c>
      <c r="B6836" s="7" t="str">
        <f>IFERROR(__xludf.DUMMYFUNCTION("SPLIT(A6836,"" "")"),"CN(CF)CC1=C(N(C)Cc2ccccn2)CC=CN1")</f>
        <v>CN(CF)CC1=C(N(C)Cc2ccccn2)CC=CN1</v>
      </c>
      <c r="C6836" s="7">
        <f>IFERROR(__xludf.DUMMYFUNCTION("""COMPUTED_VALUE"""),7.7824335)</f>
        <v>7.7824335</v>
      </c>
      <c r="D6836" s="7">
        <f>IFERROR(__xludf.DUMMYFUNCTION("""COMPUTED_VALUE"""),0.418181818181818)</f>
        <v>0.4181818182</v>
      </c>
    </row>
    <row r="6837">
      <c r="A6837" s="10" t="s">
        <v>8276</v>
      </c>
      <c r="B6837" s="7" t="str">
        <f>IFERROR(__xludf.DUMMYFUNCTION("SPLIT(A6837,"" "")"),"CC1=C(N(C)Cc2ccccn2)CC(C)CC1(C)C")</f>
        <v>CC1=C(N(C)Cc2ccccn2)CC(C)CC1(C)C</v>
      </c>
      <c r="C6837" s="7">
        <f>IFERROR(__xludf.DUMMYFUNCTION("""COMPUTED_VALUE"""),7.78243)</f>
        <v>7.78243</v>
      </c>
      <c r="D6837" s="7">
        <f>IFERROR(__xludf.DUMMYFUNCTION("""COMPUTED_VALUE"""),0.4375)</f>
        <v>0.4375</v>
      </c>
    </row>
    <row r="6838">
      <c r="A6838" s="10" t="s">
        <v>8277</v>
      </c>
      <c r="B6838" s="7" t="str">
        <f>IFERROR(__xludf.DUMMYFUNCTION("SPLIT(A6838,"" "")"),"CC1=C(C)C(N(C)Cc2ncccc2C(C)(C)c2ccccn2)CCC1C")</f>
        <v>CC1=C(C)C(N(C)Cc2ncccc2C(C)(C)c2ccccn2)CCC1C</v>
      </c>
      <c r="C6838" s="7">
        <f>IFERROR(__xludf.DUMMYFUNCTION("""COMPUTED_VALUE"""),7.782418)</f>
        <v>7.782418</v>
      </c>
      <c r="D6838" s="7">
        <f>IFERROR(__xludf.DUMMYFUNCTION("""COMPUTED_VALUE"""),0.333333333333333)</f>
        <v>0.3333333333</v>
      </c>
    </row>
    <row r="6839">
      <c r="A6839" s="10" t="s">
        <v>8278</v>
      </c>
      <c r="B6839" s="7" t="str">
        <f>IFERROR(__xludf.DUMMYFUNCTION("SPLIT(A6839,"" "")"),"CNCc1cc(CN(Cc2nc(C)c(C)c(C)c2C)C2CCC(N(C)Cc3nc(C)c(C)c(C)c3C)CC2)ccn1")</f>
        <v>CNCc1cc(CN(Cc2nc(C)c(C)c(C)c2C)C2CCC(N(C)Cc3nc(C)c(C)c(C)c3C)CC2)ccn1</v>
      </c>
      <c r="C6839" s="7">
        <f>IFERROR(__xludf.DUMMYFUNCTION("""COMPUTED_VALUE"""),7.782415)</f>
        <v>7.782415</v>
      </c>
      <c r="D6839" s="7">
        <f>IFERROR(__xludf.DUMMYFUNCTION("""COMPUTED_VALUE"""),0.269841269841269)</f>
        <v>0.2698412698</v>
      </c>
    </row>
    <row r="6840">
      <c r="A6840" s="10" t="s">
        <v>8279</v>
      </c>
      <c r="B6840" s="7" t="str">
        <f>IFERROR(__xludf.DUMMYFUNCTION("SPLIT(A6840,"" "")"),"CNC1C(N(Cc2ccccn2)Cc2ncc(C)cc2C)CCCC1N(Cc1ccccn1)Cc1nc(C)c(C)c(C)c1C")</f>
        <v>CNC1C(N(Cc2ccccn2)Cc2ncc(C)cc2C)CCCC1N(Cc1ccccn1)Cc1nc(C)c(C)c(C)c1C</v>
      </c>
      <c r="C6840" s="7">
        <f>IFERROR(__xludf.DUMMYFUNCTION("""COMPUTED_VALUE"""),7.782401)</f>
        <v>7.782401</v>
      </c>
      <c r="D6840" s="7">
        <f>IFERROR(__xludf.DUMMYFUNCTION("""COMPUTED_VALUE"""),0.387096774193548)</f>
        <v>0.3870967742</v>
      </c>
    </row>
    <row r="6841">
      <c r="A6841" s="10" t="s">
        <v>8280</v>
      </c>
      <c r="B6841" s="7" t="str">
        <f>IFERROR(__xludf.DUMMYFUNCTION("SPLIT(A6841,"" "")"),"CC1=CC(C)CC2(C=CC3(C(C)C=CC4(C(C)C=CCC4C)C3C)C(c3cccc(CN(Cc4ccccn4)Cc4ccccn4)n3)C2c2cccc(CN(Cc3ccccn3)Cc3ccccn3)n2)C1C")</f>
        <v>CC1=CC(C)CC2(C=CC3(C(C)C=CC4(C(C)C=CCC4C)C3C)C(c3cccc(CN(Cc4ccccn4)Cc4ccccn4)n3)C2c2cccc(CN(Cc3ccccn3)Cc3ccccn3)n2)C1C</v>
      </c>
      <c r="C6841" s="7">
        <f>IFERROR(__xludf.DUMMYFUNCTION("""COMPUTED_VALUE"""),7.7823935)</f>
        <v>7.7823935</v>
      </c>
      <c r="D6841" s="7">
        <f>IFERROR(__xludf.DUMMYFUNCTION("""COMPUTED_VALUE"""),0.301204819277108)</f>
        <v>0.3012048193</v>
      </c>
    </row>
    <row r="6842">
      <c r="A6842" s="10" t="s">
        <v>8281</v>
      </c>
      <c r="B6842" s="7" t="str">
        <f>IFERROR(__xludf.DUMMYFUNCTION("SPLIT(A6842,"" "")"),"CC1(C)COC(c2ncccc2CN(Cc2ccccn2)Cc2cccc(-c3ccc4c(c3)OCCOCCOCCOCCOCCO4)n2)=N1")</f>
        <v>CC1(C)COC(c2ncccc2CN(Cc2ccccn2)Cc2cccc(-c3ccc4c(c3)OCCOCCOCCOCCOCCO4)n2)=N1</v>
      </c>
      <c r="C6842" s="7">
        <f>IFERROR(__xludf.DUMMYFUNCTION("""COMPUTED_VALUE"""),7.7823887)</f>
        <v>7.7823887</v>
      </c>
      <c r="D6842" s="7">
        <f>IFERROR(__xludf.DUMMYFUNCTION("""COMPUTED_VALUE"""),0.424657534246575)</f>
        <v>0.4246575342</v>
      </c>
    </row>
    <row r="6843">
      <c r="A6843" s="10" t="s">
        <v>8282</v>
      </c>
      <c r="B6843" s="7" t="str">
        <f>IFERROR(__xludf.DUMMYFUNCTION("SPLIT(A6843,"" "")"),"Cc1cc(CN(C)CCN)c(C)nc1C")</f>
        <v>Cc1cc(CN(C)CCN)c(C)nc1C</v>
      </c>
      <c r="C6843" s="7">
        <f>IFERROR(__xludf.DUMMYFUNCTION("""COMPUTED_VALUE"""),7.7823853)</f>
        <v>7.7823853</v>
      </c>
      <c r="D6843" s="7">
        <f>IFERROR(__xludf.DUMMYFUNCTION("""COMPUTED_VALUE"""),0.318181818181818)</f>
        <v>0.3181818182</v>
      </c>
    </row>
    <row r="6844">
      <c r="A6844" s="10" t="s">
        <v>8283</v>
      </c>
      <c r="B6844" s="7" t="str">
        <f>IFERROR(__xludf.DUMMYFUNCTION("SPLIT(A6844,"" "")"),"CNc1cnc(CN(Cc2ccccn2)C2CCC(N(C)Cc3nc(C)c(C)c(C)c3C)CC2)c(C)c1")</f>
        <v>CNc1cnc(CN(Cc2ccccn2)C2CCC(N(C)Cc3nc(C)c(C)c(C)c3C)CC2)c(C)c1</v>
      </c>
      <c r="C6844" s="7">
        <f>IFERROR(__xludf.DUMMYFUNCTION("""COMPUTED_VALUE"""),7.782368)</f>
        <v>7.782368</v>
      </c>
      <c r="D6844" s="7">
        <f>IFERROR(__xludf.DUMMYFUNCTION("""COMPUTED_VALUE"""),0.353846153846153)</f>
        <v>0.3538461538</v>
      </c>
    </row>
    <row r="6845">
      <c r="A6845" s="10" t="s">
        <v>8284</v>
      </c>
      <c r="B6845" s="7" t="str">
        <f>IFERROR(__xludf.DUMMYFUNCTION("SPLIT(A6845,"" "")"),"Cc1cccnn1")</f>
        <v>Cc1cccnn1</v>
      </c>
      <c r="C6845" s="7">
        <f>IFERROR(__xludf.DUMMYFUNCTION("""COMPUTED_VALUE"""),7.7823663)</f>
        <v>7.7823663</v>
      </c>
      <c r="D6845" s="7">
        <f>IFERROR(__xludf.DUMMYFUNCTION("""COMPUTED_VALUE"""),0.4)</f>
        <v>0.4</v>
      </c>
    </row>
    <row r="6846">
      <c r="A6846" s="10" t="s">
        <v>8285</v>
      </c>
      <c r="B6846" s="7" t="str">
        <f>IFERROR(__xludf.DUMMYFUNCTION("SPLIT(A6846,"" "")"),"CCCNCc1cccc(CN(Cc2ccccn2)Cc2cccc(C)n2)n1")</f>
        <v>CCCNCc1cccc(CN(Cc2ccccn2)Cc2cccc(C)n2)n1</v>
      </c>
      <c r="C6846" s="7">
        <f>IFERROR(__xludf.DUMMYFUNCTION("""COMPUTED_VALUE"""),7.7823567)</f>
        <v>7.7823567</v>
      </c>
      <c r="D6846" s="7">
        <f>IFERROR(__xludf.DUMMYFUNCTION("""COMPUTED_VALUE"""),0.48780487804878)</f>
        <v>0.487804878</v>
      </c>
    </row>
    <row r="6847">
      <c r="A6847" s="10" t="s">
        <v>8286</v>
      </c>
      <c r="B6847" s="7" t="str">
        <f>IFERROR(__xludf.DUMMYFUNCTION("SPLIT(A6847,"" "")"),"Cc1cnc(CN(C)C2=CNC(CN(C)C3CCCC(N(C)Cc4ncc(C)c(C)c4C)C3)=CC2)c(C)c1C")</f>
        <v>Cc1cnc(CN(C)C2=CNC(CN(C)C3CCCC(N(C)Cc4ncc(C)c(C)c4C)C3)=CC2)c(C)c1C</v>
      </c>
      <c r="C6847" s="7">
        <f>IFERROR(__xludf.DUMMYFUNCTION("""COMPUTED_VALUE"""),7.7823553)</f>
        <v>7.7823553</v>
      </c>
      <c r="D6847" s="7">
        <f>IFERROR(__xludf.DUMMYFUNCTION("""COMPUTED_VALUE"""),0.269841269841269)</f>
        <v>0.2698412698</v>
      </c>
    </row>
    <row r="6848">
      <c r="A6848" s="10" t="s">
        <v>8287</v>
      </c>
      <c r="B6848" s="7" t="str">
        <f>IFERROR(__xludf.DUMMYFUNCTION("SPLIT(A6848,"" "")"),"CCN(Cc1cccc(-c2ccc3c(c2)OCCOCCOCCOCCOCCO3)n1)C1CCC(N(C)Cc2cccc(-c3ccc4ncccc4c3)n2)CC1")</f>
        <v>CCN(Cc1cccc(-c2ccc3c(c2)OCCOCCOCCOCCOCCO3)n1)C1CCC(N(C)Cc2cccc(-c3ccc4ncccc4c3)n2)CC1</v>
      </c>
      <c r="C6848" s="7">
        <f>IFERROR(__xludf.DUMMYFUNCTION("""COMPUTED_VALUE"""),7.7823544)</f>
        <v>7.7823544</v>
      </c>
      <c r="D6848" s="7">
        <f>IFERROR(__xludf.DUMMYFUNCTION("""COMPUTED_VALUE"""),0.320987654320987)</f>
        <v>0.3209876543</v>
      </c>
    </row>
    <row r="6849">
      <c r="A6849" s="10" t="s">
        <v>8288</v>
      </c>
      <c r="B6849" s="7" t="str">
        <f>IFERROR(__xludf.DUMMYFUNCTION("SPLIT(A6849,"" "")"),"CNC1C(N(Cc2ccc(C)cn2)Cc2cccc(C)n2)CCCC1N(Cc1ccc(C)cn1)Cc1nc(C)c(C)cc1C")</f>
        <v>CNC1C(N(Cc2ccc(C)cn2)Cc2cccc(C)n2)CCCC1N(Cc1ccc(C)cn1)Cc1nc(C)c(C)cc1C</v>
      </c>
      <c r="C6849" s="7">
        <f>IFERROR(__xludf.DUMMYFUNCTION("""COMPUTED_VALUE"""),7.782352)</f>
        <v>7.782352</v>
      </c>
      <c r="D6849" s="7">
        <f>IFERROR(__xludf.DUMMYFUNCTION("""COMPUTED_VALUE"""),0.416666666666666)</f>
        <v>0.4166666667</v>
      </c>
    </row>
    <row r="6850">
      <c r="A6850" s="10" t="s">
        <v>8289</v>
      </c>
      <c r="B6850" s="7" t="str">
        <f>IFERROR(__xludf.DUMMYFUNCTION("SPLIT(A6850,"" "")"),"CC1=CC(C)C(N(C)CC2=CC(N(C)Cc3cc(C)c(C)c(C)n3)C=CN2)C(C)C1")</f>
        <v>CC1=CC(C)C(N(C)CC2=CC(N(C)Cc3cc(C)c(C)c(C)n3)C=CN2)C(C)C1</v>
      </c>
      <c r="C6850" s="7">
        <f>IFERROR(__xludf.DUMMYFUNCTION("""COMPUTED_VALUE"""),7.7823505)</f>
        <v>7.7823505</v>
      </c>
      <c r="D6850" s="7">
        <f>IFERROR(__xludf.DUMMYFUNCTION("""COMPUTED_VALUE"""),0.279411764705882)</f>
        <v>0.2794117647</v>
      </c>
    </row>
    <row r="6851">
      <c r="A6851" s="10" t="s">
        <v>8290</v>
      </c>
      <c r="B6851" s="7" t="str">
        <f>IFERROR(__xludf.DUMMYFUNCTION("SPLIT(A6851,"" "")"),"CCN(Cc1cccc(-c2cccc3c2OCCOCCOCCOCCOCCO3)n1)C1CCC(N(C)Cc2cc(-c3cccc4ncccc34)ccn2)CC1")</f>
        <v>CCN(Cc1cccc(-c2cccc3c2OCCOCCOCCOCCOCCO3)n1)C1CCC(N(C)Cc2cc(-c3cccc4ncccc34)ccn2)CC1</v>
      </c>
      <c r="C6851" s="7">
        <f>IFERROR(__xludf.DUMMYFUNCTION("""COMPUTED_VALUE"""),7.78235)</f>
        <v>7.78235</v>
      </c>
      <c r="D6851" s="7">
        <f>IFERROR(__xludf.DUMMYFUNCTION("""COMPUTED_VALUE"""),0.271604938271604)</f>
        <v>0.2716049383</v>
      </c>
    </row>
    <row r="6852">
      <c r="A6852" s="10" t="s">
        <v>8291</v>
      </c>
      <c r="B6852" s="7" t="str">
        <f>IFERROR(__xludf.DUMMYFUNCTION("SPLIT(A6852,"" "")"),"Cc1cc(CN(C)CCN(C)C(C)C)nc(C)c1C")</f>
        <v>Cc1cc(CN(C)CCN(C)C(C)C)nc(C)c1C</v>
      </c>
      <c r="C6852" s="7">
        <f>IFERROR(__xludf.DUMMYFUNCTION("""COMPUTED_VALUE"""),7.782337)</f>
        <v>7.782337</v>
      </c>
      <c r="D6852" s="7">
        <f>IFERROR(__xludf.DUMMYFUNCTION("""COMPUTED_VALUE"""),0.38095238095238)</f>
        <v>0.380952381</v>
      </c>
    </row>
    <row r="6853">
      <c r="A6853" s="10" t="s">
        <v>8292</v>
      </c>
      <c r="B6853" s="7" t="str">
        <f>IFERROR(__xludf.DUMMYFUNCTION("SPLIT(A6853,"" "")"),"Cc1cnccc1CN(C)C1C=CC=CN1")</f>
        <v>Cc1cnccc1CN(C)C1C=CC=CN1</v>
      </c>
      <c r="C6853" s="7">
        <f>IFERROR(__xludf.DUMMYFUNCTION("""COMPUTED_VALUE"""),7.7823296)</f>
        <v>7.7823296</v>
      </c>
      <c r="D6853" s="7">
        <f>IFERROR(__xludf.DUMMYFUNCTION("""COMPUTED_VALUE"""),0.309090909090909)</f>
        <v>0.3090909091</v>
      </c>
    </row>
    <row r="6854">
      <c r="A6854" s="10" t="s">
        <v>8293</v>
      </c>
      <c r="B6854" s="7" t="str">
        <f>IFERROR(__xludf.DUMMYFUNCTION("SPLIT(A6854,"" "")"),"CC1=CC(C)C2(C=CC3(CC=C(C)C(C)C3C)C(c3cccc(CN(C)Cc4ccccn4)n3)C2c2ccc(CN(C)Cc3ccccn3)cn2)C(C)C1")</f>
        <v>CC1=CC(C)C2(C=CC3(CC=C(C)C(C)C3C)C(c3cccc(CN(C)Cc4ccccn4)n3)C2c2ccc(CN(C)Cc3ccccn3)cn2)C(C)C1</v>
      </c>
      <c r="C6854" s="7">
        <f>IFERROR(__xludf.DUMMYFUNCTION("""COMPUTED_VALUE"""),7.782327)</f>
        <v>7.782327</v>
      </c>
      <c r="D6854" s="7">
        <f>IFERROR(__xludf.DUMMYFUNCTION("""COMPUTED_VALUE"""),0.342105263157894)</f>
        <v>0.3421052632</v>
      </c>
    </row>
    <row r="6855">
      <c r="A6855" s="10" t="s">
        <v>8294</v>
      </c>
      <c r="B6855" s="7" t="str">
        <f>IFERROR(__xludf.DUMMYFUNCTION("SPLIT(A6855,"" "")"),"COC(C)c1ccc(C)c(CN2CCN(C)CCN(Cc3cc(C(C)(c4ccccn4)c4ccccn4)ccn3)CC2)n1")</f>
        <v>COC(C)c1ccc(C)c(CN2CCN(C)CCN(Cc3cc(C(C)(c4ccccn4)c4ccccn4)ccn3)CC2)n1</v>
      </c>
      <c r="C6855" s="7">
        <f>IFERROR(__xludf.DUMMYFUNCTION("""COMPUTED_VALUE"""),7.782324)</f>
        <v>7.782324</v>
      </c>
      <c r="D6855" s="7">
        <f>IFERROR(__xludf.DUMMYFUNCTION("""COMPUTED_VALUE"""),0.412698412698412)</f>
        <v>0.4126984127</v>
      </c>
    </row>
    <row r="6856">
      <c r="A6856" s="10" t="s">
        <v>8295</v>
      </c>
      <c r="B6856" s="7" t="str">
        <f>IFERROR(__xludf.DUMMYFUNCTION("SPLIT(A6856,"" "")"),"Cc1cccnc1CN(C)CCN(C)Cc1ncccc1C(C)C")</f>
        <v>Cc1cccnc1CN(C)CCN(C)Cc1ncccc1C(C)C</v>
      </c>
      <c r="C6856" s="7">
        <f>IFERROR(__xludf.DUMMYFUNCTION("""COMPUTED_VALUE"""),7.7823086)</f>
        <v>7.7823086</v>
      </c>
      <c r="D6856" s="7">
        <f>IFERROR(__xludf.DUMMYFUNCTION("""COMPUTED_VALUE"""),0.4)</f>
        <v>0.4</v>
      </c>
    </row>
    <row r="6857">
      <c r="A6857" s="10" t="s">
        <v>8296</v>
      </c>
      <c r="B6857" s="7" t="str">
        <f>IFERROR(__xludf.DUMMYFUNCTION("SPLIT(A6857,"" "")"),"Cc1ccnc(CN(C)C2C=CNC(CN(Cc3ccccn3)CC(C)C)=C2)c1")</f>
        <v>Cc1ccnc(CN(C)C2C=CNC(CN(Cc3ccccn3)CC(C)C)=C2)c1</v>
      </c>
      <c r="C6857" s="7">
        <f>IFERROR(__xludf.DUMMYFUNCTION("""COMPUTED_VALUE"""),7.7822976)</f>
        <v>7.7822976</v>
      </c>
      <c r="D6857" s="7">
        <f>IFERROR(__xludf.DUMMYFUNCTION("""COMPUTED_VALUE"""),0.412698412698412)</f>
        <v>0.4126984127</v>
      </c>
    </row>
    <row r="6858">
      <c r="A6858" s="10" t="s">
        <v>8297</v>
      </c>
      <c r="B6858" s="7" t="str">
        <f>IFERROR(__xludf.DUMMYFUNCTION("SPLIT(A6858,"" "")"),"Cc1cc(C)c(C)c(CN(C)C2CCCCC2N(C)c2cccnc2CN(C)Cc2ncccc2C)n1")</f>
        <v>Cc1cc(C)c(C)c(CN(C)C2CCCCC2N(C)c2cccnc2CN(C)Cc2ncccc2C)n1</v>
      </c>
      <c r="C6858" s="7">
        <f>IFERROR(__xludf.DUMMYFUNCTION("""COMPUTED_VALUE"""),7.7822943)</f>
        <v>7.7822943</v>
      </c>
      <c r="D6858" s="7">
        <f>IFERROR(__xludf.DUMMYFUNCTION("""COMPUTED_VALUE"""),0.423728813559322)</f>
        <v>0.4237288136</v>
      </c>
    </row>
    <row r="6859">
      <c r="A6859" s="10" t="s">
        <v>8298</v>
      </c>
      <c r="B6859" s="7" t="str">
        <f>IFERROR(__xludf.DUMMYFUNCTION("SPLIT(A6859,"" "")"),"CN(Cc1cccc(-c2ccon2)n1)C1CCC(N(C)Cc2cccc(C3CCC3(C)C)n2)CC1")</f>
        <v>CN(Cc1cccc(-c2ccon2)n1)C1CCC(N(C)Cc2cccc(C3CCC3(C)C)n2)CC1</v>
      </c>
      <c r="C6859" s="7">
        <f>IFERROR(__xludf.DUMMYFUNCTION("""COMPUTED_VALUE"""),7.782292)</f>
        <v>7.782292</v>
      </c>
      <c r="D6859" s="7">
        <f>IFERROR(__xludf.DUMMYFUNCTION("""COMPUTED_VALUE"""),0.333333333333333)</f>
        <v>0.3333333333</v>
      </c>
    </row>
    <row r="6860">
      <c r="A6860" s="10" t="s">
        <v>8299</v>
      </c>
      <c r="B6860" s="7" t="str">
        <f>IFERROR(__xludf.DUMMYFUNCTION("SPLIT(A6860,"" "")"),"Cc1nc(CN(C)CCN(C)CCN)c(C)c(C)c1C")</f>
        <v>Cc1nc(CN(C)CCN(C)CCN)c(C)c(C)c1C</v>
      </c>
      <c r="C6860" s="7">
        <f>IFERROR(__xludf.DUMMYFUNCTION("""COMPUTED_VALUE"""),7.7822886)</f>
        <v>7.7822886</v>
      </c>
      <c r="D6860" s="7">
        <f>IFERROR(__xludf.DUMMYFUNCTION("""COMPUTED_VALUE"""),0.317073170731707)</f>
        <v>0.3170731707</v>
      </c>
    </row>
    <row r="6861">
      <c r="A6861" s="10" t="s">
        <v>8300</v>
      </c>
      <c r="B6861" s="7" t="str">
        <f>IFERROR(__xludf.DUMMYFUNCTION("SPLIT(A6861,"" "")"),"Cc1cccnc1CN(C)Cc1ncccc1N(C)Cc1cccc(-c2ccc3c(c2)OCCOCCOCCOCCOCCO3)n1")</f>
        <v>Cc1cccnc1CN(C)Cc1ncccc1N(C)Cc1cccc(-c2ccc3c(c2)OCCOCCOCCOCCOCCO3)n1</v>
      </c>
      <c r="C6861" s="7">
        <f>IFERROR(__xludf.DUMMYFUNCTION("""COMPUTED_VALUE"""),7.782284)</f>
        <v>7.782284</v>
      </c>
      <c r="D6861" s="7">
        <f>IFERROR(__xludf.DUMMYFUNCTION("""COMPUTED_VALUE"""),0.348484848484848)</f>
        <v>0.3484848485</v>
      </c>
    </row>
    <row r="6862">
      <c r="A6862" s="10" t="s">
        <v>8301</v>
      </c>
      <c r="B6862" s="7" t="str">
        <f>IFERROR(__xludf.DUMMYFUNCTION("SPLIT(A6862,"" "")"),"Cc1cccnc1CN(Cc1ccccn1)Cc1nc(CN(C)Cc2cccc(-c3ccc4c(c3)OCCOCCOCCOCCOCCO4)n2)c(C)c(C)c1C")</f>
        <v>Cc1cccnc1CN(Cc1ccccn1)Cc1nc(CN(C)Cc2cccc(-c3ccc4c(c3)OCCOCCOCCOCCOCCO4)n2)c(C)c(C)c1C</v>
      </c>
      <c r="C6862" s="7">
        <f>IFERROR(__xludf.DUMMYFUNCTION("""COMPUTED_VALUE"""),7.782258)</f>
        <v>7.782258</v>
      </c>
      <c r="D6862" s="7">
        <f>IFERROR(__xludf.DUMMYFUNCTION("""COMPUTED_VALUE"""),0.418918918918918)</f>
        <v>0.4189189189</v>
      </c>
    </row>
    <row r="6863">
      <c r="A6863" s="10" t="s">
        <v>8302</v>
      </c>
      <c r="B6863" s="7" t="str">
        <f>IFERROR(__xludf.DUMMYFUNCTION("SPLIT(A6863,"" "")"),"CC(C)N(C)C1CCC(N(C)c2ccc3c(CF)ccnc3c2)CC1")</f>
        <v>CC(C)N(C)C1CCC(N(C)c2ccc3c(CF)ccnc3c2)CC1</v>
      </c>
      <c r="C6863" s="7">
        <f>IFERROR(__xludf.DUMMYFUNCTION("""COMPUTED_VALUE"""),7.782251)</f>
        <v>7.782251</v>
      </c>
      <c r="D6863" s="7">
        <f>IFERROR(__xludf.DUMMYFUNCTION("""COMPUTED_VALUE"""),0.23076923076923)</f>
        <v>0.2307692308</v>
      </c>
    </row>
    <row r="6864">
      <c r="A6864" s="10" t="s">
        <v>8303</v>
      </c>
      <c r="B6864" s="7" t="str">
        <f>IFERROR(__xludf.DUMMYFUNCTION("SPLIT(A6864,"" "")"),"Cc1cc(C)c(CN(C)C2CCCC(N(Cc3ccccn3)Cc3cccc(C(C)(c4cccnc4)C(C)N)n3)C2)nc1C")</f>
        <v>Cc1cc(C)c(CN(C)C2CCCC(N(Cc3ccccn3)Cc3cccc(C(C)(c4cccnc4)C(C)N)n3)C2)nc1C</v>
      </c>
      <c r="C6864" s="7">
        <f>IFERROR(__xludf.DUMMYFUNCTION("""COMPUTED_VALUE"""),7.7822504)</f>
        <v>7.7822504</v>
      </c>
      <c r="D6864" s="7">
        <f>IFERROR(__xludf.DUMMYFUNCTION("""COMPUTED_VALUE"""),0.307692307692307)</f>
        <v>0.3076923077</v>
      </c>
    </row>
    <row r="6865">
      <c r="A6865" s="10" t="s">
        <v>8304</v>
      </c>
      <c r="B6865" s="7" t="str">
        <f>IFERROR(__xludf.DUMMYFUNCTION("SPLIT(A6865,"" "")"),"Cc1cccnc1CN(C)C1C=CNC(CN(Cc2ccccn2)CC(C)(C)C)=C1")</f>
        <v>Cc1cccnc1CN(C)C1C=CNC(CN(Cc2ccccn2)CC(C)(C)C)=C1</v>
      </c>
      <c r="C6865" s="7">
        <f>IFERROR(__xludf.DUMMYFUNCTION("""COMPUTED_VALUE"""),7.782248)</f>
        <v>7.782248</v>
      </c>
      <c r="D6865" s="7">
        <f>IFERROR(__xludf.DUMMYFUNCTION("""COMPUTED_VALUE"""),0.456140350877192)</f>
        <v>0.4561403509</v>
      </c>
    </row>
    <row r="6866">
      <c r="A6866" s="10" t="s">
        <v>8305</v>
      </c>
      <c r="B6866" s="7" t="str">
        <f>IFERROR(__xludf.DUMMYFUNCTION("SPLIT(A6866,"" "")"),"Cc1cnc(CN(C)C2CCC(N(Cc3ccccn3)Cc3ccccn3)C(N(Cc3ccccn3)C(C)(C)c3ccccn3)C2)c(C)c1")</f>
        <v>Cc1cnc(CN(C)C2CCC(N(Cc3ccccn3)Cc3ccccn3)C(N(Cc3ccccn3)C(C)(C)c3ccccn3)C2)c(C)c1</v>
      </c>
      <c r="C6866" s="7">
        <f>IFERROR(__xludf.DUMMYFUNCTION("""COMPUTED_VALUE"""),7.7822413)</f>
        <v>7.7822413</v>
      </c>
      <c r="D6866" s="7">
        <f>IFERROR(__xludf.DUMMYFUNCTION("""COMPUTED_VALUE"""),0.363636363636363)</f>
        <v>0.3636363636</v>
      </c>
    </row>
    <row r="6867">
      <c r="A6867" s="10" t="s">
        <v>8306</v>
      </c>
      <c r="B6867" s="7" t="str">
        <f>IFERROR(__xludf.DUMMYFUNCTION("SPLIT(A6867,"" "")"),"CC(C)N1CCN(C)CCN(C(C)c2cccnc2-c2cnccc2NC2=CCC=CN2)CC1")</f>
        <v>CC(C)N1CCN(C)CCN(C(C)c2cccnc2-c2cnccc2NC2=CCC=CN2)CC1</v>
      </c>
      <c r="C6867" s="7">
        <f>IFERROR(__xludf.DUMMYFUNCTION("""COMPUTED_VALUE"""),7.782241)</f>
        <v>7.782241</v>
      </c>
      <c r="D6867" s="7">
        <f>IFERROR(__xludf.DUMMYFUNCTION("""COMPUTED_VALUE"""),0.271428571428571)</f>
        <v>0.2714285714</v>
      </c>
    </row>
    <row r="6868">
      <c r="A6868" s="10" t="s">
        <v>8307</v>
      </c>
      <c r="B6868" s="7" t="str">
        <f>IFERROR(__xludf.DUMMYFUNCTION("SPLIT(A6868,"" "")"),"Cc1ccc(CN(CC2=CCC=C(N(O)Cc3ccccn3)N2)C2CCCC(N(C)Cc3ccccn3)C2)nc1")</f>
        <v>Cc1ccc(CN(CC2=CCC=C(N(O)Cc3ccccn3)N2)C2CCCC(N(C)Cc3ccccn3)C2)nc1</v>
      </c>
      <c r="C6868" s="7">
        <f>IFERROR(__xludf.DUMMYFUNCTION("""COMPUTED_VALUE"""),7.782241)</f>
        <v>7.782241</v>
      </c>
      <c r="D6868" s="7">
        <f>IFERROR(__xludf.DUMMYFUNCTION("""COMPUTED_VALUE"""),0.4)</f>
        <v>0.4</v>
      </c>
    </row>
    <row r="6869">
      <c r="A6869" s="10" t="s">
        <v>8308</v>
      </c>
      <c r="B6869" s="7" t="str">
        <f>IFERROR(__xludf.DUMMYFUNCTION("SPLIT(A6869,"" "")"),"CNCc1ccc(-c2cccc(CN(C)C3CCCC(N(C)Cc4ccc(C)cn4)C3)n2)cn1")</f>
        <v>CNCc1ccc(-c2cccc(CN(C)C3CCCC(N(C)Cc4ccc(C)cn4)C3)n2)cn1</v>
      </c>
      <c r="C6869" s="7">
        <f>IFERROR(__xludf.DUMMYFUNCTION("""COMPUTED_VALUE"""),7.7822366)</f>
        <v>7.7822366</v>
      </c>
      <c r="D6869" s="7">
        <f>IFERROR(__xludf.DUMMYFUNCTION("""COMPUTED_VALUE"""),0.456140350877192)</f>
        <v>0.4561403509</v>
      </c>
    </row>
    <row r="6870">
      <c r="A6870" s="10" t="s">
        <v>8309</v>
      </c>
      <c r="B6870" s="7" t="str">
        <f>IFERROR(__xludf.DUMMYFUNCTION("SPLIT(A6870,"" "")"),"Cc1ccccc1N(C)CC1=CC(N(C)C(C)C)C=CN1")</f>
        <v>Cc1ccccc1N(C)CC1=CC(N(C)C(C)C)C=CN1</v>
      </c>
      <c r="C6870" s="7">
        <f>IFERROR(__xludf.DUMMYFUNCTION("""COMPUTED_VALUE"""),7.782223)</f>
        <v>7.782223</v>
      </c>
      <c r="D6870" s="7">
        <f>IFERROR(__xludf.DUMMYFUNCTION("""COMPUTED_VALUE"""),0.345454545454545)</f>
        <v>0.3454545455</v>
      </c>
    </row>
    <row r="6871">
      <c r="A6871" s="10" t="s">
        <v>8310</v>
      </c>
      <c r="B6871" s="7" t="str">
        <f>IFERROR(__xludf.DUMMYFUNCTION("SPLIT(A6871,"" "")"),"CN(Cc1cc(-c2ccc3c(c2)OCCOCCOCCOCCOCCO3)ccn1)C1CCCCC1N(C)Cc1cc(-c2ccc3ncccc3c2)ccn1")</f>
        <v>CN(Cc1cc(-c2ccc3c(c2)OCCOCCOCCOCCOCCO3)ccn1)C1CCCCC1N(C)Cc1cc(-c2ccc3ncccc3c2)ccn1</v>
      </c>
      <c r="C6871" s="7">
        <f>IFERROR(__xludf.DUMMYFUNCTION("""COMPUTED_VALUE"""),7.7822146)</f>
        <v>7.7822146</v>
      </c>
      <c r="D6871" s="7">
        <f>IFERROR(__xludf.DUMMYFUNCTION("""COMPUTED_VALUE"""),0.433333333333333)</f>
        <v>0.4333333333</v>
      </c>
    </row>
    <row r="6872">
      <c r="A6872" s="10" t="s">
        <v>8311</v>
      </c>
      <c r="B6872" s="7" t="str">
        <f>IFERROR(__xludf.DUMMYFUNCTION("SPLIT(A6872,"" "")"),"CCCN(Cc1ccccn1)Cc1ncccc1C(C)(C)c1ncccc1CN(Cc1ccc(-c2ccc3c(c2)OCCOCCOCCOCCOCCO3)cn1)Cc1ncccc1C")</f>
        <v>CCCN(Cc1ccccn1)Cc1ncccc1C(C)(C)c1ncccc1CN(Cc1ccc(-c2ccc3c(c2)OCCOCCOCCOCCOCCO3)cn1)Cc1ncccc1C</v>
      </c>
      <c r="C6872" s="7">
        <f>IFERROR(__xludf.DUMMYFUNCTION("""COMPUTED_VALUE"""),7.7822046)</f>
        <v>7.7822046</v>
      </c>
      <c r="D6872" s="7">
        <f>IFERROR(__xludf.DUMMYFUNCTION("""COMPUTED_VALUE"""),0.34090909090909)</f>
        <v>0.3409090909</v>
      </c>
    </row>
    <row r="6873">
      <c r="A6873" s="10" t="s">
        <v>8312</v>
      </c>
      <c r="B6873" s="7" t="str">
        <f>IFERROR(__xludf.DUMMYFUNCTION("SPLIT(A6873,"" "")"),"CC1=CC(CN(Cc2ccccn2)Cc2ccccn2)C=CN1")</f>
        <v>CC1=CC(CN(Cc2ccccn2)Cc2ccccn2)C=CN1</v>
      </c>
      <c r="C6873" s="7">
        <f>IFERROR(__xludf.DUMMYFUNCTION("""COMPUTED_VALUE"""),7.7821956)</f>
        <v>7.7821956</v>
      </c>
      <c r="D6873" s="7">
        <f>IFERROR(__xludf.DUMMYFUNCTION("""COMPUTED_VALUE"""),0.489795918367346)</f>
        <v>0.4897959184</v>
      </c>
    </row>
    <row r="6874">
      <c r="A6874" s="10" t="s">
        <v>8313</v>
      </c>
      <c r="B6874" s="7" t="str">
        <f>IFERROR(__xludf.DUMMYFUNCTION("SPLIT(A6874,"" "")"),"Cc1cccnc1CN(C)C1=CNC(CN(C)C(C)C(C)C)=CC1")</f>
        <v>Cc1cccnc1CN(C)C1=CNC(CN(C)C(C)C(C)C)=CC1</v>
      </c>
      <c r="C6874" s="7">
        <f>IFERROR(__xludf.DUMMYFUNCTION("""COMPUTED_VALUE"""),7.78219)</f>
        <v>7.78219</v>
      </c>
      <c r="D6874" s="7">
        <f>IFERROR(__xludf.DUMMYFUNCTION("""COMPUTED_VALUE"""),0.261538461538461)</f>
        <v>0.2615384615</v>
      </c>
    </row>
    <row r="6875">
      <c r="A6875" s="10" t="s">
        <v>8314</v>
      </c>
      <c r="B6875" s="7" t="str">
        <f>IFERROR(__xludf.DUMMYFUNCTION("SPLIT(A6875,"" "")"),"CC(C)N(C)Cc1ccc(N(C)C(C)(C)C)cn1")</f>
        <v>CC(C)N(C)Cc1ccc(N(C)C(C)(C)C)cn1</v>
      </c>
      <c r="C6875" s="7">
        <f>IFERROR(__xludf.DUMMYFUNCTION("""COMPUTED_VALUE"""),7.7821894)</f>
        <v>7.7821894</v>
      </c>
      <c r="D6875" s="7">
        <f>IFERROR(__xludf.DUMMYFUNCTION("""COMPUTED_VALUE"""),0.372093023255813)</f>
        <v>0.3720930233</v>
      </c>
    </row>
    <row r="6876">
      <c r="A6876" s="10" t="s">
        <v>8315</v>
      </c>
      <c r="B6876" s="7" t="str">
        <f>IFERROR(__xludf.DUMMYFUNCTION("SPLIT(A6876,"" "")"),"CC(C)C(C)(c1cccnc1)N(Cc1ccccn1)C1C=CC=CN1")</f>
        <v>CC(C)C(C)(c1cccnc1)N(Cc1ccccn1)C1C=CC=CN1</v>
      </c>
      <c r="C6876" s="7">
        <f>IFERROR(__xludf.DUMMYFUNCTION("""COMPUTED_VALUE"""),7.782187)</f>
        <v>7.782187</v>
      </c>
      <c r="D6876" s="7">
        <f>IFERROR(__xludf.DUMMYFUNCTION("""COMPUTED_VALUE"""),0.433333333333333)</f>
        <v>0.4333333333</v>
      </c>
    </row>
    <row r="6877">
      <c r="A6877" s="10" t="s">
        <v>8316</v>
      </c>
      <c r="B6877" s="7" t="str">
        <f>IFERROR(__xludf.DUMMYFUNCTION("SPLIT(A6877,"" "")"),"Cc1cccc(CN(Cc2ccccn2)Cc2ncccc2-c2cccc3c2OCCOCCOCCOCCOCCO3)c1N(C)Cc1ccccn1")</f>
        <v>Cc1cccc(CN(Cc2ccccn2)Cc2ncccc2-c2cccc3c2OCCOCCOCCOCCOCCO3)c1N(C)Cc1ccccn1</v>
      </c>
      <c r="C6877" s="7">
        <f>IFERROR(__xludf.DUMMYFUNCTION("""COMPUTED_VALUE"""),7.7821813)</f>
        <v>7.7821813</v>
      </c>
      <c r="D6877" s="7">
        <f>IFERROR(__xludf.DUMMYFUNCTION("""COMPUTED_VALUE"""),0.333333333333333)</f>
        <v>0.3333333333</v>
      </c>
    </row>
    <row r="6878">
      <c r="A6878" s="10" t="s">
        <v>8317</v>
      </c>
      <c r="B6878" s="7" t="str">
        <f>IFERROR(__xludf.DUMMYFUNCTION("SPLIT(A6878,"" "")"),"C=CCN(CCN(Cc1ccccn1)Cc1cccc(C(C)(c2ccccn2)C(C)C)n1)Cc1ccccn1")</f>
        <v>C=CCN(CCN(Cc1ccccn1)Cc1cccc(C(C)(c2ccccn2)C(C)C)n1)Cc1ccccn1</v>
      </c>
      <c r="C6878" s="7">
        <f>IFERROR(__xludf.DUMMYFUNCTION("""COMPUTED_VALUE"""),7.782166)</f>
        <v>7.782166</v>
      </c>
      <c r="D6878" s="7">
        <f>IFERROR(__xludf.DUMMYFUNCTION("""COMPUTED_VALUE"""),0.452830188679245)</f>
        <v>0.4528301887</v>
      </c>
    </row>
    <row r="6879">
      <c r="A6879" s="10" t="s">
        <v>8318</v>
      </c>
      <c r="B6879" s="7" t="str">
        <f>IFERROR(__xludf.DUMMYFUNCTION("SPLIT(A6879,"" "")"),"CC(C)N(C)C1CCC(N(C)c2ccc3nccc(CF)c3c2)CC1")</f>
        <v>CC(C)N(C)C1CCC(N(C)c2ccc3nccc(CF)c3c2)CC1</v>
      </c>
      <c r="C6879" s="7">
        <f>IFERROR(__xludf.DUMMYFUNCTION("""COMPUTED_VALUE"""),7.7821646)</f>
        <v>7.7821646</v>
      </c>
      <c r="D6879" s="7">
        <f>IFERROR(__xludf.DUMMYFUNCTION("""COMPUTED_VALUE"""),0.227272727272727)</f>
        <v>0.2272727273</v>
      </c>
    </row>
    <row r="6880">
      <c r="A6880" s="10" t="s">
        <v>8319</v>
      </c>
      <c r="B6880" s="7" t="str">
        <f>IFERROR(__xludf.DUMMYFUNCTION("SPLIT(A6880,"" "")"),"Cc1ccc(CN(C)Cc2ccc(N(C)Cc3cccc(-c4ccc5c(c4)OCCOCCOCCOCCOCCO5)n3)cn2)nc1")</f>
        <v>Cc1ccc(CN(C)Cc2ccc(N(C)Cc3cccc(-c4ccc5c(c4)OCCOCCOCCOCCOCCO5)n3)cn2)nc1</v>
      </c>
      <c r="C6880" s="7">
        <f>IFERROR(__xludf.DUMMYFUNCTION("""COMPUTED_VALUE"""),7.782157)</f>
        <v>7.782157</v>
      </c>
      <c r="D6880" s="7">
        <f>IFERROR(__xludf.DUMMYFUNCTION("""COMPUTED_VALUE"""),0.372881355932203)</f>
        <v>0.3728813559</v>
      </c>
    </row>
    <row r="6881">
      <c r="A6881" s="10" t="s">
        <v>8320</v>
      </c>
      <c r="B6881" s="7" t="str">
        <f>IFERROR(__xludf.DUMMYFUNCTION("SPLIT(A6881,"" "")"),"CN(CCNc1ccc2nccc(CF)c2c1)Cc1cc(-c2ccc3c(c2)OCCOCCOCCOCCOCCO3)ccn1")</f>
        <v>CN(CCNc1ccc2nccc(CF)c2c1)Cc1cc(-c2ccc3c(c2)OCCOCCOCCOCCOCCO3)ccn1</v>
      </c>
      <c r="C6881" s="7">
        <f>IFERROR(__xludf.DUMMYFUNCTION("""COMPUTED_VALUE"""),7.782135)</f>
        <v>7.782135</v>
      </c>
      <c r="D6881" s="7">
        <f>IFERROR(__xludf.DUMMYFUNCTION("""COMPUTED_VALUE"""),0.316455696202531)</f>
        <v>0.3164556962</v>
      </c>
    </row>
    <row r="6882">
      <c r="A6882" s="10" t="s">
        <v>8321</v>
      </c>
      <c r="B6882" s="7" t="str">
        <f>IFERROR(__xludf.DUMMYFUNCTION("SPLIT(A6882,"" "")"),"CC(C)C(C)N(C)CC1=C(N(C)Cc2cccc(C(C)(C)C)n2)CC=CN1")</f>
        <v>CC(C)C(C)N(C)CC1=C(N(C)Cc2cccc(C(C)(C)C)n2)CC=CN1</v>
      </c>
      <c r="C6882" s="7">
        <f>IFERROR(__xludf.DUMMYFUNCTION("""COMPUTED_VALUE"""),7.7821326)</f>
        <v>7.7821326</v>
      </c>
      <c r="D6882" s="7">
        <f>IFERROR(__xludf.DUMMYFUNCTION("""COMPUTED_VALUE"""),0.258620689655172)</f>
        <v>0.2586206897</v>
      </c>
    </row>
    <row r="6883">
      <c r="A6883" s="10" t="s">
        <v>8322</v>
      </c>
      <c r="B6883" s="7" t="str">
        <f>IFERROR(__xludf.DUMMYFUNCTION("SPLIT(A6883,"" "")"),"CNC1C(N(C)Cc2cc(C)ccn2)CCCC1N(Cc1nc(C)c(C)c(C)c1C)Cc1nc(C)c(C)c(C)c1C")</f>
        <v>CNC1C(N(C)Cc2cc(C)ccn2)CCCC1N(Cc1nc(C)c(C)c(C)c1C)Cc1nc(C)c(C)c(C)c1C</v>
      </c>
      <c r="C6883" s="7">
        <f>IFERROR(__xludf.DUMMYFUNCTION("""COMPUTED_VALUE"""),7.7821198)</f>
        <v>7.7821198</v>
      </c>
      <c r="D6883" s="7">
        <f>IFERROR(__xludf.DUMMYFUNCTION("""COMPUTED_VALUE"""),0.366666666666666)</f>
        <v>0.3666666667</v>
      </c>
    </row>
    <row r="6884">
      <c r="A6884" s="10" t="s">
        <v>8323</v>
      </c>
      <c r="B6884" s="7" t="str">
        <f>IFERROR(__xludf.DUMMYFUNCTION("SPLIT(A6884,"" "")"),"CC1=C(N(C)CC2=CC(N(C)Cc3ccccn3)C=CN2)C2(C=CNC(C(C)C)=C2)CCC1(C)C")</f>
        <v>CC1=C(N(C)CC2=CC(N(C)Cc3ccccn3)C=CN2)C2(C=CNC(C(C)C)=C2)CCC1(C)C</v>
      </c>
      <c r="C6884" s="7">
        <f>IFERROR(__xludf.DUMMYFUNCTION("""COMPUTED_VALUE"""),7.7821107)</f>
        <v>7.7821107</v>
      </c>
      <c r="D6884" s="7">
        <f>IFERROR(__xludf.DUMMYFUNCTION("""COMPUTED_VALUE"""),0.333333333333333)</f>
        <v>0.3333333333</v>
      </c>
    </row>
    <row r="6885">
      <c r="A6885" s="10" t="s">
        <v>8324</v>
      </c>
      <c r="B6885" s="7" t="str">
        <f>IFERROR(__xludf.DUMMYFUNCTION("SPLIT(A6885,"" "")"),"Cc1ccc(CN(C)CCN(Cc2ccccn2)C(C)(C)N)nc1C")</f>
        <v>Cc1ccc(CN(C)CCN(Cc2ccccn2)C(C)(C)N)nc1C</v>
      </c>
      <c r="C6885" s="7">
        <f>IFERROR(__xludf.DUMMYFUNCTION("""COMPUTED_VALUE"""),7.7821083)</f>
        <v>7.7821083</v>
      </c>
      <c r="D6885" s="7">
        <f>IFERROR(__xludf.DUMMYFUNCTION("""COMPUTED_VALUE"""),0.442307692307692)</f>
        <v>0.4423076923</v>
      </c>
    </row>
    <row r="6886">
      <c r="A6886" s="10" t="s">
        <v>8325</v>
      </c>
      <c r="B6886" s="7" t="str">
        <f>IFERROR(__xludf.DUMMYFUNCTION("SPLIT(A6886,"" "")"),"CC(C)N1CCN(C)CCN(C(C)c2cccnc2-c2ccc(NC3=CCC=CN3)nc2)CC1")</f>
        <v>CC(C)N1CCN(C)CCN(C(C)c2cccnc2-c2ccc(NC3=CCC=CN3)nc2)CC1</v>
      </c>
      <c r="C6886" s="7">
        <f>IFERROR(__xludf.DUMMYFUNCTION("""COMPUTED_VALUE"""),7.782104)</f>
        <v>7.782104</v>
      </c>
      <c r="D6886" s="7">
        <f>IFERROR(__xludf.DUMMYFUNCTION("""COMPUTED_VALUE"""),0.275362318840579)</f>
        <v>0.2753623188</v>
      </c>
    </row>
    <row r="6887">
      <c r="A6887" s="10" t="s">
        <v>8326</v>
      </c>
      <c r="B6887" s="7" t="str">
        <f>IFERROR(__xludf.DUMMYFUNCTION("SPLIT(A6887,"" "")"),"CCN(Cc1ccccn1)c1cccnc1CN(Cc1cccc(-c2ccc3c(c2)OCCOCCOCCOCCOCCO3)n1)Cc1ncccc1C")</f>
        <v>CCN(Cc1ccccn1)c1cccnc1CN(Cc1cccc(-c2ccc3c(c2)OCCOCCOCCOCCOCCO3)n1)Cc1ncccc1C</v>
      </c>
      <c r="C6887" s="7">
        <f>IFERROR(__xludf.DUMMYFUNCTION("""COMPUTED_VALUE"""),7.7821026)</f>
        <v>7.7821026</v>
      </c>
      <c r="D6887" s="7">
        <f>IFERROR(__xludf.DUMMYFUNCTION("""COMPUTED_VALUE"""),0.418918918918918)</f>
        <v>0.4189189189</v>
      </c>
    </row>
    <row r="6888">
      <c r="A6888" s="10" t="s">
        <v>8327</v>
      </c>
      <c r="B6888" s="7" t="str">
        <f>IFERROR(__xludf.DUMMYFUNCTION("SPLIT(A6888,"" "")"),"Cc1ccc(CN(C)C2CCC(N(C)Cc3ccccn3)CC2N(Cc2cc(C)ccn2)Cc2nc(C)c(C)c(C)c2C)nc1")</f>
        <v>Cc1ccc(CN(C)C2CCC(N(C)Cc3ccccn3)CC2N(Cc2cc(C)ccn2)Cc2nc(C)c(C)c(C)c2C)nc1</v>
      </c>
      <c r="C6888" s="7">
        <f>IFERROR(__xludf.DUMMYFUNCTION("""COMPUTED_VALUE"""),7.782095)</f>
        <v>7.782095</v>
      </c>
      <c r="D6888" s="7">
        <f>IFERROR(__xludf.DUMMYFUNCTION("""COMPUTED_VALUE"""),0.424242424242424)</f>
        <v>0.4242424242</v>
      </c>
    </row>
    <row r="6889">
      <c r="A6889" s="10" t="s">
        <v>8328</v>
      </c>
      <c r="B6889" s="7" t="str">
        <f>IFERROR(__xludf.DUMMYFUNCTION("SPLIT(A6889,"" "")"),"Cc1c(-c2ccc(CN3CCN(C)CCN(C)CC3)cn2)ccc(Cl)c1N")</f>
        <v>Cc1c(-c2ccc(CN3CCN(C)CCN(C)CC3)cn2)ccc(Cl)c1N</v>
      </c>
      <c r="C6889" s="7">
        <f>IFERROR(__xludf.DUMMYFUNCTION("""COMPUTED_VALUE"""),7.782091)</f>
        <v>7.782091</v>
      </c>
      <c r="D6889" s="7">
        <f>IFERROR(__xludf.DUMMYFUNCTION("""COMPUTED_VALUE"""),0.351851851851851)</f>
        <v>0.3518518519</v>
      </c>
    </row>
    <row r="6890">
      <c r="A6890" s="10" t="s">
        <v>8329</v>
      </c>
      <c r="B6890" s="7" t="str">
        <f>IFERROR(__xludf.DUMMYFUNCTION("SPLIT(A6890,"" "")"),"CNCCN(Cc1ccccn1)Cc1ncc(C)c(C)c1C")</f>
        <v>CNCCN(Cc1ccccn1)Cc1ncc(C)c(C)c1C</v>
      </c>
      <c r="C6890" s="7">
        <f>IFERROR(__xludf.DUMMYFUNCTION("""COMPUTED_VALUE"""),7.7820835)</f>
        <v>7.7820835</v>
      </c>
      <c r="D6890" s="7">
        <f>IFERROR(__xludf.DUMMYFUNCTION("""COMPUTED_VALUE"""),0.488888888888888)</f>
        <v>0.4888888889</v>
      </c>
    </row>
    <row r="6891">
      <c r="A6891" s="10" t="s">
        <v>8330</v>
      </c>
      <c r="B6891" s="7" t="str">
        <f>IFERROR(__xludf.DUMMYFUNCTION("SPLIT(A6891,"" "")"),"Cc1ccc(CN(C)C2CCCC(N(Cc3ccc([SiH3])c([SiH3])n3)Cc3nc(C)c(C)c(C)c3C)C2N(C)Cc2ccc(C)cn2)nc1")</f>
        <v>Cc1ccc(CN(C)C2CCCC(N(Cc3ccc([SiH3])c([SiH3])n3)Cc3nc(C)c(C)c(C)c3C)C2N(C)Cc2ccc(C)cn2)nc1</v>
      </c>
      <c r="C6891" s="7">
        <f>IFERROR(__xludf.DUMMYFUNCTION("""COMPUTED_VALUE"""),7.7820745)</f>
        <v>7.7820745</v>
      </c>
      <c r="D6891" s="7">
        <f>IFERROR(__xludf.DUMMYFUNCTION("""COMPUTED_VALUE"""),0.483333333333333)</f>
        <v>0.4833333333</v>
      </c>
    </row>
    <row r="6892">
      <c r="A6892" s="10" t="s">
        <v>8331</v>
      </c>
      <c r="B6892" s="7" t="str">
        <f>IFERROR(__xludf.DUMMYFUNCTION("SPLIT(A6892,"" "")"),"CN(CC1=CCC=CN1C)Cc1ccccn1")</f>
        <v>CN(CC1=CCC=CN1C)Cc1ccccn1</v>
      </c>
      <c r="C6892" s="7">
        <f>IFERROR(__xludf.DUMMYFUNCTION("""COMPUTED_VALUE"""),7.7820735)</f>
        <v>7.7820735</v>
      </c>
      <c r="D6892" s="7">
        <f>IFERROR(__xludf.DUMMYFUNCTION("""COMPUTED_VALUE"""),0.468085106382978)</f>
        <v>0.4680851064</v>
      </c>
    </row>
    <row r="6893">
      <c r="A6893" s="10" t="s">
        <v>8332</v>
      </c>
      <c r="B6893" s="7" t="str">
        <f>IFERROR(__xludf.DUMMYFUNCTION("SPLIT(A6893,"" "")"),"CN(Cc1ccccn1)Cc1ccc2cccc(N(C)C3CCC(N(Cc4ccccn4)Cc4ncccc4-c4ccc5c(c4)OCCOCCOCCOCCOCCO5)CC3)c2n1")</f>
        <v>CN(Cc1ccccn1)Cc1ccc2cccc(N(C)C3CCC(N(Cc4ccccn4)Cc4ncccc4-c4ccc5c(c4)OCCOCCOCCOCCOCCO5)CC3)c2n1</v>
      </c>
      <c r="C6893" s="7">
        <f>IFERROR(__xludf.DUMMYFUNCTION("""COMPUTED_VALUE"""),7.7820687)</f>
        <v>7.7820687</v>
      </c>
      <c r="D6893" s="7">
        <f>IFERROR(__xludf.DUMMYFUNCTION("""COMPUTED_VALUE"""),0.329268292682926)</f>
        <v>0.3292682927</v>
      </c>
    </row>
    <row r="6894">
      <c r="A6894" s="10" t="s">
        <v>8333</v>
      </c>
      <c r="B6894" s="7" t="str">
        <f>IFERROR(__xludf.DUMMYFUNCTION("SPLIT(A6894,"" "")"),"Cc1cc(-c2cccc3c2OCCOCCOCCOCCOCCO3)cnc1CN(C)c1cccnc1CN(C)Cc1ccccn1")</f>
        <v>Cc1cc(-c2cccc3c2OCCOCCOCCOCCOCCO3)cnc1CN(C)c1cccnc1CN(C)Cc1ccccn1</v>
      </c>
      <c r="C6894" s="7">
        <f>IFERROR(__xludf.DUMMYFUNCTION("""COMPUTED_VALUE"""),7.7820683)</f>
        <v>7.7820683</v>
      </c>
      <c r="D6894" s="7">
        <f>IFERROR(__xludf.DUMMYFUNCTION("""COMPUTED_VALUE"""),0.333333333333333)</f>
        <v>0.3333333333</v>
      </c>
    </row>
    <row r="6895">
      <c r="A6895" s="10" t="s">
        <v>8334</v>
      </c>
      <c r="B6895" s="7" t="str">
        <f>IFERROR(__xludf.DUMMYFUNCTION("SPLIT(A6895,"" "")"),"Cc1ccc(CN(C)Cc2ccc(C3CCC3(C)C)nc2)nc1")</f>
        <v>Cc1ccc(CN(C)Cc2ccc(C3CCC3(C)C)nc2)nc1</v>
      </c>
      <c r="C6895" s="7">
        <f>IFERROR(__xludf.DUMMYFUNCTION("""COMPUTED_VALUE"""),7.7820506)</f>
        <v>7.7820506</v>
      </c>
      <c r="D6895" s="7">
        <f>IFERROR(__xludf.DUMMYFUNCTION("""COMPUTED_VALUE"""),0.468085106382978)</f>
        <v>0.4680851064</v>
      </c>
    </row>
    <row r="6896">
      <c r="A6896" s="10" t="s">
        <v>8335</v>
      </c>
      <c r="B6896" s="7" t="str">
        <f>IFERROR(__xludf.DUMMYFUNCTION("SPLIT(A6896,"" "")"),"CN(CCN)CC1=CCC(N(C)Cc2ccccn2)=CN1")</f>
        <v>CN(CCN)CC1=CCC(N(C)Cc2ccccn2)=CN1</v>
      </c>
      <c r="C6896" s="7">
        <f>IFERROR(__xludf.DUMMYFUNCTION("""COMPUTED_VALUE"""),7.7820473)</f>
        <v>7.7820473</v>
      </c>
      <c r="D6896" s="7">
        <f>IFERROR(__xludf.DUMMYFUNCTION("""COMPUTED_VALUE"""),0.403508771929824)</f>
        <v>0.4035087719</v>
      </c>
    </row>
    <row r="6897">
      <c r="A6897" s="10" t="s">
        <v>8336</v>
      </c>
      <c r="B6897" s="7" t="str">
        <f>IFERROR(__xludf.DUMMYFUNCTION("SPLIT(A6897,"" "")"),"CC(C)C(C)C1CC(c2cccc(CN(Cc3ccccn3)C3CCC(N(C)c4ccc5ncc(CF)cc5c4)CC3)n2)C1")</f>
        <v>CC(C)C(C)C1CC(c2cccc(CN(Cc3ccccn3)C3CCC(N(C)c4ccc5ncc(CF)cc5c4)CC3)n2)C1</v>
      </c>
      <c r="C6897" s="7">
        <f>IFERROR(__xludf.DUMMYFUNCTION("""COMPUTED_VALUE"""),7.7820363)</f>
        <v>7.7820363</v>
      </c>
      <c r="D6897" s="7">
        <f>IFERROR(__xludf.DUMMYFUNCTION("""COMPUTED_VALUE"""),0.31578947368421)</f>
        <v>0.3157894737</v>
      </c>
    </row>
    <row r="6898">
      <c r="A6898" s="10" t="s">
        <v>8337</v>
      </c>
      <c r="B6898" s="7" t="str">
        <f>IFERROR(__xludf.DUMMYFUNCTION("SPLIT(A6898,"" "")"),"CCOC(C)NCc1cccc(CN(Cc2ccccn2)Cc2ccccn2)n1")</f>
        <v>CCOC(C)NCc1cccc(CN(Cc2ccccn2)Cc2ccccn2)n1</v>
      </c>
      <c r="C6898" s="7">
        <f>IFERROR(__xludf.DUMMYFUNCTION("""COMPUTED_VALUE"""),7.7820344)</f>
        <v>7.7820344</v>
      </c>
      <c r="D6898" s="7">
        <f>IFERROR(__xludf.DUMMYFUNCTION("""COMPUTED_VALUE"""),0.48780487804878)</f>
        <v>0.487804878</v>
      </c>
    </row>
    <row r="6899">
      <c r="A6899" s="10" t="s">
        <v>8338</v>
      </c>
      <c r="B6899" s="7" t="str">
        <f>IFERROR(__xludf.DUMMYFUNCTION("SPLIT(A6899,"" "")"),"CC(C)N(C)Cc1cccc(N(C)C2C=CC=CN2)n1")</f>
        <v>CC(C)N(C)Cc1cccc(N(C)C2C=CC=CN2)n1</v>
      </c>
      <c r="C6899" s="7">
        <f>IFERROR(__xludf.DUMMYFUNCTION("""COMPUTED_VALUE"""),7.7820315)</f>
        <v>7.7820315</v>
      </c>
      <c r="D6899" s="7">
        <f>IFERROR(__xludf.DUMMYFUNCTION("""COMPUTED_VALUE"""),0.333333333333333)</f>
        <v>0.3333333333</v>
      </c>
    </row>
    <row r="6900">
      <c r="A6900" s="10" t="s">
        <v>8339</v>
      </c>
      <c r="B6900" s="7" t="str">
        <f>IFERROR(__xludf.DUMMYFUNCTION("SPLIT(A6900,"" "")"),"CC1CC=CC2CCC(C(C)(c3ccccc3)c3ncccc3CN(Cc3ccccn3)Cc3ccccn3)=CC12")</f>
        <v>CC1CC=CC2CCC(C(C)(c3ccccc3)c3ncccc3CN(Cc3ccccn3)Cc3ccccn3)=CC12</v>
      </c>
      <c r="C6900" s="7">
        <f>IFERROR(__xludf.DUMMYFUNCTION("""COMPUTED_VALUE"""),7.7820177)</f>
        <v>7.7820177</v>
      </c>
      <c r="D6900" s="7">
        <f>IFERROR(__xludf.DUMMYFUNCTION("""COMPUTED_VALUE"""),0.338983050847457)</f>
        <v>0.3389830508</v>
      </c>
    </row>
    <row r="6901">
      <c r="A6901" s="10" t="s">
        <v>8340</v>
      </c>
      <c r="B6901" s="7" t="str">
        <f>IFERROR(__xludf.DUMMYFUNCTION("SPLIT(A6901,"" "")"),"Cc1cncc(CN(C)C2CCCC(N(C)Cc3cccc4cccnc34)C2)c1")</f>
        <v>Cc1cncc(CN(C)C2CCCC(N(C)Cc3cccc4cccnc34)C2)c1</v>
      </c>
      <c r="C6901" s="7">
        <f>IFERROR(__xludf.DUMMYFUNCTION("""COMPUTED_VALUE"""),7.782014)</f>
        <v>7.782014</v>
      </c>
      <c r="D6901" s="7">
        <f>IFERROR(__xludf.DUMMYFUNCTION("""COMPUTED_VALUE"""),0.444444444444444)</f>
        <v>0.4444444444</v>
      </c>
    </row>
    <row r="6902">
      <c r="A6902" s="10" t="s">
        <v>8341</v>
      </c>
      <c r="B6902" s="7" t="str">
        <f>IFERROR(__xludf.DUMMYFUNCTION("SPLIT(A6902,"" "")"),"CC(C)N(C)Cc1ccc(N(C)C(C)C)cn1")</f>
        <v>CC(C)N(C)Cc1ccc(N(C)C(C)C)cn1</v>
      </c>
      <c r="C6902" s="7">
        <f>IFERROR(__xludf.DUMMYFUNCTION("""COMPUTED_VALUE"""),7.7820015)</f>
        <v>7.7820015</v>
      </c>
      <c r="D6902" s="7">
        <f>IFERROR(__xludf.DUMMYFUNCTION("""COMPUTED_VALUE"""),0.421052631578947)</f>
        <v>0.4210526316</v>
      </c>
    </row>
    <row r="6903">
      <c r="A6903" s="10" t="s">
        <v>8342</v>
      </c>
      <c r="B6903" s="7" t="str">
        <f>IFERROR(__xludf.DUMMYFUNCTION("SPLIT(A6903,"" "")"),"CNC1CC(N(Cc2nc(C)c(C)c(C)c2C)Cc2nc(C)c(C)c(C)c2C)CCC1NCc1cc(C)ccn1")</f>
        <v>CNC1CC(N(Cc2nc(C)c(C)c(C)c2C)Cc2nc(C)c(C)c(C)c2C)CCC1NCc1cc(C)ccn1</v>
      </c>
      <c r="C6903" s="7">
        <f>IFERROR(__xludf.DUMMYFUNCTION("""COMPUTED_VALUE"""),7.7819934)</f>
        <v>7.7819934</v>
      </c>
      <c r="D6903" s="7">
        <f>IFERROR(__xludf.DUMMYFUNCTION("""COMPUTED_VALUE"""),0.28125)</f>
        <v>0.28125</v>
      </c>
    </row>
    <row r="6904">
      <c r="A6904" s="10" t="s">
        <v>8343</v>
      </c>
      <c r="B6904" s="7" t="str">
        <f>IFERROR(__xludf.DUMMYFUNCTION("SPLIT(A6904,"" "")"),"Cc1cnc(CN(C)CC2=CC(N(C)C(C)C)C=CN2)c(C)c1C")</f>
        <v>Cc1cnc(CN(C)CC2=CC(N(C)C(C)C)C=CN2)c(C)c1C</v>
      </c>
      <c r="C6904" s="7">
        <f>IFERROR(__xludf.DUMMYFUNCTION("""COMPUTED_VALUE"""),7.781981)</f>
        <v>7.781981</v>
      </c>
      <c r="D6904" s="7">
        <f>IFERROR(__xludf.DUMMYFUNCTION("""COMPUTED_VALUE"""),0.322033898305084)</f>
        <v>0.3220338983</v>
      </c>
    </row>
    <row r="6905">
      <c r="A6905" s="10" t="s">
        <v>8344</v>
      </c>
      <c r="B6905" s="7" t="str">
        <f>IFERROR(__xludf.DUMMYFUNCTION("SPLIT(A6905,"" "")"),"Cc1cnc(CN(C)C2CC(N(C)Cc3ccccn3)CC(N(Cc3cccc(C)n3)Cc3cccc(C)n3)C2)c(C)c1")</f>
        <v>Cc1cnc(CN(C)C2CC(N(C)Cc3ccccn3)CC(N(Cc3cccc(C)n3)Cc3cccc(C)n3)C2)c(C)c1</v>
      </c>
      <c r="C6905" s="7">
        <f>IFERROR(__xludf.DUMMYFUNCTION("""COMPUTED_VALUE"""),7.7819777)</f>
        <v>7.7819777</v>
      </c>
      <c r="D6905" s="7">
        <f>IFERROR(__xludf.DUMMYFUNCTION("""COMPUTED_VALUE"""),0.406779661016949)</f>
        <v>0.406779661</v>
      </c>
    </row>
    <row r="6906">
      <c r="A6906" s="10" t="s">
        <v>8345</v>
      </c>
      <c r="B6906" s="7" t="str">
        <f>IFERROR(__xludf.DUMMYFUNCTION("SPLIT(A6906,"" "")"),"C1=CC(Nc2cccc(-c3cccc(C(c4ccccc4)c4ccccn4)n3)n2)NC2=C1OCCOCCOCCOCCOCCO2")</f>
        <v>C1=CC(Nc2cccc(-c3cccc(C(c4ccccc4)c4ccccn4)n3)n2)NC2=C1OCCOCCOCCOCCOCCO2</v>
      </c>
      <c r="C6906" s="7">
        <f>IFERROR(__xludf.DUMMYFUNCTION("""COMPUTED_VALUE"""),7.7819724)</f>
        <v>7.7819724</v>
      </c>
      <c r="D6906" s="7">
        <f>IFERROR(__xludf.DUMMYFUNCTION("""COMPUTED_VALUE"""),0.256756756756756)</f>
        <v>0.2567567568</v>
      </c>
    </row>
    <row r="6907">
      <c r="A6907" s="10" t="s">
        <v>8346</v>
      </c>
      <c r="B6907" s="7" t="str">
        <f>IFERROR(__xludf.DUMMYFUNCTION("SPLIT(A6907,"" "")"),"CC1(C)COC(c2cccc(CN(Cc3ccccn3)Cc3cc(-c4ccc5c(c4)OCCOCCOCCOCCOCCO5)ccn3)n2)=N1")</f>
        <v>CC1(C)COC(c2cccc(CN(Cc3ccccn3)Cc3cc(-c4ccc5c(c4)OCCOCCOCCOCCOCCO5)ccn3)n2)=N1</v>
      </c>
      <c r="C6907" s="7">
        <f>IFERROR(__xludf.DUMMYFUNCTION("""COMPUTED_VALUE"""),7.7819567)</f>
        <v>7.7819567</v>
      </c>
      <c r="D6907" s="7">
        <f>IFERROR(__xludf.DUMMYFUNCTION("""COMPUTED_VALUE"""),0.403225806451612)</f>
        <v>0.4032258065</v>
      </c>
    </row>
    <row r="6908">
      <c r="A6908" s="10" t="s">
        <v>8347</v>
      </c>
      <c r="B6908" s="7" t="str">
        <f>IFERROR(__xludf.DUMMYFUNCTION("SPLIT(A6908,"" "")"),"Cc1ccc(C)c(CN(C)C2CCC(N(C)CC3=CCC=C(N(C)Cc4cc(C)c(C)c(C)n4)N3)CC2)n1")</f>
        <v>Cc1ccc(C)c(CN(C)C2CCC(N(C)CC3=CCC=C(N(C)Cc4cc(C)c(C)c(C)n4)N3)CC2)n1</v>
      </c>
      <c r="C6908" s="7">
        <f>IFERROR(__xludf.DUMMYFUNCTION("""COMPUTED_VALUE"""),7.7819567)</f>
        <v>7.7819567</v>
      </c>
      <c r="D6908" s="7">
        <f>IFERROR(__xludf.DUMMYFUNCTION("""COMPUTED_VALUE"""),0.264705882352941)</f>
        <v>0.2647058824</v>
      </c>
    </row>
    <row r="6909">
      <c r="A6909" s="10" t="s">
        <v>8348</v>
      </c>
      <c r="B6909" s="7" t="str">
        <f>IFERROR(__xludf.DUMMYFUNCTION("SPLIT(A6909,"" "")"),"Cc1cccnc1CN(C)Cc1cccc(N(C)Cc2ncccc2-c2ccc3c(c2)OCCOCCOCCOCCOCCO3)n1")</f>
        <v>Cc1cccnc1CN(C)Cc1cccc(N(C)Cc2ncccc2-c2ccc3c(c2)OCCOCCOCCOCCOCCO3)n1</v>
      </c>
      <c r="C6909" s="7">
        <f>IFERROR(__xludf.DUMMYFUNCTION("""COMPUTED_VALUE"""),7.781955)</f>
        <v>7.781955</v>
      </c>
      <c r="D6909" s="7">
        <f>IFERROR(__xludf.DUMMYFUNCTION("""COMPUTED_VALUE"""),0.304347826086956)</f>
        <v>0.3043478261</v>
      </c>
    </row>
    <row r="6910">
      <c r="A6910" s="10" t="s">
        <v>8349</v>
      </c>
      <c r="B6910" s="7" t="str">
        <f>IFERROR(__xludf.DUMMYFUNCTION("SPLIT(A6910,"" "")"),"Cc1cc(C)c(N(C)C2CCC(N(Cc3ccccn3)Cc3ccccn3)CC2)cc1C")</f>
        <v>Cc1cc(C)c(N(C)C2CCC(N(Cc3ccccn3)Cc3ccccn3)CC2)cc1C</v>
      </c>
      <c r="C6910" s="7">
        <f>IFERROR(__xludf.DUMMYFUNCTION("""COMPUTED_VALUE"""),7.781933)</f>
        <v>7.781933</v>
      </c>
      <c r="D6910" s="7">
        <f>IFERROR(__xludf.DUMMYFUNCTION("""COMPUTED_VALUE"""),0.458333333333333)</f>
        <v>0.4583333333</v>
      </c>
    </row>
    <row r="6911">
      <c r="A6911" s="10" t="s">
        <v>8350</v>
      </c>
      <c r="B6911" s="7" t="str">
        <f>IFERROR(__xludf.DUMMYFUNCTION("SPLIT(A6911,"" "")"),"CCN(CCN(C)c1ccccc1C)Cc1cccnc1")</f>
        <v>CCN(CCN(C)c1ccccc1C)Cc1cccnc1</v>
      </c>
      <c r="C6911" s="7">
        <f>IFERROR(__xludf.DUMMYFUNCTION("""COMPUTED_VALUE"""),7.781919)</f>
        <v>7.781919</v>
      </c>
      <c r="D6911" s="7">
        <f>IFERROR(__xludf.DUMMYFUNCTION("""COMPUTED_VALUE"""),0.346938775510204)</f>
        <v>0.3469387755</v>
      </c>
    </row>
    <row r="6912">
      <c r="A6912" s="10" t="s">
        <v>8351</v>
      </c>
      <c r="B6912" s="7" t="str">
        <f>IFERROR(__xludf.DUMMYFUNCTION("SPLIT(A6912,"" "")"),"CCNC1CC(N(Cc2ncccc2C)Cc2ncccc2C)C(N(Cc2ncccc2C)C(C)C)C(N(Cc2ncccc2C)Cc2ncccc2C)C1")</f>
        <v>CCNC1CC(N(Cc2ncccc2C)Cc2ncccc2C)C(N(Cc2ncccc2C)C(C)C)C(N(Cc2ncccc2C)Cc2ncccc2C)C1</v>
      </c>
      <c r="C6912" s="7">
        <f>IFERROR(__xludf.DUMMYFUNCTION("""COMPUTED_VALUE"""),7.7819185)</f>
        <v>7.7819185</v>
      </c>
      <c r="D6912" s="7">
        <f>IFERROR(__xludf.DUMMYFUNCTION("""COMPUTED_VALUE"""),0.258620689655172)</f>
        <v>0.2586206897</v>
      </c>
    </row>
    <row r="6913">
      <c r="A6913" s="10" t="s">
        <v>8352</v>
      </c>
      <c r="B6913" s="7" t="str">
        <f>IFERROR(__xludf.DUMMYFUNCTION("SPLIT(A6913,"" "")"),"CNC1C(N(Cc2ncccc2C)Cc2nccc(C)c2C)CCCC1N(Cc1ncccc1C)Cc1nccc(C)c1C")</f>
        <v>CNC1C(N(Cc2ncccc2C)Cc2nccc(C)c2C)CCCC1N(Cc1ncccc1C)Cc1nccc(C)c1C</v>
      </c>
      <c r="C6913" s="7">
        <f>IFERROR(__xludf.DUMMYFUNCTION("""COMPUTED_VALUE"""),7.781917)</f>
        <v>7.781917</v>
      </c>
      <c r="D6913" s="7">
        <f>IFERROR(__xludf.DUMMYFUNCTION("""COMPUTED_VALUE"""),0.333333333333333)</f>
        <v>0.3333333333</v>
      </c>
    </row>
    <row r="6914">
      <c r="A6914" s="10" t="s">
        <v>8353</v>
      </c>
      <c r="B6914" s="7" t="str">
        <f>IFERROR(__xludf.DUMMYFUNCTION("SPLIT(A6914,"" "")"),"Cc1ccc(CN(Cc2ccccn2)C2CC(N(C)Cc3ncccc3C)CC(N(C)Cc3ncccc3C)C2)nc1C")</f>
        <v>Cc1ccc(CN(Cc2ccccn2)C2CC(N(C)Cc3ncccc3C)CC(N(C)Cc3ncccc3C)C2)nc1C</v>
      </c>
      <c r="C6914" s="7">
        <f>IFERROR(__xludf.DUMMYFUNCTION("""COMPUTED_VALUE"""),7.781891)</f>
        <v>7.781891</v>
      </c>
      <c r="D6914" s="7">
        <f>IFERROR(__xludf.DUMMYFUNCTION("""COMPUTED_VALUE"""),0.392857142857142)</f>
        <v>0.3928571429</v>
      </c>
    </row>
    <row r="6915">
      <c r="A6915" s="10" t="s">
        <v>8354</v>
      </c>
      <c r="B6915" s="7" t="str">
        <f>IFERROR(__xludf.DUMMYFUNCTION("SPLIT(A6915,"" "")"),"CCOC(=O)C(=O)C(C)CN(Cc1ccccn1)Cc1ccccn1")</f>
        <v>CCOC(=O)C(=O)C(C)CN(Cc1ccccn1)Cc1ccccn1</v>
      </c>
      <c r="C6915" s="7">
        <f>IFERROR(__xludf.DUMMYFUNCTION("""COMPUTED_VALUE"""),7.781889)</f>
        <v>7.781889</v>
      </c>
      <c r="D6915" s="7">
        <f>IFERROR(__xludf.DUMMYFUNCTION("""COMPUTED_VALUE"""),0.463414634146341)</f>
        <v>0.4634146341</v>
      </c>
    </row>
    <row r="6916">
      <c r="A6916" s="10" t="s">
        <v>8355</v>
      </c>
      <c r="B6916" s="7" t="str">
        <f>IFERROR(__xludf.DUMMYFUNCTION("SPLIT(A6916,"" "")"),"CC1=CCCC(C)(c2ncccc2CN(Cc2ccccn2)Cc2ccccn2)C1C")</f>
        <v>CC1=CCCC(C)(c2ncccc2CN(Cc2ccccn2)Cc2ccccn2)C1C</v>
      </c>
      <c r="C6916" s="7">
        <f>IFERROR(__xludf.DUMMYFUNCTION("""COMPUTED_VALUE"""),7.781888)</f>
        <v>7.781888</v>
      </c>
      <c r="D6916" s="7">
        <f>IFERROR(__xludf.DUMMYFUNCTION("""COMPUTED_VALUE"""),0.434782608695652)</f>
        <v>0.4347826087</v>
      </c>
    </row>
    <row r="6917">
      <c r="A6917" s="10" t="s">
        <v>8356</v>
      </c>
      <c r="B6917" s="7" t="str">
        <f>IFERROR(__xludf.DUMMYFUNCTION("SPLIT(A6917,"" "")"),"Cc1ccc(CN(C)Cc2cccc(N(C)C3CCC(N(C)Cc4nccc(C)c4C)CC3)n2)nc1")</f>
        <v>Cc1ccc(CN(C)Cc2cccc(N(C)C3CCC(N(C)Cc4nccc(C)c4C)CC3)n2)nc1</v>
      </c>
      <c r="C6917" s="7">
        <f>IFERROR(__xludf.DUMMYFUNCTION("""COMPUTED_VALUE"""),7.781875)</f>
        <v>7.781875</v>
      </c>
      <c r="D6917" s="7">
        <f>IFERROR(__xludf.DUMMYFUNCTION("""COMPUTED_VALUE"""),0.393442622950819)</f>
        <v>0.393442623</v>
      </c>
    </row>
    <row r="6918">
      <c r="A6918" s="10" t="s">
        <v>8357</v>
      </c>
      <c r="B6918" s="7" t="str">
        <f>IFERROR(__xludf.DUMMYFUNCTION("SPLIT(A6918,"" "")"),"Cc1cccc(CN(C)C2CCC(N(Cc3ccccn3)Cc3cccc(CN(Cc4cccc(C5CCC5C)n4)Cc4nc(C)c(C)c(C)c4C)n3)CC2)n1")</f>
        <v>Cc1cccc(CN(C)C2CCC(N(Cc3ccccn3)Cc3cccc(CN(Cc4cccc(C5CCC5C)n4)Cc4nc(C)c(C)c(C)c4C)n3)CC2)n1</v>
      </c>
      <c r="C6918" s="7">
        <f>IFERROR(__xludf.DUMMYFUNCTION("""COMPUTED_VALUE"""),7.78186)</f>
        <v>7.78186</v>
      </c>
      <c r="D6918" s="7">
        <f>IFERROR(__xludf.DUMMYFUNCTION("""COMPUTED_VALUE"""),0.352112676056338)</f>
        <v>0.3521126761</v>
      </c>
    </row>
    <row r="6919">
      <c r="A6919" s="10" t="s">
        <v>8358</v>
      </c>
      <c r="B6919" s="7" t="str">
        <f>IFERROR(__xludf.DUMMYFUNCTION("SPLIT(A6919,"" "")"),"Cc1cncc(CN(C)C2CCCC(N(C)Cc3ccc4cccnc4c3)C2)c1")</f>
        <v>Cc1cncc(CN(C)C2CCCC(N(C)Cc3ccc4cccnc4c3)C2)c1</v>
      </c>
      <c r="C6919" s="7">
        <f>IFERROR(__xludf.DUMMYFUNCTION("""COMPUTED_VALUE"""),7.781855)</f>
        <v>7.781855</v>
      </c>
      <c r="D6919" s="7">
        <f>IFERROR(__xludf.DUMMYFUNCTION("""COMPUTED_VALUE"""),0.3)</f>
        <v>0.3</v>
      </c>
    </row>
    <row r="6920">
      <c r="A6920" s="10" t="s">
        <v>8359</v>
      </c>
      <c r="B6920" s="7" t="str">
        <f>IFERROR(__xludf.DUMMYFUNCTION("SPLIT(A6920,"" "")"),"CC(C)N(C)CC1=C(N(C)Cc2cccnn2)CC=CN1")</f>
        <v>CC(C)N(C)CC1=C(N(C)Cc2cccnn2)CC=CN1</v>
      </c>
      <c r="C6920" s="7">
        <f>IFERROR(__xludf.DUMMYFUNCTION("""COMPUTED_VALUE"""),7.78185)</f>
        <v>7.78185</v>
      </c>
      <c r="D6920" s="7">
        <f>IFERROR(__xludf.DUMMYFUNCTION("""COMPUTED_VALUE"""),0.416666666666666)</f>
        <v>0.4166666667</v>
      </c>
    </row>
    <row r="6921">
      <c r="A6921" s="10" t="s">
        <v>8360</v>
      </c>
      <c r="B6921" s="7" t="str">
        <f>IFERROR(__xludf.DUMMYFUNCTION("SPLIT(A6921,"" "")"),"CCC(C)N(C)CC1=C(N(C)Cc2ncccc2C)CC=CN1")</f>
        <v>CCC(C)N(C)CC1=C(N(C)Cc2ncccc2C)CC=CN1</v>
      </c>
      <c r="C6921" s="7">
        <f>IFERROR(__xludf.DUMMYFUNCTION("""COMPUTED_VALUE"""),7.781845)</f>
        <v>7.781845</v>
      </c>
      <c r="D6921" s="7">
        <f>IFERROR(__xludf.DUMMYFUNCTION("""COMPUTED_VALUE"""),0.261538461538461)</f>
        <v>0.2615384615</v>
      </c>
    </row>
    <row r="6922">
      <c r="A6922" s="10" t="s">
        <v>8361</v>
      </c>
      <c r="B6922" s="7" t="str">
        <f>IFERROR(__xludf.DUMMYFUNCTION("SPLIT(A6922,"" "")"),"CC(C)C1=CC2(C=CN1)C=CC(c1cc(CN(Cc3ccccn3)Cc3ccccn3)ccn1)C(c1cc(CN(Cc3ccccn3)Cc3cc(-c4ccc5c(c4)OCCOCCOCCOCCOCCO5)ccn3)ccn1)C2(C)C")</f>
        <v>CC(C)C1=CC2(C=CN1)C=CC(c1cc(CN(Cc3ccccn3)Cc3ccccn3)ccn1)C(c1cc(CN(Cc3ccccn3)Cc3cc(-c4ccc5c(c4)OCCOCCOCCOCCOCCO5)ccn3)ccn1)C2(C)C</v>
      </c>
      <c r="C6922" s="7">
        <f>IFERROR(__xludf.DUMMYFUNCTION("""COMPUTED_VALUE"""),7.781837)</f>
        <v>7.781837</v>
      </c>
      <c r="D6922" s="7">
        <f>IFERROR(__xludf.DUMMYFUNCTION("""COMPUTED_VALUE"""),0.28125)</f>
        <v>0.28125</v>
      </c>
    </row>
    <row r="6923">
      <c r="A6923" s="10" t="s">
        <v>8362</v>
      </c>
      <c r="B6923" s="7" t="str">
        <f>IFERROR(__xludf.DUMMYFUNCTION("SPLIT(A6923,"" "")"),"CC1=CC=CNC1NCc1ccccn1")</f>
        <v>CC1=CC=CNC1NCc1ccccn1</v>
      </c>
      <c r="C6923" s="7">
        <f>IFERROR(__xludf.DUMMYFUNCTION("""COMPUTED_VALUE"""),7.781827)</f>
        <v>7.781827</v>
      </c>
      <c r="D6923" s="7">
        <f>IFERROR(__xludf.DUMMYFUNCTION("""COMPUTED_VALUE"""),0.414634146341463)</f>
        <v>0.4146341463</v>
      </c>
    </row>
    <row r="6924">
      <c r="A6924" s="10" t="s">
        <v>8363</v>
      </c>
      <c r="B6924" s="7" t="str">
        <f>IFERROR(__xludf.DUMMYFUNCTION("SPLIT(A6924,"" "")"),"Cc1ccnc(CN(C)C2CCC(N(C)Cc3ccnc(C)c3)C(N(Cc3cc(C)ccn3)Cc3nc(C)c(C)cc3C)C2)c1")</f>
        <v>Cc1ccnc(CN(C)C2CCC(N(C)Cc3ccnc(C)c3)C(N(Cc3cc(C)ccn3)Cc3nc(C)c(C)cc3C)C2)c1</v>
      </c>
      <c r="C6924" s="7">
        <f>IFERROR(__xludf.DUMMYFUNCTION("""COMPUTED_VALUE"""),7.781825)</f>
        <v>7.781825</v>
      </c>
      <c r="D6924" s="7">
        <f>IFERROR(__xludf.DUMMYFUNCTION("""COMPUTED_VALUE"""),0.308823529411764)</f>
        <v>0.3088235294</v>
      </c>
    </row>
    <row r="6925">
      <c r="A6925" s="10" t="s">
        <v>8364</v>
      </c>
      <c r="B6925" s="7" t="str">
        <f>IFERROR(__xludf.DUMMYFUNCTION("SPLIT(A6925,"" "")"),"Cc1cc(CN(C)CCN(C)Cc2ccccn2)cnc1C")</f>
        <v>Cc1cc(CN(C)CCN(C)Cc2ccccn2)cnc1C</v>
      </c>
      <c r="C6925" s="7">
        <f>IFERROR(__xludf.DUMMYFUNCTION("""COMPUTED_VALUE"""),7.781819)</f>
        <v>7.781819</v>
      </c>
      <c r="D6925" s="7">
        <f>IFERROR(__xludf.DUMMYFUNCTION("""COMPUTED_VALUE"""),0.48076923076923)</f>
        <v>0.4807692308</v>
      </c>
    </row>
    <row r="6926">
      <c r="A6926" s="10" t="s">
        <v>8365</v>
      </c>
      <c r="B6926" s="7" t="str">
        <f>IFERROR(__xludf.DUMMYFUNCTION("SPLIT(A6926,"" "")"),"CN(Cc1ccc2ccccc2n1)Cc1ncccc1-c1ccc2c(c1)OCCOCCOCCOCCOCCO2")</f>
        <v>CN(Cc1ccc2ccccc2n1)Cc1ncccc1-c1ccc2c(c1)OCCOCCOCCOCCOCCO2</v>
      </c>
      <c r="C6926" s="7">
        <f>IFERROR(__xludf.DUMMYFUNCTION("""COMPUTED_VALUE"""),7.781811)</f>
        <v>7.781811</v>
      </c>
      <c r="D6926" s="7">
        <f>IFERROR(__xludf.DUMMYFUNCTION("""COMPUTED_VALUE"""),0.377049180327868)</f>
        <v>0.3770491803</v>
      </c>
    </row>
    <row r="6927">
      <c r="A6927" s="10" t="s">
        <v>8366</v>
      </c>
      <c r="B6927" s="7" t="str">
        <f>IFERROR(__xludf.DUMMYFUNCTION("SPLIT(A6927,"" "")"),"CC(C)[Si](c1ccc(CN(Cc2cccc(C3=NC(C)(C)CO3)n2)Cc2cccc(-c3ccc4c(c3)OCCOCCOCCOCCOCCO4)n2)nc1)(C(C)C)C(C)C")</f>
        <v>CC(C)[Si](c1ccc(CN(Cc2cccc(C3=NC(C)(C)CO3)n2)Cc2cccc(-c3ccc4c(c3)OCCOCCOCCOCCOCCO4)n2)nc1)(C(C)C)C(C)C</v>
      </c>
      <c r="C6927" s="7">
        <f>IFERROR(__xludf.DUMMYFUNCTION("""COMPUTED_VALUE"""),7.7817917)</f>
        <v>7.7817917</v>
      </c>
      <c r="D6927" s="7">
        <f>IFERROR(__xludf.DUMMYFUNCTION("""COMPUTED_VALUE"""),0.409090909090909)</f>
        <v>0.4090909091</v>
      </c>
    </row>
    <row r="6928">
      <c r="A6928" s="10" t="s">
        <v>8367</v>
      </c>
      <c r="B6928" s="7" t="str">
        <f>IFERROR(__xludf.DUMMYFUNCTION("SPLIT(A6928,"" "")"),"CCCNCc1cc(CN(Cc2ccccn2)Cc2ncccc2C)ccn1")</f>
        <v>CCCNCc1cc(CN(Cc2ccccn2)Cc2ncccc2C)ccn1</v>
      </c>
      <c r="C6928" s="7">
        <f>IFERROR(__xludf.DUMMYFUNCTION("""COMPUTED_VALUE"""),7.781785)</f>
        <v>7.781785</v>
      </c>
      <c r="D6928" s="7">
        <f>IFERROR(__xludf.DUMMYFUNCTION("""COMPUTED_VALUE"""),0.425531914893617)</f>
        <v>0.4255319149</v>
      </c>
    </row>
    <row r="6929">
      <c r="A6929" s="10" t="s">
        <v>8368</v>
      </c>
      <c r="B6929" s="7" t="str">
        <f>IFERROR(__xludf.DUMMYFUNCTION("SPLIT(A6929,"" "")"),"CC1CCC2(C=CC(C)C3(C=CC(c4ncccc4CN(Cc4ccccn4)Cc4ccccn4)C(c4cc(CN(Cc5ccccn5)Cc5ccccn5)ccn4)C34C(C)C=CC(C)C4C)C2)C=C1C(C)(C)C")</f>
        <v>CC1CCC2(C=CC(C)C3(C=CC(c4ncccc4CN(Cc4ccccn4)Cc4ccccn4)C(c4cc(CN(Cc5ccccn5)Cc5ccccn5)ccn4)C34C(C)C=CC(C)C4C)C2)C=C1C(C)(C)C</v>
      </c>
      <c r="C6929" s="7">
        <f>IFERROR(__xludf.DUMMYFUNCTION("""COMPUTED_VALUE"""),7.7817807)</f>
        <v>7.7817807</v>
      </c>
      <c r="D6929" s="7">
        <f>IFERROR(__xludf.DUMMYFUNCTION("""COMPUTED_VALUE"""),0.255813953488372)</f>
        <v>0.2558139535</v>
      </c>
    </row>
    <row r="6930">
      <c r="A6930" s="10" t="s">
        <v>8369</v>
      </c>
      <c r="B6930" s="7" t="str">
        <f>IFERROR(__xludf.DUMMYFUNCTION("SPLIT(A6930,"" "")"),"Cc1cc(C)c(-c2cccc3c2OCCOCCOCCOCCOCCO3)nc1CN(C)c1cccc(CN(C)Cc2ccccn2)n1")</f>
        <v>Cc1cc(C)c(-c2cccc3c2OCCOCCOCCOCCOCCO3)nc1CN(C)c1cccc(CN(C)Cc2ccccn2)n1</v>
      </c>
      <c r="C6930" s="7">
        <f>IFERROR(__xludf.DUMMYFUNCTION("""COMPUTED_VALUE"""),7.7817783)</f>
        <v>7.7817783</v>
      </c>
      <c r="D6930" s="7">
        <f>IFERROR(__xludf.DUMMYFUNCTION("""COMPUTED_VALUE"""),0.373134328358209)</f>
        <v>0.3731343284</v>
      </c>
    </row>
    <row r="6931">
      <c r="A6931" s="10" t="s">
        <v>8370</v>
      </c>
      <c r="B6931" s="7" t="str">
        <f>IFERROR(__xludf.DUMMYFUNCTION("SPLIT(A6931,"" "")"),"CCNc1cc(C(C)(c2ccccc2)C(C)C)ccn1")</f>
        <v>CCNc1cc(C(C)(c2ccccc2)C(C)C)ccn1</v>
      </c>
      <c r="C6931" s="7">
        <f>IFERROR(__xludf.DUMMYFUNCTION("""COMPUTED_VALUE"""),7.7817726)</f>
        <v>7.7817726</v>
      </c>
      <c r="D6931" s="7">
        <f>IFERROR(__xludf.DUMMYFUNCTION("""COMPUTED_VALUE"""),0.351851851851851)</f>
        <v>0.3518518519</v>
      </c>
    </row>
    <row r="6932">
      <c r="A6932" s="10" t="s">
        <v>8371</v>
      </c>
      <c r="B6932" s="7" t="str">
        <f>IFERROR(__xludf.DUMMYFUNCTION("SPLIT(A6932,"" "")"),"CCN(Cc1cccc(CN(Cc2ccccn2)C2CCC(N(C)Cc3nc(C)c(C)c(C)c3C)CC2)n1)Cc1nc(C)c(C)cc1C")</f>
        <v>CCN(Cc1cccc(CN(Cc2ccccn2)C2CCC(N(C)Cc3nc(C)c(C)c(C)c3C)CC2)n1)Cc1nc(C)c(C)cc1C</v>
      </c>
      <c r="C6932" s="7">
        <f>IFERROR(__xludf.DUMMYFUNCTION("""COMPUTED_VALUE"""),7.7817707)</f>
        <v>7.7817707</v>
      </c>
      <c r="D6932" s="7">
        <f>IFERROR(__xludf.DUMMYFUNCTION("""COMPUTED_VALUE"""),0.343283582089552)</f>
        <v>0.3432835821</v>
      </c>
    </row>
    <row r="6933">
      <c r="A6933" s="10" t="s">
        <v>8372</v>
      </c>
      <c r="B6933" s="7" t="str">
        <f>IFERROR(__xludf.DUMMYFUNCTION("SPLIT(A6933,"" "")"),"CN(Cc1ccnc(-c2ccccc2)c1)C1CCC(N(C)Cc2ccon2)CC1")</f>
        <v>CN(Cc1ccnc(-c2ccccc2)c1)C1CCC(N(C)Cc2ccon2)CC1</v>
      </c>
      <c r="C6933" s="7">
        <f>IFERROR(__xludf.DUMMYFUNCTION("""COMPUTED_VALUE"""),7.78177)</f>
        <v>7.78177</v>
      </c>
      <c r="D6933" s="7">
        <f>IFERROR(__xludf.DUMMYFUNCTION("""COMPUTED_VALUE"""),0.38)</f>
        <v>0.38</v>
      </c>
    </row>
    <row r="6934">
      <c r="A6934" s="10" t="s">
        <v>8373</v>
      </c>
      <c r="B6934" s="7" t="str">
        <f>IFERROR(__xludf.DUMMYFUNCTION("SPLIT(A6934,"" "")"),"CC(C)(C)c1ccnc(CNC2C=CNC=C2)c1")</f>
        <v>CC(C)(C)c1ccnc(CNC2C=CNC=C2)c1</v>
      </c>
      <c r="C6934" s="7">
        <f>IFERROR(__xludf.DUMMYFUNCTION("""COMPUTED_VALUE"""),7.7817698)</f>
        <v>7.7817698</v>
      </c>
      <c r="D6934" s="7">
        <f>IFERROR(__xludf.DUMMYFUNCTION("""COMPUTED_VALUE"""),0.234042553191489)</f>
        <v>0.2340425532</v>
      </c>
    </row>
    <row r="6935">
      <c r="A6935" s="10" t="s">
        <v>8374</v>
      </c>
      <c r="B6935" s="7" t="str">
        <f>IFERROR(__xludf.DUMMYFUNCTION("SPLIT(A6935,"" "")"),"CN(Cc1ncccc1-c1ccc2c(c1)OCCOCCOCCOCCOCCO2)C1CCCCC1N(C)Cc1ncccc1-c1ccc2ncccc2c1")</f>
        <v>CN(Cc1ncccc1-c1ccc2c(c1)OCCOCCOCCOCCOCCO2)C1CCCCC1N(C)Cc1ncccc1-c1ccc2ncccc2c1</v>
      </c>
      <c r="C6935" s="7">
        <f>IFERROR(__xludf.DUMMYFUNCTION("""COMPUTED_VALUE"""),7.781769)</f>
        <v>7.781769</v>
      </c>
      <c r="D6935" s="7">
        <f>IFERROR(__xludf.DUMMYFUNCTION("""COMPUTED_VALUE"""),0.365079365079365)</f>
        <v>0.3650793651</v>
      </c>
    </row>
    <row r="6936">
      <c r="A6936" s="10" t="s">
        <v>8375</v>
      </c>
      <c r="B6936" s="7" t="str">
        <f>IFERROR(__xludf.DUMMYFUNCTION("SPLIT(A6936,"" "")"),"CN(Cc1cccc(-c2ccc3c(c2)OCCOCCOCCOCCOCCO3)n1)Cc1ccc2cc(N(C)Cc3cccc(-c4ccc5c(c4)OCCOCCOCCOCCOCCO5)n3)ccc2n1")</f>
        <v>CN(Cc1cccc(-c2ccc3c(c2)OCCOCCOCCOCCOCCO3)n1)Cc1ccc2cc(N(C)Cc3cccc(-c4ccc5c(c4)OCCOCCOCCOCCOCCO5)n3)ccc2n1</v>
      </c>
      <c r="C6936" s="7">
        <f>IFERROR(__xludf.DUMMYFUNCTION("""COMPUTED_VALUE"""),7.781768)</f>
        <v>7.781768</v>
      </c>
      <c r="D6936" s="7">
        <f>IFERROR(__xludf.DUMMYFUNCTION("""COMPUTED_VALUE"""),0.333333333333333)</f>
        <v>0.3333333333</v>
      </c>
    </row>
    <row r="6937">
      <c r="A6937" s="10" t="s">
        <v>8376</v>
      </c>
      <c r="B6937" s="7" t="str">
        <f>IFERROR(__xludf.DUMMYFUNCTION("SPLIT(A6937,"" "")"),"CN(Cc1cccc(-c2ccc3c(c2)OCCOCCOCCOCCOCCO3)n1)Cc1ccc2cccc(N(C)Cc3cccc(-c4ccc5c(c4)OCCOCCOCCOCCOCCO5)n3)c2n1")</f>
        <v>CN(Cc1cccc(-c2ccc3c(c2)OCCOCCOCCOCCOCCO3)n1)Cc1ccc2cccc(N(C)Cc3cccc(-c4ccc5c(c4)OCCOCCOCCOCCOCCO5)n3)c2n1</v>
      </c>
      <c r="C6937" s="7">
        <f>IFERROR(__xludf.DUMMYFUNCTION("""COMPUTED_VALUE"""),7.7817645)</f>
        <v>7.7817645</v>
      </c>
      <c r="D6937" s="7">
        <f>IFERROR(__xludf.DUMMYFUNCTION("""COMPUTED_VALUE"""),0.343283582089552)</f>
        <v>0.3432835821</v>
      </c>
    </row>
    <row r="6938">
      <c r="A6938" s="10" t="s">
        <v>8377</v>
      </c>
      <c r="B6938" s="7" t="str">
        <f>IFERROR(__xludf.DUMMYFUNCTION("SPLIT(A6938,"" "")"),"CNc1cnc(CN(Cc2ccccn2)C2CCCC(N(C)Cc3nc(C)c(C)c(C)c3C)C2)c(C)c1")</f>
        <v>CNc1cnc(CN(Cc2ccccn2)C2CCCC(N(C)Cc3nc(C)c(C)c(C)c3C)C2)c(C)c1</v>
      </c>
      <c r="C6938" s="7">
        <f>IFERROR(__xludf.DUMMYFUNCTION("""COMPUTED_VALUE"""),7.781764)</f>
        <v>7.781764</v>
      </c>
      <c r="D6938" s="7">
        <f>IFERROR(__xludf.DUMMYFUNCTION("""COMPUTED_VALUE"""),0.35820895522388)</f>
        <v>0.3582089552</v>
      </c>
    </row>
    <row r="6939">
      <c r="A6939" s="10" t="s">
        <v>8378</v>
      </c>
      <c r="B6939" s="7" t="str">
        <f>IFERROR(__xludf.DUMMYFUNCTION("SPLIT(A6939,"" "")"),"Cc1ccnc(CN(Cc2nc(C)c(C)c(C)c2C)C2CC(N(C)Cc3ccccn3)CCC2N(C)Cc2ncccc2C)c1")</f>
        <v>Cc1ccnc(CN(Cc2nc(C)c(C)c(C)c2C)C2CC(N(C)Cc3ccccn3)CCC2N(C)Cc2ncccc2C)c1</v>
      </c>
      <c r="C6939" s="7">
        <f>IFERROR(__xludf.DUMMYFUNCTION("""COMPUTED_VALUE"""),7.781763)</f>
        <v>7.781763</v>
      </c>
      <c r="D6939" s="7">
        <f>IFERROR(__xludf.DUMMYFUNCTION("""COMPUTED_VALUE"""),0.402985074626865)</f>
        <v>0.4029850746</v>
      </c>
    </row>
    <row r="6940">
      <c r="A6940" s="10" t="s">
        <v>8379</v>
      </c>
      <c r="B6940" s="7" t="str">
        <f>IFERROR(__xludf.DUMMYFUNCTION("SPLIT(A6940,"" "")"),"Cc1cccnc1CN(C)Cc1ccc(N(C)Cc2cccc(-c3ccc4c(c3)OCCOCCOCCOCCOCCO4)n2)cn1")</f>
        <v>Cc1cccnc1CN(C)Cc1ccc(N(C)Cc2cccc(-c3ccc4c(c3)OCCOCCOCCOCCOCCO4)n2)cn1</v>
      </c>
      <c r="C6940" s="7">
        <f>IFERROR(__xludf.DUMMYFUNCTION("""COMPUTED_VALUE"""),7.781756)</f>
        <v>7.781756</v>
      </c>
      <c r="D6940" s="7">
        <f>IFERROR(__xludf.DUMMYFUNCTION("""COMPUTED_VALUE"""),0.367647058823529)</f>
        <v>0.3676470588</v>
      </c>
    </row>
    <row r="6941">
      <c r="A6941" s="10" t="s">
        <v>8380</v>
      </c>
      <c r="B6941" s="7" t="str">
        <f>IFERROR(__xludf.DUMMYFUNCTION("SPLIT(A6941,"" "")"),"CC1C=CC(C)(c2ccc(CN(Cc3ccccn3)Cc3ccccn3)cn2)CC1C")</f>
        <v>CC1C=CC(C)(c2ccc(CN(Cc3ccccn3)Cc3ccccn3)cn2)CC1C</v>
      </c>
      <c r="C6941" s="7">
        <f>IFERROR(__xludf.DUMMYFUNCTION("""COMPUTED_VALUE"""),7.7817545)</f>
        <v>7.7817545</v>
      </c>
      <c r="D6941" s="7">
        <f>IFERROR(__xludf.DUMMYFUNCTION("""COMPUTED_VALUE"""),0.416666666666666)</f>
        <v>0.4166666667</v>
      </c>
    </row>
    <row r="6942">
      <c r="A6942" s="10" t="s">
        <v>8381</v>
      </c>
      <c r="B6942" s="7" t="str">
        <f>IFERROR(__xludf.DUMMYFUNCTION("SPLIT(A6942,"" "")"),"CNC1C(N(Cc2ccccn2)Cc2cc(C)c(C)c(C)n2)CCCC1N(Cc1ccccn1)Cc1cc(C)c(C)c(C)n1")</f>
        <v>CNC1C(N(Cc2ccccn2)Cc2cc(C)c(C)c(C)n2)CCCC1N(Cc1ccccn1)Cc1cc(C)c(C)c(C)n1</v>
      </c>
      <c r="C6942" s="7">
        <f>IFERROR(__xludf.DUMMYFUNCTION("""COMPUTED_VALUE"""),7.781749)</f>
        <v>7.781749</v>
      </c>
      <c r="D6942" s="7">
        <f>IFERROR(__xludf.DUMMYFUNCTION("""COMPUTED_VALUE"""),0.461538461538461)</f>
        <v>0.4615384615</v>
      </c>
    </row>
    <row r="6943">
      <c r="A6943" s="10" t="s">
        <v>8382</v>
      </c>
      <c r="B6943" s="7" t="str">
        <f>IFERROR(__xludf.DUMMYFUNCTION("SPLIT(A6943,"" "")"),"CC(N)C(C)C1=CCC(N(C)Cc2ccccn2)=CN1")</f>
        <v>CC(N)C(C)C1=CCC(N(C)Cc2ccccn2)=CN1</v>
      </c>
      <c r="C6943" s="7">
        <f>IFERROR(__xludf.DUMMYFUNCTION("""COMPUTED_VALUE"""),7.781745)</f>
        <v>7.781745</v>
      </c>
      <c r="D6943" s="7">
        <f>IFERROR(__xludf.DUMMYFUNCTION("""COMPUTED_VALUE"""),0.411764705882352)</f>
        <v>0.4117647059</v>
      </c>
    </row>
    <row r="6944">
      <c r="A6944" s="10" t="s">
        <v>8383</v>
      </c>
      <c r="B6944" s="7" t="str">
        <f>IFERROR(__xludf.DUMMYFUNCTION("SPLIT(A6944,"" "")"),"CC(C)N(Cc1cc(-c2ccc3c(c2)OCCOCCOCCOCCOCCO3)ccn1)C1CCC(N(C)Cc2cc(-c3ccc4ncccc4c3)ccn2)CC1")</f>
        <v>CC(C)N(Cc1cc(-c2ccc3c(c2)OCCOCCOCCOCCOCCO3)ccn1)C1CCC(N(C)Cc2cc(-c3ccc4ncccc4c3)ccn2)CC1</v>
      </c>
      <c r="C6944" s="7">
        <f>IFERROR(__xludf.DUMMYFUNCTION("""COMPUTED_VALUE"""),7.781744)</f>
        <v>7.781744</v>
      </c>
      <c r="D6944" s="7">
        <f>IFERROR(__xludf.DUMMYFUNCTION("""COMPUTED_VALUE"""),0.346153846153846)</f>
        <v>0.3461538462</v>
      </c>
    </row>
    <row r="6945">
      <c r="A6945" s="10" t="s">
        <v>8384</v>
      </c>
      <c r="B6945" s="7" t="str">
        <f>IFERROR(__xludf.DUMMYFUNCTION("SPLIT(A6945,"" "")"),"CC(C)N1CCN(C)CCN(C(C)c2cccnc2-c2cccnc2NC2=CCC=CN2)CC1")</f>
        <v>CC(C)N1CCN(C)CCN(C(C)c2cccnc2-c2cccnc2NC2=CCC=CN2)CC1</v>
      </c>
      <c r="C6945" s="7">
        <f>IFERROR(__xludf.DUMMYFUNCTION("""COMPUTED_VALUE"""),7.7817426)</f>
        <v>7.7817426</v>
      </c>
      <c r="D6945" s="7">
        <f>IFERROR(__xludf.DUMMYFUNCTION("""COMPUTED_VALUE"""),0.292307692307692)</f>
        <v>0.2923076923</v>
      </c>
    </row>
    <row r="6946">
      <c r="A6946" s="10" t="s">
        <v>8385</v>
      </c>
      <c r="B6946" s="7" t="str">
        <f>IFERROR(__xludf.DUMMYFUNCTION("SPLIT(A6946,"" "")"),"CC(C)N(CC1=CCC=CN1)Cc1ncccc1C(C)(C)C")</f>
        <v>CC(C)N(CC1=CCC=CN1)Cc1ncccc1C(C)(C)C</v>
      </c>
      <c r="C6946" s="7">
        <f>IFERROR(__xludf.DUMMYFUNCTION("""COMPUTED_VALUE"""),7.7817283)</f>
        <v>7.7817283</v>
      </c>
      <c r="D6946" s="7">
        <f>IFERROR(__xludf.DUMMYFUNCTION("""COMPUTED_VALUE"""),0.481481481481481)</f>
        <v>0.4814814815</v>
      </c>
    </row>
    <row r="6947">
      <c r="A6947" s="10" t="s">
        <v>8386</v>
      </c>
      <c r="B6947" s="7" t="str">
        <f>IFERROR(__xludf.DUMMYFUNCTION("SPLIT(A6947,"" "")"),"Cc1ccc(CN(C)Cc2ccc(CN(C)C(C)C)cn2)cn1")</f>
        <v>Cc1ccc(CN(C)Cc2ccc(CN(C)C(C)C)cn2)cn1</v>
      </c>
      <c r="C6947" s="7">
        <f>IFERROR(__xludf.DUMMYFUNCTION("""COMPUTED_VALUE"""),7.7817187)</f>
        <v>7.7817187</v>
      </c>
      <c r="D6947" s="7">
        <f>IFERROR(__xludf.DUMMYFUNCTION("""COMPUTED_VALUE"""),0.428571428571428)</f>
        <v>0.4285714286</v>
      </c>
    </row>
    <row r="6948">
      <c r="A6948" s="10" t="s">
        <v>8387</v>
      </c>
      <c r="B6948" s="7" t="str">
        <f>IFERROR(__xludf.DUMMYFUNCTION("SPLIT(A6948,"" "")"),"Cc1cccnc1CN(C)Cc1cccc(C2CCC2(C)C)n1")</f>
        <v>Cc1cccnc1CN(C)Cc1cccc(C2CCC2(C)C)n1</v>
      </c>
      <c r="C6948" s="7">
        <f>IFERROR(__xludf.DUMMYFUNCTION("""COMPUTED_VALUE"""),7.781713)</f>
        <v>7.781713</v>
      </c>
      <c r="D6948" s="7">
        <f>IFERROR(__xludf.DUMMYFUNCTION("""COMPUTED_VALUE"""),0.4)</f>
        <v>0.4</v>
      </c>
    </row>
    <row r="6949">
      <c r="A6949" s="10" t="s">
        <v>8388</v>
      </c>
      <c r="B6949" s="7" t="str">
        <f>IFERROR(__xludf.DUMMYFUNCTION("SPLIT(A6949,"" "")"),"Cc1cncc(C)c1CN(C)CCN(Cc1ccccn1)C(C)NCc1ccccn1")</f>
        <v>Cc1cncc(C)c1CN(C)CCN(Cc1ccccn1)C(C)NCc1ccccn1</v>
      </c>
      <c r="C6949" s="7">
        <f>IFERROR(__xludf.DUMMYFUNCTION("""COMPUTED_VALUE"""),7.781713)</f>
        <v>7.781713</v>
      </c>
      <c r="D6949" s="7">
        <f>IFERROR(__xludf.DUMMYFUNCTION("""COMPUTED_VALUE"""),0.48)</f>
        <v>0.48</v>
      </c>
    </row>
    <row r="6950">
      <c r="A6950" s="10" t="s">
        <v>8389</v>
      </c>
      <c r="B6950" s="7" t="str">
        <f>IFERROR(__xludf.DUMMYFUNCTION("SPLIT(A6950,"" "")"),"CC1=CC(C)C2(C=CC(C)C3(C=CC4(CC(C)C=C(C)C4C)C(c4cccc(CN(Cc5ccccn5)Cc5ccccn5)n4)C3c3cccc(CN(Cc4ccccn4)Cc4ccccn4)n3)C2C)CC1")</f>
        <v>CC1=CC(C)C2(C=CC(C)C3(C=CC4(CC(C)C=C(C)C4C)C(c4cccc(CN(Cc5ccccn5)Cc5ccccn5)n4)C3c3cccc(CN(Cc4ccccn4)Cc4ccccn4)n3)C2C)CC1</v>
      </c>
      <c r="C6950" s="7">
        <f>IFERROR(__xludf.DUMMYFUNCTION("""COMPUTED_VALUE"""),7.781699)</f>
        <v>7.781699</v>
      </c>
      <c r="D6950" s="7">
        <f>IFERROR(__xludf.DUMMYFUNCTION("""COMPUTED_VALUE"""),0.297619047619047)</f>
        <v>0.2976190476</v>
      </c>
    </row>
    <row r="6951">
      <c r="A6951" s="10" t="s">
        <v>8390</v>
      </c>
      <c r="B6951" s="7" t="str">
        <f>IFERROR(__xludf.DUMMYFUNCTION("SPLIT(A6951,"" "")"),"Cc1cnc(CN(C)C2CCCC(N(CC3=CCC(N(C)Cc4ccccn4)=CN3)Cc3ccccn3)C2)c(C)c1")</f>
        <v>Cc1cnc(CN(C)C2CCCC(N(CC3=CCC(N(C)Cc4ccccn4)=CN3)Cc3ccccn3)C2)c(C)c1</v>
      </c>
      <c r="C6951" s="7">
        <f>IFERROR(__xludf.DUMMYFUNCTION("""COMPUTED_VALUE"""),7.7816954)</f>
        <v>7.7816954</v>
      </c>
      <c r="D6951" s="7">
        <f>IFERROR(__xludf.DUMMYFUNCTION("""COMPUTED_VALUE"""),0.342857142857142)</f>
        <v>0.3428571429</v>
      </c>
    </row>
    <row r="6952">
      <c r="A6952" s="10" t="s">
        <v>8391</v>
      </c>
      <c r="B6952" s="7" t="str">
        <f>IFERROR(__xludf.DUMMYFUNCTION("SPLIT(A6952,"" "")"),"Cc1cncc(CN(C)Cc2ccc(N(C)C3CCCCC3N(C)Cc3nc(C)c(C)cc3C)cn2)c1")</f>
        <v>Cc1cncc(CN(C)Cc2ccc(N(C)C3CCCCC3N(C)Cc3nc(C)c(C)cc3C)cn2)c1</v>
      </c>
      <c r="C6952" s="7">
        <f>IFERROR(__xludf.DUMMYFUNCTION("""COMPUTED_VALUE"""),7.7816863)</f>
        <v>7.7816863</v>
      </c>
      <c r="D6952" s="7">
        <f>IFERROR(__xludf.DUMMYFUNCTION("""COMPUTED_VALUE"""),0.435483870967741)</f>
        <v>0.435483871</v>
      </c>
    </row>
    <row r="6953">
      <c r="A6953" s="10" t="s">
        <v>8392</v>
      </c>
      <c r="B6953" s="7" t="str">
        <f>IFERROR(__xludf.DUMMYFUNCTION("SPLIT(A6953,"" "")"),"Cc1cnc(CN(C)Cc2ccccn2)c(C2CCC2(C)C)c1")</f>
        <v>Cc1cnc(CN(C)Cc2ccccn2)c(C2CCC2(C)C)c1</v>
      </c>
      <c r="C6953" s="7">
        <f>IFERROR(__xludf.DUMMYFUNCTION("""COMPUTED_VALUE"""),7.7816815)</f>
        <v>7.7816815</v>
      </c>
      <c r="D6953" s="7">
        <f>IFERROR(__xludf.DUMMYFUNCTION("""COMPUTED_VALUE"""),0.4)</f>
        <v>0.4</v>
      </c>
    </row>
    <row r="6954">
      <c r="A6954" s="10" t="s">
        <v>8393</v>
      </c>
      <c r="B6954" s="7" t="str">
        <f>IFERROR(__xludf.DUMMYFUNCTION("SPLIT(A6954,"" "")"),"Cc1cncc(CN(Cc2cccc(N(C)Cc3ccccn3)c2)Cc2ncccc2-c2ccc3c(c2)OCCOCCOCCOCCOCCO3)c1")</f>
        <v>Cc1cncc(CN(Cc2cccc(N(C)Cc3ccccn3)c2)Cc2ncccc2-c2ccc3c(c2)OCCOCCOCCOCCOCCO3)c1</v>
      </c>
      <c r="C6954" s="7">
        <f>IFERROR(__xludf.DUMMYFUNCTION("""COMPUTED_VALUE"""),7.781675)</f>
        <v>7.781675</v>
      </c>
      <c r="D6954" s="7">
        <f>IFERROR(__xludf.DUMMYFUNCTION("""COMPUTED_VALUE"""),0.289473684210526)</f>
        <v>0.2894736842</v>
      </c>
    </row>
    <row r="6955">
      <c r="A6955" s="10" t="s">
        <v>8394</v>
      </c>
      <c r="B6955" s="7" t="str">
        <f>IFERROR(__xludf.DUMMYFUNCTION("SPLIT(A6955,"" "")"),"CNCc1cc(N)ccn1")</f>
        <v>CNCc1cc(N)ccn1</v>
      </c>
      <c r="C6955" s="7">
        <f>IFERROR(__xludf.DUMMYFUNCTION("""COMPUTED_VALUE"""),7.781669)</f>
        <v>7.781669</v>
      </c>
      <c r="D6955" s="7">
        <f>IFERROR(__xludf.DUMMYFUNCTION("""COMPUTED_VALUE"""),0.305555555555555)</f>
        <v>0.3055555556</v>
      </c>
    </row>
    <row r="6956">
      <c r="A6956" s="10" t="s">
        <v>8395</v>
      </c>
      <c r="B6956" s="7" t="str">
        <f>IFERROR(__xludf.DUMMYFUNCTION("SPLIT(A6956,"" "")"),"Cc1ccnc(CN(Cc2cccc(CN(Cc3cccc(C)n3)C3CCC(N(C)Cc4nc(C)c(C)c(C)c4C)CC3)n2)C(C)C)c1")</f>
        <v>Cc1ccnc(CN(Cc2cccc(CN(Cc3cccc(C)n3)C3CCC(N(C)Cc4nc(C)c(C)c(C)c4C)CC3)n2)C(C)C)c1</v>
      </c>
      <c r="C6956" s="7">
        <f>IFERROR(__xludf.DUMMYFUNCTION("""COMPUTED_VALUE"""),7.7816353)</f>
        <v>7.7816353</v>
      </c>
      <c r="D6956" s="7">
        <f>IFERROR(__xludf.DUMMYFUNCTION("""COMPUTED_VALUE"""),0.363636363636363)</f>
        <v>0.3636363636</v>
      </c>
    </row>
    <row r="6957">
      <c r="A6957" s="10" t="s">
        <v>8396</v>
      </c>
      <c r="B6957" s="7" t="str">
        <f>IFERROR(__xludf.DUMMYFUNCTION("SPLIT(A6957,"" "")"),"CN(Cc1cnc2ccc(N(C)Cc3ncccc3-c3cccc4c3OCCOCCOCCOCCOCCO4)cc2c1)Cc1ncccc1-c1cccc2c1OCCOCCOCCOCCOCCO2")</f>
        <v>CN(Cc1cnc2ccc(N(C)Cc3ncccc3-c3cccc4c3OCCOCCOCCOCCOCCO4)cc2c1)Cc1ncccc1-c1cccc2c1OCCOCCOCCOCCOCCO2</v>
      </c>
      <c r="C6957" s="7">
        <f>IFERROR(__xludf.DUMMYFUNCTION("""COMPUTED_VALUE"""),7.781635)</f>
        <v>7.781635</v>
      </c>
      <c r="D6957" s="7">
        <f>IFERROR(__xludf.DUMMYFUNCTION("""COMPUTED_VALUE"""),0.236111111111111)</f>
        <v>0.2361111111</v>
      </c>
    </row>
    <row r="6958">
      <c r="A6958" s="10" t="s">
        <v>8397</v>
      </c>
      <c r="B6958" s="7" t="str">
        <f>IFERROR(__xludf.DUMMYFUNCTION("SPLIT(A6958,"" "")"),"Cc1ccnc(C)c1CN(C)CCN(C)Cc1ccccn1")</f>
        <v>Cc1ccnc(C)c1CN(C)CCN(C)Cc1ccccn1</v>
      </c>
      <c r="C6958" s="7">
        <f>IFERROR(__xludf.DUMMYFUNCTION("""COMPUTED_VALUE"""),7.781633)</f>
        <v>7.781633</v>
      </c>
      <c r="D6958" s="7">
        <f>IFERROR(__xludf.DUMMYFUNCTION("""COMPUTED_VALUE"""),0.476190476190476)</f>
        <v>0.4761904762</v>
      </c>
    </row>
    <row r="6959">
      <c r="A6959" s="10" t="s">
        <v>8398</v>
      </c>
      <c r="B6959" s="7" t="str">
        <f>IFERROR(__xludf.DUMMYFUNCTION("SPLIT(A6959,"" "")"),"CNc1ccc2c(c1-c1cc(CN(Cc3ccccn3)C3CCCCC3N(C)c3ccc4nccc(CF)c4c3)ccn1)OCCOCCOCCOCCOCCO2")</f>
        <v>CNc1ccc2c(c1-c1cc(CN(Cc3ccccn3)C3CCCCC3N(C)c3ccc4nccc(CF)c4c3)ccn1)OCCOCCOCCOCCOCCO2</v>
      </c>
      <c r="C6959" s="7">
        <f>IFERROR(__xludf.DUMMYFUNCTION("""COMPUTED_VALUE"""),7.7816286)</f>
        <v>7.7816286</v>
      </c>
      <c r="D6959" s="7">
        <f>IFERROR(__xludf.DUMMYFUNCTION("""COMPUTED_VALUE"""),0.298850574712643)</f>
        <v>0.2988505747</v>
      </c>
    </row>
    <row r="6960">
      <c r="A6960" s="10" t="s">
        <v>8399</v>
      </c>
      <c r="B6960" s="7" t="str">
        <f>IFERROR(__xludf.DUMMYFUNCTION("SPLIT(A6960,"" "")"),"CC(C)N1CCCC1C1CCCN1Cc1cccc(-c2cccc(N=Cc3ccccn3)c2)n1")</f>
        <v>CC(C)N1CCCC1C1CCCN1Cc1cccc(-c2cccc(N=Cc3ccccn3)c2)n1</v>
      </c>
      <c r="C6960" s="7">
        <f>IFERROR(__xludf.DUMMYFUNCTION("""COMPUTED_VALUE"""),7.7816277)</f>
        <v>7.7816277</v>
      </c>
      <c r="D6960" s="7">
        <f>IFERROR(__xludf.DUMMYFUNCTION("""COMPUTED_VALUE"""),0.428571428571428)</f>
        <v>0.4285714286</v>
      </c>
    </row>
    <row r="6961">
      <c r="A6961" s="10" t="s">
        <v>8400</v>
      </c>
      <c r="B6961" s="7" t="str">
        <f>IFERROR(__xludf.DUMMYFUNCTION("SPLIT(A6961,"" "")"),"CC(C)C(C)CN(CCN(C)Cc1ccc2ncccc2c1)Cc1ccccn1")</f>
        <v>CC(C)C(C)CN(CCN(C)Cc1ccc2ncccc2c1)Cc1ccccn1</v>
      </c>
      <c r="C6961" s="7">
        <f>IFERROR(__xludf.DUMMYFUNCTION("""COMPUTED_VALUE"""),7.7816267)</f>
        <v>7.7816267</v>
      </c>
      <c r="D6961" s="7">
        <f>IFERROR(__xludf.DUMMYFUNCTION("""COMPUTED_VALUE"""),0.459016393442622)</f>
        <v>0.4590163934</v>
      </c>
    </row>
    <row r="6962">
      <c r="A6962" s="10" t="s">
        <v>8401</v>
      </c>
      <c r="B6962" s="7" t="str">
        <f>IFERROR(__xludf.DUMMYFUNCTION("SPLIT(A6962,"" "")"),"CN(Cc1cccc(-c2ccc3c(c2)OCCOCCOCCOCCOCCO3)n1)C1CCC(N(C)Cc2cccc(-c3ccc4ncccc4c3)n2)CC1")</f>
        <v>CN(Cc1cccc(-c2ccc3c(c2)OCCOCCOCCOCCOCCO3)n1)C1CCC(N(C)Cc2cccc(-c3ccc4ncccc4c3)n2)CC1</v>
      </c>
      <c r="C6962" s="7">
        <f>IFERROR(__xludf.DUMMYFUNCTION("""COMPUTED_VALUE"""),7.7816215)</f>
        <v>7.7816215</v>
      </c>
      <c r="D6962" s="7">
        <f>IFERROR(__xludf.DUMMYFUNCTION("""COMPUTED_VALUE"""),0.351351351351351)</f>
        <v>0.3513513514</v>
      </c>
    </row>
    <row r="6963">
      <c r="A6963" s="10" t="s">
        <v>8402</v>
      </c>
      <c r="B6963" s="7" t="str">
        <f>IFERROR(__xludf.DUMMYFUNCTION("SPLIT(A6963,"" "")"),"CCOC(C)NCc1ccc(CN(Cc2ccccn2)Cc2ccccn2)cn1")</f>
        <v>CCOC(C)NCc1ccc(CN(Cc2ccccn2)Cc2ccccn2)cn1</v>
      </c>
      <c r="C6963" s="7">
        <f>IFERROR(__xludf.DUMMYFUNCTION("""COMPUTED_VALUE"""),7.781617)</f>
        <v>7.781617</v>
      </c>
      <c r="D6963" s="7">
        <f>IFERROR(__xludf.DUMMYFUNCTION("""COMPUTED_VALUE"""),0.444444444444444)</f>
        <v>0.4444444444</v>
      </c>
    </row>
    <row r="6964">
      <c r="A6964" s="10" t="s">
        <v>8403</v>
      </c>
      <c r="B6964" s="7" t="str">
        <f>IFERROR(__xludf.DUMMYFUNCTION("SPLIT(A6964,"" "")"),"CN(C)Cc1nccc2cc(N(C)C3CCC(N(Cc4cccc(-c5cccc6c5OCCOCCOCCOCCOCCO6)n4)Cc4ncccc4C(C)(C)C)CC3)ccc12")</f>
        <v>CN(C)Cc1nccc2cc(N(C)C3CCC(N(Cc4cccc(-c5cccc6c5OCCOCCOCCOCCOCCO6)n4)Cc4ncccc4C(C)(C)C)CC3)ccc12</v>
      </c>
      <c r="C6964" s="7">
        <f>IFERROR(__xludf.DUMMYFUNCTION("""COMPUTED_VALUE"""),7.7815895)</f>
        <v>7.7815895</v>
      </c>
      <c r="D6964" s="7">
        <f>IFERROR(__xludf.DUMMYFUNCTION("""COMPUTED_VALUE"""),0.238636363636363)</f>
        <v>0.2386363636</v>
      </c>
    </row>
    <row r="6965">
      <c r="A6965" s="10" t="s">
        <v>8404</v>
      </c>
      <c r="B6965" s="7" t="str">
        <f>IFERROR(__xludf.DUMMYFUNCTION("SPLIT(A6965,"" "")"),"Cc1ccc(CN(C)C2CCC(N(C)Cc3ccccn3)CC2N(Cc2cccc(C)n2)Cc2nc(C)c(C)c(C)c2C)nc1")</f>
        <v>Cc1ccc(CN(C)C2CCC(N(C)Cc3ccccn3)CC2N(Cc2cccc(C)n2)Cc2nc(C)c(C)c(C)c2C)nc1</v>
      </c>
      <c r="C6965" s="7">
        <f>IFERROR(__xludf.DUMMYFUNCTION("""COMPUTED_VALUE"""),7.781583)</f>
        <v>7.781583</v>
      </c>
      <c r="D6965" s="7">
        <f>IFERROR(__xludf.DUMMYFUNCTION("""COMPUTED_VALUE"""),0.424242424242424)</f>
        <v>0.4242424242</v>
      </c>
    </row>
    <row r="6966">
      <c r="A6966" s="10" t="s">
        <v>8405</v>
      </c>
      <c r="B6966" s="7" t="str">
        <f>IFERROR(__xludf.DUMMYFUNCTION("SPLIT(A6966,"" "")"),"Cc1cccnc1CN(C)Cc1ncccc1N(C)Cc1cc(-c2ccc3c(c2)OCCOCCOCCOCCOCCO3)ccn1")</f>
        <v>Cc1cccnc1CN(C)Cc1ncccc1N(C)Cc1cc(-c2ccc3c(c2)OCCOCCOCCOCCOCCO3)ccn1</v>
      </c>
      <c r="C6966" s="7">
        <f>IFERROR(__xludf.DUMMYFUNCTION("""COMPUTED_VALUE"""),7.78157)</f>
        <v>7.78157</v>
      </c>
      <c r="D6966" s="7">
        <f>IFERROR(__xludf.DUMMYFUNCTION("""COMPUTED_VALUE"""),0.337837837837837)</f>
        <v>0.3378378378</v>
      </c>
    </row>
    <row r="6967">
      <c r="A6967" s="10" t="s">
        <v>8406</v>
      </c>
      <c r="B6967" s="7" t="str">
        <f>IFERROR(__xludf.DUMMYFUNCTION("SPLIT(A6967,"" "")"),"CC(NCc1ccccn1)c1cccc(CF)n1")</f>
        <v>CC(NCc1ccccn1)c1cccc(CF)n1</v>
      </c>
      <c r="C6967" s="7">
        <f>IFERROR(__xludf.DUMMYFUNCTION("""COMPUTED_VALUE"""),7.7815447)</f>
        <v>7.7815447</v>
      </c>
      <c r="D6967" s="7">
        <f>IFERROR(__xludf.DUMMYFUNCTION("""COMPUTED_VALUE"""),0.414634146341463)</f>
        <v>0.4146341463</v>
      </c>
    </row>
    <row r="6968">
      <c r="A6968" s="10" t="s">
        <v>8407</v>
      </c>
      <c r="B6968" s="7" t="str">
        <f>IFERROR(__xludf.DUMMYFUNCTION("SPLIT(A6968,"" "")"),"CNCc1ccc(C)c(CN(Cc2nc(C)c(C)c(C)c2C)C2CCCC(N(C)Cc3nc(C)c(C)cc3C)C2)n1")</f>
        <v>CNCc1ccc(C)c(CN(Cc2nc(C)c(C)c(C)c2C)C2CCCC(N(C)Cc3nc(C)c(C)cc3C)C2)n1</v>
      </c>
      <c r="C6968" s="7">
        <f>IFERROR(__xludf.DUMMYFUNCTION("""COMPUTED_VALUE"""),7.78153)</f>
        <v>7.78153</v>
      </c>
      <c r="D6968" s="7">
        <f>IFERROR(__xludf.DUMMYFUNCTION("""COMPUTED_VALUE"""),0.25)</f>
        <v>0.25</v>
      </c>
    </row>
    <row r="6969">
      <c r="A6969" s="10" t="s">
        <v>8408</v>
      </c>
      <c r="B6969" s="7" t="str">
        <f>IFERROR(__xludf.DUMMYFUNCTION("SPLIT(A6969,"" "")"),"Cc1ccc(CN(C)C2CCC(N(Cc3cc(C)ccn3)Cc3cc(C)c(C)c(C)n3)CC2N(C)Cc2cc(C)ccn2)nc1")</f>
        <v>Cc1ccc(CN(C)C2CCC(N(Cc3cc(C)ccn3)Cc3cc(C)c(C)c(C)n3)CC2N(C)Cc2cc(C)ccn2)nc1</v>
      </c>
      <c r="C6969" s="7">
        <f>IFERROR(__xludf.DUMMYFUNCTION("""COMPUTED_VALUE"""),7.7815204)</f>
        <v>7.7815204</v>
      </c>
      <c r="D6969" s="7">
        <f>IFERROR(__xludf.DUMMYFUNCTION("""COMPUTED_VALUE"""),0.47457627118644)</f>
        <v>0.4745762712</v>
      </c>
    </row>
    <row r="6970">
      <c r="A6970" s="10" t="s">
        <v>8409</v>
      </c>
      <c r="B6970" s="7" t="str">
        <f>IFERROR(__xludf.DUMMYFUNCTION("SPLIT(A6970,"" "")"),"Cc1cccnc1CN(Cc1ccccn1)C1CCC(N(Cc2ccccn2)c2cccc(CF)n2)CC1")</f>
        <v>Cc1cccnc1CN(Cc1ccccn1)C1CCC(N(Cc2ccccn2)c2cccc(CF)n2)CC1</v>
      </c>
      <c r="C6970" s="7">
        <f>IFERROR(__xludf.DUMMYFUNCTION("""COMPUTED_VALUE"""),7.781517)</f>
        <v>7.781517</v>
      </c>
      <c r="D6970" s="7">
        <f>IFERROR(__xludf.DUMMYFUNCTION("""COMPUTED_VALUE"""),0.35)</f>
        <v>0.35</v>
      </c>
    </row>
    <row r="6971">
      <c r="A6971" s="10" t="s">
        <v>8410</v>
      </c>
      <c r="B6971" s="7" t="str">
        <f>IFERROR(__xludf.DUMMYFUNCTION("SPLIT(A6971,"" "")"),"Cc1ccc(C)c(CN(C)C2CCC(N(Cc3nc(C)c(C)cc3C)Cc3nc(C)c(C)cc3C)CC2)n1")</f>
        <v>Cc1ccc(C)c(CN(C)C2CCC(N(Cc3nc(C)c(C)cc3C)Cc3nc(C)c(C)cc3C)CC2)n1</v>
      </c>
      <c r="C6971" s="7">
        <f>IFERROR(__xludf.DUMMYFUNCTION("""COMPUTED_VALUE"""),7.7815166)</f>
        <v>7.7815166</v>
      </c>
      <c r="D6971" s="7">
        <f>IFERROR(__xludf.DUMMYFUNCTION("""COMPUTED_VALUE"""),0.314814814814814)</f>
        <v>0.3148148148</v>
      </c>
    </row>
    <row r="6972">
      <c r="A6972" s="10" t="s">
        <v>8411</v>
      </c>
      <c r="B6972" s="7" t="str">
        <f>IFERROR(__xludf.DUMMYFUNCTION("SPLIT(A6972,"" "")"),"CC1=CC(C)C(C)C(C)(c2ncccc2CN(Cc2ccccn2)Cc2ccccn2)C1")</f>
        <v>CC1=CC(C)C(C)C(C)(c2ncccc2CN(Cc2ccccn2)Cc2ccccn2)C1</v>
      </c>
      <c r="C6972" s="7">
        <f>IFERROR(__xludf.DUMMYFUNCTION("""COMPUTED_VALUE"""),7.781516)</f>
        <v>7.781516</v>
      </c>
      <c r="D6972" s="7">
        <f>IFERROR(__xludf.DUMMYFUNCTION("""COMPUTED_VALUE"""),0.434782608695652)</f>
        <v>0.4347826087</v>
      </c>
    </row>
    <row r="6973">
      <c r="A6973" s="10" t="s">
        <v>8412</v>
      </c>
      <c r="B6973" s="7" t="str">
        <f>IFERROR(__xludf.DUMMYFUNCTION("SPLIT(A6973,"" "")"),"Cc1ccnc(CN(Cc2ccccn2)Cc2cccc(CNCF)n2)c1")</f>
        <v>Cc1ccnc(CN(Cc2ccccn2)Cc2cccc(CNCF)n2)c1</v>
      </c>
      <c r="C6973" s="7">
        <f>IFERROR(__xludf.DUMMYFUNCTION("""COMPUTED_VALUE"""),7.7815137)</f>
        <v>7.7815137</v>
      </c>
      <c r="D6973" s="7">
        <f>IFERROR(__xludf.DUMMYFUNCTION("""COMPUTED_VALUE"""),0.465116279069767)</f>
        <v>0.4651162791</v>
      </c>
    </row>
    <row r="6974">
      <c r="A6974" s="10" t="s">
        <v>8413</v>
      </c>
      <c r="B6974" s="7" t="str">
        <f>IFERROR(__xludf.DUMMYFUNCTION("SPLIT(A6974,"" "")"),"Cc1cc(C)c(CN(C)CCN(C)C(C)C)nc1C")</f>
        <v>Cc1cc(C)c(CN(C)CCN(C)C(C)C)nc1C</v>
      </c>
      <c r="C6974" s="7">
        <f>IFERROR(__xludf.DUMMYFUNCTION("""COMPUTED_VALUE"""),7.781511)</f>
        <v>7.781511</v>
      </c>
      <c r="D6974" s="7">
        <f>IFERROR(__xludf.DUMMYFUNCTION("""COMPUTED_VALUE"""),0.325581395348837)</f>
        <v>0.3255813953</v>
      </c>
    </row>
    <row r="6975">
      <c r="A6975" s="10" t="s">
        <v>8414</v>
      </c>
      <c r="B6975" s="7" t="str">
        <f>IFERROR(__xludf.DUMMYFUNCTION("SPLIT(A6975,"" "")"),"CC(C)C1=CC2(C=CN1)C=CC(C)(C)C(c1cc(CN(Cc3ccccn3)Cc3ccccn3)ccn1)C2c1ccc(CN(Cc2ccccn2)Cc2ccc(-c3ccc4c(c3)OCCOCCOCCOCCOCCO4)cn2)cn1")</f>
        <v>CC(C)C1=CC2(C=CN1)C=CC(C)(C)C(c1cc(CN(Cc3ccccn3)Cc3ccccn3)ccn1)C2c1ccc(CN(Cc2ccccn2)Cc2ccc(-c3ccc4c(c3)OCCOCCOCCOCCOCCO4)cn2)cn1</v>
      </c>
      <c r="C6975" s="7">
        <f>IFERROR(__xludf.DUMMYFUNCTION("""COMPUTED_VALUE"""),7.781503)</f>
        <v>7.781503</v>
      </c>
      <c r="D6975" s="7">
        <f>IFERROR(__xludf.DUMMYFUNCTION("""COMPUTED_VALUE"""),0.316326530612244)</f>
        <v>0.3163265306</v>
      </c>
    </row>
    <row r="6976">
      <c r="A6976" s="10" t="s">
        <v>8415</v>
      </c>
      <c r="B6976" s="7" t="str">
        <f>IFERROR(__xludf.DUMMYFUNCTION("SPLIT(A6976,"" "")"),"COCC(C)NCc1cc(CN(Cc2ccccn2)Cc2ccccn2)ccn1")</f>
        <v>COCC(C)NCc1cc(CN(Cc2ccccn2)Cc2ccccn2)ccn1</v>
      </c>
      <c r="C6976" s="7">
        <f>IFERROR(__xludf.DUMMYFUNCTION("""COMPUTED_VALUE"""),7.781497)</f>
        <v>7.781497</v>
      </c>
      <c r="D6976" s="7">
        <f>IFERROR(__xludf.DUMMYFUNCTION("""COMPUTED_VALUE"""),0.465116279069767)</f>
        <v>0.4651162791</v>
      </c>
    </row>
    <row r="6977">
      <c r="A6977" s="10" t="s">
        <v>8416</v>
      </c>
      <c r="B6977" s="7" t="str">
        <f>IFERROR(__xludf.DUMMYFUNCTION("SPLIT(A6977,"" "")"),"Cc1cncc(CN(C)Cc2cccc(-c3ccc4c(c3)OCCOCCOCCOCCOCCO4)n2)c1-c1cccc(C2CCC2(C)C)n1")</f>
        <v>Cc1cncc(CN(C)Cc2cccc(-c3ccc4c(c3)OCCOCCOCCOCCOCCO4)n2)c1-c1cccc(C2CCC2(C)C)n1</v>
      </c>
      <c r="C6977" s="7">
        <f>IFERROR(__xludf.DUMMYFUNCTION("""COMPUTED_VALUE"""),7.781494)</f>
        <v>7.781494</v>
      </c>
      <c r="D6977" s="7">
        <f>IFERROR(__xludf.DUMMYFUNCTION("""COMPUTED_VALUE"""),0.302325581395348)</f>
        <v>0.3023255814</v>
      </c>
    </row>
    <row r="6978">
      <c r="A6978" s="10" t="s">
        <v>8417</v>
      </c>
      <c r="B6978" s="7" t="str">
        <f>IFERROR(__xludf.DUMMYFUNCTION("SPLIT(A6978,"" "")"),"CC1(C)CCC1c1ccc(CN(Cc2ccccn2)Cc2ccccn2)cn1")</f>
        <v>CC1(C)CCC1c1ccc(CN(Cc2ccccn2)Cc2ccccn2)cn1</v>
      </c>
      <c r="C6978" s="7">
        <f>IFERROR(__xludf.DUMMYFUNCTION("""COMPUTED_VALUE"""),7.7814856)</f>
        <v>7.7814856</v>
      </c>
      <c r="D6978" s="7">
        <f>IFERROR(__xludf.DUMMYFUNCTION("""COMPUTED_VALUE"""),0.465116279069767)</f>
        <v>0.4651162791</v>
      </c>
    </row>
    <row r="6979">
      <c r="A6979" s="10" t="s">
        <v>8418</v>
      </c>
      <c r="B6979" s="7" t="str">
        <f>IFERROR(__xludf.DUMMYFUNCTION("SPLIT(A6979,"" "")"),"CCCN(Cc1ccccn1)Cc1cc(C(C)(C)c2ncccc2CN(Cc2ncccc2C)Cc2ncccc2-c2ccc3c(c2)OCCOCCOCCOCCOCCO3)ccn1")</f>
        <v>CCCN(Cc1ccccn1)Cc1cc(C(C)(C)c2ncccc2CN(Cc2ncccc2C)Cc2ncccc2-c2ccc3c(c2)OCCOCCOCCOCCOCCO3)ccn1</v>
      </c>
      <c r="C6979" s="7">
        <f>IFERROR(__xludf.DUMMYFUNCTION("""COMPUTED_VALUE"""),7.781483)</f>
        <v>7.781483</v>
      </c>
      <c r="D6979" s="7">
        <f>IFERROR(__xludf.DUMMYFUNCTION("""COMPUTED_VALUE"""),0.28395061728395)</f>
        <v>0.2839506173</v>
      </c>
    </row>
    <row r="6980">
      <c r="A6980" s="10" t="s">
        <v>8419</v>
      </c>
      <c r="B6980" s="7" t="str">
        <f>IFERROR(__xludf.DUMMYFUNCTION("SPLIT(A6980,"" "")"),"CN(Cc1ccc2ncccc2c1)Cc1cccc(-c2ccc3c(c2)OCCOCCOCCOCCOCCO3)n1")</f>
        <v>CN(Cc1ccc2ncccc2c1)Cc1cccc(-c2ccc3c(c2)OCCOCCOCCOCCOCCO3)n1</v>
      </c>
      <c r="C6980" s="7">
        <f>IFERROR(__xludf.DUMMYFUNCTION("""COMPUTED_VALUE"""),7.781482)</f>
        <v>7.781482</v>
      </c>
      <c r="D6980" s="7">
        <f>IFERROR(__xludf.DUMMYFUNCTION("""COMPUTED_VALUE"""),0.387096774193548)</f>
        <v>0.3870967742</v>
      </c>
    </row>
    <row r="6981">
      <c r="A6981" s="10" t="s">
        <v>8420</v>
      </c>
      <c r="B6981" s="7" t="str">
        <f>IFERROR(__xludf.DUMMYFUNCTION("SPLIT(A6981,"" "")"),"Cc1nc(CN(C)C2CCCCC2N(C)Cc2nc(CN(C)C)c(C)c(C)c2C)c(C)c(C)c1C")</f>
        <v>Cc1nc(CN(C)C2CCCCC2N(C)Cc2nc(CN(C)C)c(C)c(C)c2C)c(C)c(C)c1C</v>
      </c>
      <c r="C6981" s="7">
        <f>IFERROR(__xludf.DUMMYFUNCTION("""COMPUTED_VALUE"""),7.7814784)</f>
        <v>7.7814784</v>
      </c>
      <c r="D6981" s="7">
        <f>IFERROR(__xludf.DUMMYFUNCTION("""COMPUTED_VALUE"""),0.422222222222222)</f>
        <v>0.4222222222</v>
      </c>
    </row>
    <row r="6982">
      <c r="A6982" s="10" t="s">
        <v>8421</v>
      </c>
      <c r="B6982" s="7" t="str">
        <f>IFERROR(__xludf.DUMMYFUNCTION("SPLIT(A6982,"" "")"),"CC(C)N(C)C1CCCC(N(C)c2cccc3c(CF)ccnc23)C1")</f>
        <v>CC(C)N(C)C1CCCC(N(C)c2cccc3c(CF)ccnc23)C1</v>
      </c>
      <c r="C6982" s="7">
        <f>IFERROR(__xludf.DUMMYFUNCTION("""COMPUTED_VALUE"""),7.781478)</f>
        <v>7.781478</v>
      </c>
      <c r="D6982" s="7">
        <f>IFERROR(__xludf.DUMMYFUNCTION("""COMPUTED_VALUE"""),0.362068965517241)</f>
        <v>0.3620689655</v>
      </c>
    </row>
    <row r="6983">
      <c r="A6983" s="10" t="s">
        <v>8422</v>
      </c>
      <c r="B6983" s="7" t="str">
        <f>IFERROR(__xludf.DUMMYFUNCTION("SPLIT(A6983,"" "")"),"CC(N)c1cccc(N(C)C(C)C)c1")</f>
        <v>CC(N)c1cccc(N(C)C(C)C)c1</v>
      </c>
      <c r="C6983" s="7">
        <f>IFERROR(__xludf.DUMMYFUNCTION("""COMPUTED_VALUE"""),7.7814717)</f>
        <v>7.7814717</v>
      </c>
      <c r="D6983" s="7">
        <f>IFERROR(__xludf.DUMMYFUNCTION("""COMPUTED_VALUE"""),0.232558139534883)</f>
        <v>0.2325581395</v>
      </c>
    </row>
    <row r="6984">
      <c r="A6984" s="10" t="s">
        <v>8423</v>
      </c>
      <c r="B6984" s="7" t="str">
        <f>IFERROR(__xludf.DUMMYFUNCTION("SPLIT(A6984,"" "")"),"CN1CCN(Cc2cc(C(C)(C)c3ccccn3)ccn2)CCN(Cc2cccc(C3=NC(C)(C)CO3)n2)CC1")</f>
        <v>CN1CCN(Cc2cc(C(C)(C)c3ccccn3)ccn2)CCN(Cc2cccc(C3=NC(C)(C)CO3)n2)CC1</v>
      </c>
      <c r="C6984" s="7">
        <f>IFERROR(__xludf.DUMMYFUNCTION("""COMPUTED_VALUE"""),7.7814593)</f>
        <v>7.7814593</v>
      </c>
      <c r="D6984" s="7">
        <f>IFERROR(__xludf.DUMMYFUNCTION("""COMPUTED_VALUE"""),0.428571428571428)</f>
        <v>0.4285714286</v>
      </c>
    </row>
    <row r="6985">
      <c r="A6985" s="10" t="s">
        <v>8424</v>
      </c>
      <c r="B6985" s="7" t="str">
        <f>IFERROR(__xludf.DUMMYFUNCTION("SPLIT(A6985,"" "")"),"CN(Cc1ccc2ncccc2c1)Cc1ncccc1-c1cccc2c1OCCOCCOCCOCCOCCO2")</f>
        <v>CN(Cc1ccc2ncccc2c1)Cc1ncccc1-c1cccc2c1OCCOCCOCCOCCOCCO2</v>
      </c>
      <c r="C6985" s="7">
        <f>IFERROR(__xludf.DUMMYFUNCTION("""COMPUTED_VALUE"""),7.7814584)</f>
        <v>7.7814584</v>
      </c>
      <c r="D6985" s="7">
        <f>IFERROR(__xludf.DUMMYFUNCTION("""COMPUTED_VALUE"""),0.28125)</f>
        <v>0.28125</v>
      </c>
    </row>
    <row r="6986">
      <c r="A6986" s="10" t="s">
        <v>8425</v>
      </c>
      <c r="B6986" s="7" t="str">
        <f>IFERROR(__xludf.DUMMYFUNCTION("SPLIT(A6986,"" "")"),"Cc1ccc(C(C)(C)C)nc1CN(CCF)Cc1ccccn1")</f>
        <v>Cc1ccc(C(C)(C)C)nc1CN(CCF)Cc1ccccn1</v>
      </c>
      <c r="C6986" s="7">
        <f>IFERROR(__xludf.DUMMYFUNCTION("""COMPUTED_VALUE"""),7.7814507)</f>
        <v>7.7814507</v>
      </c>
      <c r="D6986" s="7">
        <f>IFERROR(__xludf.DUMMYFUNCTION("""COMPUTED_VALUE"""),0.46938775510204)</f>
        <v>0.4693877551</v>
      </c>
    </row>
    <row r="6987">
      <c r="A6987" s="10" t="s">
        <v>8426</v>
      </c>
      <c r="B6987" s="7" t="str">
        <f>IFERROR(__xludf.DUMMYFUNCTION("SPLIT(A6987,"" "")"),"CCN(Cc1ccccn1)Cc1cccc(C(C)(C)c2cccc(CN(Cc3ccccn3)C3CCC(N(C)Cc4cccc(C5CC(C)(C)C5)n4)CC3)n2)n1")</f>
        <v>CCN(Cc1ccccn1)Cc1cccc(C(C)(C)c2cccc(CN(Cc3ccccn3)C3CCC(N(C)Cc4cccc(C5CC(C)(C)C5)n4)CC3)n2)n1</v>
      </c>
      <c r="C6987" s="7">
        <f>IFERROR(__xludf.DUMMYFUNCTION("""COMPUTED_VALUE"""),7.7814503)</f>
        <v>7.7814503</v>
      </c>
      <c r="D6987" s="7">
        <f>IFERROR(__xludf.DUMMYFUNCTION("""COMPUTED_VALUE"""),0.35820895522388)</f>
        <v>0.3582089552</v>
      </c>
    </row>
    <row r="6988">
      <c r="A6988" s="10" t="s">
        <v>8427</v>
      </c>
      <c r="B6988" s="7" t="str">
        <f>IFERROR(__xludf.DUMMYFUNCTION("SPLIT(A6988,"" "")"),"C=C1C=CNC(CNC)=C1")</f>
        <v>C=C1C=CNC(CNC)=C1</v>
      </c>
      <c r="C6988" s="7">
        <f>IFERROR(__xludf.DUMMYFUNCTION("""COMPUTED_VALUE"""),7.7814465)</f>
        <v>7.7814465</v>
      </c>
      <c r="D6988" s="7">
        <f>IFERROR(__xludf.DUMMYFUNCTION("""COMPUTED_VALUE"""),0.473684210526315)</f>
        <v>0.4736842105</v>
      </c>
    </row>
    <row r="6989">
      <c r="A6989" s="10" t="s">
        <v>8428</v>
      </c>
      <c r="B6989" s="7" t="str">
        <f>IFERROR(__xludf.DUMMYFUNCTION("SPLIT(A6989,"" "")"),"CC(C)C1=CC2(C=CN1)C=CC(c1cccc(CN(Cc3ccccn3)C3CCC(N(C)c4ccc5nc(CF)ccc5c4)CC3)n1)C(c1cccc(CNCc3cccc(-c4ccc5c(c4)OCCOCCOCCOCCOCCO5)n3)n1)C2(C)C")</f>
        <v>CC(C)C1=CC2(C=CN1)C=CC(c1cccc(CN(Cc3ccccn3)C3CCC(N(C)c4ccc5nc(CF)ccc5c4)CC3)n1)C(c1cccc(CNCc3cccc(-c4ccc5c(c4)OCCOCCOCCOCCOCCO5)n3)n1)C2(C)C</v>
      </c>
      <c r="C6989" s="7">
        <f>IFERROR(__xludf.DUMMYFUNCTION("""COMPUTED_VALUE"""),7.781445)</f>
        <v>7.781445</v>
      </c>
      <c r="D6989" s="7">
        <f>IFERROR(__xludf.DUMMYFUNCTION("""COMPUTED_VALUE"""),0.23728813559322)</f>
        <v>0.2372881356</v>
      </c>
    </row>
    <row r="6990">
      <c r="A6990" s="10" t="s">
        <v>8429</v>
      </c>
      <c r="B6990" s="7" t="str">
        <f>IFERROR(__xludf.DUMMYFUNCTION("SPLIT(A6990,"" "")"),"Cc1ccc(CN(C)C2CC(N(Cc3ccccn3)Cc3ccccn3)CC(N(Cc3ccccn3)Cc3ncccc3C)C2)nc1")</f>
        <v>Cc1ccc(CN(C)C2CC(N(Cc3ccccn3)Cc3ccccn3)CC(N(Cc3ccccn3)Cc3ncccc3C)C2)nc1</v>
      </c>
      <c r="C6990" s="7">
        <f>IFERROR(__xludf.DUMMYFUNCTION("""COMPUTED_VALUE"""),7.7814407)</f>
        <v>7.7814407</v>
      </c>
      <c r="D6990" s="7">
        <f>IFERROR(__xludf.DUMMYFUNCTION("""COMPUTED_VALUE"""),0.436363636363636)</f>
        <v>0.4363636364</v>
      </c>
    </row>
    <row r="6991">
      <c r="A6991" s="10" t="s">
        <v>8430</v>
      </c>
      <c r="B6991" s="7" t="str">
        <f>IFERROR(__xludf.DUMMYFUNCTION("SPLIT(A6991,"" "")"),"CN(Cc1cc(-c2ccc3c(c2)OCCOCCOCCOCCOCCO3)ccn1)Cc1ccc2cc(N(C)Cc3cccc(-c4ccc5c(c4)OCCOCCOCCOCCOCCO5)n3)ccc2n1")</f>
        <v>CN(Cc1cc(-c2ccc3c(c2)OCCOCCOCCOCCOCCO3)ccn1)Cc1ccc2cc(N(C)Cc3cccc(-c4ccc5c(c4)OCCOCCOCCOCCOCCO5)n3)ccc2n1</v>
      </c>
      <c r="C6991" s="7">
        <f>IFERROR(__xludf.DUMMYFUNCTION("""COMPUTED_VALUE"""),7.7814384)</f>
        <v>7.7814384</v>
      </c>
      <c r="D6991" s="7">
        <f>IFERROR(__xludf.DUMMYFUNCTION("""COMPUTED_VALUE"""),0.352941176470588)</f>
        <v>0.3529411765</v>
      </c>
    </row>
    <row r="6992">
      <c r="A6992" s="10" t="s">
        <v>8431</v>
      </c>
      <c r="B6992" s="7" t="str">
        <f>IFERROR(__xludf.DUMMYFUNCTION("SPLIT(A6992,"" "")"),"Cc1ncccc1CN(C)Cc1cccc(CN(C)C(C)C)n1")</f>
        <v>Cc1ncccc1CN(C)Cc1cccc(CN(C)C(C)C)n1</v>
      </c>
      <c r="C6992" s="7">
        <f>IFERROR(__xludf.DUMMYFUNCTION("""COMPUTED_VALUE"""),7.7814374)</f>
        <v>7.7814374</v>
      </c>
      <c r="D6992" s="7">
        <f>IFERROR(__xludf.DUMMYFUNCTION("""COMPUTED_VALUE"""),0.4375)</f>
        <v>0.4375</v>
      </c>
    </row>
    <row r="6993">
      <c r="A6993" s="10" t="s">
        <v>8432</v>
      </c>
      <c r="B6993" s="7" t="str">
        <f>IFERROR(__xludf.DUMMYFUNCTION("SPLIT(A6993,"" "")"),"CN(Cc1cc(-c2ccc3c(c2)OCCOCCOCCOCCOCCO3)ccn1)Cc1ccc2cccc(N(C)Cc3cccc(-c4ccc5c(c4)OCCOCCOCCOCCOCCO5)n3)c2n1")</f>
        <v>CN(Cc1cc(-c2ccc3c(c2)OCCOCCOCCOCCOCCO3)ccn1)Cc1ccc2cccc(N(C)Cc3cccc(-c4ccc5c(c4)OCCOCCOCCOCCOCCO5)n3)c2n1</v>
      </c>
      <c r="C6993" s="7">
        <f>IFERROR(__xludf.DUMMYFUNCTION("""COMPUTED_VALUE"""),7.7814293)</f>
        <v>7.7814293</v>
      </c>
      <c r="D6993" s="7">
        <f>IFERROR(__xludf.DUMMYFUNCTION("""COMPUTED_VALUE"""),0.352941176470588)</f>
        <v>0.3529411765</v>
      </c>
    </row>
    <row r="6994">
      <c r="A6994" s="10" t="s">
        <v>8433</v>
      </c>
      <c r="B6994" s="7" t="str">
        <f>IFERROR(__xludf.DUMMYFUNCTION("SPLIT(A6994,"" "")"),"CN1CCN(Cc2cc(C(C)(C)c3ccccn3)ccn2)CCN(Cc2cccnc2C2=NC(C)(C)CO2)CC1")</f>
        <v>CN1CCN(Cc2cc(C(C)(C)c3ccccn3)ccn2)CCN(Cc2cccnc2C2=NC(C)(C)CO2)CC1</v>
      </c>
      <c r="C6994" s="7">
        <f>IFERROR(__xludf.DUMMYFUNCTION("""COMPUTED_VALUE"""),7.7814236)</f>
        <v>7.7814236</v>
      </c>
      <c r="D6994" s="7">
        <f>IFERROR(__xludf.DUMMYFUNCTION("""COMPUTED_VALUE"""),0.40625)</f>
        <v>0.40625</v>
      </c>
    </row>
    <row r="6995">
      <c r="A6995" s="10" t="s">
        <v>8434</v>
      </c>
      <c r="B6995" s="7" t="str">
        <f>IFERROR(__xludf.DUMMYFUNCTION("SPLIT(A6995,"" "")"),"CC(C)[Si](c1ccc(CN(Cc2ccccn2)C2CCCCC2N(C)Cc2ncccc2-c2ccccc2)nc1)(C(C)C)C(C)C")</f>
        <v>CC(C)[Si](c1ccc(CN(Cc2ccccn2)C2CCCCC2N(C)Cc2ncccc2-c2ccccc2)nc1)(C(C)C)C(C)C</v>
      </c>
      <c r="C6995" s="7">
        <f>IFERROR(__xludf.DUMMYFUNCTION("""COMPUTED_VALUE"""),7.781421)</f>
        <v>7.781421</v>
      </c>
      <c r="D6995" s="7">
        <f>IFERROR(__xludf.DUMMYFUNCTION("""COMPUTED_VALUE"""),0.491525423728813)</f>
        <v>0.4915254237</v>
      </c>
    </row>
    <row r="6996">
      <c r="A6996" s="10" t="s">
        <v>8435</v>
      </c>
      <c r="B6996" s="7" t="str">
        <f>IFERROR(__xludf.DUMMYFUNCTION("SPLIT(A6996,"" "")"),"Cc1cc(CN(Cc2ccccn2)Cc2ncccc2-c2cccc3c2OCCOCCOCCOCCOCCO3)ccc1N(C)Cc1ccccn1")</f>
        <v>Cc1cc(CN(Cc2ccccn2)Cc2ncccc2-c2cccc3c2OCCOCCOCCOCCOCCO3)ccc1N(C)Cc1ccccn1</v>
      </c>
      <c r="C6996" s="7">
        <f>IFERROR(__xludf.DUMMYFUNCTION("""COMPUTED_VALUE"""),7.781408)</f>
        <v>7.781408</v>
      </c>
      <c r="D6996" s="7">
        <f>IFERROR(__xludf.DUMMYFUNCTION("""COMPUTED_VALUE"""),0.35820895522388)</f>
        <v>0.3582089552</v>
      </c>
    </row>
    <row r="6997">
      <c r="A6997" s="10" t="s">
        <v>8436</v>
      </c>
      <c r="B6997" s="7" t="str">
        <f>IFERROR(__xludf.DUMMYFUNCTION("SPLIT(A6997,"" "")"),"CCCNCc1cccc(CN(Cc2ccccn2)Cc2ncccc2N)n1")</f>
        <v>CCCNCc1cccc(CN(Cc2ccccn2)Cc2ncccc2N)n1</v>
      </c>
      <c r="C6997" s="7">
        <f>IFERROR(__xludf.DUMMYFUNCTION("""COMPUTED_VALUE"""),7.7814035)</f>
        <v>7.7814035</v>
      </c>
      <c r="D6997" s="7">
        <f>IFERROR(__xludf.DUMMYFUNCTION("""COMPUTED_VALUE"""),0.434782608695652)</f>
        <v>0.4347826087</v>
      </c>
    </row>
    <row r="6998">
      <c r="A6998" s="10" t="s">
        <v>8437</v>
      </c>
      <c r="B6998" s="7" t="str">
        <f>IFERROR(__xludf.DUMMYFUNCTION("SPLIT(A6998,"" "")"),"C=CCNCc1ncccc1CN(Cc1ccccn1)C1C=CC=CN1")</f>
        <v>C=CCNCc1ncccc1CN(Cc1ccccn1)C1C=CC=CN1</v>
      </c>
      <c r="C6998" s="7">
        <f>IFERROR(__xludf.DUMMYFUNCTION("""COMPUTED_VALUE"""),7.7813997)</f>
        <v>7.7813997</v>
      </c>
      <c r="D6998" s="7">
        <f>IFERROR(__xludf.DUMMYFUNCTION("""COMPUTED_VALUE"""),0.419354838709677)</f>
        <v>0.4193548387</v>
      </c>
    </row>
    <row r="6999">
      <c r="A6999" s="10" t="s">
        <v>8438</v>
      </c>
      <c r="B6999" s="7" t="str">
        <f>IFERROR(__xludf.DUMMYFUNCTION("SPLIT(A6999,"" "")"),"CN(Cc1ncccc1-c1cccc2c1OCCOCCOCCOCCOCCO2)Cc1ncccc1C(C)(c1ccccn1)c1ccccn1")</f>
        <v>CN(Cc1ncccc1-c1cccc2c1OCCOCCOCCOCCOCCO2)Cc1ncccc1C(C)(c1ccccn1)c1ccccn1</v>
      </c>
      <c r="C6999" s="7">
        <f>IFERROR(__xludf.DUMMYFUNCTION("""COMPUTED_VALUE"""),7.7813854)</f>
        <v>7.7813854</v>
      </c>
      <c r="D6999" s="7">
        <f>IFERROR(__xludf.DUMMYFUNCTION("""COMPUTED_VALUE"""),0.307692307692307)</f>
        <v>0.3076923077</v>
      </c>
    </row>
    <row r="7000">
      <c r="A7000" s="10" t="s">
        <v>8439</v>
      </c>
      <c r="B7000" s="7" t="str">
        <f>IFERROR(__xludf.DUMMYFUNCTION("SPLIT(A7000,"" "")"),"CN(c1ccc2nc(CF)ccc2c1)C1CCCCC1N(Cc1cc(-c2ccc3c(c2)OCCOCCOCCOCCOCCO3)ccn1)c1ccccc1F")</f>
        <v>CN(c1ccc2nc(CF)ccc2c1)C1CCCCC1N(Cc1cc(-c2ccc3c(c2)OCCOCCOCCOCCOCCO3)ccn1)c1ccccc1F</v>
      </c>
      <c r="C7000" s="7">
        <f>IFERROR(__xludf.DUMMYFUNCTION("""COMPUTED_VALUE"""),7.781383)</f>
        <v>7.781383</v>
      </c>
      <c r="D7000" s="7">
        <f>IFERROR(__xludf.DUMMYFUNCTION("""COMPUTED_VALUE"""),0.3625)</f>
        <v>0.3625</v>
      </c>
    </row>
    <row r="7001">
      <c r="A7001" s="10" t="s">
        <v>8440</v>
      </c>
      <c r="B7001" s="7" t="str">
        <f>IFERROR(__xludf.DUMMYFUNCTION("SPLIT(A7001,"" "")"),"CC(NCc1ccccn1)c1cccnc1CF")</f>
        <v>CC(NCc1ccccn1)c1cccnc1CF</v>
      </c>
      <c r="C7001" s="7">
        <f>IFERROR(__xludf.DUMMYFUNCTION("""COMPUTED_VALUE"""),7.7813773)</f>
        <v>7.7813773</v>
      </c>
      <c r="D7001" s="7">
        <f>IFERROR(__xludf.DUMMYFUNCTION("""COMPUTED_VALUE"""),0.414634146341463)</f>
        <v>0.4146341463</v>
      </c>
    </row>
    <row r="7002">
      <c r="A7002" s="10" t="s">
        <v>8441</v>
      </c>
      <c r="B7002" s="7" t="str">
        <f>IFERROR(__xludf.DUMMYFUNCTION("SPLIT(A7002,"" "")"),"CC1=CC(C)(C)C(N(C)Cc2cc(C(C)(C)c3ccccn3)ccn2)CC1C")</f>
        <v>CC1=CC(C)(C)C(N(C)Cc2cc(C(C)(C)c3ccccn3)ccn2)CC1C</v>
      </c>
      <c r="C7002" s="7">
        <f>IFERROR(__xludf.DUMMYFUNCTION("""COMPUTED_VALUE"""),7.781376)</f>
        <v>7.781376</v>
      </c>
      <c r="D7002" s="7">
        <f>IFERROR(__xludf.DUMMYFUNCTION("""COMPUTED_VALUE"""),0.338709677419354)</f>
        <v>0.3387096774</v>
      </c>
    </row>
    <row r="7003">
      <c r="A7003" s="10" t="s">
        <v>8442</v>
      </c>
      <c r="B7003" s="7" t="str">
        <f>IFERROR(__xludf.DUMMYFUNCTION("SPLIT(A7003,"" "")"),"CC(C)N1CCN(C)CCN(Cc2ccc(-c3cccc(N=Cc4ccccn4)c3)cn2)CC1")</f>
        <v>CC(C)N1CCN(C)CCN(Cc2ccc(-c3cccc(N=Cc4ccccn4)c3)cn2)CC1</v>
      </c>
      <c r="C7003" s="7">
        <f>IFERROR(__xludf.DUMMYFUNCTION("""COMPUTED_VALUE"""),7.781371)</f>
        <v>7.781371</v>
      </c>
      <c r="D7003" s="7">
        <f>IFERROR(__xludf.DUMMYFUNCTION("""COMPUTED_VALUE"""),0.483333333333333)</f>
        <v>0.4833333333</v>
      </c>
    </row>
    <row r="7004">
      <c r="A7004" s="10" t="s">
        <v>8443</v>
      </c>
      <c r="B7004" s="7" t="str">
        <f>IFERROR(__xludf.DUMMYFUNCTION("SPLIT(A7004,"" "")"),"Cc1cc(C)c(C)c(CN(C)C2CCCC(N(Cc3ccccn3)c3ccccc3F)C2)n1")</f>
        <v>Cc1cc(C)c(C)c(CN(C)C2CCCC(N(Cc3ccccn3)c3ccccc3F)C2)n1</v>
      </c>
      <c r="C7004" s="7">
        <f>IFERROR(__xludf.DUMMYFUNCTION("""COMPUTED_VALUE"""),7.7813654)</f>
        <v>7.7813654</v>
      </c>
      <c r="D7004" s="7">
        <f>IFERROR(__xludf.DUMMYFUNCTION("""COMPUTED_VALUE"""),0.387096774193548)</f>
        <v>0.3870967742</v>
      </c>
    </row>
    <row r="7005">
      <c r="A7005" s="10" t="s">
        <v>8444</v>
      </c>
      <c r="B7005" s="7" t="str">
        <f>IFERROR(__xludf.DUMMYFUNCTION("SPLIT(A7005,"" "")"),"Cc1ccc(CN(Cc2ccccn2)Cc2cccc(CNCF)n2)nc1")</f>
        <v>Cc1ccc(CN(Cc2ccccn2)Cc2cccc(CNCF)n2)nc1</v>
      </c>
      <c r="C7005" s="7">
        <f>IFERROR(__xludf.DUMMYFUNCTION("""COMPUTED_VALUE"""),7.7813606)</f>
        <v>7.7813606</v>
      </c>
      <c r="D7005" s="7">
        <f>IFERROR(__xludf.DUMMYFUNCTION("""COMPUTED_VALUE"""),0.465116279069767)</f>
        <v>0.4651162791</v>
      </c>
    </row>
    <row r="7006">
      <c r="A7006" s="10" t="s">
        <v>8445</v>
      </c>
      <c r="B7006" s="7" t="str">
        <f>IFERROR(__xludf.DUMMYFUNCTION("SPLIT(A7006,"" "")"),"CCNC1CC(N(C)Cc2cc(C)ccn2)CC(N(Cc2nc(C)c(C)cc2C)Cc2nc(C)c(C)c(C)c2C)C1")</f>
        <v>CCNC1CC(N(C)Cc2cc(C)ccn2)CC(N(Cc2nc(C)c(C)cc2C)Cc2nc(C)c(C)c(C)c2C)C1</v>
      </c>
      <c r="C7006" s="7">
        <f>IFERROR(__xludf.DUMMYFUNCTION("""COMPUTED_VALUE"""),7.7813587)</f>
        <v>7.7813587</v>
      </c>
      <c r="D7006" s="7">
        <f>IFERROR(__xludf.DUMMYFUNCTION("""COMPUTED_VALUE"""),0.253521126760563)</f>
        <v>0.2535211268</v>
      </c>
    </row>
    <row r="7007">
      <c r="A7007" s="10" t="s">
        <v>8446</v>
      </c>
      <c r="B7007" s="7" t="str">
        <f>IFERROR(__xludf.DUMMYFUNCTION("SPLIT(A7007,"" "")"),"Cc1cnc(CN(Cc2ncc(C)c(C)c2C)C2CCCCC2N(Cc2ccccn2)Cc2cccnc2F)c(C)c1C")</f>
        <v>Cc1cnc(CN(Cc2ncc(C)c(C)c2C)C2CCCCC2N(Cc2ccccn2)Cc2cccnc2F)c(C)c1C</v>
      </c>
      <c r="C7007" s="7">
        <f>IFERROR(__xludf.DUMMYFUNCTION("""COMPUTED_VALUE"""),7.7813487)</f>
        <v>7.7813487</v>
      </c>
      <c r="D7007" s="7">
        <f>IFERROR(__xludf.DUMMYFUNCTION("""COMPUTED_VALUE"""),0.462962962962962)</f>
        <v>0.462962963</v>
      </c>
    </row>
    <row r="7008">
      <c r="A7008" s="10" t="s">
        <v>8447</v>
      </c>
      <c r="B7008" s="7" t="str">
        <f>IFERROR(__xludf.DUMMYFUNCTION("SPLIT(A7008,"" "")"),"Cc1cncc(CN(C)C2CCC(N(Cc3ncccc3C)Cc3ncccc3C)C(N(Cc3ccccn3)Cc3ncccc3C)C2)c1")</f>
        <v>Cc1cncc(CN(C)C2CCC(N(Cc3ncccc3C)Cc3ncccc3C)C(N(Cc3ccccn3)Cc3ncccc3C)C2)c1</v>
      </c>
      <c r="C7008" s="7">
        <f>IFERROR(__xludf.DUMMYFUNCTION("""COMPUTED_VALUE"""),7.7813454)</f>
        <v>7.7813454</v>
      </c>
      <c r="D7008" s="7">
        <f>IFERROR(__xludf.DUMMYFUNCTION("""COMPUTED_VALUE"""),0.38095238095238)</f>
        <v>0.380952381</v>
      </c>
    </row>
    <row r="7009">
      <c r="A7009" s="10" t="s">
        <v>8448</v>
      </c>
      <c r="B7009" s="7" t="str">
        <f>IFERROR(__xludf.DUMMYFUNCTION("SPLIT(A7009,"" "")"),"COC(C)C12C(C)N(C)C(c3ccccn3)C3(C)C1N(C)CC(C)C2(C(C)(C)C)C(C)N3C")</f>
        <v>COC(C)C12C(C)N(C)C(c3ccccn3)C3(C)C1N(C)CC(C)C2(C(C)(C)C)C(C)N3C</v>
      </c>
      <c r="C7009" s="7">
        <f>IFERROR(__xludf.DUMMYFUNCTION("""COMPUTED_VALUE"""),7.78134)</f>
        <v>7.78134</v>
      </c>
      <c r="D7009" s="7">
        <f>IFERROR(__xludf.DUMMYFUNCTION("""COMPUTED_VALUE"""),0.324324324324324)</f>
        <v>0.3243243243</v>
      </c>
    </row>
    <row r="7010">
      <c r="A7010" s="10" t="s">
        <v>8449</v>
      </c>
      <c r="B7010" s="7" t="str">
        <f>IFERROR(__xludf.DUMMYFUNCTION("SPLIT(A7010,"" "")"),"Cc1ccc(C)c(CN(C)CCN(Cc2ccccn2)C(C)(C)c2cccc(CN(Cc3ccccn3)C3CCC(N(C)Cc4nc(C)c(C)c(C)c4C)CC3)n2)n1")</f>
        <v>Cc1ccc(C)c(CN(C)CCN(Cc2ccccn2)C(C)(C)c2cccc(CN(Cc3ccccn3)C3CCC(N(C)Cc4nc(C)c(C)c(C)c4C)CC3)n2)n1</v>
      </c>
      <c r="C7010" s="7">
        <f>IFERROR(__xludf.DUMMYFUNCTION("""COMPUTED_VALUE"""),7.7813387)</f>
        <v>7.7813387</v>
      </c>
      <c r="D7010" s="7">
        <f>IFERROR(__xludf.DUMMYFUNCTION("""COMPUTED_VALUE"""),0.301369863013698)</f>
        <v>0.301369863</v>
      </c>
    </row>
    <row r="7011">
      <c r="A7011" s="10" t="s">
        <v>8450</v>
      </c>
      <c r="B7011" s="7" t="str">
        <f>IFERROR(__xludf.DUMMYFUNCTION("SPLIT(A7011,"" "")"),"CN1CCN(C)CCN(c2cccc(-c3cccc(NCF)n3)n2)CC1")</f>
        <v>CN1CCN(C)CCN(c2cccc(-c3cccc(NCF)n3)n2)CC1</v>
      </c>
      <c r="C7011" s="7">
        <f>IFERROR(__xludf.DUMMYFUNCTION("""COMPUTED_VALUE"""),7.781336)</f>
        <v>7.781336</v>
      </c>
      <c r="D7011" s="7">
        <f>IFERROR(__xludf.DUMMYFUNCTION("""COMPUTED_VALUE"""),0.34090909090909)</f>
        <v>0.3409090909</v>
      </c>
    </row>
    <row r="7012">
      <c r="A7012" s="10" t="s">
        <v>8451</v>
      </c>
      <c r="B7012" s="7" t="str">
        <f>IFERROR(__xludf.DUMMYFUNCTION("SPLIT(A7012,"" "")"),"COC(C)C1CN(C)C(C(=O)C2(C)COC(c3ncccc3C3=NC(C)(C)CO3)=N2)C(C(C)C)C1C(C)C")</f>
        <v>COC(C)C1CN(C)C(C(=O)C2(C)COC(c3ncccc3C3=NC(C)(C)CO3)=N2)C(C(C)C)C1C(C)C</v>
      </c>
      <c r="C7012" s="7">
        <f>IFERROR(__xludf.DUMMYFUNCTION("""COMPUTED_VALUE"""),7.7813106)</f>
        <v>7.7813106</v>
      </c>
      <c r="D7012" s="7">
        <f>IFERROR(__xludf.DUMMYFUNCTION("""COMPUTED_VALUE"""),0.275362318840579)</f>
        <v>0.2753623188</v>
      </c>
    </row>
    <row r="7013">
      <c r="A7013" s="10" t="s">
        <v>8452</v>
      </c>
      <c r="B7013" s="7" t="str">
        <f>IFERROR(__xludf.DUMMYFUNCTION("SPLIT(A7013,"" "")"),"CC1CC(N(C)Cc2ccccn2)C=C(C(C)(C)c2cc(CN(Cc3ccccn3)Cc3ccccn3)ccn2)C1C")</f>
        <v>CC1CC(N(C)Cc2ccccn2)C=C(C(C)(C)c2cc(CN(Cc3ccccn3)Cc3ccccn3)ccn2)C1C</v>
      </c>
      <c r="C7013" s="7">
        <f>IFERROR(__xludf.DUMMYFUNCTION("""COMPUTED_VALUE"""),7.7813)</f>
        <v>7.7813</v>
      </c>
      <c r="D7013" s="7">
        <f>IFERROR(__xludf.DUMMYFUNCTION("""COMPUTED_VALUE"""),0.377049180327868)</f>
        <v>0.3770491803</v>
      </c>
    </row>
    <row r="7014">
      <c r="A7014" s="10" t="s">
        <v>8453</v>
      </c>
      <c r="B7014" s="7" t="str">
        <f>IFERROR(__xludf.DUMMYFUNCTION("SPLIT(A7014,"" "")"),"CCOC(=O)C1CC(c2ccccn2)C(c2cccc(CN(Cc3ccccn3)Cc3cccc(-c4ccc5c(c4)OCCOCCOCCOCCOCCO5)n3)n2)N(C)C1c1ccccn1")</f>
        <v>CCOC(=O)C1CC(c2ccccn2)C(c2cccc(CN(Cc3ccccn3)Cc3cccc(-c4ccc5c(c4)OCCOCCOCCOCCOCCO5)n3)n2)N(C)C1c1ccccn1</v>
      </c>
      <c r="C7014" s="7">
        <f>IFERROR(__xludf.DUMMYFUNCTION("""COMPUTED_VALUE"""),7.781297)</f>
        <v>7.781297</v>
      </c>
      <c r="D7014" s="7">
        <f>IFERROR(__xludf.DUMMYFUNCTION("""COMPUTED_VALUE"""),0.376470588235294)</f>
        <v>0.3764705882</v>
      </c>
    </row>
    <row r="7015">
      <c r="A7015" s="10" t="s">
        <v>8454</v>
      </c>
      <c r="B7015" s="7" t="str">
        <f>IFERROR(__xludf.DUMMYFUNCTION("SPLIT(A7015,"" "")"),"CNC1CC(N(C)Cc2ccccn2)CC(N(Cc2nc(C)c(C)cc2C)Cc2nc(C)c(C)c(C)c2C)C1")</f>
        <v>CNC1CC(N(C)Cc2ccccn2)CC(N(Cc2nc(C)c(C)cc2C)Cc2nc(C)c(C)c(C)c2C)C1</v>
      </c>
      <c r="C7015" s="7">
        <f>IFERROR(__xludf.DUMMYFUNCTION("""COMPUTED_VALUE"""),7.781293)</f>
        <v>7.781293</v>
      </c>
      <c r="D7015" s="7">
        <f>IFERROR(__xludf.DUMMYFUNCTION("""COMPUTED_VALUE"""),0.365079365079365)</f>
        <v>0.3650793651</v>
      </c>
    </row>
    <row r="7016">
      <c r="A7016" s="10" t="s">
        <v>8455</v>
      </c>
      <c r="B7016" s="7" t="str">
        <f>IFERROR(__xludf.DUMMYFUNCTION("SPLIT(A7016,"" "")"),"CC(C)C(C)(c1cccnc1)c1cccc(C2CCC2(C)C)n1")</f>
        <v>CC(C)C(C)(c1cccnc1)c1cccc(C2CCC2(C)C)n1</v>
      </c>
      <c r="C7016" s="7">
        <f>IFERROR(__xludf.DUMMYFUNCTION("""COMPUTED_VALUE"""),7.7812905)</f>
        <v>7.7812905</v>
      </c>
      <c r="D7016" s="7">
        <f>IFERROR(__xludf.DUMMYFUNCTION("""COMPUTED_VALUE"""),0.209677419354838)</f>
        <v>0.2096774194</v>
      </c>
    </row>
    <row r="7017">
      <c r="A7017" s="10" t="s">
        <v>8456</v>
      </c>
      <c r="B7017" s="7" t="str">
        <f>IFERROR(__xludf.DUMMYFUNCTION("SPLIT(A7017,"" "")"),"CC1CCC1N(Cc1ccccn1)Cc1ncccc1N(C)C1C=CC=CN1")</f>
        <v>CC1CCC1N(Cc1ccccn1)Cc1ncccc1N(C)C1C=CC=CN1</v>
      </c>
      <c r="C7017" s="7">
        <f>IFERROR(__xludf.DUMMYFUNCTION("""COMPUTED_VALUE"""),7.7812896)</f>
        <v>7.7812896</v>
      </c>
      <c r="D7017" s="7">
        <f>IFERROR(__xludf.DUMMYFUNCTION("""COMPUTED_VALUE"""),0.419354838709677)</f>
        <v>0.4193548387</v>
      </c>
    </row>
    <row r="7018">
      <c r="A7018" s="10" t="s">
        <v>8457</v>
      </c>
      <c r="B7018" s="7" t="str">
        <f>IFERROR(__xludf.DUMMYFUNCTION("SPLIT(A7018,"" "")"),"CN(CCN(Cc1ccccn1)C(C)(N)c1ccccn1)Cc1ccccn1")</f>
        <v>CN(CCN(Cc1ccccn1)C(C)(N)c1ccccn1)Cc1ccccn1</v>
      </c>
      <c r="C7018" s="7">
        <f>IFERROR(__xludf.DUMMYFUNCTION("""COMPUTED_VALUE"""),7.7812867)</f>
        <v>7.7812867</v>
      </c>
      <c r="D7018" s="7">
        <f>IFERROR(__xludf.DUMMYFUNCTION("""COMPUTED_VALUE"""),0.456521739130434)</f>
        <v>0.4565217391</v>
      </c>
    </row>
    <row r="7019">
      <c r="A7019" s="10" t="s">
        <v>8458</v>
      </c>
      <c r="B7019" s="7" t="str">
        <f>IFERROR(__xludf.DUMMYFUNCTION("SPLIT(A7019,"" "")"),"Cc1cncc(CN(Cc2ccccn2)Cc2ccc(N(C)C(C)(C)c3ccc(-c4ccc5c(c4)OCCOCCOCCOCCOCCO5)nc3)cn2)c1")</f>
        <v>Cc1cncc(CN(Cc2ccccn2)Cc2ccc(N(C)C(C)(C)c3ccc(-c4ccc5c(c4)OCCOCCOCCOCCOCCO5)nc3)cn2)c1</v>
      </c>
      <c r="C7019" s="7">
        <f>IFERROR(__xludf.DUMMYFUNCTION("""COMPUTED_VALUE"""),7.7812843)</f>
        <v>7.7812843</v>
      </c>
      <c r="D7019" s="7">
        <f>IFERROR(__xludf.DUMMYFUNCTION("""COMPUTED_VALUE"""),0.303370786516853)</f>
        <v>0.3033707865</v>
      </c>
    </row>
    <row r="7020">
      <c r="A7020" s="10" t="s">
        <v>8459</v>
      </c>
      <c r="B7020" s="7" t="str">
        <f>IFERROR(__xludf.DUMMYFUNCTION("SPLIT(A7020,"" "")"),"CNC1C(N(C)Cc2ncccc2C)CCCC1N(Cc1nc(C)c(C)c(C)c1C)Cc1nc(C)c(C)c(C)c1C")</f>
        <v>CNC1C(N(C)Cc2ncccc2C)CCCC1N(Cc1nc(C)c(C)c(C)c1C)Cc1nc(C)c(C)c(C)c1C</v>
      </c>
      <c r="C7020" s="7">
        <f>IFERROR(__xludf.DUMMYFUNCTION("""COMPUTED_VALUE"""),7.7812805)</f>
        <v>7.7812805</v>
      </c>
      <c r="D7020" s="7">
        <f>IFERROR(__xludf.DUMMYFUNCTION("""COMPUTED_VALUE"""),0.35)</f>
        <v>0.35</v>
      </c>
    </row>
    <row r="7021">
      <c r="A7021" s="10" t="s">
        <v>8460</v>
      </c>
      <c r="B7021" s="7" t="str">
        <f>IFERROR(__xludf.DUMMYFUNCTION("SPLIT(A7021,"" "")"),"Cc1cncc(CN(C)C2CC(N(C)Cc3ccccn3)CC(N(Cc3ccccn3)Cc3nc(C)c(C)c(C)c3C)C2)c1")</f>
        <v>Cc1cncc(CN(C)C2CC(N(C)Cc3ccccn3)CC(N(Cc3ccccn3)Cc3nc(C)c(C)c(C)c3C)C2)c1</v>
      </c>
      <c r="C7021" s="7">
        <f>IFERROR(__xludf.DUMMYFUNCTION("""COMPUTED_VALUE"""),7.7812777)</f>
        <v>7.7812777</v>
      </c>
      <c r="D7021" s="7">
        <f>IFERROR(__xludf.DUMMYFUNCTION("""COMPUTED_VALUE"""),0.365079365079365)</f>
        <v>0.3650793651</v>
      </c>
    </row>
    <row r="7022">
      <c r="A7022" s="10" t="s">
        <v>8461</v>
      </c>
      <c r="B7022" s="7" t="str">
        <f>IFERROR(__xludf.DUMMYFUNCTION("SPLIT(A7022,"" "")"),"CNC1C(N(Cc2ccccn2)Cc2ncc(C)cc2C)CCCC1N(Cc1ncc(C)cc1C)Cc1nc(C)ccc1C")</f>
        <v>CNC1C(N(Cc2ccccn2)Cc2ncc(C)cc2C)CCCC1N(Cc1ncc(C)cc1C)Cc1nc(C)ccc1C</v>
      </c>
      <c r="C7022" s="7">
        <f>IFERROR(__xludf.DUMMYFUNCTION("""COMPUTED_VALUE"""),7.781275)</f>
        <v>7.781275</v>
      </c>
      <c r="D7022" s="7">
        <f>IFERROR(__xludf.DUMMYFUNCTION("""COMPUTED_VALUE"""),0.393442622950819)</f>
        <v>0.393442623</v>
      </c>
    </row>
    <row r="7023">
      <c r="A7023" s="10" t="s">
        <v>8462</v>
      </c>
      <c r="B7023" s="7" t="str">
        <f>IFERROR(__xludf.DUMMYFUNCTION("SPLIT(A7023,"" "")"),"Cc1cccnc1CN(C)Cc1ccc(N(C)Cc2ccc(-c3ccc4c(c3)OCCOCCOCCOCCOCCO4)cn2)cn1")</f>
        <v>Cc1cccnc1CN(C)Cc1ccc(N(C)Cc2ccc(-c3ccc4c(c3)OCCOCCOCCOCCOCCO4)cn2)cn1</v>
      </c>
      <c r="C7023" s="7">
        <f>IFERROR(__xludf.DUMMYFUNCTION("""COMPUTED_VALUE"""),7.781269)</f>
        <v>7.781269</v>
      </c>
      <c r="D7023" s="7">
        <f>IFERROR(__xludf.DUMMYFUNCTION("""COMPUTED_VALUE"""),0.422535211267605)</f>
        <v>0.4225352113</v>
      </c>
    </row>
    <row r="7024">
      <c r="A7024" s="10" t="s">
        <v>8463</v>
      </c>
      <c r="B7024" s="7" t="str">
        <f>IFERROR(__xludf.DUMMYFUNCTION("SPLIT(A7024,"" "")"),"Cc1cc(C)c(CN(C)C2CCCC(N(C)CC3=C(N(Cc4ccccn4)Cc4cccc(F)n4)CC=CN3)C2)nc1C")</f>
        <v>Cc1cc(C)c(CN(C)C2CCCC(N(C)CC3=C(N(Cc4ccccn4)Cc4cccc(F)n4)CC=CN3)C2)nc1C</v>
      </c>
      <c r="C7024" s="7">
        <f>IFERROR(__xludf.DUMMYFUNCTION("""COMPUTED_VALUE"""),7.7812505)</f>
        <v>7.7812505</v>
      </c>
      <c r="D7024" s="7">
        <f>IFERROR(__xludf.DUMMYFUNCTION("""COMPUTED_VALUE"""),0.329411764705882)</f>
        <v>0.3294117647</v>
      </c>
    </row>
    <row r="7025">
      <c r="A7025" s="10" t="s">
        <v>8464</v>
      </c>
      <c r="B7025" s="7" t="str">
        <f>IFERROR(__xludf.DUMMYFUNCTION("SPLIT(A7025,"" "")"),"CC(C)C(C)CN(Cc1ccccn1)Cc1ncccc1C(C)(C)c1ccccn1")</f>
        <v>CC(C)C(C)CN(Cc1ccccn1)Cc1ncccc1C(C)(C)c1ccccn1</v>
      </c>
      <c r="C7025" s="7">
        <f>IFERROR(__xludf.DUMMYFUNCTION("""COMPUTED_VALUE"""),7.7812395)</f>
        <v>7.7812395</v>
      </c>
      <c r="D7025" s="7">
        <f>IFERROR(__xludf.DUMMYFUNCTION("""COMPUTED_VALUE"""),0.423076923076923)</f>
        <v>0.4230769231</v>
      </c>
    </row>
    <row r="7026">
      <c r="A7026" s="10" t="s">
        <v>8465</v>
      </c>
      <c r="B7026" s="7" t="str">
        <f>IFERROR(__xludf.DUMMYFUNCTION("SPLIT(A7026,"" "")"),"Cc1nc(CN(C)Cc2cccc(N(C)C3CCC(N(C)Cc4ccccn4)CC3)n2)c(C)c(C)c1C")</f>
        <v>Cc1nc(CN(C)Cc2cccc(N(C)C3CCC(N(C)Cc4ccccn4)CC3)n2)c(C)c(C)c1C</v>
      </c>
      <c r="C7026" s="7">
        <f>IFERROR(__xludf.DUMMYFUNCTION("""COMPUTED_VALUE"""),7.781232)</f>
        <v>7.781232</v>
      </c>
      <c r="D7026" s="7">
        <f>IFERROR(__xludf.DUMMYFUNCTION("""COMPUTED_VALUE"""),0.43103448275862)</f>
        <v>0.4310344828</v>
      </c>
    </row>
    <row r="7027">
      <c r="A7027" s="10" t="s">
        <v>8466</v>
      </c>
      <c r="B7027" s="7" t="str">
        <f>IFERROR(__xludf.DUMMYFUNCTION("SPLIT(A7027,"" "")"),"C=C1C=CNC(CN(C)CCN(C)Cc2ccccn2)=C1")</f>
        <v>C=C1C=CNC(CN(C)CCN(C)Cc2ccccn2)=C1</v>
      </c>
      <c r="C7027" s="7">
        <f>IFERROR(__xludf.DUMMYFUNCTION("""COMPUTED_VALUE"""),7.7812285)</f>
        <v>7.7812285</v>
      </c>
      <c r="D7027" s="7">
        <f>IFERROR(__xludf.DUMMYFUNCTION("""COMPUTED_VALUE"""),0.454545454545454)</f>
        <v>0.4545454545</v>
      </c>
    </row>
    <row r="7028">
      <c r="A7028" s="10" t="s">
        <v>8467</v>
      </c>
      <c r="B7028" s="7" t="str">
        <f>IFERROR(__xludf.DUMMYFUNCTION("SPLIT(A7028,"" "")"),"CN1CCN(C)CCN(c2cccnc2-c2cccc(NCF)n2)CC1")</f>
        <v>CN1CCN(C)CCN(c2cccnc2-c2cccc(NCF)n2)CC1</v>
      </c>
      <c r="C7028" s="7">
        <f>IFERROR(__xludf.DUMMYFUNCTION("""COMPUTED_VALUE"""),7.781224)</f>
        <v>7.781224</v>
      </c>
      <c r="D7028" s="7">
        <f>IFERROR(__xludf.DUMMYFUNCTION("""COMPUTED_VALUE"""),0.354166666666666)</f>
        <v>0.3541666667</v>
      </c>
    </row>
    <row r="7029">
      <c r="A7029" s="10" t="s">
        <v>8468</v>
      </c>
      <c r="B7029" s="7" t="str">
        <f>IFERROR(__xludf.DUMMYFUNCTION("SPLIT(A7029,"" "")"),"CNCc1ncccc1N")</f>
        <v>CNCc1ncccc1N</v>
      </c>
      <c r="C7029" s="7">
        <f>IFERROR(__xludf.DUMMYFUNCTION("""COMPUTED_VALUE"""),7.781221)</f>
        <v>7.781221</v>
      </c>
      <c r="D7029" s="7">
        <f>IFERROR(__xludf.DUMMYFUNCTION("""COMPUTED_VALUE"""),0.305555555555555)</f>
        <v>0.3055555556</v>
      </c>
    </row>
    <row r="7030">
      <c r="A7030" s="10" t="s">
        <v>8469</v>
      </c>
      <c r="B7030" s="7" t="str">
        <f>IFERROR(__xludf.DUMMYFUNCTION("SPLIT(A7030,"" "")"),"C=CCN(C)Cc1cccc(CN(Cc2cccc(C3CCC3C)n2)Cc2cccc(C3C(Cl)CC3Cl)n2)n1")</f>
        <v>C=CCN(C)Cc1cccc(CN(Cc2cccc(C3CCC3C)n2)Cc2cccc(C3C(Cl)CC3Cl)n2)n1</v>
      </c>
      <c r="C7030" s="7">
        <f>IFERROR(__xludf.DUMMYFUNCTION("""COMPUTED_VALUE"""),7.7812204)</f>
        <v>7.7812204</v>
      </c>
      <c r="D7030" s="7">
        <f>IFERROR(__xludf.DUMMYFUNCTION("""COMPUTED_VALUE"""),0.313432835820895)</f>
        <v>0.3134328358</v>
      </c>
    </row>
    <row r="7031">
      <c r="A7031" s="10" t="s">
        <v>8470</v>
      </c>
      <c r="B7031" s="7" t="str">
        <f>IFERROR(__xludf.DUMMYFUNCTION("SPLIT(A7031,"" "")"),"CNC1CCC(N(C)Cc2cc(C)c(C)c(C)n2)CC1N(Cc1cc(C)c(C)cn1)Cc1cc(C)c(C)c(C)n1")</f>
        <v>CNC1CCC(N(C)Cc2cc(C)c(C)c(C)n2)CC1N(Cc1cc(C)c(C)cn1)Cc1cc(C)c(C)c(C)n1</v>
      </c>
      <c r="C7031" s="7">
        <f>IFERROR(__xludf.DUMMYFUNCTION("""COMPUTED_VALUE"""),7.781217)</f>
        <v>7.781217</v>
      </c>
      <c r="D7031" s="7">
        <f>IFERROR(__xludf.DUMMYFUNCTION("""COMPUTED_VALUE"""),0.32258064516129)</f>
        <v>0.3225806452</v>
      </c>
    </row>
    <row r="7032">
      <c r="A7032" s="10" t="s">
        <v>8471</v>
      </c>
      <c r="B7032" s="7" t="str">
        <f>IFERROR(__xludf.DUMMYFUNCTION("SPLIT(A7032,"" "")"),"CC1(C)CCC1c1cccc(CN(Cc2ccccn2)Cc2ncccc2C2(C)CCC2Cl)n1")</f>
        <v>CC1(C)CCC1c1cccc(CN(Cc2ccccn2)Cc2ncccc2C2(C)CCC2Cl)n1</v>
      </c>
      <c r="C7032" s="7">
        <f>IFERROR(__xludf.DUMMYFUNCTION("""COMPUTED_VALUE"""),7.7812114)</f>
        <v>7.7812114</v>
      </c>
      <c r="D7032" s="7">
        <f>IFERROR(__xludf.DUMMYFUNCTION("""COMPUTED_VALUE"""),0.363636363636363)</f>
        <v>0.3636363636</v>
      </c>
    </row>
    <row r="7033">
      <c r="A7033" s="10" t="s">
        <v>8472</v>
      </c>
      <c r="B7033" s="7" t="str">
        <f>IFERROR(__xludf.DUMMYFUNCTION("SPLIT(A7033,"" "")"),"CC(C)N(CC(C)(C)C)C1CC2CCC1C2N(C)c1ccc2ncccc2c1")</f>
        <v>CC(C)N(CC(C)(C)C)C1CC2CCC1C2N(C)c1ccc2ncccc2c1</v>
      </c>
      <c r="C7033" s="7">
        <f>IFERROR(__xludf.DUMMYFUNCTION("""COMPUTED_VALUE"""),7.7811985)</f>
        <v>7.7811985</v>
      </c>
      <c r="D7033" s="7">
        <f>IFERROR(__xludf.DUMMYFUNCTION("""COMPUTED_VALUE"""),0.365079365079365)</f>
        <v>0.3650793651</v>
      </c>
    </row>
    <row r="7034">
      <c r="A7034" s="10" t="s">
        <v>8473</v>
      </c>
      <c r="B7034" s="7" t="str">
        <f>IFERROR(__xludf.DUMMYFUNCTION("SPLIT(A7034,"" "")"),"CNC1CCCC(N(Cc2cccc(C)n2)Cc2cccc(C)n2)C1N(Cc1cccc(C)n1)Cc1nc(C)c(C)c(C)c1C")</f>
        <v>CNC1CCCC(N(Cc2cccc(C)n2)Cc2cccc(C)n2)C1N(Cc1cccc(C)n1)Cc1nc(C)c(C)c(C)c1C</v>
      </c>
      <c r="C7034" s="7">
        <f>IFERROR(__xludf.DUMMYFUNCTION("""COMPUTED_VALUE"""),7.781198)</f>
        <v>7.781198</v>
      </c>
      <c r="D7034" s="7">
        <f>IFERROR(__xludf.DUMMYFUNCTION("""COMPUTED_VALUE"""),0.446428571428571)</f>
        <v>0.4464285714</v>
      </c>
    </row>
    <row r="7035">
      <c r="A7035" s="10" t="s">
        <v>8474</v>
      </c>
      <c r="B7035" s="7" t="str">
        <f>IFERROR(__xludf.DUMMYFUNCTION("SPLIT(A7035,"" "")"),"Cc1cnc(CN(C)CCNCc2ccccn2)c(C)c1C")</f>
        <v>Cc1cnc(CN(C)CCNCc2ccccn2)c(C)c1C</v>
      </c>
      <c r="C7035" s="7">
        <f>IFERROR(__xludf.DUMMYFUNCTION("""COMPUTED_VALUE"""),7.7811966)</f>
        <v>7.7811966</v>
      </c>
      <c r="D7035" s="7">
        <f>IFERROR(__xludf.DUMMYFUNCTION("""COMPUTED_VALUE"""),0.488372093023255)</f>
        <v>0.488372093</v>
      </c>
    </row>
    <row r="7036">
      <c r="A7036" s="10" t="s">
        <v>8475</v>
      </c>
      <c r="B7036" s="7" t="str">
        <f>IFERROR(__xludf.DUMMYFUNCTION("SPLIT(A7036,"" "")"),"CC1C=CCC(C)C1c1ccc(CN(C)Cc2cc(N)ccn2)cn1")</f>
        <v>CC1C=CCC(C)C1c1ccc(CN(C)Cc2cc(N)ccn2)cn1</v>
      </c>
      <c r="C7036" s="7">
        <f>IFERROR(__xludf.DUMMYFUNCTION("""COMPUTED_VALUE"""),7.7811966)</f>
        <v>7.7811966</v>
      </c>
      <c r="D7036" s="7">
        <f>IFERROR(__xludf.DUMMYFUNCTION("""COMPUTED_VALUE"""),0.274193548387096)</f>
        <v>0.2741935484</v>
      </c>
    </row>
    <row r="7037">
      <c r="A7037" s="10" t="s">
        <v>8476</v>
      </c>
      <c r="B7037" s="7" t="str">
        <f>IFERROR(__xludf.DUMMYFUNCTION("SPLIT(A7037,"" "")"),"CC1=CCC(C)C(C)=C1CN(C)CC1=CC(N(C)Cc2ccccn2)C=CN1")</f>
        <v>CC1=CCC(C)C(C)=C1CN(C)CC1=CC(N(C)Cc2ccccn2)C=CN1</v>
      </c>
      <c r="C7037" s="7">
        <f>IFERROR(__xludf.DUMMYFUNCTION("""COMPUTED_VALUE"""),7.7811947)</f>
        <v>7.7811947</v>
      </c>
      <c r="D7037" s="7">
        <f>IFERROR(__xludf.DUMMYFUNCTION("""COMPUTED_VALUE"""),0.370967741935483)</f>
        <v>0.3709677419</v>
      </c>
    </row>
    <row r="7038">
      <c r="A7038" s="10" t="s">
        <v>8477</v>
      </c>
      <c r="B7038" s="7" t="str">
        <f>IFERROR(__xludf.DUMMYFUNCTION("SPLIT(A7038,"" "")"),"CC1=CC(c2cccc(CN(C)Cc3cc(N)ccn3)n2)C(C)(C)C(C)C1")</f>
        <v>CC1=CC(c2cccc(CN(C)Cc3cc(N)ccn3)n2)C(C)(C)C(C)C1</v>
      </c>
      <c r="C7038" s="7">
        <f>IFERROR(__xludf.DUMMYFUNCTION("""COMPUTED_VALUE"""),7.7811937)</f>
        <v>7.7811937</v>
      </c>
      <c r="D7038" s="7">
        <f>IFERROR(__xludf.DUMMYFUNCTION("""COMPUTED_VALUE"""),0.366666666666666)</f>
        <v>0.3666666667</v>
      </c>
    </row>
    <row r="7039">
      <c r="A7039" s="10" t="s">
        <v>8478</v>
      </c>
      <c r="B7039" s="7" t="str">
        <f>IFERROR(__xludf.DUMMYFUNCTION("SPLIT(A7039,"" "")"),"CN(CC1=C(N(CCN)Cc2ccccn2)CC=CN1)C(C)(C)c1ccccn1")</f>
        <v>CN(CC1=C(N(CCN)Cc2ccccn2)CC=CN1)C(C)(C)c1ccccn1</v>
      </c>
      <c r="C7039" s="7">
        <f>IFERROR(__xludf.DUMMYFUNCTION("""COMPUTED_VALUE"""),7.781179)</f>
        <v>7.781179</v>
      </c>
      <c r="D7039" s="7">
        <f>IFERROR(__xludf.DUMMYFUNCTION("""COMPUTED_VALUE"""),0.359375)</f>
        <v>0.359375</v>
      </c>
    </row>
    <row r="7040">
      <c r="A7040" s="10" t="s">
        <v>8479</v>
      </c>
      <c r="B7040" s="7" t="str">
        <f>IFERROR(__xludf.DUMMYFUNCTION("SPLIT(A7040,"" "")"),"CC(C)N(C)Cc1cc(N(C)C(C)C)ccn1")</f>
        <v>CC(C)N(C)Cc1cc(N(C)C(C)C)ccn1</v>
      </c>
      <c r="C7040" s="7">
        <f>IFERROR(__xludf.DUMMYFUNCTION("""COMPUTED_VALUE"""),7.781178)</f>
        <v>7.781178</v>
      </c>
      <c r="D7040" s="7">
        <f>IFERROR(__xludf.DUMMYFUNCTION("""COMPUTED_VALUE"""),0.390243902439024)</f>
        <v>0.3902439024</v>
      </c>
    </row>
    <row r="7041">
      <c r="A7041" s="10" t="s">
        <v>8480</v>
      </c>
      <c r="B7041" s="7" t="str">
        <f>IFERROR(__xludf.DUMMYFUNCTION("SPLIT(A7041,"" "")"),"Cc1ccc(CN(C)C2CCC(N(C)Cc3ncccc3C)CC2N(Cc2cc(C)ccn2)Cc2cc(C)c(C)c(C)n2)nc1")</f>
        <v>Cc1ccc(CN(C)C2CCC(N(C)Cc3ncccc3C)CC2N(Cc2cc(C)ccn2)Cc2cc(C)c(C)c(C)n2)nc1</v>
      </c>
      <c r="C7041" s="7">
        <f>IFERROR(__xludf.DUMMYFUNCTION("""COMPUTED_VALUE"""),7.781174)</f>
        <v>7.781174</v>
      </c>
      <c r="D7041" s="7">
        <f>IFERROR(__xludf.DUMMYFUNCTION("""COMPUTED_VALUE"""),0.405797101449275)</f>
        <v>0.4057971014</v>
      </c>
    </row>
    <row r="7042">
      <c r="A7042" s="10" t="s">
        <v>8481</v>
      </c>
      <c r="B7042" s="7" t="str">
        <f>IFERROR(__xludf.DUMMYFUNCTION("SPLIT(A7042,"" "")"),"Cc1cccc(C(C)(c2ccccn2)c2cc(CN(Cc3ccccn3)C3CCCCC3)ccn2)c1")</f>
        <v>Cc1cccc(C(C)(c2ccccn2)c2cc(CN(Cc3ccccn3)C3CCCCC3)ccn2)c1</v>
      </c>
      <c r="C7042" s="7">
        <f>IFERROR(__xludf.DUMMYFUNCTION("""COMPUTED_VALUE"""),7.781173)</f>
        <v>7.781173</v>
      </c>
      <c r="D7042" s="7">
        <f>IFERROR(__xludf.DUMMYFUNCTION("""COMPUTED_VALUE"""),0.370967741935483)</f>
        <v>0.3709677419</v>
      </c>
    </row>
    <row r="7043">
      <c r="A7043" s="10" t="s">
        <v>8482</v>
      </c>
      <c r="B7043" s="7" t="str">
        <f>IFERROR(__xludf.DUMMYFUNCTION("SPLIT(A7043,"" "")"),"Cc1cc(CN2CCCC2C(C)(C)N(Cc2ccccn2)C2CCCCC2N(C)c2ccc3nc(CF)ccc3c2)nc(C)c1C")</f>
        <v>Cc1cc(CN2CCCC2C(C)(C)N(Cc2ccccn2)C2CCCCC2N(C)c2ccc3nc(CF)ccc3c2)nc(C)c1C</v>
      </c>
      <c r="C7043" s="7">
        <f>IFERROR(__xludf.DUMMYFUNCTION("""COMPUTED_VALUE"""),7.7811584)</f>
        <v>7.7811584</v>
      </c>
      <c r="D7043" s="7">
        <f>IFERROR(__xludf.DUMMYFUNCTION("""COMPUTED_VALUE"""),0.369047619047619)</f>
        <v>0.369047619</v>
      </c>
    </row>
    <row r="7044">
      <c r="A7044" s="10" t="s">
        <v>8483</v>
      </c>
      <c r="B7044" s="7" t="str">
        <f>IFERROR(__xludf.DUMMYFUNCTION("SPLIT(A7044,"" "")"),"CC(C)CN(CCN(C)CC(C)(C)C)Cc1ccc2ncccc2c1")</f>
        <v>CC(C)CN(CCN(C)CC(C)(C)C)Cc1ccc2ncccc2c1</v>
      </c>
      <c r="C7044" s="7">
        <f>IFERROR(__xludf.DUMMYFUNCTION("""COMPUTED_VALUE"""),7.7811475)</f>
        <v>7.7811475</v>
      </c>
      <c r="D7044" s="7">
        <f>IFERROR(__xludf.DUMMYFUNCTION("""COMPUTED_VALUE"""),0.363636363636363)</f>
        <v>0.3636363636</v>
      </c>
    </row>
    <row r="7045">
      <c r="A7045" s="10" t="s">
        <v>8484</v>
      </c>
      <c r="B7045" s="7" t="str">
        <f>IFERROR(__xludf.DUMMYFUNCTION("SPLIT(A7045,"" "")"),"CN(Cc1cccc(-c2ccc3c(c2)OCCOCCOCCOCCOCCO3)n1)Cc1cccc(C(C)(c2ccccn2)c2ccccn2)n1")</f>
        <v>CN(Cc1cccc(-c2ccc3c(c2)OCCOCCOCCOCCOCCO3)n1)Cc1cccc(C(C)(c2ccccn2)c2ccccn2)n1</v>
      </c>
      <c r="C7045" s="7">
        <f>IFERROR(__xludf.DUMMYFUNCTION("""COMPUTED_VALUE"""),7.7811456)</f>
        <v>7.7811456</v>
      </c>
      <c r="D7045" s="7">
        <f>IFERROR(__xludf.DUMMYFUNCTION("""COMPUTED_VALUE"""),0.433333333333333)</f>
        <v>0.4333333333</v>
      </c>
    </row>
    <row r="7046">
      <c r="A7046" s="10" t="s">
        <v>8485</v>
      </c>
      <c r="B7046" s="7" t="str">
        <f>IFERROR(__xludf.DUMMYFUNCTION("SPLIT(A7046,"" "")"),"CN(C1=CNC(CN(C)C2C=CC=CN2)=CC1)C1=CCC=CN1")</f>
        <v>CN(C1=CNC(CN(C)C2C=CC=CN2)=CC1)C1=CCC=CN1</v>
      </c>
      <c r="C7046" s="7">
        <f>IFERROR(__xludf.DUMMYFUNCTION("""COMPUTED_VALUE"""),7.7811227)</f>
        <v>7.7811227</v>
      </c>
      <c r="D7046" s="7">
        <f>IFERROR(__xludf.DUMMYFUNCTION("""COMPUTED_VALUE"""),0.261538461538461)</f>
        <v>0.2615384615</v>
      </c>
    </row>
    <row r="7047">
      <c r="A7047" s="10" t="s">
        <v>8486</v>
      </c>
      <c r="B7047" s="7" t="str">
        <f>IFERROR(__xludf.DUMMYFUNCTION("SPLIT(A7047,"" "")"),"CCOC(C)NCc1ncccc1CN(Cc1ccccn1)Cc1ccccn1")</f>
        <v>CCOC(C)NCc1ncccc1CN(Cc1ccccn1)Cc1ccccn1</v>
      </c>
      <c r="C7047" s="7">
        <f>IFERROR(__xludf.DUMMYFUNCTION("""COMPUTED_VALUE"""),7.7811217)</f>
        <v>7.7811217</v>
      </c>
      <c r="D7047" s="7">
        <f>IFERROR(__xludf.DUMMYFUNCTION("""COMPUTED_VALUE"""),0.454545454545454)</f>
        <v>0.4545454545</v>
      </c>
    </row>
    <row r="7048">
      <c r="A7048" s="10" t="s">
        <v>8487</v>
      </c>
      <c r="B7048" s="7" t="str">
        <f>IFERROR(__xludf.DUMMYFUNCTION("SPLIT(A7048,"" "")"),"CC(C)NCc1cccc(C(C)(C)C)n1")</f>
        <v>CC(C)NCc1cccc(C(C)(C)C)n1</v>
      </c>
      <c r="C7048" s="7">
        <f>IFERROR(__xludf.DUMMYFUNCTION("""COMPUTED_VALUE"""),7.7811027)</f>
        <v>7.7811027</v>
      </c>
      <c r="D7048" s="7">
        <f>IFERROR(__xludf.DUMMYFUNCTION("""COMPUTED_VALUE"""),0.269230769230769)</f>
        <v>0.2692307692</v>
      </c>
    </row>
    <row r="7049">
      <c r="A7049" s="10" t="s">
        <v>8488</v>
      </c>
      <c r="B7049" s="7" t="str">
        <f>IFERROR(__xludf.DUMMYFUNCTION("SPLIT(A7049,"" "")"),"CCCN(CC1=CC(N(C)Cc2nc(C)ccc2C)C=CN1)Cc1ccccn1")</f>
        <v>CCCN(CC1=CC(N(C)Cc2nc(C)ccc2C)C=CN1)Cc1ccccn1</v>
      </c>
      <c r="C7049" s="7">
        <f>IFERROR(__xludf.DUMMYFUNCTION("""COMPUTED_VALUE"""),7.781101)</f>
        <v>7.781101</v>
      </c>
      <c r="D7049" s="7">
        <f>IFERROR(__xludf.DUMMYFUNCTION("""COMPUTED_VALUE"""),0.383333333333333)</f>
        <v>0.3833333333</v>
      </c>
    </row>
    <row r="7050">
      <c r="A7050" s="10" t="s">
        <v>8489</v>
      </c>
      <c r="B7050" s="7" t="str">
        <f>IFERROR(__xludf.DUMMYFUNCTION("SPLIT(A7050,"" "")"),"Cc1cc(CN(C)CCN)nc(C)c1C")</f>
        <v>Cc1cc(CN(C)CCN)nc(C)c1C</v>
      </c>
      <c r="C7050" s="7">
        <f>IFERROR(__xludf.DUMMYFUNCTION("""COMPUTED_VALUE"""),7.7810965)</f>
        <v>7.7810965</v>
      </c>
      <c r="D7050" s="7">
        <f>IFERROR(__xludf.DUMMYFUNCTION("""COMPUTED_VALUE"""),0.375)</f>
        <v>0.375</v>
      </c>
    </row>
    <row r="7051">
      <c r="A7051" s="10" t="s">
        <v>8490</v>
      </c>
      <c r="B7051" s="7" t="str">
        <f>IFERROR(__xludf.DUMMYFUNCTION("SPLIT(A7051,"" "")"),"Cc1ccc(CN(C)C2CC(N(C)Cc3ccccn3)CC(N(Cc3cc(C)ccn3)Cc3ncc(C)c(C)c3C)C2)nc1")</f>
        <v>Cc1ccc(CN(C)C2CC(N(C)Cc3ccccn3)CC(N(Cc3cc(C)ccn3)Cc3ncc(C)c(C)c3C)C2)nc1</v>
      </c>
      <c r="C7051" s="7">
        <f>IFERROR(__xludf.DUMMYFUNCTION("""COMPUTED_VALUE"""),7.781095)</f>
        <v>7.781095</v>
      </c>
      <c r="D7051" s="7">
        <f>IFERROR(__xludf.DUMMYFUNCTION("""COMPUTED_VALUE"""),0.387096774193548)</f>
        <v>0.3870967742</v>
      </c>
    </row>
    <row r="7052">
      <c r="A7052" s="10" t="s">
        <v>8491</v>
      </c>
      <c r="B7052" s="7" t="str">
        <f>IFERROR(__xludf.DUMMYFUNCTION("SPLIT(A7052,"" "")"),"CC1(C)CCC1c1ncccc1CN(Cc1ccccn1)Cc1ccccn1")</f>
        <v>CC1(C)CCC1c1ncccc1CN(Cc1ccccn1)Cc1ccccn1</v>
      </c>
      <c r="C7052" s="7">
        <f>IFERROR(__xludf.DUMMYFUNCTION("""COMPUTED_VALUE"""),7.7810645)</f>
        <v>7.7810645</v>
      </c>
      <c r="D7052" s="7">
        <f>IFERROR(__xludf.DUMMYFUNCTION("""COMPUTED_VALUE"""),0.48780487804878)</f>
        <v>0.487804878</v>
      </c>
    </row>
    <row r="7053">
      <c r="A7053" s="10" t="s">
        <v>8492</v>
      </c>
      <c r="B7053" s="7" t="str">
        <f>IFERROR(__xludf.DUMMYFUNCTION("SPLIT(A7053,"" "")"),"CN(Cc1cc(-c2ccc3c(c2)OCCOCCOCCOCCOCCO3)ccn1)C1CCC(N(C)Cc2cccc(-c3ccc4ncccc4c3)n2)CC1")</f>
        <v>CN(Cc1cc(-c2ccc3c(c2)OCCOCCOCCOCCOCCO3)ccn1)C1CCC(N(C)Cc2cccc(-c3ccc4ncccc4c3)n2)CC1</v>
      </c>
      <c r="C7053" s="7">
        <f>IFERROR(__xludf.DUMMYFUNCTION("""COMPUTED_VALUE"""),7.7810616)</f>
        <v>7.7810616</v>
      </c>
      <c r="D7053" s="7">
        <f>IFERROR(__xludf.DUMMYFUNCTION("""COMPUTED_VALUE"""),0.341772151898734)</f>
        <v>0.3417721519</v>
      </c>
    </row>
    <row r="7054">
      <c r="A7054" s="10" t="s">
        <v>8493</v>
      </c>
      <c r="B7054" s="7" t="str">
        <f>IFERROR(__xludf.DUMMYFUNCTION("SPLIT(A7054,"" "")"),"CC(C)(C)c1cccnc1CN(CF)Cc1ccccn1")</f>
        <v>CC(C)(C)c1cccnc1CN(CF)Cc1ccccn1</v>
      </c>
      <c r="C7054" s="7">
        <f>IFERROR(__xludf.DUMMYFUNCTION("""COMPUTED_VALUE"""),7.7810593)</f>
        <v>7.7810593</v>
      </c>
      <c r="D7054" s="7">
        <f>IFERROR(__xludf.DUMMYFUNCTION("""COMPUTED_VALUE"""),0.5)</f>
        <v>0.5</v>
      </c>
    </row>
    <row r="7055">
      <c r="A7055" s="10" t="s">
        <v>8494</v>
      </c>
      <c r="B7055" s="7" t="str">
        <f>IFERROR(__xludf.DUMMYFUNCTION("SPLIT(A7055,"" "")"),"Cc1cccc(CN(C)C2CCC(N(C)Cc3ccccn3)CC2N(Cc2cc(C)c(C)cn2)Cc2cc(C)c(C)c(C)n2)n1")</f>
        <v>Cc1cccc(CN(C)C2CCC(N(C)Cc3ccccn3)CC2N(Cc2cc(C)c(C)cn2)Cc2cc(C)c(C)c(C)n2)n1</v>
      </c>
      <c r="C7055" s="7">
        <f>IFERROR(__xludf.DUMMYFUNCTION("""COMPUTED_VALUE"""),7.7810583)</f>
        <v>7.7810583</v>
      </c>
      <c r="D7055" s="7">
        <f>IFERROR(__xludf.DUMMYFUNCTION("""COMPUTED_VALUE"""),0.4375)</f>
        <v>0.4375</v>
      </c>
    </row>
    <row r="7056">
      <c r="A7056" s="10" t="s">
        <v>8495</v>
      </c>
      <c r="B7056" s="7" t="str">
        <f>IFERROR(__xludf.DUMMYFUNCTION("SPLIT(A7056,"" "")"),"CCC1(C)N=COC1c1ccccn1")</f>
        <v>CCC1(C)N=COC1c1ccccn1</v>
      </c>
      <c r="C7056" s="7">
        <f>IFERROR(__xludf.DUMMYFUNCTION("""COMPUTED_VALUE"""),7.7810555)</f>
        <v>7.7810555</v>
      </c>
      <c r="D7056" s="7">
        <f>IFERROR(__xludf.DUMMYFUNCTION("""COMPUTED_VALUE"""),0.271186440677966)</f>
        <v>0.2711864407</v>
      </c>
    </row>
    <row r="7057">
      <c r="A7057" s="10" t="s">
        <v>8496</v>
      </c>
      <c r="B7057" s="7" t="str">
        <f>IFERROR(__xludf.DUMMYFUNCTION("SPLIT(A7057,"" "")"),"Cc1ccc(CN(C)C2CCCC(N(Cc3ncc(C)c(C)c3C)Cc3nc(C)c(C)c(C)c3C)C2N(C)Cc2ccccn2)nc1")</f>
        <v>Cc1ccc(CN(C)C2CCCC(N(Cc3ncc(C)c(C)c3C)Cc3nc(C)c(C)c(C)c3C)C2N(C)Cc2ccccn2)nc1</v>
      </c>
      <c r="C7057" s="7">
        <f>IFERROR(__xludf.DUMMYFUNCTION("""COMPUTED_VALUE"""),7.7810435)</f>
        <v>7.7810435</v>
      </c>
      <c r="D7057" s="7">
        <f>IFERROR(__xludf.DUMMYFUNCTION("""COMPUTED_VALUE"""),0.46774193548387)</f>
        <v>0.4677419355</v>
      </c>
    </row>
    <row r="7058">
      <c r="A7058" s="10" t="s">
        <v>8497</v>
      </c>
      <c r="B7058" s="7" t="str">
        <f>IFERROR(__xludf.DUMMYFUNCTION("SPLIT(A7058,"" "")"),"CCN(CC1=CC(N(C)Cc2cc(C)ccn2)C=CN1)Cc1ccccn1")</f>
        <v>CCN(CC1=CC(N(C)Cc2cc(C)ccn2)C=CN1)Cc1ccccn1</v>
      </c>
      <c r="C7058" s="7">
        <f>IFERROR(__xludf.DUMMYFUNCTION("""COMPUTED_VALUE"""),7.7810407)</f>
        <v>7.7810407</v>
      </c>
      <c r="D7058" s="7">
        <f>IFERROR(__xludf.DUMMYFUNCTION("""COMPUTED_VALUE"""),0.40983606557377)</f>
        <v>0.4098360656</v>
      </c>
    </row>
    <row r="7059">
      <c r="A7059" s="10" t="s">
        <v>8498</v>
      </c>
      <c r="B7059" s="7" t="str">
        <f>IFERROR(__xludf.DUMMYFUNCTION("SPLIT(A7059,"" "")"),"Cc1nc(CN(C)C2CCC(N(Cc3cc4c(cn3)C=CC(C)(C)C4)C(C)C)CC2)c(C)c(C)c1C")</f>
        <v>Cc1nc(CN(C)C2CCC(N(Cc3cc4c(cn3)C=CC(C)(C)C4)C(C)C)CC2)c(C)c(C)c1C</v>
      </c>
      <c r="C7059" s="7">
        <f>IFERROR(__xludf.DUMMYFUNCTION("""COMPUTED_VALUE"""),7.781029)</f>
        <v>7.781029</v>
      </c>
      <c r="D7059" s="7">
        <f>IFERROR(__xludf.DUMMYFUNCTION("""COMPUTED_VALUE"""),0.282051282051282)</f>
        <v>0.2820512821</v>
      </c>
    </row>
    <row r="7060">
      <c r="A7060" s="10" t="s">
        <v>8499</v>
      </c>
      <c r="B7060" s="7" t="str">
        <f>IFERROR(__xludf.DUMMYFUNCTION("SPLIT(A7060,"" "")"),"Cc1ccc(N(C)Cc2ccccn2)c(CN(Cc2ccccn2)Cc2ccc(-c3ccc4c(c3)OCCOCCOCCOCCOCCO4)cn2)c1")</f>
        <v>Cc1ccc(N(C)Cc2ccccn2)c(CN(Cc2ccccn2)Cc2ccc(-c3ccc4c(c3)OCCOCCOCCOCCOCCO4)cn2)c1</v>
      </c>
      <c r="C7060" s="7">
        <f>IFERROR(__xludf.DUMMYFUNCTION("""COMPUTED_VALUE"""),7.781028)</f>
        <v>7.781028</v>
      </c>
      <c r="D7060" s="7">
        <f>IFERROR(__xludf.DUMMYFUNCTION("""COMPUTED_VALUE"""),0.416666666666666)</f>
        <v>0.4166666667</v>
      </c>
    </row>
    <row r="7061">
      <c r="A7061" s="10" t="s">
        <v>8500</v>
      </c>
      <c r="B7061" s="7" t="str">
        <f>IFERROR(__xludf.DUMMYFUNCTION("SPLIT(A7061,"" "")"),"CC1C=CCC(C)(c2ccc(CN(Cc3ccccn3)Cc3ncccc3C(C)(C)C)cn2)C1C")</f>
        <v>CC1C=CCC(C)(c2ccc(CN(Cc3ccccn3)Cc3ncccc3C(C)(C)C)cn2)C1C</v>
      </c>
      <c r="C7061" s="7">
        <f>IFERROR(__xludf.DUMMYFUNCTION("""COMPUTED_VALUE"""),7.7810264)</f>
        <v>7.7810264</v>
      </c>
      <c r="D7061" s="7">
        <f>IFERROR(__xludf.DUMMYFUNCTION("""COMPUTED_VALUE"""),0.333333333333333)</f>
        <v>0.3333333333</v>
      </c>
    </row>
    <row r="7062">
      <c r="A7062" s="10" t="s">
        <v>8501</v>
      </c>
      <c r="B7062" s="7" t="str">
        <f>IFERROR(__xludf.DUMMYFUNCTION("SPLIT(A7062,"" "")"),"CNC1C(N(C)Cc2cc(C)c(C)c(C)n2)CCCC1N(Cc1cc(C)c(C)cn1)Cc1nc(C)c(C)c(C)c1C")</f>
        <v>CNC1C(N(C)Cc2cc(C)c(C)c(C)n2)CCCC1N(Cc1cc(C)c(C)cn1)Cc1nc(C)c(C)c(C)c1C</v>
      </c>
      <c r="C7062" s="7">
        <f>IFERROR(__xludf.DUMMYFUNCTION("""COMPUTED_VALUE"""),7.781021)</f>
        <v>7.781021</v>
      </c>
      <c r="D7062" s="7">
        <f>IFERROR(__xludf.DUMMYFUNCTION("""COMPUTED_VALUE"""),0.365079365079365)</f>
        <v>0.3650793651</v>
      </c>
    </row>
    <row r="7063">
      <c r="A7063" s="10" t="s">
        <v>8502</v>
      </c>
      <c r="B7063" s="7" t="str">
        <f>IFERROR(__xludf.DUMMYFUNCTION("SPLIT(A7063,"" "")"),"CCOC(=O)c1cc(CN(Cc2ccccn2)C2CCC(N(C)Cc3nc(C)c(C)c(C)c3C)CC2)ccn1")</f>
        <v>CCOC(=O)c1cc(CN(Cc2ccccn2)C2CCC(N(C)Cc3nc(C)c(C)c(C)c3C)CC2)ccn1</v>
      </c>
      <c r="C7063" s="7">
        <f>IFERROR(__xludf.DUMMYFUNCTION("""COMPUTED_VALUE"""),7.7810144)</f>
        <v>7.7810144</v>
      </c>
      <c r="D7063" s="7">
        <f>IFERROR(__xludf.DUMMYFUNCTION("""COMPUTED_VALUE"""),0.328571428571428)</f>
        <v>0.3285714286</v>
      </c>
    </row>
    <row r="7064">
      <c r="A7064" s="10" t="s">
        <v>8503</v>
      </c>
      <c r="B7064" s="7" t="str">
        <f>IFERROR(__xludf.DUMMYFUNCTION("SPLIT(A7064,"" "")"),"Cc1cncc(CN(C)C2CC(N(C)Cc3ccccn3)CC(N(Cc3ncccc3C)Cc3ncc(C)c(C)c3C)C2)c1")</f>
        <v>Cc1cncc(CN(C)C2CC(N(C)Cc3ccccn3)CC(N(Cc3ncccc3C)Cc3ncc(C)c(C)c3C)C2)c1</v>
      </c>
      <c r="C7064" s="7">
        <f>IFERROR(__xludf.DUMMYFUNCTION("""COMPUTED_VALUE"""),7.781002)</f>
        <v>7.781002</v>
      </c>
      <c r="D7064" s="7">
        <f>IFERROR(__xludf.DUMMYFUNCTION("""COMPUTED_VALUE"""),0.353846153846153)</f>
        <v>0.3538461538</v>
      </c>
    </row>
    <row r="7065">
      <c r="A7065" s="10" t="s">
        <v>8504</v>
      </c>
      <c r="B7065" s="7" t="str">
        <f>IFERROR(__xludf.DUMMYFUNCTION("SPLIT(A7065,"" "")"),"CCc1ccc(C)c(-c2ncccc2CN(Cc2ccccn2)C2CCCCC2)c1")</f>
        <v>CCc1ccc(C)c(-c2ncccc2CN(Cc2ccccn2)C2CCCCC2)c1</v>
      </c>
      <c r="C7065" s="7">
        <f>IFERROR(__xludf.DUMMYFUNCTION("""COMPUTED_VALUE"""),7.780998)</f>
        <v>7.780998</v>
      </c>
      <c r="D7065" s="7">
        <f>IFERROR(__xludf.DUMMYFUNCTION("""COMPUTED_VALUE"""),0.389830508474576)</f>
        <v>0.3898305085</v>
      </c>
    </row>
    <row r="7066">
      <c r="A7066" s="10" t="s">
        <v>8505</v>
      </c>
      <c r="B7066" s="7" t="str">
        <f>IFERROR(__xludf.DUMMYFUNCTION("SPLIT(A7066,"" "")"),"Cc1cccc(CN(Cc2ncccc2C)C2C(N(C)Cc3ncccc3C)CCCC2N(Cc2ccccn2)Cc2ncccc2C)n1")</f>
        <v>Cc1cccc(CN(Cc2ncccc2C)C2C(N(C)Cc3ncccc3C)CCCC2N(Cc2ccccn2)Cc2ncccc2C)n1</v>
      </c>
      <c r="C7066" s="7">
        <f>IFERROR(__xludf.DUMMYFUNCTION("""COMPUTED_VALUE"""),7.7809896)</f>
        <v>7.7809896</v>
      </c>
      <c r="D7066" s="7">
        <f>IFERROR(__xludf.DUMMYFUNCTION("""COMPUTED_VALUE"""),0.5)</f>
        <v>0.5</v>
      </c>
    </row>
    <row r="7067">
      <c r="A7067" s="10" t="s">
        <v>8506</v>
      </c>
      <c r="B7067" s="7" t="str">
        <f>IFERROR(__xludf.DUMMYFUNCTION("SPLIT(A7067,"" "")"),"Cc1cc(C)c(C)c(CN(Cc2nc(C)c(C)c(C)c2C)C2CCCCC2N(Cc2ccccn2)Cc2ccc(F)cn2)n1")</f>
        <v>Cc1cc(C)c(C)c(CN(Cc2nc(C)c(C)c(C)c2C)C2CCCCC2N(Cc2ccccn2)Cc2ccc(F)cn2)n1</v>
      </c>
      <c r="C7067" s="7">
        <f>IFERROR(__xludf.DUMMYFUNCTION("""COMPUTED_VALUE"""),7.780973)</f>
        <v>7.780973</v>
      </c>
      <c r="D7067" s="7">
        <f>IFERROR(__xludf.DUMMYFUNCTION("""COMPUTED_VALUE"""),0.396825396825396)</f>
        <v>0.3968253968</v>
      </c>
    </row>
    <row r="7068">
      <c r="A7068" s="10" t="s">
        <v>8507</v>
      </c>
      <c r="B7068" s="7" t="str">
        <f>IFERROR(__xludf.DUMMYFUNCTION("SPLIT(A7068,"" "")"),"CCN(CCN(C)Cc1ncccc1C)Cc1cc(C)c(C)c(C)n1")</f>
        <v>CCN(CCN(C)Cc1ncccc1C)Cc1cc(C)c(C)c(C)n1</v>
      </c>
      <c r="C7068" s="7">
        <f>IFERROR(__xludf.DUMMYFUNCTION("""COMPUTED_VALUE"""),7.780971)</f>
        <v>7.780971</v>
      </c>
      <c r="D7068" s="7">
        <f>IFERROR(__xludf.DUMMYFUNCTION("""COMPUTED_VALUE"""),0.351851851851851)</f>
        <v>0.3518518519</v>
      </c>
    </row>
    <row r="7069">
      <c r="A7069" s="10" t="s">
        <v>8508</v>
      </c>
      <c r="B7069" s="7" t="str">
        <f>IFERROR(__xludf.DUMMYFUNCTION("SPLIT(A7069,"" "")"),"CCNCc1cc(CN(C)Cc2cc(C)ccn2)ccn1")</f>
        <v>CCNCc1cc(CN(C)Cc2cc(C)ccn2)ccn1</v>
      </c>
      <c r="C7069" s="7">
        <f>IFERROR(__xludf.DUMMYFUNCTION("""COMPUTED_VALUE"""),7.7809696)</f>
        <v>7.7809696</v>
      </c>
      <c r="D7069" s="7">
        <f>IFERROR(__xludf.DUMMYFUNCTION("""COMPUTED_VALUE"""),0.395833333333333)</f>
        <v>0.3958333333</v>
      </c>
    </row>
    <row r="7070">
      <c r="A7070" s="10" t="s">
        <v>8509</v>
      </c>
      <c r="B7070" s="7" t="str">
        <f>IFERROR(__xludf.DUMMYFUNCTION("SPLIT(A7070,"" "")"),"CC1=CC2(C(C)C=CC(C)C2C)C(c2cccnc2CN(Cc2ccccn2)Cc2ccccc2N(C)C)C(N(C)Cc2ccccn2)C1C")</f>
        <v>CC1=CC2(C(C)C=CC(C)C2C)C(c2cccnc2CN(Cc2ccccn2)Cc2ccccc2N(C)C)C(N(C)Cc2ccccn2)C1C</v>
      </c>
      <c r="C7070" s="7">
        <f>IFERROR(__xludf.DUMMYFUNCTION("""COMPUTED_VALUE"""),7.7809677)</f>
        <v>7.7809677</v>
      </c>
      <c r="D7070" s="7">
        <f>IFERROR(__xludf.DUMMYFUNCTION("""COMPUTED_VALUE"""),0.298507462686567)</f>
        <v>0.2985074627</v>
      </c>
    </row>
    <row r="7071">
      <c r="A7071" s="10" t="s">
        <v>8510</v>
      </c>
      <c r="B7071" s="7" t="str">
        <f>IFERROR(__xludf.DUMMYFUNCTION("SPLIT(A7071,"" "")"),"CCNC1CC(N(Cc2nc(C)c(C)cc2C)Cc2nc(C)c(C)cc2C)CCC1N(Cc1cc(C)ccn1)Cc1cc(C)ccn1")</f>
        <v>CCNC1CC(N(Cc2nc(C)c(C)cc2C)Cc2nc(C)c(C)cc2C)CCC1N(Cc1cc(C)ccn1)Cc1cc(C)ccn1</v>
      </c>
      <c r="C7071" s="7">
        <f>IFERROR(__xludf.DUMMYFUNCTION("""COMPUTED_VALUE"""),7.780951)</f>
        <v>7.780951</v>
      </c>
      <c r="D7071" s="7">
        <f>IFERROR(__xludf.DUMMYFUNCTION("""COMPUTED_VALUE"""),0.272727272727272)</f>
        <v>0.2727272727</v>
      </c>
    </row>
    <row r="7072">
      <c r="A7072" s="10" t="s">
        <v>8511</v>
      </c>
      <c r="B7072" s="7" t="str">
        <f>IFERROR(__xludf.DUMMYFUNCTION("SPLIT(A7072,"" "")"),"CC(C)C1=CC(N(C)Cc2cccc(C(C)(C)C)n2)C=CN1")</f>
        <v>CC(C)C1=CC(N(C)Cc2cccc(C(C)(C)C)n2)C=CN1</v>
      </c>
      <c r="C7072" s="7">
        <f>IFERROR(__xludf.DUMMYFUNCTION("""COMPUTED_VALUE"""),7.7809443)</f>
        <v>7.7809443</v>
      </c>
      <c r="D7072" s="7">
        <f>IFERROR(__xludf.DUMMYFUNCTION("""COMPUTED_VALUE"""),0.31578947368421)</f>
        <v>0.3157894737</v>
      </c>
    </row>
    <row r="7073">
      <c r="A7073" s="10" t="s">
        <v>8512</v>
      </c>
      <c r="B7073" s="7" t="str">
        <f>IFERROR(__xludf.DUMMYFUNCTION("SPLIT(A7073,"" "")"),"CC(C)(C)N1CCN=CC2=CC=CC(c3cccc(n3)C1)N2C(C)(C)C")</f>
        <v>CC(C)(C)N1CCN=CC2=CC=CC(c3cccc(n3)C1)N2C(C)(C)C</v>
      </c>
      <c r="C7073" s="7">
        <f>IFERROR(__xludf.DUMMYFUNCTION("""COMPUTED_VALUE"""),7.7809334)</f>
        <v>7.7809334</v>
      </c>
      <c r="D7073" s="7">
        <f>IFERROR(__xludf.DUMMYFUNCTION("""COMPUTED_VALUE"""),0.408163265306122)</f>
        <v>0.4081632653</v>
      </c>
    </row>
    <row r="7074">
      <c r="A7074" s="10" t="s">
        <v>8513</v>
      </c>
      <c r="B7074" s="7" t="str">
        <f>IFERROR(__xludf.DUMMYFUNCTION("SPLIT(A7074,"" "")"),"CC(C)N(C)Cc1ncccc1N(C)C1C=CC=CN1")</f>
        <v>CC(C)N(C)Cc1ncccc1N(C)C1C=CC=CN1</v>
      </c>
      <c r="C7074" s="7">
        <f>IFERROR(__xludf.DUMMYFUNCTION("""COMPUTED_VALUE"""),7.7809157)</f>
        <v>7.7809157</v>
      </c>
      <c r="D7074" s="7">
        <f>IFERROR(__xludf.DUMMYFUNCTION("""COMPUTED_VALUE"""),0.350877192982456)</f>
        <v>0.350877193</v>
      </c>
    </row>
    <row r="7075">
      <c r="A7075" s="10" t="s">
        <v>8514</v>
      </c>
      <c r="B7075" s="7" t="str">
        <f>IFERROR(__xludf.DUMMYFUNCTION("SPLIT(A7075,"" "")"),"Cc1cc(C)c(CN(C)CN(C)CCN(C)C(C)C)nc1C")</f>
        <v>Cc1cc(C)c(CN(C)CN(C)CCN(C)C(C)C)nc1C</v>
      </c>
      <c r="C7075" s="7">
        <f>IFERROR(__xludf.DUMMYFUNCTION("""COMPUTED_VALUE"""),7.780913)</f>
        <v>7.780913</v>
      </c>
      <c r="D7075" s="7">
        <f>IFERROR(__xludf.DUMMYFUNCTION("""COMPUTED_VALUE"""),0.276595744680851)</f>
        <v>0.2765957447</v>
      </c>
    </row>
    <row r="7076">
      <c r="A7076" s="10" t="s">
        <v>8515</v>
      </c>
      <c r="B7076" s="7" t="str">
        <f>IFERROR(__xludf.DUMMYFUNCTION("SPLIT(A7076,"" "")"),"CC(N)C(C)C1=CNC(N(C)Cc2ccccn2)=CC1")</f>
        <v>CC(N)C(C)C1=CNC(N(C)Cc2ccccn2)=CC1</v>
      </c>
      <c r="C7076" s="7">
        <f>IFERROR(__xludf.DUMMYFUNCTION("""COMPUTED_VALUE"""),7.7809095)</f>
        <v>7.7809095</v>
      </c>
      <c r="D7076" s="7">
        <f>IFERROR(__xludf.DUMMYFUNCTION("""COMPUTED_VALUE"""),0.411764705882352)</f>
        <v>0.4117647059</v>
      </c>
    </row>
    <row r="7077">
      <c r="A7077" s="10" t="s">
        <v>8516</v>
      </c>
      <c r="B7077" s="7" t="str">
        <f>IFERROR(__xludf.DUMMYFUNCTION("SPLIT(A7077,"" "")"),"CC1=C2C=CC=NC2CC(N(C)Cc2ccc(C)cn2)C1")</f>
        <v>CC1=C2C=CC=NC2CC(N(C)Cc2ccc(C)cn2)C1</v>
      </c>
      <c r="C7077" s="7">
        <f>IFERROR(__xludf.DUMMYFUNCTION("""COMPUTED_VALUE"""),7.780907)</f>
        <v>7.780907</v>
      </c>
      <c r="D7077" s="7">
        <f>IFERROR(__xludf.DUMMYFUNCTION("""COMPUTED_VALUE"""),0.470588235294117)</f>
        <v>0.4705882353</v>
      </c>
    </row>
    <row r="7078">
      <c r="A7078" s="10" t="s">
        <v>8517</v>
      </c>
      <c r="B7078" s="7" t="str">
        <f>IFERROR(__xludf.DUMMYFUNCTION("SPLIT(A7078,"" "")"),"CCNCN(C)Cc1ncc(C)c(C)c1C")</f>
        <v>CCNCN(C)Cc1ncc(C)c(C)c1C</v>
      </c>
      <c r="C7078" s="7">
        <f>IFERROR(__xludf.DUMMYFUNCTION("""COMPUTED_VALUE"""),7.7808967)</f>
        <v>7.7808967</v>
      </c>
      <c r="D7078" s="7">
        <f>IFERROR(__xludf.DUMMYFUNCTION("""COMPUTED_VALUE"""),0.302325581395348)</f>
        <v>0.3023255814</v>
      </c>
    </row>
    <row r="7079">
      <c r="A7079" s="10" t="s">
        <v>8518</v>
      </c>
      <c r="B7079" s="7" t="str">
        <f>IFERROR(__xludf.DUMMYFUNCTION("SPLIT(A7079,"" "")"),"CNC1C(N(Cc2ccccn2)Cc2nc(C)c(C)c(C)c2C)CCCC1N(Cc1ccccn1)Cc1nc(C)c(C)c(C)c1C")</f>
        <v>CNC1C(N(Cc2ccccn2)Cc2nc(C)c(C)c(C)c2C)CCCC1N(Cc1ccccn1)Cc1nc(C)c(C)c(C)c1C</v>
      </c>
      <c r="C7079" s="7">
        <f>IFERROR(__xludf.DUMMYFUNCTION("""COMPUTED_VALUE"""),7.7808957)</f>
        <v>7.7808957</v>
      </c>
      <c r="D7079" s="7">
        <f>IFERROR(__xludf.DUMMYFUNCTION("""COMPUTED_VALUE"""),0.461538461538461)</f>
        <v>0.4615384615</v>
      </c>
    </row>
    <row r="7080">
      <c r="A7080" s="10" t="s">
        <v>8519</v>
      </c>
      <c r="B7080" s="7" t="str">
        <f>IFERROR(__xludf.DUMMYFUNCTION("SPLIT(A7080,"" "")"),"Cc1ccc(N(Cc2ccccn2)C2CCCC(N(C)Cc3ccccn3)C2)c(C)c1C")</f>
        <v>Cc1ccc(N(Cc2ccccn2)C2CCCC(N(C)Cc3ccccn3)C2)c(C)c1C</v>
      </c>
      <c r="C7080" s="7">
        <f>IFERROR(__xludf.DUMMYFUNCTION("""COMPUTED_VALUE"""),7.780894)</f>
        <v>7.780894</v>
      </c>
      <c r="D7080" s="7">
        <f>IFERROR(__xludf.DUMMYFUNCTION("""COMPUTED_VALUE"""),0.5)</f>
        <v>0.5</v>
      </c>
    </row>
    <row r="7081">
      <c r="A7081" s="10" t="s">
        <v>8520</v>
      </c>
      <c r="B7081" s="7" t="str">
        <f>IFERROR(__xludf.DUMMYFUNCTION("SPLIT(A7081,"" "")"),"CNC1C(N(Cc2cc(C)c(C)cn2)Cc2cc(C)c(C)cn2)CCCC1N(Cc1cc(C)c(C)cn1)Cc1cc(C)c(C)cn1")</f>
        <v>CNC1C(N(Cc2cc(C)c(C)cn2)Cc2cc(C)c(C)cn2)CCCC1N(Cc1cc(C)c(C)cn1)Cc1cc(C)c(C)cn1</v>
      </c>
      <c r="C7081" s="7">
        <f>IFERROR(__xludf.DUMMYFUNCTION("""COMPUTED_VALUE"""),7.7808905)</f>
        <v>7.7808905</v>
      </c>
      <c r="D7081" s="7">
        <f>IFERROR(__xludf.DUMMYFUNCTION("""COMPUTED_VALUE"""),0.404255319148936)</f>
        <v>0.4042553191</v>
      </c>
    </row>
    <row r="7082">
      <c r="A7082" s="10" t="s">
        <v>8521</v>
      </c>
      <c r="B7082" s="7" t="str">
        <f>IFERROR(__xludf.DUMMYFUNCTION("SPLIT(A7082,"" "")"),"CC(NCc1cccnn1)c1ccccn1")</f>
        <v>CC(NCc1cccnn1)c1ccccn1</v>
      </c>
      <c r="C7082" s="7">
        <f>IFERROR(__xludf.DUMMYFUNCTION("""COMPUTED_VALUE"""),7.780885)</f>
        <v>7.780885</v>
      </c>
      <c r="D7082" s="7">
        <f>IFERROR(__xludf.DUMMYFUNCTION("""COMPUTED_VALUE"""),0.452380952380952)</f>
        <v>0.4523809524</v>
      </c>
    </row>
    <row r="7083">
      <c r="A7083" s="10" t="s">
        <v>8522</v>
      </c>
      <c r="B7083" s="7" t="str">
        <f>IFERROR(__xludf.DUMMYFUNCTION("SPLIT(A7083,"" "")"),"Cc1cccnc1CN(C)CCN(Cc1ccccn1)Cc1ncccc1CF")</f>
        <v>Cc1cccnc1CN(C)CCN(Cc1ccccn1)Cc1ncccc1CF</v>
      </c>
      <c r="C7083" s="7">
        <f>IFERROR(__xludf.DUMMYFUNCTION("""COMPUTED_VALUE"""),7.7808805)</f>
        <v>7.7808805</v>
      </c>
      <c r="D7083" s="7">
        <f>IFERROR(__xludf.DUMMYFUNCTION("""COMPUTED_VALUE"""),0.5)</f>
        <v>0.5</v>
      </c>
    </row>
    <row r="7084">
      <c r="A7084" s="10" t="s">
        <v>8523</v>
      </c>
      <c r="B7084" s="7" t="str">
        <f>IFERROR(__xludf.DUMMYFUNCTION("SPLIT(A7084,"" "")"),"CN(c1ccc2nc(CF)ccc2c1)C1CCCCC1N(Cc1cccc(F)n1)C1CCCCC1N(Cc1ccccn1)c1ccccc1F")</f>
        <v>CN(c1ccc2nc(CF)ccc2c1)C1CCCCC1N(Cc1cccc(F)n1)C1CCCCC1N(Cc1ccccn1)c1ccccc1F</v>
      </c>
      <c r="C7084" s="7">
        <f>IFERROR(__xludf.DUMMYFUNCTION("""COMPUTED_VALUE"""),7.780861)</f>
        <v>7.780861</v>
      </c>
      <c r="D7084" s="7">
        <f>IFERROR(__xludf.DUMMYFUNCTION("""COMPUTED_VALUE"""),0.410958904109589)</f>
        <v>0.4109589041</v>
      </c>
    </row>
    <row r="7085">
      <c r="A7085" s="10" t="s">
        <v>8524</v>
      </c>
      <c r="B7085" s="7" t="str">
        <f>IFERROR(__xludf.DUMMYFUNCTION("SPLIT(A7085,"" "")"),"CN(c1ccc(Cl)nc1)C1CCCCC1N(C)c1ccccn1")</f>
        <v>CN(c1ccc(Cl)nc1)C1CCCCC1N(C)c1ccccn1</v>
      </c>
      <c r="C7085" s="7">
        <f>IFERROR(__xludf.DUMMYFUNCTION("""COMPUTED_VALUE"""),7.78086)</f>
        <v>7.78086</v>
      </c>
      <c r="D7085" s="7">
        <f>IFERROR(__xludf.DUMMYFUNCTION("""COMPUTED_VALUE"""),0.448979591836734)</f>
        <v>0.4489795918</v>
      </c>
    </row>
    <row r="7086">
      <c r="A7086" s="10" t="s">
        <v>8525</v>
      </c>
      <c r="B7086" s="7" t="str">
        <f>IFERROR(__xludf.DUMMYFUNCTION("SPLIT(A7086,"" "")"),"CNCCN(Cc1cc(C(C)(C)c2ccccn2)ccn1)C(C)C")</f>
        <v>CNCCN(Cc1cc(C(C)(C)c2ccccn2)ccn1)C(C)C</v>
      </c>
      <c r="C7086" s="7">
        <f>IFERROR(__xludf.DUMMYFUNCTION("""COMPUTED_VALUE"""),7.780852)</f>
        <v>7.780852</v>
      </c>
      <c r="D7086" s="7">
        <f>IFERROR(__xludf.DUMMYFUNCTION("""COMPUTED_VALUE"""),0.489795918367346)</f>
        <v>0.4897959184</v>
      </c>
    </row>
    <row r="7087">
      <c r="A7087" s="10" t="s">
        <v>8526</v>
      </c>
      <c r="B7087" s="7" t="str">
        <f>IFERROR(__xludf.DUMMYFUNCTION("SPLIT(A7087,"" "")"),"CN(CF)CC1=CCC(N(C)Cc2ccccn2)=CN1")</f>
        <v>CN(CF)CC1=CCC(N(C)Cc2ccccn2)=CN1</v>
      </c>
      <c r="C7087" s="7">
        <f>IFERROR(__xludf.DUMMYFUNCTION("""COMPUTED_VALUE"""),7.7808504)</f>
        <v>7.7808504</v>
      </c>
      <c r="D7087" s="7">
        <f>IFERROR(__xludf.DUMMYFUNCTION("""COMPUTED_VALUE"""),0.423076923076923)</f>
        <v>0.4230769231</v>
      </c>
    </row>
    <row r="7088">
      <c r="A7088" s="10" t="s">
        <v>8527</v>
      </c>
      <c r="B7088" s="7" t="str">
        <f>IFERROR(__xludf.DUMMYFUNCTION("SPLIT(A7088,"" "")"),"CCN(C)Cc1cc(CN(C)Cc2cc(C)ccn2)ccn1")</f>
        <v>CCN(C)Cc1cc(CN(C)Cc2cc(C)ccn2)ccn1</v>
      </c>
      <c r="C7088" s="7">
        <f>IFERROR(__xludf.DUMMYFUNCTION("""COMPUTED_VALUE"""),7.7808485)</f>
        <v>7.7808485</v>
      </c>
      <c r="D7088" s="7">
        <f>IFERROR(__xludf.DUMMYFUNCTION("""COMPUTED_VALUE"""),0.441860465116279)</f>
        <v>0.4418604651</v>
      </c>
    </row>
    <row r="7089">
      <c r="A7089" s="10" t="s">
        <v>8528</v>
      </c>
      <c r="B7089" s="7" t="str">
        <f>IFERROR(__xludf.DUMMYFUNCTION("SPLIT(A7089,"" "")"),"Cc1cc(CN(C)C2CCC(N(C)Cc3ccc4cccnc4c3)CC2)ccn1")</f>
        <v>Cc1cc(CN(C)C2CCC(N(C)Cc3ccc4cccnc4c3)CC2)ccn1</v>
      </c>
      <c r="C7089" s="7">
        <f>IFERROR(__xludf.DUMMYFUNCTION("""COMPUTED_VALUE"""),7.780844)</f>
        <v>7.780844</v>
      </c>
      <c r="D7089" s="7">
        <f>IFERROR(__xludf.DUMMYFUNCTION("""COMPUTED_VALUE"""),0.309090909090909)</f>
        <v>0.3090909091</v>
      </c>
    </row>
    <row r="7090">
      <c r="A7090" s="10" t="s">
        <v>8529</v>
      </c>
      <c r="B7090" s="7" t="str">
        <f>IFERROR(__xludf.DUMMYFUNCTION("SPLIT(A7090,"" "")"),"Cc1ccc(CN(Cc2nc([SiH3])c(C)c(C)c2C)C2CCCCC2N(C)Cc2nc([SiH3])c(C)c(C)c2C)nc1[SiH3]")</f>
        <v>Cc1ccc(CN(Cc2nc([SiH3])c(C)c(C)c2C)C2CCCCC2N(C)Cc2nc([SiH3])c(C)c(C)c2C)nc1[SiH3]</v>
      </c>
      <c r="C7090" s="7">
        <f>IFERROR(__xludf.DUMMYFUNCTION("""COMPUTED_VALUE"""),7.78084)</f>
        <v>7.78084</v>
      </c>
      <c r="D7090" s="7">
        <f>IFERROR(__xludf.DUMMYFUNCTION("""COMPUTED_VALUE"""),0.425925925925925)</f>
        <v>0.4259259259</v>
      </c>
    </row>
    <row r="7091">
      <c r="A7091" s="10" t="s">
        <v>8530</v>
      </c>
      <c r="B7091" s="7" t="str">
        <f>IFERROR(__xludf.DUMMYFUNCTION("SPLIT(A7091,"" "")"),"COC(C)NCc1ncccc1CN(Cc1ccccn1)Cc1ccccn1")</f>
        <v>COC(C)NCc1ncccc1CN(Cc1ccccn1)Cc1ccccn1</v>
      </c>
      <c r="C7091" s="7">
        <f>IFERROR(__xludf.DUMMYFUNCTION("""COMPUTED_VALUE"""),7.7808394)</f>
        <v>7.7808394</v>
      </c>
      <c r="D7091" s="7">
        <f>IFERROR(__xludf.DUMMYFUNCTION("""COMPUTED_VALUE"""),0.476190476190476)</f>
        <v>0.4761904762</v>
      </c>
    </row>
    <row r="7092">
      <c r="A7092" s="10" t="s">
        <v>8531</v>
      </c>
      <c r="B7092" s="7" t="str">
        <f>IFERROR(__xludf.DUMMYFUNCTION("SPLIT(A7092,"" "")"),"Cc1cc(C)c(CN(C)C2CCC(N(Cc3ccnc(CN(C)C)c3)Cc3nc(C)c(C)cc3C)CC2)nc1C")</f>
        <v>Cc1cc(C)c(CN(C)C2CCC(N(Cc3ccnc(CN(C)C)c3)Cc3nc(C)c(C)cc3C)CC2)nc1C</v>
      </c>
      <c r="C7092" s="7">
        <f>IFERROR(__xludf.DUMMYFUNCTION("""COMPUTED_VALUE"""),7.780838)</f>
        <v>7.780838</v>
      </c>
      <c r="D7092" s="7">
        <f>IFERROR(__xludf.DUMMYFUNCTION("""COMPUTED_VALUE"""),0.283333333333333)</f>
        <v>0.2833333333</v>
      </c>
    </row>
    <row r="7093">
      <c r="A7093" s="10" t="s">
        <v>8532</v>
      </c>
      <c r="B7093" s="7" t="str">
        <f>IFERROR(__xludf.DUMMYFUNCTION("SPLIT(A7093,"" "")"),"Cc1cc(CN(C)CC2=CC(N(C)C(C)C)C=CN2)nc(C)c1C")</f>
        <v>Cc1cc(CN(C)CC2=CC(N(C)C(C)C)C=CN2)nc(C)c1C</v>
      </c>
      <c r="C7093" s="7">
        <f>IFERROR(__xludf.DUMMYFUNCTION("""COMPUTED_VALUE"""),7.780838)</f>
        <v>7.780838</v>
      </c>
      <c r="D7093" s="7">
        <f>IFERROR(__xludf.DUMMYFUNCTION("""COMPUTED_VALUE"""),0.316666666666666)</f>
        <v>0.3166666667</v>
      </c>
    </row>
    <row r="7094">
      <c r="A7094" s="10" t="s">
        <v>8533</v>
      </c>
      <c r="B7094" s="7" t="str">
        <f>IFERROR(__xludf.DUMMYFUNCTION("SPLIT(A7094,"" "")"),"CN(Cc1ccc(-c2cccc3c2OCCOCCOCCOCCOCCO3)cn1)Cc1cc(C(C)(c2ccccn2)c2ccccn2)ccn1")</f>
        <v>CN(Cc1ccc(-c2cccc3c2OCCOCCOCCOCCOCCO3)cn1)Cc1cc(C(C)(c2ccccn2)c2ccccn2)ccn1</v>
      </c>
      <c r="C7094" s="7">
        <f>IFERROR(__xludf.DUMMYFUNCTION("""COMPUTED_VALUE"""),7.7808375)</f>
        <v>7.7808375</v>
      </c>
      <c r="D7094" s="7">
        <f>IFERROR(__xludf.DUMMYFUNCTION("""COMPUTED_VALUE"""),0.309859154929577)</f>
        <v>0.3098591549</v>
      </c>
    </row>
    <row r="7095">
      <c r="A7095" s="10" t="s">
        <v>8534</v>
      </c>
      <c r="B7095" s="7" t="str">
        <f>IFERROR(__xludf.DUMMYFUNCTION("SPLIT(A7095,"" "")"),"Cc1cccc(N(C)Cc2ccccn2)c1CN(Cc1ccccn1)Cc1ncccc1-c1ccc2c(c1)OCCOCCOCCOCCOCCO2")</f>
        <v>Cc1cccc(N(C)Cc2ccccn2)c1CN(Cc1ccccn1)Cc1ncccc1-c1ccc2c(c1)OCCOCCOCCOCCOCCO2</v>
      </c>
      <c r="C7095" s="7">
        <f>IFERROR(__xludf.DUMMYFUNCTION("""COMPUTED_VALUE"""),7.78083)</f>
        <v>7.78083</v>
      </c>
      <c r="D7095" s="7">
        <f>IFERROR(__xludf.DUMMYFUNCTION("""COMPUTED_VALUE"""),0.35820895522388)</f>
        <v>0.3582089552</v>
      </c>
    </row>
    <row r="7096">
      <c r="A7096" s="10" t="s">
        <v>8535</v>
      </c>
      <c r="B7096" s="7" t="str">
        <f>IFERROR(__xludf.DUMMYFUNCTION("SPLIT(A7096,"" "")"),"CN(CC1=C(N(C)Cc2ccccn2)CC=CN1)CC(C)(C)C")</f>
        <v>CN(CC1=C(N(C)Cc2ccccn2)CC=CN1)CC(C)(C)C</v>
      </c>
      <c r="C7096" s="7">
        <f>IFERROR(__xludf.DUMMYFUNCTION("""COMPUTED_VALUE"""),7.7808237)</f>
        <v>7.7808237</v>
      </c>
      <c r="D7096" s="7">
        <f>IFERROR(__xludf.DUMMYFUNCTION("""COMPUTED_VALUE"""),0.450980392156862)</f>
        <v>0.4509803922</v>
      </c>
    </row>
    <row r="7097">
      <c r="A7097" s="10" t="s">
        <v>8536</v>
      </c>
      <c r="B7097" s="7" t="str">
        <f>IFERROR(__xludf.DUMMYFUNCTION("SPLIT(A7097,"" "")"),"CN(c1ccc2nc(CF)ccc2c1)C1CCCCC1N(CF)Cc1ccccn1")</f>
        <v>CN(c1ccc2nc(CF)ccc2c1)C1CCCCC1N(CF)Cc1ccccn1</v>
      </c>
      <c r="C7097" s="7">
        <f>IFERROR(__xludf.DUMMYFUNCTION("""COMPUTED_VALUE"""),7.780815)</f>
        <v>7.780815</v>
      </c>
      <c r="D7097" s="7">
        <f>IFERROR(__xludf.DUMMYFUNCTION("""COMPUTED_VALUE"""),0.464285714285714)</f>
        <v>0.4642857143</v>
      </c>
    </row>
    <row r="7098">
      <c r="A7098" s="10" t="s">
        <v>8537</v>
      </c>
      <c r="B7098" s="7" t="str">
        <f>IFERROR(__xludf.DUMMYFUNCTION("SPLIT(A7098,"" "")"),"c1cncc(CN(Cc2ccc3ncccc3c2)Cc2ncccc2-c2cccc3c2OCCOCCOCCOCCOCCO3)c1")</f>
        <v>c1cncc(CN(Cc2ccc3ncccc3c2)Cc2ncccc2-c2cccc3c2OCCOCCOCCOCCOCCO3)c1</v>
      </c>
      <c r="C7098" s="7">
        <f>IFERROR(__xludf.DUMMYFUNCTION("""COMPUTED_VALUE"""),7.7808084)</f>
        <v>7.7808084</v>
      </c>
      <c r="D7098" s="7">
        <f>IFERROR(__xludf.DUMMYFUNCTION("""COMPUTED_VALUE"""),0.222222222222222)</f>
        <v>0.2222222222</v>
      </c>
    </row>
    <row r="7099">
      <c r="A7099" s="10" t="s">
        <v>8538</v>
      </c>
      <c r="B7099" s="7" t="str">
        <f>IFERROR(__xludf.DUMMYFUNCTION("SPLIT(A7099,"" "")"),"CCN(Cc1cc(CN(Cc2ccccn2)C2CCC(N(C)Cc3nc(C)c(C)c(C)c3C)CC2)ccn1)Cc1nc(C)c(C)c(C)c1C")</f>
        <v>CCN(Cc1cc(CN(Cc2ccccn2)C2CCC(N(C)Cc3nc(C)c(C)c(C)c3C)CC2)ccn1)Cc1nc(C)c(C)c(C)c1C</v>
      </c>
      <c r="C7099" s="7">
        <f>IFERROR(__xludf.DUMMYFUNCTION("""COMPUTED_VALUE"""),7.780801)</f>
        <v>7.780801</v>
      </c>
      <c r="D7099" s="7">
        <f>IFERROR(__xludf.DUMMYFUNCTION("""COMPUTED_VALUE"""),0.359375)</f>
        <v>0.359375</v>
      </c>
    </row>
    <row r="7100">
      <c r="A7100" s="10" t="s">
        <v>8539</v>
      </c>
      <c r="B7100" s="7" t="str">
        <f>IFERROR(__xludf.DUMMYFUNCTION("SPLIT(A7100,"" "")"),"COC(C)c1ccon1")</f>
        <v>COC(C)c1ccon1</v>
      </c>
      <c r="C7100" s="7">
        <f>IFERROR(__xludf.DUMMYFUNCTION("""COMPUTED_VALUE"""),7.780801)</f>
        <v>7.780801</v>
      </c>
      <c r="D7100" s="7">
        <f>IFERROR(__xludf.DUMMYFUNCTION("""COMPUTED_VALUE"""),0.305555555555555)</f>
        <v>0.3055555556</v>
      </c>
    </row>
    <row r="7101">
      <c r="A7101" s="10" t="s">
        <v>8540</v>
      </c>
      <c r="B7101" s="7" t="str">
        <f>IFERROR(__xludf.DUMMYFUNCTION("SPLIT(A7101,"" "")"),"CC(C)CN(Cc1ccccn1)Cc1cccc(C(C)(C)C)n1")</f>
        <v>CC(C)CN(Cc1ccccn1)Cc1cccc(C(C)(C)C)n1</v>
      </c>
      <c r="C7101" s="7">
        <f>IFERROR(__xludf.DUMMYFUNCTION("""COMPUTED_VALUE"""),7.780801)</f>
        <v>7.780801</v>
      </c>
      <c r="D7101" s="7">
        <f>IFERROR(__xludf.DUMMYFUNCTION("""COMPUTED_VALUE"""),0.488888888888888)</f>
        <v>0.4888888889</v>
      </c>
    </row>
    <row r="7102">
      <c r="A7102" s="10" t="s">
        <v>8541</v>
      </c>
      <c r="B7102" s="7" t="str">
        <f>IFERROR(__xludf.DUMMYFUNCTION("SPLIT(A7102,"" "")"),"CCNC1=C(C)C(C)(C)C(c2cc(CN(Cc3ccccn3)Cc3ccccn3)ccn2)CC1C")</f>
        <v>CCNC1=C(C)C(C)(C)C(c2cc(CN(Cc3ccccn3)Cc3ccccn3)ccn2)CC1C</v>
      </c>
      <c r="C7102" s="7">
        <f>IFERROR(__xludf.DUMMYFUNCTION("""COMPUTED_VALUE"""),7.780789)</f>
        <v>7.780789</v>
      </c>
      <c r="D7102" s="7">
        <f>IFERROR(__xludf.DUMMYFUNCTION("""COMPUTED_VALUE"""),0.363636363636363)</f>
        <v>0.3636363636</v>
      </c>
    </row>
    <row r="7103">
      <c r="A7103" s="10" t="s">
        <v>8542</v>
      </c>
      <c r="B7103" s="7" t="str">
        <f>IFERROR(__xludf.DUMMYFUNCTION("SPLIT(A7103,"" "")"),"C1=CNC(N(Cc2ccccc2)Cc2cccnn2)C=C1")</f>
        <v>C1=CNC(N(Cc2ccccc2)Cc2cccnn2)C=C1</v>
      </c>
      <c r="C7103" s="7">
        <f>IFERROR(__xludf.DUMMYFUNCTION("""COMPUTED_VALUE"""),7.780788)</f>
        <v>7.780788</v>
      </c>
      <c r="D7103" s="7">
        <f>IFERROR(__xludf.DUMMYFUNCTION("""COMPUTED_VALUE"""),0.395833333333333)</f>
        <v>0.3958333333</v>
      </c>
    </row>
    <row r="7104">
      <c r="A7104" s="10" t="s">
        <v>8543</v>
      </c>
      <c r="B7104" s="7" t="str">
        <f>IFERROR(__xludf.DUMMYFUNCTION("SPLIT(A7104,"" "")"),"c1ccc(CN(Cc2ccc3ncccc3c2)Cc2cccc(-c3ccc4c(c3)OCCOCCOCCOCCOCCO4)n2)nc1")</f>
        <v>c1ccc(CN(Cc2ccc3ncccc3c2)Cc2cccc(-c3ccc4c(c3)OCCOCCOCCOCCOCCO4)n2)nc1</v>
      </c>
      <c r="C7104" s="7">
        <f>IFERROR(__xludf.DUMMYFUNCTION("""COMPUTED_VALUE"""),7.7807846)</f>
        <v>7.7807846</v>
      </c>
      <c r="D7104" s="7">
        <f>IFERROR(__xludf.DUMMYFUNCTION("""COMPUTED_VALUE"""),0.44776119402985)</f>
        <v>0.447761194</v>
      </c>
    </row>
    <row r="7105">
      <c r="A7105" s="10" t="s">
        <v>8544</v>
      </c>
      <c r="B7105" s="7" t="str">
        <f>IFERROR(__xludf.DUMMYFUNCTION("SPLIT(A7105,"" "")"),"Cc1cnc(CN(C)C2CCC(N(C)Cc3ccccn3)CC2N(Cc2nc(C)ccc2C)Cc2nc(C)ccc2C)c(C)c1")</f>
        <v>Cc1cnc(CN(C)C2CCC(N(C)Cc3ccccn3)CC2N(Cc2nc(C)ccc2C)Cc2nc(C)ccc2C)c(C)c1</v>
      </c>
      <c r="C7105" s="7">
        <f>IFERROR(__xludf.DUMMYFUNCTION("""COMPUTED_VALUE"""),7.7807617)</f>
        <v>7.7807617</v>
      </c>
      <c r="D7105" s="7">
        <f>IFERROR(__xludf.DUMMYFUNCTION("""COMPUTED_VALUE"""),0.435483870967741)</f>
        <v>0.435483871</v>
      </c>
    </row>
    <row r="7106">
      <c r="A7106" s="10" t="s">
        <v>8545</v>
      </c>
      <c r="B7106" s="7" t="str">
        <f>IFERROR(__xludf.DUMMYFUNCTION("SPLIT(A7106,"" "")"),"Cc1cnc(CN(C)Cc2cccc(N(C)Cc3cccc(-c4ccc5c(c4)OCCOCCOCCOCCOCCO5)n3)n2)c(C)c1")</f>
        <v>Cc1cnc(CN(C)Cc2cccc(N(C)Cc3cccc(-c4ccc5c(c4)OCCOCCOCCOCCOCCO5)n3)n2)c(C)c1</v>
      </c>
      <c r="C7106" s="7">
        <f>IFERROR(__xludf.DUMMYFUNCTION("""COMPUTED_VALUE"""),7.7807546)</f>
        <v>7.7807546</v>
      </c>
      <c r="D7106" s="7">
        <f>IFERROR(__xludf.DUMMYFUNCTION("""COMPUTED_VALUE"""),0.318840579710144)</f>
        <v>0.3188405797</v>
      </c>
    </row>
    <row r="7107">
      <c r="A7107" s="10" t="s">
        <v>8546</v>
      </c>
      <c r="B7107" s="7" t="str">
        <f>IFERROR(__xludf.DUMMYFUNCTION("SPLIT(A7107,"" "")"),"CC(C1=CC(N(C)Cc2ccccn2)C=CN1)c1ccccc1")</f>
        <v>CC(C1=CC(N(C)Cc2ccccn2)C=CN1)c1ccccc1</v>
      </c>
      <c r="C7107" s="7">
        <f>IFERROR(__xludf.DUMMYFUNCTION("""COMPUTED_VALUE"""),7.780748)</f>
        <v>7.780748</v>
      </c>
      <c r="D7107" s="7">
        <f>IFERROR(__xludf.DUMMYFUNCTION("""COMPUTED_VALUE"""),0.423076923076923)</f>
        <v>0.4230769231</v>
      </c>
    </row>
    <row r="7108">
      <c r="A7108" s="10" t="s">
        <v>8547</v>
      </c>
      <c r="B7108" s="7" t="str">
        <f>IFERROR(__xludf.DUMMYFUNCTION("SPLIT(A7108,"" "")"),"CN(Cc1cc(-c2ccc3c(c2)OCCOCCOCCOCCOCCO3)ccn1)C1CCC(N(C)Cc2cc(-c3ccc4cccnc4c3)ccn2)CC1")</f>
        <v>CN(Cc1cc(-c2ccc3c(c2)OCCOCCOCCOCCOCCO3)ccn1)C1CCC(N(C)Cc2cc(-c3ccc4cccnc4c3)ccn2)CC1</v>
      </c>
      <c r="C7108" s="7">
        <f>IFERROR(__xludf.DUMMYFUNCTION("""COMPUTED_VALUE"""),7.780746)</f>
        <v>7.780746</v>
      </c>
      <c r="D7108" s="7">
        <f>IFERROR(__xludf.DUMMYFUNCTION("""COMPUTED_VALUE"""),0.380281690140845)</f>
        <v>0.3802816901</v>
      </c>
    </row>
    <row r="7109">
      <c r="A7109" s="10" t="s">
        <v>8548</v>
      </c>
      <c r="B7109" s="7" t="str">
        <f>IFERROR(__xludf.DUMMYFUNCTION("SPLIT(A7109,"" "")"),"CNCc1cc(CN(C)Cc2ccccn2)ccn1")</f>
        <v>CNCc1cc(CN(C)Cc2ccccn2)ccn1</v>
      </c>
      <c r="C7109" s="7">
        <f>IFERROR(__xludf.DUMMYFUNCTION("""COMPUTED_VALUE"""),7.780741)</f>
        <v>7.780741</v>
      </c>
      <c r="D7109" s="7">
        <f>IFERROR(__xludf.DUMMYFUNCTION("""COMPUTED_VALUE"""),0.5)</f>
        <v>0.5</v>
      </c>
    </row>
    <row r="7110">
      <c r="A7110" s="10" t="s">
        <v>8549</v>
      </c>
      <c r="B7110" s="7" t="str">
        <f>IFERROR(__xludf.DUMMYFUNCTION("SPLIT(A7110,"" "")"),"CC(C)N(C)C1=C(CN(C)Cc2ccccn2)CC=CN1")</f>
        <v>CC(C)N(C)C1=C(CN(C)Cc2ccccn2)CC=CN1</v>
      </c>
      <c r="C7110" s="7">
        <f>IFERROR(__xludf.DUMMYFUNCTION("""COMPUTED_VALUE"""),7.7807345)</f>
        <v>7.7807345</v>
      </c>
      <c r="D7110" s="7">
        <f>IFERROR(__xludf.DUMMYFUNCTION("""COMPUTED_VALUE"""),0.458333333333333)</f>
        <v>0.4583333333</v>
      </c>
    </row>
    <row r="7111">
      <c r="A7111" s="10" t="s">
        <v>8550</v>
      </c>
      <c r="B7111" s="7" t="str">
        <f>IFERROR(__xludf.DUMMYFUNCTION("SPLIT(A7111,"" "")"),"CN(Cc1ccccn1)C1=C(CN(C)C(C)(C)C)NC=CC1")</f>
        <v>CN(Cc1ccccn1)C1=C(CN(C)C(C)(C)C)NC=CC1</v>
      </c>
      <c r="C7111" s="7">
        <f>IFERROR(__xludf.DUMMYFUNCTION("""COMPUTED_VALUE"""),7.780728)</f>
        <v>7.780728</v>
      </c>
      <c r="D7111" s="7">
        <f>IFERROR(__xludf.DUMMYFUNCTION("""COMPUTED_VALUE"""),0.418181818181818)</f>
        <v>0.4181818182</v>
      </c>
    </row>
    <row r="7112">
      <c r="A7112" s="10" t="s">
        <v>8551</v>
      </c>
      <c r="B7112" s="7" t="str">
        <f>IFERROR(__xludf.DUMMYFUNCTION("SPLIT(A7112,"" "")"),"CN1CCN(Cc2ccnc(C3=NC(C)(C)CO3)c2)CCN(Cc2cc(C(C)(C)c3ccccn3)ccn2)CC1")</f>
        <v>CN1CCN(Cc2ccnc(C3=NC(C)(C)CO3)c2)CCN(Cc2cc(C(C)(C)c3ccccn3)ccn2)CC1</v>
      </c>
      <c r="C7112" s="7">
        <f>IFERROR(__xludf.DUMMYFUNCTION("""COMPUTED_VALUE"""),7.780722)</f>
        <v>7.780722</v>
      </c>
      <c r="D7112" s="7">
        <f>IFERROR(__xludf.DUMMYFUNCTION("""COMPUTED_VALUE"""),0.40625)</f>
        <v>0.40625</v>
      </c>
    </row>
    <row r="7113">
      <c r="A7113" s="10" t="s">
        <v>8552</v>
      </c>
      <c r="B7113" s="7" t="str">
        <f>IFERROR(__xludf.DUMMYFUNCTION("SPLIT(A7113,"" "")"),"Cc1cncc(CN(C)C2CCCC(N(C)Cc3cccc4ncccc34)C2)c1")</f>
        <v>Cc1cncc(CN(C)C2CCCC(N(C)Cc3cccc4ncccc34)C2)c1</v>
      </c>
      <c r="C7113" s="7">
        <f>IFERROR(__xludf.DUMMYFUNCTION("""COMPUTED_VALUE"""),7.7807107)</f>
        <v>7.7807107</v>
      </c>
      <c r="D7113" s="7">
        <f>IFERROR(__xludf.DUMMYFUNCTION("""COMPUTED_VALUE"""),0.295081967213114)</f>
        <v>0.2950819672</v>
      </c>
    </row>
    <row r="7114">
      <c r="A7114" s="10" t="s">
        <v>8553</v>
      </c>
      <c r="B7114" s="7" t="str">
        <f>IFERROR(__xludf.DUMMYFUNCTION("SPLIT(A7114,"" "")"),"Cc1ccc(CN(C)C2CC(N(C)Cc3ccccn3)CC(N(Cc3ccccn3)Cc3nc(C)c(C)c(C)c3C)C2)nc1")</f>
        <v>Cc1ccc(CN(C)C2CC(N(C)Cc3ccccn3)CC(N(Cc3ccccn3)Cc3nc(C)c(C)c(C)c3C)C2)nc1</v>
      </c>
      <c r="C7114" s="7">
        <f>IFERROR(__xludf.DUMMYFUNCTION("""COMPUTED_VALUE"""),7.78071)</f>
        <v>7.78071</v>
      </c>
      <c r="D7114" s="7">
        <f>IFERROR(__xludf.DUMMYFUNCTION("""COMPUTED_VALUE"""),0.413793103448275)</f>
        <v>0.4137931034</v>
      </c>
    </row>
    <row r="7115">
      <c r="A7115" s="10" t="s">
        <v>8554</v>
      </c>
      <c r="B7115" s="7" t="str">
        <f>IFERROR(__xludf.DUMMYFUNCTION("SPLIT(A7115,"" "")"),"CCOC(=O)c1cc(CN(Cc2ccccn2)C2CCCC(N(C)Cc3cc(C)c(C)c(C)n3)C2)ccn1")</f>
        <v>CCOC(=O)c1cc(CN(Cc2ccccn2)C2CCCC(N(C)Cc3cc(C)c(C)c(C)n3)C2)ccn1</v>
      </c>
      <c r="C7115" s="7">
        <f>IFERROR(__xludf.DUMMYFUNCTION("""COMPUTED_VALUE"""),7.7807083)</f>
        <v>7.7807083</v>
      </c>
      <c r="D7115" s="7">
        <f>IFERROR(__xludf.DUMMYFUNCTION("""COMPUTED_VALUE"""),0.352112676056338)</f>
        <v>0.3521126761</v>
      </c>
    </row>
    <row r="7116">
      <c r="A7116" s="10" t="s">
        <v>8555</v>
      </c>
      <c r="B7116" s="7" t="str">
        <f>IFERROR(__xludf.DUMMYFUNCTION("SPLIT(A7116,"" "")"),"CC(C)C1=CC2(C=CN1)C(c1cccc(CN(Cc3ccccn3)Cc3ccccn3)n1)=CCC(c1cccc(CN(Cc3ccccn3)C3CCCCC3)n1)C2(C)C")</f>
        <v>CC(C)C1=CC2(C=CN1)C(c1cccc(CN(Cc3ccccn3)Cc3ccccn3)n1)=CCC(c1cccc(CN(Cc3ccccn3)C3CCCCC3)n1)C2(C)C</v>
      </c>
      <c r="C7116" s="7">
        <f>IFERROR(__xludf.DUMMYFUNCTION("""COMPUTED_VALUE"""),7.780702)</f>
        <v>7.780702</v>
      </c>
      <c r="D7116" s="7">
        <f>IFERROR(__xludf.DUMMYFUNCTION("""COMPUTED_VALUE"""),0.325301204819277)</f>
        <v>0.3253012048</v>
      </c>
    </row>
    <row r="7117">
      <c r="A7117" s="10" t="s">
        <v>8556</v>
      </c>
      <c r="B7117" s="7" t="str">
        <f>IFERROR(__xludf.DUMMYFUNCTION("SPLIT(A7117,"" "")"),"Cc1cc(CN(C)CCN(C)C(C)(C)c2ccccn2)nc(C)c1C")</f>
        <v>Cc1cc(CN(C)CCN(C)C(C)(C)c2ccccn2)nc(C)c1C</v>
      </c>
      <c r="C7117" s="7">
        <f>IFERROR(__xludf.DUMMYFUNCTION("""COMPUTED_VALUE"""),7.780692)</f>
        <v>7.780692</v>
      </c>
      <c r="D7117" s="7">
        <f>IFERROR(__xludf.DUMMYFUNCTION("""COMPUTED_VALUE"""),0.36)</f>
        <v>0.36</v>
      </c>
    </row>
    <row r="7118">
      <c r="A7118" s="10" t="s">
        <v>8557</v>
      </c>
      <c r="B7118" s="7" t="str">
        <f>IFERROR(__xludf.DUMMYFUNCTION("SPLIT(A7118,"" "")"),"Cc1ccc(N(C)CCN(C)C(C)C)cc1C")</f>
        <v>Cc1ccc(N(C)CCN(C)C(C)C)cc1C</v>
      </c>
      <c r="C7118" s="7">
        <f>IFERROR(__xludf.DUMMYFUNCTION("""COMPUTED_VALUE"""),7.780642)</f>
        <v>7.780642</v>
      </c>
      <c r="D7118" s="7">
        <f>IFERROR(__xludf.DUMMYFUNCTION("""COMPUTED_VALUE"""),0.222222222222222)</f>
        <v>0.2222222222</v>
      </c>
    </row>
    <row r="7119">
      <c r="A7119" s="10" t="s">
        <v>8558</v>
      </c>
      <c r="B7119" s="7" t="str">
        <f>IFERROR(__xludf.DUMMYFUNCTION("SPLIT(A7119,"" "")"),"COC(=O)C1CN(C)C(c2ccccn2)C(CN(C)Cc2ccccn2)C1c1ccccn1")</f>
        <v>COC(=O)C1CN(C)C(c2ccccn2)C(CN(C)Cc2ccccn2)C1c1ccccn1</v>
      </c>
      <c r="C7119" s="7">
        <f>IFERROR(__xludf.DUMMYFUNCTION("""COMPUTED_VALUE"""),7.780638)</f>
        <v>7.780638</v>
      </c>
      <c r="D7119" s="7">
        <f>IFERROR(__xludf.DUMMYFUNCTION("""COMPUTED_VALUE"""),0.38235294117647)</f>
        <v>0.3823529412</v>
      </c>
    </row>
    <row r="7120">
      <c r="A7120" s="10" t="s">
        <v>8559</v>
      </c>
      <c r="B7120" s="7" t="str">
        <f>IFERROR(__xludf.DUMMYFUNCTION("SPLIT(A7120,"" "")"),"Cc1cnc(CN(C)CCN(C)CC(C)(C)C)c(C)c1C")</f>
        <v>Cc1cnc(CN(C)CCN(C)CC(C)(C)C)c(C)c1C</v>
      </c>
      <c r="C7120" s="7">
        <f>IFERROR(__xludf.DUMMYFUNCTION("""COMPUTED_VALUE"""),7.7806377)</f>
        <v>7.7806377</v>
      </c>
      <c r="D7120" s="7">
        <f>IFERROR(__xludf.DUMMYFUNCTION("""COMPUTED_VALUE"""),0.390243902439024)</f>
        <v>0.3902439024</v>
      </c>
    </row>
    <row r="7121">
      <c r="A7121" s="10" t="s">
        <v>8560</v>
      </c>
      <c r="B7121" s="7" t="str">
        <f>IFERROR(__xludf.DUMMYFUNCTION("SPLIT(A7121,"" "")"),"CC(C)C1=CC(N(C)Cc2ncccc2C(C)(C)C)C=CN1")</f>
        <v>CC(C)C1=CC(N(C)Cc2ncccc2C(C)(C)C)C=CN1</v>
      </c>
      <c r="C7121" s="7">
        <f>IFERROR(__xludf.DUMMYFUNCTION("""COMPUTED_VALUE"""),7.7806315)</f>
        <v>7.7806315</v>
      </c>
      <c r="D7121" s="7">
        <f>IFERROR(__xludf.DUMMYFUNCTION("""COMPUTED_VALUE"""),0.25)</f>
        <v>0.25</v>
      </c>
    </row>
    <row r="7122">
      <c r="A7122" s="10" t="s">
        <v>8561</v>
      </c>
      <c r="B7122" s="7" t="str">
        <f>IFERROR(__xludf.DUMMYFUNCTION("SPLIT(A7122,"" "")"),"CN(Cc1cccc(-c2ccc3c(c2)OCCOCCOCCOCCOCCO3)n1)c1ccc2nc(CN(Cc3ccccn3)Cc3cccc(-c4ccc5c(c4)OCCOCCOCCOCCOCCO5)n3)ccc2c1")</f>
        <v>CN(Cc1cccc(-c2ccc3c(c2)OCCOCCOCCOCCOCCO3)n1)c1ccc2nc(CN(Cc3ccccn3)Cc3cccc(-c4ccc5c(c4)OCCOCCOCCOCCOCCO5)n3)ccc2c1</v>
      </c>
      <c r="C7122" s="7">
        <f>IFERROR(__xludf.DUMMYFUNCTION("""COMPUTED_VALUE"""),7.7806287)</f>
        <v>7.7806287</v>
      </c>
      <c r="D7122" s="7">
        <f>IFERROR(__xludf.DUMMYFUNCTION("""COMPUTED_VALUE"""),0.44927536231884)</f>
        <v>0.4492753623</v>
      </c>
    </row>
    <row r="7123">
      <c r="A7123" s="10" t="s">
        <v>8562</v>
      </c>
      <c r="B7123" s="7" t="str">
        <f>IFERROR(__xludf.DUMMYFUNCTION("SPLIT(A7123,"" "")"),"Cc1cnc(C2CCC2(C)C)c(CN(C)Cc2ccccn2)c1")</f>
        <v>Cc1cnc(C2CCC2(C)C)c(CN(C)Cc2ccccn2)c1</v>
      </c>
      <c r="C7123" s="7">
        <f>IFERROR(__xludf.DUMMYFUNCTION("""COMPUTED_VALUE"""),7.7806277)</f>
        <v>7.7806277</v>
      </c>
      <c r="D7123" s="7">
        <f>IFERROR(__xludf.DUMMYFUNCTION("""COMPUTED_VALUE"""),0.4)</f>
        <v>0.4</v>
      </c>
    </row>
    <row r="7124">
      <c r="A7124" s="10" t="s">
        <v>8563</v>
      </c>
      <c r="B7124" s="7" t="str">
        <f>IFERROR(__xludf.DUMMYFUNCTION("SPLIT(A7124,"" "")"),"CCN(C)Cc1cccc(N(C)C2C=CC=CN2)n1")</f>
        <v>CCN(C)Cc1cccc(N(C)C2C=CC=CN2)n1</v>
      </c>
      <c r="C7124" s="7">
        <f>IFERROR(__xludf.DUMMYFUNCTION("""COMPUTED_VALUE"""),7.780625)</f>
        <v>7.780625</v>
      </c>
      <c r="D7124" s="7">
        <f>IFERROR(__xludf.DUMMYFUNCTION("""COMPUTED_VALUE"""),0.354166666666666)</f>
        <v>0.3541666667</v>
      </c>
    </row>
    <row r="7125">
      <c r="A7125" s="10" t="s">
        <v>8564</v>
      </c>
      <c r="B7125" s="7" t="str">
        <f>IFERROR(__xludf.DUMMYFUNCTION("SPLIT(A7125,"" "")"),"CN(Cc1ccc2ncccc2c1)Cc1cc(-c2ccc3c(c2)OCCOCCOCCOCCOCCO3)ccn1")</f>
        <v>CN(Cc1ccc2ncccc2c1)Cc1cc(-c2ccc3c(c2)OCCOCCOCCOCCOCCO3)ccn1</v>
      </c>
      <c r="C7125" s="7">
        <f>IFERROR(__xludf.DUMMYFUNCTION("""COMPUTED_VALUE"""),7.780619)</f>
        <v>7.780619</v>
      </c>
      <c r="D7125" s="7">
        <f>IFERROR(__xludf.DUMMYFUNCTION("""COMPUTED_VALUE"""),0.347222222222222)</f>
        <v>0.3472222222</v>
      </c>
    </row>
    <row r="7126">
      <c r="A7126" s="10" t="s">
        <v>8565</v>
      </c>
      <c r="B7126" s="7" t="str">
        <f>IFERROR(__xludf.DUMMYFUNCTION("SPLIT(A7126,"" "")"),"CC1=CC(C)C(c2ccc(CN(C)Cc3ccccn3)cn2)C(N(C)Cc2ccccn2)C1")</f>
        <v>CC1=CC(C)C(c2ccc(CN(C)Cc3ccccn3)cn2)C(N(C)Cc2ccccn2)C1</v>
      </c>
      <c r="C7126" s="7">
        <f>IFERROR(__xludf.DUMMYFUNCTION("""COMPUTED_VALUE"""),7.7806187)</f>
        <v>7.7806187</v>
      </c>
      <c r="D7126" s="7">
        <f>IFERROR(__xludf.DUMMYFUNCTION("""COMPUTED_VALUE"""),0.454545454545454)</f>
        <v>0.4545454545</v>
      </c>
    </row>
    <row r="7127">
      <c r="A7127" s="10" t="s">
        <v>8566</v>
      </c>
      <c r="B7127" s="7" t="str">
        <f>IFERROR(__xludf.DUMMYFUNCTION("SPLIT(A7127,"" "")"),"Cc1cc(CN(C)C2CCC(N(C)Cc3ccc4ncccc4c3)CC2)ccn1")</f>
        <v>Cc1cc(CN(C)C2CCC(N(C)Cc3ccc4ncccc4c3)CC2)ccn1</v>
      </c>
      <c r="C7127" s="7">
        <f>IFERROR(__xludf.DUMMYFUNCTION("""COMPUTED_VALUE"""),7.780609)</f>
        <v>7.780609</v>
      </c>
      <c r="D7127" s="7">
        <f>IFERROR(__xludf.DUMMYFUNCTION("""COMPUTED_VALUE"""),0.309090909090909)</f>
        <v>0.3090909091</v>
      </c>
    </row>
    <row r="7128">
      <c r="A7128" s="10" t="s">
        <v>8567</v>
      </c>
      <c r="B7128" s="7" t="str">
        <f>IFERROR(__xludf.DUMMYFUNCTION("SPLIT(A7128,"" "")"),"Cc1cccnc1CN(C)CCN(Cc1ccccn1)C(C)(N)C1=CCC=CN1")</f>
        <v>Cc1cccnc1CN(C)CCN(Cc1ccccn1)C(C)(N)C1=CCC=CN1</v>
      </c>
      <c r="C7128" s="7">
        <f>IFERROR(__xludf.DUMMYFUNCTION("""COMPUTED_VALUE"""),7.780608)</f>
        <v>7.780608</v>
      </c>
      <c r="D7128" s="7">
        <f>IFERROR(__xludf.DUMMYFUNCTION("""COMPUTED_VALUE"""),0.421875)</f>
        <v>0.421875</v>
      </c>
    </row>
    <row r="7129">
      <c r="A7129" s="10" t="s">
        <v>8568</v>
      </c>
      <c r="B7129" s="7" t="str">
        <f>IFERROR(__xludf.DUMMYFUNCTION("SPLIT(A7129,"" "")"),"Cc1cncc(CN(C)CCN(C)C)c1C")</f>
        <v>Cc1cncc(CN(C)CCN(C)C)c1C</v>
      </c>
      <c r="C7129" s="7">
        <f>IFERROR(__xludf.DUMMYFUNCTION("""COMPUTED_VALUE"""),7.7806044)</f>
        <v>7.7806044</v>
      </c>
      <c r="D7129" s="7">
        <f>IFERROR(__xludf.DUMMYFUNCTION("""COMPUTED_VALUE"""),0.358974358974359)</f>
        <v>0.358974359</v>
      </c>
    </row>
    <row r="7130">
      <c r="A7130" s="10" t="s">
        <v>8569</v>
      </c>
      <c r="B7130" s="7" t="str">
        <f>IFERROR(__xludf.DUMMYFUNCTION("SPLIT(A7130,"" "")"),"CC(C)N(C)CC1=C(N(C)Cc2ccccn2)CC=CN1")</f>
        <v>CC(C)N(C)CC1=C(N(C)Cc2ccccn2)CC=CN1</v>
      </c>
      <c r="C7130" s="7">
        <f>IFERROR(__xludf.DUMMYFUNCTION("""COMPUTED_VALUE"""),7.7806)</f>
        <v>7.7806</v>
      </c>
      <c r="D7130" s="7">
        <f>IFERROR(__xludf.DUMMYFUNCTION("""COMPUTED_VALUE"""),0.4375)</f>
        <v>0.4375</v>
      </c>
    </row>
    <row r="7131">
      <c r="A7131" s="10" t="s">
        <v>8570</v>
      </c>
      <c r="B7131" s="7" t="str">
        <f>IFERROR(__xludf.DUMMYFUNCTION("SPLIT(A7131,"" "")"),"Cc1ccc(CN(CC2=NCCC=C2)Cc2cc(C)c(C)cn2)nc1")</f>
        <v>Cc1ccc(CN(CC2=NCCC=C2)Cc2cc(C)c(C)cn2)nc1</v>
      </c>
      <c r="C7131" s="7">
        <f>IFERROR(__xludf.DUMMYFUNCTION("""COMPUTED_VALUE"""),7.7806)</f>
        <v>7.7806</v>
      </c>
      <c r="D7131" s="7">
        <f>IFERROR(__xludf.DUMMYFUNCTION("""COMPUTED_VALUE"""),0.404255319148936)</f>
        <v>0.4042553191</v>
      </c>
    </row>
    <row r="7132">
      <c r="A7132" s="10" t="s">
        <v>8571</v>
      </c>
      <c r="B7132" s="7" t="str">
        <f>IFERROR(__xludf.DUMMYFUNCTION("SPLIT(A7132,"" "")"),"Cc1cc(C)c(CN(C)CCN(C)C(C)C)c(C)n1")</f>
        <v>Cc1cc(C)c(CN(C)CCN(C)C(C)C)c(C)n1</v>
      </c>
      <c r="C7132" s="7">
        <f>IFERROR(__xludf.DUMMYFUNCTION("""COMPUTED_VALUE"""),7.7805877)</f>
        <v>7.7805877</v>
      </c>
      <c r="D7132" s="7">
        <f>IFERROR(__xludf.DUMMYFUNCTION("""COMPUTED_VALUE"""),0.348837209302325)</f>
        <v>0.3488372093</v>
      </c>
    </row>
    <row r="7133">
      <c r="A7133" s="10" t="s">
        <v>8572</v>
      </c>
      <c r="B7133" s="7" t="str">
        <f>IFERROR(__xludf.DUMMYFUNCTION("SPLIT(A7133,"" "")"),"Cc1ccc(CN(Cc2ccccn2)C2CCC(N(C)Cc3ccccn3)CC2N(Cc2ccccn2)Cc2nc(C)c(C)cc2C)nc1")</f>
        <v>Cc1ccc(CN(Cc2ccccn2)C2CCC(N(C)Cc3ccccn3)CC2N(Cc2ccccn2)Cc2nc(C)c(C)cc2C)nc1</v>
      </c>
      <c r="C7133" s="7">
        <f>IFERROR(__xludf.DUMMYFUNCTION("""COMPUTED_VALUE"""),7.780587)</f>
        <v>7.780587</v>
      </c>
      <c r="D7133" s="7">
        <f>IFERROR(__xludf.DUMMYFUNCTION("""COMPUTED_VALUE"""),0.419354838709677)</f>
        <v>0.4193548387</v>
      </c>
    </row>
    <row r="7134">
      <c r="A7134" s="10" t="s">
        <v>8573</v>
      </c>
      <c r="B7134" s="7" t="str">
        <f>IFERROR(__xludf.DUMMYFUNCTION("SPLIT(A7134,"" "")"),"CC1(C)COC(c2cccc(CN(Cc3cccc(-c4ccc5c(c4)OCCOCCOCCOCCOCCO5)n3)Cc3cccc(C(C)(C)C)n3)n2)=N1")</f>
        <v>CC1(C)COC(c2cccc(CN(Cc3cccc(-c4ccc5c(c4)OCCOCCOCCOCCOCCO5)n3)Cc3cccc(C(C)(C)C)n3)n2)=N1</v>
      </c>
      <c r="C7134" s="7">
        <f>IFERROR(__xludf.DUMMYFUNCTION("""COMPUTED_VALUE"""),7.78058)</f>
        <v>7.78058</v>
      </c>
      <c r="D7134" s="7">
        <f>IFERROR(__xludf.DUMMYFUNCTION("""COMPUTED_VALUE"""),0.416666666666666)</f>
        <v>0.4166666667</v>
      </c>
    </row>
    <row r="7135">
      <c r="A7135" s="10" t="s">
        <v>8574</v>
      </c>
      <c r="B7135" s="7" t="str">
        <f>IFERROR(__xludf.DUMMYFUNCTION("SPLIT(A7135,"" "")"),"Cc1ccc(CN(Cc2ccccn2)C2CCC(N(C)Cc3ncccc3C)C(N(Cc3cc(C)ccn3)Cc3ncccc3C)C2)nc1")</f>
        <v>Cc1ccc(CN(Cc2ccccn2)C2CCC(N(C)Cc3ncccc3C)C(N(Cc3cc(C)ccn3)Cc3ncccc3C)C2)nc1</v>
      </c>
      <c r="C7135" s="7">
        <f>IFERROR(__xludf.DUMMYFUNCTION("""COMPUTED_VALUE"""),7.780573)</f>
        <v>7.780573</v>
      </c>
      <c r="D7135" s="7">
        <f>IFERROR(__xludf.DUMMYFUNCTION("""COMPUTED_VALUE"""),0.421875)</f>
        <v>0.421875</v>
      </c>
    </row>
    <row r="7136">
      <c r="A7136" s="10" t="s">
        <v>8575</v>
      </c>
      <c r="B7136" s="7" t="str">
        <f>IFERROR(__xludf.DUMMYFUNCTION("SPLIT(A7136,"" "")"),"Cc1ccc(N)c(-c2ccc(CN(Cc3ccccn3)C3CCCCC3)cn2)c1")</f>
        <v>Cc1ccc(N)c(-c2ccc(CN(Cc3ccccn3)C3CCCCC3)cn2)c1</v>
      </c>
      <c r="C7136" s="7">
        <f>IFERROR(__xludf.DUMMYFUNCTION("""COMPUTED_VALUE"""),7.780566)</f>
        <v>7.780566</v>
      </c>
      <c r="D7136" s="7">
        <f>IFERROR(__xludf.DUMMYFUNCTION("""COMPUTED_VALUE"""),0.383333333333333)</f>
        <v>0.3833333333</v>
      </c>
    </row>
    <row r="7137">
      <c r="A7137" s="10" t="s">
        <v>8576</v>
      </c>
      <c r="B7137" s="7" t="str">
        <f>IFERROR(__xludf.DUMMYFUNCTION("SPLIT(A7137,"" "")"),"Cc1cnc(CN(C)CCN(Cc2ccccn2)C(C)(C)N)c(C)c1")</f>
        <v>Cc1cnc(CN(C)CCN(Cc2ccccn2)C(C)(C)N)c(C)c1</v>
      </c>
      <c r="C7137" s="7">
        <f>IFERROR(__xludf.DUMMYFUNCTION("""COMPUTED_VALUE"""),7.7805524)</f>
        <v>7.7805524</v>
      </c>
      <c r="D7137" s="7">
        <f>IFERROR(__xludf.DUMMYFUNCTION("""COMPUTED_VALUE"""),0.392156862745098)</f>
        <v>0.3921568627</v>
      </c>
    </row>
    <row r="7138">
      <c r="A7138" s="10" t="s">
        <v>8577</v>
      </c>
      <c r="B7138" s="7" t="str">
        <f>IFERROR(__xludf.DUMMYFUNCTION("SPLIT(A7138,"" "")"),"C=C1C=CNC=C1CN(C)CC1=CCC=CN1")</f>
        <v>C=C1C=CNC=C1CN(C)CC1=CCC=CN1</v>
      </c>
      <c r="C7138" s="7">
        <f>IFERROR(__xludf.DUMMYFUNCTION("""COMPUTED_VALUE"""),7.7805505)</f>
        <v>7.7805505</v>
      </c>
      <c r="D7138" s="7">
        <f>IFERROR(__xludf.DUMMYFUNCTION("""COMPUTED_VALUE"""),0.351851851851851)</f>
        <v>0.3518518519</v>
      </c>
    </row>
    <row r="7139">
      <c r="A7139" s="10" t="s">
        <v>8578</v>
      </c>
      <c r="B7139" s="7" t="str">
        <f>IFERROR(__xludf.DUMMYFUNCTION("SPLIT(A7139,"" "")"),"Cc1cc(CN(C)C2CCCC(N(Cc3cc(C)c(C)c(C)n3)Cc3nccc(C)c3C)C2)nc(C)c1C")</f>
        <v>Cc1cc(CN(C)C2CCCC(N(Cc3cc(C)c(C)c(C)n3)Cc3nccc(C)c3C)C2)nc(C)c1C</v>
      </c>
      <c r="C7139" s="7">
        <f>IFERROR(__xludf.DUMMYFUNCTION("""COMPUTED_VALUE"""),7.7805247)</f>
        <v>7.7805247</v>
      </c>
      <c r="D7139" s="7">
        <f>IFERROR(__xludf.DUMMYFUNCTION("""COMPUTED_VALUE"""),0.305084745762711)</f>
        <v>0.3050847458</v>
      </c>
    </row>
    <row r="7140">
      <c r="A7140" s="10" t="s">
        <v>8579</v>
      </c>
      <c r="B7140" s="7" t="str">
        <f>IFERROR(__xludf.DUMMYFUNCTION("SPLIT(A7140,"" "")"),"CCCN(C)CC1=C(N(C)Cc2ccccn2)CC=CN1")</f>
        <v>CCCN(C)CC1=C(N(C)Cc2ccccn2)CC=CN1</v>
      </c>
      <c r="C7140" s="7">
        <f>IFERROR(__xludf.DUMMYFUNCTION("""COMPUTED_VALUE"""),7.780523)</f>
        <v>7.780523</v>
      </c>
      <c r="D7140" s="7">
        <f>IFERROR(__xludf.DUMMYFUNCTION("""COMPUTED_VALUE"""),0.410714285714285)</f>
        <v>0.4107142857</v>
      </c>
    </row>
    <row r="7141">
      <c r="A7141" s="10" t="s">
        <v>8580</v>
      </c>
      <c r="B7141" s="7" t="str">
        <f>IFERROR(__xludf.DUMMYFUNCTION("SPLIT(A7141,"" "")"),"CN(Cc1ccccn1)C1=CNC=C(CN(C)C(C)(C)C)C1")</f>
        <v>CN(Cc1ccccn1)C1=CNC=C(CN(C)C(C)(C)C)C1</v>
      </c>
      <c r="C7141" s="7">
        <f>IFERROR(__xludf.DUMMYFUNCTION("""COMPUTED_VALUE"""),7.7805195)</f>
        <v>7.7805195</v>
      </c>
      <c r="D7141" s="7">
        <f>IFERROR(__xludf.DUMMYFUNCTION("""COMPUTED_VALUE"""),0.42)</f>
        <v>0.42</v>
      </c>
    </row>
    <row r="7142">
      <c r="A7142" s="10" t="s">
        <v>8581</v>
      </c>
      <c r="B7142" s="7" t="str">
        <f>IFERROR(__xludf.DUMMYFUNCTION("SPLIT(A7142,"" "")"),"CC(C)CNCc1ncccc1CN(Cc1ccccn1)Cc1ccccn1")</f>
        <v>CC(C)CNCc1ncccc1CN(Cc1ccccn1)Cc1ccccn1</v>
      </c>
      <c r="C7142" s="7">
        <f>IFERROR(__xludf.DUMMYFUNCTION("""COMPUTED_VALUE"""),7.7805133)</f>
        <v>7.7805133</v>
      </c>
      <c r="D7142" s="7">
        <f>IFERROR(__xludf.DUMMYFUNCTION("""COMPUTED_VALUE"""),0.5)</f>
        <v>0.5</v>
      </c>
    </row>
    <row r="7143">
      <c r="A7143" s="10" t="s">
        <v>8582</v>
      </c>
      <c r="B7143" s="7" t="str">
        <f>IFERROR(__xludf.DUMMYFUNCTION("SPLIT(A7143,"" "")"),"Cc1cncc(CN(C)C2CCC(N(C)Cc3ccccn3)CC2N(Cc2nc(C)cc(C)c2C)Cc2nc(C)cc(C)c2C)c1")</f>
        <v>Cc1cncc(CN(C)C2CCC(N(C)Cc3ccccn3)CC2N(Cc2nc(C)cc(C)c2C)Cc2nc(C)cc(C)c2C)c1</v>
      </c>
      <c r="C7143" s="7">
        <f>IFERROR(__xludf.DUMMYFUNCTION("""COMPUTED_VALUE"""),7.7805123)</f>
        <v>7.7805123</v>
      </c>
      <c r="D7143" s="7">
        <f>IFERROR(__xludf.DUMMYFUNCTION("""COMPUTED_VALUE"""),0.415384615384615)</f>
        <v>0.4153846154</v>
      </c>
    </row>
    <row r="7144">
      <c r="A7144" s="10" t="s">
        <v>8583</v>
      </c>
      <c r="B7144" s="7" t="str">
        <f>IFERROR(__xludf.DUMMYFUNCTION("SPLIT(A7144,"" "")"),"CNCc1ccc(CN(Cc2ccccn2)C2CCC(N(C)Cc3cccc(-c4ccccn4)n3)CC2)cn1")</f>
        <v>CNCc1ccc(CN(Cc2ccccn2)C2CCC(N(C)Cc3cccc(-c4ccccn4)n3)CC2)cn1</v>
      </c>
      <c r="C7144" s="7">
        <f>IFERROR(__xludf.DUMMYFUNCTION("""COMPUTED_VALUE"""),7.7805047)</f>
        <v>7.7805047</v>
      </c>
      <c r="D7144" s="7">
        <f>IFERROR(__xludf.DUMMYFUNCTION("""COMPUTED_VALUE"""),0.47457627118644)</f>
        <v>0.4745762712</v>
      </c>
    </row>
    <row r="7145">
      <c r="A7145" s="10" t="s">
        <v>8584</v>
      </c>
      <c r="B7145" s="7" t="str">
        <f>IFERROR(__xludf.DUMMYFUNCTION("SPLIT(A7145,"" "")"),"CC1C=CC(C)C(C)(c2cccc(CN(Cc3ccccn3)Cc3ccccn3)n2)C1")</f>
        <v>CC1C=CC(C)C(C)(c2cccc(CN(Cc3ccccn3)Cc3ccccn3)n2)C1</v>
      </c>
      <c r="C7145" s="7">
        <f>IFERROR(__xludf.DUMMYFUNCTION("""COMPUTED_VALUE"""),7.7805014)</f>
        <v>7.7805014</v>
      </c>
      <c r="D7145" s="7">
        <f>IFERROR(__xludf.DUMMYFUNCTION("""COMPUTED_VALUE"""),0.454545454545454)</f>
        <v>0.4545454545</v>
      </c>
    </row>
    <row r="7146">
      <c r="A7146" s="10" t="s">
        <v>8585</v>
      </c>
      <c r="B7146" s="7" t="str">
        <f>IFERROR(__xludf.DUMMYFUNCTION("SPLIT(A7146,"" "")"),"CC(C)c1cccc(CN2CCN(C)CCN(Cc3cccc(C(C)(C)c4cccc(C5=NC(C)(C)CO5)n4)n3)CC2)n1")</f>
        <v>CC(C)c1cccc(CN2CCN(C)CCN(Cc3cccc(C(C)(C)c4cccc(C5=NC(C)(C)CO5)n4)n3)CC2)n1</v>
      </c>
      <c r="C7146" s="7">
        <f>IFERROR(__xludf.DUMMYFUNCTION("""COMPUTED_VALUE"""),7.780496)</f>
        <v>7.780496</v>
      </c>
      <c r="D7146" s="7">
        <f>IFERROR(__xludf.DUMMYFUNCTION("""COMPUTED_VALUE"""),0.43103448275862)</f>
        <v>0.4310344828</v>
      </c>
    </row>
    <row r="7147">
      <c r="A7147" s="10" t="s">
        <v>8586</v>
      </c>
      <c r="B7147" s="7" t="str">
        <f>IFERROR(__xludf.DUMMYFUNCTION("SPLIT(A7147,"" "")"),"Cc1nc(CN(C)Cc2cccc(CN(C)C3CCC(N(C)Cc4nc(C)c(C)c(C)c4C)CC3)n2)c(C)c(C)c1C")</f>
        <v>Cc1nc(CN(C)Cc2cccc(CN(C)C3CCC(N(C)Cc4nc(C)c(C)c(C)c4C)CC3)n2)c(C)c(C)c1C</v>
      </c>
      <c r="C7147" s="7">
        <f>IFERROR(__xludf.DUMMYFUNCTION("""COMPUTED_VALUE"""),7.78049)</f>
        <v>7.78049</v>
      </c>
      <c r="D7147" s="7">
        <f>IFERROR(__xludf.DUMMYFUNCTION("""COMPUTED_VALUE"""),0.42)</f>
        <v>0.42</v>
      </c>
    </row>
    <row r="7148">
      <c r="A7148" s="10" t="s">
        <v>8587</v>
      </c>
      <c r="B7148" s="7" t="str">
        <f>IFERROR(__xludf.DUMMYFUNCTION("SPLIT(A7148,"" "")"),"COC(=O)C1CN(C)C(c2cccc(CN(Cc3ccccn3)Cc3cccc(-c4ccc5c(c4)OCCOCCOCCOCCOCCO5)n3)n2)C(c2ccccn2)C1c1ccccn1")</f>
        <v>COC(=O)C1CN(C)C(c2cccc(CN(Cc3ccccn3)Cc3cccc(-c4ccc5c(c4)OCCOCCOCCOCCOCCO5)n3)n2)C(c2ccccn2)C1c1ccccn1</v>
      </c>
      <c r="C7148" s="7">
        <f>IFERROR(__xludf.DUMMYFUNCTION("""COMPUTED_VALUE"""),7.780485)</f>
        <v>7.780485</v>
      </c>
      <c r="D7148" s="7">
        <f>IFERROR(__xludf.DUMMYFUNCTION("""COMPUTED_VALUE"""),0.4125)</f>
        <v>0.4125</v>
      </c>
    </row>
    <row r="7149">
      <c r="A7149" s="10" t="s">
        <v>8588</v>
      </c>
      <c r="B7149" s="7" t="str">
        <f>IFERROR(__xludf.DUMMYFUNCTION("SPLIT(A7149,"" "")"),"CNC1C(N(Cc2ccccn2)Cc2nc(C)c(C)cc2C)CCCC1N(Cc1cccc(C)n1)Cc1nc(C)c(C)cc1C")</f>
        <v>CNC1C(N(Cc2ccccn2)Cc2nc(C)c(C)cc2C)CCCC1N(Cc1cccc(C)n1)Cc1nc(C)c(C)cc1C</v>
      </c>
      <c r="C7149" s="7">
        <f>IFERROR(__xludf.DUMMYFUNCTION("""COMPUTED_VALUE"""),7.7804832)</f>
        <v>7.7804832</v>
      </c>
      <c r="D7149" s="7">
        <f>IFERROR(__xludf.DUMMYFUNCTION("""COMPUTED_VALUE"""),0.43103448275862)</f>
        <v>0.4310344828</v>
      </c>
    </row>
    <row r="7150">
      <c r="A7150" s="10" t="s">
        <v>8589</v>
      </c>
      <c r="B7150" s="7" t="str">
        <f>IFERROR(__xludf.DUMMYFUNCTION("SPLIT(A7150,"" "")"),"Cc1ccccc1N(Cc1ccccn1)C1CCCC(N(C)Cc2ncc(C)c(C)c2C)C1")</f>
        <v>Cc1ccccc1N(Cc1ccccn1)C1CCCC(N(C)Cc2ncc(C)c(C)c2C)C1</v>
      </c>
      <c r="C7150" s="7">
        <f>IFERROR(__xludf.DUMMYFUNCTION("""COMPUTED_VALUE"""),7.7804623)</f>
        <v>7.7804623</v>
      </c>
      <c r="D7150" s="7">
        <f>IFERROR(__xludf.DUMMYFUNCTION("""COMPUTED_VALUE"""),0.428571428571428)</f>
        <v>0.4285714286</v>
      </c>
    </row>
    <row r="7151">
      <c r="A7151" s="10" t="s">
        <v>8590</v>
      </c>
      <c r="B7151" s="7" t="str">
        <f>IFERROR(__xludf.DUMMYFUNCTION("SPLIT(A7151,"" "")"),"CN(Cc1cc(-c2ccc3c(c2)OCCOCCOCCOCCOCCO3)ccn1)C1CCC(N(C)Cc2cc(-c3ccc4ncccc4c3)ccn2)CC1")</f>
        <v>CN(Cc1cc(-c2ccc3c(c2)OCCOCCOCCOCCOCCO3)ccn1)C1CCC(N(C)Cc2cc(-c3ccc4ncccc4c3)ccn2)CC1</v>
      </c>
      <c r="C7151" s="7">
        <f>IFERROR(__xludf.DUMMYFUNCTION("""COMPUTED_VALUE"""),7.780461)</f>
        <v>7.780461</v>
      </c>
      <c r="D7151" s="7">
        <f>IFERROR(__xludf.DUMMYFUNCTION("""COMPUTED_VALUE"""),0.380281690140845)</f>
        <v>0.3802816901</v>
      </c>
    </row>
    <row r="7152">
      <c r="A7152" s="10" t="s">
        <v>8591</v>
      </c>
      <c r="B7152" s="7" t="str">
        <f>IFERROR(__xludf.DUMMYFUNCTION("SPLIT(A7152,"" "")"),"CC(C)N(C)C1CCCC(N(Cc2ccccn2)Cc2ncccc2-c2ccccc2N(C)C)C1")</f>
        <v>CC(C)N(C)C1CCCC(N(Cc2ccccn2)Cc2ncccc2-c2ccccc2N(C)C)C1</v>
      </c>
      <c r="C7152" s="7">
        <f>IFERROR(__xludf.DUMMYFUNCTION("""COMPUTED_VALUE"""),7.7804556)</f>
        <v>7.7804556</v>
      </c>
      <c r="D7152" s="7">
        <f>IFERROR(__xludf.DUMMYFUNCTION("""COMPUTED_VALUE"""),0.389830508474576)</f>
        <v>0.3898305085</v>
      </c>
    </row>
    <row r="7153">
      <c r="A7153" s="10" t="s">
        <v>8592</v>
      </c>
      <c r="B7153" s="7" t="str">
        <f>IFERROR(__xludf.DUMMYFUNCTION("SPLIT(A7153,"" "")"),"CN(C)Cc1cccnc1CF")</f>
        <v>CN(C)Cc1cccnc1CF</v>
      </c>
      <c r="C7153" s="7">
        <f>IFERROR(__xludf.DUMMYFUNCTION("""COMPUTED_VALUE"""),7.7804556)</f>
        <v>7.7804556</v>
      </c>
      <c r="D7153" s="7">
        <f>IFERROR(__xludf.DUMMYFUNCTION("""COMPUTED_VALUE"""),0.4)</f>
        <v>0.4</v>
      </c>
    </row>
    <row r="7154">
      <c r="A7154" s="10" t="s">
        <v>8593</v>
      </c>
      <c r="B7154" s="7" t="str">
        <f>IFERROR(__xludf.DUMMYFUNCTION("SPLIT(A7154,"" "")"),"CCCN(Cc1ccccn1)C1CCC(N(C)c2cccc3cccnc23)CC1")</f>
        <v>CCCN(Cc1ccccn1)C1CCC(N(C)c2cccc3cccnc23)CC1</v>
      </c>
      <c r="C7154" s="7">
        <f>IFERROR(__xludf.DUMMYFUNCTION("""COMPUTED_VALUE"""),7.780454)</f>
        <v>7.780454</v>
      </c>
      <c r="D7154" s="7">
        <f>IFERROR(__xludf.DUMMYFUNCTION("""COMPUTED_VALUE"""),0.490566037735849)</f>
        <v>0.4905660377</v>
      </c>
    </row>
    <row r="7155">
      <c r="A7155" s="10" t="s">
        <v>8594</v>
      </c>
      <c r="B7155" s="7" t="str">
        <f>IFERROR(__xludf.DUMMYFUNCTION("SPLIT(A7155,"" "")"),"COC(=O)C1CN(C)C(c2ccccn2)C(C(C)(C)NCc2ccccn2)C1c1ccccn1")</f>
        <v>COC(=O)C1CN(C)C(c2ccccn2)C(C(C)(C)NCc2ccccn2)C1c1ccccn1</v>
      </c>
      <c r="C7155" s="7">
        <f>IFERROR(__xludf.DUMMYFUNCTION("""COMPUTED_VALUE"""),7.7804523)</f>
        <v>7.7804523</v>
      </c>
      <c r="D7155" s="7">
        <f>IFERROR(__xludf.DUMMYFUNCTION("""COMPUTED_VALUE"""),0.342857142857142)</f>
        <v>0.3428571429</v>
      </c>
    </row>
    <row r="7156">
      <c r="A7156" s="10" t="s">
        <v>8595</v>
      </c>
      <c r="B7156" s="7" t="str">
        <f>IFERROR(__xludf.DUMMYFUNCTION("SPLIT(A7156,"" "")"),"Cc1c(CN(C)c2cccnc2CN(C)Cc2ccccn2)nc(-c2cccc3c2OCCOCCOCCOCCOCCO3)c(C)c1C")</f>
        <v>Cc1c(CN(C)c2cccnc2CN(C)Cc2ccccn2)nc(-c2cccc3c2OCCOCCOCCOCCOCCO3)c(C)c1C</v>
      </c>
      <c r="C7156" s="7">
        <f>IFERROR(__xludf.DUMMYFUNCTION("""COMPUTED_VALUE"""),7.780448)</f>
        <v>7.780448</v>
      </c>
      <c r="D7156" s="7">
        <f>IFERROR(__xludf.DUMMYFUNCTION("""COMPUTED_VALUE"""),0.347826086956521)</f>
        <v>0.347826087</v>
      </c>
    </row>
    <row r="7157">
      <c r="A7157" s="10" t="s">
        <v>8596</v>
      </c>
      <c r="B7157" s="7" t="str">
        <f>IFERROR(__xludf.DUMMYFUNCTION("SPLIT(A7157,"" "")"),"CNC1C(N(C)Cc2ncccc2C)C(N(Cc2ncccc2C)Cc2ncccc2C)CCC1N(Cc1ncccc1C)Cc1ncccc1C")</f>
        <v>CNC1C(N(C)Cc2ncccc2C)C(N(Cc2ncccc2C)Cc2ncccc2C)CCC1N(Cc1ncccc1C)Cc1ncccc1C</v>
      </c>
      <c r="C7157" s="7">
        <f>IFERROR(__xludf.DUMMYFUNCTION("""COMPUTED_VALUE"""),7.7804418)</f>
        <v>7.7804418</v>
      </c>
      <c r="D7157" s="7">
        <f>IFERROR(__xludf.DUMMYFUNCTION("""COMPUTED_VALUE"""),0.333333333333333)</f>
        <v>0.3333333333</v>
      </c>
    </row>
    <row r="7158">
      <c r="A7158" s="10" t="s">
        <v>8597</v>
      </c>
      <c r="B7158" s="7" t="str">
        <f>IFERROR(__xludf.DUMMYFUNCTION("SPLIT(A7158,"" "")"),"CNC1C(NCc2cc(C)c(C)cn2)CCCC1N(Cc1nc(C)c(C)c(C)c1C)Cc1nc(C)c(C)c(C)c1C")</f>
        <v>CNC1C(NCc2cc(C)c(C)cn2)CCCC1N(Cc1nc(C)c(C)c(C)c1C)Cc1nc(C)c(C)c(C)c1C</v>
      </c>
      <c r="C7158" s="7">
        <f>IFERROR(__xludf.DUMMYFUNCTION("""COMPUTED_VALUE"""),7.780424)</f>
        <v>7.780424</v>
      </c>
      <c r="D7158" s="7">
        <f>IFERROR(__xludf.DUMMYFUNCTION("""COMPUTED_VALUE"""),0.292307692307692)</f>
        <v>0.2923076923</v>
      </c>
    </row>
    <row r="7159">
      <c r="A7159" s="10" t="s">
        <v>8598</v>
      </c>
      <c r="B7159" s="7" t="str">
        <f>IFERROR(__xludf.DUMMYFUNCTION("SPLIT(A7159,"" "")"),"Cc1ccc(CN(C)C2CCC(N(Cc3ccccn3)Cc3cc(-c4ccc5c(c4)OCCOCCOCCOCCOCCO5)ccn3)C(N(C)c3ccc4ncccc4c3)C2)nc1")</f>
        <v>Cc1ccc(CN(C)C2CCC(N(Cc3ccccn3)Cc3cc(-c4ccc5c(c4)OCCOCCOCCOCCOCCO5)ccn3)C(N(C)c3ccc4ncccc4c3)C2)nc1</v>
      </c>
      <c r="C7159" s="7">
        <f>IFERROR(__xludf.DUMMYFUNCTION("""COMPUTED_VALUE"""),7.780423)</f>
        <v>7.780423</v>
      </c>
      <c r="D7159" s="7">
        <f>IFERROR(__xludf.DUMMYFUNCTION("""COMPUTED_VALUE"""),0.32258064516129)</f>
        <v>0.3225806452</v>
      </c>
    </row>
    <row r="7160">
      <c r="A7160" s="10" t="s">
        <v>8599</v>
      </c>
      <c r="B7160" s="7" t="str">
        <f>IFERROR(__xludf.DUMMYFUNCTION("SPLIT(A7160,"" "")"),"CNCc1ncccc1N(C)C(C)C")</f>
        <v>CNCc1ncccc1N(C)C(C)C</v>
      </c>
      <c r="C7160" s="7">
        <f>IFERROR(__xludf.DUMMYFUNCTION("""COMPUTED_VALUE"""),7.78041)</f>
        <v>7.78041</v>
      </c>
      <c r="D7160" s="7">
        <f>IFERROR(__xludf.DUMMYFUNCTION("""COMPUTED_VALUE"""),0.38095238095238)</f>
        <v>0.380952381</v>
      </c>
    </row>
    <row r="7161">
      <c r="A7161" s="10" t="s">
        <v>8600</v>
      </c>
      <c r="B7161" s="7" t="str">
        <f>IFERROR(__xludf.DUMMYFUNCTION("SPLIT(A7161,"" "")"),"Cc1ccc(CN(Cc2ccccn2)Cc2cccc(N(C)Cc3cccc(-c4ccc5c(c4)OCCOCCOCCOCCOCCO5)n3)n2)nc1")</f>
        <v>Cc1ccc(CN(Cc2ccccn2)Cc2cccc(N(C)Cc3cccc(-c4ccc5c(c4)OCCOCCOCCOCCOCCO5)n3)n2)nc1</v>
      </c>
      <c r="C7161" s="7">
        <f>IFERROR(__xludf.DUMMYFUNCTION("""COMPUTED_VALUE"""),7.7804084)</f>
        <v>7.7804084</v>
      </c>
      <c r="D7161" s="7">
        <f>IFERROR(__xludf.DUMMYFUNCTION("""COMPUTED_VALUE"""),0.436619718309859)</f>
        <v>0.4366197183</v>
      </c>
    </row>
    <row r="7162">
      <c r="A7162" s="10" t="s">
        <v>8601</v>
      </c>
      <c r="B7162" s="7" t="str">
        <f>IFERROR(__xludf.DUMMYFUNCTION("SPLIT(A7162,"" "")"),"Cc1cncc(CN(Cc2ccccn2)Cc2cc(CN(Cc3ccccn3)C3CCC(N(C)Cc4nc(C)c(C)cc4C)CC3)ccn2)c1")</f>
        <v>Cc1cncc(CN(Cc2ccccn2)Cc2cc(CN(Cc3ccccn3)C3CCC(N(C)Cc4nc(C)c(C)cc4C)CC3)ccn2)c1</v>
      </c>
      <c r="C7162" s="7">
        <f>IFERROR(__xludf.DUMMYFUNCTION("""COMPUTED_VALUE"""),7.780401)</f>
        <v>7.780401</v>
      </c>
      <c r="D7162" s="7">
        <f>IFERROR(__xludf.DUMMYFUNCTION("""COMPUTED_VALUE"""),0.328571428571428)</f>
        <v>0.3285714286</v>
      </c>
    </row>
    <row r="7163">
      <c r="A7163" s="10" t="s">
        <v>8602</v>
      </c>
      <c r="B7163" s="7" t="str">
        <f>IFERROR(__xludf.DUMMYFUNCTION("SPLIT(A7163,"" "")"),"CN(C)Cc1ncccc1CF")</f>
        <v>CN(C)Cc1ncccc1CF</v>
      </c>
      <c r="C7163" s="7">
        <f>IFERROR(__xludf.DUMMYFUNCTION("""COMPUTED_VALUE"""),7.7804)</f>
        <v>7.7804</v>
      </c>
      <c r="D7163" s="7">
        <f>IFERROR(__xludf.DUMMYFUNCTION("""COMPUTED_VALUE"""),0.4)</f>
        <v>0.4</v>
      </c>
    </row>
    <row r="7164">
      <c r="A7164" s="10" t="s">
        <v>8603</v>
      </c>
      <c r="B7164" s="7" t="str">
        <f>IFERROR(__xludf.DUMMYFUNCTION("SPLIT(A7164,"" "")"),"CN(Cc1ccccn1)c1cc2c(c(-c3cccc(CN(Cc4ccccn4)Cc4cccc(F)n4)n3)c1)OCCOCCOCCOCCOCCO2")</f>
        <v>CN(Cc1ccccn1)c1cc2c(c(-c3cccc(CN(Cc4ccccn4)Cc4cccc(F)n4)n3)c1)OCCOCCOCCOCCOCCO2</v>
      </c>
      <c r="C7164" s="7">
        <f>IFERROR(__xludf.DUMMYFUNCTION("""COMPUTED_VALUE"""),7.780389)</f>
        <v>7.780389</v>
      </c>
      <c r="D7164" s="7">
        <f>IFERROR(__xludf.DUMMYFUNCTION("""COMPUTED_VALUE"""),0.40625)</f>
        <v>0.40625</v>
      </c>
    </row>
    <row r="7165">
      <c r="A7165" s="10" t="s">
        <v>8604</v>
      </c>
      <c r="B7165" s="7" t="str">
        <f>IFERROR(__xludf.DUMMYFUNCTION("SPLIT(A7165,"" "")"),"Cc1cc(C)c(CN(C)CCN(Cc2ccccn2)C(C)(C)C2=CCC=CN2)cn1")</f>
        <v>Cc1cc(C)c(CN(C)CCN(Cc2ccccn2)C(C)(C)C2=CCC=CN2)cn1</v>
      </c>
      <c r="C7165" s="7">
        <f>IFERROR(__xludf.DUMMYFUNCTION("""COMPUTED_VALUE"""),7.7803874)</f>
        <v>7.7803874</v>
      </c>
      <c r="D7165" s="7">
        <f>IFERROR(__xludf.DUMMYFUNCTION("""COMPUTED_VALUE"""),0.409090909090909)</f>
        <v>0.4090909091</v>
      </c>
    </row>
    <row r="7166">
      <c r="A7166" s="10" t="s">
        <v>8605</v>
      </c>
      <c r="B7166" s="7" t="str">
        <f>IFERROR(__xludf.DUMMYFUNCTION("SPLIT(A7166,"" "")"),"Cc1cc(C)nc(CN2CCCC2C2CCCN2Cc2ccnc3c(C)cccc23)c1")</f>
        <v>Cc1cc(C)nc(CN2CCCC2C2CCCN2Cc2ccnc3c(C)cccc23)c1</v>
      </c>
      <c r="C7166" s="7">
        <f>IFERROR(__xludf.DUMMYFUNCTION("""COMPUTED_VALUE"""),7.7803826)</f>
        <v>7.7803826</v>
      </c>
      <c r="D7166" s="7">
        <f>IFERROR(__xludf.DUMMYFUNCTION("""COMPUTED_VALUE"""),0.5)</f>
        <v>0.5</v>
      </c>
    </row>
    <row r="7167">
      <c r="A7167" s="10" t="s">
        <v>8606</v>
      </c>
      <c r="B7167" s="7" t="str">
        <f>IFERROR(__xludf.DUMMYFUNCTION("SPLIT(A7167,"" "")"),"CC(C)C(C)N(C)Cc1ccc2cc(N(C)Cc3ccc(-c4ccc5c(c4)OCCOCCOCCOCCOCCO5)cn3)ccc2n1")</f>
        <v>CC(C)C(C)N(C)Cc1ccc2cc(N(C)Cc3ccc(-c4ccc5c(c4)OCCOCCOCCOCCOCCO5)cn3)ccc2n1</v>
      </c>
      <c r="C7167" s="7">
        <f>IFERROR(__xludf.DUMMYFUNCTION("""COMPUTED_VALUE"""),7.780381)</f>
        <v>7.780381</v>
      </c>
      <c r="D7167" s="7">
        <f>IFERROR(__xludf.DUMMYFUNCTION("""COMPUTED_VALUE"""),0.416666666666666)</f>
        <v>0.4166666667</v>
      </c>
    </row>
    <row r="7168">
      <c r="A7168" s="10" t="s">
        <v>8607</v>
      </c>
      <c r="B7168" s="7" t="str">
        <f>IFERROR(__xludf.DUMMYFUNCTION("SPLIT(A7168,"" "")"),"CNC1C=C(N(C)C)C=CN1")</f>
        <v>CNC1C=C(N(C)C)C=CN1</v>
      </c>
      <c r="C7168" s="7">
        <f>IFERROR(__xludf.DUMMYFUNCTION("""COMPUTED_VALUE"""),7.7803717)</f>
        <v>7.7803717</v>
      </c>
      <c r="D7168" s="7">
        <f>IFERROR(__xludf.DUMMYFUNCTION("""COMPUTED_VALUE"""),0.18)</f>
        <v>0.18</v>
      </c>
    </row>
    <row r="7169">
      <c r="A7169" s="10" t="s">
        <v>8608</v>
      </c>
      <c r="B7169" s="7" t="str">
        <f>IFERROR(__xludf.DUMMYFUNCTION("SPLIT(A7169,"" "")"),"CNCCN(Cc1ccccn1)Cc1cc(C)c(C)c(C)n1")</f>
        <v>CNCCN(Cc1ccccn1)Cc1cc(C)c(C)c(C)n1</v>
      </c>
      <c r="C7169" s="7">
        <f>IFERROR(__xludf.DUMMYFUNCTION("""COMPUTED_VALUE"""),7.780371)</f>
        <v>7.780371</v>
      </c>
      <c r="D7169" s="7">
        <f>IFERROR(__xludf.DUMMYFUNCTION("""COMPUTED_VALUE"""),0.478260869565217)</f>
        <v>0.4782608696</v>
      </c>
    </row>
    <row r="7170">
      <c r="A7170" s="10" t="s">
        <v>8609</v>
      </c>
      <c r="B7170" s="7" t="str">
        <f>IFERROR(__xludf.DUMMYFUNCTION("SPLIT(A7170,"" "")"),"CC(C)C(C)N(Cc1ccccn1)Cc1cccc(-c2cccc(N(C)Cc3cccc(-c4ccc5c(c4)OCCOCCOCCOCCOCCO5)n3)c2)n1")</f>
        <v>CC(C)C(C)N(Cc1ccccn1)Cc1cccc(-c2cccc(N(C)Cc3cccc(-c4ccc5c(c4)OCCOCCOCCOCCOCCO5)n3)c2)n1</v>
      </c>
      <c r="C7170" s="7">
        <f>IFERROR(__xludf.DUMMYFUNCTION("""COMPUTED_VALUE"""),7.780366)</f>
        <v>7.780366</v>
      </c>
      <c r="D7170" s="7">
        <f>IFERROR(__xludf.DUMMYFUNCTION("""COMPUTED_VALUE"""),0.402777777777777)</f>
        <v>0.4027777778</v>
      </c>
    </row>
    <row r="7171">
      <c r="A7171" s="10" t="s">
        <v>8610</v>
      </c>
      <c r="B7171" s="7" t="str">
        <f>IFERROR(__xludf.DUMMYFUNCTION("SPLIT(A7171,"" "")"),"CC1C=CC(C)C(C(C)(C)c2cc(CN(Cc3ccccn3)Cc3ccccn3)ccn2)C1N(C)Cc1ccccn1")</f>
        <v>CC1C=CC(C)C(C(C)(C)c2cc(CN(Cc3ccccn3)Cc3ccccn3)ccn2)C1N(C)Cc1ccccn1</v>
      </c>
      <c r="C7171" s="7">
        <f>IFERROR(__xludf.DUMMYFUNCTION("""COMPUTED_VALUE"""),7.7803626)</f>
        <v>7.7803626</v>
      </c>
      <c r="D7171" s="7">
        <f>IFERROR(__xludf.DUMMYFUNCTION("""COMPUTED_VALUE"""),0.4)</f>
        <v>0.4</v>
      </c>
    </row>
    <row r="7172">
      <c r="A7172" s="10" t="s">
        <v>8611</v>
      </c>
      <c r="B7172" s="7" t="str">
        <f>IFERROR(__xludf.DUMMYFUNCTION("SPLIT(A7172,"" "")"),"CC(C)C(C)N(Cc1ccccn1)Cc1cccc(N(C)C2C=CC=CN2)n1")</f>
        <v>CC(C)C(C)N(Cc1ccccn1)Cc1cccc(N(C)C2C=CC=CN2)n1</v>
      </c>
      <c r="C7172" s="7">
        <f>IFERROR(__xludf.DUMMYFUNCTION("""COMPUTED_VALUE"""),7.780357)</f>
        <v>7.780357</v>
      </c>
      <c r="D7172" s="7">
        <f>IFERROR(__xludf.DUMMYFUNCTION("""COMPUTED_VALUE"""),0.440677966101694)</f>
        <v>0.4406779661</v>
      </c>
    </row>
    <row r="7173">
      <c r="A7173" s="10" t="s">
        <v>8612</v>
      </c>
      <c r="B7173" s="7" t="str">
        <f>IFERROR(__xludf.DUMMYFUNCTION("SPLIT(A7173,"" "")"),"Cc1cccnc1CN(C)C1C=CC=CN1")</f>
        <v>Cc1cccnc1CN(C)C1C=CC=CN1</v>
      </c>
      <c r="C7173" s="7">
        <f>IFERROR(__xludf.DUMMYFUNCTION("""COMPUTED_VALUE"""),7.7803555)</f>
        <v>7.7803555</v>
      </c>
      <c r="D7173" s="7">
        <f>IFERROR(__xludf.DUMMYFUNCTION("""COMPUTED_VALUE"""),0.384615384615384)</f>
        <v>0.3846153846</v>
      </c>
    </row>
    <row r="7174">
      <c r="A7174" s="10" t="s">
        <v>8613</v>
      </c>
      <c r="B7174" s="7" t="str">
        <f>IFERROR(__xludf.DUMMYFUNCTION("SPLIT(A7174,"" "")"),"CNCc1ncccc1CN(C)Cc1ccccn1")</f>
        <v>CNCc1ncccc1CN(C)Cc1ccccn1</v>
      </c>
      <c r="C7174" s="7">
        <f>IFERROR(__xludf.DUMMYFUNCTION("""COMPUTED_VALUE"""),7.7803516)</f>
        <v>7.7803516</v>
      </c>
      <c r="D7174" s="7">
        <f>IFERROR(__xludf.DUMMYFUNCTION("""COMPUTED_VALUE"""),0.488888888888888)</f>
        <v>0.4888888889</v>
      </c>
    </row>
    <row r="7175">
      <c r="A7175" s="10" t="s">
        <v>8614</v>
      </c>
      <c r="B7175" s="7" t="str">
        <f>IFERROR(__xludf.DUMMYFUNCTION("SPLIT(A7175,"" "")"),"CNCC1=CCC=C(N(C)C(C)C)N1")</f>
        <v>CNCC1=CCC=C(N(C)C(C)C)N1</v>
      </c>
      <c r="C7175" s="7">
        <f>IFERROR(__xludf.DUMMYFUNCTION("""COMPUTED_VALUE"""),7.78033)</f>
        <v>7.78033</v>
      </c>
      <c r="D7175" s="7">
        <f>IFERROR(__xludf.DUMMYFUNCTION("""COMPUTED_VALUE"""),0.183673469387755)</f>
        <v>0.1836734694</v>
      </c>
    </row>
    <row r="7176">
      <c r="A7176" s="10" t="s">
        <v>8615</v>
      </c>
      <c r="B7176" s="7" t="str">
        <f>IFERROR(__xludf.DUMMYFUNCTION("SPLIT(A7176,"" "")"),"CN(Cc1ncccc1-c1cccc2c1OCCOCCOCCOCCOCCO2)C(C)(N)N(C)c1cccc2ncc(CF)cc12")</f>
        <v>CN(Cc1ncccc1-c1cccc2c1OCCOCCOCCOCCOCCO2)C(C)(N)N(C)c1cccc2ncc(CF)cc12</v>
      </c>
      <c r="C7176" s="7">
        <f>IFERROR(__xludf.DUMMYFUNCTION("""COMPUTED_VALUE"""),7.780317)</f>
        <v>7.780317</v>
      </c>
      <c r="D7176" s="7">
        <f>IFERROR(__xludf.DUMMYFUNCTION("""COMPUTED_VALUE"""),0.207792207792207)</f>
        <v>0.2077922078</v>
      </c>
    </row>
    <row r="7177">
      <c r="A7177" s="10" t="s">
        <v>8616</v>
      </c>
      <c r="B7177" s="7" t="str">
        <f>IFERROR(__xludf.DUMMYFUNCTION("SPLIT(A7177,"" "")"),"Cc1cccc(CN(C)C2CCCC(N(Cc3ccccn3)Cc3ccccn3)C2N(Cc2ccccn2)C2=CCC=CN2)n1")</f>
        <v>Cc1cccc(CN(C)C2CCCC(N(Cc3ccccn3)Cc3ccccn3)C2N(Cc2ccccn2)C2=CCC=CN2)n1</v>
      </c>
      <c r="C7177" s="7">
        <f>IFERROR(__xludf.DUMMYFUNCTION("""COMPUTED_VALUE"""),7.7803135)</f>
        <v>7.7803135</v>
      </c>
      <c r="D7177" s="7">
        <f>IFERROR(__xludf.DUMMYFUNCTION("""COMPUTED_VALUE"""),0.46774193548387)</f>
        <v>0.4677419355</v>
      </c>
    </row>
    <row r="7178">
      <c r="A7178" s="10" t="s">
        <v>8617</v>
      </c>
      <c r="B7178" s="7" t="str">
        <f>IFERROR(__xludf.DUMMYFUNCTION("SPLIT(A7178,"" "")"),"Cc1ccc(-c2ccc(CN(C)Cc3ccccn3)cc2)nc1-c1ccc2c(c1)OCCOCCOCCOCCOCCO2")</f>
        <v>Cc1ccc(-c2ccc(CN(C)Cc3ccccn3)cc2)nc1-c1ccc2c(c1)OCCOCCOCCOCCOCCO2</v>
      </c>
      <c r="C7178" s="7">
        <f>IFERROR(__xludf.DUMMYFUNCTION("""COMPUTED_VALUE"""),7.7803106)</f>
        <v>7.7803106</v>
      </c>
      <c r="D7178" s="7">
        <f>IFERROR(__xludf.DUMMYFUNCTION("""COMPUTED_VALUE"""),0.38095238095238)</f>
        <v>0.380952381</v>
      </c>
    </row>
    <row r="7179">
      <c r="A7179" s="10" t="s">
        <v>8618</v>
      </c>
      <c r="B7179" s="7" t="str">
        <f>IFERROR(__xludf.DUMMYFUNCTION("SPLIT(A7179,"" "")"),"CC1C=CC(C)C(C)(c2cccc(CN(C)Cc3cccc(C(C)(C)C)n3)n2)C1")</f>
        <v>CC1C=CC(C)C(C)(c2cccc(CN(C)Cc3cccc(C(C)(C)C)n3)n2)C1</v>
      </c>
      <c r="C7179" s="7">
        <f>IFERROR(__xludf.DUMMYFUNCTION("""COMPUTED_VALUE"""),7.780296)</f>
        <v>7.780296</v>
      </c>
      <c r="D7179" s="7">
        <f>IFERROR(__xludf.DUMMYFUNCTION("""COMPUTED_VALUE"""),0.314814814814814)</f>
        <v>0.3148148148</v>
      </c>
    </row>
    <row r="7180">
      <c r="A7180" s="10" t="s">
        <v>8619</v>
      </c>
      <c r="B7180" s="7" t="str">
        <f>IFERROR(__xludf.DUMMYFUNCTION("SPLIT(A7180,"" "")"),"Cc1cccnc1CN(C)C1CC(N(C)Cc2ccccn2)CC(N(Cc2ccccn2)Cc2nc(C)c(C)c(C)c2C)C1")</f>
        <v>Cc1cccnc1CN(C)C1CC(N(C)Cc2ccccn2)CC(N(Cc2ccccn2)Cc2nc(C)c(C)c(C)c2C)C1</v>
      </c>
      <c r="C7180" s="7">
        <f>IFERROR(__xludf.DUMMYFUNCTION("""COMPUTED_VALUE"""),7.780292)</f>
        <v>7.780292</v>
      </c>
      <c r="D7180" s="7">
        <f>IFERROR(__xludf.DUMMYFUNCTION("""COMPUTED_VALUE"""),0.396551724137931)</f>
        <v>0.3965517241</v>
      </c>
    </row>
    <row r="7181">
      <c r="A7181" s="10" t="s">
        <v>8620</v>
      </c>
      <c r="B7181" s="7" t="str">
        <f>IFERROR(__xludf.DUMMYFUNCTION("SPLIT(A7181,"" "")"),"COC(=O)C1CN(C)C(C(C)(C)NCc2ccccn2)C(c2ccccn2)C1c1ccccn1")</f>
        <v>COC(=O)C1CN(C)C(C(C)(C)NCc2ccccn2)C(c2ccccn2)C1c1ccccn1</v>
      </c>
      <c r="C7181" s="7">
        <f>IFERROR(__xludf.DUMMYFUNCTION("""COMPUTED_VALUE"""),7.780292)</f>
        <v>7.780292</v>
      </c>
      <c r="D7181" s="7">
        <f>IFERROR(__xludf.DUMMYFUNCTION("""COMPUTED_VALUE"""),0.342857142857142)</f>
        <v>0.3428571429</v>
      </c>
    </row>
    <row r="7182">
      <c r="A7182" s="10" t="s">
        <v>8621</v>
      </c>
      <c r="B7182" s="7" t="str">
        <f>IFERROR(__xludf.DUMMYFUNCTION("SPLIT(A7182,"" "")"),"CN(CNCc1ccccn1)C1CCC(N(C)c2ccc3cccnc3c2)CC1")</f>
        <v>CN(CNCc1ccccn1)C1CCC(N(C)c2ccc3cccnc3c2)CC1</v>
      </c>
      <c r="C7182" s="7">
        <f>IFERROR(__xludf.DUMMYFUNCTION("""COMPUTED_VALUE"""),7.780287)</f>
        <v>7.780287</v>
      </c>
      <c r="D7182" s="7">
        <f>IFERROR(__xludf.DUMMYFUNCTION("""COMPUTED_VALUE"""),0.365384615384615)</f>
        <v>0.3653846154</v>
      </c>
    </row>
    <row r="7183">
      <c r="A7183" s="10" t="s">
        <v>8622</v>
      </c>
      <c r="B7183" s="7" t="str">
        <f>IFERROR(__xludf.DUMMYFUNCTION("SPLIT(A7183,"" "")"),"CC(C)CN(Cc1ccccn1)Cc1ncccc1N")</f>
        <v>CC(C)CN(Cc1ccccn1)Cc1ncccc1N</v>
      </c>
      <c r="C7183" s="7">
        <f>IFERROR(__xludf.DUMMYFUNCTION("""COMPUTED_VALUE"""),7.7802863)</f>
        <v>7.7802863</v>
      </c>
      <c r="D7183" s="7">
        <f>IFERROR(__xludf.DUMMYFUNCTION("""COMPUTED_VALUE"""),0.5)</f>
        <v>0.5</v>
      </c>
    </row>
    <row r="7184">
      <c r="A7184" s="10" t="s">
        <v>8623</v>
      </c>
      <c r="B7184" s="7" t="str">
        <f>IFERROR(__xludf.DUMMYFUNCTION("SPLIT(A7184,"" "")"),"CC1C=CCC(C)(c2ncccc2CN(Cc2ccccn2)Cc2ccc(C(C)(C)C)cn2)C1C")</f>
        <v>CC1C=CCC(C)(c2ncccc2CN(Cc2ccccn2)Cc2ccc(C(C)(C)C)cn2)C1C</v>
      </c>
      <c r="C7184" s="7">
        <f>IFERROR(__xludf.DUMMYFUNCTION("""COMPUTED_VALUE"""),7.780283)</f>
        <v>7.780283</v>
      </c>
      <c r="D7184" s="7">
        <f>IFERROR(__xludf.DUMMYFUNCTION("""COMPUTED_VALUE"""),0.350877192982456)</f>
        <v>0.350877193</v>
      </c>
    </row>
    <row r="7185">
      <c r="A7185" s="10" t="s">
        <v>8624</v>
      </c>
      <c r="B7185" s="7" t="str">
        <f>IFERROR(__xludf.DUMMYFUNCTION("SPLIT(A7185,"" "")"),"Cc1cc(C)c(CN(C)C2CCCCC2N(Cc2nc(C)c(C)cc2C)Cc2nc(C)c(C)cc2C)nc1C")</f>
        <v>Cc1cc(C)c(CN(C)C2CCCCC2N(Cc2nc(C)c(C)cc2C)Cc2nc(C)c(C)cc2C)nc1C</v>
      </c>
      <c r="C7185" s="7">
        <f>IFERROR(__xludf.DUMMYFUNCTION("""COMPUTED_VALUE"""),7.7802753)</f>
        <v>7.7802753</v>
      </c>
      <c r="D7185" s="7">
        <f>IFERROR(__xludf.DUMMYFUNCTION("""COMPUTED_VALUE"""),0.434782608695652)</f>
        <v>0.4347826087</v>
      </c>
    </row>
    <row r="7186">
      <c r="A7186" s="10" t="s">
        <v>8625</v>
      </c>
      <c r="B7186" s="7" t="str">
        <f>IFERROR(__xludf.DUMMYFUNCTION("SPLIT(A7186,"" "")"),"CCOC(=O)C(=O)C(C)C(C)NCc1cccc(CN(Cc2ccccn2)Cc2ccccn2)n1")</f>
        <v>CCOC(=O)C(=O)C(C)C(C)NCc1cccc(CN(Cc2ccccn2)Cc2ccccn2)n1</v>
      </c>
      <c r="C7186" s="7">
        <f>IFERROR(__xludf.DUMMYFUNCTION("""COMPUTED_VALUE"""),7.7802715)</f>
        <v>7.7802715</v>
      </c>
      <c r="D7186" s="7">
        <f>IFERROR(__xludf.DUMMYFUNCTION("""COMPUTED_VALUE"""),0.40983606557377)</f>
        <v>0.4098360656</v>
      </c>
    </row>
    <row r="7187">
      <c r="A7187" s="10" t="s">
        <v>8626</v>
      </c>
      <c r="B7187" s="7" t="str">
        <f>IFERROR(__xludf.DUMMYFUNCTION("SPLIT(A7187,"" "")"),"CC(C)(c1ccccn1)c1ccc(CN(Cc2ccccn2)C2CCC(N(Cc3ccccn3)Cc3cccnc3F)CC2)cn1")</f>
        <v>CC(C)(c1ccccn1)c1ccc(CN(Cc2ccccn2)C2CCC(N(Cc3ccccn3)Cc3cccnc3F)CC2)cn1</v>
      </c>
      <c r="C7187" s="7">
        <f>IFERROR(__xludf.DUMMYFUNCTION("""COMPUTED_VALUE"""),7.780263)</f>
        <v>7.780263</v>
      </c>
      <c r="D7187" s="7">
        <f>IFERROR(__xludf.DUMMYFUNCTION("""COMPUTED_VALUE"""),0.35)</f>
        <v>0.35</v>
      </c>
    </row>
    <row r="7188">
      <c r="A7188" s="10" t="s">
        <v>8627</v>
      </c>
      <c r="B7188" s="7" t="str">
        <f>IFERROR(__xludf.DUMMYFUNCTION("SPLIT(A7188,"" "")"),"CCCN(Cc1ccccn1)c1ccccc1-c1cccc(CN(Cc2cccnn2)C2CCCCC2)n1")</f>
        <v>CCCN(Cc1ccccn1)c1ccccc1-c1cccc(CN(Cc2cccnn2)C2CCCCC2)n1</v>
      </c>
      <c r="C7188" s="7">
        <f>IFERROR(__xludf.DUMMYFUNCTION("""COMPUTED_VALUE"""),7.780254)</f>
        <v>7.780254</v>
      </c>
      <c r="D7188" s="7">
        <f>IFERROR(__xludf.DUMMYFUNCTION("""COMPUTED_VALUE"""),0.393442622950819)</f>
        <v>0.393442623</v>
      </c>
    </row>
    <row r="7189">
      <c r="A7189" s="10" t="s">
        <v>8628</v>
      </c>
      <c r="B7189" s="7" t="str">
        <f>IFERROR(__xludf.DUMMYFUNCTION("SPLIT(A7189,"" "")"),"Cc1cnc(CN(C)CCN(Cc2ccccn2)C(C)(C)c2cc(C)cnc2C2CCC2(C)C)c(C)c1")</f>
        <v>Cc1cnc(CN(C)CCN(Cc2ccccn2)C(C)(C)c2cc(C)cnc2C2CCC2(C)C)c(C)c1</v>
      </c>
      <c r="C7189" s="7">
        <f>IFERROR(__xludf.DUMMYFUNCTION("""COMPUTED_VALUE"""),7.7802505)</f>
        <v>7.7802505</v>
      </c>
      <c r="D7189" s="7">
        <f>IFERROR(__xludf.DUMMYFUNCTION("""COMPUTED_VALUE"""),0.314285714285714)</f>
        <v>0.3142857143</v>
      </c>
    </row>
    <row r="7190">
      <c r="A7190" s="10" t="s">
        <v>8629</v>
      </c>
      <c r="B7190" s="7" t="str">
        <f>IFERROR(__xludf.DUMMYFUNCTION("SPLIT(A7190,"" "")"),"Cc1ccc(C)c(CN(C)C2CCCCC2N(C)Cc2ccc3cccnc3c2)c1C")</f>
        <v>Cc1ccc(C)c(CN(C)C2CCCCC2N(C)Cc2ccc3cccnc3c2)c1C</v>
      </c>
      <c r="C7190" s="7">
        <f>IFERROR(__xludf.DUMMYFUNCTION("""COMPUTED_VALUE"""),7.780246)</f>
        <v>7.780246</v>
      </c>
      <c r="D7190" s="7">
        <f>IFERROR(__xludf.DUMMYFUNCTION("""COMPUTED_VALUE"""),0.425925925925925)</f>
        <v>0.4259259259</v>
      </c>
    </row>
    <row r="7191">
      <c r="A7191" s="10" t="s">
        <v>8630</v>
      </c>
      <c r="B7191" s="7" t="str">
        <f>IFERROR(__xludf.DUMMYFUNCTION("SPLIT(A7191,"" "")"),"Cc1ccnc(CN(CC2=CC=NCC2)Cc2nccc(C)c2C)c1")</f>
        <v>Cc1ccnc(CN(CC2=CC=NCC2)Cc2nccc(C)c2C)c1</v>
      </c>
      <c r="C7191" s="7">
        <f>IFERROR(__xludf.DUMMYFUNCTION("""COMPUTED_VALUE"""),7.780232)</f>
        <v>7.780232</v>
      </c>
      <c r="D7191" s="7">
        <f>IFERROR(__xludf.DUMMYFUNCTION("""COMPUTED_VALUE"""),0.310344827586206)</f>
        <v>0.3103448276</v>
      </c>
    </row>
    <row r="7192">
      <c r="A7192" s="10" t="s">
        <v>8631</v>
      </c>
      <c r="B7192" s="7" t="str">
        <f>IFERROR(__xludf.DUMMYFUNCTION("SPLIT(A7192,"" "")"),"CNCCN(Cc1ccccn1)Cc1nc(C)c(C)cc1C")</f>
        <v>CNCCN(Cc1ccccn1)Cc1nc(C)c(C)cc1C</v>
      </c>
      <c r="C7192" s="7">
        <f>IFERROR(__xludf.DUMMYFUNCTION("""COMPUTED_VALUE"""),7.7802296)</f>
        <v>7.7802296</v>
      </c>
      <c r="D7192" s="7">
        <f>IFERROR(__xludf.DUMMYFUNCTION("""COMPUTED_VALUE"""),0.478260869565217)</f>
        <v>0.4782608696</v>
      </c>
    </row>
    <row r="7193">
      <c r="A7193" s="10" t="s">
        <v>8632</v>
      </c>
      <c r="B7193" s="7" t="str">
        <f>IFERROR(__xludf.DUMMYFUNCTION("SPLIT(A7193,"" "")"),"Cc1cccnc1CN(Cc1ccccn1)Cc1ncccc1-c1cc2c(cc1N(Cc1ccccn1)C(C)C)OCCOCCOCCOCCOCCO2")</f>
        <v>Cc1cccnc1CN(Cc1ccccn1)Cc1ncccc1-c1cc2c(cc1N(Cc1ccccn1)C(C)C)OCCOCCOCCOCCOCCO2</v>
      </c>
      <c r="C7193" s="7">
        <f>IFERROR(__xludf.DUMMYFUNCTION("""COMPUTED_VALUE"""),7.7802124)</f>
        <v>7.7802124</v>
      </c>
      <c r="D7193" s="7">
        <f>IFERROR(__xludf.DUMMYFUNCTION("""COMPUTED_VALUE"""),0.344827586206896)</f>
        <v>0.3448275862</v>
      </c>
    </row>
    <row r="7194">
      <c r="A7194" s="10" t="s">
        <v>8633</v>
      </c>
      <c r="B7194" s="7" t="str">
        <f>IFERROR(__xludf.DUMMYFUNCTION("SPLIT(A7194,"" "")"),"CC1CC=C(N(C)Cc2ccc(C(C)(C)C)cn2)CC1C")</f>
        <v>CC1CC=C(N(C)Cc2ccc(C(C)(C)C)cn2)CC1C</v>
      </c>
      <c r="C7194" s="7">
        <f>IFERROR(__xludf.DUMMYFUNCTION("""COMPUTED_VALUE"""),7.7801933)</f>
        <v>7.7801933</v>
      </c>
      <c r="D7194" s="7">
        <f>IFERROR(__xludf.DUMMYFUNCTION("""COMPUTED_VALUE"""),0.314814814814814)</f>
        <v>0.3148148148</v>
      </c>
    </row>
    <row r="7195">
      <c r="A7195" s="10" t="s">
        <v>8634</v>
      </c>
      <c r="B7195" s="7" t="str">
        <f>IFERROR(__xludf.DUMMYFUNCTION("SPLIT(A7195,"" "")"),"CCNCc1cccc(CN(Cc2ccccn2)Cc2ccc(F)cn2)n1")</f>
        <v>CCNCc1cccc(CN(Cc2ccccn2)Cc2ccc(F)cn2)n1</v>
      </c>
      <c r="C7195" s="7">
        <f>IFERROR(__xludf.DUMMYFUNCTION("""COMPUTED_VALUE"""),7.780193)</f>
        <v>7.780193</v>
      </c>
      <c r="D7195" s="7">
        <f>IFERROR(__xludf.DUMMYFUNCTION("""COMPUTED_VALUE"""),0.465116279069767)</f>
        <v>0.4651162791</v>
      </c>
    </row>
    <row r="7196">
      <c r="A7196" s="10" t="s">
        <v>8635</v>
      </c>
      <c r="B7196" s="7" t="str">
        <f>IFERROR(__xludf.DUMMYFUNCTION("SPLIT(A7196,"" "")"),"CC(C)N(C)c1cccnc1CN(C)C(C)(c1cccnc1)C(C)C")</f>
        <v>CC(C)N(C)c1cccnc1CN(C)C(C)(c1cccnc1)C(C)C</v>
      </c>
      <c r="C7196" s="7">
        <f>IFERROR(__xludf.DUMMYFUNCTION("""COMPUTED_VALUE"""),7.7801914)</f>
        <v>7.7801914</v>
      </c>
      <c r="D7196" s="7">
        <f>IFERROR(__xludf.DUMMYFUNCTION("""COMPUTED_VALUE"""),0.326923076923076)</f>
        <v>0.3269230769</v>
      </c>
    </row>
    <row r="7197">
      <c r="A7197" s="10" t="s">
        <v>8636</v>
      </c>
      <c r="B7197" s="7" t="str">
        <f>IFERROR(__xludf.DUMMYFUNCTION("SPLIT(A7197,"" "")"),"CC(C)CN(Cc1ccccn1)Cc1ncccc1C(C)(C)C")</f>
        <v>CC(C)CN(Cc1ccccn1)Cc1ncccc1C(C)(C)C</v>
      </c>
      <c r="C7197" s="7">
        <f>IFERROR(__xludf.DUMMYFUNCTION("""COMPUTED_VALUE"""),7.7801867)</f>
        <v>7.7801867</v>
      </c>
      <c r="D7197" s="7">
        <f>IFERROR(__xludf.DUMMYFUNCTION("""COMPUTED_VALUE"""),0.478260869565217)</f>
        <v>0.4782608696</v>
      </c>
    </row>
    <row r="7198">
      <c r="A7198" s="10" t="s">
        <v>8637</v>
      </c>
      <c r="B7198" s="7" t="str">
        <f>IFERROR(__xludf.DUMMYFUNCTION("SPLIT(A7198,"" "")"),"CCCN(C)Cc1cc(CN(C)Cc2cc(C)ccn2)ccn1")</f>
        <v>CCCN(C)Cc1cc(CN(C)Cc2cc(C)ccn2)ccn1</v>
      </c>
      <c r="C7198" s="7">
        <f>IFERROR(__xludf.DUMMYFUNCTION("""COMPUTED_VALUE"""),7.780179)</f>
        <v>7.780179</v>
      </c>
      <c r="D7198" s="7">
        <f>IFERROR(__xludf.DUMMYFUNCTION("""COMPUTED_VALUE"""),0.422222222222222)</f>
        <v>0.4222222222</v>
      </c>
    </row>
    <row r="7199">
      <c r="A7199" s="10" t="s">
        <v>8638</v>
      </c>
      <c r="B7199" s="7" t="str">
        <f>IFERROR(__xludf.DUMMYFUNCTION("SPLIT(A7199,"" "")"),"Cc1cccc(CN(C)C2CCCC(N(C)Cc3ccccn3)C2N(Cc2nc(C)c(C)cc2C)Cc2nc(C)c(C)c(C)c2C)n1")</f>
        <v>Cc1cccc(CN(C)C2CCCC(N(C)Cc3ccccn3)C2N(Cc2nc(C)c(C)cc2C)Cc2nc(C)c(C)c(C)c2C)n1</v>
      </c>
      <c r="C7199" s="7">
        <f>IFERROR(__xludf.DUMMYFUNCTION("""COMPUTED_VALUE"""),7.780174)</f>
        <v>7.780174</v>
      </c>
      <c r="D7199" s="7">
        <f>IFERROR(__xludf.DUMMYFUNCTION("""COMPUTED_VALUE"""),0.475409836065573)</f>
        <v>0.4754098361</v>
      </c>
    </row>
    <row r="7200">
      <c r="A7200" s="10" t="s">
        <v>8639</v>
      </c>
      <c r="B7200" s="7" t="str">
        <f>IFERROR(__xludf.DUMMYFUNCTION("SPLIT(A7200,"" "")"),"Cc1cc(CN(C)C2CCCC(N(C)Cc3cccc4cccnc34)C2)ccn1")</f>
        <v>Cc1cc(CN(C)C2CCCC(N(C)Cc3cccc4cccnc34)C2)ccn1</v>
      </c>
      <c r="C7200" s="7">
        <f>IFERROR(__xludf.DUMMYFUNCTION("""COMPUTED_VALUE"""),7.780169)</f>
        <v>7.780169</v>
      </c>
      <c r="D7200" s="7">
        <f>IFERROR(__xludf.DUMMYFUNCTION("""COMPUTED_VALUE"""),0.461538461538461)</f>
        <v>0.4615384615</v>
      </c>
    </row>
    <row r="7201">
      <c r="A7201" s="10" t="s">
        <v>8640</v>
      </c>
      <c r="B7201" s="7" t="str">
        <f>IFERROR(__xludf.DUMMYFUNCTION("SPLIT(A7201,"" "")"),"Cc1ccnc(CN(C)Cc2cc(CN(C)C(C)C)ccn2)c1")</f>
        <v>Cc1ccnc(CN(C)Cc2cc(CN(C)C(C)C)ccn2)c1</v>
      </c>
      <c r="C7201" s="7">
        <f>IFERROR(__xludf.DUMMYFUNCTION("""COMPUTED_VALUE"""),7.7801642)</f>
        <v>7.7801642</v>
      </c>
      <c r="D7201" s="7">
        <f>IFERROR(__xludf.DUMMYFUNCTION("""COMPUTED_VALUE"""),0.422222222222222)</f>
        <v>0.4222222222</v>
      </c>
    </row>
    <row r="7202">
      <c r="A7202" s="10" t="s">
        <v>8641</v>
      </c>
      <c r="B7202" s="7" t="str">
        <f>IFERROR(__xludf.DUMMYFUNCTION("SPLIT(A7202,"" "")"),"Cc1cccnc1CN(Cc1cccc(N(C)Cc2ccccn2)c1)C(C)(C)c1cccnc1-c1ccc2c(c1)OCCOCCOCCOCCOCCO2")</f>
        <v>Cc1cccnc1CN(Cc1cccc(N(C)Cc2ccccn2)c1)C(C)(C)c1cccnc1-c1ccc2c(c1)OCCOCCOCCOCCOCCO2</v>
      </c>
      <c r="C7202" s="7">
        <f>IFERROR(__xludf.DUMMYFUNCTION("""COMPUTED_VALUE"""),7.78016)</f>
        <v>7.78016</v>
      </c>
      <c r="D7202" s="7">
        <f>IFERROR(__xludf.DUMMYFUNCTION("""COMPUTED_VALUE"""),0.285714285714285)</f>
        <v>0.2857142857</v>
      </c>
    </row>
    <row r="7203">
      <c r="A7203" s="10" t="s">
        <v>8642</v>
      </c>
      <c r="B7203" s="7" t="str">
        <f>IFERROR(__xludf.DUMMYFUNCTION("SPLIT(A7203,"" "")"),"Cc1ccc(C)c(CN(C)C2=C(CN(C)C(C)C(C)N)NC=CC2)n1")</f>
        <v>Cc1ccc(C)c(CN(C)C2=C(CN(C)C(C)C(C)N)NC=CC2)n1</v>
      </c>
      <c r="C7203" s="7">
        <f>IFERROR(__xludf.DUMMYFUNCTION("""COMPUTED_VALUE"""),7.780159)</f>
        <v>7.780159</v>
      </c>
      <c r="D7203" s="7">
        <f>IFERROR(__xludf.DUMMYFUNCTION("""COMPUTED_VALUE"""),0.220338983050847)</f>
        <v>0.2203389831</v>
      </c>
    </row>
    <row r="7204">
      <c r="A7204" s="10" t="s">
        <v>8643</v>
      </c>
      <c r="B7204" s="7" t="str">
        <f>IFERROR(__xludf.DUMMYFUNCTION("SPLIT(A7204,"" "")"),"CCNCc1cccc(NCc2ccccn2)c1")</f>
        <v>CCNCc1cccc(NCc2ccccn2)c1</v>
      </c>
      <c r="C7204" s="7">
        <f>IFERROR(__xludf.DUMMYFUNCTION("""COMPUTED_VALUE"""),7.780159)</f>
        <v>7.780159</v>
      </c>
      <c r="D7204" s="7">
        <f>IFERROR(__xludf.DUMMYFUNCTION("""COMPUTED_VALUE"""),0.45)</f>
        <v>0.45</v>
      </c>
    </row>
    <row r="7205">
      <c r="A7205" s="10" t="s">
        <v>8644</v>
      </c>
      <c r="B7205" s="7" t="str">
        <f>IFERROR(__xludf.DUMMYFUNCTION("SPLIT(A7205,"" "")"),"Cc1cccc(CN(Cc2ccccn2)C2CC(N(C)Cc3ccccn3)CC(N(C)Cc3nc(C)c(C)c(C)c3C)C2)n1")</f>
        <v>Cc1cccc(CN(Cc2ccccn2)C2CC(N(C)Cc3ccccn3)CC(N(C)Cc3nc(C)c(C)c(C)c3C)C2)n1</v>
      </c>
      <c r="C7205" s="7">
        <f>IFERROR(__xludf.DUMMYFUNCTION("""COMPUTED_VALUE"""),7.780154)</f>
        <v>7.780154</v>
      </c>
      <c r="D7205" s="7">
        <f>IFERROR(__xludf.DUMMYFUNCTION("""COMPUTED_VALUE"""),0.421052631578947)</f>
        <v>0.4210526316</v>
      </c>
    </row>
    <row r="7206">
      <c r="A7206" s="10" t="s">
        <v>8645</v>
      </c>
      <c r="B7206" s="7" t="str">
        <f>IFERROR(__xludf.DUMMYFUNCTION("SPLIT(A7206,"" "")"),"CNCN(Cc1ccc2ccccc2n1)C1CCC(N(C)Cc2nc(C)c(C)c(C)c2C)CC1")</f>
        <v>CNCN(Cc1ccc2ccccc2n1)C1CCC(N(C)Cc2nc(C)c(C)c(C)c2C)CC1</v>
      </c>
      <c r="C7206" s="7">
        <f>IFERROR(__xludf.DUMMYFUNCTION("""COMPUTED_VALUE"""),7.7801514)</f>
        <v>7.7801514</v>
      </c>
      <c r="D7206" s="7">
        <f>IFERROR(__xludf.DUMMYFUNCTION("""COMPUTED_VALUE"""),0.37037037037037)</f>
        <v>0.3703703704</v>
      </c>
    </row>
    <row r="7207">
      <c r="A7207" s="10" t="s">
        <v>8646</v>
      </c>
      <c r="B7207" s="7" t="str">
        <f>IFERROR(__xludf.DUMMYFUNCTION("SPLIT(A7207,"" "")"),"CC1=CC(N(C)Cc2ccccn2)C(C)C(C(C)(C)c2ncccc2CN(Cc2ccccn2)Cc2ccccn2)C1C")</f>
        <v>CC1=CC(N(C)Cc2ccccn2)C(C)C(C(C)(C)c2ncccc2CN(Cc2ccccn2)Cc2ccccn2)C1C</v>
      </c>
      <c r="C7207" s="7">
        <f>IFERROR(__xludf.DUMMYFUNCTION("""COMPUTED_VALUE"""),7.7801366)</f>
        <v>7.7801366</v>
      </c>
      <c r="D7207" s="7">
        <f>IFERROR(__xludf.DUMMYFUNCTION("""COMPUTED_VALUE"""),0.384615384615384)</f>
        <v>0.3846153846</v>
      </c>
    </row>
    <row r="7208">
      <c r="A7208" s="10" t="s">
        <v>8647</v>
      </c>
      <c r="B7208" s="7" t="str">
        <f>IFERROR(__xludf.DUMMYFUNCTION("SPLIT(A7208,"" "")"),"CNCc1ccc(CN(C)Cc2ccccn2)cn1")</f>
        <v>CNCc1ccc(CN(C)Cc2ccccn2)cn1</v>
      </c>
      <c r="C7208" s="7">
        <f>IFERROR(__xludf.DUMMYFUNCTION("""COMPUTED_VALUE"""),7.7801266)</f>
        <v>7.7801266</v>
      </c>
      <c r="D7208" s="7">
        <f>IFERROR(__xludf.DUMMYFUNCTION("""COMPUTED_VALUE"""),0.478260869565217)</f>
        <v>0.4782608696</v>
      </c>
    </row>
    <row r="7209">
      <c r="A7209" s="10" t="s">
        <v>8648</v>
      </c>
      <c r="B7209" s="7" t="str">
        <f>IFERROR(__xludf.DUMMYFUNCTION("SPLIT(A7209,"" "")"),"Cc1ccccc1-c1ncccc1CN(C)C1CCCCC1N(C)Cc1ccon1")</f>
        <v>Cc1ccccc1-c1ncccc1CN(C)C1CCCCC1N(C)Cc1ccon1</v>
      </c>
      <c r="C7209" s="7">
        <f>IFERROR(__xludf.DUMMYFUNCTION("""COMPUTED_VALUE"""),7.780126)</f>
        <v>7.780126</v>
      </c>
      <c r="D7209" s="7">
        <f>IFERROR(__xludf.DUMMYFUNCTION("""COMPUTED_VALUE"""),0.481481481481481)</f>
        <v>0.4814814815</v>
      </c>
    </row>
    <row r="7210">
      <c r="A7210" s="10" t="s">
        <v>8649</v>
      </c>
      <c r="B7210" s="7" t="str">
        <f>IFERROR(__xludf.DUMMYFUNCTION("SPLIT(A7210,"" "")"),"Cc1cccc(CN(Cc2ccccn2)C2=C(CN(C)C3CCC(N(C)Cc4cc(C)c(C)c(C)n4)CC3)NC=CC2)n1")</f>
        <v>Cc1cccc(CN(Cc2ccccn2)C2=C(CN(C)C3CCC(N(C)Cc4cc(C)c(C)c(C)n4)CC3)NC=CC2)n1</v>
      </c>
      <c r="C7210" s="7">
        <f>IFERROR(__xludf.DUMMYFUNCTION("""COMPUTED_VALUE"""),7.780105)</f>
        <v>7.780105</v>
      </c>
      <c r="D7210" s="7">
        <f>IFERROR(__xludf.DUMMYFUNCTION("""COMPUTED_VALUE"""),0.36231884057971)</f>
        <v>0.3623188406</v>
      </c>
    </row>
    <row r="7211">
      <c r="A7211" s="10" t="s">
        <v>8650</v>
      </c>
      <c r="B7211" s="7" t="str">
        <f>IFERROR(__xludf.DUMMYFUNCTION("SPLIT(A7211,"" "")"),"Cc1cc(CN(C)C2CCCCC2N(C)Cc2cccnc2-c2ccccc2)nc(C)c1C")</f>
        <v>Cc1cc(CN(C)C2CCCCC2N(C)Cc2cccnc2-c2ccccc2)nc(C)c1C</v>
      </c>
      <c r="C7211" s="7">
        <f>IFERROR(__xludf.DUMMYFUNCTION("""COMPUTED_VALUE"""),7.7801046)</f>
        <v>7.7801046</v>
      </c>
      <c r="D7211" s="7">
        <f>IFERROR(__xludf.DUMMYFUNCTION("""COMPUTED_VALUE"""),0.481481481481481)</f>
        <v>0.4814814815</v>
      </c>
    </row>
    <row r="7212">
      <c r="A7212" s="10" t="s">
        <v>8651</v>
      </c>
      <c r="B7212" s="7" t="str">
        <f>IFERROR(__xludf.DUMMYFUNCTION("SPLIT(A7212,"" "")"),"CCNC1=C(C)C(c2cc(CN(Cc3ccccn3)Cc3cc(C)ccn3)ccn2)C(C)(C)C(C)(C)C1(C)C")</f>
        <v>CCNC1=C(C)C(c2cc(CN(Cc3ccccn3)Cc3cc(C)ccn3)ccn2)C(C)(C)C(C)(C)C1(C)C</v>
      </c>
      <c r="C7212" s="7">
        <f>IFERROR(__xludf.DUMMYFUNCTION("""COMPUTED_VALUE"""),7.7801037)</f>
        <v>7.7801037</v>
      </c>
      <c r="D7212" s="7">
        <f>IFERROR(__xludf.DUMMYFUNCTION("""COMPUTED_VALUE"""),0.350877192982456)</f>
        <v>0.350877193</v>
      </c>
    </row>
    <row r="7213">
      <c r="A7213" s="10" t="s">
        <v>8652</v>
      </c>
      <c r="B7213" s="7" t="str">
        <f>IFERROR(__xludf.DUMMYFUNCTION("SPLIT(A7213,"" "")"),"Cc1cncc(CN(C)C2CCC(N(Cc3cc(C)c(C)c(C)n3)Cc3nc(C)c(C)c(C)c3C)CC2)c1C")</f>
        <v>Cc1cncc(CN(C)C2CCC(N(Cc3cc(C)c(C)c(C)n3)Cc3nc(C)c(C)c(C)c3C)CC2)c1C</v>
      </c>
      <c r="C7213" s="7">
        <f>IFERROR(__xludf.DUMMYFUNCTION("""COMPUTED_VALUE"""),7.7801)</f>
        <v>7.7801</v>
      </c>
      <c r="D7213" s="7">
        <f>IFERROR(__xludf.DUMMYFUNCTION("""COMPUTED_VALUE"""),0.227272727272727)</f>
        <v>0.2272727273</v>
      </c>
    </row>
    <row r="7214">
      <c r="A7214" s="10" t="s">
        <v>8653</v>
      </c>
      <c r="B7214" s="7" t="str">
        <f>IFERROR(__xludf.DUMMYFUNCTION("SPLIT(A7214,"" "")"),"Cc1cccnc1CN(C)C1CCC(N(Cc2nc(C)c(C)c(C)c2C)Cc2nc(C)c(C)c(C)c2C)CC1")</f>
        <v>Cc1cccnc1CN(C)C1CCC(N(Cc2nc(C)c(C)c(C)c2C)Cc2nc(C)c(C)c(C)c2C)CC1</v>
      </c>
      <c r="C7214" s="7">
        <f>IFERROR(__xludf.DUMMYFUNCTION("""COMPUTED_VALUE"""),7.7800975)</f>
        <v>7.7800975</v>
      </c>
      <c r="D7214" s="7">
        <f>IFERROR(__xludf.DUMMYFUNCTION("""COMPUTED_VALUE"""),0.303571428571428)</f>
        <v>0.3035714286</v>
      </c>
    </row>
    <row r="7215">
      <c r="A7215" s="10" t="s">
        <v>8654</v>
      </c>
      <c r="B7215" s="7" t="str">
        <f>IFERROR(__xludf.DUMMYFUNCTION("SPLIT(A7215,"" "")"),"Cc1ccnc(CN(Cc2ncccc2C)C2CC(N(Cc3ccccn3)Cc3ncccc3C)CCC2N(C)Cc2ncccc2C)c1")</f>
        <v>Cc1ccnc(CN(Cc2ncccc2C)C2CC(N(Cc3ccccn3)Cc3ncccc3C)CCC2N(C)Cc2ncccc2C)c1</v>
      </c>
      <c r="C7215" s="7">
        <f>IFERROR(__xludf.DUMMYFUNCTION("""COMPUTED_VALUE"""),7.7800975)</f>
        <v>7.7800975</v>
      </c>
      <c r="D7215" s="7">
        <f>IFERROR(__xludf.DUMMYFUNCTION("""COMPUTED_VALUE"""),0.448275862068965)</f>
        <v>0.4482758621</v>
      </c>
    </row>
    <row r="7216">
      <c r="A7216" s="10" t="s">
        <v>8655</v>
      </c>
      <c r="B7216" s="7" t="str">
        <f>IFERROR(__xludf.DUMMYFUNCTION("SPLIT(A7216,"" "")"),"CNC1CC(N(C)Cc2cc(C)ccn2)CCC1N(Cc1nc(C)c(C)c(C)c1C)Cc1nc(C)c(C)c(C)c1C")</f>
        <v>CNC1CC(N(C)Cc2cc(C)ccn2)CCC1N(Cc1nc(C)c(C)c(C)c1C)Cc1nc(C)c(C)c(C)c1C</v>
      </c>
      <c r="C7216" s="7">
        <f>IFERROR(__xludf.DUMMYFUNCTION("""COMPUTED_VALUE"""),7.780095)</f>
        <v>7.780095</v>
      </c>
      <c r="D7216" s="7">
        <f>IFERROR(__xludf.DUMMYFUNCTION("""COMPUTED_VALUE"""),0.292307692307692)</f>
        <v>0.2923076923</v>
      </c>
    </row>
    <row r="7217">
      <c r="A7217" s="10" t="s">
        <v>8656</v>
      </c>
      <c r="B7217" s="7" t="str">
        <f>IFERROR(__xludf.DUMMYFUNCTION("SPLIT(A7217,"" "")"),"CN(Cc1ccc2ncccc2c1)Cc1ncccc1-c1ccc2c(c1)OCCOCCOCCOCCOCCO2")</f>
        <v>CN(Cc1ccc2ncccc2c1)Cc1ncccc1-c1ccc2c(c1)OCCOCCOCCOCCOCCO2</v>
      </c>
      <c r="C7217" s="7">
        <f>IFERROR(__xludf.DUMMYFUNCTION("""COMPUTED_VALUE"""),7.780094)</f>
        <v>7.780094</v>
      </c>
      <c r="D7217" s="7">
        <f>IFERROR(__xludf.DUMMYFUNCTION("""COMPUTED_VALUE"""),0.31081081081081)</f>
        <v>0.3108108108</v>
      </c>
    </row>
    <row r="7218">
      <c r="A7218" s="10" t="s">
        <v>8657</v>
      </c>
      <c r="B7218" s="7" t="str">
        <f>IFERROR(__xludf.DUMMYFUNCTION("SPLIT(A7218,"" "")"),"C=C1C=CNC(CN(C)CC2=CCC=CN2)=C1")</f>
        <v>C=C1C=CNC(CN(C)CC2=CCC=CN2)=C1</v>
      </c>
      <c r="C7218" s="7">
        <f>IFERROR(__xludf.DUMMYFUNCTION("""COMPUTED_VALUE"""),7.7800884)</f>
        <v>7.7800884</v>
      </c>
      <c r="D7218" s="7">
        <f>IFERROR(__xludf.DUMMYFUNCTION("""COMPUTED_VALUE"""),0.444444444444444)</f>
        <v>0.4444444444</v>
      </c>
    </row>
    <row r="7219">
      <c r="A7219" s="10" t="s">
        <v>8658</v>
      </c>
      <c r="B7219" s="7" t="str">
        <f>IFERROR(__xludf.DUMMYFUNCTION("SPLIT(A7219,"" "")"),"Cc1cc(CN(C)C2CCCC(N(C)Cc3ccc4cccnc4c3)C2)ccn1")</f>
        <v>Cc1cc(CN(C)C2CCCC(N(C)Cc3ccc4cccnc4c3)C2)ccn1</v>
      </c>
      <c r="C7219" s="7">
        <f>IFERROR(__xludf.DUMMYFUNCTION("""COMPUTED_VALUE"""),7.7800884)</f>
        <v>7.7800884</v>
      </c>
      <c r="D7219" s="7">
        <f>IFERROR(__xludf.DUMMYFUNCTION("""COMPUTED_VALUE"""),0.31578947368421)</f>
        <v>0.3157894737</v>
      </c>
    </row>
    <row r="7220">
      <c r="A7220" s="10" t="s">
        <v>8659</v>
      </c>
      <c r="B7220" s="7" t="str">
        <f>IFERROR(__xludf.DUMMYFUNCTION("SPLIT(A7220,"" "")"),"CC1C=CCC(C)(c2cc(CN(Cc3ccccn3)Cc3cccc(C(C)(C)C)n3)ccn2)C1C")</f>
        <v>CC1C=CCC(C)(c2cc(CN(Cc3ccccn3)Cc3cccc(C(C)(C)C)n3)ccn2)C1C</v>
      </c>
      <c r="C7220" s="7">
        <f>IFERROR(__xludf.DUMMYFUNCTION("""COMPUTED_VALUE"""),7.7800875)</f>
        <v>7.7800875</v>
      </c>
      <c r="D7220" s="7">
        <f>IFERROR(__xludf.DUMMYFUNCTION("""COMPUTED_VALUE"""),0.338983050847457)</f>
        <v>0.3389830508</v>
      </c>
    </row>
    <row r="7221">
      <c r="A7221" s="10" t="s">
        <v>8660</v>
      </c>
      <c r="B7221" s="7" t="str">
        <f>IFERROR(__xludf.DUMMYFUNCTION("SPLIT(A7221,"" "")"),"Cc1cc(C)c(C)c(CN(C)CCNCc2ccccn2)n1")</f>
        <v>Cc1cc(C)c(C)c(CN(C)CCNCc2ccccn2)n1</v>
      </c>
      <c r="C7221" s="7">
        <f>IFERROR(__xludf.DUMMYFUNCTION("""COMPUTED_VALUE"""),7.7800856)</f>
        <v>7.7800856</v>
      </c>
      <c r="D7221" s="7">
        <f>IFERROR(__xludf.DUMMYFUNCTION("""COMPUTED_VALUE"""),0.466666666666666)</f>
        <v>0.4666666667</v>
      </c>
    </row>
    <row r="7222">
      <c r="A7222" s="10" t="s">
        <v>8661</v>
      </c>
      <c r="B7222" s="7" t="str">
        <f>IFERROR(__xludf.DUMMYFUNCTION("SPLIT(A7222,"" "")"),"CC(C)(c1cccc(N(Cc2ccccn2)Cc2ccccn2)c1)c1cccc(-c2ccc3c(c2)OCCOCCOCCOCCOCCO3)n1")</f>
        <v>CC(C)(c1cccc(N(Cc2ccccn2)Cc2ccccn2)c1)c1cccc(-c2ccc3c(c2)OCCOCCOCCOCCOCCO3)n1</v>
      </c>
      <c r="C7222" s="7">
        <f>IFERROR(__xludf.DUMMYFUNCTION("""COMPUTED_VALUE"""),7.780084)</f>
        <v>7.780084</v>
      </c>
      <c r="D7222" s="7">
        <f>IFERROR(__xludf.DUMMYFUNCTION("""COMPUTED_VALUE"""),0.356164383561643)</f>
        <v>0.3561643836</v>
      </c>
    </row>
    <row r="7223">
      <c r="A7223" s="10" t="s">
        <v>8662</v>
      </c>
      <c r="B7223" s="7" t="str">
        <f>IFERROR(__xludf.DUMMYFUNCTION("SPLIT(A7223,"" "")"),"CC(C)(C)c1cccnc1CN(CF)Cc1ncccc1C(C)(C)C")</f>
        <v>CC(C)(C)c1cccnc1CN(CF)Cc1ncccc1C(C)(C)C</v>
      </c>
      <c r="C7223" s="7">
        <f>IFERROR(__xludf.DUMMYFUNCTION("""COMPUTED_VALUE"""),7.780081)</f>
        <v>7.780081</v>
      </c>
      <c r="D7223" s="7">
        <f>IFERROR(__xludf.DUMMYFUNCTION("""COMPUTED_VALUE"""),0.34090909090909)</f>
        <v>0.3409090909</v>
      </c>
    </row>
    <row r="7224">
      <c r="A7224" s="10" t="s">
        <v>8663</v>
      </c>
      <c r="B7224" s="7" t="str">
        <f>IFERROR(__xludf.DUMMYFUNCTION("SPLIT(A7224,"" "")"),"CCN(C)CC1=C(N(C)Cc2ccccn2)CC=CN1")</f>
        <v>CCN(C)CC1=C(N(C)Cc2ccccn2)CC=CN1</v>
      </c>
      <c r="C7224" s="7">
        <f>IFERROR(__xludf.DUMMYFUNCTION("""COMPUTED_VALUE"""),7.7800784)</f>
        <v>7.7800784</v>
      </c>
      <c r="D7224" s="7">
        <f>IFERROR(__xludf.DUMMYFUNCTION("""COMPUTED_VALUE"""),0.425925925925925)</f>
        <v>0.4259259259</v>
      </c>
    </row>
    <row r="7225">
      <c r="A7225" s="10" t="s">
        <v>8664</v>
      </c>
      <c r="B7225" s="7" t="str">
        <f>IFERROR(__xludf.DUMMYFUNCTION("SPLIT(A7225,"" "")"),"CCCN(Cc1ccccn1)C1CCC(N(C)c2ccc3cccnc3c2)CC1")</f>
        <v>CCCN(Cc1ccccn1)C1CCC(N(C)c2ccc3cccnc3c2)CC1</v>
      </c>
      <c r="C7225" s="7">
        <f>IFERROR(__xludf.DUMMYFUNCTION("""COMPUTED_VALUE"""),7.780077)</f>
        <v>7.780077</v>
      </c>
      <c r="D7225" s="7">
        <f>IFERROR(__xludf.DUMMYFUNCTION("""COMPUTED_VALUE"""),0.436363636363636)</f>
        <v>0.4363636364</v>
      </c>
    </row>
    <row r="7226">
      <c r="A7226" s="10" t="s">
        <v>8665</v>
      </c>
      <c r="B7226" s="7" t="str">
        <f>IFERROR(__xludf.DUMMYFUNCTION("SPLIT(A7226,"" "")"),"CCNCc1ncccc1CN(C)Cc1ncccc1C")</f>
        <v>CCNCc1ncccc1CN(C)Cc1ncccc1C</v>
      </c>
      <c r="C7226" s="7">
        <f>IFERROR(__xludf.DUMMYFUNCTION("""COMPUTED_VALUE"""),7.7800727)</f>
        <v>7.7800727</v>
      </c>
      <c r="D7226" s="7">
        <f>IFERROR(__xludf.DUMMYFUNCTION("""COMPUTED_VALUE"""),0.375)</f>
        <v>0.375</v>
      </c>
    </row>
    <row r="7227">
      <c r="A7227" s="10" t="s">
        <v>8666</v>
      </c>
      <c r="B7227" s="7" t="str">
        <f>IFERROR(__xludf.DUMMYFUNCTION("SPLIT(A7227,"" "")"),"Cc1cc(C)c(CN(C)CCN)nc1C")</f>
        <v>Cc1cc(C)c(CN(C)CCN)nc1C</v>
      </c>
      <c r="C7227" s="7">
        <f>IFERROR(__xludf.DUMMYFUNCTION("""COMPUTED_VALUE"""),7.7800636)</f>
        <v>7.7800636</v>
      </c>
      <c r="D7227" s="7">
        <f>IFERROR(__xludf.DUMMYFUNCTION("""COMPUTED_VALUE"""),0.317073170731707)</f>
        <v>0.3170731707</v>
      </c>
    </row>
    <row r="7228">
      <c r="A7228" s="10" t="s">
        <v>8667</v>
      </c>
      <c r="B7228" s="7" t="str">
        <f>IFERROR(__xludf.DUMMYFUNCTION("SPLIT(A7228,"" "")"),"CC(C)N(Cc1ccccn1)C1=CNC(CN(C)C2C=CC=CN2)=CC1")</f>
        <v>CC(C)N(Cc1ccccn1)C1=CNC(CN(C)C2C=CC=CN2)=CC1</v>
      </c>
      <c r="C7228" s="7">
        <f>IFERROR(__xludf.DUMMYFUNCTION("""COMPUTED_VALUE"""),7.7800627)</f>
        <v>7.7800627</v>
      </c>
      <c r="D7228" s="7">
        <f>IFERROR(__xludf.DUMMYFUNCTION("""COMPUTED_VALUE"""),0.412698412698412)</f>
        <v>0.4126984127</v>
      </c>
    </row>
    <row r="7229">
      <c r="A7229" s="10" t="s">
        <v>8668</v>
      </c>
      <c r="B7229" s="7" t="str">
        <f>IFERROR(__xludf.DUMMYFUNCTION("SPLIT(A7229,"" "")"),"COC(=O)C1C(c2cccc(CN(Cc3ccccn3)Cc3cc(-c4ccc5c(c4)OCCOCCOCCOCCOCCO5)ccn3)n2)C(c2ccccn2)CN(C)C1c1ccccn1")</f>
        <v>COC(=O)C1C(c2cccc(CN(Cc3ccccn3)Cc3cc(-c4ccc5c(c4)OCCOCCOCCOCCOCCO5)ccn3)n2)C(c2ccccn2)CN(C)C1c1ccccn1</v>
      </c>
      <c r="C7229" s="7">
        <f>IFERROR(__xludf.DUMMYFUNCTION("""COMPUTED_VALUE"""),7.7800603)</f>
        <v>7.7800603</v>
      </c>
      <c r="D7229" s="7">
        <f>IFERROR(__xludf.DUMMYFUNCTION("""COMPUTED_VALUE"""),0.329545454545454)</f>
        <v>0.3295454545</v>
      </c>
    </row>
    <row r="7230">
      <c r="A7230" s="10" t="s">
        <v>8669</v>
      </c>
      <c r="B7230" s="7" t="str">
        <f>IFERROR(__xludf.DUMMYFUNCTION("SPLIT(A7230,"" "")"),"CN(c1ccc2nc(CF)ccc2c1)C1CCC(N(C)C2C=CC=CN2)CC1")</f>
        <v>CN(c1ccc2nc(CF)ccc2c1)C1CCC(N(C)C2C=CC=CN2)CC1</v>
      </c>
      <c r="C7230" s="7">
        <f>IFERROR(__xludf.DUMMYFUNCTION("""COMPUTED_VALUE"""),7.780051)</f>
        <v>7.780051</v>
      </c>
      <c r="D7230" s="7">
        <f>IFERROR(__xludf.DUMMYFUNCTION("""COMPUTED_VALUE"""),0.323076923076923)</f>
        <v>0.3230769231</v>
      </c>
    </row>
    <row r="7231">
      <c r="A7231" s="10" t="s">
        <v>8670</v>
      </c>
      <c r="B7231" s="7" t="str">
        <f>IFERROR(__xludf.DUMMYFUNCTION("SPLIT(A7231,"" "")"),"Cc1ccc(CN(C2CCC(N(Cc3ccccn3)c3cccc4ncc(CF)cc34)CC2)C2CCC(N(Cc3ccccn3)C(C)(C)C)CC2)nc1")</f>
        <v>Cc1ccc(CN(C2CCC(N(Cc3ccccn3)c3cccc4ncc(CF)cc34)CC2)C2CCC(N(Cc3ccccn3)C(C)(C)C)CC2)nc1</v>
      </c>
      <c r="C7231" s="7">
        <f>IFERROR(__xludf.DUMMYFUNCTION("""COMPUTED_VALUE"""),7.7800508)</f>
        <v>7.7800508</v>
      </c>
      <c r="D7231" s="7">
        <f>IFERROR(__xludf.DUMMYFUNCTION("""COMPUTED_VALUE"""),0.293333333333333)</f>
        <v>0.2933333333</v>
      </c>
    </row>
    <row r="7232">
      <c r="A7232" s="10" t="s">
        <v>8671</v>
      </c>
      <c r="B7232" s="7" t="str">
        <f>IFERROR(__xludf.DUMMYFUNCTION("SPLIT(A7232,"" "")"),"CC1=CC(C)C(C)(c2cccc(CN(Cc3ccccn3)Cc3ccccn3)n2)CC1")</f>
        <v>CC1=CC(C)C(C)(c2cccc(CN(Cc3ccccn3)Cc3ccccn3)n2)CC1</v>
      </c>
      <c r="C7232" s="7">
        <f>IFERROR(__xludf.DUMMYFUNCTION("""COMPUTED_VALUE"""),7.7800503)</f>
        <v>7.7800503</v>
      </c>
      <c r="D7232" s="7">
        <f>IFERROR(__xludf.DUMMYFUNCTION("""COMPUTED_VALUE"""),0.444444444444444)</f>
        <v>0.4444444444</v>
      </c>
    </row>
    <row r="7233">
      <c r="A7233" s="10" t="s">
        <v>8672</v>
      </c>
      <c r="B7233" s="7" t="str">
        <f>IFERROR(__xludf.DUMMYFUNCTION("SPLIT(A7233,"" "")"),"Cc1cccc(CN(C)C2CCCC(N(Cc3cc(C)c(C)c(C)n3)Cc3nc(C)c(C)c(C)c3C)C2N(C)Cc2ccccn2)n1")</f>
        <v>Cc1cccc(CN(C)C2CCCC(N(Cc3cc(C)c(C)c(C)n3)Cc3nc(C)c(C)c(C)c3C)C2N(C)Cc2ccccn2)n1</v>
      </c>
      <c r="C7233" s="7">
        <f>IFERROR(__xludf.DUMMYFUNCTION("""COMPUTED_VALUE"""),7.78004)</f>
        <v>7.78004</v>
      </c>
      <c r="D7233" s="7">
        <f>IFERROR(__xludf.DUMMYFUNCTION("""COMPUTED_VALUE"""),0.453125)</f>
        <v>0.453125</v>
      </c>
    </row>
    <row r="7234">
      <c r="A7234" s="10" t="s">
        <v>8673</v>
      </c>
      <c r="B7234" s="7" t="str">
        <f>IFERROR(__xludf.DUMMYFUNCTION("SPLIT(A7234,"" "")"),"CNCc1ncccc1-c1cccc(CN(C)C2CCCC(N(C)Cc3cccc(C)n3)C2)n1")</f>
        <v>CNCc1ncccc1-c1cccc(CN(C)C2CCCC(N(C)Cc3cccc(C)n3)C2)n1</v>
      </c>
      <c r="C7234" s="7">
        <f>IFERROR(__xludf.DUMMYFUNCTION("""COMPUTED_VALUE"""),7.7800374)</f>
        <v>7.7800374</v>
      </c>
      <c r="D7234" s="7">
        <f>IFERROR(__xludf.DUMMYFUNCTION("""COMPUTED_VALUE"""),0.456140350877192)</f>
        <v>0.4561403509</v>
      </c>
    </row>
    <row r="7235">
      <c r="A7235" s="10" t="s">
        <v>8674</v>
      </c>
      <c r="B7235" s="7" t="str">
        <f>IFERROR(__xludf.DUMMYFUNCTION("SPLIT(A7235,"" "")"),"Cc1cncc(CN(C)C2CCCC(N(Cc3nc(C)c(C)c(C)c3C)Cc3nc(C)c(C)c(C)c3C)C2)c1")</f>
        <v>Cc1cncc(CN(C)C2CCCC(N(Cc3nc(C)c(C)c(C)c3C)Cc3nc(C)c(C)c(C)c3C)C2)c1</v>
      </c>
      <c r="C7235" s="7">
        <f>IFERROR(__xludf.DUMMYFUNCTION("""COMPUTED_VALUE"""),7.780036)</f>
        <v>7.780036</v>
      </c>
      <c r="D7235" s="7">
        <f>IFERROR(__xludf.DUMMYFUNCTION("""COMPUTED_VALUE"""),0.262295081967213)</f>
        <v>0.262295082</v>
      </c>
    </row>
    <row r="7236">
      <c r="A7236" s="10" t="s">
        <v>8675</v>
      </c>
      <c r="B7236" s="7" t="str">
        <f>IFERROR(__xludf.DUMMYFUNCTION("SPLIT(A7236,"" "")"),"Cc1cncc(CN(Cc2ccccn2)C2CCCC(N(Cc3ccccn3)c3ccccc3F)C2)c1C")</f>
        <v>Cc1cncc(CN(Cc2ccccn2)C2CCCC(N(Cc3ccccn3)c3ccccc3F)C2)c1C</v>
      </c>
      <c r="C7236" s="7">
        <f>IFERROR(__xludf.DUMMYFUNCTION("""COMPUTED_VALUE"""),7.7800336)</f>
        <v>7.7800336</v>
      </c>
      <c r="D7236" s="7">
        <f>IFERROR(__xludf.DUMMYFUNCTION("""COMPUTED_VALUE"""),0.349206349206349)</f>
        <v>0.3492063492</v>
      </c>
    </row>
    <row r="7237">
      <c r="A7237" s="10" t="s">
        <v>8676</v>
      </c>
      <c r="B7237" s="7" t="str">
        <f>IFERROR(__xludf.DUMMYFUNCTION("SPLIT(A7237,"" "")"),"Cc1cccc(CN(C)C2C(N(C)Cc3ccccn3)CCCC2N(Cc2cc(C)c(C)c(C)n2)Cc2nc(C)c(C)c(C)c2C)n1")</f>
        <v>Cc1cccc(CN(C)C2C(N(C)Cc3ccccn3)CCCC2N(Cc2cc(C)c(C)c(C)n2)Cc2nc(C)c(C)c(C)c2C)n1</v>
      </c>
      <c r="C7237" s="7">
        <f>IFERROR(__xludf.DUMMYFUNCTION("""COMPUTED_VALUE"""),7.780033)</f>
        <v>7.780033</v>
      </c>
      <c r="D7237" s="7">
        <f>IFERROR(__xludf.DUMMYFUNCTION("""COMPUTED_VALUE"""),0.453125)</f>
        <v>0.453125</v>
      </c>
    </row>
    <row r="7238">
      <c r="A7238" s="10" t="s">
        <v>8677</v>
      </c>
      <c r="B7238" s="7" t="str">
        <f>IFERROR(__xludf.DUMMYFUNCTION("SPLIT(A7238,"" "")"),"Cc1ccc(CN(C)C2CCC(N(Cc3cccc(C)n3)Cc3cccc(CN(Cc4ccccn4)Cc4ccc(C)c(C)n4)n3)CC2)nc1")</f>
        <v>Cc1ccc(CN(C)C2CCC(N(Cc3cccc(C)n3)Cc3cccc(CN(Cc4ccccn4)Cc4ccc(C)c(C)n4)n3)CC2)nc1</v>
      </c>
      <c r="C7238" s="7">
        <f>IFERROR(__xludf.DUMMYFUNCTION("""COMPUTED_VALUE"""),7.7800307)</f>
        <v>7.7800307</v>
      </c>
      <c r="D7238" s="7">
        <f>IFERROR(__xludf.DUMMYFUNCTION("""COMPUTED_VALUE"""),0.396825396825396)</f>
        <v>0.3968253968</v>
      </c>
    </row>
    <row r="7239">
      <c r="A7239" s="10" t="s">
        <v>8678</v>
      </c>
      <c r="B7239" s="7" t="str">
        <f>IFERROR(__xludf.DUMMYFUNCTION("SPLIT(A7239,"" "")"),"CCN(Cc1cccc(CN(Cc2cc(C)c([SiH3])cn2)C2CCCCC2N(C)Cc2nc(C)c(C)c(C)c2C)n1)Cc1nc(C)c(C)c(C)c1C")</f>
        <v>CCN(Cc1cccc(CN(Cc2cc(C)c([SiH3])cn2)C2CCCCC2N(C)Cc2nc(C)c(C)c(C)c2C)n1)Cc1nc(C)c(C)c(C)c1C</v>
      </c>
      <c r="C7239" s="7">
        <f>IFERROR(__xludf.DUMMYFUNCTION("""COMPUTED_VALUE"""),7.780005)</f>
        <v>7.780005</v>
      </c>
      <c r="D7239" s="7">
        <f>IFERROR(__xludf.DUMMYFUNCTION("""COMPUTED_VALUE"""),0.393939393939393)</f>
        <v>0.3939393939</v>
      </c>
    </row>
    <row r="7240">
      <c r="A7240" s="10" t="s">
        <v>8679</v>
      </c>
      <c r="B7240" s="7" t="str">
        <f>IFERROR(__xludf.DUMMYFUNCTION("SPLIT(A7240,"" "")"),"CC(C)N(C)C1=C(CN(C)C)NC=CC1")</f>
        <v>CC(C)N(C)C1=C(CN(C)C)NC=CC1</v>
      </c>
      <c r="C7240" s="7">
        <f>IFERROR(__xludf.DUMMYFUNCTION("""COMPUTED_VALUE"""),7.7799935)</f>
        <v>7.7799935</v>
      </c>
      <c r="D7240" s="7">
        <f>IFERROR(__xludf.DUMMYFUNCTION("""COMPUTED_VALUE"""),0.217391304347826)</f>
        <v>0.2173913043</v>
      </c>
    </row>
    <row r="7241">
      <c r="A7241" s="10" t="s">
        <v>8680</v>
      </c>
      <c r="B7241" s="7" t="str">
        <f>IFERROR(__xludf.DUMMYFUNCTION("SPLIT(A7241,"" "")"),"Cc1ccc(C)nc1")</f>
        <v>Cc1ccc(C)nc1</v>
      </c>
      <c r="C7241" s="7">
        <f>IFERROR(__xludf.DUMMYFUNCTION("""COMPUTED_VALUE"""),7.7799926)</f>
        <v>7.7799926</v>
      </c>
      <c r="D7241" s="7">
        <f>IFERROR(__xludf.DUMMYFUNCTION("""COMPUTED_VALUE"""),0.413793103448275)</f>
        <v>0.4137931034</v>
      </c>
    </row>
    <row r="7242">
      <c r="A7242" s="10" t="s">
        <v>8681</v>
      </c>
      <c r="B7242" s="7" t="str">
        <f>IFERROR(__xludf.DUMMYFUNCTION("SPLIT(A7242,"" "")"),"Cc1cccc(C)c1N(C)CCN(C)CC(C)(C)C")</f>
        <v>Cc1cccc(C)c1N(C)CCN(C)CC(C)(C)C</v>
      </c>
      <c r="C7242" s="7">
        <f>IFERROR(__xludf.DUMMYFUNCTION("""COMPUTED_VALUE"""),7.779982)</f>
        <v>7.779982</v>
      </c>
      <c r="D7242" s="7">
        <f>IFERROR(__xludf.DUMMYFUNCTION("""COMPUTED_VALUE"""),0.325)</f>
        <v>0.325</v>
      </c>
    </row>
    <row r="7243">
      <c r="A7243" s="10" t="s">
        <v>8682</v>
      </c>
      <c r="B7243" s="7" t="str">
        <f>IFERROR(__xludf.DUMMYFUNCTION("SPLIT(A7243,"" "")"),"COC(=O)C1CN(C)C(c2cccc(CN(Cc3ccccn3)Cc3cc(-c4ccc5c(c4)OCCOCCOCCOCCOCCO5)ccn3)n2)C(c2ccccn2)C1c1ccccn1")</f>
        <v>COC(=O)C1CN(C)C(c2cccc(CN(Cc3ccccn3)Cc3cc(-c4ccc5c(c4)OCCOCCOCCOCCOCCO5)ccn3)n2)C(c2ccccn2)C1c1ccccn1</v>
      </c>
      <c r="C7243" s="7">
        <f>IFERROR(__xludf.DUMMYFUNCTION("""COMPUTED_VALUE"""),7.7799783)</f>
        <v>7.7799783</v>
      </c>
      <c r="D7243" s="7">
        <f>IFERROR(__xludf.DUMMYFUNCTION("""COMPUTED_VALUE"""),0.341176470588235)</f>
        <v>0.3411764706</v>
      </c>
    </row>
    <row r="7244">
      <c r="A7244" s="10" t="s">
        <v>8683</v>
      </c>
      <c r="B7244" s="7" t="str">
        <f>IFERROR(__xludf.DUMMYFUNCTION("SPLIT(A7244,"" "")"),"CC(C)NCc1ccc(CN(C)Cc2ccccn2)cn1")</f>
        <v>CC(C)NCc1ccc(CN(C)Cc2ccccn2)cn1</v>
      </c>
      <c r="C7244" s="7">
        <f>IFERROR(__xludf.DUMMYFUNCTION("""COMPUTED_VALUE"""),7.7799673)</f>
        <v>7.7799673</v>
      </c>
      <c r="D7244" s="7">
        <f>IFERROR(__xludf.DUMMYFUNCTION("""COMPUTED_VALUE"""),0.448979591836734)</f>
        <v>0.4489795918</v>
      </c>
    </row>
    <row r="7245">
      <c r="A7245" s="10" t="s">
        <v>8684</v>
      </c>
      <c r="B7245" s="7" t="str">
        <f>IFERROR(__xludf.DUMMYFUNCTION("SPLIT(A7245,"" "")"),"CC(C)NCc1ncccc1CN(C)Cc1ccccn1")</f>
        <v>CC(C)NCc1ncccc1CN(C)Cc1ccccn1</v>
      </c>
      <c r="C7245" s="7">
        <f>IFERROR(__xludf.DUMMYFUNCTION("""COMPUTED_VALUE"""),7.779965)</f>
        <v>7.779965</v>
      </c>
      <c r="D7245" s="7">
        <f>IFERROR(__xludf.DUMMYFUNCTION("""COMPUTED_VALUE"""),0.458333333333333)</f>
        <v>0.4583333333</v>
      </c>
    </row>
    <row r="7246">
      <c r="A7246" s="10" t="s">
        <v>8685</v>
      </c>
      <c r="B7246" s="7" t="str">
        <f>IFERROR(__xludf.DUMMYFUNCTION("SPLIT(A7246,"" "")"),"CNCc1ccc(C)c(CN(Cc2nc(C)c(C)c(C)c2C)C2CCC(N(C)Cc3nc(C)c(C)c(C)c3C)CC2)n1")</f>
        <v>CNCc1ccc(C)c(CN(Cc2nc(C)c(C)c(C)c2C)C2CCC(N(C)Cc3nc(C)c(C)c(C)c3C)CC2)n1</v>
      </c>
      <c r="C7246" s="7">
        <f>IFERROR(__xludf.DUMMYFUNCTION("""COMPUTED_VALUE"""),7.779965)</f>
        <v>7.779965</v>
      </c>
      <c r="D7246" s="7">
        <f>IFERROR(__xludf.DUMMYFUNCTION("""COMPUTED_VALUE"""),0.258064516129032)</f>
        <v>0.2580645161</v>
      </c>
    </row>
    <row r="7247">
      <c r="A7247" s="10" t="s">
        <v>8686</v>
      </c>
      <c r="B7247" s="7" t="str">
        <f>IFERROR(__xludf.DUMMYFUNCTION("SPLIT(A7247,"" "")"),"CNc1cc(F)c(Cl)cc1N(Cc1cc(C)ccn1)C1CCCCC1")</f>
        <v>CNc1cc(F)c(Cl)cc1N(Cc1cc(C)ccn1)C1CCCCC1</v>
      </c>
      <c r="C7247" s="7">
        <f>IFERROR(__xludf.DUMMYFUNCTION("""COMPUTED_VALUE"""),7.7799644)</f>
        <v>7.7799644</v>
      </c>
      <c r="D7247" s="7">
        <f>IFERROR(__xludf.DUMMYFUNCTION("""COMPUTED_VALUE"""),0.295081967213114)</f>
        <v>0.2950819672</v>
      </c>
    </row>
    <row r="7248">
      <c r="A7248" s="10" t="s">
        <v>8687</v>
      </c>
      <c r="B7248" s="7" t="str">
        <f>IFERROR(__xludf.DUMMYFUNCTION("SPLIT(A7248,"" "")"),"CCNC(C)N(Cc1ccccn1)C1CCC(N(C)c2cccc3ncccc23)CC1")</f>
        <v>CCNC(C)N(Cc1ccccn1)C1CCC(N(C)c2cccc3ncccc23)CC1</v>
      </c>
      <c r="C7248" s="7">
        <f>IFERROR(__xludf.DUMMYFUNCTION("""COMPUTED_VALUE"""),7.77996)</f>
        <v>7.77996</v>
      </c>
      <c r="D7248" s="7">
        <f>IFERROR(__xludf.DUMMYFUNCTION("""COMPUTED_VALUE"""),0.360655737704918)</f>
        <v>0.3606557377</v>
      </c>
    </row>
    <row r="7249">
      <c r="A7249" s="10" t="s">
        <v>8688</v>
      </c>
      <c r="B7249" s="7" t="str">
        <f>IFERROR(__xludf.DUMMYFUNCTION("SPLIT(A7249,"" "")"),"Cc1cnc(CN(Cc2nc(C)c(C)c(C)c2C)C2CCCCC2N(C)Cc2nc(C)c(C)c(C)c2C)cc1C")</f>
        <v>Cc1cnc(CN(Cc2nc(C)c(C)c(C)c2C)C2CCCCC2N(C)Cc2nc(C)c(C)c(C)c2C)cc1C</v>
      </c>
      <c r="C7249" s="7">
        <f>IFERROR(__xludf.DUMMYFUNCTION("""COMPUTED_VALUE"""),7.7799573)</f>
        <v>7.7799573</v>
      </c>
      <c r="D7249" s="7">
        <f>IFERROR(__xludf.DUMMYFUNCTION("""COMPUTED_VALUE"""),0.452830188679245)</f>
        <v>0.4528301887</v>
      </c>
    </row>
    <row r="7250">
      <c r="A7250" s="10" t="s">
        <v>8689</v>
      </c>
      <c r="B7250" s="7" t="str">
        <f>IFERROR(__xludf.DUMMYFUNCTION("SPLIT(A7250,"" "")"),"CNC1CC(N(Cc2ncccc2C)Cc2ncccc2C)CC(N(Cc2ncccc2C)Cc2ncccc2C)C1N(Cc1ncccc1C)C(C)C")</f>
        <v>CNC1CC(N(Cc2ncccc2C)Cc2ncccc2C)CC(N(Cc2ncccc2C)Cc2ncccc2C)C1N(Cc1ncccc1C)C(C)C</v>
      </c>
      <c r="C7250" s="7">
        <f>IFERROR(__xludf.DUMMYFUNCTION("""COMPUTED_VALUE"""),7.779957)</f>
        <v>7.779957</v>
      </c>
      <c r="D7250" s="7">
        <f>IFERROR(__xludf.DUMMYFUNCTION("""COMPUTED_VALUE"""),0.25)</f>
        <v>0.25</v>
      </c>
    </row>
    <row r="7251">
      <c r="A7251" s="10" t="s">
        <v>8690</v>
      </c>
      <c r="B7251" s="7" t="str">
        <f>IFERROR(__xludf.DUMMYFUNCTION("SPLIT(A7251,"" "")"),"Cc1ccc(CN(C)C2CCC(N(Cc3ccccn3)Cc3ncccc3C)CC2N(Cc2cccc(C)n2)Cc2ncccc2C)nc1")</f>
        <v>Cc1ccc(CN(C)C2CCC(N(Cc3ccccn3)Cc3ncccc3C)CC2N(Cc2cccc(C)n2)Cc2ncccc2C)nc1</v>
      </c>
      <c r="C7251" s="7">
        <f>IFERROR(__xludf.DUMMYFUNCTION("""COMPUTED_VALUE"""),7.779941)</f>
        <v>7.779941</v>
      </c>
      <c r="D7251" s="7">
        <f>IFERROR(__xludf.DUMMYFUNCTION("""COMPUTED_VALUE"""),0.4375)</f>
        <v>0.4375</v>
      </c>
    </row>
    <row r="7252">
      <c r="A7252" s="10" t="s">
        <v>8691</v>
      </c>
      <c r="B7252" s="7" t="str">
        <f>IFERROR(__xludf.DUMMYFUNCTION("SPLIT(A7252,"" "")"),"Cc1nc(CN(Cc2nc(C)c(C)c(C)c2C)C2CCCCC2N(Cc2ccccn2)Cc2ccc(F)cn2)c(C)c(C)c1C")</f>
        <v>Cc1nc(CN(Cc2nc(C)c(C)c(C)c2C)C2CCCCC2N(Cc2ccccn2)Cc2ccc(F)cn2)c(C)c(C)c1C</v>
      </c>
      <c r="C7252" s="7">
        <f>IFERROR(__xludf.DUMMYFUNCTION("""COMPUTED_VALUE"""),7.7799397)</f>
        <v>7.7799397</v>
      </c>
      <c r="D7252" s="7">
        <f>IFERROR(__xludf.DUMMYFUNCTION("""COMPUTED_VALUE"""),0.454545454545454)</f>
        <v>0.4545454545</v>
      </c>
    </row>
    <row r="7253">
      <c r="A7253" s="10" t="s">
        <v>8692</v>
      </c>
      <c r="B7253" s="7" t="str">
        <f>IFERROR(__xludf.DUMMYFUNCTION("SPLIT(A7253,"" "")"),"Cc1cccnc1CN1CCN(C)CCN(Cc2ccc(-c3cccc(NCc4ccccn4)c3)nc2)CC1")</f>
        <v>Cc1cccnc1CN1CCN(C)CCN(Cc2ccc(-c3cccc(NCc4ccccn4)c3)nc2)CC1</v>
      </c>
      <c r="C7253" s="7">
        <f>IFERROR(__xludf.DUMMYFUNCTION("""COMPUTED_VALUE"""),7.779932)</f>
        <v>7.779932</v>
      </c>
      <c r="D7253" s="7">
        <f>IFERROR(__xludf.DUMMYFUNCTION("""COMPUTED_VALUE"""),0.419354838709677)</f>
        <v>0.4193548387</v>
      </c>
    </row>
    <row r="7254">
      <c r="A7254" s="10" t="s">
        <v>8693</v>
      </c>
      <c r="B7254" s="7" t="str">
        <f>IFERROR(__xludf.DUMMYFUNCTION("SPLIT(A7254,"" "")"),"Cc1cccc(N(C)Cc2ccccn2)c1-c1cccc(CN(Cc2ccccn2)C2CCCC(N(C)Cc3ccc(-c4ccc5c(c4)OCCOCCOCCOCCOCCO5)cn3)C2)n1")</f>
        <v>Cc1cccc(N(C)Cc2ccccn2)c1-c1cccc(CN(Cc2ccccn2)C2CCCC(N(C)Cc3ccc(-c4ccc5c(c4)OCCOCCOCCOCCOCCO5)cn3)C2)n1</v>
      </c>
      <c r="C7254" s="7">
        <f>IFERROR(__xludf.DUMMYFUNCTION("""COMPUTED_VALUE"""),7.779925)</f>
        <v>7.779925</v>
      </c>
      <c r="D7254" s="7">
        <f>IFERROR(__xludf.DUMMYFUNCTION("""COMPUTED_VALUE"""),0.379310344827586)</f>
        <v>0.3793103448</v>
      </c>
    </row>
    <row r="7255">
      <c r="A7255" s="10" t="s">
        <v>8694</v>
      </c>
      <c r="B7255" s="7" t="str">
        <f>IFERROR(__xludf.DUMMYFUNCTION("SPLIT(A7255,"" "")"),"Cc1cc(CN(Cc2nc(C)c(C)c(C)c2C)C2CCCCC2N(Cc2ccc(F)nc2)Cc2ccccn2)nc(C)c1C")</f>
        <v>Cc1cc(CN(Cc2nc(C)c(C)c(C)c2C)C2CCCCC2N(Cc2ccc(F)nc2)Cc2ccccn2)nc(C)c1C</v>
      </c>
      <c r="C7255" s="7">
        <f>IFERROR(__xludf.DUMMYFUNCTION("""COMPUTED_VALUE"""),7.7799163)</f>
        <v>7.7799163</v>
      </c>
      <c r="D7255" s="7">
        <f>IFERROR(__xludf.DUMMYFUNCTION("""COMPUTED_VALUE"""),0.384615384615384)</f>
        <v>0.3846153846</v>
      </c>
    </row>
    <row r="7256">
      <c r="A7256" s="10" t="s">
        <v>8695</v>
      </c>
      <c r="B7256" s="7" t="str">
        <f>IFERROR(__xludf.DUMMYFUNCTION("SPLIT(A7256,"" "")"),"Cc1cccnc1CN(CN1CCN(C)CCN(Cc2ccc(-c3cccc(N=Cc4ccccn4)c3)cn2)CC1)C(C)C")</f>
        <v>Cc1cccnc1CN(CN1CCN(C)CCN(Cc2ccc(-c3cccc(N=Cc4ccccn4)c3)cn2)CC1)C(C)C</v>
      </c>
      <c r="C7256" s="7">
        <f>IFERROR(__xludf.DUMMYFUNCTION("""COMPUTED_VALUE"""),7.779916)</f>
        <v>7.779916</v>
      </c>
      <c r="D7256" s="7">
        <f>IFERROR(__xludf.DUMMYFUNCTION("""COMPUTED_VALUE"""),0.361111111111111)</f>
        <v>0.3611111111</v>
      </c>
    </row>
    <row r="7257">
      <c r="A7257" s="10" t="s">
        <v>8696</v>
      </c>
      <c r="B7257" s="7" t="str">
        <f>IFERROR(__xludf.DUMMYFUNCTION("SPLIT(A7257,"" "")"),"CN(Cc1ncccc1-c1ccc2c(c1)OCCOCCOCCOCCOCCO2)C1CCC(N(C)Cc2ncccc2-c2ccc3ncccc3c2)CC1")</f>
        <v>CN(Cc1ncccc1-c1ccc2c(c1)OCCOCCOCCOCCOCCO2)C1CCC(N(C)Cc2ncccc2-c2ccc3ncccc3c2)CC1</v>
      </c>
      <c r="C7257" s="7">
        <f>IFERROR(__xludf.DUMMYFUNCTION("""COMPUTED_VALUE"""),7.7799153)</f>
        <v>7.7799153</v>
      </c>
      <c r="D7257" s="7">
        <f>IFERROR(__xludf.DUMMYFUNCTION("""COMPUTED_VALUE"""),0.342465753424657)</f>
        <v>0.3424657534</v>
      </c>
    </row>
    <row r="7258">
      <c r="A7258" s="10" t="s">
        <v>8697</v>
      </c>
      <c r="B7258" s="7" t="str">
        <f>IFERROR(__xludf.DUMMYFUNCTION("SPLIT(A7258,"" "")"),"CC1C=CC(C)C(C)(c2ccc(CN(Cc3ccccn3)Cc3ccccn3)cn2)C1")</f>
        <v>CC1C=CC(C)C(C)(c2ccc(CN(Cc3ccccn3)Cc3ccccn3)cn2)C1</v>
      </c>
      <c r="C7258" s="7">
        <f>IFERROR(__xludf.DUMMYFUNCTION("""COMPUTED_VALUE"""),7.7799134)</f>
        <v>7.7799134</v>
      </c>
      <c r="D7258" s="7">
        <f>IFERROR(__xludf.DUMMYFUNCTION("""COMPUTED_VALUE"""),0.425531914893617)</f>
        <v>0.4255319149</v>
      </c>
    </row>
    <row r="7259">
      <c r="A7259" s="10" t="s">
        <v>8698</v>
      </c>
      <c r="B7259" s="7" t="str">
        <f>IFERROR(__xludf.DUMMYFUNCTION("SPLIT(A7259,"" "")"),"Cc1cccnc1CN(CCF)C1CCCCC1N(C)c1ccc2nc(CF)ccc2c1")</f>
        <v>Cc1cccnc1CN(CCF)C1CCCCC1N(C)c1ccc2nc(CF)ccc2c1</v>
      </c>
      <c r="C7259" s="7">
        <f>IFERROR(__xludf.DUMMYFUNCTION("""COMPUTED_VALUE"""),7.7799067)</f>
        <v>7.7799067</v>
      </c>
      <c r="D7259" s="7">
        <f>IFERROR(__xludf.DUMMYFUNCTION("""COMPUTED_VALUE"""),0.43076923076923)</f>
        <v>0.4307692308</v>
      </c>
    </row>
    <row r="7260">
      <c r="A7260" s="10" t="s">
        <v>8699</v>
      </c>
      <c r="B7260" s="7" t="str">
        <f>IFERROR(__xludf.DUMMYFUNCTION("SPLIT(A7260,"" "")"),"CN(CC1=CCC=CN1)C1CCCCC1N(C)c1ccc2nc(CF)ccc2c1")</f>
        <v>CN(CC1=CCC=CN1)C1CCCCC1N(C)c1ccc2nc(CF)ccc2c1</v>
      </c>
      <c r="C7260" s="7">
        <f>IFERROR(__xludf.DUMMYFUNCTION("""COMPUTED_VALUE"""),7.779903)</f>
        <v>7.779903</v>
      </c>
      <c r="D7260" s="7">
        <f>IFERROR(__xludf.DUMMYFUNCTION("""COMPUTED_VALUE"""),0.428571428571428)</f>
        <v>0.4285714286</v>
      </c>
    </row>
    <row r="7261">
      <c r="A7261" s="10" t="s">
        <v>8700</v>
      </c>
      <c r="B7261" s="7" t="str">
        <f>IFERROR(__xludf.DUMMYFUNCTION("SPLIT(A7261,"" "")"),"CC1=CC(C)C(C)(c2ncccc2CN(Cc2ccccn2)Cc2ccccn2)C(C)(C)C1")</f>
        <v>CC1=CC(C)C(C)(c2ncccc2CN(Cc2ccccn2)Cc2ccccn2)C(C)(C)C1</v>
      </c>
      <c r="C7261" s="7">
        <f>IFERROR(__xludf.DUMMYFUNCTION("""COMPUTED_VALUE"""),7.7798853)</f>
        <v>7.7798853</v>
      </c>
      <c r="D7261" s="7">
        <f>IFERROR(__xludf.DUMMYFUNCTION("""COMPUTED_VALUE"""),0.434782608695652)</f>
        <v>0.4347826087</v>
      </c>
    </row>
    <row r="7262">
      <c r="A7262" s="10" t="s">
        <v>8701</v>
      </c>
      <c r="B7262" s="7" t="str">
        <f>IFERROR(__xludf.DUMMYFUNCTION("SPLIT(A7262,"" "")"),"COC(=O)C1C(c2ccccn2)CC(C(C)(C)NCc2ccccn2)N(C)C1c1ccccn1")</f>
        <v>COC(=O)C1C(c2ccccn2)CC(C(C)(C)NCc2ccccn2)N(C)C1c1ccccn1</v>
      </c>
      <c r="C7262" s="7">
        <f>IFERROR(__xludf.DUMMYFUNCTION("""COMPUTED_VALUE"""),7.7798834)</f>
        <v>7.7798834</v>
      </c>
      <c r="D7262" s="7">
        <f>IFERROR(__xludf.DUMMYFUNCTION("""COMPUTED_VALUE"""),0.357142857142857)</f>
        <v>0.3571428571</v>
      </c>
    </row>
    <row r="7263">
      <c r="A7263" s="10" t="s">
        <v>8702</v>
      </c>
      <c r="B7263" s="7" t="str">
        <f>IFERROR(__xludf.DUMMYFUNCTION("SPLIT(A7263,"" "")"),"CCC1=CCC(C)(C)C2(C(C)=CCC(c3cccc(CN(Cc4ccccn4)Cc4ccccn4)n3)C2C)C12C(C)C=CCC2C")</f>
        <v>CCC1=CCC(C)(C)C2(C(C)=CCC(c3cccc(CN(Cc4ccccn4)Cc4ccccn4)n3)C2C)C12C(C)C=CCC2C</v>
      </c>
      <c r="C7263" s="7">
        <f>IFERROR(__xludf.DUMMYFUNCTION("""COMPUTED_VALUE"""),7.77988)</f>
        <v>7.77988</v>
      </c>
      <c r="D7263" s="7">
        <f>IFERROR(__xludf.DUMMYFUNCTION("""COMPUTED_VALUE"""),0.307692307692307)</f>
        <v>0.3076923077</v>
      </c>
    </row>
    <row r="7264">
      <c r="A7264" s="10" t="s">
        <v>8703</v>
      </c>
      <c r="B7264" s="7" t="str">
        <f>IFERROR(__xludf.DUMMYFUNCTION("SPLIT(A7264,"" "")"),"CCNCCN(C)Cc1nc(C)c(C)c(C)c1C")</f>
        <v>CCNCCN(C)Cc1nc(C)c(C)c(C)c1C</v>
      </c>
      <c r="C7264" s="7">
        <f>IFERROR(__xludf.DUMMYFUNCTION("""COMPUTED_VALUE"""),7.779875)</f>
        <v>7.779875</v>
      </c>
      <c r="D7264" s="7">
        <f>IFERROR(__xludf.DUMMYFUNCTION("""COMPUTED_VALUE"""),0.272727272727272)</f>
        <v>0.2727272727</v>
      </c>
    </row>
    <row r="7265">
      <c r="A7265" s="10" t="s">
        <v>8704</v>
      </c>
      <c r="B7265" s="7" t="str">
        <f>IFERROR(__xludf.DUMMYFUNCTION("SPLIT(A7265,"" "")"),"CC1(C)COC(c2cccc(CN(Cc3cc(-c4ccc5c(c4)OCCOCCOCCOCCOCCO5)ccn3)Cc3cc(C(C)(C)C)ccn3)n2)=N1")</f>
        <v>CC1(C)COC(c2cccc(CN(Cc3cc(-c4ccc5c(c4)OCCOCCOCCOCCOCCO5)ccn3)Cc3cc(C(C)(C)C)ccn3)n2)=N1</v>
      </c>
      <c r="C7265" s="7">
        <f>IFERROR(__xludf.DUMMYFUNCTION("""COMPUTED_VALUE"""),7.7798724)</f>
        <v>7.7798724</v>
      </c>
      <c r="D7265" s="7">
        <f>IFERROR(__xludf.DUMMYFUNCTION("""COMPUTED_VALUE"""),0.384615384615384)</f>
        <v>0.3846153846</v>
      </c>
    </row>
    <row r="7266">
      <c r="A7266" s="10" t="s">
        <v>8705</v>
      </c>
      <c r="B7266" s="7" t="str">
        <f>IFERROR(__xludf.DUMMYFUNCTION("SPLIT(A7266,"" "")"),"CC1CC(CN(Cc2ccccn2)Cc2cccc(C(C)(C)c3ccccn3)n2)C1")</f>
        <v>CC1CC(CN(Cc2ccccn2)Cc2cccc(C(C)(C)c3ccccn3)n2)C1</v>
      </c>
      <c r="C7266" s="7">
        <f>IFERROR(__xludf.DUMMYFUNCTION("""COMPUTED_VALUE"""),7.7798715)</f>
        <v>7.7798715</v>
      </c>
      <c r="D7266" s="7">
        <f>IFERROR(__xludf.DUMMYFUNCTION("""COMPUTED_VALUE"""),0.423076923076923)</f>
        <v>0.4230769231</v>
      </c>
    </row>
    <row r="7267">
      <c r="A7267" s="10" t="s">
        <v>8706</v>
      </c>
      <c r="B7267" s="7" t="str">
        <f>IFERROR(__xludf.DUMMYFUNCTION("SPLIT(A7267,"" "")"),"CN(Cc1ccc2ncccc2c1)C1CCC(N(Cc2ccccn2)Cc2ccccn2)CC1")</f>
        <v>CN(Cc1ccc2ncccc2c1)C1CCC(N(Cc2ccccn2)Cc2ccccn2)CC1</v>
      </c>
      <c r="C7267" s="7">
        <f>IFERROR(__xludf.DUMMYFUNCTION("""COMPUTED_VALUE"""),7.7798705)</f>
        <v>7.7798705</v>
      </c>
      <c r="D7267" s="7">
        <f>IFERROR(__xludf.DUMMYFUNCTION("""COMPUTED_VALUE"""),0.442307692307692)</f>
        <v>0.4423076923</v>
      </c>
    </row>
    <row r="7268">
      <c r="A7268" s="10" t="s">
        <v>8707</v>
      </c>
      <c r="B7268" s="7" t="str">
        <f>IFERROR(__xludf.DUMMYFUNCTION("SPLIT(A7268,"" "")"),"CNCc1cccc(N(C)C(C)C)n1")</f>
        <v>CNCc1cccc(N(C)C(C)C)n1</v>
      </c>
      <c r="C7268" s="7">
        <f>IFERROR(__xludf.DUMMYFUNCTION("""COMPUTED_VALUE"""),7.779866)</f>
        <v>7.779866</v>
      </c>
      <c r="D7268" s="7">
        <f>IFERROR(__xludf.DUMMYFUNCTION("""COMPUTED_VALUE"""),0.341463414634146)</f>
        <v>0.3414634146</v>
      </c>
    </row>
    <row r="7269">
      <c r="A7269" s="10" t="s">
        <v>8708</v>
      </c>
      <c r="B7269" s="7" t="str">
        <f>IFERROR(__xludf.DUMMYFUNCTION("SPLIT(A7269,"" "")"),"CNC1C(N(C)Cc2ccc(Cl)cn2)CCCC1N(Cc1nc(C)c(C)c(C)c1C)Cc1nc(C)c(C)c(C)c1C")</f>
        <v>CNC1C(N(C)Cc2ccc(Cl)cn2)CCCC1N(Cc1nc(C)c(C)c(C)c1C)Cc1nc(C)c(C)c(C)c1C</v>
      </c>
      <c r="C7269" s="7">
        <f>IFERROR(__xludf.DUMMYFUNCTION("""COMPUTED_VALUE"""),7.7798586)</f>
        <v>7.7798586</v>
      </c>
      <c r="D7269" s="7">
        <f>IFERROR(__xludf.DUMMYFUNCTION("""COMPUTED_VALUE"""),0.423728813559322)</f>
        <v>0.4237288136</v>
      </c>
    </row>
    <row r="7270">
      <c r="A7270" s="10" t="s">
        <v>8709</v>
      </c>
      <c r="B7270" s="7" t="str">
        <f>IFERROR(__xludf.DUMMYFUNCTION("SPLIT(A7270,"" "")"),"Cc1ccc(-c2ncccc2CN(Cc2ccccn2)C2CCCCC2)cc1N")</f>
        <v>Cc1ccc(-c2ncccc2CN(Cc2ccccn2)C2CCCCC2)cc1N</v>
      </c>
      <c r="C7270" s="7">
        <f>IFERROR(__xludf.DUMMYFUNCTION("""COMPUTED_VALUE"""),7.779857)</f>
        <v>7.779857</v>
      </c>
      <c r="D7270" s="7">
        <f>IFERROR(__xludf.DUMMYFUNCTION("""COMPUTED_VALUE"""),0.396551724137931)</f>
        <v>0.3965517241</v>
      </c>
    </row>
    <row r="7271">
      <c r="A7271" s="10" t="s">
        <v>8710</v>
      </c>
      <c r="B7271" s="7" t="str">
        <f>IFERROR(__xludf.DUMMYFUNCTION("SPLIT(A7271,"" "")"),"CC1C=CC(C)C(C)(c2ncccc2CN(Cc2ccccn2)Cc2ccccn2)C1")</f>
        <v>CC1C=CC(C)C(C)(c2ncccc2CN(Cc2ccccn2)Cc2ccccn2)C1</v>
      </c>
      <c r="C7271" s="7">
        <f>IFERROR(__xludf.DUMMYFUNCTION("""COMPUTED_VALUE"""),7.7798514)</f>
        <v>7.7798514</v>
      </c>
      <c r="D7271" s="7">
        <f>IFERROR(__xludf.DUMMYFUNCTION("""COMPUTED_VALUE"""),0.444444444444444)</f>
        <v>0.4444444444</v>
      </c>
    </row>
    <row r="7272">
      <c r="A7272" s="10" t="s">
        <v>8711</v>
      </c>
      <c r="B7272" s="7" t="str">
        <f>IFERROR(__xludf.DUMMYFUNCTION("SPLIT(A7272,"" "")"),"Cc1cccnc1CN(Cc1cncc(N(C)Cc2cccc(-c3cccc4c3OCCOCCOCCOCCOCCO4)n2)c1)Cc1ccccn1")</f>
        <v>Cc1cccnc1CN(Cc1cncc(N(C)Cc2cccc(-c3cccc4c3OCCOCCOCCOCCOCCO4)n2)c1)Cc1ccccn1</v>
      </c>
      <c r="C7272" s="7">
        <f>IFERROR(__xludf.DUMMYFUNCTION("""COMPUTED_VALUE"""),7.7798514)</f>
        <v>7.7798514</v>
      </c>
      <c r="D7272" s="7">
        <f>IFERROR(__xludf.DUMMYFUNCTION("""COMPUTED_VALUE"""),0.342105263157894)</f>
        <v>0.3421052632</v>
      </c>
    </row>
    <row r="7273">
      <c r="A7273" s="10" t="s">
        <v>8712</v>
      </c>
      <c r="B7273" s="7" t="str">
        <f>IFERROR(__xludf.DUMMYFUNCTION("SPLIT(A7273,"" "")"),"CN(CF)C1=C(CN(C)C2CCCCC2N(C)c2ccc3cccnc3c2)NC=CC1")</f>
        <v>CN(CF)C1=C(CN(C)C2CCCCC2N(C)c2ccc3cccnc3c2)NC=CC1</v>
      </c>
      <c r="C7273" s="7">
        <f>IFERROR(__xludf.DUMMYFUNCTION("""COMPUTED_VALUE"""),7.779829)</f>
        <v>7.779829</v>
      </c>
      <c r="D7273" s="7">
        <f>IFERROR(__xludf.DUMMYFUNCTION("""COMPUTED_VALUE"""),0.35820895522388)</f>
        <v>0.3582089552</v>
      </c>
    </row>
    <row r="7274">
      <c r="A7274" s="10" t="s">
        <v>8713</v>
      </c>
      <c r="B7274" s="7" t="str">
        <f>IFERROR(__xludf.DUMMYFUNCTION("SPLIT(A7274,"" "")"),"Cc1cccnc1CN(C)C1CCC(N(C)Cc2ncccc2-c2ccccn2)CC1")</f>
        <v>Cc1cccnc1CN(C)C1CCC(N(C)Cc2ncccc2-c2ccccn2)CC1</v>
      </c>
      <c r="C7274" s="7">
        <f>IFERROR(__xludf.DUMMYFUNCTION("""COMPUTED_VALUE"""),7.779806)</f>
        <v>7.779806</v>
      </c>
      <c r="D7274" s="7">
        <f>IFERROR(__xludf.DUMMYFUNCTION("""COMPUTED_VALUE"""),0.372549019607843)</f>
        <v>0.3725490196</v>
      </c>
    </row>
    <row r="7275">
      <c r="A7275" s="10" t="s">
        <v>8714</v>
      </c>
      <c r="B7275" s="7" t="str">
        <f>IFERROR(__xludf.DUMMYFUNCTION("SPLIT(A7275,"" "")"),"Cc1cccnc1CN(C)CN(Cc1ncccc1C)C(C)C")</f>
        <v>Cc1cccnc1CN(C)CN(Cc1ncccc1C)C(C)C</v>
      </c>
      <c r="C7275" s="7">
        <f>IFERROR(__xludf.DUMMYFUNCTION("""COMPUTED_VALUE"""),7.7798014)</f>
        <v>7.7798014</v>
      </c>
      <c r="D7275" s="7">
        <f>IFERROR(__xludf.DUMMYFUNCTION("""COMPUTED_VALUE"""),0.428571428571428)</f>
        <v>0.4285714286</v>
      </c>
    </row>
    <row r="7276">
      <c r="A7276" s="10" t="s">
        <v>8715</v>
      </c>
      <c r="B7276" s="7" t="str">
        <f>IFERROR(__xludf.DUMMYFUNCTION("SPLIT(A7276,"" "")"),"CC(C)N(C)CC1=CCC(N(C)Cc2cccnn2)=CN1")</f>
        <v>CC(C)N(C)CC1=CCC(N(C)Cc2cccnn2)=CN1</v>
      </c>
      <c r="C7276" s="7">
        <f>IFERROR(__xludf.DUMMYFUNCTION("""COMPUTED_VALUE"""),7.7797956)</f>
        <v>7.7797956</v>
      </c>
      <c r="D7276" s="7">
        <f>IFERROR(__xludf.DUMMYFUNCTION("""COMPUTED_VALUE"""),0.408163265306122)</f>
        <v>0.4081632653</v>
      </c>
    </row>
    <row r="7277">
      <c r="A7277" s="10" t="s">
        <v>8716</v>
      </c>
      <c r="B7277" s="7" t="str">
        <f>IFERROR(__xludf.DUMMYFUNCTION("SPLIT(A7277,"" "")"),"CCNCc1cccc(CN(Cc2ccccn2)Cc2cccc(F)n2)n1")</f>
        <v>CCNCc1cccc(CN(Cc2ccccn2)Cc2cccc(F)n2)n1</v>
      </c>
      <c r="C7277" s="7">
        <f>IFERROR(__xludf.DUMMYFUNCTION("""COMPUTED_VALUE"""),7.7797914)</f>
        <v>7.7797914</v>
      </c>
      <c r="D7277" s="7">
        <f>IFERROR(__xludf.DUMMYFUNCTION("""COMPUTED_VALUE"""),0.5)</f>
        <v>0.5</v>
      </c>
    </row>
    <row r="7278">
      <c r="A7278" s="10" t="s">
        <v>8717</v>
      </c>
      <c r="B7278" s="7" t="str">
        <f>IFERROR(__xludf.DUMMYFUNCTION("SPLIT(A7278,"" "")"),"Cc1cc(N(C)C(C)C)cc(-c2ncccc2CN2CCN(C)CCN(C)CC2)c1C")</f>
        <v>Cc1cc(N(C)C(C)C)cc(-c2ncccc2CN2CCN(C)CCN(C)CC2)c1C</v>
      </c>
      <c r="C7278" s="7">
        <f>IFERROR(__xludf.DUMMYFUNCTION("""COMPUTED_VALUE"""),7.7797894)</f>
        <v>7.7797894</v>
      </c>
      <c r="D7278" s="7">
        <f>IFERROR(__xludf.DUMMYFUNCTION("""COMPUTED_VALUE"""),0.375)</f>
        <v>0.375</v>
      </c>
    </row>
    <row r="7279">
      <c r="A7279" s="10" t="s">
        <v>8718</v>
      </c>
      <c r="B7279" s="7" t="str">
        <f>IFERROR(__xludf.DUMMYFUNCTION("SPLIT(A7279,"" "")"),"CN(Cc1ccccn1)C1=CNC(CN(C)C(C)(C)C)=CC1")</f>
        <v>CN(Cc1ccccn1)C1=CNC(CN(C)C(C)(C)C)=CC1</v>
      </c>
      <c r="C7279" s="7">
        <f>IFERROR(__xludf.DUMMYFUNCTION("""COMPUTED_VALUE"""),7.7797894)</f>
        <v>7.7797894</v>
      </c>
      <c r="D7279" s="7">
        <f>IFERROR(__xludf.DUMMYFUNCTION("""COMPUTED_VALUE"""),0.418181818181818)</f>
        <v>0.4181818182</v>
      </c>
    </row>
    <row r="7280">
      <c r="A7280" s="10" t="s">
        <v>8719</v>
      </c>
      <c r="B7280" s="7" t="str">
        <f>IFERROR(__xludf.DUMMYFUNCTION("SPLIT(A7280,"" "")"),"CC(C)C(C)(c1cccnc1)N(Cc1ccccn1)Cc1ccccn1")</f>
        <v>CC(C)C(C)(c1cccnc1)N(Cc1ccccn1)Cc1ccccn1</v>
      </c>
      <c r="C7280" s="7">
        <f>IFERROR(__xludf.DUMMYFUNCTION("""COMPUTED_VALUE"""),7.779784)</f>
        <v>7.779784</v>
      </c>
      <c r="D7280" s="7">
        <f>IFERROR(__xludf.DUMMYFUNCTION("""COMPUTED_VALUE"""),0.477272727272727)</f>
        <v>0.4772727273</v>
      </c>
    </row>
    <row r="7281">
      <c r="A7281" s="10" t="s">
        <v>8720</v>
      </c>
      <c r="B7281" s="7" t="str">
        <f>IFERROR(__xludf.DUMMYFUNCTION("SPLIT(A7281,"" "")"),"Cc1cccc(CN(C)C2CCC(N(Cc3ccccn3)Cc3ncccc3C)C(N(Cc3ncccc3C)Cc3ncccc3C)C2)n1")</f>
        <v>Cc1cccc(CN(C)C2CCC(N(Cc3ccccn3)Cc3ncccc3C)C(N(Cc3ncccc3C)Cc3ncccc3C)C2)n1</v>
      </c>
      <c r="C7281" s="7">
        <f>IFERROR(__xludf.DUMMYFUNCTION("""COMPUTED_VALUE"""),7.7797823)</f>
        <v>7.7797823</v>
      </c>
      <c r="D7281" s="7">
        <f>IFERROR(__xludf.DUMMYFUNCTION("""COMPUTED_VALUE"""),0.448275862068965)</f>
        <v>0.4482758621</v>
      </c>
    </row>
    <row r="7282">
      <c r="A7282" s="10" t="s">
        <v>8721</v>
      </c>
      <c r="B7282" s="7" t="str">
        <f>IFERROR(__xludf.DUMMYFUNCTION("SPLIT(A7282,"" "")"),"CC1=CC(C)C(N(C)Cc2cccc(C(C)(C)c3ccccn3)n2)C(C)C1")</f>
        <v>CC1=CC(C)C(N(C)Cc2cccc(C(C)(C)c3ccccn3)n2)C(C)C1</v>
      </c>
      <c r="C7282" s="7">
        <f>IFERROR(__xludf.DUMMYFUNCTION("""COMPUTED_VALUE"""),7.7797766)</f>
        <v>7.7797766</v>
      </c>
      <c r="D7282" s="7">
        <f>IFERROR(__xludf.DUMMYFUNCTION("""COMPUTED_VALUE"""),0.368421052631578)</f>
        <v>0.3684210526</v>
      </c>
    </row>
    <row r="7283">
      <c r="A7283" s="10" t="s">
        <v>8722</v>
      </c>
      <c r="B7283" s="7" t="str">
        <f>IFERROR(__xludf.DUMMYFUNCTION("SPLIT(A7283,"" "")"),"CN(c1cccc2cc(CF)cnc12)C1CCCCC1N(CF)Cc1ccccn1")</f>
        <v>CN(c1cccc2cc(CF)cnc12)C1CCCCC1N(CF)Cc1ccccn1</v>
      </c>
      <c r="C7283" s="7">
        <f>IFERROR(__xludf.DUMMYFUNCTION("""COMPUTED_VALUE"""),7.7797637)</f>
        <v>7.7797637</v>
      </c>
      <c r="D7283" s="7">
        <f>IFERROR(__xludf.DUMMYFUNCTION("""COMPUTED_VALUE"""),0.5)</f>
        <v>0.5</v>
      </c>
    </row>
    <row r="7284">
      <c r="A7284" s="10" t="s">
        <v>8723</v>
      </c>
      <c r="B7284" s="7" t="str">
        <f>IFERROR(__xludf.DUMMYFUNCTION("SPLIT(A7284,"" "")"),"CC(C)C(C)N(Cc1ccccn1)Cc1ncccc1N(C)C1C=CC=CN1")</f>
        <v>CC(C)C(C)N(Cc1ccccn1)Cc1ncccc1N(C)C1C=CC=CN1</v>
      </c>
      <c r="C7284" s="7">
        <f>IFERROR(__xludf.DUMMYFUNCTION("""COMPUTED_VALUE"""),7.779763)</f>
        <v>7.779763</v>
      </c>
      <c r="D7284" s="7">
        <f>IFERROR(__xludf.DUMMYFUNCTION("""COMPUTED_VALUE"""),0.440677966101694)</f>
        <v>0.4406779661</v>
      </c>
    </row>
    <row r="7285">
      <c r="A7285" s="10" t="s">
        <v>8724</v>
      </c>
      <c r="B7285" s="7" t="str">
        <f>IFERROR(__xludf.DUMMYFUNCTION("SPLIT(A7285,"" "")"),"Cc1ccnc(CN(C)CC2=CNC(N(C)CCN)=CC2)c1C")</f>
        <v>Cc1ccnc(CN(C)CC2=CNC(N(C)CCN)=CC2)c1C</v>
      </c>
      <c r="C7285" s="7">
        <f>IFERROR(__xludf.DUMMYFUNCTION("""COMPUTED_VALUE"""),7.779741)</f>
        <v>7.779741</v>
      </c>
      <c r="D7285" s="7">
        <f>IFERROR(__xludf.DUMMYFUNCTION("""COMPUTED_VALUE"""),0.220338983050847)</f>
        <v>0.2203389831</v>
      </c>
    </row>
    <row r="7286">
      <c r="A7286" s="10" t="s">
        <v>8725</v>
      </c>
      <c r="B7286" s="7" t="str">
        <f>IFERROR(__xludf.DUMMYFUNCTION("SPLIT(A7286,"" "")"),"CC(C)N(C)CC1=CNC=C(N(C)Cc2ccccn2)C1")</f>
        <v>CC(C)N(C)CC1=CNC=C(N(C)Cc2ccccn2)C1</v>
      </c>
      <c r="C7286" s="7">
        <f>IFERROR(__xludf.DUMMYFUNCTION("""COMPUTED_VALUE"""),7.779739)</f>
        <v>7.779739</v>
      </c>
      <c r="D7286" s="7">
        <f>IFERROR(__xludf.DUMMYFUNCTION("""COMPUTED_VALUE"""),0.4375)</f>
        <v>0.4375</v>
      </c>
    </row>
    <row r="7287">
      <c r="A7287" s="10" t="s">
        <v>8726</v>
      </c>
      <c r="B7287" s="7" t="str">
        <f>IFERROR(__xludf.DUMMYFUNCTION("SPLIT(A7287,"" "")"),"CC(C)N(C)Cc1cncc(-c2cccc(N(C)Cc3ccc(-c4cccc5c4OCCOCCOCCOCCOCCO5)cn3)c2)c1")</f>
        <v>CC(C)N(C)Cc1cncc(-c2cccc(N(C)Cc3ccc(-c4cccc5c4OCCOCCOCCOCCOCCO5)cn3)c2)c1</v>
      </c>
      <c r="C7287" s="7">
        <f>IFERROR(__xludf.DUMMYFUNCTION("""COMPUTED_VALUE"""),7.7797256)</f>
        <v>7.7797256</v>
      </c>
      <c r="D7287" s="7">
        <f>IFERROR(__xludf.DUMMYFUNCTION("""COMPUTED_VALUE"""),0.301204819277108)</f>
        <v>0.3012048193</v>
      </c>
    </row>
    <row r="7288">
      <c r="A7288" s="10" t="s">
        <v>8727</v>
      </c>
      <c r="B7288" s="7" t="str">
        <f>IFERROR(__xludf.DUMMYFUNCTION("SPLIT(A7288,"" "")"),"Cc1cc(C)c(CN(C)Cc2ccc(N(C)Cc3cccc(-c4ccc5c(c4)OCCOCCOCCOCCOCCO5)n3)cn2)cn1")</f>
        <v>Cc1cc(C)c(CN(C)Cc2ccc(N(C)Cc3cccc(-c4ccc5c(c4)OCCOCCOCCOCCOCCO5)n3)cn2)cn1</v>
      </c>
      <c r="C7288" s="7">
        <f>IFERROR(__xludf.DUMMYFUNCTION("""COMPUTED_VALUE"""),7.7797246)</f>
        <v>7.7797246</v>
      </c>
      <c r="D7288" s="7">
        <f>IFERROR(__xludf.DUMMYFUNCTION("""COMPUTED_VALUE"""),0.341772151898734)</f>
        <v>0.3417721519</v>
      </c>
    </row>
    <row r="7289">
      <c r="A7289" s="10" t="s">
        <v>8728</v>
      </c>
      <c r="B7289" s="7" t="str">
        <f>IFERROR(__xludf.DUMMYFUNCTION("SPLIT(A7289,"" "")"),"Cc1nc(CN(C)C2CCCC(N(Cc3ccccn3)Cc3cccnc3C(C)(c3cccnc3)C(C)N)C2)c(C)c(C)c1C")</f>
        <v>Cc1nc(CN(C)C2CCCC(N(Cc3ccccn3)Cc3cccnc3C(C)(c3cccnc3)C(C)N)C2)c(C)c(C)c1C</v>
      </c>
      <c r="C7289" s="7">
        <f>IFERROR(__xludf.DUMMYFUNCTION("""COMPUTED_VALUE"""),7.779721)</f>
        <v>7.779721</v>
      </c>
      <c r="D7289" s="7">
        <f>IFERROR(__xludf.DUMMYFUNCTION("""COMPUTED_VALUE"""),0.307692307692307)</f>
        <v>0.3076923077</v>
      </c>
    </row>
    <row r="7290">
      <c r="A7290" s="10" t="s">
        <v>8729</v>
      </c>
      <c r="B7290" s="7" t="str">
        <f>IFERROR(__xludf.DUMMYFUNCTION("SPLIT(A7290,"" "")"),"Cc1cccc(N)c1C")</f>
        <v>Cc1cccc(N)c1C</v>
      </c>
      <c r="C7290" s="7">
        <f>IFERROR(__xludf.DUMMYFUNCTION("""COMPUTED_VALUE"""),7.7797103)</f>
        <v>7.7797103</v>
      </c>
      <c r="D7290" s="7">
        <f>IFERROR(__xludf.DUMMYFUNCTION("""COMPUTED_VALUE"""),0.272727272727272)</f>
        <v>0.2727272727</v>
      </c>
    </row>
    <row r="7291">
      <c r="A7291" s="10" t="s">
        <v>8730</v>
      </c>
      <c r="B7291" s="7" t="str">
        <f>IFERROR(__xludf.DUMMYFUNCTION("SPLIT(A7291,"" "")"),"CNC1CC(N(Cc2nc(C)c(C)c(C)c2C)Cc2nc(C)c(C)c(C)c2C)CCC1N(C)Cc1cc(C)ccn1")</f>
        <v>CNC1CC(N(Cc2nc(C)c(C)c(C)c2C)Cc2nc(C)c(C)c(C)c2C)CCC1N(C)Cc1cc(C)ccn1</v>
      </c>
      <c r="C7291" s="7">
        <f>IFERROR(__xludf.DUMMYFUNCTION("""COMPUTED_VALUE"""),7.7797074)</f>
        <v>7.7797074</v>
      </c>
      <c r="D7291" s="7">
        <f>IFERROR(__xludf.DUMMYFUNCTION("""COMPUTED_VALUE"""),0.3125)</f>
        <v>0.3125</v>
      </c>
    </row>
    <row r="7292">
      <c r="A7292" s="10" t="s">
        <v>8731</v>
      </c>
      <c r="B7292" s="7" t="str">
        <f>IFERROR(__xludf.DUMMYFUNCTION("SPLIT(A7292,"" "")"),"CC(N)C1=C(N(C)CCN(C)Cc2ccccn2)NC=CC1")</f>
        <v>CC(N)C1=C(N(C)CCN(C)Cc2ccccn2)NC=CC1</v>
      </c>
      <c r="C7292" s="7">
        <f>IFERROR(__xludf.DUMMYFUNCTION("""COMPUTED_VALUE"""),7.779707)</f>
        <v>7.779707</v>
      </c>
      <c r="D7292" s="7">
        <f>IFERROR(__xludf.DUMMYFUNCTION("""COMPUTED_VALUE"""),0.403846153846153)</f>
        <v>0.4038461538</v>
      </c>
    </row>
    <row r="7293">
      <c r="A7293" s="10" t="s">
        <v>8732</v>
      </c>
      <c r="B7293" s="7" t="str">
        <f>IFERROR(__xludf.DUMMYFUNCTION("SPLIT(A7293,"" "")"),"Cc1ccc(CN(Cc2ccc(C)c(C)n2)C2CC(N(C)Cc3ccccn3)CC(N(C)Cc3ncc(C)cc3C)C2)nc1")</f>
        <v>Cc1ccc(CN(Cc2ccc(C)c(C)n2)C2CC(N(C)Cc3ccccn3)CC(N(C)Cc3ncc(C)cc3C)C2)nc1</v>
      </c>
      <c r="C7293" s="7">
        <f>IFERROR(__xludf.DUMMYFUNCTION("""COMPUTED_VALUE"""),7.7797036)</f>
        <v>7.7797036</v>
      </c>
      <c r="D7293" s="7">
        <f>IFERROR(__xludf.DUMMYFUNCTION("""COMPUTED_VALUE"""),0.38095238095238)</f>
        <v>0.380952381</v>
      </c>
    </row>
    <row r="7294">
      <c r="A7294" s="10" t="s">
        <v>8733</v>
      </c>
      <c r="B7294" s="7" t="str">
        <f>IFERROR(__xludf.DUMMYFUNCTION("SPLIT(A7294,"" "")"),"CCNCc1cccc(N(C)C)c1")</f>
        <v>CCNCc1cccc(N(C)C)c1</v>
      </c>
      <c r="C7294" s="7">
        <f>IFERROR(__xludf.DUMMYFUNCTION("""COMPUTED_VALUE"""),7.779703)</f>
        <v>7.779703</v>
      </c>
      <c r="D7294" s="7">
        <f>IFERROR(__xludf.DUMMYFUNCTION("""COMPUTED_VALUE"""),0.209302325581395)</f>
        <v>0.2093023256</v>
      </c>
    </row>
    <row r="7295">
      <c r="A7295" s="10" t="s">
        <v>8734</v>
      </c>
      <c r="B7295" s="7" t="str">
        <f>IFERROR(__xludf.DUMMYFUNCTION("SPLIT(A7295,"" "")"),"C=CCN(C)Cc1cccc(-c2ccc(N(C)C3CCC(N(C)Cc4ccccn4)CC3)cc2)n1")</f>
        <v>C=CCN(C)Cc1cccc(-c2ccc(N(C)C3CCC(N(C)Cc4ccccn4)CC3)cc2)n1</v>
      </c>
      <c r="C7295" s="7">
        <f>IFERROR(__xludf.DUMMYFUNCTION("""COMPUTED_VALUE"""),7.779699)</f>
        <v>7.779699</v>
      </c>
      <c r="D7295" s="7">
        <f>IFERROR(__xludf.DUMMYFUNCTION("""COMPUTED_VALUE"""),0.46551724137931)</f>
        <v>0.4655172414</v>
      </c>
    </row>
    <row r="7296">
      <c r="A7296" s="10" t="s">
        <v>8735</v>
      </c>
      <c r="B7296" s="7" t="str">
        <f>IFERROR(__xludf.DUMMYFUNCTION("SPLIT(A7296,"" "")"),"CNC1C(N(Cc2cc(C)ccn2)Cc2cc(C)c(C)c(C)n2)CCCC1N(Cc1cc(C)ccn1)Cc1cc(C)c(C)c(C)n1")</f>
        <v>CNC1C(N(Cc2cc(C)ccn2)Cc2cc(C)c(C)c(C)n2)CCCC1N(Cc1cc(C)ccn1)Cc1cc(C)c(C)c(C)n1</v>
      </c>
      <c r="C7296" s="7">
        <f>IFERROR(__xludf.DUMMYFUNCTION("""COMPUTED_VALUE"""),7.7796874)</f>
        <v>7.7796874</v>
      </c>
      <c r="D7296" s="7">
        <f>IFERROR(__xludf.DUMMYFUNCTION("""COMPUTED_VALUE"""),0.310344827586206)</f>
        <v>0.3103448276</v>
      </c>
    </row>
    <row r="7297">
      <c r="A7297" s="10" t="s">
        <v>8736</v>
      </c>
      <c r="B7297" s="7" t="str">
        <f>IFERROR(__xludf.DUMMYFUNCTION("SPLIT(A7297,"" "")"),"CN(Cc1cc(-c2ccc3c(c2)OCCOCCOCCOCCOCCO3)ccn1)c1ccccc1C1=NC(C)(C)CO1")</f>
        <v>CN(Cc1cc(-c2ccc3c(c2)OCCOCCOCCOCCOCCO3)ccn1)c1ccccc1C1=NC(C)(C)CO1</v>
      </c>
      <c r="C7297" s="7">
        <f>IFERROR(__xludf.DUMMYFUNCTION("""COMPUTED_VALUE"""),7.7796874)</f>
        <v>7.7796874</v>
      </c>
      <c r="D7297" s="7">
        <f>IFERROR(__xludf.DUMMYFUNCTION("""COMPUTED_VALUE"""),0.328947368421052)</f>
        <v>0.3289473684</v>
      </c>
    </row>
    <row r="7298">
      <c r="A7298" s="10" t="s">
        <v>8737</v>
      </c>
      <c r="B7298" s="7" t="str">
        <f>IFERROR(__xludf.DUMMYFUNCTION("SPLIT(A7298,"" "")"),"Cc1cccnc1CN(Cc1ccccn1)Cc1cccnc1CNCF")</f>
        <v>Cc1cccnc1CN(Cc1ccccn1)Cc1cccnc1CNCF</v>
      </c>
      <c r="C7298" s="7">
        <f>IFERROR(__xludf.DUMMYFUNCTION("""COMPUTED_VALUE"""),7.7796845)</f>
        <v>7.7796845</v>
      </c>
      <c r="D7298" s="7">
        <f>IFERROR(__xludf.DUMMYFUNCTION("""COMPUTED_VALUE"""),0.454545454545454)</f>
        <v>0.4545454545</v>
      </c>
    </row>
    <row r="7299">
      <c r="A7299" s="10" t="s">
        <v>8738</v>
      </c>
      <c r="B7299" s="7" t="str">
        <f>IFERROR(__xludf.DUMMYFUNCTION("SPLIT(A7299,"" "")"),"COC(=O)C1C(c2ccccn2)C(CN(C)Cc2ccccn2)CN(C)C1c1ccccn1")</f>
        <v>COC(=O)C1C(c2ccccn2)C(CN(C)Cc2ccccn2)CN(C)C1c1ccccn1</v>
      </c>
      <c r="C7299" s="7">
        <f>IFERROR(__xludf.DUMMYFUNCTION("""COMPUTED_VALUE"""),7.7796845)</f>
        <v>7.7796845</v>
      </c>
      <c r="D7299" s="7">
        <f>IFERROR(__xludf.DUMMYFUNCTION("""COMPUTED_VALUE"""),0.38235294117647)</f>
        <v>0.3823529412</v>
      </c>
    </row>
    <row r="7300">
      <c r="A7300" s="10" t="s">
        <v>8739</v>
      </c>
      <c r="B7300" s="7" t="str">
        <f>IFERROR(__xludf.DUMMYFUNCTION("SPLIT(A7300,"" "")"),"Cc1cccnc1CN(C)C1CCC(N(C)Cc2ccc3cccnc3c2)CC1")</f>
        <v>Cc1cccnc1CN(C)C1CCC(N(C)Cc2ccc3cccnc3c2)CC1</v>
      </c>
      <c r="C7300" s="7">
        <f>IFERROR(__xludf.DUMMYFUNCTION("""COMPUTED_VALUE"""),7.779673)</f>
        <v>7.779673</v>
      </c>
      <c r="D7300" s="7">
        <f>IFERROR(__xludf.DUMMYFUNCTION("""COMPUTED_VALUE"""),0.303571428571428)</f>
        <v>0.3035714286</v>
      </c>
    </row>
    <row r="7301">
      <c r="A7301" s="10" t="s">
        <v>8740</v>
      </c>
      <c r="B7301" s="7" t="str">
        <f>IFERROR(__xludf.DUMMYFUNCTION("SPLIT(A7301,"" "")"),"CNCN(Cc1cc(C)ccn1)Cc1ncccc1N")</f>
        <v>CNCN(Cc1cc(C)ccn1)Cc1ncccc1N</v>
      </c>
      <c r="C7301" s="7">
        <f>IFERROR(__xludf.DUMMYFUNCTION("""COMPUTED_VALUE"""),7.7796664)</f>
        <v>7.7796664</v>
      </c>
      <c r="D7301" s="7">
        <f>IFERROR(__xludf.DUMMYFUNCTION("""COMPUTED_VALUE"""),0.326086956521739)</f>
        <v>0.3260869565</v>
      </c>
    </row>
    <row r="7302">
      <c r="A7302" s="10" t="s">
        <v>8741</v>
      </c>
      <c r="B7302" s="7" t="str">
        <f>IFERROR(__xludf.DUMMYFUNCTION("SPLIT(A7302,"" "")"),"COC(=O)C1CN(C)C(CN(C)Cc2ccccn2)C(c2ccccn2)C1c1ccccn1")</f>
        <v>COC(=O)C1CN(C)C(CN(C)Cc2ccccn2)C(c2ccccn2)C1c1ccccn1</v>
      </c>
      <c r="C7302" s="7">
        <f>IFERROR(__xludf.DUMMYFUNCTION("""COMPUTED_VALUE"""),7.779664)</f>
        <v>7.779664</v>
      </c>
      <c r="D7302" s="7">
        <f>IFERROR(__xludf.DUMMYFUNCTION("""COMPUTED_VALUE"""),0.393939393939393)</f>
        <v>0.3939393939</v>
      </c>
    </row>
    <row r="7303">
      <c r="A7303" s="10" t="s">
        <v>8742</v>
      </c>
      <c r="B7303" s="7" t="str">
        <f>IFERROR(__xludf.DUMMYFUNCTION("SPLIT(A7303,"" "")"),"CCNCC1=C(N(C)Cc2cccnn2)CC=CN1")</f>
        <v>CCNCC1=C(N(C)Cc2cccnn2)CC=CN1</v>
      </c>
      <c r="C7303" s="7">
        <f>IFERROR(__xludf.DUMMYFUNCTION("""COMPUTED_VALUE"""),7.779663)</f>
        <v>7.779663</v>
      </c>
      <c r="D7303" s="7">
        <f>IFERROR(__xludf.DUMMYFUNCTION("""COMPUTED_VALUE"""),0.408163265306122)</f>
        <v>0.4081632653</v>
      </c>
    </row>
    <row r="7304">
      <c r="A7304" s="10" t="s">
        <v>8743</v>
      </c>
      <c r="B7304" s="7" t="str">
        <f>IFERROR(__xludf.DUMMYFUNCTION("SPLIT(A7304,"" "")"),"CN(C)Cc1ccc2cc(N(C)C3CCCCC3N(Cc3cccc(-c4ccc5c(c4)OCCOCCOCCOCCOCCO5)n3)c3ccccc3F)ccc2n1")</f>
        <v>CN(C)Cc1ccc2cc(N(C)C3CCCCC3N(Cc3cccc(-c4ccc5c(c4)OCCOCCOCCOCCOCCO5)n3)c3ccccc3F)ccc2n1</v>
      </c>
      <c r="C7304" s="7">
        <f>IFERROR(__xludf.DUMMYFUNCTION("""COMPUTED_VALUE"""),7.7796617)</f>
        <v>7.7796617</v>
      </c>
      <c r="D7304" s="7">
        <f>IFERROR(__xludf.DUMMYFUNCTION("""COMPUTED_VALUE"""),0.317073170731707)</f>
        <v>0.3170731707</v>
      </c>
    </row>
    <row r="7305">
      <c r="A7305" s="10" t="s">
        <v>8744</v>
      </c>
      <c r="B7305" s="7" t="str">
        <f>IFERROR(__xludf.DUMMYFUNCTION("SPLIT(A7305,"" "")"),"CN(C1=CCC=CN1)C1=C(CN(C)C2C=CC=CN2)CC=CN1")</f>
        <v>CN(C1=CCC=CN1)C1=C(CN(C)C2C=CC=CN2)CC=CN1</v>
      </c>
      <c r="C7305" s="7">
        <f>IFERROR(__xludf.DUMMYFUNCTION("""COMPUTED_VALUE"""),7.7796564)</f>
        <v>7.7796564</v>
      </c>
      <c r="D7305" s="7">
        <f>IFERROR(__xludf.DUMMYFUNCTION("""COMPUTED_VALUE"""),0.23076923076923)</f>
        <v>0.2307692308</v>
      </c>
    </row>
    <row r="7306">
      <c r="A7306" s="10" t="s">
        <v>8745</v>
      </c>
      <c r="B7306" s="7" t="str">
        <f>IFERROR(__xludf.DUMMYFUNCTION("SPLIT(A7306,"" "")"),"CC(C)N=Cc1ccccn1")</f>
        <v>CC(C)N=Cc1ccccn1</v>
      </c>
      <c r="C7306" s="7">
        <f>IFERROR(__xludf.DUMMYFUNCTION("""COMPUTED_VALUE"""),7.7796445)</f>
        <v>7.7796445</v>
      </c>
      <c r="D7306" s="7">
        <f>IFERROR(__xludf.DUMMYFUNCTION("""COMPUTED_VALUE"""),0.473684210526315)</f>
        <v>0.4736842105</v>
      </c>
    </row>
    <row r="7307">
      <c r="A7307" s="10" t="s">
        <v>8746</v>
      </c>
      <c r="B7307" s="7" t="str">
        <f>IFERROR(__xludf.DUMMYFUNCTION("SPLIT(A7307,"" "")"),"CN(CC1=CCC(N(C)Cc2ccccn2)=CN1)CC(C)(C)C")</f>
        <v>CN(CC1=CCC(N(C)Cc2ccccn2)=CN1)CC(C)(C)C</v>
      </c>
      <c r="C7307" s="7">
        <f>IFERROR(__xludf.DUMMYFUNCTION("""COMPUTED_VALUE"""),7.7796373)</f>
        <v>7.7796373</v>
      </c>
      <c r="D7307" s="7">
        <f>IFERROR(__xludf.DUMMYFUNCTION("""COMPUTED_VALUE"""),0.46)</f>
        <v>0.46</v>
      </c>
    </row>
    <row r="7308">
      <c r="A7308" s="10" t="s">
        <v>8747</v>
      </c>
      <c r="B7308" s="7" t="str">
        <f>IFERROR(__xludf.DUMMYFUNCTION("SPLIT(A7308,"" "")"),"CN(CC1=CC(N(C)Cc2ccccn2)C=CN1)CC(C)(C)c1ccccn1")</f>
        <v>CN(CC1=CC(N(C)Cc2ccccn2)C=CN1)CC(C)(C)c1ccccn1</v>
      </c>
      <c r="C7308" s="7">
        <f>IFERROR(__xludf.DUMMYFUNCTION("""COMPUTED_VALUE"""),7.779637)</f>
        <v>7.779637</v>
      </c>
      <c r="D7308" s="7">
        <f>IFERROR(__xludf.DUMMYFUNCTION("""COMPUTED_VALUE"""),0.392857142857142)</f>
        <v>0.3928571429</v>
      </c>
    </row>
    <row r="7309">
      <c r="A7309" s="10" t="s">
        <v>8748</v>
      </c>
      <c r="B7309" s="7" t="str">
        <f>IFERROR(__xludf.DUMMYFUNCTION("SPLIT(A7309,"" "")"),"CC(C)C(C)N(CC1=C(N(C)Cc2ccccn2)CC=CN1)Cc1ccccn1")</f>
        <v>CC(C)C(C)N(CC1=C(N(C)Cc2ccccn2)CC=CN1)Cc1ccccn1</v>
      </c>
      <c r="C7309" s="7">
        <f>IFERROR(__xludf.DUMMYFUNCTION("""COMPUTED_VALUE"""),7.7796206)</f>
        <v>7.7796206</v>
      </c>
      <c r="D7309" s="7">
        <f>IFERROR(__xludf.DUMMYFUNCTION("""COMPUTED_VALUE"""),0.44)</f>
        <v>0.44</v>
      </c>
    </row>
    <row r="7310">
      <c r="A7310" s="10" t="s">
        <v>8749</v>
      </c>
      <c r="B7310" s="7" t="str">
        <f>IFERROR(__xludf.DUMMYFUNCTION("SPLIT(A7310,"" "")"),"CCC(C)N(C)CC1=CC(N(C)Cc2nc(C)c(C)c(C)c2C)C=CN1")</f>
        <v>CCC(C)N(C)CC1=CC(N(C)Cc2nc(C)c(C)c(C)c2C)C=CN1</v>
      </c>
      <c r="C7310" s="7">
        <f>IFERROR(__xludf.DUMMYFUNCTION("""COMPUTED_VALUE"""),7.7796164)</f>
        <v>7.7796164</v>
      </c>
      <c r="D7310" s="7">
        <f>IFERROR(__xludf.DUMMYFUNCTION("""COMPUTED_VALUE"""),0.290322580645161)</f>
        <v>0.2903225806</v>
      </c>
    </row>
    <row r="7311">
      <c r="A7311" s="10" t="s">
        <v>8750</v>
      </c>
      <c r="B7311" s="7" t="str">
        <f>IFERROR(__xludf.DUMMYFUNCTION("SPLIT(A7311,"" "")"),"Cc1ccc(CN(C)Cc2cccc(CN(Cc3cccc(C)n3)C3CCC(N(C)Cc4nc(C)c(C)c(C)c4C)CC3)n2)nc1")</f>
        <v>Cc1ccc(CN(C)Cc2cccc(CN(Cc3cccc(C)n3)C3CCC(N(C)Cc4nc(C)c(C)c(C)c4C)CC3)n2)nc1</v>
      </c>
      <c r="C7311" s="7">
        <f>IFERROR(__xludf.DUMMYFUNCTION("""COMPUTED_VALUE"""),7.7796154)</f>
        <v>7.7796154</v>
      </c>
      <c r="D7311" s="7">
        <f>IFERROR(__xludf.DUMMYFUNCTION("""COMPUTED_VALUE"""),0.387096774193548)</f>
        <v>0.3870967742</v>
      </c>
    </row>
    <row r="7312">
      <c r="A7312" s="10" t="s">
        <v>8751</v>
      </c>
      <c r="B7312" s="7" t="str">
        <f>IFERROR(__xludf.DUMMYFUNCTION("SPLIT(A7312,"" "")"),"CNCCN(Cc1cc(C)ccn1)C(C)(N)c1ccon1")</f>
        <v>CNCCN(Cc1cc(C)ccn1)C(C)(N)c1ccon1</v>
      </c>
      <c r="C7312" s="7">
        <f>IFERROR(__xludf.DUMMYFUNCTION("""COMPUTED_VALUE"""),7.779613)</f>
        <v>7.779613</v>
      </c>
      <c r="D7312" s="7">
        <f>IFERROR(__xludf.DUMMYFUNCTION("""COMPUTED_VALUE"""),0.296296296296296)</f>
        <v>0.2962962963</v>
      </c>
    </row>
    <row r="7313">
      <c r="A7313" s="10" t="s">
        <v>8752</v>
      </c>
      <c r="B7313" s="7" t="str">
        <f>IFERROR(__xludf.DUMMYFUNCTION("SPLIT(A7313,"" "")"),"CN(CCN(C)c1ccc2cccnc2c1)Cc1ccc(-c2cccc3c2OCCOCCOCCOCCOCCO3)cn1")</f>
        <v>CN(CCN(C)c1ccc2cccnc2c1)Cc1ccc(-c2cccc3c2OCCOCCOCCOCCOCCO3)cn1</v>
      </c>
      <c r="C7313" s="7">
        <f>IFERROR(__xludf.DUMMYFUNCTION("""COMPUTED_VALUE"""),7.7796116)</f>
        <v>7.7796116</v>
      </c>
      <c r="D7313" s="7">
        <f>IFERROR(__xludf.DUMMYFUNCTION("""COMPUTED_VALUE"""),0.3)</f>
        <v>0.3</v>
      </c>
    </row>
    <row r="7314">
      <c r="A7314" s="10" t="s">
        <v>8753</v>
      </c>
      <c r="B7314" s="7" t="str">
        <f>IFERROR(__xludf.DUMMYFUNCTION("SPLIT(A7314,"" "")"),"CNC1CCC(N(C)Cc2ncccc2C)C(N(Cc2nc(C)c(C)c(C)c2C)Cc2nc(C)c(C)c(C)c2C)C1")</f>
        <v>CNC1CCC(N(C)Cc2ncccc2C)C(N(Cc2nc(C)c(C)c(C)c2C)Cc2nc(C)c(C)c(C)c2C)C1</v>
      </c>
      <c r="C7314" s="7">
        <f>IFERROR(__xludf.DUMMYFUNCTION("""COMPUTED_VALUE"""),7.779593)</f>
        <v>7.779593</v>
      </c>
      <c r="D7314" s="7">
        <f>IFERROR(__xludf.DUMMYFUNCTION("""COMPUTED_VALUE"""),0.32258064516129)</f>
        <v>0.3225806452</v>
      </c>
    </row>
    <row r="7315">
      <c r="A7315" s="10" t="s">
        <v>8754</v>
      </c>
      <c r="B7315" s="7" t="str">
        <f>IFERROR(__xludf.DUMMYFUNCTION("SPLIT(A7315,"" "")"),"Cc1ccc(CN(C)C2CCC(N(C)Cc3ccccn3)C(N(Cc3nc(C)c(C)cc3C)Cc3nc(C)c(C)cc3C)C2)nc1")</f>
        <v>Cc1ccc(CN(C)C2CCC(N(C)Cc3ccccn3)C(N(Cc3nc(C)c(C)cc3C)Cc3nc(C)c(C)cc3C)C2)nc1</v>
      </c>
      <c r="C7315" s="7">
        <f>IFERROR(__xludf.DUMMYFUNCTION("""COMPUTED_VALUE"""),7.7795897)</f>
        <v>7.7795897</v>
      </c>
      <c r="D7315" s="7">
        <f>IFERROR(__xludf.DUMMYFUNCTION("""COMPUTED_VALUE"""),0.466666666666666)</f>
        <v>0.4666666667</v>
      </c>
    </row>
    <row r="7316">
      <c r="A7316" s="10" t="s">
        <v>8755</v>
      </c>
      <c r="B7316" s="7" t="str">
        <f>IFERROR(__xludf.DUMMYFUNCTION("SPLIT(A7316,"" "")"),"Cc1ccc(CN(C)C2CCC(N(C)Cc3ccccn3)CC2N(Cc2nc(C)c(C)cc2C)Cc2nc(C)c(C)cc2C)nc1")</f>
        <v>Cc1ccc(CN(C)C2CCC(N(C)Cc3ccccn3)CC2N(Cc2nc(C)c(C)cc2C)Cc2nc(C)c(C)cc2C)nc1</v>
      </c>
      <c r="C7316" s="7">
        <f>IFERROR(__xludf.DUMMYFUNCTION("""COMPUTED_VALUE"""),7.7795897)</f>
        <v>7.7795897</v>
      </c>
      <c r="D7316" s="7">
        <f>IFERROR(__xludf.DUMMYFUNCTION("""COMPUTED_VALUE"""),0.466666666666666)</f>
        <v>0.4666666667</v>
      </c>
    </row>
    <row r="7317">
      <c r="A7317" s="10" t="s">
        <v>8756</v>
      </c>
      <c r="B7317" s="7" t="str">
        <f>IFERROR(__xludf.DUMMYFUNCTION("SPLIT(A7317,"" "")"),"CCCN(C)CC1=CC(N(C)Cc2cc(C)c(C)c(C)n2)C=CN1")</f>
        <v>CCCN(C)CC1=CC(N(C)Cc2cc(C)c(C)c(C)n2)C=CN1</v>
      </c>
      <c r="C7317" s="7">
        <f>IFERROR(__xludf.DUMMYFUNCTION("""COMPUTED_VALUE"""),7.7795863)</f>
        <v>7.7795863</v>
      </c>
      <c r="D7317" s="7">
        <f>IFERROR(__xludf.DUMMYFUNCTION("""COMPUTED_VALUE"""),0.311475409836065)</f>
        <v>0.3114754098</v>
      </c>
    </row>
    <row r="7318">
      <c r="A7318" s="10" t="s">
        <v>8757</v>
      </c>
      <c r="B7318" s="7" t="str">
        <f>IFERROR(__xludf.DUMMYFUNCTION("SPLIT(A7318,"" "")"),"Cc1ccc(CN(Cc2ccccn2)C2CCC(N(C)Cc3ccc(-c4ccccc4)cn3)CC2)nc1")</f>
        <v>Cc1ccc(CN(Cc2ccccn2)C2CCC(N(C)Cc3ccc(-c4ccccc4)cn3)CC2)nc1</v>
      </c>
      <c r="C7318" s="7">
        <f>IFERROR(__xludf.DUMMYFUNCTION("""COMPUTED_VALUE"""),7.7795753)</f>
        <v>7.7795753</v>
      </c>
      <c r="D7318" s="7">
        <f>IFERROR(__xludf.DUMMYFUNCTION("""COMPUTED_VALUE"""),0.471698113207547)</f>
        <v>0.4716981132</v>
      </c>
    </row>
    <row r="7319">
      <c r="A7319" s="10" t="s">
        <v>8758</v>
      </c>
      <c r="B7319" s="7" t="str">
        <f>IFERROR(__xludf.DUMMYFUNCTION("SPLIT(A7319,"" "")"),"CCCN(C)C12N=CC=CC1CCC2N(C)Cc1ccc2cccnc2c1")</f>
        <v>CCCN(C)C12N=CC=CC1CCC2N(C)Cc1ccc2cccnc2c1</v>
      </c>
      <c r="C7319" s="7">
        <f>IFERROR(__xludf.DUMMYFUNCTION("""COMPUTED_VALUE"""),7.779574)</f>
        <v>7.779574</v>
      </c>
      <c r="D7319" s="7">
        <f>IFERROR(__xludf.DUMMYFUNCTION("""COMPUTED_VALUE"""),0.25)</f>
        <v>0.25</v>
      </c>
    </row>
    <row r="7320">
      <c r="A7320" s="10" t="s">
        <v>8759</v>
      </c>
      <c r="B7320" s="7" t="str">
        <f>IFERROR(__xludf.DUMMYFUNCTION("SPLIT(A7320,"" "")"),"CC1=CNC=CC1CN(Cc1ccccn1)Cc1ccccn1")</f>
        <v>CC1=CNC=CC1CN(Cc1ccccn1)Cc1ccccn1</v>
      </c>
      <c r="C7320" s="7">
        <f>IFERROR(__xludf.DUMMYFUNCTION("""COMPUTED_VALUE"""),7.779574)</f>
        <v>7.779574</v>
      </c>
      <c r="D7320" s="7">
        <f>IFERROR(__xludf.DUMMYFUNCTION("""COMPUTED_VALUE"""),0.489795918367346)</f>
        <v>0.4897959184</v>
      </c>
    </row>
    <row r="7321">
      <c r="A7321" s="10" t="s">
        <v>8760</v>
      </c>
      <c r="B7321" s="7" t="str">
        <f>IFERROR(__xludf.DUMMYFUNCTION("SPLIT(A7321,"" "")"),"CN(Cc1ccccn1)CC1C=CNC(N(C)C)=C1")</f>
        <v>CN(Cc1ccccn1)CC1C=CNC(N(C)C)=C1</v>
      </c>
      <c r="C7321" s="7">
        <f>IFERROR(__xludf.DUMMYFUNCTION("""COMPUTED_VALUE"""),7.779569)</f>
        <v>7.779569</v>
      </c>
      <c r="D7321" s="7">
        <f>IFERROR(__xludf.DUMMYFUNCTION("""COMPUTED_VALUE"""),0.428571428571428)</f>
        <v>0.4285714286</v>
      </c>
    </row>
    <row r="7322">
      <c r="A7322" s="10" t="s">
        <v>8761</v>
      </c>
      <c r="B7322" s="7" t="str">
        <f>IFERROR(__xludf.DUMMYFUNCTION("SPLIT(A7322,"" "")"),"CCCN(Cc1ccccn1)C1CCC(N(C)c2ccc3nc(CF)ccc3c2)CC1")</f>
        <v>CCCN(Cc1ccccn1)C1CCC(N(C)c2ccc3nc(CF)ccc3c2)CC1</v>
      </c>
      <c r="C7322" s="7">
        <f>IFERROR(__xludf.DUMMYFUNCTION("""COMPUTED_VALUE"""),7.779567)</f>
        <v>7.779567</v>
      </c>
      <c r="D7322" s="7">
        <f>IFERROR(__xludf.DUMMYFUNCTION("""COMPUTED_VALUE"""),0.389830508474576)</f>
        <v>0.3898305085</v>
      </c>
    </row>
    <row r="7323">
      <c r="A7323" s="10" t="s">
        <v>8762</v>
      </c>
      <c r="B7323" s="7" t="str">
        <f>IFERROR(__xludf.DUMMYFUNCTION("SPLIT(A7323,"" "")"),"Cc1ccc(C)c(CN(C)CCN(C)Cc2ccncc2C)n1")</f>
        <v>Cc1ccc(C)c(CN(C)CCN(C)Cc2ccncc2C)n1</v>
      </c>
      <c r="C7323" s="7">
        <f>IFERROR(__xludf.DUMMYFUNCTION("""COMPUTED_VALUE"""),7.779554)</f>
        <v>7.779554</v>
      </c>
      <c r="D7323" s="7">
        <f>IFERROR(__xludf.DUMMYFUNCTION("""COMPUTED_VALUE"""),0.386363636363636)</f>
        <v>0.3863636364</v>
      </c>
    </row>
    <row r="7324">
      <c r="A7324" s="10" t="s">
        <v>8763</v>
      </c>
      <c r="B7324" s="7" t="str">
        <f>IFERROR(__xludf.DUMMYFUNCTION("SPLIT(A7324,"" "")"),"CC1=CC(C)C(C)(c2ncccc2CN(Cc2ccccn2)Cc2ccccn2)CC1")</f>
        <v>CC1=CC(C)C(C)(c2ncccc2CN(Cc2ccccn2)Cc2ccccn2)CC1</v>
      </c>
      <c r="C7324" s="7">
        <f>IFERROR(__xludf.DUMMYFUNCTION("""COMPUTED_VALUE"""),7.779539)</f>
        <v>7.779539</v>
      </c>
      <c r="D7324" s="7">
        <f>IFERROR(__xludf.DUMMYFUNCTION("""COMPUTED_VALUE"""),0.434782608695652)</f>
        <v>0.4347826087</v>
      </c>
    </row>
    <row r="7325">
      <c r="A7325" s="10" t="s">
        <v>8764</v>
      </c>
      <c r="B7325" s="7" t="str">
        <f>IFERROR(__xludf.DUMMYFUNCTION("SPLIT(A7325,"" "")"),"CN1CCN(Cc2ccccc2)CCN(Cc2ccc(-c3cccc(N=Cc4ccccn4)c3)cn2)CC1")</f>
        <v>CN1CCN(Cc2ccccc2)CCN(Cc2ccc(-c3cccc(N=Cc4ccccn4)c3)cn2)CC1</v>
      </c>
      <c r="C7325" s="7">
        <f>IFERROR(__xludf.DUMMYFUNCTION("""COMPUTED_VALUE"""),7.7795377)</f>
        <v>7.7795377</v>
      </c>
      <c r="D7325" s="7">
        <f>IFERROR(__xludf.DUMMYFUNCTION("""COMPUTED_VALUE"""),0.448275862068965)</f>
        <v>0.4482758621</v>
      </c>
    </row>
    <row r="7326">
      <c r="A7326" s="10" t="s">
        <v>8765</v>
      </c>
      <c r="B7326" s="7" t="str">
        <f>IFERROR(__xludf.DUMMYFUNCTION("SPLIT(A7326,"" "")"),"CNC1CC(N(Cc2ccccn2)Cc2nc(C)c(C)c(C)c2C)CCC1N(Cc1ccccn1)Cc1nc(C)c(C)c(C)c1C")</f>
        <v>CNC1CC(N(Cc2ccccn2)Cc2nc(C)c(C)c(C)c2C)CCC1N(Cc1ccccn1)Cc1nc(C)c(C)c(C)c1C</v>
      </c>
      <c r="C7326" s="7">
        <f>IFERROR(__xludf.DUMMYFUNCTION("""COMPUTED_VALUE"""),7.7795362)</f>
        <v>7.7795362</v>
      </c>
      <c r="D7326" s="7">
        <f>IFERROR(__xludf.DUMMYFUNCTION("""COMPUTED_VALUE"""),0.372881355932203)</f>
        <v>0.3728813559</v>
      </c>
    </row>
    <row r="7327">
      <c r="A7327" s="10" t="s">
        <v>8766</v>
      </c>
      <c r="B7327" s="7" t="str">
        <f>IFERROR(__xludf.DUMMYFUNCTION("SPLIT(A7327,"" "")"),"CC1C=CC(C)(C)C(C)(c2cccc(CN(Cc3ccccn3)C3CCCCC3N(C)c3ccc4nc(CF)ccc4c3)n2)C1C")</f>
        <v>CC1C=CC(C)(C)C(C)(c2cccc(CN(Cc3ccccn3)C3CCCCC3N(C)c3ccc4nc(CF)ccc4c3)n2)C1C</v>
      </c>
      <c r="C7327" s="7">
        <f>IFERROR(__xludf.DUMMYFUNCTION("""COMPUTED_VALUE"""),7.7795324)</f>
        <v>7.7795324</v>
      </c>
      <c r="D7327" s="7">
        <f>IFERROR(__xludf.DUMMYFUNCTION("""COMPUTED_VALUE"""),0.367088607594936)</f>
        <v>0.3670886076</v>
      </c>
    </row>
    <row r="7328">
      <c r="A7328" s="10" t="s">
        <v>8767</v>
      </c>
      <c r="B7328" s="7" t="str">
        <f>IFERROR(__xludf.DUMMYFUNCTION("SPLIT(A7328,"" "")"),"CN(Cc1cccc(-c2ccc3c(c2)OCCOCCOCCOCCOCCO3)n1)c1cccc2ccc(CN(Cc3ccc(F)cn3)Cc3cccc(-c4ccc5c(c4)OCCOCCOCCOCCOCCO5)n3)nc12")</f>
        <v>CN(Cc1cccc(-c2ccc3c(c2)OCCOCCOCCOCCOCCO3)n1)c1cccc2ccc(CN(Cc3ccc(F)cn3)Cc3cccc(-c4ccc5c(c4)OCCOCCOCCOCCOCCO5)n3)nc12</v>
      </c>
      <c r="C7328" s="7">
        <f>IFERROR(__xludf.DUMMYFUNCTION("""COMPUTED_VALUE"""),7.7795305)</f>
        <v>7.7795305</v>
      </c>
      <c r="D7328" s="7">
        <f>IFERROR(__xludf.DUMMYFUNCTION("""COMPUTED_VALUE"""),0.355263157894736)</f>
        <v>0.3552631579</v>
      </c>
    </row>
    <row r="7329">
      <c r="A7329" s="10" t="s">
        <v>8768</v>
      </c>
      <c r="B7329" s="7" t="str">
        <f>IFERROR(__xludf.DUMMYFUNCTION("SPLIT(A7329,"" "")"),"CNC1C(N(Cc2cc(C)c(C)cn2)Cc2ncccc2C)CCCC1N(Cc1cc(C)c(C)c(C)n1)Cc1nccc(C)c1C")</f>
        <v>CNC1C(N(Cc2cc(C)c(C)cn2)Cc2ncccc2C)CCCC1N(Cc1cc(C)c(C)c(C)n1)Cc1nccc(C)c1C</v>
      </c>
      <c r="C7329" s="7">
        <f>IFERROR(__xludf.DUMMYFUNCTION("""COMPUTED_VALUE"""),7.7795243)</f>
        <v>7.7795243</v>
      </c>
      <c r="D7329" s="7">
        <f>IFERROR(__xludf.DUMMYFUNCTION("""COMPUTED_VALUE"""),0.294117647058823)</f>
        <v>0.2941176471</v>
      </c>
    </row>
    <row r="7330">
      <c r="A7330" s="10" t="s">
        <v>8769</v>
      </c>
      <c r="B7330" s="7" t="str">
        <f>IFERROR(__xludf.DUMMYFUNCTION("SPLIT(A7330,"" "")"),"Cc1c(N)nc(CN(Cc2ccccn2)CN(C)C(C)C)c(C)c1C")</f>
        <v>Cc1c(N)nc(CN(Cc2ccccn2)CN(C)C(C)C)c(C)c1C</v>
      </c>
      <c r="C7330" s="7">
        <f>IFERROR(__xludf.DUMMYFUNCTION("""COMPUTED_VALUE"""),7.7795196)</f>
        <v>7.7795196</v>
      </c>
      <c r="D7330" s="7">
        <f>IFERROR(__xludf.DUMMYFUNCTION("""COMPUTED_VALUE"""),0.448979591836734)</f>
        <v>0.4489795918</v>
      </c>
    </row>
    <row r="7331">
      <c r="A7331" s="10" t="s">
        <v>8770</v>
      </c>
      <c r="B7331" s="7" t="str">
        <f>IFERROR(__xludf.DUMMYFUNCTION("SPLIT(A7331,"" "")"),"Cc1cccc(CN(C)C2=CCC=C(CN(C)C(C)C(C)N)N2)n1")</f>
        <v>Cc1cccc(CN(C)C2=CCC=C(CN(C)C(C)C(C)N)N2)n1</v>
      </c>
      <c r="C7331" s="7">
        <f>IFERROR(__xludf.DUMMYFUNCTION("""COMPUTED_VALUE"""),7.7795134)</f>
        <v>7.7795134</v>
      </c>
      <c r="D7331" s="7">
        <f>IFERROR(__xludf.DUMMYFUNCTION("""COMPUTED_VALUE"""),0.384615384615384)</f>
        <v>0.3846153846</v>
      </c>
    </row>
    <row r="7332">
      <c r="A7332" s="10" t="s">
        <v>8771</v>
      </c>
      <c r="B7332" s="7" t="str">
        <f>IFERROR(__xludf.DUMMYFUNCTION("SPLIT(A7332,"" "")"),"CN(Cc1cc(-c2ccc3c(c2)OCCOCCOCCOCCOCCO3)ccn1)CN(Cc1ccc(N(C)c2ccc3ncccc3c2)cn1)Cc1cc(-c2ccc3c(c2)OCCOCCOCCOCCOCCO3)ccn1")</f>
        <v>CN(Cc1cc(-c2ccc3c(c2)OCCOCCOCCOCCOCCO3)ccn1)CN(Cc1ccc(N(C)c2ccc3ncccc3c2)cn1)Cc1cc(-c2ccc3c(c2)OCCOCCOCCOCCOCCO3)ccn1</v>
      </c>
      <c r="C7332" s="7">
        <f>IFERROR(__xludf.DUMMYFUNCTION("""COMPUTED_VALUE"""),7.7795053)</f>
        <v>7.7795053</v>
      </c>
      <c r="D7332" s="7">
        <f>IFERROR(__xludf.DUMMYFUNCTION("""COMPUTED_VALUE"""),0.35)</f>
        <v>0.35</v>
      </c>
    </row>
    <row r="7333">
      <c r="A7333" s="10" t="s">
        <v>8772</v>
      </c>
      <c r="B7333" s="7" t="str">
        <f>IFERROR(__xludf.DUMMYFUNCTION("SPLIT(A7333,"" "")"),"Cc1cc(C)c(CN(C)C2CCCCC2N(C)Cc2cc(-c3ccccc3)ccn2)nc1C")</f>
        <v>Cc1cc(C)c(CN(C)C2CCCCC2N(C)Cc2cc(-c3ccccc3)ccn2)nc1C</v>
      </c>
      <c r="C7333" s="7">
        <f>IFERROR(__xludf.DUMMYFUNCTION("""COMPUTED_VALUE"""),7.7795005)</f>
        <v>7.7795005</v>
      </c>
      <c r="D7333" s="7">
        <f>IFERROR(__xludf.DUMMYFUNCTION("""COMPUTED_VALUE"""),0.5)</f>
        <v>0.5</v>
      </c>
    </row>
    <row r="7334">
      <c r="A7334" s="10" t="s">
        <v>8773</v>
      </c>
      <c r="B7334" s="7" t="str">
        <f>IFERROR(__xludf.DUMMYFUNCTION("SPLIT(A7334,"" "")"),"Cc1cnc(CN(C)Cc2ccc(N(C)Cc3cccc(-c4ccc5c(c4)OCCOCCOCCOCCOCCO5)n3)cn2)c(C)c1")</f>
        <v>Cc1cnc(CN(C)Cc2ccc(N(C)Cc3cccc(-c4ccc5c(c4)OCCOCCOCCOCCOCCO5)n3)cn2)c(C)c1</v>
      </c>
      <c r="C7334" s="7">
        <f>IFERROR(__xludf.DUMMYFUNCTION("""COMPUTED_VALUE"""),7.7794933)</f>
        <v>7.7794933</v>
      </c>
      <c r="D7334" s="7">
        <f>IFERROR(__xludf.DUMMYFUNCTION("""COMPUTED_VALUE"""),0.341772151898734)</f>
        <v>0.3417721519</v>
      </c>
    </row>
    <row r="7335">
      <c r="A7335" s="10" t="s">
        <v>8774</v>
      </c>
      <c r="B7335" s="7" t="str">
        <f>IFERROR(__xludf.DUMMYFUNCTION("SPLIT(A7335,"" "")"),"CNCc1cc(CN(Cc2ccccn2)C2CCC(N(C)Cc3ccc4ncccc4c3)CC2)ccn1")</f>
        <v>CNCc1cc(CN(Cc2ccccn2)C2CCC(N(C)Cc3ccc4ncccc4c3)CC2)ccn1</v>
      </c>
      <c r="C7335" s="7">
        <f>IFERROR(__xludf.DUMMYFUNCTION("""COMPUTED_VALUE"""),7.779489)</f>
        <v>7.779489</v>
      </c>
      <c r="D7335" s="7">
        <f>IFERROR(__xludf.DUMMYFUNCTION("""COMPUTED_VALUE"""),0.370967741935483)</f>
        <v>0.3709677419</v>
      </c>
    </row>
    <row r="7336">
      <c r="A7336" s="10" t="s">
        <v>8775</v>
      </c>
      <c r="B7336" s="7" t="str">
        <f>IFERROR(__xludf.DUMMYFUNCTION("SPLIT(A7336,"" "")"),"CC(N(C)C(c1ccccn1)N1CCN(C)CCN(C)CC1)N(C)C(c1ccccn1)N(C)c1cccc2cccnc12")</f>
        <v>CC(N(C)C(c1ccccn1)N1CCN(C)CCN(C)CC1)N(C)C(c1ccccn1)N(C)c1cccc2cccnc12</v>
      </c>
      <c r="C7336" s="7">
        <f>IFERROR(__xludf.DUMMYFUNCTION("""COMPUTED_VALUE"""),7.779489)</f>
        <v>7.779489</v>
      </c>
      <c r="D7336" s="7">
        <f>IFERROR(__xludf.DUMMYFUNCTION("""COMPUTED_VALUE"""),0.362068965517241)</f>
        <v>0.3620689655</v>
      </c>
    </row>
    <row r="7337">
      <c r="A7337" s="10" t="s">
        <v>8776</v>
      </c>
      <c r="B7337" s="7" t="str">
        <f>IFERROR(__xludf.DUMMYFUNCTION("SPLIT(A7337,"" "")"),"Cc1cccc(CN(Cc2ccccn2)C2CCCC(N(C)Cc3cccc(C4=CCC=CN4)n3)C2)n1")</f>
        <v>Cc1cccc(CN(Cc2ccccn2)C2CCCC(N(C)Cc3cccc(C4=CCC=CN4)n3)C2)n1</v>
      </c>
      <c r="C7337" s="7">
        <f>IFERROR(__xludf.DUMMYFUNCTION("""COMPUTED_VALUE"""),7.7794814)</f>
        <v>7.7794814</v>
      </c>
      <c r="D7337" s="7">
        <f>IFERROR(__xludf.DUMMYFUNCTION("""COMPUTED_VALUE"""),0.4)</f>
        <v>0.4</v>
      </c>
    </row>
    <row r="7338">
      <c r="A7338" s="10" t="s">
        <v>8777</v>
      </c>
      <c r="B7338" s="7" t="str">
        <f>IFERROR(__xludf.DUMMYFUNCTION("SPLIT(A7338,"" "")"),"Cc1c(N)cccc1-c1cccc(CN(C)C2CCC(N(C)Cc3ccccn3)CC2)n1")</f>
        <v>Cc1c(N)cccc1-c1cccc(CN(C)C2CCC(N(C)Cc3ccccn3)CC2)n1</v>
      </c>
      <c r="C7338" s="7">
        <f>IFERROR(__xludf.DUMMYFUNCTION("""COMPUTED_VALUE"""),7.779477)</f>
        <v>7.779477</v>
      </c>
      <c r="D7338" s="7">
        <f>IFERROR(__xludf.DUMMYFUNCTION("""COMPUTED_VALUE"""),0.48076923076923)</f>
        <v>0.4807692308</v>
      </c>
    </row>
    <row r="7339">
      <c r="A7339" s="10" t="s">
        <v>8778</v>
      </c>
      <c r="B7339" s="7" t="str">
        <f>IFERROR(__xludf.DUMMYFUNCTION("SPLIT(A7339,"" "")"),"CC1C=CCc2ncccc21")</f>
        <v>CC1C=CCc2ncccc21</v>
      </c>
      <c r="C7339" s="7">
        <f>IFERROR(__xludf.DUMMYFUNCTION("""COMPUTED_VALUE"""),7.7794766)</f>
        <v>7.7794766</v>
      </c>
      <c r="D7339" s="7">
        <f>IFERROR(__xludf.DUMMYFUNCTION("""COMPUTED_VALUE"""),0.25531914893617)</f>
        <v>0.2553191489</v>
      </c>
    </row>
    <row r="7340">
      <c r="A7340" s="10" t="s">
        <v>8779</v>
      </c>
      <c r="B7340" s="7" t="str">
        <f>IFERROR(__xludf.DUMMYFUNCTION("SPLIT(A7340,"" "")"),"C1=CC(NCc2ccccn2)NC(CNCc2ccccn2)=C1")</f>
        <v>C1=CC(NCc2ccccn2)NC(CNCc2ccccn2)=C1</v>
      </c>
      <c r="C7340" s="7">
        <f>IFERROR(__xludf.DUMMYFUNCTION("""COMPUTED_VALUE"""),7.779469)</f>
        <v>7.779469</v>
      </c>
      <c r="D7340" s="7">
        <f>IFERROR(__xludf.DUMMYFUNCTION("""COMPUTED_VALUE"""),0.463414634146341)</f>
        <v>0.4634146341</v>
      </c>
    </row>
    <row r="7341">
      <c r="A7341" s="10" t="s">
        <v>8780</v>
      </c>
      <c r="B7341" s="7" t="str">
        <f>IFERROR(__xludf.DUMMYFUNCTION("SPLIT(A7341,"" "")"),"Cc1cccnc1CN(C)C1CCC(N(C)Cc2ccc3ncccc3c2)CC1")</f>
        <v>Cc1cccnc1CN(C)C1CCC(N(C)Cc2ccc3ncccc3c2)CC1</v>
      </c>
      <c r="C7341" s="7">
        <f>IFERROR(__xludf.DUMMYFUNCTION("""COMPUTED_VALUE"""),7.7794585)</f>
        <v>7.7794585</v>
      </c>
      <c r="D7341" s="7">
        <f>IFERROR(__xludf.DUMMYFUNCTION("""COMPUTED_VALUE"""),0.303571428571428)</f>
        <v>0.3035714286</v>
      </c>
    </row>
    <row r="7342">
      <c r="A7342" s="10" t="s">
        <v>8781</v>
      </c>
      <c r="B7342" s="7" t="str">
        <f>IFERROR(__xludf.DUMMYFUNCTION("SPLIT(A7342,"" "")"),"CCCNCC1=C(N(C)Cc2cc(C)ccn2)CC=CN1")</f>
        <v>CCCNCC1=C(N(C)Cc2cc(C)ccn2)CC=CN1</v>
      </c>
      <c r="C7342" s="7">
        <f>IFERROR(__xludf.DUMMYFUNCTION("""COMPUTED_VALUE"""),7.7794557)</f>
        <v>7.7794557</v>
      </c>
      <c r="D7342" s="7">
        <f>IFERROR(__xludf.DUMMYFUNCTION("""COMPUTED_VALUE"""),0.305084745762711)</f>
        <v>0.3050847458</v>
      </c>
    </row>
    <row r="7343">
      <c r="A7343" s="10" t="s">
        <v>8782</v>
      </c>
      <c r="B7343" s="7" t="str">
        <f>IFERROR(__xludf.DUMMYFUNCTION("SPLIT(A7343,"" "")"),"CC(C)N(C)Cc1cc(N(C)C2C=CC=CN2)ccn1")</f>
        <v>CC(C)N(C)Cc1cc(N(C)C2C=CC=CN2)ccn1</v>
      </c>
      <c r="C7343" s="7">
        <f>IFERROR(__xludf.DUMMYFUNCTION("""COMPUTED_VALUE"""),7.7794538)</f>
        <v>7.7794538</v>
      </c>
      <c r="D7343" s="7">
        <f>IFERROR(__xludf.DUMMYFUNCTION("""COMPUTED_VALUE"""),0.350877192982456)</f>
        <v>0.350877193</v>
      </c>
    </row>
    <row r="7344">
      <c r="A7344" s="10" t="s">
        <v>8783</v>
      </c>
      <c r="B7344" s="7" t="str">
        <f>IFERROR(__xludf.DUMMYFUNCTION("SPLIT(A7344,"" "")"),"CC1=CC(C)C(C)(c2ccc(CN(Cc3ccccn3)Cc3ccccn3)cn2)CC1")</f>
        <v>CC1=CC(C)C(C)(c2ccc(CN(Cc3ccccn3)Cc3ccccn3)cn2)CC1</v>
      </c>
      <c r="C7344" s="7">
        <f>IFERROR(__xludf.DUMMYFUNCTION("""COMPUTED_VALUE"""),7.7794447)</f>
        <v>7.7794447</v>
      </c>
      <c r="D7344" s="7">
        <f>IFERROR(__xludf.DUMMYFUNCTION("""COMPUTED_VALUE"""),0.416666666666666)</f>
        <v>0.4166666667</v>
      </c>
    </row>
    <row r="7345">
      <c r="A7345" s="10" t="s">
        <v>8784</v>
      </c>
      <c r="B7345" s="7" t="str">
        <f>IFERROR(__xludf.DUMMYFUNCTION("SPLIT(A7345,"" "")"),"CC1C=CC2(C=CC(c3cc(CN(Cc4ccccn4)Cc4ccccn4)ccn3)C(c3cc(CN(Cc4ccccn4)C(C)C)ccn3)C2(C)C)CC1C")</f>
        <v>CC1C=CC2(C=CC(c3cc(CN(Cc4ccccn4)Cc4ccccn4)ccn3)C(c3cc(CN(Cc4ccccn4)C(C)C)ccn3)C2(C)C)CC1C</v>
      </c>
      <c r="C7345" s="7">
        <f>IFERROR(__xludf.DUMMYFUNCTION("""COMPUTED_VALUE"""),7.779444)</f>
        <v>7.779444</v>
      </c>
      <c r="D7345" s="7">
        <f>IFERROR(__xludf.DUMMYFUNCTION("""COMPUTED_VALUE"""),0.363636363636363)</f>
        <v>0.3636363636</v>
      </c>
    </row>
    <row r="7346">
      <c r="A7346" s="10" t="s">
        <v>8785</v>
      </c>
      <c r="B7346" s="7" t="str">
        <f>IFERROR(__xludf.DUMMYFUNCTION("SPLIT(A7346,"" "")"),"Cc1cnc(CN(C)C2CCC(N(Cc3cc(C)c(C)cn3)Cc3cc(C)c(C)c(C)n3)C(N(C)Cc3ccccn3)C2)c(C)c1")</f>
        <v>Cc1cnc(CN(C)C2CCC(N(Cc3cc(C)c(C)cn3)Cc3cc(C)c(C)c(C)n3)C(N(C)Cc3ccccn3)C2)c(C)c1</v>
      </c>
      <c r="C7346" s="7">
        <f>IFERROR(__xludf.DUMMYFUNCTION("""COMPUTED_VALUE"""),7.7794414)</f>
        <v>7.7794414</v>
      </c>
      <c r="D7346" s="7">
        <f>IFERROR(__xludf.DUMMYFUNCTION("""COMPUTED_VALUE"""),0.38235294117647)</f>
        <v>0.3823529412</v>
      </c>
    </row>
    <row r="7347">
      <c r="A7347" s="10" t="s">
        <v>8786</v>
      </c>
      <c r="B7347" s="7" t="str">
        <f>IFERROR(__xludf.DUMMYFUNCTION("SPLIT(A7347,"" "")"),"Cc1cc2c(cc1-c1ccc(C(C)C)c(CN(Cc3ccccn3)C3CCCCC3N(C)c3ccc4nccc(CN(C)C)c4c3)n1)OCCOCCOCCOCCOCCO2")</f>
        <v>Cc1cc2c(cc1-c1ccc(C(C)C)c(CN(Cc3ccccn3)C3CCCCC3N(C)c3ccc4nccc(CN(C)C)c4c3)n1)OCCOCCOCCOCCOCCO2</v>
      </c>
      <c r="C7347" s="7">
        <f>IFERROR(__xludf.DUMMYFUNCTION("""COMPUTED_VALUE"""),7.7794394)</f>
        <v>7.7794394</v>
      </c>
      <c r="D7347" s="7">
        <f>IFERROR(__xludf.DUMMYFUNCTION("""COMPUTED_VALUE"""),0.298850574712643)</f>
        <v>0.2988505747</v>
      </c>
    </row>
    <row r="7348">
      <c r="A7348" s="10" t="s">
        <v>8787</v>
      </c>
      <c r="B7348" s="7" t="str">
        <f>IFERROR(__xludf.DUMMYFUNCTION("SPLIT(A7348,"" "")"),"Cc1ccc(-c2cccc(CN(C)C3CCCC(N(C)Cc4ccccn4)C3)n2)cc1N")</f>
        <v>Cc1ccc(-c2cccc(CN(C)C3CCCC(N(C)Cc4ccccn4)C3)n2)cc1N</v>
      </c>
      <c r="C7348" s="7">
        <f>IFERROR(__xludf.DUMMYFUNCTION("""COMPUTED_VALUE"""),7.7794323)</f>
        <v>7.7794323</v>
      </c>
      <c r="D7348" s="7">
        <f>IFERROR(__xludf.DUMMYFUNCTION("""COMPUTED_VALUE"""),0.446428571428571)</f>
        <v>0.4464285714</v>
      </c>
    </row>
    <row r="7349">
      <c r="A7349" s="10" t="s">
        <v>8788</v>
      </c>
      <c r="B7349" s="7" t="str">
        <f>IFERROR(__xludf.DUMMYFUNCTION("SPLIT(A7349,"" "")"),"Cc1ccc(CN(CC2=C(N(C)Cc3cc(C)c(C)c(C)n3)CC=CN2)C2CCCCC2N(C)Cc2cc(C)c(C)c(C)n2)nc1")</f>
        <v>Cc1ccc(CN(CC2=C(N(C)Cc3cc(C)c(C)c(C)n3)CC=CN2)C2CCCCC2N(C)Cc2cc(C)c(C)c(C)n2)nc1</v>
      </c>
      <c r="C7349" s="7">
        <f>IFERROR(__xludf.DUMMYFUNCTION("""COMPUTED_VALUE"""),7.779432)</f>
        <v>7.779432</v>
      </c>
      <c r="D7349" s="7">
        <f>IFERROR(__xludf.DUMMYFUNCTION("""COMPUTED_VALUE"""),0.492063492063492)</f>
        <v>0.4920634921</v>
      </c>
    </row>
    <row r="7350">
      <c r="A7350" s="10" t="s">
        <v>8789</v>
      </c>
      <c r="B7350" s="7" t="str">
        <f>IFERROR(__xludf.DUMMYFUNCTION("SPLIT(A7350,"" "")"),"CC(C)N(C)Cc1cccc(-c2cccc(N(C)Cc3cccc(-c4ccc5c(c4)OCCOCCOCCOCCOCCO5)n3)c2)n1")</f>
        <v>CC(C)N(C)Cc1cccc(-c2cccc(N(C)Cc3cccc(-c4ccc5c(c4)OCCOCCOCCOCCOCCO5)n3)c2)n1</v>
      </c>
      <c r="C7350" s="7">
        <f>IFERROR(__xludf.DUMMYFUNCTION("""COMPUTED_VALUE"""),7.7794304)</f>
        <v>7.7794304</v>
      </c>
      <c r="D7350" s="7">
        <f>IFERROR(__xludf.DUMMYFUNCTION("""COMPUTED_VALUE"""),0.315068493150684)</f>
        <v>0.3150684932</v>
      </c>
    </row>
    <row r="7351">
      <c r="A7351" s="10" t="s">
        <v>8790</v>
      </c>
      <c r="B7351" s="7" t="str">
        <f>IFERROR(__xludf.DUMMYFUNCTION("SPLIT(A7351,"" "")"),"Cc1cncc(CN(C)C2=CNC(CN(C)C(C)C(C)C)=CC2)c1C")</f>
        <v>Cc1cncc(CN(C)C2=CNC(CN(C)C(C)C(C)C)=CC2)c1C</v>
      </c>
      <c r="C7351" s="7">
        <f>IFERROR(__xludf.DUMMYFUNCTION("""COMPUTED_VALUE"""),7.7794147)</f>
        <v>7.7794147</v>
      </c>
      <c r="D7351" s="7">
        <f>IFERROR(__xludf.DUMMYFUNCTION("""COMPUTED_VALUE"""),0.17391304347826)</f>
        <v>0.1739130435</v>
      </c>
    </row>
    <row r="7352">
      <c r="A7352" s="10" t="s">
        <v>8791</v>
      </c>
      <c r="B7352" s="7" t="str">
        <f>IFERROR(__xludf.DUMMYFUNCTION("SPLIT(A7352,"" "")"),"COC(=O)c1cc(CN2CCN(C)CCN(Cc3nc(C(C)(C)c4ccccn4)c(C)c(C)c3C)CC2)ccn1")</f>
        <v>COC(=O)c1cc(CN2CCN(C)CCN(Cc3nc(C(C)(C)c4ccccn4)c(C)c(C)c3C)CC2)ccn1</v>
      </c>
      <c r="C7352" s="7">
        <f>IFERROR(__xludf.DUMMYFUNCTION("""COMPUTED_VALUE"""),7.7794113)</f>
        <v>7.7794113</v>
      </c>
      <c r="D7352" s="7">
        <f>IFERROR(__xludf.DUMMYFUNCTION("""COMPUTED_VALUE"""),0.36)</f>
        <v>0.36</v>
      </c>
    </row>
    <row r="7353">
      <c r="A7353" s="10" t="s">
        <v>8792</v>
      </c>
      <c r="B7353" s="7" t="str">
        <f>IFERROR(__xludf.DUMMYFUNCTION("SPLIT(A7353,"" "")"),"Cc1cncc(CN2CCN(C)CCN(CN(C)c3cccc4ncccc34)CC2)c1C")</f>
        <v>Cc1cncc(CN2CCN(C)CCN(CN(C)c3cccc4ncccc34)CC2)c1C</v>
      </c>
      <c r="C7353" s="7">
        <f>IFERROR(__xludf.DUMMYFUNCTION("""COMPUTED_VALUE"""),7.779407)</f>
        <v>7.779407</v>
      </c>
      <c r="D7353" s="7">
        <f>IFERROR(__xludf.DUMMYFUNCTION("""COMPUTED_VALUE"""),0.35)</f>
        <v>0.35</v>
      </c>
    </row>
    <row r="7354">
      <c r="A7354" s="10" t="s">
        <v>8793</v>
      </c>
      <c r="B7354" s="7" t="str">
        <f>IFERROR(__xludf.DUMMYFUNCTION("SPLIT(A7354,"" "")"),"CN(Cc1cc(-c2ccc3c(c2)OCCOCCOCCOCCOCCO3)ccn1)Cc1cc(C(C)(c2ccccn2)c2ccccn2)ccn1")</f>
        <v>CN(Cc1cc(-c2ccc3c(c2)OCCOCCOCCOCCOCCO3)ccn1)Cc1cc(C(C)(c2ccccn2)c2ccccn2)ccn1</v>
      </c>
      <c r="C7354" s="7">
        <f>IFERROR(__xludf.DUMMYFUNCTION("""COMPUTED_VALUE"""),7.779397)</f>
        <v>7.779397</v>
      </c>
      <c r="D7354" s="7">
        <f>IFERROR(__xludf.DUMMYFUNCTION("""COMPUTED_VALUE"""),0.347222222222222)</f>
        <v>0.3472222222</v>
      </c>
    </row>
    <row r="7355">
      <c r="A7355" s="10" t="s">
        <v>8794</v>
      </c>
      <c r="B7355" s="7" t="str">
        <f>IFERROR(__xludf.DUMMYFUNCTION("SPLIT(A7355,"" "")"),"Cc1cc(C)c(CN(C)CC2=CC(N(C)C(C)C)C=CN2)nc1C")</f>
        <v>Cc1cc(C)c(CN(C)CC2=CC(N(C)C(C)C)C=CN2)nc1C</v>
      </c>
      <c r="C7355" s="7">
        <f>IFERROR(__xludf.DUMMYFUNCTION("""COMPUTED_VALUE"""),7.779396)</f>
        <v>7.779396</v>
      </c>
      <c r="D7355" s="7">
        <f>IFERROR(__xludf.DUMMYFUNCTION("""COMPUTED_VALUE"""),0.322033898305084)</f>
        <v>0.3220338983</v>
      </c>
    </row>
    <row r="7356">
      <c r="A7356" s="10" t="s">
        <v>8795</v>
      </c>
      <c r="B7356" s="7" t="str">
        <f>IFERROR(__xludf.DUMMYFUNCTION("SPLIT(A7356,"" "")"),"CCCNCc1cc(C(C)(C)c2ccccn2)ccn1")</f>
        <v>CCCNCc1cc(C(C)(C)c2ccccn2)ccn1</v>
      </c>
      <c r="C7356" s="7">
        <f>IFERROR(__xludf.DUMMYFUNCTION("""COMPUTED_VALUE"""),7.7793946)</f>
        <v>7.7793946</v>
      </c>
      <c r="D7356" s="7">
        <f>IFERROR(__xludf.DUMMYFUNCTION("""COMPUTED_VALUE"""),0.452380952380952)</f>
        <v>0.4523809524</v>
      </c>
    </row>
    <row r="7357">
      <c r="A7357" s="10" t="s">
        <v>8796</v>
      </c>
      <c r="B7357" s="7" t="str">
        <f>IFERROR(__xludf.DUMMYFUNCTION("SPLIT(A7357,"" "")"),"CN(c1ccc2ccc(CF)nc2c1)C1CCC(N(C)C2C=CC=CN2)CC1")</f>
        <v>CN(c1ccc2ccc(CF)nc2c1)C1CCC(N(C)C2C=CC=CN2)CC1</v>
      </c>
      <c r="C7357" s="7">
        <f>IFERROR(__xludf.DUMMYFUNCTION("""COMPUTED_VALUE"""),7.7793665)</f>
        <v>7.7793665</v>
      </c>
      <c r="D7357" s="7">
        <f>IFERROR(__xludf.DUMMYFUNCTION("""COMPUTED_VALUE"""),0.328125)</f>
        <v>0.328125</v>
      </c>
    </row>
    <row r="7358">
      <c r="A7358" s="10" t="s">
        <v>8797</v>
      </c>
      <c r="B7358" s="7" t="str">
        <f>IFERROR(__xludf.DUMMYFUNCTION("SPLIT(A7358,"" "")"),"Cc1nc(CN(C)CCN(C)CCF)c(C)c(C)c1C")</f>
        <v>Cc1nc(CN(C)CCN(C)CCF)c(C)c(C)c1C</v>
      </c>
      <c r="C7358" s="7">
        <f>IFERROR(__xludf.DUMMYFUNCTION("""COMPUTED_VALUE"""),7.779361)</f>
        <v>7.779361</v>
      </c>
      <c r="D7358" s="7">
        <f>IFERROR(__xludf.DUMMYFUNCTION("""COMPUTED_VALUE"""),0.35)</f>
        <v>0.35</v>
      </c>
    </row>
    <row r="7359">
      <c r="A7359" s="10" t="s">
        <v>8798</v>
      </c>
      <c r="B7359" s="7" t="str">
        <f>IFERROR(__xludf.DUMMYFUNCTION("SPLIT(A7359,"" "")"),"CN(CCN(C)c1ccc2ncccc2c1)Cc1ncccc1-c1cccc2c1OCCOCCOCCOCCOCCO2")</f>
        <v>CN(CCN(C)c1ccc2ncccc2c1)Cc1ncccc1-c1cccc2c1OCCOCCOCCOCCOCCO2</v>
      </c>
      <c r="C7359" s="7">
        <f>IFERROR(__xludf.DUMMYFUNCTION("""COMPUTED_VALUE"""),7.7793503)</f>
        <v>7.7793503</v>
      </c>
      <c r="D7359" s="7">
        <f>IFERROR(__xludf.DUMMYFUNCTION("""COMPUTED_VALUE"""),0.328125)</f>
        <v>0.328125</v>
      </c>
    </row>
    <row r="7360">
      <c r="A7360" s="10" t="s">
        <v>8799</v>
      </c>
      <c r="B7360" s="7" t="str">
        <f>IFERROR(__xludf.DUMMYFUNCTION("SPLIT(A7360,"" "")"),"Cc1ccc(CN(C)C2CCC(N(Cc3ccccn3)Cc3ncccc3C)C(N(Cc3ccccn3)Cc3ncc(C)c(C)c3C)C2)nc1")</f>
        <v>Cc1ccc(CN(C)C2CCC(N(Cc3ccccn3)Cc3ncccc3C)C(N(Cc3ccccn3)Cc3ncc(C)c(C)c3C)C2)nc1</v>
      </c>
      <c r="C7360" s="7">
        <f>IFERROR(__xludf.DUMMYFUNCTION("""COMPUTED_VALUE"""),7.7793374)</f>
        <v>7.7793374</v>
      </c>
      <c r="D7360" s="7">
        <f>IFERROR(__xludf.DUMMYFUNCTION("""COMPUTED_VALUE"""),0.40625)</f>
        <v>0.40625</v>
      </c>
    </row>
    <row r="7361">
      <c r="A7361" s="10" t="s">
        <v>8800</v>
      </c>
      <c r="B7361" s="7" t="str">
        <f>IFERROR(__xludf.DUMMYFUNCTION("SPLIT(A7361,"" "")"),"CC(C)C(C)N(Cc1ccccn1)Cc1cccc(C(C)(C)c2ccccn2)n1")</f>
        <v>CC(C)C(C)N(Cc1ccccn1)Cc1cccc(C(C)(C)c2ccccn2)n1</v>
      </c>
      <c r="C7361" s="7">
        <f>IFERROR(__xludf.DUMMYFUNCTION("""COMPUTED_VALUE"""),7.7793336)</f>
        <v>7.7793336</v>
      </c>
      <c r="D7361" s="7">
        <f>IFERROR(__xludf.DUMMYFUNCTION("""COMPUTED_VALUE"""),0.488888888888888)</f>
        <v>0.4888888889</v>
      </c>
    </row>
    <row r="7362">
      <c r="A7362" s="10" t="s">
        <v>8801</v>
      </c>
      <c r="B7362" s="7" t="str">
        <f>IFERROR(__xludf.DUMMYFUNCTION("SPLIT(A7362,"" "")"),"CN(Cc1cccc(-c2ccc3c(c2)OCCOCCOCCOCCOCCO3)n1)Cc1ccc2cccnc2n1")</f>
        <v>CN(Cc1cccc(-c2ccc3c(c2)OCCOCCOCCOCCOCCO3)n1)Cc1ccc2cccnc2n1</v>
      </c>
      <c r="C7362" s="7">
        <f>IFERROR(__xludf.DUMMYFUNCTION("""COMPUTED_VALUE"""),7.77933)</f>
        <v>7.77933</v>
      </c>
      <c r="D7362" s="7">
        <f>IFERROR(__xludf.DUMMYFUNCTION("""COMPUTED_VALUE"""),0.413793103448275)</f>
        <v>0.4137931034</v>
      </c>
    </row>
    <row r="7363">
      <c r="A7363" s="10" t="s">
        <v>8802</v>
      </c>
      <c r="B7363" s="7" t="str">
        <f>IFERROR(__xludf.DUMMYFUNCTION("SPLIT(A7363,"" "")"),"CCNCc1ccccc1NCc1ccccn1")</f>
        <v>CCNCc1ccccc1NCc1ccccn1</v>
      </c>
      <c r="C7363" s="7">
        <f>IFERROR(__xludf.DUMMYFUNCTION("""COMPUTED_VALUE"""),7.7793207)</f>
        <v>7.7793207</v>
      </c>
      <c r="D7363" s="7">
        <f>IFERROR(__xludf.DUMMYFUNCTION("""COMPUTED_VALUE"""),0.486486486486486)</f>
        <v>0.4864864865</v>
      </c>
    </row>
    <row r="7364">
      <c r="A7364" s="10" t="s">
        <v>8803</v>
      </c>
      <c r="B7364" s="7" t="str">
        <f>IFERROR(__xludf.DUMMYFUNCTION("SPLIT(A7364,"" "")"),"C=CCN(C)Cc1cccc(-c2cccc(N(C)C3CCC(N(C)Cc4ccccn4)CC3)c2)n1")</f>
        <v>C=CCN(C)Cc1cccc(-c2cccc(N(C)C3CCC(N(C)Cc4ccccn4)CC3)c2)n1</v>
      </c>
      <c r="C7364" s="7">
        <f>IFERROR(__xludf.DUMMYFUNCTION("""COMPUTED_VALUE"""),7.7793183)</f>
        <v>7.7793183</v>
      </c>
      <c r="D7364" s="7">
        <f>IFERROR(__xludf.DUMMYFUNCTION("""COMPUTED_VALUE"""),0.45)</f>
        <v>0.45</v>
      </c>
    </row>
    <row r="7365">
      <c r="A7365" s="10" t="s">
        <v>8804</v>
      </c>
      <c r="B7365" s="7" t="str">
        <f>IFERROR(__xludf.DUMMYFUNCTION("SPLIT(A7365,"" "")"),"FCNCc1cc(C(NCc2ccccn2)c2ccccc2)ccn1")</f>
        <v>FCNCc1cc(C(NCc2ccccn2)c2ccccc2)ccn1</v>
      </c>
      <c r="C7365" s="7">
        <f>IFERROR(__xludf.DUMMYFUNCTION("""COMPUTED_VALUE"""),7.779317)</f>
        <v>7.779317</v>
      </c>
      <c r="D7365" s="7">
        <f>IFERROR(__xludf.DUMMYFUNCTION("""COMPUTED_VALUE"""),0.441860465116279)</f>
        <v>0.4418604651</v>
      </c>
    </row>
    <row r="7366">
      <c r="A7366" s="10" t="s">
        <v>8805</v>
      </c>
      <c r="B7366" s="7" t="str">
        <f>IFERROR(__xludf.DUMMYFUNCTION("SPLIT(A7366,"" "")"),"Cc1cnc(CN(C)C2CC(N(C)Cc3ccccn3)CC(N(Cc3ccccn3)Cc3cc(C)c(C)c(C)n3)C2)c(C)c1")</f>
        <v>Cc1cnc(CN(C)C2CC(N(C)Cc3ccccn3)CC(N(Cc3ccccn3)Cc3cc(C)c(C)c(C)n3)C2)c(C)c1</v>
      </c>
      <c r="C7366" s="7">
        <f>IFERROR(__xludf.DUMMYFUNCTION("""COMPUTED_VALUE"""),7.7793145)</f>
        <v>7.7793145</v>
      </c>
      <c r="D7366" s="7">
        <f>IFERROR(__xludf.DUMMYFUNCTION("""COMPUTED_VALUE"""),0.377049180327868)</f>
        <v>0.3770491803</v>
      </c>
    </row>
    <row r="7367">
      <c r="A7367" s="10" t="s">
        <v>8806</v>
      </c>
      <c r="B7367" s="7" t="str">
        <f>IFERROR(__xludf.DUMMYFUNCTION("SPLIT(A7367,"" "")"),"Cc1nc(CN(C)C2CCCCC2N(Cc2ccon2)Cc2nc(C)c(C)c(C)c2C)c(C)c(C)c1C")</f>
        <v>Cc1nc(CN(C)C2CCCCC2N(Cc2ccon2)Cc2nc(C)c(C)c(C)c2C)c(C)c(C)c1C</v>
      </c>
      <c r="C7367" s="7">
        <f>IFERROR(__xludf.DUMMYFUNCTION("""COMPUTED_VALUE"""),7.7793136)</f>
        <v>7.7793136</v>
      </c>
      <c r="D7367" s="7">
        <f>IFERROR(__xludf.DUMMYFUNCTION("""COMPUTED_VALUE"""),0.4)</f>
        <v>0.4</v>
      </c>
    </row>
    <row r="7368">
      <c r="A7368" s="10" t="s">
        <v>8807</v>
      </c>
      <c r="B7368" s="7" t="str">
        <f>IFERROR(__xludf.DUMMYFUNCTION("SPLIT(A7368,"" "")"),"CN1CCN(C)CCN(CC2=CCC(N(C)c3ccc4cc(CF)cnc4c3)=CN2)CC1")</f>
        <v>CN1CCN(C)CCN(CC2=CCC(N(C)c3ccc4cc(CF)cnc4c3)=CN2)CC1</v>
      </c>
      <c r="C7368" s="7">
        <f>IFERROR(__xludf.DUMMYFUNCTION("""COMPUTED_VALUE"""),7.7793055)</f>
        <v>7.7793055</v>
      </c>
      <c r="D7368" s="7">
        <f>IFERROR(__xludf.DUMMYFUNCTION("""COMPUTED_VALUE"""),0.333333333333333)</f>
        <v>0.3333333333</v>
      </c>
    </row>
    <row r="7369">
      <c r="A7369" s="10" t="s">
        <v>8808</v>
      </c>
      <c r="B7369" s="7" t="str">
        <f>IFERROR(__xludf.DUMMYFUNCTION("SPLIT(A7369,"" "")"),"CC1CC(c2ccc(CN(C)Cc3ccccn3)cn2)C=C(NCc2ccccn2)C1C")</f>
        <v>CC1CC(c2ccc(CN(C)Cc3ccccn3)cn2)C=C(NCc2ccccn2)C1C</v>
      </c>
      <c r="C7369" s="7">
        <f>IFERROR(__xludf.DUMMYFUNCTION("""COMPUTED_VALUE"""),7.7793045)</f>
        <v>7.7793045</v>
      </c>
      <c r="D7369" s="7">
        <f>IFERROR(__xludf.DUMMYFUNCTION("""COMPUTED_VALUE"""),0.377049180327868)</f>
        <v>0.3770491803</v>
      </c>
    </row>
    <row r="7370">
      <c r="A7370" s="10" t="s">
        <v>8809</v>
      </c>
      <c r="B7370" s="7" t="str">
        <f>IFERROR(__xludf.DUMMYFUNCTION("SPLIT(A7370,"" "")"),"Cc1ccnc(CN(c2ccccc2F)C2CCCCC2N(C)Cc2nc(C)c(C)c(C)c2C)c1C")</f>
        <v>Cc1ccnc(CN(c2ccccc2F)C2CCCCC2N(C)Cc2nc(C)c(C)c(C)c2C)c1C</v>
      </c>
      <c r="C7370" s="7">
        <f>IFERROR(__xludf.DUMMYFUNCTION("""COMPUTED_VALUE"""),7.779299)</f>
        <v>7.779299</v>
      </c>
      <c r="D7370" s="7">
        <f>IFERROR(__xludf.DUMMYFUNCTION("""COMPUTED_VALUE"""),0.377049180327868)</f>
        <v>0.3770491803</v>
      </c>
    </row>
    <row r="7371">
      <c r="A7371" s="10" t="s">
        <v>8810</v>
      </c>
      <c r="B7371" s="7" t="str">
        <f>IFERROR(__xludf.DUMMYFUNCTION("SPLIT(A7371,"" "")"),"CC1=C(C)C(c2ccncc2CN(C)Cc2cccc(C)n2)C(C)(C)C(C)(C)C1")</f>
        <v>CC1=C(C)C(c2ccncc2CN(C)Cc2cccc(C)n2)C(C)(C)C(C)(C)C1</v>
      </c>
      <c r="C7371" s="7">
        <f>IFERROR(__xludf.DUMMYFUNCTION("""COMPUTED_VALUE"""),7.779291)</f>
        <v>7.779291</v>
      </c>
      <c r="D7371" s="7">
        <f>IFERROR(__xludf.DUMMYFUNCTION("""COMPUTED_VALUE"""),0.407407407407407)</f>
        <v>0.4074074074</v>
      </c>
    </row>
    <row r="7372">
      <c r="A7372" s="10" t="s">
        <v>8811</v>
      </c>
      <c r="B7372" s="7" t="str">
        <f>IFERROR(__xludf.DUMMYFUNCTION("SPLIT(A7372,"" "")"),"Cc1ccc(CN(C)Cc2cccc(N(C)C3CCC(N(C)Cc4nc(C)c(C)c(C)c4C)CC3)n2)nc1")</f>
        <v>Cc1ccc(CN(C)Cc2cccc(N(C)C3CCC(N(C)Cc4nc(C)c(C)c(C)c4C)CC3)n2)nc1</v>
      </c>
      <c r="C7372" s="7">
        <f>IFERROR(__xludf.DUMMYFUNCTION("""COMPUTED_VALUE"""),7.77929)</f>
        <v>7.77929</v>
      </c>
      <c r="D7372" s="7">
        <f>IFERROR(__xludf.DUMMYFUNCTION("""COMPUTED_VALUE"""),0.4)</f>
        <v>0.4</v>
      </c>
    </row>
    <row r="7373">
      <c r="A7373" s="10" t="s">
        <v>8812</v>
      </c>
      <c r="B7373" s="7" t="str">
        <f>IFERROR(__xludf.DUMMYFUNCTION("SPLIT(A7373,"" "")"),"CN(Cc1ccccn1)C1=CNC=CC1C(C)(C)C")</f>
        <v>CN(Cc1ccccn1)C1=CNC=CC1C(C)(C)C</v>
      </c>
      <c r="C7373" s="7">
        <f>IFERROR(__xludf.DUMMYFUNCTION("""COMPUTED_VALUE"""),7.7792845)</f>
        <v>7.7792845</v>
      </c>
      <c r="D7373" s="7">
        <f>IFERROR(__xludf.DUMMYFUNCTION("""COMPUTED_VALUE"""),0.4375)</f>
        <v>0.4375</v>
      </c>
    </row>
    <row r="7374">
      <c r="A7374" s="10" t="s">
        <v>8813</v>
      </c>
      <c r="B7374" s="7" t="str">
        <f>IFERROR(__xludf.DUMMYFUNCTION("SPLIT(A7374,"" "")"),"Cc1cnc(CN(CCN(C(C)C)C(C)C)Cc2ncccc2C)cc1C")</f>
        <v>Cc1cnc(CN(CCN(C(C)C)C(C)C)Cc2ncccc2C)cc1C</v>
      </c>
      <c r="C7374" s="7">
        <f>IFERROR(__xludf.DUMMYFUNCTION("""COMPUTED_VALUE"""),7.7792745)</f>
        <v>7.7792745</v>
      </c>
      <c r="D7374" s="7">
        <f>IFERROR(__xludf.DUMMYFUNCTION("""COMPUTED_VALUE"""),0.38)</f>
        <v>0.38</v>
      </c>
    </row>
    <row r="7375">
      <c r="A7375" s="10" t="s">
        <v>8814</v>
      </c>
      <c r="B7375" s="7" t="str">
        <f>IFERROR(__xludf.DUMMYFUNCTION("SPLIT(A7375,"" "")"),"Cc1cccnc1CN(C)C1CCCC(N(Cc2nc(C)c(C)c(C)c2C)Cc2nc(C)c(C)c(C)c2C)C1")</f>
        <v>Cc1cccnc1CN(C)C1CCCC(N(Cc2nc(C)c(C)c(C)c2C)Cc2nc(C)c(C)c(C)c2C)C1</v>
      </c>
      <c r="C7375" s="7">
        <f>IFERROR(__xludf.DUMMYFUNCTION("""COMPUTED_VALUE"""),7.7792697)</f>
        <v>7.7792697</v>
      </c>
      <c r="D7375" s="7">
        <f>IFERROR(__xludf.DUMMYFUNCTION("""COMPUTED_VALUE"""),0.310344827586206)</f>
        <v>0.3103448276</v>
      </c>
    </row>
    <row r="7376">
      <c r="A7376" s="10" t="s">
        <v>8815</v>
      </c>
      <c r="B7376" s="7" t="str">
        <f>IFERROR(__xludf.DUMMYFUNCTION("SPLIT(A7376,"" "")"),"Cc1ccc(CN(C)C2CC(N(C)Cc3cc(C)ccn3)CC(N(Cc3cc(C)ccn3)Cc3ncc(C)c(C)c3C)C2)nc1")</f>
        <v>Cc1ccc(CN(C)C2CC(N(C)Cc3cc(C)ccn3)CC(N(Cc3cc(C)ccn3)Cc3ncc(C)c(C)c3C)C2)nc1</v>
      </c>
      <c r="C7376" s="7">
        <f>IFERROR(__xludf.DUMMYFUNCTION("""COMPUTED_VALUE"""),7.7792664)</f>
        <v>7.7792664</v>
      </c>
      <c r="D7376" s="7">
        <f>IFERROR(__xludf.DUMMYFUNCTION("""COMPUTED_VALUE"""),0.421052631578947)</f>
        <v>0.4210526316</v>
      </c>
    </row>
    <row r="7377">
      <c r="A7377" s="10" t="s">
        <v>8816</v>
      </c>
      <c r="B7377" s="7" t="str">
        <f>IFERROR(__xludf.DUMMYFUNCTION("SPLIT(A7377,"" "")"),"CNCc1cc(C)c(C)cn1")</f>
        <v>CNCc1cc(C)c(C)cn1</v>
      </c>
      <c r="C7377" s="7">
        <f>IFERROR(__xludf.DUMMYFUNCTION("""COMPUTED_VALUE"""),7.779259)</f>
        <v>7.779259</v>
      </c>
      <c r="D7377" s="7">
        <f>IFERROR(__xludf.DUMMYFUNCTION("""COMPUTED_VALUE"""),0.297297297297297)</f>
        <v>0.2972972973</v>
      </c>
    </row>
    <row r="7378">
      <c r="A7378" s="10" t="s">
        <v>8817</v>
      </c>
      <c r="B7378" s="7" t="str">
        <f>IFERROR(__xludf.DUMMYFUNCTION("SPLIT(A7378,"" "")"),"CC(C)N(C)CC1=CCC(N(C)Cc2ccccn2)=CN1")</f>
        <v>CC(C)N(C)CC1=CCC(N(C)Cc2ccccn2)=CN1</v>
      </c>
      <c r="C7378" s="7">
        <f>IFERROR(__xludf.DUMMYFUNCTION("""COMPUTED_VALUE"""),7.779255)</f>
        <v>7.779255</v>
      </c>
      <c r="D7378" s="7">
        <f>IFERROR(__xludf.DUMMYFUNCTION("""COMPUTED_VALUE"""),0.428571428571428)</f>
        <v>0.4285714286</v>
      </c>
    </row>
    <row r="7379">
      <c r="A7379" s="10" t="s">
        <v>8818</v>
      </c>
      <c r="B7379" s="7" t="str">
        <f>IFERROR(__xludf.DUMMYFUNCTION("SPLIT(A7379,"" "")"),"Cc1cccc(CN(C)C2CCC(N(C)Cc3ccc4ncccc4c3)CC2)n1")</f>
        <v>Cc1cccc(CN(C)C2CCC(N(C)Cc3ccc4ncccc4c3)CC2)n1</v>
      </c>
      <c r="C7379" s="7">
        <f>IFERROR(__xludf.DUMMYFUNCTION("""COMPUTED_VALUE"""),7.7792525)</f>
        <v>7.7792525</v>
      </c>
      <c r="D7379" s="7">
        <f>IFERROR(__xludf.DUMMYFUNCTION("""COMPUTED_VALUE"""),0.490196078431372)</f>
        <v>0.4901960784</v>
      </c>
    </row>
    <row r="7380">
      <c r="A7380" s="10" t="s">
        <v>8819</v>
      </c>
      <c r="B7380" s="7" t="str">
        <f>IFERROR(__xludf.DUMMYFUNCTION("SPLIT(A7380,"" "")"),"CN1CCN(C)CCN(Cc2cncc(-c3ccc(Cl)c(Cl)c3N)c2)CC1")</f>
        <v>CN1CCN(C)CCN(Cc2cncc(-c3ccc(Cl)c(Cl)c3N)c2)CC1</v>
      </c>
      <c r="C7380" s="7">
        <f>IFERROR(__xludf.DUMMYFUNCTION("""COMPUTED_VALUE"""),7.7792416)</f>
        <v>7.7792416</v>
      </c>
      <c r="D7380" s="7">
        <f>IFERROR(__xludf.DUMMYFUNCTION("""COMPUTED_VALUE"""),0.351851851851851)</f>
        <v>0.3518518519</v>
      </c>
    </row>
    <row r="7381">
      <c r="A7381" s="10" t="s">
        <v>8820</v>
      </c>
      <c r="B7381" s="7" t="str">
        <f>IFERROR(__xludf.DUMMYFUNCTION("SPLIT(A7381,"" "")"),"COC(=O)C1CC(c2ccccn2)C(c2cccc(CN(Cc3ccccn3)Cc3cccc(-c4ccc5c(c4)OCCOCCOCCOCCOCCO5)n3)n2)N(C)C1c1ccccn1")</f>
        <v>COC(=O)C1CC(c2ccccn2)C(c2cccc(CN(Cc3ccccn3)Cc3cccc(-c4ccc5c(c4)OCCOCCOCCOCCOCCO5)n3)n2)N(C)C1c1ccccn1</v>
      </c>
      <c r="C7381" s="7">
        <f>IFERROR(__xludf.DUMMYFUNCTION("""COMPUTED_VALUE"""),7.77924)</f>
        <v>7.77924</v>
      </c>
      <c r="D7381" s="7">
        <f>IFERROR(__xludf.DUMMYFUNCTION("""COMPUTED_VALUE"""),0.402439024390243)</f>
        <v>0.4024390244</v>
      </c>
    </row>
    <row r="7382">
      <c r="A7382" s="10" t="s">
        <v>8821</v>
      </c>
      <c r="B7382" s="7" t="str">
        <f>IFERROR(__xludf.DUMMYFUNCTION("SPLIT(A7382,"" "")"),"CCCN(Cc1ccccn1)C1CCC(N(C)c2ccc3cc(CF)cnc3c2)CC1")</f>
        <v>CCCN(Cc1ccccn1)C1CCC(N(C)c2ccc3cc(CF)cnc3c2)CC1</v>
      </c>
      <c r="C7382" s="7">
        <f>IFERROR(__xludf.DUMMYFUNCTION("""COMPUTED_VALUE"""),7.779233)</f>
        <v>7.779233</v>
      </c>
      <c r="D7382" s="7">
        <f>IFERROR(__xludf.DUMMYFUNCTION("""COMPUTED_VALUE"""),0.349206349206349)</f>
        <v>0.3492063492</v>
      </c>
    </row>
    <row r="7383">
      <c r="A7383" s="10" t="s">
        <v>8822</v>
      </c>
      <c r="B7383" s="7" t="str">
        <f>IFERROR(__xludf.DUMMYFUNCTION("SPLIT(A7383,"" "")"),"C=CCN(Cc1ccccn1)c1cccnc1CN(Cc1cccc(F)n1)C1CCCCC1N(C)Cc1nc(C)c(C)c(C)c1C")</f>
        <v>C=CCN(Cc1ccccn1)c1cccnc1CN(Cc1cccc(F)n1)C1CCCCC1N(C)Cc1nc(C)c(C)c(C)c1C</v>
      </c>
      <c r="C7383" s="7">
        <f>IFERROR(__xludf.DUMMYFUNCTION("""COMPUTED_VALUE"""),7.7792296)</f>
        <v>7.7792296</v>
      </c>
      <c r="D7383" s="7">
        <f>IFERROR(__xludf.DUMMYFUNCTION("""COMPUTED_VALUE"""),0.408450704225352)</f>
        <v>0.4084507042</v>
      </c>
    </row>
    <row r="7384">
      <c r="A7384" s="10" t="s">
        <v>8823</v>
      </c>
      <c r="B7384" s="7" t="str">
        <f>IFERROR(__xludf.DUMMYFUNCTION("SPLIT(A7384,"" "")"),"COC(=O)c1cc(CN2CCN(C)CCN(Cc3nc(C(C)(N)c4ccccn4)c(C)c(C)c3C)CC2)ccn1")</f>
        <v>COC(=O)c1cc(CN2CCN(C)CCN(Cc3nc(C(C)(N)c4ccccn4)c(C)c(C)c3C)CC2)ccn1</v>
      </c>
      <c r="C7384" s="7">
        <f>IFERROR(__xludf.DUMMYFUNCTION("""COMPUTED_VALUE"""),7.7792234)</f>
        <v>7.7792234</v>
      </c>
      <c r="D7384" s="7">
        <f>IFERROR(__xludf.DUMMYFUNCTION("""COMPUTED_VALUE"""),0.35064935064935)</f>
        <v>0.3506493506</v>
      </c>
    </row>
    <row r="7385">
      <c r="A7385" s="10" t="s">
        <v>8824</v>
      </c>
      <c r="B7385" s="7" t="str">
        <f>IFERROR(__xludf.DUMMYFUNCTION("SPLIT(A7385,"" "")"),"Cc1ccc(CN(C)Cc2cccc(N(C)C3CCC(N(Cc4ccccn4)Cc4ncccc4C)CC3)n2)nc1")</f>
        <v>Cc1ccc(CN(C)Cc2cccc(N(C)C3CCC(N(Cc4ccccn4)Cc4ncccc4C)CC3)n2)nc1</v>
      </c>
      <c r="C7385" s="7">
        <f>IFERROR(__xludf.DUMMYFUNCTION("""COMPUTED_VALUE"""),7.7792225)</f>
        <v>7.7792225</v>
      </c>
      <c r="D7385" s="7">
        <f>IFERROR(__xludf.DUMMYFUNCTION("""COMPUTED_VALUE"""),0.396825396825396)</f>
        <v>0.3968253968</v>
      </c>
    </row>
    <row r="7386">
      <c r="A7386" s="10" t="s">
        <v>8825</v>
      </c>
      <c r="B7386" s="7" t="str">
        <f>IFERROR(__xludf.DUMMYFUNCTION("SPLIT(A7386,"" "")"),"Cc1ccc(N)c(C)c1")</f>
        <v>Cc1ccc(N)c(C)c1</v>
      </c>
      <c r="C7386" s="7">
        <f>IFERROR(__xludf.DUMMYFUNCTION("""COMPUTED_VALUE"""),7.7792215)</f>
        <v>7.7792215</v>
      </c>
      <c r="D7386" s="7">
        <f>IFERROR(__xludf.DUMMYFUNCTION("""COMPUTED_VALUE"""),0.272727272727272)</f>
        <v>0.2727272727</v>
      </c>
    </row>
    <row r="7387">
      <c r="A7387" s="10" t="s">
        <v>8826</v>
      </c>
      <c r="B7387" s="7" t="str">
        <f>IFERROR(__xludf.DUMMYFUNCTION("SPLIT(A7387,"" "")"),"Cc1cc(CN(C)CCNCc2ccccn2)nc(C)c1C")</f>
        <v>Cc1cc(CN(C)CCNCc2ccccn2)nc(C)c1C</v>
      </c>
      <c r="C7387" s="7">
        <f>IFERROR(__xludf.DUMMYFUNCTION("""COMPUTED_VALUE"""),7.7791867)</f>
        <v>7.7791867</v>
      </c>
      <c r="D7387" s="7">
        <f>IFERROR(__xludf.DUMMYFUNCTION("""COMPUTED_VALUE"""),0.477272727272727)</f>
        <v>0.4772727273</v>
      </c>
    </row>
    <row r="7388">
      <c r="A7388" s="10" t="s">
        <v>8827</v>
      </c>
      <c r="B7388" s="7" t="str">
        <f>IFERROR(__xludf.DUMMYFUNCTION("SPLIT(A7388,"" "")"),"COC(=O)C1CC(c2ccccn2)C(CN(C)Cc2ccccn2)N(C)C1c1ccccn1")</f>
        <v>COC(=O)C1CC(c2ccccn2)C(CN(C)Cc2ccccn2)N(C)C1c1ccccn1</v>
      </c>
      <c r="C7388" s="7">
        <f>IFERROR(__xludf.DUMMYFUNCTION("""COMPUTED_VALUE"""),7.7791867)</f>
        <v>7.7791867</v>
      </c>
      <c r="D7388" s="7">
        <f>IFERROR(__xludf.DUMMYFUNCTION("""COMPUTED_VALUE"""),0.38235294117647)</f>
        <v>0.3823529412</v>
      </c>
    </row>
    <row r="7389">
      <c r="A7389" s="10" t="s">
        <v>8828</v>
      </c>
      <c r="B7389" s="7" t="str">
        <f>IFERROR(__xludf.DUMMYFUNCTION("SPLIT(A7389,"" "")"),"CCCN(Cc1ccccn1)C1CCCCC1N(C)c1cccc2c(CF)ccnc12")</f>
        <v>CCCN(Cc1ccccn1)C1CCCCC1N(C)c1cccc2c(CF)ccnc12</v>
      </c>
      <c r="C7389" s="7">
        <f>IFERROR(__xludf.DUMMYFUNCTION("""COMPUTED_VALUE"""),7.7791843)</f>
        <v>7.7791843</v>
      </c>
      <c r="D7389" s="7">
        <f>IFERROR(__xludf.DUMMYFUNCTION("""COMPUTED_VALUE"""),0.442622950819672)</f>
        <v>0.4426229508</v>
      </c>
    </row>
    <row r="7390">
      <c r="A7390" s="10" t="s">
        <v>8829</v>
      </c>
      <c r="B7390" s="7" t="str">
        <f>IFERROR(__xludf.DUMMYFUNCTION("SPLIT(A7390,"" "")"),"CNC1CCCC(N(Cc2cc(C)c(C)c(C)n2)Cc2cc(C)c(C)c(C)n2)C1N(C)Cc1cc(C)c(C)c(C)n1")</f>
        <v>CNC1CCCC(N(Cc2cc(C)c(C)c(C)n2)Cc2cc(C)c(C)c(C)n2)C1N(C)Cc1cc(C)c(C)c(C)n1</v>
      </c>
      <c r="C7390" s="7">
        <f>IFERROR(__xludf.DUMMYFUNCTION("""COMPUTED_VALUE"""),7.7791824)</f>
        <v>7.7791824</v>
      </c>
      <c r="D7390" s="7">
        <f>IFERROR(__xludf.DUMMYFUNCTION("""COMPUTED_VALUE"""),0.339285714285714)</f>
        <v>0.3392857143</v>
      </c>
    </row>
    <row r="7391">
      <c r="A7391" s="10" t="s">
        <v>8830</v>
      </c>
      <c r="B7391" s="7" t="str">
        <f>IFERROR(__xludf.DUMMYFUNCTION("SPLIT(A7391,"" "")"),"CC(C)N(C)C1=CCC=C(CN(C(C)C)C(C)N)N1")</f>
        <v>CC(C)N(C)C1=CCC=C(CN(C(C)C)C(C)N)N1</v>
      </c>
      <c r="C7391" s="7">
        <f>IFERROR(__xludf.DUMMYFUNCTION("""COMPUTED_VALUE"""),7.779172)</f>
        <v>7.779172</v>
      </c>
      <c r="D7391" s="7">
        <f>IFERROR(__xludf.DUMMYFUNCTION("""COMPUTED_VALUE"""),0.196078431372549)</f>
        <v>0.1960784314</v>
      </c>
    </row>
    <row r="7392">
      <c r="A7392" s="10" t="s">
        <v>8831</v>
      </c>
      <c r="B7392" s="7" t="str">
        <f>IFERROR(__xludf.DUMMYFUNCTION("SPLIT(A7392,"" "")"),"CN(Cc1cccc(-c2ccccc2)n1)C1CCC(N(Cc2ccccn2)Cc2cccc(C(C)(C)C)n2)CC1")</f>
        <v>CN(Cc1cccc(-c2ccccc2)n1)C1CCC(N(Cc2ccccn2)Cc2cccc(C(C)(C)C)n2)CC1</v>
      </c>
      <c r="C7392" s="7">
        <f>IFERROR(__xludf.DUMMYFUNCTION("""COMPUTED_VALUE"""),7.7791653)</f>
        <v>7.7791653</v>
      </c>
      <c r="D7392" s="7">
        <f>IFERROR(__xludf.DUMMYFUNCTION("""COMPUTED_VALUE"""),0.43859649122807)</f>
        <v>0.4385964912</v>
      </c>
    </row>
    <row r="7393">
      <c r="A7393" s="10" t="s">
        <v>8832</v>
      </c>
      <c r="B7393" s="7" t="str">
        <f>IFERROR(__xludf.DUMMYFUNCTION("SPLIT(A7393,"" "")"),"CCN(CC1=CC(N(C)Cc2ncccc2C)C=CN1)Cc1ccccn1")</f>
        <v>CCN(CC1=CC(N(C)Cc2ncccc2C)C=CN1)Cc1ccccn1</v>
      </c>
      <c r="C7393" s="7">
        <f>IFERROR(__xludf.DUMMYFUNCTION("""COMPUTED_VALUE"""),7.779163)</f>
        <v>7.779163</v>
      </c>
      <c r="D7393" s="7">
        <f>IFERROR(__xludf.DUMMYFUNCTION("""COMPUTED_VALUE"""),0.40983606557377)</f>
        <v>0.4098360656</v>
      </c>
    </row>
    <row r="7394">
      <c r="A7394" s="10" t="s">
        <v>8833</v>
      </c>
      <c r="B7394" s="7" t="str">
        <f>IFERROR(__xludf.DUMMYFUNCTION("SPLIT(A7394,"" "")"),"COC(=O)C1C(c2ccccn2)C(c2cc(CN(Cc3cc(-c4ccc5c(c4)OCCOCCOCCOCCOCCO5)ccn3)Cc3ncccc3C)ccn2)C(C(C)(C)NCc2ccccn2)N(C)C1c1ccccn1")</f>
        <v>COC(=O)C1C(c2ccccn2)C(c2cc(CN(Cc3cc(-c4ccc5c(c4)OCCOCCOCCOCCOCCO5)ccn3)Cc3ncccc3C)ccn2)C(C(C)(C)NCc2ccccn2)N(C)C1c1ccccn1</v>
      </c>
      <c r="C7394" s="7">
        <f>IFERROR(__xludf.DUMMYFUNCTION("""COMPUTED_VALUE"""),7.7791615)</f>
        <v>7.7791615</v>
      </c>
      <c r="D7394" s="7">
        <f>IFERROR(__xludf.DUMMYFUNCTION("""COMPUTED_VALUE"""),0.245454545454545)</f>
        <v>0.2454545455</v>
      </c>
    </row>
    <row r="7395">
      <c r="A7395" s="10" t="s">
        <v>8834</v>
      </c>
      <c r="B7395" s="7" t="str">
        <f>IFERROR(__xludf.DUMMYFUNCTION("SPLIT(A7395,"" "")"),"Cc1cccc(CN(Cc2nc(C)c(C)c(C)c2C)C2CCCC(N(C)Cc3nc(C)c(C)c(C)c3C)C2)n1")</f>
        <v>Cc1cccc(CN(Cc2nc(C)c(C)c(C)c2C)C2CCCC(N(C)Cc3nc(C)c(C)c(C)c3C)C2)n1</v>
      </c>
      <c r="C7395" s="7">
        <f>IFERROR(__xludf.DUMMYFUNCTION("""COMPUTED_VALUE"""),7.7791605)</f>
        <v>7.7791605</v>
      </c>
      <c r="D7395" s="7">
        <f>IFERROR(__xludf.DUMMYFUNCTION("""COMPUTED_VALUE"""),0.48076923076923)</f>
        <v>0.4807692308</v>
      </c>
    </row>
    <row r="7396">
      <c r="A7396" s="10" t="s">
        <v>8835</v>
      </c>
      <c r="B7396" s="7" t="str">
        <f>IFERROR(__xludf.DUMMYFUNCTION("SPLIT(A7396,"" "")"),"Cc1cncc(N(C)C2CCCC(N(Cc3ccccn3)Cc3ncc(C)c(C)c3C)C2)c1")</f>
        <v>Cc1cncc(N(C)C2CCCC(N(Cc3ccccn3)Cc3ncc(C)c(C)c3C)C2)c1</v>
      </c>
      <c r="C7396" s="7">
        <f>IFERROR(__xludf.DUMMYFUNCTION("""COMPUTED_VALUE"""),7.7791495)</f>
        <v>7.7791495</v>
      </c>
      <c r="D7396" s="7">
        <f>IFERROR(__xludf.DUMMYFUNCTION("""COMPUTED_VALUE"""),0.370967741935483)</f>
        <v>0.3709677419</v>
      </c>
    </row>
    <row r="7397">
      <c r="A7397" s="10" t="s">
        <v>8836</v>
      </c>
      <c r="B7397" s="7" t="str">
        <f>IFERROR(__xludf.DUMMYFUNCTION("SPLIT(A7397,"" "")"),"CC1=C(C)C(C)C(C(C)(C)c2ncccc2CN(Cc2ccccn2)Cc2ccccn2)C(N(C)Cc2ccccn2)C1C")</f>
        <v>CC1=C(C)C(C)C(C(C)(C)c2ncccc2CN(Cc2ccccn2)Cc2ccccn2)C(N(C)Cc2ccccn2)C1C</v>
      </c>
      <c r="C7397" s="7">
        <f>IFERROR(__xludf.DUMMYFUNCTION("""COMPUTED_VALUE"""),7.779146)</f>
        <v>7.779146</v>
      </c>
      <c r="D7397" s="7">
        <f>IFERROR(__xludf.DUMMYFUNCTION("""COMPUTED_VALUE"""),0.408163265306122)</f>
        <v>0.4081632653</v>
      </c>
    </row>
    <row r="7398">
      <c r="A7398" s="10" t="s">
        <v>8837</v>
      </c>
      <c r="B7398" s="7" t="str">
        <f>IFERROR(__xludf.DUMMYFUNCTION("SPLIT(A7398,"" "")"),"Cc1cnc(CN(Cc2ccccn2)C2CC(N(C)Cc3ccccn3)CC(N(C)Cc3nc(C)c(C)cc3C)C2)c(C)c1")</f>
        <v>Cc1cnc(CN(Cc2ccccn2)C2CC(N(C)Cc3ccccn3)CC(N(C)Cc3nc(C)c(C)cc3C)C2)c(C)c1</v>
      </c>
      <c r="C7398" s="7">
        <f>IFERROR(__xludf.DUMMYFUNCTION("""COMPUTED_VALUE"""),7.7791452)</f>
        <v>7.7791452</v>
      </c>
      <c r="D7398" s="7">
        <f>IFERROR(__xludf.DUMMYFUNCTION("""COMPUTED_VALUE"""),0.383333333333333)</f>
        <v>0.3833333333</v>
      </c>
    </row>
    <row r="7399">
      <c r="A7399" s="10" t="s">
        <v>8838</v>
      </c>
      <c r="B7399" s="7" t="str">
        <f>IFERROR(__xludf.DUMMYFUNCTION("SPLIT(A7399,"" "")"),"Cc1cnc(CN(C)C2C(N(C)Cc3ccccn3)CCCC2N(Cc2nc(C)c(C)cc2C)Cc2nc(C)c(C)cc2C)c(C)c1")</f>
        <v>Cc1cnc(CN(C)C2C(N(C)Cc3ccccn3)CCCC2N(Cc2nc(C)c(C)cc2C)Cc2nc(C)c(C)cc2C)c(C)c1</v>
      </c>
      <c r="C7399" s="7">
        <f>IFERROR(__xludf.DUMMYFUNCTION("""COMPUTED_VALUE"""),7.7791386)</f>
        <v>7.7791386</v>
      </c>
      <c r="D7399" s="7">
        <f>IFERROR(__xludf.DUMMYFUNCTION("""COMPUTED_VALUE"""),0.47457627118644)</f>
        <v>0.4745762712</v>
      </c>
    </row>
    <row r="7400">
      <c r="A7400" s="10" t="s">
        <v>8839</v>
      </c>
      <c r="B7400" s="7" t="str">
        <f>IFERROR(__xludf.DUMMYFUNCTION("SPLIT(A7400,"" "")"),"Cc1ccc(CN(C)Cc2cccc(CN(Cc3cccc(C)n3)C3CCCC(N(C)Cc4nc(C)c(C)c(C)c4C)C3)n2)nc1")</f>
        <v>Cc1ccc(CN(C)Cc2cccc(CN(Cc3cccc(C)n3)C3CCCC(N(C)Cc4nc(C)c(C)c(C)c4C)C3)n2)nc1</v>
      </c>
      <c r="C7400" s="7">
        <f>IFERROR(__xludf.DUMMYFUNCTION("""COMPUTED_VALUE"""),7.779117)</f>
        <v>7.779117</v>
      </c>
      <c r="D7400" s="7">
        <f>IFERROR(__xludf.DUMMYFUNCTION("""COMPUTED_VALUE"""),0.390625)</f>
        <v>0.390625</v>
      </c>
    </row>
    <row r="7401">
      <c r="A7401" s="10" t="s">
        <v>8840</v>
      </c>
      <c r="B7401" s="7" t="str">
        <f>IFERROR(__xludf.DUMMYFUNCTION("SPLIT(A7401,"" "")"),"FCNCc1ncccc1C(NCc1ccccn1)c1ccccc1")</f>
        <v>FCNCc1ncccc1C(NCc1ccccn1)c1ccccc1</v>
      </c>
      <c r="C7401" s="7">
        <f>IFERROR(__xludf.DUMMYFUNCTION("""COMPUTED_VALUE"""),7.779116)</f>
        <v>7.779116</v>
      </c>
      <c r="D7401" s="7">
        <f>IFERROR(__xludf.DUMMYFUNCTION("""COMPUTED_VALUE"""),0.4)</f>
        <v>0.4</v>
      </c>
    </row>
    <row r="7402">
      <c r="A7402" s="10" t="s">
        <v>8841</v>
      </c>
      <c r="B7402" s="7" t="str">
        <f>IFERROR(__xludf.DUMMYFUNCTION("SPLIT(A7402,"" "")"),"CC(C)(C)N1CC=NCC2=CC=CC(c3cccc(n3)C1)N2C(C)(C)C")</f>
        <v>CC(C)(C)N1CC=NCC2=CC=CC(c3cccc(n3)C1)N2C(C)(C)C</v>
      </c>
      <c r="C7402" s="7">
        <f>IFERROR(__xludf.DUMMYFUNCTION("""COMPUTED_VALUE"""),7.779114)</f>
        <v>7.779114</v>
      </c>
      <c r="D7402" s="7">
        <f>IFERROR(__xludf.DUMMYFUNCTION("""COMPUTED_VALUE"""),0.408163265306122)</f>
        <v>0.4081632653</v>
      </c>
    </row>
    <row r="7403">
      <c r="A7403" s="10" t="s">
        <v>8842</v>
      </c>
      <c r="B7403" s="7" t="str">
        <f>IFERROR(__xludf.DUMMYFUNCTION("SPLIT(A7403,"" "")"),"Cc1cncc(CN(C)C2CC(N(C)Cc3ccccn3)CC(N(Cc3ncccc3C)Cc3nc(C)c(C)c(C)c3C)C2)c1")</f>
        <v>Cc1cncc(CN(C)C2CC(N(C)Cc3ccccn3)CC(N(Cc3ncccc3C)Cc3nc(C)c(C)c(C)c3C)C2)c1</v>
      </c>
      <c r="C7403" s="7">
        <f>IFERROR(__xludf.DUMMYFUNCTION("""COMPUTED_VALUE"""),7.7791123)</f>
        <v>7.7791123</v>
      </c>
      <c r="D7403" s="7">
        <f>IFERROR(__xludf.DUMMYFUNCTION("""COMPUTED_VALUE"""),0.338235294117647)</f>
        <v>0.3382352941</v>
      </c>
    </row>
    <row r="7404">
      <c r="A7404" s="10" t="s">
        <v>8843</v>
      </c>
      <c r="B7404" s="7" t="str">
        <f>IFERROR(__xludf.DUMMYFUNCTION("SPLIT(A7404,"" "")"),"CCNCc1cccc(CN(Cc2ccccn2)Cc2ncccc2F)n1")</f>
        <v>CCNCc1cccc(CN(Cc2ccccn2)Cc2ncccc2F)n1</v>
      </c>
      <c r="C7404" s="7">
        <f>IFERROR(__xludf.DUMMYFUNCTION("""COMPUTED_VALUE"""),7.7791)</f>
        <v>7.7791</v>
      </c>
      <c r="D7404" s="7">
        <f>IFERROR(__xludf.DUMMYFUNCTION("""COMPUTED_VALUE"""),0.454545454545454)</f>
        <v>0.4545454545</v>
      </c>
    </row>
    <row r="7405">
      <c r="A7405" s="10" t="s">
        <v>8844</v>
      </c>
      <c r="B7405" s="7" t="str">
        <f>IFERROR(__xludf.DUMMYFUNCTION("SPLIT(A7405,"" "")"),"CCN(CCN(C)CC(C)(C)C)Cc1nc(C)c(C)c(C)c1C")</f>
        <v>CCN(CCN(C)CC(C)(C)C)Cc1nc(C)c(C)c(C)c1C</v>
      </c>
      <c r="C7405" s="7">
        <f>IFERROR(__xludf.DUMMYFUNCTION("""COMPUTED_VALUE"""),7.779076)</f>
        <v>7.779076</v>
      </c>
      <c r="D7405" s="7">
        <f>IFERROR(__xludf.DUMMYFUNCTION("""COMPUTED_VALUE"""),0.28)</f>
        <v>0.28</v>
      </c>
    </row>
    <row r="7406">
      <c r="A7406" s="10" t="s">
        <v>8845</v>
      </c>
      <c r="B7406" s="7" t="str">
        <f>IFERROR(__xludf.DUMMYFUNCTION("SPLIT(A7406,"" "")"),"CNc1ccc(Cl)c(Cl)c1N(Cc1ccccn1)C1CCCCC1")</f>
        <v>CNc1ccc(Cl)c(Cl)c1N(Cc1ccccn1)C1CCCCC1</v>
      </c>
      <c r="C7406" s="7">
        <f>IFERROR(__xludf.DUMMYFUNCTION("""COMPUTED_VALUE"""),7.779071)</f>
        <v>7.779071</v>
      </c>
      <c r="D7406" s="7">
        <f>IFERROR(__xludf.DUMMYFUNCTION("""COMPUTED_VALUE"""),0.450980392156862)</f>
        <v>0.4509803922</v>
      </c>
    </row>
    <row r="7407">
      <c r="A7407" s="10" t="s">
        <v>8846</v>
      </c>
      <c r="B7407" s="7" t="str">
        <f>IFERROR(__xludf.DUMMYFUNCTION("SPLIT(A7407,"" "")"),"CNCc1cccc(CN(Cc2ccccn2)C2CC(N(C)Cc3ccccn3)CC(N(Cc3ccccn3)Cc3nc(C)c(C)cc3C)C2)n1")</f>
        <v>CNCc1cccc(CN(Cc2ccccn2)C2CC(N(C)Cc3ccccn3)CC(N(Cc3ccccn3)Cc3nc(C)c(C)cc3C)C2)n1</v>
      </c>
      <c r="C7407" s="7">
        <f>IFERROR(__xludf.DUMMYFUNCTION("""COMPUTED_VALUE"""),7.7790694)</f>
        <v>7.7790694</v>
      </c>
      <c r="D7407" s="7">
        <f>IFERROR(__xludf.DUMMYFUNCTION("""COMPUTED_VALUE"""),0.377049180327868)</f>
        <v>0.3770491803</v>
      </c>
    </row>
    <row r="7408">
      <c r="A7408" s="10" t="s">
        <v>8847</v>
      </c>
      <c r="B7408" s="7" t="str">
        <f>IFERROR(__xludf.DUMMYFUNCTION("SPLIT(A7408,"" "")"),"Cc1ccc(CN(Cc2ccccn2)Cc2ccc(N(C)Cc3cccc(-c4ccc5c(c4)OCCOCCOCCOCCOCCO5)n3)cn2)nc1")</f>
        <v>Cc1ccc(CN(Cc2ccccn2)Cc2ccc(N(C)Cc3cccc(-c4ccc5c(c4)OCCOCCOCCOCCOCCO5)n3)cn2)nc1</v>
      </c>
      <c r="C7408" s="7">
        <f>IFERROR(__xludf.DUMMYFUNCTION("""COMPUTED_VALUE"""),7.7790666)</f>
        <v>7.7790666</v>
      </c>
      <c r="D7408" s="7">
        <f>IFERROR(__xludf.DUMMYFUNCTION("""COMPUTED_VALUE"""),0.442857142857142)</f>
        <v>0.4428571429</v>
      </c>
    </row>
    <row r="7409">
      <c r="A7409" s="10" t="s">
        <v>8848</v>
      </c>
      <c r="B7409" s="7" t="str">
        <f>IFERROR(__xludf.DUMMYFUNCTION("SPLIT(A7409,"" "")"),"CNC1CCC(N(Cc2ccccn2)Cc2nc(C)c(C)c(C)c2C)CC1N(Cc1ccccn1)Cc1nc(C)c(C)c(C)c1C")</f>
        <v>CNC1CCC(N(Cc2ccccn2)Cc2nc(C)c(C)c(C)c2C)CC1N(Cc1ccccn1)Cc1nc(C)c(C)c(C)c1C</v>
      </c>
      <c r="C7409" s="7">
        <f>IFERROR(__xludf.DUMMYFUNCTION("""COMPUTED_VALUE"""),7.7790527)</f>
        <v>7.7790527</v>
      </c>
      <c r="D7409" s="7">
        <f>IFERROR(__xludf.DUMMYFUNCTION("""COMPUTED_VALUE"""),0.372881355932203)</f>
        <v>0.3728813559</v>
      </c>
    </row>
    <row r="7410">
      <c r="A7410" s="10" t="s">
        <v>8849</v>
      </c>
      <c r="B7410" s="7" t="str">
        <f>IFERROR(__xludf.DUMMYFUNCTION("SPLIT(A7410,"" "")"),"CN(c1cccc2ncccc12)C1CCCCC1N(CF)Cc1ccccn1")</f>
        <v>CN(c1cccc2ncccc12)C1CCCCC1N(CF)Cc1ccccn1</v>
      </c>
      <c r="C7410" s="7">
        <f>IFERROR(__xludf.DUMMYFUNCTION("""COMPUTED_VALUE"""),7.779043)</f>
        <v>7.779043</v>
      </c>
      <c r="D7410" s="7">
        <f>IFERROR(__xludf.DUMMYFUNCTION("""COMPUTED_VALUE"""),0.490566037735849)</f>
        <v>0.4905660377</v>
      </c>
    </row>
    <row r="7411">
      <c r="A7411" s="10" t="s">
        <v>8850</v>
      </c>
      <c r="B7411" s="7" t="str">
        <f>IFERROR(__xludf.DUMMYFUNCTION("SPLIT(A7411,"" "")"),"CC1=C(N(C)Cc2ccccn2)CC(C)CC1C")</f>
        <v>CC1=C(N(C)Cc2ccccn2)CC(C)CC1C</v>
      </c>
      <c r="C7411" s="7">
        <f>IFERROR(__xludf.DUMMYFUNCTION("""COMPUTED_VALUE"""),7.779042)</f>
        <v>7.779042</v>
      </c>
      <c r="D7411" s="7">
        <f>IFERROR(__xludf.DUMMYFUNCTION("""COMPUTED_VALUE"""),0.456521739130434)</f>
        <v>0.4565217391</v>
      </c>
    </row>
    <row r="7412">
      <c r="A7412" s="10" t="s">
        <v>8851</v>
      </c>
      <c r="B7412" s="7" t="str">
        <f>IFERROR(__xludf.DUMMYFUNCTION("SPLIT(A7412,"" "")"),"CN1CCN(C)CCN(CC2=CCC(N(C)c3ccc4ccc(CF)nc4c3)=CN2)CC1")</f>
        <v>CN1CCN(C)CCN(CC2=CCC(N(C)c3ccc4ccc(CF)nc4c3)=CN2)CC1</v>
      </c>
      <c r="C7412" s="7">
        <f>IFERROR(__xludf.DUMMYFUNCTION("""COMPUTED_VALUE"""),7.7790375)</f>
        <v>7.7790375</v>
      </c>
      <c r="D7412" s="7">
        <f>IFERROR(__xludf.DUMMYFUNCTION("""COMPUTED_VALUE"""),0.354838709677419)</f>
        <v>0.3548387097</v>
      </c>
    </row>
    <row r="7413">
      <c r="A7413" s="10" t="s">
        <v>8852</v>
      </c>
      <c r="B7413" s="7" t="str">
        <f>IFERROR(__xludf.DUMMYFUNCTION("SPLIT(A7413,"" "")"),"Cc1cnc(CN(C)CCN(Cc2ncccc2C)C(C)C)c(C)c1")</f>
        <v>Cc1cnc(CN(C)CCN(Cc2ncccc2C)C(C)C)c(C)c1</v>
      </c>
      <c r="C7413" s="7">
        <f>IFERROR(__xludf.DUMMYFUNCTION("""COMPUTED_VALUE"""),7.779036)</f>
        <v>7.779036</v>
      </c>
      <c r="D7413" s="7">
        <f>IFERROR(__xludf.DUMMYFUNCTION("""COMPUTED_VALUE"""),0.4375)</f>
        <v>0.4375</v>
      </c>
    </row>
    <row r="7414">
      <c r="A7414" s="10" t="s">
        <v>8853</v>
      </c>
      <c r="B7414" s="7" t="str">
        <f>IFERROR(__xludf.DUMMYFUNCTION("SPLIT(A7414,"" "")"),"CCc1cccc(CNCc2ncccc2CN(Cc2ccccn2)Cc2ccccn2)c1")</f>
        <v>CCc1cccc(CNCc2ncccc2CN(Cc2ccccn2)Cc2ccccn2)c1</v>
      </c>
      <c r="C7414" s="7">
        <f>IFERROR(__xludf.DUMMYFUNCTION("""COMPUTED_VALUE"""),7.7790327)</f>
        <v>7.7790327</v>
      </c>
      <c r="D7414" s="7">
        <f>IFERROR(__xludf.DUMMYFUNCTION("""COMPUTED_VALUE"""),0.444444444444444)</f>
        <v>0.4444444444</v>
      </c>
    </row>
    <row r="7415">
      <c r="A7415" s="10" t="s">
        <v>8854</v>
      </c>
      <c r="B7415" s="7" t="str">
        <f>IFERROR(__xludf.DUMMYFUNCTION("SPLIT(A7415,"" "")"),"CC(C)C1=CC2(C=CC(C)C3(C=CC(c4ncccc4CN(Cc4ccccn4)Cc4ccccn4)C(c4ncccc4CN(Cc4ccccn4)Cc4ccccn4)C3(C)C)C2)CCC1C")</f>
        <v>CC(C)C1=CC2(C=CC(C)C3(C=CC(c4ncccc4CN(Cc4ccccn4)Cc4ccccn4)C(c4ncccc4CN(Cc4ccccn4)Cc4ccccn4)C3(C)C)C2)CCC1C</v>
      </c>
      <c r="C7415" s="7">
        <f>IFERROR(__xludf.DUMMYFUNCTION("""COMPUTED_VALUE"""),7.7790227)</f>
        <v>7.7790227</v>
      </c>
      <c r="D7415" s="7">
        <f>IFERROR(__xludf.DUMMYFUNCTION("""COMPUTED_VALUE"""),0.298507462686567)</f>
        <v>0.2985074627</v>
      </c>
    </row>
    <row r="7416">
      <c r="A7416" s="10" t="s">
        <v>8855</v>
      </c>
      <c r="B7416" s="7" t="str">
        <f>IFERROR(__xludf.DUMMYFUNCTION("SPLIT(A7416,"" "")"),"Cc1ccc2nc(CN(C)Cc3ccc(-c4ccc5c(c4)OCCOCCOCCOCCOCCO5)cn3)ccc2c1")</f>
        <v>Cc1ccc2nc(CN(C)Cc3ccc(-c4ccc5c(c4)OCCOCCOCCOCCOCCO5)cn3)ccc2c1</v>
      </c>
      <c r="C7416" s="7">
        <f>IFERROR(__xludf.DUMMYFUNCTION("""COMPUTED_VALUE"""),7.779009)</f>
        <v>7.779009</v>
      </c>
      <c r="D7416" s="7">
        <f>IFERROR(__xludf.DUMMYFUNCTION("""COMPUTED_VALUE"""),0.461538461538461)</f>
        <v>0.4615384615</v>
      </c>
    </row>
    <row r="7417">
      <c r="A7417" s="10" t="s">
        <v>8856</v>
      </c>
      <c r="B7417" s="7" t="str">
        <f>IFERROR(__xludf.DUMMYFUNCTION("SPLIT(A7417,"" "")"),"CC(C)CN(Cc1ccccn1)Cc1cc(C(C)(C)C)ccn1")</f>
        <v>CC(C)CN(Cc1ccccn1)Cc1cc(C(C)(C)C)ccn1</v>
      </c>
      <c r="C7417" s="7">
        <f>IFERROR(__xludf.DUMMYFUNCTION("""COMPUTED_VALUE"""),7.7790046)</f>
        <v>7.7790046</v>
      </c>
      <c r="D7417" s="7">
        <f>IFERROR(__xludf.DUMMYFUNCTION("""COMPUTED_VALUE"""),0.488888888888888)</f>
        <v>0.4888888889</v>
      </c>
    </row>
    <row r="7418">
      <c r="A7418" s="10" t="s">
        <v>8857</v>
      </c>
      <c r="B7418" s="7" t="str">
        <f>IFERROR(__xludf.DUMMYFUNCTION("SPLIT(A7418,"" "")"),"Cc1ccc(C)c(CN(C)C2CCCCC2N(C)Cc2ccc3ncccc3c2)n1")</f>
        <v>Cc1ccc(C)c(CN(C)C2CCCCC2N(C)Cc2ccc3ncccc3c2)n1</v>
      </c>
      <c r="C7418" s="7">
        <f>IFERROR(__xludf.DUMMYFUNCTION("""COMPUTED_VALUE"""),7.7789984)</f>
        <v>7.7789984</v>
      </c>
      <c r="D7418" s="7">
        <f>IFERROR(__xludf.DUMMYFUNCTION("""COMPUTED_VALUE"""),0.436363636363636)</f>
        <v>0.4363636364</v>
      </c>
    </row>
    <row r="7419">
      <c r="A7419" s="10" t="s">
        <v>8858</v>
      </c>
      <c r="B7419" s="7" t="str">
        <f>IFERROR(__xludf.DUMMYFUNCTION("SPLIT(A7419,"" "")"),"Cc1ccc(C(C)c2ncccc2CN(Cc2ncccc2-c2ccc3c(c2)OCCOCCOCCOCCOCCO3)Cc2ncccc2C(C)(C)C)c(C)c1C")</f>
        <v>Cc1ccc(C(C)c2ncccc2CN(Cc2ncccc2-c2ccc3c(c2)OCCOCCOCCOCCOCCO3)Cc2ncccc2C(C)(C)C)c(C)c1C</v>
      </c>
      <c r="C7419" s="7">
        <f>IFERROR(__xludf.DUMMYFUNCTION("""COMPUTED_VALUE"""),7.778994)</f>
        <v>7.778994</v>
      </c>
      <c r="D7419" s="7">
        <f>IFERROR(__xludf.DUMMYFUNCTION("""COMPUTED_VALUE"""),0.258426966292134)</f>
        <v>0.2584269663</v>
      </c>
    </row>
    <row r="7420">
      <c r="A7420" s="10" t="s">
        <v>8859</v>
      </c>
      <c r="B7420" s="7" t="str">
        <f>IFERROR(__xludf.DUMMYFUNCTION("SPLIT(A7420,"" "")"),"CC(C)C(C)N(Cc1ccccn1)Cc1ncccc1C(C)(C)c1ccccn1")</f>
        <v>CC(C)C(C)N(Cc1ccccn1)Cc1ncccc1C(C)(C)c1ccccn1</v>
      </c>
      <c r="C7420" s="7">
        <f>IFERROR(__xludf.DUMMYFUNCTION("""COMPUTED_VALUE"""),7.7789917)</f>
        <v>7.7789917</v>
      </c>
      <c r="D7420" s="7">
        <f>IFERROR(__xludf.DUMMYFUNCTION("""COMPUTED_VALUE"""),0.468085106382978)</f>
        <v>0.4680851064</v>
      </c>
    </row>
    <row r="7421">
      <c r="A7421" s="10" t="s">
        <v>8860</v>
      </c>
      <c r="B7421" s="7" t="str">
        <f>IFERROR(__xludf.DUMMYFUNCTION("SPLIT(A7421,"" "")"),"Cc1ccc(C)c(CN(C)C2=CNC(CN(C)C(C)C(C)N)=CC2)n1")</f>
        <v>Cc1ccc(C)c(CN(C)C2=CNC(CN(C)C(C)C(C)N)=CC2)n1</v>
      </c>
      <c r="C7421" s="7">
        <f>IFERROR(__xludf.DUMMYFUNCTION("""COMPUTED_VALUE"""),7.778977)</f>
        <v>7.778977</v>
      </c>
      <c r="D7421" s="7">
        <f>IFERROR(__xludf.DUMMYFUNCTION("""COMPUTED_VALUE"""),0.220338983050847)</f>
        <v>0.2203389831</v>
      </c>
    </row>
    <row r="7422">
      <c r="A7422" s="10" t="s">
        <v>8861</v>
      </c>
      <c r="B7422" s="7" t="str">
        <f>IFERROR(__xludf.DUMMYFUNCTION("SPLIT(A7422,"" "")"),"Cc1cc(CN(C)Cc2cc(N(C)Cc3cc(-c4ccc5c(c4)OCCOCCOCCOCCOCCO5)ccn3)ccn2)cnc1C")</f>
        <v>Cc1cc(CN(C)Cc2cc(N(C)Cc3cc(-c4ccc5c(c4)OCCOCCOCCOCCOCCO5)ccn3)ccn2)cnc1C</v>
      </c>
      <c r="C7422" s="7">
        <f>IFERROR(__xludf.DUMMYFUNCTION("""COMPUTED_VALUE"""),7.778977)</f>
        <v>7.778977</v>
      </c>
      <c r="D7422" s="7">
        <f>IFERROR(__xludf.DUMMYFUNCTION("""COMPUTED_VALUE"""),0.346666666666666)</f>
        <v>0.3466666667</v>
      </c>
    </row>
    <row r="7423">
      <c r="A7423" s="10" t="s">
        <v>8862</v>
      </c>
      <c r="B7423" s="7" t="str">
        <f>IFERROR(__xludf.DUMMYFUNCTION("SPLIT(A7423,"" "")"),"Cc1cccc(-c2cccc(CN(C)C3CCCC(N(C)Cc4ccccn4)C3)n2)c1N")</f>
        <v>Cc1cccc(-c2cccc(CN(C)C3CCCC(N(C)Cc4ccccn4)C3)n2)c1N</v>
      </c>
      <c r="C7423" s="7">
        <f>IFERROR(__xludf.DUMMYFUNCTION("""COMPUTED_VALUE"""),7.778973)</f>
        <v>7.778973</v>
      </c>
      <c r="D7423" s="7">
        <f>IFERROR(__xludf.DUMMYFUNCTION("""COMPUTED_VALUE"""),0.462962962962962)</f>
        <v>0.462962963</v>
      </c>
    </row>
    <row r="7424">
      <c r="A7424" s="10" t="s">
        <v>8863</v>
      </c>
      <c r="B7424" s="7" t="str">
        <f>IFERROR(__xludf.DUMMYFUNCTION("SPLIT(A7424,"" "")"),"C=CCN(C)Cc1cccc(-c2ccccc2N(C)C2CCC(N(C)Cc3ccccn3)CC2)n1")</f>
        <v>C=CCN(C)Cc1cccc(-c2ccccc2N(C)C2CCC(N(C)Cc3ccccn3)CC2)n1</v>
      </c>
      <c r="C7424" s="7">
        <f>IFERROR(__xludf.DUMMYFUNCTION("""COMPUTED_VALUE"""),7.77897)</f>
        <v>7.77897</v>
      </c>
      <c r="D7424" s="7">
        <f>IFERROR(__xludf.DUMMYFUNCTION("""COMPUTED_VALUE"""),0.46551724137931)</f>
        <v>0.4655172414</v>
      </c>
    </row>
    <row r="7425">
      <c r="A7425" s="10" t="s">
        <v>8864</v>
      </c>
      <c r="B7425" s="7" t="str">
        <f>IFERROR(__xludf.DUMMYFUNCTION("SPLIT(A7425,"" "")"),"c1ccc(CNc2ccccc2-c2ccnc(CNCc3ccc(-c4ccc5c(c4)OCCOCCOCCOCCOCCO5)cn3)c2)nc1")</f>
        <v>c1ccc(CNc2ccccc2-c2ccnc(CNCc3ccc(-c4ccc5c(c4)OCCOCCOCCOCCOCCO5)cn3)c2)nc1</v>
      </c>
      <c r="C7425" s="7">
        <f>IFERROR(__xludf.DUMMYFUNCTION("""COMPUTED_VALUE"""),7.778966)</f>
        <v>7.778966</v>
      </c>
      <c r="D7425" s="7">
        <f>IFERROR(__xludf.DUMMYFUNCTION("""COMPUTED_VALUE"""),0.422535211267605)</f>
        <v>0.4225352113</v>
      </c>
    </row>
    <row r="7426">
      <c r="A7426" s="10" t="s">
        <v>8865</v>
      </c>
      <c r="B7426" s="7" t="str">
        <f>IFERROR(__xludf.DUMMYFUNCTION("SPLIT(A7426,"" "")"),"CNCC1=CC(N(C)Cc2nc(C)ccc2C)C=CN1")</f>
        <v>CNCC1=CC(N(C)Cc2nc(C)ccc2C)C=CN1</v>
      </c>
      <c r="C7426" s="7">
        <f>IFERROR(__xludf.DUMMYFUNCTION("""COMPUTED_VALUE"""),7.778961)</f>
        <v>7.778961</v>
      </c>
      <c r="D7426" s="7">
        <f>IFERROR(__xludf.DUMMYFUNCTION("""COMPUTED_VALUE"""),0.305084745762711)</f>
        <v>0.3050847458</v>
      </c>
    </row>
    <row r="7427">
      <c r="A7427" s="10" t="s">
        <v>8866</v>
      </c>
      <c r="B7427" s="7" t="str">
        <f>IFERROR(__xludf.DUMMYFUNCTION("SPLIT(A7427,"" "")"),"CC1C=CCC(C)(c2cc(CN(Cc3ccccn3)Cc3ccc(C(C)(C)C)cn3)ccn2)C1C")</f>
        <v>CC1C=CCC(C)(c2cc(CN(Cc3ccccn3)Cc3ccc(C(C)(C)C)cn3)ccn2)C1C</v>
      </c>
      <c r="C7427" s="7">
        <f>IFERROR(__xludf.DUMMYFUNCTION("""COMPUTED_VALUE"""),7.7789373)</f>
        <v>7.7789373</v>
      </c>
      <c r="D7427" s="7">
        <f>IFERROR(__xludf.DUMMYFUNCTION("""COMPUTED_VALUE"""),0.338983050847457)</f>
        <v>0.3389830508</v>
      </c>
    </row>
    <row r="7428">
      <c r="A7428" s="10" t="s">
        <v>8867</v>
      </c>
      <c r="B7428" s="7" t="str">
        <f>IFERROR(__xludf.DUMMYFUNCTION("SPLIT(A7428,"" "")"),"Cc1cccnc1CN(CCF)Cc1cccc(N(C)C(C)C)n1")</f>
        <v>Cc1cccnc1CN(CCF)Cc1cccc(N(C)C(C)C)n1</v>
      </c>
      <c r="C7428" s="7">
        <f>IFERROR(__xludf.DUMMYFUNCTION("""COMPUTED_VALUE"""),7.7789354)</f>
        <v>7.7789354</v>
      </c>
      <c r="D7428" s="7">
        <f>IFERROR(__xludf.DUMMYFUNCTION("""COMPUTED_VALUE"""),0.358490566037735)</f>
        <v>0.358490566</v>
      </c>
    </row>
    <row r="7429">
      <c r="A7429" s="10" t="s">
        <v>8868</v>
      </c>
      <c r="B7429" s="7" t="str">
        <f>IFERROR(__xludf.DUMMYFUNCTION("SPLIT(A7429,"" "")"),"Cc1cc(C)c(C)c(CN(CC2C=CNC(N(C)C(C)C)=C2)C2C=CC=CN2)n1")</f>
        <v>Cc1cc(C)c(C)c(CN(CC2C=CNC(N(C)C(C)C)=C2)C2C=CC=CN2)n1</v>
      </c>
      <c r="C7429" s="7">
        <f>IFERROR(__xludf.DUMMYFUNCTION("""COMPUTED_VALUE"""),7.7789354)</f>
        <v>7.7789354</v>
      </c>
      <c r="D7429" s="7">
        <f>IFERROR(__xludf.DUMMYFUNCTION("""COMPUTED_VALUE"""),0.216216216216216)</f>
        <v>0.2162162162</v>
      </c>
    </row>
    <row r="7430">
      <c r="A7430" s="10" t="s">
        <v>8869</v>
      </c>
      <c r="B7430" s="7" t="str">
        <f>IFERROR(__xludf.DUMMYFUNCTION("SPLIT(A7430,"" "")"),"Cc1ncccc1CN(C)C1CCCC(N(C)Cc2cccc3ncccc23)C1")</f>
        <v>Cc1ncccc1CN(C)C1CCCC(N(C)Cc2cccc3ncccc23)C1</v>
      </c>
      <c r="C7430" s="7">
        <f>IFERROR(__xludf.DUMMYFUNCTION("""COMPUTED_VALUE"""),7.7789297)</f>
        <v>7.7789297</v>
      </c>
      <c r="D7430" s="7">
        <f>IFERROR(__xludf.DUMMYFUNCTION("""COMPUTED_VALUE"""),0.339622641509433)</f>
        <v>0.3396226415</v>
      </c>
    </row>
    <row r="7431">
      <c r="A7431" s="10" t="s">
        <v>8870</v>
      </c>
      <c r="B7431" s="7" t="str">
        <f>IFERROR(__xludf.DUMMYFUNCTION("SPLIT(A7431,"" "")"),"CCCN(Cc1ccccn1)C1CCCCC1N(C)c1ccc2nccc(CF)c2c1")</f>
        <v>CCCN(Cc1ccccn1)C1CCCCC1N(C)c1ccc2nccc(CF)c2c1</v>
      </c>
      <c r="C7431" s="7">
        <f>IFERROR(__xludf.DUMMYFUNCTION("""COMPUTED_VALUE"""),7.7789187)</f>
        <v>7.7789187</v>
      </c>
      <c r="D7431" s="7">
        <f>IFERROR(__xludf.DUMMYFUNCTION("""COMPUTED_VALUE"""),0.426229508196721)</f>
        <v>0.4262295082</v>
      </c>
    </row>
    <row r="7432">
      <c r="A7432" s="10" t="s">
        <v>8871</v>
      </c>
      <c r="B7432" s="7" t="str">
        <f>IFERROR(__xludf.DUMMYFUNCTION("SPLIT(A7432,"" "")"),"CCCN(C)C1=CCC=C(CN(C)Cc2ccccn2)N1")</f>
        <v>CCCN(C)C1=CCC=C(CN(C)Cc2ccccn2)N1</v>
      </c>
      <c r="C7432" s="7">
        <f>IFERROR(__xludf.DUMMYFUNCTION("""COMPUTED_VALUE"""),7.7789135)</f>
        <v>7.7789135</v>
      </c>
      <c r="D7432" s="7">
        <f>IFERROR(__xludf.DUMMYFUNCTION("""COMPUTED_VALUE"""),0.450980392156862)</f>
        <v>0.4509803922</v>
      </c>
    </row>
    <row r="7433">
      <c r="A7433" s="10" t="s">
        <v>8872</v>
      </c>
      <c r="B7433" s="7" t="str">
        <f>IFERROR(__xludf.DUMMYFUNCTION("SPLIT(A7433,"" "")"),"Cc1cccc(CN(C)Cc2cccc(N(C)C3CCC(N(C)Cc4nc(C)c(C)c(C)c4C)CC3)n2)n1")</f>
        <v>Cc1cccc(CN(C)Cc2cccc(N(C)C3CCC(N(C)Cc4nc(C)c(C)c(C)c4C)CC3)n2)n1</v>
      </c>
      <c r="C7433" s="7">
        <f>IFERROR(__xludf.DUMMYFUNCTION("""COMPUTED_VALUE"""),7.7789116)</f>
        <v>7.7789116</v>
      </c>
      <c r="D7433" s="7">
        <f>IFERROR(__xludf.DUMMYFUNCTION("""COMPUTED_VALUE"""),0.436363636363636)</f>
        <v>0.4363636364</v>
      </c>
    </row>
    <row r="7434">
      <c r="A7434" s="10" t="s">
        <v>8873</v>
      </c>
      <c r="B7434" s="7" t="str">
        <f>IFERROR(__xludf.DUMMYFUNCTION("SPLIT(A7434,"" "")"),"CCNC1CC(N(C)Cc2ncc(C)cc2C)CC(N(Cc2nc(C)c(C)cc2C)Cc2nc(C)c(C)cc2C)C1")</f>
        <v>CCNC1CC(N(C)Cc2ncc(C)cc2C)CC(N(Cc2nc(C)c(C)cc2C)Cc2nc(C)c(C)cc2C)C1</v>
      </c>
      <c r="C7434" s="7">
        <f>IFERROR(__xludf.DUMMYFUNCTION("""COMPUTED_VALUE"""),7.7789063)</f>
        <v>7.7789063</v>
      </c>
      <c r="D7434" s="7">
        <f>IFERROR(__xludf.DUMMYFUNCTION("""COMPUTED_VALUE"""),0.246153846153846)</f>
        <v>0.2461538462</v>
      </c>
    </row>
    <row r="7435">
      <c r="A7435" s="10" t="s">
        <v>8874</v>
      </c>
      <c r="B7435" s="7" t="str">
        <f>IFERROR(__xludf.DUMMYFUNCTION("SPLIT(A7435,"" "")"),"Cc1cncc(CNCCN(C)Cc2ncc(C)c(C)c2C)c1")</f>
        <v>Cc1cncc(CNCCN(C)Cc2ncc(C)c(C)c2C)c1</v>
      </c>
      <c r="C7435" s="7">
        <f>IFERROR(__xludf.DUMMYFUNCTION("""COMPUTED_VALUE"""),7.778902)</f>
        <v>7.778902</v>
      </c>
      <c r="D7435" s="7">
        <f>IFERROR(__xludf.DUMMYFUNCTION("""COMPUTED_VALUE"""),0.313725490196078)</f>
        <v>0.3137254902</v>
      </c>
    </row>
    <row r="7436">
      <c r="A7436" s="10" t="s">
        <v>8875</v>
      </c>
      <c r="B7436" s="7" t="str">
        <f>IFERROR(__xludf.DUMMYFUNCTION("SPLIT(A7436,"" "")"),"CCCNCC1=C(N(C)Cc2cccc(C)n2)CC=CN1")</f>
        <v>CCCNCC1=C(N(C)Cc2cccc(C)n2)CC=CN1</v>
      </c>
      <c r="C7436" s="7">
        <f>IFERROR(__xludf.DUMMYFUNCTION("""COMPUTED_VALUE"""),7.778886)</f>
        <v>7.778886</v>
      </c>
      <c r="D7436" s="7">
        <f>IFERROR(__xludf.DUMMYFUNCTION("""COMPUTED_VALUE"""),0.392156862745098)</f>
        <v>0.3921568627</v>
      </c>
    </row>
    <row r="7437">
      <c r="A7437" s="10" t="s">
        <v>8876</v>
      </c>
      <c r="B7437" s="7" t="str">
        <f>IFERROR(__xludf.DUMMYFUNCTION("SPLIT(A7437,"" "")"),"Cc1ccc(-c2ccnc(CN(C)C(C)C(C)C)c2)cc1N(C)Cc1cc(-c2ccc3c(c2)OCCOCCOCCOCCOCCO3)ccn1")</f>
        <v>Cc1ccc(-c2ccnc(CN(C)C(C)C(C)C)c2)cc1N(C)Cc1cc(-c2ccc3c(c2)OCCOCCOCCOCCOCCO3)ccn1</v>
      </c>
      <c r="C7437" s="7">
        <f>IFERROR(__xludf.DUMMYFUNCTION("""COMPUTED_VALUE"""),7.7788463)</f>
        <v>7.7788463</v>
      </c>
      <c r="D7437" s="7">
        <f>IFERROR(__xludf.DUMMYFUNCTION("""COMPUTED_VALUE"""),0.342465753424657)</f>
        <v>0.3424657534</v>
      </c>
    </row>
    <row r="7438">
      <c r="A7438" s="10" t="s">
        <v>8877</v>
      </c>
      <c r="B7438" s="7" t="str">
        <f>IFERROR(__xludf.DUMMYFUNCTION("SPLIT(A7438,"" "")"),"CN(Cc1ccccn1)C1=CNC(CN(Cc2ccccn2)C2(C)CCC2)=CC1")</f>
        <v>CN(Cc1ccccn1)C1=CNC(CN(Cc2ccccn2)C2(C)CCC2)=CC1</v>
      </c>
      <c r="C7438" s="7">
        <f>IFERROR(__xludf.DUMMYFUNCTION("""COMPUTED_VALUE"""),7.778843)</f>
        <v>7.778843</v>
      </c>
      <c r="D7438" s="7">
        <f>IFERROR(__xludf.DUMMYFUNCTION("""COMPUTED_VALUE"""),0.4)</f>
        <v>0.4</v>
      </c>
    </row>
    <row r="7439">
      <c r="A7439" s="10" t="s">
        <v>8878</v>
      </c>
      <c r="B7439" s="7" t="str">
        <f>IFERROR(__xludf.DUMMYFUNCTION("SPLIT(A7439,"" "")"),"CNC1CC(N(C)Cc2ccccn2)CC(N(Cc2nc(C)c(C)c(C)c2C)Cc2nc(C)c(C)c(C)c2C)C1")</f>
        <v>CNC1CC(N(C)Cc2ccccn2)CC(N(Cc2nc(C)c(C)c(C)c2C)Cc2nc(C)c(C)c(C)c2C)C1</v>
      </c>
      <c r="C7439" s="7">
        <f>IFERROR(__xludf.DUMMYFUNCTION("""COMPUTED_VALUE"""),7.778839)</f>
        <v>7.778839</v>
      </c>
      <c r="D7439" s="7">
        <f>IFERROR(__xludf.DUMMYFUNCTION("""COMPUTED_VALUE"""),0.403508771929824)</f>
        <v>0.4035087719</v>
      </c>
    </row>
    <row r="7440">
      <c r="A7440" s="10" t="s">
        <v>8879</v>
      </c>
      <c r="B7440" s="7" t="str">
        <f>IFERROR(__xludf.DUMMYFUNCTION("SPLIT(A7440,"" "")"),"CCCNCC1=CCC(N(C)Cc2cccc(C)n2)=CN1")</f>
        <v>CCCNCC1=CCC(N(C)Cc2cccc(C)n2)=CN1</v>
      </c>
      <c r="C7440" s="7">
        <f>IFERROR(__xludf.DUMMYFUNCTION("""COMPUTED_VALUE"""),7.7788305)</f>
        <v>7.7788305</v>
      </c>
      <c r="D7440" s="7">
        <f>IFERROR(__xludf.DUMMYFUNCTION("""COMPUTED_VALUE"""),0.392156862745098)</f>
        <v>0.3921568627</v>
      </c>
    </row>
    <row r="7441">
      <c r="A7441" s="10" t="s">
        <v>8880</v>
      </c>
      <c r="B7441" s="7" t="str">
        <f>IFERROR(__xludf.DUMMYFUNCTION("SPLIT(A7441,"" "")"),"CC1=C(N(C)CC2=CCC=CN2)CC(C)C(C)C1")</f>
        <v>CC1=C(N(C)CC2=CCC=CN2)CC(C)C(C)C1</v>
      </c>
      <c r="C7441" s="7">
        <f>IFERROR(__xludf.DUMMYFUNCTION("""COMPUTED_VALUE"""),7.7788296)</f>
        <v>7.7788296</v>
      </c>
      <c r="D7441" s="7">
        <f>IFERROR(__xludf.DUMMYFUNCTION("""COMPUTED_VALUE"""),0.365384615384615)</f>
        <v>0.3653846154</v>
      </c>
    </row>
    <row r="7442">
      <c r="A7442" s="10" t="s">
        <v>8881</v>
      </c>
      <c r="B7442" s="7" t="str">
        <f>IFERROR(__xludf.DUMMYFUNCTION("SPLIT(A7442,"" "")"),"CNC1C(N(C)Cc2nc(C)c(C)cc2C)CCCC1N(Cc1nc(C)c(C)cc1C)Cc1nc(C)c(C)cc1C")</f>
        <v>CNC1C(N(C)Cc2nc(C)c(C)cc2C)CCCC1N(Cc1nc(C)c(C)cc1C)Cc1nc(C)c(C)cc1C</v>
      </c>
      <c r="C7442" s="7">
        <f>IFERROR(__xludf.DUMMYFUNCTION("""COMPUTED_VALUE"""),7.778816)</f>
        <v>7.778816</v>
      </c>
      <c r="D7442" s="7">
        <f>IFERROR(__xludf.DUMMYFUNCTION("""COMPUTED_VALUE"""),0.339622641509433)</f>
        <v>0.3396226415</v>
      </c>
    </row>
    <row r="7443">
      <c r="A7443" s="10" t="s">
        <v>8882</v>
      </c>
      <c r="B7443" s="7" t="str">
        <f>IFERROR(__xludf.DUMMYFUNCTION("SPLIT(A7443,"" "")"),"Cc1ccccc1N(Cc1ccccn1)C1CCCC(N(C)Cc2nc(C)c(C)c(C)c2C)C1")</f>
        <v>Cc1ccccc1N(Cc1ccccn1)C1CCCC(N(C)Cc2nc(C)c(C)c(C)c2C)C1</v>
      </c>
      <c r="C7443" s="7">
        <f>IFERROR(__xludf.DUMMYFUNCTION("""COMPUTED_VALUE"""),7.7788057)</f>
        <v>7.7788057</v>
      </c>
      <c r="D7443" s="7">
        <f>IFERROR(__xludf.DUMMYFUNCTION("""COMPUTED_VALUE"""),0.413793103448275)</f>
        <v>0.4137931034</v>
      </c>
    </row>
    <row r="7444">
      <c r="A7444" s="10" t="s">
        <v>8883</v>
      </c>
      <c r="B7444" s="7" t="str">
        <f>IFERROR(__xludf.DUMMYFUNCTION("SPLIT(A7444,"" "")"),"CC(C)N(C)Cc1ccc(-c2cccc(N(C)Cc3cccc(-c4ccc5c(c4)OCCOCCOCCOCCOCCO5)n3)c2)cn1")</f>
        <v>CC(C)N(C)Cc1ccc(-c2cccc(N(C)Cc3cccc(-c4ccc5c(c4)OCCOCCOCCOCCOCCO5)n3)c2)cn1</v>
      </c>
      <c r="C7444" s="7">
        <f>IFERROR(__xludf.DUMMYFUNCTION("""COMPUTED_VALUE"""),7.7788053)</f>
        <v>7.7788053</v>
      </c>
      <c r="D7444" s="7">
        <f>IFERROR(__xludf.DUMMYFUNCTION("""COMPUTED_VALUE"""),0.405405405405405)</f>
        <v>0.4054054054</v>
      </c>
    </row>
    <row r="7445">
      <c r="A7445" s="10" t="s">
        <v>8884</v>
      </c>
      <c r="B7445" s="7" t="str">
        <f>IFERROR(__xludf.DUMMYFUNCTION("SPLIT(A7445,"" "")"),"CN(CCN(C)c1cccc2ncccc12)Cc1ncccc1-c1cccc2c1OCCOCCOCCOCCOCCO2")</f>
        <v>CN(CCN(C)c1cccc2ncccc12)Cc1ncccc1-c1cccc2c1OCCOCCOCCOCCOCCO2</v>
      </c>
      <c r="C7445" s="7">
        <f>IFERROR(__xludf.DUMMYFUNCTION("""COMPUTED_VALUE"""),7.7787833)</f>
        <v>7.7787833</v>
      </c>
      <c r="D7445" s="7">
        <f>IFERROR(__xludf.DUMMYFUNCTION("""COMPUTED_VALUE"""),0.344262295081967)</f>
        <v>0.3442622951</v>
      </c>
    </row>
    <row r="7446">
      <c r="A7446" s="10" t="s">
        <v>8885</v>
      </c>
      <c r="B7446" s="7" t="str">
        <f>IFERROR(__xludf.DUMMYFUNCTION("SPLIT(A7446,"" "")"),"Cc1ccc(CN(C)C2CCC(N(Cc3ccccn3)Cc3cccc(-c4ccc5c(c4)OCCOCCOCCOCCOCCO5)n3)C(N(C)c3ccc4ncccc4c3)C2)nc1C")</f>
        <v>Cc1ccc(CN(C)C2CCC(N(Cc3ccccn3)Cc3cccc(-c4ccc5c(c4)OCCOCCOCCOCCOCCO5)n3)C(N(C)c3ccc4ncccc4c3)C2)nc1C</v>
      </c>
      <c r="C7446" s="7">
        <f>IFERROR(__xludf.DUMMYFUNCTION("""COMPUTED_VALUE"""),7.7787824)</f>
        <v>7.7787824</v>
      </c>
      <c r="D7446" s="7">
        <f>IFERROR(__xludf.DUMMYFUNCTION("""COMPUTED_VALUE"""),0.301075268817204)</f>
        <v>0.3010752688</v>
      </c>
    </row>
    <row r="7447">
      <c r="A7447" s="10" t="s">
        <v>8886</v>
      </c>
      <c r="B7447" s="7" t="str">
        <f>IFERROR(__xludf.DUMMYFUNCTION("SPLIT(A7447,"" "")"),"Cc1ccc(C)c(CN(C)CCN(C)Cc2ncccc2C)n1")</f>
        <v>Cc1ccc(C)c(CN(C)CCN(C)Cc2ncccc2C)n1</v>
      </c>
      <c r="C7447" s="7">
        <f>IFERROR(__xludf.DUMMYFUNCTION("""COMPUTED_VALUE"""),7.7787704)</f>
        <v>7.7787704</v>
      </c>
      <c r="D7447" s="7">
        <f>IFERROR(__xludf.DUMMYFUNCTION("""COMPUTED_VALUE"""),0.45)</f>
        <v>0.45</v>
      </c>
    </row>
    <row r="7448">
      <c r="A7448" s="10" t="s">
        <v>8887</v>
      </c>
      <c r="B7448" s="7" t="str">
        <f>IFERROR(__xludf.DUMMYFUNCTION("SPLIT(A7448,"" "")"),"CC(C)N(CCN(C)Cc1ncccc1-c1cccc2c1OCCOCCOCCOCCOCCO2)c1cccc2nccc(C(C)(C)C)c12")</f>
        <v>CC(C)N(CCN(C)Cc1ncccc1-c1cccc2c1OCCOCCOCCOCCOCCO2)c1cccc2nccc(C(C)(C)C)c12</v>
      </c>
      <c r="C7448" s="7">
        <f>IFERROR(__xludf.DUMMYFUNCTION("""COMPUTED_VALUE"""),7.7787704)</f>
        <v>7.7787704</v>
      </c>
      <c r="D7448" s="7">
        <f>IFERROR(__xludf.DUMMYFUNCTION("""COMPUTED_VALUE"""),0.253333333333333)</f>
        <v>0.2533333333</v>
      </c>
    </row>
    <row r="7449">
      <c r="A7449" s="10" t="s">
        <v>8888</v>
      </c>
      <c r="B7449" s="7" t="str">
        <f>IFERROR(__xludf.DUMMYFUNCTION("SPLIT(A7449,"" "")"),"CC1C=CC(C)C(C)(c2cc(CN(Cc3ccccn3)Cc3ccccn3)ccn2)C1")</f>
        <v>CC1C=CC(C)C(C)(c2cc(CN(Cc3ccccn3)Cc3ccccn3)ccn2)C1</v>
      </c>
      <c r="C7449" s="7">
        <f>IFERROR(__xludf.DUMMYFUNCTION("""COMPUTED_VALUE"""),7.77877)</f>
        <v>7.77877</v>
      </c>
      <c r="D7449" s="7">
        <f>IFERROR(__xludf.DUMMYFUNCTION("""COMPUTED_VALUE"""),0.425531914893617)</f>
        <v>0.4255319149</v>
      </c>
    </row>
    <row r="7450">
      <c r="A7450" s="10" t="s">
        <v>8889</v>
      </c>
      <c r="B7450" s="7" t="str">
        <f>IFERROR(__xludf.DUMMYFUNCTION("SPLIT(A7450,"" "")"),"Cc1cccnc1CN1CCN(C)CCN(CCN(C)c2ccc3c(C)ccnc3c2)CC1")</f>
        <v>Cc1cccnc1CN1CCN(C)CCN(CCN(C)c2ccc3c(C)ccnc3c2)CC1</v>
      </c>
      <c r="C7450" s="7">
        <f>IFERROR(__xludf.DUMMYFUNCTION("""COMPUTED_VALUE"""),7.7787466)</f>
        <v>7.7787466</v>
      </c>
      <c r="D7450" s="7">
        <f>IFERROR(__xludf.DUMMYFUNCTION("""COMPUTED_VALUE"""),0.366666666666666)</f>
        <v>0.3666666667</v>
      </c>
    </row>
    <row r="7451">
      <c r="A7451" s="10" t="s">
        <v>8890</v>
      </c>
      <c r="B7451" s="7" t="str">
        <f>IFERROR(__xludf.DUMMYFUNCTION("SPLIT(A7451,"" "")"),"CC(C)C(C)(c1cccnc1)N(C)Cc1cc(C(C)(C)C)ccn1")</f>
        <v>CC(C)C(C)(c1cccnc1)N(C)Cc1cc(C(C)(C)C)ccn1</v>
      </c>
      <c r="C7451" s="7">
        <f>IFERROR(__xludf.DUMMYFUNCTION("""COMPUTED_VALUE"""),7.7787414)</f>
        <v>7.7787414</v>
      </c>
      <c r="D7451" s="7">
        <f>IFERROR(__xludf.DUMMYFUNCTION("""COMPUTED_VALUE"""),0.277777777777777)</f>
        <v>0.2777777778</v>
      </c>
    </row>
    <row r="7452">
      <c r="A7452" s="10" t="s">
        <v>8891</v>
      </c>
      <c r="B7452" s="7" t="str">
        <f>IFERROR(__xludf.DUMMYFUNCTION("SPLIT(A7452,"" "")"),"Cc1cc(C)nc(CN(C)C2=CNC(CN(Cc3ccccn3)C(C)C(C)C(C)C)=CC2)c1")</f>
        <v>Cc1cc(C)nc(CN(C)C2=CNC(CN(Cc3ccccn3)C(C)C(C)C(C)C)=CC2)c1</v>
      </c>
      <c r="C7452" s="7">
        <f>IFERROR(__xludf.DUMMYFUNCTION("""COMPUTED_VALUE"""),7.7787266)</f>
        <v>7.7787266</v>
      </c>
      <c r="D7452" s="7">
        <f>IFERROR(__xludf.DUMMYFUNCTION("""COMPUTED_VALUE"""),0.354838709677419)</f>
        <v>0.3548387097</v>
      </c>
    </row>
    <row r="7453">
      <c r="A7453" s="10" t="s">
        <v>8892</v>
      </c>
      <c r="B7453" s="7" t="str">
        <f>IFERROR(__xludf.DUMMYFUNCTION("SPLIT(A7453,"" "")"),"CCCN(CCN(Cc1nccc(C)c1C)Cc1ncc(C)c(C)c1C)Cc1ccccn1")</f>
        <v>CCCN(CCN(Cc1nccc(C)c1C)Cc1ncc(C)c(C)c1C)Cc1ccccn1</v>
      </c>
      <c r="C7453" s="7">
        <f>IFERROR(__xludf.DUMMYFUNCTION("""COMPUTED_VALUE"""),7.77872)</f>
        <v>7.77872</v>
      </c>
      <c r="D7453" s="7">
        <f>IFERROR(__xludf.DUMMYFUNCTION("""COMPUTED_VALUE"""),0.479166666666666)</f>
        <v>0.4791666667</v>
      </c>
    </row>
    <row r="7454">
      <c r="A7454" s="10" t="s">
        <v>8893</v>
      </c>
      <c r="B7454" s="7" t="str">
        <f>IFERROR(__xludf.DUMMYFUNCTION("SPLIT(A7454,"" "")"),"Cc1ccc(CN(Cc2ccccn2)C2CCCC(N(C)Cc3ncc(C)c(C)c3C)C2)cc1NCc1ccccn1")</f>
        <v>Cc1ccc(CN(Cc2ccccn2)C2CCCC(N(C)Cc3ncc(C)c(C)c3C)C2)cc1NCc1ccccn1</v>
      </c>
      <c r="C7454" s="7">
        <f>IFERROR(__xludf.DUMMYFUNCTION("""COMPUTED_VALUE"""),7.7787113)</f>
        <v>7.7787113</v>
      </c>
      <c r="D7454" s="7">
        <f>IFERROR(__xludf.DUMMYFUNCTION("""COMPUTED_VALUE"""),0.35820895522388)</f>
        <v>0.3582089552</v>
      </c>
    </row>
    <row r="7455">
      <c r="A7455" s="10" t="s">
        <v>8894</v>
      </c>
      <c r="B7455" s="7" t="str">
        <f>IFERROR(__xludf.DUMMYFUNCTION("SPLIT(A7455,"" "")"),"Cc1cccc(CN(C)Cc2cccc(CN(Cc3cccc(C)n3)C3CCCC(N(C)Cc4nc(C)c(C)c(C)c4C)C3)n2)n1")</f>
        <v>Cc1cccc(CN(C)Cc2cccc(CN(Cc3cccc(C)n3)C3CCCC(N(C)Cc4nc(C)c(C)c(C)c4C)C3)n2)n1</v>
      </c>
      <c r="C7455" s="7">
        <f>IFERROR(__xludf.DUMMYFUNCTION("""COMPUTED_VALUE"""),7.7787037)</f>
        <v>7.7787037</v>
      </c>
      <c r="D7455" s="7">
        <f>IFERROR(__xludf.DUMMYFUNCTION("""COMPUTED_VALUE"""),0.454545454545454)</f>
        <v>0.4545454545</v>
      </c>
    </row>
    <row r="7456">
      <c r="A7456" s="10" t="s">
        <v>8895</v>
      </c>
      <c r="B7456" s="7" t="str">
        <f>IFERROR(__xludf.DUMMYFUNCTION("SPLIT(A7456,"" "")"),"CN(CC1=CCC=C(N(C)C2C=CC=CN2)N1)C1=CNC=CC1C(C)(C)C")</f>
        <v>CN(CC1=CCC=C(N(C)C2C=CC=CN2)N1)C1=CNC=CC1C(C)(C)C</v>
      </c>
      <c r="C7456" s="7">
        <f>IFERROR(__xludf.DUMMYFUNCTION("""COMPUTED_VALUE"""),7.7786984)</f>
        <v>7.7786984</v>
      </c>
      <c r="D7456" s="7">
        <f>IFERROR(__xludf.DUMMYFUNCTION("""COMPUTED_VALUE"""),0.194444444444444)</f>
        <v>0.1944444444</v>
      </c>
    </row>
    <row r="7457">
      <c r="A7457" s="10" t="s">
        <v>8896</v>
      </c>
      <c r="B7457" s="7" t="str">
        <f>IFERROR(__xludf.DUMMYFUNCTION("SPLIT(A7457,"" "")"),"CCOC(=O)c1ncccc1CN1CCN(C)CCN(Cc2cccc(C(C)(c3ccccn3)c3ccccn3)n2)CC1")</f>
        <v>CCOC(=O)c1ncccc1CN1CCN(C)CCN(Cc2cccc(C(C)(c3ccccn3)c3ccccn3)n2)CC1</v>
      </c>
      <c r="C7457" s="7">
        <f>IFERROR(__xludf.DUMMYFUNCTION("""COMPUTED_VALUE"""),7.7786865)</f>
        <v>7.7786865</v>
      </c>
      <c r="D7457" s="7">
        <f>IFERROR(__xludf.DUMMYFUNCTION("""COMPUTED_VALUE"""),0.462686567164179)</f>
        <v>0.4626865672</v>
      </c>
    </row>
    <row r="7458">
      <c r="A7458" s="10" t="s">
        <v>8897</v>
      </c>
      <c r="B7458" s="7" t="str">
        <f>IFERROR(__xludf.DUMMYFUNCTION("SPLIT(A7458,"" "")"),"CC1=C(C)C(C)C(C)C(C)(c2ccc(CN(Cc3ccccn3)Cc3ccccn3)cn2)C1")</f>
        <v>CC1=C(C)C(C)C(C)C(C)(c2ccc(CN(Cc3ccccn3)Cc3ccccn3)cn2)C1</v>
      </c>
      <c r="C7458" s="7">
        <f>IFERROR(__xludf.DUMMYFUNCTION("""COMPUTED_VALUE"""),7.778686)</f>
        <v>7.778686</v>
      </c>
      <c r="D7458" s="7">
        <f>IFERROR(__xludf.DUMMYFUNCTION("""COMPUTED_VALUE"""),0.416666666666666)</f>
        <v>0.4166666667</v>
      </c>
    </row>
    <row r="7459">
      <c r="A7459" s="10" t="s">
        <v>8898</v>
      </c>
      <c r="B7459" s="7" t="str">
        <f>IFERROR(__xludf.DUMMYFUNCTION("SPLIT(A7459,"" "")"),"CC(C)N(C)CC1=CCC=C(N(C)C)N1")</f>
        <v>CC(C)N(C)CC1=CCC=C(N(C)C)N1</v>
      </c>
      <c r="C7459" s="7">
        <f>IFERROR(__xludf.DUMMYFUNCTION("""COMPUTED_VALUE"""),7.778686)</f>
        <v>7.778686</v>
      </c>
      <c r="D7459" s="7">
        <f>IFERROR(__xludf.DUMMYFUNCTION("""COMPUTED_VALUE"""),0.20754716981132)</f>
        <v>0.2075471698</v>
      </c>
    </row>
    <row r="7460">
      <c r="A7460" s="10" t="s">
        <v>8899</v>
      </c>
      <c r="B7460" s="7" t="str">
        <f>IFERROR(__xludf.DUMMYFUNCTION("SPLIT(A7460,"" "")"),"Cc1ccnc(CN(C)Cc2cccc(C3CCC3(C)C)n2)c1C")</f>
        <v>Cc1ccnc(CN(C)Cc2cccc(C3CCC3(C)C)n2)c1C</v>
      </c>
      <c r="C7460" s="7">
        <f>IFERROR(__xludf.DUMMYFUNCTION("""COMPUTED_VALUE"""),7.778683)</f>
        <v>7.778683</v>
      </c>
      <c r="D7460" s="7">
        <f>IFERROR(__xludf.DUMMYFUNCTION("""COMPUTED_VALUE"""),0.368421052631578)</f>
        <v>0.3684210526</v>
      </c>
    </row>
    <row r="7461">
      <c r="A7461" s="10" t="s">
        <v>8900</v>
      </c>
      <c r="B7461" s="7" t="str">
        <f>IFERROR(__xludf.DUMMYFUNCTION("SPLIT(A7461,"" "")"),"CCN(Cc1cccc(CF)n1)Cc1cccc(C(C)(C)C)n1")</f>
        <v>CCN(Cc1cccc(CF)n1)Cc1cccc(C(C)(C)C)n1</v>
      </c>
      <c r="C7461" s="7">
        <f>IFERROR(__xludf.DUMMYFUNCTION("""COMPUTED_VALUE"""),7.7786703)</f>
        <v>7.7786703</v>
      </c>
      <c r="D7461" s="7">
        <f>IFERROR(__xludf.DUMMYFUNCTION("""COMPUTED_VALUE"""),0.34090909090909)</f>
        <v>0.3409090909</v>
      </c>
    </row>
    <row r="7462">
      <c r="A7462" s="10" t="s">
        <v>8901</v>
      </c>
      <c r="B7462" s="7" t="str">
        <f>IFERROR(__xludf.DUMMYFUNCTION("SPLIT(A7462,"" "")"),"C1=CNC(NCc2ccccn2)C(CNCc2ccccn2)=C1")</f>
        <v>C1=CNC(NCc2ccccn2)C(CNCc2ccccn2)=C1</v>
      </c>
      <c r="C7462" s="7">
        <f>IFERROR(__xludf.DUMMYFUNCTION("""COMPUTED_VALUE"""),7.7786617)</f>
        <v>7.7786617</v>
      </c>
      <c r="D7462" s="7">
        <f>IFERROR(__xludf.DUMMYFUNCTION("""COMPUTED_VALUE"""),0.463414634146341)</f>
        <v>0.4634146341</v>
      </c>
    </row>
    <row r="7463">
      <c r="A7463" s="10" t="s">
        <v>8902</v>
      </c>
      <c r="B7463" s="7" t="str">
        <f>IFERROR(__xludf.DUMMYFUNCTION("SPLIT(A7463,"" "")"),"CNCc1cc(CN(Cc2cc(C)ccn2)C(C)C)ccn1")</f>
        <v>CNCc1cc(CN(Cc2cc(C)ccn2)C(C)C)ccn1</v>
      </c>
      <c r="C7463" s="7">
        <f>IFERROR(__xludf.DUMMYFUNCTION("""COMPUTED_VALUE"""),7.7786574)</f>
        <v>7.7786574</v>
      </c>
      <c r="D7463" s="7">
        <f>IFERROR(__xludf.DUMMYFUNCTION("""COMPUTED_VALUE"""),0.382978723404255)</f>
        <v>0.3829787234</v>
      </c>
    </row>
    <row r="7464">
      <c r="A7464" s="10" t="s">
        <v>8903</v>
      </c>
      <c r="B7464" s="7" t="str">
        <f>IFERROR(__xludf.DUMMYFUNCTION("SPLIT(A7464,"" "")"),"COCc1cccc(CN(Cc2cccc(F)n2)Cc2cccc(C3CCC3C)n2)n1")</f>
        <v>COCc1cccc(CN(Cc2cccc(F)n2)Cc2cccc(C3CCC3C)n2)n1</v>
      </c>
      <c r="C7464" s="7">
        <f>IFERROR(__xludf.DUMMYFUNCTION("""COMPUTED_VALUE"""),7.7786565)</f>
        <v>7.7786565</v>
      </c>
      <c r="D7464" s="7">
        <f>IFERROR(__xludf.DUMMYFUNCTION("""COMPUTED_VALUE"""),0.383333333333333)</f>
        <v>0.3833333333</v>
      </c>
    </row>
    <row r="7465">
      <c r="A7465" s="10" t="s">
        <v>8904</v>
      </c>
      <c r="B7465" s="7" t="str">
        <f>IFERROR(__xludf.DUMMYFUNCTION("SPLIT(A7465,"" "")"),"CC(C)C(C)N(CC1=CCC(N(C)Cc2ccccn2)=CN1)Cc1ccccn1")</f>
        <v>CC(C)C(C)N(CC1=CCC(N(C)Cc2ccccn2)=CN1)Cc1ccccn1</v>
      </c>
      <c r="C7465" s="7">
        <f>IFERROR(__xludf.DUMMYFUNCTION("""COMPUTED_VALUE"""),7.778655)</f>
        <v>7.778655</v>
      </c>
      <c r="D7465" s="7">
        <f>IFERROR(__xludf.DUMMYFUNCTION("""COMPUTED_VALUE"""),0.431372549019607)</f>
        <v>0.431372549</v>
      </c>
    </row>
    <row r="7466">
      <c r="A7466" s="10" t="s">
        <v>8905</v>
      </c>
      <c r="B7466" s="7" t="str">
        <f>IFERROR(__xludf.DUMMYFUNCTION("SPLIT(A7466,"" "")"),"COC(=O)C1C(c2ccccn2)CC(CN(C)Cc2ccccn2)N(C)C1c1ccccn1")</f>
        <v>COC(=O)C1C(c2ccccn2)CC(CN(C)Cc2ccccn2)N(C)C1c1ccccn1</v>
      </c>
      <c r="C7466" s="7">
        <f>IFERROR(__xludf.DUMMYFUNCTION("""COMPUTED_VALUE"""),7.778649)</f>
        <v>7.778649</v>
      </c>
      <c r="D7466" s="7">
        <f>IFERROR(__xludf.DUMMYFUNCTION("""COMPUTED_VALUE"""),0.43076923076923)</f>
        <v>0.4307692308</v>
      </c>
    </row>
    <row r="7467">
      <c r="A7467" s="10" t="s">
        <v>8906</v>
      </c>
      <c r="B7467" s="7" t="str">
        <f>IFERROR(__xludf.DUMMYFUNCTION("SPLIT(A7467,"" "")"),"CCNCc1cccc(CN(Cc2ccccn2)Cc2cc(C)ccn2)n1")</f>
        <v>CCNCc1cccc(CN(Cc2ccccn2)Cc2cc(C)ccn2)n1</v>
      </c>
      <c r="C7467" s="7">
        <f>IFERROR(__xludf.DUMMYFUNCTION("""COMPUTED_VALUE"""),7.778645)</f>
        <v>7.778645</v>
      </c>
      <c r="D7467" s="7">
        <f>IFERROR(__xludf.DUMMYFUNCTION("""COMPUTED_VALUE"""),0.476190476190476)</f>
        <v>0.4761904762</v>
      </c>
    </row>
    <row r="7468">
      <c r="A7468" s="10" t="s">
        <v>8907</v>
      </c>
      <c r="B7468" s="7" t="str">
        <f>IFERROR(__xludf.DUMMYFUNCTION("SPLIT(A7468,"" "")"),"Cc1ccnc(CN(C)CCN(C)Cc2nc(C)ccc2C)c1")</f>
        <v>Cc1ccnc(CN(C)CCN(C)Cc2nc(C)ccc2C)c1</v>
      </c>
      <c r="C7468" s="7">
        <f>IFERROR(__xludf.DUMMYFUNCTION("""COMPUTED_VALUE"""),7.7786393)</f>
        <v>7.7786393</v>
      </c>
      <c r="D7468" s="7">
        <f>IFERROR(__xludf.DUMMYFUNCTION("""COMPUTED_VALUE"""),0.441860465116279)</f>
        <v>0.4418604651</v>
      </c>
    </row>
    <row r="7469">
      <c r="A7469" s="10" t="s">
        <v>8908</v>
      </c>
      <c r="B7469" s="7" t="str">
        <f>IFERROR(__xludf.DUMMYFUNCTION("SPLIT(A7469,"" "")"),"Cc1ccc(C)c(CN(C)C2=C(CN(C)C(C)C(C)C)NC=CC2)n1")</f>
        <v>Cc1ccc(C)c(CN(C)C2=C(CN(C)C(C)C(C)C)NC=CC2)n1</v>
      </c>
      <c r="C7469" s="7">
        <f>IFERROR(__xludf.DUMMYFUNCTION("""COMPUTED_VALUE"""),7.7786384)</f>
        <v>7.7786384</v>
      </c>
      <c r="D7469" s="7">
        <f>IFERROR(__xludf.DUMMYFUNCTION("""COMPUTED_VALUE"""),0.228070175438596)</f>
        <v>0.2280701754</v>
      </c>
    </row>
    <row r="7470">
      <c r="A7470" s="10" t="s">
        <v>8909</v>
      </c>
      <c r="B7470" s="7" t="str">
        <f>IFERROR(__xludf.DUMMYFUNCTION("SPLIT(A7470,"" "")"),"CC(C)=C1C=CNC(CN(C)C2C=CNC(C(C)(C)C)=C2)=C1")</f>
        <v>CC(C)=C1C=CNC(CN(C)C2C=CNC(C(C)(C)C)=C2)=C1</v>
      </c>
      <c r="C7470" s="7">
        <f>IFERROR(__xludf.DUMMYFUNCTION("""COMPUTED_VALUE"""),7.778636)</f>
        <v>7.778636</v>
      </c>
      <c r="D7470" s="7">
        <f>IFERROR(__xludf.DUMMYFUNCTION("""COMPUTED_VALUE"""),0.288135593220339)</f>
        <v>0.2881355932</v>
      </c>
    </row>
    <row r="7471">
      <c r="A7471" s="10" t="s">
        <v>8910</v>
      </c>
      <c r="B7471" s="7" t="str">
        <f>IFERROR(__xludf.DUMMYFUNCTION("SPLIT(A7471,"" "")"),"CC1C=CC(C)(c2cccc(CN(Cc3ccccn3)Cc3cccc(C(C)(C)C)n3)n2)CC1C")</f>
        <v>CC1C=CC(C)(c2cccc(CN(Cc3ccccn3)Cc3cccc(C(C)(C)C)n3)n2)CC1C</v>
      </c>
      <c r="C7471" s="7">
        <f>IFERROR(__xludf.DUMMYFUNCTION("""COMPUTED_VALUE"""),7.7786307)</f>
        <v>7.7786307</v>
      </c>
      <c r="D7471" s="7">
        <f>IFERROR(__xludf.DUMMYFUNCTION("""COMPUTED_VALUE"""),0.377358490566037)</f>
        <v>0.3773584906</v>
      </c>
    </row>
    <row r="7472">
      <c r="A7472" s="10" t="s">
        <v>8911</v>
      </c>
      <c r="B7472" s="7" t="str">
        <f>IFERROR(__xludf.DUMMYFUNCTION("SPLIT(A7472,"" "")"),"CNCCN(Cc1ccccn1)Cc1nc(C)c(C)c(C)c1C")</f>
        <v>CNCCN(Cc1ccccn1)Cc1nc(C)c(C)c(C)c1C</v>
      </c>
      <c r="C7472" s="7">
        <f>IFERROR(__xludf.DUMMYFUNCTION("""COMPUTED_VALUE"""),7.7786207)</f>
        <v>7.7786207</v>
      </c>
      <c r="D7472" s="7">
        <f>IFERROR(__xludf.DUMMYFUNCTION("""COMPUTED_VALUE"""),0.478260869565217)</f>
        <v>0.4782608696</v>
      </c>
    </row>
    <row r="7473">
      <c r="A7473" s="10" t="s">
        <v>8912</v>
      </c>
      <c r="B7473" s="7" t="str">
        <f>IFERROR(__xludf.DUMMYFUNCTION("SPLIT(A7473,"" "")"),"CN(CCN(C)c1cccc2ccc(CF)nc12)Cc1ncccc1-c1cccc2c1OCCOCCOCCOCCOCCO2")</f>
        <v>CN(CCN(C)c1cccc2ccc(CF)nc12)Cc1ncccc1-c1cccc2c1OCCOCCOCCOCCOCCO2</v>
      </c>
      <c r="C7473" s="7">
        <f>IFERROR(__xludf.DUMMYFUNCTION("""COMPUTED_VALUE"""),7.778617)</f>
        <v>7.778617</v>
      </c>
      <c r="D7473" s="7">
        <f>IFERROR(__xludf.DUMMYFUNCTION("""COMPUTED_VALUE"""),0.390625)</f>
        <v>0.390625</v>
      </c>
    </row>
    <row r="7474">
      <c r="A7474" s="10" t="s">
        <v>8913</v>
      </c>
      <c r="B7474" s="7" t="str">
        <f>IFERROR(__xludf.DUMMYFUNCTION("SPLIT(A7474,"" "")"),"CNC1CC(CN(Cc2ncccc2C)Cc2ncccc2C)=CC=N1")</f>
        <v>CNC1CC(CN(Cc2ncccc2C)Cc2ncccc2C)=CC=N1</v>
      </c>
      <c r="C7474" s="7">
        <f>IFERROR(__xludf.DUMMYFUNCTION("""COMPUTED_VALUE"""),7.7786145)</f>
        <v>7.7786145</v>
      </c>
      <c r="D7474" s="7">
        <f>IFERROR(__xludf.DUMMYFUNCTION("""COMPUTED_VALUE"""),0.291666666666666)</f>
        <v>0.2916666667</v>
      </c>
    </row>
    <row r="7475">
      <c r="A7475" s="10" t="s">
        <v>8914</v>
      </c>
      <c r="B7475" s="7" t="str">
        <f>IFERROR(__xludf.DUMMYFUNCTION("SPLIT(A7475,"" "")"),"Cc1cccc(CNCCN(C)Cc2ncc(C)c(C)c2C)n1")</f>
        <v>Cc1cccc(CNCCN(C)Cc2ncc(C)c(C)c2C)n1</v>
      </c>
      <c r="C7475" s="7">
        <f>IFERROR(__xludf.DUMMYFUNCTION("""COMPUTED_VALUE"""),7.778604)</f>
        <v>7.778604</v>
      </c>
      <c r="D7475" s="7">
        <f>IFERROR(__xludf.DUMMYFUNCTION("""COMPUTED_VALUE"""),0.478260869565217)</f>
        <v>0.4782608696</v>
      </c>
    </row>
    <row r="7476">
      <c r="A7476" s="10" t="s">
        <v>8915</v>
      </c>
      <c r="B7476" s="7" t="str">
        <f>IFERROR(__xludf.DUMMYFUNCTION("SPLIT(A7476,"" "")"),"CN(Cc1ccccn1)c1c(N(C)C2CCCCC2N(C)C2C=CC=CN2)ccc(Cl)c1Cl")</f>
        <v>CN(Cc1ccccn1)c1c(N(C)C2CCCCC2N(C)C2C=CC=CN2)ccc(Cl)c1Cl</v>
      </c>
      <c r="C7476" s="7">
        <f>IFERROR(__xludf.DUMMYFUNCTION("""COMPUTED_VALUE"""),7.778602)</f>
        <v>7.778602</v>
      </c>
      <c r="D7476" s="7">
        <f>IFERROR(__xludf.DUMMYFUNCTION("""COMPUTED_VALUE"""),0.424242424242424)</f>
        <v>0.4242424242</v>
      </c>
    </row>
    <row r="7477">
      <c r="A7477" s="10" t="s">
        <v>8916</v>
      </c>
      <c r="B7477" s="7" t="str">
        <f>IFERROR(__xludf.DUMMYFUNCTION("SPLIT(A7477,"" "")"),"CCNC1CC(N(Cc2ncccc2C)Cc2ncccc2C)CC(N(Cc2ncccc2C)Cc2nc(C)c(C)c(C)c2C)C1")</f>
        <v>CCNC1CC(N(Cc2ncccc2C)Cc2ncccc2C)CC(N(Cc2ncccc2C)Cc2nc(C)c(C)c(C)c2C)C1</v>
      </c>
      <c r="C7477" s="7">
        <f>IFERROR(__xludf.DUMMYFUNCTION("""COMPUTED_VALUE"""),7.778597)</f>
        <v>7.778597</v>
      </c>
      <c r="D7477" s="7">
        <f>IFERROR(__xludf.DUMMYFUNCTION("""COMPUTED_VALUE"""),0.227272727272727)</f>
        <v>0.2272727273</v>
      </c>
    </row>
    <row r="7478">
      <c r="A7478" s="10" t="s">
        <v>8917</v>
      </c>
      <c r="B7478" s="7" t="str">
        <f>IFERROR(__xludf.DUMMYFUNCTION("SPLIT(A7478,"" "")"),"CNCCN(C)Cc1ncc(C)c(C)c1C")</f>
        <v>CNCCN(C)Cc1ncc(C)c(C)c1C</v>
      </c>
      <c r="C7478" s="7">
        <f>IFERROR(__xludf.DUMMYFUNCTION("""COMPUTED_VALUE"""),7.778594)</f>
        <v>7.778594</v>
      </c>
      <c r="D7478" s="7">
        <f>IFERROR(__xludf.DUMMYFUNCTION("""COMPUTED_VALUE"""),0.365853658536585)</f>
        <v>0.3658536585</v>
      </c>
    </row>
    <row r="7479">
      <c r="A7479" s="10" t="s">
        <v>8918</v>
      </c>
      <c r="B7479" s="7" t="str">
        <f>IFERROR(__xludf.DUMMYFUNCTION("SPLIT(A7479,"" "")"),"CC(C)N(C)C1=CNC(CN(C)C)=CC1")</f>
        <v>CC(C)N(C)C1=CNC(CN(C)C)=CC1</v>
      </c>
      <c r="C7479" s="7">
        <f>IFERROR(__xludf.DUMMYFUNCTION("""COMPUTED_VALUE"""),7.7785892)</f>
        <v>7.7785892</v>
      </c>
      <c r="D7479" s="7">
        <f>IFERROR(__xludf.DUMMYFUNCTION("""COMPUTED_VALUE"""),0.212765957446808)</f>
        <v>0.2127659574</v>
      </c>
    </row>
    <row r="7480">
      <c r="A7480" s="10" t="s">
        <v>8919</v>
      </c>
      <c r="B7480" s="7" t="str">
        <f>IFERROR(__xludf.DUMMYFUNCTION("SPLIT(A7480,"" "")"),"CNCc1ccc(N(C)C(C)C)cn1")</f>
        <v>CNCc1ccc(N(C)C(C)C)cn1</v>
      </c>
      <c r="C7480" s="7">
        <f>IFERROR(__xludf.DUMMYFUNCTION("""COMPUTED_VALUE"""),7.778576)</f>
        <v>7.778576</v>
      </c>
      <c r="D7480" s="7">
        <f>IFERROR(__xludf.DUMMYFUNCTION("""COMPUTED_VALUE"""),0.341463414634146)</f>
        <v>0.3414634146</v>
      </c>
    </row>
    <row r="7481">
      <c r="A7481" s="10" t="s">
        <v>8920</v>
      </c>
      <c r="B7481" s="7" t="str">
        <f>IFERROR(__xludf.DUMMYFUNCTION("SPLIT(A7481,"" "")"),"CCN(Cc1cc(CN(Cc2ncccc2C)C(C)C)ccn1)C(C)C")</f>
        <v>CCN(Cc1cc(CN(Cc2ncccc2C)C(C)C)ccn1)C(C)C</v>
      </c>
      <c r="C7481" s="7">
        <f>IFERROR(__xludf.DUMMYFUNCTION("""COMPUTED_VALUE"""),7.778573)</f>
        <v>7.778573</v>
      </c>
      <c r="D7481" s="7">
        <f>IFERROR(__xludf.DUMMYFUNCTION("""COMPUTED_VALUE"""),0.425531914893617)</f>
        <v>0.4255319149</v>
      </c>
    </row>
    <row r="7482">
      <c r="A7482" s="10" t="s">
        <v>8921</v>
      </c>
      <c r="B7482" s="7" t="str">
        <f>IFERROR(__xludf.DUMMYFUNCTION("SPLIT(A7482,"" "")"),"CNC1C(N(Cc2cc(C)ccn2)Cc2nc(C)c(C)c(C)c2C)CCCC1N(Cc1cc(C)ccn1)Cc1nc(C)c(C)c(C)c1C")</f>
        <v>CNC1C(N(Cc2cc(C)ccn2)Cc2nc(C)c(C)c(C)c2C)CCCC1N(Cc1cc(C)ccn1)Cc1nc(C)c(C)c(C)c1C</v>
      </c>
      <c r="C7482" s="7">
        <f>IFERROR(__xludf.DUMMYFUNCTION("""COMPUTED_VALUE"""),7.77857)</f>
        <v>7.77857</v>
      </c>
      <c r="D7482" s="7">
        <f>IFERROR(__xludf.DUMMYFUNCTION("""COMPUTED_VALUE"""),0.305084745762711)</f>
        <v>0.3050847458</v>
      </c>
    </row>
    <row r="7483">
      <c r="A7483" s="10" t="s">
        <v>8922</v>
      </c>
      <c r="B7483" s="7" t="str">
        <f>IFERROR(__xludf.DUMMYFUNCTION("SPLIT(A7483,"" "")"),"Cc1cnc(CN(Cc2nc(C)c(C)cc2C)C2CCC(N(C)Cc3nc(C)c(C)c(C)c3C)CC2)c(C)c1")</f>
        <v>Cc1cnc(CN(Cc2nc(C)c(C)cc2C)C2CCC(N(C)Cc3nc(C)c(C)c(C)c3C)CC2)c(C)c1</v>
      </c>
      <c r="C7483" s="7">
        <f>IFERROR(__xludf.DUMMYFUNCTION("""COMPUTED_VALUE"""),7.778559)</f>
        <v>7.778559</v>
      </c>
      <c r="D7483" s="7">
        <f>IFERROR(__xludf.DUMMYFUNCTION("""COMPUTED_VALUE"""),0.278688524590163)</f>
        <v>0.2786885246</v>
      </c>
    </row>
    <row r="7484">
      <c r="A7484" s="10" t="s">
        <v>8923</v>
      </c>
      <c r="B7484" s="7" t="str">
        <f>IFERROR(__xludf.DUMMYFUNCTION("SPLIT(A7484,"" "")"),"CCOC(=O)c1cccc(CN2CCN(C)CCN(Cc3cccc(C(C)(c4ccccn4)c4ccccn4)n3)CC2)n1")</f>
        <v>CCOC(=O)c1cccc(CN2CCN(C)CCN(Cc3cccc(C(C)(c4ccccn4)c4ccccn4)n3)CC2)n1</v>
      </c>
      <c r="C7484" s="7">
        <f>IFERROR(__xludf.DUMMYFUNCTION("""COMPUTED_VALUE"""),7.778551)</f>
        <v>7.778551</v>
      </c>
      <c r="D7484" s="7">
        <f>IFERROR(__xludf.DUMMYFUNCTION("""COMPUTED_VALUE"""),0.492063492063492)</f>
        <v>0.4920634921</v>
      </c>
    </row>
    <row r="7485">
      <c r="A7485" s="10" t="s">
        <v>8924</v>
      </c>
      <c r="B7485" s="7" t="str">
        <f>IFERROR(__xludf.DUMMYFUNCTION("SPLIT(A7485,"" "")"),"CCNCc1cc(CN(Cc2ccccn2)Cc2cc(C)ccn2)ccn1")</f>
        <v>CCNCc1cc(CN(Cc2ccccn2)Cc2cc(C)ccn2)ccn1</v>
      </c>
      <c r="C7485" s="7">
        <f>IFERROR(__xludf.DUMMYFUNCTION("""COMPUTED_VALUE"""),7.77855)</f>
        <v>7.77855</v>
      </c>
      <c r="D7485" s="7">
        <f>IFERROR(__xludf.DUMMYFUNCTION("""COMPUTED_VALUE"""),0.476190476190476)</f>
        <v>0.4761904762</v>
      </c>
    </row>
    <row r="7486">
      <c r="A7486" s="10" t="s">
        <v>8925</v>
      </c>
      <c r="B7486" s="7" t="str">
        <f>IFERROR(__xludf.DUMMYFUNCTION("SPLIT(A7486,"" "")"),"Cc1cnc(CN(C)CCN(C)Cc2ccccn2)c(C)c1C")</f>
        <v>Cc1cnc(CN(C)CCN(C)Cc2ccccn2)c(C)c1C</v>
      </c>
      <c r="C7486" s="7">
        <f>IFERROR(__xludf.DUMMYFUNCTION("""COMPUTED_VALUE"""),7.778543)</f>
        <v>7.778543</v>
      </c>
      <c r="D7486" s="7">
        <f>IFERROR(__xludf.DUMMYFUNCTION("""COMPUTED_VALUE"""),0.476190476190476)</f>
        <v>0.4761904762</v>
      </c>
    </row>
    <row r="7487">
      <c r="A7487" s="10" t="s">
        <v>8926</v>
      </c>
      <c r="B7487" s="7" t="str">
        <f>IFERROR(__xludf.DUMMYFUNCTION("SPLIT(A7487,"" "")"),"CCNCc1ncccc1CN(C)C1CCCCC1N(C)c1ccc2nc(CF)ccc2c1")</f>
        <v>CCNCc1ncccc1CN(C)C1CCCCC1N(C)c1ccc2nc(CF)ccc2c1</v>
      </c>
      <c r="C7487" s="7">
        <f>IFERROR(__xludf.DUMMYFUNCTION("""COMPUTED_VALUE"""),7.7785425)</f>
        <v>7.7785425</v>
      </c>
      <c r="D7487" s="7">
        <f>IFERROR(__xludf.DUMMYFUNCTION("""COMPUTED_VALUE"""),0.405797101449275)</f>
        <v>0.4057971014</v>
      </c>
    </row>
    <row r="7488">
      <c r="A7488" s="10" t="s">
        <v>8927</v>
      </c>
      <c r="B7488" s="7" t="str">
        <f>IFERROR(__xludf.DUMMYFUNCTION("SPLIT(A7488,"" "")"),"Cc1ccc(CN(C)C2C=CNC(CN(C)C)=C2)nc1")</f>
        <v>Cc1ccc(CN(C)C2C=CNC(CN(C)C)=C2)nc1</v>
      </c>
      <c r="C7488" s="7">
        <f>IFERROR(__xludf.DUMMYFUNCTION("""COMPUTED_VALUE"""),7.778541)</f>
        <v>7.778541</v>
      </c>
      <c r="D7488" s="7">
        <f>IFERROR(__xludf.DUMMYFUNCTION("""COMPUTED_VALUE"""),0.479166666666666)</f>
        <v>0.4791666667</v>
      </c>
    </row>
    <row r="7489">
      <c r="A7489" s="10" t="s">
        <v>8928</v>
      </c>
      <c r="B7489" s="7" t="str">
        <f>IFERROR(__xludf.DUMMYFUNCTION("SPLIT(A7489,"" "")"),"CNCCN(Cc1ncccc1C)Cc1ncc(C)c(C)c1C")</f>
        <v>CNCCN(Cc1ncccc1C)Cc1ncc(C)c(C)c1C</v>
      </c>
      <c r="C7489" s="7">
        <f>IFERROR(__xludf.DUMMYFUNCTION("""COMPUTED_VALUE"""),7.7785215)</f>
        <v>7.7785215</v>
      </c>
      <c r="D7489" s="7">
        <f>IFERROR(__xludf.DUMMYFUNCTION("""COMPUTED_VALUE"""),0.32)</f>
        <v>0.32</v>
      </c>
    </row>
    <row r="7490">
      <c r="A7490" s="10" t="s">
        <v>8929</v>
      </c>
      <c r="B7490" s="7" t="str">
        <f>IFERROR(__xludf.DUMMYFUNCTION("SPLIT(A7490,"" "")"),"Cc1cccc(CN(Cc2cccc(CN(C)Cc3ccc(C)c(C)n3)n2)C2CCC(N(C)Cc3cc(C)c(C)c(C)n3)CC2)n1")</f>
        <v>Cc1cccc(CN(Cc2cccc(CN(C)Cc3ccc(C)c(C)n3)n2)C2CCC(N(C)Cc3cc(C)c(C)c(C)n3)CC2)n1</v>
      </c>
      <c r="C7490" s="7">
        <f>IFERROR(__xludf.DUMMYFUNCTION("""COMPUTED_VALUE"""),7.7785163)</f>
        <v>7.7785163</v>
      </c>
      <c r="D7490" s="7">
        <f>IFERROR(__xludf.DUMMYFUNCTION("""COMPUTED_VALUE"""),0.43859649122807)</f>
        <v>0.4385964912</v>
      </c>
    </row>
    <row r="7491">
      <c r="A7491" s="10" t="s">
        <v>8930</v>
      </c>
      <c r="B7491" s="7" t="str">
        <f>IFERROR(__xludf.DUMMYFUNCTION("SPLIT(A7491,"" "")"),"CN(CCN(C)c1ccc2ncccc2c1)Cc1cc(-c2ccc3c(c2)OCCOCCOCCOCCOCCO3)ccn1")</f>
        <v>CN(CCN(C)c1ccc2ncccc2c1)Cc1cc(-c2ccc3c(c2)OCCOCCOCCOCCOCCO3)ccn1</v>
      </c>
      <c r="C7491" s="7">
        <f>IFERROR(__xludf.DUMMYFUNCTION("""COMPUTED_VALUE"""),7.778512)</f>
        <v>7.778512</v>
      </c>
      <c r="D7491" s="7">
        <f>IFERROR(__xludf.DUMMYFUNCTION("""COMPUTED_VALUE"""),0.333333333333333)</f>
        <v>0.3333333333</v>
      </c>
    </row>
    <row r="7492">
      <c r="A7492" s="10" t="s">
        <v>8931</v>
      </c>
      <c r="B7492" s="7" t="str">
        <f>IFERROR(__xludf.DUMMYFUNCTION("SPLIT(A7492,"" "")"),"CC(C)C(C)N(Cc1ccccn1)Cc1cc(N(C)C2C=CC=CN2)ccn1")</f>
        <v>CC(C)C(C)N(Cc1ccccn1)Cc1cc(N(C)C2C=CC=CN2)ccn1</v>
      </c>
      <c r="C7492" s="7">
        <f>IFERROR(__xludf.DUMMYFUNCTION("""COMPUTED_VALUE"""),7.778512)</f>
        <v>7.778512</v>
      </c>
      <c r="D7492" s="7">
        <f>IFERROR(__xludf.DUMMYFUNCTION("""COMPUTED_VALUE"""),0.440677966101694)</f>
        <v>0.4406779661</v>
      </c>
    </row>
    <row r="7493">
      <c r="A7493" s="10" t="s">
        <v>8932</v>
      </c>
      <c r="B7493" s="7" t="str">
        <f>IFERROR(__xludf.DUMMYFUNCTION("SPLIT(A7493,"" "")"),"Cc1cccc(CN(Cc2ccccn2)C2CCCCC2N(C)c2cccc(CN(C)Cc3nc(C)ccc3C)n2)n1")</f>
        <v>Cc1cccc(CN(Cc2ccccn2)C2CCCCC2N(C)c2cccc(CN(C)Cc3nc(C)ccc3C)n2)n1</v>
      </c>
      <c r="C7493" s="7">
        <f>IFERROR(__xludf.DUMMYFUNCTION("""COMPUTED_VALUE"""),7.7785106)</f>
        <v>7.7785106</v>
      </c>
      <c r="D7493" s="7">
        <f>IFERROR(__xludf.DUMMYFUNCTION("""COMPUTED_VALUE"""),0.45)</f>
        <v>0.45</v>
      </c>
    </row>
    <row r="7494">
      <c r="A7494" s="10" t="s">
        <v>8933</v>
      </c>
      <c r="B7494" s="7" t="str">
        <f>IFERROR(__xludf.DUMMYFUNCTION("SPLIT(A7494,"" "")"),"CC1=C(N(C)Cc2cc(C(C)(C)C)ccn2)C(C)C(C)(C)CC1")</f>
        <v>CC1=C(N(C)Cc2cc(C(C)(C)C)ccn2)C(C)C(C)(C)CC1</v>
      </c>
      <c r="C7494" s="7">
        <f>IFERROR(__xludf.DUMMYFUNCTION("""COMPUTED_VALUE"""),7.77851)</f>
        <v>7.77851</v>
      </c>
      <c r="D7494" s="7">
        <f>IFERROR(__xludf.DUMMYFUNCTION("""COMPUTED_VALUE"""),0.275862068965517)</f>
        <v>0.275862069</v>
      </c>
    </row>
    <row r="7495">
      <c r="A7495" s="10" t="s">
        <v>8934</v>
      </c>
      <c r="B7495" s="7" t="str">
        <f>IFERROR(__xludf.DUMMYFUNCTION("SPLIT(A7495,"" "")"),"CCNCc1cccc(CN(Cc2ccccn2)Cc2ccc(C)cn2)n1")</f>
        <v>CCNCc1cccc(CN(Cc2ccccn2)Cc2ccc(C)cn2)n1</v>
      </c>
      <c r="C7495" s="7">
        <f>IFERROR(__xludf.DUMMYFUNCTION("""COMPUTED_VALUE"""),7.778507)</f>
        <v>7.778507</v>
      </c>
      <c r="D7495" s="7">
        <f>IFERROR(__xludf.DUMMYFUNCTION("""COMPUTED_VALUE"""),0.476190476190476)</f>
        <v>0.4761904762</v>
      </c>
    </row>
    <row r="7496">
      <c r="A7496" s="10" t="s">
        <v>8935</v>
      </c>
      <c r="B7496" s="7" t="str">
        <f>IFERROR(__xludf.DUMMYFUNCTION("SPLIT(A7496,"" "")"),"CC1=CCC(N(C)CCN(C)c2ccc3cccnc3c2)C(C)C1C")</f>
        <v>CC1=CCC(N(C)CCN(C)c2ccc3cccnc3c2)C(C)C1C</v>
      </c>
      <c r="C7496" s="7">
        <f>IFERROR(__xludf.DUMMYFUNCTION("""COMPUTED_VALUE"""),7.7785068)</f>
        <v>7.7785068</v>
      </c>
      <c r="D7496" s="7">
        <f>IFERROR(__xludf.DUMMYFUNCTION("""COMPUTED_VALUE"""),0.327272727272727)</f>
        <v>0.3272727273</v>
      </c>
    </row>
    <row r="7497">
      <c r="A7497" s="10" t="s">
        <v>8936</v>
      </c>
      <c r="B7497" s="7" t="str">
        <f>IFERROR(__xludf.DUMMYFUNCTION("SPLIT(A7497,"" "")"),"Cc1cncc(CN(C)C2CCC(N(Cc3ccccn3)Cc3ccc4ccccc4n3)CC2)c1")</f>
        <v>Cc1cncc(CN(C)C2CCC(N(Cc3ccccn3)Cc3ccc4ccccc4n3)CC2)c1</v>
      </c>
      <c r="C7497" s="7">
        <f>IFERROR(__xludf.DUMMYFUNCTION("""COMPUTED_VALUE"""),7.778506)</f>
        <v>7.778506</v>
      </c>
      <c r="D7497" s="7">
        <f>IFERROR(__xludf.DUMMYFUNCTION("""COMPUTED_VALUE"""),0.473684210526315)</f>
        <v>0.4736842105</v>
      </c>
    </row>
    <row r="7498">
      <c r="A7498" s="10" t="s">
        <v>8937</v>
      </c>
      <c r="B7498" s="7" t="str">
        <f>IFERROR(__xludf.DUMMYFUNCTION("SPLIT(A7498,"" "")"),"Cc1cncc(CN(Cc2ccccn2)Cc2ccc(CN(C)C(C)C)cn2)c1")</f>
        <v>Cc1cncc(CN(Cc2ccccn2)Cc2ccc(CN(C)C(C)C)cn2)c1</v>
      </c>
      <c r="C7498" s="7">
        <f>IFERROR(__xludf.DUMMYFUNCTION("""COMPUTED_VALUE"""),7.7784915)</f>
        <v>7.7784915</v>
      </c>
      <c r="D7498" s="7">
        <f>IFERROR(__xludf.DUMMYFUNCTION("""COMPUTED_VALUE"""),0.425531914893617)</f>
        <v>0.4255319149</v>
      </c>
    </row>
    <row r="7499">
      <c r="A7499" s="10" t="s">
        <v>8938</v>
      </c>
      <c r="B7499" s="7" t="str">
        <f>IFERROR(__xludf.DUMMYFUNCTION("SPLIT(A7499,"" "")"),"CN(Cc1ccon1)C1CCC(N(C)Cc2ccc3ccccc3n2)CC1")</f>
        <v>CN(Cc1ccon1)C1CCC(N(C)Cc2ccc3ccccc3n2)CC1</v>
      </c>
      <c r="C7499" s="7">
        <f>IFERROR(__xludf.DUMMYFUNCTION("""COMPUTED_VALUE"""),7.778488)</f>
        <v>7.778488</v>
      </c>
      <c r="D7499" s="7">
        <f>IFERROR(__xludf.DUMMYFUNCTION("""COMPUTED_VALUE"""),0.465116279069767)</f>
        <v>0.4651162791</v>
      </c>
    </row>
    <row r="7500">
      <c r="A7500" s="10" t="s">
        <v>8939</v>
      </c>
      <c r="B7500" s="7" t="str">
        <f>IFERROR(__xludf.DUMMYFUNCTION("SPLIT(A7500,"" "")"),"C=CCN(C)Cc1cccc(-c2cccc(N(C)Cc3cccc(-c4ccc5c(c4)OCCOCCOCCOCCOCCO5)n3)c2)n1")</f>
        <v>C=CCN(C)Cc1cccc(-c2cccc(N(C)Cc3cccc(-c4ccc5c(c4)OCCOCCOCCOCCOCCO5)n3)c2)n1</v>
      </c>
      <c r="C7500" s="7">
        <f>IFERROR(__xludf.DUMMYFUNCTION("""COMPUTED_VALUE"""),7.7784853)</f>
        <v>7.7784853</v>
      </c>
      <c r="D7500" s="7">
        <f>IFERROR(__xludf.DUMMYFUNCTION("""COMPUTED_VALUE"""),0.303030303030303)</f>
        <v>0.303030303</v>
      </c>
    </row>
    <row r="7501">
      <c r="A7501" s="10" t="s">
        <v>8940</v>
      </c>
      <c r="B7501" s="7" t="str">
        <f>IFERROR(__xludf.DUMMYFUNCTION("SPLIT(A7501,"" "")"),"CN(Cc1ncccc1-c1cccc(N(C)C)c1)CN(C)Cc1ncccc1-c1cccc2c1OCCOCCOCCOCCOCCO2")</f>
        <v>CN(Cc1ncccc1-c1cccc(N(C)C)c1)CN(C)Cc1ncccc1-c1cccc2c1OCCOCCOCCOCCOCCO2</v>
      </c>
      <c r="C7501" s="7">
        <f>IFERROR(__xludf.DUMMYFUNCTION("""COMPUTED_VALUE"""),7.778465)</f>
        <v>7.778465</v>
      </c>
      <c r="D7501" s="7">
        <f>IFERROR(__xludf.DUMMYFUNCTION("""COMPUTED_VALUE"""),0.242424242424242)</f>
        <v>0.2424242424</v>
      </c>
    </row>
    <row r="7502">
      <c r="A7502" s="10" t="s">
        <v>8941</v>
      </c>
      <c r="B7502" s="7" t="str">
        <f>IFERROR(__xludf.DUMMYFUNCTION("SPLIT(A7502,"" "")"),"CCCN(C)CC1=CCC(N(C)Cc2ccccn2)=CN1")</f>
        <v>CCCN(C)CC1=CCC(N(C)Cc2ccccn2)=CN1</v>
      </c>
      <c r="C7502" s="7">
        <f>IFERROR(__xludf.DUMMYFUNCTION("""COMPUTED_VALUE"""),7.7784452)</f>
        <v>7.7784452</v>
      </c>
      <c r="D7502" s="7">
        <f>IFERROR(__xludf.DUMMYFUNCTION("""COMPUTED_VALUE"""),0.410714285714285)</f>
        <v>0.4107142857</v>
      </c>
    </row>
    <row r="7503">
      <c r="A7503" s="10" t="s">
        <v>8942</v>
      </c>
      <c r="B7503" s="7" t="str">
        <f>IFERROR(__xludf.DUMMYFUNCTION("SPLIT(A7503,"" "")"),"COC(=O)C1CC(c2ccccn2)C(C(C)(C)NCc2ccccn2)N(C)C1c1ccccn1")</f>
        <v>COC(=O)C1CC(c2ccccn2)C(C(C)(C)NCc2ccccn2)N(C)C1c1ccccn1</v>
      </c>
      <c r="C7503" s="7">
        <f>IFERROR(__xludf.DUMMYFUNCTION("""COMPUTED_VALUE"""),7.7784424)</f>
        <v>7.7784424</v>
      </c>
      <c r="D7503" s="7">
        <f>IFERROR(__xludf.DUMMYFUNCTION("""COMPUTED_VALUE"""),0.352112676056338)</f>
        <v>0.3521126761</v>
      </c>
    </row>
    <row r="7504">
      <c r="A7504" s="10" t="s">
        <v>8943</v>
      </c>
      <c r="B7504" s="7" t="str">
        <f>IFERROR(__xludf.DUMMYFUNCTION("SPLIT(A7504,"" "")"),"CC(NCc1ccccn1)C(C)(C)c1ncccc1CN(Cc1ccccn1)Cc1ccccn1")</f>
        <v>CC(NCc1ccccn1)C(C)(C)c1ncccc1CN(Cc1ccccn1)Cc1ccccn1</v>
      </c>
      <c r="C7504" s="7">
        <f>IFERROR(__xludf.DUMMYFUNCTION("""COMPUTED_VALUE"""),7.7784348)</f>
        <v>7.7784348</v>
      </c>
      <c r="D7504" s="7">
        <f>IFERROR(__xludf.DUMMYFUNCTION("""COMPUTED_VALUE"""),0.476190476190476)</f>
        <v>0.4761904762</v>
      </c>
    </row>
    <row r="7505">
      <c r="A7505" s="10" t="s">
        <v>8944</v>
      </c>
      <c r="B7505" s="7" t="str">
        <f>IFERROR(__xludf.DUMMYFUNCTION("SPLIT(A7505,"" "")"),"CC1=CC(C)(C)C(C)(c2ncccc2CN(Cc2ccccn2)Cc2ccccn2)CC1C")</f>
        <v>CC1=CC(C)(C)C(C)(c2ncccc2CN(Cc2ccccn2)Cc2ccccn2)CC1C</v>
      </c>
      <c r="C7505" s="7">
        <f>IFERROR(__xludf.DUMMYFUNCTION("""COMPUTED_VALUE"""),7.7784147)</f>
        <v>7.7784147</v>
      </c>
      <c r="D7505" s="7">
        <f>IFERROR(__xludf.DUMMYFUNCTION("""COMPUTED_VALUE"""),0.434782608695652)</f>
        <v>0.4347826087</v>
      </c>
    </row>
    <row r="7506">
      <c r="A7506" s="10" t="s">
        <v>8945</v>
      </c>
      <c r="B7506" s="7" t="str">
        <f>IFERROR(__xludf.DUMMYFUNCTION("SPLIT(A7506,"" "")"),"Cc1ccc(CN(C)C2CC(N(C)Cc3ccccn3)CC(N(Cc3cc(C)c(C)cn3)Cc3cc(C)c(C)c(C)n3)C2)nc1")</f>
        <v>Cc1ccc(CN(C)C2CC(N(C)Cc3ccccn3)CC(N(Cc3cc(C)c(C)cn3)Cc3cc(C)c(C)c(C)n3)C2)nc1</v>
      </c>
      <c r="C7506" s="7">
        <f>IFERROR(__xludf.DUMMYFUNCTION("""COMPUTED_VALUE"""),7.7784123)</f>
        <v>7.7784123</v>
      </c>
      <c r="D7506" s="7">
        <f>IFERROR(__xludf.DUMMYFUNCTION("""COMPUTED_VALUE"""),0.393442622950819)</f>
        <v>0.393442623</v>
      </c>
    </row>
    <row r="7507">
      <c r="A7507" s="10" t="s">
        <v>8946</v>
      </c>
      <c r="B7507" s="7" t="str">
        <f>IFERROR(__xludf.DUMMYFUNCTION("SPLIT(A7507,"" "")"),"CC(C)N(Cc1cccc(-c2cccc(N(C)C)c2)n1)Cc1cccc(-c2ccc3c(c2)OCCOCCOCCOCCOCCO3)n1")</f>
        <v>CC(C)N(Cc1cccc(-c2cccc(N(C)C)c2)n1)Cc1cccc(-c2ccc3c(c2)OCCOCCOCCOCCOCCO3)n1</v>
      </c>
      <c r="C7507" s="7">
        <f>IFERROR(__xludf.DUMMYFUNCTION("""COMPUTED_VALUE"""),7.7784057)</f>
        <v>7.7784057</v>
      </c>
      <c r="D7507" s="7">
        <f>IFERROR(__xludf.DUMMYFUNCTION("""COMPUTED_VALUE"""),0.319444444444444)</f>
        <v>0.3194444444</v>
      </c>
    </row>
    <row r="7508">
      <c r="A7508" s="10" t="s">
        <v>8947</v>
      </c>
      <c r="B7508" s="7" t="str">
        <f>IFERROR(__xludf.DUMMYFUNCTION("SPLIT(A7508,"" "")"),"CNC1CCCCC1N(C)c1ccc2cccnc2c1")</f>
        <v>CNC1CCCCC1N(C)c1ccc2cccnc2c1</v>
      </c>
      <c r="C7508" s="7">
        <f>IFERROR(__xludf.DUMMYFUNCTION("""COMPUTED_VALUE"""),7.7784047)</f>
        <v>7.7784047</v>
      </c>
      <c r="D7508" s="7">
        <f>IFERROR(__xludf.DUMMYFUNCTION("""COMPUTED_VALUE"""),0.46)</f>
        <v>0.46</v>
      </c>
    </row>
    <row r="7509">
      <c r="A7509" s="10" t="s">
        <v>8948</v>
      </c>
      <c r="B7509" s="7" t="str">
        <f>IFERROR(__xludf.DUMMYFUNCTION("SPLIT(A7509,"" "")"),"CNCc1ncccc1CN(Cc1ncccc1C)C1CCCCC1N(C)Cc1ccc2ncccc2c1")</f>
        <v>CNCc1ncccc1CN(Cc1ncccc1C)C1CCCCC1N(C)Cc1ccc2ncccc2c1</v>
      </c>
      <c r="C7509" s="7">
        <f>IFERROR(__xludf.DUMMYFUNCTION("""COMPUTED_VALUE"""),7.778392)</f>
        <v>7.778392</v>
      </c>
      <c r="D7509" s="7">
        <f>IFERROR(__xludf.DUMMYFUNCTION("""COMPUTED_VALUE"""),0.348484848484848)</f>
        <v>0.3484848485</v>
      </c>
    </row>
    <row r="7510">
      <c r="A7510" s="10" t="s">
        <v>8949</v>
      </c>
      <c r="B7510" s="7" t="str">
        <f>IFERROR(__xludf.DUMMYFUNCTION("SPLIT(A7510,"" "")"),"CN(C)Cc1cccc(CF)n1")</f>
        <v>CN(C)Cc1cccc(CF)n1</v>
      </c>
      <c r="C7510" s="7">
        <f>IFERROR(__xludf.DUMMYFUNCTION("""COMPUTED_VALUE"""),7.7783904)</f>
        <v>7.7783904</v>
      </c>
      <c r="D7510" s="7">
        <f>IFERROR(__xludf.DUMMYFUNCTION("""COMPUTED_VALUE"""),0.484848484848484)</f>
        <v>0.4848484848</v>
      </c>
    </row>
    <row r="7511">
      <c r="A7511" s="10" t="s">
        <v>8950</v>
      </c>
      <c r="B7511" s="7" t="str">
        <f>IFERROR(__xludf.DUMMYFUNCTION("SPLIT(A7511,"" "")"),"Cc1cc(CN(C)C2C=CNC(CN(C)C(C)C)=C2)nc(C)c1C")</f>
        <v>Cc1cc(CN(C)C2C=CNC(CN(C)C(C)C)=C2)nc(C)c1C</v>
      </c>
      <c r="C7511" s="7">
        <f>IFERROR(__xludf.DUMMYFUNCTION("""COMPUTED_VALUE"""),7.778386)</f>
        <v>7.778386</v>
      </c>
      <c r="D7511" s="7">
        <f>IFERROR(__xludf.DUMMYFUNCTION("""COMPUTED_VALUE"""),0.295081967213114)</f>
        <v>0.2950819672</v>
      </c>
    </row>
    <row r="7512">
      <c r="A7512" s="10" t="s">
        <v>8951</v>
      </c>
      <c r="B7512" s="7" t="str">
        <f>IFERROR(__xludf.DUMMYFUNCTION("SPLIT(A7512,"" "")"),"CC1=C(C)C(C)C(C)C(C)(c2ncccc2CN(Cc2ccccn2)Cc2ccccn2)C1")</f>
        <v>CC1=C(C)C(C)C(C)C(C)(c2ncccc2CN(Cc2ccccn2)Cc2ccccn2)C1</v>
      </c>
      <c r="C7512" s="7">
        <f>IFERROR(__xludf.DUMMYFUNCTION("""COMPUTED_VALUE"""),7.778373)</f>
        <v>7.778373</v>
      </c>
      <c r="D7512" s="7">
        <f>IFERROR(__xludf.DUMMYFUNCTION("""COMPUTED_VALUE"""),0.434782608695652)</f>
        <v>0.4347826087</v>
      </c>
    </row>
    <row r="7513">
      <c r="A7513" s="10" t="s">
        <v>8952</v>
      </c>
      <c r="B7513" s="7" t="str">
        <f>IFERROR(__xludf.DUMMYFUNCTION("SPLIT(A7513,"" "")"),"CC(C)N(C)Cc1ncccc1-c1cccc(N(C)Cc2cccc(-c3ccc4c(c3)OCCOCCOCCOCCOCCO4)n2)c1")</f>
        <v>CC(C)N(C)Cc1ncccc1-c1cccc(N(C)Cc2cccc(-c3ccc4c(c3)OCCOCCOCCOCCOCCO4)n2)c1</v>
      </c>
      <c r="C7513" s="7">
        <f>IFERROR(__xludf.DUMMYFUNCTION("""COMPUTED_VALUE"""),7.7783704)</f>
        <v>7.7783704</v>
      </c>
      <c r="D7513" s="7">
        <f>IFERROR(__xludf.DUMMYFUNCTION("""COMPUTED_VALUE"""),0.32051282051282)</f>
        <v>0.3205128205</v>
      </c>
    </row>
    <row r="7514">
      <c r="A7514" s="10" t="s">
        <v>8953</v>
      </c>
      <c r="B7514" s="7" t="str">
        <f>IFERROR(__xludf.DUMMYFUNCTION("SPLIT(A7514,"" "")"),"CCNCc1cccc(-c2cccc(N(C)Cc3cccc(-c4ccc5c(c4)OCCOCCOCCOCCOCCO5)n3)c2)n1")</f>
        <v>CCNCc1cccc(-c2cccc(N(C)Cc3cccc(-c4ccc5c(c4)OCCOCCOCCOCCOCCO5)n3)c2)n1</v>
      </c>
      <c r="C7514" s="7">
        <f>IFERROR(__xludf.DUMMYFUNCTION("""COMPUTED_VALUE"""),7.7783694)</f>
        <v>7.7783694</v>
      </c>
      <c r="D7514" s="7">
        <f>IFERROR(__xludf.DUMMYFUNCTION("""COMPUTED_VALUE"""),0.306666666666666)</f>
        <v>0.3066666667</v>
      </c>
    </row>
    <row r="7515">
      <c r="A7515" s="10" t="s">
        <v>8954</v>
      </c>
      <c r="B7515" s="7" t="str">
        <f>IFERROR(__xludf.DUMMYFUNCTION("SPLIT(A7515,"" "")"),"CC(C1=CCC=CN1)c1ccccn1")</f>
        <v>CC(C1=CCC=CN1)c1ccccn1</v>
      </c>
      <c r="C7515" s="7">
        <f>IFERROR(__xludf.DUMMYFUNCTION("""COMPUTED_VALUE"""),7.778367)</f>
        <v>7.778367</v>
      </c>
      <c r="D7515" s="7">
        <f>IFERROR(__xludf.DUMMYFUNCTION("""COMPUTED_VALUE"""),0.416666666666666)</f>
        <v>0.4166666667</v>
      </c>
    </row>
    <row r="7516">
      <c r="A7516" s="10" t="s">
        <v>8955</v>
      </c>
      <c r="B7516" s="7" t="str">
        <f>IFERROR(__xludf.DUMMYFUNCTION("SPLIT(A7516,"" "")"),"CNCc1ccc(CN(Cc2cc(C)ccn2)C(C)C)cn1")</f>
        <v>CNCc1ccc(CN(Cc2cc(C)ccn2)C(C)C)cn1</v>
      </c>
      <c r="C7516" s="7">
        <f>IFERROR(__xludf.DUMMYFUNCTION("""COMPUTED_VALUE"""),7.778366)</f>
        <v>7.778366</v>
      </c>
      <c r="D7516" s="7">
        <f>IFERROR(__xludf.DUMMYFUNCTION("""COMPUTED_VALUE"""),0.352941176470588)</f>
        <v>0.3529411765</v>
      </c>
    </row>
    <row r="7517">
      <c r="A7517" s="10" t="s">
        <v>8956</v>
      </c>
      <c r="B7517" s="7" t="str">
        <f>IFERROR(__xludf.DUMMYFUNCTION("SPLIT(A7517,"" "")"),"CN(CCN)Cc1cncc2c(N(C)C3CCCCC3N(Cc3ccccc3)Cc3ccccn3)cccc12")</f>
        <v>CN(CCN)Cc1cncc2c(N(C)C3CCCCC3N(Cc3ccccc3)Cc3ccccn3)cccc12</v>
      </c>
      <c r="C7517" s="7">
        <f>IFERROR(__xludf.DUMMYFUNCTION("""COMPUTED_VALUE"""),7.7783604)</f>
        <v>7.7783604</v>
      </c>
      <c r="D7517" s="7">
        <f>IFERROR(__xludf.DUMMYFUNCTION("""COMPUTED_VALUE"""),0.393939393939393)</f>
        <v>0.3939393939</v>
      </c>
    </row>
    <row r="7518">
      <c r="A7518" s="10" t="s">
        <v>8957</v>
      </c>
      <c r="B7518" s="7" t="str">
        <f>IFERROR(__xludf.DUMMYFUNCTION("SPLIT(A7518,"" "")"),"CCNCc1cccc(CN(C)Cc2cccc(N)n2)n1")</f>
        <v>CCNCc1cccc(CN(C)Cc2cccc(N)n2)n1</v>
      </c>
      <c r="C7518" s="7">
        <f>IFERROR(__xludf.DUMMYFUNCTION("""COMPUTED_VALUE"""),7.778357)</f>
        <v>7.778357</v>
      </c>
      <c r="D7518" s="7">
        <f>IFERROR(__xludf.DUMMYFUNCTION("""COMPUTED_VALUE"""),0.404761904761904)</f>
        <v>0.4047619048</v>
      </c>
    </row>
    <row r="7519">
      <c r="A7519" s="10" t="s">
        <v>8958</v>
      </c>
      <c r="B7519" s="7" t="str">
        <f>IFERROR(__xludf.DUMMYFUNCTION("SPLIT(A7519,"" "")"),"Cc1cnc(C)c(CN(C)CCN(C)Cc2ncccc2C)c1")</f>
        <v>Cc1cnc(C)c(CN(C)CCN(C)Cc2ncccc2C)c1</v>
      </c>
      <c r="C7519" s="7">
        <f>IFERROR(__xludf.DUMMYFUNCTION("""COMPUTED_VALUE"""),7.7783546)</f>
        <v>7.7783546</v>
      </c>
      <c r="D7519" s="7">
        <f>IFERROR(__xludf.DUMMYFUNCTION("""COMPUTED_VALUE"""),0.425531914893617)</f>
        <v>0.4255319149</v>
      </c>
    </row>
    <row r="7520">
      <c r="A7520" s="10" t="s">
        <v>8959</v>
      </c>
      <c r="B7520" s="7" t="str">
        <f>IFERROR(__xludf.DUMMYFUNCTION("SPLIT(A7520,"" "")"),"Cc1cc(C(C)(C)c2cc(CN(Cc3ccccn3)C3CCCCC3)ccn2)ccc1NCc1ccccn1")</f>
        <v>Cc1cc(C(C)(C)c2cc(CN(Cc3ccccn3)C3CCCCC3)ccn2)ccc1NCc1ccccn1</v>
      </c>
      <c r="C7520" s="7">
        <f>IFERROR(__xludf.DUMMYFUNCTION("""COMPUTED_VALUE"""),7.778353)</f>
        <v>7.778353</v>
      </c>
      <c r="D7520" s="7">
        <f>IFERROR(__xludf.DUMMYFUNCTION("""COMPUTED_VALUE"""),0.348484848484848)</f>
        <v>0.3484848485</v>
      </c>
    </row>
    <row r="7521">
      <c r="A7521" s="10" t="s">
        <v>8960</v>
      </c>
      <c r="B7521" s="7" t="str">
        <f>IFERROR(__xludf.DUMMYFUNCTION("SPLIT(A7521,"" "")"),"CC(C)C1CCC1c1cccc(CN(Cc2ccccn2)C2CCC(N(C)c3ccc4nc(CF)ccc4c3)CC2)n1")</f>
        <v>CC(C)C1CCC1c1cccc(CN(Cc2ccccn2)C2CCC(N(C)c3ccc4nc(CF)ccc4c3)CC2)n1</v>
      </c>
      <c r="C7521" s="7">
        <f>IFERROR(__xludf.DUMMYFUNCTION("""COMPUTED_VALUE"""),7.778352)</f>
        <v>7.778352</v>
      </c>
      <c r="D7521" s="7">
        <f>IFERROR(__xludf.DUMMYFUNCTION("""COMPUTED_VALUE"""),0.342857142857142)</f>
        <v>0.3428571429</v>
      </c>
    </row>
    <row r="7522">
      <c r="A7522" s="10" t="s">
        <v>8961</v>
      </c>
      <c r="B7522" s="7" t="str">
        <f>IFERROR(__xludf.DUMMYFUNCTION("SPLIT(A7522,"" "")"),"CN(CCN(C)c1ccc2nc(CF)ccc2c1)Cc1cccc(-c2ccc3c(c2)OCCOCCOCCOCCOCCO3)n1")</f>
        <v>CN(CCN(C)c1ccc2nc(CF)ccc2c1)Cc1cccc(-c2ccc3c(c2)OCCOCCOCCOCCOCCO3)n1</v>
      </c>
      <c r="C7522" s="7">
        <f>IFERROR(__xludf.DUMMYFUNCTION("""COMPUTED_VALUE"""),7.7783494)</f>
        <v>7.7783494</v>
      </c>
      <c r="D7522" s="7">
        <f>IFERROR(__xludf.DUMMYFUNCTION("""COMPUTED_VALUE"""),0.317460317460317)</f>
        <v>0.3174603175</v>
      </c>
    </row>
    <row r="7523">
      <c r="A7523" s="10" t="s">
        <v>8962</v>
      </c>
      <c r="B7523" s="7" t="str">
        <f>IFERROR(__xludf.DUMMYFUNCTION("SPLIT(A7523,"" "")"),"CN(Cc1cc(-c2ccc3c(c2)OCCOCCOCCOCCOCCO3)ccn1)Cc1ccc2cccnc2n1")</f>
        <v>CN(Cc1cc(-c2ccc3c(c2)OCCOCCOCCOCCOCCO3)ccn1)Cc1ccc2cccnc2n1</v>
      </c>
      <c r="C7523" s="7">
        <f>IFERROR(__xludf.DUMMYFUNCTION("""COMPUTED_VALUE"""),7.778344)</f>
        <v>7.778344</v>
      </c>
      <c r="D7523" s="7">
        <f>IFERROR(__xludf.DUMMYFUNCTION("""COMPUTED_VALUE"""),0.38235294117647)</f>
        <v>0.3823529412</v>
      </c>
    </row>
    <row r="7524">
      <c r="A7524" s="10" t="s">
        <v>8963</v>
      </c>
      <c r="B7524" s="7" t="str">
        <f>IFERROR(__xludf.DUMMYFUNCTION("SPLIT(A7524,"" "")"),"CC(C)NCc1cc(C(C)(C)C)ccn1")</f>
        <v>CC(C)NCc1cc(C(C)(C)C)ccn1</v>
      </c>
      <c r="C7524" s="7">
        <f>IFERROR(__xludf.DUMMYFUNCTION("""COMPUTED_VALUE"""),7.778343)</f>
        <v>7.778343</v>
      </c>
      <c r="D7524" s="7">
        <f>IFERROR(__xludf.DUMMYFUNCTION("""COMPUTED_VALUE"""),0.268292682926829)</f>
        <v>0.2682926829</v>
      </c>
    </row>
    <row r="7525">
      <c r="A7525" s="10" t="s">
        <v>8964</v>
      </c>
      <c r="B7525" s="7" t="str">
        <f>IFERROR(__xludf.DUMMYFUNCTION("SPLIT(A7525,"" "")"),"CCN(Cc1ccccn1)c1cc(C)c(C)cc1CN(Cc1ccccn1)C1CCC(N(C)Cc2ncccc2C)CC1")</f>
        <v>CCN(Cc1ccccn1)c1cc(C)c(C)cc1CN(Cc1ccccn1)C1CCC(N(C)Cc2ncccc2C)CC1</v>
      </c>
      <c r="C7525" s="7">
        <f>IFERROR(__xludf.DUMMYFUNCTION("""COMPUTED_VALUE"""),7.7783375)</f>
        <v>7.7783375</v>
      </c>
      <c r="D7525" s="7">
        <f>IFERROR(__xludf.DUMMYFUNCTION("""COMPUTED_VALUE"""),0.370967741935483)</f>
        <v>0.3709677419</v>
      </c>
    </row>
    <row r="7526">
      <c r="A7526" s="10" t="s">
        <v>8965</v>
      </c>
      <c r="B7526" s="7" t="str">
        <f>IFERROR(__xludf.DUMMYFUNCTION("SPLIT(A7526,"" "")"),"Cc1ccc(-c2cccc(NCc3cccc(-c4ccc5c(c4)OCCOCCOCCOCCOCCO5)n3)c2)nc1")</f>
        <v>Cc1ccc(-c2cccc(NCc3cccc(-c4ccc5c(c4)OCCOCCOCCOCCOCCO5)n3)c2)nc1</v>
      </c>
      <c r="C7526" s="7">
        <f>IFERROR(__xludf.DUMMYFUNCTION("""COMPUTED_VALUE"""),7.7783346)</f>
        <v>7.7783346</v>
      </c>
      <c r="D7526" s="7">
        <f>IFERROR(__xludf.DUMMYFUNCTION("""COMPUTED_VALUE"""),0.342465753424657)</f>
        <v>0.3424657534</v>
      </c>
    </row>
    <row r="7527">
      <c r="A7527" s="10" t="s">
        <v>8966</v>
      </c>
      <c r="B7527" s="7" t="str">
        <f>IFERROR(__xludf.DUMMYFUNCTION("SPLIT(A7527,"" "")"),"CC1C=CC(N(C)Cc2ccccn2)C(C)(C)C1c1ccc(CN(C)Cc2ccc(N)cn2)cn1")</f>
        <v>CC1C=CC(N(C)Cc2ccccn2)C(C)(C)C1c1ccc(CN(C)Cc2ccc(N)cn2)cn1</v>
      </c>
      <c r="C7527" s="7">
        <f>IFERROR(__xludf.DUMMYFUNCTION("""COMPUTED_VALUE"""),7.778334)</f>
        <v>7.778334</v>
      </c>
      <c r="D7527" s="7">
        <f>IFERROR(__xludf.DUMMYFUNCTION("""COMPUTED_VALUE"""),0.348484848484848)</f>
        <v>0.3484848485</v>
      </c>
    </row>
    <row r="7528">
      <c r="A7528" s="10" t="s">
        <v>8967</v>
      </c>
      <c r="B7528" s="7" t="str">
        <f>IFERROR(__xludf.DUMMYFUNCTION("SPLIT(A7528,"" "")"),"Cc1ccc(N(C)C2CCCC(N(C)Cc3ccccn3)C2N(Cc2ccccn2)Cc2cc(C)c(C)c(C)n2)cn1")</f>
        <v>Cc1ccc(N(C)C2CCCC(N(C)Cc3ccccn3)C2N(Cc2ccccn2)Cc2cc(C)c(C)c(C)n2)cn1</v>
      </c>
      <c r="C7528" s="7">
        <f>IFERROR(__xludf.DUMMYFUNCTION("""COMPUTED_VALUE"""),7.778326)</f>
        <v>7.778326</v>
      </c>
      <c r="D7528" s="7">
        <f>IFERROR(__xludf.DUMMYFUNCTION("""COMPUTED_VALUE"""),0.459016393442622)</f>
        <v>0.4590163934</v>
      </c>
    </row>
    <row r="7529">
      <c r="A7529" s="10" t="s">
        <v>8968</v>
      </c>
      <c r="B7529" s="7" t="str">
        <f>IFERROR(__xludf.DUMMYFUNCTION("SPLIT(A7529,"" "")"),"Cc1cccnc1CN(Cc1ccccn1)CC1C=CNC=C1")</f>
        <v>Cc1cccnc1CN(Cc1ccccn1)CC1C=CNC=C1</v>
      </c>
      <c r="C7529" s="7">
        <f>IFERROR(__xludf.DUMMYFUNCTION("""COMPUTED_VALUE"""),7.7783237)</f>
        <v>7.7783237</v>
      </c>
      <c r="D7529" s="7">
        <f>IFERROR(__xludf.DUMMYFUNCTION("""COMPUTED_VALUE"""),0.452830188679245)</f>
        <v>0.4528301887</v>
      </c>
    </row>
    <row r="7530">
      <c r="A7530" s="10" t="s">
        <v>8969</v>
      </c>
      <c r="B7530" s="7" t="str">
        <f>IFERROR(__xludf.DUMMYFUNCTION("SPLIT(A7530,"" "")"),"Cc1cnc(C)c(CN(C)Cc2ncccc2N(C)C2CCCC(N(Cc3ccccn3)Cc3ccccn3)C2)c1")</f>
        <v>Cc1cnc(C)c(CN(C)Cc2ncccc2N(C)C2CCCC(N(Cc3ccccn3)Cc3ccccn3)C2)c1</v>
      </c>
      <c r="C7530" s="7">
        <f>IFERROR(__xludf.DUMMYFUNCTION("""COMPUTED_VALUE"""),7.7783027)</f>
        <v>7.7783027</v>
      </c>
      <c r="D7530" s="7">
        <f>IFERROR(__xludf.DUMMYFUNCTION("""COMPUTED_VALUE"""),0.359375)</f>
        <v>0.359375</v>
      </c>
    </row>
    <row r="7531">
      <c r="A7531" s="10" t="s">
        <v>8970</v>
      </c>
      <c r="B7531" s="7" t="str">
        <f>IFERROR(__xludf.DUMMYFUNCTION("SPLIT(A7531,"" "")"),"Cc1ccncc1CN(C)CCN(C)Cc1ncc(C)c(C)c1C")</f>
        <v>Cc1ccncc1CN(C)CCN(C)Cc1ncc(C)c(C)c1C</v>
      </c>
      <c r="C7531" s="7">
        <f>IFERROR(__xludf.DUMMYFUNCTION("""COMPUTED_VALUE"""),7.778302)</f>
        <v>7.778302</v>
      </c>
      <c r="D7531" s="7">
        <f>IFERROR(__xludf.DUMMYFUNCTION("""COMPUTED_VALUE"""),0.386363636363636)</f>
        <v>0.3863636364</v>
      </c>
    </row>
    <row r="7532">
      <c r="A7532" s="10" t="s">
        <v>8971</v>
      </c>
      <c r="B7532" s="7" t="str">
        <f>IFERROR(__xludf.DUMMYFUNCTION("SPLIT(A7532,"" "")"),"CC1C=CC(C)(c2cccc(CN(Cc3ccccn3)Cc3cc(N)ccn3)n2)CC1C")</f>
        <v>CC1C=CC(C)(c2cccc(CN(Cc3ccccn3)Cc3cc(N)ccn3)n2)CC1C</v>
      </c>
      <c r="C7532" s="7">
        <f>IFERROR(__xludf.DUMMYFUNCTION("""COMPUTED_VALUE"""),7.7783003)</f>
        <v>7.7783003</v>
      </c>
      <c r="D7532" s="7">
        <f>IFERROR(__xludf.DUMMYFUNCTION("""COMPUTED_VALUE"""),0.377358490566037)</f>
        <v>0.3773584906</v>
      </c>
    </row>
    <row r="7533">
      <c r="A7533" s="10" t="s">
        <v>8972</v>
      </c>
      <c r="B7533" s="7" t="str">
        <f>IFERROR(__xludf.DUMMYFUNCTION("SPLIT(A7533,"" "")"),"c1ccc(CN(Cc2ncccc2-c2ccc3c(c2)OCCOCCOCCOCCOCCO3)Cc2ccnc3ccccc23)nc1")</f>
        <v>c1ccc(CN(Cc2ncccc2-c2ccc3c(c2)OCCOCCOCCOCCOCCO3)Cc2ccnc3ccccc23)nc1</v>
      </c>
      <c r="C7533" s="7">
        <f>IFERROR(__xludf.DUMMYFUNCTION("""COMPUTED_VALUE"""),7.778296)</f>
        <v>7.778296</v>
      </c>
      <c r="D7533" s="7">
        <f>IFERROR(__xludf.DUMMYFUNCTION("""COMPUTED_VALUE"""),0.350877192982456)</f>
        <v>0.350877193</v>
      </c>
    </row>
    <row r="7534">
      <c r="A7534" s="10" t="s">
        <v>8973</v>
      </c>
      <c r="B7534" s="7" t="str">
        <f>IFERROR(__xludf.DUMMYFUNCTION("SPLIT(A7534,"" "")"),"Cc1cc(CN(C)CCN(C)CC(C)(C)C)nc(C)c1C")</f>
        <v>Cc1cc(CN(C)CCN(C)CC(C)(C)C)nc(C)c1C</v>
      </c>
      <c r="C7534" s="7">
        <f>IFERROR(__xludf.DUMMYFUNCTION("""COMPUTED_VALUE"""),7.778295)</f>
        <v>7.778295</v>
      </c>
      <c r="D7534" s="7">
        <f>IFERROR(__xludf.DUMMYFUNCTION("""COMPUTED_VALUE"""),0.38095238095238)</f>
        <v>0.380952381</v>
      </c>
    </row>
    <row r="7535">
      <c r="A7535" s="10" t="s">
        <v>8974</v>
      </c>
      <c r="B7535" s="7" t="str">
        <f>IFERROR(__xludf.DUMMYFUNCTION("SPLIT(A7535,"" "")"),"CC(C)C1=CC2(C=CN1)C(c1cccc(CN(Cc3ccccn3)Cc3ccccn3)n1)=CCC(C)(C)C2c1cccc(CN(Cc2ccccn2)Cc2cccc(-c3ccc4c(c3)OCCOCCOCCOCCOCCO4)n2)n1")</f>
        <v>CC(C)C1=CC2(C=CN1)C(c1cccc(CN(Cc3ccccn3)Cc3ccccn3)n1)=CCC(C)(C)C2c1cccc(CN(Cc2ccccn2)Cc2cccc(-c3ccc4c(c3)OCCOCCOCCOCCOCCO4)n2)n1</v>
      </c>
      <c r="C7535" s="7">
        <f>IFERROR(__xludf.DUMMYFUNCTION("""COMPUTED_VALUE"""),7.7782927)</f>
        <v>7.7782927</v>
      </c>
      <c r="D7535" s="7">
        <f>IFERROR(__xludf.DUMMYFUNCTION("""COMPUTED_VALUE"""),0.356321839080459)</f>
        <v>0.3563218391</v>
      </c>
    </row>
    <row r="7536">
      <c r="A7536" s="10" t="s">
        <v>8975</v>
      </c>
      <c r="B7536" s="7" t="str">
        <f>IFERROR(__xludf.DUMMYFUNCTION("SPLIT(A7536,"" "")"),"CCOC(=O)c1cccc(-c2cccc(CN3CCN(C)CCN(Cc4cccc(C(C)NCc5ccccn5)n4)CC3)n2)n1")</f>
        <v>CCOC(=O)c1cccc(-c2cccc(CN3CCN(C)CCN(Cc4cccc(C(C)NCc5ccccn5)n4)CC3)n2)n1</v>
      </c>
      <c r="C7536" s="7">
        <f>IFERROR(__xludf.DUMMYFUNCTION("""COMPUTED_VALUE"""),7.7782907)</f>
        <v>7.7782907</v>
      </c>
      <c r="D7536" s="7">
        <f>IFERROR(__xludf.DUMMYFUNCTION("""COMPUTED_VALUE"""),0.450704225352112)</f>
        <v>0.4507042254</v>
      </c>
    </row>
    <row r="7537">
      <c r="A7537" s="10" t="s">
        <v>8976</v>
      </c>
      <c r="B7537" s="7" t="str">
        <f>IFERROR(__xludf.DUMMYFUNCTION("SPLIT(A7537,"" "")"),"CC1C=CC(C)(C)CC1(C)c1ncccc1CN(Cc1ccccn1)Cc1ccccn1")</f>
        <v>CC1C=CC(C)(C)CC1(C)c1ncccc1CN(Cc1ccccn1)Cc1ccccn1</v>
      </c>
      <c r="C7537" s="7">
        <f>IFERROR(__xludf.DUMMYFUNCTION("""COMPUTED_VALUE"""),7.7782865)</f>
        <v>7.7782865</v>
      </c>
      <c r="D7537" s="7">
        <f>IFERROR(__xludf.DUMMYFUNCTION("""COMPUTED_VALUE"""),0.434782608695652)</f>
        <v>0.4347826087</v>
      </c>
    </row>
    <row r="7538">
      <c r="A7538" s="10" t="s">
        <v>8977</v>
      </c>
      <c r="B7538" s="7" t="str">
        <f>IFERROR(__xludf.DUMMYFUNCTION("SPLIT(A7538,"" "")"),"CC1=CC(C)C(C)(c2cccc(CN(Cc3ccccn3)Cc3ccccn3)n2)CC1C")</f>
        <v>CC1=CC(C)C(C)(c2cccc(CN(Cc3ccccn3)Cc3ccccn3)n2)CC1C</v>
      </c>
      <c r="C7538" s="7">
        <f>IFERROR(__xludf.DUMMYFUNCTION("""COMPUTED_VALUE"""),7.7782702)</f>
        <v>7.7782702</v>
      </c>
      <c r="D7538" s="7">
        <f>IFERROR(__xludf.DUMMYFUNCTION("""COMPUTED_VALUE"""),0.434782608695652)</f>
        <v>0.4347826087</v>
      </c>
    </row>
    <row r="7539">
      <c r="A7539" s="10" t="s">
        <v>8978</v>
      </c>
      <c r="B7539" s="7" t="str">
        <f>IFERROR(__xludf.DUMMYFUNCTION("SPLIT(A7539,"" "")"),"CC1=C(C)C(C)C(C)(C)C(N(C)C2CCCC(N(C)Cc3ncccc3-c3cccc4ncccc34)C2)C1")</f>
        <v>CC1=C(C)C(C)C(C)(C)C(N(C)C2CCCC(N(C)Cc3ncccc3-c3cccc4ncccc34)C2)C1</v>
      </c>
      <c r="C7539" s="7">
        <f>IFERROR(__xludf.DUMMYFUNCTION("""COMPUTED_VALUE"""),7.778267)</f>
        <v>7.778267</v>
      </c>
      <c r="D7539" s="7">
        <f>IFERROR(__xludf.DUMMYFUNCTION("""COMPUTED_VALUE"""),0.267605633802816)</f>
        <v>0.2676056338</v>
      </c>
    </row>
    <row r="7540">
      <c r="A7540" s="10" t="s">
        <v>8979</v>
      </c>
      <c r="B7540" s="7" t="str">
        <f>IFERROR(__xludf.DUMMYFUNCTION("SPLIT(A7540,"" "")"),"Cc1ccc(C)c(CN(C)C2CC(N(C)Cc3ccccn3)CC(N(Cc3ncccc3C)Cc3ncc(C)c(C)c3C)C2)n1")</f>
        <v>Cc1ccc(C)c(CN(C)C2CC(N(C)Cc3ccccn3)CC(N(Cc3ncccc3C)Cc3ncc(C)c(C)c3C)C2)n1</v>
      </c>
      <c r="C7540" s="7">
        <f>IFERROR(__xludf.DUMMYFUNCTION("""COMPUTED_VALUE"""),7.7782555)</f>
        <v>7.7782555</v>
      </c>
      <c r="D7540" s="7">
        <f>IFERROR(__xludf.DUMMYFUNCTION("""COMPUTED_VALUE"""),0.370967741935483)</f>
        <v>0.3709677419</v>
      </c>
    </row>
    <row r="7541">
      <c r="A7541" s="10" t="s">
        <v>8980</v>
      </c>
      <c r="B7541" s="7" t="str">
        <f>IFERROR(__xludf.DUMMYFUNCTION("SPLIT(A7541,"" "")"),"CC(C)(C1=CC2(C=CN1)C=CC(c1cccc(CN(Cc3ccccn3)Cc3cccc(-c4ccc5c(c4)OCCOCCOCCOCCOCCO5)n3)n1)C(c1cccc(CN(Cc3ccccn3)Cc3ccccn3)n1)C2(C)C)c1ccccn1")</f>
        <v>CC(C)(C1=CC2(C=CN1)C=CC(c1cccc(CN(Cc3ccccn3)Cc3cccc(-c4ccc5c(c4)OCCOCCOCCOCCOCCO5)n3)n1)C(c1cccc(CN(Cc3ccccn3)Cc3ccccn3)n1)C2(C)C)c1ccccn1</v>
      </c>
      <c r="C7541" s="7">
        <f>IFERROR(__xludf.DUMMYFUNCTION("""COMPUTED_VALUE"""),7.7782435)</f>
        <v>7.7782435</v>
      </c>
      <c r="D7541" s="7">
        <f>IFERROR(__xludf.DUMMYFUNCTION("""COMPUTED_VALUE"""),0.344444444444444)</f>
        <v>0.3444444444</v>
      </c>
    </row>
    <row r="7542">
      <c r="A7542" s="10" t="s">
        <v>8981</v>
      </c>
      <c r="B7542" s="7" t="str">
        <f>IFERROR(__xludf.DUMMYFUNCTION("SPLIT(A7542,"" "")"),"Cc1ccc(CN(C)Cc2ncccc2N(Cc2ccccn2)Cc2ncccc2-c2ccc3c(c2)OCCOCCOCCOCCOCCO3)nc1")</f>
        <v>Cc1ccc(CN(C)Cc2ncccc2N(Cc2ccccn2)Cc2ncccc2-c2ccc3c(c2)OCCOCCOCCOCCOCCO3)nc1</v>
      </c>
      <c r="C7542" s="7">
        <f>IFERROR(__xludf.DUMMYFUNCTION("""COMPUTED_VALUE"""),7.7782397)</f>
        <v>7.7782397</v>
      </c>
      <c r="D7542" s="7">
        <f>IFERROR(__xludf.DUMMYFUNCTION("""COMPUTED_VALUE"""),0.35)</f>
        <v>0.35</v>
      </c>
    </row>
    <row r="7543">
      <c r="A7543" s="10" t="s">
        <v>8982</v>
      </c>
      <c r="B7543" s="7" t="str">
        <f>IFERROR(__xludf.DUMMYFUNCTION("SPLIT(A7543,"" "")"),"Cc1cnc(CN(C)C2CCC(N(Cc3ccccn3)Cc3cccnc3CN(C)C(C)(C)c3cccnc3CN(Cc3ccccn3)C(C)(N)N(Cc3ncccc3C)C(C)C)CC2)c(C)c1")</f>
        <v>Cc1cnc(CN(C)C2CCC(N(Cc3ccccn3)Cc3cccnc3CN(C)C(C)(C)c3cccnc3CN(Cc3ccccn3)C(C)(N)N(Cc3ncccc3C)C(C)C)CC2)c(C)c1</v>
      </c>
      <c r="C7543" s="7">
        <f>IFERROR(__xludf.DUMMYFUNCTION("""COMPUTED_VALUE"""),7.778228)</f>
        <v>7.778228</v>
      </c>
      <c r="D7543" s="7">
        <f>IFERROR(__xludf.DUMMYFUNCTION("""COMPUTED_VALUE"""),0.267441860465116)</f>
        <v>0.2674418605</v>
      </c>
    </row>
    <row r="7544">
      <c r="A7544" s="10" t="s">
        <v>8983</v>
      </c>
      <c r="B7544" s="7" t="str">
        <f>IFERROR(__xludf.DUMMYFUNCTION("SPLIT(A7544,"" "")"),"Cc1cc(-c2cccc(NCc3ccccn3)c2)cnc1CN1CCN(C)CCN(C)CC1")</f>
        <v>Cc1cc(-c2cccc(NCc3ccccn3)c2)cnc1CN1CCN(C)CCN(C)CC1</v>
      </c>
      <c r="C7544" s="7">
        <f>IFERROR(__xludf.DUMMYFUNCTION("""COMPUTED_VALUE"""),7.778218)</f>
        <v>7.778218</v>
      </c>
      <c r="D7544" s="7">
        <f>IFERROR(__xludf.DUMMYFUNCTION("""COMPUTED_VALUE"""),0.481481481481481)</f>
        <v>0.4814814815</v>
      </c>
    </row>
    <row r="7545">
      <c r="A7545" s="10" t="s">
        <v>8984</v>
      </c>
      <c r="B7545" s="7" t="str">
        <f>IFERROR(__xludf.DUMMYFUNCTION("SPLIT(A7545,"" "")"),"C=CCNCc1cccc(CN(Cc2ccccn2)C2CCC(N(C)Cc3cccc(-c4cccc(Cl)c4N)n3)CC2)n1")</f>
        <v>C=CCNCc1cccc(CN(Cc2ccccn2)C2CCC(N(C)Cc3cccc(-c4cccc(Cl)c4N)n3)CC2)n1</v>
      </c>
      <c r="C7545" s="7">
        <f>IFERROR(__xludf.DUMMYFUNCTION("""COMPUTED_VALUE"""),7.778216)</f>
        <v>7.778216</v>
      </c>
      <c r="D7545" s="7">
        <f>IFERROR(__xludf.DUMMYFUNCTION("""COMPUTED_VALUE"""),0.352112676056338)</f>
        <v>0.3521126761</v>
      </c>
    </row>
    <row r="7546">
      <c r="A7546" s="10" t="s">
        <v>8985</v>
      </c>
      <c r="B7546" s="7" t="str">
        <f>IFERROR(__xludf.DUMMYFUNCTION("SPLIT(A7546,"" "")"),"C1=CC(Nc2cccc(-c3cccc(C(c4ccccn4)c4ccccn4)n3)n2)NC2=C1OCCOCCOCCOCCOCCO2")</f>
        <v>C1=CC(Nc2cccc(-c3cccc(C(c4ccccn4)c4ccccn4)n3)n2)NC2=C1OCCOCCOCCOCCOCCO2</v>
      </c>
      <c r="C7546" s="7">
        <f>IFERROR(__xludf.DUMMYFUNCTION("""COMPUTED_VALUE"""),7.778209)</f>
        <v>7.778209</v>
      </c>
      <c r="D7546" s="7">
        <f>IFERROR(__xludf.DUMMYFUNCTION("""COMPUTED_VALUE"""),0.260273972602739)</f>
        <v>0.2602739726</v>
      </c>
    </row>
    <row r="7547">
      <c r="A7547" s="10" t="s">
        <v>8986</v>
      </c>
      <c r="B7547" s="7" t="str">
        <f>IFERROR(__xludf.DUMMYFUNCTION("SPLIT(A7547,"" "")"),"Fc1ccc(N(Cc2ccccn2)C2CCCCC2N(Cc2ccccn2)c2ccccc2F)cc1")</f>
        <v>Fc1ccc(N(Cc2ccccn2)C2CCCCC2N(Cc2ccccn2)c2ccccc2F)cc1</v>
      </c>
      <c r="C7547" s="7">
        <f>IFERROR(__xludf.DUMMYFUNCTION("""COMPUTED_VALUE"""),7.778206)</f>
        <v>7.778206</v>
      </c>
      <c r="D7547" s="7">
        <f>IFERROR(__xludf.DUMMYFUNCTION("""COMPUTED_VALUE"""),0.489795918367346)</f>
        <v>0.4897959184</v>
      </c>
    </row>
    <row r="7548">
      <c r="A7548" s="10" t="s">
        <v>8987</v>
      </c>
      <c r="B7548" s="7" t="str">
        <f>IFERROR(__xludf.DUMMYFUNCTION("SPLIT(A7548,"" "")"),"C=CCN(C)Cc1cccc(-c2ccccc2N(C)Cc2cccc(-c3ccc4c(c3)OCCOCCOCCOCCOCCO4)n2)n1")</f>
        <v>C=CCN(C)Cc1cccc(-c2ccccc2N(C)Cc2cccc(-c3ccc4c(c3)OCCOCCOCCOCCOCCO4)n2)n1</v>
      </c>
      <c r="C7548" s="7">
        <f>IFERROR(__xludf.DUMMYFUNCTION("""COMPUTED_VALUE"""),7.7782016)</f>
        <v>7.7782016</v>
      </c>
      <c r="D7548" s="7">
        <f>IFERROR(__xludf.DUMMYFUNCTION("""COMPUTED_VALUE"""),0.308823529411764)</f>
        <v>0.3088235294</v>
      </c>
    </row>
    <row r="7549">
      <c r="A7549" s="10" t="s">
        <v>8988</v>
      </c>
      <c r="B7549" s="7" t="str">
        <f>IFERROR(__xludf.DUMMYFUNCTION("SPLIT(A7549,"" "")"),"CCN(Cc1cccc(C2CC(C)(C)C2)n1)Cc1cccc(C(C)(C)C)n1")</f>
        <v>CCN(Cc1cccc(C2CC(C)(C)C2)n1)Cc1cccc(C(C)(C)C)n1</v>
      </c>
      <c r="C7549" s="7">
        <f>IFERROR(__xludf.DUMMYFUNCTION("""COMPUTED_VALUE"""),7.7781982)</f>
        <v>7.7781982</v>
      </c>
      <c r="D7549" s="7">
        <f>IFERROR(__xludf.DUMMYFUNCTION("""COMPUTED_VALUE"""),0.280701754385964)</f>
        <v>0.2807017544</v>
      </c>
    </row>
    <row r="7550">
      <c r="A7550" s="10" t="s">
        <v>8989</v>
      </c>
      <c r="B7550" s="7" t="str">
        <f>IFERROR(__xludf.DUMMYFUNCTION("SPLIT(A7550,"" "")"),"CN(CCN(C)c1ccc2ncc(CF)cc2c1)Cc1ncccc1-c1cccc2c1OCCOCCOCCOCCOCCO2")</f>
        <v>CN(CCN(C)c1ccc2ncc(CF)cc2c1)Cc1ncccc1-c1cccc2c1OCCOCCOCCOCCOCCO2</v>
      </c>
      <c r="C7550" s="7">
        <f>IFERROR(__xludf.DUMMYFUNCTION("""COMPUTED_VALUE"""),7.778197)</f>
        <v>7.778197</v>
      </c>
      <c r="D7550" s="7">
        <f>IFERROR(__xludf.DUMMYFUNCTION("""COMPUTED_VALUE"""),0.27027027027027)</f>
        <v>0.2702702703</v>
      </c>
    </row>
    <row r="7551">
      <c r="A7551" s="10" t="s">
        <v>8990</v>
      </c>
      <c r="B7551" s="7" t="str">
        <f>IFERROR(__xludf.DUMMYFUNCTION("SPLIT(A7551,"" "")"),"CN(CCN(C)c1ccc2ncccc2c1)Cc1ncccc1-c1ccc2c(c1)OCCOCCOCCOCCOCCO2")</f>
        <v>CN(CCN(C)c1ccc2ncccc2c1)Cc1ncccc1-c1ccc2c(c1)OCCOCCOCCOCCOCCO2</v>
      </c>
      <c r="C7551" s="7">
        <f>IFERROR(__xludf.DUMMYFUNCTION("""COMPUTED_VALUE"""),7.7781944)</f>
        <v>7.7781944</v>
      </c>
      <c r="D7551" s="7">
        <f>IFERROR(__xludf.DUMMYFUNCTION("""COMPUTED_VALUE"""),0.307692307692307)</f>
        <v>0.3076923077</v>
      </c>
    </row>
    <row r="7552">
      <c r="A7552" s="10" t="s">
        <v>8991</v>
      </c>
      <c r="B7552" s="7" t="str">
        <f>IFERROR(__xludf.DUMMYFUNCTION("SPLIT(A7552,"" "")"),"CN(CCN)Cc1cccc(CN(Cc2ccccn2)Cc2ncccc2N)n1")</f>
        <v>CN(CCN)Cc1cccc(CN(Cc2ccccn2)Cc2ncccc2N)n1</v>
      </c>
      <c r="C7552" s="7">
        <f>IFERROR(__xludf.DUMMYFUNCTION("""COMPUTED_VALUE"""),7.778193)</f>
        <v>7.778193</v>
      </c>
      <c r="D7552" s="7">
        <f>IFERROR(__xludf.DUMMYFUNCTION("""COMPUTED_VALUE"""),0.470588235294117)</f>
        <v>0.4705882353</v>
      </c>
    </row>
    <row r="7553">
      <c r="A7553" s="10" t="s">
        <v>8992</v>
      </c>
      <c r="B7553" s="7" t="str">
        <f>IFERROR(__xludf.DUMMYFUNCTION("SPLIT(A7553,"" "")"),"CNC1CC(N(Cc2ncccc2C)Cc2ncccc2C)CC(N(Cc2ncccc2C)Cc2ncc(C)cc2C)C1")</f>
        <v>CNC1CC(N(Cc2ncccc2C)Cc2ncccc2C)CC(N(Cc2ncccc2C)Cc2ncc(C)cc2C)C1</v>
      </c>
      <c r="C7553" s="7">
        <f>IFERROR(__xludf.DUMMYFUNCTION("""COMPUTED_VALUE"""),7.7781816)</f>
        <v>7.7781816</v>
      </c>
      <c r="D7553" s="7">
        <f>IFERROR(__xludf.DUMMYFUNCTION("""COMPUTED_VALUE"""),0.25)</f>
        <v>0.25</v>
      </c>
    </row>
    <row r="7554">
      <c r="A7554" s="10" t="s">
        <v>8993</v>
      </c>
      <c r="B7554" s="7" t="str">
        <f>IFERROR(__xludf.DUMMYFUNCTION("SPLIT(A7554,"" "")"),"Cc1cc(CN(C)C2CCCCC2N(Cc2cc(C)c(C)c(C)n2)Cc2nc(C)c(C)c(C)c2C)nc(C)c1C")</f>
        <v>Cc1cc(CN(C)C2CCCCC2N(Cc2cc(C)c(C)c(C)n2)Cc2nc(C)c(C)c(C)c2C)nc(C)c1C</v>
      </c>
      <c r="C7554" s="7">
        <f>IFERROR(__xludf.DUMMYFUNCTION("""COMPUTED_VALUE"""),7.7781777)</f>
        <v>7.7781777</v>
      </c>
      <c r="D7554" s="7">
        <f>IFERROR(__xludf.DUMMYFUNCTION("""COMPUTED_VALUE"""),0.423076923076923)</f>
        <v>0.4230769231</v>
      </c>
    </row>
    <row r="7555">
      <c r="A7555" s="10" t="s">
        <v>8994</v>
      </c>
      <c r="B7555" s="7" t="str">
        <f>IFERROR(__xludf.DUMMYFUNCTION("SPLIT(A7555,"" "")"),"CNCc1cc(CN(C)Cc2ccc(F)cn2)ccn1")</f>
        <v>CNCc1cc(CN(C)Cc2ccc(F)cn2)ccn1</v>
      </c>
      <c r="C7555" s="7">
        <f>IFERROR(__xludf.DUMMYFUNCTION("""COMPUTED_VALUE"""),7.7781754)</f>
        <v>7.7781754</v>
      </c>
      <c r="D7555" s="7">
        <f>IFERROR(__xludf.DUMMYFUNCTION("""COMPUTED_VALUE"""),0.369565217391304)</f>
        <v>0.3695652174</v>
      </c>
    </row>
    <row r="7556">
      <c r="A7556" s="10" t="s">
        <v>8995</v>
      </c>
      <c r="B7556" s="7" t="str">
        <f>IFERROR(__xludf.DUMMYFUNCTION("SPLIT(A7556,"" "")"),"Cc1ccc(CN(C)C2CCC(N(C)Cc3ccccn3)C(N(Cc3nc(C)c(C)c(C)c3C)Cc3nc(C)c(C)c(C)c3C)C2)nc1")</f>
        <v>Cc1ccc(CN(C)C2CCC(N(C)Cc3ccccn3)C(N(Cc3nc(C)c(C)c(C)c3C)Cc3nc(C)c(C)c(C)c3C)C2)nc1</v>
      </c>
      <c r="C7556" s="7">
        <f>IFERROR(__xludf.DUMMYFUNCTION("""COMPUTED_VALUE"""),7.778171)</f>
        <v>7.778171</v>
      </c>
      <c r="D7556" s="7">
        <f>IFERROR(__xludf.DUMMYFUNCTION("""COMPUTED_VALUE"""),0.47457627118644)</f>
        <v>0.4745762712</v>
      </c>
    </row>
    <row r="7557">
      <c r="A7557" s="10" t="s">
        <v>8996</v>
      </c>
      <c r="B7557" s="7" t="str">
        <f>IFERROR(__xludf.DUMMYFUNCTION("SPLIT(A7557,"" "")"),"Cc1ccc(CN(C)C2CCC(N(C)Cc3ccccn3)CC2N(Cc2nc(C)c(C)c(C)c2C)Cc2nc(C)c(C)c(C)c2C)nc1")</f>
        <v>Cc1ccc(CN(C)C2CCC(N(C)Cc3ccccn3)CC2N(Cc2nc(C)c(C)c(C)c2C)Cc2nc(C)c(C)c(C)c2C)nc1</v>
      </c>
      <c r="C7557" s="7">
        <f>IFERROR(__xludf.DUMMYFUNCTION("""COMPUTED_VALUE"""),7.778171)</f>
        <v>7.778171</v>
      </c>
      <c r="D7557" s="7">
        <f>IFERROR(__xludf.DUMMYFUNCTION("""COMPUTED_VALUE"""),0.47457627118644)</f>
        <v>0.4745762712</v>
      </c>
    </row>
    <row r="7558">
      <c r="A7558" s="10" t="s">
        <v>8997</v>
      </c>
      <c r="B7558" s="7" t="str">
        <f>IFERROR(__xludf.DUMMYFUNCTION("SPLIT(A7558,"" "")"),"Cc1cc(C)c(CN(Cc2ccccn2)C2CC(N(C)Cc3ccccn3)CC(N(C)Cc3ncc(C)c(C)c3C)C2)nc1C")</f>
        <v>Cc1cc(C)c(CN(Cc2ccccn2)C2CC(N(C)Cc3ccccn3)CC(N(C)Cc3ncc(C)c(C)c3C)C2)nc1C</v>
      </c>
      <c r="C7558" s="7">
        <f>IFERROR(__xludf.DUMMYFUNCTION("""COMPUTED_VALUE"""),7.778166)</f>
        <v>7.778166</v>
      </c>
      <c r="D7558" s="7">
        <f>IFERROR(__xludf.DUMMYFUNCTION("""COMPUTED_VALUE"""),0.383333333333333)</f>
        <v>0.3833333333</v>
      </c>
    </row>
    <row r="7559">
      <c r="A7559" s="10" t="s">
        <v>8998</v>
      </c>
      <c r="B7559" s="7" t="str">
        <f>IFERROR(__xludf.DUMMYFUNCTION("SPLIT(A7559,"" "")"),"Cc1cncc(CN(C)C2CCC(N(C)Cc3ncccc3-c3ccccn3)CC2)c1C")</f>
        <v>Cc1cncc(CN(C)C2CCC(N(C)Cc3ncccc3-c3ccccn3)CC2)c1C</v>
      </c>
      <c r="C7559" s="7">
        <f>IFERROR(__xludf.DUMMYFUNCTION("""COMPUTED_VALUE"""),7.7781577)</f>
        <v>7.7781577</v>
      </c>
      <c r="D7559" s="7">
        <f>IFERROR(__xludf.DUMMYFUNCTION("""COMPUTED_VALUE"""),0.322033898305084)</f>
        <v>0.3220338983</v>
      </c>
    </row>
    <row r="7560">
      <c r="A7560" s="10" t="s">
        <v>8999</v>
      </c>
      <c r="B7560" s="7" t="str">
        <f>IFERROR(__xludf.DUMMYFUNCTION("SPLIT(A7560,"" "")"),"CCNCc1cccc(CN(Cc2ccccn2)C2CCC(N(C)Cc3cccc(-c4ccc(Cl)c(N)c4)n3)CC2)n1")</f>
        <v>CCNCc1cccc(CN(Cc2ccccn2)C2CCC(N(C)Cc3cccc(-c4ccc(Cl)c(N)c4)n3)CC2)n1</v>
      </c>
      <c r="C7560" s="7">
        <f>IFERROR(__xludf.DUMMYFUNCTION("""COMPUTED_VALUE"""),7.778144)</f>
        <v>7.778144</v>
      </c>
      <c r="D7560" s="7">
        <f>IFERROR(__xludf.DUMMYFUNCTION("""COMPUTED_VALUE"""),0.373333333333333)</f>
        <v>0.3733333333</v>
      </c>
    </row>
    <row r="7561">
      <c r="A7561" s="10" t="s">
        <v>9000</v>
      </c>
      <c r="B7561" s="7" t="str">
        <f>IFERROR(__xludf.DUMMYFUNCTION("SPLIT(A7561,"" "")"),"CN(Cc1ccccn1)C1=CC(C(C)(C)C)C=CN1")</f>
        <v>CN(Cc1ccccn1)C1=CC(C(C)(C)C)C=CN1</v>
      </c>
      <c r="C7561" s="7">
        <f>IFERROR(__xludf.DUMMYFUNCTION("""COMPUTED_VALUE"""),7.7781405)</f>
        <v>7.7781405</v>
      </c>
      <c r="D7561" s="7">
        <f>IFERROR(__xludf.DUMMYFUNCTION("""COMPUTED_VALUE"""),0.4375)</f>
        <v>0.4375</v>
      </c>
    </row>
    <row r="7562">
      <c r="A7562" s="10" t="s">
        <v>9001</v>
      </c>
      <c r="B7562" s="7" t="str">
        <f>IFERROR(__xludf.DUMMYFUNCTION("SPLIT(A7562,"" "")"),"CC(C)(C)c1ncccc1CN(CCSCc1ccccn1)Cc1ccccn1")</f>
        <v>CC(C)(C)c1ncccc1CN(CCSCc1ccccn1)Cc1ccccn1</v>
      </c>
      <c r="C7562" s="7">
        <f>IFERROR(__xludf.DUMMYFUNCTION("""COMPUTED_VALUE"""),7.7781343)</f>
        <v>7.7781343</v>
      </c>
      <c r="D7562" s="7">
        <f>IFERROR(__xludf.DUMMYFUNCTION("""COMPUTED_VALUE"""),0.489361702127659)</f>
        <v>0.4893617021</v>
      </c>
    </row>
    <row r="7563">
      <c r="A7563" s="10" t="s">
        <v>9002</v>
      </c>
      <c r="B7563" s="7" t="str">
        <f>IFERROR(__xludf.DUMMYFUNCTION("SPLIT(A7563,"" "")"),"CCCN(Cc1ccccn1)Cc1ncccc1CN(Cc1ccccn1)Cc1ncccc1C")</f>
        <v>CCCN(Cc1ccccn1)Cc1ncccc1CN(Cc1ccccn1)Cc1ncccc1C</v>
      </c>
      <c r="C7563" s="7">
        <f>IFERROR(__xludf.DUMMYFUNCTION("""COMPUTED_VALUE"""),7.7781296)</f>
        <v>7.7781296</v>
      </c>
      <c r="D7563" s="7">
        <f>IFERROR(__xludf.DUMMYFUNCTION("""COMPUTED_VALUE"""),0.48780487804878)</f>
        <v>0.487804878</v>
      </c>
    </row>
    <row r="7564">
      <c r="A7564" s="10" t="s">
        <v>9003</v>
      </c>
      <c r="B7564" s="7" t="str">
        <f>IFERROR(__xludf.DUMMYFUNCTION("SPLIT(A7564,"" "")"),"CC1=CC(C)C(C)(c2cc(CN(Cc3ccccn3)Cc3ccccn3)ccn2)C(C)(C)C1")</f>
        <v>CC1=CC(C)C(C)(c2cc(CN(Cc3ccccn3)Cc3ccccn3)ccn2)C(C)(C)C1</v>
      </c>
      <c r="C7564" s="7">
        <f>IFERROR(__xludf.DUMMYFUNCTION("""COMPUTED_VALUE"""),7.778125)</f>
        <v>7.778125</v>
      </c>
      <c r="D7564" s="7">
        <f>IFERROR(__xludf.DUMMYFUNCTION("""COMPUTED_VALUE"""),0.408163265306122)</f>
        <v>0.4081632653</v>
      </c>
    </row>
    <row r="7565">
      <c r="A7565" s="10" t="s">
        <v>9004</v>
      </c>
      <c r="B7565" s="7" t="str">
        <f>IFERROR(__xludf.DUMMYFUNCTION("SPLIT(A7565,"" "")"),"Cc1cccc(CN(Cc2ccccn2)C2CCCC(N(C)Cc3cc(-c4ccccc4)ccn3)C2)n1")</f>
        <v>Cc1cccc(CN(Cc2ccccn2)C2CCCC(N(C)Cc3cc(-c4ccccc4)ccn3)C2)n1</v>
      </c>
      <c r="C7565" s="7">
        <f>IFERROR(__xludf.DUMMYFUNCTION("""COMPUTED_VALUE"""),7.778118)</f>
        <v>7.778118</v>
      </c>
      <c r="D7565" s="7">
        <f>IFERROR(__xludf.DUMMYFUNCTION("""COMPUTED_VALUE"""),0.448275862068965)</f>
        <v>0.4482758621</v>
      </c>
    </row>
    <row r="7566">
      <c r="A7566" s="10" t="s">
        <v>9005</v>
      </c>
      <c r="B7566" s="7" t="str">
        <f>IFERROR(__xludf.DUMMYFUNCTION("SPLIT(A7566,"" "")"),"CC(C)(C)CN(Cc1cccc(C(C)(C)C)n1)Cc1cccc(C(C)(C)C)n1")</f>
        <v>CC(C)(C)CN(Cc1cccc(C(C)(C)C)n1)Cc1cccc(C(C)(C)C)n1</v>
      </c>
      <c r="C7566" s="7">
        <f>IFERROR(__xludf.DUMMYFUNCTION("""COMPUTED_VALUE"""),7.7781153)</f>
        <v>7.7781153</v>
      </c>
      <c r="D7566" s="7">
        <f>IFERROR(__xludf.DUMMYFUNCTION("""COMPUTED_VALUE"""),0.487179487179487)</f>
        <v>0.4871794872</v>
      </c>
    </row>
    <row r="7567">
      <c r="A7567" s="10" t="s">
        <v>9006</v>
      </c>
      <c r="B7567" s="7" t="str">
        <f>IFERROR(__xludf.DUMMYFUNCTION("SPLIT(A7567,"" "")"),"Cc1cc(N)cc(-c2cc(CN(C)C3CCCC(N(C)Cc4ccccn4)C3)ccn2)c1")</f>
        <v>Cc1cc(N)cc(-c2cc(CN(C)C3CCCC(N(C)Cc4ccccn4)C3)ccn2)c1</v>
      </c>
      <c r="C7567" s="7">
        <f>IFERROR(__xludf.DUMMYFUNCTION("""COMPUTED_VALUE"""),7.778108)</f>
        <v>7.778108</v>
      </c>
      <c r="D7567" s="7">
        <f>IFERROR(__xludf.DUMMYFUNCTION("""COMPUTED_VALUE"""),0.43103448275862)</f>
        <v>0.4310344828</v>
      </c>
    </row>
    <row r="7568">
      <c r="A7568" s="10" t="s">
        <v>9007</v>
      </c>
      <c r="B7568" s="7" t="str">
        <f>IFERROR(__xludf.DUMMYFUNCTION("SPLIT(A7568,"" "")"),"Cc1cc(CN(C)C2CCCCC2N(Cc2ccccn2)Cc2cccc(C3=CCC=CN3)n2)nc(C)c1C")</f>
        <v>Cc1cc(CN(C)C2CCCCC2N(Cc2ccccn2)Cc2cccc(C3=CCC=CN3)n2)nc(C)c1C</v>
      </c>
      <c r="C7568" s="7">
        <f>IFERROR(__xludf.DUMMYFUNCTION("""COMPUTED_VALUE"""),7.7781053)</f>
        <v>7.7781053</v>
      </c>
      <c r="D7568" s="7">
        <f>IFERROR(__xludf.DUMMYFUNCTION("""COMPUTED_VALUE"""),0.461538461538461)</f>
        <v>0.4615384615</v>
      </c>
    </row>
    <row r="7569">
      <c r="A7569" s="10" t="s">
        <v>9008</v>
      </c>
      <c r="B7569" s="7" t="str">
        <f>IFERROR(__xludf.DUMMYFUNCTION("SPLIT(A7569,"" "")"),"CNCC1=CC(N(C)Cc2nccc(C)c2C)C=CN1")</f>
        <v>CNCC1=CC(N(C)Cc2nccc(C)c2C)C=CN1</v>
      </c>
      <c r="C7569" s="7">
        <f>IFERROR(__xludf.DUMMYFUNCTION("""COMPUTED_VALUE"""),7.7780924)</f>
        <v>7.7780924</v>
      </c>
      <c r="D7569" s="7">
        <f>IFERROR(__xludf.DUMMYFUNCTION("""COMPUTED_VALUE"""),0.3)</f>
        <v>0.3</v>
      </c>
    </row>
    <row r="7570">
      <c r="A7570" s="10" t="s">
        <v>9009</v>
      </c>
      <c r="B7570" s="7" t="str">
        <f>IFERROR(__xludf.DUMMYFUNCTION("SPLIT(A7570,"" "")"),"CC1=C(N(C)Cc2ccccn2)CC(C)C(C)C1")</f>
        <v>CC1=C(N(C)Cc2ccccn2)CC(C)C(C)C1</v>
      </c>
      <c r="C7570" s="7">
        <f>IFERROR(__xludf.DUMMYFUNCTION("""COMPUTED_VALUE"""),7.7780857)</f>
        <v>7.7780857</v>
      </c>
      <c r="D7570" s="7">
        <f>IFERROR(__xludf.DUMMYFUNCTION("""COMPUTED_VALUE"""),0.488372093023255)</f>
        <v>0.488372093</v>
      </c>
    </row>
    <row r="7571">
      <c r="A7571" s="10" t="s">
        <v>9010</v>
      </c>
      <c r="B7571" s="7" t="str">
        <f>IFERROR(__xludf.DUMMYFUNCTION("SPLIT(A7571,"" "")"),"Cc1ccncc1C")</f>
        <v>Cc1ccncc1C</v>
      </c>
      <c r="C7571" s="7">
        <f>IFERROR(__xludf.DUMMYFUNCTION("""COMPUTED_VALUE"""),7.778082)</f>
        <v>7.778082</v>
      </c>
      <c r="D7571" s="7">
        <f>IFERROR(__xludf.DUMMYFUNCTION("""COMPUTED_VALUE"""),0.227272727272727)</f>
        <v>0.2272727273</v>
      </c>
    </row>
    <row r="7572">
      <c r="A7572" s="10" t="s">
        <v>9011</v>
      </c>
      <c r="B7572" s="7" t="str">
        <f>IFERROR(__xludf.DUMMYFUNCTION("SPLIT(A7572,"" "")"),"CNCc1cc(CN(Cc2ncccc2C)C(C)C)ccn1")</f>
        <v>CNCc1cc(CN(Cc2ncccc2C)C(C)C)ccn1</v>
      </c>
      <c r="C7572" s="7">
        <f>IFERROR(__xludf.DUMMYFUNCTION("""COMPUTED_VALUE"""),7.7780685)</f>
        <v>7.7780685</v>
      </c>
      <c r="D7572" s="7">
        <f>IFERROR(__xludf.DUMMYFUNCTION("""COMPUTED_VALUE"""),0.387755102040816)</f>
        <v>0.387755102</v>
      </c>
    </row>
    <row r="7573">
      <c r="A7573" s="10" t="s">
        <v>9012</v>
      </c>
      <c r="B7573" s="7" t="str">
        <f>IFERROR(__xludf.DUMMYFUNCTION("SPLIT(A7573,"" "")"),"C=CCN(C)CCN(Cc1cccc(CN(Cc2ccccn2)Cc2cccc(N(C)Cc3cccc(C4CCC4C)n3)n2)n1)Cc1cccc(C2CCC2(C)C)n1")</f>
        <v>C=CCN(C)CCN(Cc1cccc(CN(Cc2ccccn2)Cc2cccc(N(C)Cc3cccc(C4CCC4C)n3)n2)n1)Cc1cccc(C2CCC2(C)C)n1</v>
      </c>
      <c r="C7573" s="7">
        <f>IFERROR(__xludf.DUMMYFUNCTION("""COMPUTED_VALUE"""),7.7780633)</f>
        <v>7.7780633</v>
      </c>
      <c r="D7573" s="7">
        <f>IFERROR(__xludf.DUMMYFUNCTION("""COMPUTED_VALUE"""),0.358974358974359)</f>
        <v>0.358974359</v>
      </c>
    </row>
    <row r="7574">
      <c r="A7574" s="10" t="s">
        <v>9013</v>
      </c>
      <c r="B7574" s="7" t="str">
        <f>IFERROR(__xludf.DUMMYFUNCTION("SPLIT(A7574,"" "")"),"CCNCc1ccccc1CN=Cc1ccccn1")</f>
        <v>CCNCc1ccccc1CN=Cc1ccccn1</v>
      </c>
      <c r="C7574" s="7">
        <f>IFERROR(__xludf.DUMMYFUNCTION("""COMPUTED_VALUE"""),7.7780633)</f>
        <v>7.7780633</v>
      </c>
      <c r="D7574" s="7">
        <f>IFERROR(__xludf.DUMMYFUNCTION("""COMPUTED_VALUE"""),0.36734693877551)</f>
        <v>0.3673469388</v>
      </c>
    </row>
    <row r="7575">
      <c r="A7575" s="10" t="s">
        <v>9014</v>
      </c>
      <c r="B7575" s="7" t="str">
        <f>IFERROR(__xludf.DUMMYFUNCTION("SPLIT(A7575,"" "")"),"Cc1cccc(CN(Cc2ncccc2C)C2CCC(N(C)Cc3ncccc3C)CC2N(Cc2ncccc2C)Cc2ncccc2C)n1")</f>
        <v>Cc1cccc(CN(Cc2ncccc2C)C2CCC(N(C)Cc3ncccc3C)CC2N(Cc2ncccc2C)Cc2ncccc2C)n1</v>
      </c>
      <c r="C7575" s="7">
        <f>IFERROR(__xludf.DUMMYFUNCTION("""COMPUTED_VALUE"""),7.77806)</f>
        <v>7.77806</v>
      </c>
      <c r="D7575" s="7">
        <f>IFERROR(__xludf.DUMMYFUNCTION("""COMPUTED_VALUE"""),0.454545454545454)</f>
        <v>0.4545454545</v>
      </c>
    </row>
    <row r="7576">
      <c r="A7576" s="10" t="s">
        <v>9015</v>
      </c>
      <c r="B7576" s="7" t="str">
        <f>IFERROR(__xludf.DUMMYFUNCTION("SPLIT(A7576,"" "")"),"CC(C)C(C)(c1cccnc1)c1ccccn1")</f>
        <v>CC(C)C(C)(c1cccnc1)c1ccccn1</v>
      </c>
      <c r="C7576" s="7">
        <f>IFERROR(__xludf.DUMMYFUNCTION("""COMPUTED_VALUE"""),7.7780504)</f>
        <v>7.7780504</v>
      </c>
      <c r="D7576" s="7">
        <f>IFERROR(__xludf.DUMMYFUNCTION("""COMPUTED_VALUE"""),0.369565217391304)</f>
        <v>0.3695652174</v>
      </c>
    </row>
    <row r="7577">
      <c r="A7577" s="10" t="s">
        <v>9016</v>
      </c>
      <c r="B7577" s="7" t="str">
        <f>IFERROR(__xludf.DUMMYFUNCTION("SPLIT(A7577,"" "")"),"Cc1cccc(CN(C)CC2C=CNC=C2N(C)C)n1")</f>
        <v>Cc1cccc(CN(C)CC2C=CNC=C2N(C)C)n1</v>
      </c>
      <c r="C7577" s="7">
        <f>IFERROR(__xludf.DUMMYFUNCTION("""COMPUTED_VALUE"""),7.778043)</f>
        <v>7.778043</v>
      </c>
      <c r="D7577" s="7">
        <f>IFERROR(__xludf.DUMMYFUNCTION("""COMPUTED_VALUE"""),0.5)</f>
        <v>0.5</v>
      </c>
    </row>
    <row r="7578">
      <c r="A7578" s="10" t="s">
        <v>9017</v>
      </c>
      <c r="B7578" s="7" t="str">
        <f>IFERROR(__xludf.DUMMYFUNCTION("SPLIT(A7578,"" "")"),"CCC1=NC(C2=CC(c3cccc(CN(Cc4ccccn4)Cc4ccccn4)n3)C(c3cccc(C4CCC4(C)C)n3)C(C)C2C)CO1")</f>
        <v>CCC1=NC(C2=CC(c3cccc(CN(Cc4ccccn4)Cc4ccccn4)n3)C(c3cccc(C4CCC4(C)C)n3)C(C)C2C)CO1</v>
      </c>
      <c r="C7578" s="7">
        <f>IFERROR(__xludf.DUMMYFUNCTION("""COMPUTED_VALUE"""),7.778015)</f>
        <v>7.778015</v>
      </c>
      <c r="D7578" s="7">
        <f>IFERROR(__xludf.DUMMYFUNCTION("""COMPUTED_VALUE"""),0.294117647058823)</f>
        <v>0.2941176471</v>
      </c>
    </row>
    <row r="7579">
      <c r="A7579" s="10" t="s">
        <v>9018</v>
      </c>
      <c r="B7579" s="7" t="str">
        <f>IFERROR(__xludf.DUMMYFUNCTION("SPLIT(A7579,"" "")"),"COC(=O)C(C)NCc1ncccc1CN(C)Cc1ccccn1")</f>
        <v>COC(=O)C(C)NCc1ncccc1CN(C)Cc1ccccn1</v>
      </c>
      <c r="C7579" s="7">
        <f>IFERROR(__xludf.DUMMYFUNCTION("""COMPUTED_VALUE"""),7.7780085)</f>
        <v>7.7780085</v>
      </c>
      <c r="D7579" s="7">
        <f>IFERROR(__xludf.DUMMYFUNCTION("""COMPUTED_VALUE"""),0.392857142857142)</f>
        <v>0.3928571429</v>
      </c>
    </row>
    <row r="7580">
      <c r="A7580" s="10" t="s">
        <v>9019</v>
      </c>
      <c r="B7580" s="7" t="str">
        <f>IFERROR(__xludf.DUMMYFUNCTION("SPLIT(A7580,"" "")"),"CNCc1cccc(CN(Cc2ncccc2C)C(C)C)n1")</f>
        <v>CNCc1cccc(CN(Cc2ncccc2C)C(C)C)n1</v>
      </c>
      <c r="C7580" s="7">
        <f>IFERROR(__xludf.DUMMYFUNCTION("""COMPUTED_VALUE"""),7.7780037)</f>
        <v>7.7780037</v>
      </c>
      <c r="D7580" s="7">
        <f>IFERROR(__xludf.DUMMYFUNCTION("""COMPUTED_VALUE"""),0.425531914893617)</f>
        <v>0.4255319149</v>
      </c>
    </row>
    <row r="7581">
      <c r="A7581" s="10" t="s">
        <v>9020</v>
      </c>
      <c r="B7581" s="7" t="str">
        <f>IFERROR(__xludf.DUMMYFUNCTION("SPLIT(A7581,"" "")"),"Cc1nc(CN(C)CCNCc2ccccn2)c(C)c(C)c1C")</f>
        <v>Cc1nc(CN(C)CCNCc2ccccn2)c(C)c(C)c1C</v>
      </c>
      <c r="C7581" s="7">
        <f>IFERROR(__xludf.DUMMYFUNCTION("""COMPUTED_VALUE"""),7.7780023)</f>
        <v>7.7780023</v>
      </c>
      <c r="D7581" s="7">
        <f>IFERROR(__xludf.DUMMYFUNCTION("""COMPUTED_VALUE"""),0.488372093023255)</f>
        <v>0.488372093</v>
      </c>
    </row>
    <row r="7582">
      <c r="A7582" s="10" t="s">
        <v>9021</v>
      </c>
      <c r="B7582" s="7" t="str">
        <f>IFERROR(__xludf.DUMMYFUNCTION("SPLIT(A7582,"" "")"),"Cc1cccc(CN(C)C2C=CNC(CN(C)C)=C2)n1")</f>
        <v>Cc1cccc(CN(C)C2C=CNC(CN(C)C)=C2)n1</v>
      </c>
      <c r="C7582" s="7">
        <f>IFERROR(__xludf.DUMMYFUNCTION("""COMPUTED_VALUE"""),7.7780013)</f>
        <v>7.7780013</v>
      </c>
      <c r="D7582" s="7">
        <f>IFERROR(__xludf.DUMMYFUNCTION("""COMPUTED_VALUE"""),0.479166666666666)</f>
        <v>0.4791666667</v>
      </c>
    </row>
    <row r="7583">
      <c r="A7583" s="10" t="s">
        <v>9022</v>
      </c>
      <c r="B7583" s="7" t="str">
        <f>IFERROR(__xludf.DUMMYFUNCTION("SPLIT(A7583,"" "")"),"Cc1ccc(CN(C)C2CC(N(C)Cc3cc(C)ccn3)CC(N(Cc3cc(C)ccn3)Cc3nc(C)c(C)c(C)c3C)C2)nc1")</f>
        <v>Cc1ccc(CN(C)C2CC(N(C)Cc3cc(C)ccn3)CC(N(Cc3cc(C)ccn3)Cc3nc(C)c(C)c(C)c3C)C2)nc1</v>
      </c>
      <c r="C7583" s="7">
        <f>IFERROR(__xludf.DUMMYFUNCTION("""COMPUTED_VALUE"""),7.777987)</f>
        <v>7.777987</v>
      </c>
      <c r="D7583" s="7">
        <f>IFERROR(__xludf.DUMMYFUNCTION("""COMPUTED_VALUE"""),0.406779661016949)</f>
        <v>0.406779661</v>
      </c>
    </row>
    <row r="7584">
      <c r="A7584" s="10" t="s">
        <v>9023</v>
      </c>
      <c r="B7584" s="7" t="str">
        <f>IFERROR(__xludf.DUMMYFUNCTION("SPLIT(A7584,"" "")"),"C=CCN(C)Cc1cccc(-c2ccc(N(C)Cc3cccc(-c4ccc5c(c4)OCCOCCOCCOCCOCCO5)n3)cc2)n1")</f>
        <v>C=CCN(C)Cc1cccc(-c2ccc(N(C)Cc3cccc(-c4ccc5c(c4)OCCOCCOCCOCCOCCO5)n3)cc2)n1</v>
      </c>
      <c r="C7584" s="7">
        <f>IFERROR(__xludf.DUMMYFUNCTION("""COMPUTED_VALUE"""),7.777976)</f>
        <v>7.777976</v>
      </c>
      <c r="D7584" s="7">
        <f>IFERROR(__xludf.DUMMYFUNCTION("""COMPUTED_VALUE"""),0.307692307692307)</f>
        <v>0.3076923077</v>
      </c>
    </row>
    <row r="7585">
      <c r="A7585" s="10" t="s">
        <v>9024</v>
      </c>
      <c r="B7585" s="7" t="str">
        <f>IFERROR(__xludf.DUMMYFUNCTION("SPLIT(A7585,"" "")"),"CNC1CC(N(C)Cc2cc(C)ccn2)CC(N(Cc2nc(C)c(C)cc2C)Cc2nc(C)c(C)c(C)c2C)C1")</f>
        <v>CNC1CC(N(C)Cc2cc(C)ccn2)CC(N(Cc2nc(C)c(C)cc2C)Cc2nc(C)c(C)c(C)c2C)C1</v>
      </c>
      <c r="C7585" s="7">
        <f>IFERROR(__xludf.DUMMYFUNCTION("""COMPUTED_VALUE"""),7.777976)</f>
        <v>7.777976</v>
      </c>
      <c r="D7585" s="7">
        <f>IFERROR(__xludf.DUMMYFUNCTION("""COMPUTED_VALUE"""),0.264705882352941)</f>
        <v>0.2647058824</v>
      </c>
    </row>
    <row r="7586">
      <c r="A7586" s="10" t="s">
        <v>9025</v>
      </c>
      <c r="B7586" s="7" t="str">
        <f>IFERROR(__xludf.DUMMYFUNCTION("SPLIT(A7586,"" "")"),"Cc1ccc(C)c(CNCCN(C)Cc2nc(C)ccc2C)n1")</f>
        <v>Cc1ccc(C)c(CNCCN(C)Cc2nc(C)ccc2C)n1</v>
      </c>
      <c r="C7586" s="7">
        <f>IFERROR(__xludf.DUMMYFUNCTION("""COMPUTED_VALUE"""),7.7779746)</f>
        <v>7.7779746</v>
      </c>
      <c r="D7586" s="7">
        <f>IFERROR(__xludf.DUMMYFUNCTION("""COMPUTED_VALUE"""),0.38095238095238)</f>
        <v>0.380952381</v>
      </c>
    </row>
    <row r="7587">
      <c r="A7587" s="10" t="s">
        <v>9026</v>
      </c>
      <c r="B7587" s="7" t="str">
        <f>IFERROR(__xludf.DUMMYFUNCTION("SPLIT(A7587,"" "")"),"CCC1=NC(C2=NC(C)C(C)O2)CO1")</f>
        <v>CCC1=NC(C2=NC(C)C(C)O2)CO1</v>
      </c>
      <c r="C7587" s="7">
        <f>IFERROR(__xludf.DUMMYFUNCTION("""COMPUTED_VALUE"""),7.777971)</f>
        <v>7.777971</v>
      </c>
      <c r="D7587" s="7">
        <f>IFERROR(__xludf.DUMMYFUNCTION("""COMPUTED_VALUE"""),0.129629629629629)</f>
        <v>0.1296296296</v>
      </c>
    </row>
    <row r="7588">
      <c r="A7588" s="10" t="s">
        <v>9027</v>
      </c>
      <c r="B7588" s="7" t="str">
        <f>IFERROR(__xludf.DUMMYFUNCTION("SPLIT(A7588,"" "")"),"CCOC(=O)C1CN(C)C(CN(Cc2ccccn2)Cc2ccccn2)C(c2ccccn2)C1c1ccccn1")</f>
        <v>CCOC(=O)C1CN(C)C(CN(Cc2ccccn2)Cc2ccccn2)C(c2ccccn2)C1c1ccccn1</v>
      </c>
      <c r="C7588" s="7">
        <f>IFERROR(__xludf.DUMMYFUNCTION("""COMPUTED_VALUE"""),7.777966)</f>
        <v>7.777966</v>
      </c>
      <c r="D7588" s="7">
        <f>IFERROR(__xludf.DUMMYFUNCTION("""COMPUTED_VALUE"""),0.351851851851851)</f>
        <v>0.3518518519</v>
      </c>
    </row>
    <row r="7589">
      <c r="A7589" s="10" t="s">
        <v>9028</v>
      </c>
      <c r="B7589" s="7" t="str">
        <f>IFERROR(__xludf.DUMMYFUNCTION("SPLIT(A7589,"" "")"),"Cc1cccnc1CN(C)CCN(C)Cc1nccc(C)c1C")</f>
        <v>Cc1cccnc1CN(C)CCN(C)Cc1nccc(C)c1C</v>
      </c>
      <c r="C7589" s="7">
        <f>IFERROR(__xludf.DUMMYFUNCTION("""COMPUTED_VALUE"""),7.777965)</f>
        <v>7.777965</v>
      </c>
      <c r="D7589" s="7">
        <f>IFERROR(__xludf.DUMMYFUNCTION("""COMPUTED_VALUE"""),0.41860465116279)</f>
        <v>0.4186046512</v>
      </c>
    </row>
    <row r="7590">
      <c r="A7590" s="10" t="s">
        <v>9029</v>
      </c>
      <c r="B7590" s="7" t="str">
        <f>IFERROR(__xludf.DUMMYFUNCTION("SPLIT(A7590,"" "")"),"CNCc1ncccc1CN(Cc1ncccc1C)C(C)C")</f>
        <v>CNCc1ncccc1CN(Cc1ncccc1C)C(C)C</v>
      </c>
      <c r="C7590" s="7">
        <f>IFERROR(__xludf.DUMMYFUNCTION("""COMPUTED_VALUE"""),7.777962)</f>
        <v>7.777962</v>
      </c>
      <c r="D7590" s="7">
        <f>IFERROR(__xludf.DUMMYFUNCTION("""COMPUTED_VALUE"""),0.382978723404255)</f>
        <v>0.3829787234</v>
      </c>
    </row>
    <row r="7591">
      <c r="A7591" s="10" t="s">
        <v>9030</v>
      </c>
      <c r="B7591" s="7" t="str">
        <f>IFERROR(__xludf.DUMMYFUNCTION("SPLIT(A7591,"" "")"),"Cc1cnc(CN(C)CCN(C)Cc2cccnc2C)c(C)c1")</f>
        <v>Cc1cnc(CN(C)CCN(C)Cc2cccnc2C)c(C)c1</v>
      </c>
      <c r="C7591" s="7">
        <f>IFERROR(__xludf.DUMMYFUNCTION("""COMPUTED_VALUE"""),7.7779593)</f>
        <v>7.7779593</v>
      </c>
      <c r="D7591" s="7">
        <f>IFERROR(__xludf.DUMMYFUNCTION("""COMPUTED_VALUE"""),0.456521739130434)</f>
        <v>0.4565217391</v>
      </c>
    </row>
    <row r="7592">
      <c r="A7592" s="10" t="s">
        <v>9031</v>
      </c>
      <c r="B7592" s="7" t="str">
        <f>IFERROR(__xludf.DUMMYFUNCTION("SPLIT(A7592,"" "")"),"CC(C)C(C)c1cccc(C(C)(C)c2cccc(C3CCC3(C)C)n2)n1")</f>
        <v>CC(C)C(C)c1cccc(C(C)(C)c2cccc(C3CCC3(C)C)n2)n1</v>
      </c>
      <c r="C7592" s="7">
        <f>IFERROR(__xludf.DUMMYFUNCTION("""COMPUTED_VALUE"""),7.777958)</f>
        <v>7.777958</v>
      </c>
      <c r="D7592" s="7">
        <f>IFERROR(__xludf.DUMMYFUNCTION("""COMPUTED_VALUE"""),0.218181818181818)</f>
        <v>0.2181818182</v>
      </c>
    </row>
    <row r="7593">
      <c r="A7593" s="10" t="s">
        <v>9032</v>
      </c>
      <c r="B7593" s="7" t="str">
        <f>IFERROR(__xludf.DUMMYFUNCTION("SPLIT(A7593,"" "")"),"CCOC(=O)C(=O)C(=O)C(C)NCc1cccc(CNCc2cccc(C(C)C(C)C)n2)n1")</f>
        <v>CCOC(=O)C(=O)C(=O)C(C)NCc1cccc(CNCc2cccc(C(C)C(C)C)n2)n1</v>
      </c>
      <c r="C7593" s="7">
        <f>IFERROR(__xludf.DUMMYFUNCTION("""COMPUTED_VALUE"""),7.777958)</f>
        <v>7.777958</v>
      </c>
      <c r="D7593" s="7">
        <f>IFERROR(__xludf.DUMMYFUNCTION("""COMPUTED_VALUE"""),0.220338983050847)</f>
        <v>0.2203389831</v>
      </c>
    </row>
    <row r="7594">
      <c r="A7594" s="10" t="s">
        <v>9033</v>
      </c>
      <c r="B7594" s="7" t="str">
        <f>IFERROR(__xludf.DUMMYFUNCTION("SPLIT(A7594,"" "")"),"Cc1cccc(-c2cccc(NCc3cccc(-c4ccc5c(c4)OCCOCCOCCOCCOCCO5)n3)c2)n1")</f>
        <v>Cc1cccc(-c2cccc(NCc3cccc(-c4ccc5c(c4)OCCOCCOCCOCCOCCO5)n3)c2)n1</v>
      </c>
      <c r="C7594" s="7">
        <f>IFERROR(__xludf.DUMMYFUNCTION("""COMPUTED_VALUE"""),7.7779546)</f>
        <v>7.7779546</v>
      </c>
      <c r="D7594" s="7">
        <f>IFERROR(__xludf.DUMMYFUNCTION("""COMPUTED_VALUE"""),0.328571428571428)</f>
        <v>0.3285714286</v>
      </c>
    </row>
    <row r="7595">
      <c r="A7595" s="10" t="s">
        <v>9034</v>
      </c>
      <c r="B7595" s="7" t="str">
        <f>IFERROR(__xludf.DUMMYFUNCTION("SPLIT(A7595,"" "")"),"CN(CCN(C)c1ccc2ncc(CF)cc2c1)Cc1cccc(-c2ccc3c(c2)OCCOCCOCCOCCOCCO3)n1")</f>
        <v>CN(CCN(C)c1ccc2ncc(CF)cc2c1)Cc1cccc(-c2ccc3c(c2)OCCOCCOCCOCCOCCO3)n1</v>
      </c>
      <c r="C7595" s="7">
        <f>IFERROR(__xludf.DUMMYFUNCTION("""COMPUTED_VALUE"""),7.7779536)</f>
        <v>7.7779536</v>
      </c>
      <c r="D7595" s="7">
        <f>IFERROR(__xludf.DUMMYFUNCTION("""COMPUTED_VALUE"""),0.304878048780487)</f>
        <v>0.3048780488</v>
      </c>
    </row>
    <row r="7596">
      <c r="A7596" s="10" t="s">
        <v>9035</v>
      </c>
      <c r="B7596" s="7" t="str">
        <f>IFERROR(__xludf.DUMMYFUNCTION("SPLIT(A7596,"" "")"),"Cc1ccc(CN(Cc2ccccn2)Cc2ccc(N(C)Cc3ncccc3-c3ccc4c(c3)OCCOCCOCCOCCOCCO4)cn2)nc1")</f>
        <v>Cc1ccc(CN(Cc2ccccn2)Cc2ccc(N(C)Cc3ncccc3-c3ccc4c(c3)OCCOCCOCCOCCOCCO4)cn2)nc1</v>
      </c>
      <c r="C7596" s="7">
        <f>IFERROR(__xludf.DUMMYFUNCTION("""COMPUTED_VALUE"""),7.7779417)</f>
        <v>7.7779417</v>
      </c>
      <c r="D7596" s="7">
        <f>IFERROR(__xludf.DUMMYFUNCTION("""COMPUTED_VALUE"""),0.341772151898734)</f>
        <v>0.3417721519</v>
      </c>
    </row>
    <row r="7597">
      <c r="A7597" s="10" t="s">
        <v>9036</v>
      </c>
      <c r="B7597" s="7" t="str">
        <f>IFERROR(__xludf.DUMMYFUNCTION("SPLIT(A7597,"" "")"),"CC1=CC(C)C(N(C)Cc2cc(C(C)(C)c3ccccn3)ccn2)C(C)C1")</f>
        <v>CC1=CC(C)C(N(C)Cc2cc(C(C)(C)c3ccccn3)ccn2)C(C)C1</v>
      </c>
      <c r="C7597" s="7">
        <f>IFERROR(__xludf.DUMMYFUNCTION("""COMPUTED_VALUE"""),7.777939)</f>
        <v>7.777939</v>
      </c>
      <c r="D7597" s="7">
        <f>IFERROR(__xludf.DUMMYFUNCTION("""COMPUTED_VALUE"""),0.35)</f>
        <v>0.35</v>
      </c>
    </row>
    <row r="7598">
      <c r="A7598" s="10" t="s">
        <v>9037</v>
      </c>
      <c r="B7598" s="7" t="str">
        <f>IFERROR(__xludf.DUMMYFUNCTION("SPLIT(A7598,"" "")"),"CCCN(Cc1ccccn1)C1=CCC(C)C(C)=C1CN(C)Cc1ccccn1")</f>
        <v>CCCN(Cc1ccccn1)C1=CCC(C)C(C)=C1CN(C)Cc1ccccn1</v>
      </c>
      <c r="C7598" s="7">
        <f>IFERROR(__xludf.DUMMYFUNCTION("""COMPUTED_VALUE"""),7.777932)</f>
        <v>7.777932</v>
      </c>
      <c r="D7598" s="7">
        <f>IFERROR(__xludf.DUMMYFUNCTION("""COMPUTED_VALUE"""),0.418181818181818)</f>
        <v>0.4181818182</v>
      </c>
    </row>
    <row r="7599">
      <c r="A7599" s="10" t="s">
        <v>9038</v>
      </c>
      <c r="B7599" s="7" t="str">
        <f>IFERROR(__xludf.DUMMYFUNCTION("SPLIT(A7599,"" "")"),"Cc1nc(CN(Cc2ccccn2)C2CCCCC2N(C)c2cccnc2CN(Cc2ccccn2)C(C)C)c(C)c(C)c1C")</f>
        <v>Cc1nc(CN(Cc2ccccn2)C2CCCCC2N(C)c2cccnc2CN(Cc2ccccn2)C(C)C)c(C)c(C)c1C</v>
      </c>
      <c r="C7599" s="7">
        <f>IFERROR(__xludf.DUMMYFUNCTION("""COMPUTED_VALUE"""),7.777932)</f>
        <v>7.777932</v>
      </c>
      <c r="D7599" s="7">
        <f>IFERROR(__xludf.DUMMYFUNCTION("""COMPUTED_VALUE"""),0.426229508196721)</f>
        <v>0.4262295082</v>
      </c>
    </row>
    <row r="7600">
      <c r="A7600" s="10" t="s">
        <v>9039</v>
      </c>
      <c r="B7600" s="7" t="str">
        <f>IFERROR(__xludf.DUMMYFUNCTION("SPLIT(A7600,"" "")"),"Cc1ccnc(CN(C)C2C=CNC(CN(C)C)=C2)c1")</f>
        <v>Cc1ccnc(CN(C)C2C=CNC(CN(C)C)=C2)c1</v>
      </c>
      <c r="C7600" s="7">
        <f>IFERROR(__xludf.DUMMYFUNCTION("""COMPUTED_VALUE"""),7.777929)</f>
        <v>7.777929</v>
      </c>
      <c r="D7600" s="7">
        <f>IFERROR(__xludf.DUMMYFUNCTION("""COMPUTED_VALUE"""),0.339622641509433)</f>
        <v>0.3396226415</v>
      </c>
    </row>
    <row r="7601">
      <c r="A7601" s="10" t="s">
        <v>9040</v>
      </c>
      <c r="B7601" s="7" t="str">
        <f>IFERROR(__xludf.DUMMYFUNCTION("SPLIT(A7601,"" "")"),"CNC1CCC(N(Cc2cc(C)ccn2)Cc2cc(C)c(C)cn2)CC1N(Cc1cc(C)c(C)cn1)Cc1nc(C)c(C)c(C)c1C")</f>
        <v>CNC1CCC(N(Cc2cc(C)ccn2)Cc2cc(C)c(C)cn2)CC1N(Cc1cc(C)c(C)cn1)Cc1nc(C)c(C)c(C)c1C</v>
      </c>
      <c r="C7601" s="7">
        <f>IFERROR(__xludf.DUMMYFUNCTION("""COMPUTED_VALUE"""),7.7779126)</f>
        <v>7.7779126</v>
      </c>
      <c r="D7601" s="7">
        <f>IFERROR(__xludf.DUMMYFUNCTION("""COMPUTED_VALUE"""),0.267605633802816)</f>
        <v>0.2676056338</v>
      </c>
    </row>
    <row r="7602">
      <c r="A7602" s="10" t="s">
        <v>9041</v>
      </c>
      <c r="B7602" s="7" t="str">
        <f>IFERROR(__xludf.DUMMYFUNCTION("SPLIT(A7602,"" "")"),"Cc1cc(C)c(C)c(CN(C)CCN(C)Cc2ccccn2)n1")</f>
        <v>Cc1cc(C)c(C)c(CN(C)CCN(C)Cc2ccccn2)n1</v>
      </c>
      <c r="C7602" s="7">
        <f>IFERROR(__xludf.DUMMYFUNCTION("""COMPUTED_VALUE"""),7.7779074)</f>
        <v>7.7779074</v>
      </c>
      <c r="D7602" s="7">
        <f>IFERROR(__xludf.DUMMYFUNCTION("""COMPUTED_VALUE"""),0.477272727272727)</f>
        <v>0.4772727273</v>
      </c>
    </row>
    <row r="7603">
      <c r="A7603" s="10" t="s">
        <v>9042</v>
      </c>
      <c r="B7603" s="7" t="str">
        <f>IFERROR(__xludf.DUMMYFUNCTION("SPLIT(A7603,"" "")"),"Cc1cncc(C2CCC2(C)C)c1CN(Cc1ccccn1)Cc1ccccn1")</f>
        <v>Cc1cncc(C2CCC2(C)C)c1CN(Cc1ccccn1)Cc1ccccn1</v>
      </c>
      <c r="C7603" s="7">
        <f>IFERROR(__xludf.DUMMYFUNCTION("""COMPUTED_VALUE"""),7.777903)</f>
        <v>7.777903</v>
      </c>
      <c r="D7603" s="7">
        <f>IFERROR(__xludf.DUMMYFUNCTION("""COMPUTED_VALUE"""),0.434782608695652)</f>
        <v>0.4347826087</v>
      </c>
    </row>
    <row r="7604">
      <c r="A7604" s="10" t="s">
        <v>9043</v>
      </c>
      <c r="B7604" s="7" t="str">
        <f>IFERROR(__xludf.DUMMYFUNCTION("SPLIT(A7604,"" "")"),"CNCc1ccc(Cl)cn1")</f>
        <v>CNCc1ccc(Cl)cn1</v>
      </c>
      <c r="C7604" s="7">
        <f>IFERROR(__xludf.DUMMYFUNCTION("""COMPUTED_VALUE"""),7.7778993)</f>
        <v>7.7778993</v>
      </c>
      <c r="D7604" s="7">
        <f>IFERROR(__xludf.DUMMYFUNCTION("""COMPUTED_VALUE"""),0.289473684210526)</f>
        <v>0.2894736842</v>
      </c>
    </row>
    <row r="7605">
      <c r="A7605" s="10" t="s">
        <v>9044</v>
      </c>
      <c r="B7605" s="7" t="str">
        <f>IFERROR(__xludf.DUMMYFUNCTION("SPLIT(A7605,"" "")"),"Cc1cncc(CN(C)Cc2ccc(C3CC(Cl)C3Cl)nc2)c1")</f>
        <v>Cc1cncc(CN(C)Cc2ccc(C3CC(Cl)C3Cl)nc2)c1</v>
      </c>
      <c r="C7605" s="7">
        <f>IFERROR(__xludf.DUMMYFUNCTION("""COMPUTED_VALUE"""),7.777894)</f>
        <v>7.777894</v>
      </c>
      <c r="D7605" s="7">
        <f>IFERROR(__xludf.DUMMYFUNCTION("""COMPUTED_VALUE"""),0.254545454545454)</f>
        <v>0.2545454545</v>
      </c>
    </row>
    <row r="7606">
      <c r="A7606" s="10" t="s">
        <v>9045</v>
      </c>
      <c r="B7606" s="7" t="str">
        <f>IFERROR(__xludf.DUMMYFUNCTION("SPLIT(A7606,"" "")"),"CN1CCN(Cc2ccc3ncccc3c2)CCN(Cc2cnccc2N(C)C)CC1")</f>
        <v>CN1CCN(Cc2ccc3ncccc3c2)CCN(Cc2cnccc2N(C)C)CC1</v>
      </c>
      <c r="C7606" s="7">
        <f>IFERROR(__xludf.DUMMYFUNCTION("""COMPUTED_VALUE"""),7.7778897)</f>
        <v>7.7778897</v>
      </c>
      <c r="D7606" s="7">
        <f>IFERROR(__xludf.DUMMYFUNCTION("""COMPUTED_VALUE"""),0.392857142857142)</f>
        <v>0.3928571429</v>
      </c>
    </row>
    <row r="7607">
      <c r="A7607" s="10" t="s">
        <v>9046</v>
      </c>
      <c r="B7607" s="7" t="str">
        <f>IFERROR(__xludf.DUMMYFUNCTION("SPLIT(A7607,"" "")"),"CC1=C(C)C(C)C2(CC=C(c3cc(CN(Cc4ccccn4)Cc4cc(-c5ccc6c(c5)OCCOCCOCCOCCOCCO6)ccn4)ccn3)C3(C=CNC(C(C)C)=C3)C2c2ncccc2CN(Cc2ccccn2)Cc2ccccn2)CC1")</f>
        <v>CC1=C(C)C(C)C2(CC=C(c3cc(CN(Cc4ccccn4)Cc4cc(-c5ccc6c(c5)OCCOCCOCCOCCOCCO6)ccn4)ccn3)C3(C=CNC(C(C)C)=C3)C2c2ncccc2CN(Cc2ccccn2)Cc2ccccn2)CC1</v>
      </c>
      <c r="C7607" s="7">
        <f>IFERROR(__xludf.DUMMYFUNCTION("""COMPUTED_VALUE"""),7.777879)</f>
        <v>7.777879</v>
      </c>
      <c r="D7607" s="7">
        <f>IFERROR(__xludf.DUMMYFUNCTION("""COMPUTED_VALUE"""),0.242990654205607)</f>
        <v>0.2429906542</v>
      </c>
    </row>
    <row r="7608">
      <c r="A7608" s="10" t="s">
        <v>9047</v>
      </c>
      <c r="B7608" s="7" t="str">
        <f>IFERROR(__xludf.DUMMYFUNCTION("SPLIT(A7608,"" "")"),"Cc1cncc(CN(C)CC2=C(N(C)C(C)C)CC=CN2)c1")</f>
        <v>Cc1cncc(CN(C)CC2=C(N(C)C(C)C)CC=CN2)c1</v>
      </c>
      <c r="C7608" s="7">
        <f>IFERROR(__xludf.DUMMYFUNCTION("""COMPUTED_VALUE"""),7.777876)</f>
        <v>7.777876</v>
      </c>
      <c r="D7608" s="7">
        <f>IFERROR(__xludf.DUMMYFUNCTION("""COMPUTED_VALUE"""),0.236363636363636)</f>
        <v>0.2363636364</v>
      </c>
    </row>
    <row r="7609">
      <c r="A7609" s="10" t="s">
        <v>9048</v>
      </c>
      <c r="B7609" s="7" t="str">
        <f>IFERROR(__xludf.DUMMYFUNCTION("SPLIT(A7609,"" "")"),"CNc1c(N(C)Cc2cccc(-c3ccc4c(c3)OCCOCCOCCOCCOCCO4)n2)ccc(F)c1Cl")</f>
        <v>CNc1c(N(C)Cc2cccc(-c3ccc4c(c3)OCCOCCOCCOCCOCCO4)n2)ccc(F)c1Cl</v>
      </c>
      <c r="C7609" s="7">
        <f>IFERROR(__xludf.DUMMYFUNCTION("""COMPUTED_VALUE"""),7.777873)</f>
        <v>7.777873</v>
      </c>
      <c r="D7609" s="7">
        <f>IFERROR(__xludf.DUMMYFUNCTION("""COMPUTED_VALUE"""),0.298507462686567)</f>
        <v>0.2985074627</v>
      </c>
    </row>
    <row r="7610">
      <c r="A7610" s="10" t="s">
        <v>9049</v>
      </c>
      <c r="B7610" s="7" t="str">
        <f>IFERROR(__xludf.DUMMYFUNCTION("SPLIT(A7610,"" "")"),"CC1=CC(C)CC2(C=CC(c3cccc(CN(Cc4ccccn4)Cc4ccccn4)n3)C(c3cccc(CN(Cc4ccccn4)Cc4ccccn4)n3)C23C(C)C=CC(C)C3C)C1C")</f>
        <v>CC1=CC(C)CC2(C=CC(c3cccc(CN(Cc4ccccn4)Cc4ccccn4)n3)C(c3cccc(CN(Cc4ccccn4)Cc4ccccn4)n3)C23C(C)C=CC(C)C3C)C1C</v>
      </c>
      <c r="C7610" s="7">
        <f>IFERROR(__xludf.DUMMYFUNCTION("""COMPUTED_VALUE"""),7.777871)</f>
        <v>7.777871</v>
      </c>
      <c r="D7610" s="7">
        <f>IFERROR(__xludf.DUMMYFUNCTION("""COMPUTED_VALUE"""),0.324675324675324)</f>
        <v>0.3246753247</v>
      </c>
    </row>
    <row r="7611">
      <c r="A7611" s="10" t="s">
        <v>9050</v>
      </c>
      <c r="B7611" s="7" t="str">
        <f>IFERROR(__xludf.DUMMYFUNCTION("SPLIT(A7611,"" "")"),"Cc1cc(CN(C)C2CCCC(N(C)c3ncc(C)c(C)c3C)C2)nc(C)c1C")</f>
        <v>Cc1cc(CN(C)C2CCCC(N(C)c3ncc(C)c(C)c3C)C2)nc(C)c1C</v>
      </c>
      <c r="C7611" s="7">
        <f>IFERROR(__xludf.DUMMYFUNCTION("""COMPUTED_VALUE"""),7.777871)</f>
        <v>7.777871</v>
      </c>
      <c r="D7611" s="7">
        <f>IFERROR(__xludf.DUMMYFUNCTION("""COMPUTED_VALUE"""),0.333333333333333)</f>
        <v>0.3333333333</v>
      </c>
    </row>
    <row r="7612">
      <c r="A7612" s="10" t="s">
        <v>9051</v>
      </c>
      <c r="B7612" s="7" t="str">
        <f>IFERROR(__xludf.DUMMYFUNCTION("SPLIT(A7612,"" "")"),"CC(C)C1=CC2(C=CN1)C=CC(C)(C)C(c1cccc(CN(Cc3ccccn3)Cc3ccccn3)n1)C2(C)C")</f>
        <v>CC(C)C1=CC2(C=CN1)C=CC(C)(C)C(c1cccc(CN(Cc3ccccn3)Cc3ccccn3)n1)C2(C)C</v>
      </c>
      <c r="C7612" s="7">
        <f>IFERROR(__xludf.DUMMYFUNCTION("""COMPUTED_VALUE"""),7.7778697)</f>
        <v>7.7778697</v>
      </c>
      <c r="D7612" s="7">
        <f>IFERROR(__xludf.DUMMYFUNCTION("""COMPUTED_VALUE"""),0.377049180327868)</f>
        <v>0.3770491803</v>
      </c>
    </row>
    <row r="7613">
      <c r="A7613" s="10" t="s">
        <v>9052</v>
      </c>
      <c r="B7613" s="7" t="str">
        <f>IFERROR(__xludf.DUMMYFUNCTION("SPLIT(A7613,"" "")"),"CN1CCN(Cc2cc(C(C)(c3ccccn3)c3ccccn3)ccn2)CCN(Cc2cccnc2C2OC=NC2(C)C)CC1")</f>
        <v>CN1CCN(Cc2cc(C(C)(c3ccccn3)c3ccccn3)ccn2)CCN(Cc2cccnc2C2OC=NC2(C)C)CC1</v>
      </c>
      <c r="C7613" s="7">
        <f>IFERROR(__xludf.DUMMYFUNCTION("""COMPUTED_VALUE"""),7.777861)</f>
        <v>7.777861</v>
      </c>
      <c r="D7613" s="7">
        <f>IFERROR(__xludf.DUMMYFUNCTION("""COMPUTED_VALUE"""),0.4)</f>
        <v>0.4</v>
      </c>
    </row>
    <row r="7614">
      <c r="A7614" s="10" t="s">
        <v>9053</v>
      </c>
      <c r="B7614" s="7" t="str">
        <f>IFERROR(__xludf.DUMMYFUNCTION("SPLIT(A7614,"" "")"),"CN(CC1=CCC=C(N(C)Cc2ccccn2)N1)C1=CCC=C(CN(C)C2CCCCC2N(Cc2cccnc2)Cc2ccccn2)N1")</f>
        <v>CN(CC1=CCC=C(N(C)Cc2ccccn2)N1)C1=CCC=C(CN(C)C2CCCCC2N(Cc2cccnc2)Cc2ccccn2)N1</v>
      </c>
      <c r="C7614" s="7">
        <f>IFERROR(__xludf.DUMMYFUNCTION("""COMPUTED_VALUE"""),7.777858)</f>
        <v>7.777858</v>
      </c>
      <c r="D7614" s="7">
        <f>IFERROR(__xludf.DUMMYFUNCTION("""COMPUTED_VALUE"""),0.483333333333333)</f>
        <v>0.4833333333</v>
      </c>
    </row>
    <row r="7615">
      <c r="A7615" s="10" t="s">
        <v>9054</v>
      </c>
      <c r="B7615" s="7" t="str">
        <f>IFERROR(__xludf.DUMMYFUNCTION("SPLIT(A7615,"" "")"),"CN(C)Cc1cncc(C2CC(C)(C)C2)c1")</f>
        <v>CN(C)Cc1cncc(C2CC(C)(C)C2)c1</v>
      </c>
      <c r="C7615" s="7">
        <f>IFERROR(__xludf.DUMMYFUNCTION("""COMPUTED_VALUE"""),7.7778573)</f>
        <v>7.7778573</v>
      </c>
      <c r="D7615" s="7">
        <f>IFERROR(__xludf.DUMMYFUNCTION("""COMPUTED_VALUE"""),0.25)</f>
        <v>0.25</v>
      </c>
    </row>
    <row r="7616">
      <c r="A7616" s="10" t="s">
        <v>9055</v>
      </c>
      <c r="B7616" s="7" t="str">
        <f>IFERROR(__xludf.DUMMYFUNCTION("SPLIT(A7616,"" "")"),"CC1=CC(N(C)Cc2cc(C(C)(C)c3ccccn3)ccn2)C2N=CC=CC2C1C")</f>
        <v>CC1=CC(N(C)Cc2cc(C(C)(C)c3ccccn3)ccn2)C2N=CC=CC2C1C</v>
      </c>
      <c r="C7616" s="7">
        <f>IFERROR(__xludf.DUMMYFUNCTION("""COMPUTED_VALUE"""),7.777852)</f>
        <v>7.777852</v>
      </c>
      <c r="D7616" s="7">
        <f>IFERROR(__xludf.DUMMYFUNCTION("""COMPUTED_VALUE"""),0.294117647058823)</f>
        <v>0.2941176471</v>
      </c>
    </row>
    <row r="7617">
      <c r="A7617" s="10" t="s">
        <v>9056</v>
      </c>
      <c r="B7617" s="7" t="str">
        <f>IFERROR(__xludf.DUMMYFUNCTION("SPLIT(A7617,"" "")"),"CN1CCN(C)CCN(CC2=CCC(N(C)c3cccc4nc(CF)ccc34)=CN2)CC1")</f>
        <v>CN1CCN(C)CCN(CC2=CCC(N(C)c3cccc4nc(CF)ccc34)=CN2)CC1</v>
      </c>
      <c r="C7617" s="7">
        <f>IFERROR(__xludf.DUMMYFUNCTION("""COMPUTED_VALUE"""),7.777837)</f>
        <v>7.777837</v>
      </c>
      <c r="D7617" s="7">
        <f>IFERROR(__xludf.DUMMYFUNCTION("""COMPUTED_VALUE"""),0.360655737704918)</f>
        <v>0.3606557377</v>
      </c>
    </row>
    <row r="7618">
      <c r="A7618" s="10" t="s">
        <v>9057</v>
      </c>
      <c r="B7618" s="7" t="str">
        <f>IFERROR(__xludf.DUMMYFUNCTION("SPLIT(A7618,"" "")"),"CN(Cc1cc(-c2ccccn2)ccn1)C1CCC(N(C)Cc2cc(C(C)(C)C)ccn2)CC1")</f>
        <v>CN(Cc1cc(-c2ccccn2)ccn1)C1CCC(N(C)Cc2cc(C(C)(C)C)ccn2)CC1</v>
      </c>
      <c r="C7618" s="7">
        <f>IFERROR(__xludf.DUMMYFUNCTION("""COMPUTED_VALUE"""),7.7778234)</f>
        <v>7.7778234</v>
      </c>
      <c r="D7618" s="7">
        <f>IFERROR(__xludf.DUMMYFUNCTION("""COMPUTED_VALUE"""),0.415094339622641)</f>
        <v>0.4150943396</v>
      </c>
    </row>
    <row r="7619">
      <c r="A7619" s="10" t="s">
        <v>9058</v>
      </c>
      <c r="B7619" s="7" t="str">
        <f>IFERROR(__xludf.DUMMYFUNCTION("SPLIT(A7619,"" "")"),"COC(=O)c1cccc(CN(Cc2ccccn2)C2CCC(N(C)Cc3nc(C)c(C)c(C)c3C)CC2)n1")</f>
        <v>COC(=O)c1cccc(CN(Cc2ccccn2)C2CCC(N(C)Cc3nc(C)c(C)c(C)c3C)CC2)n1</v>
      </c>
      <c r="C7619" s="7">
        <f>IFERROR(__xludf.DUMMYFUNCTION("""COMPUTED_VALUE"""),7.777815)</f>
        <v>7.777815</v>
      </c>
      <c r="D7619" s="7">
        <f>IFERROR(__xludf.DUMMYFUNCTION("""COMPUTED_VALUE"""),0.353846153846153)</f>
        <v>0.3538461538</v>
      </c>
    </row>
    <row r="7620">
      <c r="A7620" s="10" t="s">
        <v>9059</v>
      </c>
      <c r="B7620" s="7" t="str">
        <f>IFERROR(__xludf.DUMMYFUNCTION("SPLIT(A7620,"" "")"),"CN(CCF)Cc1ncccc1C(C)(C)c1ccccn1")</f>
        <v>CN(CCF)Cc1ncccc1C(C)(C)c1ccccn1</v>
      </c>
      <c r="C7620" s="7">
        <f>IFERROR(__xludf.DUMMYFUNCTION("""COMPUTED_VALUE"""),7.777814)</f>
        <v>7.777814</v>
      </c>
      <c r="D7620" s="7">
        <f>IFERROR(__xludf.DUMMYFUNCTION("""COMPUTED_VALUE"""),0.338983050847457)</f>
        <v>0.3389830508</v>
      </c>
    </row>
    <row r="7621">
      <c r="A7621" s="10" t="s">
        <v>9060</v>
      </c>
      <c r="B7621" s="7" t="str">
        <f>IFERROR(__xludf.DUMMYFUNCTION("SPLIT(A7621,"" "")"),"CCN(C)CC1=CCC(N(C)Cc2ccccn2)=CN1")</f>
        <v>CCN(C)CC1=CCC(N(C)Cc2ccccn2)=CN1</v>
      </c>
      <c r="C7621" s="7">
        <f>IFERROR(__xludf.DUMMYFUNCTION("""COMPUTED_VALUE"""),7.777811)</f>
        <v>7.777811</v>
      </c>
      <c r="D7621" s="7">
        <f>IFERROR(__xludf.DUMMYFUNCTION("""COMPUTED_VALUE"""),0.425925925925925)</f>
        <v>0.4259259259</v>
      </c>
    </row>
    <row r="7622">
      <c r="A7622" s="10" t="s">
        <v>9061</v>
      </c>
      <c r="B7622" s="7" t="str">
        <f>IFERROR(__xludf.DUMMYFUNCTION("SPLIT(A7622,"" "")"),"Cc1cncc(CN(C)CC2=CCC=CN2)c1")</f>
        <v>Cc1cncc(CN(C)CC2=CCC=CN2)c1</v>
      </c>
      <c r="C7622" s="7">
        <f>IFERROR(__xludf.DUMMYFUNCTION("""COMPUTED_VALUE"""),7.7778015)</f>
        <v>7.7778015</v>
      </c>
      <c r="D7622" s="7">
        <f>IFERROR(__xludf.DUMMYFUNCTION("""COMPUTED_VALUE"""),0.377358490566037)</f>
        <v>0.3773584906</v>
      </c>
    </row>
    <row r="7623">
      <c r="A7623" s="10" t="s">
        <v>9062</v>
      </c>
      <c r="B7623" s="7" t="str">
        <f>IFERROR(__xludf.DUMMYFUNCTION("SPLIT(A7623,"" "")"),"COC(=O)C1CC(c2ccccn2)C(c2ccccn2)N(C)C1c1ncccc1CN(Cc1ccccn1)Cc1ncccc1-c1ccc2c(c1)OCCOCCOCCOCCOCCO2")</f>
        <v>COC(=O)C1CC(c2ccccn2)C(c2ccccn2)N(C)C1c1ncccc1CN(Cc1ccccn1)Cc1ncccc1-c1ccc2c(c1)OCCOCCOCCOCCOCCO2</v>
      </c>
      <c r="C7623" s="7">
        <f>IFERROR(__xludf.DUMMYFUNCTION("""COMPUTED_VALUE"""),7.7777996)</f>
        <v>7.7777996</v>
      </c>
      <c r="D7623" s="7">
        <f>IFERROR(__xludf.DUMMYFUNCTION("""COMPUTED_VALUE"""),0.270833333333333)</f>
        <v>0.2708333333</v>
      </c>
    </row>
    <row r="7624">
      <c r="A7624" s="10" t="s">
        <v>9063</v>
      </c>
      <c r="B7624" s="7" t="str">
        <f>IFERROR(__xludf.DUMMYFUNCTION("SPLIT(A7624,"" "")"),"CNCc1cccc(CN(Cc2cccc(C)n2)C(C)C)n1")</f>
        <v>CNCc1cccc(CN(Cc2cccc(C)n2)C(C)C)n1</v>
      </c>
      <c r="C7624" s="7">
        <f>IFERROR(__xludf.DUMMYFUNCTION("""COMPUTED_VALUE"""),7.777799)</f>
        <v>7.777799</v>
      </c>
      <c r="D7624" s="7">
        <f>IFERROR(__xludf.DUMMYFUNCTION("""COMPUTED_VALUE"""),0.475)</f>
        <v>0.475</v>
      </c>
    </row>
    <row r="7625">
      <c r="A7625" s="10" t="s">
        <v>9064</v>
      </c>
      <c r="B7625" s="7" t="str">
        <f>IFERROR(__xludf.DUMMYFUNCTION("SPLIT(A7625,"" "")"),"CC(C)C(C)(c1ccccn1)N(Cc1ccccn1)Cc1ccccn1")</f>
        <v>CC(C)C(C)(c1ccccn1)N(Cc1ccccn1)Cc1ccccn1</v>
      </c>
      <c r="C7625" s="7">
        <f>IFERROR(__xludf.DUMMYFUNCTION("""COMPUTED_VALUE"""),7.777781)</f>
        <v>7.777781</v>
      </c>
      <c r="D7625" s="7">
        <f>IFERROR(__xludf.DUMMYFUNCTION("""COMPUTED_VALUE"""),0.5)</f>
        <v>0.5</v>
      </c>
    </row>
    <row r="7626">
      <c r="A7626" s="10" t="s">
        <v>9065</v>
      </c>
      <c r="B7626" s="7" t="str">
        <f>IFERROR(__xludf.DUMMYFUNCTION("SPLIT(A7626,"" "")"),"CC(C)N(C)Cc1cc(-c2cccc(N(C)Cc3cc(-c4ccc5c(c4)OCCOCCOCCOCCOCCO5)ccn3)c2)ccn1")</f>
        <v>CC(C)N(C)Cc1cc(-c2cccc(N(C)Cc3cc(-c4ccc5c(c4)OCCOCCOCCOCCOCCO5)ccn3)c2)ccn1</v>
      </c>
      <c r="C7626" s="7">
        <f>IFERROR(__xludf.DUMMYFUNCTION("""COMPUTED_VALUE"""),7.7777767)</f>
        <v>7.7777767</v>
      </c>
      <c r="D7626" s="7">
        <f>IFERROR(__xludf.DUMMYFUNCTION("""COMPUTED_VALUE"""),0.352112676056338)</f>
        <v>0.3521126761</v>
      </c>
    </row>
    <row r="7627">
      <c r="A7627" s="10" t="s">
        <v>9066</v>
      </c>
      <c r="B7627" s="7" t="str">
        <f>IFERROR(__xludf.DUMMYFUNCTION("SPLIT(A7627,"" "")"),"Cc1cccc(CN(C)C2C=CNC(CN(Cc3ccccn3)C(C)C)=C2)n1")</f>
        <v>Cc1cccc(CN(C)C2C=CNC(CN(Cc3ccccn3)C(C)C)=C2)n1</v>
      </c>
      <c r="C7627" s="7">
        <f>IFERROR(__xludf.DUMMYFUNCTION("""COMPUTED_VALUE"""),7.7777734)</f>
        <v>7.7777734</v>
      </c>
      <c r="D7627" s="7">
        <f>IFERROR(__xludf.DUMMYFUNCTION("""COMPUTED_VALUE"""),0.436363636363636)</f>
        <v>0.4363636364</v>
      </c>
    </row>
    <row r="7628">
      <c r="A7628" s="10" t="s">
        <v>9067</v>
      </c>
      <c r="B7628" s="7" t="str">
        <f>IFERROR(__xludf.DUMMYFUNCTION("SPLIT(A7628,"" "")"),"CNCN(Cc1ncccc1C)C(C)(C)c1ccccn1")</f>
        <v>CNCN(Cc1ncccc1C)C(C)(C)c1ccccn1</v>
      </c>
      <c r="C7628" s="7">
        <f>IFERROR(__xludf.DUMMYFUNCTION("""COMPUTED_VALUE"""),7.777772)</f>
        <v>7.777772</v>
      </c>
      <c r="D7628" s="7">
        <f>IFERROR(__xludf.DUMMYFUNCTION("""COMPUTED_VALUE"""),0.320754716981132)</f>
        <v>0.320754717</v>
      </c>
    </row>
    <row r="7629">
      <c r="A7629" s="10" t="s">
        <v>9068</v>
      </c>
      <c r="B7629" s="7" t="str">
        <f>IFERROR(__xludf.DUMMYFUNCTION("SPLIT(A7629,"" "")"),"COC(=O)C(=O)C(C)NCc1ccccn1")</f>
        <v>COC(=O)C(=O)C(C)NCc1ccccn1</v>
      </c>
      <c r="C7629" s="7">
        <f>IFERROR(__xludf.DUMMYFUNCTION("""COMPUTED_VALUE"""),7.777769)</f>
        <v>7.777769</v>
      </c>
      <c r="D7629" s="7">
        <f>IFERROR(__xludf.DUMMYFUNCTION("""COMPUTED_VALUE"""),0.425)</f>
        <v>0.425</v>
      </c>
    </row>
    <row r="7630">
      <c r="A7630" s="10" t="s">
        <v>9069</v>
      </c>
      <c r="B7630" s="7" t="str">
        <f>IFERROR(__xludf.DUMMYFUNCTION("SPLIT(A7630,"" "")"),"Cc1cccc(-c2ccccc2NCc2cccc(-c3ccc4c(c3)OCCOCCOCCOCCOCCO4)n2)n1")</f>
        <v>Cc1cccc(-c2ccccc2NCc2cccc(-c3ccc4c(c3)OCCOCCOCCOCCOCCO4)n2)n1</v>
      </c>
      <c r="C7630" s="7">
        <f>IFERROR(__xludf.DUMMYFUNCTION("""COMPUTED_VALUE"""),7.777757)</f>
        <v>7.777757</v>
      </c>
      <c r="D7630" s="7">
        <f>IFERROR(__xludf.DUMMYFUNCTION("""COMPUTED_VALUE"""),0.315068493150684)</f>
        <v>0.3150684932</v>
      </c>
    </row>
    <row r="7631">
      <c r="A7631" s="10" t="s">
        <v>9070</v>
      </c>
      <c r="B7631" s="7" t="str">
        <f>IFERROR(__xludf.DUMMYFUNCTION("SPLIT(A7631,"" "")"),"CNC1CCCC(N(Cc2nc(C)c(C)c(C)c2C)Cc2nc(C)c(C)c(C)c2C)C1N(Cc1ncccc1C)Cc1ncccc1C")</f>
        <v>CNC1CCCC(N(Cc2nc(C)c(C)c(C)c2C)Cc2nc(C)c(C)c(C)c2C)C1N(Cc1ncccc1C)Cc1ncccc1C</v>
      </c>
      <c r="C7631" s="7">
        <f>IFERROR(__xludf.DUMMYFUNCTION("""COMPUTED_VALUE"""),7.777737)</f>
        <v>7.777737</v>
      </c>
      <c r="D7631" s="7">
        <f>IFERROR(__xludf.DUMMYFUNCTION("""COMPUTED_VALUE"""),0.290322580645161)</f>
        <v>0.2903225806</v>
      </c>
    </row>
    <row r="7632">
      <c r="A7632" s="10" t="s">
        <v>9071</v>
      </c>
      <c r="B7632" s="7" t="str">
        <f>IFERROR(__xludf.DUMMYFUNCTION("SPLIT(A7632,"" "")"),"CCNCc1cccc(CN(Cc2ccccn2)Cc2cccc(N)n2)n1")</f>
        <v>CCNCc1cccc(CN(Cc2ccccn2)Cc2cccc(N)n2)n1</v>
      </c>
      <c r="C7632" s="7">
        <f>IFERROR(__xludf.DUMMYFUNCTION("""COMPUTED_VALUE"""),7.7777257)</f>
        <v>7.7777257</v>
      </c>
      <c r="D7632" s="7">
        <f>IFERROR(__xludf.DUMMYFUNCTION("""COMPUTED_VALUE"""),0.5)</f>
        <v>0.5</v>
      </c>
    </row>
    <row r="7633">
      <c r="A7633" s="10" t="s">
        <v>9072</v>
      </c>
      <c r="B7633" s="7" t="str">
        <f>IFERROR(__xludf.DUMMYFUNCTION("SPLIT(A7633,"" "")"),"Cc1ccc(CN(Cc2ccccn2)Cc2cccc(CN(C)C(C)C)n2)nc1")</f>
        <v>Cc1ccc(CN(Cc2ccccn2)Cc2cccc(CN(C)C(C)C)n2)nc1</v>
      </c>
      <c r="C7633" s="7">
        <f>IFERROR(__xludf.DUMMYFUNCTION("""COMPUTED_VALUE"""),7.777714)</f>
        <v>7.777714</v>
      </c>
      <c r="D7633" s="7">
        <f>IFERROR(__xludf.DUMMYFUNCTION("""COMPUTED_VALUE"""),0.48780487804878)</f>
        <v>0.487804878</v>
      </c>
    </row>
    <row r="7634">
      <c r="A7634" s="10" t="s">
        <v>9073</v>
      </c>
      <c r="B7634" s="7" t="str">
        <f>IFERROR(__xludf.DUMMYFUNCTION("SPLIT(A7634,"" "")"),"CN1CCN(C)CCN(CC2=CCC(N(C)c3cccc4cccnc34)=CN2)CC1")</f>
        <v>CN1CCN(C)CCN(CC2=CCC(N(C)c3cccc4cccnc34)=CN2)CC1</v>
      </c>
      <c r="C7634" s="7">
        <f>IFERROR(__xludf.DUMMYFUNCTION("""COMPUTED_VALUE"""),7.7777076)</f>
        <v>7.7777076</v>
      </c>
      <c r="D7634" s="7">
        <f>IFERROR(__xludf.DUMMYFUNCTION("""COMPUTED_VALUE"""),0.407407407407407)</f>
        <v>0.4074074074</v>
      </c>
    </row>
    <row r="7635">
      <c r="A7635" s="10" t="s">
        <v>9074</v>
      </c>
      <c r="B7635" s="7" t="str">
        <f>IFERROR(__xludf.DUMMYFUNCTION("SPLIT(A7635,"" "")"),"Cc1cc(C)c(CN(C)C2CC(N(C)Cc3ccccn3)CC(N(Cc3ccccn3)Cc3nc(C)c(C)cc3C)C2)nc1C")</f>
        <v>Cc1cc(C)c(CN(C)C2CC(N(C)Cc3ccccn3)CC(N(Cc3ccccn3)Cc3nc(C)c(C)cc3C)C2)nc1C</v>
      </c>
      <c r="C7635" s="7">
        <f>IFERROR(__xludf.DUMMYFUNCTION("""COMPUTED_VALUE"""),7.777704)</f>
        <v>7.777704</v>
      </c>
      <c r="D7635" s="7">
        <f>IFERROR(__xludf.DUMMYFUNCTION("""COMPUTED_VALUE"""),0.433962264150943)</f>
        <v>0.4339622642</v>
      </c>
    </row>
    <row r="7636">
      <c r="A7636" s="10" t="s">
        <v>9075</v>
      </c>
      <c r="B7636" s="7" t="str">
        <f>IFERROR(__xludf.DUMMYFUNCTION("SPLIT(A7636,"" "")"),"Cc1cccnc1C1CC(C)(C)C1")</f>
        <v>Cc1cccnc1C1CC(C)(C)C1</v>
      </c>
      <c r="C7636" s="7">
        <f>IFERROR(__xludf.DUMMYFUNCTION("""COMPUTED_VALUE"""),7.7776966)</f>
        <v>7.7776966</v>
      </c>
      <c r="D7636" s="7">
        <f>IFERROR(__xludf.DUMMYFUNCTION("""COMPUTED_VALUE"""),0.260869565217391)</f>
        <v>0.2608695652</v>
      </c>
    </row>
    <row r="7637">
      <c r="A7637" s="10" t="s">
        <v>9076</v>
      </c>
      <c r="B7637" s="7" t="str">
        <f>IFERROR(__xludf.DUMMYFUNCTION("SPLIT(A7637,"" "")"),"Cc1ccc(C)c(CN(Cc2nc(C)c(C)cc2C)C2CC(N(C)Cc3ccccn3)CC(N(C)Cc3ncccc3C)C2)n1")</f>
        <v>Cc1ccc(C)c(CN(Cc2nc(C)c(C)cc2C)C2CC(N(C)Cc3ccccn3)CC(N(C)Cc3ncccc3C)C2)n1</v>
      </c>
      <c r="C7637" s="7">
        <f>IFERROR(__xludf.DUMMYFUNCTION("""COMPUTED_VALUE"""),7.7776933)</f>
        <v>7.7776933</v>
      </c>
      <c r="D7637" s="7">
        <f>IFERROR(__xludf.DUMMYFUNCTION("""COMPUTED_VALUE"""),0.370967741935483)</f>
        <v>0.3709677419</v>
      </c>
    </row>
    <row r="7638">
      <c r="A7638" s="10" t="s">
        <v>9077</v>
      </c>
      <c r="B7638" s="7" t="str">
        <f>IFERROR(__xludf.DUMMYFUNCTION("SPLIT(A7638,"" "")"),"Cc1ccnc(CN(Cc2ccnc(CN(C)C(C)C)c2)Cc2ccccn2)c1")</f>
        <v>Cc1ccnc(CN(Cc2ccnc(CN(C)C(C)C)c2)Cc2ccccn2)c1</v>
      </c>
      <c r="C7638" s="7">
        <f>IFERROR(__xludf.DUMMYFUNCTION("""COMPUTED_VALUE"""),7.7776933)</f>
        <v>7.7776933</v>
      </c>
      <c r="D7638" s="7">
        <f>IFERROR(__xludf.DUMMYFUNCTION("""COMPUTED_VALUE"""),0.48780487804878)</f>
        <v>0.487804878</v>
      </c>
    </row>
    <row r="7639">
      <c r="A7639" s="10" t="s">
        <v>9078</v>
      </c>
      <c r="B7639" s="7" t="str">
        <f>IFERROR(__xludf.DUMMYFUNCTION("SPLIT(A7639,"" "")"),"C=CCN(C)CC1=CC(N(C)Cc2nc(C)c(C)cc2C)C=CN1")</f>
        <v>C=CCN(C)CC1=CC(N(C)Cc2nc(C)c(C)cc2C)C=CN1</v>
      </c>
      <c r="C7639" s="7">
        <f>IFERROR(__xludf.DUMMYFUNCTION("""COMPUTED_VALUE"""),7.777687)</f>
        <v>7.777687</v>
      </c>
      <c r="D7639" s="7">
        <f>IFERROR(__xludf.DUMMYFUNCTION("""COMPUTED_VALUE"""),0.306451612903225)</f>
        <v>0.3064516129</v>
      </c>
    </row>
    <row r="7640">
      <c r="A7640" s="10" t="s">
        <v>9079</v>
      </c>
      <c r="B7640" s="7" t="str">
        <f>IFERROR(__xludf.DUMMYFUNCTION("SPLIT(A7640,"" "")"),"Cc1ccnc(CN(C)CC2=C(N(C)C(C)C)CC=CN2)c1")</f>
        <v>Cc1ccnc(CN(C)CC2=C(N(C)C(C)C)CC=CN2)c1</v>
      </c>
      <c r="C7640" s="7">
        <f>IFERROR(__xludf.DUMMYFUNCTION("""COMPUTED_VALUE"""),7.77768)</f>
        <v>7.77768</v>
      </c>
      <c r="D7640" s="7">
        <f>IFERROR(__xludf.DUMMYFUNCTION("""COMPUTED_VALUE"""),0.345454545454545)</f>
        <v>0.3454545455</v>
      </c>
    </row>
    <row r="7641">
      <c r="A7641" s="10" t="s">
        <v>9080</v>
      </c>
      <c r="B7641" s="7" t="str">
        <f>IFERROR(__xludf.DUMMYFUNCTION("SPLIT(A7641,"" "")"),"CN(CCN(C)c1ccc2nc(CF)ccc2c1)Cc1cc(-c2ccc3c(c2)OCCOCCOCCOCCOCCO3)ccn1")</f>
        <v>CN(CCN(C)c1ccc2nc(CF)ccc2c1)Cc1cc(-c2ccc3c(c2)OCCOCCOCCOCCOCCO3)ccn1</v>
      </c>
      <c r="C7641" s="7">
        <f>IFERROR(__xludf.DUMMYFUNCTION("""COMPUTED_VALUE"""),7.7776775)</f>
        <v>7.7776775</v>
      </c>
      <c r="D7641" s="7">
        <f>IFERROR(__xludf.DUMMYFUNCTION("""COMPUTED_VALUE"""),0.346666666666666)</f>
        <v>0.3466666667</v>
      </c>
    </row>
    <row r="7642">
      <c r="A7642" s="10" t="s">
        <v>9081</v>
      </c>
      <c r="B7642" s="7" t="str">
        <f>IFERROR(__xludf.DUMMYFUNCTION("SPLIT(A7642,"" "")"),"CCCN(C)CC1=CC(N(C)Cc2nc(C)c(C)cc2C)C=CN1")</f>
        <v>CCCN(C)CC1=CC(N(C)Cc2nc(C)c(C)cc2C)C=CN1</v>
      </c>
      <c r="C7642" s="7">
        <f>IFERROR(__xludf.DUMMYFUNCTION("""COMPUTED_VALUE"""),7.777664)</f>
        <v>7.777664</v>
      </c>
      <c r="D7642" s="7">
        <f>IFERROR(__xludf.DUMMYFUNCTION("""COMPUTED_VALUE"""),0.316666666666666)</f>
        <v>0.3166666667</v>
      </c>
    </row>
    <row r="7643">
      <c r="A7643" s="10" t="s">
        <v>9082</v>
      </c>
      <c r="B7643" s="7" t="str">
        <f>IFERROR(__xludf.DUMMYFUNCTION("SPLIT(A7643,"" "")"),"CC1=CCC2(CCC(C(C)C)=CC23C(c2ncccc2CN(Cc2ccccn2)Cc2ccccn2)=CC(c2ncccc2CN(Cc2ccccn2)Cc2ccccn2)CC32CC(C)C=C(C)C23CC=C(C)C2(CC(C)C=CC24CC=CC(C)C42CC=C(C)C(C)C2)C3)CC1C")</f>
        <v>CC1=CCC2(CCC(C(C)C)=CC23C(c2ncccc2CN(Cc2ccccn2)Cc2ccccn2)=CC(c2ncccc2CN(Cc2ccccn2)Cc2ccccn2)CC32CC(C)C=C(C)C23CC=C(C)C2(CC(C)C=CC24CC=CC(C)C42CC=C(C)C(C)C2)C3)CC1C</v>
      </c>
      <c r="C7643" s="7">
        <f>IFERROR(__xludf.DUMMYFUNCTION("""COMPUTED_VALUE"""),7.777658)</f>
        <v>7.777658</v>
      </c>
      <c r="D7643" s="7">
        <f>IFERROR(__xludf.DUMMYFUNCTION("""COMPUTED_VALUE"""),0.2)</f>
        <v>0.2</v>
      </c>
    </row>
    <row r="7644">
      <c r="A7644" s="10" t="s">
        <v>9083</v>
      </c>
      <c r="B7644" s="7" t="str">
        <f>IFERROR(__xludf.DUMMYFUNCTION("SPLIT(A7644,"" "")"),"Cc1ccc(CN(C)CC2=CCC(N(C)C(C)C)=CN2)nc1")</f>
        <v>Cc1ccc(CN(C)CC2=CCC(N(C)C(C)C)=CN2)nc1</v>
      </c>
      <c r="C7644" s="7">
        <f>IFERROR(__xludf.DUMMYFUNCTION("""COMPUTED_VALUE"""),7.7776513)</f>
        <v>7.7776513</v>
      </c>
      <c r="D7644" s="7">
        <f>IFERROR(__xludf.DUMMYFUNCTION("""COMPUTED_VALUE"""),0.5)</f>
        <v>0.5</v>
      </c>
    </row>
    <row r="7645">
      <c r="A7645" s="10" t="s">
        <v>9084</v>
      </c>
      <c r="B7645" s="7" t="str">
        <f>IFERROR(__xludf.DUMMYFUNCTION("SPLIT(A7645,"" "")"),"Cc1ccnc(C)c1")</f>
        <v>Cc1ccnc(C)c1</v>
      </c>
      <c r="C7645" s="7">
        <f>IFERROR(__xludf.DUMMYFUNCTION("""COMPUTED_VALUE"""),7.7776475)</f>
        <v>7.7776475</v>
      </c>
      <c r="D7645" s="7">
        <f>IFERROR(__xludf.DUMMYFUNCTION("""COMPUTED_VALUE"""),0.38235294117647)</f>
        <v>0.3823529412</v>
      </c>
    </row>
    <row r="7646">
      <c r="A7646" s="10" t="s">
        <v>9085</v>
      </c>
      <c r="B7646" s="7" t="str">
        <f>IFERROR(__xludf.DUMMYFUNCTION("SPLIT(A7646,"" "")"),"CNCc1ncccc1-c1cncc(CN(C)C2CCCC(N(C)Cc3nc(C)ccc3C)C2)c1")</f>
        <v>CNCc1ncccc1-c1cncc(CN(C)C2CCCC(N(C)Cc3nc(C)ccc3C)C2)c1</v>
      </c>
      <c r="C7646" s="7">
        <f>IFERROR(__xludf.DUMMYFUNCTION("""COMPUTED_VALUE"""),7.7776394)</f>
        <v>7.7776394</v>
      </c>
      <c r="D7646" s="7">
        <f>IFERROR(__xludf.DUMMYFUNCTION("""COMPUTED_VALUE"""),0.263888888888888)</f>
        <v>0.2638888889</v>
      </c>
    </row>
    <row r="7647">
      <c r="A7647" s="10" t="s">
        <v>9086</v>
      </c>
      <c r="B7647" s="7" t="str">
        <f>IFERROR(__xludf.DUMMYFUNCTION("SPLIT(A7647,"" "")"),"CC1=CC(C)(c2cc(CN(Cc3ccccn3)Cc3ccccn3)ccn2)CCC1C")</f>
        <v>CC1=CC(C)(c2cc(CN(Cc3ccccn3)Cc3ccccn3)ccn2)CCC1C</v>
      </c>
      <c r="C7647" s="7">
        <f>IFERROR(__xludf.DUMMYFUNCTION("""COMPUTED_VALUE"""),7.7776394)</f>
        <v>7.7776394</v>
      </c>
      <c r="D7647" s="7">
        <f>IFERROR(__xludf.DUMMYFUNCTION("""COMPUTED_VALUE"""),0.408163265306122)</f>
        <v>0.4081632653</v>
      </c>
    </row>
    <row r="7648">
      <c r="A7648" s="10" t="s">
        <v>9087</v>
      </c>
      <c r="B7648" s="7" t="str">
        <f>IFERROR(__xludf.DUMMYFUNCTION("SPLIT(A7648,"" "")"),"Cc1cncc(CN(C)CC2=CC(N(C)C(C)(C)c3ccccn3)C=CN2)c1")</f>
        <v>Cc1cncc(CN(C)CC2=CC(N(C)C(C)(C)c3ccccn3)C=CN2)c1</v>
      </c>
      <c r="C7648" s="7">
        <f>IFERROR(__xludf.DUMMYFUNCTION("""COMPUTED_VALUE"""),7.777631)</f>
        <v>7.777631</v>
      </c>
      <c r="D7648" s="7">
        <f>IFERROR(__xludf.DUMMYFUNCTION("""COMPUTED_VALUE"""),0.271428571428571)</f>
        <v>0.2714285714</v>
      </c>
    </row>
    <row r="7649">
      <c r="A7649" s="10" t="s">
        <v>9088</v>
      </c>
      <c r="B7649" s="7" t="str">
        <f>IFERROR(__xludf.DUMMYFUNCTION("SPLIT(A7649,"" "")"),"CC(NCc1ccccn1)C1COC(C2=CCC=CN2)=N1")</f>
        <v>CC(NCc1ccccn1)C1COC(C2=CCC=CN2)=N1</v>
      </c>
      <c r="C7649" s="7">
        <f>IFERROR(__xludf.DUMMYFUNCTION("""COMPUTED_VALUE"""),7.7776227)</f>
        <v>7.7776227</v>
      </c>
      <c r="D7649" s="7">
        <f>IFERROR(__xludf.DUMMYFUNCTION("""COMPUTED_VALUE"""),0.40983606557377)</f>
        <v>0.4098360656</v>
      </c>
    </row>
    <row r="7650">
      <c r="A7650" s="10" t="s">
        <v>9089</v>
      </c>
      <c r="B7650" s="7" t="str">
        <f>IFERROR(__xludf.DUMMYFUNCTION("SPLIT(A7650,"" "")"),"Cc1cc(C)c(CN(C)C2CCCC(N(C)Cc3ccccn3)C2N(Cc2nc(C)c(C)c(C)c2C)Cc2nc(C)c(C)c(C)c2C)cn1")</f>
        <v>Cc1cc(C)c(CN(C)C2CCCC(N(C)Cc3ccccn3)C2N(Cc2nc(C)c(C)c(C)c2C)Cc2nc(C)c(C)c(C)c2C)cn1</v>
      </c>
      <c r="C7650" s="7">
        <f>IFERROR(__xludf.DUMMYFUNCTION("""COMPUTED_VALUE"""),7.777616)</f>
        <v>7.777616</v>
      </c>
      <c r="D7650" s="7">
        <f>IFERROR(__xludf.DUMMYFUNCTION("""COMPUTED_VALUE"""),0.466666666666666)</f>
        <v>0.4666666667</v>
      </c>
    </row>
    <row r="7651">
      <c r="A7651" s="10" t="s">
        <v>9090</v>
      </c>
      <c r="B7651" s="7" t="str">
        <f>IFERROR(__xludf.DUMMYFUNCTION("SPLIT(A7651,"" "")"),"Cc1cnc(CN(C)Cc2ncccc2CN(C)CCN)c(C)c1C")</f>
        <v>Cc1cnc(CN(C)Cc2ncccc2CN(C)CCN)c(C)c1C</v>
      </c>
      <c r="C7651" s="7">
        <f>IFERROR(__xludf.DUMMYFUNCTION("""COMPUTED_VALUE"""),7.777614)</f>
        <v>7.777614</v>
      </c>
      <c r="D7651" s="7">
        <f>IFERROR(__xludf.DUMMYFUNCTION("""COMPUTED_VALUE"""),0.4)</f>
        <v>0.4</v>
      </c>
    </row>
    <row r="7652">
      <c r="A7652" s="10" t="s">
        <v>9091</v>
      </c>
      <c r="B7652" s="7" t="str">
        <f>IFERROR(__xludf.DUMMYFUNCTION("SPLIT(A7652,"" "")"),"CCNCc1cc(CN(Cc2ccccn2)Cc2cccc(N)n2)ccn1")</f>
        <v>CCNCc1cc(CN(Cc2ccccn2)Cc2cccc(N)n2)ccn1</v>
      </c>
      <c r="C7652" s="7">
        <f>IFERROR(__xludf.DUMMYFUNCTION("""COMPUTED_VALUE"""),7.77761)</f>
        <v>7.77761</v>
      </c>
      <c r="D7652" s="7">
        <f>IFERROR(__xludf.DUMMYFUNCTION("""COMPUTED_VALUE"""),0.444444444444444)</f>
        <v>0.4444444444</v>
      </c>
    </row>
    <row r="7653">
      <c r="A7653" s="10" t="s">
        <v>9092</v>
      </c>
      <c r="B7653" s="7" t="str">
        <f>IFERROR(__xludf.DUMMYFUNCTION("SPLIT(A7653,"" "")"),"COC(=O)c1cc(CN(Cc2ccccn2)C2CCC(N(C)Cc3nc(C)c(C)cc3C)CC2)ccn1")</f>
        <v>COC(=O)c1cc(CN(Cc2ccccn2)C2CCC(N(C)Cc3nc(C)c(C)cc3C)CC2)ccn1</v>
      </c>
      <c r="C7653" s="7">
        <f>IFERROR(__xludf.DUMMYFUNCTION("""COMPUTED_VALUE"""),7.7776074)</f>
        <v>7.7776074</v>
      </c>
      <c r="D7653" s="7">
        <f>IFERROR(__xludf.DUMMYFUNCTION("""COMPUTED_VALUE"""),0.333333333333333)</f>
        <v>0.3333333333</v>
      </c>
    </row>
    <row r="7654">
      <c r="A7654" s="10" t="s">
        <v>9093</v>
      </c>
      <c r="B7654" s="7" t="str">
        <f>IFERROR(__xludf.DUMMYFUNCTION("SPLIT(A7654,"" "")"),"Cc1ccc(CN(Cc2ccc(N(C)C)cn2)C2CCC(N(C)Cc3cc(C)c(C)c(C)n3)CC2)nc1")</f>
        <v>Cc1ccc(CN(Cc2ccc(N(C)C)cn2)C2CCC(N(C)Cc3cc(C)c(C)c(C)n3)CC2)nc1</v>
      </c>
      <c r="C7654" s="7">
        <f>IFERROR(__xludf.DUMMYFUNCTION("""COMPUTED_VALUE"""),7.7776046)</f>
        <v>7.7776046</v>
      </c>
      <c r="D7654" s="7">
        <f>IFERROR(__xludf.DUMMYFUNCTION("""COMPUTED_VALUE"""),0.446428571428571)</f>
        <v>0.4464285714</v>
      </c>
    </row>
    <row r="7655">
      <c r="A7655" s="10" t="s">
        <v>9094</v>
      </c>
      <c r="B7655" s="7" t="str">
        <f>IFERROR(__xludf.DUMMYFUNCTION("SPLIT(A7655,"" "")"),"Cc1cnc(CN(Cc2ccccn2)Cc2ccccn2)c(C2CCC2(C)C)c1")</f>
        <v>Cc1cnc(CN(Cc2ccccn2)Cc2ccccn2)c(C2CCC2(C)C)c1</v>
      </c>
      <c r="C7655" s="7">
        <f>IFERROR(__xludf.DUMMYFUNCTION("""COMPUTED_VALUE"""),7.777604)</f>
        <v>7.777604</v>
      </c>
      <c r="D7655" s="7">
        <f>IFERROR(__xludf.DUMMYFUNCTION("""COMPUTED_VALUE"""),0.434782608695652)</f>
        <v>0.4347826087</v>
      </c>
    </row>
    <row r="7656">
      <c r="A7656" s="10" t="s">
        <v>9095</v>
      </c>
      <c r="B7656" s="7" t="str">
        <f>IFERROR(__xludf.DUMMYFUNCTION("SPLIT(A7656,"" "")"),"CC(C)NCc1ccc(C(C)(C)C)cn1")</f>
        <v>CC(C)NCc1ccc(C(C)(C)C)cn1</v>
      </c>
      <c r="C7656" s="7">
        <f>IFERROR(__xludf.DUMMYFUNCTION("""COMPUTED_VALUE"""),7.7776017)</f>
        <v>7.7776017</v>
      </c>
      <c r="D7656" s="7">
        <f>IFERROR(__xludf.DUMMYFUNCTION("""COMPUTED_VALUE"""),0.302325581395348)</f>
        <v>0.3023255814</v>
      </c>
    </row>
    <row r="7657">
      <c r="A7657" s="10" t="s">
        <v>9096</v>
      </c>
      <c r="B7657" s="7" t="str">
        <f>IFERROR(__xludf.DUMMYFUNCTION("SPLIT(A7657,"" "")"),"CN(CCN(C)c1ccc2nc(CF)ccc2c1)Cc1ncccc1-c1ccc2c(c1)OCCOCCOCCOCCOCCO2")</f>
        <v>CN(CCN(C)c1ccc2nc(CF)ccc2c1)Cc1ncccc1-c1ccc2c(c1)OCCOCCOCCOCCOCCO2</v>
      </c>
      <c r="C7657" s="7">
        <f>IFERROR(__xludf.DUMMYFUNCTION("""COMPUTED_VALUE"""),7.7776012)</f>
        <v>7.7776012</v>
      </c>
      <c r="D7657" s="7">
        <f>IFERROR(__xludf.DUMMYFUNCTION("""COMPUTED_VALUE"""),0.308641975308641)</f>
        <v>0.3086419753</v>
      </c>
    </row>
    <row r="7658">
      <c r="A7658" s="10" t="s">
        <v>9097</v>
      </c>
      <c r="B7658" s="7" t="str">
        <f>IFERROR(__xludf.DUMMYFUNCTION("SPLIT(A7658,"" "")"),"CN1CCN(C)CCN(CC2=CCC(N(C)c3ccc4cccnc4c3)=CN2)CC1")</f>
        <v>CN1CCN(C)CCN(CC2=CCC(N(C)c3ccc4cccnc4c3)=CN2)CC1</v>
      </c>
      <c r="C7658" s="7">
        <f>IFERROR(__xludf.DUMMYFUNCTION("""COMPUTED_VALUE"""),7.777594)</f>
        <v>7.777594</v>
      </c>
      <c r="D7658" s="7">
        <f>IFERROR(__xludf.DUMMYFUNCTION("""COMPUTED_VALUE"""),0.370967741935483)</f>
        <v>0.3709677419</v>
      </c>
    </row>
    <row r="7659">
      <c r="A7659" s="10" t="s">
        <v>9098</v>
      </c>
      <c r="B7659" s="7" t="str">
        <f>IFERROR(__xludf.DUMMYFUNCTION("SPLIT(A7659,"" "")"),"CC(C)C1=CC2(C=CN1)C=CC(C)(C)C(c1cccc(CN(Cc3ccccn3)Cc3cccc(-c4ccc5c(c4)OCCOCCOCCOCCOCCO5)n3)n1)C2c1cccc(CN(Cc2ccccn2)C2CCC(N(C)c3ccc4nc(CF)ccc4c3)CC2)n1")</f>
        <v>CC(C)C1=CC2(C=CN1)C=CC(C)(C)C(c1cccc(CN(Cc3ccccn3)Cc3cccc(-c4ccc5c(c4)OCCOCCOCCOCCOCCO5)n3)n1)C2c1cccc(CN(Cc2ccccn2)C2CCC(N(C)c3ccc4nc(CF)ccc4c3)CC2)n1</v>
      </c>
      <c r="C7659" s="7">
        <f>IFERROR(__xludf.DUMMYFUNCTION("""COMPUTED_VALUE"""),7.7775836)</f>
        <v>7.7775836</v>
      </c>
      <c r="D7659" s="7">
        <f>IFERROR(__xludf.DUMMYFUNCTION("""COMPUTED_VALUE"""),0.281818181818181)</f>
        <v>0.2818181818</v>
      </c>
    </row>
    <row r="7660">
      <c r="A7660" s="10" t="s">
        <v>9099</v>
      </c>
      <c r="B7660" s="7" t="str">
        <f>IFERROR(__xludf.DUMMYFUNCTION("SPLIT(A7660,"" "")"),"CCN(CC1=CC(N(C)Cc2cccc(-c3ccc4c(c3)OCCOCCOCCOCCOCCO4)n2)C=CN1)c1ccc2ncccc2c1")</f>
        <v>CCN(CC1=CC(N(C)Cc2cccc(-c3ccc4c(c3)OCCOCCOCCOCCOCCO4)n2)C=CN1)c1ccc2ncccc2c1</v>
      </c>
      <c r="C7660" s="7">
        <f>IFERROR(__xludf.DUMMYFUNCTION("""COMPUTED_VALUE"""),7.7775774)</f>
        <v>7.7775774</v>
      </c>
      <c r="D7660" s="7">
        <f>IFERROR(__xludf.DUMMYFUNCTION("""COMPUTED_VALUE"""),0.274725274725274)</f>
        <v>0.2747252747</v>
      </c>
    </row>
    <row r="7661">
      <c r="A7661" s="10" t="s">
        <v>9100</v>
      </c>
      <c r="B7661" s="7" t="str">
        <f>IFERROR(__xludf.DUMMYFUNCTION("SPLIT(A7661,"" "")"),"CNC1CCCCC1N(C)c1ccc2nc3c(cc2c1)CCCC3")</f>
        <v>CNC1CCCCC1N(C)c1ccc2nc3c(cc2c1)CCCC3</v>
      </c>
      <c r="C7661" s="7">
        <f>IFERROR(__xludf.DUMMYFUNCTION("""COMPUTED_VALUE"""),7.7775764)</f>
        <v>7.7775764</v>
      </c>
      <c r="D7661" s="7">
        <f>IFERROR(__xludf.DUMMYFUNCTION("""COMPUTED_VALUE"""),0.49090909090909)</f>
        <v>0.4909090909</v>
      </c>
    </row>
    <row r="7662">
      <c r="A7662" s="10" t="s">
        <v>9101</v>
      </c>
      <c r="B7662" s="7" t="str">
        <f>IFERROR(__xludf.DUMMYFUNCTION("SPLIT(A7662,"" "")"),"Cc1cccnc1CN(CCN(C)Cc1ncccc1CF)Cc1ncccc1F")</f>
        <v>Cc1cccnc1CN(CCN(C)Cc1ncccc1CF)Cc1ncccc1F</v>
      </c>
      <c r="C7662" s="7">
        <f>IFERROR(__xludf.DUMMYFUNCTION("""COMPUTED_VALUE"""),7.7775702)</f>
        <v>7.7775702</v>
      </c>
      <c r="D7662" s="7">
        <f>IFERROR(__xludf.DUMMYFUNCTION("""COMPUTED_VALUE"""),0.384615384615384)</f>
        <v>0.3846153846</v>
      </c>
    </row>
    <row r="7663">
      <c r="A7663" s="10" t="s">
        <v>9102</v>
      </c>
      <c r="B7663" s="7" t="str">
        <f>IFERROR(__xludf.DUMMYFUNCTION("SPLIT(A7663,"" "")"),"CNc1ccc(-c2cccc(CN(C)C3CCC(N(C)Cc4cc(C)ccn4)CC3)n2)cc1")</f>
        <v>CNc1ccc(-c2cccc(CN(C)C3CCC(N(C)Cc4cc(C)ccn4)CC3)n2)cc1</v>
      </c>
      <c r="C7663" s="7">
        <f>IFERROR(__xludf.DUMMYFUNCTION("""COMPUTED_VALUE"""),7.777564)</f>
        <v>7.777564</v>
      </c>
      <c r="D7663" s="7">
        <f>IFERROR(__xludf.DUMMYFUNCTION("""COMPUTED_VALUE"""),0.35593220338983)</f>
        <v>0.3559322034</v>
      </c>
    </row>
    <row r="7664">
      <c r="A7664" s="10" t="s">
        <v>9103</v>
      </c>
      <c r="B7664" s="7" t="str">
        <f>IFERROR(__xludf.DUMMYFUNCTION("SPLIT(A7664,"" "")"),"CNC1N=C2CCCCC2=CC1N(Cc1cc(C)c(C)c(C)n1)Cc1cc(C)c(C)c(C)n1")</f>
        <v>CNC1N=C2CCCCC2=CC1N(Cc1cc(C)c(C)c(C)n1)Cc1cc(C)c(C)c(C)n1</v>
      </c>
      <c r="C7664" s="7">
        <f>IFERROR(__xludf.DUMMYFUNCTION("""COMPUTED_VALUE"""),7.77756)</f>
        <v>7.77756</v>
      </c>
      <c r="D7664" s="7">
        <f>IFERROR(__xludf.DUMMYFUNCTION("""COMPUTED_VALUE"""),0.203125)</f>
        <v>0.203125</v>
      </c>
    </row>
    <row r="7665">
      <c r="A7665" s="10" t="s">
        <v>9104</v>
      </c>
      <c r="B7665" s="7" t="str">
        <f>IFERROR(__xludf.DUMMYFUNCTION("SPLIT(A7665,"" "")"),"CNC1C(N(Cc2cccc(C)n2)Cc2cccc(C)n2)CCCC1N(Cc1nc(C)c(C)c(C)c1C)Cc1nc(C)c(C)c(C)c1C")</f>
        <v>CNC1C(N(Cc2cccc(C)n2)Cc2cccc(C)n2)CCCC1N(Cc1nc(C)c(C)c(C)c1C)Cc1nc(C)c(C)c(C)c1C</v>
      </c>
      <c r="C7665" s="7">
        <f>IFERROR(__xludf.DUMMYFUNCTION("""COMPUTED_VALUE"""),7.777559)</f>
        <v>7.777559</v>
      </c>
      <c r="D7665" s="7">
        <f>IFERROR(__xludf.DUMMYFUNCTION("""COMPUTED_VALUE"""),0.490196078431372)</f>
        <v>0.4901960784</v>
      </c>
    </row>
    <row r="7666">
      <c r="A7666" s="10" t="s">
        <v>9105</v>
      </c>
      <c r="B7666" s="7" t="str">
        <f>IFERROR(__xludf.DUMMYFUNCTION("SPLIT(A7666,"" "")"),"Cc1cnc(CN(C)CCC2=NCC(C)(C)O2)c(C)c1C")</f>
        <v>Cc1cnc(CN(C)CCC2=NCC(C)(C)O2)c(C)c1C</v>
      </c>
      <c r="C7666" s="7">
        <f>IFERROR(__xludf.DUMMYFUNCTION("""COMPUTED_VALUE"""),7.777554)</f>
        <v>7.777554</v>
      </c>
      <c r="D7666" s="7">
        <f>IFERROR(__xludf.DUMMYFUNCTION("""COMPUTED_VALUE"""),0.306122448979591)</f>
        <v>0.306122449</v>
      </c>
    </row>
    <row r="7667">
      <c r="A7667" s="10" t="s">
        <v>9106</v>
      </c>
      <c r="B7667" s="7" t="str">
        <f>IFERROR(__xludf.DUMMYFUNCTION("SPLIT(A7667,"" "")"),"Cc1cc(C)c(C)c(CN(C)C2CCCC(N(Cc3ccccn3)c3cccc(C)c3C)C2)n1")</f>
        <v>Cc1cc(C)c(C)c(CN(C)C2CCCC(N(Cc3ccccn3)c3cccc(C)c3C)C2)n1</v>
      </c>
      <c r="C7667" s="7">
        <f>IFERROR(__xludf.DUMMYFUNCTION("""COMPUTED_VALUE"""),7.7775483)</f>
        <v>7.7775483</v>
      </c>
      <c r="D7667" s="7">
        <f>IFERROR(__xludf.DUMMYFUNCTION("""COMPUTED_VALUE"""),0.393442622950819)</f>
        <v>0.393442623</v>
      </c>
    </row>
    <row r="7668">
      <c r="A7668" s="10" t="s">
        <v>9107</v>
      </c>
      <c r="B7668" s="7" t="str">
        <f>IFERROR(__xludf.DUMMYFUNCTION("SPLIT(A7668,"" "")"),"CN(CCN)CC1=CCC=C(N(C)Cc2ccccn2)N1")</f>
        <v>CN(CCN)CC1=CCC=C(N(C)Cc2ccccn2)N1</v>
      </c>
      <c r="C7668" s="7">
        <f>IFERROR(__xludf.DUMMYFUNCTION("""COMPUTED_VALUE"""),7.777534)</f>
        <v>7.777534</v>
      </c>
      <c r="D7668" s="7">
        <f>IFERROR(__xludf.DUMMYFUNCTION("""COMPUTED_VALUE"""),0.410714285714285)</f>
        <v>0.4107142857</v>
      </c>
    </row>
    <row r="7669">
      <c r="A7669" s="10" t="s">
        <v>9108</v>
      </c>
      <c r="B7669" s="7" t="str">
        <f>IFERROR(__xludf.DUMMYFUNCTION("SPLIT(A7669,"" "")"),"CC(C)N(C(C)C)C1CCC(N(C)c2ccc3ncccc3c2)CC1")</f>
        <v>CC(C)N(C(C)C)C1CCC(N(C)c2ccc3ncccc3c2)CC1</v>
      </c>
      <c r="C7669" s="7">
        <f>IFERROR(__xludf.DUMMYFUNCTION("""COMPUTED_VALUE"""),7.777532)</f>
        <v>7.777532</v>
      </c>
      <c r="D7669" s="7">
        <f>IFERROR(__xludf.DUMMYFUNCTION("""COMPUTED_VALUE"""),0.346153846153846)</f>
        <v>0.3461538462</v>
      </c>
    </row>
    <row r="7670">
      <c r="A7670" s="10" t="s">
        <v>9109</v>
      </c>
      <c r="B7670" s="7" t="str">
        <f>IFERROR(__xludf.DUMMYFUNCTION("SPLIT(A7670,"" "")"),"CN1CCN(C)CCN(CC2=CCC(N(C)c3ccc4ncccc4c3)=CN2)CC1")</f>
        <v>CN1CCN(C)CCN(CC2=CCC(N(C)c3ccc4ncccc4c3)=CN2)CC1</v>
      </c>
      <c r="C7670" s="7">
        <f>IFERROR(__xludf.DUMMYFUNCTION("""COMPUTED_VALUE"""),7.7775164)</f>
        <v>7.7775164</v>
      </c>
      <c r="D7670" s="7">
        <f>IFERROR(__xludf.DUMMYFUNCTION("""COMPUTED_VALUE"""),0.4)</f>
        <v>0.4</v>
      </c>
    </row>
    <row r="7671">
      <c r="A7671" s="10" t="s">
        <v>9110</v>
      </c>
      <c r="B7671" s="7" t="str">
        <f>IFERROR(__xludf.DUMMYFUNCTION("SPLIT(A7671,"" "")"),"CNCC1C(N(C)Cc2nc(C)c(C)c(C)c2C)CCN1Cc1nc(C)c(C)c(C)c1C")</f>
        <v>CNCC1C(N(C)Cc2nc(C)c(C)c(C)c2C)CCN1Cc1nc(C)c(C)c(C)c1C</v>
      </c>
      <c r="C7671" s="7">
        <f>IFERROR(__xludf.DUMMYFUNCTION("""COMPUTED_VALUE"""),7.7775164)</f>
        <v>7.7775164</v>
      </c>
      <c r="D7671" s="7">
        <f>IFERROR(__xludf.DUMMYFUNCTION("""COMPUTED_VALUE"""),0.254237288135593)</f>
        <v>0.2542372881</v>
      </c>
    </row>
    <row r="7672">
      <c r="A7672" s="10" t="s">
        <v>9111</v>
      </c>
      <c r="B7672" s="7" t="str">
        <f>IFERROR(__xludf.DUMMYFUNCTION("SPLIT(A7672,"" "")"),"CN(CC1=CC=CNC1NCc1ccccn1)Cc1ccccn1")</f>
        <v>CN(CC1=CC=CNC1NCc1ccccn1)Cc1ccccn1</v>
      </c>
      <c r="C7672" s="7">
        <f>IFERROR(__xludf.DUMMYFUNCTION("""COMPUTED_VALUE"""),7.777516)</f>
        <v>7.777516</v>
      </c>
      <c r="D7672" s="7">
        <f>IFERROR(__xludf.DUMMYFUNCTION("""COMPUTED_VALUE"""),0.423076923076923)</f>
        <v>0.4230769231</v>
      </c>
    </row>
    <row r="7673">
      <c r="A7673" s="10" t="s">
        <v>9112</v>
      </c>
      <c r="B7673" s="7" t="str">
        <f>IFERROR(__xludf.DUMMYFUNCTION("SPLIT(A7673,"" "")"),"CC1CC=Cc2ccc(C3(C)CC=CC(C)C3C)nc21")</f>
        <v>CC1CC=Cc2ccc(C3(C)CC=CC(C)C3C)nc21</v>
      </c>
      <c r="C7673" s="7">
        <f>IFERROR(__xludf.DUMMYFUNCTION("""COMPUTED_VALUE"""),7.7775116)</f>
        <v>7.7775116</v>
      </c>
      <c r="D7673" s="7">
        <f>IFERROR(__xludf.DUMMYFUNCTION("""COMPUTED_VALUE"""),0.160714285714285)</f>
        <v>0.1607142857</v>
      </c>
    </row>
    <row r="7674">
      <c r="A7674" s="10" t="s">
        <v>9113</v>
      </c>
      <c r="B7674" s="7" t="str">
        <f>IFERROR(__xludf.DUMMYFUNCTION("SPLIT(A7674,"" "")"),"Cc1cc(C)c(CN(C)CCN(C)CC(C)(C)C)nc1C")</f>
        <v>Cc1cc(C)c(CN(C)CCN(C)CC(C)(C)C)nc1C</v>
      </c>
      <c r="C7674" s="7">
        <f>IFERROR(__xludf.DUMMYFUNCTION("""COMPUTED_VALUE"""),7.7775073)</f>
        <v>7.7775073</v>
      </c>
      <c r="D7674" s="7">
        <f>IFERROR(__xludf.DUMMYFUNCTION("""COMPUTED_VALUE"""),0.325581395348837)</f>
        <v>0.3255813953</v>
      </c>
    </row>
    <row r="7675">
      <c r="A7675" s="10" t="s">
        <v>9114</v>
      </c>
      <c r="B7675" s="7" t="str">
        <f>IFERROR(__xludf.DUMMYFUNCTION("SPLIT(A7675,"" "")"),"CCOC(=O)C(C)NCc1cccc(CN(Cc2ccccn2)Cc2ccccn2)n1")</f>
        <v>CCOC(=O)C(C)NCc1cccc(CN(Cc2ccccn2)Cc2ccccn2)n1</v>
      </c>
      <c r="C7675" s="7">
        <f>IFERROR(__xludf.DUMMYFUNCTION("""COMPUTED_VALUE"""),7.7775073)</f>
        <v>7.7775073</v>
      </c>
      <c r="D7675" s="7">
        <f>IFERROR(__xludf.DUMMYFUNCTION("""COMPUTED_VALUE"""),0.446428571428571)</f>
        <v>0.4464285714</v>
      </c>
    </row>
    <row r="7676">
      <c r="A7676" s="10" t="s">
        <v>9115</v>
      </c>
      <c r="B7676" s="7" t="str">
        <f>IFERROR(__xludf.DUMMYFUNCTION("SPLIT(A7676,"" "")"),"Cc1cccnc1CN(C)C1=CNC(CN(Cc2ccccn2)CC(C)C(C)N)=CC1")</f>
        <v>Cc1cccnc1CN(C)C1=CNC(CN(Cc2ccccn2)CC(C)C(C)N)=CC1</v>
      </c>
      <c r="C7676" s="7">
        <f>IFERROR(__xludf.DUMMYFUNCTION("""COMPUTED_VALUE"""),7.7774944)</f>
        <v>7.7774944</v>
      </c>
      <c r="D7676" s="7">
        <f>IFERROR(__xludf.DUMMYFUNCTION("""COMPUTED_VALUE"""),0.388059701492537)</f>
        <v>0.3880597015</v>
      </c>
    </row>
    <row r="7677">
      <c r="A7677" s="10" t="s">
        <v>9116</v>
      </c>
      <c r="B7677" s="7" t="str">
        <f>IFERROR(__xludf.DUMMYFUNCTION("SPLIT(A7677,"" "")"),"CN1CCN(C)CCN(CC2=C(N(C)c3ccc4cccnc4c3)CC=CN2)CC1")</f>
        <v>CN1CCN(C)CCN(CC2=C(N(C)c3ccc4cccnc4c3)CC=CN2)CC1</v>
      </c>
      <c r="C7677" s="7">
        <f>IFERROR(__xludf.DUMMYFUNCTION("""COMPUTED_VALUE"""),7.7774854)</f>
        <v>7.7774854</v>
      </c>
      <c r="D7677" s="7">
        <f>IFERROR(__xludf.DUMMYFUNCTION("""COMPUTED_VALUE"""),0.365079365079365)</f>
        <v>0.3650793651</v>
      </c>
    </row>
    <row r="7678">
      <c r="A7678" s="10" t="s">
        <v>9117</v>
      </c>
      <c r="B7678" s="7" t="str">
        <f>IFERROR(__xludf.DUMMYFUNCTION("SPLIT(A7678,"" "")"),"CN(c1cccc2cc(CF)cnc12)C1CCCCC1N(Cc1ccc(CNCF)nc1)Cc1ccccn1")</f>
        <v>CN(c1cccc2cc(CF)cnc12)C1CCCCC1N(Cc1ccc(CNCF)nc1)Cc1ccccn1</v>
      </c>
      <c r="C7678" s="7">
        <f>IFERROR(__xludf.DUMMYFUNCTION("""COMPUTED_VALUE"""),7.777474)</f>
        <v>7.777474</v>
      </c>
      <c r="D7678" s="7">
        <f>IFERROR(__xludf.DUMMYFUNCTION("""COMPUTED_VALUE"""),0.430555555555555)</f>
        <v>0.4305555556</v>
      </c>
    </row>
    <row r="7679">
      <c r="A7679" s="10" t="s">
        <v>9118</v>
      </c>
      <c r="B7679" s="7" t="str">
        <f>IFERROR(__xludf.DUMMYFUNCTION("SPLIT(A7679,"" "")"),"CC1=CCC(C)C(C)(c2ncccc2CN(Cc2ccccn2)Cc2ncccc2C(C)(C)C)C1C")</f>
        <v>CC1=CCC(C)C(C)(c2ncccc2CN(Cc2ccccn2)Cc2ncccc2C(C)(C)C)C1C</v>
      </c>
      <c r="C7679" s="7">
        <f>IFERROR(__xludf.DUMMYFUNCTION("""COMPUTED_VALUE"""),7.777465)</f>
        <v>7.777465</v>
      </c>
      <c r="D7679" s="7">
        <f>IFERROR(__xludf.DUMMYFUNCTION("""COMPUTED_VALUE"""),0.370967741935483)</f>
        <v>0.3709677419</v>
      </c>
    </row>
    <row r="7680">
      <c r="A7680" s="10" t="s">
        <v>9119</v>
      </c>
      <c r="B7680" s="7" t="str">
        <f>IFERROR(__xludf.DUMMYFUNCTION("SPLIT(A7680,"" "")"),"CN(CC1=CCC=CN1)CC1=CCC=C(N(C)CC2=CCC=CN2)N1")</f>
        <v>CN(CC1=CCC=CN1)CC1=CCC=C(N(C)CC2=CCC=CN2)N1</v>
      </c>
      <c r="C7680" s="7">
        <f>IFERROR(__xludf.DUMMYFUNCTION("""COMPUTED_VALUE"""),7.7774644)</f>
        <v>7.7774644</v>
      </c>
      <c r="D7680" s="7">
        <f>IFERROR(__xludf.DUMMYFUNCTION("""COMPUTED_VALUE"""),0.38)</f>
        <v>0.38</v>
      </c>
    </row>
    <row r="7681">
      <c r="A7681" s="10" t="s">
        <v>9120</v>
      </c>
      <c r="B7681" s="7" t="str">
        <f>IFERROR(__xludf.DUMMYFUNCTION("SPLIT(A7681,"" "")"),"CNCc1cccc(CN(Cc2cccc(C)n2)C2CCC(N(C)Cc3cccc(-c4cccc(C)c4)n3)CC2)n1")</f>
        <v>CNCc1cccc(CN(Cc2cccc(C)n2)C2CCC(N(C)Cc3cccc(-c4cccc(C)c4)n3)CC2)n1</v>
      </c>
      <c r="C7681" s="7">
        <f>IFERROR(__xludf.DUMMYFUNCTION("""COMPUTED_VALUE"""),7.7774634)</f>
        <v>7.7774634</v>
      </c>
      <c r="D7681" s="7">
        <f>IFERROR(__xludf.DUMMYFUNCTION("""COMPUTED_VALUE"""),0.423728813559322)</f>
        <v>0.4237288136</v>
      </c>
    </row>
    <row r="7682">
      <c r="A7682" s="10" t="s">
        <v>9121</v>
      </c>
      <c r="B7682" s="7" t="str">
        <f>IFERROR(__xludf.DUMMYFUNCTION("SPLIT(A7682,"" "")"),"Cc1cccc(CNCc2ncccc2C(C)(C)C)c1")</f>
        <v>Cc1cccc(CNCc2ncccc2C(C)(C)C)c1</v>
      </c>
      <c r="C7682" s="7">
        <f>IFERROR(__xludf.DUMMYFUNCTION("""COMPUTED_VALUE"""),7.777463)</f>
        <v>7.777463</v>
      </c>
      <c r="D7682" s="7">
        <f>IFERROR(__xludf.DUMMYFUNCTION("""COMPUTED_VALUE"""),0.25531914893617)</f>
        <v>0.2553191489</v>
      </c>
    </row>
    <row r="7683">
      <c r="A7683" s="10" t="s">
        <v>9122</v>
      </c>
      <c r="B7683" s="7" t="str">
        <f>IFERROR(__xludf.DUMMYFUNCTION("SPLIT(A7683,"" "")"),"CNCCN(Cc1cc(C)ccn1)Cc1cc(C)c(C)c(C)n1")</f>
        <v>CNCCN(Cc1cc(C)ccn1)Cc1cc(C)c(C)c(C)n1</v>
      </c>
      <c r="C7683" s="7">
        <f>IFERROR(__xludf.DUMMYFUNCTION("""COMPUTED_VALUE"""),7.777461)</f>
        <v>7.777461</v>
      </c>
      <c r="D7683" s="7">
        <f>IFERROR(__xludf.DUMMYFUNCTION("""COMPUTED_VALUE"""),0.314814814814814)</f>
        <v>0.3148148148</v>
      </c>
    </row>
    <row r="7684">
      <c r="A7684" s="10" t="s">
        <v>9123</v>
      </c>
      <c r="B7684" s="7" t="str">
        <f>IFERROR(__xludf.DUMMYFUNCTION("SPLIT(A7684,"" "")"),"Cc1cccnc1CN(Cc1ccccn1)Cc1ccc(N(C)Cc2ncccc2-c2ccc3c(c2)OCCOCCOCCOCCOCCO3)cn1")</f>
        <v>Cc1cccnc1CN(Cc1ccccn1)Cc1ccc(N(C)Cc2ncccc2-c2ccc3c(c2)OCCOCCOCCOCCOCCO3)cn1</v>
      </c>
      <c r="C7684" s="7">
        <f>IFERROR(__xludf.DUMMYFUNCTION("""COMPUTED_VALUE"""),7.77746)</f>
        <v>7.77746</v>
      </c>
      <c r="D7684" s="7">
        <f>IFERROR(__xludf.DUMMYFUNCTION("""COMPUTED_VALUE"""),0.3375)</f>
        <v>0.3375</v>
      </c>
    </row>
    <row r="7685">
      <c r="A7685" s="10" t="s">
        <v>9124</v>
      </c>
      <c r="B7685" s="7" t="str">
        <f>IFERROR(__xludf.DUMMYFUNCTION("SPLIT(A7685,"" "")"),"C=CCNCc1cc(CN(Cc2ccccn2)Cc2cc(C)ccn2)ccn1")</f>
        <v>C=CCNCc1cc(CN(Cc2ccccn2)Cc2cc(C)ccn2)ccn1</v>
      </c>
      <c r="C7685" s="7">
        <f>IFERROR(__xludf.DUMMYFUNCTION("""COMPUTED_VALUE"""),7.7774596)</f>
        <v>7.7774596</v>
      </c>
      <c r="D7685" s="7">
        <f>IFERROR(__xludf.DUMMYFUNCTION("""COMPUTED_VALUE"""),0.434782608695652)</f>
        <v>0.4347826087</v>
      </c>
    </row>
    <row r="7686">
      <c r="A7686" s="10" t="s">
        <v>9125</v>
      </c>
      <c r="B7686" s="7" t="str">
        <f>IFERROR(__xludf.DUMMYFUNCTION("SPLIT(A7686,"" "")"),"CC1C=CCC(C)C1(C)c1ncccc1CN(Cc1ccccn1)Cc1ccc(C(C)(C)C)cn1")</f>
        <v>CC1C=CCC(C)C1(C)c1ncccc1CN(Cc1ccccn1)Cc1ccc(C(C)(C)C)cn1</v>
      </c>
      <c r="C7686" s="7">
        <f>IFERROR(__xludf.DUMMYFUNCTION("""COMPUTED_VALUE"""),7.777458)</f>
        <v>7.777458</v>
      </c>
      <c r="D7686" s="7">
        <f>IFERROR(__xludf.DUMMYFUNCTION("""COMPUTED_VALUE"""),0.350877192982456)</f>
        <v>0.350877193</v>
      </c>
    </row>
    <row r="7687">
      <c r="A7687" s="10" t="s">
        <v>9126</v>
      </c>
      <c r="B7687" s="7" t="str">
        <f>IFERROR(__xludf.DUMMYFUNCTION("SPLIT(A7687,"" "")"),"Fc1cccc(CN(Cc2cccc(-c3ccc4c(c3)OCCOCCOCCOCCOCCO4)n2)Cc2ccnc3ccccc23)n1")</f>
        <v>Fc1cccc(CN(Cc2cccc(-c3ccc4c(c3)OCCOCCOCCOCCOCCO4)n2)Cc2ccnc3ccccc23)n1</v>
      </c>
      <c r="C7687" s="7">
        <f>IFERROR(__xludf.DUMMYFUNCTION("""COMPUTED_VALUE"""),7.7774568)</f>
        <v>7.7774568</v>
      </c>
      <c r="D7687" s="7">
        <f>IFERROR(__xludf.DUMMYFUNCTION("""COMPUTED_VALUE"""),0.366197183098591)</f>
        <v>0.3661971831</v>
      </c>
    </row>
    <row r="7688">
      <c r="A7688" s="10" t="s">
        <v>9127</v>
      </c>
      <c r="B7688" s="7" t="str">
        <f>IFERROR(__xludf.DUMMYFUNCTION("SPLIT(A7688,"" "")"),"CNCc1cccc(CN(C)Cc2ccc(F)cn2)n1")</f>
        <v>CNCc1cccc(CN(C)Cc2ccc(F)cn2)n1</v>
      </c>
      <c r="C7688" s="7">
        <f>IFERROR(__xludf.DUMMYFUNCTION("""COMPUTED_VALUE"""),7.7774496)</f>
        <v>7.7774496</v>
      </c>
      <c r="D7688" s="7">
        <f>IFERROR(__xludf.DUMMYFUNCTION("""COMPUTED_VALUE"""),0.425531914893617)</f>
        <v>0.4255319149</v>
      </c>
    </row>
    <row r="7689">
      <c r="A7689" s="10" t="s">
        <v>9128</v>
      </c>
      <c r="B7689" s="7" t="str">
        <f>IFERROR(__xludf.DUMMYFUNCTION("SPLIT(A7689,"" "")"),"Cc1cccc(C)n1")</f>
        <v>Cc1cccc(C)n1</v>
      </c>
      <c r="C7689" s="7">
        <f>IFERROR(__xludf.DUMMYFUNCTION("""COMPUTED_VALUE"""),7.7774467)</f>
        <v>7.7774467</v>
      </c>
      <c r="D7689" s="7">
        <f>IFERROR(__xludf.DUMMYFUNCTION("""COMPUTED_VALUE"""),0.461538461538461)</f>
        <v>0.4615384615</v>
      </c>
    </row>
    <row r="7690">
      <c r="A7690" s="10" t="s">
        <v>9129</v>
      </c>
      <c r="B7690" s="7" t="str">
        <f>IFERROR(__xludf.DUMMYFUNCTION("SPLIT(A7690,"" "")"),"CN1CCN(C)CCN(CC2=CCC(N(C)c3cccc4ncccc34)=CN2)CC1")</f>
        <v>CN1CCN(C)CCN(CC2=CCC(N(C)c3cccc4ncccc34)=CN2)CC1</v>
      </c>
      <c r="C7690" s="7">
        <f>IFERROR(__xludf.DUMMYFUNCTION("""COMPUTED_VALUE"""),7.7774467)</f>
        <v>7.7774467</v>
      </c>
      <c r="D7690" s="7">
        <f>IFERROR(__xludf.DUMMYFUNCTION("""COMPUTED_VALUE"""),0.362068965517241)</f>
        <v>0.3620689655</v>
      </c>
    </row>
    <row r="7691">
      <c r="A7691" s="10" t="s">
        <v>9130</v>
      </c>
      <c r="B7691" s="7" t="str">
        <f>IFERROR(__xludf.DUMMYFUNCTION("SPLIT(A7691,"" "")"),"Cc1ccc(C)c(CN(C)C2=CNC(CN(C)C(C)C(C)C)=CC2)n1")</f>
        <v>Cc1ccc(C)c(CN(C)C2=CNC(CN(C)C(C)C(C)C)=CC2)n1</v>
      </c>
      <c r="C7691" s="7">
        <f>IFERROR(__xludf.DUMMYFUNCTION("""COMPUTED_VALUE"""),7.7774444)</f>
        <v>7.7774444</v>
      </c>
      <c r="D7691" s="7">
        <f>IFERROR(__xludf.DUMMYFUNCTION("""COMPUTED_VALUE"""),0.228070175438596)</f>
        <v>0.2280701754</v>
      </c>
    </row>
    <row r="7692">
      <c r="A7692" s="10" t="s">
        <v>9131</v>
      </c>
      <c r="B7692" s="7" t="str">
        <f>IFERROR(__xludf.DUMMYFUNCTION("SPLIT(A7692,"" "")"),"CNCCN(Cc1ccccn1)Cc1nc(N)c(C)c(C)c1C")</f>
        <v>CNCCN(Cc1ccccn1)Cc1nc(N)c(C)c(C)c1C</v>
      </c>
      <c r="C7692" s="7">
        <f>IFERROR(__xludf.DUMMYFUNCTION("""COMPUTED_VALUE"""),7.7774444)</f>
        <v>7.7774444</v>
      </c>
      <c r="D7692" s="7">
        <f>IFERROR(__xludf.DUMMYFUNCTION("""COMPUTED_VALUE"""),0.489361702127659)</f>
        <v>0.4893617021</v>
      </c>
    </row>
    <row r="7693">
      <c r="A7693" s="10" t="s">
        <v>9132</v>
      </c>
      <c r="B7693" s="7" t="str">
        <f>IFERROR(__xludf.DUMMYFUNCTION("SPLIT(A7693,"" "")"),"CNCCN(Cc1cc(C)ccn1)Cc1nc(C)c(C)cc1C")</f>
        <v>CNCCN(Cc1cc(C)ccn1)Cc1nc(C)c(C)cc1C</v>
      </c>
      <c r="C7693" s="7">
        <f>IFERROR(__xludf.DUMMYFUNCTION("""COMPUTED_VALUE"""),7.7774363)</f>
        <v>7.7774363</v>
      </c>
      <c r="D7693" s="7">
        <f>IFERROR(__xludf.DUMMYFUNCTION("""COMPUTED_VALUE"""),0.314814814814814)</f>
        <v>0.3148148148</v>
      </c>
    </row>
    <row r="7694">
      <c r="A7694" s="10" t="s">
        <v>9133</v>
      </c>
      <c r="B7694" s="7" t="str">
        <f>IFERROR(__xludf.DUMMYFUNCTION("SPLIT(A7694,"" "")"),"CN(CCN(C)c1ccc(F)cc1)Cc1ccccn1")</f>
        <v>CN(CCN(C)c1ccc(F)cc1)Cc1ccccn1</v>
      </c>
      <c r="C7694" s="7">
        <f>IFERROR(__xludf.DUMMYFUNCTION("""COMPUTED_VALUE"""),7.7774186)</f>
        <v>7.7774186</v>
      </c>
      <c r="D7694" s="7">
        <f>IFERROR(__xludf.DUMMYFUNCTION("""COMPUTED_VALUE"""),0.48780487804878)</f>
        <v>0.487804878</v>
      </c>
    </row>
    <row r="7695">
      <c r="A7695" s="10" t="s">
        <v>9134</v>
      </c>
      <c r="B7695" s="7" t="str">
        <f>IFERROR(__xludf.DUMMYFUNCTION("SPLIT(A7695,"" "")"),"CC(C)C(C)N(CCN(C)Cc1ccc2ncccc2c1)Cc1ccccn1")</f>
        <v>CC(C)C(C)N(CCN(C)Cc1ccc2ncccc2c1)Cc1ccccn1</v>
      </c>
      <c r="C7695" s="7">
        <f>IFERROR(__xludf.DUMMYFUNCTION("""COMPUTED_VALUE"""),7.7774153)</f>
        <v>7.7774153</v>
      </c>
      <c r="D7695" s="7">
        <f>IFERROR(__xludf.DUMMYFUNCTION("""COMPUTED_VALUE"""),0.48)</f>
        <v>0.48</v>
      </c>
    </row>
    <row r="7696">
      <c r="A7696" s="10" t="s">
        <v>9135</v>
      </c>
      <c r="B7696" s="7" t="str">
        <f>IFERROR(__xludf.DUMMYFUNCTION("SPLIT(A7696,"" "")"),"CC(C)N(Cc1cc(C(C)(C)C)ccn1)Cc1cc(C(C)(C)C(C)C)ccn1")</f>
        <v>CC(C)N(Cc1cc(C(C)(C)C)ccn1)Cc1cc(C(C)(C)C(C)C)ccn1</v>
      </c>
      <c r="C7696" s="7">
        <f>IFERROR(__xludf.DUMMYFUNCTION("""COMPUTED_VALUE"""),7.7774105)</f>
        <v>7.7774105</v>
      </c>
      <c r="D7696" s="7">
        <f>IFERROR(__xludf.DUMMYFUNCTION("""COMPUTED_VALUE"""),0.441860465116279)</f>
        <v>0.4418604651</v>
      </c>
    </row>
    <row r="7697">
      <c r="A7697" s="10" t="s">
        <v>9136</v>
      </c>
      <c r="B7697" s="7" t="str">
        <f>IFERROR(__xludf.DUMMYFUNCTION("SPLIT(A7697,"" "")"),"CC1=CC(C)(C)C(C)(C)C2=C1CC=C(C(C)C)N2")</f>
        <v>CC1=CC(C)(C)C(C)(C)C2=C1CC=C(C(C)C)N2</v>
      </c>
      <c r="C7697" s="7">
        <f>IFERROR(__xludf.DUMMYFUNCTION("""COMPUTED_VALUE"""),7.777404)</f>
        <v>7.777404</v>
      </c>
      <c r="D7697" s="7">
        <f>IFERROR(__xludf.DUMMYFUNCTION("""COMPUTED_VALUE"""),0.117647058823529)</f>
        <v>0.1176470588</v>
      </c>
    </row>
    <row r="7698">
      <c r="A7698" s="10" t="s">
        <v>9137</v>
      </c>
      <c r="B7698" s="7" t="str">
        <f>IFERROR(__xludf.DUMMYFUNCTION("SPLIT(A7698,"" "")"),"Cc1cccnc1CN(C)CC1=C(N(C)C(C)C)CC=CN1")</f>
        <v>Cc1cccnc1CN(C)CC1=C(N(C)C(C)C)CC=CN1</v>
      </c>
      <c r="C7698" s="7">
        <f>IFERROR(__xludf.DUMMYFUNCTION("""COMPUTED_VALUE"""),7.7773986)</f>
        <v>7.7773986</v>
      </c>
      <c r="D7698" s="7">
        <f>IFERROR(__xludf.DUMMYFUNCTION("""COMPUTED_VALUE"""),0.29090909090909)</f>
        <v>0.2909090909</v>
      </c>
    </row>
    <row r="7699">
      <c r="A7699" s="10" t="s">
        <v>9138</v>
      </c>
      <c r="B7699" s="7" t="str">
        <f>IFERROR(__xludf.DUMMYFUNCTION("SPLIT(A7699,"" "")"),"Cc1cncc(CN(C)CCN(C)Cc2ncc(C)cc2C)c1")</f>
        <v>Cc1cncc(CN(C)CCN(C)Cc2ncc(C)cc2C)c1</v>
      </c>
      <c r="C7699" s="7">
        <f>IFERROR(__xludf.DUMMYFUNCTION("""COMPUTED_VALUE"""),7.7773914)</f>
        <v>7.7773914</v>
      </c>
      <c r="D7699" s="7">
        <f>IFERROR(__xludf.DUMMYFUNCTION("""COMPUTED_VALUE"""),0.404761904761904)</f>
        <v>0.4047619048</v>
      </c>
    </row>
    <row r="7700">
      <c r="A7700" s="10" t="s">
        <v>9139</v>
      </c>
      <c r="B7700" s="7" t="str">
        <f>IFERROR(__xludf.DUMMYFUNCTION("SPLIT(A7700,"" "")"),"CNCc1cccc(CN(Cc2ccccn2)Cc2cccc(C3CC(Cl)C3Cl)n2)n1")</f>
        <v>CNCc1cccc(CN(Cc2ccccn2)Cc2cccc(C3CC(Cl)C3Cl)n2)n1</v>
      </c>
      <c r="C7700" s="7">
        <f>IFERROR(__xludf.DUMMYFUNCTION("""COMPUTED_VALUE"""),7.77739)</f>
        <v>7.77739</v>
      </c>
      <c r="D7700" s="7">
        <f>IFERROR(__xludf.DUMMYFUNCTION("""COMPUTED_VALUE"""),0.416666666666666)</f>
        <v>0.4166666667</v>
      </c>
    </row>
    <row r="7701">
      <c r="A7701" s="10" t="s">
        <v>9140</v>
      </c>
      <c r="B7701" s="7" t="str">
        <f>IFERROR(__xludf.DUMMYFUNCTION("SPLIT(A7701,"" "")"),"Cc1cnc(CN(C)C2=CNC=CC2CN(C)C(C)(C)C)c(C)c1")</f>
        <v>Cc1cnc(CN(C)C2=CNC=CC2CN(C)C(C)(C)C)c(C)c1</v>
      </c>
      <c r="C7701" s="7">
        <f>IFERROR(__xludf.DUMMYFUNCTION("""COMPUTED_VALUE"""),7.7773743)</f>
        <v>7.7773743</v>
      </c>
      <c r="D7701" s="7">
        <f>IFERROR(__xludf.DUMMYFUNCTION("""COMPUTED_VALUE"""),0.224137931034482)</f>
        <v>0.224137931</v>
      </c>
    </row>
    <row r="7702">
      <c r="A7702" s="10" t="s">
        <v>9141</v>
      </c>
      <c r="B7702" s="7" t="str">
        <f>IFERROR(__xludf.DUMMYFUNCTION("SPLIT(A7702,"" "")"),"CC1=C(C)CC2(C(C)C1)C(c1ncccc1CN(Cc1ccccn1)C1CCCC(N(C)c3cccc4ncc(CF)cc34)C1)C(c1cc(CN(Cc3ccccn3)C3CCCCC3)ccn1)C=CC21CC(C)=C(C)C(C)C1")</f>
        <v>CC1=C(C)CC2(C(C)C1)C(c1ncccc1CN(Cc1ccccn1)C1CCCC(N(C)c3cccc4ncc(CF)cc34)C1)C(c1cc(CN(Cc3ccccn3)C3CCCCC3)ccn1)C=CC21CC(C)=C(C)C(C)C1</v>
      </c>
      <c r="C7702" s="7">
        <f>IFERROR(__xludf.DUMMYFUNCTION("""COMPUTED_VALUE"""),7.7773743)</f>
        <v>7.7773743</v>
      </c>
      <c r="D7702" s="7">
        <f>IFERROR(__xludf.DUMMYFUNCTION("""COMPUTED_VALUE"""),0.222222222222222)</f>
        <v>0.2222222222</v>
      </c>
    </row>
    <row r="7703">
      <c r="A7703" s="10" t="s">
        <v>9142</v>
      </c>
      <c r="B7703" s="7" t="str">
        <f>IFERROR(__xludf.DUMMYFUNCTION("SPLIT(A7703,"" "")"),"Cc1ccc(CN(C)C2CC(N(C)Cc3ccccn3)CC(N(Cc3nc(C)cc(C)c3C)Cc3nc(C)cc(C)c3C)C2)nc1")</f>
        <v>Cc1ccc(CN(C)C2CC(N(C)Cc3ccccn3)CC(N(Cc3nc(C)cc(C)c3C)Cc3nc(C)cc(C)c3C)C2)nc1</v>
      </c>
      <c r="C7703" s="7">
        <f>IFERROR(__xludf.DUMMYFUNCTION("""COMPUTED_VALUE"""),7.7773695)</f>
        <v>7.7773695</v>
      </c>
      <c r="D7703" s="7">
        <f>IFERROR(__xludf.DUMMYFUNCTION("""COMPUTED_VALUE"""),0.406779661016949)</f>
        <v>0.406779661</v>
      </c>
    </row>
    <row r="7704">
      <c r="A7704" s="10" t="s">
        <v>9143</v>
      </c>
      <c r="B7704" s="7" t="str">
        <f>IFERROR(__xludf.DUMMYFUNCTION("SPLIT(A7704,"" "")"),"CC(C)NCc1cccc(CN(Cc2ccccn2)C(C)(N)N(Cc2ccccn2)C(C)C)n1")</f>
        <v>CC(C)NCc1cccc(CN(Cc2ccccn2)C(C)(N)N(Cc2ccccn2)C(C)C)n1</v>
      </c>
      <c r="C7704" s="7">
        <f>IFERROR(__xludf.DUMMYFUNCTION("""COMPUTED_VALUE"""),7.7773657)</f>
        <v>7.7773657</v>
      </c>
      <c r="D7704" s="7">
        <f>IFERROR(__xludf.DUMMYFUNCTION("""COMPUTED_VALUE"""),0.403846153846153)</f>
        <v>0.4038461538</v>
      </c>
    </row>
    <row r="7705">
      <c r="A7705" s="10" t="s">
        <v>9144</v>
      </c>
      <c r="B7705" s="7" t="str">
        <f>IFERROR(__xludf.DUMMYFUNCTION("SPLIT(A7705,"" "")"),"CC1C=CCC(c2ccc(CN(Cc3ccccn3)C3CCC(N(C)c4ccc5ncc(CF)cc5c4)CC3)cn2)C1C")</f>
        <v>CC1C=CCC(c2ccc(CN(Cc3ccccn3)C3CCC(N(C)c4ccc5ncc(CF)cc5c4)CC3)cn2)C1C</v>
      </c>
      <c r="C7705" s="7">
        <f>IFERROR(__xludf.DUMMYFUNCTION("""COMPUTED_VALUE"""),7.7773585)</f>
        <v>7.7773585</v>
      </c>
      <c r="D7705" s="7">
        <f>IFERROR(__xludf.DUMMYFUNCTION("""COMPUTED_VALUE"""),0.278481012658227)</f>
        <v>0.2784810127</v>
      </c>
    </row>
    <row r="7706">
      <c r="A7706" s="10" t="s">
        <v>9145</v>
      </c>
      <c r="B7706" s="7" t="str">
        <f>IFERROR(__xludf.DUMMYFUNCTION("SPLIT(A7706,"" "")"),"CC1=C(N(C)Cc2ccccn2)CC(C)(C)C(C)C1")</f>
        <v>CC1=C(N(C)Cc2ccccn2)CC(C)(C)C(C)C1</v>
      </c>
      <c r="C7706" s="7">
        <f>IFERROR(__xludf.DUMMYFUNCTION("""COMPUTED_VALUE"""),7.777351)</f>
        <v>7.777351</v>
      </c>
      <c r="D7706" s="7">
        <f>IFERROR(__xludf.DUMMYFUNCTION("""COMPUTED_VALUE"""),0.4375)</f>
        <v>0.4375</v>
      </c>
    </row>
    <row r="7707">
      <c r="A7707" s="10" t="s">
        <v>9146</v>
      </c>
      <c r="B7707" s="7" t="str">
        <f>IFERROR(__xludf.DUMMYFUNCTION("SPLIT(A7707,"" "")"),"C=CCNCc1cccc(CN(Cc2ccccn2)C2CCCCC2N(C)c2ccc3ccc(CF)nc3c2)n1")</f>
        <v>C=CCNCc1cccc(CN(Cc2ccccn2)C2CCCCC2N(C)c2ccc3ccc(CF)nc3c2)n1</v>
      </c>
      <c r="C7707" s="7">
        <f>IFERROR(__xludf.DUMMYFUNCTION("""COMPUTED_VALUE"""),7.7773504)</f>
        <v>7.7773504</v>
      </c>
      <c r="D7707" s="7">
        <f>IFERROR(__xludf.DUMMYFUNCTION("""COMPUTED_VALUE"""),0.397260273972602)</f>
        <v>0.397260274</v>
      </c>
    </row>
    <row r="7708">
      <c r="A7708" s="10" t="s">
        <v>9147</v>
      </c>
      <c r="B7708" s="7" t="str">
        <f>IFERROR(__xludf.DUMMYFUNCTION("SPLIT(A7708,"" "")"),"CC(C)N(C)C1=CCC=C(CN(C)Cc2ccccn2)N1")</f>
        <v>CC(C)N(C)C1=CCC=C(CN(C)Cc2ccccn2)N1</v>
      </c>
      <c r="C7708" s="7">
        <f>IFERROR(__xludf.DUMMYFUNCTION("""COMPUTED_VALUE"""),7.777343)</f>
        <v>7.777343</v>
      </c>
      <c r="D7708" s="7">
        <f>IFERROR(__xludf.DUMMYFUNCTION("""COMPUTED_VALUE"""),0.468085106382978)</f>
        <v>0.4680851064</v>
      </c>
    </row>
    <row r="7709">
      <c r="A7709" s="10" t="s">
        <v>9148</v>
      </c>
      <c r="B7709" s="7" t="str">
        <f>IFERROR(__xludf.DUMMYFUNCTION("SPLIT(A7709,"" "")"),"CCN(CC1=CC(N(C)Cc2ncccc2C)C=CN1)Cc1cccnc1C")</f>
        <v>CCN(CC1=CC(N(C)Cc2ncccc2C)C=CN1)Cc1cccnc1C</v>
      </c>
      <c r="C7709" s="7">
        <f>IFERROR(__xludf.DUMMYFUNCTION("""COMPUTED_VALUE"""),7.7773323)</f>
        <v>7.7773323</v>
      </c>
      <c r="D7709" s="7">
        <f>IFERROR(__xludf.DUMMYFUNCTION("""COMPUTED_VALUE"""),0.26865671641791)</f>
        <v>0.2686567164</v>
      </c>
    </row>
    <row r="7710">
      <c r="A7710" s="10" t="s">
        <v>9149</v>
      </c>
      <c r="B7710" s="7" t="str">
        <f>IFERROR(__xludf.DUMMYFUNCTION("SPLIT(A7710,"" "")"),"Cc1ccnc(CN(C)C2CCCC(N(C)Cc3ccccn3)C2N(Cc2nc(C)c(C)c(C)c2C)Cc2nc(C)c(C)c(C)c2C)c1C")</f>
        <v>Cc1ccnc(CN(C)C2CCCC(N(C)Cc3ccccn3)C2N(Cc2nc(C)c(C)c(C)c2C)Cc2nc(C)c(C)c(C)c2C)c1C</v>
      </c>
      <c r="C7710" s="7">
        <f>IFERROR(__xludf.DUMMYFUNCTION("""COMPUTED_VALUE"""),7.777329)</f>
        <v>7.777329</v>
      </c>
      <c r="D7710" s="7">
        <f>IFERROR(__xludf.DUMMYFUNCTION("""COMPUTED_VALUE"""),0.5)</f>
        <v>0.5</v>
      </c>
    </row>
    <row r="7711">
      <c r="A7711" s="10" t="s">
        <v>9150</v>
      </c>
      <c r="B7711" s="7" t="str">
        <f>IFERROR(__xludf.DUMMYFUNCTION("SPLIT(A7711,"" "")"),"CNCN(Cc1ccccn1)Cc1ncc(C)c(C)c1C")</f>
        <v>CNCN(Cc1ccccn1)Cc1ncc(C)c(C)c1C</v>
      </c>
      <c r="C7711" s="7">
        <f>IFERROR(__xludf.DUMMYFUNCTION("""COMPUTED_VALUE"""),7.7773275)</f>
        <v>7.7773275</v>
      </c>
      <c r="D7711" s="7">
        <f>IFERROR(__xludf.DUMMYFUNCTION("""COMPUTED_VALUE"""),0.487179487179487)</f>
        <v>0.4871794872</v>
      </c>
    </row>
    <row r="7712">
      <c r="A7712" s="10" t="s">
        <v>9151</v>
      </c>
      <c r="B7712" s="7" t="str">
        <f>IFERROR(__xludf.DUMMYFUNCTION("SPLIT(A7712,"" "")"),"CN(CN)C1=CC(CN(Cc2ccccn2)Cc2ccccn2)C=CN1")</f>
        <v>CN(CN)C1=CC(CN(Cc2ccccn2)Cc2ccccn2)C=CN1</v>
      </c>
      <c r="C7712" s="7">
        <f>IFERROR(__xludf.DUMMYFUNCTION("""COMPUTED_VALUE"""),7.7773247)</f>
        <v>7.7773247</v>
      </c>
      <c r="D7712" s="7">
        <f>IFERROR(__xludf.DUMMYFUNCTION("""COMPUTED_VALUE"""),0.436363636363636)</f>
        <v>0.4363636364</v>
      </c>
    </row>
    <row r="7713">
      <c r="A7713" s="10" t="s">
        <v>9152</v>
      </c>
      <c r="B7713" s="7" t="str">
        <f>IFERROR(__xludf.DUMMYFUNCTION("SPLIT(A7713,"" "")"),"CNCCN(C)Cc1cc(C)c(C)c(C)n1")</f>
        <v>CNCCN(C)Cc1cc(C)c(C)c(C)n1</v>
      </c>
      <c r="C7713" s="7">
        <f>IFERROR(__xludf.DUMMYFUNCTION("""COMPUTED_VALUE"""),7.7773223)</f>
        <v>7.7773223</v>
      </c>
      <c r="D7713" s="7">
        <f>IFERROR(__xludf.DUMMYFUNCTION("""COMPUTED_VALUE"""),0.357142857142857)</f>
        <v>0.3571428571</v>
      </c>
    </row>
    <row r="7714">
      <c r="A7714" s="10" t="s">
        <v>9153</v>
      </c>
      <c r="B7714" s="7" t="str">
        <f>IFERROR(__xludf.DUMMYFUNCTION("SPLIT(A7714,"" "")"),"CC(C)N(C)Cc1ccc(CN(Cc2ccccn2)Cc2ncccc2F)nc1")</f>
        <v>CC(C)N(C)Cc1ccc(CN(Cc2ccccn2)Cc2ncccc2F)nc1</v>
      </c>
      <c r="C7714" s="7">
        <f>IFERROR(__xludf.DUMMYFUNCTION("""COMPUTED_VALUE"""),7.7773013)</f>
        <v>7.7773013</v>
      </c>
      <c r="D7714" s="7">
        <f>IFERROR(__xludf.DUMMYFUNCTION("""COMPUTED_VALUE"""),0.434782608695652)</f>
        <v>0.4347826087</v>
      </c>
    </row>
    <row r="7715">
      <c r="A7715" s="10" t="s">
        <v>9154</v>
      </c>
      <c r="B7715" s="7" t="str">
        <f>IFERROR(__xludf.DUMMYFUNCTION("SPLIT(A7715,"" "")"),"CCOC(=O)C1CC(c2ccccn2)C(CN(Cc2ccccn2)Cc2ccccn2)N(C)C1c1ccccn1")</f>
        <v>CCOC(=O)C1CC(c2ccccn2)C(CN(Cc2ccccn2)Cc2ccccn2)N(C)C1c1ccccn1</v>
      </c>
      <c r="C7715" s="7">
        <f>IFERROR(__xludf.DUMMYFUNCTION("""COMPUTED_VALUE"""),7.777289)</f>
        <v>7.777289</v>
      </c>
      <c r="D7715" s="7">
        <f>IFERROR(__xludf.DUMMYFUNCTION("""COMPUTED_VALUE"""),0.339285714285714)</f>
        <v>0.3392857143</v>
      </c>
    </row>
    <row r="7716">
      <c r="A7716" s="10" t="s">
        <v>9155</v>
      </c>
      <c r="B7716" s="7" t="str">
        <f>IFERROR(__xludf.DUMMYFUNCTION("SPLIT(A7716,"" "")"),"CC(C)C(C)N(Cc1ccccn1)Cc1cc(C(C)(C)c2ccccn2)ccn1")</f>
        <v>CC(C)C(C)N(Cc1ccccn1)Cc1cc(C(C)(C)c2ccccn2)ccn1</v>
      </c>
      <c r="C7716" s="7">
        <f>IFERROR(__xludf.DUMMYFUNCTION("""COMPUTED_VALUE"""),7.777285)</f>
        <v>7.777285</v>
      </c>
      <c r="D7716" s="7">
        <f>IFERROR(__xludf.DUMMYFUNCTION("""COMPUTED_VALUE"""),0.468085106382978)</f>
        <v>0.4680851064</v>
      </c>
    </row>
    <row r="7717">
      <c r="A7717" s="10" t="s">
        <v>9156</v>
      </c>
      <c r="B7717" s="7" t="str">
        <f>IFERROR(__xludf.DUMMYFUNCTION("SPLIT(A7717,"" "")"),"CN(CCNCCN)Cc1cccc2ncccc12")</f>
        <v>CN(CCNCCN)Cc1cccc2ncccc12</v>
      </c>
      <c r="C7717" s="7">
        <f>IFERROR(__xludf.DUMMYFUNCTION("""COMPUTED_VALUE"""),7.7772756)</f>
        <v>7.7772756</v>
      </c>
      <c r="D7717" s="7">
        <f>IFERROR(__xludf.DUMMYFUNCTION("""COMPUTED_VALUE"""),0.446808510638297)</f>
        <v>0.4468085106</v>
      </c>
    </row>
    <row r="7718">
      <c r="A7718" s="10" t="s">
        <v>9157</v>
      </c>
      <c r="B7718" s="7" t="str">
        <f>IFERROR(__xludf.DUMMYFUNCTION("SPLIT(A7718,"" "")"),"Cc1cnc(CN(C)Cc2ccc3ncccc3c2)c(-c2ccc3c(c2)OCCOCCOCCOCCOCCO3)c1")</f>
        <v>Cc1cnc(CN(C)Cc2ccc3ncccc3c2)c(-c2ccc3c(c2)OCCOCCOCCOCCOCCO3)c1</v>
      </c>
      <c r="C7718" s="7">
        <f>IFERROR(__xludf.DUMMYFUNCTION("""COMPUTED_VALUE"""),7.777275)</f>
        <v>7.777275</v>
      </c>
      <c r="D7718" s="7">
        <f>IFERROR(__xludf.DUMMYFUNCTION("""COMPUTED_VALUE"""),0.307692307692307)</f>
        <v>0.3076923077</v>
      </c>
    </row>
    <row r="7719">
      <c r="A7719" s="10" t="s">
        <v>9158</v>
      </c>
      <c r="B7719" s="7" t="str">
        <f>IFERROR(__xludf.DUMMYFUNCTION("SPLIT(A7719,"" "")"),"CC(C)C1=CC2(C=CN1)CC(c1cc(CN(Cc3ccccn3)Cc3ccccn3)ccn1)C(C)(C)C=C2c1ccc(CN(Cc2ccccn2)Cc2cccc(-c3ccc4c(c3)OCCOCCOCCOCCOCCO4)n2)cn1")</f>
        <v>CC(C)C1=CC2(C=CN1)CC(c1cc(CN(Cc3ccccn3)Cc3ccccn3)ccn1)C(C)(C)C=C2c1ccc(CN(Cc2ccccn2)Cc2cccc(-c3ccc4c(c3)OCCOCCOCCOCCOCCO4)n2)cn1</v>
      </c>
      <c r="C7719" s="7">
        <f>IFERROR(__xludf.DUMMYFUNCTION("""COMPUTED_VALUE"""),7.7772746)</f>
        <v>7.7772746</v>
      </c>
      <c r="D7719" s="7">
        <f>IFERROR(__xludf.DUMMYFUNCTION("""COMPUTED_VALUE"""),0.316326530612244)</f>
        <v>0.3163265306</v>
      </c>
    </row>
    <row r="7720">
      <c r="A7720" s="10" t="s">
        <v>9159</v>
      </c>
      <c r="B7720" s="7" t="str">
        <f>IFERROR(__xludf.DUMMYFUNCTION("SPLIT(A7720,"" "")"),"CCN(Cc1ccccn1)C1CCCCC1N(C)c1ccc2nc(CF)ccc2c1")</f>
        <v>CCN(Cc1ccccn1)C1CCCCC1N(C)c1ccc2nc(CF)ccc2c1</v>
      </c>
      <c r="C7720" s="7">
        <f>IFERROR(__xludf.DUMMYFUNCTION("""COMPUTED_VALUE"""),7.777273)</f>
        <v>7.777273</v>
      </c>
      <c r="D7720" s="7">
        <f>IFERROR(__xludf.DUMMYFUNCTION("""COMPUTED_VALUE"""),0.456140350877192)</f>
        <v>0.4561403509</v>
      </c>
    </row>
    <row r="7721">
      <c r="A7721" s="10" t="s">
        <v>9160</v>
      </c>
      <c r="B7721" s="7" t="str">
        <f>IFERROR(__xludf.DUMMYFUNCTION("SPLIT(A7721,"" "")"),"CCOC(=O)c1cccc(-c2cc(CN3CCN(C)CCN(Cc4cccc(C(C)NCc5ccccn5)n4)CC3)ccn2)n1")</f>
        <v>CCOC(=O)c1cccc(-c2cc(CN3CCN(C)CCN(Cc4cccc(C(C)NCc5ccccn5)n4)CC3)ccn2)n1</v>
      </c>
      <c r="C7721" s="7">
        <f>IFERROR(__xludf.DUMMYFUNCTION("""COMPUTED_VALUE"""),7.777269)</f>
        <v>7.777269</v>
      </c>
      <c r="D7721" s="7">
        <f>IFERROR(__xludf.DUMMYFUNCTION("""COMPUTED_VALUE"""),0.447368421052631)</f>
        <v>0.4473684211</v>
      </c>
    </row>
    <row r="7722">
      <c r="A7722" s="10" t="s">
        <v>9161</v>
      </c>
      <c r="B7722" s="7" t="str">
        <f>IFERROR(__xludf.DUMMYFUNCTION("SPLIT(A7722,"" "")"),"CCNCc1cccc(CN(Cc2ccccn2)Cc2ncccc2C)n1")</f>
        <v>CCNCc1cccc(CN(Cc2ccccn2)Cc2ncccc2C)n1</v>
      </c>
      <c r="C7722" s="7">
        <f>IFERROR(__xludf.DUMMYFUNCTION("""COMPUTED_VALUE"""),7.777266)</f>
        <v>7.777266</v>
      </c>
      <c r="D7722" s="7">
        <f>IFERROR(__xludf.DUMMYFUNCTION("""COMPUTED_VALUE"""),0.465116279069767)</f>
        <v>0.4651162791</v>
      </c>
    </row>
    <row r="7723">
      <c r="A7723" s="10" t="s">
        <v>9162</v>
      </c>
      <c r="B7723" s="7" t="str">
        <f>IFERROR(__xludf.DUMMYFUNCTION("SPLIT(A7723,"" "")"),"CCN(Cc1ccccn1)Cc1cc(C(C)(C)c2cc(CN(Cc3ccccn3)C3CCCCC3N(C)Cc3cc(C)c(C)c(C)n3)ccn2)ccn1")</f>
        <v>CCN(Cc1ccccn1)Cc1cc(C(C)(C)c2cc(CN(Cc3ccccn3)C3CCCCC3N(C)Cc3cc(C)c(C)c(C)n3)ccn2)ccn1</v>
      </c>
      <c r="C7723" s="7">
        <f>IFERROR(__xludf.DUMMYFUNCTION("""COMPUTED_VALUE"""),7.777261)</f>
        <v>7.777261</v>
      </c>
      <c r="D7723" s="7">
        <f>IFERROR(__xludf.DUMMYFUNCTION("""COMPUTED_VALUE"""),0.428571428571428)</f>
        <v>0.4285714286</v>
      </c>
    </row>
    <row r="7724">
      <c r="A7724" s="10" t="s">
        <v>9163</v>
      </c>
      <c r="B7724" s="7" t="str">
        <f>IFERROR(__xludf.DUMMYFUNCTION("SPLIT(A7724,"" "")"),"CC1C=CC(C)(c2ncccc2CN(Cc2ccccn2)Cc2ncccc2C(C)(C)C)CC1C")</f>
        <v>CC1C=CC(C)(c2ncccc2CN(Cc2ccccn2)Cc2ncccc2C(C)(C)C)CC1C</v>
      </c>
      <c r="C7724" s="7">
        <f>IFERROR(__xludf.DUMMYFUNCTION("""COMPUTED_VALUE"""),7.77726)</f>
        <v>7.77726</v>
      </c>
      <c r="D7724" s="7">
        <f>IFERROR(__xludf.DUMMYFUNCTION("""COMPUTED_VALUE"""),0.357142857142857)</f>
        <v>0.3571428571</v>
      </c>
    </row>
    <row r="7725">
      <c r="A7725" s="10" t="s">
        <v>9164</v>
      </c>
      <c r="B7725" s="7" t="str">
        <f>IFERROR(__xludf.DUMMYFUNCTION("SPLIT(A7725,"" "")"),"CC1=CCC(C)(c2cccc(CN(Cc3ccccn3)Cc3ccccn3)n2)CC1C")</f>
        <v>CC1=CCC(C)(c2cccc(CN(Cc3ccccn3)Cc3ccccn3)n2)CC1C</v>
      </c>
      <c r="C7725" s="7">
        <f>IFERROR(__xludf.DUMMYFUNCTION("""COMPUTED_VALUE"""),7.7772593)</f>
        <v>7.7772593</v>
      </c>
      <c r="D7725" s="7">
        <f>IFERROR(__xludf.DUMMYFUNCTION("""COMPUTED_VALUE"""),0.434782608695652)</f>
        <v>0.4347826087</v>
      </c>
    </row>
    <row r="7726">
      <c r="A7726" s="10" t="s">
        <v>9165</v>
      </c>
      <c r="B7726" s="7" t="str">
        <f>IFERROR(__xludf.DUMMYFUNCTION("SPLIT(A7726,"" "")"),"CC(C)N(CC1=CC(N(C)Cc2cccc(-c3ccc4c(c3)OCCOCCOCCOCCOCCO4)n2)C=CN1)c1ccc2ncccc2c1")</f>
        <v>CC(C)N(CC1=CC(N(C)Cc2cccc(-c3ccc4c(c3)OCCOCCOCCOCCOCCO4)n2)C=CN1)c1ccc2ncccc2c1</v>
      </c>
      <c r="C7726" s="7">
        <f>IFERROR(__xludf.DUMMYFUNCTION("""COMPUTED_VALUE"""),7.7772512)</f>
        <v>7.7772512</v>
      </c>
      <c r="D7726" s="7">
        <f>IFERROR(__xludf.DUMMYFUNCTION("""COMPUTED_VALUE"""),0.271739130434782)</f>
        <v>0.2717391304</v>
      </c>
    </row>
    <row r="7727">
      <c r="A7727" s="10" t="s">
        <v>9166</v>
      </c>
      <c r="B7727" s="7" t="str">
        <f>IFERROR(__xludf.DUMMYFUNCTION("SPLIT(A7727,"" "")"),"CC1C=CCC(C)(c2cccc(CN(Cc3ccccn3)C3CCC(N(C)c4ccc5nc(CF)ccc5c4)CC3)n2)C1C")</f>
        <v>CC1C=CCC(C)(c2cccc(CN(Cc3ccccn3)C3CCC(N(C)c4ccc5nc(CF)ccc5c4)CC3)n2)C1C</v>
      </c>
      <c r="C7727" s="7">
        <f>IFERROR(__xludf.DUMMYFUNCTION("""COMPUTED_VALUE"""),7.7772403)</f>
        <v>7.7772403</v>
      </c>
      <c r="D7727" s="7">
        <f>IFERROR(__xludf.DUMMYFUNCTION("""COMPUTED_VALUE"""),0.32)</f>
        <v>0.32</v>
      </c>
    </row>
    <row r="7728">
      <c r="A7728" s="10" t="s">
        <v>9167</v>
      </c>
      <c r="B7728" s="7" t="str">
        <f>IFERROR(__xludf.DUMMYFUNCTION("SPLIT(A7728,"" "")"),"Cc1cnc(C2CCC2(C)C)c(C2=NC(=O)C(C(C)C(=O)C(C)C(C)C(C)C)O2)c1C")</f>
        <v>Cc1cnc(C2CCC2(C)C)c(C2=NC(=O)C(C(C)C(=O)C(C)C(C)C(C)C)O2)c1C</v>
      </c>
      <c r="C7728" s="7">
        <f>IFERROR(__xludf.DUMMYFUNCTION("""COMPUTED_VALUE"""),7.77724)</f>
        <v>7.77724</v>
      </c>
      <c r="D7728" s="7">
        <f>IFERROR(__xludf.DUMMYFUNCTION("""COMPUTED_VALUE"""),0.16867469879518)</f>
        <v>0.1686746988</v>
      </c>
    </row>
    <row r="7729">
      <c r="A7729" s="10" t="s">
        <v>9168</v>
      </c>
      <c r="B7729" s="7" t="str">
        <f>IFERROR(__xludf.DUMMYFUNCTION("SPLIT(A7729,"" "")"),"Cc1nc(CN(C)C2CCCCC2N(C)C2(c3nc(C)c([SiH3])c([SiH3])c3C)C(C)N(C)C2C)c(C)c(C)c1C")</f>
        <v>Cc1nc(CN(C)C2CCCCC2N(C)C2(c3nc(C)c([SiH3])c([SiH3])c3C)C(C)N(C)C2C)c(C)c(C)c1C</v>
      </c>
      <c r="C7729" s="7">
        <f>IFERROR(__xludf.DUMMYFUNCTION("""COMPUTED_VALUE"""),7.7772317)</f>
        <v>7.7772317</v>
      </c>
      <c r="D7729" s="7">
        <f>IFERROR(__xludf.DUMMYFUNCTION("""COMPUTED_VALUE"""),0.301587301587301)</f>
        <v>0.3015873016</v>
      </c>
    </row>
    <row r="7730">
      <c r="A7730" s="10" t="s">
        <v>9169</v>
      </c>
      <c r="B7730" s="7" t="str">
        <f>IFERROR(__xludf.DUMMYFUNCTION("SPLIT(A7730,"" "")"),"Cc1cc(C)c(CN(C)CCN(C)Cc2ccccn2)nc1C")</f>
        <v>Cc1cc(C)c(CN(C)CCN(C)Cc2ccccn2)nc1C</v>
      </c>
      <c r="C7730" s="7">
        <f>IFERROR(__xludf.DUMMYFUNCTION("""COMPUTED_VALUE"""),7.7772307)</f>
        <v>7.7772307</v>
      </c>
      <c r="D7730" s="7">
        <f>IFERROR(__xludf.DUMMYFUNCTION("""COMPUTED_VALUE"""),0.478260869565217)</f>
        <v>0.4782608696</v>
      </c>
    </row>
    <row r="7731">
      <c r="A7731" s="10" t="s">
        <v>9170</v>
      </c>
      <c r="B7731" s="7" t="str">
        <f>IFERROR(__xludf.DUMMYFUNCTION("SPLIT(A7731,"" "")"),"Cc1cccc(CN(C)C2CCC(N(C)c3cccc(-c4ccc(CN(C)C(C)C)nc4)c3)CC2)n1")</f>
        <v>Cc1cccc(CN(C)C2CCC(N(C)c3cccc(-c4ccc(CN(C)C(C)C)nc4)c3)CC2)n1</v>
      </c>
      <c r="C7731" s="7">
        <f>IFERROR(__xludf.DUMMYFUNCTION("""COMPUTED_VALUE"""),7.7772293)</f>
        <v>7.7772293</v>
      </c>
      <c r="D7731" s="7">
        <f>IFERROR(__xludf.DUMMYFUNCTION("""COMPUTED_VALUE"""),0.40983606557377)</f>
        <v>0.4098360656</v>
      </c>
    </row>
    <row r="7732">
      <c r="A7732" s="10" t="s">
        <v>9171</v>
      </c>
      <c r="B7732" s="7" t="str">
        <f>IFERROR(__xludf.DUMMYFUNCTION("SPLIT(A7732,"" "")"),"CN(CCN(C)c1cccc2nccc(CF)c12)Cc1ncccc1-c1cccc2c1OCCOCCOCCOCCOCCO2")</f>
        <v>CN(CCN(C)c1cccc2nccc(CF)c12)Cc1ncccc1-c1cccc2c1OCCOCCOCCOCCOCCO2</v>
      </c>
      <c r="C7732" s="7">
        <f>IFERROR(__xludf.DUMMYFUNCTION("""COMPUTED_VALUE"""),7.7772274)</f>
        <v>7.7772274</v>
      </c>
      <c r="D7732" s="7">
        <f>IFERROR(__xludf.DUMMYFUNCTION("""COMPUTED_VALUE"""),0.289855072463768)</f>
        <v>0.2898550725</v>
      </c>
    </row>
    <row r="7733">
      <c r="A7733" s="10" t="s">
        <v>9172</v>
      </c>
      <c r="B7733" s="7" t="str">
        <f>IFERROR(__xludf.DUMMYFUNCTION("SPLIT(A7733,"" "")"),"CCNC1C(N(C)Cc2ccccn2)CCCC1N(C)c1cccc2nc(CF)ccc12")</f>
        <v>CCNC1C(N(C)Cc2ccccn2)CCCC1N(C)c1cccc2nc(CF)ccc12</v>
      </c>
      <c r="C7733" s="7">
        <f>IFERROR(__xludf.DUMMYFUNCTION("""COMPUTED_VALUE"""),7.777224)</f>
        <v>7.777224</v>
      </c>
      <c r="D7733" s="7">
        <f>IFERROR(__xludf.DUMMYFUNCTION("""COMPUTED_VALUE"""),0.459016393442622)</f>
        <v>0.4590163934</v>
      </c>
    </row>
    <row r="7734">
      <c r="A7734" s="10" t="s">
        <v>9173</v>
      </c>
      <c r="B7734" s="7" t="str">
        <f>IFERROR(__xludf.DUMMYFUNCTION("SPLIT(A7734,"" "")"),"CC(C)N(Cc1ccc(-c2cccc(N(C)C)c2)cn1)Cc1ccc(-c2ccc3c(c2)OCCOCCOCCOCCOCCO3)cn1")</f>
        <v>CC(C)N(Cc1ccc(-c2cccc(N(C)C)c2)cn1)Cc1ccc(-c2ccc3c(c2)OCCOCCOCCOCCOCCO3)cn1</v>
      </c>
      <c r="C7734" s="7">
        <f>IFERROR(__xludf.DUMMYFUNCTION("""COMPUTED_VALUE"""),7.7772193)</f>
        <v>7.7772193</v>
      </c>
      <c r="D7734" s="7">
        <f>IFERROR(__xludf.DUMMYFUNCTION("""COMPUTED_VALUE"""),0.461538461538461)</f>
        <v>0.4615384615</v>
      </c>
    </row>
    <row r="7735">
      <c r="A7735" s="10" t="s">
        <v>9174</v>
      </c>
      <c r="B7735" s="7" t="str">
        <f>IFERROR(__xludf.DUMMYFUNCTION("SPLIT(A7735,"" "")"),"Cc1cnc(CN2CCN(C)CCN(CN(C)c3cccc4ncccc34)CC2)c(C)c1")</f>
        <v>Cc1cnc(CN2CCN(C)CCN(CN(C)c3cccc4ncccc34)CC2)c(C)c1</v>
      </c>
      <c r="C7735" s="7">
        <f>IFERROR(__xludf.DUMMYFUNCTION("""COMPUTED_VALUE"""),7.777217)</f>
        <v>7.777217</v>
      </c>
      <c r="D7735" s="7">
        <f>IFERROR(__xludf.DUMMYFUNCTION("""COMPUTED_VALUE"""),0.360655737704918)</f>
        <v>0.3606557377</v>
      </c>
    </row>
    <row r="7736">
      <c r="A7736" s="10" t="s">
        <v>9175</v>
      </c>
      <c r="B7736" s="7" t="str">
        <f>IFERROR(__xludf.DUMMYFUNCTION("SPLIT(A7736,"" "")"),"Cc1cnc(-c2ccc(CN(C)Cc3cccc(-c4ccc5c(c4)OCCOCCOCCOCCOCCO5)n3)cc2)c(C)c1")</f>
        <v>Cc1cnc(-c2ccc(CN(C)Cc3cccc(-c4ccc5c(c4)OCCOCCOCCOCCOCCO5)n3)cc2)c(C)c1</v>
      </c>
      <c r="C7736" s="7">
        <f>IFERROR(__xludf.DUMMYFUNCTION("""COMPUTED_VALUE"""),7.777215)</f>
        <v>7.777215</v>
      </c>
      <c r="D7736" s="7">
        <f>IFERROR(__xludf.DUMMYFUNCTION("""COMPUTED_VALUE"""),0.333333333333333)</f>
        <v>0.3333333333</v>
      </c>
    </row>
    <row r="7737">
      <c r="A7737" s="10" t="s">
        <v>9176</v>
      </c>
      <c r="B7737" s="7" t="str">
        <f>IFERROR(__xludf.DUMMYFUNCTION("SPLIT(A7737,"" "")"),"Cc1ccnc(CN(C)CCN(C)C)c1C")</f>
        <v>Cc1ccnc(CN(C)CCN(C)C)c1C</v>
      </c>
      <c r="C7737" s="7">
        <f>IFERROR(__xludf.DUMMYFUNCTION("""COMPUTED_VALUE"""),7.777209)</f>
        <v>7.777209</v>
      </c>
      <c r="D7737" s="7">
        <f>IFERROR(__xludf.DUMMYFUNCTION("""COMPUTED_VALUE"""),0.384615384615384)</f>
        <v>0.3846153846</v>
      </c>
    </row>
    <row r="7738">
      <c r="A7738" s="10" t="s">
        <v>9177</v>
      </c>
      <c r="B7738" s="7" t="str">
        <f>IFERROR(__xludf.DUMMYFUNCTION("SPLIT(A7738,"" "")"),"CCN(CCN(C)Cc1ncc(C)cc1C)Cc1ncc(C)c(C)c1C")</f>
        <v>CCN(CCN(C)Cc1ncc(C)cc1C)Cc1ncc(C)c(C)c1C</v>
      </c>
      <c r="C7738" s="7">
        <f>IFERROR(__xludf.DUMMYFUNCTION("""COMPUTED_VALUE"""),7.777207)</f>
        <v>7.777207</v>
      </c>
      <c r="D7738" s="7">
        <f>IFERROR(__xludf.DUMMYFUNCTION("""COMPUTED_VALUE"""),0.391304347826087)</f>
        <v>0.3913043478</v>
      </c>
    </row>
    <row r="7739">
      <c r="A7739" s="10" t="s">
        <v>9178</v>
      </c>
      <c r="B7739" s="7" t="str">
        <f>IFERROR(__xludf.DUMMYFUNCTION("SPLIT(A7739,"" "")"),"Cc1cccc(CN(C)C2CCCC(N(C)c3cccc(-c4cccc(CN(C)C(C)C)n4)c3)C2)n1")</f>
        <v>Cc1cccc(CN(C)C2CCCC(N(C)c3cccc(-c4cccc(CN(C)C(C)C)n4)c3)C2)n1</v>
      </c>
      <c r="C7739" s="7">
        <f>IFERROR(__xludf.DUMMYFUNCTION("""COMPUTED_VALUE"""),7.7772036)</f>
        <v>7.7772036</v>
      </c>
      <c r="D7739" s="7">
        <f>IFERROR(__xludf.DUMMYFUNCTION("""COMPUTED_VALUE"""),0.440677966101694)</f>
        <v>0.4406779661</v>
      </c>
    </row>
    <row r="7740">
      <c r="A7740" s="10" t="s">
        <v>9179</v>
      </c>
      <c r="B7740" s="7" t="str">
        <f>IFERROR(__xludf.DUMMYFUNCTION("SPLIT(A7740,"" "")"),"CNC1CCC2(C=CC=CN2)C(N(Cc2ncccc2C)Cc2ncccc2C)C1N(Cc1ncccc1C)Cc1ncccc1C")</f>
        <v>CNC1CCC2(C=CC=CN2)C(N(Cc2ncccc2C)Cc2ncccc2C)C1N(Cc1ncccc1C)Cc1ncccc1C</v>
      </c>
      <c r="C7740" s="7">
        <f>IFERROR(__xludf.DUMMYFUNCTION("""COMPUTED_VALUE"""),7.777201)</f>
        <v>7.777201</v>
      </c>
      <c r="D7740" s="7">
        <f>IFERROR(__xludf.DUMMYFUNCTION("""COMPUTED_VALUE"""),0.222222222222222)</f>
        <v>0.2222222222</v>
      </c>
    </row>
    <row r="7741">
      <c r="A7741" s="10" t="s">
        <v>9180</v>
      </c>
      <c r="B7741" s="7" t="str">
        <f>IFERROR(__xludf.DUMMYFUNCTION("SPLIT(A7741,"" "")"),"Cc1ccc(CNCCN(C)Cc2nc(C)c(C)cc2C)nc1")</f>
        <v>Cc1ccc(CNCCN(C)Cc2nc(C)c(C)cc2C)nc1</v>
      </c>
      <c r="C7741" s="7">
        <f>IFERROR(__xludf.DUMMYFUNCTION("""COMPUTED_VALUE"""),7.777192)</f>
        <v>7.777192</v>
      </c>
      <c r="D7741" s="7">
        <f>IFERROR(__xludf.DUMMYFUNCTION("""COMPUTED_VALUE"""),0.478260869565217)</f>
        <v>0.4782608696</v>
      </c>
    </row>
    <row r="7742">
      <c r="A7742" s="10" t="s">
        <v>9181</v>
      </c>
      <c r="B7742" s="7" t="str">
        <f>IFERROR(__xludf.DUMMYFUNCTION("SPLIT(A7742,"" "")"),"Cc1cnc(CN(C)Cc2cccc(N(C)C3CCC(N(C)Cc4cc(C)c(C)c(C)n4)CC3)n2)c(C)c1")</f>
        <v>Cc1cnc(CN(C)Cc2cccc(N(C)C3CCC(N(C)Cc4cc(C)c(C)c(C)n4)CC3)n2)c(C)c1</v>
      </c>
      <c r="C7742" s="7">
        <f>IFERROR(__xludf.DUMMYFUNCTION("""COMPUTED_VALUE"""),7.7771792)</f>
        <v>7.7771792</v>
      </c>
      <c r="D7742" s="7">
        <f>IFERROR(__xludf.DUMMYFUNCTION("""COMPUTED_VALUE"""),0.318181818181818)</f>
        <v>0.3181818182</v>
      </c>
    </row>
    <row r="7743">
      <c r="A7743" s="10" t="s">
        <v>9182</v>
      </c>
      <c r="B7743" s="7" t="str">
        <f>IFERROR(__xludf.DUMMYFUNCTION("SPLIT(A7743,"" "")"),"Cc1ccc(CN(C)C2CC(N(Cc3ccc(C)nc3)Cc3ccccn3)CC(N(Cc3cccc(C)n3)Cc3cccc(C)n3)C2)nc1")</f>
        <v>Cc1ccc(CN(C)C2CC(N(Cc3ccc(C)nc3)Cc3ccccn3)CC(N(Cc3cccc(C)n3)Cc3cccc(C)n3)C2)nc1</v>
      </c>
      <c r="C7743" s="7">
        <f>IFERROR(__xludf.DUMMYFUNCTION("""COMPUTED_VALUE"""),7.7771764)</f>
        <v>7.7771764</v>
      </c>
      <c r="D7743" s="7">
        <f>IFERROR(__xludf.DUMMYFUNCTION("""COMPUTED_VALUE"""),0.387096774193548)</f>
        <v>0.3870967742</v>
      </c>
    </row>
    <row r="7744">
      <c r="A7744" s="10" t="s">
        <v>9183</v>
      </c>
      <c r="B7744" s="7" t="str">
        <f>IFERROR(__xludf.DUMMYFUNCTION("SPLIT(A7744,"" "")"),"CCNCc1cc(CN(Cc2ccccn2)Cc2ncccc2C)ccn1")</f>
        <v>CCNCc1cc(CN(Cc2ccccn2)Cc2ncccc2C)ccn1</v>
      </c>
      <c r="C7744" s="7">
        <f>IFERROR(__xludf.DUMMYFUNCTION("""COMPUTED_VALUE"""),7.777174)</f>
        <v>7.777174</v>
      </c>
      <c r="D7744" s="7">
        <f>IFERROR(__xludf.DUMMYFUNCTION("""COMPUTED_VALUE"""),0.444444444444444)</f>
        <v>0.4444444444</v>
      </c>
    </row>
    <row r="7745">
      <c r="A7745" s="10" t="s">
        <v>9184</v>
      </c>
      <c r="B7745" s="7" t="str">
        <f>IFERROR(__xludf.DUMMYFUNCTION("SPLIT(A7745,"" "")"),"Cc1cccnc1CN(C)C1=CCC=C(CN(C)C(C)C(C)C)N1")</f>
        <v>Cc1cccnc1CN(C)C1=CCC=C(CN(C)C(C)C(C)C)N1</v>
      </c>
      <c r="C7745" s="7">
        <f>IFERROR(__xludf.DUMMYFUNCTION("""COMPUTED_VALUE"""),7.7771735)</f>
        <v>7.7771735</v>
      </c>
      <c r="D7745" s="7">
        <f>IFERROR(__xludf.DUMMYFUNCTION("""COMPUTED_VALUE"""),0.265625)</f>
        <v>0.265625</v>
      </c>
    </row>
    <row r="7746">
      <c r="A7746" s="10" t="s">
        <v>9185</v>
      </c>
      <c r="B7746" s="7" t="str">
        <f>IFERROR(__xludf.DUMMYFUNCTION("SPLIT(A7746,"" "")"),"CC1=CCC2(C=CC(C)C(C)C23C(c2ncccc2CN(Cc2ccccn2)Cc2ccccn2)C(c2ccc(CN(Cc4ccccn4)Cc4ccccn4)cn2)C=CC32CC(C(C)C)=CCC23CC=C(C)C(C)C3)C(C)C1")</f>
        <v>CC1=CCC2(C=CC(C)C(C)C23C(c2ncccc2CN(Cc2ccccn2)Cc2ccccn2)C(c2ccc(CN(Cc4ccccn4)Cc4ccccn4)cn2)C=CC32CC(C(C)C)=CCC23CC=C(C)C(C)C3)C(C)C1</v>
      </c>
      <c r="C7746" s="7">
        <f>IFERROR(__xludf.DUMMYFUNCTION("""COMPUTED_VALUE"""),7.777173)</f>
        <v>7.777173</v>
      </c>
      <c r="D7746" s="7">
        <f>IFERROR(__xludf.DUMMYFUNCTION("""COMPUTED_VALUE"""),0.222222222222222)</f>
        <v>0.2222222222</v>
      </c>
    </row>
    <row r="7747">
      <c r="A7747" s="10" t="s">
        <v>9186</v>
      </c>
      <c r="B7747" s="7" t="str">
        <f>IFERROR(__xludf.DUMMYFUNCTION("SPLIT(A7747,"" "")"),"CN(C)Cc1cccc(C2CC(C)(C)C2)n1")</f>
        <v>CN(C)Cc1cccc(C2CC(C)(C)C2)n1</v>
      </c>
      <c r="C7747" s="7">
        <f>IFERROR(__xludf.DUMMYFUNCTION("""COMPUTED_VALUE"""),7.7771683)</f>
        <v>7.7771683</v>
      </c>
      <c r="D7747" s="7">
        <f>IFERROR(__xludf.DUMMYFUNCTION("""COMPUTED_VALUE"""),0.369565217391304)</f>
        <v>0.3695652174</v>
      </c>
    </row>
    <row r="7748">
      <c r="A7748" s="10" t="s">
        <v>9187</v>
      </c>
      <c r="B7748" s="7" t="str">
        <f>IFERROR(__xludf.DUMMYFUNCTION("SPLIT(A7748,"" "")"),"Cc1cccc(-c2cccc(CN(C)C3CCC(N(Cc4ccccn4)Cc4cccc(C)n4)CC3)n2)c1")</f>
        <v>Cc1cccc(-c2cccc(CN(C)C3CCC(N(Cc4ccccn4)Cc4cccc(C)n4)CC3)n2)c1</v>
      </c>
      <c r="C7748" s="7">
        <f>IFERROR(__xludf.DUMMYFUNCTION("""COMPUTED_VALUE"""),7.7771616)</f>
        <v>7.7771616</v>
      </c>
      <c r="D7748" s="7">
        <f>IFERROR(__xludf.DUMMYFUNCTION("""COMPUTED_VALUE"""),0.46031746031746)</f>
        <v>0.4603174603</v>
      </c>
    </row>
    <row r="7749">
      <c r="A7749" s="10" t="s">
        <v>9188</v>
      </c>
      <c r="B7749" s="7" t="str">
        <f>IFERROR(__xludf.DUMMYFUNCTION("SPLIT(A7749,"" "")"),"CN(Cc1cccc(-c2ccc3c(c2)OCCOCCOCCOCCOCCO3)n1)Cc1cccc(-c2ccccc2NCc2ccccn2)n1")</f>
        <v>CN(Cc1cccc(-c2ccc3c(c2)OCCOCCOCCOCCOCCO3)n1)Cc1cccc(-c2ccccc2NCc2ccccn2)n1</v>
      </c>
      <c r="C7749" s="7">
        <f>IFERROR(__xludf.DUMMYFUNCTION("""COMPUTED_VALUE"""),7.777161)</f>
        <v>7.777161</v>
      </c>
      <c r="D7749" s="7">
        <f>IFERROR(__xludf.DUMMYFUNCTION("""COMPUTED_VALUE"""),0.428571428571428)</f>
        <v>0.4285714286</v>
      </c>
    </row>
    <row r="7750">
      <c r="A7750" s="10" t="s">
        <v>9189</v>
      </c>
      <c r="B7750" s="7" t="str">
        <f>IFERROR(__xludf.DUMMYFUNCTION("SPLIT(A7750,"" "")"),"Cc1ccc(CN(C)C2=C(CN(Cc3ccccn3)C3(C)CCC3)NC=CC2)nc1")</f>
        <v>Cc1ccc(CN(C)C2=C(CN(Cc3ccccn3)C3(C)CCC3)NC=CC2)nc1</v>
      </c>
      <c r="C7750" s="7">
        <f>IFERROR(__xludf.DUMMYFUNCTION("""COMPUTED_VALUE"""),7.7771473)</f>
        <v>7.7771473</v>
      </c>
      <c r="D7750" s="7">
        <f>IFERROR(__xludf.DUMMYFUNCTION("""COMPUTED_VALUE"""),0.349206349206349)</f>
        <v>0.3492063492</v>
      </c>
    </row>
    <row r="7751">
      <c r="A7751" s="10" t="s">
        <v>9190</v>
      </c>
      <c r="B7751" s="7" t="str">
        <f>IFERROR(__xludf.DUMMYFUNCTION("SPLIT(A7751,"" "")"),"Cc1ccc(CN(C)C2CC(N(C)Cc3ccccn3)CC(N(Cc3ccc(N)cn3)Cc3cc(C)c(C)c(C)n3)C2)nc1C")</f>
        <v>Cc1ccc(CN(C)C2CC(N(C)Cc3ccccn3)CC(N(Cc3ccc(N)cn3)Cc3cc(C)c(C)c(C)n3)C2)nc1C</v>
      </c>
      <c r="C7751" s="7">
        <f>IFERROR(__xludf.DUMMYFUNCTION("""COMPUTED_VALUE"""),7.777144)</f>
        <v>7.777144</v>
      </c>
      <c r="D7751" s="7">
        <f>IFERROR(__xludf.DUMMYFUNCTION("""COMPUTED_VALUE"""),0.359375)</f>
        <v>0.359375</v>
      </c>
    </row>
    <row r="7752">
      <c r="A7752" s="10" t="s">
        <v>9191</v>
      </c>
      <c r="B7752" s="7" t="str">
        <f>IFERROR(__xludf.DUMMYFUNCTION("SPLIT(A7752,"" "")"),"Cc1ccc(CN(Cc2ccccn2)C2CCC(N(C)Cc3cccc(-c4ccccc4)n3)CC2)nc1C")</f>
        <v>Cc1ccc(CN(Cc2ccccn2)C2CCC(N(C)Cc3cccc(-c4ccccc4)n3)CC2)nc1C</v>
      </c>
      <c r="C7752" s="7">
        <f>IFERROR(__xludf.DUMMYFUNCTION("""COMPUTED_VALUE"""),7.777136)</f>
        <v>7.777136</v>
      </c>
      <c r="D7752" s="7">
        <f>IFERROR(__xludf.DUMMYFUNCTION("""COMPUTED_VALUE"""),0.43859649122807)</f>
        <v>0.4385964912</v>
      </c>
    </row>
    <row r="7753">
      <c r="A7753" s="10" t="s">
        <v>9192</v>
      </c>
      <c r="B7753" s="7" t="str">
        <f>IFERROR(__xludf.DUMMYFUNCTION("SPLIT(A7753,"" "")"),"CNC1CCCCC1N(C)c1ccc2cc3c(nc2c1)CCCC3")</f>
        <v>CNC1CCCCC1N(C)c1ccc2cc3c(nc2c1)CCCC3</v>
      </c>
      <c r="C7753" s="7">
        <f>IFERROR(__xludf.DUMMYFUNCTION("""COMPUTED_VALUE"""),7.7771335)</f>
        <v>7.7771335</v>
      </c>
      <c r="D7753" s="7">
        <f>IFERROR(__xludf.DUMMYFUNCTION("""COMPUTED_VALUE"""),0.5)</f>
        <v>0.5</v>
      </c>
    </row>
    <row r="7754">
      <c r="A7754" s="10" t="s">
        <v>9193</v>
      </c>
      <c r="B7754" s="7" t="str">
        <f>IFERROR(__xludf.DUMMYFUNCTION("SPLIT(A7754,"" "")"),"CN(c1cccc2nc(CF)ccc12)C1CCCCC1N(Cc1ccnc(CNCF)c1)Cc1ccccn1")</f>
        <v>CN(c1cccc2nc(CF)ccc12)C1CCCCC1N(Cc1ccnc(CNCF)c1)Cc1ccccn1</v>
      </c>
      <c r="C7754" s="7">
        <f>IFERROR(__xludf.DUMMYFUNCTION("""COMPUTED_VALUE"""),7.7771335)</f>
        <v>7.7771335</v>
      </c>
      <c r="D7754" s="7">
        <f>IFERROR(__xludf.DUMMYFUNCTION("""COMPUTED_VALUE"""),0.416666666666666)</f>
        <v>0.4166666667</v>
      </c>
    </row>
    <row r="7755">
      <c r="A7755" s="10" t="s">
        <v>9194</v>
      </c>
      <c r="B7755" s="7" t="str">
        <f>IFERROR(__xludf.DUMMYFUNCTION("SPLIT(A7755,"" "")"),"CCCN(Cc1ccccn1)c1ccc2c(c1-c1cccc(CN(Cc3ccccn3)Cc3ccc4ccccc4n3)n1)OCCOCCOCCOCCOCCO2")</f>
        <v>CCCN(Cc1ccccn1)c1ccc2c(c1-c1cccc(CN(Cc3ccccn3)Cc3ccc4ccccc4n3)n1)OCCOCCOCCOCCOCCO2</v>
      </c>
      <c r="C7755" s="7">
        <f>IFERROR(__xludf.DUMMYFUNCTION("""COMPUTED_VALUE"""),7.777131)</f>
        <v>7.777131</v>
      </c>
      <c r="D7755" s="7">
        <f>IFERROR(__xludf.DUMMYFUNCTION("""COMPUTED_VALUE"""),0.476190476190476)</f>
        <v>0.4761904762</v>
      </c>
    </row>
    <row r="7756">
      <c r="A7756" s="10" t="s">
        <v>9195</v>
      </c>
      <c r="B7756" s="7" t="str">
        <f>IFERROR(__xludf.DUMMYFUNCTION("SPLIT(A7756,"" "")"),"CNCc1cc(N(C)C(C)C)ccn1")</f>
        <v>CNCc1cc(N(C)C(C)C)ccn1</v>
      </c>
      <c r="C7756" s="7">
        <f>IFERROR(__xludf.DUMMYFUNCTION("""COMPUTED_VALUE"""),7.777123)</f>
        <v>7.777123</v>
      </c>
      <c r="D7756" s="7">
        <f>IFERROR(__xludf.DUMMYFUNCTION("""COMPUTED_VALUE"""),0.348837209302325)</f>
        <v>0.3488372093</v>
      </c>
    </row>
    <row r="7757">
      <c r="A7757" s="10" t="s">
        <v>9196</v>
      </c>
      <c r="B7757" s="7" t="str">
        <f>IFERROR(__xludf.DUMMYFUNCTION("SPLIT(A7757,"" "")"),"Cc1ccc(C)c(CN(C)CCN(C)C)n1")</f>
        <v>Cc1ccc(C)c(CN(C)CCN(C)C)n1</v>
      </c>
      <c r="C7757" s="7">
        <f>IFERROR(__xludf.DUMMYFUNCTION("""COMPUTED_VALUE"""),7.777117)</f>
        <v>7.777117</v>
      </c>
      <c r="D7757" s="7">
        <f>IFERROR(__xludf.DUMMYFUNCTION("""COMPUTED_VALUE"""),0.472222222222222)</f>
        <v>0.4722222222</v>
      </c>
    </row>
    <row r="7758">
      <c r="A7758" s="10" t="s">
        <v>9197</v>
      </c>
      <c r="B7758" s="7" t="str">
        <f>IFERROR(__xludf.DUMMYFUNCTION("SPLIT(A7758,"" "")"),"COC(=O)c1cc(CN(Cc2ccccn2)C2CCC(N(C)Cc3nc(C)c(C)c(C)c3C)CC2)ccn1")</f>
        <v>COC(=O)c1cc(CN(Cc2ccccn2)C2CCC(N(C)Cc3nc(C)c(C)c(C)c3C)CC2)ccn1</v>
      </c>
      <c r="C7758" s="7">
        <f>IFERROR(__xludf.DUMMYFUNCTION("""COMPUTED_VALUE"""),7.7771163)</f>
        <v>7.7771163</v>
      </c>
      <c r="D7758" s="7">
        <f>IFERROR(__xludf.DUMMYFUNCTION("""COMPUTED_VALUE"""),0.333333333333333)</f>
        <v>0.3333333333</v>
      </c>
    </row>
    <row r="7759">
      <c r="A7759" s="10" t="s">
        <v>9198</v>
      </c>
      <c r="B7759" s="7" t="str">
        <f>IFERROR(__xludf.DUMMYFUNCTION("SPLIT(A7759,"" "")"),"Cc1ccc(CN(C)Cc2cccc(N(C)C3CCC(N(Cc4ccccn4)Cc4nccc(C)c4C)CC3)n2)nc1")</f>
        <v>Cc1ccc(CN(C)Cc2cccc(N(C)C3CCC(N(Cc4ccccn4)Cc4nccc(C)c4C)CC3)n2)nc1</v>
      </c>
      <c r="C7759" s="7">
        <f>IFERROR(__xludf.DUMMYFUNCTION("""COMPUTED_VALUE"""),7.777114)</f>
        <v>7.777114</v>
      </c>
      <c r="D7759" s="7">
        <f>IFERROR(__xludf.DUMMYFUNCTION("""COMPUTED_VALUE"""),0.390625)</f>
        <v>0.390625</v>
      </c>
    </row>
    <row r="7760">
      <c r="A7760" s="10" t="s">
        <v>9199</v>
      </c>
      <c r="B7760" s="7" t="str">
        <f>IFERROR(__xludf.DUMMYFUNCTION("SPLIT(A7760,"" "")"),"CN(c1cccc2ncc(CF)cc12)C1CCCCC1N(Cc1ccccn1)CC1C=CNC=C1")</f>
        <v>CN(c1cccc2ncc(CF)cc12)C1CCCCC1N(Cc1ccccn1)CC1C=CNC=C1</v>
      </c>
      <c r="C7760" s="7">
        <f>IFERROR(__xludf.DUMMYFUNCTION("""COMPUTED_VALUE"""),7.777105)</f>
        <v>7.777105</v>
      </c>
      <c r="D7760" s="7">
        <f>IFERROR(__xludf.DUMMYFUNCTION("""COMPUTED_VALUE"""),0.38235294117647)</f>
        <v>0.3823529412</v>
      </c>
    </row>
    <row r="7761">
      <c r="A7761" s="10" t="s">
        <v>9200</v>
      </c>
      <c r="B7761" s="7" t="str">
        <f>IFERROR(__xludf.DUMMYFUNCTION("SPLIT(A7761,"" "")"),"Cc1cccc(-c2ccc(NCc3cccc(-c4ccc5c(c4)OCCOCCOCCOCCOCCO5)n3)cc2)n1")</f>
        <v>Cc1cccc(-c2ccc(NCc3cccc(-c4ccc5c(c4)OCCOCCOCCOCCOCCO5)n3)cc2)n1</v>
      </c>
      <c r="C7761" s="7">
        <f>IFERROR(__xludf.DUMMYFUNCTION("""COMPUTED_VALUE"""),7.777098)</f>
        <v>7.777098</v>
      </c>
      <c r="D7761" s="7">
        <f>IFERROR(__xludf.DUMMYFUNCTION("""COMPUTED_VALUE"""),0.333333333333333)</f>
        <v>0.3333333333</v>
      </c>
    </row>
    <row r="7762">
      <c r="A7762" s="10" t="s">
        <v>9201</v>
      </c>
      <c r="B7762" s="7" t="str">
        <f>IFERROR(__xludf.DUMMYFUNCTION("SPLIT(A7762,"" "")"),"Cc1cnccc1CN(C)CC1=CCC(N(C)C(C)C)=CN1")</f>
        <v>Cc1cnccc1CN(C)CC1=CCC(N(C)C(C)C)=CN1</v>
      </c>
      <c r="C7762" s="7">
        <f>IFERROR(__xludf.DUMMYFUNCTION("""COMPUTED_VALUE"""),7.7770915)</f>
        <v>7.7770915</v>
      </c>
      <c r="D7762" s="7">
        <f>IFERROR(__xludf.DUMMYFUNCTION("""COMPUTED_VALUE"""),0.254237288135593)</f>
        <v>0.2542372881</v>
      </c>
    </row>
    <row r="7763">
      <c r="A7763" s="10" t="s">
        <v>9202</v>
      </c>
      <c r="B7763" s="7" t="str">
        <f>IFERROR(__xludf.DUMMYFUNCTION("SPLIT(A7763,"" "")"),"CC1=CCC(C)C(C)=C1CN(C)Cc1cc(C)ccn1")</f>
        <v>CC1=CCC(C)C(C)=C1CN(C)Cc1cc(C)ccn1</v>
      </c>
      <c r="C7763" s="7">
        <f>IFERROR(__xludf.DUMMYFUNCTION("""COMPUTED_VALUE"""),7.777085)</f>
        <v>7.777085</v>
      </c>
      <c r="D7763" s="7">
        <f>IFERROR(__xludf.DUMMYFUNCTION("""COMPUTED_VALUE"""),0.372549019607843)</f>
        <v>0.3725490196</v>
      </c>
    </row>
    <row r="7764">
      <c r="A7764" s="10" t="s">
        <v>9203</v>
      </c>
      <c r="B7764" s="7" t="str">
        <f>IFERROR(__xludf.DUMMYFUNCTION("SPLIT(A7764,"" "")"),"CCCN(CC1=CC(N(C)Cc2nc(C)c(C)cc2C)C=CN1)Cc1ccccn1")</f>
        <v>CCCN(CC1=CC(N(C)Cc2nc(C)c(C)cc2C)C=CN1)Cc1ccccn1</v>
      </c>
      <c r="C7764" s="7">
        <f>IFERROR(__xludf.DUMMYFUNCTION("""COMPUTED_VALUE"""),7.777083)</f>
        <v>7.777083</v>
      </c>
      <c r="D7764" s="7">
        <f>IFERROR(__xludf.DUMMYFUNCTION("""COMPUTED_VALUE"""),0.377049180327868)</f>
        <v>0.3770491803</v>
      </c>
    </row>
    <row r="7765">
      <c r="A7765" s="10" t="s">
        <v>9204</v>
      </c>
      <c r="B7765" s="7" t="str">
        <f>IFERROR(__xludf.DUMMYFUNCTION("SPLIT(A7765,"" "")"),"CC1=CC(c2ccc(CN(C)Cc3cc(N)ccn3)nc2C)C(C)C(C)C1")</f>
        <v>CC1=CC(c2ccc(CN(C)Cc3cc(N)ccn3)nc2C)C(C)C(C)C1</v>
      </c>
      <c r="C7765" s="7">
        <f>IFERROR(__xludf.DUMMYFUNCTION("""COMPUTED_VALUE"""),7.7770824)</f>
        <v>7.7770824</v>
      </c>
      <c r="D7765" s="7">
        <f>IFERROR(__xludf.DUMMYFUNCTION("""COMPUTED_VALUE"""),0.311475409836065)</f>
        <v>0.3114754098</v>
      </c>
    </row>
    <row r="7766">
      <c r="A7766" s="10" t="s">
        <v>9205</v>
      </c>
      <c r="B7766" s="7" t="str">
        <f>IFERROR(__xludf.DUMMYFUNCTION("SPLIT(A7766,"" "")"),"CN(C)Cc1cc(CF)ccn1")</f>
        <v>CN(C)Cc1cc(CF)ccn1</v>
      </c>
      <c r="C7766" s="7">
        <f>IFERROR(__xludf.DUMMYFUNCTION("""COMPUTED_VALUE"""),7.7770796)</f>
        <v>7.7770796</v>
      </c>
      <c r="D7766" s="7">
        <f>IFERROR(__xludf.DUMMYFUNCTION("""COMPUTED_VALUE"""),0.358974358974359)</f>
        <v>0.358974359</v>
      </c>
    </row>
    <row r="7767">
      <c r="A7767" s="10" t="s">
        <v>9206</v>
      </c>
      <c r="B7767" s="7" t="str">
        <f>IFERROR(__xludf.DUMMYFUNCTION("SPLIT(A7767,"" "")"),"CC1=CC(C)C(C)CC1(C)c1ncccc1CN(Cc1ccccn1)Cc1ccccn1")</f>
        <v>CC1=CC(C)C(C)CC1(C)c1ncccc1CN(Cc1ccccn1)Cc1ccccn1</v>
      </c>
      <c r="C7767" s="7">
        <f>IFERROR(__xludf.DUMMYFUNCTION("""COMPUTED_VALUE"""),7.777074)</f>
        <v>7.777074</v>
      </c>
      <c r="D7767" s="7">
        <f>IFERROR(__xludf.DUMMYFUNCTION("""COMPUTED_VALUE"""),0.434782608695652)</f>
        <v>0.4347826087</v>
      </c>
    </row>
    <row r="7768">
      <c r="A7768" s="10" t="s">
        <v>9207</v>
      </c>
      <c r="B7768" s="7" t="str">
        <f>IFERROR(__xludf.DUMMYFUNCTION("SPLIT(A7768,"" "")"),"Cc1ccc(CN(C)CC2=CCC=CN2)cc1C")</f>
        <v>Cc1ccc(CN(C)CC2=CCC=CN2)cc1C</v>
      </c>
      <c r="C7768" s="7">
        <f>IFERROR(__xludf.DUMMYFUNCTION("""COMPUTED_VALUE"""),7.7770557)</f>
        <v>7.7770557</v>
      </c>
      <c r="D7768" s="7">
        <f>IFERROR(__xludf.DUMMYFUNCTION("""COMPUTED_VALUE"""),0.392156862745098)</f>
        <v>0.3921568627</v>
      </c>
    </row>
    <row r="7769">
      <c r="A7769" s="10" t="s">
        <v>9208</v>
      </c>
      <c r="B7769" s="7" t="str">
        <f>IFERROR(__xludf.DUMMYFUNCTION("SPLIT(A7769,"" "")"),"Cc1nc(CN(C)C2CCCCC2N(C)C2(c3nc(C)c(C)c(C)c3C)C(C)N(C)C2C)c(C)c(C)c1C")</f>
        <v>Cc1nc(CN(C)C2CCCCC2N(C)C2(c3nc(C)c(C)c(C)c3C)C(C)N(C)C2C)c(C)c(C)c1C</v>
      </c>
      <c r="C7769" s="7">
        <f>IFERROR(__xludf.DUMMYFUNCTION("""COMPUTED_VALUE"""),7.7770505)</f>
        <v>7.7770505</v>
      </c>
      <c r="D7769" s="7">
        <f>IFERROR(__xludf.DUMMYFUNCTION("""COMPUTED_VALUE"""),0.333333333333333)</f>
        <v>0.3333333333</v>
      </c>
    </row>
    <row r="7770">
      <c r="A7770" s="10" t="s">
        <v>9209</v>
      </c>
      <c r="B7770" s="7" t="str">
        <f>IFERROR(__xludf.DUMMYFUNCTION("SPLIT(A7770,"" "")"),"CN(CCN(Cc1ccccn1)c1cccc2cccnc12)Cc1ncccc1-c1cccc2c1OCCOCCOCCOCCOCCO2")</f>
        <v>CN(CCN(Cc1ccccn1)c1cccc2cccnc12)Cc1ncccc1-c1cccc2c1OCCOCCOCCOCCOCCO2</v>
      </c>
      <c r="C7770" s="7">
        <f>IFERROR(__xludf.DUMMYFUNCTION("""COMPUTED_VALUE"""),7.777045)</f>
        <v>7.777045</v>
      </c>
      <c r="D7770" s="7">
        <f>IFERROR(__xludf.DUMMYFUNCTION("""COMPUTED_VALUE"""),0.363636363636363)</f>
        <v>0.3636363636</v>
      </c>
    </row>
    <row r="7771">
      <c r="A7771" s="10" t="s">
        <v>9210</v>
      </c>
      <c r="B7771" s="7" t="str">
        <f>IFERROR(__xludf.DUMMYFUNCTION("SPLIT(A7771,"" "")"),"CCN(Cc1ccccn1)C1CCCCC1N(C)c1ccc2cccnc2c1")</f>
        <v>CCN(Cc1ccccn1)C1CCCCC1N(C)c1ccc2cccnc2c1</v>
      </c>
      <c r="C7771" s="7">
        <f>IFERROR(__xludf.DUMMYFUNCTION("""COMPUTED_VALUE"""),7.7770443)</f>
        <v>7.7770443</v>
      </c>
      <c r="D7771" s="7">
        <f>IFERROR(__xludf.DUMMYFUNCTION("""COMPUTED_VALUE"""),0.490566037735849)</f>
        <v>0.4905660377</v>
      </c>
    </row>
    <row r="7772">
      <c r="A7772" s="10" t="s">
        <v>9211</v>
      </c>
      <c r="B7772" s="7" t="str">
        <f>IFERROR(__xludf.DUMMYFUNCTION("SPLIT(A7772,"" "")"),"CC1=C(C)C(C)C(C)(c2ncccc2CN(Cc2ccccn2)Cc2ccccn2)CC1")</f>
        <v>CC1=C(C)C(C)C(C)(c2ncccc2CN(Cc2ccccn2)Cc2ccccn2)CC1</v>
      </c>
      <c r="C7772" s="7">
        <f>IFERROR(__xludf.DUMMYFUNCTION("""COMPUTED_VALUE"""),7.7770433)</f>
        <v>7.7770433</v>
      </c>
      <c r="D7772" s="7">
        <f>IFERROR(__xludf.DUMMYFUNCTION("""COMPUTED_VALUE"""),0.434782608695652)</f>
        <v>0.4347826087</v>
      </c>
    </row>
    <row r="7773">
      <c r="A7773" s="10" t="s">
        <v>9212</v>
      </c>
      <c r="B7773" s="7" t="str">
        <f>IFERROR(__xludf.DUMMYFUNCTION("SPLIT(A7773,"" "")"),"Cc1cnc(CN(C)CCN(C)Cc2ncccc2C)c(C)c1")</f>
        <v>Cc1cnc(CN(C)CCN(C)Cc2ncccc2C)c(C)c1</v>
      </c>
      <c r="C7773" s="7">
        <f>IFERROR(__xludf.DUMMYFUNCTION("""COMPUTED_VALUE"""),7.777035)</f>
        <v>7.777035</v>
      </c>
      <c r="D7773" s="7">
        <f>IFERROR(__xludf.DUMMYFUNCTION("""COMPUTED_VALUE"""),0.439024390243902)</f>
        <v>0.4390243902</v>
      </c>
    </row>
    <row r="7774">
      <c r="A7774" s="10" t="s">
        <v>9213</v>
      </c>
      <c r="B7774" s="7" t="str">
        <f>IFERROR(__xludf.DUMMYFUNCTION("SPLIT(A7774,"" "")"),"CCNCc1cccc(CN(Cc2ccccn2)Cc2ncccc2N)n1")</f>
        <v>CCNCc1cccc(CN(Cc2ccccn2)Cc2ncccc2N)n1</v>
      </c>
      <c r="C7774" s="7">
        <f>IFERROR(__xludf.DUMMYFUNCTION("""COMPUTED_VALUE"""),7.7770324)</f>
        <v>7.7770324</v>
      </c>
      <c r="D7774" s="7">
        <f>IFERROR(__xludf.DUMMYFUNCTION("""COMPUTED_VALUE"""),0.454545454545454)</f>
        <v>0.4545454545</v>
      </c>
    </row>
    <row r="7775">
      <c r="A7775" s="10" t="s">
        <v>9214</v>
      </c>
      <c r="B7775" s="7" t="str">
        <f>IFERROR(__xludf.DUMMYFUNCTION("SPLIT(A7775,"" "")"),"CC1=CC(c2cccc(CN(C)Cc3cncc(C)c3)n2)C(N(C)Cc2ccccn2)C(C)C1")</f>
        <v>CC1=CC(c2cccc(CN(C)Cc3cncc(C)c3)n2)C(N(C)Cc2ccccn2)C(C)C1</v>
      </c>
      <c r="C7775" s="7">
        <f>IFERROR(__xludf.DUMMYFUNCTION("""COMPUTED_VALUE"""),7.7770295)</f>
        <v>7.7770295</v>
      </c>
      <c r="D7775" s="7">
        <f>IFERROR(__xludf.DUMMYFUNCTION("""COMPUTED_VALUE"""),0.4)</f>
        <v>0.4</v>
      </c>
    </row>
    <row r="7776">
      <c r="A7776" s="10" t="s">
        <v>9215</v>
      </c>
      <c r="B7776" s="7" t="str">
        <f>IFERROR(__xludf.DUMMYFUNCTION("SPLIT(A7776,"" "")"),"CCCc1ccnc2ccc(N(C)C3CCC(N(Cc4ccnc(C5CCC5C(C)C)c4)Cc4ccccn4)CC3)cc12")</f>
        <v>CCCc1ccnc2ccc(N(C)C3CCC(N(Cc4ccnc(C5CCC5C(C)C)c4)Cc4ccccn4)CC3)cc12</v>
      </c>
      <c r="C7776" s="7">
        <f>IFERROR(__xludf.DUMMYFUNCTION("""COMPUTED_VALUE"""),7.777027)</f>
        <v>7.777027</v>
      </c>
      <c r="D7776" s="7">
        <f>IFERROR(__xludf.DUMMYFUNCTION("""COMPUTED_VALUE"""),0.289473684210526)</f>
        <v>0.2894736842</v>
      </c>
    </row>
    <row r="7777">
      <c r="A7777" s="10" t="s">
        <v>9216</v>
      </c>
      <c r="B7777" s="7" t="str">
        <f>IFERROR(__xludf.DUMMYFUNCTION("SPLIT(A7777,"" "")"),"CC1=CC(C)C2(C(C)C1)C(c1ccc(CN(Cc3ccccn3)C3CCC(N(C)c4ccc5ncc(CN(C)C)cc5c4)CC3)cn1)C=CC(C)C21C(C)C=CC(C)C1C")</f>
        <v>CC1=CC(C)C2(C(C)C1)C(c1ccc(CN(Cc3ccccn3)C3CCC(N(C)c4ccc5ncc(CN(C)C)cc5c4)CC3)cn1)C=CC(C)C21C(C)C=CC(C)C1C</v>
      </c>
      <c r="C7777" s="7">
        <f>IFERROR(__xludf.DUMMYFUNCTION("""COMPUTED_VALUE"""),7.7770243)</f>
        <v>7.7770243</v>
      </c>
      <c r="D7777" s="7">
        <f>IFERROR(__xludf.DUMMYFUNCTION("""COMPUTED_VALUE"""),0.247191011235955)</f>
        <v>0.2471910112</v>
      </c>
    </row>
    <row r="7778">
      <c r="A7778" s="10" t="s">
        <v>9217</v>
      </c>
      <c r="B7778" s="7" t="str">
        <f>IFERROR(__xludf.DUMMYFUNCTION("SPLIT(A7778,"" "")"),"Cc1cnc(CN(C)CCN(C)Cc2cccnc2C)c(C)c1C")</f>
        <v>Cc1cnc(CN(C)CCN(C)Cc2cccnc2C)c(C)c1C</v>
      </c>
      <c r="C7778" s="7">
        <f>IFERROR(__xludf.DUMMYFUNCTION("""COMPUTED_VALUE"""),7.7770143)</f>
        <v>7.7770143</v>
      </c>
      <c r="D7778" s="7">
        <f>IFERROR(__xludf.DUMMYFUNCTION("""COMPUTED_VALUE"""),0.466666666666666)</f>
        <v>0.4666666667</v>
      </c>
    </row>
    <row r="7779">
      <c r="A7779" s="10" t="s">
        <v>9218</v>
      </c>
      <c r="B7779" s="7" t="str">
        <f>IFERROR(__xludf.DUMMYFUNCTION("SPLIT(A7779,"" "")"),"Cc1cc(-c2ccc3c(c2)OCCOCCOCCOCCOCCO3)cc(-c2ccc(CN(C)Cc3ccccn3)cn2)c1C")</f>
        <v>Cc1cc(-c2ccc3c(c2)OCCOCCOCCOCCOCCO3)cc(-c2ccc(CN(C)Cc3ccccn3)cn2)c1C</v>
      </c>
      <c r="C7779" s="7">
        <f>IFERROR(__xludf.DUMMYFUNCTION("""COMPUTED_VALUE"""),7.7770133)</f>
        <v>7.7770133</v>
      </c>
      <c r="D7779" s="7">
        <f>IFERROR(__xludf.DUMMYFUNCTION("""COMPUTED_VALUE"""),0.338235294117647)</f>
        <v>0.3382352941</v>
      </c>
    </row>
    <row r="7780">
      <c r="A7780" s="10" t="s">
        <v>9219</v>
      </c>
      <c r="B7780" s="7" t="str">
        <f>IFERROR(__xludf.DUMMYFUNCTION("SPLIT(A7780,"" "")"),"CNCc1cccc(CN(Cc2ccccn2)C2CCCCC2N(C)Cc2cccc(-c3cc(Cl)ccc3N)n2)n1")</f>
        <v>CNCc1cccc(CN(Cc2ccccn2)C2CCCCC2N(C)Cc2cccc(-c3cc(Cl)ccc3N)n2)n1</v>
      </c>
      <c r="C7780" s="7">
        <f>IFERROR(__xludf.DUMMYFUNCTION("""COMPUTED_VALUE"""),7.777002)</f>
        <v>7.777002</v>
      </c>
      <c r="D7780" s="7">
        <f>IFERROR(__xludf.DUMMYFUNCTION("""COMPUTED_VALUE"""),0.483870967741935)</f>
        <v>0.4838709677</v>
      </c>
    </row>
    <row r="7781">
      <c r="A7781" s="10" t="s">
        <v>9220</v>
      </c>
      <c r="B7781" s="7" t="str">
        <f>IFERROR(__xludf.DUMMYFUNCTION("SPLIT(A7781,"" "")"),"Cc1cnc(CN(C)C2CC(N(C)Cc3ccccn3)CC(N(Cc3cc(C)c(C)cn3)Cc3cc(C)c(C)c(C)n3)C2)cc1C")</f>
        <v>Cc1cnc(CN(C)C2CC(N(C)Cc3ccccn3)CC(N(Cc3cc(C)c(C)cn3)Cc3cc(C)c(C)c(C)n3)C2)cc1C</v>
      </c>
      <c r="C7781" s="7">
        <f>IFERROR(__xludf.DUMMYFUNCTION("""COMPUTED_VALUE"""),7.776994)</f>
        <v>7.776994</v>
      </c>
      <c r="D7781" s="7">
        <f>IFERROR(__xludf.DUMMYFUNCTION("""COMPUTED_VALUE"""),0.410714285714285)</f>
        <v>0.4107142857</v>
      </c>
    </row>
    <row r="7782">
      <c r="A7782" s="10" t="s">
        <v>9221</v>
      </c>
      <c r="B7782" s="7" t="str">
        <f>IFERROR(__xludf.DUMMYFUNCTION("SPLIT(A7782,"" "")"),"Cc1ccc(CN(C)Cc2cccc(N(C)C3CCC(N(Cc4cccc(C)n4)Cc4ncccc4C)CC3)n2)nc1")</f>
        <v>Cc1ccc(CN(C)Cc2cccc(N(C)C3CCC(N(Cc4cccc(C)n4)Cc4ncccc4C)CC3)n2)nc1</v>
      </c>
      <c r="C7782" s="7">
        <f>IFERROR(__xludf.DUMMYFUNCTION("""COMPUTED_VALUE"""),7.7769923)</f>
        <v>7.7769923</v>
      </c>
      <c r="D7782" s="7">
        <f>IFERROR(__xludf.DUMMYFUNCTION("""COMPUTED_VALUE"""),0.360655737704918)</f>
        <v>0.3606557377</v>
      </c>
    </row>
    <row r="7783">
      <c r="A7783" s="10" t="s">
        <v>9222</v>
      </c>
      <c r="B7783" s="7" t="str">
        <f>IFERROR(__xludf.DUMMYFUNCTION("SPLIT(A7783,"" "")"),"C=CCN(C)CCN(Cc1ccccn1)Cc1cnccc1C(C)(C)c1ccccn1")</f>
        <v>C=CCN(C)CCN(Cc1ccccn1)Cc1cnccc1C(C)(C)c1ccccn1</v>
      </c>
      <c r="C7783" s="7">
        <f>IFERROR(__xludf.DUMMYFUNCTION("""COMPUTED_VALUE"""),7.776992)</f>
        <v>7.776992</v>
      </c>
      <c r="D7783" s="7">
        <f>IFERROR(__xludf.DUMMYFUNCTION("""COMPUTED_VALUE"""),0.46031746031746)</f>
        <v>0.4603174603</v>
      </c>
    </row>
    <row r="7784">
      <c r="A7784" s="10" t="s">
        <v>9223</v>
      </c>
      <c r="B7784" s="7" t="str">
        <f>IFERROR(__xludf.DUMMYFUNCTION("SPLIT(A7784,"" "")"),"CCNCC1=CC(N(C)Cc2nc(C)c(C)c(C)c2C)C=CN1")</f>
        <v>CCNCC1=CC(N(C)Cc2nc(C)c(C)c(C)c2C)C=CN1</v>
      </c>
      <c r="C7784" s="7">
        <f>IFERROR(__xludf.DUMMYFUNCTION("""COMPUTED_VALUE"""),7.7769914)</f>
        <v>7.7769914</v>
      </c>
      <c r="D7784" s="7">
        <f>IFERROR(__xludf.DUMMYFUNCTION("""COMPUTED_VALUE"""),0.3)</f>
        <v>0.3</v>
      </c>
    </row>
    <row r="7785">
      <c r="A7785" s="10" t="s">
        <v>9224</v>
      </c>
      <c r="B7785" s="7" t="str">
        <f>IFERROR(__xludf.DUMMYFUNCTION("SPLIT(A7785,"" "")"),"Cc1ccc(C2CCC2(C)C)nc1CN(Cc1ccccn1)Cc1ccccn1")</f>
        <v>Cc1ccc(C2CCC2(C)C)nc1CN(Cc1ccccn1)Cc1ccccn1</v>
      </c>
      <c r="C7785" s="7">
        <f>IFERROR(__xludf.DUMMYFUNCTION("""COMPUTED_VALUE"""),7.7769823)</f>
        <v>7.7769823</v>
      </c>
      <c r="D7785" s="7">
        <f>IFERROR(__xludf.DUMMYFUNCTION("""COMPUTED_VALUE"""),0.444444444444444)</f>
        <v>0.4444444444</v>
      </c>
    </row>
    <row r="7786">
      <c r="A7786" s="10" t="s">
        <v>9225</v>
      </c>
      <c r="B7786" s="7" t="str">
        <f>IFERROR(__xludf.DUMMYFUNCTION("SPLIT(A7786,"" "")"),"Cc1cccnc1CN(C)CCN(C)Cc1c(C)cncc1C")</f>
        <v>Cc1cccnc1CN(C)CCN(C)Cc1c(C)cncc1C</v>
      </c>
      <c r="C7786" s="7">
        <f>IFERROR(__xludf.DUMMYFUNCTION("""COMPUTED_VALUE"""),7.776975)</f>
        <v>7.776975</v>
      </c>
      <c r="D7786" s="7">
        <f>IFERROR(__xludf.DUMMYFUNCTION("""COMPUTED_VALUE"""),0.4)</f>
        <v>0.4</v>
      </c>
    </row>
    <row r="7787">
      <c r="A7787" s="10" t="s">
        <v>9226</v>
      </c>
      <c r="B7787" s="7" t="str">
        <f>IFERROR(__xludf.DUMMYFUNCTION("SPLIT(A7787,"" "")"),"CN(c1cccc2nc(CF)ccc12)C1CCC(N(C)C2C=CC=CN2)CC1")</f>
        <v>CN(c1cccc2nc(CF)ccc12)C1CCC(N(C)C2C=CC=CN2)CC1</v>
      </c>
      <c r="C7787" s="7">
        <f>IFERROR(__xludf.DUMMYFUNCTION("""COMPUTED_VALUE"""),7.7769737)</f>
        <v>7.7769737</v>
      </c>
      <c r="D7787" s="7">
        <f>IFERROR(__xludf.DUMMYFUNCTION("""COMPUTED_VALUE"""),0.375)</f>
        <v>0.375</v>
      </c>
    </row>
    <row r="7788">
      <c r="A7788" s="10" t="s">
        <v>9227</v>
      </c>
      <c r="B7788" s="7" t="str">
        <f>IFERROR(__xludf.DUMMYFUNCTION("SPLIT(A7788,"" "")"),"CNCc1cccc(CN(Cc2cccc(C)n2)C2CCC(N(C)Cc3cccc(-c4ccccn4)n3)CC2)n1")</f>
        <v>CNCc1cccc(CN(Cc2cccc(C)n2)C2CCC(N(C)Cc3cccc(-c4ccccn4)n3)CC2)n1</v>
      </c>
      <c r="C7788" s="7">
        <f>IFERROR(__xludf.DUMMYFUNCTION("""COMPUTED_VALUE"""),7.77697)</f>
        <v>7.77697</v>
      </c>
      <c r="D7788" s="7">
        <f>IFERROR(__xludf.DUMMYFUNCTION("""COMPUTED_VALUE"""),0.456140350877192)</f>
        <v>0.4561403509</v>
      </c>
    </row>
    <row r="7789">
      <c r="A7789" s="10" t="s">
        <v>9228</v>
      </c>
      <c r="B7789" s="7" t="str">
        <f>IFERROR(__xludf.DUMMYFUNCTION("SPLIT(A7789,"" "")"),"Cc1cnccc1CN(C)CC1=CCC=CN1")</f>
        <v>Cc1cnccc1CN(C)CC1=CCC=CN1</v>
      </c>
      <c r="C7789" s="7">
        <f>IFERROR(__xludf.DUMMYFUNCTION("""COMPUTED_VALUE"""),7.7769623)</f>
        <v>7.7769623</v>
      </c>
      <c r="D7789" s="7">
        <f>IFERROR(__xludf.DUMMYFUNCTION("""COMPUTED_VALUE"""),0.423076923076923)</f>
        <v>0.4230769231</v>
      </c>
    </row>
    <row r="7790">
      <c r="A7790" s="10" t="s">
        <v>9229</v>
      </c>
      <c r="B7790" s="7" t="str">
        <f>IFERROR(__xludf.DUMMYFUNCTION("SPLIT(A7790,"" "")"),"CC(C)(C)c1cc(CN(CCSCc2ccccn2)Cc2ccccn2)ccn1")</f>
        <v>CC(C)(C)c1cc(CN(CCSCc2ccccn2)Cc2ccccn2)ccn1</v>
      </c>
      <c r="C7790" s="7">
        <f>IFERROR(__xludf.DUMMYFUNCTION("""COMPUTED_VALUE"""),7.7769566)</f>
        <v>7.7769566</v>
      </c>
      <c r="D7790" s="7">
        <f>IFERROR(__xludf.DUMMYFUNCTION("""COMPUTED_VALUE"""),0.456521739130434)</f>
        <v>0.4565217391</v>
      </c>
    </row>
    <row r="7791">
      <c r="A7791" s="10" t="s">
        <v>9230</v>
      </c>
      <c r="B7791" s="7" t="str">
        <f>IFERROR(__xludf.DUMMYFUNCTION("SPLIT(A7791,"" "")"),"CC(C)(c1ccccn1)c1cccnc1CNCF")</f>
        <v>CC(C)(c1ccccn1)c1cccnc1CNCF</v>
      </c>
      <c r="C7791" s="7">
        <f>IFERROR(__xludf.DUMMYFUNCTION("""COMPUTED_VALUE"""),7.776953)</f>
        <v>7.776953</v>
      </c>
      <c r="D7791" s="7">
        <f>IFERROR(__xludf.DUMMYFUNCTION("""COMPUTED_VALUE"""),0.34)</f>
        <v>0.34</v>
      </c>
    </row>
    <row r="7792">
      <c r="A7792" s="10" t="s">
        <v>9231</v>
      </c>
      <c r="B7792" s="7" t="str">
        <f>IFERROR(__xludf.DUMMYFUNCTION("SPLIT(A7792,"" "")"),"CN1CCN(C)CCN(c2cccc3ncc4c(c23)CCCC4)CC1")</f>
        <v>CN1CCN(C)CCN(c2cccc3ncc4c(c23)CCCC4)CC1</v>
      </c>
      <c r="C7792" s="7">
        <f>IFERROR(__xludf.DUMMYFUNCTION("""COMPUTED_VALUE"""),7.776952)</f>
        <v>7.776952</v>
      </c>
      <c r="D7792" s="7">
        <f>IFERROR(__xludf.DUMMYFUNCTION("""COMPUTED_VALUE"""),0.372093023255813)</f>
        <v>0.3720930233</v>
      </c>
    </row>
    <row r="7793">
      <c r="A7793" s="10" t="s">
        <v>9232</v>
      </c>
      <c r="B7793" s="7" t="str">
        <f>IFERROR(__xludf.DUMMYFUNCTION("SPLIT(A7793,"" "")"),"CC1=C(C)C(C)C2(CC(C)C=CC2C)C(C(C)(C)c2ccc(CN(Cc3ccccn3)C3CCC(N(C)c4ccc5cc(CN(C)C)cnc5c4)CC3)cn2)C1NCc1ccccn1")</f>
        <v>CC1=C(C)C(C)C2(CC(C)C=CC2C)C(C(C)(C)c2ccc(CN(Cc3ccccn3)C3CCC(N(C)c4ccc5cc(CN(C)C)cnc5c4)CC3)cn2)C1NCc1ccccn1</v>
      </c>
      <c r="C7793" s="7">
        <f>IFERROR(__xludf.DUMMYFUNCTION("""COMPUTED_VALUE"""),7.776949)</f>
        <v>7.776949</v>
      </c>
      <c r="D7793" s="7">
        <f>IFERROR(__xludf.DUMMYFUNCTION("""COMPUTED_VALUE"""),0.231578947368421)</f>
        <v>0.2315789474</v>
      </c>
    </row>
    <row r="7794">
      <c r="A7794" s="10" t="s">
        <v>9233</v>
      </c>
      <c r="B7794" s="7" t="str">
        <f>IFERROR(__xludf.DUMMYFUNCTION("SPLIT(A7794,"" "")"),"Cc1cc(C)c(CN(C)Cc2cccc(N(C)C3CCC(N(Cc4ccccn4)Cc4ncccc4C)CC3)n2)cn1")</f>
        <v>Cc1cc(C)c(CN(C)Cc2cccc(N(C)C3CCC(N(Cc4ccccn4)Cc4ncccc4C)CC3)n2)cn1</v>
      </c>
      <c r="C7794" s="7">
        <f>IFERROR(__xludf.DUMMYFUNCTION("""COMPUTED_VALUE"""),7.7769265)</f>
        <v>7.7769265</v>
      </c>
      <c r="D7794" s="7">
        <f>IFERROR(__xludf.DUMMYFUNCTION("""COMPUTED_VALUE"""),0.373134328358209)</f>
        <v>0.3731343284</v>
      </c>
    </row>
    <row r="7795">
      <c r="A7795" s="10" t="s">
        <v>9234</v>
      </c>
      <c r="B7795" s="7" t="str">
        <f>IFERROR(__xludf.DUMMYFUNCTION("SPLIT(A7795,"" "")"),"CC(N)C(C)N(C)CC1=CCC(N(C)C(c2ccccc2)c2ccccn2)=CN1")</f>
        <v>CC(N)C(C)N(C)CC1=CCC(N(C)C(c2ccccc2)c2ccccn2)=CN1</v>
      </c>
      <c r="C7795" s="7">
        <f>IFERROR(__xludf.DUMMYFUNCTION("""COMPUTED_VALUE"""),7.776924)</f>
        <v>7.776924</v>
      </c>
      <c r="D7795" s="7">
        <f>IFERROR(__xludf.DUMMYFUNCTION("""COMPUTED_VALUE"""),0.387096774193548)</f>
        <v>0.3870967742</v>
      </c>
    </row>
    <row r="7796">
      <c r="A7796" s="10" t="s">
        <v>9235</v>
      </c>
      <c r="B7796" s="7" t="str">
        <f>IFERROR(__xludf.DUMMYFUNCTION("SPLIT(A7796,"" "")"),"Cc1ccnc(CN(Cc2cc(C(C)(c3ccccc3)C(C)C)ccn2)CC(C)(C)C)c1")</f>
        <v>Cc1ccnc(CN(Cc2cc(C(C)(c3ccccc3)C(C)C)ccn2)CC(C)(C)C)c1</v>
      </c>
      <c r="C7796" s="7">
        <f>IFERROR(__xludf.DUMMYFUNCTION("""COMPUTED_VALUE"""),7.7769213)</f>
        <v>7.7769213</v>
      </c>
      <c r="D7796" s="7">
        <f>IFERROR(__xludf.DUMMYFUNCTION("""COMPUTED_VALUE"""),0.431372549019607)</f>
        <v>0.431372549</v>
      </c>
    </row>
    <row r="7797">
      <c r="A7797" s="10" t="s">
        <v>9236</v>
      </c>
      <c r="B7797" s="7" t="str">
        <f>IFERROR(__xludf.DUMMYFUNCTION("SPLIT(A7797,"" "")"),"CCNCC1=CCC(N(C)Cc2ccccn2)=CN1")</f>
        <v>CCNCC1=CCC(N(C)Cc2ccccn2)=CN1</v>
      </c>
      <c r="C7797" s="7">
        <f>IFERROR(__xludf.DUMMYFUNCTION("""COMPUTED_VALUE"""),7.7769194)</f>
        <v>7.7769194</v>
      </c>
      <c r="D7797" s="7">
        <f>IFERROR(__xludf.DUMMYFUNCTION("""COMPUTED_VALUE"""),0.403846153846153)</f>
        <v>0.4038461538</v>
      </c>
    </row>
    <row r="7798">
      <c r="A7798" s="10" t="s">
        <v>9237</v>
      </c>
      <c r="B7798" s="7" t="str">
        <f>IFERROR(__xludf.DUMMYFUNCTION("SPLIT(A7798,"" "")"),"CC(C)C1(C)COC(c2cccc(CN(Cc3cccc(C4=NC(C)(C)CO4)n3)Cc3cccc(-c4ccc5c(c4)OCCOCCOCCOCCOCCO5)n3)n2)=N1")</f>
        <v>CC(C)C1(C)COC(c2cccc(CN(Cc3cccc(C4=NC(C)(C)CO4)n3)Cc3cccc(-c4ccc5c(c4)OCCOCCOCCOCCOCCO5)n3)n2)=N1</v>
      </c>
      <c r="C7798" s="7">
        <f>IFERROR(__xludf.DUMMYFUNCTION("""COMPUTED_VALUE"""),7.776914)</f>
        <v>7.776914</v>
      </c>
      <c r="D7798" s="7">
        <f>IFERROR(__xludf.DUMMYFUNCTION("""COMPUTED_VALUE"""),0.416666666666666)</f>
        <v>0.4166666667</v>
      </c>
    </row>
    <row r="7799">
      <c r="A7799" s="10" t="s">
        <v>9238</v>
      </c>
      <c r="B7799" s="7" t="str">
        <f>IFERROR(__xludf.DUMMYFUNCTION("SPLIT(A7799,"" "")"),"Cc1ccc(CN(C)c2ccc(CN(Cc3ccccn3)Cc3cccc(-c4cc(N)cc5c4OCCOCCOCCOCCOCCO5)n3)nc2)nc1")</f>
        <v>Cc1ccc(CN(C)c2ccc(CN(Cc3ccccn3)Cc3cccc(-c4cc(N)cc5c4OCCOCCOCCOCCOCCO5)n3)nc2)nc1</v>
      </c>
      <c r="C7799" s="7">
        <f>IFERROR(__xludf.DUMMYFUNCTION("""COMPUTED_VALUE"""),7.776911)</f>
        <v>7.776911</v>
      </c>
      <c r="D7799" s="7">
        <f>IFERROR(__xludf.DUMMYFUNCTION("""COMPUTED_VALUE"""),0.358974358974359)</f>
        <v>0.358974359</v>
      </c>
    </row>
    <row r="7800">
      <c r="A7800" s="10" t="s">
        <v>9239</v>
      </c>
      <c r="B7800" s="7" t="str">
        <f>IFERROR(__xludf.DUMMYFUNCTION("SPLIT(A7800,"" "")"),"CNCc1cccc(CN(Cc2ccccn2)C2C=CC=CN2)n1")</f>
        <v>CNCc1cccc(CN(Cc2ccccn2)C2C=CC=CN2)n1</v>
      </c>
      <c r="C7800" s="7">
        <f>IFERROR(__xludf.DUMMYFUNCTION("""COMPUTED_VALUE"""),7.7769084)</f>
        <v>7.7769084</v>
      </c>
      <c r="D7800" s="7">
        <f>IFERROR(__xludf.DUMMYFUNCTION("""COMPUTED_VALUE"""),0.481481481481481)</f>
        <v>0.4814814815</v>
      </c>
    </row>
    <row r="7801">
      <c r="A7801" s="10" t="s">
        <v>9240</v>
      </c>
      <c r="B7801" s="7" t="str">
        <f>IFERROR(__xludf.DUMMYFUNCTION("SPLIT(A7801,"" "")"),"CN(c1ccc2nc(CF)ccc2c1)C1CCC(N(Cc2ccccn2)CC(C)(C)C)CC1")</f>
        <v>CN(c1ccc2nc(CF)ccc2c1)C1CCC(N(Cc2ccccn2)CC(C)(C)C)CC1</v>
      </c>
      <c r="C7801" s="7">
        <f>IFERROR(__xludf.DUMMYFUNCTION("""COMPUTED_VALUE"""),7.7769017)</f>
        <v>7.7769017</v>
      </c>
      <c r="D7801" s="7">
        <f>IFERROR(__xludf.DUMMYFUNCTION("""COMPUTED_VALUE"""),0.413793103448275)</f>
        <v>0.4137931034</v>
      </c>
    </row>
    <row r="7802">
      <c r="A7802" s="10" t="s">
        <v>9241</v>
      </c>
      <c r="B7802" s="7" t="str">
        <f>IFERROR(__xludf.DUMMYFUNCTION("SPLIT(A7802,"" "")"),"Cc1cnc(C)c(C)c1CN(C)CCN(C)Cc1ccccn1")</f>
        <v>Cc1cnc(C)c(C)c1CN(C)CCN(C)Cc1ccccn1</v>
      </c>
      <c r="C7802" s="7">
        <f>IFERROR(__xludf.DUMMYFUNCTION("""COMPUTED_VALUE"""),7.7769)</f>
        <v>7.7769</v>
      </c>
      <c r="D7802" s="7">
        <f>IFERROR(__xludf.DUMMYFUNCTION("""COMPUTED_VALUE"""),0.465116279069767)</f>
        <v>0.4651162791</v>
      </c>
    </row>
    <row r="7803">
      <c r="A7803" s="10" t="s">
        <v>9242</v>
      </c>
      <c r="B7803" s="7" t="str">
        <f>IFERROR(__xludf.DUMMYFUNCTION("SPLIT(A7803,"" "")"),"Cc1cccnc1CN(C)C1C=CNC(CN(Cc2ccccn2)C(C)C)=C1")</f>
        <v>Cc1cccnc1CN(C)C1C=CNC(CN(Cc2ccccn2)C(C)C)=C1</v>
      </c>
      <c r="C7803" s="7">
        <f>IFERROR(__xludf.DUMMYFUNCTION("""COMPUTED_VALUE"""),7.776887)</f>
        <v>7.776887</v>
      </c>
      <c r="D7803" s="7">
        <f>IFERROR(__xludf.DUMMYFUNCTION("""COMPUTED_VALUE"""),0.436363636363636)</f>
        <v>0.4363636364</v>
      </c>
    </row>
    <row r="7804">
      <c r="A7804" s="10" t="s">
        <v>9243</v>
      </c>
      <c r="B7804" s="7" t="str">
        <f>IFERROR(__xludf.DUMMYFUNCTION("SPLIT(A7804,"" "")"),"Cc1cnc(C2CCC2(C)C)c(CN(Cc2ccccn2)Cc2ccccn2)c1")</f>
        <v>Cc1cnc(C2CCC2(C)C)c(CN(Cc2ccccn2)Cc2ccccn2)c1</v>
      </c>
      <c r="C7804" s="7">
        <f>IFERROR(__xludf.DUMMYFUNCTION("""COMPUTED_VALUE"""),7.7768817)</f>
        <v>7.7768817</v>
      </c>
      <c r="D7804" s="7">
        <f>IFERROR(__xludf.DUMMYFUNCTION("""COMPUTED_VALUE"""),0.434782608695652)</f>
        <v>0.4347826087</v>
      </c>
    </row>
    <row r="7805">
      <c r="A7805" s="10" t="s">
        <v>9244</v>
      </c>
      <c r="B7805" s="7" t="str">
        <f>IFERROR(__xludf.DUMMYFUNCTION("SPLIT(A7805,"" "")"),"Cc1cc(C)c(CN(Cc2cc(C)c(C)c(C)n2)C2CCCC(N(C)Cc3cc(C)c(C)c(C)n3)C2)nc1C")</f>
        <v>Cc1cc(C)c(CN(Cc2cc(C)c(C)c(C)n2)C2CCCC(N(C)Cc3cc(C)c(C)c(C)n3)C2)nc1C</v>
      </c>
      <c r="C7805" s="7">
        <f>IFERROR(__xludf.DUMMYFUNCTION("""COMPUTED_VALUE"""),7.7768683)</f>
        <v>7.7768683</v>
      </c>
      <c r="D7805" s="7">
        <f>IFERROR(__xludf.DUMMYFUNCTION("""COMPUTED_VALUE"""),0.288135593220339)</f>
        <v>0.2881355932</v>
      </c>
    </row>
    <row r="7806">
      <c r="A7806" s="10" t="s">
        <v>9245</v>
      </c>
      <c r="B7806" s="7" t="str">
        <f>IFERROR(__xludf.DUMMYFUNCTION("SPLIT(A7806,"" "")"),"CC(C)C1=CC2(C=CN1)C=CC(C)(C)C(NCc1ccccn1)C2c1cccc(CN(Cc2ccccn2)Cc2ccccn2)n1")</f>
        <v>CC(C)C1=CC2(C=CN1)C=CC(C)(C)C(NCc1ccccn1)C2c1cccc(CN(Cc2ccccn2)Cc2ccccn2)n1</v>
      </c>
      <c r="C7806" s="7">
        <f>IFERROR(__xludf.DUMMYFUNCTION("""COMPUTED_VALUE"""),7.776866)</f>
        <v>7.776866</v>
      </c>
      <c r="D7806" s="7">
        <f>IFERROR(__xludf.DUMMYFUNCTION("""COMPUTED_VALUE"""),0.328947368421052)</f>
        <v>0.3289473684</v>
      </c>
    </row>
    <row r="7807">
      <c r="A7807" s="10" t="s">
        <v>9246</v>
      </c>
      <c r="B7807" s="7" t="str">
        <f>IFERROR(__xludf.DUMMYFUNCTION("SPLIT(A7807,"" "")"),"Cc1ccc(CN(C)C2CC(N(Cc3ccccn3)Cc3ccccn3)CC(N(Cc3ccccn3)Cc3cc(C)c(C)c(C)n3)C2)nc1")</f>
        <v>Cc1ccc(CN(C)C2CC(N(Cc3ccccn3)Cc3ccccn3)CC(N(Cc3ccccn3)Cc3cc(C)c(C)c(C)n3)C2)nc1</v>
      </c>
      <c r="C7807" s="7">
        <f>IFERROR(__xludf.DUMMYFUNCTION("""COMPUTED_VALUE"""),7.776866)</f>
        <v>7.776866</v>
      </c>
      <c r="D7807" s="7">
        <f>IFERROR(__xludf.DUMMYFUNCTION("""COMPUTED_VALUE"""),0.413793103448275)</f>
        <v>0.4137931034</v>
      </c>
    </row>
    <row r="7808">
      <c r="A7808" s="10" t="s">
        <v>9247</v>
      </c>
      <c r="B7808" s="7" t="str">
        <f>IFERROR(__xludf.DUMMYFUNCTION("SPLIT(A7808,"" "")"),"Cc1cnc(C2CCC2(C)C)c(C(C)(C)C2(C)COC=N2)c1C")</f>
        <v>Cc1cnc(C2CCC2(C)C)c(C(C)(C)C2(C)COC=N2)c1C</v>
      </c>
      <c r="C7808" s="7">
        <f>IFERROR(__xludf.DUMMYFUNCTION("""COMPUTED_VALUE"""),7.776861)</f>
        <v>7.776861</v>
      </c>
      <c r="D7808" s="7">
        <f>IFERROR(__xludf.DUMMYFUNCTION("""COMPUTED_VALUE"""),0.19047619047619)</f>
        <v>0.1904761905</v>
      </c>
    </row>
    <row r="7809">
      <c r="A7809" s="10" t="s">
        <v>9248</v>
      </c>
      <c r="B7809" s="7" t="str">
        <f>IFERROR(__xludf.DUMMYFUNCTION("SPLIT(A7809,"" "")"),"CC1=CC(C)C(C)C2(C1)C(c1cc(CN(Cc3ccccn3)Cc3ccccn3)ccn1)C(c1ncccc1CN(Cc1ccccn1)Cc1ccccn1)C=CC21C(C)C(C)C=CC1(C)C")</f>
        <v>CC1=CC(C)C(C)C2(C1)C(c1cc(CN(Cc3ccccn3)Cc3ccccn3)ccn1)C(c1ncccc1CN(Cc1ccccn1)Cc1ccccn1)C=CC21C(C)C(C)C=CC1(C)C</v>
      </c>
      <c r="C7809" s="7">
        <f>IFERROR(__xludf.DUMMYFUNCTION("""COMPUTED_VALUE"""),7.77686)</f>
        <v>7.77686</v>
      </c>
      <c r="D7809" s="7">
        <f>IFERROR(__xludf.DUMMYFUNCTION("""COMPUTED_VALUE"""),0.277777777777777)</f>
        <v>0.2777777778</v>
      </c>
    </row>
    <row r="7810">
      <c r="A7810" s="10" t="s">
        <v>9249</v>
      </c>
      <c r="B7810" s="7" t="str">
        <f>IFERROR(__xludf.DUMMYFUNCTION("SPLIT(A7810,"" "")"),"CC1=CCC(c2cccc(CN(C)C)c2)C=C1C")</f>
        <v>CC1=CCC(c2cccc(CN(C)C)c2)C=C1C</v>
      </c>
      <c r="C7810" s="7">
        <f>IFERROR(__xludf.DUMMYFUNCTION("""COMPUTED_VALUE"""),7.7768593)</f>
        <v>7.7768593</v>
      </c>
      <c r="D7810" s="7">
        <f>IFERROR(__xludf.DUMMYFUNCTION("""COMPUTED_VALUE"""),0.245283018867924)</f>
        <v>0.2452830189</v>
      </c>
    </row>
    <row r="7811">
      <c r="A7811" s="10" t="s">
        <v>9250</v>
      </c>
      <c r="B7811" s="7" t="str">
        <f>IFERROR(__xludf.DUMMYFUNCTION("SPLIT(A7811,"" "")"),"CCN(Cc1ccccn1)C1CCCCC1N(C)c1ccc2ncccc2c1")</f>
        <v>CCN(Cc1ccccn1)C1CCCCC1N(C)c1ccc2ncccc2c1</v>
      </c>
      <c r="C7811" s="7">
        <f>IFERROR(__xludf.DUMMYFUNCTION("""COMPUTED_VALUE"""),7.776858)</f>
        <v>7.776858</v>
      </c>
      <c r="D7811" s="7">
        <f>IFERROR(__xludf.DUMMYFUNCTION("""COMPUTED_VALUE"""),0.5)</f>
        <v>0.5</v>
      </c>
    </row>
    <row r="7812">
      <c r="A7812" s="10" t="s">
        <v>9251</v>
      </c>
      <c r="B7812" s="7" t="str">
        <f>IFERROR(__xludf.DUMMYFUNCTION("SPLIT(A7812,"" "")"),"Cc1cccc(CN(C)CC2=CC(N(C)Cc3ccccn3)C=CN2)c1")</f>
        <v>Cc1cccc(CN(C)CC2=CC(N(C)Cc3ccccn3)C=CN2)c1</v>
      </c>
      <c r="C7812" s="7">
        <f>IFERROR(__xludf.DUMMYFUNCTION("""COMPUTED_VALUE"""),7.7768545)</f>
        <v>7.7768545</v>
      </c>
      <c r="D7812" s="7">
        <f>IFERROR(__xludf.DUMMYFUNCTION("""COMPUTED_VALUE"""),0.379310344827586)</f>
        <v>0.3793103448</v>
      </c>
    </row>
    <row r="7813">
      <c r="A7813" s="10" t="s">
        <v>9252</v>
      </c>
      <c r="B7813" s="7" t="str">
        <f>IFERROR(__xludf.DUMMYFUNCTION("SPLIT(A7813,"" "")"),"Cc1cnc(CN(C)Cc2cccc(N(C)C3CCC(N(Cc4ccccn4)Cc4ncccc4C)CC3)n2)c(C)c1")</f>
        <v>Cc1cnc(CN(C)Cc2cccc(N(C)C3CCC(N(Cc4ccccn4)Cc4ncccc4C)CC3)n2)c(C)c1</v>
      </c>
      <c r="C7813" s="7">
        <f>IFERROR(__xludf.DUMMYFUNCTION("""COMPUTED_VALUE"""),7.77684)</f>
        <v>7.77684</v>
      </c>
      <c r="D7813" s="7">
        <f>IFERROR(__xludf.DUMMYFUNCTION("""COMPUTED_VALUE"""),0.384615384615384)</f>
        <v>0.3846153846</v>
      </c>
    </row>
    <row r="7814">
      <c r="A7814" s="10" t="s">
        <v>9253</v>
      </c>
      <c r="B7814" s="7" t="str">
        <f>IFERROR(__xludf.DUMMYFUNCTION("SPLIT(A7814,"" "")"),"CN(c1cccc2nc(CF)ccc12)C1CCCCC1N(Cc1ccccn1)Cc1cccnc1CNCF")</f>
        <v>CN(c1cccc2nc(CF)ccc12)C1CCCCC1N(Cc1ccccn1)Cc1cccnc1CNCF</v>
      </c>
      <c r="C7814" s="7">
        <f>IFERROR(__xludf.DUMMYFUNCTION("""COMPUTED_VALUE"""),7.776836)</f>
        <v>7.776836</v>
      </c>
      <c r="D7814" s="7">
        <f>IFERROR(__xludf.DUMMYFUNCTION("""COMPUTED_VALUE"""),0.410958904109589)</f>
        <v>0.4109589041</v>
      </c>
    </row>
    <row r="7815">
      <c r="A7815" s="10" t="s">
        <v>9254</v>
      </c>
      <c r="B7815" s="7" t="str">
        <f>IFERROR(__xludf.DUMMYFUNCTION("SPLIT(A7815,"" "")"),"CC1=CC(C)C2(C(C)C1)C(C)C(c1ccc(CN(Cc3ccccn3)Cc3ccccn3)cn1)=CC(C)C2NCc1ccccn1")</f>
        <v>CC1=CC(C)C2(C(C)C1)C(C)C(c1ccc(CN(Cc3ccccn3)Cc3ccccn3)cn1)=CC(C)C2NCc1ccccn1</v>
      </c>
      <c r="C7815" s="7">
        <f>IFERROR(__xludf.DUMMYFUNCTION("""COMPUTED_VALUE"""),7.7768326)</f>
        <v>7.7768326</v>
      </c>
      <c r="D7815" s="7">
        <f>IFERROR(__xludf.DUMMYFUNCTION("""COMPUTED_VALUE"""),0.327868852459016)</f>
        <v>0.3278688525</v>
      </c>
    </row>
    <row r="7816">
      <c r="A7816" s="10" t="s">
        <v>9255</v>
      </c>
      <c r="B7816" s="7" t="str">
        <f>IFERROR(__xludf.DUMMYFUNCTION("SPLIT(A7816,"" "")"),"CCNCc1ccc(CN(C)Cc2cc(N)ccn2)cn1")</f>
        <v>CCNCc1ccc(CN(C)Cc2cc(N)ccn2)cn1</v>
      </c>
      <c r="C7816" s="7">
        <f>IFERROR(__xludf.DUMMYFUNCTION("""COMPUTED_VALUE"""),7.776825)</f>
        <v>7.776825</v>
      </c>
      <c r="D7816" s="7">
        <f>IFERROR(__xludf.DUMMYFUNCTION("""COMPUTED_VALUE"""),0.313725490196078)</f>
        <v>0.3137254902</v>
      </c>
    </row>
    <row r="7817">
      <c r="A7817" s="10" t="s">
        <v>9256</v>
      </c>
      <c r="B7817" s="7" t="str">
        <f>IFERROR(__xludf.DUMMYFUNCTION("SPLIT(A7817,"" "")"),"Cc1ccnc(CN(C)CCN(Cc2nccc(C)c2C)C(C)C)c1C")</f>
        <v>Cc1ccnc(CN(C)CCN(Cc2nccc(C)c2C)C(C)C)c1C</v>
      </c>
      <c r="C7817" s="7">
        <f>IFERROR(__xludf.DUMMYFUNCTION("""COMPUTED_VALUE"""),7.776823)</f>
        <v>7.776823</v>
      </c>
      <c r="D7817" s="7">
        <f>IFERROR(__xludf.DUMMYFUNCTION("""COMPUTED_VALUE"""),0.452380952380952)</f>
        <v>0.4523809524</v>
      </c>
    </row>
    <row r="7818">
      <c r="A7818" s="10" t="s">
        <v>9257</v>
      </c>
      <c r="B7818" s="7" t="str">
        <f>IFERROR(__xludf.DUMMYFUNCTION("SPLIT(A7818,"" "")"),"CNCc1ncccc1Cl")</f>
        <v>CNCc1ncccc1Cl</v>
      </c>
      <c r="C7818" s="7">
        <f>IFERROR(__xludf.DUMMYFUNCTION("""COMPUTED_VALUE"""),7.7768173)</f>
        <v>7.7768173</v>
      </c>
      <c r="D7818" s="7">
        <f>IFERROR(__xludf.DUMMYFUNCTION("""COMPUTED_VALUE"""),0.317073170731707)</f>
        <v>0.3170731707</v>
      </c>
    </row>
    <row r="7819">
      <c r="A7819" s="10" t="s">
        <v>9258</v>
      </c>
      <c r="B7819" s="7" t="str">
        <f>IFERROR(__xludf.DUMMYFUNCTION("SPLIT(A7819,"" "")"),"CCNC1CC(N(Cc2ncccc2C)Cc2ncccc2C)C(N(Cc2ncccc2C)Cc2ncccc2C)CC1N(Cc1ncccc1C)Cc1ncccc1C")</f>
        <v>CCNC1CC(N(Cc2ncccc2C)Cc2ncccc2C)C(N(Cc2ncccc2C)Cc2ncccc2C)CC1N(Cc1ncccc1C)Cc1ncccc1C</v>
      </c>
      <c r="C7819" s="7">
        <f>IFERROR(__xludf.DUMMYFUNCTION("""COMPUTED_VALUE"""),7.7768054)</f>
        <v>7.7768054</v>
      </c>
      <c r="D7819" s="7">
        <f>IFERROR(__xludf.DUMMYFUNCTION("""COMPUTED_VALUE"""),0.277777777777777)</f>
        <v>0.2777777778</v>
      </c>
    </row>
    <row r="7820">
      <c r="A7820" s="10" t="s">
        <v>9259</v>
      </c>
      <c r="B7820" s="7" t="str">
        <f>IFERROR(__xludf.DUMMYFUNCTION("SPLIT(A7820,"" "")"),"Cc1cnc(CN(CCN(C)C(C)(c2cccnc2)C(C)C)Cc2nc(C)c(C)c(C)c2C)cc1C")</f>
        <v>Cc1cnc(CN(CCN(C)C(C)(c2cccnc2)C(C)C)Cc2nc(C)c(C)c(C)c2C)cc1C</v>
      </c>
      <c r="C7820" s="7">
        <f>IFERROR(__xludf.DUMMYFUNCTION("""COMPUTED_VALUE"""),7.776804)</f>
        <v>7.776804</v>
      </c>
      <c r="D7820" s="7">
        <f>IFERROR(__xludf.DUMMYFUNCTION("""COMPUTED_VALUE"""),0.287878787878787)</f>
        <v>0.2878787879</v>
      </c>
    </row>
    <row r="7821">
      <c r="A7821" s="10" t="s">
        <v>9260</v>
      </c>
      <c r="B7821" s="7" t="str">
        <f>IFERROR(__xludf.DUMMYFUNCTION("SPLIT(A7821,"" "")"),"CC(C)C1CCC1c1cc(CN(Cc2ccccn2)C2CCCCC2N(C)c2ccc3nccc(CF)c3c2)ccn1")</f>
        <v>CC(C)C1CCC1c1cc(CN(Cc2ccccn2)C2CCCCC2N(C)c2ccc3nccc(CF)c3c2)ccn1</v>
      </c>
      <c r="C7821" s="7">
        <f>IFERROR(__xludf.DUMMYFUNCTION("""COMPUTED_VALUE"""),7.7768025)</f>
        <v>7.7768025</v>
      </c>
      <c r="D7821" s="7">
        <f>IFERROR(__xludf.DUMMYFUNCTION("""COMPUTED_VALUE"""),0.351351351351351)</f>
        <v>0.3513513514</v>
      </c>
    </row>
    <row r="7822">
      <c r="A7822" s="10" t="s">
        <v>9261</v>
      </c>
      <c r="B7822" s="7" t="str">
        <f>IFERROR(__xludf.DUMMYFUNCTION("SPLIT(A7822,"" "")"),"Cc1cncc(CN(C)C2=C(CN(C)C(C)(C)C)NC=CC2)c1")</f>
        <v>Cc1cncc(CN(C)C2=C(CN(C)C(C)(C)C)NC=CC2)c1</v>
      </c>
      <c r="C7822" s="7">
        <f>IFERROR(__xludf.DUMMYFUNCTION("""COMPUTED_VALUE"""),7.7767844)</f>
        <v>7.7767844</v>
      </c>
      <c r="D7822" s="7">
        <f>IFERROR(__xludf.DUMMYFUNCTION("""COMPUTED_VALUE"""),0.210526315789473)</f>
        <v>0.2105263158</v>
      </c>
    </row>
    <row r="7823">
      <c r="A7823" s="10" t="s">
        <v>9262</v>
      </c>
      <c r="B7823" s="7" t="str">
        <f>IFERROR(__xludf.DUMMYFUNCTION("SPLIT(A7823,"" "")"),"Cc1ccc(CN(C)Cc2cccc(N(C)C3CCC(N(Cc4ccccn4)Cc4ncccc4C)CC3)n2)nc1C")</f>
        <v>Cc1ccc(CN(C)Cc2cccc(N(C)C3CCC(N(Cc4ccccn4)Cc4ncccc4C)CC3)n2)nc1C</v>
      </c>
      <c r="C7823" s="7">
        <f>IFERROR(__xludf.DUMMYFUNCTION("""COMPUTED_VALUE"""),7.7767797)</f>
        <v>7.7767797</v>
      </c>
      <c r="D7823" s="7">
        <f>IFERROR(__xludf.DUMMYFUNCTION("""COMPUTED_VALUE"""),0.403225806451612)</f>
        <v>0.4032258065</v>
      </c>
    </row>
    <row r="7824">
      <c r="A7824" s="10" t="s">
        <v>9263</v>
      </c>
      <c r="B7824" s="7" t="str">
        <f>IFERROR(__xludf.DUMMYFUNCTION("SPLIT(A7824,"" "")"),"Cc1cc(CN(C)CCN(C)Cc2ccccn2)nc(C)c1C")</f>
        <v>Cc1cc(CN(C)CCN(C)Cc2ccccn2)nc(C)c1C</v>
      </c>
      <c r="C7824" s="7">
        <f>IFERROR(__xludf.DUMMYFUNCTION("""COMPUTED_VALUE"""),7.776772)</f>
        <v>7.776772</v>
      </c>
      <c r="D7824" s="7">
        <f>IFERROR(__xludf.DUMMYFUNCTION("""COMPUTED_VALUE"""),0.488888888888888)</f>
        <v>0.4888888889</v>
      </c>
    </row>
    <row r="7825">
      <c r="A7825" s="10" t="s">
        <v>9264</v>
      </c>
      <c r="B7825" s="7" t="str">
        <f>IFERROR(__xludf.DUMMYFUNCTION("SPLIT(A7825,"" "")"),"CN(CCN(Cc1ccccn1)c1ccc2ncccc2c1)Cc1ncccc1-c1cccc2c1OCCOCCOCCOCCOCCO2")</f>
        <v>CN(CCN(Cc1ccccn1)c1ccc2ncccc2c1)Cc1ncccc1-c1cccc2c1OCCOCCOCCOCCOCCO2</v>
      </c>
      <c r="C7825" s="7">
        <f>IFERROR(__xludf.DUMMYFUNCTION("""COMPUTED_VALUE"""),7.7767515)</f>
        <v>7.7767515</v>
      </c>
      <c r="D7825" s="7">
        <f>IFERROR(__xludf.DUMMYFUNCTION("""COMPUTED_VALUE"""),0.323943661971831)</f>
        <v>0.323943662</v>
      </c>
    </row>
    <row r="7826">
      <c r="A7826" s="10" t="s">
        <v>9265</v>
      </c>
      <c r="B7826" s="7" t="str">
        <f>IFERROR(__xludf.DUMMYFUNCTION("SPLIT(A7826,"" "")"),"CCN(Cc1ccccn1)Cc1ncccc1N(C)C1CCCC(N(C)Cc2cccc(-c3ccccc3)n2)C1")</f>
        <v>CCN(Cc1ccccn1)Cc1ncccc1N(C)C1CCCC(N(C)Cc2cccc(-c3ccccc3)n2)C1</v>
      </c>
      <c r="C7826" s="7">
        <f>IFERROR(__xludf.DUMMYFUNCTION("""COMPUTED_VALUE"""),7.776751)</f>
        <v>7.776751</v>
      </c>
      <c r="D7826" s="7">
        <f>IFERROR(__xludf.DUMMYFUNCTION("""COMPUTED_VALUE"""),0.414285714285714)</f>
        <v>0.4142857143</v>
      </c>
    </row>
    <row r="7827">
      <c r="A7827" s="10" t="s">
        <v>9266</v>
      </c>
      <c r="B7827" s="7" t="str">
        <f>IFERROR(__xludf.DUMMYFUNCTION("SPLIT(A7827,"" "")"),"Cc1ccc(CN(C)Cc2cccc(N(C)C3CCC(N(Cc4cccc(C)n4)Cc4cccc(C)n4)CC3)n2)nc1")</f>
        <v>Cc1ccc(CN(C)Cc2cccc(N(C)C3CCC(N(Cc4cccc(C)n4)Cc4cccc(C)n4)CC3)n2)nc1</v>
      </c>
      <c r="C7827" s="7">
        <f>IFERROR(__xludf.DUMMYFUNCTION("""COMPUTED_VALUE"""),7.7767477)</f>
        <v>7.7767477</v>
      </c>
      <c r="D7827" s="7">
        <f>IFERROR(__xludf.DUMMYFUNCTION("""COMPUTED_VALUE"""),0.431372549019607)</f>
        <v>0.431372549</v>
      </c>
    </row>
    <row r="7828">
      <c r="A7828" s="10" t="s">
        <v>9267</v>
      </c>
      <c r="B7828" s="7" t="str">
        <f>IFERROR(__xludf.DUMMYFUNCTION("SPLIT(A7828,"" "")"),"C=CCNCc1cccc(CN(C)Cc2cccc(N)n2)n1")</f>
        <v>C=CCNCc1cccc(CN(C)Cc2cccc(N)n2)n1</v>
      </c>
      <c r="C7828" s="7">
        <f>IFERROR(__xludf.DUMMYFUNCTION("""COMPUTED_VALUE"""),7.776733)</f>
        <v>7.776733</v>
      </c>
      <c r="D7828" s="7">
        <f>IFERROR(__xludf.DUMMYFUNCTION("""COMPUTED_VALUE"""),0.4)</f>
        <v>0.4</v>
      </c>
    </row>
    <row r="7829">
      <c r="A7829" s="10" t="s">
        <v>9268</v>
      </c>
      <c r="B7829" s="7" t="str">
        <f>IFERROR(__xludf.DUMMYFUNCTION("SPLIT(A7829,"" "")"),"CCCN(C)C1C(N(C)Cc2ccccn2)CCCC1N(Cc1ccccn1)c1ccc2ncccc2c1")</f>
        <v>CCCN(C)C1C(N(C)Cc2ccccn2)CCCC1N(Cc1ccccn1)c1ccc2ncccc2c1</v>
      </c>
      <c r="C7829" s="7">
        <f>IFERROR(__xludf.DUMMYFUNCTION("""COMPUTED_VALUE"""),7.77672)</f>
        <v>7.77672</v>
      </c>
      <c r="D7829" s="7">
        <f>IFERROR(__xludf.DUMMYFUNCTION("""COMPUTED_VALUE"""),0.5)</f>
        <v>0.5</v>
      </c>
    </row>
    <row r="7830">
      <c r="A7830" s="10" t="s">
        <v>9269</v>
      </c>
      <c r="B7830" s="7" t="str">
        <f>IFERROR(__xludf.DUMMYFUNCTION("SPLIT(A7830,"" "")"),"CCN(Cc1cc(CF)ccn1)C1CCCCC1N(C)c1ccc2ccc(CF)nc2c1")</f>
        <v>CCN(Cc1cc(CF)ccn1)C1CCCCC1N(C)c1ccc2ccc(CF)nc2c1</v>
      </c>
      <c r="C7830" s="7">
        <f>IFERROR(__xludf.DUMMYFUNCTION("""COMPUTED_VALUE"""),7.7767186)</f>
        <v>7.7767186</v>
      </c>
      <c r="D7830" s="7">
        <f>IFERROR(__xludf.DUMMYFUNCTION("""COMPUTED_VALUE"""),0.435483870967741)</f>
        <v>0.435483871</v>
      </c>
    </row>
    <row r="7831">
      <c r="A7831" s="10" t="s">
        <v>9270</v>
      </c>
      <c r="B7831" s="7" t="str">
        <f>IFERROR(__xludf.DUMMYFUNCTION("SPLIT(A7831,"" "")"),"CCNCc1ncccc1CN(Cc1ccccn1)Cc1ncccc1N")</f>
        <v>CCNCc1ncccc1CN(Cc1ccccn1)Cc1ncccc1N</v>
      </c>
      <c r="C7831" s="7">
        <f>IFERROR(__xludf.DUMMYFUNCTION("""COMPUTED_VALUE"""),7.7767177)</f>
        <v>7.7767177</v>
      </c>
      <c r="D7831" s="7">
        <f>IFERROR(__xludf.DUMMYFUNCTION("""COMPUTED_VALUE"""),0.454545454545454)</f>
        <v>0.4545454545</v>
      </c>
    </row>
    <row r="7832">
      <c r="A7832" s="10" t="s">
        <v>9271</v>
      </c>
      <c r="B7832" s="7" t="str">
        <f>IFERROR(__xludf.DUMMYFUNCTION("SPLIT(A7832,"" "")"),"CNCc1cc(CN(C)Cc2cccc(F)n2)ccn1")</f>
        <v>CNCc1cc(CN(C)Cc2cccc(F)n2)ccn1</v>
      </c>
      <c r="C7832" s="7">
        <f>IFERROR(__xludf.DUMMYFUNCTION("""COMPUTED_VALUE"""),7.776716)</f>
        <v>7.776716</v>
      </c>
      <c r="D7832" s="7">
        <f>IFERROR(__xludf.DUMMYFUNCTION("""COMPUTED_VALUE"""),0.428571428571428)</f>
        <v>0.4285714286</v>
      </c>
    </row>
    <row r="7833">
      <c r="A7833" s="10" t="s">
        <v>9272</v>
      </c>
      <c r="B7833" s="7" t="str">
        <f>IFERROR(__xludf.DUMMYFUNCTION("SPLIT(A7833,"" "")"),"CN(CC1=CC(N(C)Cc2ccccn2)C=CN1)Cc1cccnn1")</f>
        <v>CN(CC1=CC(N(C)Cc2ccccn2)C=CN1)Cc1cccnn1</v>
      </c>
      <c r="C7833" s="7">
        <f>IFERROR(__xludf.DUMMYFUNCTION("""COMPUTED_VALUE"""),7.7767115)</f>
        <v>7.7767115</v>
      </c>
      <c r="D7833" s="7">
        <f>IFERROR(__xludf.DUMMYFUNCTION("""COMPUTED_VALUE"""),0.48)</f>
        <v>0.48</v>
      </c>
    </row>
    <row r="7834">
      <c r="A7834" s="10" t="s">
        <v>9273</v>
      </c>
      <c r="B7834" s="7" t="str">
        <f>IFERROR(__xludf.DUMMYFUNCTION("SPLIT(A7834,"" "")"),"CNCc1cccc(Cl)n1")</f>
        <v>CNCc1cccc(Cl)n1</v>
      </c>
      <c r="C7834" s="7">
        <f>IFERROR(__xludf.DUMMYFUNCTION("""COMPUTED_VALUE"""),7.7767034)</f>
        <v>7.7767034</v>
      </c>
      <c r="D7834" s="7">
        <f>IFERROR(__xludf.DUMMYFUNCTION("""COMPUTED_VALUE"""),0.459459459459459)</f>
        <v>0.4594594595</v>
      </c>
    </row>
    <row r="7835">
      <c r="A7835" s="10" t="s">
        <v>9274</v>
      </c>
      <c r="B7835" s="7" t="str">
        <f>IFERROR(__xludf.DUMMYFUNCTION("SPLIT(A7835,"" "")"),"Cc1cnc(CN(C)CF)c(C)c1C")</f>
        <v>Cc1cnc(CN(C)CF)c(C)c1C</v>
      </c>
      <c r="C7835" s="7">
        <f>IFERROR(__xludf.DUMMYFUNCTION("""COMPUTED_VALUE"""),7.776696)</f>
        <v>7.776696</v>
      </c>
      <c r="D7835" s="7">
        <f>IFERROR(__xludf.DUMMYFUNCTION("""COMPUTED_VALUE"""),0.368421052631578)</f>
        <v>0.3684210526</v>
      </c>
    </row>
    <row r="7836">
      <c r="A7836" s="10" t="s">
        <v>9275</v>
      </c>
      <c r="B7836" s="7" t="str">
        <f>IFERROR(__xludf.DUMMYFUNCTION("SPLIT(A7836,"" "")"),"Fc1ccc(N(Cc2ccccn2)C2CCC(N(Cc3ccccn3)c3cccc(F)c3)CC2)cc1")</f>
        <v>Fc1ccc(N(Cc2ccccn2)C2CCC(N(Cc3ccccn3)c3cccc(F)c3)CC2)cc1</v>
      </c>
      <c r="C7836" s="7">
        <f>IFERROR(__xludf.DUMMYFUNCTION("""COMPUTED_VALUE"""),7.776692)</f>
        <v>7.776692</v>
      </c>
      <c r="D7836" s="7">
        <f>IFERROR(__xludf.DUMMYFUNCTION("""COMPUTED_VALUE"""),0.392156862745098)</f>
        <v>0.3921568627</v>
      </c>
    </row>
    <row r="7837">
      <c r="A7837" s="10" t="s">
        <v>9276</v>
      </c>
      <c r="B7837" s="7" t="str">
        <f>IFERROR(__xludf.DUMMYFUNCTION("SPLIT(A7837,"" "")"),"CC(C)(C)c1cccc(CN(Cc2ccccn2)Cc2cccc(C3CCC3(C)C)n2)n1")</f>
        <v>CC(C)(C)c1cccc(CN(Cc2ccccn2)Cc2cccc(C3CCC3(C)C)n2)n1</v>
      </c>
      <c r="C7837" s="7">
        <f>IFERROR(__xludf.DUMMYFUNCTION("""COMPUTED_VALUE"""),7.7766895)</f>
        <v>7.7766895</v>
      </c>
      <c r="D7837" s="7">
        <f>IFERROR(__xludf.DUMMYFUNCTION("""COMPUTED_VALUE"""),0.416666666666666)</f>
        <v>0.4166666667</v>
      </c>
    </row>
    <row r="7838">
      <c r="A7838" s="10" t="s">
        <v>9277</v>
      </c>
      <c r="B7838" s="7" t="str">
        <f>IFERROR(__xludf.DUMMYFUNCTION("SPLIT(A7838,"" "")"),"CN1CCN(C)CCN(CC2=CCC(N(C)c3ccc4c(CF)ccnc4c3)=CN2)CC1")</f>
        <v>CN1CCN(C)CCN(CC2=CCC(N(C)c3ccc4c(CF)ccnc4c3)=CN2)CC1</v>
      </c>
      <c r="C7838" s="7">
        <f>IFERROR(__xludf.DUMMYFUNCTION("""COMPUTED_VALUE"""),7.7766848)</f>
        <v>7.7766848</v>
      </c>
      <c r="D7838" s="7">
        <f>IFERROR(__xludf.DUMMYFUNCTION("""COMPUTED_VALUE"""),0.369230769230769)</f>
        <v>0.3692307692</v>
      </c>
    </row>
    <row r="7839">
      <c r="A7839" s="10" t="s">
        <v>9278</v>
      </c>
      <c r="B7839" s="7" t="str">
        <f>IFERROR(__xludf.DUMMYFUNCTION("SPLIT(A7839,"" "")"),"COC(=O)c1cc(CN(Cc2ccccn2)C2CCCC(N(C)Cc3nc(C)c(C)c(C)c3C)C2)ccn1")</f>
        <v>COC(=O)c1cc(CN(Cc2ccccn2)C2CCCC(N(C)Cc3nc(C)c(C)c(C)c3C)C2)ccn1</v>
      </c>
      <c r="C7839" s="7">
        <f>IFERROR(__xludf.DUMMYFUNCTION("""COMPUTED_VALUE"""),7.776679)</f>
        <v>7.776679</v>
      </c>
      <c r="D7839" s="7">
        <f>IFERROR(__xludf.DUMMYFUNCTION("""COMPUTED_VALUE"""),0.342857142857142)</f>
        <v>0.3428571429</v>
      </c>
    </row>
    <row r="7840">
      <c r="A7840" s="10" t="s">
        <v>9279</v>
      </c>
      <c r="B7840" s="7" t="str">
        <f>IFERROR(__xludf.DUMMYFUNCTION("SPLIT(A7840,"" "")"),"Cc1cnc(CN(Cc2nc(C)c(C)c(C)c2C)C2CCCCC2N(C)Cc2nc(C)c(C)c(C)c2C)c(C)c1C")</f>
        <v>Cc1cnc(CN(Cc2nc(C)c(C)c(C)c2C)C2CCCCC2N(C)Cc2nc(C)c(C)c(C)c2C)c(C)c1C</v>
      </c>
      <c r="C7840" s="7">
        <f>IFERROR(__xludf.DUMMYFUNCTION("""COMPUTED_VALUE"""),7.7766786)</f>
        <v>7.7766786</v>
      </c>
      <c r="D7840" s="7">
        <f>IFERROR(__xludf.DUMMYFUNCTION("""COMPUTED_VALUE"""),0.431372549019607)</f>
        <v>0.431372549</v>
      </c>
    </row>
    <row r="7841">
      <c r="A7841" s="10" t="s">
        <v>9280</v>
      </c>
      <c r="B7841" s="7" t="str">
        <f>IFERROR(__xludf.DUMMYFUNCTION("SPLIT(A7841,"" "")"),"CN(Cc1ccccn1)C1CCC(N(C)c2cccc(-c3ccccn3)c2)CC1")</f>
        <v>CN(Cc1ccccn1)C1CCC(N(C)c2cccc(-c3ccccn3)c2)CC1</v>
      </c>
      <c r="C7841" s="7">
        <f>IFERROR(__xludf.DUMMYFUNCTION("""COMPUTED_VALUE"""),7.776676)</f>
        <v>7.776676</v>
      </c>
      <c r="D7841" s="7">
        <f>IFERROR(__xludf.DUMMYFUNCTION("""COMPUTED_VALUE"""),0.48)</f>
        <v>0.48</v>
      </c>
    </row>
    <row r="7842">
      <c r="A7842" s="10" t="s">
        <v>9281</v>
      </c>
      <c r="B7842" s="7" t="str">
        <f>IFERROR(__xludf.DUMMYFUNCTION("SPLIT(A7842,"" "")"),"Cc1cnc(CN(C)C2C=CNC(C(C)C)=C2)cc1C")</f>
        <v>Cc1cnc(CN(C)C2C=CNC(C(C)C)=C2)cc1C</v>
      </c>
      <c r="C7842" s="7">
        <f>IFERROR(__xludf.DUMMYFUNCTION("""COMPUTED_VALUE"""),7.776665)</f>
        <v>7.776665</v>
      </c>
      <c r="D7842" s="7">
        <f>IFERROR(__xludf.DUMMYFUNCTION("""COMPUTED_VALUE"""),0.314814814814814)</f>
        <v>0.3148148148</v>
      </c>
    </row>
    <row r="7843">
      <c r="A7843" s="10" t="s">
        <v>9282</v>
      </c>
      <c r="B7843" s="7" t="str">
        <f>IFERROR(__xludf.DUMMYFUNCTION("SPLIT(A7843,"" "")"),"Cc1ccnc(CN(C)CCN(C)Cc2cc(C)cc(C)n2)c1")</f>
        <v>Cc1ccnc(CN(C)CCN(C)Cc2cc(C)cc(C)n2)c1</v>
      </c>
      <c r="C7843" s="7">
        <f>IFERROR(__xludf.DUMMYFUNCTION("""COMPUTED_VALUE"""),7.77665)</f>
        <v>7.77665</v>
      </c>
      <c r="D7843" s="7">
        <f>IFERROR(__xludf.DUMMYFUNCTION("""COMPUTED_VALUE"""),0.487179487179487)</f>
        <v>0.4871794872</v>
      </c>
    </row>
    <row r="7844">
      <c r="A7844" s="10" t="s">
        <v>9283</v>
      </c>
      <c r="B7844" s="7" t="str">
        <f>IFERROR(__xludf.DUMMYFUNCTION("SPLIT(A7844,"" "")"),"CN(C)C1C=CC=C(NCc2ccccn2)N1")</f>
        <v>CN(C)C1C=CC=C(NCc2ccccn2)N1</v>
      </c>
      <c r="C7844" s="7">
        <f>IFERROR(__xludf.DUMMYFUNCTION("""COMPUTED_VALUE"""),7.7766438)</f>
        <v>7.7766438</v>
      </c>
      <c r="D7844" s="7">
        <f>IFERROR(__xludf.DUMMYFUNCTION("""COMPUTED_VALUE"""),0.386363636363636)</f>
        <v>0.3863636364</v>
      </c>
    </row>
    <row r="7845">
      <c r="A7845" s="10" t="s">
        <v>9284</v>
      </c>
      <c r="B7845" s="7" t="str">
        <f>IFERROR(__xludf.DUMMYFUNCTION("SPLIT(A7845,"" "")"),"Cc1cccnc1-c1ccccc1NCc1ccc(-c2ccc3c(c2)OCCOCCOCCOCCOCCO3)cn1")</f>
        <v>Cc1cccnc1-c1ccccc1NCc1ccc(-c2ccc3c(c2)OCCOCCOCCOCCOCCO3)cn1</v>
      </c>
      <c r="C7845" s="7">
        <f>IFERROR(__xludf.DUMMYFUNCTION("""COMPUTED_VALUE"""),7.776637)</f>
        <v>7.776637</v>
      </c>
      <c r="D7845" s="7">
        <f>IFERROR(__xludf.DUMMYFUNCTION("""COMPUTED_VALUE"""),0.434782608695652)</f>
        <v>0.4347826087</v>
      </c>
    </row>
    <row r="7846">
      <c r="A7846" s="10" t="s">
        <v>9285</v>
      </c>
      <c r="B7846" s="7" t="str">
        <f>IFERROR(__xludf.DUMMYFUNCTION("SPLIT(A7846,"" "")"),"Cc1ccc(CN(C)C2=C(CN(C)C(C)C)NC=CC2)cn1")</f>
        <v>Cc1ccc(CN(C)C2=C(CN(C)C(C)C)NC=CC2)cn1</v>
      </c>
      <c r="C7846" s="7">
        <f>IFERROR(__xludf.DUMMYFUNCTION("""COMPUTED_VALUE"""),7.776629)</f>
        <v>7.776629</v>
      </c>
      <c r="D7846" s="7">
        <f>IFERROR(__xludf.DUMMYFUNCTION("""COMPUTED_VALUE"""),0.21875)</f>
        <v>0.21875</v>
      </c>
    </row>
    <row r="7847">
      <c r="A7847" s="10" t="s">
        <v>9286</v>
      </c>
      <c r="B7847" s="7" t="str">
        <f>IFERROR(__xludf.DUMMYFUNCTION("SPLIT(A7847,"" "")"),"CNCc1ccc(C)c(C)n1")</f>
        <v>CNCc1ccc(C)c(C)n1</v>
      </c>
      <c r="C7847" s="7">
        <f>IFERROR(__xludf.DUMMYFUNCTION("""COMPUTED_VALUE"""),7.776628)</f>
        <v>7.776628</v>
      </c>
      <c r="D7847" s="7">
        <f>IFERROR(__xludf.DUMMYFUNCTION("""COMPUTED_VALUE"""),0.23076923076923)</f>
        <v>0.2307692308</v>
      </c>
    </row>
    <row r="7848">
      <c r="A7848" s="10" t="s">
        <v>9287</v>
      </c>
      <c r="B7848" s="7" t="str">
        <f>IFERROR(__xludf.DUMMYFUNCTION("SPLIT(A7848,"" "")"),"Cc1ccc(CN(Cc2ccccn2)Cc2ccccn2)c(C2CCC2(C)C)n1")</f>
        <v>Cc1ccc(CN(Cc2ccccn2)Cc2ccccn2)c(C2CCC2(C)C)n1</v>
      </c>
      <c r="C7848" s="7">
        <f>IFERROR(__xludf.DUMMYFUNCTION("""COMPUTED_VALUE"""),7.7766213)</f>
        <v>7.7766213</v>
      </c>
      <c r="D7848" s="7">
        <f>IFERROR(__xludf.DUMMYFUNCTION("""COMPUTED_VALUE"""),0.444444444444444)</f>
        <v>0.4444444444</v>
      </c>
    </row>
    <row r="7849">
      <c r="A7849" s="10" t="s">
        <v>9288</v>
      </c>
      <c r="B7849" s="7" t="str">
        <f>IFERROR(__xludf.DUMMYFUNCTION("SPLIT(A7849,"" "")"),"CN1CCN(C)CCN(C(C)(C)c2cccc(-c3cccc(NCc4ccccn4)c3)n2)CC1")</f>
        <v>CN1CCN(C)CCN(C(C)(C)c2cccc(-c3cccc(NCc4ccccn4)c3)n2)CC1</v>
      </c>
      <c r="C7849" s="7">
        <f>IFERROR(__xludf.DUMMYFUNCTION("""COMPUTED_VALUE"""),7.776609)</f>
        <v>7.776609</v>
      </c>
      <c r="D7849" s="7">
        <f>IFERROR(__xludf.DUMMYFUNCTION("""COMPUTED_VALUE"""),0.379310344827586)</f>
        <v>0.3793103448</v>
      </c>
    </row>
    <row r="7850">
      <c r="A7850" s="10" t="s">
        <v>9289</v>
      </c>
      <c r="B7850" s="7" t="str">
        <f>IFERROR(__xludf.DUMMYFUNCTION("SPLIT(A7850,"" "")"),"Cc1ccc(CN(C)CC2=CC(N(C)Cc3ccccn3)C=CN2)cc1")</f>
        <v>Cc1ccc(CN(C)CC2=CC(N(C)Cc3ccccn3)C=CN2)cc1</v>
      </c>
      <c r="C7850" s="7">
        <f>IFERROR(__xludf.DUMMYFUNCTION("""COMPUTED_VALUE"""),7.7766037)</f>
        <v>7.7766037</v>
      </c>
      <c r="D7850" s="7">
        <f>IFERROR(__xludf.DUMMYFUNCTION("""COMPUTED_VALUE"""),0.4)</f>
        <v>0.4</v>
      </c>
    </row>
    <row r="7851">
      <c r="A7851" s="10" t="s">
        <v>9290</v>
      </c>
      <c r="B7851" s="7" t="str">
        <f>IFERROR(__xludf.DUMMYFUNCTION("SPLIT(A7851,"" "")"),"CCN(Cc1ccccn1)C1CCCCC1N(C)c1ccc2ccc(CF)nc2c1")</f>
        <v>CCN(Cc1ccccn1)C1CCCCC1N(C)c1ccc2ccc(CF)nc2c1</v>
      </c>
      <c r="C7851" s="7">
        <f>IFERROR(__xludf.DUMMYFUNCTION("""COMPUTED_VALUE"""),7.7765994)</f>
        <v>7.7765994</v>
      </c>
      <c r="D7851" s="7">
        <f>IFERROR(__xludf.DUMMYFUNCTION("""COMPUTED_VALUE"""),0.464285714285714)</f>
        <v>0.4642857143</v>
      </c>
    </row>
    <row r="7852">
      <c r="A7852" s="10" t="s">
        <v>9291</v>
      </c>
      <c r="B7852" s="7" t="str">
        <f>IFERROR(__xludf.DUMMYFUNCTION("SPLIT(A7852,"" "")"),"Cc1cccc(CN(Cc2ccnc(CN(C)C(C)C)c2)Cc2ccccn2)n1")</f>
        <v>Cc1cccc(CN(Cc2ccnc(CN(C)C(C)C)c2)Cc2ccccn2)n1</v>
      </c>
      <c r="C7852" s="7">
        <f>IFERROR(__xludf.DUMMYFUNCTION("""COMPUTED_VALUE"""),7.776594)</f>
        <v>7.776594</v>
      </c>
      <c r="D7852" s="7">
        <f>IFERROR(__xludf.DUMMYFUNCTION("""COMPUTED_VALUE"""),0.454545454545454)</f>
        <v>0.4545454545</v>
      </c>
    </row>
    <row r="7853">
      <c r="A7853" s="10" t="s">
        <v>9292</v>
      </c>
      <c r="B7853" s="7" t="str">
        <f>IFERROR(__xludf.DUMMYFUNCTION("SPLIT(A7853,"" "")"),"Cc1cccnc1-c1ccccc1CN(C)C1CCCCC1N(C)Cc1cc(C)c(C)c(C)n1")</f>
        <v>Cc1cccnc1-c1ccccc1CN(C)C1CCCCC1N(C)Cc1cc(C)c(C)c(C)n1</v>
      </c>
      <c r="C7853" s="7">
        <f>IFERROR(__xludf.DUMMYFUNCTION("""COMPUTED_VALUE"""),7.7765884)</f>
        <v>7.7765884</v>
      </c>
      <c r="D7853" s="7">
        <f>IFERROR(__xludf.DUMMYFUNCTION("""COMPUTED_VALUE"""),0.472727272727272)</f>
        <v>0.4727272727</v>
      </c>
    </row>
    <row r="7854">
      <c r="A7854" s="10" t="s">
        <v>9293</v>
      </c>
      <c r="B7854" s="7" t="str">
        <f>IFERROR(__xludf.DUMMYFUNCTION("SPLIT(A7854,"" "")"),"CCNCc1ncccc1CN(Cc1ccccn1)Cc1ncccc1C")</f>
        <v>CCNCc1ncccc1CN(Cc1ccccn1)Cc1ncccc1C</v>
      </c>
      <c r="C7854" s="7">
        <f>IFERROR(__xludf.DUMMYFUNCTION("""COMPUTED_VALUE"""),7.7765856)</f>
        <v>7.7765856</v>
      </c>
      <c r="D7854" s="7">
        <f>IFERROR(__xludf.DUMMYFUNCTION("""COMPUTED_VALUE"""),0.465116279069767)</f>
        <v>0.4651162791</v>
      </c>
    </row>
    <row r="7855">
      <c r="A7855" s="10" t="s">
        <v>9294</v>
      </c>
      <c r="B7855" s="7" t="str">
        <f>IFERROR(__xludf.DUMMYFUNCTION("SPLIT(A7855,"" "")"),"CC1=CCC(C)(c2ccc(CN(Cc3ccccn3)Cc3ccccn3)cn2)CC1C")</f>
        <v>CC1=CCC(C)(c2ccc(CN(Cc3ccccn3)Cc3ccccn3)cn2)CC1C</v>
      </c>
      <c r="C7855" s="7">
        <f>IFERROR(__xludf.DUMMYFUNCTION("""COMPUTED_VALUE"""),7.7765837)</f>
        <v>7.7765837</v>
      </c>
      <c r="D7855" s="7">
        <f>IFERROR(__xludf.DUMMYFUNCTION("""COMPUTED_VALUE"""),0.408163265306122)</f>
        <v>0.4081632653</v>
      </c>
    </row>
    <row r="7856">
      <c r="A7856" s="10" t="s">
        <v>9295</v>
      </c>
      <c r="B7856" s="7" t="str">
        <f>IFERROR(__xludf.DUMMYFUNCTION("SPLIT(A7856,"" "")"),"CC1=CC(C)C(C)C(C)(c2ncccc2CN(Cc2ccccn2)Cc2cc(C(C)(C)C)ccn2)C1")</f>
        <v>CC1=CC(C)C(C)C(C)(c2ncccc2CN(Cc2ccccn2)Cc2cc(C(C)(C)C)ccn2)C1</v>
      </c>
      <c r="C7856" s="7">
        <f>IFERROR(__xludf.DUMMYFUNCTION("""COMPUTED_VALUE"""),7.776578)</f>
        <v>7.776578</v>
      </c>
      <c r="D7856" s="7">
        <f>IFERROR(__xludf.DUMMYFUNCTION("""COMPUTED_VALUE"""),0.350877192982456)</f>
        <v>0.350877193</v>
      </c>
    </row>
    <row r="7857">
      <c r="A7857" s="10" t="s">
        <v>9296</v>
      </c>
      <c r="B7857" s="7" t="str">
        <f>IFERROR(__xludf.DUMMYFUNCTION("SPLIT(A7857,"" "")"),"CNC1CCCCC1N(C)c1ccc2nc(CF)ccc2c1")</f>
        <v>CNC1CCCCC1N(C)c1ccc2nc(CF)ccc2c1</v>
      </c>
      <c r="C7857" s="7">
        <f>IFERROR(__xludf.DUMMYFUNCTION("""COMPUTED_VALUE"""),7.7765775)</f>
        <v>7.7765775</v>
      </c>
      <c r="D7857" s="7">
        <f>IFERROR(__xludf.DUMMYFUNCTION("""COMPUTED_VALUE"""),0.481481481481481)</f>
        <v>0.4814814815</v>
      </c>
    </row>
    <row r="7858">
      <c r="A7858" s="10" t="s">
        <v>9297</v>
      </c>
      <c r="B7858" s="7" t="str">
        <f>IFERROR(__xludf.DUMMYFUNCTION("SPLIT(A7858,"" "")"),"CNCc1cc(CN(Cc2cc(C)ccn2)C2CCC(N(C)Cc3cc(-c4ccccn4)ccn3)CC2)ccn1")</f>
        <v>CNCc1cc(CN(Cc2cc(C)ccn2)C2CCC(N(C)Cc3cc(-c4ccccn4)ccn3)CC2)ccn1</v>
      </c>
      <c r="C7858" s="7">
        <f>IFERROR(__xludf.DUMMYFUNCTION("""COMPUTED_VALUE"""),7.7765718)</f>
        <v>7.7765718</v>
      </c>
      <c r="D7858" s="7">
        <f>IFERROR(__xludf.DUMMYFUNCTION("""COMPUTED_VALUE"""),0.338461538461538)</f>
        <v>0.3384615385</v>
      </c>
    </row>
    <row r="7859">
      <c r="A7859" s="10" t="s">
        <v>9298</v>
      </c>
      <c r="B7859" s="7" t="str">
        <f>IFERROR(__xludf.DUMMYFUNCTION("SPLIT(A7859,"" "")"),"Cc1cccnc1CN(C)C1C=CNC(CN(C)C)=C1")</f>
        <v>Cc1cccnc1CN(C)C1C=CNC(CN(C)C)=C1</v>
      </c>
      <c r="C7859" s="7">
        <f>IFERROR(__xludf.DUMMYFUNCTION("""COMPUTED_VALUE"""),7.7765713)</f>
        <v>7.7765713</v>
      </c>
      <c r="D7859" s="7">
        <f>IFERROR(__xludf.DUMMYFUNCTION("""COMPUTED_VALUE"""),0.31578947368421)</f>
        <v>0.3157894737</v>
      </c>
    </row>
    <row r="7860">
      <c r="A7860" s="10" t="s">
        <v>9299</v>
      </c>
      <c r="B7860" s="7" t="str">
        <f>IFERROR(__xludf.DUMMYFUNCTION("SPLIT(A7860,"" "")"),"CN(c1ccc2c(CF)ccnc2c1)C1CCCCC1N(CF)Cc1ccccn1")</f>
        <v>CN(c1ccc2c(CF)ccnc2c1)C1CCCCC1N(CF)Cc1ccccn1</v>
      </c>
      <c r="C7860" s="7">
        <f>IFERROR(__xludf.DUMMYFUNCTION("""COMPUTED_VALUE"""),7.776565)</f>
        <v>7.776565</v>
      </c>
      <c r="D7860" s="7">
        <f>IFERROR(__xludf.DUMMYFUNCTION("""COMPUTED_VALUE"""),0.456140350877192)</f>
        <v>0.4561403509</v>
      </c>
    </row>
    <row r="7861">
      <c r="A7861" s="10" t="s">
        <v>9300</v>
      </c>
      <c r="B7861" s="7" t="str">
        <f>IFERROR(__xludf.DUMMYFUNCTION("SPLIT(A7861,"" "")"),"Cc1cnc(CN(C)Cc2cccc(N(C)C3CCCC(N(C)Cc4nc(C)c(C)cc4C)C3)n2)c(C)c1")</f>
        <v>Cc1cnc(CN(C)Cc2cccc(N(C)C3CCCC(N(C)Cc4nc(C)c(C)cc4C)C3)n2)c(C)c1</v>
      </c>
      <c r="C7861" s="7">
        <f>IFERROR(__xludf.DUMMYFUNCTION("""COMPUTED_VALUE"""),7.7765627)</f>
        <v>7.7765627</v>
      </c>
      <c r="D7861" s="7">
        <f>IFERROR(__xludf.DUMMYFUNCTION("""COMPUTED_VALUE"""),0.313432835820895)</f>
        <v>0.3134328358</v>
      </c>
    </row>
    <row r="7862">
      <c r="A7862" s="10" t="s">
        <v>9301</v>
      </c>
      <c r="B7862" s="7" t="str">
        <f>IFERROR(__xludf.DUMMYFUNCTION("SPLIT(A7862,"" "")"),"CN(c1ccc2ncc(CF)cc2c1)C1CCC(N(Cc2ccccn2)CC(C)(C)C)CC1")</f>
        <v>CN(c1ccc2ncc(CF)cc2c1)C1CCC(N(Cc2ccccn2)CC(C)(C)C)CC1</v>
      </c>
      <c r="C7862" s="7">
        <f>IFERROR(__xludf.DUMMYFUNCTION("""COMPUTED_VALUE"""),7.776562)</f>
        <v>7.776562</v>
      </c>
      <c r="D7862" s="7">
        <f>IFERROR(__xludf.DUMMYFUNCTION("""COMPUTED_VALUE"""),0.370967741935483)</f>
        <v>0.3709677419</v>
      </c>
    </row>
    <row r="7863">
      <c r="A7863" s="10" t="s">
        <v>9302</v>
      </c>
      <c r="B7863" s="7" t="str">
        <f>IFERROR(__xludf.DUMMYFUNCTION("SPLIT(A7863,"" "")"),"Cc1cncc(CN(C)C2=CNC=C(CN(C)C(C)(C)C)C2)c1")</f>
        <v>Cc1cncc(CN(C)C2=CNC=C(CN(C)C(C)(C)C)C2)c1</v>
      </c>
      <c r="C7863" s="7">
        <f>IFERROR(__xludf.DUMMYFUNCTION("""COMPUTED_VALUE"""),7.7765613)</f>
        <v>7.7765613</v>
      </c>
      <c r="D7863" s="7">
        <f>IFERROR(__xludf.DUMMYFUNCTION("""COMPUTED_VALUE"""),0.193548387096774)</f>
        <v>0.1935483871</v>
      </c>
    </row>
    <row r="7864">
      <c r="A7864" s="10" t="s">
        <v>9303</v>
      </c>
      <c r="B7864" s="7" t="str">
        <f>IFERROR(__xludf.DUMMYFUNCTION("SPLIT(A7864,"" "")"),"CCN(Cc1ccccn1)C1CCCCC1N(C)c1cccc2ncccc12")</f>
        <v>CCN(Cc1ccccn1)C1CCCCC1N(C)c1cccc2ncccc12</v>
      </c>
      <c r="C7864" s="7">
        <f>IFERROR(__xludf.DUMMYFUNCTION("""COMPUTED_VALUE"""),7.776556)</f>
        <v>7.776556</v>
      </c>
      <c r="D7864" s="7">
        <f>IFERROR(__xludf.DUMMYFUNCTION("""COMPUTED_VALUE"""),0.5)</f>
        <v>0.5</v>
      </c>
    </row>
    <row r="7865">
      <c r="A7865" s="10" t="s">
        <v>9304</v>
      </c>
      <c r="B7865" s="7" t="str">
        <f>IFERROR(__xludf.DUMMYFUNCTION("SPLIT(A7865,"" "")"),"CNC1C(N(C)Cc2nc(C)c(C)cc2C)CCCC1N(Cc1nc(C)c(C)cc1C)Cc1nc(C)c(C)c(C)c1C")</f>
        <v>CNC1C(N(C)Cc2nc(C)c(C)cc2C)CCCC1N(Cc1nc(C)c(C)cc1C)Cc1nc(C)c(C)c(C)c1C</v>
      </c>
      <c r="C7865" s="7">
        <f>IFERROR(__xludf.DUMMYFUNCTION("""COMPUTED_VALUE"""),7.776537)</f>
        <v>7.776537</v>
      </c>
      <c r="D7865" s="7">
        <f>IFERROR(__xludf.DUMMYFUNCTION("""COMPUTED_VALUE"""),0.305084745762711)</f>
        <v>0.3050847458</v>
      </c>
    </row>
    <row r="7866">
      <c r="A7866" s="10" t="s">
        <v>9305</v>
      </c>
      <c r="B7866" s="7" t="str">
        <f>IFERROR(__xludf.DUMMYFUNCTION("SPLIT(A7866,"" "")"),"CN(CCN(Cc1ccccn1)c1cccc2ncccc12)Cc1ncccc1-c1cccc2c1OCCOCCOCCOCCOCCO2")</f>
        <v>CN(CCN(Cc1ccccn1)c1cccc2ncccc12)Cc1ncccc1-c1cccc2c1OCCOCCOCCOCCOCCO2</v>
      </c>
      <c r="C7866" s="7">
        <f>IFERROR(__xludf.DUMMYFUNCTION("""COMPUTED_VALUE"""),7.7765346)</f>
        <v>7.7765346</v>
      </c>
      <c r="D7866" s="7">
        <f>IFERROR(__xludf.DUMMYFUNCTION("""COMPUTED_VALUE"""),0.291666666666666)</f>
        <v>0.2916666667</v>
      </c>
    </row>
    <row r="7867">
      <c r="A7867" s="10" t="s">
        <v>9306</v>
      </c>
      <c r="B7867" s="7" t="str">
        <f>IFERROR(__xludf.DUMMYFUNCTION("SPLIT(A7867,"" "")"),"CNCN(Cc1ccccn1)C1CCCC(N(C)c2cccc3ncccc23)C1")</f>
        <v>CNCN(Cc1ccccn1)C1CCCC(N(C)c2cccc3ncccc23)C1</v>
      </c>
      <c r="C7867" s="7">
        <f>IFERROR(__xludf.DUMMYFUNCTION("""COMPUTED_VALUE"""),7.7765317)</f>
        <v>7.7765317</v>
      </c>
      <c r="D7867" s="7">
        <f>IFERROR(__xludf.DUMMYFUNCTION("""COMPUTED_VALUE"""),0.389830508474576)</f>
        <v>0.3898305085</v>
      </c>
    </row>
    <row r="7868">
      <c r="A7868" s="10" t="s">
        <v>9307</v>
      </c>
      <c r="B7868" s="7" t="str">
        <f>IFERROR(__xludf.DUMMYFUNCTION("SPLIT(A7868,"" "")"),"CCOC(=O)C(C)NCc1ncccc1CN(Cc1ccccn1)Cc1ccccn1")</f>
        <v>CCOC(=O)C(C)NCc1ncccc1CN(Cc1ccccn1)Cc1ccccn1</v>
      </c>
      <c r="C7868" s="7">
        <f>IFERROR(__xludf.DUMMYFUNCTION("""COMPUTED_VALUE"""),7.776522)</f>
        <v>7.776522</v>
      </c>
      <c r="D7868" s="7">
        <f>IFERROR(__xludf.DUMMYFUNCTION("""COMPUTED_VALUE"""),0.416666666666666)</f>
        <v>0.4166666667</v>
      </c>
    </row>
    <row r="7869">
      <c r="A7869" s="10" t="s">
        <v>9308</v>
      </c>
      <c r="B7869" s="7" t="str">
        <f>IFERROR(__xludf.DUMMYFUNCTION("SPLIT(A7869,"" "")"),"Cc1cc(NCc2ccccn2)ccc1-c1ncccc1CN1CCN(C)CCN(C)CC1")</f>
        <v>Cc1cc(NCc2ccccn2)ccc1-c1ncccc1CN1CCN(C)CCN(C)CC1</v>
      </c>
      <c r="C7869" s="7">
        <f>IFERROR(__xludf.DUMMYFUNCTION("""COMPUTED_VALUE"""),7.77652)</f>
        <v>7.77652</v>
      </c>
      <c r="D7869" s="7">
        <f>IFERROR(__xludf.DUMMYFUNCTION("""COMPUTED_VALUE"""),0.490566037735849)</f>
        <v>0.4905660377</v>
      </c>
    </row>
    <row r="7870">
      <c r="A7870" s="10" t="s">
        <v>9309</v>
      </c>
      <c r="B7870" s="7" t="str">
        <f>IFERROR(__xludf.DUMMYFUNCTION("SPLIT(A7870,"" "")"),"Cc1cc(C)c(CN(C)C2C=CNC(CN(C)C(C)C)=C2)nc1C")</f>
        <v>Cc1cc(C)c(CN(C)C2C=CNC(CN(C)C(C)C)=C2)nc1C</v>
      </c>
      <c r="C7870" s="7">
        <f>IFERROR(__xludf.DUMMYFUNCTION("""COMPUTED_VALUE"""),7.776517)</f>
        <v>7.776517</v>
      </c>
      <c r="D7870" s="7">
        <f>IFERROR(__xludf.DUMMYFUNCTION("""COMPUTED_VALUE"""),0.3)</f>
        <v>0.3</v>
      </c>
    </row>
    <row r="7871">
      <c r="A7871" s="10" t="s">
        <v>9310</v>
      </c>
      <c r="B7871" s="7" t="str">
        <f>IFERROR(__xludf.DUMMYFUNCTION("SPLIT(A7871,"" "")"),"CC1C=CC(C)C(C)(c2cccc(CN(Cc3ccccn3)C3CCC(N(C)c4ccc5ccc(CN(C)C)nc5c4)CC3)n2)C1C")</f>
        <v>CC1C=CC(C)C(C)(c2cccc(CN(Cc3ccccn3)C3CCC(N(C)c4ccc5ccc(CN(C)C)nc5c4)CC3)n2)C1C</v>
      </c>
      <c r="C7871" s="7">
        <f>IFERROR(__xludf.DUMMYFUNCTION("""COMPUTED_VALUE"""),7.776514)</f>
        <v>7.776514</v>
      </c>
      <c r="D7871" s="7">
        <f>IFERROR(__xludf.DUMMYFUNCTION("""COMPUTED_VALUE"""),0.342857142857142)</f>
        <v>0.3428571429</v>
      </c>
    </row>
    <row r="7872">
      <c r="A7872" s="10" t="s">
        <v>9311</v>
      </c>
      <c r="B7872" s="7" t="str">
        <f>IFERROR(__xludf.DUMMYFUNCTION("SPLIT(A7872,"" "")"),"Cc1nc(CN(C)C2CC(N(C)Cc3ccccn3)CC(N(Cc3ccccn3)Cc3nc(C)c(C)c(C)c3C)C2)c(C)c(C)c1C")</f>
        <v>Cc1nc(CN(C)C2CC(N(C)Cc3ccccn3)CC(N(Cc3ccccn3)Cc3nc(C)c(C)c(C)c3C)C2)c(C)c(C)c1C</v>
      </c>
      <c r="C7872" s="7">
        <f>IFERROR(__xludf.DUMMYFUNCTION("""COMPUTED_VALUE"""),7.7765126)</f>
        <v>7.7765126</v>
      </c>
      <c r="D7872" s="7">
        <f>IFERROR(__xludf.DUMMYFUNCTION("""COMPUTED_VALUE"""),0.442307692307692)</f>
        <v>0.4423076923</v>
      </c>
    </row>
    <row r="7873">
      <c r="A7873" s="10" t="s">
        <v>9312</v>
      </c>
      <c r="B7873" s="7" t="str">
        <f>IFERROR(__xludf.DUMMYFUNCTION("SPLIT(A7873,"" "")"),"Cc1cc(CN(C)C2CCCCC2N(C)Cc2ccc3cccnc3c2)c(C)nc1C")</f>
        <v>Cc1cc(CN(C)C2CCCCC2N(C)Cc2ccc3cccnc3c2)c(C)nc1C</v>
      </c>
      <c r="C7873" s="7">
        <f>IFERROR(__xludf.DUMMYFUNCTION("""COMPUTED_VALUE"""),7.7765055)</f>
        <v>7.7765055</v>
      </c>
      <c r="D7873" s="7">
        <f>IFERROR(__xludf.DUMMYFUNCTION("""COMPUTED_VALUE"""),0.418181818181818)</f>
        <v>0.4181818182</v>
      </c>
    </row>
    <row r="7874">
      <c r="A7874" s="10" t="s">
        <v>9313</v>
      </c>
      <c r="B7874" s="7" t="str">
        <f>IFERROR(__xludf.DUMMYFUNCTION("SPLIT(A7874,"" "")"),"CC1=C(C)C(C)(c2ncccc2CN(Cc2ccccn2)Cc2ccccn2)CCC1C")</f>
        <v>CC1=C(C)C(C)(c2ncccc2CN(Cc2ccccn2)Cc2ccccn2)CCC1C</v>
      </c>
      <c r="C7874" s="7">
        <f>IFERROR(__xludf.DUMMYFUNCTION("""COMPUTED_VALUE"""),7.776487)</f>
        <v>7.776487</v>
      </c>
      <c r="D7874" s="7">
        <f>IFERROR(__xludf.DUMMYFUNCTION("""COMPUTED_VALUE"""),0.434782608695652)</f>
        <v>0.4347826087</v>
      </c>
    </row>
    <row r="7875">
      <c r="A7875" s="10" t="s">
        <v>9314</v>
      </c>
      <c r="B7875" s="7" t="str">
        <f>IFERROR(__xludf.DUMMYFUNCTION("SPLIT(A7875,"" "")"),"CN(C)CCN(C)CC1=CCC(N(C)Cc2ccccn2)=CN1")</f>
        <v>CN(C)CCN(C)CC1=CCC(N(C)Cc2ccccn2)=CN1</v>
      </c>
      <c r="C7875" s="7">
        <f>IFERROR(__xludf.DUMMYFUNCTION("""COMPUTED_VALUE"""),7.776483)</f>
        <v>7.776483</v>
      </c>
      <c r="D7875" s="7">
        <f>IFERROR(__xludf.DUMMYFUNCTION("""COMPUTED_VALUE"""),0.479166666666666)</f>
        <v>0.4791666667</v>
      </c>
    </row>
    <row r="7876">
      <c r="A7876" s="10" t="s">
        <v>9315</v>
      </c>
      <c r="B7876" s="7" t="str">
        <f>IFERROR(__xludf.DUMMYFUNCTION("SPLIT(A7876,"" "")"),"Cc1ccc(C2CCC2(C)C)nc1CN(C)Cc1cccc(N)n1")</f>
        <v>Cc1ccc(C2CCC2(C)C)nc1CN(C)Cc1cccc(N)n1</v>
      </c>
      <c r="C7876" s="7">
        <f>IFERROR(__xludf.DUMMYFUNCTION("""COMPUTED_VALUE"""),7.7764807)</f>
        <v>7.7764807</v>
      </c>
      <c r="D7876" s="7">
        <f>IFERROR(__xludf.DUMMYFUNCTION("""COMPUTED_VALUE"""),0.333333333333333)</f>
        <v>0.3333333333</v>
      </c>
    </row>
    <row r="7877">
      <c r="A7877" s="10" t="s">
        <v>9316</v>
      </c>
      <c r="B7877" s="7" t="str">
        <f>IFERROR(__xludf.DUMMYFUNCTION("SPLIT(A7877,"" "")"),"Cc1cc(N(C)CCN(C)CCF)cc(C)c1C")</f>
        <v>Cc1cc(N(C)CCN(C)CCF)cc(C)c1C</v>
      </c>
      <c r="C7877" s="7">
        <f>IFERROR(__xludf.DUMMYFUNCTION("""COMPUTED_VALUE"""),7.77648)</f>
        <v>7.77648</v>
      </c>
      <c r="D7877" s="7">
        <f>IFERROR(__xludf.DUMMYFUNCTION("""COMPUTED_VALUE"""),0.268292682926829)</f>
        <v>0.2682926829</v>
      </c>
    </row>
    <row r="7878">
      <c r="A7878" s="10" t="s">
        <v>9317</v>
      </c>
      <c r="B7878" s="7" t="str">
        <f>IFERROR(__xludf.DUMMYFUNCTION("SPLIT(A7878,"" "")"),"CN(CC1=CCC=CN1)C1CCC(N(C)c2ccc3nc(CF)ccc3c2)CC1")</f>
        <v>CN(CC1=CCC=CN1)C1CCC(N(C)c2ccc3nc(CF)ccc3c2)CC1</v>
      </c>
      <c r="C7878" s="7">
        <f>IFERROR(__xludf.DUMMYFUNCTION("""COMPUTED_VALUE"""),7.7764797)</f>
        <v>7.7764797</v>
      </c>
      <c r="D7878" s="7">
        <f>IFERROR(__xludf.DUMMYFUNCTION("""COMPUTED_VALUE"""),0.34375)</f>
        <v>0.34375</v>
      </c>
    </row>
    <row r="7879">
      <c r="A7879" s="10" t="s">
        <v>9318</v>
      </c>
      <c r="B7879" s="7" t="str">
        <f>IFERROR(__xludf.DUMMYFUNCTION("SPLIT(A7879,"" "")"),"COC(=O)C(=O)C(C)CN(Cc1ccccn1)Cc1ccccn1")</f>
        <v>COC(=O)C(=O)C(C)CN(Cc1ccccn1)Cc1ccccn1</v>
      </c>
      <c r="C7879" s="7">
        <f>IFERROR(__xludf.DUMMYFUNCTION("""COMPUTED_VALUE"""),7.7764735)</f>
        <v>7.7764735</v>
      </c>
      <c r="D7879" s="7">
        <f>IFERROR(__xludf.DUMMYFUNCTION("""COMPUTED_VALUE"""),0.487179487179487)</f>
        <v>0.4871794872</v>
      </c>
    </row>
    <row r="7880">
      <c r="A7880" s="10" t="s">
        <v>9319</v>
      </c>
      <c r="B7880" s="7" t="str">
        <f>IFERROR(__xludf.DUMMYFUNCTION("SPLIT(A7880,"" "")"),"CNCN(Cc1cccc(F)n1)C1CCC(N(C)c2ccc3nc(CF)ccc3c2)CC1")</f>
        <v>CNCN(Cc1cccc(F)n1)C1CCC(N(C)c2ccc3nc(CF)ccc3c2)CC1</v>
      </c>
      <c r="C7880" s="7">
        <f>IFERROR(__xludf.DUMMYFUNCTION("""COMPUTED_VALUE"""),7.7764707)</f>
        <v>7.7764707</v>
      </c>
      <c r="D7880" s="7">
        <f>IFERROR(__xludf.DUMMYFUNCTION("""COMPUTED_VALUE"""),0.338235294117647)</f>
        <v>0.3382352941</v>
      </c>
    </row>
    <row r="7881">
      <c r="A7881" s="10" t="s">
        <v>9320</v>
      </c>
      <c r="B7881" s="7" t="str">
        <f>IFERROR(__xludf.DUMMYFUNCTION("SPLIT(A7881,"" "")"),"CC1C=CCC(C)(c2cccc(CN(Cc3ccccn3)C3CCC(N(C)c4ccc5ncc(CF)cc5c4)CC3)n2)C1C")</f>
        <v>CC1C=CCC(C)(c2cccc(CN(Cc3ccccn3)C3CCC(N(C)c4ccc5ncc(CF)cc5c4)CC3)n2)C1C</v>
      </c>
      <c r="C7881" s="7">
        <f>IFERROR(__xludf.DUMMYFUNCTION("""COMPUTED_VALUE"""),7.776469)</f>
        <v>7.776469</v>
      </c>
      <c r="D7881" s="7">
        <f>IFERROR(__xludf.DUMMYFUNCTION("""COMPUTED_VALUE"""),0.2875)</f>
        <v>0.2875</v>
      </c>
    </row>
    <row r="7882">
      <c r="A7882" s="10" t="s">
        <v>9321</v>
      </c>
      <c r="B7882" s="7" t="str">
        <f>IFERROR(__xludf.DUMMYFUNCTION("SPLIT(A7882,"" "")"),"Cc1ccccc1CN(C)CC1=CC(N(C)Cc2ccccn2)C=CN1")</f>
        <v>Cc1ccccc1CN(C)CC1=CC(N(C)Cc2ccccn2)C=CN1</v>
      </c>
      <c r="C7882" s="7">
        <f>IFERROR(__xludf.DUMMYFUNCTION("""COMPUTED_VALUE"""),7.7764688)</f>
        <v>7.7764688</v>
      </c>
      <c r="D7882" s="7">
        <f>IFERROR(__xludf.DUMMYFUNCTION("""COMPUTED_VALUE"""),0.4)</f>
        <v>0.4</v>
      </c>
    </row>
    <row r="7883">
      <c r="A7883" s="10" t="s">
        <v>9322</v>
      </c>
      <c r="B7883" s="7" t="str">
        <f>IFERROR(__xludf.DUMMYFUNCTION("SPLIT(A7883,"" "")"),"CCNC1NC=CC=C1N(C)Cc1ccccn1")</f>
        <v>CCNC1NC=CC=C1N(C)Cc1ccccn1</v>
      </c>
      <c r="C7883" s="7">
        <f>IFERROR(__xludf.DUMMYFUNCTION("""COMPUTED_VALUE"""),7.7764645)</f>
        <v>7.7764645</v>
      </c>
      <c r="D7883" s="7">
        <f>IFERROR(__xludf.DUMMYFUNCTION("""COMPUTED_VALUE"""),0.425925925925925)</f>
        <v>0.4259259259</v>
      </c>
    </row>
    <row r="7884">
      <c r="A7884" s="10" t="s">
        <v>9323</v>
      </c>
      <c r="B7884" s="7" t="str">
        <f>IFERROR(__xludf.DUMMYFUNCTION("SPLIT(A7884,"" "")"),"CCNCC1=C(N(C)Cc2ccccn2)CC=CN1")</f>
        <v>CCNCC1=C(N(C)Cc2ccccn2)CC=CN1</v>
      </c>
      <c r="C7884" s="7">
        <f>IFERROR(__xludf.DUMMYFUNCTION("""COMPUTED_VALUE"""),7.7764587)</f>
        <v>7.7764587</v>
      </c>
      <c r="D7884" s="7">
        <f>IFERROR(__xludf.DUMMYFUNCTION("""COMPUTED_VALUE"""),0.418181818181818)</f>
        <v>0.4181818182</v>
      </c>
    </row>
    <row r="7885">
      <c r="A7885" s="10" t="s">
        <v>9324</v>
      </c>
      <c r="B7885" s="7" t="str">
        <f>IFERROR(__xludf.DUMMYFUNCTION("SPLIT(A7885,"" "")"),"CCCN(CC1=CC(N(C)Cc2nc(C)c(C)c(C)c2C)C=CN1)Cc1ccccn1")</f>
        <v>CCCN(CC1=CC(N(C)Cc2nc(C)c(C)c(C)c2C)C=CN1)Cc1ccccn1</v>
      </c>
      <c r="C7885" s="7">
        <f>IFERROR(__xludf.DUMMYFUNCTION("""COMPUTED_VALUE"""),7.7764564)</f>
        <v>7.7764564</v>
      </c>
      <c r="D7885" s="7">
        <f>IFERROR(__xludf.DUMMYFUNCTION("""COMPUTED_VALUE"""),0.383333333333333)</f>
        <v>0.3833333333</v>
      </c>
    </row>
    <row r="7886">
      <c r="A7886" s="10" t="s">
        <v>9325</v>
      </c>
      <c r="B7886" s="7" t="str">
        <f>IFERROR(__xludf.DUMMYFUNCTION("SPLIT(A7886,"" "")"),"Cc1cc(C)c(CN(C)C2CCC(N(C)Cc3ccc4ncccc4c3)CC2)cn1")</f>
        <v>Cc1cc(C)c(CN(C)C2CCC(N(C)Cc3ccc4ncccc4c3)CC2)cn1</v>
      </c>
      <c r="C7886" s="7">
        <f>IFERROR(__xludf.DUMMYFUNCTION("""COMPUTED_VALUE"""),7.776455)</f>
        <v>7.776455</v>
      </c>
      <c r="D7886" s="7">
        <f>IFERROR(__xludf.DUMMYFUNCTION("""COMPUTED_VALUE"""),0.288135593220339)</f>
        <v>0.2881355932</v>
      </c>
    </row>
    <row r="7887">
      <c r="A7887" s="10" t="s">
        <v>9326</v>
      </c>
      <c r="B7887" s="7" t="str">
        <f>IFERROR(__xludf.DUMMYFUNCTION("SPLIT(A7887,"" "")"),"CNCN(CCN(C)Cc1ncc(C)c(C)c1C)Cc1ncc(C)c(C)c1C")</f>
        <v>CNCN(CCN(C)Cc1ncc(C)c(C)c1C)Cc1ncc(C)c(C)c1C</v>
      </c>
      <c r="C7887" s="7">
        <f>IFERROR(__xludf.DUMMYFUNCTION("""COMPUTED_VALUE"""),7.7764506)</f>
        <v>7.7764506</v>
      </c>
      <c r="D7887" s="7">
        <f>IFERROR(__xludf.DUMMYFUNCTION("""COMPUTED_VALUE"""),0.372093023255813)</f>
        <v>0.3720930233</v>
      </c>
    </row>
    <row r="7888">
      <c r="A7888" s="10" t="s">
        <v>9327</v>
      </c>
      <c r="B7888" s="7" t="str">
        <f>IFERROR(__xludf.DUMMYFUNCTION("SPLIT(A7888,"" "")"),"CC(C)N(Cc1cnc(C2CCC2(C)C)c(CN(Cc2ccccn2)Cc2ccccn2)c1)Cc1ccccn1")</f>
        <v>CC(C)N(Cc1cnc(C2CCC2(C)C)c(CN(Cc2ccccn2)Cc2ccccn2)c1)Cc1ccccn1</v>
      </c>
      <c r="C7888" s="7">
        <f>IFERROR(__xludf.DUMMYFUNCTION("""COMPUTED_VALUE"""),7.7764497)</f>
        <v>7.7764497</v>
      </c>
      <c r="D7888" s="7">
        <f>IFERROR(__xludf.DUMMYFUNCTION("""COMPUTED_VALUE"""),0.428571428571428)</f>
        <v>0.4285714286</v>
      </c>
    </row>
    <row r="7889">
      <c r="A7889" s="10" t="s">
        <v>9328</v>
      </c>
      <c r="B7889" s="7" t="str">
        <f>IFERROR(__xludf.DUMMYFUNCTION("SPLIT(A7889,"" "")"),"CN(Cc1cccc(-c2ccccc2N(C)C)n1)Cc1cccc(-c2cccc3c2OCCOCCOCCOCCOCCO3)n1")</f>
        <v>CN(Cc1cccc(-c2ccccc2N(C)C)n1)Cc1cccc(-c2cccc3c2OCCOCCOCCOCCOCCO3)n1</v>
      </c>
      <c r="C7889" s="7">
        <f>IFERROR(__xludf.DUMMYFUNCTION("""COMPUTED_VALUE"""),7.7764463)</f>
        <v>7.7764463</v>
      </c>
      <c r="D7889" s="7">
        <f>IFERROR(__xludf.DUMMYFUNCTION("""COMPUTED_VALUE"""),0.392857142857142)</f>
        <v>0.3928571429</v>
      </c>
    </row>
    <row r="7890">
      <c r="A7890" s="10" t="s">
        <v>9329</v>
      </c>
      <c r="B7890" s="7" t="str">
        <f>IFERROR(__xludf.DUMMYFUNCTION("SPLIT(A7890,"" "")"),"CN(CCN(C)c1ccc2nccc(CF)c2c1)Cc1cc(-c2cccc3c2OCCOCCOCCOCCOCCO3)ccn1")</f>
        <v>CN(CCN(C)c1ccc2nccc(CF)c2c1)Cc1cc(-c2cccc3c2OCCOCCOCCOCCOCCO3)ccn1</v>
      </c>
      <c r="C7890" s="7">
        <f>IFERROR(__xludf.DUMMYFUNCTION("""COMPUTED_VALUE"""),7.7764378)</f>
        <v>7.7764378</v>
      </c>
      <c r="D7890" s="7">
        <f>IFERROR(__xludf.DUMMYFUNCTION("""COMPUTED_VALUE"""),0.257142857142857)</f>
        <v>0.2571428571</v>
      </c>
    </row>
    <row r="7891">
      <c r="A7891" s="10" t="s">
        <v>9330</v>
      </c>
      <c r="B7891" s="7" t="str">
        <f>IFERROR(__xludf.DUMMYFUNCTION("SPLIT(A7891,"" "")"),"Cc1cnc(CN(C)C2CCCCC2N(C)Cc2ccc3cccnc3c2)c(C)c1C")</f>
        <v>Cc1cnc(CN(C)C2CCCCC2N(C)Cc2ccc3cccnc3c2)c(C)c1C</v>
      </c>
      <c r="C7891" s="7">
        <f>IFERROR(__xludf.DUMMYFUNCTION("""COMPUTED_VALUE"""),7.776437)</f>
        <v>7.776437</v>
      </c>
      <c r="D7891" s="7">
        <f>IFERROR(__xludf.DUMMYFUNCTION("""COMPUTED_VALUE"""),0.436363636363636)</f>
        <v>0.4363636364</v>
      </c>
    </row>
    <row r="7892">
      <c r="A7892" s="10" t="s">
        <v>9331</v>
      </c>
      <c r="B7892" s="7" t="str">
        <f>IFERROR(__xludf.DUMMYFUNCTION("SPLIT(A7892,"" "")"),"C1=CNC(N(Cc2cccnc2)Cc2cccnn2)C=C1")</f>
        <v>C1=CNC(N(Cc2cccnc2)Cc2cccnn2)C=C1</v>
      </c>
      <c r="C7892" s="7">
        <f>IFERROR(__xludf.DUMMYFUNCTION("""COMPUTED_VALUE"""),7.776436)</f>
        <v>7.776436</v>
      </c>
      <c r="D7892" s="7">
        <f>IFERROR(__xludf.DUMMYFUNCTION("""COMPUTED_VALUE"""),0.36)</f>
        <v>0.36</v>
      </c>
    </row>
    <row r="7893">
      <c r="A7893" s="10" t="s">
        <v>9332</v>
      </c>
      <c r="B7893" s="7" t="str">
        <f>IFERROR(__xludf.DUMMYFUNCTION("SPLIT(A7893,"" "")"),"COC(=O)C(=O)C(C)C(C)NCc1cc(CN(Cc2ccccn2)Cc2ccccn2)ccn1")</f>
        <v>COC(=O)C(=O)C(C)C(C)NCc1cc(CN(Cc2ccccn2)Cc2ccccn2)ccn1</v>
      </c>
      <c r="C7893" s="7">
        <f>IFERROR(__xludf.DUMMYFUNCTION("""COMPUTED_VALUE"""),7.7764273)</f>
        <v>7.7764273</v>
      </c>
      <c r="D7893" s="7">
        <f>IFERROR(__xludf.DUMMYFUNCTION("""COMPUTED_VALUE"""),0.408163265306122)</f>
        <v>0.4081632653</v>
      </c>
    </row>
    <row r="7894">
      <c r="A7894" s="10" t="s">
        <v>9333</v>
      </c>
      <c r="B7894" s="7" t="str">
        <f>IFERROR(__xludf.DUMMYFUNCTION("SPLIT(A7894,"" "")"),"CNC(c1ccccn1)c1cccnc1CNCF")</f>
        <v>CNC(c1ccccn1)c1cccnc1CNCF</v>
      </c>
      <c r="C7894" s="7">
        <f>IFERROR(__xludf.DUMMYFUNCTION("""COMPUTED_VALUE"""),7.776427)</f>
        <v>7.776427</v>
      </c>
      <c r="D7894" s="7">
        <f>IFERROR(__xludf.DUMMYFUNCTION("""COMPUTED_VALUE"""),0.304347826086956)</f>
        <v>0.3043478261</v>
      </c>
    </row>
    <row r="7895">
      <c r="A7895" s="10" t="s">
        <v>9334</v>
      </c>
      <c r="B7895" s="7" t="str">
        <f>IFERROR(__xludf.DUMMYFUNCTION("SPLIT(A7895,"" "")"),"CC1=CC(C)(C)CC(C)C1N(C)Cc1cccc(C(C)(C)c2ccccn2)n1")</f>
        <v>CC1=CC(C)(C)CC(C)C1N(C)Cc1cccc(C(C)(C)c2ccccn2)n1</v>
      </c>
      <c r="C7895" s="7">
        <f>IFERROR(__xludf.DUMMYFUNCTION("""COMPUTED_VALUE"""),7.7764254)</f>
        <v>7.7764254</v>
      </c>
      <c r="D7895" s="7">
        <f>IFERROR(__xludf.DUMMYFUNCTION("""COMPUTED_VALUE"""),0.35)</f>
        <v>0.35</v>
      </c>
    </row>
    <row r="7896">
      <c r="A7896" s="10" t="s">
        <v>9335</v>
      </c>
      <c r="B7896" s="7" t="str">
        <f>IFERROR(__xludf.DUMMYFUNCTION("SPLIT(A7896,"" "")"),"Cc1cnc(CN(Cc2cc(C)c(C)c(C)n2)C2CC(N(C)Cc3ccccn3)CC(N(C)Cc3ccnc(C)c3C)C2)cc1C")</f>
        <v>Cc1cnc(CN(Cc2cc(C)c(C)c(C)n2)C2CC(N(C)Cc3ccccn3)CC(N(C)Cc3ccnc(C)c3C)C2)cc1C</v>
      </c>
      <c r="C7896" s="7">
        <f>IFERROR(__xludf.DUMMYFUNCTION("""COMPUTED_VALUE"""),7.776424)</f>
        <v>7.776424</v>
      </c>
      <c r="D7896" s="7">
        <f>IFERROR(__xludf.DUMMYFUNCTION("""COMPUTED_VALUE"""),0.370967741935483)</f>
        <v>0.3709677419</v>
      </c>
    </row>
    <row r="7897">
      <c r="A7897" s="10" t="s">
        <v>9336</v>
      </c>
      <c r="B7897" s="7" t="str">
        <f>IFERROR(__xludf.DUMMYFUNCTION("SPLIT(A7897,"" "")"),"CNCCN(C)Cc1nc(C)c(C)cc1C")</f>
        <v>CNCCN(C)Cc1nc(C)c(C)cc1C</v>
      </c>
      <c r="C7897" s="7">
        <f>IFERROR(__xludf.DUMMYFUNCTION("""COMPUTED_VALUE"""),7.776423)</f>
        <v>7.776423</v>
      </c>
      <c r="D7897" s="7">
        <f>IFERROR(__xludf.DUMMYFUNCTION("""COMPUTED_VALUE"""),0.309523809523809)</f>
        <v>0.3095238095</v>
      </c>
    </row>
    <row r="7898">
      <c r="A7898" s="10" t="s">
        <v>9337</v>
      </c>
      <c r="B7898" s="7" t="str">
        <f>IFERROR(__xludf.DUMMYFUNCTION("SPLIT(A7898,"" "")"),"Cc1ccnc(CN(C)C2=CNC(CN(C)C(C)C(C)C)=CC2)c1C")</f>
        <v>Cc1ccnc(CN(C)C2=CNC(CN(C)C(C)C(C)C)=CC2)c1C</v>
      </c>
      <c r="C7898" s="7">
        <f>IFERROR(__xludf.DUMMYFUNCTION("""COMPUTED_VALUE"""),7.77641)</f>
        <v>7.77641</v>
      </c>
      <c r="D7898" s="7">
        <f>IFERROR(__xludf.DUMMYFUNCTION("""COMPUTED_VALUE"""),0.223880597014925)</f>
        <v>0.223880597</v>
      </c>
    </row>
    <row r="7899">
      <c r="A7899" s="10" t="s">
        <v>9338</v>
      </c>
      <c r="B7899" s="7" t="str">
        <f>IFERROR(__xludf.DUMMYFUNCTION("SPLIT(A7899,"" "")"),"CC(C)(C)c1cccc(CN(Cc2ccccn2)Cc2cccc(CNCF)n2)n1")</f>
        <v>CC(C)(C)c1cccc(CN(Cc2ccccn2)Cc2cccc(CNCF)n2)n1</v>
      </c>
      <c r="C7899" s="7">
        <f>IFERROR(__xludf.DUMMYFUNCTION("""COMPUTED_VALUE"""),7.7764077)</f>
        <v>7.7764077</v>
      </c>
      <c r="D7899" s="7">
        <f>IFERROR(__xludf.DUMMYFUNCTION("""COMPUTED_VALUE"""),0.465116279069767)</f>
        <v>0.4651162791</v>
      </c>
    </row>
    <row r="7900">
      <c r="A7900" s="10" t="s">
        <v>9339</v>
      </c>
      <c r="B7900" s="7" t="str">
        <f>IFERROR(__xludf.DUMMYFUNCTION("SPLIT(A7900,"" "")"),"CNCc1cc(CN(Cc2ccccn2)C2C=CC=CN2)ccn1")</f>
        <v>CNCc1cc(CN(Cc2ccccn2)C2C=CC=CN2)ccn1</v>
      </c>
      <c r="C7900" s="7">
        <f>IFERROR(__xludf.DUMMYFUNCTION("""COMPUTED_VALUE"""),7.776407)</f>
        <v>7.776407</v>
      </c>
      <c r="D7900" s="7">
        <f>IFERROR(__xludf.DUMMYFUNCTION("""COMPUTED_VALUE"""),0.464285714285714)</f>
        <v>0.4642857143</v>
      </c>
    </row>
    <row r="7901">
      <c r="A7901" s="10" t="s">
        <v>9340</v>
      </c>
      <c r="B7901" s="7" t="str">
        <f>IFERROR(__xludf.DUMMYFUNCTION("SPLIT(A7901,"" "")"),"CNCc1cccc(CN(C)Cc2cnccc2F)n1")</f>
        <v>CNCc1cccc(CN(C)Cc2cnccc2F)n1</v>
      </c>
      <c r="C7901" s="7">
        <f>IFERROR(__xludf.DUMMYFUNCTION("""COMPUTED_VALUE"""),7.776395)</f>
        <v>7.776395</v>
      </c>
      <c r="D7901" s="7">
        <f>IFERROR(__xludf.DUMMYFUNCTION("""COMPUTED_VALUE"""),0.372549019607843)</f>
        <v>0.3725490196</v>
      </c>
    </row>
    <row r="7902">
      <c r="A7902" s="10" t="s">
        <v>9341</v>
      </c>
      <c r="B7902" s="7" t="str">
        <f>IFERROR(__xludf.DUMMYFUNCTION("SPLIT(A7902,"" "")"),"CCN(Cc1ccccn1)C1CCCCC1N(C)c1ccc2ncc(CF)cc2c1")</f>
        <v>CCN(Cc1ccccn1)C1CCCCC1N(C)c1ccc2ncc(CF)cc2c1</v>
      </c>
      <c r="C7902" s="7">
        <f>IFERROR(__xludf.DUMMYFUNCTION("""COMPUTED_VALUE"""),7.7763925)</f>
        <v>7.7763925</v>
      </c>
      <c r="D7902" s="7">
        <f>IFERROR(__xludf.DUMMYFUNCTION("""COMPUTED_VALUE"""),0.433333333333333)</f>
        <v>0.4333333333</v>
      </c>
    </row>
    <row r="7903">
      <c r="A7903" s="10" t="s">
        <v>9342</v>
      </c>
      <c r="B7903" s="7" t="str">
        <f>IFERROR(__xludf.DUMMYFUNCTION("SPLIT(A7903,"" "")"),"Cc1cccnc1CN(Cc1ccccn1)Cc1cccnc1CN(C)C(C)C")</f>
        <v>Cc1cccnc1CN(Cc1ccccn1)Cc1cccnc1CN(C)C(C)C</v>
      </c>
      <c r="C7903" s="7">
        <f>IFERROR(__xludf.DUMMYFUNCTION("""COMPUTED_VALUE"""),7.776392)</f>
        <v>7.776392</v>
      </c>
      <c r="D7903" s="7">
        <f>IFERROR(__xludf.DUMMYFUNCTION("""COMPUTED_VALUE"""),0.465116279069767)</f>
        <v>0.4651162791</v>
      </c>
    </row>
    <row r="7904">
      <c r="A7904" s="10" t="s">
        <v>9343</v>
      </c>
      <c r="B7904" s="7" t="str">
        <f>IFERROR(__xludf.DUMMYFUNCTION("SPLIT(A7904,"" "")"),"CC1=CCC(C)C(C)(c2ncccc2CN(Cc2ccccn2)Cc2ccccn2)C1")</f>
        <v>CC1=CCC(C)C(C)(c2ncccc2CN(Cc2ccccn2)Cc2ccccn2)C1</v>
      </c>
      <c r="C7904" s="7">
        <f>IFERROR(__xludf.DUMMYFUNCTION("""COMPUTED_VALUE"""),7.77639)</f>
        <v>7.77639</v>
      </c>
      <c r="D7904" s="7">
        <f>IFERROR(__xludf.DUMMYFUNCTION("""COMPUTED_VALUE"""),0.434782608695652)</f>
        <v>0.4347826087</v>
      </c>
    </row>
    <row r="7905">
      <c r="A7905" s="10" t="s">
        <v>9344</v>
      </c>
      <c r="B7905" s="7" t="str">
        <f>IFERROR(__xludf.DUMMYFUNCTION("SPLIT(A7905,"" "")"),"CN(CCN(C)c1ccc2nccc(CF)c2c1)Cc1ncccc1-c1cccc2c1OCCOCCOCCOCCOCCO2")</f>
        <v>CN(CCN(C)c1ccc2nccc(CF)c2c1)Cc1ncccc1-c1cccc2c1OCCOCCOCCOCCOCCO2</v>
      </c>
      <c r="C7905" s="7">
        <f>IFERROR(__xludf.DUMMYFUNCTION("""COMPUTED_VALUE"""),7.7763867)</f>
        <v>7.7763867</v>
      </c>
      <c r="D7905" s="7">
        <f>IFERROR(__xludf.DUMMYFUNCTION("""COMPUTED_VALUE"""),0.273972602739726)</f>
        <v>0.2739726027</v>
      </c>
    </row>
    <row r="7906">
      <c r="A7906" s="10" t="s">
        <v>9345</v>
      </c>
      <c r="B7906" s="7" t="str">
        <f>IFERROR(__xludf.DUMMYFUNCTION("SPLIT(A7906,"" "")"),"CN(CCN(C)c1cccc2nccc(CF)c12)Cc1ccc(-c2ccc3c(c2)OCCOCCOCCOCCOCCO3)cn1")</f>
        <v>CN(CCN(C)c1cccc2nccc(CF)c12)Cc1ccc(-c2ccc3c(c2)OCCOCCOCCOCCOCCO3)cn1</v>
      </c>
      <c r="C7906" s="7">
        <f>IFERROR(__xludf.DUMMYFUNCTION("""COMPUTED_VALUE"""),7.77637)</f>
        <v>7.77637</v>
      </c>
      <c r="D7906" s="7">
        <f>IFERROR(__xludf.DUMMYFUNCTION("""COMPUTED_VALUE"""),0.394736842105263)</f>
        <v>0.3947368421</v>
      </c>
    </row>
    <row r="7907">
      <c r="A7907" s="10" t="s">
        <v>9346</v>
      </c>
      <c r="B7907" s="7" t="str">
        <f>IFERROR(__xludf.DUMMYFUNCTION("SPLIT(A7907,"" "")"),"Cc1ccnc(CN(C)Cc2ccccc2C)c1")</f>
        <v>Cc1ccnc(CN(C)Cc2ccccc2C)c1</v>
      </c>
      <c r="C7907" s="7">
        <f>IFERROR(__xludf.DUMMYFUNCTION("""COMPUTED_VALUE"""),7.776358)</f>
        <v>7.776358</v>
      </c>
      <c r="D7907" s="7">
        <f>IFERROR(__xludf.DUMMYFUNCTION("""COMPUTED_VALUE"""),0.4)</f>
        <v>0.4</v>
      </c>
    </row>
    <row r="7908">
      <c r="A7908" s="10" t="s">
        <v>9347</v>
      </c>
      <c r="B7908" s="7" t="str">
        <f>IFERROR(__xludf.DUMMYFUNCTION("SPLIT(A7908,"" "")"),"CN1CCN(C)CCN(CC2=CCC=C(N(C)c3ccc4ccc(CF)nc4c3)N2)CC1")</f>
        <v>CN1CCN(C)CCN(CC2=CCC=C(N(C)c3ccc4ccc(CF)nc4c3)N2)CC1</v>
      </c>
      <c r="C7908" s="7">
        <f>IFERROR(__xludf.DUMMYFUNCTION("""COMPUTED_VALUE"""),7.776356)</f>
        <v>7.776356</v>
      </c>
      <c r="D7908" s="7">
        <f>IFERROR(__xludf.DUMMYFUNCTION("""COMPUTED_VALUE"""),0.354838709677419)</f>
        <v>0.3548387097</v>
      </c>
    </row>
    <row r="7909">
      <c r="A7909" s="10" t="s">
        <v>9348</v>
      </c>
      <c r="B7909" s="7" t="str">
        <f>IFERROR(__xludf.DUMMYFUNCTION("SPLIT(A7909,"" "")"),"CN(CCN(C)c1cccc2ncc(CF)cc12)Cc1ncccc1-c1ccc2c(c1)OCCOCCOCCOCCOCCO2")</f>
        <v>CN(CCN(C)c1cccc2ncc(CF)cc12)Cc1ncccc1-c1ccc2c(c1)OCCOCCOCCOCCOCCO2</v>
      </c>
      <c r="C7909" s="7">
        <f>IFERROR(__xludf.DUMMYFUNCTION("""COMPUTED_VALUE"""),7.776352)</f>
        <v>7.776352</v>
      </c>
      <c r="D7909" s="7">
        <f>IFERROR(__xludf.DUMMYFUNCTION("""COMPUTED_VALUE"""),0.295774647887323)</f>
        <v>0.2957746479</v>
      </c>
    </row>
    <row r="7910">
      <c r="A7910" s="10" t="s">
        <v>9349</v>
      </c>
      <c r="B7910" s="7" t="str">
        <f>IFERROR(__xludf.DUMMYFUNCTION("SPLIT(A7910,"" "")"),"Cc1ccc(CN(C)C2CCCC(N(Cc3ccccn3)Cc3ccc4ccccc4n3)C2)nc1")</f>
        <v>Cc1ccc(CN(C)C2CCCC(N(Cc3ccccn3)Cc3ccc4ccccc4n3)C2)nc1</v>
      </c>
      <c r="C7910" s="7">
        <f>IFERROR(__xludf.DUMMYFUNCTION("""COMPUTED_VALUE"""),7.7763457)</f>
        <v>7.7763457</v>
      </c>
      <c r="D7910" s="7">
        <f>IFERROR(__xludf.DUMMYFUNCTION("""COMPUTED_VALUE"""),0.49090909090909)</f>
        <v>0.4909090909</v>
      </c>
    </row>
    <row r="7911">
      <c r="A7911" s="10" t="s">
        <v>9350</v>
      </c>
      <c r="B7911" s="7" t="str">
        <f>IFERROR(__xludf.DUMMYFUNCTION("SPLIT(A7911,"" "")"),"Cc1cccnc1CN(C)CC1=CCC(N(C)C(C)C)=CN1")</f>
        <v>Cc1cccnc1CN(C)CC1=CCC(N(C)C(C)C)=CN1</v>
      </c>
      <c r="C7911" s="7">
        <f>IFERROR(__xludf.DUMMYFUNCTION("""COMPUTED_VALUE"""),7.776345)</f>
        <v>7.776345</v>
      </c>
      <c r="D7911" s="7">
        <f>IFERROR(__xludf.DUMMYFUNCTION("""COMPUTED_VALUE"""),0.298245614035087)</f>
        <v>0.298245614</v>
      </c>
    </row>
    <row r="7912">
      <c r="A7912" s="10" t="s">
        <v>9351</v>
      </c>
      <c r="B7912" s="7" t="str">
        <f>IFERROR(__xludf.DUMMYFUNCTION("SPLIT(A7912,"" "")"),"Cc1cccc(CN(Cc2ccccn2)C2CC(N(C)Cc3ccccn3)CC(N(Cc3ccccn3)Cc3cc(C)c(C)c(C)n3)C2)n1")</f>
        <v>Cc1cccc(CN(Cc2ccccn2)C2CC(N(C)Cc3ccccn3)CC(N(Cc3ccccn3)Cc3cc(C)c(C)c(C)n3)C2)n1</v>
      </c>
      <c r="C7912" s="7">
        <f>IFERROR(__xludf.DUMMYFUNCTION("""COMPUTED_VALUE"""),7.776343)</f>
        <v>7.776343</v>
      </c>
      <c r="D7912" s="7">
        <f>IFERROR(__xludf.DUMMYFUNCTION("""COMPUTED_VALUE"""),0.421052631578947)</f>
        <v>0.4210526316</v>
      </c>
    </row>
    <row r="7913">
      <c r="A7913" s="10" t="s">
        <v>9352</v>
      </c>
      <c r="B7913" s="7" t="str">
        <f>IFERROR(__xludf.DUMMYFUNCTION("SPLIT(A7913,"" "")"),"CNC1CC(N(Cc2ccccn2)Cc2nc(C)c(C)cc2C)CC(N(Cc2ccccn2)Cc2nc(C)c(C)cc2C)C1")</f>
        <v>CNC1CC(N(Cc2ccccn2)Cc2nc(C)c(C)cc2C)CC(N(Cc2ccccn2)Cc2nc(C)c(C)cc2C)C1</v>
      </c>
      <c r="C7913" s="7">
        <f>IFERROR(__xludf.DUMMYFUNCTION("""COMPUTED_VALUE"""),7.7763424)</f>
        <v>7.7763424</v>
      </c>
      <c r="D7913" s="7">
        <f>IFERROR(__xludf.DUMMYFUNCTION("""COMPUTED_VALUE"""),0.357142857142857)</f>
        <v>0.3571428571</v>
      </c>
    </row>
    <row r="7914">
      <c r="A7914" s="10" t="s">
        <v>9353</v>
      </c>
      <c r="B7914" s="7" t="str">
        <f>IFERROR(__xludf.DUMMYFUNCTION("SPLIT(A7914,"" "")"),"CCNc1cc(CN(Cc2cc(C)ccn2)C(C)C)ccn1")</f>
        <v>CCNc1cc(CN(Cc2cc(C)ccn2)C(C)C)ccn1</v>
      </c>
      <c r="C7914" s="7">
        <f>IFERROR(__xludf.DUMMYFUNCTION("""COMPUTED_VALUE"""),7.77634)</f>
        <v>7.77634</v>
      </c>
      <c r="D7914" s="7">
        <f>IFERROR(__xludf.DUMMYFUNCTION("""COMPUTED_VALUE"""),0.36)</f>
        <v>0.36</v>
      </c>
    </row>
    <row r="7915">
      <c r="A7915" s="10" t="s">
        <v>9354</v>
      </c>
      <c r="B7915" s="7" t="str">
        <f>IFERROR(__xludf.DUMMYFUNCTION("SPLIT(A7915,"" "")"),"CCNCc1ncccc1CN(Cc1ccccn1)Cc1cc(N)ccn1")</f>
        <v>CCNCc1ncccc1CN(Cc1ccccn1)Cc1cc(N)ccn1</v>
      </c>
      <c r="C7915" s="7">
        <f>IFERROR(__xludf.DUMMYFUNCTION("""COMPUTED_VALUE"""),7.7763386)</f>
        <v>7.7763386</v>
      </c>
      <c r="D7915" s="7">
        <f>IFERROR(__xludf.DUMMYFUNCTION("""COMPUTED_VALUE"""),0.434782608695652)</f>
        <v>0.4347826087</v>
      </c>
    </row>
    <row r="7916">
      <c r="A7916" s="10" t="s">
        <v>9355</v>
      </c>
      <c r="B7916" s="7" t="str">
        <f>IFERROR(__xludf.DUMMYFUNCTION("SPLIT(A7916,"" "")"),"Cc1ccccc1CNCc1ncccc1C(C)(C)C")</f>
        <v>Cc1ccccc1CNCc1ncccc1C(C)(C)C</v>
      </c>
      <c r="C7916" s="7">
        <f>IFERROR(__xludf.DUMMYFUNCTION("""COMPUTED_VALUE"""),7.7763247)</f>
        <v>7.7763247</v>
      </c>
      <c r="D7916" s="7">
        <f>IFERROR(__xludf.DUMMYFUNCTION("""COMPUTED_VALUE"""),0.295454545454545)</f>
        <v>0.2954545455</v>
      </c>
    </row>
    <row r="7917">
      <c r="A7917" s="10" t="s">
        <v>9356</v>
      </c>
      <c r="B7917" s="7" t="str">
        <f>IFERROR(__xludf.DUMMYFUNCTION("SPLIT(A7917,"" "")"),"CC1C=CC(C)(c2ncccc2CN(Cc2ccccn2)Cc2ccc(C(C)(C)C)cn2)CC1C")</f>
        <v>CC1C=CC(C)(c2ncccc2CN(Cc2ccccn2)Cc2ccc(C(C)(C)C)cn2)CC1C</v>
      </c>
      <c r="C7917" s="7">
        <f>IFERROR(__xludf.DUMMYFUNCTION("""COMPUTED_VALUE"""),7.7763205)</f>
        <v>7.7763205</v>
      </c>
      <c r="D7917" s="7">
        <f>IFERROR(__xludf.DUMMYFUNCTION("""COMPUTED_VALUE"""),0.350877192982456)</f>
        <v>0.350877193</v>
      </c>
    </row>
    <row r="7918">
      <c r="A7918" s="10" t="s">
        <v>9357</v>
      </c>
      <c r="B7918" s="7" t="str">
        <f>IFERROR(__xludf.DUMMYFUNCTION("SPLIT(A7918,"" "")"),"Cc1ccnc(CN(C)C2=CC=CCC2)c1")</f>
        <v>Cc1ccnc(CN(C)C2=CC=CCC2)c1</v>
      </c>
      <c r="C7918" s="7">
        <f>IFERROR(__xludf.DUMMYFUNCTION("""COMPUTED_VALUE"""),7.7763195)</f>
        <v>7.7763195</v>
      </c>
      <c r="D7918" s="7">
        <f>IFERROR(__xludf.DUMMYFUNCTION("""COMPUTED_VALUE"""),0.36734693877551)</f>
        <v>0.3673469388</v>
      </c>
    </row>
    <row r="7919">
      <c r="A7919" s="10" t="s">
        <v>9358</v>
      </c>
      <c r="B7919" s="7" t="str">
        <f>IFERROR(__xludf.DUMMYFUNCTION("SPLIT(A7919,"" "")"),"CCN(Cc1cc(-c2cccc(N(C)C)c2)ccn1)Cc1cc(-c2ccc3c(c2)OCCOCCOCCOCCOCCO3)ccn1")</f>
        <v>CCN(Cc1cc(-c2cccc(N(C)C)c2)ccn1)Cc1cc(-c2ccc3c(c2)OCCOCCOCCOCCOCCO3)ccn1</v>
      </c>
      <c r="C7919" s="7">
        <f>IFERROR(__xludf.DUMMYFUNCTION("""COMPUTED_VALUE"""),7.7763124)</f>
        <v>7.7763124</v>
      </c>
      <c r="D7919" s="7">
        <f>IFERROR(__xludf.DUMMYFUNCTION("""COMPUTED_VALUE"""),0.36231884057971)</f>
        <v>0.3623188406</v>
      </c>
    </row>
    <row r="7920">
      <c r="A7920" s="10" t="s">
        <v>9359</v>
      </c>
      <c r="B7920" s="7" t="str">
        <f>IFERROR(__xludf.DUMMYFUNCTION("SPLIT(A7920,"" "")"),"CN(C)Cc1ccc2cccc(N(C)CCN(C)Cc3cccc(-c4ccc5c(c4)OCCOCCOCCOCCOCCO5)n3)c2n1")</f>
        <v>CN(C)Cc1ccc2cccc(N(C)CCN(C)Cc3cccc(-c4ccc5c(c4)OCCOCCOCCOCCOCCO5)n3)c2n1</v>
      </c>
      <c r="C7920" s="7">
        <f>IFERROR(__xludf.DUMMYFUNCTION("""COMPUTED_VALUE"""),7.7763104)</f>
        <v>7.7763104</v>
      </c>
      <c r="D7920" s="7">
        <f>IFERROR(__xludf.DUMMYFUNCTION("""COMPUTED_VALUE"""),0.328125)</f>
        <v>0.328125</v>
      </c>
    </row>
    <row r="7921">
      <c r="A7921" s="10" t="s">
        <v>9360</v>
      </c>
      <c r="B7921" s="7" t="str">
        <f>IFERROR(__xludf.DUMMYFUNCTION("SPLIT(A7921,"" "")"),"CC(C)N(C)Cc1cccc(C(C)(C)c2ccccn2)n1")</f>
        <v>CC(C)N(C)Cc1cccc(C(C)(C)c2ccccn2)n1</v>
      </c>
      <c r="C7921" s="7">
        <f>IFERROR(__xludf.DUMMYFUNCTION("""COMPUTED_VALUE"""),7.7763042)</f>
        <v>7.7763042</v>
      </c>
      <c r="D7921" s="7">
        <f>IFERROR(__xludf.DUMMYFUNCTION("""COMPUTED_VALUE"""),0.422222222222222)</f>
        <v>0.4222222222</v>
      </c>
    </row>
    <row r="7922">
      <c r="A7922" s="10" t="s">
        <v>9361</v>
      </c>
      <c r="B7922" s="7" t="str">
        <f>IFERROR(__xludf.DUMMYFUNCTION("SPLIT(A7922,"" "")"),"Cc1cnc(CN(C)C2CCC(N(C)Cc3ccc4cccnc4c3)CC2)c(C)c1")</f>
        <v>Cc1cnc(CN(C)C2CCC(N(C)Cc3ccc4cccnc4c3)CC2)c(C)c1</v>
      </c>
      <c r="C7922" s="7">
        <f>IFERROR(__xludf.DUMMYFUNCTION("""COMPUTED_VALUE"""),7.7763014)</f>
        <v>7.7763014</v>
      </c>
      <c r="D7922" s="7">
        <f>IFERROR(__xludf.DUMMYFUNCTION("""COMPUTED_VALUE"""),0.3)</f>
        <v>0.3</v>
      </c>
    </row>
    <row r="7923">
      <c r="A7923" s="10" t="s">
        <v>9362</v>
      </c>
      <c r="B7923" s="7" t="str">
        <f>IFERROR(__xludf.DUMMYFUNCTION("SPLIT(A7923,"" "")"),"CCC(C)C1=C(N(C)Cc2ccccn2)CC=CN1")</f>
        <v>CCC(C)C1=C(N(C)Cc2ccccn2)CC=CN1</v>
      </c>
      <c r="C7923" s="7">
        <f>IFERROR(__xludf.DUMMYFUNCTION("""COMPUTED_VALUE"""),7.7762995)</f>
        <v>7.7762995</v>
      </c>
      <c r="D7923" s="7">
        <f>IFERROR(__xludf.DUMMYFUNCTION("""COMPUTED_VALUE"""),0.425925925925925)</f>
        <v>0.4259259259</v>
      </c>
    </row>
    <row r="7924">
      <c r="A7924" s="10" t="s">
        <v>9363</v>
      </c>
      <c r="B7924" s="7" t="str">
        <f>IFERROR(__xludf.DUMMYFUNCTION("SPLIT(A7924,"" "")"),"Cc1ccnc(CN(C)CCN(C)Cc2ncc(C)c(C)c2C)c1")</f>
        <v>Cc1ccnc(CN(C)CCN(C)Cc2ncc(C)c(C)c2C)c1</v>
      </c>
      <c r="C7924" s="7">
        <f>IFERROR(__xludf.DUMMYFUNCTION("""COMPUTED_VALUE"""),7.7762966)</f>
        <v>7.7762966</v>
      </c>
      <c r="D7924" s="7">
        <f>IFERROR(__xludf.DUMMYFUNCTION("""COMPUTED_VALUE"""),0.476190476190476)</f>
        <v>0.4761904762</v>
      </c>
    </row>
    <row r="7925">
      <c r="A7925" s="10" t="s">
        <v>9364</v>
      </c>
      <c r="B7925" s="7" t="str">
        <f>IFERROR(__xludf.DUMMYFUNCTION("SPLIT(A7925,"" "")"),"CN(CC1=CC(N(C)Cc2cccnn2)C=CN1)Cc1cccnn1")</f>
        <v>CN(CC1=CC(N(C)Cc2cccnn2)C=CN1)Cc1cccnn1</v>
      </c>
      <c r="C7925" s="7">
        <f>IFERROR(__xludf.DUMMYFUNCTION("""COMPUTED_VALUE"""),7.776296)</f>
        <v>7.776296</v>
      </c>
      <c r="D7925" s="7">
        <f>IFERROR(__xludf.DUMMYFUNCTION("""COMPUTED_VALUE"""),0.5)</f>
        <v>0.5</v>
      </c>
    </row>
    <row r="7926">
      <c r="A7926" s="10" t="s">
        <v>9365</v>
      </c>
      <c r="B7926" s="7" t="str">
        <f>IFERROR(__xludf.DUMMYFUNCTION("SPLIT(A7926,"" "")"),"COC(=O)C(=O)C(C)C(C)NCc1cccc(CN(Cc2ccccn2)Cc2ccccn2)n1")</f>
        <v>COC(=O)C(=O)C(C)C(C)NCc1cccc(CN(Cc2ccccn2)Cc2ccccn2)n1</v>
      </c>
      <c r="C7926" s="7">
        <f>IFERROR(__xludf.DUMMYFUNCTION("""COMPUTED_VALUE"""),7.776288)</f>
        <v>7.776288</v>
      </c>
      <c r="D7926" s="7">
        <f>IFERROR(__xludf.DUMMYFUNCTION("""COMPUTED_VALUE"""),0.43103448275862)</f>
        <v>0.4310344828</v>
      </c>
    </row>
    <row r="7927">
      <c r="A7927" s="10" t="s">
        <v>9366</v>
      </c>
      <c r="B7927" s="7" t="str">
        <f>IFERROR(__xludf.DUMMYFUNCTION("SPLIT(A7927,"" "")"),"Cc1ccc(N(Cc2ccccn2)C2CCCC(N(C)Cc3nc(C)c(C)c(C)c3C)C2)cc1C")</f>
        <v>Cc1ccc(N(Cc2ccccn2)C2CCCC(N(C)Cc3nc(C)c(C)c(C)c3C)C2)cc1C</v>
      </c>
      <c r="C7927" s="7">
        <f>IFERROR(__xludf.DUMMYFUNCTION("""COMPUTED_VALUE"""),7.7762785)</f>
        <v>7.7762785</v>
      </c>
      <c r="D7927" s="7">
        <f>IFERROR(__xludf.DUMMYFUNCTION("""COMPUTED_VALUE"""),0.393442622950819)</f>
        <v>0.393442623</v>
      </c>
    </row>
    <row r="7928">
      <c r="A7928" s="10" t="s">
        <v>9367</v>
      </c>
      <c r="B7928" s="7" t="str">
        <f>IFERROR(__xludf.DUMMYFUNCTION("SPLIT(A7928,"" "")"),"Cc1ncccc1CN(C)C1=CNC(CN(C)C(C)(C)C)=CC1")</f>
        <v>Cc1ncccc1CN(C)C1=CNC(CN(C)C(C)(C)C)=CC1</v>
      </c>
      <c r="C7928" s="7">
        <f>IFERROR(__xludf.DUMMYFUNCTION("""COMPUTED_VALUE"""),7.776273)</f>
        <v>7.776273</v>
      </c>
      <c r="D7928" s="7">
        <f>IFERROR(__xludf.DUMMYFUNCTION("""COMPUTED_VALUE"""),0.298245614035087)</f>
        <v>0.298245614</v>
      </c>
    </row>
    <row r="7929">
      <c r="A7929" s="10" t="s">
        <v>9368</v>
      </c>
      <c r="B7929" s="7" t="str">
        <f>IFERROR(__xludf.DUMMYFUNCTION("SPLIT(A7929,"" "")"),"CN(Cc1ccccn1)C1C=CNC(C(C)(C)c2ccccc2)=C1")</f>
        <v>CN(Cc1ccccn1)C1C=CNC(C(C)(C)c2ccccc2)=C1</v>
      </c>
      <c r="C7929" s="7">
        <f>IFERROR(__xludf.DUMMYFUNCTION("""COMPUTED_VALUE"""),7.776273)</f>
        <v>7.776273</v>
      </c>
      <c r="D7929" s="7">
        <f>IFERROR(__xludf.DUMMYFUNCTION("""COMPUTED_VALUE"""),0.423076923076923)</f>
        <v>0.4230769231</v>
      </c>
    </row>
    <row r="7930">
      <c r="A7930" s="10" t="s">
        <v>9369</v>
      </c>
      <c r="B7930" s="7" t="str">
        <f>IFERROR(__xludf.DUMMYFUNCTION("SPLIT(A7930,"" "")"),"CN1CCN(Cc2ccc3ncccc3c2)CCN(CC2CCC(N(C)c3ccc4ncccc4c3)N2C)CC1")</f>
        <v>CN1CCN(Cc2ccc3ncccc3c2)CCN(CC2CCC(N(C)c3ccc4ncccc4c3)N2C)CC1</v>
      </c>
      <c r="C7930" s="7">
        <f>IFERROR(__xludf.DUMMYFUNCTION("""COMPUTED_VALUE"""),7.776272)</f>
        <v>7.776272</v>
      </c>
      <c r="D7930" s="7">
        <f>IFERROR(__xludf.DUMMYFUNCTION("""COMPUTED_VALUE"""),0.348484848484848)</f>
        <v>0.3484848485</v>
      </c>
    </row>
    <row r="7931">
      <c r="A7931" s="10" t="s">
        <v>9370</v>
      </c>
      <c r="B7931" s="7" t="str">
        <f>IFERROR(__xludf.DUMMYFUNCTION("SPLIT(A7931,"" "")"),"COC(C)c1cccc(CNCc2cccc(C(C)NCc3ccccn3)n2)n1")</f>
        <v>COC(C)c1cccc(CNCc2cccc(C(C)NCc3ccccn3)n2)n1</v>
      </c>
      <c r="C7931" s="7">
        <f>IFERROR(__xludf.DUMMYFUNCTION("""COMPUTED_VALUE"""),7.7762513)</f>
        <v>7.7762513</v>
      </c>
      <c r="D7931" s="7">
        <f>IFERROR(__xludf.DUMMYFUNCTION("""COMPUTED_VALUE"""),0.422222222222222)</f>
        <v>0.4222222222</v>
      </c>
    </row>
    <row r="7932">
      <c r="A7932" s="10" t="s">
        <v>9371</v>
      </c>
      <c r="B7932" s="7" t="str">
        <f>IFERROR(__xludf.DUMMYFUNCTION("SPLIT(A7932,"" "")"),"CN1CCN(C)CCN(Cc2cnccc2CN(C)Cc2ccc(-c3cccc(N(C)C)c3)cn2)CC1")</f>
        <v>CN1CCN(C)CCN(Cc2cnccc2CN(C)Cc2ccc(-c3cccc(N(C)C)c3)cn2)CC1</v>
      </c>
      <c r="C7932" s="7">
        <f>IFERROR(__xludf.DUMMYFUNCTION("""COMPUTED_VALUE"""),7.7762465)</f>
        <v>7.7762465</v>
      </c>
      <c r="D7932" s="7">
        <f>IFERROR(__xludf.DUMMYFUNCTION("""COMPUTED_VALUE"""),0.353846153846153)</f>
        <v>0.3538461538</v>
      </c>
    </row>
    <row r="7933">
      <c r="A7933" s="10" t="s">
        <v>9372</v>
      </c>
      <c r="B7933" s="7" t="str">
        <f>IFERROR(__xludf.DUMMYFUNCTION("SPLIT(A7933,"" "")"),"CCCN(Cc1ccccn1)Cc1cccc(C2=NC(C(C)C)CO2)n1")</f>
        <v>CCCN(Cc1ccccn1)Cc1cccc(C2=NC(C(C)C)CO2)n1</v>
      </c>
      <c r="C7933" s="7">
        <f>IFERROR(__xludf.DUMMYFUNCTION("""COMPUTED_VALUE"""),7.7762403)</f>
        <v>7.7762403</v>
      </c>
      <c r="D7933" s="7">
        <f>IFERROR(__xludf.DUMMYFUNCTION("""COMPUTED_VALUE"""),0.421052631578947)</f>
        <v>0.4210526316</v>
      </c>
    </row>
    <row r="7934">
      <c r="A7934" s="10" t="s">
        <v>9373</v>
      </c>
      <c r="B7934" s="7" t="str">
        <f>IFERROR(__xludf.DUMMYFUNCTION("SPLIT(A7934,"" "")"),"Cc1ccc(C)c(CN(C)C2CCC(N(C)Cc3ccc4ncccc4c3)CC2)n1")</f>
        <v>Cc1ccc(C)c(CN(C)C2CCC(N(C)Cc3ccc4ncccc4c3)CC2)n1</v>
      </c>
      <c r="C7934" s="7">
        <f>IFERROR(__xludf.DUMMYFUNCTION("""COMPUTED_VALUE"""),7.7762356)</f>
        <v>7.7762356</v>
      </c>
      <c r="D7934" s="7">
        <f>IFERROR(__xludf.DUMMYFUNCTION("""COMPUTED_VALUE"""),0.305084745762711)</f>
        <v>0.3050847458</v>
      </c>
    </row>
    <row r="7935">
      <c r="A7935" s="10" t="s">
        <v>9374</v>
      </c>
      <c r="B7935" s="7" t="str">
        <f>IFERROR(__xludf.DUMMYFUNCTION("SPLIT(A7935,"" "")"),"CN(CC1=CCC=CN1)C1CCC(N(C)c2ccc3cc(CF)cnc3c2)CC1")</f>
        <v>CN(CC1=CCC=CN1)C1CCC(N(C)c2ccc3cc(CF)cnc3c2)CC1</v>
      </c>
      <c r="C7935" s="7">
        <f>IFERROR(__xludf.DUMMYFUNCTION("""COMPUTED_VALUE"""),7.7762303)</f>
        <v>7.7762303</v>
      </c>
      <c r="D7935" s="7">
        <f>IFERROR(__xludf.DUMMYFUNCTION("""COMPUTED_VALUE"""),0.328358208955223)</f>
        <v>0.328358209</v>
      </c>
    </row>
    <row r="7936">
      <c r="A7936" s="10" t="s">
        <v>9375</v>
      </c>
      <c r="B7936" s="7" t="str">
        <f>IFERROR(__xludf.DUMMYFUNCTION("SPLIT(A7936,"" "")"),"CC1CC(N(C)Cc2ccccn2)C(C)C=C1c1ccc(CN(C)Cc2ccccn2)cn1")</f>
        <v>CC1CC(N(C)Cc2ccccn2)C(C)C=C1c1ccc(CN(C)Cc2ccccn2)cn1</v>
      </c>
      <c r="C7936" s="7">
        <f>IFERROR(__xludf.DUMMYFUNCTION("""COMPUTED_VALUE"""),7.776223)</f>
        <v>7.776223</v>
      </c>
      <c r="D7936" s="7">
        <f>IFERROR(__xludf.DUMMYFUNCTION("""COMPUTED_VALUE"""),0.454545454545454)</f>
        <v>0.4545454545</v>
      </c>
    </row>
    <row r="7937">
      <c r="A7937" s="10" t="s">
        <v>9376</v>
      </c>
      <c r="B7937" s="7" t="str">
        <f>IFERROR(__xludf.DUMMYFUNCTION("SPLIT(A7937,"" "")"),"Cc1cncc(C)c1CN(C)C1CCC(N(C)Cc2ccc3cccnc3c2)CC1")</f>
        <v>Cc1cncc(C)c1CN(C)C1CCC(N(C)Cc2ccc3cccnc3c2)CC1</v>
      </c>
      <c r="C7937" s="7">
        <f>IFERROR(__xludf.DUMMYFUNCTION("""COMPUTED_VALUE"""),7.7762084)</f>
        <v>7.7762084</v>
      </c>
      <c r="D7937" s="7">
        <f>IFERROR(__xludf.DUMMYFUNCTION("""COMPUTED_VALUE"""),0.293103448275862)</f>
        <v>0.2931034483</v>
      </c>
    </row>
    <row r="7938">
      <c r="A7938" s="10" t="s">
        <v>9377</v>
      </c>
      <c r="B7938" s="7" t="str">
        <f>IFERROR(__xludf.DUMMYFUNCTION("SPLIT(A7938,"" "")"),"C1=CC(CN(Cc2ccccn2)Cc2ccccn2)C=C(CSCc2ccccn2)N1")</f>
        <v>C1=CC(CN(Cc2ccccn2)Cc2ccccn2)C=C(CSCc2ccccn2)N1</v>
      </c>
      <c r="C7938" s="7">
        <f>IFERROR(__xludf.DUMMYFUNCTION("""COMPUTED_VALUE"""),7.776208)</f>
        <v>7.776208</v>
      </c>
      <c r="D7938" s="7">
        <f>IFERROR(__xludf.DUMMYFUNCTION("""COMPUTED_VALUE"""),0.444444444444444)</f>
        <v>0.4444444444</v>
      </c>
    </row>
    <row r="7939">
      <c r="A7939" s="10" t="s">
        <v>9378</v>
      </c>
      <c r="B7939" s="7" t="str">
        <f>IFERROR(__xludf.DUMMYFUNCTION("SPLIT(A7939,"" "")"),"COC(=O)C1C(c2ccc(CN3CCN(C)CCN(C)CC3)cn2)C(c2ccc(CN(Cc3ccccn3)Cc3nc(C)c(C)cc3C)cn2)CN(C)C1c1ccccn1")</f>
        <v>COC(=O)C1C(c2ccc(CN3CCN(C)CCN(C)CC3)cn2)C(c2ccc(CN(Cc3ccccn3)Cc3nc(C)c(C)cc3C)cn2)CN(C)C1c1ccccn1</v>
      </c>
      <c r="C7939" s="7">
        <f>IFERROR(__xludf.DUMMYFUNCTION("""COMPUTED_VALUE"""),7.7762065)</f>
        <v>7.7762065</v>
      </c>
      <c r="D7939" s="7">
        <f>IFERROR(__xludf.DUMMYFUNCTION("""COMPUTED_VALUE"""),0.309523809523809)</f>
        <v>0.3095238095</v>
      </c>
    </row>
    <row r="7940">
      <c r="A7940" s="10" t="s">
        <v>9379</v>
      </c>
      <c r="B7940" s="7" t="str">
        <f>IFERROR(__xludf.DUMMYFUNCTION("SPLIT(A7940,"" "")"),"CC(C)N(Cc1ccccn1)Cc1ccnc(C2CCC2(C)C)c1CN(Cc1ccccn1)Cc1ccccn1")</f>
        <v>CC(C)N(Cc1ccccn1)Cc1ccnc(C2CCC2(C)C)c1CN(Cc1ccccn1)Cc1ccccn1</v>
      </c>
      <c r="C7940" s="7">
        <f>IFERROR(__xludf.DUMMYFUNCTION("""COMPUTED_VALUE"""),7.7762055)</f>
        <v>7.7762055</v>
      </c>
      <c r="D7940" s="7">
        <f>IFERROR(__xludf.DUMMYFUNCTION("""COMPUTED_VALUE"""),0.444444444444444)</f>
        <v>0.4444444444</v>
      </c>
    </row>
    <row r="7941">
      <c r="A7941" s="10" t="s">
        <v>9380</v>
      </c>
      <c r="B7941" s="7" t="str">
        <f>IFERROR(__xludf.DUMMYFUNCTION("SPLIT(A7941,"" "")"),"CN(C)c1cccc(-c2cccc(CN(Cc3ccccc3)Cc3cccc(-c4ccc5c(c4)OCCOCCOCCOCCOCCO5)n3)n2)c1")</f>
        <v>CN(C)c1cccc(-c2cccc(CN(Cc3ccccc3)Cc3cccc(-c4ccc5c(c4)OCCOCCOCCOCCOCCO5)n3)n2)c1</v>
      </c>
      <c r="C7941" s="7">
        <f>IFERROR(__xludf.DUMMYFUNCTION("""COMPUTED_VALUE"""),7.7761984)</f>
        <v>7.7761984</v>
      </c>
      <c r="D7941" s="7">
        <f>IFERROR(__xludf.DUMMYFUNCTION("""COMPUTED_VALUE"""),0.388059701492537)</f>
        <v>0.3880597015</v>
      </c>
    </row>
    <row r="7942">
      <c r="A7942" s="10" t="s">
        <v>9381</v>
      </c>
      <c r="B7942" s="7" t="str">
        <f>IFERROR(__xludf.DUMMYFUNCTION("SPLIT(A7942,"" "")"),"Cc1cnc(CN(C)C2CC(N(C)Cc3ccccn3)CC(N(Cc3nc(C)ccc3C)Cc3nc(C)c(C)cc3C)C2)c(C)c1")</f>
        <v>Cc1cnc(CN(C)C2CC(N(C)Cc3ccccn3)CC(N(Cc3nc(C)ccc3C)Cc3nc(C)c(C)cc3C)C2)c(C)c1</v>
      </c>
      <c r="C7942" s="7">
        <f>IFERROR(__xludf.DUMMYFUNCTION("""COMPUTED_VALUE"""),7.776197)</f>
        <v>7.776197</v>
      </c>
      <c r="D7942" s="7">
        <f>IFERROR(__xludf.DUMMYFUNCTION("""COMPUTED_VALUE"""),0.353846153846153)</f>
        <v>0.3538461538</v>
      </c>
    </row>
    <row r="7943">
      <c r="A7943" s="10" t="s">
        <v>9382</v>
      </c>
      <c r="B7943" s="7" t="str">
        <f>IFERROR(__xludf.DUMMYFUNCTION("SPLIT(A7943,"" "")"),"CC1=CCC(C)C2(C1C)C(c1cccc(CN(Cc3ccccn3)Cc3ccccn3)n1)C=CC1(C2c2cccc(CN(Cc3ccccn3)Cc3ccccn3)n2)C(C)(C)C(C)=CCC12C(C)C=CCC2C")</f>
        <v>CC1=CCC(C)C2(C1C)C(c1cccc(CN(Cc3ccccn3)Cc3ccccn3)n1)C=CC1(C2c2cccc(CN(Cc3ccccn3)Cc3ccccn3)n2)C(C)(C)C(C)=CCC12C(C)C=CCC2C</v>
      </c>
      <c r="C7943" s="7">
        <f>IFERROR(__xludf.DUMMYFUNCTION("""COMPUTED_VALUE"""),7.7761955)</f>
        <v>7.7761955</v>
      </c>
      <c r="D7943" s="7">
        <f>IFERROR(__xludf.DUMMYFUNCTION("""COMPUTED_VALUE"""),0.28735632183908)</f>
        <v>0.2873563218</v>
      </c>
    </row>
    <row r="7944">
      <c r="A7944" s="10" t="s">
        <v>9383</v>
      </c>
      <c r="B7944" s="7" t="str">
        <f>IFERROR(__xludf.DUMMYFUNCTION("SPLIT(A7944,"" "")"),"Cc1ncccc1CN(C)C1=C(CN(C)C(C)C)NC=CC1")</f>
        <v>Cc1ncccc1CN(C)C1=C(CN(C)C(C)C)NC=CC1</v>
      </c>
      <c r="C7944" s="7">
        <f>IFERROR(__xludf.DUMMYFUNCTION("""COMPUTED_VALUE"""),7.7761917)</f>
        <v>7.7761917</v>
      </c>
      <c r="D7944" s="7">
        <f>IFERROR(__xludf.DUMMYFUNCTION("""COMPUTED_VALUE"""),0.280701754385964)</f>
        <v>0.2807017544</v>
      </c>
    </row>
    <row r="7945">
      <c r="A7945" s="10" t="s">
        <v>9384</v>
      </c>
      <c r="B7945" s="7" t="str">
        <f>IFERROR(__xludf.DUMMYFUNCTION("SPLIT(A7945,"" "")"),"Cc1ccc(C)c(CN(C)C2C=CC=CN2)n1")</f>
        <v>Cc1ccc(C)c(CN(C)C2C=CC=CN2)n1</v>
      </c>
      <c r="C7945" s="7">
        <f>IFERROR(__xludf.DUMMYFUNCTION("""COMPUTED_VALUE"""),7.776187)</f>
        <v>7.776187</v>
      </c>
      <c r="D7945" s="7">
        <f>IFERROR(__xludf.DUMMYFUNCTION("""COMPUTED_VALUE"""),0.29090909090909)</f>
        <v>0.2909090909</v>
      </c>
    </row>
    <row r="7946">
      <c r="A7946" s="10" t="s">
        <v>9385</v>
      </c>
      <c r="B7946" s="7" t="str">
        <f>IFERROR(__xludf.DUMMYFUNCTION("SPLIT(A7946,"" "")"),"CNCc1cc(CN(C)Cc2ncccc2F)ccn1")</f>
        <v>CNCc1cc(CN(C)Cc2ncccc2F)ccn1</v>
      </c>
      <c r="C7946" s="7">
        <f>IFERROR(__xludf.DUMMYFUNCTION("""COMPUTED_VALUE"""),7.776177)</f>
        <v>7.776177</v>
      </c>
      <c r="D7946" s="7">
        <f>IFERROR(__xludf.DUMMYFUNCTION("""COMPUTED_VALUE"""),0.339622641509433)</f>
        <v>0.3396226415</v>
      </c>
    </row>
    <row r="7947">
      <c r="A7947" s="10" t="s">
        <v>9386</v>
      </c>
      <c r="B7947" s="7" t="str">
        <f>IFERROR(__xludf.DUMMYFUNCTION("SPLIT(A7947,"" "")"),"Cc1cnc(CN(C)C2CC(N(C)Cc3ccccn3)CC(N(Cc3cc(C)c(C)cn3)Cc3cc(C)c(C)c(C)n3)C2)c(C)c1")</f>
        <v>Cc1cnc(CN(C)C2CC(N(C)Cc3ccccn3)CC(N(Cc3cc(C)c(C)cn3)Cc3cc(C)c(C)c(C)n3)C2)c(C)c1</v>
      </c>
      <c r="C7947" s="7">
        <f>IFERROR(__xludf.DUMMYFUNCTION("""COMPUTED_VALUE"""),7.7761755)</f>
        <v>7.7761755</v>
      </c>
      <c r="D7947" s="7">
        <f>IFERROR(__xludf.DUMMYFUNCTION("""COMPUTED_VALUE"""),0.353846153846153)</f>
        <v>0.3538461538</v>
      </c>
    </row>
    <row r="7948">
      <c r="A7948" s="10" t="s">
        <v>9387</v>
      </c>
      <c r="B7948" s="7" t="str">
        <f>IFERROR(__xludf.DUMMYFUNCTION("SPLIT(A7948,"" "")"),"Cc1cccnc1CN(C)CCN(C)Cc1ncc(C)c(C)c1C")</f>
        <v>Cc1cccnc1CN(C)CCN(C)Cc1ncc(C)c(C)c1C</v>
      </c>
      <c r="C7948" s="7">
        <f>IFERROR(__xludf.DUMMYFUNCTION("""COMPUTED_VALUE"""),7.77617)</f>
        <v>7.77617</v>
      </c>
      <c r="D7948" s="7">
        <f>IFERROR(__xludf.DUMMYFUNCTION("""COMPUTED_VALUE"""),0.404761904761904)</f>
        <v>0.4047619048</v>
      </c>
    </row>
    <row r="7949">
      <c r="A7949" s="10" t="s">
        <v>9388</v>
      </c>
      <c r="B7949" s="7" t="str">
        <f>IFERROR(__xludf.DUMMYFUNCTION("SPLIT(A7949,"" "")"),"CNCCN(Cc1ccccn1)C(C)(N)N(Cc1ccccn1)Cc1nc(C)c(C)c(C)c1C")</f>
        <v>CNCCN(Cc1ccccn1)C(C)(N)N(Cc1ccccn1)Cc1nc(C)c(C)c(C)c1C</v>
      </c>
      <c r="C7949" s="7">
        <f>IFERROR(__xludf.DUMMYFUNCTION("""COMPUTED_VALUE"""),7.776162)</f>
        <v>7.776162</v>
      </c>
      <c r="D7949" s="7">
        <f>IFERROR(__xludf.DUMMYFUNCTION("""COMPUTED_VALUE"""),0.375)</f>
        <v>0.375</v>
      </c>
    </row>
    <row r="7950">
      <c r="A7950" s="10" t="s">
        <v>9389</v>
      </c>
      <c r="B7950" s="7" t="str">
        <f>IFERROR(__xludf.DUMMYFUNCTION("SPLIT(A7950,"" "")"),"CCCN(Cc1ccccn1)C1=CNC=CC1CN(Cc1ccccn1)Cc1cccc(F)n1")</f>
        <v>CCCN(Cc1ccccn1)C1=CNC=CC1CN(Cc1ccccn1)Cc1cccc(F)n1</v>
      </c>
      <c r="C7950" s="7">
        <f>IFERROR(__xludf.DUMMYFUNCTION("""COMPUTED_VALUE"""),7.7761593)</f>
        <v>7.7761593</v>
      </c>
      <c r="D7950" s="7">
        <f>IFERROR(__xludf.DUMMYFUNCTION("""COMPUTED_VALUE"""),0.477611940298507)</f>
        <v>0.4776119403</v>
      </c>
    </row>
    <row r="7951">
      <c r="A7951" s="10" t="s">
        <v>9390</v>
      </c>
      <c r="B7951" s="7" t="str">
        <f>IFERROR(__xludf.DUMMYFUNCTION("SPLIT(A7951,"" "")"),"Cc1cccc(CN(C)CC2=CCCC3(CSCc4ccccn4)C=CC=NC23CSCc2ccccn2)n1")</f>
        <v>Cc1cccc(CN(C)CC2=CCCC3(CSCc4ccccn4)C=CC=NC23CSCc2ccccn2)n1</v>
      </c>
      <c r="C7951" s="7">
        <f>IFERROR(__xludf.DUMMYFUNCTION("""COMPUTED_VALUE"""),7.7761583)</f>
        <v>7.7761583</v>
      </c>
      <c r="D7951" s="7">
        <f>IFERROR(__xludf.DUMMYFUNCTION("""COMPUTED_VALUE"""),0.352941176470588)</f>
        <v>0.3529411765</v>
      </c>
    </row>
    <row r="7952">
      <c r="A7952" s="10" t="s">
        <v>9391</v>
      </c>
      <c r="B7952" s="7" t="str">
        <f>IFERROR(__xludf.DUMMYFUNCTION("SPLIT(A7952,"" "")"),"CCN(C)Cc1ccc2cccc(N(C)C3CCC(N(C)Cc4cccnn4)CC3)c2n1")</f>
        <v>CCN(C)Cc1ccc2cccc(N(C)C3CCC(N(C)Cc4cccnn4)CC3)c2n1</v>
      </c>
      <c r="C7952" s="7">
        <f>IFERROR(__xludf.DUMMYFUNCTION("""COMPUTED_VALUE"""),7.776158)</f>
        <v>7.776158</v>
      </c>
      <c r="D7952" s="7">
        <f>IFERROR(__xludf.DUMMYFUNCTION("""COMPUTED_VALUE"""),0.442622950819672)</f>
        <v>0.4426229508</v>
      </c>
    </row>
    <row r="7953">
      <c r="A7953" s="10" t="s">
        <v>9392</v>
      </c>
      <c r="B7953" s="7" t="str">
        <f>IFERROR(__xludf.DUMMYFUNCTION("SPLIT(A7953,"" "")"),"Cc1cnc(CN(C)C2CCC(N(C)Cc3ccc4ncccc4c3)CC2)c(C)c1")</f>
        <v>Cc1cnc(CN(C)C2CCC(N(C)Cc3ccc4ncccc4c3)CC2)c(C)c1</v>
      </c>
      <c r="C7953" s="7">
        <f>IFERROR(__xludf.DUMMYFUNCTION("""COMPUTED_VALUE"""),7.7761564)</f>
        <v>7.7761564</v>
      </c>
      <c r="D7953" s="7">
        <f>IFERROR(__xludf.DUMMYFUNCTION("""COMPUTED_VALUE"""),0.3)</f>
        <v>0.3</v>
      </c>
    </row>
    <row r="7954">
      <c r="A7954" s="10" t="s">
        <v>9393</v>
      </c>
      <c r="B7954" s="7" t="str">
        <f>IFERROR(__xludf.DUMMYFUNCTION("SPLIT(A7954,"" "")"),"Cc1cccnc1C")</f>
        <v>Cc1cccnc1C</v>
      </c>
      <c r="C7954" s="7">
        <f>IFERROR(__xludf.DUMMYFUNCTION("""COMPUTED_VALUE"""),7.776156)</f>
        <v>7.776156</v>
      </c>
      <c r="D7954" s="7">
        <f>IFERROR(__xludf.DUMMYFUNCTION("""COMPUTED_VALUE"""),0.333333333333333)</f>
        <v>0.3333333333</v>
      </c>
    </row>
    <row r="7955">
      <c r="A7955" s="10" t="s">
        <v>9394</v>
      </c>
      <c r="B7955" s="7" t="str">
        <f>IFERROR(__xludf.DUMMYFUNCTION("SPLIT(A7955,"" "")"),"CCNCc1cccc(CN(Cc2ccccn2)C2CCC(N(C)Cc3cccc(-c4cccc(Cl)c4Cl)n3)CC2)n1")</f>
        <v>CCNCc1cccc(CN(Cc2ccccn2)C2CCC(N(C)Cc3cccc(-c4cccc(Cl)c4Cl)n3)CC2)n1</v>
      </c>
      <c r="C7955" s="7">
        <f>IFERROR(__xludf.DUMMYFUNCTION("""COMPUTED_VALUE"""),7.776146)</f>
        <v>7.776146</v>
      </c>
      <c r="D7955" s="7">
        <f>IFERROR(__xludf.DUMMYFUNCTION("""COMPUTED_VALUE"""),0.384615384615384)</f>
        <v>0.3846153846</v>
      </c>
    </row>
    <row r="7956">
      <c r="A7956" s="10" t="s">
        <v>9395</v>
      </c>
      <c r="B7956" s="7" t="str">
        <f>IFERROR(__xludf.DUMMYFUNCTION("SPLIT(A7956,"" "")"),"Cc1ccc(CN(C)C2CCC(N(C)Cc3ccc4ncccc4c3)CC2)nc1C")</f>
        <v>Cc1ccc(CN(C)C2CCC(N(C)Cc3ccc4ncccc4c3)CC2)nc1C</v>
      </c>
      <c r="C7956" s="7">
        <f>IFERROR(__xludf.DUMMYFUNCTION("""COMPUTED_VALUE"""),7.776142)</f>
        <v>7.776142</v>
      </c>
      <c r="D7956" s="7">
        <f>IFERROR(__xludf.DUMMYFUNCTION("""COMPUTED_VALUE"""),0.333333333333333)</f>
        <v>0.3333333333</v>
      </c>
    </row>
    <row r="7957">
      <c r="A7957" s="10" t="s">
        <v>9396</v>
      </c>
      <c r="B7957" s="7" t="str">
        <f>IFERROR(__xludf.DUMMYFUNCTION("SPLIT(A7957,"" "")"),"CC(C)(C)c1cccc(CN(Cc2ccc(C3CCC3(C)C)nc2)Cc2ccccn2)n1")</f>
        <v>CC(C)(C)c1cccc(CN(Cc2ccc(C3CCC3(C)C)nc2)Cc2ccccn2)n1</v>
      </c>
      <c r="C7957" s="7">
        <f>IFERROR(__xludf.DUMMYFUNCTION("""COMPUTED_VALUE"""),7.7761292)</f>
        <v>7.7761292</v>
      </c>
      <c r="D7957" s="7">
        <f>IFERROR(__xludf.DUMMYFUNCTION("""COMPUTED_VALUE"""),0.370967741935483)</f>
        <v>0.3709677419</v>
      </c>
    </row>
    <row r="7958">
      <c r="A7958" s="10" t="s">
        <v>9397</v>
      </c>
      <c r="B7958" s="7" t="str">
        <f>IFERROR(__xludf.DUMMYFUNCTION("SPLIT(A7958,"" "")"),"CN(CCN(C)c1ccc2nccc(CF)c2c1)Cc1cccc(-c2ccc3c(c2)OCCOCCOCCOCCOCCO3)n1")</f>
        <v>CN(CCN(C)c1ccc2nccc(CF)c2c1)Cc1cccc(-c2ccc3c(c2)OCCOCCOCCOCCOCCO3)n1</v>
      </c>
      <c r="C7958" s="7">
        <f>IFERROR(__xludf.DUMMYFUNCTION("""COMPUTED_VALUE"""),7.7761292)</f>
        <v>7.7761292</v>
      </c>
      <c r="D7958" s="7">
        <f>IFERROR(__xludf.DUMMYFUNCTION("""COMPUTED_VALUE"""),0.305555555555555)</f>
        <v>0.3055555556</v>
      </c>
    </row>
    <row r="7959">
      <c r="A7959" s="10" t="s">
        <v>9398</v>
      </c>
      <c r="B7959" s="7" t="str">
        <f>IFERROR(__xludf.DUMMYFUNCTION("SPLIT(A7959,"" "")"),"Cc1cccnc1N(C)C1CCCC(N(C)c2cccnc2C)C1")</f>
        <v>Cc1cccnc1N(C)C1CCCC(N(C)c2cccnc2C)C1</v>
      </c>
      <c r="C7959" s="7">
        <f>IFERROR(__xludf.DUMMYFUNCTION("""COMPUTED_VALUE"""),7.776129)</f>
        <v>7.776129</v>
      </c>
      <c r="D7959" s="7">
        <f>IFERROR(__xludf.DUMMYFUNCTION("""COMPUTED_VALUE"""),0.38)</f>
        <v>0.38</v>
      </c>
    </row>
    <row r="7960">
      <c r="A7960" s="10" t="s">
        <v>9399</v>
      </c>
      <c r="B7960" s="7" t="str">
        <f>IFERROR(__xludf.DUMMYFUNCTION("SPLIT(A7960,"" "")"),"CC(C)(C)c1cccc(CN(Cc2ccccn2)CC2C=CNC=C2F)n1")</f>
        <v>CC(C)(C)c1cccc(CN(Cc2ccccn2)CC2C=CNC=C2F)n1</v>
      </c>
      <c r="C7960" s="7">
        <f>IFERROR(__xludf.DUMMYFUNCTION("""COMPUTED_VALUE"""),7.776113)</f>
        <v>7.776113</v>
      </c>
      <c r="D7960" s="7">
        <f>IFERROR(__xludf.DUMMYFUNCTION("""COMPUTED_VALUE"""),0.417910447761194)</f>
        <v>0.4179104478</v>
      </c>
    </row>
    <row r="7961">
      <c r="A7961" s="10" t="s">
        <v>9400</v>
      </c>
      <c r="B7961" s="7" t="str">
        <f>IFERROR(__xludf.DUMMYFUNCTION("SPLIT(A7961,"" "")"),"CC1C=CC(C)C(C)(c2cccc(CN(Cc3ccccn3)Cc3cccc(C(C)(C)C)n3)n2)C1")</f>
        <v>CC1C=CC(C)C(C)(c2cccc(CN(Cc3ccccn3)Cc3cccc(C(C)(C)C)n3)n2)C1</v>
      </c>
      <c r="C7961" s="7">
        <f>IFERROR(__xludf.DUMMYFUNCTION("""COMPUTED_VALUE"""),7.776113)</f>
        <v>7.776113</v>
      </c>
      <c r="D7961" s="7">
        <f>IFERROR(__xludf.DUMMYFUNCTION("""COMPUTED_VALUE"""),0.384615384615384)</f>
        <v>0.3846153846</v>
      </c>
    </row>
    <row r="7962">
      <c r="A7962" s="10" t="s">
        <v>9401</v>
      </c>
      <c r="B7962" s="7" t="str">
        <f>IFERROR(__xludf.DUMMYFUNCTION("SPLIT(A7962,"" "")"),"CC(C)C1=NC(C2=NC(C(C)C)CO2)C(C2=NC(C(C)C)CO2)O1")</f>
        <v>CC(C)C1=NC(C2=NC(C(C)C)CO2)C(C2=NC(C(C)C)CO2)O1</v>
      </c>
      <c r="C7962" s="7">
        <f>IFERROR(__xludf.DUMMYFUNCTION("""COMPUTED_VALUE"""),7.776108)</f>
        <v>7.776108</v>
      </c>
      <c r="D7962" s="7">
        <f>IFERROR(__xludf.DUMMYFUNCTION("""COMPUTED_VALUE"""),0.140625)</f>
        <v>0.140625</v>
      </c>
    </row>
    <row r="7963">
      <c r="A7963" s="10" t="s">
        <v>9402</v>
      </c>
      <c r="B7963" s="7" t="str">
        <f>IFERROR(__xludf.DUMMYFUNCTION("SPLIT(A7963,"" "")"),"C1=CNC(N(Cc2cccnc2)Cc2ccccn2)C=C1")</f>
        <v>C1=CNC(N(Cc2cccnc2)Cc2ccccn2)C=C1</v>
      </c>
      <c r="C7963" s="7">
        <f>IFERROR(__xludf.DUMMYFUNCTION("""COMPUTED_VALUE"""),7.776094)</f>
        <v>7.776094</v>
      </c>
      <c r="D7963" s="7">
        <f>IFERROR(__xludf.DUMMYFUNCTION("""COMPUTED_VALUE"""),0.5)</f>
        <v>0.5</v>
      </c>
    </row>
    <row r="7964">
      <c r="A7964" s="10" t="s">
        <v>9403</v>
      </c>
      <c r="B7964" s="7" t="str">
        <f>IFERROR(__xludf.DUMMYFUNCTION("SPLIT(A7964,"" "")"),"Cc1cncc(CN(C)CCN(C)Cc2ncc(C)c(C)c2C)c1")</f>
        <v>Cc1cncc(CN(C)CCN(C)Cc2ncc(C)c(C)c2C)c1</v>
      </c>
      <c r="C7964" s="7">
        <f>IFERROR(__xludf.DUMMYFUNCTION("""COMPUTED_VALUE"""),7.7760844)</f>
        <v>7.7760844</v>
      </c>
      <c r="D7964" s="7">
        <f>IFERROR(__xludf.DUMMYFUNCTION("""COMPUTED_VALUE"""),0.386363636363636)</f>
        <v>0.3863636364</v>
      </c>
    </row>
    <row r="7965">
      <c r="A7965" s="10" t="s">
        <v>9404</v>
      </c>
      <c r="B7965" s="7" t="str">
        <f>IFERROR(__xludf.DUMMYFUNCTION("SPLIT(A7965,"" "")"),"CC(C)N(CC1=CC(N(C)Cc2ncccc2-c2ccc3c(c2)OCCOCCOCCOCCOCCO3)C=CN1)c1ccc2ncccc2c1")</f>
        <v>CC(C)N(CC1=CC(N(C)Cc2ncccc2-c2ccc3c(c2)OCCOCCOCCOCCOCCO3)C=CN1)c1ccc2ncccc2c1</v>
      </c>
      <c r="C7965" s="7">
        <f>IFERROR(__xludf.DUMMYFUNCTION("""COMPUTED_VALUE"""),7.7760825)</f>
        <v>7.7760825</v>
      </c>
      <c r="D7965" s="7">
        <f>IFERROR(__xludf.DUMMYFUNCTION("""COMPUTED_VALUE"""),0.260869565217391)</f>
        <v>0.2608695652</v>
      </c>
    </row>
    <row r="7966">
      <c r="A7966" s="10" t="s">
        <v>9405</v>
      </c>
      <c r="B7966" s="7" t="str">
        <f>IFERROR(__xludf.DUMMYFUNCTION("SPLIT(A7966,"" "")"),"Cc1ccc(CN(C)C2=C(CN(C)C(C)(C)C)NC=CC2)nc1")</f>
        <v>Cc1ccc(CN(C)C2=C(CN(C)C(C)(C)C)NC=CC2)nc1</v>
      </c>
      <c r="C7966" s="7">
        <f>IFERROR(__xludf.DUMMYFUNCTION("""COMPUTED_VALUE"""),7.776081)</f>
        <v>7.776081</v>
      </c>
      <c r="D7966" s="7">
        <f>IFERROR(__xludf.DUMMYFUNCTION("""COMPUTED_VALUE"""),0.4375)</f>
        <v>0.4375</v>
      </c>
    </row>
    <row r="7967">
      <c r="A7967" s="10" t="s">
        <v>9406</v>
      </c>
      <c r="B7967" s="7" t="str">
        <f>IFERROR(__xludf.DUMMYFUNCTION("SPLIT(A7967,"" "")"),"CC1C=CCC(C)(c2cccc(CN(Cc3ccccn3)C3CCCCC3N(C)c3ccc4ccc(CN(C)C)nc4c3)n2)C1C")</f>
        <v>CC1C=CCC(C)(c2cccc(CN(Cc3ccccn3)C3CCCCC3N(C)c3ccc4ccc(CN(C)C)nc4c3)n2)C1C</v>
      </c>
      <c r="C7967" s="7">
        <f>IFERROR(__xludf.DUMMYFUNCTION("""COMPUTED_VALUE"""),7.776071)</f>
        <v>7.776071</v>
      </c>
      <c r="D7967" s="7">
        <f>IFERROR(__xludf.DUMMYFUNCTION("""COMPUTED_VALUE"""),0.361111111111111)</f>
        <v>0.3611111111</v>
      </c>
    </row>
    <row r="7968">
      <c r="A7968" s="10" t="s">
        <v>9407</v>
      </c>
      <c r="B7968" s="7" t="str">
        <f>IFERROR(__xludf.DUMMYFUNCTION("SPLIT(A7968,"" "")"),"Cc1cccnc1CN(Cc1ccccn1)Cc1cccnc1C(C)(C)C(C)N")</f>
        <v>Cc1cccnc1CN(Cc1ccccn1)Cc1cccnc1C(C)(C)C(C)N</v>
      </c>
      <c r="C7968" s="7">
        <f>IFERROR(__xludf.DUMMYFUNCTION("""COMPUTED_VALUE"""),7.7760706)</f>
        <v>7.7760706</v>
      </c>
      <c r="D7968" s="7">
        <f>IFERROR(__xludf.DUMMYFUNCTION("""COMPUTED_VALUE"""),0.434782608695652)</f>
        <v>0.4347826087</v>
      </c>
    </row>
    <row r="7969">
      <c r="A7969" s="10" t="s">
        <v>9408</v>
      </c>
      <c r="B7969" s="7" t="str">
        <f>IFERROR(__xludf.DUMMYFUNCTION("SPLIT(A7969,"" "")"),"Cc1cncc(CN(C)C2=CNC(CN(C)C(C)(C)C)=CC2)c1")</f>
        <v>Cc1cncc(CN(C)C2=CNC(CN(C)C(C)(C)C)=CC2)c1</v>
      </c>
      <c r="C7969" s="7">
        <f>IFERROR(__xludf.DUMMYFUNCTION("""COMPUTED_VALUE"""),7.77607)</f>
        <v>7.77607</v>
      </c>
      <c r="D7969" s="7">
        <f>IFERROR(__xludf.DUMMYFUNCTION("""COMPUTED_VALUE"""),0.19047619047619)</f>
        <v>0.1904761905</v>
      </c>
    </row>
    <row r="7970">
      <c r="A7970" s="10" t="s">
        <v>9409</v>
      </c>
      <c r="B7970" s="7" t="str">
        <f>IFERROR(__xludf.DUMMYFUNCTION("SPLIT(A7970,"" "")"),"Cc1ccc(CNCc2cc(C(C)(C)C)ccn2)cc1")</f>
        <v>Cc1ccc(CNCc2cc(C(C)(C)C)ccn2)cc1</v>
      </c>
      <c r="C7970" s="7">
        <f>IFERROR(__xludf.DUMMYFUNCTION("""COMPUTED_VALUE"""),7.7760696)</f>
        <v>7.7760696</v>
      </c>
      <c r="D7970" s="7">
        <f>IFERROR(__xludf.DUMMYFUNCTION("""COMPUTED_VALUE"""),0.302325581395348)</f>
        <v>0.3023255814</v>
      </c>
    </row>
    <row r="7971">
      <c r="A7971" s="10" t="s">
        <v>9410</v>
      </c>
      <c r="B7971" s="7" t="str">
        <f>IFERROR(__xludf.DUMMYFUNCTION("SPLIT(A7971,"" "")"),"CN(CC1=CC(N(C)Cc2ccccn2)C=CN1)Cc1ccccn1")</f>
        <v>CN(CC1=CC(N(C)Cc2ccccn2)C=CN1)Cc1ccccn1</v>
      </c>
      <c r="C7971" s="7">
        <f>IFERROR(__xludf.DUMMYFUNCTION("""COMPUTED_VALUE"""),7.776069)</f>
        <v>7.776069</v>
      </c>
      <c r="D7971" s="7">
        <f>IFERROR(__xludf.DUMMYFUNCTION("""COMPUTED_VALUE"""),0.458333333333333)</f>
        <v>0.4583333333</v>
      </c>
    </row>
    <row r="7972">
      <c r="A7972" s="10" t="s">
        <v>9411</v>
      </c>
      <c r="B7972" s="7" t="str">
        <f>IFERROR(__xludf.DUMMYFUNCTION("SPLIT(A7972,"" "")"),"Cc1ccc(N)cc1C")</f>
        <v>Cc1ccc(N)cc1C</v>
      </c>
      <c r="C7972" s="7">
        <f>IFERROR(__xludf.DUMMYFUNCTION("""COMPUTED_VALUE"""),7.7760663)</f>
        <v>7.7760663</v>
      </c>
      <c r="D7972" s="7">
        <f>IFERROR(__xludf.DUMMYFUNCTION("""COMPUTED_VALUE"""),0.227272727272727)</f>
        <v>0.2272727273</v>
      </c>
    </row>
    <row r="7973">
      <c r="A7973" s="10" t="s">
        <v>9412</v>
      </c>
      <c r="B7973" s="7" t="str">
        <f>IFERROR(__xludf.DUMMYFUNCTION("SPLIT(A7973,"" "")"),"CCN(Cc1cccnn1)C1CCCCC1N(C)c1ccc2cccnc2c1")</f>
        <v>CCN(Cc1cccnn1)C1CCCCC1N(C)c1ccc2cccnc2c1</v>
      </c>
      <c r="C7973" s="7">
        <f>IFERROR(__xludf.DUMMYFUNCTION("""COMPUTED_VALUE"""),7.776056)</f>
        <v>7.776056</v>
      </c>
      <c r="D7973" s="7">
        <f>IFERROR(__xludf.DUMMYFUNCTION("""COMPUTED_VALUE"""),0.406779661016949)</f>
        <v>0.406779661</v>
      </c>
    </row>
    <row r="7974">
      <c r="A7974" s="10" t="s">
        <v>9413</v>
      </c>
      <c r="B7974" s="7" t="str">
        <f>IFERROR(__xludf.DUMMYFUNCTION("SPLIT(A7974,"" "")"),"Cc1nc(CN(C)C2CCC(N(Cc3ccccn3)Cc3cccc(C(C)(C)c4ccccn4)n3)CC2)c(C)c(C)c1C")</f>
        <v>Cc1nc(CN(C)C2CCC(N(Cc3ccccn3)Cc3cccc(C(C)(C)c4ccccn4)n3)CC2)c(C)c(C)c1C</v>
      </c>
      <c r="C7974" s="7">
        <f>IFERROR(__xludf.DUMMYFUNCTION("""COMPUTED_VALUE"""),7.776055)</f>
        <v>7.776055</v>
      </c>
      <c r="D7974" s="7">
        <f>IFERROR(__xludf.DUMMYFUNCTION("""COMPUTED_VALUE"""),0.377049180327868)</f>
        <v>0.3770491803</v>
      </c>
    </row>
    <row r="7975">
      <c r="A7975" s="10" t="s">
        <v>9414</v>
      </c>
      <c r="B7975" s="7" t="str">
        <f>IFERROR(__xludf.DUMMYFUNCTION("SPLIT(A7975,"" "")"),"CN(C)Cc1ccc(C2CC(C)(C)C2)cn1")</f>
        <v>CN(C)Cc1ccc(C2CC(C)(C)C2)cn1</v>
      </c>
      <c r="C7975" s="7">
        <f>IFERROR(__xludf.DUMMYFUNCTION("""COMPUTED_VALUE"""),7.7760515)</f>
        <v>7.7760515</v>
      </c>
      <c r="D7975" s="7">
        <f>IFERROR(__xludf.DUMMYFUNCTION("""COMPUTED_VALUE"""),0.369565217391304)</f>
        <v>0.3695652174</v>
      </c>
    </row>
    <row r="7976">
      <c r="A7976" s="10" t="s">
        <v>9415</v>
      </c>
      <c r="B7976" s="7" t="str">
        <f>IFERROR(__xludf.DUMMYFUNCTION("SPLIT(A7976,"" "")"),"CNC1CC(N(C)Cc2nc(C)c(C)c(C)c2C)CC(N(C)Cc2nc(C)c(C)c(C)c2C)C1")</f>
        <v>CNC1CC(N(C)Cc2nc(C)c(C)c(C)c2C)CC(N(C)Cc2nc(C)c(C)c(C)c2C)C1</v>
      </c>
      <c r="C7976" s="7">
        <f>IFERROR(__xludf.DUMMYFUNCTION("""COMPUTED_VALUE"""),7.7760496)</f>
        <v>7.7760496</v>
      </c>
      <c r="D7976" s="7">
        <f>IFERROR(__xludf.DUMMYFUNCTION("""COMPUTED_VALUE"""),0.226415094339622)</f>
        <v>0.2264150943</v>
      </c>
    </row>
    <row r="7977">
      <c r="A7977" s="10" t="s">
        <v>9416</v>
      </c>
      <c r="B7977" s="7" t="str">
        <f>IFERROR(__xludf.DUMMYFUNCTION("SPLIT(A7977,"" "")"),"CN1CCN(C)CCN(C2NC=CC=C2N(C)c2ccc3cccnc3c2)CC1")</f>
        <v>CN1CCN(C)CCN(C2NC=CC=C2N(C)c2ccc3cccnc3c2)CC1</v>
      </c>
      <c r="C7977" s="7">
        <f>IFERROR(__xludf.DUMMYFUNCTION("""COMPUTED_VALUE"""),7.7760487)</f>
        <v>7.7760487</v>
      </c>
      <c r="D7977" s="7">
        <f>IFERROR(__xludf.DUMMYFUNCTION("""COMPUTED_VALUE"""),0.272727272727272)</f>
        <v>0.2727272727</v>
      </c>
    </row>
    <row r="7978">
      <c r="A7978" s="10" t="s">
        <v>9417</v>
      </c>
      <c r="B7978" s="7" t="str">
        <f>IFERROR(__xludf.DUMMYFUNCTION("SPLIT(A7978,"" "")"),"Cc1ccc(CN(C)CCN(Cc2ccccn2)C(C)(N)N(Cc2ccccn2)Cc2ncccc2F)nc1")</f>
        <v>Cc1ccc(CN(C)CCN(Cc2ccccn2)C(C)(N)N(Cc2ccccn2)Cc2ncccc2F)nc1</v>
      </c>
      <c r="C7978" s="7">
        <f>IFERROR(__xludf.DUMMYFUNCTION("""COMPUTED_VALUE"""),7.776043)</f>
        <v>7.776043</v>
      </c>
      <c r="D7978" s="7">
        <f>IFERROR(__xludf.DUMMYFUNCTION("""COMPUTED_VALUE"""),0.48076923076923)</f>
        <v>0.4807692308</v>
      </c>
    </row>
    <row r="7979">
      <c r="A7979" s="10" t="s">
        <v>9418</v>
      </c>
      <c r="B7979" s="7" t="str">
        <f>IFERROR(__xludf.DUMMYFUNCTION("SPLIT(A7979,"" "")"),"Cc1cccc(CN(C)C2=C(CN(C)C(C)(C)C)NC=CC2)n1")</f>
        <v>Cc1cccc(CN(C)C2=C(CN(C)C(C)(C)C)NC=CC2)n1</v>
      </c>
      <c r="C7979" s="7">
        <f>IFERROR(__xludf.DUMMYFUNCTION("""COMPUTED_VALUE"""),7.7760425)</f>
        <v>7.7760425</v>
      </c>
      <c r="D7979" s="7">
        <f>IFERROR(__xludf.DUMMYFUNCTION("""COMPUTED_VALUE"""),0.4375)</f>
        <v>0.4375</v>
      </c>
    </row>
    <row r="7980">
      <c r="A7980" s="10" t="s">
        <v>9419</v>
      </c>
      <c r="B7980" s="7" t="str">
        <f>IFERROR(__xludf.DUMMYFUNCTION("SPLIT(A7980,"" "")"),"c1cnnc(CNCc2cccnn2)c1")</f>
        <v>c1cnnc(CNCc2cccnn2)c1</v>
      </c>
      <c r="C7980" s="7">
        <f>IFERROR(__xludf.DUMMYFUNCTION("""COMPUTED_VALUE"""),7.776039)</f>
        <v>7.776039</v>
      </c>
      <c r="D7980" s="7">
        <f>IFERROR(__xludf.DUMMYFUNCTION("""COMPUTED_VALUE"""),0.483870967741935)</f>
        <v>0.4838709677</v>
      </c>
    </row>
    <row r="7981">
      <c r="A7981" s="10" t="s">
        <v>9420</v>
      </c>
      <c r="B7981" s="7" t="str">
        <f>IFERROR(__xludf.DUMMYFUNCTION("SPLIT(A7981,"" "")"),"CN(C)Cc1ccc2ccc(N(C)CCN(C)Cc3cccc(-c4ccc5c(c4)OCCOCCOCCOCCOCCO5)n3)cc2n1")</f>
        <v>CN(C)Cc1ccc2ccc(N(C)CCN(C)Cc3cccc(-c4ccc5c(c4)OCCOCCOCCOCCOCCO5)n3)cc2n1</v>
      </c>
      <c r="C7981" s="7">
        <f>IFERROR(__xludf.DUMMYFUNCTION("""COMPUTED_VALUE"""),7.7760353)</f>
        <v>7.7760353</v>
      </c>
      <c r="D7981" s="7">
        <f>IFERROR(__xludf.DUMMYFUNCTION("""COMPUTED_VALUE"""),0.32258064516129)</f>
        <v>0.3225806452</v>
      </c>
    </row>
    <row r="7982">
      <c r="A7982" s="10" t="s">
        <v>9421</v>
      </c>
      <c r="B7982" s="7" t="str">
        <f>IFERROR(__xludf.DUMMYFUNCTION("SPLIT(A7982,"" "")"),"CN(Cc1ncccc1CF)Cc1ncccc1CF")</f>
        <v>CN(Cc1ncccc1CF)Cc1ncccc1CF</v>
      </c>
      <c r="C7982" s="7">
        <f>IFERROR(__xludf.DUMMYFUNCTION("""COMPUTED_VALUE"""),7.776033)</f>
        <v>7.776033</v>
      </c>
      <c r="D7982" s="7">
        <f>IFERROR(__xludf.DUMMYFUNCTION("""COMPUTED_VALUE"""),0.435897435897435)</f>
        <v>0.4358974359</v>
      </c>
    </row>
    <row r="7983">
      <c r="A7983" s="10" t="s">
        <v>9422</v>
      </c>
      <c r="B7983" s="7" t="str">
        <f>IFERROR(__xludf.DUMMYFUNCTION("SPLIT(A7983,"" "")"),"CNCCN(Cc1cc(C)ccn1)Cc1nc(C)c(C)c(C)c1C")</f>
        <v>CNCCN(Cc1cc(C)ccn1)Cc1nc(C)c(C)c(C)c1C</v>
      </c>
      <c r="C7983" s="7">
        <f>IFERROR(__xludf.DUMMYFUNCTION("""COMPUTED_VALUE"""),7.7760253)</f>
        <v>7.7760253</v>
      </c>
      <c r="D7983" s="7">
        <f>IFERROR(__xludf.DUMMYFUNCTION("""COMPUTED_VALUE"""),0.309090909090909)</f>
        <v>0.3090909091</v>
      </c>
    </row>
    <row r="7984">
      <c r="A7984" s="10" t="s">
        <v>9423</v>
      </c>
      <c r="B7984" s="7" t="str">
        <f>IFERROR(__xludf.DUMMYFUNCTION("SPLIT(A7984,"" "")"),"C=CCN(C)Cc1cccc(-c2ccc(N(C)C3CCC(N(Cc4ccccn4)Cc4ccccn4)CC3)cc2)n1")</f>
        <v>C=CCN(C)Cc1cccc(-c2ccc(N(C)C3CCC(N(Cc4ccccn4)Cc4ccccn4)CC3)cc2)n1</v>
      </c>
      <c r="C7984" s="7">
        <f>IFERROR(__xludf.DUMMYFUNCTION("""COMPUTED_VALUE"""),7.7760234)</f>
        <v>7.7760234</v>
      </c>
      <c r="D7984" s="7">
        <f>IFERROR(__xludf.DUMMYFUNCTION("""COMPUTED_VALUE"""),0.46551724137931)</f>
        <v>0.4655172414</v>
      </c>
    </row>
    <row r="7985">
      <c r="A7985" s="10" t="s">
        <v>9424</v>
      </c>
      <c r="B7985" s="7" t="str">
        <f>IFERROR(__xludf.DUMMYFUNCTION("SPLIT(A7985,"" "")"),"CC1=CC2C=CC=NC2C2(N(C)Cc3cc(C(C)(C)C)ccn3)N=CC=CC12")</f>
        <v>CC1=CC2C=CC=NC2C2(N(C)Cc3cc(C(C)(C)C)ccn3)N=CC=CC12</v>
      </c>
      <c r="C7985" s="7">
        <f>IFERROR(__xludf.DUMMYFUNCTION("""COMPUTED_VALUE"""),7.776021)</f>
        <v>7.776021</v>
      </c>
      <c r="D7985" s="7">
        <f>IFERROR(__xludf.DUMMYFUNCTION("""COMPUTED_VALUE"""),0.205882352941176)</f>
        <v>0.2058823529</v>
      </c>
    </row>
    <row r="7986">
      <c r="A7986" s="10" t="s">
        <v>9425</v>
      </c>
      <c r="B7986" s="7" t="str">
        <f>IFERROR(__xludf.DUMMYFUNCTION("SPLIT(A7986,"" "")"),"C1=CNCC(NCc2ccccn2)=C1")</f>
        <v>C1=CNCC(NCc2ccccn2)=C1</v>
      </c>
      <c r="C7986" s="7">
        <f>IFERROR(__xludf.DUMMYFUNCTION("""COMPUTED_VALUE"""),7.7760158)</f>
        <v>7.7760158</v>
      </c>
      <c r="D7986" s="7">
        <f>IFERROR(__xludf.DUMMYFUNCTION("""COMPUTED_VALUE"""),0.447368421052631)</f>
        <v>0.4473684211</v>
      </c>
    </row>
    <row r="7987">
      <c r="A7987" s="10" t="s">
        <v>9426</v>
      </c>
      <c r="B7987" s="7" t="str">
        <f>IFERROR(__xludf.DUMMYFUNCTION("SPLIT(A7987,"" "")"),"C#CCN(CC1=CCC=C(N(C)Cc2ccccn2)N1)Cc1ccccn1")</f>
        <v>C#CCN(CC1=CCC=C(N(C)Cc2ccccn2)N1)Cc1ccccn1</v>
      </c>
      <c r="C7987" s="7">
        <f>IFERROR(__xludf.DUMMYFUNCTION("""COMPUTED_VALUE"""),7.7760115)</f>
        <v>7.7760115</v>
      </c>
      <c r="D7987" s="7">
        <f>IFERROR(__xludf.DUMMYFUNCTION("""COMPUTED_VALUE"""),0.472727272727272)</f>
        <v>0.4727272727</v>
      </c>
    </row>
    <row r="7988">
      <c r="A7988" s="10" t="s">
        <v>9427</v>
      </c>
      <c r="B7988" s="7" t="str">
        <f>IFERROR(__xludf.DUMMYFUNCTION("SPLIT(A7988,"" "")"),"CNCc1cc(CN(C)Cc2cc(C)ccn2)ccn1")</f>
        <v>CNCc1cc(CN(C)Cc2cc(C)ccn2)ccn1</v>
      </c>
      <c r="C7988" s="7">
        <f>IFERROR(__xludf.DUMMYFUNCTION("""COMPUTED_VALUE"""),7.7760115)</f>
        <v>7.7760115</v>
      </c>
      <c r="D7988" s="7">
        <f>IFERROR(__xludf.DUMMYFUNCTION("""COMPUTED_VALUE"""),0.413043478260869)</f>
        <v>0.4130434783</v>
      </c>
    </row>
    <row r="7989">
      <c r="A7989" s="10" t="s">
        <v>9428</v>
      </c>
      <c r="B7989" s="7" t="str">
        <f>IFERROR(__xludf.DUMMYFUNCTION("SPLIT(A7989,"" "")"),"Cc1cc(C)c(C)c(CN(CCF)Cc2ncccc2C)n1")</f>
        <v>Cc1cc(C)c(C)c(CN(CCF)Cc2ncccc2C)n1</v>
      </c>
      <c r="C7989" s="7">
        <f>IFERROR(__xludf.DUMMYFUNCTION("""COMPUTED_VALUE"""),7.7760053)</f>
        <v>7.7760053</v>
      </c>
      <c r="D7989" s="7">
        <f>IFERROR(__xludf.DUMMYFUNCTION("""COMPUTED_VALUE"""),0.294117647058823)</f>
        <v>0.2941176471</v>
      </c>
    </row>
    <row r="7990">
      <c r="A7990" s="10" t="s">
        <v>9429</v>
      </c>
      <c r="B7990" s="7" t="str">
        <f>IFERROR(__xludf.DUMMYFUNCTION("SPLIT(A7990,"" "")"),"CC(C)N(Cc1cccc(C(C)(C)C)n1)C(C)C")</f>
        <v>CC(C)N(Cc1cccc(C(C)(C)C)n1)C(C)C</v>
      </c>
      <c r="C7990" s="7">
        <f>IFERROR(__xludf.DUMMYFUNCTION("""COMPUTED_VALUE"""),7.7759886)</f>
        <v>7.7759886</v>
      </c>
      <c r="D7990" s="7">
        <f>IFERROR(__xludf.DUMMYFUNCTION("""COMPUTED_VALUE"""),0.384615384615384)</f>
        <v>0.3846153846</v>
      </c>
    </row>
    <row r="7991">
      <c r="A7991" s="10" t="s">
        <v>9430</v>
      </c>
      <c r="B7991" s="7" t="str">
        <f>IFERROR(__xludf.DUMMYFUNCTION("SPLIT(A7991,"" "")"),"Cc1cccc(CNCc2ccc(C(C)(C)C)cn2)c1")</f>
        <v>Cc1cccc(CNCc2ccc(C(C)(C)C)cn2)c1</v>
      </c>
      <c r="C7991" s="7">
        <f>IFERROR(__xludf.DUMMYFUNCTION("""COMPUTED_VALUE"""),7.7759852)</f>
        <v>7.7759852</v>
      </c>
      <c r="D7991" s="7">
        <f>IFERROR(__xludf.DUMMYFUNCTION("""COMPUTED_VALUE"""),0.282608695652173)</f>
        <v>0.2826086957</v>
      </c>
    </row>
    <row r="7992">
      <c r="A7992" s="10" t="s">
        <v>9431</v>
      </c>
      <c r="B7992" s="7" t="str">
        <f>IFERROR(__xludf.DUMMYFUNCTION("SPLIT(A7992,"" "")"),"CC1=C(C)C(C)C(C)(c2cc(CN(Cc3ccccn3)Cc3ccccn3)ccn2)CC1")</f>
        <v>CC1=C(C)C(C)C(C)(c2cc(CN(Cc3ccccn3)Cc3ccccn3)ccn2)CC1</v>
      </c>
      <c r="C7992" s="7">
        <f>IFERROR(__xludf.DUMMYFUNCTION("""COMPUTED_VALUE"""),7.7759695)</f>
        <v>7.7759695</v>
      </c>
      <c r="D7992" s="7">
        <f>IFERROR(__xludf.DUMMYFUNCTION("""COMPUTED_VALUE"""),0.408163265306122)</f>
        <v>0.4081632653</v>
      </c>
    </row>
    <row r="7993">
      <c r="A7993" s="10" t="s">
        <v>9432</v>
      </c>
      <c r="B7993" s="7" t="str">
        <f>IFERROR(__xludf.DUMMYFUNCTION("SPLIT(A7993,"" "")"),"CN1CCN(C)CCN(Cc2ccc(N(C)O)c3ncccc23)CC1")</f>
        <v>CN1CCN(C)CCN(Cc2ccc(N(C)O)c3ncccc23)CC1</v>
      </c>
      <c r="C7993" s="7">
        <f>IFERROR(__xludf.DUMMYFUNCTION("""COMPUTED_VALUE"""),7.775969)</f>
        <v>7.775969</v>
      </c>
      <c r="D7993" s="7">
        <f>IFERROR(__xludf.DUMMYFUNCTION("""COMPUTED_VALUE"""),0.4375)</f>
        <v>0.4375</v>
      </c>
    </row>
    <row r="7994">
      <c r="A7994" s="10" t="s">
        <v>9433</v>
      </c>
      <c r="B7994" s="7" t="str">
        <f>IFERROR(__xludf.DUMMYFUNCTION("SPLIT(A7994,"" "")"),"COC(=O)C(=O)C(C)C(C)NCc1ncccc1CN(Cc1ccccn1)Cc1ccccn1")</f>
        <v>COC(=O)C(=O)C(C)C(C)NCc1ncccc1CN(Cc1ccccn1)Cc1ccccn1</v>
      </c>
      <c r="C7994" s="7">
        <f>IFERROR(__xludf.DUMMYFUNCTION("""COMPUTED_VALUE"""),7.775961)</f>
        <v>7.775961</v>
      </c>
      <c r="D7994" s="7">
        <f>IFERROR(__xludf.DUMMYFUNCTION("""COMPUTED_VALUE"""),0.4)</f>
        <v>0.4</v>
      </c>
    </row>
    <row r="7995">
      <c r="A7995" s="10" t="s">
        <v>9434</v>
      </c>
      <c r="B7995" s="7" t="str">
        <f>IFERROR(__xludf.DUMMYFUNCTION("SPLIT(A7995,"" "")"),"CNCc1ncccc1CN(C)Cc1cccc(F)n1")</f>
        <v>CNCc1ncccc1CN(C)Cc1cccc(F)n1</v>
      </c>
      <c r="C7995" s="7">
        <f>IFERROR(__xludf.DUMMYFUNCTION("""COMPUTED_VALUE"""),7.7759504)</f>
        <v>7.7759504</v>
      </c>
      <c r="D7995" s="7">
        <f>IFERROR(__xludf.DUMMYFUNCTION("""COMPUTED_VALUE"""),0.42)</f>
        <v>0.42</v>
      </c>
    </row>
    <row r="7996">
      <c r="A7996" s="10" t="s">
        <v>9435</v>
      </c>
      <c r="B7996" s="7" t="str">
        <f>IFERROR(__xludf.DUMMYFUNCTION("SPLIT(A7996,"" "")"),"Cc1cncc(CN(C)C2=C(CN(C)C(C)C)NC=CC2)c1")</f>
        <v>Cc1cncc(CN(C)C2=C(CN(C)C(C)C)NC=CC2)c1</v>
      </c>
      <c r="C7996" s="7">
        <f>IFERROR(__xludf.DUMMYFUNCTION("""COMPUTED_VALUE"""),7.7759495)</f>
        <v>7.7759495</v>
      </c>
      <c r="D7996" s="7">
        <f>IFERROR(__xludf.DUMMYFUNCTION("""COMPUTED_VALUE"""),0.193548387096774)</f>
        <v>0.1935483871</v>
      </c>
    </row>
    <row r="7997">
      <c r="A7997" s="10" t="s">
        <v>9436</v>
      </c>
      <c r="B7997" s="7" t="str">
        <f>IFERROR(__xludf.DUMMYFUNCTION("SPLIT(A7997,"" "")"),"CN(CCN(C)c1ccccc1C(C)(C)C)Cc1ccccn1")</f>
        <v>CN(CCN(C)c1ccccc1C(C)(C)C)Cc1ccccn1</v>
      </c>
      <c r="C7997" s="7">
        <f>IFERROR(__xludf.DUMMYFUNCTION("""COMPUTED_VALUE"""),7.7759385)</f>
        <v>7.7759385</v>
      </c>
      <c r="D7997" s="7">
        <f>IFERROR(__xludf.DUMMYFUNCTION("""COMPUTED_VALUE"""),0.48076923076923)</f>
        <v>0.4807692308</v>
      </c>
    </row>
    <row r="7998">
      <c r="A7998" s="10" t="s">
        <v>9437</v>
      </c>
      <c r="B7998" s="7" t="str">
        <f>IFERROR(__xludf.DUMMYFUNCTION("SPLIT(A7998,"" "")"),"CN(CCN(Cc1ccccn1)c1ccc2ncccc2c1)Cc1ncccc1-c1ccc2c(c1)OCCOCCOCCOCCOCCO2")</f>
        <v>CN(CCN(Cc1ccccn1)c1ccc2ncccc2c1)Cc1ncccc1-c1ccc2c(c1)OCCOCCOCCOCCOCCO2</v>
      </c>
      <c r="C7998" s="7">
        <f>IFERROR(__xludf.DUMMYFUNCTION("""COMPUTED_VALUE"""),7.7759333)</f>
        <v>7.7759333</v>
      </c>
      <c r="D7998" s="7">
        <f>IFERROR(__xludf.DUMMYFUNCTION("""COMPUTED_VALUE"""),0.305555555555555)</f>
        <v>0.3055555556</v>
      </c>
    </row>
    <row r="7999">
      <c r="A7999" s="10" t="s">
        <v>9438</v>
      </c>
      <c r="B7999" s="7" t="str">
        <f>IFERROR(__xludf.DUMMYFUNCTION("SPLIT(A7999,"" "")"),"CC(C)N(C)Cc1ncccc1C(C)(C)c1ccccn1")</f>
        <v>CC(C)N(C)Cc1ncccc1C(C)(C)c1ccccn1</v>
      </c>
      <c r="C7999" s="7">
        <f>IFERROR(__xludf.DUMMYFUNCTION("""COMPUTED_VALUE"""),7.7759295)</f>
        <v>7.7759295</v>
      </c>
      <c r="D7999" s="7">
        <f>IFERROR(__xludf.DUMMYFUNCTION("""COMPUTED_VALUE"""),0.361702127659574)</f>
        <v>0.3617021277</v>
      </c>
    </row>
    <row r="8000">
      <c r="A8000" s="10" t="s">
        <v>9439</v>
      </c>
      <c r="B8000" s="7" t="str">
        <f>IFERROR(__xludf.DUMMYFUNCTION("SPLIT(A8000,"" "")"),"Cc1ccc(CN(C)CCN(Cc2ccccn2)Cc2cccc(CN(Cc3cccc(C)n3)C(C)C)n2)nc1")</f>
        <v>Cc1ccc(CN(C)CCN(Cc2ccccn2)Cc2cccc(CN(Cc3cccc(C)n3)C(C)C)n2)nc1</v>
      </c>
      <c r="C8000" s="7">
        <f>IFERROR(__xludf.DUMMYFUNCTION("""COMPUTED_VALUE"""),7.775926)</f>
        <v>7.775926</v>
      </c>
      <c r="D8000" s="7">
        <f>IFERROR(__xludf.DUMMYFUNCTION("""COMPUTED_VALUE"""),0.490196078431372)</f>
        <v>0.4901960784</v>
      </c>
    </row>
    <row r="8001">
      <c r="A8001" s="10" t="s">
        <v>9440</v>
      </c>
      <c r="B8001" s="7" t="str">
        <f>IFERROR(__xludf.DUMMYFUNCTION("SPLIT(A8001,"" "")"),"CCN(C)CC1=C(N(C)Cc2cc(C)ccn2)CC=CN1")</f>
        <v>CCN(C)CC1=C(N(C)Cc2cc(C)ccn2)CC=CN1</v>
      </c>
      <c r="C8001" s="7">
        <f>IFERROR(__xludf.DUMMYFUNCTION("""COMPUTED_VALUE"""),7.775921)</f>
        <v>7.775921</v>
      </c>
      <c r="D8001" s="7">
        <f>IFERROR(__xludf.DUMMYFUNCTION("""COMPUTED_VALUE"""),0.345454545454545)</f>
        <v>0.3454545455</v>
      </c>
    </row>
    <row r="8002">
      <c r="A8002" s="10" t="s">
        <v>9441</v>
      </c>
      <c r="B8002" s="7" t="str">
        <f>IFERROR(__xludf.DUMMYFUNCTION("SPLIT(A8002,"" "")"),"CN1CCN(Cc2cc(-c3cccc(N(C)C)c3)ccn2)CCN(Cc2cc(C(C)(C)C)ccn2)CC1")</f>
        <v>CN1CCN(Cc2cc(-c3cccc(N(C)C)c3)ccn2)CCN(Cc2cc(C(C)(C)C)ccn2)CC1</v>
      </c>
      <c r="C8002" s="7">
        <f>IFERROR(__xludf.DUMMYFUNCTION("""COMPUTED_VALUE"""),7.7759175)</f>
        <v>7.7759175</v>
      </c>
      <c r="D8002" s="7">
        <f>IFERROR(__xludf.DUMMYFUNCTION("""COMPUTED_VALUE"""),0.5)</f>
        <v>0.5</v>
      </c>
    </row>
    <row r="8003">
      <c r="A8003" s="10" t="s">
        <v>9442</v>
      </c>
      <c r="B8003" s="7" t="str">
        <f>IFERROR(__xludf.DUMMYFUNCTION("SPLIT(A8003,"" "")"),"Cc1cnc(CN(C)C2CC(N(C)Cc3ccccn3)CC(N(Cc3ncc(C)c(C)c3C)Cc3ncc(C)c(C)c3C)C2)c(C)c1")</f>
        <v>Cc1cnc(CN(C)C2CC(N(C)Cc3ccccn3)CC(N(Cc3ncc(C)c(C)c3C)Cc3ncc(C)c(C)c3C)C2)c(C)c1</v>
      </c>
      <c r="C8003" s="7">
        <f>IFERROR(__xludf.DUMMYFUNCTION("""COMPUTED_VALUE"""),7.775907)</f>
        <v>7.775907</v>
      </c>
      <c r="D8003" s="7">
        <f>IFERROR(__xludf.DUMMYFUNCTION("""COMPUTED_VALUE"""),0.403508771929824)</f>
        <v>0.4035087719</v>
      </c>
    </row>
    <row r="8004">
      <c r="A8004" s="10" t="s">
        <v>9443</v>
      </c>
      <c r="B8004" s="7" t="str">
        <f>IFERROR(__xludf.DUMMYFUNCTION("SPLIT(A8004,"" "")"),"CC1=CC(C)C2(C(C)C=CC(C)C23CC=C(c2cc(CN(Cc4ccccn4)Cc4ccc(-c5ccc6c(c5)OCCOCCOCCOCCOCCO6)cn4)ccn2)C=C3c2cc(CN(C)Cc3ccccn3)ccn2)C(C)C1")</f>
        <v>CC1=CC(C)C2(C(C)C=CC(C)C23CC=C(c2cc(CN(Cc4ccccn4)Cc4ccc(-c5ccc6c(c5)OCCOCCOCCOCCOCCO6)cn4)ccn2)C=C3c2cc(CN(C)Cc3ccccn3)ccn2)C(C)C1</v>
      </c>
      <c r="C8004" s="7">
        <f>IFERROR(__xludf.DUMMYFUNCTION("""COMPUTED_VALUE"""),7.7759066)</f>
        <v>7.7759066</v>
      </c>
      <c r="D8004" s="7">
        <f>IFERROR(__xludf.DUMMYFUNCTION("""COMPUTED_VALUE"""),0.316831683168316)</f>
        <v>0.3168316832</v>
      </c>
    </row>
    <row r="8005">
      <c r="A8005" s="10" t="s">
        <v>9444</v>
      </c>
      <c r="B8005" s="7" t="str">
        <f>IFERROR(__xludf.DUMMYFUNCTION("SPLIT(A8005,"" "")"),"Cc1cccnc1-c1cccc(NCc2ccc(-c3ccc4c(c3)OCCOCCOCCOCCOCCO4)cn2)c1")</f>
        <v>Cc1cccnc1-c1cccc(NCc2ccc(-c3ccc4c(c3)OCCOCCOCCOCCOCCO4)cn2)c1</v>
      </c>
      <c r="C8005" s="7">
        <f>IFERROR(__xludf.DUMMYFUNCTION("""COMPUTED_VALUE"""),7.775904)</f>
        <v>7.775904</v>
      </c>
      <c r="D8005" s="7">
        <f>IFERROR(__xludf.DUMMYFUNCTION("""COMPUTED_VALUE"""),0.434782608695652)</f>
        <v>0.4347826087</v>
      </c>
    </row>
    <row r="8006">
      <c r="A8006" s="10" t="s">
        <v>9445</v>
      </c>
      <c r="B8006" s="7" t="str">
        <f>IFERROR(__xludf.DUMMYFUNCTION("SPLIT(A8006,"" "")"),"CCNCc1cccc(C(C)(C)c2ccccn2)n1")</f>
        <v>CCNCc1cccc(C(C)(C)c2ccccn2)n1</v>
      </c>
      <c r="C8006" s="7">
        <f>IFERROR(__xludf.DUMMYFUNCTION("""COMPUTED_VALUE"""),7.7759013)</f>
        <v>7.7759013</v>
      </c>
      <c r="D8006" s="7">
        <f>IFERROR(__xludf.DUMMYFUNCTION("""COMPUTED_VALUE"""),0.44)</f>
        <v>0.44</v>
      </c>
    </row>
    <row r="8007">
      <c r="A8007" s="10" t="s">
        <v>9446</v>
      </c>
      <c r="B8007" s="7" t="str">
        <f>IFERROR(__xludf.DUMMYFUNCTION("SPLIT(A8007,"" "")"),"Cc1cnc(CN(C)C2CCC(N(C)Cc3ccccn3)CC2N(Cc2nc(C)c(C)c(C)c2C)Cc2nc(C)c(C)c(C)c2C)c(C)c1")</f>
        <v>Cc1cnc(CN(C)C2CCC(N(C)Cc3ccccn3)CC2N(Cc2nc(C)c(C)c(C)c2C)Cc2nc(C)c(C)c(C)c2C)c(C)c1</v>
      </c>
      <c r="C8007" s="7">
        <f>IFERROR(__xludf.DUMMYFUNCTION("""COMPUTED_VALUE"""),7.7759)</f>
        <v>7.7759</v>
      </c>
      <c r="D8007" s="7">
        <f>IFERROR(__xludf.DUMMYFUNCTION("""COMPUTED_VALUE"""),0.428571428571428)</f>
        <v>0.4285714286</v>
      </c>
    </row>
    <row r="8008">
      <c r="A8008" s="10" t="s">
        <v>9447</v>
      </c>
      <c r="B8008" s="7" t="str">
        <f>IFERROR(__xludf.DUMMYFUNCTION("SPLIT(A8008,"" "")"),"CCOC(C)NCc1ccc(CN(Cc2ccccn2)Cc2ccccn2)c(CN(Cc2ccccn2)C(C)C)n1")</f>
        <v>CCOC(C)NCc1ccc(CN(Cc2ccccn2)Cc2ccccn2)c(CN(Cc2ccccn2)C(C)C)n1</v>
      </c>
      <c r="C8008" s="7">
        <f>IFERROR(__xludf.DUMMYFUNCTION("""COMPUTED_VALUE"""),7.775896)</f>
        <v>7.775896</v>
      </c>
      <c r="D8008" s="7">
        <f>IFERROR(__xludf.DUMMYFUNCTION("""COMPUTED_VALUE"""),0.444444444444444)</f>
        <v>0.4444444444</v>
      </c>
    </row>
    <row r="8009">
      <c r="A8009" s="10" t="s">
        <v>9448</v>
      </c>
      <c r="B8009" s="7" t="str">
        <f>IFERROR(__xludf.DUMMYFUNCTION("SPLIT(A8009,"" "")"),"Cc1cccnc1CN(C)CCN(Cc1ccccn1)C(C)(N)c1ccccn1")</f>
        <v>Cc1cccnc1CN(C)CCN(Cc1ccccn1)C(C)(N)c1ccccn1</v>
      </c>
      <c r="C8009" s="7">
        <f>IFERROR(__xludf.DUMMYFUNCTION("""COMPUTED_VALUE"""),7.775891)</f>
        <v>7.775891</v>
      </c>
      <c r="D8009" s="7">
        <f>IFERROR(__xludf.DUMMYFUNCTION("""COMPUTED_VALUE"""),0.388888888888888)</f>
        <v>0.3888888889</v>
      </c>
    </row>
    <row r="8010">
      <c r="A8010" s="10" t="s">
        <v>9449</v>
      </c>
      <c r="B8010" s="7" t="str">
        <f>IFERROR(__xludf.DUMMYFUNCTION("SPLIT(A8010,"" "")"),"Cc1cc(CN(C)Cc2ccccc2C)ccn1")</f>
        <v>Cc1cc(CN(C)Cc2ccccc2C)ccn1</v>
      </c>
      <c r="C8010" s="7">
        <f>IFERROR(__xludf.DUMMYFUNCTION("""COMPUTED_VALUE"""),7.7758875)</f>
        <v>7.7758875</v>
      </c>
      <c r="D8010" s="7">
        <f>IFERROR(__xludf.DUMMYFUNCTION("""COMPUTED_VALUE"""),0.347826086956521)</f>
        <v>0.347826087</v>
      </c>
    </row>
    <row r="8011">
      <c r="A8011" s="10" t="s">
        <v>9450</v>
      </c>
      <c r="B8011" s="7" t="str">
        <f>IFERROR(__xludf.DUMMYFUNCTION("SPLIT(A8011,"" "")"),"CCN(C)CC1=CC(N(C)Cc2nc(C)c(C)c(C)c2C)C=CN1")</f>
        <v>CCN(C)CC1=CC(N(C)Cc2nc(C)c(C)c(C)c2C)C=CN1</v>
      </c>
      <c r="C8011" s="7">
        <f>IFERROR(__xludf.DUMMYFUNCTION("""COMPUTED_VALUE"""),7.7758856)</f>
        <v>7.7758856</v>
      </c>
      <c r="D8011" s="7">
        <f>IFERROR(__xludf.DUMMYFUNCTION("""COMPUTED_VALUE"""),0.333333333333333)</f>
        <v>0.3333333333</v>
      </c>
    </row>
    <row r="8012">
      <c r="A8012" s="10" t="s">
        <v>9451</v>
      </c>
      <c r="B8012" s="7" t="str">
        <f>IFERROR(__xludf.DUMMYFUNCTION("SPLIT(A8012,"" "")"),"CNCc1cccc(CN(Cc2cccc(C)n2)C2CCC(N(C)Cc3ccc(-c4ccccn4)cn3)CC2)n1")</f>
        <v>CNCc1cccc(CN(Cc2cccc(C)n2)C2CCC(N(C)Cc3ccc(-c4ccccn4)cn3)CC2)n1</v>
      </c>
      <c r="C8012" s="7">
        <f>IFERROR(__xludf.DUMMYFUNCTION("""COMPUTED_VALUE"""),7.7758775)</f>
        <v>7.7758775</v>
      </c>
      <c r="D8012" s="7">
        <f>IFERROR(__xludf.DUMMYFUNCTION("""COMPUTED_VALUE"""),0.390625)</f>
        <v>0.390625</v>
      </c>
    </row>
    <row r="8013">
      <c r="A8013" s="10" t="s">
        <v>9452</v>
      </c>
      <c r="B8013" s="7" t="str">
        <f>IFERROR(__xludf.DUMMYFUNCTION("SPLIT(A8013,"" "")"),"CN(Cc1cccc(F)n1)CN(C)C1CCC(N(C)c2ccc3cccnc3c2)CC1")</f>
        <v>CN(Cc1cccc(F)n1)CN(C)C1CCC(N(C)c2ccc3cccnc3c2)CC1</v>
      </c>
      <c r="C8013" s="7">
        <f>IFERROR(__xludf.DUMMYFUNCTION("""COMPUTED_VALUE"""),7.7758765)</f>
        <v>7.7758765</v>
      </c>
      <c r="D8013" s="7">
        <f>IFERROR(__xludf.DUMMYFUNCTION("""COMPUTED_VALUE"""),0.327868852459016)</f>
        <v>0.3278688525</v>
      </c>
    </row>
    <row r="8014">
      <c r="A8014" s="10" t="s">
        <v>9453</v>
      </c>
      <c r="B8014" s="7" t="str">
        <f>IFERROR(__xludf.DUMMYFUNCTION("SPLIT(A8014,"" "")"),"CN(Cc1cccnn1)C1=CNC=CC1CN(C)C(C)(C)c1ccccn1")</f>
        <v>CN(Cc1cccnn1)C1=CNC=CC1CN(C)C(C)(C)c1ccccn1</v>
      </c>
      <c r="C8014" s="7">
        <f>IFERROR(__xludf.DUMMYFUNCTION("""COMPUTED_VALUE"""),7.7758765)</f>
        <v>7.7758765</v>
      </c>
      <c r="D8014" s="7">
        <f>IFERROR(__xludf.DUMMYFUNCTION("""COMPUTED_VALUE"""),0.379310344827586)</f>
        <v>0.3793103448</v>
      </c>
    </row>
    <row r="8015">
      <c r="A8015" s="10" t="s">
        <v>9454</v>
      </c>
      <c r="B8015" s="7" t="str">
        <f>IFERROR(__xludf.DUMMYFUNCTION("SPLIT(A8015,"" "")"),"CCOC(=O)C(=O)C(C)C(C)NCc1cccc(CN(Cc2ccccn2)Cc2cccc(C(C)(C)C)n2)n1")</f>
        <v>CCOC(=O)C(=O)C(C)C(C)NCc1cccc(CN(Cc2ccccn2)Cc2cccc(C(C)(C)C)n2)n1</v>
      </c>
      <c r="C8015" s="7">
        <f>IFERROR(__xludf.DUMMYFUNCTION("""COMPUTED_VALUE"""),7.7758765)</f>
        <v>7.7758765</v>
      </c>
      <c r="D8015" s="7">
        <f>IFERROR(__xludf.DUMMYFUNCTION("""COMPUTED_VALUE"""),0.36231884057971)</f>
        <v>0.3623188406</v>
      </c>
    </row>
    <row r="8016">
      <c r="A8016" s="10" t="s">
        <v>9455</v>
      </c>
      <c r="B8016" s="7" t="str">
        <f>IFERROR(__xludf.DUMMYFUNCTION("SPLIT(A8016,"" "")"),"CCNC1CCC(N(C)Cc2ccccn2)CC1N(C)c1ccc2ccc(CF)nc2c1")</f>
        <v>CCNC1CCC(N(C)Cc2ccccn2)CC1N(C)c1ccc2ccc(CF)nc2c1</v>
      </c>
      <c r="C8016" s="7">
        <f>IFERROR(__xludf.DUMMYFUNCTION("""COMPUTED_VALUE"""),7.7758675)</f>
        <v>7.7758675</v>
      </c>
      <c r="D8016" s="7">
        <f>IFERROR(__xludf.DUMMYFUNCTION("""COMPUTED_VALUE"""),0.390625)</f>
        <v>0.390625</v>
      </c>
    </row>
    <row r="8017">
      <c r="A8017" s="10" t="s">
        <v>9456</v>
      </c>
      <c r="B8017" s="7" t="str">
        <f>IFERROR(__xludf.DUMMYFUNCTION("SPLIT(A8017,"" "")"),"CN(Cc1ccc2c(n1)CCCC2)C1CCCCC1N(C)c1ccc2ncc(CF)cc2c1")</f>
        <v>CN(Cc1ccc2c(n1)CCCC2)C1CCCCC1N(C)c1ccc2ncc(CF)cc2c1</v>
      </c>
      <c r="C8017" s="7">
        <f>IFERROR(__xludf.DUMMYFUNCTION("""COMPUTED_VALUE"""),7.775866)</f>
        <v>7.775866</v>
      </c>
      <c r="D8017" s="7">
        <f>IFERROR(__xludf.DUMMYFUNCTION("""COMPUTED_VALUE"""),0.376811594202898)</f>
        <v>0.3768115942</v>
      </c>
    </row>
    <row r="8018">
      <c r="A8018" s="10" t="s">
        <v>9457</v>
      </c>
      <c r="B8018" s="7" t="str">
        <f>IFERROR(__xludf.DUMMYFUNCTION("SPLIT(A8018,"" "")"),"Cc1nc(CN(C)CCN(C)C(C)C)c(C)c(C)c1C")</f>
        <v>Cc1nc(CN(C)CCN(C)C(C)C)c(C)c(C)c1C</v>
      </c>
      <c r="C8018" s="7">
        <f>IFERROR(__xludf.DUMMYFUNCTION("""COMPUTED_VALUE"""),7.775862)</f>
        <v>7.775862</v>
      </c>
      <c r="D8018" s="7">
        <f>IFERROR(__xludf.DUMMYFUNCTION("""COMPUTED_VALUE"""),0.309523809523809)</f>
        <v>0.3095238095</v>
      </c>
    </row>
    <row r="8019">
      <c r="A8019" s="10" t="s">
        <v>9458</v>
      </c>
      <c r="B8019" s="7" t="str">
        <f>IFERROR(__xludf.DUMMYFUNCTION("SPLIT(A8019,"" "")"),"CCN1CCN(Cc2ccccn2)CCN(Cc2ncccc2N(C)c2ccc3ncccc3c2)CC1")</f>
        <v>CCN1CCN(Cc2ccccn2)CCN(Cc2ncccc2N(C)c2ccc3ncccc3c2)CC1</v>
      </c>
      <c r="C8019" s="7">
        <f>IFERROR(__xludf.DUMMYFUNCTION("""COMPUTED_VALUE"""),7.7758594)</f>
        <v>7.7758594</v>
      </c>
      <c r="D8019" s="7">
        <f>IFERROR(__xludf.DUMMYFUNCTION("""COMPUTED_VALUE"""),0.436363636363636)</f>
        <v>0.4363636364</v>
      </c>
    </row>
    <row r="8020">
      <c r="A8020" s="10" t="s">
        <v>9459</v>
      </c>
      <c r="B8020" s="7" t="str">
        <f>IFERROR(__xludf.DUMMYFUNCTION("SPLIT(A8020,"" "")"),"CCCN(Cc1ccccn1)C1CCC(N(C)c2cccc3c(CF)ccnc23)CC1")</f>
        <v>CCCN(Cc1ccccn1)C1CCC(N(C)c2cccc3c(CF)ccnc23)CC1</v>
      </c>
      <c r="C8020" s="7">
        <f>IFERROR(__xludf.DUMMYFUNCTION("""COMPUTED_VALUE"""),7.7758565)</f>
        <v>7.7758565</v>
      </c>
      <c r="D8020" s="7">
        <f>IFERROR(__xludf.DUMMYFUNCTION("""COMPUTED_VALUE"""),0.354838709677419)</f>
        <v>0.3548387097</v>
      </c>
    </row>
    <row r="8021">
      <c r="A8021" s="10" t="s">
        <v>9460</v>
      </c>
      <c r="B8021" s="7" t="str">
        <f>IFERROR(__xludf.DUMMYFUNCTION("SPLIT(A8021,"" "")"),"CC1=C(C)C(CN(Cc2ccccn2)Cc2ccccn2)C=CN1")</f>
        <v>CC1=C(C)C(CN(Cc2ccccn2)Cc2ccccn2)C=CN1</v>
      </c>
      <c r="C8021" s="7">
        <f>IFERROR(__xludf.DUMMYFUNCTION("""COMPUTED_VALUE"""),7.775848)</f>
        <v>7.775848</v>
      </c>
      <c r="D8021" s="7">
        <f>IFERROR(__xludf.DUMMYFUNCTION("""COMPUTED_VALUE"""),0.489795918367346)</f>
        <v>0.4897959184</v>
      </c>
    </row>
    <row r="8022">
      <c r="A8022" s="10" t="s">
        <v>9461</v>
      </c>
      <c r="B8022" s="7" t="str">
        <f>IFERROR(__xludf.DUMMYFUNCTION("SPLIT(A8022,"" "")"),"CC1=CC(C)C(C)C(C(C)(C)c2ccc(CN(Cc3ccccn3)C3CCC(N(C)c4ccc5cccnc5c4)CC3)cn2)C1N(C)Cc1ccccn1")</f>
        <v>CC1=CC(C)C(C)C(C(C)(C)c2ccc(CN(Cc3ccccn3)C3CCC(N(C)c4ccc5cccnc5c4)CC3)cn2)C1N(C)Cc1ccccn1</v>
      </c>
      <c r="C8022" s="7">
        <f>IFERROR(__xludf.DUMMYFUNCTION("""COMPUTED_VALUE"""),7.775847)</f>
        <v>7.775847</v>
      </c>
      <c r="D8022" s="7">
        <f>IFERROR(__xludf.DUMMYFUNCTION("""COMPUTED_VALUE"""),0.3)</f>
        <v>0.3</v>
      </c>
    </row>
    <row r="8023">
      <c r="A8023" s="10" t="s">
        <v>9462</v>
      </c>
      <c r="B8023" s="7" t="str">
        <f>IFERROR(__xludf.DUMMYFUNCTION("SPLIT(A8023,"" "")"),"CC(C)C1CCC1c1cccc(CN(Cc2ccccn2)C2CCC(N(C)c3ccc4nccc(CF)c4c3)CC2)n1")</f>
        <v>CC(C)C1CCC1c1cccc(CN(Cc2ccccn2)C2CCC(N(C)c3ccc4nccc(CF)c4c3)CC2)n1</v>
      </c>
      <c r="C8023" s="7">
        <f>IFERROR(__xludf.DUMMYFUNCTION("""COMPUTED_VALUE"""),7.775843)</f>
        <v>7.775843</v>
      </c>
      <c r="D8023" s="7">
        <f>IFERROR(__xludf.DUMMYFUNCTION("""COMPUTED_VALUE"""),0.324324324324324)</f>
        <v>0.3243243243</v>
      </c>
    </row>
    <row r="8024">
      <c r="A8024" s="10" t="s">
        <v>9463</v>
      </c>
      <c r="B8024" s="7" t="str">
        <f>IFERROR(__xludf.DUMMYFUNCTION("SPLIT(A8024,"" "")"),"CN(Cc1cccc(-c2cccc(N(C)C)c2)n1)Cc1cccc(-c2cccc3c2OCCOCCOCCOCCOCCO3)n1")</f>
        <v>CN(Cc1cccc(-c2cccc(N(C)C)c2)n1)Cc1cccc(-c2cccc3c2OCCOCCOCCOCCOCCO3)n1</v>
      </c>
      <c r="C8024" s="7">
        <f>IFERROR(__xludf.DUMMYFUNCTION("""COMPUTED_VALUE"""),7.77584)</f>
        <v>7.77584</v>
      </c>
      <c r="D8024" s="7">
        <f>IFERROR(__xludf.DUMMYFUNCTION("""COMPUTED_VALUE"""),0.344262295081967)</f>
        <v>0.3442622951</v>
      </c>
    </row>
    <row r="8025">
      <c r="A8025" s="10" t="s">
        <v>9464</v>
      </c>
      <c r="B8025" s="7" t="str">
        <f>IFERROR(__xludf.DUMMYFUNCTION("SPLIT(A8025,"" "")"),"CNC1C(N(Cc2ncc(C)cc2C)Cc2ncc(C)cc2C)CCCC1N(Cc1ncc(C)cc1C)Cc1nc(C)c(C)c(C)c1C")</f>
        <v>CNC1C(N(Cc2ncc(C)cc2C)Cc2ncc(C)cc2C)CCCC1N(Cc1ncc(C)cc1C)Cc1nc(C)c(C)c(C)c1C</v>
      </c>
      <c r="C8025" s="7">
        <f>IFERROR(__xludf.DUMMYFUNCTION("""COMPUTED_VALUE"""),7.7758384)</f>
        <v>7.7758384</v>
      </c>
      <c r="D8025" s="7">
        <f>IFERROR(__xludf.DUMMYFUNCTION("""COMPUTED_VALUE"""),0.305084745762711)</f>
        <v>0.3050847458</v>
      </c>
    </row>
    <row r="8026">
      <c r="A8026" s="10" t="s">
        <v>9465</v>
      </c>
      <c r="B8026" s="7" t="str">
        <f>IFERROR(__xludf.DUMMYFUNCTION("SPLIT(A8026,"" "")"),"Cc1cnc(CN(C)C2CCC(N(C)Cc3cccc(-c4ccc(N)cc4)n3)CC2)c(C)c1")</f>
        <v>Cc1cnc(CN(C)C2CCC(N(C)Cc3cccc(-c4ccc(N)cc4)n3)CC2)c(C)c1</v>
      </c>
      <c r="C8026" s="7">
        <f>IFERROR(__xludf.DUMMYFUNCTION("""COMPUTED_VALUE"""),7.7758307)</f>
        <v>7.7758307</v>
      </c>
      <c r="D8026" s="7">
        <f>IFERROR(__xludf.DUMMYFUNCTION("""COMPUTED_VALUE"""),0.35)</f>
        <v>0.35</v>
      </c>
    </row>
    <row r="8027">
      <c r="A8027" s="10" t="s">
        <v>9466</v>
      </c>
      <c r="B8027" s="7" t="str">
        <f>IFERROR(__xludf.DUMMYFUNCTION("SPLIT(A8027,"" "")"),"Cc1nc(C2CC(C)(C)C2)ccc1C(C)(C)C(C)N(Cc1ccccn1)Cc1ccccn1")</f>
        <v>Cc1nc(C2CC(C)(C)C2)ccc1C(C)(C)C(C)N(Cc1ccccn1)Cc1ccccn1</v>
      </c>
      <c r="C8027" s="7">
        <f>IFERROR(__xludf.DUMMYFUNCTION("""COMPUTED_VALUE"""),7.7758303)</f>
        <v>7.7758303</v>
      </c>
      <c r="D8027" s="7">
        <f>IFERROR(__xludf.DUMMYFUNCTION("""COMPUTED_VALUE"""),0.407407407407407)</f>
        <v>0.4074074074</v>
      </c>
    </row>
    <row r="8028">
      <c r="A8028" s="10" t="s">
        <v>9467</v>
      </c>
      <c r="B8028" s="7" t="str">
        <f>IFERROR(__xludf.DUMMYFUNCTION("SPLIT(A8028,"" "")"),"CCN(Cc1ccccn1)Cc1ncccc1CN(Cc1ncccc1C)C(C)C")</f>
        <v>CCN(Cc1ccccn1)Cc1ncccc1CN(Cc1ncccc1C)C(C)C</v>
      </c>
      <c r="C8028" s="7">
        <f>IFERROR(__xludf.DUMMYFUNCTION("""COMPUTED_VALUE"""),7.775825)</f>
        <v>7.775825</v>
      </c>
      <c r="D8028" s="7">
        <f>IFERROR(__xludf.DUMMYFUNCTION("""COMPUTED_VALUE"""),0.479166666666666)</f>
        <v>0.4791666667</v>
      </c>
    </row>
    <row r="8029">
      <c r="A8029" s="10" t="s">
        <v>9468</v>
      </c>
      <c r="B8029" s="7" t="str">
        <f>IFERROR(__xludf.DUMMYFUNCTION("SPLIT(A8029,"" "")"),"CC1C=CC(C)C(N(C)Cc2ccccn2)C1c1cncc(CN(Cc2ccccn2)Cc2cc(N)ccn2)c1")</f>
        <v>CC1C=CC(C)C(N(C)Cc2ccccn2)C1c1cncc(CN(Cc2ccccn2)Cc2cc(N)ccn2)c1</v>
      </c>
      <c r="C8029" s="7">
        <f>IFERROR(__xludf.DUMMYFUNCTION("""COMPUTED_VALUE"""),7.775824)</f>
        <v>7.775824</v>
      </c>
      <c r="D8029" s="7">
        <f>IFERROR(__xludf.DUMMYFUNCTION("""COMPUTED_VALUE"""),0.363636363636363)</f>
        <v>0.3636363636</v>
      </c>
    </row>
    <row r="8030">
      <c r="A8030" s="10" t="s">
        <v>9469</v>
      </c>
      <c r="B8030" s="7" t="str">
        <f>IFERROR(__xludf.DUMMYFUNCTION("SPLIT(A8030,"" "")"),"CNC1C(N(Cc2cccc(Cl)n2)Cc2cccc(Cl)n2)CCCC1N(Cc1cccc(Cl)n1)Cc1cccc(Cl)n1")</f>
        <v>CNC1C(N(Cc2cccc(Cl)n2)Cc2cccc(Cl)n2)CCCC1N(Cc1cccc(Cl)n1)Cc1cccc(Cl)n1</v>
      </c>
      <c r="C8030" s="7">
        <f>IFERROR(__xludf.DUMMYFUNCTION("""COMPUTED_VALUE"""),7.7758217)</f>
        <v>7.7758217</v>
      </c>
      <c r="D8030" s="7">
        <f>IFERROR(__xludf.DUMMYFUNCTION("""COMPUTED_VALUE"""),0.425531914893617)</f>
        <v>0.4255319149</v>
      </c>
    </row>
    <row r="8031">
      <c r="A8031" s="10" t="s">
        <v>9470</v>
      </c>
      <c r="B8031" s="7" t="str">
        <f>IFERROR(__xludf.DUMMYFUNCTION("SPLIT(A8031,"" "")"),"CC1=CCC(C)CC1(C)c1ccc(CN(Cc2ccccn2)Cc2ccccn2)cn1")</f>
        <v>CC1=CCC(C)CC1(C)c1ccc(CN(Cc2ccccn2)Cc2ccccn2)cn1</v>
      </c>
      <c r="C8031" s="7">
        <f>IFERROR(__xludf.DUMMYFUNCTION("""COMPUTED_VALUE"""),7.775816)</f>
        <v>7.775816</v>
      </c>
      <c r="D8031" s="7">
        <f>IFERROR(__xludf.DUMMYFUNCTION("""COMPUTED_VALUE"""),0.416666666666666)</f>
        <v>0.4166666667</v>
      </c>
    </row>
    <row r="8032">
      <c r="A8032" s="10" t="s">
        <v>9471</v>
      </c>
      <c r="B8032" s="7" t="str">
        <f>IFERROR(__xludf.DUMMYFUNCTION("SPLIT(A8032,"" "")"),"CC1C=CC(C)(c2cccc(CN(Cc3ccccn3)C3CCCCC3N(C)c3ccc4nc(CF)ccc4c3)n2)CC1C")</f>
        <v>CC1C=CC(C)(c2cccc(CN(Cc3ccccn3)C3CCCCC3N(C)c3ccc4nc(CF)ccc4c3)n2)CC1C</v>
      </c>
      <c r="C8032" s="7">
        <f>IFERROR(__xludf.DUMMYFUNCTION("""COMPUTED_VALUE"""),7.775811)</f>
        <v>7.775811</v>
      </c>
      <c r="D8032" s="7">
        <f>IFERROR(__xludf.DUMMYFUNCTION("""COMPUTED_VALUE"""),0.367088607594936)</f>
        <v>0.3670886076</v>
      </c>
    </row>
    <row r="8033">
      <c r="A8033" s="10" t="s">
        <v>9472</v>
      </c>
      <c r="B8033" s="7" t="str">
        <f>IFERROR(__xludf.DUMMYFUNCTION("SPLIT(A8033,"" "")"),"Cc1ccc(CN(C)CN(Cc2ccccn2)C(C)(N)N(Cc2ccc(N)cn2)C(C)C)nc1")</f>
        <v>Cc1ccc(CN(C)CN(Cc2ccccn2)C(C)(N)N(Cc2ccc(N)cn2)C(C)C)nc1</v>
      </c>
      <c r="C8033" s="7">
        <f>IFERROR(__xludf.DUMMYFUNCTION("""COMPUTED_VALUE"""),7.7758055)</f>
        <v>7.7758055</v>
      </c>
      <c r="D8033" s="7">
        <f>IFERROR(__xludf.DUMMYFUNCTION("""COMPUTED_VALUE"""),0.392857142857142)</f>
        <v>0.3928571429</v>
      </c>
    </row>
    <row r="8034">
      <c r="A8034" s="10" t="s">
        <v>9473</v>
      </c>
      <c r="B8034" s="7" t="str">
        <f>IFERROR(__xludf.DUMMYFUNCTION("SPLIT(A8034,"" "")"),"CN(Cc1cccc(-c2ccc3c(c2)OCCOCCOCCOCCOCCO3)n1)CN(C)c1ccc2ncccc2c1")</f>
        <v>CN(Cc1cccc(-c2ccc3c(c2)OCCOCCOCCOCCOCCO3)n1)CN(C)c1ccc2ncccc2c1</v>
      </c>
      <c r="C8034" s="7">
        <f>IFERROR(__xludf.DUMMYFUNCTION("""COMPUTED_VALUE"""),7.7758055)</f>
        <v>7.7758055</v>
      </c>
      <c r="D8034" s="7">
        <f>IFERROR(__xludf.DUMMYFUNCTION("""COMPUTED_VALUE"""),0.353846153846153)</f>
        <v>0.3538461538</v>
      </c>
    </row>
    <row r="8035">
      <c r="A8035" s="10" t="s">
        <v>9474</v>
      </c>
      <c r="B8035" s="7" t="str">
        <f>IFERROR(__xludf.DUMMYFUNCTION("SPLIT(A8035,"" "")"),"Cc1cnccc1CNCCN(C)Cc1nc(C)c(C)cc1C")</f>
        <v>Cc1cnccc1CNCCN(C)Cc1nc(C)c(C)cc1C</v>
      </c>
      <c r="C8035" s="7">
        <f>IFERROR(__xludf.DUMMYFUNCTION("""COMPUTED_VALUE"""),7.775802)</f>
        <v>7.775802</v>
      </c>
      <c r="D8035" s="7">
        <f>IFERROR(__xludf.DUMMYFUNCTION("""COMPUTED_VALUE"""),0.263157894736842)</f>
        <v>0.2631578947</v>
      </c>
    </row>
    <row r="8036">
      <c r="A8036" s="10" t="s">
        <v>9475</v>
      </c>
      <c r="B8036" s="7" t="str">
        <f>IFERROR(__xludf.DUMMYFUNCTION("SPLIT(A8036,"" "")"),"Cc1ccnc(CN(CCN(Cc2ccccn2)CC(C)(C)C)CC(C)c2c(C(=O)c3c(C)cncc3CN3CCN(C)CCN(C)CC3)cc(C(=O)c3c(C)cncc3CN3CCN(C)CCN(C)CC3)c(C(=O)c3ccncc3C)c2C(C)N(CCN(Cc2ccccn2)C(C)C)Cc2ccccn2)c1")</f>
        <v>Cc1ccnc(CN(CCN(Cc2ccccn2)CC(C)(C)C)CC(C)c2c(C(=O)c3c(C)cncc3CN3CCN(C)CCN(C)CC3)cc(C(=O)c3c(C)cncc3CN3CCN(C)CCN(C)CC3)c(C(=O)c3ccncc3C)c2C(C)N(CCN(Cc2ccccn2)C(C)C)Cc2ccccn2)c1</v>
      </c>
      <c r="C8036" s="7">
        <f>IFERROR(__xludf.DUMMYFUNCTION("""COMPUTED_VALUE"""),7.7757983)</f>
        <v>7.7757983</v>
      </c>
      <c r="D8036" s="7">
        <f>IFERROR(__xludf.DUMMYFUNCTION("""COMPUTED_VALUE"""),0.311827956989247)</f>
        <v>0.311827957</v>
      </c>
    </row>
    <row r="8037">
      <c r="A8037" s="10" t="s">
        <v>9476</v>
      </c>
      <c r="B8037" s="7" t="str">
        <f>IFERROR(__xludf.DUMMYFUNCTION("SPLIT(A8037,"" "")"),"CN(Cc1ccccn1)C1=CNC=CC1CN(C)C(C)(C)c1ccccn1")</f>
        <v>CN(Cc1ccccn1)C1=CNC=CC1CN(C)C(C)(C)c1ccccn1</v>
      </c>
      <c r="C8037" s="7">
        <f>IFERROR(__xludf.DUMMYFUNCTION("""COMPUTED_VALUE"""),7.7757974)</f>
        <v>7.7757974</v>
      </c>
      <c r="D8037" s="7">
        <f>IFERROR(__xludf.DUMMYFUNCTION("""COMPUTED_VALUE"""),0.4)</f>
        <v>0.4</v>
      </c>
    </row>
    <row r="8038">
      <c r="A8038" s="10" t="s">
        <v>9477</v>
      </c>
      <c r="B8038" s="7" t="str">
        <f>IFERROR(__xludf.DUMMYFUNCTION("SPLIT(A8038,"" "")"),"CNC1CCCCC1N(C)c1ccc2ccc(CF)nc2c1")</f>
        <v>CNC1CCCCC1N(C)c1ccc2ccc(CF)nc2c1</v>
      </c>
      <c r="C8038" s="7">
        <f>IFERROR(__xludf.DUMMYFUNCTION("""COMPUTED_VALUE"""),7.7757945)</f>
        <v>7.7757945</v>
      </c>
      <c r="D8038" s="7">
        <f>IFERROR(__xludf.DUMMYFUNCTION("""COMPUTED_VALUE"""),0.490566037735849)</f>
        <v>0.4905660377</v>
      </c>
    </row>
    <row r="8039">
      <c r="A8039" s="10" t="s">
        <v>9478</v>
      </c>
      <c r="B8039" s="7" t="str">
        <f>IFERROR(__xludf.DUMMYFUNCTION("SPLIT(A8039,"" "")"),"Cc1ccnc(CN(C)C2=C(CN(C)C(C)(C)C)NC=CC2)c1")</f>
        <v>Cc1ccnc(CN(C)C2=C(CN(C)C(C)(C)C)NC=CC2)c1</v>
      </c>
      <c r="C8039" s="7">
        <f>IFERROR(__xludf.DUMMYFUNCTION("""COMPUTED_VALUE"""),7.7757897)</f>
        <v>7.7757897</v>
      </c>
      <c r="D8039" s="7">
        <f>IFERROR(__xludf.DUMMYFUNCTION("""COMPUTED_VALUE"""),0.339285714285714)</f>
        <v>0.3392857143</v>
      </c>
    </row>
    <row r="8040">
      <c r="A8040" s="10" t="s">
        <v>9479</v>
      </c>
      <c r="B8040" s="7" t="str">
        <f>IFERROR(__xludf.DUMMYFUNCTION("SPLIT(A8040,"" "")"),"Cc1cncc(CN(C)C2=CNC=C(CN(C)CC(C)(C)C)C2)c1")</f>
        <v>Cc1cncc(CN(C)C2=CNC=C(CN(C)CC(C)(C)C)C2)c1</v>
      </c>
      <c r="C8040" s="7">
        <f>IFERROR(__xludf.DUMMYFUNCTION("""COMPUTED_VALUE"""),7.775785)</f>
        <v>7.775785</v>
      </c>
      <c r="D8040" s="7">
        <f>IFERROR(__xludf.DUMMYFUNCTION("""COMPUTED_VALUE"""),0.206896551724137)</f>
        <v>0.2068965517</v>
      </c>
    </row>
    <row r="8041">
      <c r="A8041" s="10" t="s">
        <v>9480</v>
      </c>
      <c r="B8041" s="7" t="str">
        <f>IFERROR(__xludf.DUMMYFUNCTION("SPLIT(A8041,"" "")"),"Cc1cccnc1CNCCN(C)Cc1cc(C)c(C)c(C)n1")</f>
        <v>Cc1cccnc1CNCCN(C)Cc1cc(C)c(C)c(C)n1</v>
      </c>
      <c r="C8041" s="7">
        <f>IFERROR(__xludf.DUMMYFUNCTION("""COMPUTED_VALUE"""),7.7757835)</f>
        <v>7.7757835</v>
      </c>
      <c r="D8041" s="7">
        <f>IFERROR(__xludf.DUMMYFUNCTION("""COMPUTED_VALUE"""),0.327272727272727)</f>
        <v>0.3272727273</v>
      </c>
    </row>
    <row r="8042">
      <c r="A8042" s="10" t="s">
        <v>9481</v>
      </c>
      <c r="B8042" s="7" t="str">
        <f>IFERROR(__xludf.DUMMYFUNCTION("SPLIT(A8042,"" "")"),"CCCN(C)Cc1ncccc1C(C)(C)c1ccccn1")</f>
        <v>CCCN(C)Cc1ncccc1C(C)(C)c1ccccn1</v>
      </c>
      <c r="C8042" s="7">
        <f>IFERROR(__xludf.DUMMYFUNCTION("""COMPUTED_VALUE"""),7.7757697)</f>
        <v>7.7757697</v>
      </c>
      <c r="D8042" s="7">
        <f>IFERROR(__xludf.DUMMYFUNCTION("""COMPUTED_VALUE"""),0.34)</f>
        <v>0.34</v>
      </c>
    </row>
    <row r="8043">
      <c r="A8043" s="10" t="s">
        <v>9482</v>
      </c>
      <c r="B8043" s="7" t="str">
        <f>IFERROR(__xludf.DUMMYFUNCTION("SPLIT(A8043,"" "")"),"CC1C=CCc2cccnc21")</f>
        <v>CC1C=CCc2cccnc21</v>
      </c>
      <c r="C8043" s="7">
        <f>IFERROR(__xludf.DUMMYFUNCTION("""COMPUTED_VALUE"""),7.7757683)</f>
        <v>7.7757683</v>
      </c>
      <c r="D8043" s="7">
        <f>IFERROR(__xludf.DUMMYFUNCTION("""COMPUTED_VALUE"""),0.25531914893617)</f>
        <v>0.2553191489</v>
      </c>
    </row>
    <row r="8044">
      <c r="A8044" s="10" t="s">
        <v>9483</v>
      </c>
      <c r="B8044" s="7" t="str">
        <f>IFERROR(__xludf.DUMMYFUNCTION("SPLIT(A8044,"" "")"),"Cc1ccc(NCc2ccccn2)cc1CN(C)C(C)C")</f>
        <v>Cc1ccc(NCc2ccccn2)cc1CN(C)C(C)C</v>
      </c>
      <c r="C8044" s="7">
        <f>IFERROR(__xludf.DUMMYFUNCTION("""COMPUTED_VALUE"""),7.7757664)</f>
        <v>7.7757664</v>
      </c>
      <c r="D8044" s="7">
        <f>IFERROR(__xludf.DUMMYFUNCTION("""COMPUTED_VALUE"""),0.416666666666666)</f>
        <v>0.4166666667</v>
      </c>
    </row>
    <row r="8045">
      <c r="A8045" s="10" t="s">
        <v>9484</v>
      </c>
      <c r="B8045" s="7" t="str">
        <f>IFERROR(__xludf.DUMMYFUNCTION("SPLIT(A8045,"" "")"),"CC(C)C1CCC1c1ncccc1CN(Cc1ccccn1)C1CCC(N(C)c2cccc3c(CF)ccnc23)CC1")</f>
        <v>CC(C)C1CCC1c1ncccc1CN(Cc1ccccn1)C1CCC(N(C)c2cccc3c(CF)ccnc23)CC1</v>
      </c>
      <c r="C8045" s="7">
        <f>IFERROR(__xludf.DUMMYFUNCTION("""COMPUTED_VALUE"""),7.775759)</f>
        <v>7.775759</v>
      </c>
      <c r="D8045" s="7">
        <f>IFERROR(__xludf.DUMMYFUNCTION("""COMPUTED_VALUE"""),0.297297297297297)</f>
        <v>0.2972972973</v>
      </c>
    </row>
    <row r="8046">
      <c r="A8046" s="10" t="s">
        <v>9485</v>
      </c>
      <c r="B8046" s="7" t="str">
        <f>IFERROR(__xludf.DUMMYFUNCTION("SPLIT(A8046,"" "")"),"Cc1ccc(CN(C)C2=CNC=C(CN(C)C(C)(C)C)C2)nc1")</f>
        <v>Cc1ccc(CN(C)C2=CNC=C(CN(C)C(C)(C)C)C2)nc1</v>
      </c>
      <c r="C8046" s="7">
        <f>IFERROR(__xludf.DUMMYFUNCTION("""COMPUTED_VALUE"""),7.775755)</f>
        <v>7.775755</v>
      </c>
      <c r="D8046" s="7">
        <f>IFERROR(__xludf.DUMMYFUNCTION("""COMPUTED_VALUE"""),0.416666666666666)</f>
        <v>0.4166666667</v>
      </c>
    </row>
    <row r="8047">
      <c r="A8047" s="10" t="s">
        <v>9486</v>
      </c>
      <c r="B8047" s="7" t="str">
        <f>IFERROR(__xludf.DUMMYFUNCTION("SPLIT(A8047,"" "")"),"CC1(C)CN=C(C2=CCC=CN2)O1")</f>
        <v>CC1(C)CN=C(C2=CCC=CN2)O1</v>
      </c>
      <c r="C8047" s="7">
        <f>IFERROR(__xludf.DUMMYFUNCTION("""COMPUTED_VALUE"""),7.775752)</f>
        <v>7.775752</v>
      </c>
      <c r="D8047" s="7">
        <f>IFERROR(__xludf.DUMMYFUNCTION("""COMPUTED_VALUE"""),0.294117647058823)</f>
        <v>0.2941176471</v>
      </c>
    </row>
    <row r="8048">
      <c r="A8048" s="10" t="s">
        <v>9487</v>
      </c>
      <c r="B8048" s="7" t="str">
        <f>IFERROR(__xludf.DUMMYFUNCTION("SPLIT(A8048,"" "")"),"C1=CC(CSCc2ccccn2)C=C(CN(Cc2ccccn2)Cc2ccccn2)N1")</f>
        <v>C1=CC(CSCc2ccccn2)C=C(CN(Cc2ccccn2)Cc2ccccn2)N1</v>
      </c>
      <c r="C8048" s="7">
        <f>IFERROR(__xludf.DUMMYFUNCTION("""COMPUTED_VALUE"""),7.7757463)</f>
        <v>7.7757463</v>
      </c>
      <c r="D8048" s="7">
        <f>IFERROR(__xludf.DUMMYFUNCTION("""COMPUTED_VALUE"""),0.5)</f>
        <v>0.5</v>
      </c>
    </row>
    <row r="8049">
      <c r="A8049" s="10" t="s">
        <v>9488</v>
      </c>
      <c r="B8049" s="7" t="str">
        <f>IFERROR(__xludf.DUMMYFUNCTION("SPLIT(A8049,"" "")"),"Cc1ccccc1N(C)Cc1cccc(N(C)Cc2cccc(-c3ccc4c(c3)OCCOCCOCCOCCOCCO4)n2)n1")</f>
        <v>Cc1ccccc1N(C)Cc1cccc(N(C)Cc2cccc(-c3ccc4c(c3)OCCOCCOCCOCCOCCO4)n2)n1</v>
      </c>
      <c r="C8049" s="7">
        <f>IFERROR(__xludf.DUMMYFUNCTION("""COMPUTED_VALUE"""),7.7757363)</f>
        <v>7.7757363</v>
      </c>
      <c r="D8049" s="7">
        <f>IFERROR(__xludf.DUMMYFUNCTION("""COMPUTED_VALUE"""),0.31081081081081)</f>
        <v>0.3108108108</v>
      </c>
    </row>
    <row r="8050">
      <c r="A8050" s="10" t="s">
        <v>9489</v>
      </c>
      <c r="B8050" s="7" t="str">
        <f>IFERROR(__xludf.DUMMYFUNCTION("SPLIT(A8050,"" "")"),"Cc1cc(C)c(C)c(CN(C)CCN(C)Cc2cccnc2C)n1")</f>
        <v>Cc1cc(C)c(C)c(CN(C)CCN(C)Cc2cccnc2C)n1</v>
      </c>
      <c r="C8050" s="7">
        <f>IFERROR(__xludf.DUMMYFUNCTION("""COMPUTED_VALUE"""),7.7757335)</f>
        <v>7.7757335</v>
      </c>
      <c r="D8050" s="7">
        <f>IFERROR(__xludf.DUMMYFUNCTION("""COMPUTED_VALUE"""),0.478260869565217)</f>
        <v>0.4782608696</v>
      </c>
    </row>
    <row r="8051">
      <c r="A8051" s="10" t="s">
        <v>9490</v>
      </c>
      <c r="B8051" s="7" t="str">
        <f>IFERROR(__xludf.DUMMYFUNCTION("SPLIT(A8051,"" "")"),"Cc1cccnc1CN(C)C1CCCC(N(C)c2ccccc2-c2cccnc2CN(C)C(C)C)C1")</f>
        <v>Cc1cccnc1CN(C)C1CCCC(N(C)c2ccccc2-c2cccnc2CN(C)C(C)C)C1</v>
      </c>
      <c r="C8051" s="7">
        <f>IFERROR(__xludf.DUMMYFUNCTION("""COMPUTED_VALUE"""),7.77573)</f>
        <v>7.77573</v>
      </c>
      <c r="D8051" s="7">
        <f>IFERROR(__xludf.DUMMYFUNCTION("""COMPUTED_VALUE"""),0.303030303030303)</f>
        <v>0.303030303</v>
      </c>
    </row>
    <row r="8052">
      <c r="A8052" s="10" t="s">
        <v>9491</v>
      </c>
      <c r="B8052" s="7" t="str">
        <f>IFERROR(__xludf.DUMMYFUNCTION("SPLIT(A8052,"" "")"),"Cc1cc(C)c(CN(Cc2nc(C)c(C)c(C)c2C)C2CCCCC2N(C)Cc2nc(C)c(C)c(C)c2C)nc1C")</f>
        <v>Cc1cc(C)c(CN(Cc2nc(C)c(C)c(C)c2C)C2CCCCC2N(C)Cc2nc(C)c(C)c(C)c2C)nc1C</v>
      </c>
      <c r="C8052" s="7">
        <f>IFERROR(__xludf.DUMMYFUNCTION("""COMPUTED_VALUE"""),7.775729)</f>
        <v>7.775729</v>
      </c>
      <c r="D8052" s="7">
        <f>IFERROR(__xludf.DUMMYFUNCTION("""COMPUTED_VALUE"""),0.384615384615384)</f>
        <v>0.3846153846</v>
      </c>
    </row>
    <row r="8053">
      <c r="A8053" s="10" t="s">
        <v>9492</v>
      </c>
      <c r="B8053" s="7" t="str">
        <f>IFERROR(__xludf.DUMMYFUNCTION("SPLIT(A8053,"" "")"),"CCN(C)Cc1ncccc1C(C)(C)c1ccccn1")</f>
        <v>CCN(C)Cc1ncccc1C(C)(C)c1ccccn1</v>
      </c>
      <c r="C8053" s="7">
        <f>IFERROR(__xludf.DUMMYFUNCTION("""COMPUTED_VALUE"""),7.7757177)</f>
        <v>7.7757177</v>
      </c>
      <c r="D8053" s="7">
        <f>IFERROR(__xludf.DUMMYFUNCTION("""COMPUTED_VALUE"""),0.34)</f>
        <v>0.34</v>
      </c>
    </row>
    <row r="8054">
      <c r="A8054" s="10" t="s">
        <v>9493</v>
      </c>
      <c r="B8054" s="7" t="str">
        <f>IFERROR(__xludf.DUMMYFUNCTION("SPLIT(A8054,"" "")"),"CNCN(Cc1ncccc1-c1cccc2c1OCCOCCOCCOCCOCCO2)c1ccc2ncccc2c1")</f>
        <v>CNCN(Cc1ncccc1-c1cccc2c1OCCOCCOCCOCCOCCO2)c1ccc2ncccc2c1</v>
      </c>
      <c r="C8054" s="7">
        <f>IFERROR(__xludf.DUMMYFUNCTION("""COMPUTED_VALUE"""),7.7757106)</f>
        <v>7.7757106</v>
      </c>
      <c r="D8054" s="7">
        <f>IFERROR(__xludf.DUMMYFUNCTION("""COMPUTED_VALUE"""),0.231884057971014)</f>
        <v>0.231884058</v>
      </c>
    </row>
    <row r="8055">
      <c r="A8055" s="10" t="s">
        <v>9494</v>
      </c>
      <c r="B8055" s="7" t="str">
        <f>IFERROR(__xludf.DUMMYFUNCTION("SPLIT(A8055,"" "")"),"CCOC(C)NCc1cccc(CN(Cc2ccccn2)Cc2cccc(C(C)(C)C)n2)n1")</f>
        <v>CCOC(C)NCc1cccc(CN(Cc2ccccn2)Cc2cccc(C(C)(C)C)n2)n1</v>
      </c>
      <c r="C8055" s="7">
        <f>IFERROR(__xludf.DUMMYFUNCTION("""COMPUTED_VALUE"""),7.77571)</f>
        <v>7.77571</v>
      </c>
      <c r="D8055" s="7">
        <f>IFERROR(__xludf.DUMMYFUNCTION("""COMPUTED_VALUE"""),0.416666666666666)</f>
        <v>0.4166666667</v>
      </c>
    </row>
    <row r="8056">
      <c r="A8056" s="10" t="s">
        <v>9495</v>
      </c>
      <c r="B8056" s="7" t="str">
        <f>IFERROR(__xludf.DUMMYFUNCTION("SPLIT(A8056,"" "")"),"Cc1ccnc(CN(CCN(Cc2ccccn2)C(C)(c2cccnc2)C(C)C)Cc2cc(C)cc(C)n2)c1")</f>
        <v>Cc1ccnc(CN(CCN(Cc2ccccn2)C(C)(c2cccnc2)C(C)C)Cc2cc(C)cc(C)n2)c1</v>
      </c>
      <c r="C8056" s="7">
        <f>IFERROR(__xludf.DUMMYFUNCTION("""COMPUTED_VALUE"""),7.7757072)</f>
        <v>7.7757072</v>
      </c>
      <c r="D8056" s="7">
        <f>IFERROR(__xludf.DUMMYFUNCTION("""COMPUTED_VALUE"""),0.375)</f>
        <v>0.375</v>
      </c>
    </row>
    <row r="8057">
      <c r="A8057" s="10" t="s">
        <v>9496</v>
      </c>
      <c r="B8057" s="7" t="str">
        <f>IFERROR(__xludf.DUMMYFUNCTION("SPLIT(A8057,"" "")"),"Cc1cc(C)c(CN(C)C2CCCCC2N(C)Cc2ccc3ncccc3c2)nc1C")</f>
        <v>Cc1cc(C)c(CN(C)C2CCCCC2N(C)Cc2ccc3ncccc3c2)nc1C</v>
      </c>
      <c r="C8057" s="7">
        <f>IFERROR(__xludf.DUMMYFUNCTION("""COMPUTED_VALUE"""),7.775703)</f>
        <v>7.775703</v>
      </c>
      <c r="D8057" s="7">
        <f>IFERROR(__xludf.DUMMYFUNCTION("""COMPUTED_VALUE"""),0.418181818181818)</f>
        <v>0.4181818182</v>
      </c>
    </row>
    <row r="8058">
      <c r="A8058" s="10" t="s">
        <v>9497</v>
      </c>
      <c r="B8058" s="7" t="str">
        <f>IFERROR(__xludf.DUMMYFUNCTION("SPLIT(A8058,"" "")"),"CC(C)(C)c1ccc(CN(Cc2ccccn2)Cc2cccc(C3CCC3(C)C)n2)cn1")</f>
        <v>CC(C)(C)c1ccc(CN(Cc2ccccn2)Cc2cccc(C3CCC3(C)C)n2)cn1</v>
      </c>
      <c r="C8058" s="7">
        <f>IFERROR(__xludf.DUMMYFUNCTION("""COMPUTED_VALUE"""),7.775698)</f>
        <v>7.775698</v>
      </c>
      <c r="D8058" s="7">
        <f>IFERROR(__xludf.DUMMYFUNCTION("""COMPUTED_VALUE"""),0.370967741935483)</f>
        <v>0.3709677419</v>
      </c>
    </row>
    <row r="8059">
      <c r="A8059" s="10" t="s">
        <v>9498</v>
      </c>
      <c r="B8059" s="7" t="str">
        <f>IFERROR(__xludf.DUMMYFUNCTION("SPLIT(A8059,"" "")"),"Cc1cc(C)c(CN(Cc2nc(C)c(C)c(C)c2C)C2CCCC(N(C)Cc3ncc(C)c(C)c3C)C2)nc1C")</f>
        <v>Cc1cc(C)c(CN(Cc2nc(C)c(C)c(C)c2C)C2CCCC(N(C)Cc3ncc(C)c(C)c3C)C2)nc1C</v>
      </c>
      <c r="C8059" s="7">
        <f>IFERROR(__xludf.DUMMYFUNCTION("""COMPUTED_VALUE"""),7.775698)</f>
        <v>7.775698</v>
      </c>
      <c r="D8059" s="7">
        <f>IFERROR(__xludf.DUMMYFUNCTION("""COMPUTED_VALUE"""),0.269841269841269)</f>
        <v>0.2698412698</v>
      </c>
    </row>
    <row r="8060">
      <c r="A8060" s="10" t="s">
        <v>9499</v>
      </c>
      <c r="B8060" s="7" t="str">
        <f>IFERROR(__xludf.DUMMYFUNCTION("SPLIT(A8060,"" "")"),"Cc1nc(CN(C)CCN(C)Cc2ccccn2)c(C)c(C)c1C")</f>
        <v>Cc1nc(CN(C)CCN(C)Cc2ccccn2)c(C)c(C)c1C</v>
      </c>
      <c r="C8060" s="7">
        <f>IFERROR(__xludf.DUMMYFUNCTION("""COMPUTED_VALUE"""),7.775697)</f>
        <v>7.775697</v>
      </c>
      <c r="D8060" s="7">
        <f>IFERROR(__xludf.DUMMYFUNCTION("""COMPUTED_VALUE"""),0.488888888888888)</f>
        <v>0.4888888889</v>
      </c>
    </row>
    <row r="8061">
      <c r="A8061" s="10" t="s">
        <v>9500</v>
      </c>
      <c r="B8061" s="7" t="str">
        <f>IFERROR(__xludf.DUMMYFUNCTION("SPLIT(A8061,"" "")"),"CNC1NC=CC=C1NCc1ccccn1")</f>
        <v>CNC1NC=CC=C1NCc1ccccn1</v>
      </c>
      <c r="C8061" s="7">
        <f>IFERROR(__xludf.DUMMYFUNCTION("""COMPUTED_VALUE"""),7.775692)</f>
        <v>7.775692</v>
      </c>
      <c r="D8061" s="7">
        <f>IFERROR(__xludf.DUMMYFUNCTION("""COMPUTED_VALUE"""),0.395348837209302)</f>
        <v>0.3953488372</v>
      </c>
    </row>
    <row r="8062">
      <c r="A8062" s="10" t="s">
        <v>9501</v>
      </c>
      <c r="B8062" s="7" t="str">
        <f>IFERROR(__xludf.DUMMYFUNCTION("SPLIT(A8062,"" "")"),"CNCc1cc(CN(Cc2ccccn2)C2(C)COC=N2)ccn1")</f>
        <v>CNCc1cc(CN(Cc2ccccn2)C2(C)COC=N2)ccn1</v>
      </c>
      <c r="C8062" s="7">
        <f>IFERROR(__xludf.DUMMYFUNCTION("""COMPUTED_VALUE"""),7.775692)</f>
        <v>7.775692</v>
      </c>
      <c r="D8062" s="7">
        <f>IFERROR(__xludf.DUMMYFUNCTION("""COMPUTED_VALUE"""),0.333333333333333)</f>
        <v>0.3333333333</v>
      </c>
    </row>
    <row r="8063">
      <c r="A8063" s="10" t="s">
        <v>9502</v>
      </c>
      <c r="B8063" s="7" t="str">
        <f>IFERROR(__xludf.DUMMYFUNCTION("SPLIT(A8063,"" "")"),"Cc1cncc(CN(C)C2=CNC(CN(C)C(C)C)=CC2)c1")</f>
        <v>Cc1cncc(CN(C)C2=CNC(CN(C)C(C)C)=CC2)c1</v>
      </c>
      <c r="C8063" s="7">
        <f>IFERROR(__xludf.DUMMYFUNCTION("""COMPUTED_VALUE"""),7.7756805)</f>
        <v>7.7756805</v>
      </c>
      <c r="D8063" s="7">
        <f>IFERROR(__xludf.DUMMYFUNCTION("""COMPUTED_VALUE"""),0.19047619047619)</f>
        <v>0.1904761905</v>
      </c>
    </row>
    <row r="8064">
      <c r="A8064" s="10" t="s">
        <v>9503</v>
      </c>
      <c r="B8064" s="7" t="str">
        <f>IFERROR(__xludf.DUMMYFUNCTION("SPLIT(A8064,"" "")"),"Cc1cc(C)c(CN(C)C2CCCCC2N(C)Cc2cccc3ncccc23)nc1C")</f>
        <v>Cc1cc(C)c(CN(C)C2CCCCC2N(C)Cc2cccc3ncccc23)nc1C</v>
      </c>
      <c r="C8064" s="7">
        <f>IFERROR(__xludf.DUMMYFUNCTION("""COMPUTED_VALUE"""),7.775677)</f>
        <v>7.775677</v>
      </c>
      <c r="D8064" s="7">
        <f>IFERROR(__xludf.DUMMYFUNCTION("""COMPUTED_VALUE"""),0.418181818181818)</f>
        <v>0.4181818182</v>
      </c>
    </row>
    <row r="8065">
      <c r="A8065" s="10" t="s">
        <v>9504</v>
      </c>
      <c r="B8065" s="7" t="str">
        <f>IFERROR(__xludf.DUMMYFUNCTION("SPLIT(A8065,"" "")"),"CNCc1cccc(CN(Cc2ncccc2C)C2CCC(N(C)Cc3ncccc3-c3ccccn3)CC2)n1")</f>
        <v>CNCc1cccc(CN(Cc2ncccc2C)C2CCC(N(C)Cc3ncccc3-c3ccccn3)CC2)n1</v>
      </c>
      <c r="C8065" s="7">
        <f>IFERROR(__xludf.DUMMYFUNCTION("""COMPUTED_VALUE"""),7.775676)</f>
        <v>7.775676</v>
      </c>
      <c r="D8065" s="7">
        <f>IFERROR(__xludf.DUMMYFUNCTION("""COMPUTED_VALUE"""),0.348484848484848)</f>
        <v>0.3484848485</v>
      </c>
    </row>
    <row r="8066">
      <c r="A8066" s="10" t="s">
        <v>9505</v>
      </c>
      <c r="B8066" s="7" t="str">
        <f>IFERROR(__xludf.DUMMYFUNCTION("SPLIT(A8066,"" "")"),"CC1=CC(C)C2(C=C(c3ccc(CN(Cc4ccccn4)Cc4ccccn4)cn3)C3(C=CC(C)C(C)C3C)CC2c2ccc(CN(Cc3ccccn3)Cc3ccccn3)cn2)CC1C")</f>
        <v>CC1=CC(C)C2(C=C(c3ccc(CN(Cc4ccccn4)Cc4ccccn4)cn3)C3(C=CC(C)C(C)C3C)CC2c2ccc(CN(Cc3ccccn3)Cc3ccccn3)cn2)CC1C</v>
      </c>
      <c r="C8066" s="7">
        <f>IFERROR(__xludf.DUMMYFUNCTION("""COMPUTED_VALUE"""),7.7756658)</f>
        <v>7.7756658</v>
      </c>
      <c r="D8066" s="7">
        <f>IFERROR(__xludf.DUMMYFUNCTION("""COMPUTED_VALUE"""),0.285714285714285)</f>
        <v>0.2857142857</v>
      </c>
    </row>
    <row r="8067">
      <c r="A8067" s="10" t="s">
        <v>9506</v>
      </c>
      <c r="B8067" s="7" t="str">
        <f>IFERROR(__xludf.DUMMYFUNCTION("SPLIT(A8067,"" "")"),"Cc1cccc(N(C)CCN(C)Cc2ccccn2)c1")</f>
        <v>Cc1cccc(N(C)CCN(C)Cc2ccccn2)c1</v>
      </c>
      <c r="C8067" s="7">
        <f>IFERROR(__xludf.DUMMYFUNCTION("""COMPUTED_VALUE"""),7.775661)</f>
        <v>7.775661</v>
      </c>
      <c r="D8067" s="7">
        <f>IFERROR(__xludf.DUMMYFUNCTION("""COMPUTED_VALUE"""),0.478260869565217)</f>
        <v>0.4782608696</v>
      </c>
    </row>
    <row r="8068">
      <c r="A8068" s="10" t="s">
        <v>9507</v>
      </c>
      <c r="B8068" s="7" t="str">
        <f>IFERROR(__xludf.DUMMYFUNCTION("SPLIT(A8068,"" "")"),"CN(Cc1ccccc1-c1cccc(N(C)C)c1)Cc1ncccc1-c1ccc2c(c1)OCCOCCOCCOCCOCCO2")</f>
        <v>CN(Cc1ccccc1-c1cccc(N(C)C)c1)Cc1ncccc1-c1ccc2c(c1)OCCOCCOCCOCCOCCO2</v>
      </c>
      <c r="C8068" s="7">
        <f>IFERROR(__xludf.DUMMYFUNCTION("""COMPUTED_VALUE"""),7.77566)</f>
        <v>7.77566</v>
      </c>
      <c r="D8068" s="7">
        <f>IFERROR(__xludf.DUMMYFUNCTION("""COMPUTED_VALUE"""),0.302631578947368)</f>
        <v>0.3026315789</v>
      </c>
    </row>
    <row r="8069">
      <c r="A8069" s="10" t="s">
        <v>9508</v>
      </c>
      <c r="B8069" s="7" t="str">
        <f>IFERROR(__xludf.DUMMYFUNCTION("SPLIT(A8069,"" "")"),"CC1C=CC(C)C(C)(c2ncccc2CN(Cc2ccccn2)Cc2ncccc2C(C)(C)C)C1")</f>
        <v>CC1C=CC(C)C(C)(c2ncccc2CN(Cc2ccccn2)Cc2ncccc2C(C)(C)C)C1</v>
      </c>
      <c r="C8069" s="7">
        <f>IFERROR(__xludf.DUMMYFUNCTION("""COMPUTED_VALUE"""),7.775656)</f>
        <v>7.775656</v>
      </c>
      <c r="D8069" s="7">
        <f>IFERROR(__xludf.DUMMYFUNCTION("""COMPUTED_VALUE"""),0.357142857142857)</f>
        <v>0.3571428571</v>
      </c>
    </row>
    <row r="8070">
      <c r="A8070" s="10" t="s">
        <v>9509</v>
      </c>
      <c r="B8070" s="7" t="str">
        <f>IFERROR(__xludf.DUMMYFUNCTION("SPLIT(A8070,"" "")"),"CN(c1ccc2nccc(CF)c2c1)C1CCC(N(C)C2C=CC=CN2)CC1")</f>
        <v>CN(c1ccc2nccc(CF)c2c1)C1CCC(N(C)C2C=CC=CN2)CC1</v>
      </c>
      <c r="C8070" s="7">
        <f>IFERROR(__xludf.DUMMYFUNCTION("""COMPUTED_VALUE"""),7.775653)</f>
        <v>7.775653</v>
      </c>
      <c r="D8070" s="7">
        <f>IFERROR(__xludf.DUMMYFUNCTION("""COMPUTED_VALUE"""),0.242857142857142)</f>
        <v>0.2428571429</v>
      </c>
    </row>
    <row r="8071">
      <c r="A8071" s="10" t="s">
        <v>9510</v>
      </c>
      <c r="B8071" s="7" t="str">
        <f>IFERROR(__xludf.DUMMYFUNCTION("SPLIT(A8071,"" "")"),"CC1CC(c2cnccc2CN(Cc2ccccn2)Cc2ccccn2)C1N(C)Cc1ccccn1")</f>
        <v>CC1CC(c2cnccc2CN(Cc2ccccn2)Cc2ccccn2)C1N(C)Cc1ccccn1</v>
      </c>
      <c r="C8071" s="7">
        <f>IFERROR(__xludf.DUMMYFUNCTION("""COMPUTED_VALUE"""),7.775652)</f>
        <v>7.775652</v>
      </c>
      <c r="D8071" s="7">
        <f>IFERROR(__xludf.DUMMYFUNCTION("""COMPUTED_VALUE"""),0.425925925925925)</f>
        <v>0.4259259259</v>
      </c>
    </row>
    <row r="8072">
      <c r="A8072" s="10" t="s">
        <v>9511</v>
      </c>
      <c r="B8072" s="7" t="str">
        <f>IFERROR(__xludf.DUMMYFUNCTION("SPLIT(A8072,"" "")"),"Cc1ccc(C)c(CN(Cc2ccccn2)C2CCC(N(C)Cc3ccc(-c4ccccc4)cn3)CC2)n1")</f>
        <v>Cc1ccc(C)c(CN(Cc2ccccn2)C2CCC(N(C)Cc3ccc(-c4ccccc4)cn3)CC2)n1</v>
      </c>
      <c r="C8072" s="7">
        <f>IFERROR(__xludf.DUMMYFUNCTION("""COMPUTED_VALUE"""),7.775643)</f>
        <v>7.775643</v>
      </c>
      <c r="D8072" s="7">
        <f>IFERROR(__xludf.DUMMYFUNCTION("""COMPUTED_VALUE"""),0.4)</f>
        <v>0.4</v>
      </c>
    </row>
    <row r="8073">
      <c r="A8073" s="10" t="s">
        <v>9512</v>
      </c>
      <c r="B8073" s="7" t="str">
        <f>IFERROR(__xludf.DUMMYFUNCTION("SPLIT(A8073,"" "")"),"CNCc1cccc(CN(Cc2cccc(C(C)(C)C)n2)C2CCC(N(C)Cc3cccc(-c4ccccn4)n3)CC2)n1")</f>
        <v>CNCc1cccc(CN(Cc2cccc(C(C)(C)C)n2)C2CCC(N(C)Cc3cccc(-c4ccccn4)n3)CC2)n1</v>
      </c>
      <c r="C8073" s="7">
        <f>IFERROR(__xludf.DUMMYFUNCTION("""COMPUTED_VALUE"""),7.7756405)</f>
        <v>7.7756405</v>
      </c>
      <c r="D8073" s="7">
        <f>IFERROR(__xludf.DUMMYFUNCTION("""COMPUTED_VALUE"""),0.433333333333333)</f>
        <v>0.4333333333</v>
      </c>
    </row>
    <row r="8074">
      <c r="A8074" s="10" t="s">
        <v>9513</v>
      </c>
      <c r="B8074" s="7" t="str">
        <f>IFERROR(__xludf.DUMMYFUNCTION("SPLIT(A8074,"" "")"),"CNCN(Cc1cc(C)ccn1)Cc1ncc(C)cc1C")</f>
        <v>CNCN(Cc1cc(C)ccn1)Cc1ncc(C)cc1C</v>
      </c>
      <c r="C8074" s="7">
        <f>IFERROR(__xludf.DUMMYFUNCTION("""COMPUTED_VALUE"""),7.7756405)</f>
        <v>7.7756405</v>
      </c>
      <c r="D8074" s="7">
        <f>IFERROR(__xludf.DUMMYFUNCTION("""COMPUTED_VALUE"""),0.326923076923076)</f>
        <v>0.3269230769</v>
      </c>
    </row>
    <row r="8075">
      <c r="A8075" s="10" t="s">
        <v>9514</v>
      </c>
      <c r="B8075" s="7" t="str">
        <f>IFERROR(__xludf.DUMMYFUNCTION("SPLIT(A8075,"" "")"),"Cc1cccc(CN(Cc2cccc(CN(C)C3CCC(N(C)c4ccc5nc(CF)ccc5c4)CC3)n2)C2CCC(N(C)Cc3nc(C)c(C)c(C)c3C)CC2)n1")</f>
        <v>Cc1cccc(CN(Cc2cccc(CN(C)C3CCC(N(C)c4ccc5nc(CF)ccc5c4)CC3)n2)C2CCC(N(C)Cc3nc(C)c(C)c(C)c3C)CC2)n1</v>
      </c>
      <c r="C8075" s="7">
        <f>IFERROR(__xludf.DUMMYFUNCTION("""COMPUTED_VALUE"""),7.7756305)</f>
        <v>7.7756305</v>
      </c>
      <c r="D8075" s="7">
        <f>IFERROR(__xludf.DUMMYFUNCTION("""COMPUTED_VALUE"""),0.36231884057971)</f>
        <v>0.3623188406</v>
      </c>
    </row>
    <row r="8076">
      <c r="A8076" s="10" t="s">
        <v>9515</v>
      </c>
      <c r="B8076" s="7" t="str">
        <f>IFERROR(__xludf.DUMMYFUNCTION("SPLIT(A8076,"" "")"),"CN(c1ccc2ncc(CF)cc2c1)C1CCC(N(Cc2ccccn2)CC2C=CNC=C2)CC1")</f>
        <v>CN(c1ccc2ncc(CF)cc2c1)C1CCC(N(Cc2ccccn2)CC2C=CNC=C2)CC1</v>
      </c>
      <c r="C8076" s="7">
        <f>IFERROR(__xludf.DUMMYFUNCTION("""COMPUTED_VALUE"""),7.7756233)</f>
        <v>7.7756233</v>
      </c>
      <c r="D8076" s="7">
        <f>IFERROR(__xludf.DUMMYFUNCTION("""COMPUTED_VALUE"""),0.314285714285714)</f>
        <v>0.3142857143</v>
      </c>
    </row>
    <row r="8077">
      <c r="A8077" s="10" t="s">
        <v>9516</v>
      </c>
      <c r="B8077" s="7" t="str">
        <f>IFERROR(__xludf.DUMMYFUNCTION("SPLIT(A8077,"" "")"),"CN(CCN(C)c1ccc2nccc(CF)c2c1)Cc1cc(-c2ccc3c(c2)OCCOCCOCCOCCOCCO3)ccn1")</f>
        <v>CN(CCN(C)c1ccc2nccc(CF)c2c1)Cc1cc(-c2ccc3c(c2)OCCOCCOCCOCCOCCO3)ccn1</v>
      </c>
      <c r="C8077" s="7">
        <f>IFERROR(__xludf.DUMMYFUNCTION("""COMPUTED_VALUE"""),7.7756085)</f>
        <v>7.7756085</v>
      </c>
      <c r="D8077" s="7">
        <f>IFERROR(__xludf.DUMMYFUNCTION("""COMPUTED_VALUE"""),0.32051282051282)</f>
        <v>0.3205128205</v>
      </c>
    </row>
    <row r="8078">
      <c r="A8078" s="10" t="s">
        <v>9517</v>
      </c>
      <c r="B8078" s="7" t="str">
        <f>IFERROR(__xludf.DUMMYFUNCTION("SPLIT(A8078,"" "")"),"CNCCN(Cc1ncccc1C)Cc1nc(C)c(C)c(C)c1C")</f>
        <v>CNCCN(Cc1ncccc1C)Cc1nc(C)c(C)c(C)c1C</v>
      </c>
      <c r="C8078" s="7">
        <f>IFERROR(__xludf.DUMMYFUNCTION("""COMPUTED_VALUE"""),7.775608)</f>
        <v>7.775608</v>
      </c>
      <c r="D8078" s="7">
        <f>IFERROR(__xludf.DUMMYFUNCTION("""COMPUTED_VALUE"""),0.288461538461538)</f>
        <v>0.2884615385</v>
      </c>
    </row>
    <row r="8079">
      <c r="A8079" s="10" t="s">
        <v>9518</v>
      </c>
      <c r="B8079" s="7" t="str">
        <f>IFERROR(__xludf.DUMMYFUNCTION("SPLIT(A8079,"" "")"),"CNCCN(Cc1cccc(C)n1)Cc1nc(C)c(C)c(C)c1C")</f>
        <v>CNCCN(Cc1cccc(C)n1)Cc1nc(C)c(C)c(C)c1C</v>
      </c>
      <c r="C8079" s="7">
        <f>IFERROR(__xludf.DUMMYFUNCTION("""COMPUTED_VALUE"""),7.775602)</f>
        <v>7.775602</v>
      </c>
      <c r="D8079" s="7">
        <f>IFERROR(__xludf.DUMMYFUNCTION("""COMPUTED_VALUE"""),0.444444444444444)</f>
        <v>0.4444444444</v>
      </c>
    </row>
    <row r="8080">
      <c r="A8080" s="10" t="s">
        <v>9519</v>
      </c>
      <c r="B8080" s="7" t="str">
        <f>IFERROR(__xludf.DUMMYFUNCTION("SPLIT(A8080,"" "")"),"CNCc1cccc(CN(C)Cc2cccc(F)n2)n1")</f>
        <v>CNCc1cccc(CN(C)Cc2cccc(F)n2)n1</v>
      </c>
      <c r="C8080" s="7">
        <f>IFERROR(__xludf.DUMMYFUNCTION("""COMPUTED_VALUE"""),7.7756004)</f>
        <v>7.7756004</v>
      </c>
      <c r="D8080" s="7">
        <f>IFERROR(__xludf.DUMMYFUNCTION("""COMPUTED_VALUE"""),0.435897435897435)</f>
        <v>0.4358974359</v>
      </c>
    </row>
    <row r="8081">
      <c r="A8081" s="10" t="s">
        <v>9520</v>
      </c>
      <c r="B8081" s="7" t="str">
        <f>IFERROR(__xludf.DUMMYFUNCTION("SPLIT(A8081,"" "")"),"CN(CC1=CCC=CN1)C1CCCCC1N(C)c1cccc2ncccc12")</f>
        <v>CN(CC1=CCC=CN1)C1CCCCC1N(C)c1cccc2ncccc12</v>
      </c>
      <c r="C8081" s="7">
        <f>IFERROR(__xludf.DUMMYFUNCTION("""COMPUTED_VALUE"""),7.7755976)</f>
        <v>7.7755976</v>
      </c>
      <c r="D8081" s="7">
        <f>IFERROR(__xludf.DUMMYFUNCTION("""COMPUTED_VALUE"""),0.43103448275862)</f>
        <v>0.4310344828</v>
      </c>
    </row>
    <row r="8082">
      <c r="A8082" s="10" t="s">
        <v>9521</v>
      </c>
      <c r="B8082" s="7" t="str">
        <f>IFERROR(__xludf.DUMMYFUNCTION("SPLIT(A8082,"" "")"),"CN(Cc1cccc(-c2ccccc2N(C)C)n1)Cc1ncccc1-c1cccc2c1OCCOCCOCCOCCOCCO2")</f>
        <v>CN(Cc1cccc(-c2ccccc2N(C)C)n1)Cc1ncccc1-c1cccc2c1OCCOCCOCCOCCOCCO2</v>
      </c>
      <c r="C8082" s="7">
        <f>IFERROR(__xludf.DUMMYFUNCTION("""COMPUTED_VALUE"""),7.7755914)</f>
        <v>7.7755914</v>
      </c>
      <c r="D8082" s="7">
        <f>IFERROR(__xludf.DUMMYFUNCTION("""COMPUTED_VALUE"""),0.403225806451612)</f>
        <v>0.4032258065</v>
      </c>
    </row>
    <row r="8083">
      <c r="A8083" s="10" t="s">
        <v>9522</v>
      </c>
      <c r="B8083" s="7" t="str">
        <f>IFERROR(__xludf.DUMMYFUNCTION("SPLIT(A8083,"" "")"),"CCCN(Cc1ccccn1)C1CCC(N(C)c2ccc3nccc(CF)c3c2)CC1")</f>
        <v>CCCN(Cc1ccccn1)C1CCC(N(C)c2ccc3nccc(CF)c3c2)CC1</v>
      </c>
      <c r="C8083" s="7">
        <f>IFERROR(__xludf.DUMMYFUNCTION("""COMPUTED_VALUE"""),7.7755866)</f>
        <v>7.7755866</v>
      </c>
      <c r="D8083" s="7">
        <f>IFERROR(__xludf.DUMMYFUNCTION("""COMPUTED_VALUE"""),0.349206349206349)</f>
        <v>0.3492063492</v>
      </c>
    </row>
    <row r="8084">
      <c r="A8084" s="10" t="s">
        <v>9523</v>
      </c>
      <c r="B8084" s="7" t="str">
        <f>IFERROR(__xludf.DUMMYFUNCTION("SPLIT(A8084,"" "")"),"CN(c1ccc2nc(CF)ccc2c1)C1CCC(N(Cc2ccccn2)Cc2cccc(CNCF)n2)CC1")</f>
        <v>CN(c1ccc2nc(CF)ccc2c1)C1CCC(N(Cc2ccccn2)Cc2cccc(CNCF)n2)CC1</v>
      </c>
      <c r="C8084" s="7">
        <f>IFERROR(__xludf.DUMMYFUNCTION("""COMPUTED_VALUE"""),7.775584)</f>
        <v>7.775584</v>
      </c>
      <c r="D8084" s="7">
        <f>IFERROR(__xludf.DUMMYFUNCTION("""COMPUTED_VALUE"""),0.369230769230769)</f>
        <v>0.3692307692</v>
      </c>
    </row>
    <row r="8085">
      <c r="A8085" s="10" t="s">
        <v>9524</v>
      </c>
      <c r="B8085" s="7" t="str">
        <f>IFERROR(__xludf.DUMMYFUNCTION("SPLIT(A8085,"" "")"),"Cc1cc2c(cc1-c1ncccc1-c1cccc(NCc3ccccn3)c1)OCCOCCOCCOCCOCCO2")</f>
        <v>Cc1cc2c(cc1-c1ncccc1-c1cccc(NCc3ccccn3)c1)OCCOCCOCCOCCOCCO2</v>
      </c>
      <c r="C8085" s="7">
        <f>IFERROR(__xludf.DUMMYFUNCTION("""COMPUTED_VALUE"""),7.775579)</f>
        <v>7.775579</v>
      </c>
      <c r="D8085" s="7">
        <f>IFERROR(__xludf.DUMMYFUNCTION("""COMPUTED_VALUE"""),0.333333333333333)</f>
        <v>0.3333333333</v>
      </c>
    </row>
    <row r="8086">
      <c r="A8086" s="10" t="s">
        <v>9525</v>
      </c>
      <c r="B8086" s="7" t="str">
        <f>IFERROR(__xludf.DUMMYFUNCTION("SPLIT(A8086,"" "")"),"Cc1cncc(CN(C)C2=CNC(CN(C)CC(C)(C)C)=CC2)c1")</f>
        <v>Cc1cncc(CN(C)C2=CNC(CN(C)CC(C)(C)C)=CC2)c1</v>
      </c>
      <c r="C8086" s="7">
        <f>IFERROR(__xludf.DUMMYFUNCTION("""COMPUTED_VALUE"""),7.775571)</f>
        <v>7.775571</v>
      </c>
      <c r="D8086" s="7">
        <f>IFERROR(__xludf.DUMMYFUNCTION("""COMPUTED_VALUE"""),0.206896551724137)</f>
        <v>0.2068965517</v>
      </c>
    </row>
    <row r="8087">
      <c r="A8087" s="10" t="s">
        <v>9526</v>
      </c>
      <c r="B8087" s="7" t="str">
        <f>IFERROR(__xludf.DUMMYFUNCTION("SPLIT(A8087,"" "")"),"Cc1cccnc1CN(C)C1CCCC(N(C)c2c(C)ccc(N(C)C)c2C)C1")</f>
        <v>Cc1cccnc1CN(C)C1CCCC(N(C)c2c(C)ccc(N(C)C)c2C)C1</v>
      </c>
      <c r="C8087" s="7">
        <f>IFERROR(__xludf.DUMMYFUNCTION("""COMPUTED_VALUE"""),7.7755694)</f>
        <v>7.7755694</v>
      </c>
      <c r="D8087" s="7">
        <f>IFERROR(__xludf.DUMMYFUNCTION("""COMPUTED_VALUE"""),0.310344827586206)</f>
        <v>0.3103448276</v>
      </c>
    </row>
    <row r="8088">
      <c r="A8088" s="10" t="s">
        <v>9527</v>
      </c>
      <c r="B8088" s="7" t="str">
        <f>IFERROR(__xludf.DUMMYFUNCTION("SPLIT(A8088,"" "")"),"CC(C)N(Cc1cccc(CN(Cc2ccc([SiH3])cn2)CC(C)(C)C)n1)Cc1cccc(C(C)(C)C)n1")</f>
        <v>CC(C)N(Cc1cccc(CN(Cc2ccc([SiH3])cn2)CC(C)(C)C)n1)Cc1cccc(C(C)(C)C)n1</v>
      </c>
      <c r="C8088" s="7">
        <f>IFERROR(__xludf.DUMMYFUNCTION("""COMPUTED_VALUE"""),7.775569)</f>
        <v>7.775569</v>
      </c>
      <c r="D8088" s="7">
        <f>IFERROR(__xludf.DUMMYFUNCTION("""COMPUTED_VALUE"""),0.375)</f>
        <v>0.375</v>
      </c>
    </row>
    <row r="8089">
      <c r="A8089" s="10" t="s">
        <v>9528</v>
      </c>
      <c r="B8089" s="7" t="str">
        <f>IFERROR(__xludf.DUMMYFUNCTION("SPLIT(A8089,"" "")"),"CCNC1C(N(C)Cc2nc(C)c(C)c(C)c2C)CCCC1N(Cc1nc(C)c(C)c(C)c1C)Cc1nc(C)c(C)c(C)c1C")</f>
        <v>CCNC1C(N(C)Cc2nc(C)c(C)c(C)c2C)CCCC1N(Cc1nc(C)c(C)c(C)c1C)Cc1nc(C)c(C)c(C)c1C</v>
      </c>
      <c r="C8089" s="7">
        <f>IFERROR(__xludf.DUMMYFUNCTION("""COMPUTED_VALUE"""),7.775569)</f>
        <v>7.775569</v>
      </c>
      <c r="D8089" s="7">
        <f>IFERROR(__xludf.DUMMYFUNCTION("""COMPUTED_VALUE"""),0.309090909090909)</f>
        <v>0.3090909091</v>
      </c>
    </row>
    <row r="8090">
      <c r="A8090" s="10" t="s">
        <v>9529</v>
      </c>
      <c r="B8090" s="7" t="str">
        <f>IFERROR(__xludf.DUMMYFUNCTION("SPLIT(A8090,"" "")"),"CC1=C(N(C)Cc2ccccn2)CC(C)(C)CC1C")</f>
        <v>CC1=C(N(C)Cc2ccccn2)CC(C)(C)CC1C</v>
      </c>
      <c r="C8090" s="7">
        <f>IFERROR(__xludf.DUMMYFUNCTION("""COMPUTED_VALUE"""),7.7755656)</f>
        <v>7.7755656</v>
      </c>
      <c r="D8090" s="7">
        <f>IFERROR(__xludf.DUMMYFUNCTION("""COMPUTED_VALUE"""),0.446808510638297)</f>
        <v>0.4468085106</v>
      </c>
    </row>
    <row r="8091">
      <c r="A8091" s="10" t="s">
        <v>9530</v>
      </c>
      <c r="B8091" s="7" t="str">
        <f>IFERROR(__xludf.DUMMYFUNCTION("SPLIT(A8091,"" "")"),"Cc1ccnc(CN(CCN)Cc2cc(C)c(C)c(C)n2)c1")</f>
        <v>Cc1ccnc(CN(CCN)Cc2cc(C)c(C)c(C)n2)c1</v>
      </c>
      <c r="C8091" s="7">
        <f>IFERROR(__xludf.DUMMYFUNCTION("""COMPUTED_VALUE"""),7.7755647)</f>
        <v>7.7755647</v>
      </c>
      <c r="D8091" s="7">
        <f>IFERROR(__xludf.DUMMYFUNCTION("""COMPUTED_VALUE"""),0.326923076923076)</f>
        <v>0.3269230769</v>
      </c>
    </row>
    <row r="8092">
      <c r="A8092" s="10" t="s">
        <v>9531</v>
      </c>
      <c r="B8092" s="7" t="str">
        <f>IFERROR(__xludf.DUMMYFUNCTION("SPLIT(A8092,"" "")"),"Cc1cc(CN(C)C2CC(N(Cc3ccccn3)Cc3ccccn3)CC(N(Cc3ccccn3)Cc3nc(C)c(C)cc3C)C2)cnc1C")</f>
        <v>Cc1cc(CN(C)C2CC(N(Cc3ccccn3)Cc3ccccn3)CC(N(Cc3ccccn3)Cc3nc(C)c(C)cc3C)C2)cnc1C</v>
      </c>
      <c r="C8092" s="7">
        <f>IFERROR(__xludf.DUMMYFUNCTION("""COMPUTED_VALUE"""),7.775553)</f>
        <v>7.775553</v>
      </c>
      <c r="D8092" s="7">
        <f>IFERROR(__xludf.DUMMYFUNCTION("""COMPUTED_VALUE"""),0.366666666666666)</f>
        <v>0.3666666667</v>
      </c>
    </row>
    <row r="8093">
      <c r="A8093" s="10" t="s">
        <v>9532</v>
      </c>
      <c r="B8093" s="7" t="str">
        <f>IFERROR(__xludf.DUMMYFUNCTION("SPLIT(A8093,"" "")"),"COC(=O)c1cc(-c2cc(CN3CCN(C)CCN(C)CC3)ccn2)ccn1")</f>
        <v>COC(=O)c1cc(-c2cc(CN3CCN(C)CCN(C)CC3)ccn2)ccn1</v>
      </c>
      <c r="C8093" s="7">
        <f>IFERROR(__xludf.DUMMYFUNCTION("""COMPUTED_VALUE"""),7.775541)</f>
        <v>7.775541</v>
      </c>
      <c r="D8093" s="7">
        <f>IFERROR(__xludf.DUMMYFUNCTION("""COMPUTED_VALUE"""),0.448275862068965)</f>
        <v>0.4482758621</v>
      </c>
    </row>
    <row r="8094">
      <c r="A8094" s="10" t="s">
        <v>9533</v>
      </c>
      <c r="B8094" s="7" t="str">
        <f>IFERROR(__xludf.DUMMYFUNCTION("SPLIT(A8094,"" "")"),"Cc1ccccc1CNCc1cc(C(C)(C)C)ccn1")</f>
        <v>Cc1ccccc1CNCc1cc(C(C)(C)C)ccn1</v>
      </c>
      <c r="C8094" s="7">
        <f>IFERROR(__xludf.DUMMYFUNCTION("""COMPUTED_VALUE"""),7.775541)</f>
        <v>7.775541</v>
      </c>
      <c r="D8094" s="7">
        <f>IFERROR(__xludf.DUMMYFUNCTION("""COMPUTED_VALUE"""),0.348837209302325)</f>
        <v>0.3488372093</v>
      </c>
    </row>
    <row r="8095">
      <c r="A8095" s="10" t="s">
        <v>9534</v>
      </c>
      <c r="B8095" s="7" t="str">
        <f>IFERROR(__xludf.DUMMYFUNCTION("SPLIT(A8095,"" "")"),"CN(C)Cc1ccc2cc(N(C)CCN(C)Cc3cc(-c4ccc5c(c4)OCCOCCOCCOCCOCCO5)ccn3)ccc2n1")</f>
        <v>CN(C)Cc1ccc2cc(N(C)CCN(C)Cc3cc(-c4ccc5c(c4)OCCOCCOCCOCCOCCO5)ccn3)ccc2n1</v>
      </c>
      <c r="C8095" s="7">
        <f>IFERROR(__xludf.DUMMYFUNCTION("""COMPUTED_VALUE"""),7.775531)</f>
        <v>7.775531</v>
      </c>
      <c r="D8095" s="7">
        <f>IFERROR(__xludf.DUMMYFUNCTION("""COMPUTED_VALUE"""),0.346666666666666)</f>
        <v>0.3466666667</v>
      </c>
    </row>
    <row r="8096">
      <c r="A8096" s="10" t="s">
        <v>9535</v>
      </c>
      <c r="B8096" s="7" t="str">
        <f>IFERROR(__xludf.DUMMYFUNCTION("SPLIT(A8096,"" "")"),"Cc1ccc(CN(C)C2CC(N(C)Cc3ccccn3)CC(N(Cc3ncc(C)c(C)c3C)Cc3ncc(Cl)c(C)c3C)C2)nc1")</f>
        <v>Cc1ccc(CN(C)C2CC(N(C)Cc3ccccn3)CC(N(Cc3ncc(C)c(C)c3C)Cc3ncc(Cl)c(C)c3C)C2)nc1</v>
      </c>
      <c r="C8096" s="7">
        <f>IFERROR(__xludf.DUMMYFUNCTION("""COMPUTED_VALUE"""),7.775525)</f>
        <v>7.775525</v>
      </c>
      <c r="D8096" s="7">
        <f>IFERROR(__xludf.DUMMYFUNCTION("""COMPUTED_VALUE"""),0.393442622950819)</f>
        <v>0.393442623</v>
      </c>
    </row>
    <row r="8097">
      <c r="A8097" s="10" t="s">
        <v>9536</v>
      </c>
      <c r="B8097" s="7" t="str">
        <f>IFERROR(__xludf.DUMMYFUNCTION("SPLIT(A8097,"" "")"),"CN(c1ccc2nc(CF)ccc2c1)C1CCC(N(Cc2ccnc(CNCF)c2)Cc2ccccn2)CC1")</f>
        <v>CN(c1ccc2nc(CF)ccc2c1)C1CCC(N(Cc2ccnc(CNCF)c2)Cc2ccccn2)CC1</v>
      </c>
      <c r="C8097" s="7">
        <f>IFERROR(__xludf.DUMMYFUNCTION("""COMPUTED_VALUE"""),7.7755184)</f>
        <v>7.7755184</v>
      </c>
      <c r="D8097" s="7">
        <f>IFERROR(__xludf.DUMMYFUNCTION("""COMPUTED_VALUE"""),0.338235294117647)</f>
        <v>0.3382352941</v>
      </c>
    </row>
    <row r="8098">
      <c r="A8098" s="10" t="s">
        <v>9537</v>
      </c>
      <c r="B8098" s="7" t="str">
        <f>IFERROR(__xludf.DUMMYFUNCTION("SPLIT(A8098,"" "")"),"CC(N)C(C)(c1cccnc1)c1ccccn1")</f>
        <v>CC(N)C(C)(c1cccnc1)c1ccccn1</v>
      </c>
      <c r="C8098" s="7">
        <f>IFERROR(__xludf.DUMMYFUNCTION("""COMPUTED_VALUE"""),7.775516)</f>
        <v>7.775516</v>
      </c>
      <c r="D8098" s="7">
        <f>IFERROR(__xludf.DUMMYFUNCTION("""COMPUTED_VALUE"""),0.354166666666666)</f>
        <v>0.3541666667</v>
      </c>
    </row>
    <row r="8099">
      <c r="A8099" s="10" t="s">
        <v>9538</v>
      </c>
      <c r="B8099" s="7" t="str">
        <f>IFERROR(__xludf.DUMMYFUNCTION("SPLIT(A8099,"" "")"),"Cc1cc(CN2CCN(C)CCN(Cc3cc(-c4ccc(Cl)cc4N)ccn3)CC2)nc(C)c1C")</f>
        <v>Cc1cc(CN2CCN(C)CCN(Cc3cc(-c4ccc(Cl)cc4N)ccn3)CC2)nc(C)c1C</v>
      </c>
      <c r="C8099" s="7">
        <f>IFERROR(__xludf.DUMMYFUNCTION("""COMPUTED_VALUE"""),7.775513)</f>
        <v>7.775513</v>
      </c>
      <c r="D8099" s="7">
        <f>IFERROR(__xludf.DUMMYFUNCTION("""COMPUTED_VALUE"""),0.456140350877192)</f>
        <v>0.4561403509</v>
      </c>
    </row>
    <row r="8100">
      <c r="A8100" s="10" t="s">
        <v>9539</v>
      </c>
      <c r="B8100" s="7" t="str">
        <f>IFERROR(__xludf.DUMMYFUNCTION("SPLIT(A8100,"" "")"),"CN(Cc1cccc(-c2ccc3c(c2)OCCOCCOCCOCCOCCO3)n1)CN(Cc1cccc(N)n1)Cc1cccc(-c2ccc(Cl)cc2N)n1")</f>
        <v>CN(Cc1cccc(-c2ccc3c(c2)OCCOCCOCCOCCOCCO3)n1)CN(Cc1cccc(N)n1)Cc1cccc(-c2ccc(Cl)cc2N)n1</v>
      </c>
      <c r="C8100" s="7">
        <f>IFERROR(__xludf.DUMMYFUNCTION("""COMPUTED_VALUE"""),7.77551)</f>
        <v>7.77551</v>
      </c>
      <c r="D8100" s="7">
        <f>IFERROR(__xludf.DUMMYFUNCTION("""COMPUTED_VALUE"""),0.289156626506024)</f>
        <v>0.2891566265</v>
      </c>
    </row>
    <row r="8101">
      <c r="A8101" s="10" t="s">
        <v>9540</v>
      </c>
      <c r="B8101" s="7" t="str">
        <f>IFERROR(__xludf.DUMMYFUNCTION("SPLIT(A8101,"" "")"),"Cc1cccnc1CN(C)C1=C(CN(C)C(C)(C)C)NC=CC1")</f>
        <v>Cc1cccnc1CN(C)C1=C(CN(C)C(C)(C)C)NC=CC1</v>
      </c>
      <c r="C8101" s="7">
        <f>IFERROR(__xludf.DUMMYFUNCTION("""COMPUTED_VALUE"""),7.775499)</f>
        <v>7.775499</v>
      </c>
      <c r="D8101" s="7">
        <f>IFERROR(__xludf.DUMMYFUNCTION("""COMPUTED_VALUE"""),0.269841269841269)</f>
        <v>0.2698412698</v>
      </c>
    </row>
    <row r="8102">
      <c r="A8102" s="10" t="s">
        <v>9541</v>
      </c>
      <c r="B8102" s="7" t="str">
        <f>IFERROR(__xludf.DUMMYFUNCTION("SPLIT(A8102,"" "")"),"Cc1cccnc1CN(C)CCN(Cc1ccccn1)C(C)(C)c1cnccc1CN(Cc1ccccn1)C(C)C")</f>
        <v>Cc1cccnc1CN(C)CCN(Cc1ccccn1)C(C)(C)c1cnccc1CN(Cc1ccccn1)C(C)C</v>
      </c>
      <c r="C8102" s="7">
        <f>IFERROR(__xludf.DUMMYFUNCTION("""COMPUTED_VALUE"""),7.775499)</f>
        <v>7.775499</v>
      </c>
      <c r="D8102" s="7">
        <f>IFERROR(__xludf.DUMMYFUNCTION("""COMPUTED_VALUE"""),0.416666666666666)</f>
        <v>0.4166666667</v>
      </c>
    </row>
    <row r="8103">
      <c r="A8103" s="10" t="s">
        <v>9542</v>
      </c>
      <c r="B8103" s="7" t="str">
        <f>IFERROR(__xludf.DUMMYFUNCTION("SPLIT(A8103,"" "")"),"CC(C)(C1=CNC=CC1)c1cccnc1")</f>
        <v>CC(C)(C1=CNC=CC1)c1cccnc1</v>
      </c>
      <c r="C8103" s="7">
        <f>IFERROR(__xludf.DUMMYFUNCTION("""COMPUTED_VALUE"""),7.775485)</f>
        <v>7.775485</v>
      </c>
      <c r="D8103" s="7">
        <f>IFERROR(__xludf.DUMMYFUNCTION("""COMPUTED_VALUE"""),0.191489361702127)</f>
        <v>0.1914893617</v>
      </c>
    </row>
    <row r="8104">
      <c r="A8104" s="10" t="s">
        <v>9543</v>
      </c>
      <c r="B8104" s="7" t="str">
        <f>IFERROR(__xludf.DUMMYFUNCTION("SPLIT(A8104,"" "")"),"CN1CCN(C)CCN(CC2=CCC=C(N(C)c3cccc4cccnc34)N2)CC1")</f>
        <v>CN1CCN(C)CCN(CC2=CCC=C(N(C)c3cccc4cccnc34)N2)CC1</v>
      </c>
      <c r="C8104" s="7">
        <f>IFERROR(__xludf.DUMMYFUNCTION("""COMPUTED_VALUE"""),7.7754703)</f>
        <v>7.7754703</v>
      </c>
      <c r="D8104" s="7">
        <f>IFERROR(__xludf.DUMMYFUNCTION("""COMPUTED_VALUE"""),0.407407407407407)</f>
        <v>0.4074074074</v>
      </c>
    </row>
    <row r="8105">
      <c r="A8105" s="10" t="s">
        <v>9544</v>
      </c>
      <c r="B8105" s="7" t="str">
        <f>IFERROR(__xludf.DUMMYFUNCTION("SPLIT(A8105,"" "")"),"Cc1ccc(CN(Cc2ccccn2)C2CCC(N(C)Cc3ccc4ncccc4c3)CC2)nc1")</f>
        <v>Cc1ccc(CN(Cc2ccccn2)C2CCC(N(C)Cc3ccc4ncccc4c3)CC2)nc1</v>
      </c>
      <c r="C8105" s="7">
        <f>IFERROR(__xludf.DUMMYFUNCTION("""COMPUTED_VALUE"""),7.7754683)</f>
        <v>7.7754683</v>
      </c>
      <c r="D8105" s="7">
        <f>IFERROR(__xludf.DUMMYFUNCTION("""COMPUTED_VALUE"""),0.4)</f>
        <v>0.4</v>
      </c>
    </row>
    <row r="8106">
      <c r="A8106" s="10" t="s">
        <v>9545</v>
      </c>
      <c r="B8106" s="7" t="str">
        <f>IFERROR(__xludf.DUMMYFUNCTION("SPLIT(A8106,"" "")"),"Cc1cnc(CN(C)Cc2cccc(C3C=CC(C)(C)CC3(C)C)n2)c(C)c1C")</f>
        <v>Cc1cnc(CN(C)Cc2cccc(C3C=CC(C)(C)CC3(C)C)n2)c(C)c1C</v>
      </c>
      <c r="C8106" s="7">
        <f>IFERROR(__xludf.DUMMYFUNCTION("""COMPUTED_VALUE"""),7.7754545)</f>
        <v>7.7754545</v>
      </c>
      <c r="D8106" s="7">
        <f>IFERROR(__xludf.DUMMYFUNCTION("""COMPUTED_VALUE"""),0.344262295081967)</f>
        <v>0.3442622951</v>
      </c>
    </row>
    <row r="8107">
      <c r="A8107" s="10" t="s">
        <v>9546</v>
      </c>
      <c r="B8107" s="7" t="str">
        <f>IFERROR(__xludf.DUMMYFUNCTION("SPLIT(A8107,"" "")"),"Cc1ccc(CN(C)C2CC(N(C)Cc3ccccn3)CC(N(Cc3nc(C)c(C)c(C)c3C)Cc3nc(C)c(C)c(C)c3C)C2)nc1")</f>
        <v>Cc1ccc(CN(C)C2CC(N(C)Cc3ccccn3)CC(N(Cc3nc(C)c(C)c(C)c3C)Cc3nc(C)c(C)c(C)c3C)C2)nc1</v>
      </c>
      <c r="C8107" s="7">
        <f>IFERROR(__xludf.DUMMYFUNCTION("""COMPUTED_VALUE"""),7.775447)</f>
        <v>7.775447</v>
      </c>
      <c r="D8107" s="7">
        <f>IFERROR(__xludf.DUMMYFUNCTION("""COMPUTED_VALUE"""),0.421052631578947)</f>
        <v>0.4210526316</v>
      </c>
    </row>
    <row r="8108">
      <c r="A8108" s="10" t="s">
        <v>9547</v>
      </c>
      <c r="B8108" s="7" t="str">
        <f>IFERROR(__xludf.DUMMYFUNCTION("SPLIT(A8108,"" "")"),"COC(C)c1cc(CNCc2cc(C(C)NCc3ccccn3)ccn2)ccn1")</f>
        <v>COC(C)c1cc(CNCc2cc(C(C)NCc3ccccn3)ccn2)ccn1</v>
      </c>
      <c r="C8108" s="7">
        <f>IFERROR(__xludf.DUMMYFUNCTION("""COMPUTED_VALUE"""),7.775445)</f>
        <v>7.775445</v>
      </c>
      <c r="D8108" s="7">
        <f>IFERROR(__xludf.DUMMYFUNCTION("""COMPUTED_VALUE"""),0.365384615384615)</f>
        <v>0.3653846154</v>
      </c>
    </row>
    <row r="8109">
      <c r="A8109" s="10" t="s">
        <v>9548</v>
      </c>
      <c r="B8109" s="7" t="str">
        <f>IFERROR(__xludf.DUMMYFUNCTION("SPLIT(A8109,"" "")"),"CNCCN(Cc1ccccn1)c1ccc2nc(CN(C)Cc3ncccc3-c3ccc4c(c3)OCCOCCOCCOCCOCCO4)ccc2c1")</f>
        <v>CNCCN(Cc1ccccn1)c1ccc2nc(CN(C)Cc3ncccc3-c3ccc4c(c3)OCCOCCOCCOCCOCCO4)ccc2c1</v>
      </c>
      <c r="C8109" s="7">
        <f>IFERROR(__xludf.DUMMYFUNCTION("""COMPUTED_VALUE"""),7.7754397)</f>
        <v>7.7754397</v>
      </c>
      <c r="D8109" s="7">
        <f>IFERROR(__xludf.DUMMYFUNCTION("""COMPUTED_VALUE"""),0.32)</f>
        <v>0.32</v>
      </c>
    </row>
    <row r="8110">
      <c r="A8110" s="10" t="s">
        <v>9549</v>
      </c>
      <c r="B8110" s="7" t="str">
        <f>IFERROR(__xludf.DUMMYFUNCTION("SPLIT(A8110,"" "")"),"CN(Cc1cccc(-c2ccc3c(c2)OCCOCCOCCOCCOCCO3)n1)Cc1cccc(-c2ccc(Cl)cc2N)n1")</f>
        <v>CN(Cc1cccc(-c2ccc3c(c2)OCCOCCOCCOCCOCCO3)n1)Cc1cccc(-c2ccc(Cl)cc2N)n1</v>
      </c>
      <c r="C8110" s="7">
        <f>IFERROR(__xludf.DUMMYFUNCTION("""COMPUTED_VALUE"""),7.7754397)</f>
        <v>7.7754397</v>
      </c>
      <c r="D8110" s="7">
        <f>IFERROR(__xludf.DUMMYFUNCTION("""COMPUTED_VALUE"""),0.328125)</f>
        <v>0.328125</v>
      </c>
    </row>
    <row r="8111">
      <c r="A8111" s="10" t="s">
        <v>9550</v>
      </c>
      <c r="B8111" s="7" t="str">
        <f>IFERROR(__xludf.DUMMYFUNCTION("SPLIT(A8111,"" "")"),"CN(Cc1cccc(F)n1)CN(C)C1CCC(N(C)c2ccc3ccc(CF)nc3c2)CC1")</f>
        <v>CN(Cc1cccc(F)n1)CN(C)C1CCC(N(C)c2ccc3ccc(CF)nc3c2)CC1</v>
      </c>
      <c r="C8111" s="7">
        <f>IFERROR(__xludf.DUMMYFUNCTION("""COMPUTED_VALUE"""),7.7754374)</f>
        <v>7.7754374</v>
      </c>
      <c r="D8111" s="7">
        <f>IFERROR(__xludf.DUMMYFUNCTION("""COMPUTED_VALUE"""),0.359375)</f>
        <v>0.359375</v>
      </c>
    </row>
    <row r="8112">
      <c r="A8112" s="10" t="s">
        <v>9551</v>
      </c>
      <c r="B8112" s="7" t="str">
        <f>IFERROR(__xludf.DUMMYFUNCTION("SPLIT(A8112,"" "")"),"CC(C)C(C)(c1cccnc1)N(C)Cc1cccc(-c2cccc(N(C)Cc3cccc(-c4ccc5c(c4)OCCOCCOCCOCCOCCO5)n3)c2)n1")</f>
        <v>CC(C)C(C)(c1cccnc1)N(C)Cc1cccc(-c2cccc(N(C)Cc3cccc(-c4ccc5c(c4)OCCOCCOCCOCCOCCO5)n3)c2)n1</v>
      </c>
      <c r="C8112" s="7">
        <f>IFERROR(__xludf.DUMMYFUNCTION("""COMPUTED_VALUE"""),7.775428)</f>
        <v>7.775428</v>
      </c>
      <c r="D8112" s="7">
        <f>IFERROR(__xludf.DUMMYFUNCTION("""COMPUTED_VALUE"""),0.27906976744186)</f>
        <v>0.2790697674</v>
      </c>
    </row>
    <row r="8113">
      <c r="A8113" s="10" t="s">
        <v>9552</v>
      </c>
      <c r="B8113" s="7" t="str">
        <f>IFERROR(__xludf.DUMMYFUNCTION("SPLIT(A8113,"" "")"),"Cc1ccc(CN(CC2=CC(N(C)Cc3cc(C)ccn3)C=CN2)C(C)C)nc1")</f>
        <v>Cc1ccc(CN(CC2=CC(N(C)Cc3cc(C)ccn3)C=CN2)C(C)C)nc1</v>
      </c>
      <c r="C8113" s="7">
        <f>IFERROR(__xludf.DUMMYFUNCTION("""COMPUTED_VALUE"""),7.775423)</f>
        <v>7.775423</v>
      </c>
      <c r="D8113" s="7">
        <f>IFERROR(__xludf.DUMMYFUNCTION("""COMPUTED_VALUE"""),0.377049180327868)</f>
        <v>0.3770491803</v>
      </c>
    </row>
    <row r="8114">
      <c r="A8114" s="10" t="s">
        <v>9553</v>
      </c>
      <c r="B8114" s="7" t="str">
        <f>IFERROR(__xludf.DUMMYFUNCTION("SPLIT(A8114,"" "")"),"CN1CCN(C)CCN(c2ccc3cccnc3c2)CC1")</f>
        <v>CN1CCN(C)CCN(c2ccc3cccnc3c2)CC1</v>
      </c>
      <c r="C8114" s="7">
        <f>IFERROR(__xludf.DUMMYFUNCTION("""COMPUTED_VALUE"""),7.775422)</f>
        <v>7.775422</v>
      </c>
      <c r="D8114" s="7">
        <f>IFERROR(__xludf.DUMMYFUNCTION("""COMPUTED_VALUE"""),0.363636363636363)</f>
        <v>0.3636363636</v>
      </c>
    </row>
    <row r="8115">
      <c r="A8115" s="10" t="s">
        <v>9554</v>
      </c>
      <c r="B8115" s="7" t="str">
        <f>IFERROR(__xludf.DUMMYFUNCTION("SPLIT(A8115,"" "")"),"Cc1ccc(CN(Cc2ccccn2)C2CCC(N(C)Cc3ncccc3-c3ccccn3)CC2)nc1")</f>
        <v>Cc1ccc(CN(Cc2ccccn2)C2CCC(N(C)Cc3ncccc3-c3ccccn3)CC2)nc1</v>
      </c>
      <c r="C8115" s="7">
        <f>IFERROR(__xludf.DUMMYFUNCTION("""COMPUTED_VALUE"""),7.77542)</f>
        <v>7.77542</v>
      </c>
      <c r="D8115" s="7">
        <f>IFERROR(__xludf.DUMMYFUNCTION("""COMPUTED_VALUE"""),0.413793103448275)</f>
        <v>0.4137931034</v>
      </c>
    </row>
    <row r="8116">
      <c r="A8116" s="10" t="s">
        <v>9555</v>
      </c>
      <c r="B8116" s="7" t="str">
        <f>IFERROR(__xludf.DUMMYFUNCTION("SPLIT(A8116,"" "")"),"Cc1cnc(CN(C)C2CCC(N(C)Cc3nc(C)c(C)c(C)c3C)CC2N(C)Cc2ncc(C)c(C)c2C)c(C)c1C")</f>
        <v>Cc1cnc(CN(C)C2CCC(N(C)Cc3nc(C)c(C)c(C)c3C)CC2N(C)Cc2ncc(C)c(C)c2C)c(C)c1C</v>
      </c>
      <c r="C8116" s="7">
        <f>IFERROR(__xludf.DUMMYFUNCTION("""COMPUTED_VALUE"""),7.7754064)</f>
        <v>7.7754064</v>
      </c>
      <c r="D8116" s="7">
        <f>IFERROR(__xludf.DUMMYFUNCTION("""COMPUTED_VALUE"""),0.345454545454545)</f>
        <v>0.3454545455</v>
      </c>
    </row>
    <row r="8117">
      <c r="A8117" s="10" t="s">
        <v>9556</v>
      </c>
      <c r="B8117" s="7" t="str">
        <f>IFERROR(__xludf.DUMMYFUNCTION("SPLIT(A8117,"" "")"),"CCNC1=CC(c2ccc(CN(Cc3ccccn3)C3CCC(N(C)c4ccc5nccc(CF)c5c4)CC3)cn2)CC(C)C1C")</f>
        <v>CCNC1=CC(c2ccc(CN(Cc3ccccn3)C3CCC(N(C)c4ccc5nccc(CF)c5c4)CC3)cn2)CC(C)C1C</v>
      </c>
      <c r="C8117" s="7">
        <f>IFERROR(__xludf.DUMMYFUNCTION("""COMPUTED_VALUE"""),7.7753973)</f>
        <v>7.7753973</v>
      </c>
      <c r="D8117" s="7">
        <f>IFERROR(__xludf.DUMMYFUNCTION("""COMPUTED_VALUE"""),0.25287356321839)</f>
        <v>0.2528735632</v>
      </c>
    </row>
    <row r="8118">
      <c r="A8118" s="10" t="s">
        <v>9557</v>
      </c>
      <c r="B8118" s="7" t="str">
        <f>IFERROR(__xludf.DUMMYFUNCTION("SPLIT(A8118,"" "")"),"CN(Cc1ccccn1)C1=C(CN(Cc2ccccc2)CC(C)(C)C)NC=CC1")</f>
        <v>CN(Cc1ccccn1)C1=C(CN(Cc2ccccc2)CC(C)(C)C)NC=CC1</v>
      </c>
      <c r="C8118" s="7">
        <f>IFERROR(__xludf.DUMMYFUNCTION("""COMPUTED_VALUE"""),7.775386)</f>
        <v>7.775386</v>
      </c>
      <c r="D8118" s="7">
        <f>IFERROR(__xludf.DUMMYFUNCTION("""COMPUTED_VALUE"""),0.462962962962962)</f>
        <v>0.462962963</v>
      </c>
    </row>
    <row r="8119">
      <c r="A8119" s="10" t="s">
        <v>9558</v>
      </c>
      <c r="B8119" s="7" t="str">
        <f>IFERROR(__xludf.DUMMYFUNCTION("SPLIT(A8119,"" "")"),"CN(Cc1ccc(-c2ccccc2N(C)C)cn1)Cc1ccc(-c2cccc3c2OCCOCCOCCOCCOCCO3)cn1")</f>
        <v>CN(Cc1ccc(-c2ccccc2N(C)C)cn1)Cc1ccc(-c2cccc3c2OCCOCCOCCOCCOCCO3)cn1</v>
      </c>
      <c r="C8119" s="7">
        <f>IFERROR(__xludf.DUMMYFUNCTION("""COMPUTED_VALUE"""),7.7753844)</f>
        <v>7.7753844</v>
      </c>
      <c r="D8119" s="7">
        <f>IFERROR(__xludf.DUMMYFUNCTION("""COMPUTED_VALUE"""),0.328571428571428)</f>
        <v>0.3285714286</v>
      </c>
    </row>
    <row r="8120">
      <c r="A8120" s="10" t="s">
        <v>9559</v>
      </c>
      <c r="B8120" s="7" t="str">
        <f>IFERROR(__xludf.DUMMYFUNCTION("SPLIT(A8120,"" "")"),"Cc1nc(CN(C)C2CCCCC2N(C)c2cccnc2CN(Cc2cccc(F)n2)Cc2cccc(F)n2)c(C)c(C)c1C")</f>
        <v>Cc1nc(CN(C)C2CCCCC2N(C)c2cccnc2CN(Cc2cccc(F)n2)Cc2cccc(F)n2)c(C)c(C)c1C</v>
      </c>
      <c r="C8120" s="7">
        <f>IFERROR(__xludf.DUMMYFUNCTION("""COMPUTED_VALUE"""),7.7753835)</f>
        <v>7.7753835</v>
      </c>
      <c r="D8120" s="7">
        <f>IFERROR(__xludf.DUMMYFUNCTION("""COMPUTED_VALUE"""),0.412698412698412)</f>
        <v>0.4126984127</v>
      </c>
    </row>
    <row r="8121">
      <c r="A8121" s="10" t="s">
        <v>9560</v>
      </c>
      <c r="B8121" s="7" t="str">
        <f>IFERROR(__xludf.DUMMYFUNCTION("SPLIT(A8121,"" "")"),"Cc1ccnc(CN(C)CCN(C)Cc2ccnc(C)c2C)c1C")</f>
        <v>Cc1ccnc(CN(C)CCN(C)Cc2ccnc(C)c2C)c1C</v>
      </c>
      <c r="C8121" s="7">
        <f>IFERROR(__xludf.DUMMYFUNCTION("""COMPUTED_VALUE"""),7.775381)</f>
        <v>7.775381</v>
      </c>
      <c r="D8121" s="7">
        <f>IFERROR(__xludf.DUMMYFUNCTION("""COMPUTED_VALUE"""),0.369565217391304)</f>
        <v>0.3695652174</v>
      </c>
    </row>
    <row r="8122">
      <c r="A8122" s="10" t="s">
        <v>9561</v>
      </c>
      <c r="B8122" s="7" t="str">
        <f>IFERROR(__xludf.DUMMYFUNCTION("SPLIT(A8122,"" "")"),"Cc1cnccc1CN(C)C1=CNC(CN(C)C(C)(C)C)=CC1")</f>
        <v>Cc1cnccc1CN(C)C1=CNC(CN(C)C(C)(C)C)=CC1</v>
      </c>
      <c r="C8122" s="7">
        <f>IFERROR(__xludf.DUMMYFUNCTION("""COMPUTED_VALUE"""),7.775374)</f>
        <v>7.775374</v>
      </c>
      <c r="D8122" s="7">
        <f>IFERROR(__xludf.DUMMYFUNCTION("""COMPUTED_VALUE"""),0.212121212121212)</f>
        <v>0.2121212121</v>
      </c>
    </row>
    <row r="8123">
      <c r="A8123" s="10" t="s">
        <v>9562</v>
      </c>
      <c r="B8123" s="7" t="str">
        <f>IFERROR(__xludf.DUMMYFUNCTION("SPLIT(A8123,"" "")"),"CC(C)C(C)(c1cccnc1)N(Cc1ccccn1)Cc1ncccc1N")</f>
        <v>CC(C)C(C)(c1cccnc1)N(Cc1ccccn1)Cc1ncccc1N</v>
      </c>
      <c r="C8123" s="7">
        <f>IFERROR(__xludf.DUMMYFUNCTION("""COMPUTED_VALUE"""),7.775371)</f>
        <v>7.775371</v>
      </c>
      <c r="D8123" s="7">
        <f>IFERROR(__xludf.DUMMYFUNCTION("""COMPUTED_VALUE"""),0.396226415094339)</f>
        <v>0.3962264151</v>
      </c>
    </row>
    <row r="8124">
      <c r="A8124" s="10" t="s">
        <v>9563</v>
      </c>
      <c r="B8124" s="7" t="str">
        <f>IFERROR(__xludf.DUMMYFUNCTION("SPLIT(A8124,"" "")"),"Cc1ccnc(CN(C)C2=C(CN(C)CC(C)(C)C)NC=CC2)c1")</f>
        <v>Cc1ccnc(CN(C)C2=C(CN(C)CC(C)(C)C)NC=CC2)c1</v>
      </c>
      <c r="C8124" s="7">
        <f>IFERROR(__xludf.DUMMYFUNCTION("""COMPUTED_VALUE"""),7.7753706)</f>
        <v>7.7753706</v>
      </c>
      <c r="D8124" s="7">
        <f>IFERROR(__xludf.DUMMYFUNCTION("""COMPUTED_VALUE"""),0.327586206896551)</f>
        <v>0.3275862069</v>
      </c>
    </row>
    <row r="8125">
      <c r="A8125" s="10" t="s">
        <v>9564</v>
      </c>
      <c r="B8125" s="7" t="str">
        <f>IFERROR(__xludf.DUMMYFUNCTION("SPLIT(A8125,"" "")"),"CC1=CC(C)C2(C(C)C1)C(c1cc(CN(Cc3ccccn3)C3CCCCC3N(C)c3ccc4nccc(CN(C)C)c4c3)ccn1)C=CC(C)C21CC(C)C=C(C)C1C")</f>
        <v>CC1=CC(C)C2(C(C)C1)C(c1cc(CN(Cc3ccccn3)C3CCCCC3N(C)c3ccc4nccc(CN(C)C)c4c3)ccn1)C=CC(C)C21CC(C)C=C(C)C1C</v>
      </c>
      <c r="C8125" s="7">
        <f>IFERROR(__xludf.DUMMYFUNCTION("""COMPUTED_VALUE"""),7.775369)</f>
        <v>7.775369</v>
      </c>
      <c r="D8125" s="7">
        <f>IFERROR(__xludf.DUMMYFUNCTION("""COMPUTED_VALUE"""),0.276595744680851)</f>
        <v>0.2765957447</v>
      </c>
    </row>
    <row r="8126">
      <c r="A8126" s="10" t="s">
        <v>9565</v>
      </c>
      <c r="B8126" s="7" t="str">
        <f>IFERROR(__xludf.DUMMYFUNCTION("SPLIT(A8126,"" "")"),"CN(CCN(C)c1ccc2nccc(CF)c2c1)Cc1ncccc1-c1ccc2c(c1)OCCOCCOCCOCCOCCO2")</f>
        <v>CN(CCN(C)c1ccc2nccc(CF)c2c1)Cc1ncccc1-c1ccc2c(c1)OCCOCCOCCOCCOCCO2</v>
      </c>
      <c r="C8126" s="7">
        <f>IFERROR(__xludf.DUMMYFUNCTION("""COMPUTED_VALUE"""),7.7753677)</f>
        <v>7.7753677</v>
      </c>
      <c r="D8126" s="7">
        <f>IFERROR(__xludf.DUMMYFUNCTION("""COMPUTED_VALUE"""),0.270588235294117)</f>
        <v>0.2705882353</v>
      </c>
    </row>
    <row r="8127">
      <c r="A8127" s="10" t="s">
        <v>9566</v>
      </c>
      <c r="B8127" s="7" t="str">
        <f>IFERROR(__xludf.DUMMYFUNCTION("SPLIT(A8127,"" "")"),"COC(C)NCc1ncccc1CN(Cc1ccccn1)Cc1ncccc1C(C)(C)C")</f>
        <v>COC(C)NCc1ncccc1CN(Cc1ccccn1)Cc1ncccc1C(C)(C)C</v>
      </c>
      <c r="C8127" s="7">
        <f>IFERROR(__xludf.DUMMYFUNCTION("""COMPUTED_VALUE"""),7.775366)</f>
        <v>7.775366</v>
      </c>
      <c r="D8127" s="7">
        <f>IFERROR(__xludf.DUMMYFUNCTION("""COMPUTED_VALUE"""),0.392156862745098)</f>
        <v>0.3921568627</v>
      </c>
    </row>
    <row r="8128">
      <c r="A8128" s="10" t="s">
        <v>9567</v>
      </c>
      <c r="B8128" s="7" t="str">
        <f>IFERROR(__xludf.DUMMYFUNCTION("SPLIT(A8128,"" "")"),"CN(CC1=CCC=C(N(C)Cc2ccccn2)N1)CC1C=CNC=C1")</f>
        <v>CN(CC1=CCC=C(N(C)Cc2ccccn2)N1)CC1C=CNC=C1</v>
      </c>
      <c r="C8128" s="7">
        <f>IFERROR(__xludf.DUMMYFUNCTION("""COMPUTED_VALUE"""),7.7753634)</f>
        <v>7.7753634</v>
      </c>
      <c r="D8128" s="7">
        <f>IFERROR(__xludf.DUMMYFUNCTION("""COMPUTED_VALUE"""),0.4)</f>
        <v>0.4</v>
      </c>
    </row>
    <row r="8129">
      <c r="A8129" s="10" t="s">
        <v>9568</v>
      </c>
      <c r="B8129" s="7" t="str">
        <f>IFERROR(__xludf.DUMMYFUNCTION("SPLIT(A8129,"" "")"),"CCN(Cc1ccccn1)c1ccccc1-c1cccc(CN(Cc2cccnn2)C2CCCCC2)n1")</f>
        <v>CCN(Cc1ccccn1)c1ccccc1-c1cccc(CN(Cc2cccnn2)C2CCCCC2)n1</v>
      </c>
      <c r="C8129" s="7">
        <f>IFERROR(__xludf.DUMMYFUNCTION("""COMPUTED_VALUE"""),7.7753553)</f>
        <v>7.7753553</v>
      </c>
      <c r="D8129" s="7">
        <f>IFERROR(__xludf.DUMMYFUNCTION("""COMPUTED_VALUE"""),0.406779661016949)</f>
        <v>0.406779661</v>
      </c>
    </row>
    <row r="8130">
      <c r="A8130" s="10" t="s">
        <v>9569</v>
      </c>
      <c r="B8130" s="7" t="str">
        <f>IFERROR(__xludf.DUMMYFUNCTION("SPLIT(A8130,"" "")"),"CC1=CC(C)C(C)(c2cccc(CN(Cc3ccccn3)Cc3cccc(C(C)(C)C)n3)n2)CC1")</f>
        <v>CC1=CC(C)C(C)(c2cccc(CN(Cc3ccccn3)Cc3cccc(C(C)(C)C)n3)n2)CC1</v>
      </c>
      <c r="C8130" s="7">
        <f>IFERROR(__xludf.DUMMYFUNCTION("""COMPUTED_VALUE"""),7.7753515)</f>
        <v>7.7753515</v>
      </c>
      <c r="D8130" s="7">
        <f>IFERROR(__xludf.DUMMYFUNCTION("""COMPUTED_VALUE"""),0.377358490566037)</f>
        <v>0.3773584906</v>
      </c>
    </row>
    <row r="8131">
      <c r="A8131" s="10" t="s">
        <v>9570</v>
      </c>
      <c r="B8131" s="7" t="str">
        <f>IFERROR(__xludf.DUMMYFUNCTION("SPLIT(A8131,"" "")"),"CN(Cc1cccc(-c2ccc3c(c2)OCCOCCOCCOCCOCCO3)n1)Cc1cccc(-c2ccccc2N(C)C)n1")</f>
        <v>CN(Cc1cccc(-c2ccc3c(c2)OCCOCCOCCOCCOCCO3)n1)Cc1cccc(-c2ccccc2N(C)C)n1</v>
      </c>
      <c r="C8131" s="7">
        <f>IFERROR(__xludf.DUMMYFUNCTION("""COMPUTED_VALUE"""),7.7753506)</f>
        <v>7.7753506</v>
      </c>
      <c r="D8131" s="7">
        <f>IFERROR(__xludf.DUMMYFUNCTION("""COMPUTED_VALUE"""),0.372881355932203)</f>
        <v>0.3728813559</v>
      </c>
    </row>
    <row r="8132">
      <c r="A8132" s="10" t="s">
        <v>9571</v>
      </c>
      <c r="B8132" s="7" t="str">
        <f>IFERROR(__xludf.DUMMYFUNCTION("SPLIT(A8132,"" "")"),"CNCc1cc(CN(C)C2CCCCC2N(C)c2ccc3nc(CF)ccc3c2)ccn1")</f>
        <v>CNCc1cc(CN(C)C2CCCCC2N(C)c2ccc3nc(CF)ccc3c2)ccn1</v>
      </c>
      <c r="C8132" s="7">
        <f>IFERROR(__xludf.DUMMYFUNCTION("""COMPUTED_VALUE"""),7.7753468)</f>
        <v>7.7753468</v>
      </c>
      <c r="D8132" s="7">
        <f>IFERROR(__xludf.DUMMYFUNCTION("""COMPUTED_VALUE"""),0.415384615384615)</f>
        <v>0.4153846154</v>
      </c>
    </row>
    <row r="8133">
      <c r="A8133" s="10" t="s">
        <v>9572</v>
      </c>
      <c r="B8133" s="7" t="str">
        <f>IFERROR(__xludf.DUMMYFUNCTION("SPLIT(A8133,"" "")"),"CN(CCF)CCN(C)Cc1ccc2ncccc2c1")</f>
        <v>CN(CCF)CCN(C)Cc1ccc2ncccc2c1</v>
      </c>
      <c r="C8133" s="7">
        <f>IFERROR(__xludf.DUMMYFUNCTION("""COMPUTED_VALUE"""),7.775338)</f>
        <v>7.775338</v>
      </c>
      <c r="D8133" s="7">
        <f>IFERROR(__xludf.DUMMYFUNCTION("""COMPUTED_VALUE"""),0.434782608695652)</f>
        <v>0.4347826087</v>
      </c>
    </row>
    <row r="8134">
      <c r="A8134" s="10" t="s">
        <v>9573</v>
      </c>
      <c r="B8134" s="7" t="str">
        <f>IFERROR(__xludf.DUMMYFUNCTION("SPLIT(A8134,"" "")"),"CC1C=CC(C)(c2cc(CN(Cc3ccccn3)Cc3ccc(C(C)(C)C)cn3)ccn2)CC1C")</f>
        <v>CC1C=CC(C)(c2cc(CN(Cc3ccccn3)Cc3ccc(C(C)(C)C)cn3)ccn2)CC1C</v>
      </c>
      <c r="C8134" s="7">
        <f>IFERROR(__xludf.DUMMYFUNCTION("""COMPUTED_VALUE"""),7.775335)</f>
        <v>7.775335</v>
      </c>
      <c r="D8134" s="7">
        <f>IFERROR(__xludf.DUMMYFUNCTION("""COMPUTED_VALUE"""),0.344827586206896)</f>
        <v>0.3448275862</v>
      </c>
    </row>
    <row r="8135">
      <c r="A8135" s="10" t="s">
        <v>9574</v>
      </c>
      <c r="B8135" s="7" t="str">
        <f>IFERROR(__xludf.DUMMYFUNCTION("SPLIT(A8135,"" "")"),"Cc1cccc(F)n1")</f>
        <v>Cc1cccc(F)n1</v>
      </c>
      <c r="C8135" s="7">
        <f>IFERROR(__xludf.DUMMYFUNCTION("""COMPUTED_VALUE"""),7.775315)</f>
        <v>7.775315</v>
      </c>
      <c r="D8135" s="7">
        <f>IFERROR(__xludf.DUMMYFUNCTION("""COMPUTED_VALUE"""),0.433333333333333)</f>
        <v>0.4333333333</v>
      </c>
    </row>
    <row r="8136">
      <c r="A8136" s="10" t="s">
        <v>9575</v>
      </c>
      <c r="B8136" s="7" t="str">
        <f>IFERROR(__xludf.DUMMYFUNCTION("SPLIT(A8136,"" "")"),"CC1=CCC2(C(C)=CCC3(C=CC4(C=C(C)C(C)C(C)C4)C(c4ncccc4CN(Cc4ccccn4)Cc4ccccn4)C3c3ncccc3CN(Cc3ccccn3)Cc3ccccn3)C2C)C(C)C1")</f>
        <v>CC1=CCC2(C(C)=CCC3(C=CC4(C=C(C)C(C)C(C)C4)C(c4ncccc4CN(Cc4ccccn4)Cc4ccccn4)C3c3ncccc3CN(Cc3ccccn3)Cc3ccccn3)C2C)C(C)C1</v>
      </c>
      <c r="C8136" s="7">
        <f>IFERROR(__xludf.DUMMYFUNCTION("""COMPUTED_VALUE"""),7.775314)</f>
        <v>7.775314</v>
      </c>
      <c r="D8136" s="7">
        <f>IFERROR(__xludf.DUMMYFUNCTION("""COMPUTED_VALUE"""),0.285714285714285)</f>
        <v>0.2857142857</v>
      </c>
    </row>
    <row r="8137">
      <c r="A8137" s="10" t="s">
        <v>9576</v>
      </c>
      <c r="B8137" s="7" t="str">
        <f>IFERROR(__xludf.DUMMYFUNCTION("SPLIT(A8137,"" "")"),"CN1CCN(C)CCN(c2ccc3ncccc3c2)CC1")</f>
        <v>CN1CCN(C)CCN(c2ccc3ncccc3c2)CC1</v>
      </c>
      <c r="C8137" s="7">
        <f>IFERROR(__xludf.DUMMYFUNCTION("""COMPUTED_VALUE"""),7.775314)</f>
        <v>7.775314</v>
      </c>
      <c r="D8137" s="7">
        <f>IFERROR(__xludf.DUMMYFUNCTION("""COMPUTED_VALUE"""),0.363636363636363)</f>
        <v>0.3636363636</v>
      </c>
    </row>
    <row r="8138">
      <c r="A8138" s="10" t="s">
        <v>9577</v>
      </c>
      <c r="B8138" s="7" t="str">
        <f>IFERROR(__xludf.DUMMYFUNCTION("SPLIT(A8138,"" "")"),"CNC1CC=CC(CN(C)Cc2nc(C)c(C)c(C)c2C)=N1")</f>
        <v>CNC1CC=CC(CN(C)Cc2nc(C)c(C)c(C)c2C)=N1</v>
      </c>
      <c r="C8138" s="7">
        <f>IFERROR(__xludf.DUMMYFUNCTION("""COMPUTED_VALUE"""),7.7753115)</f>
        <v>7.7753115</v>
      </c>
      <c r="D8138" s="7">
        <f>IFERROR(__xludf.DUMMYFUNCTION("""COMPUTED_VALUE"""),0.2)</f>
        <v>0.2</v>
      </c>
    </row>
    <row r="8139">
      <c r="A8139" s="10" t="s">
        <v>9578</v>
      </c>
      <c r="B8139" s="7" t="str">
        <f>IFERROR(__xludf.DUMMYFUNCTION("SPLIT(A8139,"" "")"),"CC1=CC2(C=CC(c3ccc(CN(Cc4ccccn4)Cc4ccccn4)cn3)C(c3ccc(CN(Cc4ccccn4)Cc4ccccn4)cn3)C23CC(C)C(C)=CC3C)C(C)C(C)C1")</f>
        <v>CC1=CC2(C=CC(c3ccc(CN(Cc4ccccn4)Cc4ccccn4)cn3)C(c3ccc(CN(Cc4ccccn4)Cc4ccccn4)cn3)C23CC(C)C(C)=CC3C)C(C)C(C)C1</v>
      </c>
      <c r="C8139" s="7">
        <f>IFERROR(__xludf.DUMMYFUNCTION("""COMPUTED_VALUE"""),7.7753024)</f>
        <v>7.7753024</v>
      </c>
      <c r="D8139" s="7">
        <f>IFERROR(__xludf.DUMMYFUNCTION("""COMPUTED_VALUE"""),0.301204819277108)</f>
        <v>0.3012048193</v>
      </c>
    </row>
    <row r="8140">
      <c r="A8140" s="10" t="s">
        <v>9579</v>
      </c>
      <c r="B8140" s="7" t="str">
        <f>IFERROR(__xludf.DUMMYFUNCTION("SPLIT(A8140,"" "")"),"Cc1cccc(CN(C)Cc2ncc(CN(C)C(C)C)cc2C)n1")</f>
        <v>Cc1cccc(CN(C)Cc2ncc(CN(C)C(C)C)cc2C)n1</v>
      </c>
      <c r="C8140" s="7">
        <f>IFERROR(__xludf.DUMMYFUNCTION("""COMPUTED_VALUE"""),7.775295)</f>
        <v>7.775295</v>
      </c>
      <c r="D8140" s="7">
        <f>IFERROR(__xludf.DUMMYFUNCTION("""COMPUTED_VALUE"""),0.478260869565217)</f>
        <v>0.4782608696</v>
      </c>
    </row>
    <row r="8141">
      <c r="A8141" s="10" t="s">
        <v>9580</v>
      </c>
      <c r="B8141" s="7" t="str">
        <f>IFERROR(__xludf.DUMMYFUNCTION("SPLIT(A8141,"" "")"),"CCN(Cc1cccc(C2CCC2(C)C)n1)Cc1cccc(C(C)(C)c2ccccn2)n1")</f>
        <v>CCN(Cc1cccc(C2CCC2(C)C)n1)Cc1cccc(C(C)(C)c2ccccn2)n1</v>
      </c>
      <c r="C8141" s="7">
        <f>IFERROR(__xludf.DUMMYFUNCTION("""COMPUTED_VALUE"""),7.775274)</f>
        <v>7.775274</v>
      </c>
      <c r="D8141" s="7">
        <f>IFERROR(__xludf.DUMMYFUNCTION("""COMPUTED_VALUE"""),0.333333333333333)</f>
        <v>0.3333333333</v>
      </c>
    </row>
    <row r="8142">
      <c r="A8142" s="10" t="s">
        <v>9581</v>
      </c>
      <c r="B8142" s="7" t="str">
        <f>IFERROR(__xludf.DUMMYFUNCTION("SPLIT(A8142,"" "")"),"CCOC(C)NCc1ncccc1CN(Cc1ccccn1)Cc1ncccc1C(C)(C)C")</f>
        <v>CCOC(C)NCc1ncccc1CN(Cc1ccccn1)Cc1ncccc1C(C)(C)C</v>
      </c>
      <c r="C8142" s="7">
        <f>IFERROR(__xludf.DUMMYFUNCTION("""COMPUTED_VALUE"""),7.775269)</f>
        <v>7.775269</v>
      </c>
      <c r="D8142" s="7">
        <f>IFERROR(__xludf.DUMMYFUNCTION("""COMPUTED_VALUE"""),0.377358490566037)</f>
        <v>0.3773584906</v>
      </c>
    </row>
    <row r="8143">
      <c r="A8143" s="10" t="s">
        <v>9582</v>
      </c>
      <c r="B8143" s="7" t="str">
        <f>IFERROR(__xludf.DUMMYFUNCTION("SPLIT(A8143,"" "")"),"Cc1ccc(CN(C)C2=CNC(CN(C)C(C)(C)C)=CC2)nc1")</f>
        <v>Cc1ccc(CN(C)C2=CNC(CN(C)C(C)(C)C)=CC2)nc1</v>
      </c>
      <c r="C8143" s="7">
        <f>IFERROR(__xludf.DUMMYFUNCTION("""COMPUTED_VALUE"""),7.7752557)</f>
        <v>7.7752557</v>
      </c>
      <c r="D8143" s="7">
        <f>IFERROR(__xludf.DUMMYFUNCTION("""COMPUTED_VALUE"""),0.408163265306122)</f>
        <v>0.4081632653</v>
      </c>
    </row>
    <row r="8144">
      <c r="A8144" s="10" t="s">
        <v>9583</v>
      </c>
      <c r="B8144" s="7" t="str">
        <f>IFERROR(__xludf.DUMMYFUNCTION("SPLIT(A8144,"" "")"),"CNC1CCC(N(C)c2ccc3nc(CF)ccc3c2)CC1")</f>
        <v>CNC1CCC(N(C)c2ccc3nc(CF)ccc3c2)CC1</v>
      </c>
      <c r="C8144" s="7">
        <f>IFERROR(__xludf.DUMMYFUNCTION("""COMPUTED_VALUE"""),7.775255)</f>
        <v>7.775255</v>
      </c>
      <c r="D8144" s="7">
        <f>IFERROR(__xludf.DUMMYFUNCTION("""COMPUTED_VALUE"""),0.368421052631578)</f>
        <v>0.3684210526</v>
      </c>
    </row>
    <row r="8145">
      <c r="A8145" s="10" t="s">
        <v>9584</v>
      </c>
      <c r="B8145" s="7" t="str">
        <f>IFERROR(__xludf.DUMMYFUNCTION("SPLIT(A8145,"" "")"),"CC(C)C(C)(c1ccccn1)c1ccccn1")</f>
        <v>CC(C)C(C)(c1ccccn1)c1ccccn1</v>
      </c>
      <c r="C8145" s="7">
        <f>IFERROR(__xludf.DUMMYFUNCTION("""COMPUTED_VALUE"""),7.7752485)</f>
        <v>7.7752485</v>
      </c>
      <c r="D8145" s="7">
        <f>IFERROR(__xludf.DUMMYFUNCTION("""COMPUTED_VALUE"""),0.459459459459459)</f>
        <v>0.4594594595</v>
      </c>
    </row>
    <row r="8146">
      <c r="A8146" s="10" t="s">
        <v>9585</v>
      </c>
      <c r="B8146" s="7" t="str">
        <f>IFERROR(__xludf.DUMMYFUNCTION("SPLIT(A8146,"" "")"),"CN(Cc1cccnn1)C1=C(c2cccc3c2OCCOCCOCCOCCOCCO3)C(C(C)(C)C)CC=C1N(C)c1ccc2cccnc2c1")</f>
        <v>CN(Cc1cccnn1)C1=C(c2cccc3c2OCCOCCOCCOCCOCCO3)C(C(C)(C)C)CC=C1N(C)c1ccc2cccnc2c1</v>
      </c>
      <c r="C8146" s="7">
        <f>IFERROR(__xludf.DUMMYFUNCTION("""COMPUTED_VALUE"""),7.7752457)</f>
        <v>7.7752457</v>
      </c>
      <c r="D8146" s="7">
        <f>IFERROR(__xludf.DUMMYFUNCTION("""COMPUTED_VALUE"""),0.253164556962025)</f>
        <v>0.253164557</v>
      </c>
    </row>
    <row r="8147">
      <c r="A8147" s="10" t="s">
        <v>9586</v>
      </c>
      <c r="B8147" s="7" t="str">
        <f>IFERROR(__xludf.DUMMYFUNCTION("SPLIT(A8147,"" "")"),"C1=CNC(C2=CCC=CN2)=CC1")</f>
        <v>C1=CNC(C2=CCC=CN2)=CC1</v>
      </c>
      <c r="C8147" s="7">
        <f>IFERROR(__xludf.DUMMYFUNCTION("""COMPUTED_VALUE"""),7.775234)</f>
        <v>7.775234</v>
      </c>
      <c r="D8147" s="7">
        <f>IFERROR(__xludf.DUMMYFUNCTION("""COMPUTED_VALUE"""),0.307692307692307)</f>
        <v>0.3076923077</v>
      </c>
    </row>
    <row r="8148">
      <c r="A8148" s="10" t="s">
        <v>9587</v>
      </c>
      <c r="B8148" s="7" t="str">
        <f>IFERROR(__xludf.DUMMYFUNCTION("SPLIT(A8148,"" "")"),"CNCc1ncccc1CN(C)Cc1cc(C)ccn1")</f>
        <v>CNCc1ncccc1CN(C)Cc1cc(C)ccn1</v>
      </c>
      <c r="C8148" s="7">
        <f>IFERROR(__xludf.DUMMYFUNCTION("""COMPUTED_VALUE"""),7.7752323)</f>
        <v>7.7752323</v>
      </c>
      <c r="D8148" s="7">
        <f>IFERROR(__xludf.DUMMYFUNCTION("""COMPUTED_VALUE"""),0.352941176470588)</f>
        <v>0.3529411765</v>
      </c>
    </row>
    <row r="8149">
      <c r="A8149" s="10" t="s">
        <v>9588</v>
      </c>
      <c r="B8149" s="7" t="str">
        <f>IFERROR(__xludf.DUMMYFUNCTION("SPLIT(A8149,"" "")"),"CN(Cc1ccc(-c2cccc3c2OCCOCCOCCOCCOCCO3)cn1)Cc1cccc(-c2cccc(N(C)C)c2)n1")</f>
        <v>CN(Cc1ccc(-c2cccc3c2OCCOCCOCCOCCOCCO3)cn1)Cc1cccc(-c2cccc(N(C)C)c2)n1</v>
      </c>
      <c r="C8149" s="7">
        <f>IFERROR(__xludf.DUMMYFUNCTION("""COMPUTED_VALUE"""),7.775228)</f>
        <v>7.775228</v>
      </c>
      <c r="D8149" s="7">
        <f>IFERROR(__xludf.DUMMYFUNCTION("""COMPUTED_VALUE"""),0.348484848484848)</f>
        <v>0.3484848485</v>
      </c>
    </row>
    <row r="8150">
      <c r="A8150" s="10" t="s">
        <v>9589</v>
      </c>
      <c r="B8150" s="7" t="str">
        <f>IFERROR(__xludf.DUMMYFUNCTION("SPLIT(A8150,"" "")"),"CN1CCN(C)CCN(CC2=CCC=C(N(C)c3ccc4cccnc4c3)N2)CC1")</f>
        <v>CN1CCN(C)CCN(CC2=CCC=C(N(C)c3ccc4cccnc4c3)N2)CC1</v>
      </c>
      <c r="C8150" s="7">
        <f>IFERROR(__xludf.DUMMYFUNCTION("""COMPUTED_VALUE"""),7.7752247)</f>
        <v>7.7752247</v>
      </c>
      <c r="D8150" s="7">
        <f>IFERROR(__xludf.DUMMYFUNCTION("""COMPUTED_VALUE"""),0.370967741935483)</f>
        <v>0.3709677419</v>
      </c>
    </row>
    <row r="8151">
      <c r="A8151" s="10" t="s">
        <v>9590</v>
      </c>
      <c r="B8151" s="7" t="str">
        <f>IFERROR(__xludf.DUMMYFUNCTION("SPLIT(A8151,"" "")"),"CN1CCN(C)CCN(CC2=CCC=C(N(C)c3cccc4ncccc34)N2)CC1")</f>
        <v>CN1CCN(C)CCN(CC2=CCC=C(N(C)c3cccc4ncccc34)N2)CC1</v>
      </c>
      <c r="C8151" s="7">
        <f>IFERROR(__xludf.DUMMYFUNCTION("""COMPUTED_VALUE"""),7.775217)</f>
        <v>7.775217</v>
      </c>
      <c r="D8151" s="7">
        <f>IFERROR(__xludf.DUMMYFUNCTION("""COMPUTED_VALUE"""),0.368421052631578)</f>
        <v>0.3684210526</v>
      </c>
    </row>
    <row r="8152">
      <c r="A8152" s="10" t="s">
        <v>9591</v>
      </c>
      <c r="B8152" s="7" t="str">
        <f>IFERROR(__xludf.DUMMYFUNCTION("SPLIT(A8152,"" "")"),"CN(CCF)Cc1ncccc1N(C)C(C)(C)c1ccccn1")</f>
        <v>CN(CCF)Cc1ncccc1N(C)C(C)(C)c1ccccn1</v>
      </c>
      <c r="C8152" s="7">
        <f>IFERROR(__xludf.DUMMYFUNCTION("""COMPUTED_VALUE"""),7.7752075)</f>
        <v>7.7752075</v>
      </c>
      <c r="D8152" s="7">
        <f>IFERROR(__xludf.DUMMYFUNCTION("""COMPUTED_VALUE"""),0.320754716981132)</f>
        <v>0.320754717</v>
      </c>
    </row>
    <row r="8153">
      <c r="A8153" s="10" t="s">
        <v>9592</v>
      </c>
      <c r="B8153" s="7" t="str">
        <f>IFERROR(__xludf.DUMMYFUNCTION("SPLIT(A8153,"" "")"),"CNC1CCC(N(Cc2ccccn2)Cc2ncc(C)c(C)c2C)C(N(Cc2nc(C)c(C)c(C)c2C)Cc2nc(C)c(C)c(C)c2C)C1")</f>
        <v>CNC1CCC(N(Cc2ccccn2)Cc2ncc(C)c(C)c2C)C(N(Cc2nc(C)c(C)c(C)c2C)Cc2nc(C)c(C)c(C)c2C)C1</v>
      </c>
      <c r="C8153" s="7">
        <f>IFERROR(__xludf.DUMMYFUNCTION("""COMPUTED_VALUE"""),7.77519)</f>
        <v>7.77519</v>
      </c>
      <c r="D8153" s="7">
        <f>IFERROR(__xludf.DUMMYFUNCTION("""COMPUTED_VALUE"""),0.349206349206349)</f>
        <v>0.3492063492</v>
      </c>
    </row>
    <row r="8154">
      <c r="A8154" s="10" t="s">
        <v>9593</v>
      </c>
      <c r="B8154" s="7" t="str">
        <f>IFERROR(__xludf.DUMMYFUNCTION("SPLIT(A8154,"" "")"),"Cc1ccc(CN(C)C2=C(CN(C)C(C)C)NC=CC2)nc1")</f>
        <v>Cc1ccc(CN(C)C2=C(CN(C)C(C)C)NC=CC2)nc1</v>
      </c>
      <c r="C8154" s="7">
        <f>IFERROR(__xludf.DUMMYFUNCTION("""COMPUTED_VALUE"""),7.7751884)</f>
        <v>7.7751884</v>
      </c>
      <c r="D8154" s="7">
        <f>IFERROR(__xludf.DUMMYFUNCTION("""COMPUTED_VALUE"""),0.416666666666666)</f>
        <v>0.4166666667</v>
      </c>
    </row>
    <row r="8155">
      <c r="A8155" s="10" t="s">
        <v>9594</v>
      </c>
      <c r="B8155" s="7" t="str">
        <f>IFERROR(__xludf.DUMMYFUNCTION("SPLIT(A8155,"" "")"),"CN1CCN(C)CCN(CC2=CCC=C(N(C)c3ccc4ncccc4c3)N2)CC1")</f>
        <v>CN1CCN(C)CCN(CC2=CCC=C(N(C)c3ccc4ncccc4c3)N2)CC1</v>
      </c>
      <c r="C8155" s="7">
        <f>IFERROR(__xludf.DUMMYFUNCTION("""COMPUTED_VALUE"""),7.7751856)</f>
        <v>7.7751856</v>
      </c>
      <c r="D8155" s="7">
        <f>IFERROR(__xludf.DUMMYFUNCTION("""COMPUTED_VALUE"""),0.4)</f>
        <v>0.4</v>
      </c>
    </row>
    <row r="8156">
      <c r="A8156" s="10" t="s">
        <v>9595</v>
      </c>
      <c r="B8156" s="7" t="str">
        <f>IFERROR(__xludf.DUMMYFUNCTION("SPLIT(A8156,"" "")"),"CNc1ccc(CNCc2cccc(C3CC(Cl)C3Cl)n2)nc1")</f>
        <v>CNc1ccc(CNCc2cccc(C3CC(Cl)C3Cl)n2)nc1</v>
      </c>
      <c r="C8156" s="7">
        <f>IFERROR(__xludf.DUMMYFUNCTION("""COMPUTED_VALUE"""),7.7751846)</f>
        <v>7.7751846</v>
      </c>
      <c r="D8156" s="7">
        <f>IFERROR(__xludf.DUMMYFUNCTION("""COMPUTED_VALUE"""),0.264150943396226)</f>
        <v>0.2641509434</v>
      </c>
    </row>
    <row r="8157">
      <c r="A8157" s="10" t="s">
        <v>9596</v>
      </c>
      <c r="B8157" s="7" t="str">
        <f>IFERROR(__xludf.DUMMYFUNCTION("SPLIT(A8157,"" "")"),"CNC1CC=C(CN(C)Cc2nc(C)c(C)c(C)c2C)C=N1")</f>
        <v>CNC1CC=C(CN(C)Cc2nc(C)c(C)c(C)c2C)C=N1</v>
      </c>
      <c r="C8157" s="7">
        <f>IFERROR(__xludf.DUMMYFUNCTION("""COMPUTED_VALUE"""),7.775183)</f>
        <v>7.775183</v>
      </c>
      <c r="D8157" s="7">
        <f>IFERROR(__xludf.DUMMYFUNCTION("""COMPUTED_VALUE"""),0.2)</f>
        <v>0.2</v>
      </c>
    </row>
    <row r="8158">
      <c r="A8158" s="10" t="s">
        <v>9597</v>
      </c>
      <c r="B8158" s="7" t="str">
        <f>IFERROR(__xludf.DUMMYFUNCTION("SPLIT(A8158,"" "")"),"CNCc1ccc(CN(C)Cc2cc(C)ccn2)cn1")</f>
        <v>CNCc1ccc(CN(C)Cc2cc(C)ccn2)cn1</v>
      </c>
      <c r="C8158" s="7">
        <f>IFERROR(__xludf.DUMMYFUNCTION("""COMPUTED_VALUE"""),7.7751827)</f>
        <v>7.7751827</v>
      </c>
      <c r="D8158" s="7">
        <f>IFERROR(__xludf.DUMMYFUNCTION("""COMPUTED_VALUE"""),0.391304347826087)</f>
        <v>0.3913043478</v>
      </c>
    </row>
    <row r="8159">
      <c r="A8159" s="10" t="s">
        <v>9598</v>
      </c>
      <c r="B8159" s="7" t="str">
        <f>IFERROR(__xludf.DUMMYFUNCTION("SPLIT(A8159,"" "")"),"CC(C)N(Cc1cccc(C2CC(C)(C)C2)n1)Cc1cccc(C(C)(C)C)n1")</f>
        <v>CC(C)N(Cc1cccc(C2CC(C)(C)C2)n1)Cc1cccc(C(C)(C)C)n1</v>
      </c>
      <c r="C8159" s="7">
        <f>IFERROR(__xludf.DUMMYFUNCTION("""COMPUTED_VALUE"""),7.7751756)</f>
        <v>7.7751756</v>
      </c>
      <c r="D8159" s="7">
        <f>IFERROR(__xludf.DUMMYFUNCTION("""COMPUTED_VALUE"""),0.320754716981132)</f>
        <v>0.320754717</v>
      </c>
    </row>
    <row r="8160">
      <c r="A8160" s="10" t="s">
        <v>9599</v>
      </c>
      <c r="B8160" s="7" t="str">
        <f>IFERROR(__xludf.DUMMYFUNCTION("SPLIT(A8160,"" "")"),"CN(Cc1cc(-c2ccc3c(c2)OCCOCCOCCOCCOCCO3)ccn1)CN(C)c1ccc2cccnc2c1")</f>
        <v>CN(Cc1cc(-c2ccc3c(c2)OCCOCCOCCOCCOCCO3)ccn1)CN(C)c1ccc2cccnc2c1</v>
      </c>
      <c r="C8160" s="7">
        <f>IFERROR(__xludf.DUMMYFUNCTION("""COMPUTED_VALUE"""),7.775175)</f>
        <v>7.775175</v>
      </c>
      <c r="D8160" s="7">
        <f>IFERROR(__xludf.DUMMYFUNCTION("""COMPUTED_VALUE"""),0.333333333333333)</f>
        <v>0.3333333333</v>
      </c>
    </row>
    <row r="8161">
      <c r="A8161" s="10" t="s">
        <v>9600</v>
      </c>
      <c r="B8161" s="7" t="str">
        <f>IFERROR(__xludf.DUMMYFUNCTION("SPLIT(A8161,"" "")"),"CCNCc1cc(N(C)C2C=CC=CN2)ccn1")</f>
        <v>CCNCc1cc(N(C)C2C=CC=CN2)ccn1</v>
      </c>
      <c r="C8161" s="7">
        <f>IFERROR(__xludf.DUMMYFUNCTION("""COMPUTED_VALUE"""),7.7751727)</f>
        <v>7.7751727</v>
      </c>
      <c r="D8161" s="7">
        <f>IFERROR(__xludf.DUMMYFUNCTION("""COMPUTED_VALUE"""),0.327586206896551)</f>
        <v>0.3275862069</v>
      </c>
    </row>
    <row r="8162">
      <c r="A8162" s="10" t="s">
        <v>9601</v>
      </c>
      <c r="B8162" s="7" t="str">
        <f>IFERROR(__xludf.DUMMYFUNCTION("SPLIT(A8162,"" "")"),"CN(CCN(C)C1CCCC(N(Cc2ccccn2)Cc2ccccn2)C1)c1cccc2ncccc12")</f>
        <v>CN(CCN(C)C1CCCC(N(Cc2ccccn2)Cc2ccccn2)C1)c1cccc2ncccc12</v>
      </c>
      <c r="C8162" s="7">
        <f>IFERROR(__xludf.DUMMYFUNCTION("""COMPUTED_VALUE"""),7.7751617)</f>
        <v>7.7751617</v>
      </c>
      <c r="D8162" s="7">
        <f>IFERROR(__xludf.DUMMYFUNCTION("""COMPUTED_VALUE"""),0.421052631578947)</f>
        <v>0.4210526316</v>
      </c>
    </row>
    <row r="8163">
      <c r="A8163" s="10" t="s">
        <v>9602</v>
      </c>
      <c r="B8163" s="7" t="str">
        <f>IFERROR(__xludf.DUMMYFUNCTION("SPLIT(A8163,"" "")"),"CCN(Cc1ccccn1)c1cccc(C)c1-c1cnccc1CN1CCN(C)CCN(C)CC1")</f>
        <v>CCN(Cc1ccccn1)c1cccc(C)c1-c1cnccc1CN1CCN(C)CCN(C)CC1</v>
      </c>
      <c r="C8163" s="7">
        <f>IFERROR(__xludf.DUMMYFUNCTION("""COMPUTED_VALUE"""),7.7751575)</f>
        <v>7.7751575</v>
      </c>
      <c r="D8163" s="7">
        <f>IFERROR(__xludf.DUMMYFUNCTION("""COMPUTED_VALUE"""),0.448275862068965)</f>
        <v>0.4482758621</v>
      </c>
    </row>
    <row r="8164">
      <c r="A8164" s="10" t="s">
        <v>9603</v>
      </c>
      <c r="B8164" s="7" t="str">
        <f>IFERROR(__xludf.DUMMYFUNCTION("SPLIT(A8164,"" "")"),"CCN(Cc1ccccn1)Cc1cc(C(C)(C)c2cc(CN(Cc3ccccn3)C3CCC(N(C)Cc4cc(C)c(C)c(C)n4)CC3)ccn2)ccn1")</f>
        <v>CCN(Cc1ccccn1)Cc1cc(C(C)(C)c2cc(CN(Cc3ccccn3)C3CCC(N(C)Cc4cc(C)c(C)c(C)n4)CC3)ccn2)ccn1</v>
      </c>
      <c r="C8164" s="7">
        <f>IFERROR(__xludf.DUMMYFUNCTION("""COMPUTED_VALUE"""),7.7751513)</f>
        <v>7.7751513</v>
      </c>
      <c r="D8164" s="7">
        <f>IFERROR(__xludf.DUMMYFUNCTION("""COMPUTED_VALUE"""),0.324324324324324)</f>
        <v>0.3243243243</v>
      </c>
    </row>
    <row r="8165">
      <c r="A8165" s="10" t="s">
        <v>9604</v>
      </c>
      <c r="B8165" s="7" t="str">
        <f>IFERROR(__xludf.DUMMYFUNCTION("SPLIT(A8165,"" "")"),"Cc1cccnc1CN(C)C1=C(CN(C)CC(C)(C)C)NC=CC1")</f>
        <v>Cc1cccnc1CN(C)C1=C(CN(C)CC(C)(C)C)NC=CC1</v>
      </c>
      <c r="C8165" s="7">
        <f>IFERROR(__xludf.DUMMYFUNCTION("""COMPUTED_VALUE"""),7.7751384)</f>
        <v>7.7751384</v>
      </c>
      <c r="D8165" s="7">
        <f>IFERROR(__xludf.DUMMYFUNCTION("""COMPUTED_VALUE"""),0.288135593220339)</f>
        <v>0.2881355932</v>
      </c>
    </row>
    <row r="8166">
      <c r="A8166" s="10" t="s">
        <v>9605</v>
      </c>
      <c r="B8166" s="7" t="str">
        <f>IFERROR(__xludf.DUMMYFUNCTION("SPLIT(A8166,"" "")"),"Cc1cnc(CN(Cc2ccccc2)C2CCCCC2)c(-c2ccccc2NCc2ccccn2)c1")</f>
        <v>Cc1cnc(CN(Cc2ccccc2)C2CCCCC2)c(-c2ccccc2NCc2ccccn2)c1</v>
      </c>
      <c r="C8166" s="7">
        <f>IFERROR(__xludf.DUMMYFUNCTION("""COMPUTED_VALUE"""),7.7751336)</f>
        <v>7.7751336</v>
      </c>
      <c r="D8166" s="7">
        <f>IFERROR(__xludf.DUMMYFUNCTION("""COMPUTED_VALUE"""),0.338461538461538)</f>
        <v>0.3384615385</v>
      </c>
    </row>
    <row r="8167">
      <c r="A8167" s="10" t="s">
        <v>9606</v>
      </c>
      <c r="B8167" s="7" t="str">
        <f>IFERROR(__xludf.DUMMYFUNCTION("SPLIT(A8167,"" "")"),"Cc1cnc(CN(C)C2=CNC(CN(C)C(C)C(C)N)=CC2)c(C)c1C")</f>
        <v>Cc1cnc(CN(C)C2=CNC(CN(C)C(C)C(C)N)=CC2)c(C)c1C</v>
      </c>
      <c r="C8167" s="7">
        <f>IFERROR(__xludf.DUMMYFUNCTION("""COMPUTED_VALUE"""),7.775129)</f>
        <v>7.775129</v>
      </c>
      <c r="D8167" s="7">
        <f>IFERROR(__xludf.DUMMYFUNCTION("""COMPUTED_VALUE"""),0.205882352941176)</f>
        <v>0.2058823529</v>
      </c>
    </row>
    <row r="8168">
      <c r="A8168" s="10" t="s">
        <v>9607</v>
      </c>
      <c r="B8168" s="7" t="str">
        <f>IFERROR(__xludf.DUMMYFUNCTION("SPLIT(A8168,"" "")"),"CN(CC1=CCC=CN1)C1=CCC=C(C(C)(C)C)N1")</f>
        <v>CN(CC1=CCC=CN1)C1=CCC=C(C(C)(C)C)N1</v>
      </c>
      <c r="C8168" s="7">
        <f>IFERROR(__xludf.DUMMYFUNCTION("""COMPUTED_VALUE"""),7.7751245)</f>
        <v>7.7751245</v>
      </c>
      <c r="D8168" s="7">
        <f>IFERROR(__xludf.DUMMYFUNCTION("""COMPUTED_VALUE"""),0.358490566037735)</f>
        <v>0.358490566</v>
      </c>
    </row>
    <row r="8169">
      <c r="A8169" s="10" t="s">
        <v>9608</v>
      </c>
      <c r="B8169" s="7" t="str">
        <f>IFERROR(__xludf.DUMMYFUNCTION("SPLIT(A8169,"" "")"),"COC(=O)C1CN(C)C(CN(Cc2ccccn2)Cc2ccccn2)C(c2ccccn2)C1c1ccccn1")</f>
        <v>COC(=O)C1CN(C)C(CN(Cc2ccccn2)Cc2ccccn2)C(c2ccccn2)C1c1ccccn1</v>
      </c>
      <c r="C8169" s="7">
        <f>IFERROR(__xludf.DUMMYFUNCTION("""COMPUTED_VALUE"""),7.77511)</f>
        <v>7.77511</v>
      </c>
      <c r="D8169" s="7">
        <f>IFERROR(__xludf.DUMMYFUNCTION("""COMPUTED_VALUE"""),0.378787878787878)</f>
        <v>0.3787878788</v>
      </c>
    </row>
    <row r="8170">
      <c r="A8170" s="10" t="s">
        <v>9609</v>
      </c>
      <c r="B8170" s="7" t="str">
        <f>IFERROR(__xludf.DUMMYFUNCTION("SPLIT(A8170,"" "")"),"CN(Cc1ccccn1)C1=CCC=C(CN(C)C(C)(C)C)N1")</f>
        <v>CN(Cc1ccccn1)C1=CCC=C(CN(C)C(C)(C)C)N1</v>
      </c>
      <c r="C8170" s="7">
        <f>IFERROR(__xludf.DUMMYFUNCTION("""COMPUTED_VALUE"""),7.7750998)</f>
        <v>7.7750998</v>
      </c>
      <c r="D8170" s="7">
        <f>IFERROR(__xludf.DUMMYFUNCTION("""COMPUTED_VALUE"""),0.425925925925925)</f>
        <v>0.4259259259</v>
      </c>
    </row>
    <row r="8171">
      <c r="A8171" s="10" t="s">
        <v>9610</v>
      </c>
      <c r="B8171" s="7" t="str">
        <f>IFERROR(__xludf.DUMMYFUNCTION("SPLIT(A8171,"" "")"),"CNCc1cccc(-c2cccc(N(C)Cc3cccc(-c4ccc5c(c4)OCCOCCOCCOCCOCCO5)n3)c2)n1")</f>
        <v>CNCc1cccc(-c2cccc(N(C)Cc3cccc(-c4ccc5c(c4)OCCOCCOCCOCCOCCO5)n3)c2)n1</v>
      </c>
      <c r="C8171" s="7">
        <f>IFERROR(__xludf.DUMMYFUNCTION("""COMPUTED_VALUE"""),7.775099)</f>
        <v>7.775099</v>
      </c>
      <c r="D8171" s="7">
        <f>IFERROR(__xludf.DUMMYFUNCTION("""COMPUTED_VALUE"""),0.315068493150684)</f>
        <v>0.3150684932</v>
      </c>
    </row>
    <row r="8172">
      <c r="A8172" s="10" t="s">
        <v>9611</v>
      </c>
      <c r="B8172" s="7" t="str">
        <f>IFERROR(__xludf.DUMMYFUNCTION("SPLIT(A8172,"" "")"),"CCN(Cc1cc(-c2ccc3c(c2)OCCOCCOCCOCCOCCO3)ccn1)Cc1ncccc1-c1ccc(N(C)C)cc1")</f>
        <v>CCN(Cc1cc(-c2ccc3c(c2)OCCOCCOCCOCCOCCO3)ccn1)Cc1ncccc1-c1ccc(N(C)C)cc1</v>
      </c>
      <c r="C8172" s="7">
        <f>IFERROR(__xludf.DUMMYFUNCTION("""COMPUTED_VALUE"""),7.775097)</f>
        <v>7.775097</v>
      </c>
      <c r="D8172" s="7">
        <f>IFERROR(__xludf.DUMMYFUNCTION("""COMPUTED_VALUE"""),0.328947368421052)</f>
        <v>0.3289473684</v>
      </c>
    </row>
    <row r="8173">
      <c r="A8173" s="10" t="s">
        <v>9612</v>
      </c>
      <c r="B8173" s="7" t="str">
        <f>IFERROR(__xludf.DUMMYFUNCTION("SPLIT(A8173,"" "")"),"CCOC(C)NCc1ccc(CN(Cc2ccccn2)Cc2ncccc2C(C)(C)C)cn1")</f>
        <v>CCOC(C)NCc1ccc(CN(Cc2ccccn2)Cc2ncccc2C(C)(C)C)cn1</v>
      </c>
      <c r="C8173" s="7">
        <f>IFERROR(__xludf.DUMMYFUNCTION("""COMPUTED_VALUE"""),7.775088)</f>
        <v>7.775088</v>
      </c>
      <c r="D8173" s="7">
        <f>IFERROR(__xludf.DUMMYFUNCTION("""COMPUTED_VALUE"""),0.350877192982456)</f>
        <v>0.350877193</v>
      </c>
    </row>
    <row r="8174">
      <c r="A8174" s="10" t="s">
        <v>9613</v>
      </c>
      <c r="B8174" s="7" t="str">
        <f>IFERROR(__xludf.DUMMYFUNCTION("SPLIT(A8174,"" "")"),"COC(=O)c1ncccc1CN1CCN(C)CCN(Cc2cccc(C(C)(c3ccccn3)c3ccccn3)n2)CC1")</f>
        <v>COC(=O)c1ncccc1CN1CCN(C)CCN(Cc2cccc(C(C)(c3ccccn3)c3ccccn3)n2)CC1</v>
      </c>
      <c r="C8174" s="7">
        <f>IFERROR(__xludf.DUMMYFUNCTION("""COMPUTED_VALUE"""),7.7750874)</f>
        <v>7.7750874</v>
      </c>
      <c r="D8174" s="7">
        <f>IFERROR(__xludf.DUMMYFUNCTION("""COMPUTED_VALUE"""),0.448275862068965)</f>
        <v>0.4482758621</v>
      </c>
    </row>
    <row r="8175">
      <c r="A8175" s="10" t="s">
        <v>9614</v>
      </c>
      <c r="B8175" s="7" t="str">
        <f>IFERROR(__xludf.DUMMYFUNCTION("SPLIT(A8175,"" "")"),"CC1=C(C)CC(N(Cc2ccccn2)C2CCCCC2N(C)c2ccc3nccc(CN(C)C)c3c2)C(C)C1")</f>
        <v>CC1=C(C)CC(N(Cc2ccccn2)C2CCCCC2N(C)c2ccc3nccc(CN(C)C)c3c2)C(C)C1</v>
      </c>
      <c r="C8175" s="7">
        <f>IFERROR(__xludf.DUMMYFUNCTION("""COMPUTED_VALUE"""),7.775064)</f>
        <v>7.775064</v>
      </c>
      <c r="D8175" s="7">
        <f>IFERROR(__xludf.DUMMYFUNCTION("""COMPUTED_VALUE"""),0.4)</f>
        <v>0.4</v>
      </c>
    </row>
    <row r="8176">
      <c r="A8176" s="10" t="s">
        <v>9615</v>
      </c>
      <c r="B8176" s="7" t="str">
        <f>IFERROR(__xludf.DUMMYFUNCTION("SPLIT(A8176,"" "")"),"CNCc1cccc(CNCc2cccc(N)n2)n1")</f>
        <v>CNCc1cccc(CNCc2cccc(N)n2)n1</v>
      </c>
      <c r="C8176" s="7">
        <f>IFERROR(__xludf.DUMMYFUNCTION("""COMPUTED_VALUE"""),7.7750626)</f>
        <v>7.7750626</v>
      </c>
      <c r="D8176" s="7">
        <f>IFERROR(__xludf.DUMMYFUNCTION("""COMPUTED_VALUE"""),0.31578947368421)</f>
        <v>0.3157894737</v>
      </c>
    </row>
    <row r="8177">
      <c r="A8177" s="10" t="s">
        <v>9616</v>
      </c>
      <c r="B8177" s="7" t="str">
        <f>IFERROR(__xludf.DUMMYFUNCTION("SPLIT(A8177,"" "")"),"CC(C)C1=CC(N(C)CC2=C(N(C)Cc3ccccn3)CC=CN2)C=CN1")</f>
        <v>CC(C)C1=CC(N(C)CC2=C(N(C)Cc3ccccn3)CC=CN2)C=CN1</v>
      </c>
      <c r="C8177" s="7">
        <f>IFERROR(__xludf.DUMMYFUNCTION("""COMPUTED_VALUE"""),7.7750597)</f>
        <v>7.7750597</v>
      </c>
      <c r="D8177" s="7">
        <f>IFERROR(__xludf.DUMMYFUNCTION("""COMPUTED_VALUE"""),0.360655737704918)</f>
        <v>0.3606557377</v>
      </c>
    </row>
    <row r="8178">
      <c r="A8178" s="10" t="s">
        <v>9617</v>
      </c>
      <c r="B8178" s="7" t="str">
        <f>IFERROR(__xludf.DUMMYFUNCTION("SPLIT(A8178,"" "")"),"CNCCN(Cc1cc(C)c(C)cn1)Cc1cc(C)c(C)c(C)n1")</f>
        <v>CNCCN(Cc1cc(C)c(C)cn1)Cc1cc(C)c(C)c(C)n1</v>
      </c>
      <c r="C8178" s="7">
        <f>IFERROR(__xludf.DUMMYFUNCTION("""COMPUTED_VALUE"""),7.775059)</f>
        <v>7.775059</v>
      </c>
      <c r="D8178" s="7">
        <f>IFERROR(__xludf.DUMMYFUNCTION("""COMPUTED_VALUE"""),0.285714285714285)</f>
        <v>0.2857142857</v>
      </c>
    </row>
    <row r="8179">
      <c r="A8179" s="10" t="s">
        <v>9618</v>
      </c>
      <c r="B8179" s="7" t="str">
        <f>IFERROR(__xludf.DUMMYFUNCTION("SPLIT(A8179,"" "")"),"CCN(Cc1ccc([SiH3])cn1)Cc1cccc([Si](C(C)C)(C(C)C)C(C)C)n1")</f>
        <v>CCN(Cc1ccc([SiH3])cn1)Cc1cccc([Si](C(C)C)(C(C)C)C(C)C)n1</v>
      </c>
      <c r="C8179" s="7">
        <f>IFERROR(__xludf.DUMMYFUNCTION("""COMPUTED_VALUE"""),7.7750564)</f>
        <v>7.7750564</v>
      </c>
      <c r="D8179" s="7">
        <f>IFERROR(__xludf.DUMMYFUNCTION("""COMPUTED_VALUE"""),0.446808510638297)</f>
        <v>0.4468085106</v>
      </c>
    </row>
    <row r="8180">
      <c r="A8180" s="10" t="s">
        <v>9619</v>
      </c>
      <c r="B8180" s="7" t="str">
        <f>IFERROR(__xludf.DUMMYFUNCTION("SPLIT(A8180,"" "")"),"Cc1cc(C)c(CN(Cc2nc(C)c(C)cc2C)C2CC(N(C)Cc3ccccn3)CC(N(C)C3=CCC=CN3)C2)nc1C")</f>
        <v>Cc1cc(C)c(CN(Cc2nc(C)c(C)cc2C)C2CC(N(C)Cc3ccccn3)CC(N(C)C3=CCC=CN3)C2)nc1C</v>
      </c>
      <c r="C8180" s="7">
        <f>IFERROR(__xludf.DUMMYFUNCTION("""COMPUTED_VALUE"""),7.775055)</f>
        <v>7.775055</v>
      </c>
      <c r="D8180" s="7">
        <f>IFERROR(__xludf.DUMMYFUNCTION("""COMPUTED_VALUE"""),0.397058823529411)</f>
        <v>0.3970588235</v>
      </c>
    </row>
    <row r="8181">
      <c r="A8181" s="10" t="s">
        <v>9620</v>
      </c>
      <c r="B8181" s="7" t="str">
        <f>IFERROR(__xludf.DUMMYFUNCTION("SPLIT(A8181,"" "")"),"Cc1cccnc1CN(C)C1=CNC=C(CN(C)C(C)(C)C)C1")</f>
        <v>Cc1cccnc1CN(C)C1=CNC=C(CN(C)C(C)(C)C)C1</v>
      </c>
      <c r="C8181" s="7">
        <f>IFERROR(__xludf.DUMMYFUNCTION("""COMPUTED_VALUE"""),7.7750463)</f>
        <v>7.7750463</v>
      </c>
      <c r="D8181" s="7">
        <f>IFERROR(__xludf.DUMMYFUNCTION("""COMPUTED_VALUE"""),0.245614035087719)</f>
        <v>0.2456140351</v>
      </c>
    </row>
    <row r="8182">
      <c r="A8182" s="10" t="s">
        <v>9621</v>
      </c>
      <c r="B8182" s="7" t="str">
        <f>IFERROR(__xludf.DUMMYFUNCTION("SPLIT(A8182,"" "")"),"CCCN(Cc1ccccn1)C1=C(CN(C)Cc2ccccn2)NC=CC1")</f>
        <v>CCCN(Cc1ccccn1)C1=C(CN(C)Cc2ccccn2)NC=CC1</v>
      </c>
      <c r="C8182" s="7">
        <f>IFERROR(__xludf.DUMMYFUNCTION("""COMPUTED_VALUE"""),7.7750435)</f>
        <v>7.7750435</v>
      </c>
      <c r="D8182" s="7">
        <f>IFERROR(__xludf.DUMMYFUNCTION("""COMPUTED_VALUE"""),0.407407407407407)</f>
        <v>0.4074074074</v>
      </c>
    </row>
    <row r="8183">
      <c r="A8183" s="10" t="s">
        <v>9622</v>
      </c>
      <c r="B8183" s="7" t="str">
        <f>IFERROR(__xludf.DUMMYFUNCTION("SPLIT(A8183,"" "")"),"CCCN(C)CC1=CC(N(C)Cc2nc(C)c(C)c(C)c2C)C=CN1")</f>
        <v>CCCN(C)CC1=CC(N(C)Cc2nc(C)c(C)c(C)c2C)C=CN1</v>
      </c>
      <c r="C8183" s="7">
        <f>IFERROR(__xludf.DUMMYFUNCTION("""COMPUTED_VALUE"""),7.775041)</f>
        <v>7.775041</v>
      </c>
      <c r="D8183" s="7">
        <f>IFERROR(__xludf.DUMMYFUNCTION("""COMPUTED_VALUE"""),0.322033898305084)</f>
        <v>0.3220338983</v>
      </c>
    </row>
    <row r="8184">
      <c r="A8184" s="10" t="s">
        <v>9623</v>
      </c>
      <c r="B8184" s="7" t="str">
        <f>IFERROR(__xludf.DUMMYFUNCTION("SPLIT(A8184,"" "")"),"Cc1cccnc1CN(C)C1CC(N(C)Cc2ccccn2)CC(N(Cc2nc(C)c(C)c(C)c2C)Cc2nc(C)c(C)c(C)c2C)C1")</f>
        <v>Cc1cccnc1CN(C)C1CC(N(C)Cc2ccccn2)CC(N(Cc2nc(C)c(C)c(C)c2C)Cc2nc(C)c(C)c(C)c2C)C1</v>
      </c>
      <c r="C8184" s="7">
        <f>IFERROR(__xludf.DUMMYFUNCTION("""COMPUTED_VALUE"""),7.7750387)</f>
        <v>7.7750387</v>
      </c>
      <c r="D8184" s="7">
        <f>IFERROR(__xludf.DUMMYFUNCTION("""COMPUTED_VALUE"""),0.403508771929824)</f>
        <v>0.4035087719</v>
      </c>
    </row>
    <row r="8185">
      <c r="A8185" s="10" t="s">
        <v>9624</v>
      </c>
      <c r="B8185" s="7" t="str">
        <f>IFERROR(__xludf.DUMMYFUNCTION("SPLIT(A8185,"" "")"),"Cc1cc(C)c(CN(C)C2CC(N(Cc3nc(C)c(C)cc3C)Cc3nc(C)c(C)c(C)c3C)CCC2N(C)Cc2ccccn2)nc1C")</f>
        <v>Cc1cc(C)c(CN(C)C2CC(N(Cc3nc(C)c(C)cc3C)Cc3nc(C)c(C)c(C)c3C)CCC2N(C)Cc2ccccn2)nc1C</v>
      </c>
      <c r="C8185" s="7">
        <f>IFERROR(__xludf.DUMMYFUNCTION("""COMPUTED_VALUE"""),7.7750316)</f>
        <v>7.7750316</v>
      </c>
      <c r="D8185" s="7">
        <f>IFERROR(__xludf.DUMMYFUNCTION("""COMPUTED_VALUE"""),0.457627118644067)</f>
        <v>0.4576271186</v>
      </c>
    </row>
    <row r="8186">
      <c r="A8186" s="10" t="s">
        <v>9625</v>
      </c>
      <c r="B8186" s="7" t="str">
        <f>IFERROR(__xludf.DUMMYFUNCTION("SPLIT(A8186,"" "")"),"CC1=C(C)C(C)(c2ncccc2CN(Cc2ccccn2)Cc2ccccn2)C(C)CC1")</f>
        <v>CC1=C(C)C(C)(c2ncccc2CN(Cc2ccccn2)Cc2ccccn2)C(C)CC1</v>
      </c>
      <c r="C8186" s="7">
        <f>IFERROR(__xludf.DUMMYFUNCTION("""COMPUTED_VALUE"""),7.7750263)</f>
        <v>7.7750263</v>
      </c>
      <c r="D8186" s="7">
        <f>IFERROR(__xludf.DUMMYFUNCTION("""COMPUTED_VALUE"""),0.434782608695652)</f>
        <v>0.4347826087</v>
      </c>
    </row>
    <row r="8187">
      <c r="A8187" s="10" t="s">
        <v>9626</v>
      </c>
      <c r="B8187" s="7" t="str">
        <f>IFERROR(__xludf.DUMMYFUNCTION("SPLIT(A8187,"" "")"),"Cc1cc(C)c(C)c(CN(C)CCN(C)Cc2ncccc2C)n1")</f>
        <v>Cc1cc(C)c(C)c(CN(C)CCN(C)Cc2ncccc2C)n1</v>
      </c>
      <c r="C8187" s="7">
        <f>IFERROR(__xludf.DUMMYFUNCTION("""COMPUTED_VALUE"""),7.775018)</f>
        <v>7.775018</v>
      </c>
      <c r="D8187" s="7">
        <f>IFERROR(__xludf.DUMMYFUNCTION("""COMPUTED_VALUE"""),0.413043478260869)</f>
        <v>0.4130434783</v>
      </c>
    </row>
    <row r="8188">
      <c r="A8188" s="10" t="s">
        <v>9627</v>
      </c>
      <c r="B8188" s="7" t="str">
        <f>IFERROR(__xludf.DUMMYFUNCTION("SPLIT(A8188,"" "")"),"CCOC(=O)C(C)NCc1ncccc1C(=O)C(C)N")</f>
        <v>CCOC(=O)C(C)NCc1ncccc1C(=O)C(C)N</v>
      </c>
      <c r="C8188" s="7">
        <f>IFERROR(__xludf.DUMMYFUNCTION("""COMPUTED_VALUE"""),7.7750163)</f>
        <v>7.7750163</v>
      </c>
      <c r="D8188" s="7">
        <f>IFERROR(__xludf.DUMMYFUNCTION("""COMPUTED_VALUE"""),0.242424242424242)</f>
        <v>0.2424242424</v>
      </c>
    </row>
    <row r="8189">
      <c r="A8189" s="10" t="s">
        <v>9628</v>
      </c>
      <c r="B8189" s="7" t="str">
        <f>IFERROR(__xludf.DUMMYFUNCTION("SPLIT(A8189,"" "")"),"CCN(Cc1cccc(C2CCC2(C)C)n1)Cc1ncccc1C(C)(C)c1ccccn1")</f>
        <v>CCN(Cc1cccc(C2CCC2(C)C)n1)Cc1ncccc1C(C)(C)c1ccccn1</v>
      </c>
      <c r="C8189" s="7">
        <f>IFERROR(__xludf.DUMMYFUNCTION("""COMPUTED_VALUE"""),7.7750144)</f>
        <v>7.7750144</v>
      </c>
      <c r="D8189" s="7">
        <f>IFERROR(__xludf.DUMMYFUNCTION("""COMPUTED_VALUE"""),0.305555555555555)</f>
        <v>0.3055555556</v>
      </c>
    </row>
    <row r="8190">
      <c r="A8190" s="10" t="s">
        <v>9629</v>
      </c>
      <c r="B8190" s="7" t="str">
        <f>IFERROR(__xludf.DUMMYFUNCTION("SPLIT(A8190,"" "")"),"CN(C)C1CCCCC1N(C)c1ccc2cc(CF)cnc2c1")</f>
        <v>CN(C)C1CCCCC1N(C)c1ccc2cc(CF)cnc2c1</v>
      </c>
      <c r="C8190" s="7">
        <f>IFERROR(__xludf.DUMMYFUNCTION("""COMPUTED_VALUE"""),7.7750115)</f>
        <v>7.7750115</v>
      </c>
      <c r="D8190" s="7">
        <f>IFERROR(__xludf.DUMMYFUNCTION("""COMPUTED_VALUE"""),0.418181818181818)</f>
        <v>0.4181818182</v>
      </c>
    </row>
    <row r="8191">
      <c r="A8191" s="10" t="s">
        <v>9630</v>
      </c>
      <c r="B8191" s="7" t="str">
        <f>IFERROR(__xludf.DUMMYFUNCTION("SPLIT(A8191,"" "")"),"CC(C)N(C)CC1=CCC=C(N(C)Cc2cccnn2)N1")</f>
        <v>CC(C)N(C)CC1=CCC=C(N(C)Cc2cccnn2)N1</v>
      </c>
      <c r="C8191" s="7">
        <f>IFERROR(__xludf.DUMMYFUNCTION("""COMPUTED_VALUE"""),7.7750106)</f>
        <v>7.7750106</v>
      </c>
      <c r="D8191" s="7">
        <f>IFERROR(__xludf.DUMMYFUNCTION("""COMPUTED_VALUE"""),0.416666666666666)</f>
        <v>0.4166666667</v>
      </c>
    </row>
    <row r="8192">
      <c r="A8192" s="10" t="s">
        <v>9631</v>
      </c>
      <c r="B8192" s="7" t="str">
        <f>IFERROR(__xludf.DUMMYFUNCTION("SPLIT(A8192,"" "")"),"Cc1cccc(CN(C)C2=CCC(CN(C)C(C)C)=CN2)n1")</f>
        <v>Cc1cccc(CN(C)C2=CCC(CN(C)C(C)C)=CN2)n1</v>
      </c>
      <c r="C8192" s="7">
        <f>IFERROR(__xludf.DUMMYFUNCTION("""COMPUTED_VALUE"""),7.775007)</f>
        <v>7.775007</v>
      </c>
      <c r="D8192" s="7">
        <f>IFERROR(__xludf.DUMMYFUNCTION("""COMPUTED_VALUE"""),0.415094339622641)</f>
        <v>0.4150943396</v>
      </c>
    </row>
    <row r="8193">
      <c r="A8193" s="10" t="s">
        <v>9632</v>
      </c>
      <c r="B8193" s="7" t="str">
        <f>IFERROR(__xludf.DUMMYFUNCTION("SPLIT(A8193,"" "")"),"CN(Cc1cccc(-c2ccc(N(C)C)cc2)n1)Cc1cccc(-c2cccc3c2OCCOCCOCCOCCOCCO3)n1")</f>
        <v>CN(Cc1cccc(-c2ccc(N(C)C)cc2)n1)Cc1cccc(-c2cccc3c2OCCOCCOCCOCCOCCO3)n1</v>
      </c>
      <c r="C8193" s="7">
        <f>IFERROR(__xludf.DUMMYFUNCTION("""COMPUTED_VALUE"""),7.7750044)</f>
        <v>7.7750044</v>
      </c>
      <c r="D8193" s="7">
        <f>IFERROR(__xludf.DUMMYFUNCTION("""COMPUTED_VALUE"""),0.35593220338983)</f>
        <v>0.3559322034</v>
      </c>
    </row>
    <row r="8194">
      <c r="A8194" s="10" t="s">
        <v>9633</v>
      </c>
      <c r="B8194" s="7" t="str">
        <f>IFERROR(__xludf.DUMMYFUNCTION("SPLIT(A8194,"" "")"),"CNCc1nccc(C)c1C")</f>
        <v>CNCc1nccc(C)c1C</v>
      </c>
      <c r="C8194" s="7">
        <f>IFERROR(__xludf.DUMMYFUNCTION("""COMPUTED_VALUE"""),7.7750044)</f>
        <v>7.7750044</v>
      </c>
      <c r="D8194" s="7">
        <f>IFERROR(__xludf.DUMMYFUNCTION("""COMPUTED_VALUE"""),0.243243243243243)</f>
        <v>0.2432432432</v>
      </c>
    </row>
    <row r="8195">
      <c r="A8195" s="10" t="s">
        <v>9634</v>
      </c>
      <c r="B8195" s="7" t="str">
        <f>IFERROR(__xludf.DUMMYFUNCTION("SPLIT(A8195,"" "")"),"CN(CCCN(C)Cc1ncccc1-c1cccc2c1OCCOCCOCCOCCOCCO2)Cc1cccc(-c2cccc3cccnc23)n1")</f>
        <v>CN(CCCN(C)Cc1ncccc1-c1cccc2c1OCCOCCOCCOCCOCCO2)Cc1cccc(-c2cccc3cccnc23)n1</v>
      </c>
      <c r="C8195" s="7">
        <f>IFERROR(__xludf.DUMMYFUNCTION("""COMPUTED_VALUE"""),7.775003)</f>
        <v>7.775003</v>
      </c>
      <c r="D8195" s="7">
        <f>IFERROR(__xludf.DUMMYFUNCTION("""COMPUTED_VALUE"""),0.353846153846153)</f>
        <v>0.3538461538</v>
      </c>
    </row>
    <row r="8196">
      <c r="A8196" s="10" t="s">
        <v>9635</v>
      </c>
      <c r="B8196" s="7" t="str">
        <f>IFERROR(__xludf.DUMMYFUNCTION("SPLIT(A8196,"" "")"),"Cc1ccccc1CN(C)Cc1ncccc1C(C)(C)C")</f>
        <v>Cc1ccccc1CN(C)Cc1ncccc1C(C)(C)C</v>
      </c>
      <c r="C8196" s="7">
        <f>IFERROR(__xludf.DUMMYFUNCTION("""COMPUTED_VALUE"""),7.7749906)</f>
        <v>7.7749906</v>
      </c>
      <c r="D8196" s="7">
        <f>IFERROR(__xludf.DUMMYFUNCTION("""COMPUTED_VALUE"""),0.382978723404255)</f>
        <v>0.3829787234</v>
      </c>
    </row>
    <row r="8197">
      <c r="A8197" s="10" t="s">
        <v>9636</v>
      </c>
      <c r="B8197" s="7" t="str">
        <f>IFERROR(__xludf.DUMMYFUNCTION("SPLIT(A8197,"" "")"),"CN(Cc1ncccc1-c1ccccc1N(C)C)Cc1ncccc1-c1cccc2c1OCCOCCOCCOCCOCCO2")</f>
        <v>CN(Cc1ncccc1-c1ccccc1N(C)C)Cc1ncccc1-c1cccc2c1OCCOCCOCCOCCOCCO2</v>
      </c>
      <c r="C8197" s="7">
        <f>IFERROR(__xludf.DUMMYFUNCTION("""COMPUTED_VALUE"""),7.774987)</f>
        <v>7.774987</v>
      </c>
      <c r="D8197" s="7">
        <f>IFERROR(__xludf.DUMMYFUNCTION("""COMPUTED_VALUE"""),0.278688524590163)</f>
        <v>0.2786885246</v>
      </c>
    </row>
    <row r="8198">
      <c r="A8198" s="10" t="s">
        <v>9637</v>
      </c>
      <c r="B8198" s="7" t="str">
        <f>IFERROR(__xludf.DUMMYFUNCTION("SPLIT(A8198,"" "")"),"CCOC(C)NCc1cc(CN(Cc2ccccn2)Cc2cc(C(C)(C)C)ccn2)ccn1")</f>
        <v>CCOC(C)NCc1cc(CN(Cc2ccccn2)Cc2cc(C(C)(C)C)ccn2)ccn1</v>
      </c>
      <c r="C8198" s="7">
        <f>IFERROR(__xludf.DUMMYFUNCTION("""COMPUTED_VALUE"""),7.7749796)</f>
        <v>7.7749796</v>
      </c>
      <c r="D8198" s="7">
        <f>IFERROR(__xludf.DUMMYFUNCTION("""COMPUTED_VALUE"""),0.384615384615384)</f>
        <v>0.3846153846</v>
      </c>
    </row>
    <row r="8199">
      <c r="A8199" s="10" t="s">
        <v>9638</v>
      </c>
      <c r="B8199" s="7" t="str">
        <f>IFERROR(__xludf.DUMMYFUNCTION("SPLIT(A8199,"" "")"),"CN(Cc1cccc(-c2cccc(N(C)C)c2)n1)Cc1cccc(-c2ccc3c(c2)OCCOCCOCCOCCOCCO3)n1")</f>
        <v>CN(Cc1cccc(-c2cccc(N(C)C)c2)n1)Cc1cccc(-c2ccc3c(c2)OCCOCCOCCOCCOCCO3)n1</v>
      </c>
      <c r="C8199" s="7">
        <f>IFERROR(__xludf.DUMMYFUNCTION("""COMPUTED_VALUE"""),7.7749777)</f>
        <v>7.7749777</v>
      </c>
      <c r="D8199" s="7">
        <f>IFERROR(__xludf.DUMMYFUNCTION("""COMPUTED_VALUE"""),0.368421052631578)</f>
        <v>0.3684210526</v>
      </c>
    </row>
    <row r="8200">
      <c r="A8200" s="10" t="s">
        <v>9639</v>
      </c>
      <c r="B8200" s="7" t="str">
        <f>IFERROR(__xludf.DUMMYFUNCTION("SPLIT(A8200,"" "")"),"CC1C=CC(C)(c2cc(CN(Cc3ccccn3)Cc3cccc(C(C)(C)C)n3)ccn2)C(C)C1")</f>
        <v>CC1C=CC(C)(c2cc(CN(Cc3ccccn3)Cc3cccc(C(C)(C)C)n3)ccn2)C(C)C1</v>
      </c>
      <c r="C8200" s="7">
        <f>IFERROR(__xludf.DUMMYFUNCTION("""COMPUTED_VALUE"""),7.774963)</f>
        <v>7.774963</v>
      </c>
      <c r="D8200" s="7">
        <f>IFERROR(__xludf.DUMMYFUNCTION("""COMPUTED_VALUE"""),0.344827586206896)</f>
        <v>0.3448275862</v>
      </c>
    </row>
    <row r="8201">
      <c r="A8201" s="10" t="s">
        <v>9640</v>
      </c>
      <c r="B8201" s="7" t="str">
        <f>IFERROR(__xludf.DUMMYFUNCTION("SPLIT(A8201,"" "")"),"CCNCc1cc(C)cc(CN(C)Cc2cc(C)ccn2)n1")</f>
        <v>CCNCc1cc(C)cc(CN(C)Cc2cc(C)ccn2)n1</v>
      </c>
      <c r="C8201" s="7">
        <f>IFERROR(__xludf.DUMMYFUNCTION("""COMPUTED_VALUE"""),7.77496)</f>
        <v>7.77496</v>
      </c>
      <c r="D8201" s="7">
        <f>IFERROR(__xludf.DUMMYFUNCTION("""COMPUTED_VALUE"""),0.36734693877551)</f>
        <v>0.3673469388</v>
      </c>
    </row>
    <row r="8202">
      <c r="A8202" s="10" t="s">
        <v>9641</v>
      </c>
      <c r="B8202" s="7" t="str">
        <f>IFERROR(__xludf.DUMMYFUNCTION("SPLIT(A8202,"" "")"),"CC1=CC(C)C(C(C)(C)C)C=C1N(C)Cc1ccccn1")</f>
        <v>CC1=CC(C)C(C(C)(C)C)C=C1N(C)Cc1ccccn1</v>
      </c>
      <c r="C8202" s="7">
        <f>IFERROR(__xludf.DUMMYFUNCTION("""COMPUTED_VALUE"""),7.7749577)</f>
        <v>7.7749577</v>
      </c>
      <c r="D8202" s="7">
        <f>IFERROR(__xludf.DUMMYFUNCTION("""COMPUTED_VALUE"""),0.4375)</f>
        <v>0.4375</v>
      </c>
    </row>
    <row r="8203">
      <c r="A8203" s="10" t="s">
        <v>9642</v>
      </c>
      <c r="B8203" s="7" t="str">
        <f>IFERROR(__xludf.DUMMYFUNCTION("SPLIT(A8203,"" "")"),"CNCN(Cc1ccccn1)C1CCC(N(C)c2cccc3nccc(CF)c23)CC1")</f>
        <v>CNCN(Cc1ccccn1)C1CCC(N(C)c2cccc3nccc(CF)c23)CC1</v>
      </c>
      <c r="C8203" s="7">
        <f>IFERROR(__xludf.DUMMYFUNCTION("""COMPUTED_VALUE"""),7.774956)</f>
        <v>7.774956</v>
      </c>
      <c r="D8203" s="7">
        <f>IFERROR(__xludf.DUMMYFUNCTION("""COMPUTED_VALUE"""),0.349206349206349)</f>
        <v>0.3492063492</v>
      </c>
    </row>
    <row r="8204">
      <c r="A8204" s="10" t="s">
        <v>9643</v>
      </c>
      <c r="B8204" s="7" t="str">
        <f>IFERROR(__xludf.DUMMYFUNCTION("SPLIT(A8204,"" "")"),"Cc1ccc(CN(C)CC2=CC(N(C)Cc3cc(C)ccn3)C=CN2)cc1")</f>
        <v>Cc1ccc(CN(C)CC2=CC(N(C)Cc3cc(C)ccn3)C=CN2)cc1</v>
      </c>
      <c r="C8204" s="7">
        <f>IFERROR(__xludf.DUMMYFUNCTION("""COMPUTED_VALUE"""),7.774949)</f>
        <v>7.774949</v>
      </c>
      <c r="D8204" s="7">
        <f>IFERROR(__xludf.DUMMYFUNCTION("""COMPUTED_VALUE"""),0.306451612903225)</f>
        <v>0.3064516129</v>
      </c>
    </row>
    <row r="8205">
      <c r="A8205" s="10" t="s">
        <v>9644</v>
      </c>
      <c r="B8205" s="7" t="str">
        <f>IFERROR(__xludf.DUMMYFUNCTION("SPLIT(A8205,"" "")"),"CC(C)NCc1ccc(NC2C=CC=CN2)cn1")</f>
        <v>CC(C)NCc1ccc(NC2C=CC=CN2)cn1</v>
      </c>
      <c r="C8205" s="7">
        <f>IFERROR(__xludf.DUMMYFUNCTION("""COMPUTED_VALUE"""),7.7749443)</f>
        <v>7.7749443</v>
      </c>
      <c r="D8205" s="7">
        <f>IFERROR(__xludf.DUMMYFUNCTION("""COMPUTED_VALUE"""),0.298245614035087)</f>
        <v>0.298245614</v>
      </c>
    </row>
    <row r="8206">
      <c r="A8206" s="10" t="s">
        <v>9645</v>
      </c>
      <c r="B8206" s="7" t="str">
        <f>IFERROR(__xludf.DUMMYFUNCTION("SPLIT(A8206,"" "")"),"CCNCc1ncccc1C(C)(C)c1ccccn1")</f>
        <v>CCNCc1ncccc1C(C)(C)c1ccccn1</v>
      </c>
      <c r="C8206" s="7">
        <f>IFERROR(__xludf.DUMMYFUNCTION("""COMPUTED_VALUE"""),7.7749376)</f>
        <v>7.7749376</v>
      </c>
      <c r="D8206" s="7">
        <f>IFERROR(__xludf.DUMMYFUNCTION("""COMPUTED_VALUE"""),0.384615384615384)</f>
        <v>0.3846153846</v>
      </c>
    </row>
    <row r="8207">
      <c r="A8207" s="10" t="s">
        <v>9646</v>
      </c>
      <c r="B8207" s="7" t="str">
        <f>IFERROR(__xludf.DUMMYFUNCTION("SPLIT(A8207,"" "")"),"COC(=O)c1ncccc1CN1CCN(C)CCN(Cc2ncccc2C(C)(c2ccccn2)c2ccccn2)CC1")</f>
        <v>COC(=O)c1ncccc1CN1CCN(C)CCN(Cc2ncccc2C(C)(c2ccccn2)c2ccccn2)CC1</v>
      </c>
      <c r="C8207" s="7">
        <f>IFERROR(__xludf.DUMMYFUNCTION("""COMPUTED_VALUE"""),7.7749324)</f>
        <v>7.7749324</v>
      </c>
      <c r="D8207" s="7">
        <f>IFERROR(__xludf.DUMMYFUNCTION("""COMPUTED_VALUE"""),0.383333333333333)</f>
        <v>0.3833333333</v>
      </c>
    </row>
    <row r="8208">
      <c r="A8208" s="10" t="s">
        <v>9647</v>
      </c>
      <c r="B8208" s="7" t="str">
        <f>IFERROR(__xludf.DUMMYFUNCTION("SPLIT(A8208,"" "")"),"Cc1cccc(CN(C)C2=C(CN(C)C(C)C)NC=CC2)n1")</f>
        <v>Cc1cccc(CN(C)C2=C(CN(C)C(C)C)NC=CC2)n1</v>
      </c>
      <c r="C8208" s="7">
        <f>IFERROR(__xludf.DUMMYFUNCTION("""COMPUTED_VALUE"""),7.774932)</f>
        <v>7.774932</v>
      </c>
      <c r="D8208" s="7">
        <f>IFERROR(__xludf.DUMMYFUNCTION("""COMPUTED_VALUE"""),0.416666666666666)</f>
        <v>0.4166666667</v>
      </c>
    </row>
    <row r="8209">
      <c r="A8209" s="10" t="s">
        <v>9648</v>
      </c>
      <c r="B8209" s="7" t="str">
        <f>IFERROR(__xludf.DUMMYFUNCTION("SPLIT(A8209,"" "")"),"CNC1CC(N(C)Cc2ncccc2C)CC(N(Cc2nc(C)c(C)c(C)c2C)Cc2nc(C)c(C)c(C)c2C)C1")</f>
        <v>CNC1CC(N(C)Cc2ncccc2C)CC(N(Cc2nc(C)c(C)c(C)c2C)Cc2nc(C)c(C)c(C)c2C)C1</v>
      </c>
      <c r="C8209" s="7">
        <f>IFERROR(__xludf.DUMMYFUNCTION("""COMPUTED_VALUE"""),7.774931)</f>
        <v>7.774931</v>
      </c>
      <c r="D8209" s="7">
        <f>IFERROR(__xludf.DUMMYFUNCTION("""COMPUTED_VALUE"""),0.25)</f>
        <v>0.25</v>
      </c>
    </row>
    <row r="8210">
      <c r="A8210" s="10" t="s">
        <v>9649</v>
      </c>
      <c r="B8210" s="7" t="str">
        <f>IFERROR(__xludf.DUMMYFUNCTION("SPLIT(A8210,"" "")"),"Cc1ccc(CN(Cc2ccccn2)C2CCCC(N(C)Cc3cc(-c4ccccn4)ccn3)C2)nc1")</f>
        <v>Cc1ccc(CN(Cc2ccccn2)C2CCCC(N(C)Cc3cc(-c4ccccn4)ccn3)C2)nc1</v>
      </c>
      <c r="C8210" s="7">
        <f>IFERROR(__xludf.DUMMYFUNCTION("""COMPUTED_VALUE"""),7.774928)</f>
        <v>7.774928</v>
      </c>
      <c r="D8210" s="7">
        <f>IFERROR(__xludf.DUMMYFUNCTION("""COMPUTED_VALUE"""),0.440677966101694)</f>
        <v>0.4406779661</v>
      </c>
    </row>
    <row r="8211">
      <c r="A8211" s="10" t="s">
        <v>9650</v>
      </c>
      <c r="B8211" s="7" t="str">
        <f>IFERROR(__xludf.DUMMYFUNCTION("SPLIT(A8211,"" "")"),"CC(C)N(C)CCN(Cc1cccc2ncccc12)C(C)C")</f>
        <v>CC(C)N(C)CCN(Cc1cccc2ncccc12)C(C)C</v>
      </c>
      <c r="C8211" s="7">
        <f>IFERROR(__xludf.DUMMYFUNCTION("""COMPUTED_VALUE"""),7.774919)</f>
        <v>7.774919</v>
      </c>
      <c r="D8211" s="7">
        <f>IFERROR(__xludf.DUMMYFUNCTION("""COMPUTED_VALUE"""),0.454545454545454)</f>
        <v>0.4545454545</v>
      </c>
    </row>
    <row r="8212">
      <c r="A8212" s="10" t="s">
        <v>9651</v>
      </c>
      <c r="B8212" s="7" t="str">
        <f>IFERROR(__xludf.DUMMYFUNCTION("SPLIT(A8212,"" "")"),"COC(=O)c1cccc(CN2CCN(C)CCN(Cc3cccc(C(C)(c4ccccn4)c4ccccn4)n3)CC2)n1")</f>
        <v>COC(=O)c1cccc(CN2CCN(C)CCN(Cc3cccc(C(C)(c4ccccn4)c4ccccn4)n3)CC2)n1</v>
      </c>
      <c r="C8212" s="7">
        <f>IFERROR(__xludf.DUMMYFUNCTION("""COMPUTED_VALUE"""),7.77491)</f>
        <v>7.77491</v>
      </c>
      <c r="D8212" s="7">
        <f>IFERROR(__xludf.DUMMYFUNCTION("""COMPUTED_VALUE"""),0.481481481481481)</f>
        <v>0.4814814815</v>
      </c>
    </row>
    <row r="8213">
      <c r="A8213" s="10" t="s">
        <v>9652</v>
      </c>
      <c r="B8213" s="7" t="str">
        <f>IFERROR(__xludf.DUMMYFUNCTION("SPLIT(A8213,"" "")"),"CNCc1cccc(CN(C)C2=CNC(C(C)(C)C)=CC2)n1")</f>
        <v>CNCc1cccc(CN(C)C2=CNC(C(C)(C)C)=CC2)n1</v>
      </c>
      <c r="C8213" s="7">
        <f>IFERROR(__xludf.DUMMYFUNCTION("""COMPUTED_VALUE"""),7.774908)</f>
        <v>7.774908</v>
      </c>
      <c r="D8213" s="7">
        <f>IFERROR(__xludf.DUMMYFUNCTION("""COMPUTED_VALUE"""),0.283018867924528)</f>
        <v>0.2830188679</v>
      </c>
    </row>
    <row r="8214">
      <c r="A8214" s="10" t="s">
        <v>9653</v>
      </c>
      <c r="B8214" s="7" t="str">
        <f>IFERROR(__xludf.DUMMYFUNCTION("SPLIT(A8214,"" "")"),"Cc1cccc(CN(C)C2C=CNC(CN(Cc3cccc(C)n3)C(C)C)=C2)n1")</f>
        <v>Cc1cccc(CN(C)C2C=CNC(CN(Cc3cccc(C)n3)C(C)C)=C2)n1</v>
      </c>
      <c r="C8214" s="7">
        <f>IFERROR(__xludf.DUMMYFUNCTION("""COMPUTED_VALUE"""),7.774907)</f>
        <v>7.774907</v>
      </c>
      <c r="D8214" s="7">
        <f>IFERROR(__xludf.DUMMYFUNCTION("""COMPUTED_VALUE"""),0.433962264150943)</f>
        <v>0.4339622642</v>
      </c>
    </row>
    <row r="8215">
      <c r="A8215" s="10" t="s">
        <v>9654</v>
      </c>
      <c r="B8215" s="7" t="str">
        <f>IFERROR(__xludf.DUMMYFUNCTION("SPLIT(A8215,"" "")"),"CCN(Cc1ccccn1)Cc1ncccc1N(C)C1CC(N(C)Cc2ccccn2)CC(N(Cc2ccccn2)Cc2nc(C)c(C)cc2C)C1")</f>
        <v>CCN(Cc1ccccn1)Cc1ncccc1N(C)C1CC(N(C)Cc2ccccn2)CC(N(Cc2ccccn2)Cc2nc(C)c(C)cc2C)C1</v>
      </c>
      <c r="C8215" s="7">
        <f>IFERROR(__xludf.DUMMYFUNCTION("""COMPUTED_VALUE"""),7.7749043)</f>
        <v>7.7749043</v>
      </c>
      <c r="D8215" s="7">
        <f>IFERROR(__xludf.DUMMYFUNCTION("""COMPUTED_VALUE"""),0.338235294117647)</f>
        <v>0.3382352941</v>
      </c>
    </row>
    <row r="8216">
      <c r="A8216" s="10" t="s">
        <v>9655</v>
      </c>
      <c r="B8216" s="7" t="str">
        <f>IFERROR(__xludf.DUMMYFUNCTION("SPLIT(A8216,"" "")"),"Cc1ccnc(CN(C)C2=C(CN(C)C(C)C)NC=CC2)c1")</f>
        <v>Cc1ccnc(CN(C)C2=C(CN(C)C(C)C)NC=CC2)c1</v>
      </c>
      <c r="C8216" s="7">
        <f>IFERROR(__xludf.DUMMYFUNCTION("""COMPUTED_VALUE"""),7.774904)</f>
        <v>7.774904</v>
      </c>
      <c r="D8216" s="7">
        <f>IFERROR(__xludf.DUMMYFUNCTION("""COMPUTED_VALUE"""),0.321428571428571)</f>
        <v>0.3214285714</v>
      </c>
    </row>
    <row r="8217">
      <c r="A8217" s="10" t="s">
        <v>9656</v>
      </c>
      <c r="B8217" s="7" t="str">
        <f>IFERROR(__xludf.DUMMYFUNCTION("SPLIT(A8217,"" "")"),"CC1(C)COC(c2cccc(CN(Cc3cccc(-c4ccc5c(c4)OCCOCCOCCOCCOCCO5)n3)Cc3cccc(C(C)(C)c4ccccn4)n3)n2)=N1")</f>
        <v>CC1(C)COC(c2cccc(CN(Cc3cccc(-c4ccc5c(c4)OCCOCCOCCOCCOCCO5)n3)Cc3cccc(C(C)(C)c4ccccn4)n3)n2)=N1</v>
      </c>
      <c r="C8217" s="7">
        <f>IFERROR(__xludf.DUMMYFUNCTION("""COMPUTED_VALUE"""),7.7748775)</f>
        <v>7.7748775</v>
      </c>
      <c r="D8217" s="7">
        <f>IFERROR(__xludf.DUMMYFUNCTION("""COMPUTED_VALUE"""),0.376623376623376)</f>
        <v>0.3766233766</v>
      </c>
    </row>
    <row r="8218">
      <c r="A8218" s="10" t="s">
        <v>9657</v>
      </c>
      <c r="B8218" s="7" t="str">
        <f>IFERROR(__xludf.DUMMYFUNCTION("SPLIT(A8218,"" "")"),"CNCc1ncccc1CN(Cc1ccccn1)C1C=CC=CN1")</f>
        <v>CNCc1ncccc1CN(Cc1ccccn1)C1C=CC=CN1</v>
      </c>
      <c r="C8218" s="7">
        <f>IFERROR(__xludf.DUMMYFUNCTION("""COMPUTED_VALUE"""),7.7748485)</f>
        <v>7.7748485</v>
      </c>
      <c r="D8218" s="7">
        <f>IFERROR(__xludf.DUMMYFUNCTION("""COMPUTED_VALUE"""),0.456140350877192)</f>
        <v>0.4561403509</v>
      </c>
    </row>
    <row r="8219">
      <c r="A8219" s="10" t="s">
        <v>9658</v>
      </c>
      <c r="B8219" s="7" t="str">
        <f>IFERROR(__xludf.DUMMYFUNCTION("SPLIT(A8219,"" "")"),"COc1c(C)cnc(C(C)(C)C2(C)COC(c3cc(CN4CCN(C)CCN(C)CC4)ccn3)=N2)c1C")</f>
        <v>COc1c(C)cnc(C(C)(C)C2(C)COC(c3cc(CN4CCN(C)CCN(C)CC4)ccn3)=N2)c1C</v>
      </c>
      <c r="C8219" s="7">
        <f>IFERROR(__xludf.DUMMYFUNCTION("""COMPUTED_VALUE"""),7.774846)</f>
        <v>7.774846</v>
      </c>
      <c r="D8219" s="7">
        <f>IFERROR(__xludf.DUMMYFUNCTION("""COMPUTED_VALUE"""),0.439393939393939)</f>
        <v>0.4393939394</v>
      </c>
    </row>
    <row r="8220">
      <c r="A8220" s="10" t="s">
        <v>9659</v>
      </c>
      <c r="B8220" s="7" t="str">
        <f>IFERROR(__xludf.DUMMYFUNCTION("SPLIT(A8220,"" "")"),"Cc1cnc2cccc(N(C)C3=CNC(CN4CCN(C)CCN(C)CC4)=CC3)c2c1")</f>
        <v>Cc1cnc2cccc(N(C)C3=CNC(CN4CCN(C)CCN(C)CC4)=CC3)c2c1</v>
      </c>
      <c r="C8220" s="7">
        <f>IFERROR(__xludf.DUMMYFUNCTION("""COMPUTED_VALUE"""),7.774844)</f>
        <v>7.774844</v>
      </c>
      <c r="D8220" s="7">
        <f>IFERROR(__xludf.DUMMYFUNCTION("""COMPUTED_VALUE"""),0.344262295081967)</f>
        <v>0.3442622951</v>
      </c>
    </row>
    <row r="8221">
      <c r="A8221" s="10" t="s">
        <v>9660</v>
      </c>
      <c r="B8221" s="7" t="str">
        <f>IFERROR(__xludf.DUMMYFUNCTION("SPLIT(A8221,"" "")"),"CCNCc1cc(CN(Cc2cc(C)ccn2)Cc2cc(C)ccn2)ccn1")</f>
        <v>CCNCc1cc(CN(Cc2cc(C)ccn2)Cc2cc(C)ccn2)ccn1</v>
      </c>
      <c r="C8221" s="7">
        <f>IFERROR(__xludf.DUMMYFUNCTION("""COMPUTED_VALUE"""),7.77483)</f>
        <v>7.77483</v>
      </c>
      <c r="D8221" s="7">
        <f>IFERROR(__xludf.DUMMYFUNCTION("""COMPUTED_VALUE"""),0.375)</f>
        <v>0.375</v>
      </c>
    </row>
    <row r="8222">
      <c r="A8222" s="10" t="s">
        <v>9661</v>
      </c>
      <c r="B8222" s="7" t="str">
        <f>IFERROR(__xludf.DUMMYFUNCTION("SPLIT(A8222,"" "")"),"CC1C=CCC(C)(c2cccc(CN(Cc3ccccn3)C3CCC(N(C)c4ccc5nc(CN(C)C)ccc5c4)CC3)n2)C1C")</f>
        <v>CC1C=CCC(C)(c2cccc(CN(Cc3ccccn3)C3CCC(N(C)c4ccc5nc(CN(C)C)ccc5c4)CC3)n2)C1C</v>
      </c>
      <c r="C8222" s="7">
        <f>IFERROR(__xludf.DUMMYFUNCTION("""COMPUTED_VALUE"""),7.7748117)</f>
        <v>7.7748117</v>
      </c>
      <c r="D8222" s="7">
        <f>IFERROR(__xludf.DUMMYFUNCTION("""COMPUTED_VALUE"""),0.328767123287671)</f>
        <v>0.3287671233</v>
      </c>
    </row>
    <row r="8223">
      <c r="A8223" s="10" t="s">
        <v>9662</v>
      </c>
      <c r="B8223" s="7" t="str">
        <f>IFERROR(__xludf.DUMMYFUNCTION("SPLIT(A8223,"" "")"),"CNCc1cc(CN(C)C2CCCCC2N(C)c2ccc3ccc(CF)nc3c2)ccn1")</f>
        <v>CNCc1cc(CN(C)C2CCCCC2N(C)c2ccc3ccc(CF)nc3c2)ccn1</v>
      </c>
      <c r="C8223" s="7">
        <f>IFERROR(__xludf.DUMMYFUNCTION("""COMPUTED_VALUE"""),7.774806)</f>
        <v>7.774806</v>
      </c>
      <c r="D8223" s="7">
        <f>IFERROR(__xludf.DUMMYFUNCTION("""COMPUTED_VALUE"""),0.421875)</f>
        <v>0.421875</v>
      </c>
    </row>
    <row r="8224">
      <c r="A8224" s="10" t="s">
        <v>9663</v>
      </c>
      <c r="B8224" s="7" t="str">
        <f>IFERROR(__xludf.DUMMYFUNCTION("SPLIT(A8224,"" "")"),"CN(Cc1ccc(-c2cccc3c2OCCOCCOCCOCCOCCO3)cn1)CN(C)c1ccc2ncc(CF)cc2c1")</f>
        <v>CN(Cc1ccc(-c2cccc3c2OCCOCCOCCOCCOCCO3)cn1)CN(C)c1ccc2ncc(CF)cc2c1</v>
      </c>
      <c r="C8224" s="7">
        <f>IFERROR(__xludf.DUMMYFUNCTION("""COMPUTED_VALUE"""),7.774805)</f>
        <v>7.774805</v>
      </c>
      <c r="D8224" s="7">
        <f>IFERROR(__xludf.DUMMYFUNCTION("""COMPUTED_VALUE"""),0.285714285714285)</f>
        <v>0.2857142857</v>
      </c>
    </row>
    <row r="8225">
      <c r="A8225" s="10" t="s">
        <v>9664</v>
      </c>
      <c r="B8225" s="7" t="str">
        <f>IFERROR(__xludf.DUMMYFUNCTION("SPLIT(A8225,"" "")"),"CCNC(C)N(Cc1ccccn1)C1CCCC(N(C)c2cccc3c(CF)ccnc23)C1")</f>
        <v>CCNC(C)N(Cc1ccccn1)C1CCCC(N(C)c2cccc3c(CF)ccnc23)C1</v>
      </c>
      <c r="C8225" s="7">
        <f>IFERROR(__xludf.DUMMYFUNCTION("""COMPUTED_VALUE"""),7.7748046)</f>
        <v>7.7748046</v>
      </c>
      <c r="D8225" s="7">
        <f>IFERROR(__xludf.DUMMYFUNCTION("""COMPUTED_VALUE"""),0.333333333333333)</f>
        <v>0.3333333333</v>
      </c>
    </row>
    <row r="8226">
      <c r="A8226" s="10" t="s">
        <v>9665</v>
      </c>
      <c r="B8226" s="7" t="str">
        <f>IFERROR(__xludf.DUMMYFUNCTION("SPLIT(A8226,"" "")"),"Cc1cc(C)c(CN(C)C2CCCC(N(Cc3nc(C)c(C)cc3C)Cc3nc(C)c(C)c(C)c3C)C2)nc1C")</f>
        <v>Cc1cc(C)c(CN(C)C2CCCC(N(Cc3nc(C)c(C)cc3C)Cc3nc(C)c(C)c(C)c3C)C2)nc1C</v>
      </c>
      <c r="C8226" s="7">
        <f>IFERROR(__xludf.DUMMYFUNCTION("""COMPUTED_VALUE"""),7.7748017)</f>
        <v>7.7748017</v>
      </c>
      <c r="D8226" s="7">
        <f>IFERROR(__xludf.DUMMYFUNCTION("""COMPUTED_VALUE"""),0.258620689655172)</f>
        <v>0.2586206897</v>
      </c>
    </row>
    <row r="8227">
      <c r="A8227" s="10" t="s">
        <v>9666</v>
      </c>
      <c r="B8227" s="7" t="str">
        <f>IFERROR(__xludf.DUMMYFUNCTION("SPLIT(A8227,"" "")"),"CN(CC1=CCC=C(N(C)Cc2ccccn2)N1)CC(C)(C)C")</f>
        <v>CN(CC1=CCC=C(N(C)Cc2ccccn2)N1)CC(C)(C)C</v>
      </c>
      <c r="C8227" s="7">
        <f>IFERROR(__xludf.DUMMYFUNCTION("""COMPUTED_VALUE"""),7.7747808)</f>
        <v>7.7747808</v>
      </c>
      <c r="D8227" s="7">
        <f>IFERROR(__xludf.DUMMYFUNCTION("""COMPUTED_VALUE"""),0.46938775510204)</f>
        <v>0.4693877551</v>
      </c>
    </row>
    <row r="8228">
      <c r="A8228" s="10" t="s">
        <v>9667</v>
      </c>
      <c r="B8228" s="7" t="str">
        <f>IFERROR(__xludf.DUMMYFUNCTION("SPLIT(A8228,"" "")"),"Cc1cncc(CN(C)Cc2ccccn2)c1")</f>
        <v>Cc1cncc(CN(C)Cc2ccccn2)c1</v>
      </c>
      <c r="C8228" s="7">
        <f>IFERROR(__xludf.DUMMYFUNCTION("""COMPUTED_VALUE"""),7.774778)</f>
        <v>7.774778</v>
      </c>
      <c r="D8228" s="7">
        <f>IFERROR(__xludf.DUMMYFUNCTION("""COMPUTED_VALUE"""),0.5)</f>
        <v>0.5</v>
      </c>
    </row>
    <row r="8229">
      <c r="A8229" s="10" t="s">
        <v>9668</v>
      </c>
      <c r="B8229" s="7" t="str">
        <f>IFERROR(__xludf.DUMMYFUNCTION("SPLIT(A8229,"" "")"),"Cc1ccc(CN(C)CCN(C)Cc2nc(C)c(C)cc2C)cn1")</f>
        <v>Cc1ccc(CN(C)CCN(C)Cc2nc(C)c(C)cc2C)cn1</v>
      </c>
      <c r="C8229" s="7">
        <f>IFERROR(__xludf.DUMMYFUNCTION("""COMPUTED_VALUE"""),7.774775)</f>
        <v>7.774775</v>
      </c>
      <c r="D8229" s="7">
        <f>IFERROR(__xludf.DUMMYFUNCTION("""COMPUTED_VALUE"""),0.347826086956521)</f>
        <v>0.347826087</v>
      </c>
    </row>
    <row r="8230">
      <c r="A8230" s="10" t="s">
        <v>9669</v>
      </c>
      <c r="B8230" s="7" t="str">
        <f>IFERROR(__xludf.DUMMYFUNCTION("SPLIT(A8230,"" "")"),"CC1C(c2cncc(CN(Cc3ccccn3)Cc3cc(N)ccn3)c2)=CCC(N(C)Cc2ccccn2)C1C")</f>
        <v>CC1C(c2cncc(CN(Cc3ccccn3)Cc3cc(N)ccn3)c2)=CCC(N(C)Cc2ccccn2)C1C</v>
      </c>
      <c r="C8230" s="7">
        <f>IFERROR(__xludf.DUMMYFUNCTION("""COMPUTED_VALUE"""),7.7747655)</f>
        <v>7.7747655</v>
      </c>
      <c r="D8230" s="7">
        <f>IFERROR(__xludf.DUMMYFUNCTION("""COMPUTED_VALUE"""),0.390625)</f>
        <v>0.390625</v>
      </c>
    </row>
    <row r="8231">
      <c r="A8231" s="10" t="s">
        <v>9670</v>
      </c>
      <c r="B8231" s="7" t="str">
        <f>IFERROR(__xludf.DUMMYFUNCTION("SPLIT(A8231,"" "")"),"Cc1cc(C)c(CN(C)C2CCCC(N(Cc3cc(C)c(C)c(C)n3)Cc3nc(C)c(C)c(C)c3C)C2)nc1C")</f>
        <v>Cc1cc(C)c(CN(C)C2CCCC(N(Cc3cc(C)c(C)c(C)n3)Cc3nc(C)c(C)c(C)c3C)C2)nc1C</v>
      </c>
      <c r="C8231" s="7">
        <f>IFERROR(__xludf.DUMMYFUNCTION("""COMPUTED_VALUE"""),7.774764)</f>
        <v>7.774764</v>
      </c>
      <c r="D8231" s="7">
        <f>IFERROR(__xludf.DUMMYFUNCTION("""COMPUTED_VALUE"""),0.25)</f>
        <v>0.25</v>
      </c>
    </row>
    <row r="8232">
      <c r="A8232" s="10" t="s">
        <v>9671</v>
      </c>
      <c r="B8232" s="7" t="str">
        <f>IFERROR(__xludf.DUMMYFUNCTION("SPLIT(A8232,"" "")"),"CN(Cc1ccc(-c2ccc3c(c2)OCCOCCOCCOCCOCCO3)cn1)Cc1cccc(-c2ccccc2N(C)C)n1")</f>
        <v>CN(Cc1ccc(-c2ccc3c(c2)OCCOCCOCCOCCOCCO3)cn1)Cc1cccc(-c2ccccc2N(C)C)n1</v>
      </c>
      <c r="C8232" s="7">
        <f>IFERROR(__xludf.DUMMYFUNCTION("""COMPUTED_VALUE"""),7.7747602)</f>
        <v>7.7747602</v>
      </c>
      <c r="D8232" s="7">
        <f>IFERROR(__xludf.DUMMYFUNCTION("""COMPUTED_VALUE"""),0.428571428571428)</f>
        <v>0.4285714286</v>
      </c>
    </row>
    <row r="8233">
      <c r="A8233" s="10" t="s">
        <v>9672</v>
      </c>
      <c r="B8233" s="7" t="str">
        <f>IFERROR(__xludf.DUMMYFUNCTION("SPLIT(A8233,"" "")"),"CN(Cc1ccc(N)cn1)C1=C(CN(C)C(C)(C)C)NC=CC1")</f>
        <v>CN(Cc1ccc(N)cn1)C1=C(CN(C)C(C)(C)C)NC=CC1</v>
      </c>
      <c r="C8233" s="7">
        <f>IFERROR(__xludf.DUMMYFUNCTION("""COMPUTED_VALUE"""),7.7747483)</f>
        <v>7.7747483</v>
      </c>
      <c r="D8233" s="7">
        <f>IFERROR(__xludf.DUMMYFUNCTION("""COMPUTED_VALUE"""),0.296296296296296)</f>
        <v>0.2962962963</v>
      </c>
    </row>
    <row r="8234">
      <c r="A8234" s="10" t="s">
        <v>9673</v>
      </c>
      <c r="B8234" s="7" t="str">
        <f>IFERROR(__xludf.DUMMYFUNCTION("SPLIT(A8234,"" "")"),"Cc1cccc(CN(C)CC2=CC(N(C)Cc3cc(C)ccn3)C=CN2)c1")</f>
        <v>Cc1cccc(CN(C)CC2=CC(N(C)Cc3cc(C)ccn3)C=CN2)c1</v>
      </c>
      <c r="C8234" s="7">
        <f>IFERROR(__xludf.DUMMYFUNCTION("""COMPUTED_VALUE"""),7.774744)</f>
        <v>7.774744</v>
      </c>
      <c r="D8234" s="7">
        <f>IFERROR(__xludf.DUMMYFUNCTION("""COMPUTED_VALUE"""),0.317460317460317)</f>
        <v>0.3174603175</v>
      </c>
    </row>
    <row r="8235">
      <c r="A8235" s="10" t="s">
        <v>9674</v>
      </c>
      <c r="B8235" s="7" t="str">
        <f>IFERROR(__xludf.DUMMYFUNCTION("SPLIT(A8235,"" "")"),"CC(C)C(C)(c1cccnc1)N(C)C1=CNC(CN(C)Cc2ccccn2)=CC1")</f>
        <v>CC(C)C(C)(c1cccnc1)N(C)C1=CNC(CN(C)Cc2ccccn2)=CC1</v>
      </c>
      <c r="C8235" s="7">
        <f>IFERROR(__xludf.DUMMYFUNCTION("""COMPUTED_VALUE"""),7.774742)</f>
        <v>7.774742</v>
      </c>
      <c r="D8235" s="7">
        <f>IFERROR(__xludf.DUMMYFUNCTION("""COMPUTED_VALUE"""),0.359375)</f>
        <v>0.359375</v>
      </c>
    </row>
    <row r="8236">
      <c r="A8236" s="10" t="s">
        <v>9675</v>
      </c>
      <c r="B8236" s="7" t="str">
        <f>IFERROR(__xludf.DUMMYFUNCTION("SPLIT(A8236,"" "")"),"CCNC1=C(C)C(C)CC(c2ncccc2CN(Cc2ccccn2)Cc2cc(C(C)(C)C)ccn2)C1")</f>
        <v>CCNC1=C(C)C(C)CC(c2ncccc2CN(Cc2ccccn2)Cc2cc(C(C)(C)C)ccn2)C1</v>
      </c>
      <c r="C8236" s="7">
        <f>IFERROR(__xludf.DUMMYFUNCTION("""COMPUTED_VALUE"""),7.7747383)</f>
        <v>7.7747383</v>
      </c>
      <c r="D8236" s="7">
        <f>IFERROR(__xludf.DUMMYFUNCTION("""COMPUTED_VALUE"""),0.32258064516129)</f>
        <v>0.3225806452</v>
      </c>
    </row>
    <row r="8237">
      <c r="A8237" s="10" t="s">
        <v>9676</v>
      </c>
      <c r="B8237" s="7" t="str">
        <f>IFERROR(__xludf.DUMMYFUNCTION("SPLIT(A8237,"" "")"),"C1=CNC(NCc2ccccn2)C(CN(Cc2ccccn2)Cc2ccccn2)=C1")</f>
        <v>C1=CNC(NCc2ccccn2)C(CN(Cc2ccccn2)Cc2ccccn2)=C1</v>
      </c>
      <c r="C8237" s="7">
        <f>IFERROR(__xludf.DUMMYFUNCTION("""COMPUTED_VALUE"""),7.774736)</f>
        <v>7.774736</v>
      </c>
      <c r="D8237" s="7">
        <f>IFERROR(__xludf.DUMMYFUNCTION("""COMPUTED_VALUE"""),0.5)</f>
        <v>0.5</v>
      </c>
    </row>
    <row r="8238">
      <c r="A8238" s="10" t="s">
        <v>9677</v>
      </c>
      <c r="B8238" s="7" t="str">
        <f>IFERROR(__xludf.DUMMYFUNCTION("SPLIT(A8238,"" "")"),"CCNCc1ncccc1CN(C)C1CCCC(N(C)c2cccc3ncccc23)C1")</f>
        <v>CCNCc1ncccc1CN(C)C1CCCC(N(C)c2cccc3ncccc23)C1</v>
      </c>
      <c r="C8238" s="7">
        <f>IFERROR(__xludf.DUMMYFUNCTION("""COMPUTED_VALUE"""),7.7747355)</f>
        <v>7.7747355</v>
      </c>
      <c r="D8238" s="7">
        <f>IFERROR(__xludf.DUMMYFUNCTION("""COMPUTED_VALUE"""),0.303030303030303)</f>
        <v>0.303030303</v>
      </c>
    </row>
    <row r="8239">
      <c r="A8239" s="10" t="s">
        <v>9678</v>
      </c>
      <c r="B8239" s="7" t="str">
        <f>IFERROR(__xludf.DUMMYFUNCTION("SPLIT(A8239,"" "")"),"CC1=CCC(C)C2(C=CC3(C(c4ncccc4CN(Cc4ccccn4)Cc4ccccn4)C2c2cccc(CN(Cc4ccccn4)Cc4ccccn4)n2)C(C)(C)C(C)=C(C)CC32C(C)C=CCC2C)C1C")</f>
        <v>CC1=CCC(C)C2(C=CC3(C(c4ncccc4CN(Cc4ccccn4)Cc4ccccn4)C2c2cccc(CN(Cc4ccccn4)Cc4ccccn4)n2)C(C)(C)C(C)=C(C)CC32C(C)C=CCC2C)C1C</v>
      </c>
      <c r="C8239" s="7">
        <f>IFERROR(__xludf.DUMMYFUNCTION("""COMPUTED_VALUE"""),7.774732)</f>
        <v>7.774732</v>
      </c>
      <c r="D8239" s="7">
        <f>IFERROR(__xludf.DUMMYFUNCTION("""COMPUTED_VALUE"""),0.274725274725274)</f>
        <v>0.2747252747</v>
      </c>
    </row>
    <row r="8240">
      <c r="A8240" s="10" t="s">
        <v>9679</v>
      </c>
      <c r="B8240" s="7" t="str">
        <f>IFERROR(__xludf.DUMMYFUNCTION("SPLIT(A8240,"" "")"),"CCNCc1cc(CN(Cc2ccccn2)C(C)(N)c2ccccn2)ccn1")</f>
        <v>CCNCc1cc(CN(Cc2ccccn2)C(C)(N)c2ccccn2)ccn1</v>
      </c>
      <c r="C8240" s="7">
        <f>IFERROR(__xludf.DUMMYFUNCTION("""COMPUTED_VALUE"""),7.77473)</f>
        <v>7.77473</v>
      </c>
      <c r="D8240" s="7">
        <f>IFERROR(__xludf.DUMMYFUNCTION("""COMPUTED_VALUE"""),0.363636363636363)</f>
        <v>0.3636363636</v>
      </c>
    </row>
    <row r="8241">
      <c r="A8241" s="10" t="s">
        <v>9680</v>
      </c>
      <c r="B8241" s="7" t="str">
        <f>IFERROR(__xludf.DUMMYFUNCTION("SPLIT(A8241,"" "")"),"CC1=C(N(C)Cc2ccccn2)C(CN(Cc2ccccn2)C(C)(N)c2ccccn2)C(C)CC1")</f>
        <v>CC1=C(N(C)Cc2ccccn2)C(CN(Cc2ccccn2)C(C)(N)c2ccccn2)C(C)CC1</v>
      </c>
      <c r="C8241" s="7">
        <f>IFERROR(__xludf.DUMMYFUNCTION("""COMPUTED_VALUE"""),7.7747245)</f>
        <v>7.7747245</v>
      </c>
      <c r="D8241" s="7">
        <f>IFERROR(__xludf.DUMMYFUNCTION("""COMPUTED_VALUE"""),0.366666666666666)</f>
        <v>0.3666666667</v>
      </c>
    </row>
    <row r="8242">
      <c r="A8242" s="10" t="s">
        <v>9681</v>
      </c>
      <c r="B8242" s="7" t="str">
        <f>IFERROR(__xludf.DUMMYFUNCTION("SPLIT(A8242,"" "")"),"CN(C)CCN(C)c1ccccc1F")</f>
        <v>CN(C)CCN(C)c1ccccc1F</v>
      </c>
      <c r="C8242" s="7">
        <f>IFERROR(__xludf.DUMMYFUNCTION("""COMPUTED_VALUE"""),7.774694)</f>
        <v>7.774694</v>
      </c>
      <c r="D8242" s="7">
        <f>IFERROR(__xludf.DUMMYFUNCTION("""COMPUTED_VALUE"""),0.378378378378378)</f>
        <v>0.3783783784</v>
      </c>
    </row>
    <row r="8243">
      <c r="A8243" s="10" t="s">
        <v>9682</v>
      </c>
      <c r="B8243" s="7" t="str">
        <f>IFERROR(__xludf.DUMMYFUNCTION("SPLIT(A8243,"" "")"),"CC(C)N(Cc1ccccn1)C1CCCCC1N(C)c1ccc2nc(CF)ccc2c1")</f>
        <v>CC(C)N(Cc1ccccn1)C1CCCCC1N(C)c1ccc2nc(CF)ccc2c1</v>
      </c>
      <c r="C8243" s="7">
        <f>IFERROR(__xludf.DUMMYFUNCTION("""COMPUTED_VALUE"""),7.7746925)</f>
        <v>7.7746925</v>
      </c>
      <c r="D8243" s="7">
        <f>IFERROR(__xludf.DUMMYFUNCTION("""COMPUTED_VALUE"""),0.448275862068965)</f>
        <v>0.4482758621</v>
      </c>
    </row>
    <row r="8244">
      <c r="A8244" s="10" t="s">
        <v>9683</v>
      </c>
      <c r="B8244" s="7" t="str">
        <f>IFERROR(__xludf.DUMMYFUNCTION("SPLIT(A8244,"" "")"),"Cc1cccnc1CN(C)C1=C(CN(C)C(C)C)NC=CC1")</f>
        <v>Cc1cccnc1CN(C)C1=C(CN(C)C(C)C)NC=CC1</v>
      </c>
      <c r="C8244" s="7">
        <f>IFERROR(__xludf.DUMMYFUNCTION("""COMPUTED_VALUE"""),7.7746916)</f>
        <v>7.7746916</v>
      </c>
      <c r="D8244" s="7">
        <f>IFERROR(__xludf.DUMMYFUNCTION("""COMPUTED_VALUE"""),0.274193548387096)</f>
        <v>0.2741935484</v>
      </c>
    </row>
    <row r="8245">
      <c r="A8245" s="10" t="s">
        <v>9684</v>
      </c>
      <c r="B8245" s="7" t="str">
        <f>IFERROR(__xludf.DUMMYFUNCTION("SPLIT(A8245,"" "")"),"Cc1ccc(CN(Cc2ccccn2)C2CCC(N(C)Cc3cccc4ncccc34)CC2)nc1")</f>
        <v>Cc1ccc(CN(Cc2ccccn2)C2CCC(N(C)Cc3cccc4ncccc34)CC2)nc1</v>
      </c>
      <c r="C8245" s="7">
        <f>IFERROR(__xludf.DUMMYFUNCTION("""COMPUTED_VALUE"""),7.774691)</f>
        <v>7.774691</v>
      </c>
      <c r="D8245" s="7">
        <f>IFERROR(__xludf.DUMMYFUNCTION("""COMPUTED_VALUE"""),0.413793103448275)</f>
        <v>0.4137931034</v>
      </c>
    </row>
    <row r="8246">
      <c r="A8246" s="10" t="s">
        <v>9685</v>
      </c>
      <c r="B8246" s="7" t="str">
        <f>IFERROR(__xludf.DUMMYFUNCTION("SPLIT(A8246,"" "")"),"CN(CC1=CC(N(C)Cc2cccc(C(C)(C)C)n2)C=CN1)Cc1ccccn1")</f>
        <v>CN(CC1=CC(N(C)Cc2cccc(C(C)(C)C)n2)C=CN1)Cc1ccccn1</v>
      </c>
      <c r="C8246" s="7">
        <f>IFERROR(__xludf.DUMMYFUNCTION("""COMPUTED_VALUE"""),7.7746906)</f>
        <v>7.7746906</v>
      </c>
      <c r="D8246" s="7">
        <f>IFERROR(__xludf.DUMMYFUNCTION("""COMPUTED_VALUE"""),0.43859649122807)</f>
        <v>0.4385964912</v>
      </c>
    </row>
    <row r="8247">
      <c r="A8247" s="10" t="s">
        <v>9686</v>
      </c>
      <c r="B8247" s="7" t="str">
        <f>IFERROR(__xludf.DUMMYFUNCTION("SPLIT(A8247,"" "")"),"Cc1cnc(CN(C)CCN(C)C)c(C)c1")</f>
        <v>Cc1cnc(CN(C)CCN(C)C)c(C)c1</v>
      </c>
      <c r="C8247" s="7">
        <f>IFERROR(__xludf.DUMMYFUNCTION("""COMPUTED_VALUE"""),7.774688)</f>
        <v>7.774688</v>
      </c>
      <c r="D8247" s="7">
        <f>IFERROR(__xludf.DUMMYFUNCTION("""COMPUTED_VALUE"""),0.459459459459459)</f>
        <v>0.4594594595</v>
      </c>
    </row>
    <row r="8248">
      <c r="A8248" s="10" t="s">
        <v>9687</v>
      </c>
      <c r="B8248" s="7" t="str">
        <f>IFERROR(__xludf.DUMMYFUNCTION("SPLIT(A8248,"" "")"),"CNC1CCC(N(Cc2nc(C)c(C)c(C)c2C)Cc2nc(C)c(C)c(C)c2C)CC1NCc1ncc(C)c(C)c1C")</f>
        <v>CNC1CCC(N(Cc2nc(C)c(C)c(C)c2C)Cc2nc(C)c(C)c(C)c2C)CC1NCc1ncc(C)c(C)c1C</v>
      </c>
      <c r="C8248" s="7">
        <f>IFERROR(__xludf.DUMMYFUNCTION("""COMPUTED_VALUE"""),7.7746854)</f>
        <v>7.7746854</v>
      </c>
      <c r="D8248" s="7">
        <f>IFERROR(__xludf.DUMMYFUNCTION("""COMPUTED_VALUE"""),0.220588235294117)</f>
        <v>0.2205882353</v>
      </c>
    </row>
    <row r="8249">
      <c r="A8249" s="10" t="s">
        <v>9688</v>
      </c>
      <c r="B8249" s="7" t="str">
        <f>IFERROR(__xludf.DUMMYFUNCTION("SPLIT(A8249,"" "")"),"Cc1ccccc1CN(C)Cc1ncccc1C")</f>
        <v>Cc1ccccc1CN(C)Cc1ncccc1C</v>
      </c>
      <c r="C8249" s="7">
        <f>IFERROR(__xludf.DUMMYFUNCTION("""COMPUTED_VALUE"""),7.774685)</f>
        <v>7.774685</v>
      </c>
      <c r="D8249" s="7">
        <f>IFERROR(__xludf.DUMMYFUNCTION("""COMPUTED_VALUE"""),0.439024390243902)</f>
        <v>0.4390243902</v>
      </c>
    </row>
    <row r="8250">
      <c r="A8250" s="10" t="s">
        <v>9689</v>
      </c>
      <c r="B8250" s="7" t="str">
        <f>IFERROR(__xludf.DUMMYFUNCTION("SPLIT(A8250,"" "")"),"Cc1ccnc(CN(C)Cc2ccnc(CNC(C)C)c2)c1")</f>
        <v>Cc1ccnc(CN(C)Cc2ccnc(CNC(C)C)c2)c1</v>
      </c>
      <c r="C8250" s="7">
        <f>IFERROR(__xludf.DUMMYFUNCTION("""COMPUTED_VALUE"""),7.774672)</f>
        <v>7.774672</v>
      </c>
      <c r="D8250" s="7">
        <f>IFERROR(__xludf.DUMMYFUNCTION("""COMPUTED_VALUE"""),0.387755102040816)</f>
        <v>0.387755102</v>
      </c>
    </row>
    <row r="8251">
      <c r="A8251" s="10" t="s">
        <v>9690</v>
      </c>
      <c r="B8251" s="7" t="str">
        <f>IFERROR(__xludf.DUMMYFUNCTION("SPLIT(A8251,"" "")"),"CNCc1cc(CN(C)Cc2ncccc2C)ccn1")</f>
        <v>CNCc1cc(CN(C)Cc2ncccc2C)ccn1</v>
      </c>
      <c r="C8251" s="7">
        <f>IFERROR(__xludf.DUMMYFUNCTION("""COMPUTED_VALUE"""),7.7746696)</f>
        <v>7.7746696</v>
      </c>
      <c r="D8251" s="7">
        <f>IFERROR(__xludf.DUMMYFUNCTION("""COMPUTED_VALUE"""),0.320754716981132)</f>
        <v>0.320754717</v>
      </c>
    </row>
    <row r="8252">
      <c r="A8252" s="10" t="s">
        <v>9691</v>
      </c>
      <c r="B8252" s="7" t="str">
        <f>IFERROR(__xludf.DUMMYFUNCTION("SPLIT(A8252,"" "")"),"CCNCc1ncccc1CN(Cc1ccccn1)C1CCCCC1N(C)c1cccc2ncccc12")</f>
        <v>CCNCc1ncccc1CN(Cc1ccccn1)C1CCCCC1N(C)c1cccc2ncccc12</v>
      </c>
      <c r="C8252" s="7">
        <f>IFERROR(__xludf.DUMMYFUNCTION("""COMPUTED_VALUE"""),7.7746596)</f>
        <v>7.7746596</v>
      </c>
      <c r="D8252" s="7">
        <f>IFERROR(__xludf.DUMMYFUNCTION("""COMPUTED_VALUE"""),0.40625)</f>
        <v>0.40625</v>
      </c>
    </row>
    <row r="8253">
      <c r="A8253" s="10" t="s">
        <v>9692</v>
      </c>
      <c r="B8253" s="7" t="str">
        <f>IFERROR(__xludf.DUMMYFUNCTION("SPLIT(A8253,"" "")"),"CC1=C(N(C)Cc2ccccn2)C(C)(C)CC(C)C1")</f>
        <v>CC1=C(N(C)Cc2ccccn2)C(C)(C)CC(C)C1</v>
      </c>
      <c r="C8253" s="7">
        <f>IFERROR(__xludf.DUMMYFUNCTION("""COMPUTED_VALUE"""),7.7746506)</f>
        <v>7.7746506</v>
      </c>
      <c r="D8253" s="7">
        <f>IFERROR(__xludf.DUMMYFUNCTION("""COMPUTED_VALUE"""),0.458333333333333)</f>
        <v>0.4583333333</v>
      </c>
    </row>
    <row r="8254">
      <c r="A8254" s="10" t="s">
        <v>9693</v>
      </c>
      <c r="B8254" s="7" t="str">
        <f>IFERROR(__xludf.DUMMYFUNCTION("SPLIT(A8254,"" "")"),"Cc1cncc(CN(C)CC2=C(N(C)C(C)C)CC=CN2)c1C")</f>
        <v>Cc1cncc(CN(C)CC2=C(N(C)C(C)C)CC=CN2)c1C</v>
      </c>
      <c r="C8254" s="7">
        <f>IFERROR(__xludf.DUMMYFUNCTION("""COMPUTED_VALUE"""),7.77465)</f>
        <v>7.77465</v>
      </c>
      <c r="D8254" s="7">
        <f>IFERROR(__xludf.DUMMYFUNCTION("""COMPUTED_VALUE"""),0.220338983050847)</f>
        <v>0.2203389831</v>
      </c>
    </row>
    <row r="8255">
      <c r="A8255" s="10" t="s">
        <v>9694</v>
      </c>
      <c r="B8255" s="7" t="str">
        <f>IFERROR(__xludf.DUMMYFUNCTION("SPLIT(A8255,"" "")"),"C=CCN(C)CC1=C(N(C)Cc2ccccn2)CC=CN1")</f>
        <v>C=CCN(C)CC1=C(N(C)Cc2ccccn2)CC=CN1</v>
      </c>
      <c r="C8255" s="7">
        <f>IFERROR(__xludf.DUMMYFUNCTION("""COMPUTED_VALUE"""),7.7746444)</f>
        <v>7.7746444</v>
      </c>
      <c r="D8255" s="7">
        <f>IFERROR(__xludf.DUMMYFUNCTION("""COMPUTED_VALUE"""),0.396551724137931)</f>
        <v>0.3965517241</v>
      </c>
    </row>
    <row r="8256">
      <c r="A8256" s="10" t="s">
        <v>9695</v>
      </c>
      <c r="B8256" s="7" t="str">
        <f>IFERROR(__xludf.DUMMYFUNCTION("SPLIT(A8256,"" "")"),"CN(Cc1cccc(-c2cccc3c2OCCOCCOCCOCCOCCO3)n1)Cc1ncccc1-c1cccc(N(C)C)c1")</f>
        <v>CN(Cc1cccc(-c2cccc3c2OCCOCCOCCOCCOCCO3)n1)Cc1ncccc1-c1cccc(N(C)C)c1</v>
      </c>
      <c r="C8256" s="7">
        <f>IFERROR(__xludf.DUMMYFUNCTION("""COMPUTED_VALUE"""),7.774639)</f>
        <v>7.774639</v>
      </c>
      <c r="D8256" s="7">
        <f>IFERROR(__xludf.DUMMYFUNCTION("""COMPUTED_VALUE"""),0.363636363636363)</f>
        <v>0.3636363636</v>
      </c>
    </row>
    <row r="8257">
      <c r="A8257" s="10" t="s">
        <v>9696</v>
      </c>
      <c r="B8257" s="7" t="str">
        <f>IFERROR(__xludf.DUMMYFUNCTION("SPLIT(A8257,"" "")"),"Cc1ccc(CN(C)C2=CNC(CN(C)CC(C)(C)C)=CC2)nc1")</f>
        <v>Cc1ccc(CN(C)C2=CNC(CN(C)CC(C)(C)C)=CC2)nc1</v>
      </c>
      <c r="C8257" s="7">
        <f>IFERROR(__xludf.DUMMYFUNCTION("""COMPUTED_VALUE"""),7.7746367)</f>
        <v>7.7746367</v>
      </c>
      <c r="D8257" s="7">
        <f>IFERROR(__xludf.DUMMYFUNCTION("""COMPUTED_VALUE"""),0.428571428571428)</f>
        <v>0.4285714286</v>
      </c>
    </row>
    <row r="8258">
      <c r="A8258" s="10" t="s">
        <v>9697</v>
      </c>
      <c r="B8258" s="7" t="str">
        <f>IFERROR(__xludf.DUMMYFUNCTION("SPLIT(A8258,"" "")"),"CC1=CC(C)CC(C)C1c1ncccc1CN(Cc1ccccn1)Cc1ccccn1")</f>
        <v>CC1=CC(C)CC(C)C1c1ncccc1CN(Cc1ccccn1)Cc1ccccn1</v>
      </c>
      <c r="C8258" s="7">
        <f>IFERROR(__xludf.DUMMYFUNCTION("""COMPUTED_VALUE"""),7.774636)</f>
        <v>7.774636</v>
      </c>
      <c r="D8258" s="7">
        <f>IFERROR(__xludf.DUMMYFUNCTION("""COMPUTED_VALUE"""),0.454545454545454)</f>
        <v>0.4545454545</v>
      </c>
    </row>
    <row r="8259">
      <c r="A8259" s="10" t="s">
        <v>9698</v>
      </c>
      <c r="B8259" s="7" t="str">
        <f>IFERROR(__xludf.DUMMYFUNCTION("SPLIT(A8259,"" "")"),"CC1=CC(C)C(C)(c2cccc(CN(Cc3ccccn3)Cc3cc(C(C)(C)C)ccn3)n2)CC1")</f>
        <v>CC1=CC(C)C(C)(c2cccc(CN(Cc3ccccn3)Cc3cc(C(C)(C)C)ccn3)n2)CC1</v>
      </c>
      <c r="C8259" s="7">
        <f>IFERROR(__xludf.DUMMYFUNCTION("""COMPUTED_VALUE"""),7.7746325)</f>
        <v>7.7746325</v>
      </c>
      <c r="D8259" s="7">
        <f>IFERROR(__xludf.DUMMYFUNCTION("""COMPUTED_VALUE"""),0.357142857142857)</f>
        <v>0.3571428571</v>
      </c>
    </row>
    <row r="8260">
      <c r="A8260" s="10" t="s">
        <v>9699</v>
      </c>
      <c r="B8260" s="7" t="str">
        <f>IFERROR(__xludf.DUMMYFUNCTION("SPLIT(A8260,"" "")"),"Cc1cnc(CN(CCCN(C)Cc2cnc(C)c(C)c2)Cc2ccccn2)c(C)c1")</f>
        <v>Cc1cnc(CN(CCCN(C)Cc2cnc(C)c(C)c2)Cc2ccccn2)c(C)c1</v>
      </c>
      <c r="C8260" s="7">
        <f>IFERROR(__xludf.DUMMYFUNCTION("""COMPUTED_VALUE"""),7.7746267)</f>
        <v>7.7746267</v>
      </c>
      <c r="D8260" s="7">
        <f>IFERROR(__xludf.DUMMYFUNCTION("""COMPUTED_VALUE"""),0.418181818181818)</f>
        <v>0.4181818182</v>
      </c>
    </row>
    <row r="8261">
      <c r="A8261" s="10" t="s">
        <v>9700</v>
      </c>
      <c r="B8261" s="7" t="str">
        <f>IFERROR(__xludf.DUMMYFUNCTION("SPLIT(A8261,"" "")"),"FCc1ccc2cc(N(Cc3ccccn3)C3CCCCC3N(CF)Cc3ccccn3)ccc2n1")</f>
        <v>FCc1ccc2cc(N(Cc3ccccn3)C3CCCCC3N(CF)Cc3ccccn3)ccc2n1</v>
      </c>
      <c r="C8261" s="7">
        <f>IFERROR(__xludf.DUMMYFUNCTION("""COMPUTED_VALUE"""),7.774623)</f>
        <v>7.774623</v>
      </c>
      <c r="D8261" s="7">
        <f>IFERROR(__xludf.DUMMYFUNCTION("""COMPUTED_VALUE"""),0.421052631578947)</f>
        <v>0.4210526316</v>
      </c>
    </row>
    <row r="8262">
      <c r="A8262" s="10" t="s">
        <v>9701</v>
      </c>
      <c r="B8262" s="7" t="str">
        <f>IFERROR(__xludf.DUMMYFUNCTION("SPLIT(A8262,"" "")"),"CNCc1cccc(CN(C)C2CCCCC2N(C)c2ccc3nc(CF)ccc3c2)n1")</f>
        <v>CNCc1cccc(CN(C)C2CCCCC2N(C)c2ccc3nc(CF)ccc3c2)n1</v>
      </c>
      <c r="C8262" s="7">
        <f>IFERROR(__xludf.DUMMYFUNCTION("""COMPUTED_VALUE"""),7.7746186)</f>
        <v>7.7746186</v>
      </c>
      <c r="D8262" s="7">
        <f>IFERROR(__xludf.DUMMYFUNCTION("""COMPUTED_VALUE"""),0.475409836065573)</f>
        <v>0.4754098361</v>
      </c>
    </row>
    <row r="8263">
      <c r="A8263" s="10" t="s">
        <v>9702</v>
      </c>
      <c r="B8263" s="7" t="str">
        <f>IFERROR(__xludf.DUMMYFUNCTION("SPLIT(A8263,"" "")"),"Cc1cnc(CN(C)C2CC(N(C)Cc3ccccn3)CC(N(Cc3cc(C)c(C)c(C)n3)Cc3cc(C)c(C)c(C)n3)C2)c(C)c1")</f>
        <v>Cc1cnc(CN(C)C2CC(N(C)Cc3ccccn3)CC(N(Cc3cc(C)c(C)c(C)n3)Cc3cc(C)c(C)c(C)n3)C2)c(C)c1</v>
      </c>
      <c r="C8263" s="7">
        <f>IFERROR(__xludf.DUMMYFUNCTION("""COMPUTED_VALUE"""),7.7746167)</f>
        <v>7.7746167</v>
      </c>
      <c r="D8263" s="7">
        <f>IFERROR(__xludf.DUMMYFUNCTION("""COMPUTED_VALUE"""),0.377049180327868)</f>
        <v>0.3770491803</v>
      </c>
    </row>
    <row r="8264">
      <c r="A8264" s="10" t="s">
        <v>9703</v>
      </c>
      <c r="B8264" s="7" t="str">
        <f>IFERROR(__xludf.DUMMYFUNCTION("SPLIT(A8264,"" "")"),"Cc1cnc(C2CCC2(C)C)c(CN(Cc2ccccn2)Cc2ccccn2)c1C")</f>
        <v>Cc1cnc(C2CCC2(C)C)c(CN(Cc2ccccn2)Cc2ccccn2)c1C</v>
      </c>
      <c r="C8264" s="7">
        <f>IFERROR(__xludf.DUMMYFUNCTION("""COMPUTED_VALUE"""),7.774613)</f>
        <v>7.774613</v>
      </c>
      <c r="D8264" s="7">
        <f>IFERROR(__xludf.DUMMYFUNCTION("""COMPUTED_VALUE"""),0.444444444444444)</f>
        <v>0.4444444444</v>
      </c>
    </row>
    <row r="8265">
      <c r="A8265" s="10" t="s">
        <v>9704</v>
      </c>
      <c r="B8265" s="7" t="str">
        <f>IFERROR(__xludf.DUMMYFUNCTION("SPLIT(A8265,"" "")"),"Cc1cccnc1CN(C)C1=CNC(CN(C)C(C)(C)C)=CC1")</f>
        <v>Cc1cccnc1CN(C)C1=CNC(CN(C)C(C)(C)C)=CC1</v>
      </c>
      <c r="C8265" s="7">
        <f>IFERROR(__xludf.DUMMYFUNCTION("""COMPUTED_VALUE"""),7.77461)</f>
        <v>7.77461</v>
      </c>
      <c r="D8265" s="7">
        <f>IFERROR(__xludf.DUMMYFUNCTION("""COMPUTED_VALUE"""),0.269841269841269)</f>
        <v>0.2698412698</v>
      </c>
    </row>
    <row r="8266">
      <c r="A8266" s="10" t="s">
        <v>9705</v>
      </c>
      <c r="B8266" s="7" t="str">
        <f>IFERROR(__xludf.DUMMYFUNCTION("SPLIT(A8266,"" "")"),"CN(Cc1ccc(-c2cccc(N(C)C)c2)cn1)Cc1ccc(-c2cccc3c2OCCOCCOCCOCCOCCO3)cn1")</f>
        <v>CN(Cc1ccc(-c2cccc(N(C)C)c2)cn1)Cc1ccc(-c2cccc3c2OCCOCCOCCOCCOCCO3)cn1</v>
      </c>
      <c r="C8266" s="7">
        <f>IFERROR(__xludf.DUMMYFUNCTION("""COMPUTED_VALUE"""),7.77461)</f>
        <v>7.77461</v>
      </c>
      <c r="D8266" s="7">
        <f>IFERROR(__xludf.DUMMYFUNCTION("""COMPUTED_VALUE"""),0.371428571428571)</f>
        <v>0.3714285714</v>
      </c>
    </row>
    <row r="8267">
      <c r="A8267" s="10" t="s">
        <v>9706</v>
      </c>
      <c r="B8267" s="7" t="str">
        <f>IFERROR(__xludf.DUMMYFUNCTION("SPLIT(A8267,"" "")"),"CN(Cc1ccccn1)C1CC(N(C)C2=CCC=CN2)CC(N(Cc2ccccn2)c2ccccc2F)C1")</f>
        <v>CN(Cc1ccccn1)C1CC(N(C)C2=CCC=CN2)CC(N(Cc2ccccn2)c2ccccc2F)C1</v>
      </c>
      <c r="C8267" s="7">
        <f>IFERROR(__xludf.DUMMYFUNCTION("""COMPUTED_VALUE"""),7.7746053)</f>
        <v>7.7746053</v>
      </c>
      <c r="D8267" s="7">
        <f>IFERROR(__xludf.DUMMYFUNCTION("""COMPUTED_VALUE"""),0.421875)</f>
        <v>0.421875</v>
      </c>
    </row>
    <row r="8268">
      <c r="A8268" s="10" t="s">
        <v>9707</v>
      </c>
      <c r="B8268" s="7" t="str">
        <f>IFERROR(__xludf.DUMMYFUNCTION("SPLIT(A8268,"" "")"),"CC1C=CCC(C)(c2cccc(CN(Cc3ccccn3)C3CCC(N(C)c4ccc5cc(CN(C)C)cnc5c4)CC3)n2)C1C")</f>
        <v>CC1C=CCC(C)(c2cccc(CN(Cc3ccccn3)C3CCC(N(C)c4ccc5cc(CN(C)C)cnc5c4)CC3)n2)C1C</v>
      </c>
      <c r="C8268" s="7">
        <f>IFERROR(__xludf.DUMMYFUNCTION("""COMPUTED_VALUE"""),7.774605)</f>
        <v>7.774605</v>
      </c>
      <c r="D8268" s="7">
        <f>IFERROR(__xludf.DUMMYFUNCTION("""COMPUTED_VALUE"""),0.282051282051282)</f>
        <v>0.2820512821</v>
      </c>
    </row>
    <row r="8269">
      <c r="A8269" s="10" t="s">
        <v>9708</v>
      </c>
      <c r="B8269" s="7" t="str">
        <f>IFERROR(__xludf.DUMMYFUNCTION("SPLIT(A8269,"" "")"),"Cc1nc(CN(Cc2nc(C)c([SiH3])c([SiH3])c2C)C2CCCCC2N(C)Cc2nc([SiH3])c(C)c(C)c2C)c(C)c(C)c1C")</f>
        <v>Cc1nc(CN(Cc2nc(C)c([SiH3])c([SiH3])c2C)C2CCCCC2N(C)Cc2nc([SiH3])c(C)c(C)c2C)c(C)c(C)c1C</v>
      </c>
      <c r="C8269" s="7">
        <f>IFERROR(__xludf.DUMMYFUNCTION("""COMPUTED_VALUE"""),7.774605)</f>
        <v>7.774605</v>
      </c>
      <c r="D8269" s="7">
        <f>IFERROR(__xludf.DUMMYFUNCTION("""COMPUTED_VALUE"""),0.339285714285714)</f>
        <v>0.3392857143</v>
      </c>
    </row>
    <row r="8270">
      <c r="A8270" s="10" t="s">
        <v>9709</v>
      </c>
      <c r="B8270" s="7" t="str">
        <f>IFERROR(__xludf.DUMMYFUNCTION("SPLIT(A8270,"" "")"),"Cc1ccc(CN(C)C2CCC(N(Cc3cccc(C)n3)Cc3cccc(C)n3)CC2N(Cc2cccc(C)n2)Cc2nc(C)c(C)cc2C)nc1")</f>
        <v>Cc1ccc(CN(C)C2CCC(N(Cc3cccc(C)n3)Cc3cccc(C)n3)CC2N(Cc2cccc(C)n2)Cc2nc(C)c(C)cc2C)nc1</v>
      </c>
      <c r="C8270" s="7">
        <f>IFERROR(__xludf.DUMMYFUNCTION("""COMPUTED_VALUE"""),7.7745986)</f>
        <v>7.7745986</v>
      </c>
      <c r="D8270" s="7">
        <f>IFERROR(__xludf.DUMMYFUNCTION("""COMPUTED_VALUE"""),0.451612903225806)</f>
        <v>0.4516129032</v>
      </c>
    </row>
    <row r="8271">
      <c r="A8271" s="10" t="s">
        <v>9710</v>
      </c>
      <c r="B8271" s="7" t="str">
        <f>IFERROR(__xludf.DUMMYFUNCTION("SPLIT(A8271,"" "")"),"Cc1cccc(CN(Cc2ccccn2)Cc2cccc(CN(Cc3ccccn3)Cc3cccc(C4CCC4C)n3)n2)n1")</f>
        <v>Cc1cccc(CN(Cc2ccccn2)Cc2cccc(CN(Cc3ccccn3)Cc3cccc(C4CCC4C)n3)n2)n1</v>
      </c>
      <c r="C8271" s="7">
        <f>IFERROR(__xludf.DUMMYFUNCTION("""COMPUTED_VALUE"""),7.7745986)</f>
        <v>7.7745986</v>
      </c>
      <c r="D8271" s="7">
        <f>IFERROR(__xludf.DUMMYFUNCTION("""COMPUTED_VALUE"""),0.454545454545454)</f>
        <v>0.4545454545</v>
      </c>
    </row>
    <row r="8272">
      <c r="A8272" s="10" t="s">
        <v>9711</v>
      </c>
      <c r="B8272" s="7" t="str">
        <f>IFERROR(__xludf.DUMMYFUNCTION("SPLIT(A8272,"" "")"),"CC=CCN(C)CC1=CCC(N(C)Cc2ccccn2)=CN1")</f>
        <v>CC=CCN(C)CC1=CCC(N(C)Cc2ccccn2)=CN1</v>
      </c>
      <c r="C8272" s="7">
        <f>IFERROR(__xludf.DUMMYFUNCTION("""COMPUTED_VALUE"""),7.7745943)</f>
        <v>7.7745943</v>
      </c>
      <c r="D8272" s="7">
        <f>IFERROR(__xludf.DUMMYFUNCTION("""COMPUTED_VALUE"""),0.389830508474576)</f>
        <v>0.3898305085</v>
      </c>
    </row>
    <row r="8273">
      <c r="A8273" s="10" t="s">
        <v>9712</v>
      </c>
      <c r="B8273" s="7" t="str">
        <f>IFERROR(__xludf.DUMMYFUNCTION("SPLIT(A8273,"" "")"),"CC1=C(C)C(c2cncc(CN(C)Cc3ccccn3)c2)C(N(C)Cc2ccccn2)C(C)C1")</f>
        <v>CC1=C(C)C(c2cncc(CN(C)Cc3ccccn3)c2)C(N(C)Cc2ccccn2)C(C)C1</v>
      </c>
      <c r="C8273" s="7">
        <f>IFERROR(__xludf.DUMMYFUNCTION("""COMPUTED_VALUE"""),7.7745934)</f>
        <v>7.7745934</v>
      </c>
      <c r="D8273" s="7">
        <f>IFERROR(__xludf.DUMMYFUNCTION("""COMPUTED_VALUE"""),0.383333333333333)</f>
        <v>0.3833333333</v>
      </c>
    </row>
    <row r="8274">
      <c r="A8274" s="10" t="s">
        <v>9713</v>
      </c>
      <c r="B8274" s="7" t="str">
        <f>IFERROR(__xludf.DUMMYFUNCTION("SPLIT(A8274,"" "")"),"CC(C)(C)c1ccc(CNCF)nc1CN(Cc1ccccn1)Cc1ccccn1")</f>
        <v>CC(C)(C)c1ccc(CNCF)nc1CN(Cc1ccccn1)Cc1ccccn1</v>
      </c>
      <c r="C8274" s="7">
        <f>IFERROR(__xludf.DUMMYFUNCTION("""COMPUTED_VALUE"""),7.7745905)</f>
        <v>7.7745905</v>
      </c>
      <c r="D8274" s="7">
        <f>IFERROR(__xludf.DUMMYFUNCTION("""COMPUTED_VALUE"""),0.454545454545454)</f>
        <v>0.4545454545</v>
      </c>
    </row>
    <row r="8275">
      <c r="A8275" s="10" t="s">
        <v>9714</v>
      </c>
      <c r="B8275" s="7" t="str">
        <f>IFERROR(__xludf.DUMMYFUNCTION("SPLIT(A8275,"" "")"),"Cc1cncc(CN(C)CC2=CC(N(C)Cc3ccccn3)C=CN2)c1")</f>
        <v>Cc1cncc(CN(C)CC2=CC(N(C)Cc3ccccn3)C=CN2)c1</v>
      </c>
      <c r="C8275" s="7">
        <f>IFERROR(__xludf.DUMMYFUNCTION("""COMPUTED_VALUE"""),7.774588)</f>
        <v>7.774588</v>
      </c>
      <c r="D8275" s="7">
        <f>IFERROR(__xludf.DUMMYFUNCTION("""COMPUTED_VALUE"""),0.366666666666666)</f>
        <v>0.3666666667</v>
      </c>
    </row>
    <row r="8276">
      <c r="A8276" s="10" t="s">
        <v>9715</v>
      </c>
      <c r="B8276" s="7" t="str">
        <f>IFERROR(__xludf.DUMMYFUNCTION("SPLIT(A8276,"" "")"),"CN(C)C1C=CNC(CN(Cc2ccccn2)Cc2cccc(C(C)(C)C)n2)=C1")</f>
        <v>CN(C)C1C=CNC(CN(Cc2ccccn2)Cc2cccc(C(C)(C)C)n2)=C1</v>
      </c>
      <c r="C8276" s="7">
        <f>IFERROR(__xludf.DUMMYFUNCTION("""COMPUTED_VALUE"""),7.774581)</f>
        <v>7.774581</v>
      </c>
      <c r="D8276" s="7">
        <f>IFERROR(__xludf.DUMMYFUNCTION("""COMPUTED_VALUE"""),0.440677966101694)</f>
        <v>0.4406779661</v>
      </c>
    </row>
    <row r="8277">
      <c r="A8277" s="10" t="s">
        <v>9716</v>
      </c>
      <c r="B8277" s="7" t="str">
        <f>IFERROR(__xludf.DUMMYFUNCTION("SPLIT(A8277,"" "")"),"Cc1ccc(C(C)(C)C(C)C)c(C)c1C(C)c1ccccc1")</f>
        <v>Cc1ccc(C(C)(C)C(C)C)c(C)c1C(C)c1ccccc1</v>
      </c>
      <c r="C8277" s="7">
        <f>IFERROR(__xludf.DUMMYFUNCTION("""COMPUTED_VALUE"""),7.774576)</f>
        <v>7.774576</v>
      </c>
      <c r="D8277" s="7">
        <f>IFERROR(__xludf.DUMMYFUNCTION("""COMPUTED_VALUE"""),0.235294117647058)</f>
        <v>0.2352941176</v>
      </c>
    </row>
    <row r="8278">
      <c r="A8278" s="10" t="s">
        <v>9717</v>
      </c>
      <c r="B8278" s="7" t="str">
        <f>IFERROR(__xludf.DUMMYFUNCTION("SPLIT(A8278,"" "")"),"CN(CC1=CC(N(C)c2ccc3ncccc3c2)C=CN1)Cc1cncc(-c2ccc3c(c2)OCCOCCOCCOCCOCCO3)c1")</f>
        <v>CN(CC1=CC(N(C)c2ccc3ncccc3c2)C=CN1)Cc1cncc(-c2ccc3c(c2)OCCOCCOCCOCCOCCO3)c1</v>
      </c>
      <c r="C8278" s="7">
        <f>IFERROR(__xludf.DUMMYFUNCTION("""COMPUTED_VALUE"""),7.7745757)</f>
        <v>7.7745757</v>
      </c>
      <c r="D8278" s="7">
        <f>IFERROR(__xludf.DUMMYFUNCTION("""COMPUTED_VALUE"""),0.292134831460674)</f>
        <v>0.2921348315</v>
      </c>
    </row>
    <row r="8279">
      <c r="A8279" s="10" t="s">
        <v>9718</v>
      </c>
      <c r="B8279" s="7" t="str">
        <f>IFERROR(__xludf.DUMMYFUNCTION("SPLIT(A8279,"" "")"),"CCOC(=O)C(=O)C(=O)C(C)NCc1ccccn1")</f>
        <v>CCOC(=O)C(=O)C(=O)C(C)NCc1ccccn1</v>
      </c>
      <c r="C8279" s="7">
        <f>IFERROR(__xludf.DUMMYFUNCTION("""COMPUTED_VALUE"""),7.7745743)</f>
        <v>7.7745743</v>
      </c>
      <c r="D8279" s="7">
        <f>IFERROR(__xludf.DUMMYFUNCTION("""COMPUTED_VALUE"""),0.377777777777777)</f>
        <v>0.3777777778</v>
      </c>
    </row>
    <row r="8280">
      <c r="A8280" s="10" t="s">
        <v>9719</v>
      </c>
      <c r="B8280" s="7" t="str">
        <f>IFERROR(__xludf.DUMMYFUNCTION("SPLIT(A8280,"" "")"),"CN1CCN(C)CCN(Cc2cncc(-c3cccc(N=Cc4ccccn4)c3)c2)CC1")</f>
        <v>CN1CCN(C)CCN(Cc2cncc(-c3cccc(N=Cc4ccccn4)c3)c2)CC1</v>
      </c>
      <c r="C8280" s="7">
        <f>IFERROR(__xludf.DUMMYFUNCTION("""COMPUTED_VALUE"""),7.774565)</f>
        <v>7.774565</v>
      </c>
      <c r="D8280" s="7">
        <f>IFERROR(__xludf.DUMMYFUNCTION("""COMPUTED_VALUE"""),0.403508771929824)</f>
        <v>0.4035087719</v>
      </c>
    </row>
    <row r="8281">
      <c r="A8281" s="10" t="s">
        <v>9720</v>
      </c>
      <c r="B8281" s="7" t="str">
        <f>IFERROR(__xludf.DUMMYFUNCTION("SPLIT(A8281,"" "")"),"CNCc1cc(CN(C)C2=CNC(C(C)(C)C)=CC2)ccn1")</f>
        <v>CNCc1cc(CN(C)C2=CNC(C(C)(C)C)=CC2)ccn1</v>
      </c>
      <c r="C8281" s="7">
        <f>IFERROR(__xludf.DUMMYFUNCTION("""COMPUTED_VALUE"""),7.774551)</f>
        <v>7.774551</v>
      </c>
      <c r="D8281" s="7">
        <f>IFERROR(__xludf.DUMMYFUNCTION("""COMPUTED_VALUE"""),0.25)</f>
        <v>0.25</v>
      </c>
    </row>
    <row r="8282">
      <c r="A8282" s="10" t="s">
        <v>9721</v>
      </c>
      <c r="B8282" s="7" t="str">
        <f>IFERROR(__xludf.DUMMYFUNCTION("SPLIT(A8282,"" "")"),"CCNCc1ncccc1CN(Cc1ccccn1)C(C)(N)c1ccccn1")</f>
        <v>CCNCc1ncccc1CN(Cc1ccccn1)C(C)(N)c1ccccn1</v>
      </c>
      <c r="C8282" s="7">
        <f>IFERROR(__xludf.DUMMYFUNCTION("""COMPUTED_VALUE"""),7.7745495)</f>
        <v>7.7745495</v>
      </c>
      <c r="D8282" s="7">
        <f>IFERROR(__xludf.DUMMYFUNCTION("""COMPUTED_VALUE"""),0.357142857142857)</f>
        <v>0.3571428571</v>
      </c>
    </row>
    <row r="8283">
      <c r="A8283" s="10" t="s">
        <v>9722</v>
      </c>
      <c r="B8283" s="7" t="str">
        <f>IFERROR(__xludf.DUMMYFUNCTION("SPLIT(A8283,"" "")"),"Cc1cccnc1CN(C)C1CCC(N(Cc2cccc(F)n2)Cc2ccc3ccccc3n2)CC1")</f>
        <v>Cc1cccnc1CN(C)C1CCC(N(Cc2cccc(F)n2)Cc2ccc3ccccc3n2)CC1</v>
      </c>
      <c r="C8283" s="7">
        <f>IFERROR(__xludf.DUMMYFUNCTION("""COMPUTED_VALUE"""),7.774548)</f>
        <v>7.774548</v>
      </c>
      <c r="D8283" s="7">
        <f>IFERROR(__xludf.DUMMYFUNCTION("""COMPUTED_VALUE"""),0.4)</f>
        <v>0.4</v>
      </c>
    </row>
    <row r="8284">
      <c r="A8284" s="10" t="s">
        <v>9723</v>
      </c>
      <c r="B8284" s="7" t="str">
        <f>IFERROR(__xludf.DUMMYFUNCTION("SPLIT(A8284,"" "")"),"CC1=C(C)C(CN(C)CC2=C(N(C)Cc3ncccc3C)CC=CN2)C(C)C=C1")</f>
        <v>CC1=C(C)C(CN(C)CC2=C(N(C)Cc3ncccc3C)CC=CN2)C(C)C=C1</v>
      </c>
      <c r="C8284" s="7">
        <f>IFERROR(__xludf.DUMMYFUNCTION("""COMPUTED_VALUE"""),7.7745476)</f>
        <v>7.7745476</v>
      </c>
      <c r="D8284" s="7">
        <f>IFERROR(__xludf.DUMMYFUNCTION("""COMPUTED_VALUE"""),0.227848101265822)</f>
        <v>0.2278481013</v>
      </c>
    </row>
    <row r="8285">
      <c r="A8285" s="10" t="s">
        <v>9724</v>
      </c>
      <c r="B8285" s="7" t="str">
        <f>IFERROR(__xludf.DUMMYFUNCTION("SPLIT(A8285,"" "")"),"CC1C=CCC(C)(c2ncccc2CN(Cc2ccccn2)C2CCC(N(C)c3ccc4nc(CN(C)C)ccc4c3)CC2)C1C")</f>
        <v>CC1C=CCC(C)(c2ncccc2CN(Cc2ccccn2)C2CCC(N(C)c3ccc4nc(CN(C)C)ccc4c3)CC2)C1C</v>
      </c>
      <c r="C8285" s="7">
        <f>IFERROR(__xludf.DUMMYFUNCTION("""COMPUTED_VALUE"""),7.7745466)</f>
        <v>7.7745466</v>
      </c>
      <c r="D8285" s="7">
        <f>IFERROR(__xludf.DUMMYFUNCTION("""COMPUTED_VALUE"""),0.32)</f>
        <v>0.32</v>
      </c>
    </row>
    <row r="8286">
      <c r="A8286" s="10" t="s">
        <v>9725</v>
      </c>
      <c r="B8286" s="7" t="str">
        <f>IFERROR(__xludf.DUMMYFUNCTION("SPLIT(A8286,"" "")"),"CC1=CCC(C)C2(C=CC(c3cc(CN(Cc4cc(-c5cccc(N(C)C)c5)ccn4)Cc4cc(-c5ccc6c(c5)OCCOCCOCCOCCOCCO6)ccn4)ccn3)C(c3ccccn3)C23C(C)CC=C(C)C3C)C1C")</f>
        <v>CC1=CCC(C)C2(C=CC(c3cc(CN(Cc4cc(-c5cccc(N(C)C)c5)ccn4)Cc4cc(-c5ccc6c(c5)OCCOCCOCCOCCOCCO6)ccn4)ccn3)C(c3ccccn3)C23C(C)CC=C(C)C3C)C1C</v>
      </c>
      <c r="C8286" s="7">
        <f>IFERROR(__xludf.DUMMYFUNCTION("""COMPUTED_VALUE"""),7.774545)</f>
        <v>7.774545</v>
      </c>
      <c r="D8286" s="7">
        <f>IFERROR(__xludf.DUMMYFUNCTION("""COMPUTED_VALUE"""),0.259615384615384)</f>
        <v>0.2596153846</v>
      </c>
    </row>
    <row r="8287">
      <c r="A8287" s="10" t="s">
        <v>9726</v>
      </c>
      <c r="B8287" s="7" t="str">
        <f>IFERROR(__xludf.DUMMYFUNCTION("SPLIT(A8287,"" "")"),"Cc1ccc(CN(C)C2=CNC(CN(C)C(C)C)=CC2)nc1")</f>
        <v>Cc1ccc(CN(C)C2=CNC(CN(C)C(C)C)=CC2)nc1</v>
      </c>
      <c r="C8287" s="7">
        <f>IFERROR(__xludf.DUMMYFUNCTION("""COMPUTED_VALUE"""),7.7745357)</f>
        <v>7.7745357</v>
      </c>
      <c r="D8287" s="7">
        <f>IFERROR(__xludf.DUMMYFUNCTION("""COMPUTED_VALUE"""),0.408163265306122)</f>
        <v>0.4081632653</v>
      </c>
    </row>
    <row r="8288">
      <c r="A8288" s="10" t="s">
        <v>9727</v>
      </c>
      <c r="B8288" s="7" t="str">
        <f>IFERROR(__xludf.DUMMYFUNCTION("SPLIT(A8288,"" "")"),"Cc1ccc(CN(Cc2ccccn2)C2CCCC(N(C)Cc3ncccc3-c3ccccn3)C2)cn1")</f>
        <v>Cc1ccc(CN(Cc2ccccn2)C2CCCC(N(C)Cc3ncccc3-c3ccccn3)C2)cn1</v>
      </c>
      <c r="C8288" s="7">
        <f>IFERROR(__xludf.DUMMYFUNCTION("""COMPUTED_VALUE"""),7.7745314)</f>
        <v>7.7745314</v>
      </c>
      <c r="D8288" s="7">
        <f>IFERROR(__xludf.DUMMYFUNCTION("""COMPUTED_VALUE"""),0.387096774193548)</f>
        <v>0.3870967742</v>
      </c>
    </row>
    <row r="8289">
      <c r="A8289" s="10" t="s">
        <v>9728</v>
      </c>
      <c r="B8289" s="7" t="str">
        <f>IFERROR(__xludf.DUMMYFUNCTION("SPLIT(A8289,"" "")"),"Cc1ccc(C)c(CN(C)C2C=CNC(CN(Cc3ccccn3)C(C)C)=C2)n1")</f>
        <v>Cc1ccc(C)c(CN(C)C2C=CNC(CN(Cc3ccccn3)C(C)C)=C2)n1</v>
      </c>
      <c r="C8289" s="7">
        <f>IFERROR(__xludf.DUMMYFUNCTION("""COMPUTED_VALUE"""),7.774529)</f>
        <v>7.774529</v>
      </c>
      <c r="D8289" s="7">
        <f>IFERROR(__xludf.DUMMYFUNCTION("""COMPUTED_VALUE"""),0.43859649122807)</f>
        <v>0.4385964912</v>
      </c>
    </row>
    <row r="8290">
      <c r="A8290" s="10" t="s">
        <v>9729</v>
      </c>
      <c r="B8290" s="7" t="str">
        <f>IFERROR(__xludf.DUMMYFUNCTION("SPLIT(A8290,"" "")"),"CN(Cc1ncccc1-c1ccc2c(c1)OCCOCCOCCOCCOCCO2)CN(C)c1ccc2ncccc2c1")</f>
        <v>CN(Cc1ncccc1-c1ccc2c(c1)OCCOCCOCCOCCOCCO2)CN(C)c1ccc2ncccc2c1</v>
      </c>
      <c r="C8290" s="7">
        <f>IFERROR(__xludf.DUMMYFUNCTION("""COMPUTED_VALUE"""),7.774528)</f>
        <v>7.774528</v>
      </c>
      <c r="D8290" s="7">
        <f>IFERROR(__xludf.DUMMYFUNCTION("""COMPUTED_VALUE"""),0.302631578947368)</f>
        <v>0.3026315789</v>
      </c>
    </row>
    <row r="8291">
      <c r="A8291" s="10" t="s">
        <v>9730</v>
      </c>
      <c r="B8291" s="7" t="str">
        <f>IFERROR(__xludf.DUMMYFUNCTION("SPLIT(A8291,"" "")"),"CN(Cc1cccc(C2CCC2(C)C)n1)C1CCC(N(C)c2ccc3ccc(CF)nc3c2)CC1")</f>
        <v>CN(Cc1cccc(C2CCC2(C)C)n1)C1CCC(N(C)c2ccc3ccc(CF)nc3c2)CC1</v>
      </c>
      <c r="C8291" s="7">
        <f>IFERROR(__xludf.DUMMYFUNCTION("""COMPUTED_VALUE"""),7.7745275)</f>
        <v>7.7745275</v>
      </c>
      <c r="D8291" s="7">
        <f>IFERROR(__xludf.DUMMYFUNCTION("""COMPUTED_VALUE"""),0.333333333333333)</f>
        <v>0.3333333333</v>
      </c>
    </row>
    <row r="8292">
      <c r="A8292" s="10" t="s">
        <v>9731</v>
      </c>
      <c r="B8292" s="7" t="str">
        <f>IFERROR(__xludf.DUMMYFUNCTION("SPLIT(A8292,"" "")"),"COC(=O)C1CC(c2ccccn2)C(CN(Cc2ccccn2)Cc2ccccn2)N(C)C1c1ccccn1")</f>
        <v>COC(=O)C1CC(c2ccccn2)C(CN(Cc2ccccn2)Cc2ccccn2)N(C)C1c1ccccn1</v>
      </c>
      <c r="C8292" s="7">
        <f>IFERROR(__xludf.DUMMYFUNCTION("""COMPUTED_VALUE"""),7.7745256)</f>
        <v>7.7745256</v>
      </c>
      <c r="D8292" s="7">
        <f>IFERROR(__xludf.DUMMYFUNCTION("""COMPUTED_VALUE"""),0.357142857142857)</f>
        <v>0.3571428571</v>
      </c>
    </row>
    <row r="8293">
      <c r="A8293" s="10" t="s">
        <v>9732</v>
      </c>
      <c r="B8293" s="7" t="str">
        <f>IFERROR(__xludf.DUMMYFUNCTION("SPLIT(A8293,"" "")"),"CCNC1C(N(Cc2nc(C)c(C)cc2C)Cc2nc(C)c(C)cc2C)CCCC1N(Cc1nc(C)c(C)cc1C)Cc1nc(C)c(C)cc1C")</f>
        <v>CCNC1C(N(Cc2nc(C)c(C)cc2C)Cc2nc(C)c(C)cc2C)CCCC1N(Cc1nc(C)c(C)cc1C)Cc1nc(C)c(C)cc1C</v>
      </c>
      <c r="C8293" s="7">
        <f>IFERROR(__xludf.DUMMYFUNCTION("""COMPUTED_VALUE"""),7.7745233)</f>
        <v>7.7745233</v>
      </c>
      <c r="D8293" s="7">
        <f>IFERROR(__xludf.DUMMYFUNCTION("""COMPUTED_VALUE"""),0.277777777777777)</f>
        <v>0.2777777778</v>
      </c>
    </row>
    <row r="8294">
      <c r="A8294" s="10" t="s">
        <v>9733</v>
      </c>
      <c r="B8294" s="7" t="str">
        <f>IFERROR(__xludf.DUMMYFUNCTION("SPLIT(A8294,"" "")"),"CC(C)N(C)Cc1ccc2cccc(N(C)Cc3cc(-c4ccc5c(c4)OCCOCCOCCOCCOCCO5)ccn3)c2n1")</f>
        <v>CC(C)N(C)Cc1ccc2cccc(N(C)Cc3cc(-c4ccc5c(c4)OCCOCCOCCOCCOCCO5)ccn3)c2n1</v>
      </c>
      <c r="C8294" s="7">
        <f>IFERROR(__xludf.DUMMYFUNCTION("""COMPUTED_VALUE"""),7.774522)</f>
        <v>7.774522</v>
      </c>
      <c r="D8294" s="7">
        <f>IFERROR(__xludf.DUMMYFUNCTION("""COMPUTED_VALUE"""),0.337662337662337)</f>
        <v>0.3376623377</v>
      </c>
    </row>
    <row r="8295">
      <c r="A8295" s="10" t="s">
        <v>9734</v>
      </c>
      <c r="B8295" s="7" t="str">
        <f>IFERROR(__xludf.DUMMYFUNCTION("SPLIT(A8295,"" "")"),"CC(C)(C)c1ccnc(CN(Cc2cc(-c3ccc4c(c3)OCCOCCOCCOCCOCCO4)ccn2)Cc2ccnc3ccccc23)c1")</f>
        <v>CC(C)(C)c1ccnc(CN(Cc2cc(-c3ccc4c(c3)OCCOCCOCCOCCOCCO4)ccn2)Cc2ccnc3ccccc23)c1</v>
      </c>
      <c r="C8295" s="7">
        <f>IFERROR(__xludf.DUMMYFUNCTION("""COMPUTED_VALUE"""),7.774522)</f>
        <v>7.774522</v>
      </c>
      <c r="D8295" s="7">
        <f>IFERROR(__xludf.DUMMYFUNCTION("""COMPUTED_VALUE"""),0.333333333333333)</f>
        <v>0.3333333333</v>
      </c>
    </row>
    <row r="8296">
      <c r="A8296" s="10" t="s">
        <v>9735</v>
      </c>
      <c r="B8296" s="7" t="str">
        <f>IFERROR(__xludf.DUMMYFUNCTION("SPLIT(A8296,"" "")"),"CN1CCN(CCc2nc3ccccc3o2)CCN(Cc2cc(C(C)(C)c3ccccn3)ccn2)CC1")</f>
        <v>CN1CCN(CCc2nc3ccccc3o2)CCN(Cc2cc(C(C)(C)c3ccccn3)ccn2)CC1</v>
      </c>
      <c r="C8296" s="7">
        <f>IFERROR(__xludf.DUMMYFUNCTION("""COMPUTED_VALUE"""),7.7745013)</f>
        <v>7.7745013</v>
      </c>
      <c r="D8296" s="7">
        <f>IFERROR(__xludf.DUMMYFUNCTION("""COMPUTED_VALUE"""),0.433333333333333)</f>
        <v>0.4333333333</v>
      </c>
    </row>
    <row r="8297">
      <c r="A8297" s="10" t="s">
        <v>9736</v>
      </c>
      <c r="B8297" s="7" t="str">
        <f>IFERROR(__xludf.DUMMYFUNCTION("SPLIT(A8297,"" "")"),"CCCN(Cc1ccccn1)Cc1ccc2cccc(N(C)Cc3cccc(-c4ccc5c(c4)OCCOCCOCCOCCOCCO5)n3)c2n1")</f>
        <v>CCCN(Cc1ccccn1)Cc1ccc2cccc(N(C)Cc3cccc(-c4ccc5c(c4)OCCOCCOCCOCCOCCO5)n3)c2n1</v>
      </c>
      <c r="C8297" s="7">
        <f>IFERROR(__xludf.DUMMYFUNCTION("""COMPUTED_VALUE"""),7.7745004)</f>
        <v>7.7745004</v>
      </c>
      <c r="D8297" s="7">
        <f>IFERROR(__xludf.DUMMYFUNCTION("""COMPUTED_VALUE"""),0.418918918918918)</f>
        <v>0.4189189189</v>
      </c>
    </row>
    <row r="8298">
      <c r="A8298" s="10" t="s">
        <v>9737</v>
      </c>
      <c r="B8298" s="7" t="str">
        <f>IFERROR(__xludf.DUMMYFUNCTION("SPLIT(A8298,"" "")"),"CC1=C(C)CC(C)(C)C(N(C)Cc2cc(C(C)(C)c3ccccn3)ccn2)C1")</f>
        <v>CC1=C(C)CC(C)(C)C(N(C)Cc2cc(C(C)(C)c3ccccn3)ccn2)C1</v>
      </c>
      <c r="C8298" s="7">
        <f>IFERROR(__xludf.DUMMYFUNCTION("""COMPUTED_VALUE"""),7.774494)</f>
        <v>7.774494</v>
      </c>
      <c r="D8298" s="7">
        <f>IFERROR(__xludf.DUMMYFUNCTION("""COMPUTED_VALUE"""),0.35)</f>
        <v>0.35</v>
      </c>
    </row>
    <row r="8299">
      <c r="A8299" s="10" t="s">
        <v>9738</v>
      </c>
      <c r="B8299" s="7" t="str">
        <f>IFERROR(__xludf.DUMMYFUNCTION("SPLIT(A8299,"" "")"),"CC1=CC(C)C(CN(C)Cc2ccccn2)C(N(C)Cc2ccccn2)=C1")</f>
        <v>CC1=CC(C)C(CN(C)Cc2ccccn2)C(N(C)Cc2ccccn2)=C1</v>
      </c>
      <c r="C8299" s="7">
        <f>IFERROR(__xludf.DUMMYFUNCTION("""COMPUTED_VALUE"""),7.7744913)</f>
        <v>7.7744913</v>
      </c>
      <c r="D8299" s="7">
        <f>IFERROR(__xludf.DUMMYFUNCTION("""COMPUTED_VALUE"""),0.42)</f>
        <v>0.42</v>
      </c>
    </row>
    <row r="8300">
      <c r="A8300" s="10" t="s">
        <v>9739</v>
      </c>
      <c r="B8300" s="7" t="str">
        <f>IFERROR(__xludf.DUMMYFUNCTION("SPLIT(A8300,"" "")"),"Cc1cc(C)c(CN(C)C2CC(N(Cc3nc(C)c(C)cc3C)Cc3nc(C)c(C)cc3C)CCC2N(C)C)nc1C")</f>
        <v>Cc1cc(C)c(CN(C)C2CC(N(Cc3nc(C)c(C)cc3C)Cc3nc(C)c(C)cc3C)CCC2N(C)C)nc1C</v>
      </c>
      <c r="C8300" s="7">
        <f>IFERROR(__xludf.DUMMYFUNCTION("""COMPUTED_VALUE"""),7.7744827)</f>
        <v>7.7744827</v>
      </c>
      <c r="D8300" s="7">
        <f>IFERROR(__xludf.DUMMYFUNCTION("""COMPUTED_VALUE"""),0.29090909090909)</f>
        <v>0.2909090909</v>
      </c>
    </row>
    <row r="8301">
      <c r="A8301" s="10" t="s">
        <v>9740</v>
      </c>
      <c r="B8301" s="7" t="str">
        <f>IFERROR(__xludf.DUMMYFUNCTION("SPLIT(A8301,"" "")"),"Cc1ccccc1CN(C)Cc1cccc(C(C)(C)C)n1")</f>
        <v>Cc1ccccc1CN(C)Cc1cccc(C(C)(C)C)n1</v>
      </c>
      <c r="C8301" s="7">
        <f>IFERROR(__xludf.DUMMYFUNCTION("""COMPUTED_VALUE"""),7.774481)</f>
        <v>7.774481</v>
      </c>
      <c r="D8301" s="7">
        <f>IFERROR(__xludf.DUMMYFUNCTION("""COMPUTED_VALUE"""),0.428571428571428)</f>
        <v>0.4285714286</v>
      </c>
    </row>
    <row r="8302">
      <c r="A8302" s="10" t="s">
        <v>9741</v>
      </c>
      <c r="B8302" s="7" t="str">
        <f>IFERROR(__xludf.DUMMYFUNCTION("SPLIT(A8302,"" "")"),"CCN(CCN(C)Cc1ncc(C)c(C)c1C)Cc1ncc(C)c(C)c1C")</f>
        <v>CCN(CCN(C)Cc1ncc(C)c(C)c1C)Cc1ncc(C)c(C)c1C</v>
      </c>
      <c r="C8302" s="7">
        <f>IFERROR(__xludf.DUMMYFUNCTION("""COMPUTED_VALUE"""),7.774478)</f>
        <v>7.774478</v>
      </c>
      <c r="D8302" s="7">
        <f>IFERROR(__xludf.DUMMYFUNCTION("""COMPUTED_VALUE"""),0.390243902439024)</f>
        <v>0.3902439024</v>
      </c>
    </row>
    <row r="8303">
      <c r="A8303" s="10" t="s">
        <v>9742</v>
      </c>
      <c r="B8303" s="7" t="str">
        <f>IFERROR(__xludf.DUMMYFUNCTION("SPLIT(A8303,"" "")"),"CNCc1cccc(CN(Cc2ccccn2)Cc2ccc(F)cn2)n1")</f>
        <v>CNCc1cccc(CN(Cc2ccccn2)Cc2ccc(F)cn2)n1</v>
      </c>
      <c r="C8303" s="7">
        <f>IFERROR(__xludf.DUMMYFUNCTION("""COMPUTED_VALUE"""),7.7744684)</f>
        <v>7.7744684</v>
      </c>
      <c r="D8303" s="7">
        <f>IFERROR(__xludf.DUMMYFUNCTION("""COMPUTED_VALUE"""),0.48780487804878)</f>
        <v>0.487804878</v>
      </c>
    </row>
    <row r="8304">
      <c r="A8304" s="10" t="s">
        <v>9743</v>
      </c>
      <c r="B8304" s="7" t="str">
        <f>IFERROR(__xludf.DUMMYFUNCTION("SPLIT(A8304,"" "")"),"CC(C)C1=CC2(C=CN1)C=CC(C)C(c1cccc(CN(Cc3ccccn3)C3CCCCC3N(C)c3ccc4nc(CF)ccc4c3)n1)C2C")</f>
        <v>CC(C)C1=CC2(C=CN1)C=CC(C)C(c1cccc(CN(Cc3ccccn3)C3CCCCC3N(C)c3ccc4nc(CF)ccc4c3)n1)C2C</v>
      </c>
      <c r="C8304" s="7">
        <f>IFERROR(__xludf.DUMMYFUNCTION("""COMPUTED_VALUE"""),7.774461)</f>
        <v>7.774461</v>
      </c>
      <c r="D8304" s="7">
        <f>IFERROR(__xludf.DUMMYFUNCTION("""COMPUTED_VALUE"""),0.322222222222222)</f>
        <v>0.3222222222</v>
      </c>
    </row>
    <row r="8305">
      <c r="A8305" s="10" t="s">
        <v>9744</v>
      </c>
      <c r="B8305" s="7" t="str">
        <f>IFERROR(__xludf.DUMMYFUNCTION("SPLIT(A8305,"" "")"),"CC1=C(C)C(CN(C)Cc2ccnc(C)c2)=CC(N(C)Cc2ccccn2)C1")</f>
        <v>CC1=C(C)C(CN(C)Cc2ccnc(C)c2)=CC(N(C)Cc2ccccn2)C1</v>
      </c>
      <c r="C8305" s="7">
        <f>IFERROR(__xludf.DUMMYFUNCTION("""COMPUTED_VALUE"""),7.774457)</f>
        <v>7.774457</v>
      </c>
      <c r="D8305" s="7">
        <f>IFERROR(__xludf.DUMMYFUNCTION("""COMPUTED_VALUE"""),0.403508771929824)</f>
        <v>0.4035087719</v>
      </c>
    </row>
    <row r="8306">
      <c r="A8306" s="10" t="s">
        <v>9745</v>
      </c>
      <c r="B8306" s="7" t="str">
        <f>IFERROR(__xludf.DUMMYFUNCTION("SPLIT(A8306,"" "")"),"C1=CN(Cc2ccccn2)C=CC1")</f>
        <v>C1=CN(Cc2ccccn2)C=CC1</v>
      </c>
      <c r="C8306" s="7">
        <f>IFERROR(__xludf.DUMMYFUNCTION("""COMPUTED_VALUE"""),7.7744517)</f>
        <v>7.7744517</v>
      </c>
      <c r="D8306" s="7">
        <f>IFERROR(__xludf.DUMMYFUNCTION("""COMPUTED_VALUE"""),0.486486486486486)</f>
        <v>0.4864864865</v>
      </c>
    </row>
    <row r="8307">
      <c r="A8307" s="10" t="s">
        <v>9746</v>
      </c>
      <c r="B8307" s="7" t="str">
        <f>IFERROR(__xludf.DUMMYFUNCTION("SPLIT(A8307,"" "")"),"Cc1ccc(N)c(C)c1-c1ncccc1CN(C)C1CCCC(N(C)Cc2ccccn2)C1")</f>
        <v>Cc1ccc(N)c(C)c1-c1ncccc1CN(C)C1CCCC(N(C)Cc2ccccn2)C1</v>
      </c>
      <c r="C8307" s="7">
        <f>IFERROR(__xludf.DUMMYFUNCTION("""COMPUTED_VALUE"""),7.774444)</f>
        <v>7.774444</v>
      </c>
      <c r="D8307" s="7">
        <f>IFERROR(__xludf.DUMMYFUNCTION("""COMPUTED_VALUE"""),0.446428571428571)</f>
        <v>0.4464285714</v>
      </c>
    </row>
    <row r="8308">
      <c r="A8308" s="10" t="s">
        <v>9747</v>
      </c>
      <c r="B8308" s="7" t="str">
        <f>IFERROR(__xludf.DUMMYFUNCTION("SPLIT(A8308,"" "")"),"Cc1cnc(CN(CCN(C)Cc2cccnc2C)Cc2ccccn2)c(C)c1")</f>
        <v>Cc1cnc(CN(CCN(C)Cc2cccnc2C)Cc2ccccn2)c(C)c1</v>
      </c>
      <c r="C8308" s="7">
        <f>IFERROR(__xludf.DUMMYFUNCTION("""COMPUTED_VALUE"""),7.7744403)</f>
        <v>7.7744403</v>
      </c>
      <c r="D8308" s="7">
        <f>IFERROR(__xludf.DUMMYFUNCTION("""COMPUTED_VALUE"""),0.470588235294117)</f>
        <v>0.4705882353</v>
      </c>
    </row>
    <row r="8309">
      <c r="A8309" s="10" t="s">
        <v>9748</v>
      </c>
      <c r="B8309" s="7" t="str">
        <f>IFERROR(__xludf.DUMMYFUNCTION("SPLIT(A8309,"" "")"),"Cc1cccnc1F")</f>
        <v>Cc1cccnc1F</v>
      </c>
      <c r="C8309" s="7">
        <f>IFERROR(__xludf.DUMMYFUNCTION("""COMPUTED_VALUE"""),7.774433)</f>
        <v>7.774433</v>
      </c>
      <c r="D8309" s="7">
        <f>IFERROR(__xludf.DUMMYFUNCTION("""COMPUTED_VALUE"""),0.333333333333333)</f>
        <v>0.3333333333</v>
      </c>
    </row>
    <row r="8310">
      <c r="A8310" s="10" t="s">
        <v>9749</v>
      </c>
      <c r="B8310" s="7" t="str">
        <f>IFERROR(__xludf.DUMMYFUNCTION("SPLIT(A8310,"" "")"),"CC(C)C(C)(c1cccnc1)N(Cc1cc(-c2cccc(N(C)C)c2)ccn1)Cc1cc(-c2ccc3c(c2)OCCOCCOCCOCCOCCO3)ccn1")</f>
        <v>CC(C)C(C)(c1cccnc1)N(Cc1cc(-c2cccc(N(C)C)c2)ccn1)Cc1cc(-c2ccc3c(c2)OCCOCCOCCOCCOCCO3)ccn1</v>
      </c>
      <c r="C8310" s="7">
        <f>IFERROR(__xludf.DUMMYFUNCTION("""COMPUTED_VALUE"""),7.774431)</f>
        <v>7.774431</v>
      </c>
      <c r="D8310" s="7">
        <f>IFERROR(__xludf.DUMMYFUNCTION("""COMPUTED_VALUE"""),0.317073170731707)</f>
        <v>0.3170731707</v>
      </c>
    </row>
    <row r="8311">
      <c r="A8311" s="10" t="s">
        <v>9750</v>
      </c>
      <c r="B8311" s="7" t="str">
        <f>IFERROR(__xludf.DUMMYFUNCTION("SPLIT(A8311,"" "")"),"CC1C=CCC(C)C1c1cccc(CN(Cc2ccccn2)C2CCC(N(C)c3ccc4nc(CF)ccc4c3)CC2)n1")</f>
        <v>CC1C=CCC(C)C1c1cccc(CN(Cc2ccccn2)C2CCC(N(C)c3ccc4nc(CF)ccc4c3)CC2)n1</v>
      </c>
      <c r="C8311" s="7">
        <f>IFERROR(__xludf.DUMMYFUNCTION("""COMPUTED_VALUE"""),7.7744255)</f>
        <v>7.7744255</v>
      </c>
      <c r="D8311" s="7">
        <f>IFERROR(__xludf.DUMMYFUNCTION("""COMPUTED_VALUE"""),0.328767123287671)</f>
        <v>0.3287671233</v>
      </c>
    </row>
    <row r="8312">
      <c r="A8312" s="10" t="s">
        <v>9751</v>
      </c>
      <c r="B8312" s="7" t="str">
        <f>IFERROR(__xludf.DUMMYFUNCTION("SPLIT(A8312,"" "")"),"CC(C(=O)C(=O)C(=O)C(=O)C(C)C(=O)c1ccc(C2CCC2(C)C)nc1)C(=O)C(=O)C(=O)C(C)C(=O)C(=O)C(C)C(=O)C(=O)C(=O)C(C)C(C)C(C)C(C)C(C)C(C)C(=O)C(=O)C(=O)C(=O)C(=O)C(=O)C(=O)C(C)C(C)C(C)C(C)C(=O)C=O")</f>
        <v>CC(C(=O)C(=O)C(=O)C(=O)C(C)C(=O)c1ccc(C2CCC2(C)C)nc1)C(=O)C(=O)C(=O)C(C)C(=O)C(=O)C(C)C(=O)C(=O)C(=O)C(C)C(C)C(C)C(C)C(C)C(C)C(=O)C(=O)C(=O)C(=O)C(=O)C(=O)C(=O)C(C)C(C)C(C)C(C)C(=O)C=O</v>
      </c>
      <c r="C8312" s="7">
        <f>IFERROR(__xludf.DUMMYFUNCTION("""COMPUTED_VALUE"""),7.7744145)</f>
        <v>7.7744145</v>
      </c>
      <c r="D8312" s="7">
        <f>IFERROR(__xludf.DUMMYFUNCTION("""COMPUTED_VALUE"""),0.16867469879518)</f>
        <v>0.1686746988</v>
      </c>
    </row>
    <row r="8313">
      <c r="A8313" s="10" t="s">
        <v>9752</v>
      </c>
      <c r="B8313" s="7" t="str">
        <f>IFERROR(__xludf.DUMMYFUNCTION("SPLIT(A8313,"" "")"),"CN(Cc1cncc(-c2ccccc2N(C)C)c1)Cc1ncccc1-c1ccc2c(c1)OCCOCCOCCOCCOCCO2")</f>
        <v>CN(Cc1cncc(-c2ccccc2N(C)C)c1)Cc1ncccc1-c1ccc2c(c1)OCCOCCOCCOCCOCCO2</v>
      </c>
      <c r="C8313" s="7">
        <f>IFERROR(__xludf.DUMMYFUNCTION("""COMPUTED_VALUE"""),7.774414)</f>
        <v>7.774414</v>
      </c>
      <c r="D8313" s="7">
        <f>IFERROR(__xludf.DUMMYFUNCTION("""COMPUTED_VALUE"""),0.307692307692307)</f>
        <v>0.3076923077</v>
      </c>
    </row>
    <row r="8314">
      <c r="A8314" s="10" t="s">
        <v>9753</v>
      </c>
      <c r="B8314" s="7" t="str">
        <f>IFERROR(__xludf.DUMMYFUNCTION("SPLIT(A8314,"" "")"),"Cc1cnc(CN(C)C2CCC(N(Cc3ccccn3)Cc3cccc(-c4cccc(N(C)C5(C)CCC5)c4)n3)CC2)c(C)c1C")</f>
        <v>Cc1cnc(CN(C)C2CCC(N(Cc3ccccn3)Cc3cccc(-c4cccc(N(C)C5(C)CCC5)c4)n3)CC2)c(C)c1C</v>
      </c>
      <c r="C8314" s="7">
        <f>IFERROR(__xludf.DUMMYFUNCTION("""COMPUTED_VALUE"""),7.7744102)</f>
        <v>7.7744102</v>
      </c>
      <c r="D8314" s="7">
        <f>IFERROR(__xludf.DUMMYFUNCTION("""COMPUTED_VALUE"""),0.371794871794871)</f>
        <v>0.3717948718</v>
      </c>
    </row>
    <row r="8315">
      <c r="A8315" s="10" t="s">
        <v>9754</v>
      </c>
      <c r="B8315" s="7" t="str">
        <f>IFERROR(__xludf.DUMMYFUNCTION("SPLIT(A8315,"" "")"),"CN(Cc1ccc(-c2ccc3c(c2)OCCOCCOCCOCCOCCO3)cn1)Cc1cccc(-c2cccc(N(C)C)c2)n1")</f>
        <v>CN(Cc1ccc(-c2ccc3c(c2)OCCOCCOCCOCCOCCO3)cn1)Cc1cccc(-c2cccc(N(C)C)c2)n1</v>
      </c>
      <c r="C8315" s="7">
        <f>IFERROR(__xludf.DUMMYFUNCTION("""COMPUTED_VALUE"""),7.774406)</f>
        <v>7.774406</v>
      </c>
      <c r="D8315" s="7">
        <f>IFERROR(__xludf.DUMMYFUNCTION("""COMPUTED_VALUE"""),0.434782608695652)</f>
        <v>0.4347826087</v>
      </c>
    </row>
    <row r="8316">
      <c r="A8316" s="10" t="s">
        <v>9755</v>
      </c>
      <c r="B8316" s="7" t="str">
        <f>IFERROR(__xludf.DUMMYFUNCTION("SPLIT(A8316,"" "")"),"CN(CC1=C(N(C)C2C=CC=CN2)CC=CN1)Cc1ccccn1")</f>
        <v>CN(CC1=C(N(C)C2C=CC=CN2)CC=CN1)Cc1ccccn1</v>
      </c>
      <c r="C8316" s="7">
        <f>IFERROR(__xludf.DUMMYFUNCTION("""COMPUTED_VALUE"""),7.7744026)</f>
        <v>7.7744026</v>
      </c>
      <c r="D8316" s="7">
        <f>IFERROR(__xludf.DUMMYFUNCTION("""COMPUTED_VALUE"""),0.448275862068965)</f>
        <v>0.4482758621</v>
      </c>
    </row>
    <row r="8317">
      <c r="A8317" s="10" t="s">
        <v>9756</v>
      </c>
      <c r="B8317" s="7" t="str">
        <f>IFERROR(__xludf.DUMMYFUNCTION("SPLIT(A8317,"" "")"),"Cc1cccc(CN(C)Cc2cccc(N(C)C3CCCCC3N(Cc3ccccn3)Cc3nc(C)c(C)c(C)c3C)n2)n1")</f>
        <v>Cc1cccc(CN(C)Cc2cccc(N(C)C3CCCCC3N(Cc3ccccn3)Cc3nc(C)c(C)c(C)c3C)n2)n1</v>
      </c>
      <c r="C8317" s="7">
        <f>IFERROR(__xludf.DUMMYFUNCTION("""COMPUTED_VALUE"""),7.774402)</f>
        <v>7.774402</v>
      </c>
      <c r="D8317" s="7">
        <f>IFERROR(__xludf.DUMMYFUNCTION("""COMPUTED_VALUE"""),0.435483870967741)</f>
        <v>0.435483871</v>
      </c>
    </row>
    <row r="8318">
      <c r="A8318" s="10" t="s">
        <v>9757</v>
      </c>
      <c r="B8318" s="7" t="str">
        <f>IFERROR(__xludf.DUMMYFUNCTION("SPLIT(A8318,"" "")"),"Cc1cc(CN(C)CCN(Cc2cccnc2)Cc2ccccn2)nc(C)c1C")</f>
        <v>Cc1cc(CN(C)CCN(Cc2cccnc2)Cc2ccccn2)nc(C)c1C</v>
      </c>
      <c r="C8318" s="7">
        <f>IFERROR(__xludf.DUMMYFUNCTION("""COMPUTED_VALUE"""),7.7744)</f>
        <v>7.7744</v>
      </c>
      <c r="D8318" s="7">
        <f>IFERROR(__xludf.DUMMYFUNCTION("""COMPUTED_VALUE"""),0.5)</f>
        <v>0.5</v>
      </c>
    </row>
    <row r="8319">
      <c r="A8319" s="10" t="s">
        <v>9758</v>
      </c>
      <c r="B8319" s="7" t="str">
        <f>IFERROR(__xludf.DUMMYFUNCTION("SPLIT(A8319,"" "")"),"CCCN(Cc1ccccn1)c1cc2cccnc2cc1CN(C)Cc1cccc(-c2ccc3c(c2)OCCOCCOCCOCCOCCO3)n1")</f>
        <v>CCCN(Cc1ccccn1)c1cc2cccnc2cc1CN(C)Cc1cccc(-c2ccc3c(c2)OCCOCCOCCOCCOCCO3)n1</v>
      </c>
      <c r="C8319" s="7">
        <f>IFERROR(__xludf.DUMMYFUNCTION("""COMPUTED_VALUE"""),7.7743955)</f>
        <v>7.7743955</v>
      </c>
      <c r="D8319" s="7">
        <f>IFERROR(__xludf.DUMMYFUNCTION("""COMPUTED_VALUE"""),0.394366197183098)</f>
        <v>0.3943661972</v>
      </c>
    </row>
    <row r="8320">
      <c r="A8320" s="10" t="s">
        <v>9759</v>
      </c>
      <c r="B8320" s="7" t="str">
        <f>IFERROR(__xludf.DUMMYFUNCTION("SPLIT(A8320,"" "")"),"CNCN(Cc1ccccn1)C1CCC(N(C)c2ccc3c(CF)ccnc3c2)CC1")</f>
        <v>CNCN(Cc1ccccn1)C1CCC(N(C)c2ccc3c(CF)ccnc3c2)CC1</v>
      </c>
      <c r="C8320" s="7">
        <f>IFERROR(__xludf.DUMMYFUNCTION("""COMPUTED_VALUE"""),7.774395)</f>
        <v>7.774395</v>
      </c>
      <c r="D8320" s="7">
        <f>IFERROR(__xludf.DUMMYFUNCTION("""COMPUTED_VALUE"""),0.349206349206349)</f>
        <v>0.3492063492</v>
      </c>
    </row>
    <row r="8321">
      <c r="A8321" s="10" t="s">
        <v>9760</v>
      </c>
      <c r="B8321" s="7" t="str">
        <f>IFERROR(__xludf.DUMMYFUNCTION("SPLIT(A8321,"" "")"),"Cc1ccnc(CN(C)Cc2ccc(CNC(C)C)nc2)c1")</f>
        <v>Cc1ccnc(CN(C)Cc2ccc(CNC(C)C)nc2)c1</v>
      </c>
      <c r="C8321" s="7">
        <f>IFERROR(__xludf.DUMMYFUNCTION("""COMPUTED_VALUE"""),7.774391)</f>
        <v>7.774391</v>
      </c>
      <c r="D8321" s="7">
        <f>IFERROR(__xludf.DUMMYFUNCTION("""COMPUTED_VALUE"""),0.36734693877551)</f>
        <v>0.3673469388</v>
      </c>
    </row>
    <row r="8322">
      <c r="A8322" s="10" t="s">
        <v>9761</v>
      </c>
      <c r="B8322" s="7" t="str">
        <f>IFERROR(__xludf.DUMMYFUNCTION("SPLIT(A8322,"" "")"),"CNCc1ncccc1CN(C)C1CCCCC1N(C)c1ccc2cccnc2c1")</f>
        <v>CNCc1ncccc1CN(C)C1CCCCC1N(C)c1ccc2cccnc2c1</v>
      </c>
      <c r="C8322" s="7">
        <f>IFERROR(__xludf.DUMMYFUNCTION("""COMPUTED_VALUE"""),7.774383)</f>
        <v>7.774383</v>
      </c>
      <c r="D8322" s="7">
        <f>IFERROR(__xludf.DUMMYFUNCTION("""COMPUTED_VALUE"""),0.4)</f>
        <v>0.4</v>
      </c>
    </row>
    <row r="8323">
      <c r="A8323" s="10" t="s">
        <v>9762</v>
      </c>
      <c r="B8323" s="7" t="str">
        <f>IFERROR(__xludf.DUMMYFUNCTION("SPLIT(A8323,"" "")"),"CC1C=CC(C)(C)CC1(C)c1ccc(CN(Cc2ccccn2)Cc2ncccc2C(C)(C)C)cn1")</f>
        <v>CC1C=CC(C)(C)CC1(C)c1ccc(CN(Cc2ccccn2)Cc2ncccc2C(C)(C)C)cn1</v>
      </c>
      <c r="C8323" s="7">
        <f>IFERROR(__xludf.DUMMYFUNCTION("""COMPUTED_VALUE"""),7.7743692)</f>
        <v>7.7743692</v>
      </c>
      <c r="D8323" s="7">
        <f>IFERROR(__xludf.DUMMYFUNCTION("""COMPUTED_VALUE"""),0.333333333333333)</f>
        <v>0.3333333333</v>
      </c>
    </row>
    <row r="8324">
      <c r="A8324" s="10" t="s">
        <v>9763</v>
      </c>
      <c r="B8324" s="7" t="str">
        <f>IFERROR(__xludf.DUMMYFUNCTION("SPLIT(A8324,"" "")"),"CNCc1nc(CN(Cc2nc(C)c(C)c(C)c2C)C2CCC(N(C)Cc3nc(C)c(C)c(C)c3C)CC2)c(C)c(C)c1C")</f>
        <v>CNCc1nc(CN(Cc2nc(C)c(C)c(C)c2C)C2CCC(N(C)Cc3nc(C)c(C)c(C)c3C)CC2)c(C)c(C)c1C</v>
      </c>
      <c r="C8324" s="7">
        <f>IFERROR(__xludf.DUMMYFUNCTION("""COMPUTED_VALUE"""),7.774368)</f>
        <v>7.774368</v>
      </c>
      <c r="D8324" s="7">
        <f>IFERROR(__xludf.DUMMYFUNCTION("""COMPUTED_VALUE"""),0.228070175438596)</f>
        <v>0.2280701754</v>
      </c>
    </row>
    <row r="8325">
      <c r="A8325" s="10" t="s">
        <v>9764</v>
      </c>
      <c r="B8325" s="7" t="str">
        <f>IFERROR(__xludf.DUMMYFUNCTION("SPLIT(A8325,"" "")"),"Cc1cc(C)c(CN(C)CCN(Cc2ccccn2)Cc2ncccc2C)cn1")</f>
        <v>Cc1cc(C)c(CN(C)CCN(Cc2ccccn2)Cc2ncccc2C)cn1</v>
      </c>
      <c r="C8325" s="7">
        <f>IFERROR(__xludf.DUMMYFUNCTION("""COMPUTED_VALUE"""),7.7743654)</f>
        <v>7.7743654</v>
      </c>
      <c r="D8325" s="7">
        <f>IFERROR(__xludf.DUMMYFUNCTION("""COMPUTED_VALUE"""),0.48)</f>
        <v>0.48</v>
      </c>
    </row>
    <row r="8326">
      <c r="A8326" s="10" t="s">
        <v>9765</v>
      </c>
      <c r="B8326" s="7" t="str">
        <f>IFERROR(__xludf.DUMMYFUNCTION("SPLIT(A8326,"" "")"),"CCSCc1ncccc1CN(C)Cc1ncccc1C")</f>
        <v>CCSCc1ncccc1CN(C)Cc1ncccc1C</v>
      </c>
      <c r="C8326" s="7">
        <f>IFERROR(__xludf.DUMMYFUNCTION("""COMPUTED_VALUE"""),7.774359)</f>
        <v>7.774359</v>
      </c>
      <c r="D8326" s="7">
        <f>IFERROR(__xludf.DUMMYFUNCTION("""COMPUTED_VALUE"""),0.375)</f>
        <v>0.375</v>
      </c>
    </row>
    <row r="8327">
      <c r="A8327" s="10" t="s">
        <v>9766</v>
      </c>
      <c r="B8327" s="7" t="str">
        <f>IFERROR(__xludf.DUMMYFUNCTION("SPLIT(A8327,"" "")"),"CC(C)N(C)CC1=CCC=C(N(C)Cc2ccccn2)N1")</f>
        <v>CC(C)N(C)CC1=CCC=C(N(C)Cc2ccccn2)N1</v>
      </c>
      <c r="C8327" s="7">
        <f>IFERROR(__xludf.DUMMYFUNCTION("""COMPUTED_VALUE"""),7.77435)</f>
        <v>7.77435</v>
      </c>
      <c r="D8327" s="7">
        <f>IFERROR(__xludf.DUMMYFUNCTION("""COMPUTED_VALUE"""),0.4375)</f>
        <v>0.4375</v>
      </c>
    </row>
    <row r="8328">
      <c r="A8328" s="10" t="s">
        <v>9767</v>
      </c>
      <c r="B8328" s="7" t="str">
        <f>IFERROR(__xludf.DUMMYFUNCTION("SPLIT(A8328,"" "")"),"Cc1cccc(CN(C)Cc2ncccc2C)c1")</f>
        <v>Cc1cccc(CN(C)Cc2ncccc2C)c1</v>
      </c>
      <c r="C8328" s="7">
        <f>IFERROR(__xludf.DUMMYFUNCTION("""COMPUTED_VALUE"""),7.7743483)</f>
        <v>7.7743483</v>
      </c>
      <c r="D8328" s="7">
        <f>IFERROR(__xludf.DUMMYFUNCTION("""COMPUTED_VALUE"""),0.340425531914893)</f>
        <v>0.3404255319</v>
      </c>
    </row>
    <row r="8329">
      <c r="A8329" s="10" t="s">
        <v>9768</v>
      </c>
      <c r="B8329" s="7" t="str">
        <f>IFERROR(__xludf.DUMMYFUNCTION("SPLIT(A8329,"" "")"),"CNc1ccc2nc(CN(C)Cc3ncccc3-c3ccc4c(c3)OCCOCCOCCOCCOCCO4)ccc2c1")</f>
        <v>CNc1ccc2nc(CN(C)Cc3ncccc3-c3ccc4c(c3)OCCOCCOCCOCCOCCO4)ccc2c1</v>
      </c>
      <c r="C8329" s="7">
        <f>IFERROR(__xludf.DUMMYFUNCTION("""COMPUTED_VALUE"""),7.774342)</f>
        <v>7.774342</v>
      </c>
      <c r="D8329" s="7">
        <f>IFERROR(__xludf.DUMMYFUNCTION("""COMPUTED_VALUE"""),0.316455696202531)</f>
        <v>0.3164556962</v>
      </c>
    </row>
    <row r="8330">
      <c r="A8330" s="10" t="s">
        <v>9769</v>
      </c>
      <c r="B8330" s="7" t="str">
        <f>IFERROR(__xludf.DUMMYFUNCTION("SPLIT(A8330,"" "")"),"COC(=O)c1ncccc1CN1CCN(C)CCN(Cc2cc(C(C)(c3ccccn3)c3ccccn3)ccn2)CC1")</f>
        <v>COC(=O)c1ncccc1CN1CCN(C)CCN(Cc2cc(C(C)(c3ccccn3)c3ccccn3)ccn2)CC1</v>
      </c>
      <c r="C8330" s="7">
        <f>IFERROR(__xludf.DUMMYFUNCTION("""COMPUTED_VALUE"""),7.7743406)</f>
        <v>7.7743406</v>
      </c>
      <c r="D8330" s="7">
        <f>IFERROR(__xludf.DUMMYFUNCTION("""COMPUTED_VALUE"""),0.441176470588235)</f>
        <v>0.4411764706</v>
      </c>
    </row>
    <row r="8331">
      <c r="A8331" s="10" t="s">
        <v>9770</v>
      </c>
      <c r="B8331" s="7" t="str">
        <f>IFERROR(__xludf.DUMMYFUNCTION("SPLIT(A8331,"" "")"),"COC(C)NCc1ncccc1CN(Cc1ccccn1)Cc1ccc(C(C)(C)C)cn1")</f>
        <v>COC(C)NCc1ncccc1CN(Cc1ccccn1)Cc1ccc(C(C)(C)C)cn1</v>
      </c>
      <c r="C8331" s="7">
        <f>IFERROR(__xludf.DUMMYFUNCTION("""COMPUTED_VALUE"""),7.7743397)</f>
        <v>7.7743397</v>
      </c>
      <c r="D8331" s="7">
        <f>IFERROR(__xludf.DUMMYFUNCTION("""COMPUTED_VALUE"""),0.377358490566037)</f>
        <v>0.3773584906</v>
      </c>
    </row>
    <row r="8332">
      <c r="A8332" s="10" t="s">
        <v>9771</v>
      </c>
      <c r="B8332" s="7" t="str">
        <f>IFERROR(__xludf.DUMMYFUNCTION("SPLIT(A8332,"" "")"),"Cc1cncc(CN(C)C2C=CC=CN2)c1C(C)(C)C")</f>
        <v>Cc1cncc(CN(C)C2C=CC=CN2)c1C(C)(C)C</v>
      </c>
      <c r="C8332" s="7">
        <f>IFERROR(__xludf.DUMMYFUNCTION("""COMPUTED_VALUE"""),7.774328)</f>
        <v>7.774328</v>
      </c>
      <c r="D8332" s="7">
        <f>IFERROR(__xludf.DUMMYFUNCTION("""COMPUTED_VALUE"""),0.25)</f>
        <v>0.25</v>
      </c>
    </row>
    <row r="8333">
      <c r="A8333" s="10" t="s">
        <v>9772</v>
      </c>
      <c r="B8333" s="7" t="str">
        <f>IFERROR(__xludf.DUMMYFUNCTION("SPLIT(A8333,"" "")"),"Cc1ccnc(CN(C)Cc2ccncc2C2=CC(C)CC(N(C)Cc3ccccn3)C2C)c1")</f>
        <v>Cc1ccnc(CN(C)Cc2ccncc2C2=CC(C)CC(N(C)Cc3ccccn3)C2C)c1</v>
      </c>
      <c r="C8333" s="7">
        <f>IFERROR(__xludf.DUMMYFUNCTION("""COMPUTED_VALUE"""),7.774324)</f>
        <v>7.774324</v>
      </c>
      <c r="D8333" s="7">
        <f>IFERROR(__xludf.DUMMYFUNCTION("""COMPUTED_VALUE"""),0.390625)</f>
        <v>0.390625</v>
      </c>
    </row>
    <row r="8334">
      <c r="A8334" s="10" t="s">
        <v>9773</v>
      </c>
      <c r="B8334" s="7" t="str">
        <f>IFERROR(__xludf.DUMMYFUNCTION("SPLIT(A8334,"" "")"),"Cc1cccc(-c2cccc(CN(C)C3CCC(N(Cc4ccccn4)Cc4ccc(C)c(C)n4)CC3)n2)c1")</f>
        <v>Cc1cccc(-c2cccc(CN(C)C3CCC(N(Cc4ccccn4)Cc4ccc(C)c(C)n4)CC3)n2)c1</v>
      </c>
      <c r="C8334" s="7">
        <f>IFERROR(__xludf.DUMMYFUNCTION("""COMPUTED_VALUE"""),7.774305)</f>
        <v>7.774305</v>
      </c>
      <c r="D8334" s="7">
        <f>IFERROR(__xludf.DUMMYFUNCTION("""COMPUTED_VALUE"""),0.439393939393939)</f>
        <v>0.4393939394</v>
      </c>
    </row>
    <row r="8335">
      <c r="A8335" s="10" t="s">
        <v>9774</v>
      </c>
      <c r="B8335" s="7" t="str">
        <f>IFERROR(__xludf.DUMMYFUNCTION("SPLIT(A8335,"" "")"),"COC(=O)c1ccc(CN2CCN(C)CCN(Cc3cccc(C(C)(c4ccccn4)c4ccccn4)n3)CC2)cn1")</f>
        <v>COC(=O)c1ccc(CN2CCN(C)CCN(Cc3cccc(C(C)(c4ccccn4)c4ccccn4)n3)CC2)cn1</v>
      </c>
      <c r="C8335" s="7">
        <f>IFERROR(__xludf.DUMMYFUNCTION("""COMPUTED_VALUE"""),7.774298)</f>
        <v>7.774298</v>
      </c>
      <c r="D8335" s="7">
        <f>IFERROR(__xludf.DUMMYFUNCTION("""COMPUTED_VALUE"""),0.433333333333333)</f>
        <v>0.4333333333</v>
      </c>
    </row>
    <row r="8336">
      <c r="A8336" s="10" t="s">
        <v>9775</v>
      </c>
      <c r="B8336" s="7" t="str">
        <f>IFERROR(__xludf.DUMMYFUNCTION("SPLIT(A8336,"" "")"),"FCN(Cc1ccccn1)C1CCCCC1N(Cc1ccccn1)c1cccc2cccnc12")</f>
        <v>FCN(Cc1ccccn1)C1CCCCC1N(Cc1ccccn1)c1cccc2cccnc12</v>
      </c>
      <c r="C8336" s="7">
        <f>IFERROR(__xludf.DUMMYFUNCTION("""COMPUTED_VALUE"""),7.774296)</f>
        <v>7.774296</v>
      </c>
      <c r="D8336" s="7">
        <f>IFERROR(__xludf.DUMMYFUNCTION("""COMPUTED_VALUE"""),0.490566037735849)</f>
        <v>0.4905660377</v>
      </c>
    </row>
    <row r="8337">
      <c r="A8337" s="10" t="s">
        <v>9776</v>
      </c>
      <c r="B8337" s="7" t="str">
        <f>IFERROR(__xludf.DUMMYFUNCTION("SPLIT(A8337,"" "")"),"CC(C)N(Cc1ccccn1)C(C)(N)N(Cc1ccccn1)C(C)(C)c1ccccn1")</f>
        <v>CC(C)N(Cc1ccccn1)C(C)(N)N(Cc1ccccn1)C(C)(C)c1ccccn1</v>
      </c>
      <c r="C8337" s="7">
        <f>IFERROR(__xludf.DUMMYFUNCTION("""COMPUTED_VALUE"""),7.7742877)</f>
        <v>7.7742877</v>
      </c>
      <c r="D8337" s="7">
        <f>IFERROR(__xludf.DUMMYFUNCTION("""COMPUTED_VALUE"""),0.456521739130434)</f>
        <v>0.4565217391</v>
      </c>
    </row>
    <row r="8338">
      <c r="A8338" s="10" t="s">
        <v>9777</v>
      </c>
      <c r="B8338" s="7" t="str">
        <f>IFERROR(__xludf.DUMMYFUNCTION("SPLIT(A8338,"" "")"),"CN1CCN(C)CCN(C2C=C(N(C)c3ccc4cccnc4c3)C=CN2)CC1")</f>
        <v>CN1CCN(C)CCN(C2C=C(N(C)c3ccc4cccnc4c3)C=CN2)CC1</v>
      </c>
      <c r="C8338" s="7">
        <f>IFERROR(__xludf.DUMMYFUNCTION("""COMPUTED_VALUE"""),7.7742753)</f>
        <v>7.7742753</v>
      </c>
      <c r="D8338" s="7">
        <f>IFERROR(__xludf.DUMMYFUNCTION("""COMPUTED_VALUE"""),0.272727272727272)</f>
        <v>0.2727272727</v>
      </c>
    </row>
    <row r="8339">
      <c r="A8339" s="10" t="s">
        <v>9778</v>
      </c>
      <c r="B8339" s="7" t="str">
        <f>IFERROR(__xludf.DUMMYFUNCTION("SPLIT(A8339,"" "")"),"CC(C)N(Cc1cc(C(C)(C)C)ccn1)C(C)C")</f>
        <v>CC(C)N(Cc1cc(C(C)(C)C)ccn1)C(C)C</v>
      </c>
      <c r="C8339" s="7">
        <f>IFERROR(__xludf.DUMMYFUNCTION("""COMPUTED_VALUE"""),7.7742753)</f>
        <v>7.7742753</v>
      </c>
      <c r="D8339" s="7">
        <f>IFERROR(__xludf.DUMMYFUNCTION("""COMPUTED_VALUE"""),0.357142857142857)</f>
        <v>0.3571428571</v>
      </c>
    </row>
    <row r="8340">
      <c r="A8340" s="10" t="s">
        <v>9779</v>
      </c>
      <c r="B8340" s="7" t="str">
        <f>IFERROR(__xludf.DUMMYFUNCTION("SPLIT(A8340,"" "")"),"CC1=C(N(Cc2ccccn2)Cc2ccccn2)CC(C)CC1C")</f>
        <v>CC1=C(N(Cc2ccccn2)Cc2ccccn2)CC(C)CC1C</v>
      </c>
      <c r="C8340" s="7">
        <f>IFERROR(__xludf.DUMMYFUNCTION("""COMPUTED_VALUE"""),7.77427)</f>
        <v>7.77427</v>
      </c>
      <c r="D8340" s="7">
        <f>IFERROR(__xludf.DUMMYFUNCTION("""COMPUTED_VALUE"""),0.425531914893617)</f>
        <v>0.4255319149</v>
      </c>
    </row>
    <row r="8341">
      <c r="A8341" s="10" t="s">
        <v>9780</v>
      </c>
      <c r="B8341" s="7" t="str">
        <f>IFERROR(__xludf.DUMMYFUNCTION("SPLIT(A8341,"" "")"),"CNC1C(N(C)Cc2cc(C)c(C)c(C)n2)CCCC1N(Cc1nc(C)c(C)c(C)c1C)Cc1nc(C)c(C)c(C)c1C")</f>
        <v>CNC1C(N(C)Cc2cc(C)c(C)c(C)n2)CCCC1N(Cc1nc(C)c(C)c(C)c1C)Cc1nc(C)c(C)c(C)c1C</v>
      </c>
      <c r="C8341" s="7">
        <f>IFERROR(__xludf.DUMMYFUNCTION("""COMPUTED_VALUE"""),7.7742624)</f>
        <v>7.7742624</v>
      </c>
      <c r="D8341" s="7">
        <f>IFERROR(__xludf.DUMMYFUNCTION("""COMPUTED_VALUE"""),0.338983050847457)</f>
        <v>0.3389830508</v>
      </c>
    </row>
    <row r="8342">
      <c r="A8342" s="10" t="s">
        <v>9781</v>
      </c>
      <c r="B8342" s="7" t="str">
        <f>IFERROR(__xludf.DUMMYFUNCTION("SPLIT(A8342,"" "")"),"CC1=C(C)C(N(C)Cc2cc(C(C)(C)c3ccccn3)ccn2)C(C)CC1")</f>
        <v>CC1=C(C)C(N(C)Cc2cc(C(C)(C)c3ccccn3)ccn2)C(C)CC1</v>
      </c>
      <c r="C8342" s="7">
        <f>IFERROR(__xludf.DUMMYFUNCTION("""COMPUTED_VALUE"""),7.774261)</f>
        <v>7.774261</v>
      </c>
      <c r="D8342" s="7">
        <f>IFERROR(__xludf.DUMMYFUNCTION("""COMPUTED_VALUE"""),0.372881355932203)</f>
        <v>0.3728813559</v>
      </c>
    </row>
    <row r="8343">
      <c r="A8343" s="10" t="s">
        <v>9782</v>
      </c>
      <c r="B8343" s="7" t="str">
        <f>IFERROR(__xludf.DUMMYFUNCTION("SPLIT(A8343,"" "")"),"CCCNCC1=CCC=C(N(C)Cc2ncccc2C)N1")</f>
        <v>CCCNCC1=CCC=C(N(C)Cc2ncccc2C)N1</v>
      </c>
      <c r="C8343" s="7">
        <f>IFERROR(__xludf.DUMMYFUNCTION("""COMPUTED_VALUE"""),7.774253)</f>
        <v>7.774253</v>
      </c>
      <c r="D8343" s="7">
        <f>IFERROR(__xludf.DUMMYFUNCTION("""COMPUTED_VALUE"""),0.261538461538461)</f>
        <v>0.2615384615</v>
      </c>
    </row>
    <row r="8344">
      <c r="A8344" s="10" t="s">
        <v>9783</v>
      </c>
      <c r="B8344" s="7" t="str">
        <f>IFERROR(__xludf.DUMMYFUNCTION("SPLIT(A8344,"" "")"),"CC(C)N(Cc1ccccn1)C1CCCCC1N(C)c1ccc2cc(CF)cnc2c1")</f>
        <v>CC(C)N(Cc1ccccn1)C1CCCCC1N(C)c1ccc2cc(CF)cnc2c1</v>
      </c>
      <c r="C8344" s="7">
        <f>IFERROR(__xludf.DUMMYFUNCTION("""COMPUTED_VALUE"""),7.7742496)</f>
        <v>7.7742496</v>
      </c>
      <c r="D8344" s="7">
        <f>IFERROR(__xludf.DUMMYFUNCTION("""COMPUTED_VALUE"""),0.433333333333333)</f>
        <v>0.4333333333</v>
      </c>
    </row>
    <row r="8345">
      <c r="A8345" s="10" t="s">
        <v>9784</v>
      </c>
      <c r="B8345" s="7" t="str">
        <f>IFERROR(__xludf.DUMMYFUNCTION("SPLIT(A8345,"" "")"),"Fc1cccc(CN(Cc2cccc(-c3ccc4c(c3)OCCOCCOCCOCCOCCO4)n2)Cc2cccc(-c3ccccc3NCc3ccccn3)n2)n1")</f>
        <v>Fc1cccc(CN(Cc2cccc(-c3ccc4c(c3)OCCOCCOCCOCCOCCO4)n2)Cc2cccc(-c3ccccc3NCc3ccccn3)n2)n1</v>
      </c>
      <c r="C8345" s="7">
        <f>IFERROR(__xludf.DUMMYFUNCTION("""COMPUTED_VALUE"""),7.774249)</f>
        <v>7.774249</v>
      </c>
      <c r="D8345" s="7">
        <f>IFERROR(__xludf.DUMMYFUNCTION("""COMPUTED_VALUE"""),0.391891891891891)</f>
        <v>0.3918918919</v>
      </c>
    </row>
    <row r="8346">
      <c r="A8346" s="10" t="s">
        <v>9785</v>
      </c>
      <c r="B8346" s="7" t="str">
        <f>IFERROR(__xludf.DUMMYFUNCTION("SPLIT(A8346,"" "")"),"Cc1cccc(-c2cccc(CN(C)C3CCC(N(C)Cc4ccccn4)CC3N(Cc3ccccn3)Cc3cccc(C(C)(C)C)n3)n2)c1")</f>
        <v>Cc1cccc(-c2cccc(CN(C)C3CCC(N(C)Cc4ccccn4)CC3N(Cc3ccccn3)Cc3cccc(C(C)(C)C)n3)n2)c1</v>
      </c>
      <c r="C8346" s="7">
        <f>IFERROR(__xludf.DUMMYFUNCTION("""COMPUTED_VALUE"""),7.7742395)</f>
        <v>7.7742395</v>
      </c>
      <c r="D8346" s="7">
        <f>IFERROR(__xludf.DUMMYFUNCTION("""COMPUTED_VALUE"""),0.415384615384615)</f>
        <v>0.4153846154</v>
      </c>
    </row>
    <row r="8347">
      <c r="A8347" s="10" t="s">
        <v>9786</v>
      </c>
      <c r="B8347" s="7" t="str">
        <f>IFERROR(__xludf.DUMMYFUNCTION("SPLIT(A8347,"" "")"),"Cc1cncc(CN(C)C2CCCC(N(Cc3cccc(C)n3)Cc3cccc(-c4cccc(N)c4)n3)C2)c1")</f>
        <v>Cc1cncc(CN(C)C2CCCC(N(Cc3cccc(C)n3)Cc3cccc(-c4cccc(N)c4)n3)C2)c1</v>
      </c>
      <c r="C8347" s="7">
        <f>IFERROR(__xludf.DUMMYFUNCTION("""COMPUTED_VALUE"""),7.774238)</f>
        <v>7.774238</v>
      </c>
      <c r="D8347" s="7">
        <f>IFERROR(__xludf.DUMMYFUNCTION("""COMPUTED_VALUE"""),0.378787878787878)</f>
        <v>0.3787878788</v>
      </c>
    </row>
    <row r="8348">
      <c r="A8348" s="10" t="s">
        <v>9787</v>
      </c>
      <c r="B8348" s="7" t="str">
        <f>IFERROR(__xludf.DUMMYFUNCTION("SPLIT(A8348,"" "")"),"CCN(Cc1ccccn1)Cc1ncccc1CN(C)Cc1cccc(C)n1")</f>
        <v>CCN(Cc1ccccn1)Cc1ncccc1CN(C)Cc1cccc(C)n1</v>
      </c>
      <c r="C8348" s="7">
        <f>IFERROR(__xludf.DUMMYFUNCTION("""COMPUTED_VALUE"""),7.7742352)</f>
        <v>7.7742352</v>
      </c>
      <c r="D8348" s="7">
        <f>IFERROR(__xludf.DUMMYFUNCTION("""COMPUTED_VALUE"""),0.490196078431372)</f>
        <v>0.4901960784</v>
      </c>
    </row>
    <row r="8349">
      <c r="A8349" s="10" t="s">
        <v>9788</v>
      </c>
      <c r="B8349" s="7" t="str">
        <f>IFERROR(__xludf.DUMMYFUNCTION("SPLIT(A8349,"" "")"),"Cc1ccc(CN(C)CC2=CC(N(C)Cc3ccccn3)C=CN2)cn1")</f>
        <v>Cc1ccc(CN(C)CC2=CC(N(C)Cc3ccccn3)C=CN2)cn1</v>
      </c>
      <c r="C8349" s="7">
        <f>IFERROR(__xludf.DUMMYFUNCTION("""COMPUTED_VALUE"""),7.7742305)</f>
        <v>7.7742305</v>
      </c>
      <c r="D8349" s="7">
        <f>IFERROR(__xludf.DUMMYFUNCTION("""COMPUTED_VALUE"""),0.379310344827586)</f>
        <v>0.3793103448</v>
      </c>
    </row>
    <row r="8350">
      <c r="A8350" s="10" t="s">
        <v>9789</v>
      </c>
      <c r="B8350" s="7" t="str">
        <f>IFERROR(__xludf.DUMMYFUNCTION("SPLIT(A8350,"" "")"),"Cc1ccnc(CN(C)C2=CNC(CN(C)C(C)C)=CC2)c1")</f>
        <v>Cc1ccnc(CN(C)C2=CNC(CN(C)C(C)C)=CC2)c1</v>
      </c>
      <c r="C8350" s="7">
        <f>IFERROR(__xludf.DUMMYFUNCTION("""COMPUTED_VALUE"""),7.77423)</f>
        <v>7.77423</v>
      </c>
      <c r="D8350" s="7">
        <f>IFERROR(__xludf.DUMMYFUNCTION("""COMPUTED_VALUE"""),0.31578947368421)</f>
        <v>0.3157894737</v>
      </c>
    </row>
    <row r="8351">
      <c r="A8351" s="10" t="s">
        <v>9790</v>
      </c>
      <c r="B8351" s="7" t="str">
        <f>IFERROR(__xludf.DUMMYFUNCTION("SPLIT(A8351,"" "")"),"Cc1ccc(CN(Cc2ccc([Si](C(C)C)(C(C)C)C(C)C)cn2)C2CCC(N(C)Cc3cc(-c4ccccn4)ccn3)CC2)nc1")</f>
        <v>Cc1ccc(CN(Cc2ccc([Si](C(C)C)(C(C)C)C(C)C)cn2)C2CCC(N(C)Cc3cc(-c4ccccn4)ccn3)CC2)nc1</v>
      </c>
      <c r="C8351" s="7">
        <f>IFERROR(__xludf.DUMMYFUNCTION("""COMPUTED_VALUE"""),7.774229)</f>
        <v>7.774229</v>
      </c>
      <c r="D8351" s="7">
        <f>IFERROR(__xludf.DUMMYFUNCTION("""COMPUTED_VALUE"""),0.38095238095238)</f>
        <v>0.380952381</v>
      </c>
    </row>
    <row r="8352">
      <c r="A8352" s="10" t="s">
        <v>9791</v>
      </c>
      <c r="B8352" s="7" t="str">
        <f>IFERROR(__xludf.DUMMYFUNCTION("SPLIT(A8352,"" "")"),"CC1=CCC(N(C)Cc2ccccn2)C(c2cnccc2CN(Cc2ccccn2)Cc2cc(N)ccn2)C1C")</f>
        <v>CC1=CCC(N(C)Cc2ccccn2)C(c2cnccc2CN(Cc2ccccn2)Cc2cc(N)ccn2)C1C</v>
      </c>
      <c r="C8352" s="7">
        <f>IFERROR(__xludf.DUMMYFUNCTION("""COMPUTED_VALUE"""),7.7742195)</f>
        <v>7.7742195</v>
      </c>
      <c r="D8352" s="7">
        <f>IFERROR(__xludf.DUMMYFUNCTION("""COMPUTED_VALUE"""),0.403225806451612)</f>
        <v>0.4032258065</v>
      </c>
    </row>
    <row r="8353">
      <c r="A8353" s="10" t="s">
        <v>9792</v>
      </c>
      <c r="B8353" s="7" t="str">
        <f>IFERROR(__xludf.DUMMYFUNCTION("SPLIT(A8353,"" "")"),"Cc1cncc(CN(C)c2ccccc2-c2ccc(CN(C)C3CCC(CC(C)(C)C)CC3)nc2)c1")</f>
        <v>Cc1cncc(CN(C)c2ccccc2-c2ccc(CN(C)C3CCC(CC(C)(C)C)CC3)nc2)c1</v>
      </c>
      <c r="C8353" s="7">
        <f>IFERROR(__xludf.DUMMYFUNCTION("""COMPUTED_VALUE"""),7.7742105)</f>
        <v>7.7742105</v>
      </c>
      <c r="D8353" s="7">
        <f>IFERROR(__xludf.DUMMYFUNCTION("""COMPUTED_VALUE"""),0.328358208955223)</f>
        <v>0.328358209</v>
      </c>
    </row>
    <row r="8354">
      <c r="A8354" s="10" t="s">
        <v>9793</v>
      </c>
      <c r="B8354" s="7" t="str">
        <f>IFERROR(__xludf.DUMMYFUNCTION("SPLIT(A8354,"" "")"),"CNc1cccc(CN(C)C2C=CC=CN2)n1")</f>
        <v>CNc1cccc(CN(C)C2C=CC=CN2)n1</v>
      </c>
      <c r="C8354" s="7">
        <f>IFERROR(__xludf.DUMMYFUNCTION("""COMPUTED_VALUE"""),7.7742095)</f>
        <v>7.7742095</v>
      </c>
      <c r="D8354" s="7">
        <f>IFERROR(__xludf.DUMMYFUNCTION("""COMPUTED_VALUE"""),0.352941176470588)</f>
        <v>0.3529411765</v>
      </c>
    </row>
    <row r="8355">
      <c r="A8355" s="10" t="s">
        <v>9794</v>
      </c>
      <c r="B8355" s="7" t="str">
        <f>IFERROR(__xludf.DUMMYFUNCTION("SPLIT(A8355,"" "")"),"CC(C)N(Cc1ccccn1)C1CCCCC1N(C)c1ccc2ccc(CF)nc2c1")</f>
        <v>CC(C)N(Cc1ccccn1)C1CCCCC1N(C)c1ccc2ccc(CF)nc2c1</v>
      </c>
      <c r="C8355" s="7">
        <f>IFERROR(__xludf.DUMMYFUNCTION("""COMPUTED_VALUE"""),7.7741933)</f>
        <v>7.7741933</v>
      </c>
      <c r="D8355" s="7">
        <f>IFERROR(__xludf.DUMMYFUNCTION("""COMPUTED_VALUE"""),0.456140350877192)</f>
        <v>0.4561403509</v>
      </c>
    </row>
    <row r="8356">
      <c r="A8356" s="10" t="s">
        <v>9795</v>
      </c>
      <c r="B8356" s="7" t="str">
        <f>IFERROR(__xludf.DUMMYFUNCTION("SPLIT(A8356,"" "")"),"CC1=CC(C)(c2ncccc2CN(Cc2ccccn2)Cc2ncccc2C(C)(C)C)CCC1C")</f>
        <v>CC1=CC(C)(c2ncccc2CN(Cc2ccccn2)Cc2ncccc2C(C)(C)C)CCC1C</v>
      </c>
      <c r="C8356" s="7">
        <f>IFERROR(__xludf.DUMMYFUNCTION("""COMPUTED_VALUE"""),7.77419)</f>
        <v>7.77419</v>
      </c>
      <c r="D8356" s="7">
        <f>IFERROR(__xludf.DUMMYFUNCTION("""COMPUTED_VALUE"""),0.350877192982456)</f>
        <v>0.350877193</v>
      </c>
    </row>
    <row r="8357">
      <c r="A8357" s="10" t="s">
        <v>9796</v>
      </c>
      <c r="B8357" s="7" t="str">
        <f>IFERROR(__xludf.DUMMYFUNCTION("SPLIT(A8357,"" "")"),"Cc1ccnc(CN(C)CCN(C)Cc2nc(C)c(C)cc2C)c1")</f>
        <v>Cc1ccnc(CN(C)CCN(C)Cc2nc(C)c(C)cc2C)c1</v>
      </c>
      <c r="C8357" s="7">
        <f>IFERROR(__xludf.DUMMYFUNCTION("""COMPUTED_VALUE"""),7.7741866)</f>
        <v>7.7741866</v>
      </c>
      <c r="D8357" s="7">
        <f>IFERROR(__xludf.DUMMYFUNCTION("""COMPUTED_VALUE"""),0.409090909090909)</f>
        <v>0.4090909091</v>
      </c>
    </row>
    <row r="8358">
      <c r="A8358" s="10" t="s">
        <v>9797</v>
      </c>
      <c r="B8358" s="7" t="str">
        <f>IFERROR(__xludf.DUMMYFUNCTION("SPLIT(A8358,"" "")"),"Cc1ccc(CN(C)Cc2cccc(N(C)C3CCC(N(Cc4ccccn4)Cc4nc(C)c(C)cc4C)CC3)n2)nc1")</f>
        <v>Cc1ccc(CN(C)Cc2cccc(N(C)C3CCC(N(Cc4ccccn4)Cc4nc(C)c(C)cc4C)CC3)n2)nc1</v>
      </c>
      <c r="C8358" s="7">
        <f>IFERROR(__xludf.DUMMYFUNCTION("""COMPUTED_VALUE"""),7.774163)</f>
        <v>7.774163</v>
      </c>
      <c r="D8358" s="7">
        <f>IFERROR(__xludf.DUMMYFUNCTION("""COMPUTED_VALUE"""),0.378787878787878)</f>
        <v>0.3787878788</v>
      </c>
    </row>
    <row r="8359">
      <c r="A8359" s="10" t="s">
        <v>9798</v>
      </c>
      <c r="B8359" s="7" t="str">
        <f>IFERROR(__xludf.DUMMYFUNCTION("SPLIT(A8359,"" "")"),"Cc1cccnc1CN(C)CCN(C)Cc1cc(C)c(C)c(C)n1")</f>
        <v>Cc1cccnc1CN(C)CCN(C)Cc1cc(C)c(C)c(C)n1</v>
      </c>
      <c r="C8359" s="7">
        <f>IFERROR(__xludf.DUMMYFUNCTION("""COMPUTED_VALUE"""),7.7741594)</f>
        <v>7.7741594</v>
      </c>
      <c r="D8359" s="7">
        <f>IFERROR(__xludf.DUMMYFUNCTION("""COMPUTED_VALUE"""),0.4)</f>
        <v>0.4</v>
      </c>
    </row>
    <row r="8360">
      <c r="A8360" s="10" t="s">
        <v>9799</v>
      </c>
      <c r="B8360" s="7" t="str">
        <f>IFERROR(__xludf.DUMMYFUNCTION("SPLIT(A8360,"" "")"),"CNC1CC(N(Cc2ccccn2)Cc2ncc(C)c(C)c2C)CC(N(Cc2ncc(C)c(C)c2C)Cc2ncc(C)c(C)c2C)C1")</f>
        <v>CNC1CC(N(Cc2ccccn2)Cc2ncc(C)c(C)c2C)CC(N(Cc2ncc(C)c(C)c2C)Cc2ncc(C)c(C)c2C)C1</v>
      </c>
      <c r="C8360" s="7">
        <f>IFERROR(__xludf.DUMMYFUNCTION("""COMPUTED_VALUE"""),7.7741513)</f>
        <v>7.7741513</v>
      </c>
      <c r="D8360" s="7">
        <f>IFERROR(__xludf.DUMMYFUNCTION("""COMPUTED_VALUE"""),0.363636363636363)</f>
        <v>0.3636363636</v>
      </c>
    </row>
    <row r="8361">
      <c r="A8361" s="10" t="s">
        <v>9800</v>
      </c>
      <c r="B8361" s="7" t="str">
        <f>IFERROR(__xludf.DUMMYFUNCTION("SPLIT(A8361,"" "")"),"Cc1ccnc(CN(C)CCN(C)Cc2cc(C)c(C)c(C)n2)c1")</f>
        <v>Cc1ccnc(CN(C)CCN(C)Cc2cc(C)c(C)c(C)n2)c1</v>
      </c>
      <c r="C8361" s="7">
        <f>IFERROR(__xludf.DUMMYFUNCTION("""COMPUTED_VALUE"""),7.7741494)</f>
        <v>7.7741494</v>
      </c>
      <c r="D8361" s="7">
        <f>IFERROR(__xludf.DUMMYFUNCTION("""COMPUTED_VALUE"""),0.41860465116279)</f>
        <v>0.4186046512</v>
      </c>
    </row>
    <row r="8362">
      <c r="A8362" s="10" t="s">
        <v>9801</v>
      </c>
      <c r="B8362" s="7" t="str">
        <f>IFERROR(__xludf.DUMMYFUNCTION("SPLIT(A8362,"" "")"),"CNC1CCCC(N(Cc2nc(C)c(C)c(C)c2C)Cc2nc(C)c(C)c(C)c2C)C1N(C)Cc1cc(C)c(C)c(C)n1")</f>
        <v>CNC1CCCC(N(Cc2nc(C)c(C)c(C)c2C)Cc2nc(C)c(C)c(C)c2C)C1N(C)Cc1cc(C)c(C)c(C)n1</v>
      </c>
      <c r="C8362" s="7">
        <f>IFERROR(__xludf.DUMMYFUNCTION("""COMPUTED_VALUE"""),7.774149)</f>
        <v>7.774149</v>
      </c>
      <c r="D8362" s="7">
        <f>IFERROR(__xludf.DUMMYFUNCTION("""COMPUTED_VALUE"""),0.306451612903225)</f>
        <v>0.3064516129</v>
      </c>
    </row>
    <row r="8363">
      <c r="A8363" s="10" t="s">
        <v>9802</v>
      </c>
      <c r="B8363" s="7" t="str">
        <f>IFERROR(__xludf.DUMMYFUNCTION("SPLIT(A8363,"" "")"),"COC(=O)c1cc(CN2CCN(C)CCN(Cc3cccc(C(C)(c4ccccn4)c4ccccn4)n3)CC2)ccn1")</f>
        <v>COC(=O)c1cc(CN2CCN(C)CCN(Cc3cccc(C(C)(c4ccccn4)c4ccccn4)n3)CC2)ccn1</v>
      </c>
      <c r="C8363" s="7">
        <f>IFERROR(__xludf.DUMMYFUNCTION("""COMPUTED_VALUE"""),7.7741437)</f>
        <v>7.7741437</v>
      </c>
      <c r="D8363" s="7">
        <f>IFERROR(__xludf.DUMMYFUNCTION("""COMPUTED_VALUE"""),0.433333333333333)</f>
        <v>0.4333333333</v>
      </c>
    </row>
    <row r="8364">
      <c r="A8364" s="10" t="s">
        <v>9803</v>
      </c>
      <c r="B8364" s="7" t="str">
        <f>IFERROR(__xludf.DUMMYFUNCTION("SPLIT(A8364,"" "")"),"COC(=O)c1cccc(CN2CCN(C)CCN(Cc3cc(C(C)(c4ccccn4)c4ccccn4)ccn3)CC2)n1")</f>
        <v>COC(=O)c1cccc(CN2CCN(C)CCN(Cc3cc(C(C)(c4ccccn4)c4ccccn4)ccn3)CC2)n1</v>
      </c>
      <c r="C8364" s="7">
        <f>IFERROR(__xludf.DUMMYFUNCTION("""COMPUTED_VALUE"""),7.774135)</f>
        <v>7.774135</v>
      </c>
      <c r="D8364" s="7">
        <f>IFERROR(__xludf.DUMMYFUNCTION("""COMPUTED_VALUE"""),0.457627118644067)</f>
        <v>0.4576271186</v>
      </c>
    </row>
    <row r="8365">
      <c r="A8365" s="10" t="s">
        <v>9804</v>
      </c>
      <c r="B8365" s="7" t="str">
        <f>IFERROR(__xludf.DUMMYFUNCTION("SPLIT(A8365,"" "")"),"CC(N)(c1ccccc1)N(Cc1ccccn1)Cc1ccccn1")</f>
        <v>CC(N)(c1ccccc1)N(Cc1ccccn1)Cc1ccccn1</v>
      </c>
      <c r="C8365" s="7">
        <f>IFERROR(__xludf.DUMMYFUNCTION("""COMPUTED_VALUE"""),7.7741337)</f>
        <v>7.7741337</v>
      </c>
      <c r="D8365" s="7">
        <f>IFERROR(__xludf.DUMMYFUNCTION("""COMPUTED_VALUE"""),0.5)</f>
        <v>0.5</v>
      </c>
    </row>
    <row r="8366">
      <c r="A8366" s="10" t="s">
        <v>9805</v>
      </c>
      <c r="B8366" s="7" t="str">
        <f>IFERROR(__xludf.DUMMYFUNCTION("SPLIT(A8366,"" "")"),"CCNc1ncccc1CN(Cc1ccccn1)Cc1cccc(F)n1")</f>
        <v>CCNc1ncccc1CN(Cc1ccccn1)Cc1cccc(F)n1</v>
      </c>
      <c r="C8366" s="7">
        <f>IFERROR(__xludf.DUMMYFUNCTION("""COMPUTED_VALUE"""),7.7741327)</f>
        <v>7.7741327</v>
      </c>
      <c r="D8366" s="7">
        <f>IFERROR(__xludf.DUMMYFUNCTION("""COMPUTED_VALUE"""),0.459016393442622)</f>
        <v>0.4590163934</v>
      </c>
    </row>
    <row r="8367">
      <c r="A8367" s="10" t="s">
        <v>9806</v>
      </c>
      <c r="B8367" s="7" t="str">
        <f>IFERROR(__xludf.DUMMYFUNCTION("SPLIT(A8367,"" "")"),"Cc1cncc(CN(C)CCN(C)Cc2nc(C)c(C)cc2C)c1")</f>
        <v>Cc1cncc(CN(C)CCN(C)Cc2nc(C)c(C)cc2C)c1</v>
      </c>
      <c r="C8367" s="7">
        <f>IFERROR(__xludf.DUMMYFUNCTION("""COMPUTED_VALUE"""),7.774127)</f>
        <v>7.774127</v>
      </c>
      <c r="D8367" s="7">
        <f>IFERROR(__xludf.DUMMYFUNCTION("""COMPUTED_VALUE"""),0.326086956521739)</f>
        <v>0.3260869565</v>
      </c>
    </row>
    <row r="8368">
      <c r="A8368" s="10" t="s">
        <v>9807</v>
      </c>
      <c r="B8368" s="7" t="str">
        <f>IFERROR(__xludf.DUMMYFUNCTION("SPLIT(A8368,"" "")"),"CN(Cc1cccc(-c2ccc(N(C)C)cc2)n1)Cc1cccc(-c2ccc3c(c2)OCCOCCOCCOCCOCCO3)n1")</f>
        <v>CN(Cc1cccc(-c2ccc(N(C)C)cc2)n1)Cc1cccc(-c2ccc3c(c2)OCCOCCOCCOCCOCCO3)n1</v>
      </c>
      <c r="C8368" s="7">
        <f>IFERROR(__xludf.DUMMYFUNCTION("""COMPUTED_VALUE"""),7.7741237)</f>
        <v>7.7741237</v>
      </c>
      <c r="D8368" s="7">
        <f>IFERROR(__xludf.DUMMYFUNCTION("""COMPUTED_VALUE"""),0.375)</f>
        <v>0.375</v>
      </c>
    </row>
    <row r="8369">
      <c r="A8369" s="10" t="s">
        <v>9808</v>
      </c>
      <c r="B8369" s="7" t="str">
        <f>IFERROR(__xludf.DUMMYFUNCTION("SPLIT(A8369,"" "")"),"CC1=C2N=CC=CC2C2C=CC=NC2C1N(C)Cc1cc(C(C)(C)C)ccn1")</f>
        <v>CC1=C2N=CC=CC2C2C=CC=NC2C1N(C)Cc1cc(C(C)(C)C)ccn1</v>
      </c>
      <c r="C8369" s="7">
        <f>IFERROR(__xludf.DUMMYFUNCTION("""COMPUTED_VALUE"""),7.774115)</f>
        <v>7.774115</v>
      </c>
      <c r="D8369" s="7">
        <f>IFERROR(__xludf.DUMMYFUNCTION("""COMPUTED_VALUE"""),0.238805970149253)</f>
        <v>0.2388059701</v>
      </c>
    </row>
    <row r="8370">
      <c r="A8370" s="10" t="s">
        <v>9809</v>
      </c>
      <c r="B8370" s="7" t="str">
        <f>IFERROR(__xludf.DUMMYFUNCTION("SPLIT(A8370,"" "")"),"Cc1cc(CN(C)C2CCC(N(C)Cc3cc(-c4ccccn4)ccn3)CC2)nc(C)c1C")</f>
        <v>Cc1cc(CN(C)C2CCC(N(C)Cc3cc(-c4ccccn4)ccn3)CC2)nc(C)c1C</v>
      </c>
      <c r="C8370" s="7">
        <f>IFERROR(__xludf.DUMMYFUNCTION("""COMPUTED_VALUE"""),7.774099)</f>
        <v>7.774099</v>
      </c>
      <c r="D8370" s="7">
        <f>IFERROR(__xludf.DUMMYFUNCTION("""COMPUTED_VALUE"""),0.392857142857142)</f>
        <v>0.3928571429</v>
      </c>
    </row>
    <row r="8371">
      <c r="A8371" s="10" t="s">
        <v>9810</v>
      </c>
      <c r="B8371" s="7" t="str">
        <f>IFERROR(__xludf.DUMMYFUNCTION("SPLIT(A8371,"" "")"),"CNC1CCCC(N(C)c2ccc3nc(CF)ccc3c2)C1")</f>
        <v>CNC1CCCC(N(C)c2ccc3nc(CF)ccc3c2)C1</v>
      </c>
      <c r="C8371" s="7">
        <f>IFERROR(__xludf.DUMMYFUNCTION("""COMPUTED_VALUE"""),7.7740917)</f>
        <v>7.7740917</v>
      </c>
      <c r="D8371" s="7">
        <f>IFERROR(__xludf.DUMMYFUNCTION("""COMPUTED_VALUE"""),0.372881355932203)</f>
        <v>0.3728813559</v>
      </c>
    </row>
    <row r="8372">
      <c r="A8372" s="10" t="s">
        <v>9811</v>
      </c>
      <c r="B8372" s="7" t="str">
        <f>IFERROR(__xludf.DUMMYFUNCTION("SPLIT(A8372,"" "")"),"CNCc1cccc(CN(C)Cc2ncccc2C)n1")</f>
        <v>CNCc1cccc(CN(C)Cc2ncccc2C)n1</v>
      </c>
      <c r="C8372" s="7">
        <f>IFERROR(__xludf.DUMMYFUNCTION("""COMPUTED_VALUE"""),7.774075)</f>
        <v>7.774075</v>
      </c>
      <c r="D8372" s="7">
        <f>IFERROR(__xludf.DUMMYFUNCTION("""COMPUTED_VALUE"""),0.4375)</f>
        <v>0.4375</v>
      </c>
    </row>
    <row r="8373">
      <c r="A8373" s="10" t="s">
        <v>9812</v>
      </c>
      <c r="B8373" s="7" t="str">
        <f>IFERROR(__xludf.DUMMYFUNCTION("SPLIT(A8373,"" "")"),"CNCc1cccc(CN(C)C2CCCCC2N(C)c2ccc3ccc(CF)nc3c2)n1")</f>
        <v>CNCc1cccc(CN(C)C2CCCCC2N(C)c2ccc3ccc(CF)nc3c2)n1</v>
      </c>
      <c r="C8373" s="7">
        <f>IFERROR(__xludf.DUMMYFUNCTION("""COMPUTED_VALUE"""),7.774075)</f>
        <v>7.774075</v>
      </c>
      <c r="D8373" s="7">
        <f>IFERROR(__xludf.DUMMYFUNCTION("""COMPUTED_VALUE"""),0.483333333333333)</f>
        <v>0.4833333333</v>
      </c>
    </row>
    <row r="8374">
      <c r="A8374" s="10" t="s">
        <v>9813</v>
      </c>
      <c r="B8374" s="7" t="str">
        <f>IFERROR(__xludf.DUMMYFUNCTION("SPLIT(A8374,"" "")"),"CN1CCN(Cc2cccc(C3=CCC=CN3)n2)CCN(Cc2cccc(C(C)(c3ccccn3)c3ccccn3)n2)CC1")</f>
        <v>CN1CCN(Cc2cccc(C3=CCC=CN3)n2)CCN(Cc2cccc(C(C)(c3ccccn3)c3ccccn3)n2)CC1</v>
      </c>
      <c r="C8374" s="7">
        <f>IFERROR(__xludf.DUMMYFUNCTION("""COMPUTED_VALUE"""),7.7740717)</f>
        <v>7.7740717</v>
      </c>
      <c r="D8374" s="7">
        <f>IFERROR(__xludf.DUMMYFUNCTION("""COMPUTED_VALUE"""),0.448275862068965)</f>
        <v>0.4482758621</v>
      </c>
    </row>
    <row r="8375">
      <c r="A8375" s="10" t="s">
        <v>9814</v>
      </c>
      <c r="B8375" s="7" t="str">
        <f>IFERROR(__xludf.DUMMYFUNCTION("SPLIT(A8375,"" "")"),"COCC(C)(CN(Cc1ccccn1)Cc1ccccn1)c1cc(CN(Cc2ccccn2)Cc2ccccn2)ccn1")</f>
        <v>COCC(C)(CN(Cc1ccccn1)Cc1ccccn1)c1cc(CN(Cc2ccccn2)Cc2ccccn2)ccn1</v>
      </c>
      <c r="C8375" s="7">
        <f>IFERROR(__xludf.DUMMYFUNCTION("""COMPUTED_VALUE"""),7.774069)</f>
        <v>7.774069</v>
      </c>
      <c r="D8375" s="7">
        <f>IFERROR(__xludf.DUMMYFUNCTION("""COMPUTED_VALUE"""),0.46)</f>
        <v>0.46</v>
      </c>
    </row>
    <row r="8376">
      <c r="A8376" s="10" t="s">
        <v>9815</v>
      </c>
      <c r="B8376" s="7" t="str">
        <f>IFERROR(__xludf.DUMMYFUNCTION("SPLIT(A8376,"" "")"),"Cc1cccc(CN(C)CC2=CC(N(C)Cc3cccc(C)n3)C=CN2)c1")</f>
        <v>Cc1cccc(CN(C)CC2=CC(N(C)Cc3cccc(C)n3)C=CN2)c1</v>
      </c>
      <c r="C8376" s="7">
        <f>IFERROR(__xludf.DUMMYFUNCTION("""COMPUTED_VALUE"""),7.774069)</f>
        <v>7.774069</v>
      </c>
      <c r="D8376" s="7">
        <f>IFERROR(__xludf.DUMMYFUNCTION("""COMPUTED_VALUE"""),0.403508771929824)</f>
        <v>0.4035087719</v>
      </c>
    </row>
    <row r="8377">
      <c r="A8377" s="10" t="s">
        <v>9816</v>
      </c>
      <c r="B8377" s="7" t="str">
        <f>IFERROR(__xludf.DUMMYFUNCTION("SPLIT(A8377,"" "")"),"Cc1cccc(CN(CC2=CC(N(C)Cc3ncccc3C)C=CN2)C(C)C)n1")</f>
        <v>Cc1cccc(CN(CC2=CC(N(C)Cc3ncccc3C)C=CN2)C(C)C)n1</v>
      </c>
      <c r="C8377" s="7">
        <f>IFERROR(__xludf.DUMMYFUNCTION("""COMPUTED_VALUE"""),7.7740674)</f>
        <v>7.7740674</v>
      </c>
      <c r="D8377" s="7">
        <f>IFERROR(__xludf.DUMMYFUNCTION("""COMPUTED_VALUE"""),0.34375)</f>
        <v>0.34375</v>
      </c>
    </row>
    <row r="8378">
      <c r="A8378" s="10" t="s">
        <v>9817</v>
      </c>
      <c r="B8378" s="7" t="str">
        <f>IFERROR(__xludf.DUMMYFUNCTION("SPLIT(A8378,"" "")"),"FCc1cnc2ccc(N(Cc3ccccn3)C3CCCCC3N(CF)Cc3ccccn3)cc2c1")</f>
        <v>FCc1cnc2ccc(N(Cc3ccccn3)C3CCCCC3N(CF)Cc3ccccn3)cc2c1</v>
      </c>
      <c r="C8378" s="7">
        <f>IFERROR(__xludf.DUMMYFUNCTION("""COMPUTED_VALUE"""),7.7740583)</f>
        <v>7.7740583</v>
      </c>
      <c r="D8378" s="7">
        <f>IFERROR(__xludf.DUMMYFUNCTION("""COMPUTED_VALUE"""),0.4)</f>
        <v>0.4</v>
      </c>
    </row>
    <row r="8379">
      <c r="A8379" s="10" t="s">
        <v>9818</v>
      </c>
      <c r="B8379" s="7" t="str">
        <f>IFERROR(__xludf.DUMMYFUNCTION("SPLIT(A8379,"" "")"),"Cc1cc(NCc2ccccn2)ccc1CN(C)C(C)C")</f>
        <v>Cc1cc(NCc2ccccn2)ccc1CN(C)C(C)C</v>
      </c>
      <c r="C8379" s="7">
        <f>IFERROR(__xludf.DUMMYFUNCTION("""COMPUTED_VALUE"""),7.774058)</f>
        <v>7.774058</v>
      </c>
      <c r="D8379" s="7">
        <f>IFERROR(__xludf.DUMMYFUNCTION("""COMPUTED_VALUE"""),0.408163265306122)</f>
        <v>0.4081632653</v>
      </c>
    </row>
    <row r="8380">
      <c r="A8380" s="10" t="s">
        <v>9819</v>
      </c>
      <c r="B8380" s="7" t="str">
        <f>IFERROR(__xludf.DUMMYFUNCTION("SPLIT(A8380,"" "")"),"Cc1cccnc1CN(C)CCN(Cc1ncccc1C)Cc1ncccc1C")</f>
        <v>Cc1cccnc1CN(C)CCN(Cc1ncccc1C)Cc1ncccc1C</v>
      </c>
      <c r="C8380" s="7">
        <f>IFERROR(__xludf.DUMMYFUNCTION("""COMPUTED_VALUE"""),7.7740564)</f>
        <v>7.7740564</v>
      </c>
      <c r="D8380" s="7">
        <f>IFERROR(__xludf.DUMMYFUNCTION("""COMPUTED_VALUE"""),0.439024390243902)</f>
        <v>0.4390243902</v>
      </c>
    </row>
    <row r="8381">
      <c r="A8381" s="10" t="s">
        <v>9820</v>
      </c>
      <c r="B8381" s="7" t="str">
        <f>IFERROR(__xludf.DUMMYFUNCTION("SPLIT(A8381,"" "")"),"CN(Cc1ccc(-c2cccc3c2OCCOCCOCCOCCOCCO3)cn1)Cc1ncccc1-c1cccc(N(C)C)c1")</f>
        <v>CN(Cc1ccc(-c2cccc3c2OCCOCCOCCOCCOCCO3)cn1)Cc1ncccc1-c1cccc(N(C)C)c1</v>
      </c>
      <c r="C8381" s="7">
        <f>IFERROR(__xludf.DUMMYFUNCTION("""COMPUTED_VALUE"""),7.7740555)</f>
        <v>7.7740555</v>
      </c>
      <c r="D8381" s="7">
        <f>IFERROR(__xludf.DUMMYFUNCTION("""COMPUTED_VALUE"""),0.30379746835443)</f>
        <v>0.3037974684</v>
      </c>
    </row>
    <row r="8382">
      <c r="A8382" s="10" t="s">
        <v>9821</v>
      </c>
      <c r="B8382" s="7" t="str">
        <f>IFERROR(__xludf.DUMMYFUNCTION("SPLIT(A8382,"" "")"),"CC(C)(c1ccccn1)c1cccc(C2CCC2(C)C)n1")</f>
        <v>CC(C)(c1ccccn1)c1cccc(C2CCC2(C)C)n1</v>
      </c>
      <c r="C8382" s="7">
        <f>IFERROR(__xludf.DUMMYFUNCTION("""COMPUTED_VALUE"""),7.774055)</f>
        <v>7.774055</v>
      </c>
      <c r="D8382" s="7">
        <f>IFERROR(__xludf.DUMMYFUNCTION("""COMPUTED_VALUE"""),0.339285714285714)</f>
        <v>0.3392857143</v>
      </c>
    </row>
    <row r="8383">
      <c r="A8383" s="10" t="s">
        <v>9822</v>
      </c>
      <c r="B8383" s="7" t="str">
        <f>IFERROR(__xludf.DUMMYFUNCTION("SPLIT(A8383,"" "")"),"Cc1cc(C)c(CN(C)CCN(C)Cc2ncccc2C)nc1C")</f>
        <v>Cc1cc(C)c(CN(C)CCN(C)Cc2ncccc2C)nc1C</v>
      </c>
      <c r="C8383" s="7">
        <f>IFERROR(__xludf.DUMMYFUNCTION("""COMPUTED_VALUE"""),7.7740507)</f>
        <v>7.7740507</v>
      </c>
      <c r="D8383" s="7">
        <f>IFERROR(__xludf.DUMMYFUNCTION("""COMPUTED_VALUE"""),0.422222222222222)</f>
        <v>0.4222222222</v>
      </c>
    </row>
    <row r="8384">
      <c r="A8384" s="10" t="s">
        <v>9823</v>
      </c>
      <c r="B8384" s="7" t="str">
        <f>IFERROR(__xludf.DUMMYFUNCTION("SPLIT(A8384,"" "")"),"CC(C)N(Cc1ccccn1)Cc1cccc(-c2cccc(N(C)Cc3cccc(-c4ccc5c(c4)OCCOCCOCCOCCOCCO5)n3)c2)n1")</f>
        <v>CC(C)N(Cc1ccccn1)Cc1cccc(-c2cccc(N(C)Cc3cccc(-c4ccc5c(c4)OCCOCCOCCOCCOCCO5)n3)c2)n1</v>
      </c>
      <c r="C8384" s="7">
        <f>IFERROR(__xludf.DUMMYFUNCTION("""COMPUTED_VALUE"""),7.7740474)</f>
        <v>7.7740474</v>
      </c>
      <c r="D8384" s="7">
        <f>IFERROR(__xludf.DUMMYFUNCTION("""COMPUTED_VALUE"""),0.414285714285714)</f>
        <v>0.4142857143</v>
      </c>
    </row>
    <row r="8385">
      <c r="A8385" s="10" t="s">
        <v>9824</v>
      </c>
      <c r="B8385" s="7" t="str">
        <f>IFERROR(__xludf.DUMMYFUNCTION("SPLIT(A8385,"" "")"),"CC(C)C1=CC2(C=CN1)C=CC(C)(C)C(C)C2c1ccc(CN(Cc2ccccn2)C2CCC(N(C)c3ccc4cc(CF)cnc4c3)CC2)cn1")</f>
        <v>CC(C)C1=CC2(C=CN1)C=CC(C)(C)C(C)C2c1ccc(CN(Cc2ccccn2)C2CCC(N(C)c3ccc4cc(CF)cnc4c3)CC2)cn1</v>
      </c>
      <c r="C8385" s="7">
        <f>IFERROR(__xludf.DUMMYFUNCTION("""COMPUTED_VALUE"""),7.7740455)</f>
        <v>7.7740455</v>
      </c>
      <c r="D8385" s="7">
        <f>IFERROR(__xludf.DUMMYFUNCTION("""COMPUTED_VALUE"""),0.239130434782608)</f>
        <v>0.2391304348</v>
      </c>
    </row>
    <row r="8386">
      <c r="A8386" s="10" t="s">
        <v>9825</v>
      </c>
      <c r="B8386" s="7" t="str">
        <f>IFERROR(__xludf.DUMMYFUNCTION("SPLIT(A8386,"" "")"),"CCN(Cc1cc(C)ccn1)Cc1cc(C(C)(C)C)ccn1")</f>
        <v>CCN(Cc1cc(C)ccn1)Cc1cc(C(C)(C)C)ccn1</v>
      </c>
      <c r="C8386" s="7">
        <f>IFERROR(__xludf.DUMMYFUNCTION("""COMPUTED_VALUE"""),7.7740445)</f>
        <v>7.7740445</v>
      </c>
      <c r="D8386" s="7">
        <f>IFERROR(__xludf.DUMMYFUNCTION("""COMPUTED_VALUE"""),0.361702127659574)</f>
        <v>0.3617021277</v>
      </c>
    </row>
    <row r="8387">
      <c r="A8387" s="10" t="s">
        <v>9826</v>
      </c>
      <c r="B8387" s="7" t="str">
        <f>IFERROR(__xludf.DUMMYFUNCTION("SPLIT(A8387,"" "")"),"Cc1cccnc1CN(C)C1=CNC(CN(C)CC(C)(C)C)=CC1")</f>
        <v>Cc1cccnc1CN(C)C1=CNC(CN(C)CC(C)(C)C)=CC1</v>
      </c>
      <c r="C8387" s="7">
        <f>IFERROR(__xludf.DUMMYFUNCTION("""COMPUTED_VALUE"""),7.774035)</f>
        <v>7.774035</v>
      </c>
      <c r="D8387" s="7">
        <f>IFERROR(__xludf.DUMMYFUNCTION("""COMPUTED_VALUE"""),0.293103448275862)</f>
        <v>0.2931034483</v>
      </c>
    </row>
    <row r="8388">
      <c r="A8388" s="10" t="s">
        <v>9827</v>
      </c>
      <c r="B8388" s="7" t="str">
        <f>IFERROR(__xludf.DUMMYFUNCTION("SPLIT(A8388,"" "")"),"FCNCc1cccc(C(NCc2ccccn2)c2ccccn2)n1")</f>
        <v>FCNCc1cccc(C(NCc2ccccn2)c2ccccn2)n1</v>
      </c>
      <c r="C8388" s="7">
        <f>IFERROR(__xludf.DUMMYFUNCTION("""COMPUTED_VALUE"""),7.774033)</f>
        <v>7.774033</v>
      </c>
      <c r="D8388" s="7">
        <f>IFERROR(__xludf.DUMMYFUNCTION("""COMPUTED_VALUE"""),0.452380952380952)</f>
        <v>0.4523809524</v>
      </c>
    </row>
    <row r="8389">
      <c r="A8389" s="10" t="s">
        <v>9828</v>
      </c>
      <c r="B8389" s="7" t="str">
        <f>IFERROR(__xludf.DUMMYFUNCTION("SPLIT(A8389,"" "")"),"CN(Cc1cccc(-c2ccc3c(c2)OCCOCCOCCOCCOCCO3)n1)Cc1cccnc1-c1cccc(N(C)C)c1")</f>
        <v>CN(Cc1cccc(-c2ccc3c(c2)OCCOCCOCCOCCOCCO3)n1)Cc1cccnc1-c1cccc(N(C)C)c1</v>
      </c>
      <c r="C8389" s="7">
        <f>IFERROR(__xludf.DUMMYFUNCTION("""COMPUTED_VALUE"""),7.7740316)</f>
        <v>7.7740316</v>
      </c>
      <c r="D8389" s="7">
        <f>IFERROR(__xludf.DUMMYFUNCTION("""COMPUTED_VALUE"""),0.363636363636363)</f>
        <v>0.3636363636</v>
      </c>
    </row>
    <row r="8390">
      <c r="A8390" s="10" t="s">
        <v>9829</v>
      </c>
      <c r="B8390" s="7" t="str">
        <f>IFERROR(__xludf.DUMMYFUNCTION("SPLIT(A8390,"" "")"),"CNCc1ncccc1CN(C)C1CCCCC1N(C)c1ccc2ccc(CF)nc2c1")</f>
        <v>CNCc1ncccc1CN(C)C1CCCCC1N(C)c1ccc2ccc(CF)nc2c1</v>
      </c>
      <c r="C8390" s="7">
        <f>IFERROR(__xludf.DUMMYFUNCTION("""COMPUTED_VALUE"""),7.7740297)</f>
        <v>7.7740297</v>
      </c>
      <c r="D8390" s="7">
        <f>IFERROR(__xludf.DUMMYFUNCTION("""COMPUTED_VALUE"""),0.424242424242424)</f>
        <v>0.4242424242</v>
      </c>
    </row>
    <row r="8391">
      <c r="A8391" s="10" t="s">
        <v>9830</v>
      </c>
      <c r="B8391" s="7" t="str">
        <f>IFERROR(__xludf.DUMMYFUNCTION("SPLIT(A8391,"" "")"),"CN1CCN(C)CCN(Cc2ccc(-c3cccc(N=Cc4ccccn4)c3)nc2)CC1")</f>
        <v>CN1CCN(C)CCN(Cc2ccc(-c3cccc(N=Cc4ccccn4)c3)nc2)CC1</v>
      </c>
      <c r="C8391" s="7">
        <f>IFERROR(__xludf.DUMMYFUNCTION("""COMPUTED_VALUE"""),7.7740264)</f>
        <v>7.7740264</v>
      </c>
      <c r="D8391" s="7">
        <f>IFERROR(__xludf.DUMMYFUNCTION("""COMPUTED_VALUE"""),0.403508771929824)</f>
        <v>0.4035087719</v>
      </c>
    </row>
    <row r="8392">
      <c r="A8392" s="10" t="s">
        <v>9831</v>
      </c>
      <c r="B8392" s="7" t="str">
        <f>IFERROR(__xludf.DUMMYFUNCTION("SPLIT(A8392,"" "")"),"COC(=O)c1cc(CN2CCN(C)CCN(Cc3ncccc3C(C)(c3ccccn3)c3ccccn3)CC2)ccn1")</f>
        <v>COC(=O)c1cc(CN2CCN(C)CCN(Cc3ncccc3C(C)(c3ccccn3)c3ccccn3)CC2)ccn1</v>
      </c>
      <c r="C8392" s="7">
        <f>IFERROR(__xludf.DUMMYFUNCTION("""COMPUTED_VALUE"""),7.774026)</f>
        <v>7.774026</v>
      </c>
      <c r="D8392" s="7">
        <f>IFERROR(__xludf.DUMMYFUNCTION("""COMPUTED_VALUE"""),0.365079365079365)</f>
        <v>0.3650793651</v>
      </c>
    </row>
    <row r="8393">
      <c r="A8393" s="10" t="s">
        <v>9832</v>
      </c>
      <c r="B8393" s="7" t="str">
        <f>IFERROR(__xludf.DUMMYFUNCTION("SPLIT(A8393,"" "")"),"COC(=O)c1ccc(CN(Cc2ccccn2)Cc2ncccc2-c2cccc3c2OCCOCCOCCOCCOCCO3)c(CN(Cc2ccccn2)C2CCCCC2N(C)c2cccc3ccc(CF)nc23)n1")</f>
        <v>COC(=O)c1ccc(CN(Cc2ccccn2)Cc2ncccc2-c2cccc3c2OCCOCCOCCOCCOCCO3)c(CN(Cc2ccccn2)C2CCCCC2N(C)c2cccc3ccc(CF)nc23)n1</v>
      </c>
      <c r="C8393" s="7">
        <f>IFERROR(__xludf.DUMMYFUNCTION("""COMPUTED_VALUE"""),7.774015)</f>
        <v>7.774015</v>
      </c>
      <c r="D8393" s="7">
        <f>IFERROR(__xludf.DUMMYFUNCTION("""COMPUTED_VALUE"""),0.389473684210526)</f>
        <v>0.3894736842</v>
      </c>
    </row>
    <row r="8394">
      <c r="A8394" s="10" t="s">
        <v>9833</v>
      </c>
      <c r="B8394" s="7" t="str">
        <f>IFERROR(__xludf.DUMMYFUNCTION("SPLIT(A8394,"" "")"),"CC(C)(C1=CC2(C=CN1)C(c1cccc(CN(Cc3ccccn3)Cc3ccccn3)n1)=CCC(C)(C)C2c1cccc(CN(Cc2ccccn2)Cc2ccccn2)n1)c1cccc(-c2ccc3c(c2)OCCOCCOCCOCCOCCO3)n1")</f>
        <v>CC(C)(C1=CC2(C=CN1)C(c1cccc(CN(Cc3ccccn3)Cc3ccccn3)n1)=CCC(C)(C)C2c1cccc(CN(Cc2ccccn2)Cc2ccccn2)n1)c1cccc(-c2ccc3c(c2)OCCOCCOCCOCCOCCO3)n1</v>
      </c>
      <c r="C8394" s="7">
        <f>IFERROR(__xludf.DUMMYFUNCTION("""COMPUTED_VALUE"""),7.774009)</f>
        <v>7.774009</v>
      </c>
      <c r="D8394" s="7">
        <f>IFERROR(__xludf.DUMMYFUNCTION("""COMPUTED_VALUE"""),0.34065934065934)</f>
        <v>0.3406593407</v>
      </c>
    </row>
    <row r="8395">
      <c r="A8395" s="10" t="s">
        <v>9834</v>
      </c>
      <c r="B8395" s="7" t="str">
        <f>IFERROR(__xludf.DUMMYFUNCTION("SPLIT(A8395,"" "")"),"CCNC1CC(N(Cc2ncccc2C)Cc2ncccc2C(C)(C)c2ccccn2)CCC1N(Cc1ccc(C)c(C)n1)Cc1ncccc1C(C)(c1ccccn1)C(C)C")</f>
        <v>CCNC1CC(N(Cc2ncccc2C)Cc2ncccc2C(C)(C)c2ccccn2)CCC1N(Cc1ccc(C)c(C)n1)Cc1ncccc1C(C)(c1ccccn1)C(C)C</v>
      </c>
      <c r="C8395" s="7">
        <f>IFERROR(__xludf.DUMMYFUNCTION("""COMPUTED_VALUE"""),7.7740083)</f>
        <v>7.7740083</v>
      </c>
      <c r="D8395" s="7">
        <f>IFERROR(__xludf.DUMMYFUNCTION("""COMPUTED_VALUE"""),0.247191011235955)</f>
        <v>0.2471910112</v>
      </c>
    </row>
    <row r="8396">
      <c r="A8396" s="10" t="s">
        <v>9835</v>
      </c>
      <c r="B8396" s="7" t="str">
        <f>IFERROR(__xludf.DUMMYFUNCTION("SPLIT(A8396,"" "")"),"CC1(C)CCC1c1ccc(CN(Cc2ccccn2)Cc2ccccn2)c(CN(Cc2ccccn2)Cc2ccccn2)n1")</f>
        <v>CC1(C)CCC1c1ccc(CN(Cc2ccccn2)Cc2ccccn2)c(CN(Cc2ccccn2)Cc2ccccn2)n1</v>
      </c>
      <c r="C8396" s="7">
        <f>IFERROR(__xludf.DUMMYFUNCTION("""COMPUTED_VALUE"""),7.7740006)</f>
        <v>7.7740006</v>
      </c>
      <c r="D8396" s="7">
        <f>IFERROR(__xludf.DUMMYFUNCTION("""COMPUTED_VALUE"""),0.444444444444444)</f>
        <v>0.4444444444</v>
      </c>
    </row>
    <row r="8397">
      <c r="A8397" s="10" t="s">
        <v>9836</v>
      </c>
      <c r="B8397" s="7" t="str">
        <f>IFERROR(__xludf.DUMMYFUNCTION("SPLIT(A8397,"" "")"),"C=CCN(Cc1ccccn1)c1ccc2nc(CN(Cc3ccccn3)Cc3cccc(-c4ccc5c(c4)OCCOCCOCCOCCOCCO5)n3)ccc2c1")</f>
        <v>C=CCN(Cc1ccccn1)c1ccc2nc(CN(Cc3ccccn3)Cc3cccc(-c4ccc5c(c4)OCCOCCOCCOCCOCCO5)n3)ccc2c1</v>
      </c>
      <c r="C8397" s="7">
        <f>IFERROR(__xludf.DUMMYFUNCTION("""COMPUTED_VALUE"""),7.773998)</f>
        <v>7.773998</v>
      </c>
      <c r="D8397" s="7">
        <f>IFERROR(__xludf.DUMMYFUNCTION("""COMPUTED_VALUE"""),0.4)</f>
        <v>0.4</v>
      </c>
    </row>
    <row r="8398">
      <c r="A8398" s="10" t="s">
        <v>9837</v>
      </c>
      <c r="B8398" s="7" t="str">
        <f>IFERROR(__xludf.DUMMYFUNCTION("SPLIT(A8398,"" "")"),"CN(Cc1cc(-c2cccc(N(C)C)c2)ccn1)Cc1cccc(-c2ccc3c(c2)OCCOCCOCCOCCOCCO3)n1")</f>
        <v>CN(Cc1cc(-c2cccc(N(C)C)c2)ccn1)Cc1cccc(-c2ccc3c(c2)OCCOCCOCCOCCOCCO3)n1</v>
      </c>
      <c r="C8398" s="7">
        <f>IFERROR(__xludf.DUMMYFUNCTION("""COMPUTED_VALUE"""),7.773997)</f>
        <v>7.773997</v>
      </c>
      <c r="D8398" s="7">
        <f>IFERROR(__xludf.DUMMYFUNCTION("""COMPUTED_VALUE"""),0.387096774193548)</f>
        <v>0.3870967742</v>
      </c>
    </row>
    <row r="8399">
      <c r="A8399" s="10" t="s">
        <v>9838</v>
      </c>
      <c r="B8399" s="7" t="str">
        <f>IFERROR(__xludf.DUMMYFUNCTION("SPLIT(A8399,"" "")"),"CN1CCN(C)CCN(c2cccc3nccc(CF)c23)CC1")</f>
        <v>CN1CCN(C)CCN(c2cccc3nccc(CF)c23)CC1</v>
      </c>
      <c r="C8399" s="7">
        <f>IFERROR(__xludf.DUMMYFUNCTION("""COMPUTED_VALUE"""),7.7739887)</f>
        <v>7.7739887</v>
      </c>
      <c r="D8399" s="7">
        <f>IFERROR(__xludf.DUMMYFUNCTION("""COMPUTED_VALUE"""),0.372093023255813)</f>
        <v>0.3720930233</v>
      </c>
    </row>
    <row r="8400">
      <c r="A8400" s="10" t="s">
        <v>9839</v>
      </c>
      <c r="B8400" s="7" t="str">
        <f>IFERROR(__xludf.DUMMYFUNCTION("SPLIT(A8400,"" "")"),"CN(Cc1cc(-c2ccc3c(c2)OCCOCCOCCOCCOCCO3)ccn1)Cc1cc(-c2ccccc2N(C)C)ccn1")</f>
        <v>CN(Cc1cc(-c2ccc3c(c2)OCCOCCOCCOCCOCCO3)ccn1)Cc1cc(-c2ccccc2N(C)C)ccn1</v>
      </c>
      <c r="C8400" s="7">
        <f>IFERROR(__xludf.DUMMYFUNCTION("""COMPUTED_VALUE"""),7.773976)</f>
        <v>7.773976</v>
      </c>
      <c r="D8400" s="7">
        <f>IFERROR(__xludf.DUMMYFUNCTION("""COMPUTED_VALUE"""),0.367647058823529)</f>
        <v>0.3676470588</v>
      </c>
    </row>
    <row r="8401">
      <c r="A8401" s="10" t="s">
        <v>9840</v>
      </c>
      <c r="B8401" s="7" t="str">
        <f>IFERROR(__xludf.DUMMYFUNCTION("SPLIT(A8401,"" "")"),"CCCN(Cc1ccccn1)Cc1ncccc1C(C)(C)c1ccccn1")</f>
        <v>CCCN(Cc1ccccn1)Cc1ncccc1C(C)(C)c1ccccn1</v>
      </c>
      <c r="C8401" s="7">
        <f>IFERROR(__xludf.DUMMYFUNCTION("""COMPUTED_VALUE"""),7.7739635)</f>
        <v>7.7739635</v>
      </c>
      <c r="D8401" s="7">
        <f>IFERROR(__xludf.DUMMYFUNCTION("""COMPUTED_VALUE"""),0.479166666666666)</f>
        <v>0.4791666667</v>
      </c>
    </row>
    <row r="8402">
      <c r="A8402" s="10" t="s">
        <v>9841</v>
      </c>
      <c r="B8402" s="7" t="str">
        <f>IFERROR(__xludf.DUMMYFUNCTION("SPLIT(A8402,"" "")"),"FCNCc1cc(C(NCc2ccccn2)c2ccccn2)ccn1")</f>
        <v>FCNCc1cc(C(NCc2ccccn2)c2ccccn2)ccn1</v>
      </c>
      <c r="C8402" s="7">
        <f>IFERROR(__xludf.DUMMYFUNCTION("""COMPUTED_VALUE"""),7.7739606)</f>
        <v>7.7739606</v>
      </c>
      <c r="D8402" s="7">
        <f>IFERROR(__xludf.DUMMYFUNCTION("""COMPUTED_VALUE"""),0.431818181818181)</f>
        <v>0.4318181818</v>
      </c>
    </row>
    <row r="8403">
      <c r="A8403" s="10" t="s">
        <v>9842</v>
      </c>
      <c r="B8403" s="7" t="str">
        <f>IFERROR(__xludf.DUMMYFUNCTION("SPLIT(A8403,"" "")"),"Cc1ccc(CN(C)CC2=CC(N(C)Cc3ccccn3)C=CN2)nc1")</f>
        <v>Cc1ccc(CN(C)CC2=CC(N(C)Cc3ccccn3)C=CN2)nc1</v>
      </c>
      <c r="C8403" s="7">
        <f>IFERROR(__xludf.DUMMYFUNCTION("""COMPUTED_VALUE"""),7.773959)</f>
        <v>7.773959</v>
      </c>
      <c r="D8403" s="7">
        <f>IFERROR(__xludf.DUMMYFUNCTION("""COMPUTED_VALUE"""),0.431372549019607)</f>
        <v>0.431372549</v>
      </c>
    </row>
    <row r="8404">
      <c r="A8404" s="10" t="s">
        <v>9843</v>
      </c>
      <c r="B8404" s="7" t="str">
        <f>IFERROR(__xludf.DUMMYFUNCTION("SPLIT(A8404,"" "")"),"CC(C)c1ccccc1-c1cccc(CN(Cc2cccc(-c3ccc4c(c3)OCCOCCOCCOCCOCCO4)n2)C2CCC(N(C)c3ccc4nc(CF)ccc4c3)CC2)n1")</f>
        <v>CC(C)c1ccccc1-c1cccc(CN(Cc2cccc(-c3ccc4c(c3)OCCOCCOCCOCCOCCO4)n2)C2CCC(N(C)c3ccc4nc(CF)ccc4c3)CC2)n1</v>
      </c>
      <c r="C8404" s="7">
        <f>IFERROR(__xludf.DUMMYFUNCTION("""COMPUTED_VALUE"""),7.7739506)</f>
        <v>7.7739506</v>
      </c>
      <c r="D8404" s="7">
        <f>IFERROR(__xludf.DUMMYFUNCTION("""COMPUTED_VALUE"""),0.279569892473118)</f>
        <v>0.2795698925</v>
      </c>
    </row>
    <row r="8405">
      <c r="A8405" s="10" t="s">
        <v>9844</v>
      </c>
      <c r="B8405" s="7" t="str">
        <f>IFERROR(__xludf.DUMMYFUNCTION("SPLIT(A8405,"" "")"),"CC1=CCC(C)C(C)=C1CN(C)Cc1cc(C(C)(C)C)ccn1")</f>
        <v>CC1=CCC(C)C(C)=C1CN(C)Cc1cc(C(C)(C)C)ccn1</v>
      </c>
      <c r="C8405" s="7">
        <f>IFERROR(__xludf.DUMMYFUNCTION("""COMPUTED_VALUE"""),7.77395)</f>
        <v>7.77395</v>
      </c>
      <c r="D8405" s="7">
        <f>IFERROR(__xludf.DUMMYFUNCTION("""COMPUTED_VALUE"""),0.293103448275862)</f>
        <v>0.2931034483</v>
      </c>
    </row>
    <row r="8406">
      <c r="A8406" s="10" t="s">
        <v>9845</v>
      </c>
      <c r="B8406" s="7" t="str">
        <f>IFERROR(__xludf.DUMMYFUNCTION("SPLIT(A8406,"" "")"),"Cc1ccc2ccc(N(C)C3=CNC(CN4CCN(C)CCN(C)CC4)=CC3)cc2n1")</f>
        <v>Cc1ccc2ccc(N(C)C3=CNC(CN4CCN(C)CCN(C)CC4)=CC3)cc2n1</v>
      </c>
      <c r="C8406" s="7">
        <f>IFERROR(__xludf.DUMMYFUNCTION("""COMPUTED_VALUE"""),7.7739496)</f>
        <v>7.7739496</v>
      </c>
      <c r="D8406" s="7">
        <f>IFERROR(__xludf.DUMMYFUNCTION("""COMPUTED_VALUE"""),0.368421052631578)</f>
        <v>0.3684210526</v>
      </c>
    </row>
    <row r="8407">
      <c r="A8407" s="10" t="s">
        <v>9846</v>
      </c>
      <c r="B8407" s="7" t="str">
        <f>IFERROR(__xludf.DUMMYFUNCTION("SPLIT(A8407,"" "")"),"CN(Cc1cc(-c2ccc3c(c2)OCCOCCOCCOCCOCCO3)ccn1)Cc1nc2ccccc2o1")</f>
        <v>CN(Cc1cc(-c2ccc3c(c2)OCCOCCOCCOCCOCCO3)ccn1)Cc1nc2ccccc2o1</v>
      </c>
      <c r="C8407" s="7">
        <f>IFERROR(__xludf.DUMMYFUNCTION("""COMPUTED_VALUE"""),7.7739477)</f>
        <v>7.7739477</v>
      </c>
      <c r="D8407" s="7">
        <f>IFERROR(__xludf.DUMMYFUNCTION("""COMPUTED_VALUE"""),0.366197183098591)</f>
        <v>0.3661971831</v>
      </c>
    </row>
    <row r="8408">
      <c r="A8408" s="10" t="s">
        <v>9847</v>
      </c>
      <c r="B8408" s="7" t="str">
        <f>IFERROR(__xludf.DUMMYFUNCTION("SPLIT(A8408,"" "")"),"CC1=CC(C)C(C)(c2ccc(CN(Cc3ccccn3)Cc3ccc(C(C)(C)C)cn3)cn2)CC1")</f>
        <v>CC1=CC(C)C(C)(c2ccc(CN(Cc3ccccn3)Cc3ccc(C(C)(C)C)cn3)cn2)CC1</v>
      </c>
      <c r="C8408" s="7">
        <f>IFERROR(__xludf.DUMMYFUNCTION("""COMPUTED_VALUE"""),7.773942)</f>
        <v>7.773942</v>
      </c>
      <c r="D8408" s="7">
        <f>IFERROR(__xludf.DUMMYFUNCTION("""COMPUTED_VALUE"""),0.344827586206896)</f>
        <v>0.3448275862</v>
      </c>
    </row>
    <row r="8409">
      <c r="A8409" s="10" t="s">
        <v>9848</v>
      </c>
      <c r="B8409" s="7" t="str">
        <f>IFERROR(__xludf.DUMMYFUNCTION("SPLIT(A8409,"" "")"),"CC(C)N(Cc1cccc(-c2cccc(N=Cc3ccccn3)c2)n1)Cc1cccc(-c2ccc3c(c2)OCCOCCOCCOCCOCCO3)n1")</f>
        <v>CC(C)N(Cc1cccc(-c2cccc(N=Cc3ccccn3)c2)n1)Cc1cccc(-c2ccc3c(c2)OCCOCCOCCOCCOCCO3)n1</v>
      </c>
      <c r="C8409" s="7">
        <f>IFERROR(__xludf.DUMMYFUNCTION("""COMPUTED_VALUE"""),7.773939)</f>
        <v>7.773939</v>
      </c>
      <c r="D8409" s="7">
        <f>IFERROR(__xludf.DUMMYFUNCTION("""COMPUTED_VALUE"""),0.36)</f>
        <v>0.36</v>
      </c>
    </row>
    <row r="8410">
      <c r="A8410" s="10" t="s">
        <v>9849</v>
      </c>
      <c r="B8410" s="7" t="str">
        <f>IFERROR(__xludf.DUMMYFUNCTION("SPLIT(A8410,"" "")"),"CCN(CCN(Cc1ccc(C)cn1)Cc1nc(C)c(C)c(C)c1C)Cc1ncccc1C")</f>
        <v>CCN(CCN(Cc1ccc(C)cn1)Cc1nc(C)c(C)c(C)c1C)Cc1ncccc1C</v>
      </c>
      <c r="C8410" s="7">
        <f>IFERROR(__xludf.DUMMYFUNCTION("""COMPUTED_VALUE"""),7.7739363)</f>
        <v>7.7739363</v>
      </c>
      <c r="D8410" s="7">
        <f>IFERROR(__xludf.DUMMYFUNCTION("""COMPUTED_VALUE"""),0.377358490566037)</f>
        <v>0.3773584906</v>
      </c>
    </row>
    <row r="8411">
      <c r="A8411" s="10" t="s">
        <v>9850</v>
      </c>
      <c r="B8411" s="7" t="str">
        <f>IFERROR(__xludf.DUMMYFUNCTION("SPLIT(A8411,"" "")"),"C(=Nc1cccc(-c2cccc(CNCc3ccc(-c4ccc5c(c4)OCCOCCOCCOCCOCCO5)cn3)n2)c1)c1ccccn1")</f>
        <v>C(=Nc1cccc(-c2cccc(CNCc3ccc(-c4ccc5c(c4)OCCOCCOCCOCCOCCO5)cn3)n2)c1)c1ccccn1</v>
      </c>
      <c r="C8411" s="7">
        <f>IFERROR(__xludf.DUMMYFUNCTION("""COMPUTED_VALUE"""),7.7739286)</f>
        <v>7.7739286</v>
      </c>
      <c r="D8411" s="7">
        <f>IFERROR(__xludf.DUMMYFUNCTION("""COMPUTED_VALUE"""),0.379746835443038)</f>
        <v>0.3797468354</v>
      </c>
    </row>
    <row r="8412">
      <c r="A8412" s="10" t="s">
        <v>9851</v>
      </c>
      <c r="B8412" s="7" t="str">
        <f>IFERROR(__xludf.DUMMYFUNCTION("SPLIT(A8412,"" "")"),"CC1=CC(C)C2(C=C(C)CC3(CC4(C=C(c5ccc(CN(Cc6ccccn6)Cc6ccccn6)cn5)C3c3ncccc3CN(Cc3ccccn3)Cc3ccccn3)CC(C)C=C(C)C4C)C2C)CC1")</f>
        <v>CC1=CC(C)C2(C=C(C)CC3(CC4(C=C(c5ccc(CN(Cc6ccccn6)Cc6ccccn6)cn5)C3c3ncccc3CN(Cc3ccccn3)Cc3ccccn3)CC(C)C=C(C)C4C)C2C)CC1</v>
      </c>
      <c r="C8412" s="7">
        <f>IFERROR(__xludf.DUMMYFUNCTION("""COMPUTED_VALUE"""),7.7739205)</f>
        <v>7.7739205</v>
      </c>
      <c r="D8412" s="7">
        <f>IFERROR(__xludf.DUMMYFUNCTION("""COMPUTED_VALUE"""),0.247422680412371)</f>
        <v>0.2474226804</v>
      </c>
    </row>
    <row r="8413">
      <c r="A8413" s="10" t="s">
        <v>9852</v>
      </c>
      <c r="B8413" s="7" t="str">
        <f>IFERROR(__xludf.DUMMYFUNCTION("SPLIT(A8413,"" "")"),"Cc1cccc(CN(C)Cc2ncccc2C(C)(C)C)c1")</f>
        <v>Cc1cccc(CN(C)Cc2ncccc2C(C)(C)C)c1</v>
      </c>
      <c r="C8413" s="7">
        <f>IFERROR(__xludf.DUMMYFUNCTION("""COMPUTED_VALUE"""),7.773917)</f>
        <v>7.773917</v>
      </c>
      <c r="D8413" s="7">
        <f>IFERROR(__xludf.DUMMYFUNCTION("""COMPUTED_VALUE"""),0.313725490196078)</f>
        <v>0.3137254902</v>
      </c>
    </row>
    <row r="8414">
      <c r="A8414" s="10" t="s">
        <v>9853</v>
      </c>
      <c r="B8414" s="7" t="str">
        <f>IFERROR(__xludf.DUMMYFUNCTION("SPLIT(A8414,"" "")"),"CN(C1=C(CN(Cc2ccccn2)c2ccc3c(c2)OCCOCCOCCOCCOCCO3)NC=CC1)c1ccc2cccnc2c1")</f>
        <v>CN(C1=C(CN(Cc2ccccn2)c2ccc3c(c2)OCCOCCOCCOCCOCCO3)NC=CC1)c1ccc2cccnc2c1</v>
      </c>
      <c r="C8414" s="7">
        <f>IFERROR(__xludf.DUMMYFUNCTION("""COMPUTED_VALUE"""),7.7739167)</f>
        <v>7.7739167</v>
      </c>
      <c r="D8414" s="7">
        <f>IFERROR(__xludf.DUMMYFUNCTION("""COMPUTED_VALUE"""),0.315068493150684)</f>
        <v>0.3150684932</v>
      </c>
    </row>
    <row r="8415">
      <c r="A8415" s="10" t="s">
        <v>9854</v>
      </c>
      <c r="B8415" s="7" t="str">
        <f>IFERROR(__xludf.DUMMYFUNCTION("SPLIT(A8415,"" "")"),"CCCN(C)CC1=CCC=C(N(C)Cc2ccccn2)N1")</f>
        <v>CCCN(C)CC1=CCC=C(N(C)Cc2ccccn2)N1</v>
      </c>
      <c r="C8415" s="7">
        <f>IFERROR(__xludf.DUMMYFUNCTION("""COMPUTED_VALUE"""),7.773916)</f>
        <v>7.773916</v>
      </c>
      <c r="D8415" s="7">
        <f>IFERROR(__xludf.DUMMYFUNCTION("""COMPUTED_VALUE"""),0.418181818181818)</f>
        <v>0.4181818182</v>
      </c>
    </row>
    <row r="8416">
      <c r="A8416" s="10" t="s">
        <v>9855</v>
      </c>
      <c r="B8416" s="7" t="str">
        <f>IFERROR(__xludf.DUMMYFUNCTION("SPLIT(A8416,"" "")"),"CC(C)C(C)c1cccnc1CN(Cc1cc(C(C)(C)C)ccn1)Cc1ncccc1C(C)(C)C")</f>
        <v>CC(C)C(C)c1cccnc1CN(Cc1cc(C(C)(C)C)ccn1)Cc1ncccc1C(C)(C)C</v>
      </c>
      <c r="C8416" s="7">
        <f>IFERROR(__xludf.DUMMYFUNCTION("""COMPUTED_VALUE"""),7.7739053)</f>
        <v>7.7739053</v>
      </c>
      <c r="D8416" s="7">
        <f>IFERROR(__xludf.DUMMYFUNCTION("""COMPUTED_VALUE"""),0.34)</f>
        <v>0.34</v>
      </c>
    </row>
    <row r="8417">
      <c r="A8417" s="10" t="s">
        <v>9856</v>
      </c>
      <c r="B8417" s="7" t="str">
        <f>IFERROR(__xludf.DUMMYFUNCTION("SPLIT(A8417,"" "")"),"CC(C)(C1=CC2(C=CN1)C(c1cccc(CN(Cc3ccccn3)Cc3cccc(-c4ccc5c(c4)OCCOCCOCCOCCOCCO5)n3)n1)=CCC(c1cccc(CN(Cc3ccccn3)Cc3ccccn3)n1)C2(C)C)c1ccccn1")</f>
        <v>CC(C)(C1=CC2(C=CN1)C(c1cccc(CN(Cc3ccccn3)Cc3cccc(-c4ccc5c(c4)OCCOCCOCCOCCOCCO5)n3)n1)=CCC(c1cccc(CN(Cc3ccccn3)Cc3ccccn3)n1)C2(C)C)c1ccccn1</v>
      </c>
      <c r="C8417" s="7">
        <f>IFERROR(__xludf.DUMMYFUNCTION("""COMPUTED_VALUE"""),7.773893)</f>
        <v>7.773893</v>
      </c>
      <c r="D8417" s="7">
        <f>IFERROR(__xludf.DUMMYFUNCTION("""COMPUTED_VALUE"""),0.33695652173913)</f>
        <v>0.3369565217</v>
      </c>
    </row>
    <row r="8418">
      <c r="A8418" s="10" t="s">
        <v>9857</v>
      </c>
      <c r="B8418" s="7" t="str">
        <f>IFERROR(__xludf.DUMMYFUNCTION("SPLIT(A8418,"" "")"),"CN(Cc1ccc(-c2cccc(N(C)C)c2)cn1)Cc1ccc(-c2ccc3c(c2)OCCOCCOCCOCCOCCO3)cn1")</f>
        <v>CN(Cc1ccc(-c2cccc(N(C)C)c2)cn1)Cc1ccc(-c2ccc3c(c2)OCCOCCOCCOCCOCCO3)cn1</v>
      </c>
      <c r="C8418" s="7">
        <f>IFERROR(__xludf.DUMMYFUNCTION("""COMPUTED_VALUE"""),7.7738853)</f>
        <v>7.7738853</v>
      </c>
      <c r="D8418" s="7">
        <f>IFERROR(__xludf.DUMMYFUNCTION("""COMPUTED_VALUE"""),0.491803278688524)</f>
        <v>0.4918032787</v>
      </c>
    </row>
    <row r="8419">
      <c r="A8419" s="10" t="s">
        <v>9858</v>
      </c>
      <c r="B8419" s="7" t="str">
        <f>IFERROR(__xludf.DUMMYFUNCTION("SPLIT(A8419,"" "")"),"CCNC1C=CC=C(N(C)Cc2ccccn2)N1")</f>
        <v>CCNC1C=CC=C(N(C)Cc2ccccn2)N1</v>
      </c>
      <c r="C8419" s="7">
        <f>IFERROR(__xludf.DUMMYFUNCTION("""COMPUTED_VALUE"""),7.7738853)</f>
        <v>7.7738853</v>
      </c>
      <c r="D8419" s="7">
        <f>IFERROR(__xludf.DUMMYFUNCTION("""COMPUTED_VALUE"""),0.42)</f>
        <v>0.42</v>
      </c>
    </row>
    <row r="8420">
      <c r="A8420" s="10" t="s">
        <v>9859</v>
      </c>
      <c r="B8420" s="7" t="str">
        <f>IFERROR(__xludf.DUMMYFUNCTION("SPLIT(A8420,"" "")"),"CN(CCN(Cc1ccccn1)c1ccc2nccc(CF)c2c1)C1CCC(N(C)Cc2ccccn2)CC1")</f>
        <v>CN(CCN(Cc1ccccn1)c1ccc2nccc(CF)c2c1)C1CCC(N(C)Cc2ccccn2)CC1</v>
      </c>
      <c r="C8420" s="7">
        <f>IFERROR(__xludf.DUMMYFUNCTION("""COMPUTED_VALUE"""),7.773884)</f>
        <v>7.773884</v>
      </c>
      <c r="D8420" s="7">
        <f>IFERROR(__xludf.DUMMYFUNCTION("""COMPUTED_VALUE"""),0.406779661016949)</f>
        <v>0.406779661</v>
      </c>
    </row>
    <row r="8421">
      <c r="A8421" s="10" t="s">
        <v>9860</v>
      </c>
      <c r="B8421" s="7" t="str">
        <f>IFERROR(__xludf.DUMMYFUNCTION("SPLIT(A8421,"" "")"),"CN(Cc1ncccc1-c1cccc(N(C)C)c1)Cc1ncccc1-c1cccc2c1OCCOCCOCCOCCOCCO2")</f>
        <v>CN(Cc1ncccc1-c1cccc(N(C)C)c1)Cc1ncccc1-c1cccc2c1OCCOCCOCCOCCOCCO2</v>
      </c>
      <c r="C8421" s="7">
        <f>IFERROR(__xludf.DUMMYFUNCTION("""COMPUTED_VALUE"""),7.773882)</f>
        <v>7.773882</v>
      </c>
      <c r="D8421" s="7">
        <f>IFERROR(__xludf.DUMMYFUNCTION("""COMPUTED_VALUE"""),0.25)</f>
        <v>0.25</v>
      </c>
    </row>
    <row r="8422">
      <c r="A8422" s="10" t="s">
        <v>9861</v>
      </c>
      <c r="B8422" s="7" t="str">
        <f>IFERROR(__xludf.DUMMYFUNCTION("SPLIT(A8422,"" "")"),"Cc1cccnc1CN(C)Cc1cccnc1")</f>
        <v>Cc1cccnc1CN(C)Cc1cccnc1</v>
      </c>
      <c r="C8422" s="7">
        <f>IFERROR(__xludf.DUMMYFUNCTION("""COMPUTED_VALUE"""),7.773881)</f>
        <v>7.773881</v>
      </c>
      <c r="D8422" s="7">
        <f>IFERROR(__xludf.DUMMYFUNCTION("""COMPUTED_VALUE"""),0.319148936170212)</f>
        <v>0.3191489362</v>
      </c>
    </row>
    <row r="8423">
      <c r="A8423" s="10" t="s">
        <v>9862</v>
      </c>
      <c r="B8423" s="7" t="str">
        <f>IFERROR(__xludf.DUMMYFUNCTION("SPLIT(A8423,"" "")"),"CN(Cc1cccc(C2=CCC=CN2)n1)C1CCCCC1N(C)Cc1cccc(-c2ccccc2)n1")</f>
        <v>CN(Cc1cccc(C2=CCC=CN2)n1)C1CCCCC1N(C)Cc1cccc(-c2ccccc2)n1</v>
      </c>
      <c r="C8423" s="7">
        <f>IFERROR(__xludf.DUMMYFUNCTION("""COMPUTED_VALUE"""),7.773881)</f>
        <v>7.773881</v>
      </c>
      <c r="D8423" s="7">
        <f>IFERROR(__xludf.DUMMYFUNCTION("""COMPUTED_VALUE"""),0.481481481481481)</f>
        <v>0.4814814815</v>
      </c>
    </row>
    <row r="8424">
      <c r="A8424" s="10" t="s">
        <v>9863</v>
      </c>
      <c r="B8424" s="7" t="str">
        <f>IFERROR(__xludf.DUMMYFUNCTION("SPLIT(A8424,"" "")"),"CC(C)C(C)(c1cccnc1)N(C)c1ccc2nc(CN(C)Cc3cccc(-c4ccc5c(c4)OCCOCCOCCOCCOCCO5)n3)ccc2c1")</f>
        <v>CC(C)C(C)(c1cccnc1)N(C)c1ccc2nc(CN(C)Cc3cccc(-c4ccc5c(c4)OCCOCCOCCOCCOCCO5)n3)ccc2c1</v>
      </c>
      <c r="C8424" s="7">
        <f>IFERROR(__xludf.DUMMYFUNCTION("""COMPUTED_VALUE"""),7.7738805)</f>
        <v>7.7738805</v>
      </c>
      <c r="D8424" s="7">
        <f>IFERROR(__xludf.DUMMYFUNCTION("""COMPUTED_VALUE"""),0.280898876404494)</f>
        <v>0.2808988764</v>
      </c>
    </row>
    <row r="8425">
      <c r="A8425" s="10" t="s">
        <v>9864</v>
      </c>
      <c r="B8425" s="7" t="str">
        <f>IFERROR(__xludf.DUMMYFUNCTION("SPLIT(A8425,"" "")"),"CNCc1ncccc1CN(C)Cc1ncccc1C")</f>
        <v>CNCc1ncccc1CN(C)Cc1ncccc1C</v>
      </c>
      <c r="C8425" s="7">
        <f>IFERROR(__xludf.DUMMYFUNCTION("""COMPUTED_VALUE"""),7.7738776)</f>
        <v>7.7738776</v>
      </c>
      <c r="D8425" s="7">
        <f>IFERROR(__xludf.DUMMYFUNCTION("""COMPUTED_VALUE"""),0.391304347826087)</f>
        <v>0.3913043478</v>
      </c>
    </row>
    <row r="8426">
      <c r="A8426" s="10" t="s">
        <v>9865</v>
      </c>
      <c r="B8426" s="7" t="str">
        <f>IFERROR(__xludf.DUMMYFUNCTION("SPLIT(A8426,"" "")"),"Cc1ccc(CN(C)C2C=CNC(CN(C)Cc3ccccn3)=C2)nc1")</f>
        <v>Cc1ccc(CN(C)C2C=CNC(CN(C)Cc3ccccn3)=C2)nc1</v>
      </c>
      <c r="C8426" s="7">
        <f>IFERROR(__xludf.DUMMYFUNCTION("""COMPUTED_VALUE"""),7.773871)</f>
        <v>7.773871</v>
      </c>
      <c r="D8426" s="7">
        <f>IFERROR(__xludf.DUMMYFUNCTION("""COMPUTED_VALUE"""),0.431372549019607)</f>
        <v>0.431372549</v>
      </c>
    </row>
    <row r="8427">
      <c r="A8427" s="10" t="s">
        <v>9866</v>
      </c>
      <c r="B8427" s="7" t="str">
        <f>IFERROR(__xludf.DUMMYFUNCTION("SPLIT(A8427,"" "")"),"Cc1cc(CN(C)CCN(C)Cc2cc(C)c(C)c(C)n2)ccn1")</f>
        <v>Cc1cc(CN(C)CCN(C)Cc2cc(C)c(C)c(C)n2)ccn1</v>
      </c>
      <c r="C8427" s="7">
        <f>IFERROR(__xludf.DUMMYFUNCTION("""COMPUTED_VALUE"""),7.77385)</f>
        <v>7.77385</v>
      </c>
      <c r="D8427" s="7">
        <f>IFERROR(__xludf.DUMMYFUNCTION("""COMPUTED_VALUE"""),0.4)</f>
        <v>0.4</v>
      </c>
    </row>
    <row r="8428">
      <c r="A8428" s="10" t="s">
        <v>9867</v>
      </c>
      <c r="B8428" s="7" t="str">
        <f>IFERROR(__xludf.DUMMYFUNCTION("SPLIT(A8428,"" "")"),"CN(Cc1ccc2c(n1)CCCC2)C1CCC(N(C)c2ccc3cc(CF)cnc3c2)CC1")</f>
        <v>CN(Cc1ccc2c(n1)CCCC2)C1CCC(N(C)c2ccc3cc(CF)cnc3c2)CC1</v>
      </c>
      <c r="C8428" s="7">
        <f>IFERROR(__xludf.DUMMYFUNCTION("""COMPUTED_VALUE"""),7.7738485)</f>
        <v>7.7738485</v>
      </c>
      <c r="D8428" s="7">
        <f>IFERROR(__xludf.DUMMYFUNCTION("""COMPUTED_VALUE"""),0.291666666666666)</f>
        <v>0.2916666667</v>
      </c>
    </row>
    <row r="8429">
      <c r="A8429" s="10" t="s">
        <v>9868</v>
      </c>
      <c r="B8429" s="7" t="str">
        <f>IFERROR(__xludf.DUMMYFUNCTION("SPLIT(A8429,"" "")"),"CNCc1cccc(CN(Cc2ccccn2)C2CCC(N(C)Cc3cccc(-c4cccc(Cl)c4N)n3)CC2)n1")</f>
        <v>CNCc1cccc(CN(Cc2ccccn2)C2CCC(N(C)Cc3cccc(-c4cccc(Cl)c4N)n3)CC2)n1</v>
      </c>
      <c r="C8429" s="7">
        <f>IFERROR(__xludf.DUMMYFUNCTION("""COMPUTED_VALUE"""),7.773843)</f>
        <v>7.773843</v>
      </c>
      <c r="D8429" s="7">
        <f>IFERROR(__xludf.DUMMYFUNCTION("""COMPUTED_VALUE"""),0.384615384615384)</f>
        <v>0.3846153846</v>
      </c>
    </row>
    <row r="8430">
      <c r="A8430" s="10" t="s">
        <v>9869</v>
      </c>
      <c r="B8430" s="7" t="str">
        <f>IFERROR(__xludf.DUMMYFUNCTION("SPLIT(A8430,"" "")"),"Cc1cccc(CN(C)C2=CNC(CN(C)C(C)C)=CC2)n1")</f>
        <v>Cc1cccc(CN(C)C2=CNC(CN(C)C(C)C)=CC2)n1</v>
      </c>
      <c r="C8430" s="7">
        <f>IFERROR(__xludf.DUMMYFUNCTION("""COMPUTED_VALUE"""),7.7738404)</f>
        <v>7.7738404</v>
      </c>
      <c r="D8430" s="7">
        <f>IFERROR(__xludf.DUMMYFUNCTION("""COMPUTED_VALUE"""),0.416666666666666)</f>
        <v>0.4166666667</v>
      </c>
    </row>
    <row r="8431">
      <c r="A8431" s="10" t="s">
        <v>9870</v>
      </c>
      <c r="B8431" s="7" t="str">
        <f>IFERROR(__xludf.DUMMYFUNCTION("SPLIT(A8431,"" "")"),"CC(C)CN(C)CC1=CCC(N(C)Cc2ccccn2)=CN1")</f>
        <v>CC(C)CN(C)CC1=CCC(N(C)Cc2ccccn2)=CN1</v>
      </c>
      <c r="C8431" s="7">
        <f>IFERROR(__xludf.DUMMYFUNCTION("""COMPUTED_VALUE"""),7.7738247)</f>
        <v>7.7738247</v>
      </c>
      <c r="D8431" s="7">
        <f>IFERROR(__xludf.DUMMYFUNCTION("""COMPUTED_VALUE"""),0.428571428571428)</f>
        <v>0.4285714286</v>
      </c>
    </row>
    <row r="8432">
      <c r="A8432" s="10" t="s">
        <v>9871</v>
      </c>
      <c r="B8432" s="7" t="str">
        <f>IFERROR(__xludf.DUMMYFUNCTION("SPLIT(A8432,"" "")"),"Cc1cccnc1CN(CCN(C)Cc1ncccc1-c1cccc2c1OCCOCCOCCOCCOCCO2)c1cccc2cccnc12")</f>
        <v>Cc1cccnc1CN(CCN(C)Cc1ncccc1-c1cccc2c1OCCOCCOCCOCCOCCO2)c1cccc2cccnc12</v>
      </c>
      <c r="C8432" s="7">
        <f>IFERROR(__xludf.DUMMYFUNCTION("""COMPUTED_VALUE"""),7.773821)</f>
        <v>7.773821</v>
      </c>
      <c r="D8432" s="7">
        <f>IFERROR(__xludf.DUMMYFUNCTION("""COMPUTED_VALUE"""),0.369230769230769)</f>
        <v>0.3692307692</v>
      </c>
    </row>
    <row r="8433">
      <c r="A8433" s="10" t="s">
        <v>9872</v>
      </c>
      <c r="B8433" s="7" t="str">
        <f>IFERROR(__xludf.DUMMYFUNCTION("SPLIT(A8433,"" "")"),"CCC1=NCC(C2=C(C)C(C)CC(C)C2c2ncccc2CN(Cc2ccccn2)Cc2ccccn2)O1")</f>
        <v>CCC1=NCC(C2=C(C)C(C)CC(C)C2c2ncccc2CN(Cc2ccccn2)Cc2ccccn2)O1</v>
      </c>
      <c r="C8433" s="7">
        <f>IFERROR(__xludf.DUMMYFUNCTION("""COMPUTED_VALUE"""),7.77382)</f>
        <v>7.77382</v>
      </c>
      <c r="D8433" s="7">
        <f>IFERROR(__xludf.DUMMYFUNCTION("""COMPUTED_VALUE"""),0.350877192982456)</f>
        <v>0.350877193</v>
      </c>
    </row>
    <row r="8434">
      <c r="A8434" s="10" t="s">
        <v>9873</v>
      </c>
      <c r="B8434" s="7" t="str">
        <f>IFERROR(__xludf.DUMMYFUNCTION("SPLIT(A8434,"" "")"),"CN(CCF)Cc1cc(N(C)C(C)(C)c2ccccn2)ccn1")</f>
        <v>CN(CCF)Cc1cc(N(C)C(C)(C)c2ccccn2)ccn1</v>
      </c>
      <c r="C8434" s="7">
        <f>IFERROR(__xludf.DUMMYFUNCTION("""COMPUTED_VALUE"""),7.7738194)</f>
        <v>7.7738194</v>
      </c>
      <c r="D8434" s="7">
        <f>IFERROR(__xludf.DUMMYFUNCTION("""COMPUTED_VALUE"""),0.365384615384615)</f>
        <v>0.3653846154</v>
      </c>
    </row>
    <row r="8435">
      <c r="A8435" s="10" t="s">
        <v>9874</v>
      </c>
      <c r="B8435" s="7" t="str">
        <f>IFERROR(__xludf.DUMMYFUNCTION("SPLIT(A8435,"" "")"),"CC1=C(c2ncccc2CN(Cc2ccccn2)Cc2ccccn2)C(C)C(C)CC1")</f>
        <v>CC1=C(c2ncccc2CN(Cc2ccccn2)Cc2ccccn2)C(C)C(C)CC1</v>
      </c>
      <c r="C8435" s="7">
        <f>IFERROR(__xludf.DUMMYFUNCTION("""COMPUTED_VALUE"""),7.773818)</f>
        <v>7.773818</v>
      </c>
      <c r="D8435" s="7">
        <f>IFERROR(__xludf.DUMMYFUNCTION("""COMPUTED_VALUE"""),0.444444444444444)</f>
        <v>0.4444444444</v>
      </c>
    </row>
    <row r="8436">
      <c r="A8436" s="10" t="s">
        <v>9875</v>
      </c>
      <c r="B8436" s="7" t="str">
        <f>IFERROR(__xludf.DUMMYFUNCTION("SPLIT(A8436,"" "")"),"CN(Cc1cc(CF)ccn1)C1CCCCC1N(C)c1ccc2nc(CF)ccc2c1")</f>
        <v>CN(Cc1cc(CF)ccn1)C1CCCCC1N(C)c1ccc2nc(CF)ccc2c1</v>
      </c>
      <c r="C8436" s="7">
        <f>IFERROR(__xludf.DUMMYFUNCTION("""COMPUTED_VALUE"""),7.7738175)</f>
        <v>7.7738175</v>
      </c>
      <c r="D8436" s="7">
        <f>IFERROR(__xludf.DUMMYFUNCTION("""COMPUTED_VALUE"""),0.45)</f>
        <v>0.45</v>
      </c>
    </row>
    <row r="8437">
      <c r="A8437" s="10" t="s">
        <v>9876</v>
      </c>
      <c r="B8437" s="7" t="str">
        <f>IFERROR(__xludf.DUMMYFUNCTION("SPLIT(A8437,"" "")"),"CCNC1NC=CC=C1N(C)Cc1cc(C)ccn1")</f>
        <v>CCNC1NC=CC=C1N(C)Cc1cc(C)ccn1</v>
      </c>
      <c r="C8437" s="7">
        <f>IFERROR(__xludf.DUMMYFUNCTION("""COMPUTED_VALUE"""),7.773813)</f>
        <v>7.773813</v>
      </c>
      <c r="D8437" s="7">
        <f>IFERROR(__xludf.DUMMYFUNCTION("""COMPUTED_VALUE"""),0.298245614035087)</f>
        <v>0.298245614</v>
      </c>
    </row>
    <row r="8438">
      <c r="A8438" s="10" t="s">
        <v>9877</v>
      </c>
      <c r="B8438" s="7" t="str">
        <f>IFERROR(__xludf.DUMMYFUNCTION("SPLIT(A8438,"" "")"),"CN(CC1=CC(N(C)Cc2ccccn2)C=CN1)C1=CCC=C(C(C)(C)C)N1")</f>
        <v>CN(CC1=CC(N(C)Cc2ccccn2)C=CN1)C1=CCC=C(C(C)(C)C)N1</v>
      </c>
      <c r="C8438" s="7">
        <f>IFERROR(__xludf.DUMMYFUNCTION("""COMPUTED_VALUE"""),7.773812)</f>
        <v>7.773812</v>
      </c>
      <c r="D8438" s="7">
        <f>IFERROR(__xludf.DUMMYFUNCTION("""COMPUTED_VALUE"""),0.384615384615384)</f>
        <v>0.3846153846</v>
      </c>
    </row>
    <row r="8439">
      <c r="A8439" s="10" t="s">
        <v>9878</v>
      </c>
      <c r="B8439" s="7" t="str">
        <f>IFERROR(__xludf.DUMMYFUNCTION("SPLIT(A8439,"" "")"),"Cc1cccc(CN(C)Cc2ccc(CNC(C)C)nc2)n1")</f>
        <v>Cc1cccc(CN(C)Cc2ccc(CNC(C)C)nc2)n1</v>
      </c>
      <c r="C8439" s="7">
        <f>IFERROR(__xludf.DUMMYFUNCTION("""COMPUTED_VALUE"""),7.7738066)</f>
        <v>7.7738066</v>
      </c>
      <c r="D8439" s="7">
        <f>IFERROR(__xludf.DUMMYFUNCTION("""COMPUTED_VALUE"""),0.488888888888888)</f>
        <v>0.4888888889</v>
      </c>
    </row>
    <row r="8440">
      <c r="A8440" s="10" t="s">
        <v>9879</v>
      </c>
      <c r="B8440" s="7" t="str">
        <f>IFERROR(__xludf.DUMMYFUNCTION("SPLIT(A8440,"" "")"),"CN(Cc1ccccn1)Cc1ncccc1N(C)C1CCC(N(C)Cc2cccc(-c3ccccc3)n2)CC1")</f>
        <v>CN(Cc1ccccn1)Cc1ncccc1N(C)C1CCC(N(C)Cc2cccc(-c3ccccc3)n2)CC1</v>
      </c>
      <c r="C8440" s="7">
        <f>IFERROR(__xludf.DUMMYFUNCTION("""COMPUTED_VALUE"""),7.773805)</f>
        <v>7.773805</v>
      </c>
      <c r="D8440" s="7">
        <f>IFERROR(__xludf.DUMMYFUNCTION("""COMPUTED_VALUE"""),0.5)</f>
        <v>0.5</v>
      </c>
    </row>
    <row r="8441">
      <c r="A8441" s="10" t="s">
        <v>9880</v>
      </c>
      <c r="B8441" s="7" t="str">
        <f>IFERROR(__xludf.DUMMYFUNCTION("SPLIT(A8441,"" "")"),"CC1C=Cc2ccccc2C1Cl")</f>
        <v>CC1C=Cc2ccccc2C1Cl</v>
      </c>
      <c r="C8441" s="7">
        <f>IFERROR(__xludf.DUMMYFUNCTION("""COMPUTED_VALUE"""),7.7738037)</f>
        <v>7.7738037</v>
      </c>
      <c r="D8441" s="7">
        <f>IFERROR(__xludf.DUMMYFUNCTION("""COMPUTED_VALUE"""),0.25)</f>
        <v>0.25</v>
      </c>
    </row>
    <row r="8442">
      <c r="A8442" s="10" t="s">
        <v>9881</v>
      </c>
      <c r="B8442" s="7" t="str">
        <f>IFERROR(__xludf.DUMMYFUNCTION("SPLIT(A8442,"" "")"),"CCCN(C)CC1=CCC(N(C)Cc2cccc(C)n2)=CN1")</f>
        <v>CCCN(C)CC1=CCC(N(C)Cc2cccc(C)n2)=CN1</v>
      </c>
      <c r="C8442" s="7">
        <f>IFERROR(__xludf.DUMMYFUNCTION("""COMPUTED_VALUE"""),7.773801)</f>
        <v>7.773801</v>
      </c>
      <c r="D8442" s="7">
        <f>IFERROR(__xludf.DUMMYFUNCTION("""COMPUTED_VALUE"""),0.5)</f>
        <v>0.5</v>
      </c>
    </row>
    <row r="8443">
      <c r="A8443" s="10" t="s">
        <v>9882</v>
      </c>
      <c r="B8443" s="7" t="str">
        <f>IFERROR(__xludf.DUMMYFUNCTION("SPLIT(A8443,"" "")"),"Cc1cccc(CN(C)C2C=CNC(CN(C)Cc3ccc(C4C(C)C=CC(N=Cc5ccccn5)C4C)cn3)=C2)n1")</f>
        <v>Cc1cccc(CN(C)C2C=CNC(CN(C)Cc3ccc(C4C(C)C=CC(N=Cc5ccccn5)C4C)cn3)=C2)n1</v>
      </c>
      <c r="C8443" s="7">
        <f>IFERROR(__xludf.DUMMYFUNCTION("""COMPUTED_VALUE"""),7.7737975)</f>
        <v>7.7737975</v>
      </c>
      <c r="D8443" s="7">
        <f>IFERROR(__xludf.DUMMYFUNCTION("""COMPUTED_VALUE"""),0.292682926829268)</f>
        <v>0.2926829268</v>
      </c>
    </row>
    <row r="8444">
      <c r="A8444" s="10" t="s">
        <v>9883</v>
      </c>
      <c r="B8444" s="7" t="str">
        <f>IFERROR(__xludf.DUMMYFUNCTION("SPLIT(A8444,"" "")"),"CCN(Cc1ccccn1)C1CC(N(C)Cc2cc(C)c(C)c(C)n2)CC(N(Cc2cc(C)c(C)c(C)n2)Cc2nc(C)c(C)c(C)c2C)C1")</f>
        <v>CCN(Cc1ccccn1)C1CC(N(C)Cc2cc(C)c(C)c(C)n2)CC(N(Cc2cc(C)c(C)c(C)n2)Cc2nc(C)c(C)c(C)c2C)C1</v>
      </c>
      <c r="C8444" s="7">
        <f>IFERROR(__xludf.DUMMYFUNCTION("""COMPUTED_VALUE"""),7.773786)</f>
        <v>7.773786</v>
      </c>
      <c r="D8444" s="7">
        <f>IFERROR(__xludf.DUMMYFUNCTION("""COMPUTED_VALUE"""),0.370967741935483)</f>
        <v>0.3709677419</v>
      </c>
    </row>
    <row r="8445">
      <c r="A8445" s="10" t="s">
        <v>9884</v>
      </c>
      <c r="B8445" s="7" t="str">
        <f>IFERROR(__xludf.DUMMYFUNCTION("SPLIT(A8445,"" "")"),"Cc1ccccc1N(C)CCN(C)Cc1ccccn1")</f>
        <v>Cc1ccccc1N(C)CCN(C)Cc1ccccn1</v>
      </c>
      <c r="C8445" s="7">
        <f>IFERROR(__xludf.DUMMYFUNCTION("""COMPUTED_VALUE"""),7.7737727)</f>
        <v>7.7737727</v>
      </c>
      <c r="D8445" s="7">
        <f>IFERROR(__xludf.DUMMYFUNCTION("""COMPUTED_VALUE"""),0.5)</f>
        <v>0.5</v>
      </c>
    </row>
    <row r="8446">
      <c r="A8446" s="10" t="s">
        <v>9885</v>
      </c>
      <c r="B8446" s="7" t="str">
        <f>IFERROR(__xludf.DUMMYFUNCTION("SPLIT(A8446,"" "")"),"C=CCNCc1cccc(C(C)(C)c2ccccn2)n1")</f>
        <v>C=CCNCc1cccc(C(C)(C)c2ccccn2)n1</v>
      </c>
      <c r="C8446" s="7">
        <f>IFERROR(__xludf.DUMMYFUNCTION("""COMPUTED_VALUE"""),7.7737575)</f>
        <v>7.7737575</v>
      </c>
      <c r="D8446" s="7">
        <f>IFERROR(__xludf.DUMMYFUNCTION("""COMPUTED_VALUE"""),0.386363636363636)</f>
        <v>0.3863636364</v>
      </c>
    </row>
    <row r="8447">
      <c r="A8447" s="10" t="s">
        <v>9886</v>
      </c>
      <c r="B8447" s="7" t="str">
        <f>IFERROR(__xludf.DUMMYFUNCTION("SPLIT(A8447,"" "")"),"CC(N)C(C)N(C)CC1=CCC=C(N(C)C(c2ccccc2)c2ccccn2)N1")</f>
        <v>CC(N)C(C)N(C)CC1=CCC=C(N(C)C(c2ccccc2)c2ccccn2)N1</v>
      </c>
      <c r="C8447" s="7">
        <f>IFERROR(__xludf.DUMMYFUNCTION("""COMPUTED_VALUE"""),7.7737556)</f>
        <v>7.7737556</v>
      </c>
      <c r="D8447" s="7">
        <f>IFERROR(__xludf.DUMMYFUNCTION("""COMPUTED_VALUE"""),0.393442622950819)</f>
        <v>0.393442623</v>
      </c>
    </row>
    <row r="8448">
      <c r="A8448" s="10" t="s">
        <v>9887</v>
      </c>
      <c r="B8448" s="7" t="str">
        <f>IFERROR(__xludf.DUMMYFUNCTION("SPLIT(A8448,"" "")"),"CN(Cc1cccc(-c2cccc(N(C)C)c2)n1)Cc1ncccc1-c1ccc2c(c1)OCCOCCOCCOCCOCCO2")</f>
        <v>CN(Cc1cccc(-c2cccc(N(C)C)c2)n1)Cc1ncccc1-c1ccc2c(c1)OCCOCCOCCOCCOCCO2</v>
      </c>
      <c r="C8448" s="7">
        <f>IFERROR(__xludf.DUMMYFUNCTION("""COMPUTED_VALUE"""),7.7737412)</f>
        <v>7.7737412</v>
      </c>
      <c r="D8448" s="7">
        <f>IFERROR(__xludf.DUMMYFUNCTION("""COMPUTED_VALUE"""),0.363636363636363)</f>
        <v>0.3636363636</v>
      </c>
    </row>
    <row r="8449">
      <c r="A8449" s="10" t="s">
        <v>9888</v>
      </c>
      <c r="B8449" s="7" t="str">
        <f>IFERROR(__xludf.DUMMYFUNCTION("SPLIT(A8449,"" "")"),"CN(Cc1cc(-c2ccc3c(c2)OCCOCCOCCOCCOCCO3)ccn1)Cc1ncccc1-c1ccccc1N(C)C")</f>
        <v>CN(Cc1cc(-c2ccc3c(c2)OCCOCCOCCOCCOCCO3)ccn1)Cc1ncccc1-c1ccccc1N(C)C</v>
      </c>
      <c r="C8449" s="7">
        <f>IFERROR(__xludf.DUMMYFUNCTION("""COMPUTED_VALUE"""),7.7737365)</f>
        <v>7.7737365</v>
      </c>
      <c r="D8449" s="7">
        <f>IFERROR(__xludf.DUMMYFUNCTION("""COMPUTED_VALUE"""),0.337837837837837)</f>
        <v>0.3378378378</v>
      </c>
    </row>
    <row r="8450">
      <c r="A8450" s="10" t="s">
        <v>9889</v>
      </c>
      <c r="B8450" s="7" t="str">
        <f>IFERROR(__xludf.DUMMYFUNCTION("SPLIT(A8450,"" "")"),"CN(Cc1cncc(-c2ccc3c(c2)OCCOCCOCCOCCOCCO3)c1)Cc1ncccc1-c1cccc(N(C)C)c1")</f>
        <v>CN(Cc1cncc(-c2ccc3c(c2)OCCOCCOCCOCCOCCO3)c1)Cc1ncccc1-c1cccc(N(C)C)c1</v>
      </c>
      <c r="C8450" s="7">
        <f>IFERROR(__xludf.DUMMYFUNCTION("""COMPUTED_VALUE"""),7.7737246)</f>
        <v>7.7737246</v>
      </c>
      <c r="D8450" s="7">
        <f>IFERROR(__xludf.DUMMYFUNCTION("""COMPUTED_VALUE"""),0.316455696202531)</f>
        <v>0.3164556962</v>
      </c>
    </row>
    <row r="8451">
      <c r="A8451" s="10" t="s">
        <v>9890</v>
      </c>
      <c r="B8451" s="7" t="str">
        <f>IFERROR(__xludf.DUMMYFUNCTION("SPLIT(A8451,"" "")"),"Cc1ccccc1CN(C)Cc1cccc(N)n1")</f>
        <v>Cc1ccccc1CN(C)Cc1cccc(N)n1</v>
      </c>
      <c r="C8451" s="7">
        <f>IFERROR(__xludf.DUMMYFUNCTION("""COMPUTED_VALUE"""),7.773701)</f>
        <v>7.773701</v>
      </c>
      <c r="D8451" s="7">
        <f>IFERROR(__xludf.DUMMYFUNCTION("""COMPUTED_VALUE"""),0.45)</f>
        <v>0.45</v>
      </c>
    </row>
    <row r="8452">
      <c r="A8452" s="10" t="s">
        <v>9891</v>
      </c>
      <c r="B8452" s="7" t="str">
        <f>IFERROR(__xludf.DUMMYFUNCTION("SPLIT(A8452,"" "")"),"Cc1ccnc(CN(C)C2C=CNC(CN(C)Cc3ccccn3)=C2)c1")</f>
        <v>Cc1ccnc(CN(C)C2C=CNC(CN(C)Cc3ccccn3)=C2)c1</v>
      </c>
      <c r="C8452" s="7">
        <f>IFERROR(__xludf.DUMMYFUNCTION("""COMPUTED_VALUE"""),7.773699)</f>
        <v>7.773699</v>
      </c>
      <c r="D8452" s="7">
        <f>IFERROR(__xludf.DUMMYFUNCTION("""COMPUTED_VALUE"""),0.392857142857142)</f>
        <v>0.3928571429</v>
      </c>
    </row>
    <row r="8453">
      <c r="A8453" s="10" t="s">
        <v>9892</v>
      </c>
      <c r="B8453" s="7" t="str">
        <f>IFERROR(__xludf.DUMMYFUNCTION("SPLIT(A8453,"" "")"),"Cc1cccnc1CN(Cc1ccccn1)Cc1nc(C2CCC2(C)C)ccc1C")</f>
        <v>Cc1cccnc1CN(Cc1ccccn1)Cc1nc(C2CCC2(C)C)ccc1C</v>
      </c>
      <c r="C8453" s="7">
        <f>IFERROR(__xludf.DUMMYFUNCTION("""COMPUTED_VALUE"""),7.7736955)</f>
        <v>7.7736955</v>
      </c>
      <c r="D8453" s="7">
        <f>IFERROR(__xludf.DUMMYFUNCTION("""COMPUTED_VALUE"""),0.408163265306122)</f>
        <v>0.4081632653</v>
      </c>
    </row>
    <row r="8454">
      <c r="A8454" s="10" t="s">
        <v>9893</v>
      </c>
      <c r="B8454" s="7" t="str">
        <f>IFERROR(__xludf.DUMMYFUNCTION("SPLIT(A8454,"" "")"),"CC(C)C1=CC2(C=CN1)C(c1cc(CN(Cc3ccccn3)Cc3ccccn3)ccn1)=CCC(C)(C)C2(C)C")</f>
        <v>CC(C)C1=CC2(C=CN1)C(c1cc(CN(Cc3ccccn3)Cc3ccccn3)ccn1)=CCC(C)(C)C2(C)C</v>
      </c>
      <c r="C8454" s="7">
        <f>IFERROR(__xludf.DUMMYFUNCTION("""COMPUTED_VALUE"""),7.7736926)</f>
        <v>7.7736926</v>
      </c>
      <c r="D8454" s="7">
        <f>IFERROR(__xludf.DUMMYFUNCTION("""COMPUTED_VALUE"""),0.36231884057971)</f>
        <v>0.3623188406</v>
      </c>
    </row>
    <row r="8455">
      <c r="A8455" s="10" t="s">
        <v>9894</v>
      </c>
      <c r="B8455" s="7" t="str">
        <f>IFERROR(__xludf.DUMMYFUNCTION("SPLIT(A8455,"" "")"),"CNCN(Cc1ccccn1)Cc1cc(C)c(N)c(C)n1")</f>
        <v>CNCN(Cc1ccccn1)Cc1cc(C)c(N)c(C)n1</v>
      </c>
      <c r="C8455" s="7">
        <f>IFERROR(__xludf.DUMMYFUNCTION("""COMPUTED_VALUE"""),7.7736883)</f>
        <v>7.7736883</v>
      </c>
      <c r="D8455" s="7">
        <f>IFERROR(__xludf.DUMMYFUNCTION("""COMPUTED_VALUE"""),0.452380952380952)</f>
        <v>0.4523809524</v>
      </c>
    </row>
    <row r="8456">
      <c r="A8456" s="10" t="s">
        <v>9895</v>
      </c>
      <c r="B8456" s="7" t="str">
        <f>IFERROR(__xludf.DUMMYFUNCTION("SPLIT(A8456,"" "")"),"C=CCN(C)Cc1cccc(N(C)C2C=CC=CN2)n1")</f>
        <v>C=CCN(C)Cc1cccc(N(C)C2C=CC=CN2)n1</v>
      </c>
      <c r="C8456" s="7">
        <f>IFERROR(__xludf.DUMMYFUNCTION("""COMPUTED_VALUE"""),7.773683)</f>
        <v>7.773683</v>
      </c>
      <c r="D8456" s="7">
        <f>IFERROR(__xludf.DUMMYFUNCTION("""COMPUTED_VALUE"""),0.326923076923076)</f>
        <v>0.3269230769</v>
      </c>
    </row>
    <row r="8457">
      <c r="A8457" s="10" t="s">
        <v>9896</v>
      </c>
      <c r="B8457" s="7" t="str">
        <f>IFERROR(__xludf.DUMMYFUNCTION("SPLIT(A8457,"" "")"),"CN(Cc1ccc(-c2ccc3c(c2)OCCOCCOCCOCCOCCO3)cn1)Cc1cccc(-c2ccc(N(C)C)cc2)n1")</f>
        <v>CN(Cc1ccc(-c2ccc3c(c2)OCCOCCOCCOCCOCCO3)cn1)Cc1cccc(-c2ccc(N(C)C)cc2)n1</v>
      </c>
      <c r="C8457" s="7">
        <f>IFERROR(__xludf.DUMMYFUNCTION("""COMPUTED_VALUE"""),7.7736807)</f>
        <v>7.7736807</v>
      </c>
      <c r="D8457" s="7">
        <f>IFERROR(__xludf.DUMMYFUNCTION("""COMPUTED_VALUE"""),0.44776119402985)</f>
        <v>0.447761194</v>
      </c>
    </row>
    <row r="8458">
      <c r="A8458" s="10" t="s">
        <v>9897</v>
      </c>
      <c r="B8458" s="7" t="str">
        <f>IFERROR(__xludf.DUMMYFUNCTION("SPLIT(A8458,"" "")"),"CCN(Cc1cccc(CN(Cc2nc(C)c(C)c(C)c2C)C2CCC(N(C)Cc3nc(C)c(C)c(C)c3C)CC2)n1)Cc1nc(C)c(C)c(C)c1C")</f>
        <v>CCN(Cc1cccc(CN(Cc2nc(C)c(C)c(C)c2C)C2CCC(N(C)Cc3nc(C)c(C)c(C)c3C)CC2)n1)Cc1nc(C)c(C)c(C)c1C</v>
      </c>
      <c r="C8458" s="7">
        <f>IFERROR(__xludf.DUMMYFUNCTION("""COMPUTED_VALUE"""),7.7736773)</f>
        <v>7.7736773</v>
      </c>
      <c r="D8458" s="7">
        <f>IFERROR(__xludf.DUMMYFUNCTION("""COMPUTED_VALUE"""),0.344827586206896)</f>
        <v>0.3448275862</v>
      </c>
    </row>
    <row r="8459">
      <c r="A8459" s="10" t="s">
        <v>9898</v>
      </c>
      <c r="B8459" s="7" t="str">
        <f>IFERROR(__xludf.DUMMYFUNCTION("SPLIT(A8459,"" "")"),"CN(c1cccc2ncc(CF)cc12)C1CCCCC1NCc1ccccn1")</f>
        <v>CN(c1cccc2ncc(CF)cc12)C1CCCCC1NCc1ccccn1</v>
      </c>
      <c r="C8459" s="7">
        <f>IFERROR(__xludf.DUMMYFUNCTION("""COMPUTED_VALUE"""),7.773662)</f>
        <v>7.773662</v>
      </c>
      <c r="D8459" s="7">
        <f>IFERROR(__xludf.DUMMYFUNCTION("""COMPUTED_VALUE"""),0.387096774193548)</f>
        <v>0.3870967742</v>
      </c>
    </row>
    <row r="8460">
      <c r="A8460" s="10" t="s">
        <v>9899</v>
      </c>
      <c r="B8460" s="7" t="str">
        <f>IFERROR(__xludf.DUMMYFUNCTION("SPLIT(A8460,"" "")"),"CNCc1cc(C)cc(C)n1")</f>
        <v>CNCc1cc(C)cc(C)n1</v>
      </c>
      <c r="C8460" s="7">
        <f>IFERROR(__xludf.DUMMYFUNCTION("""COMPUTED_VALUE"""),7.7736583)</f>
        <v>7.7736583</v>
      </c>
      <c r="D8460" s="7">
        <f>IFERROR(__xludf.DUMMYFUNCTION("""COMPUTED_VALUE"""),0.444444444444444)</f>
        <v>0.4444444444</v>
      </c>
    </row>
    <row r="8461">
      <c r="A8461" s="10" t="s">
        <v>9900</v>
      </c>
      <c r="B8461" s="7" t="str">
        <f>IFERROR(__xludf.DUMMYFUNCTION("SPLIT(A8461,"" "")"),"CN1CCN(C)CCN(Cc2cccnc2-c2cccc(N=Cc3ccccn3)c2)CC1")</f>
        <v>CN1CCN(C)CCN(Cc2cccnc2-c2cccc(N=Cc3ccccn3)c2)CC1</v>
      </c>
      <c r="C8461" s="7">
        <f>IFERROR(__xludf.DUMMYFUNCTION("""COMPUTED_VALUE"""),7.7736487)</f>
        <v>7.7736487</v>
      </c>
      <c r="D8461" s="7">
        <f>IFERROR(__xludf.DUMMYFUNCTION("""COMPUTED_VALUE"""),0.418181818181818)</f>
        <v>0.4181818182</v>
      </c>
    </row>
    <row r="8462">
      <c r="A8462" s="10" t="s">
        <v>9901</v>
      </c>
      <c r="B8462" s="7" t="str">
        <f>IFERROR(__xludf.DUMMYFUNCTION("SPLIT(A8462,"" "")"),"CCN(Cc1ccccn1)Cc1cccc(-c2cccc(N(C)C3CCC(N(C)Cc4cc(C)ccn4)CC3)c2)n1")</f>
        <v>CCN(Cc1ccccn1)Cc1cccc(-c2cccc(N(C)C3CCC(N(C)Cc4cc(C)ccn4)CC3)c2)n1</v>
      </c>
      <c r="C8462" s="7">
        <f>IFERROR(__xludf.DUMMYFUNCTION("""COMPUTED_VALUE"""),7.7736454)</f>
        <v>7.7736454</v>
      </c>
      <c r="D8462" s="7">
        <f>IFERROR(__xludf.DUMMYFUNCTION("""COMPUTED_VALUE"""),0.455882352941176)</f>
        <v>0.4558823529</v>
      </c>
    </row>
    <row r="8463">
      <c r="A8463" s="10" t="s">
        <v>9902</v>
      </c>
      <c r="B8463" s="7" t="str">
        <f>IFERROR(__xludf.DUMMYFUNCTION("SPLIT(A8463,"" "")"),"CCN(Cc1cc(-c2ccc3c(c2)OCCOCCOCCOCCOCCO3)ccn1)Cc1cccc(-c2cccc(N=Cc3ccccn3)c2)n1")</f>
        <v>CCN(Cc1cc(-c2ccc3c(c2)OCCOCCOCCOCCOCCO3)ccn1)Cc1cccc(-c2cccc(N=Cc3ccccn3)c2)n1</v>
      </c>
      <c r="C8463" s="7">
        <f>IFERROR(__xludf.DUMMYFUNCTION("""COMPUTED_VALUE"""),7.773642)</f>
        <v>7.773642</v>
      </c>
      <c r="D8463" s="7">
        <f>IFERROR(__xludf.DUMMYFUNCTION("""COMPUTED_VALUE"""),0.384615384615384)</f>
        <v>0.3846153846</v>
      </c>
    </row>
    <row r="8464">
      <c r="A8464" s="10" t="s">
        <v>9903</v>
      </c>
      <c r="B8464" s="7" t="str">
        <f>IFERROR(__xludf.DUMMYFUNCTION("SPLIT(A8464,"" "")"),"CC1=C(N(C)CCN(C)Cc2ccc3ncccc3c2)CCC(C)C1C")</f>
        <v>CC1=C(N(C)CCN(C)Cc2ccc3ncccc3c2)CCC(C)C1C</v>
      </c>
      <c r="C8464" s="7">
        <f>IFERROR(__xludf.DUMMYFUNCTION("""COMPUTED_VALUE"""),7.773642)</f>
        <v>7.773642</v>
      </c>
      <c r="D8464" s="7">
        <f>IFERROR(__xludf.DUMMYFUNCTION("""COMPUTED_VALUE"""),0.368421052631578)</f>
        <v>0.3684210526</v>
      </c>
    </row>
    <row r="8465">
      <c r="A8465" s="10" t="s">
        <v>9904</v>
      </c>
      <c r="B8465" s="7" t="str">
        <f>IFERROR(__xludf.DUMMYFUNCTION("SPLIT(A8465,"" "")"),"CN(Cc1cncc(-c2cccc(N(C)C)c2)c1)Cc1ncccc1-c1ccc2c(c1)OCCOCCOCCOCCOCCO2")</f>
        <v>CN(Cc1cncc(-c2cccc(N(C)C)c2)c1)Cc1ncccc1-c1ccc2c(c1)OCCOCCOCCOCCOCCO2</v>
      </c>
      <c r="C8465" s="7">
        <f>IFERROR(__xludf.DUMMYFUNCTION("""COMPUTED_VALUE"""),7.7736416)</f>
        <v>7.7736416</v>
      </c>
      <c r="D8465" s="7">
        <f>IFERROR(__xludf.DUMMYFUNCTION("""COMPUTED_VALUE"""),0.316455696202531)</f>
        <v>0.3164556962</v>
      </c>
    </row>
    <row r="8466">
      <c r="A8466" s="10" t="s">
        <v>9905</v>
      </c>
      <c r="B8466" s="7" t="str">
        <f>IFERROR(__xludf.DUMMYFUNCTION("SPLIT(A8466,"" "")"),"CCN(Cc1cc(CF)ccn1)C1CCCCC1N(C)c1ccc2nccc(CF)c2c1")</f>
        <v>CCN(Cc1cc(CF)ccn1)C1CCCCC1N(C)c1ccc2nccc(CF)c2c1</v>
      </c>
      <c r="C8466" s="7">
        <f>IFERROR(__xludf.DUMMYFUNCTION("""COMPUTED_VALUE"""),7.7736416)</f>
        <v>7.7736416</v>
      </c>
      <c r="D8466" s="7">
        <f>IFERROR(__xludf.DUMMYFUNCTION("""COMPUTED_VALUE"""),0.318840579710144)</f>
        <v>0.3188405797</v>
      </c>
    </row>
    <row r="8467">
      <c r="A8467" s="10" t="s">
        <v>9906</v>
      </c>
      <c r="B8467" s="7" t="str">
        <f>IFERROR(__xludf.DUMMYFUNCTION("SPLIT(A8467,"" "")"),"Cc1ccc(N)c(CN(C)Cc2ccccn2)c1")</f>
        <v>Cc1ccc(N)c(CN(C)Cc2ccccn2)c1</v>
      </c>
      <c r="C8467" s="7">
        <f>IFERROR(__xludf.DUMMYFUNCTION("""COMPUTED_VALUE"""),7.7736406)</f>
        <v>7.7736406</v>
      </c>
      <c r="D8467" s="7">
        <f>IFERROR(__xludf.DUMMYFUNCTION("""COMPUTED_VALUE"""),0.5)</f>
        <v>0.5</v>
      </c>
    </row>
    <row r="8468">
      <c r="A8468" s="10" t="s">
        <v>9907</v>
      </c>
      <c r="B8468" s="7" t="str">
        <f>IFERROR(__xludf.DUMMYFUNCTION("SPLIT(A8468,"" "")"),"CN(c1ccc2ncccc2c1)C1CCCCC1N(Cc1ccc2ncccc2c1)Cc1ncccc1-c1cccc2c1OCCOCCOCCOCCOCCO2")</f>
        <v>CN(c1ccc2ncccc2c1)C1CCCCC1N(Cc1ccc2ncccc2c1)Cc1ncccc1-c1cccc2c1OCCOCCOCCOCCOCCO2</v>
      </c>
      <c r="C8468" s="7">
        <f>IFERROR(__xludf.DUMMYFUNCTION("""COMPUTED_VALUE"""),7.773632)</f>
        <v>7.773632</v>
      </c>
      <c r="D8468" s="7">
        <f>IFERROR(__xludf.DUMMYFUNCTION("""COMPUTED_VALUE"""),0.342465753424657)</f>
        <v>0.3424657534</v>
      </c>
    </row>
    <row r="8469">
      <c r="A8469" s="10" t="s">
        <v>9908</v>
      </c>
      <c r="B8469" s="7" t="str">
        <f>IFERROR(__xludf.DUMMYFUNCTION("SPLIT(A8469,"" "")"),"Cc1ccc(CN(C)Cc2cccc(N(C)C3CCCC(N(Cc4ccccn4)Cc4nc(C)c(C)cc4C)C3)n2)nc1")</f>
        <v>Cc1ccc(CN(C)Cc2cccc(N(C)C3CCCC(N(Cc4ccccn4)Cc4nc(C)c(C)cc4C)C3)n2)nc1</v>
      </c>
      <c r="C8469" s="7">
        <f>IFERROR(__xludf.DUMMYFUNCTION("""COMPUTED_VALUE"""),7.7736173)</f>
        <v>7.7736173</v>
      </c>
      <c r="D8469" s="7">
        <f>IFERROR(__xludf.DUMMYFUNCTION("""COMPUTED_VALUE"""),0.36231884057971)</f>
        <v>0.3623188406</v>
      </c>
    </row>
    <row r="8470">
      <c r="A8470" s="10" t="s">
        <v>9909</v>
      </c>
      <c r="B8470" s="7" t="str">
        <f>IFERROR(__xludf.DUMMYFUNCTION("SPLIT(A8470,"" "")"),"CC1=CC(C)CC(C)(c2cccc(CN(Cc3ccccn3)Cc3ccccn3)n2)C1")</f>
        <v>CC1=CC(C)CC(C)(c2cccc(CN(Cc3ccccn3)Cc3ccccn3)n2)C1</v>
      </c>
      <c r="C8470" s="7">
        <f>IFERROR(__xludf.DUMMYFUNCTION("""COMPUTED_VALUE"""),7.773613)</f>
        <v>7.773613</v>
      </c>
      <c r="D8470" s="7">
        <f>IFERROR(__xludf.DUMMYFUNCTION("""COMPUTED_VALUE"""),0.434782608695652)</f>
        <v>0.4347826087</v>
      </c>
    </row>
    <row r="8471">
      <c r="A8471" s="10" t="s">
        <v>9910</v>
      </c>
      <c r="B8471" s="7" t="str">
        <f>IFERROR(__xludf.DUMMYFUNCTION("SPLIT(A8471,"" "")"),"CC(C)(C1=CC2(C=CN1)CC(c1cccc(CN(Cc3ccccn3)Cc3ccccn3)n1)C(C)(C)C=C2c1cccc(CN(Cc2ccccn2)Cc2ccccn2)n1)c1ccc(-c2ccc3c(c2)OCCOCCOCCOCCOCCO3)cn1")</f>
        <v>CC(C)(C1=CC2(C=CN1)CC(c1cccc(CN(Cc3ccccn3)Cc3ccccn3)n1)C(C)(C)C=C2c1cccc(CN(Cc2ccccn2)Cc2ccccn2)n1)c1ccc(-c2ccc3c(c2)OCCOCCOCCOCCOCCO3)cn1</v>
      </c>
      <c r="C8471" s="7">
        <f>IFERROR(__xludf.DUMMYFUNCTION("""COMPUTED_VALUE"""),7.7736096)</f>
        <v>7.7736096</v>
      </c>
      <c r="D8471" s="7">
        <f>IFERROR(__xludf.DUMMYFUNCTION("""COMPUTED_VALUE"""),0.305263157894736)</f>
        <v>0.3052631579</v>
      </c>
    </row>
    <row r="8472">
      <c r="A8472" s="10" t="s">
        <v>9911</v>
      </c>
      <c r="B8472" s="7" t="str">
        <f>IFERROR(__xludf.DUMMYFUNCTION("SPLIT(A8472,"" "")"),"Cc1cc(CN(C)C2C=CNC(C3=CC(C)CC(N(C)Cc4ccccn4)C3C)=C2)nc(C)c1C")</f>
        <v>Cc1cc(CN(C)C2C=CNC(C3=CC(C)CC(N(C)Cc4ccccn4)C3C)=C2)nc(C)c1C</v>
      </c>
      <c r="C8472" s="7">
        <f>IFERROR(__xludf.DUMMYFUNCTION("""COMPUTED_VALUE"""),7.773607)</f>
        <v>7.773607</v>
      </c>
      <c r="D8472" s="7">
        <f>IFERROR(__xludf.DUMMYFUNCTION("""COMPUTED_VALUE"""),0.373134328358209)</f>
        <v>0.3731343284</v>
      </c>
    </row>
    <row r="8473">
      <c r="A8473" s="10" t="s">
        <v>9912</v>
      </c>
      <c r="B8473" s="7" t="str">
        <f>IFERROR(__xludf.DUMMYFUNCTION("SPLIT(A8473,"" "")"),"Cc1cnc(CN(C)Cc2ncccc2N(C)C2CCCC(N(Cc3ccc(C)nc3)Cc3ccc(C)nc3)C2)c(C)c1")</f>
        <v>Cc1cnc(CN(C)Cc2ncccc2N(C)C2CCCC(N(Cc3ccc(C)nc3)Cc3ccc(C)nc3)C2)c(C)c1</v>
      </c>
      <c r="C8473" s="7">
        <f>IFERROR(__xludf.DUMMYFUNCTION("""COMPUTED_VALUE"""),7.773605)</f>
        <v>7.773605</v>
      </c>
      <c r="D8473" s="7">
        <f>IFERROR(__xludf.DUMMYFUNCTION("""COMPUTED_VALUE"""),0.275362318840579)</f>
        <v>0.2753623188</v>
      </c>
    </row>
    <row r="8474">
      <c r="A8474" s="10" t="s">
        <v>9913</v>
      </c>
      <c r="B8474" s="7" t="str">
        <f>IFERROR(__xludf.DUMMYFUNCTION("SPLIT(A8474,"" "")"),"CN1CCN(CN(C)c2cccc3ncccc23)CCN(C(c2ccccc2)c2ccccn2)CC1")</f>
        <v>CN1CCN(CN(C)c2cccc3ncccc23)CCN(C(c2ccccc2)c2ccccn2)CC1</v>
      </c>
      <c r="C8474" s="7">
        <f>IFERROR(__xludf.DUMMYFUNCTION("""COMPUTED_VALUE"""),7.7735963)</f>
        <v>7.7735963</v>
      </c>
      <c r="D8474" s="7">
        <f>IFERROR(__xludf.DUMMYFUNCTION("""COMPUTED_VALUE"""),0.344262295081967)</f>
        <v>0.3442622951</v>
      </c>
    </row>
    <row r="8475">
      <c r="A8475" s="10" t="s">
        <v>9914</v>
      </c>
      <c r="B8475" s="7" t="str">
        <f>IFERROR(__xludf.DUMMYFUNCTION("SPLIT(A8475,"" "")"),"CCNCc1cc(CN(C)C2CCC(N(C)c3ccc4c(CF)ccnc4c3)CC2)ccn1")</f>
        <v>CCNCc1cc(CN(C)C2CCC(N(C)c3ccc4c(CF)ccnc4c3)CC2)ccn1</v>
      </c>
      <c r="C8475" s="7">
        <f>IFERROR(__xludf.DUMMYFUNCTION("""COMPUTED_VALUE"""),7.7735934)</f>
        <v>7.7735934</v>
      </c>
      <c r="D8475" s="7">
        <f>IFERROR(__xludf.DUMMYFUNCTION("""COMPUTED_VALUE"""),0.25)</f>
        <v>0.25</v>
      </c>
    </row>
    <row r="8476">
      <c r="A8476" s="10" t="s">
        <v>9915</v>
      </c>
      <c r="B8476" s="7" t="str">
        <f>IFERROR(__xludf.DUMMYFUNCTION("SPLIT(A8476,"" "")"),"CCNCC1=CCC(N(C)Cc2cc(C)ccn2)=CN1")</f>
        <v>CCNCC1=CCC(N(C)Cc2cc(C)ccn2)=CN1</v>
      </c>
      <c r="C8476" s="7">
        <f>IFERROR(__xludf.DUMMYFUNCTION("""COMPUTED_VALUE"""),7.7735915)</f>
        <v>7.7735915</v>
      </c>
      <c r="D8476" s="7">
        <f>IFERROR(__xludf.DUMMYFUNCTION("""COMPUTED_VALUE"""),0.310344827586206)</f>
        <v>0.3103448276</v>
      </c>
    </row>
    <row r="8477">
      <c r="A8477" s="10" t="s">
        <v>9916</v>
      </c>
      <c r="B8477" s="7" t="str">
        <f>IFERROR(__xludf.DUMMYFUNCTION("SPLIT(A8477,"" "")"),"Cc1ccnc2cc(N(C)C3CCCCC3N(Cc3ccccn3)C3=CC(C)C(C)C(C)C3)ccc12")</f>
        <v>Cc1ccnc2cc(N(C)C3CCCCC3N(Cc3ccccn3)C3=CC(C)C(C)C(C)C3)ccc12</v>
      </c>
      <c r="C8477" s="7">
        <f>IFERROR(__xludf.DUMMYFUNCTION("""COMPUTED_VALUE"""),7.7735825)</f>
        <v>7.7735825</v>
      </c>
      <c r="D8477" s="7">
        <f>IFERROR(__xludf.DUMMYFUNCTION("""COMPUTED_VALUE"""),0.4)</f>
        <v>0.4</v>
      </c>
    </row>
    <row r="8478">
      <c r="A8478" s="10" t="s">
        <v>9917</v>
      </c>
      <c r="B8478" s="7" t="str">
        <f>IFERROR(__xludf.DUMMYFUNCTION("SPLIT(A8478,"" "")"),"COC(=O)c1ncccc1CN1CCN(C)CCN(Cc2ccc(C(C)(c3ccccn3)c3ccccn3)cn2)CC1")</f>
        <v>COC(=O)c1ncccc1CN1CCN(C)CCN(Cc2ccc(C(C)(c3ccccn3)c3ccccn3)cn2)CC1</v>
      </c>
      <c r="C8478" s="7">
        <f>IFERROR(__xludf.DUMMYFUNCTION("""COMPUTED_VALUE"""),7.77358)</f>
        <v>7.77358</v>
      </c>
      <c r="D8478" s="7">
        <f>IFERROR(__xludf.DUMMYFUNCTION("""COMPUTED_VALUE"""),0.440677966101694)</f>
        <v>0.4406779661</v>
      </c>
    </row>
    <row r="8479">
      <c r="A8479" s="10" t="s">
        <v>9918</v>
      </c>
      <c r="B8479" s="7" t="str">
        <f>IFERROR(__xludf.DUMMYFUNCTION("SPLIT(A8479,"" "")"),"CC1=C(C)C(c2ncccc2CN(Cc2ccccn2)Cc2cc(N)ccn2)C(N(C)Cc2ccccn2)C(C)C1C")</f>
        <v>CC1=C(C)C(c2ncccc2CN(Cc2ccccn2)Cc2cc(N)ccn2)C(N(C)Cc2ccccn2)C(C)C1C</v>
      </c>
      <c r="C8479" s="7">
        <f>IFERROR(__xludf.DUMMYFUNCTION("""COMPUTED_VALUE"""),7.7735786)</f>
        <v>7.7735786</v>
      </c>
      <c r="D8479" s="7">
        <f>IFERROR(__xludf.DUMMYFUNCTION("""COMPUTED_VALUE"""),0.357142857142857)</f>
        <v>0.3571428571</v>
      </c>
    </row>
    <row r="8480">
      <c r="A8480" s="10" t="s">
        <v>9919</v>
      </c>
      <c r="B8480" s="7" t="str">
        <f>IFERROR(__xludf.DUMMYFUNCTION("SPLIT(A8480,"" "")"),"COC(=O)C(C)NCc1cc(CN(Cc2ccccn2)Cc2ccccn2)ccn1")</f>
        <v>COC(=O)C(C)NCc1cc(CN(Cc2ccccn2)Cc2ccccn2)ccn1</v>
      </c>
      <c r="C8480" s="7">
        <f>IFERROR(__xludf.DUMMYFUNCTION("""COMPUTED_VALUE"""),7.773572)</f>
        <v>7.773572</v>
      </c>
      <c r="D8480" s="7">
        <f>IFERROR(__xludf.DUMMYFUNCTION("""COMPUTED_VALUE"""),0.444444444444444)</f>
        <v>0.4444444444</v>
      </c>
    </row>
    <row r="8481">
      <c r="A8481" s="10" t="s">
        <v>9920</v>
      </c>
      <c r="B8481" s="7" t="str">
        <f>IFERROR(__xludf.DUMMYFUNCTION("SPLIT(A8481,"" "")"),"CNC1C(NCc2nc(C)c(C)c(C)c2C)CCCC1N(Cc1nc(C)c(C)c(C)c1C)Cc1nc(C)c(C)c(C)c1C")</f>
        <v>CNC1C(NCc2nc(C)c(C)c(C)c2C)CCCC1N(Cc1nc(C)c(C)c(C)c1C)Cc1nc(C)c(C)c(C)c1C</v>
      </c>
      <c r="C8481" s="7">
        <f>IFERROR(__xludf.DUMMYFUNCTION("""COMPUTED_VALUE"""),7.773569)</f>
        <v>7.773569</v>
      </c>
      <c r="D8481" s="7">
        <f>IFERROR(__xludf.DUMMYFUNCTION("""COMPUTED_VALUE"""),0.23728813559322)</f>
        <v>0.2372881356</v>
      </c>
    </row>
    <row r="8482">
      <c r="A8482" s="10" t="s">
        <v>9921</v>
      </c>
      <c r="B8482" s="7" t="str">
        <f>IFERROR(__xludf.DUMMYFUNCTION("SPLIT(A8482,"" "")"),"CCNCc1cc(CN(C)C2CCC(N(C)c3ccc4nccc(CF)c4c3)CC2)ccn1")</f>
        <v>CCNCc1cc(CN(C)C2CCC(N(C)c3ccc4nccc(CF)c4c3)CC2)ccn1</v>
      </c>
      <c r="C8482" s="7">
        <f>IFERROR(__xludf.DUMMYFUNCTION("""COMPUTED_VALUE"""),7.773566)</f>
        <v>7.773566</v>
      </c>
      <c r="D8482" s="7">
        <f>IFERROR(__xludf.DUMMYFUNCTION("""COMPUTED_VALUE"""),0.246376811594202)</f>
        <v>0.2463768116</v>
      </c>
    </row>
    <row r="8483">
      <c r="A8483" s="10" t="s">
        <v>9922</v>
      </c>
      <c r="B8483" s="7" t="str">
        <f>IFERROR(__xludf.DUMMYFUNCTION("SPLIT(A8483,"" "")"),"CC(C)N(CC1=C(N(C)Cc2ccccn2)CC=CN1)C(C)C")</f>
        <v>CC(C)N(CC1=C(N(C)Cc2ccccn2)CC=CN1)C(C)C</v>
      </c>
      <c r="C8483" s="7">
        <f>IFERROR(__xludf.DUMMYFUNCTION("""COMPUTED_VALUE"""),7.7735567)</f>
        <v>7.7735567</v>
      </c>
      <c r="D8483" s="7">
        <f>IFERROR(__xludf.DUMMYFUNCTION("""COMPUTED_VALUE"""),0.4375)</f>
        <v>0.4375</v>
      </c>
    </row>
    <row r="8484">
      <c r="A8484" s="10" t="s">
        <v>9923</v>
      </c>
      <c r="B8484" s="7" t="str">
        <f>IFERROR(__xludf.DUMMYFUNCTION("SPLIT(A8484,"" "")"),"Cc1cncc(-c2cccc(NCc3cccc(C(C)(C)N4CCN(C)CCN(C)CC4)n3)c2)c1")</f>
        <v>Cc1cncc(-c2cccc(NCc3cccc(C(C)(C)N4CCN(C)CCN(C)CC4)n3)c2)c1</v>
      </c>
      <c r="C8484" s="7">
        <f>IFERROR(__xludf.DUMMYFUNCTION("""COMPUTED_VALUE"""),7.7735567)</f>
        <v>7.7735567</v>
      </c>
      <c r="D8484" s="7">
        <f>IFERROR(__xludf.DUMMYFUNCTION("""COMPUTED_VALUE"""),0.301587301587301)</f>
        <v>0.3015873016</v>
      </c>
    </row>
    <row r="8485">
      <c r="A8485" s="10" t="s">
        <v>9924</v>
      </c>
      <c r="B8485" s="7" t="str">
        <f>IFERROR(__xludf.DUMMYFUNCTION("SPLIT(A8485,"" "")"),"Cc1cccnc1CN(CCN(C)Cc1ccccn1)Cc1nccc(C)c1C")</f>
        <v>Cc1cccnc1CN(CCN(C)Cc1ccccn1)Cc1nccc(C)c1C</v>
      </c>
      <c r="C8485" s="7">
        <f>IFERROR(__xludf.DUMMYFUNCTION("""COMPUTED_VALUE"""),7.773552)</f>
        <v>7.773552</v>
      </c>
      <c r="D8485" s="7">
        <f>IFERROR(__xludf.DUMMYFUNCTION("""COMPUTED_VALUE"""),0.5)</f>
        <v>0.5</v>
      </c>
    </row>
    <row r="8486">
      <c r="A8486" s="10" t="s">
        <v>9925</v>
      </c>
      <c r="B8486" s="7" t="str">
        <f>IFERROR(__xludf.DUMMYFUNCTION("SPLIT(A8486,"" "")"),"CC(C)c1cccc(CN2CCN(C)CCN(Cc3cccc(-c4cccc(N=Cc5ccccn5)c4)n3)CC2)n1")</f>
        <v>CC(C)c1cccc(CN2CCN(C)CCN(Cc3cccc(-c4cccc(N=Cc5ccccn5)c4)n3)CC2)n1</v>
      </c>
      <c r="C8486" s="7">
        <f>IFERROR(__xludf.DUMMYFUNCTION("""COMPUTED_VALUE"""),7.7735476)</f>
        <v>7.7735476</v>
      </c>
      <c r="D8486" s="7">
        <f>IFERROR(__xludf.DUMMYFUNCTION("""COMPUTED_VALUE"""),0.433333333333333)</f>
        <v>0.4333333333</v>
      </c>
    </row>
    <row r="8487">
      <c r="A8487" s="10" t="s">
        <v>9926</v>
      </c>
      <c r="B8487" s="7" t="str">
        <f>IFERROR(__xludf.DUMMYFUNCTION("SPLIT(A8487,"" "")"),"Cc1cnc(CN(C)CCCN(C)Cc2ncc(C)c(C)c2C)c(C)c1C")</f>
        <v>Cc1cnc(CN(C)CCCN(C)Cc2ncc(C)c(C)c2C)c(C)c1C</v>
      </c>
      <c r="C8487" s="7">
        <f>IFERROR(__xludf.DUMMYFUNCTION("""COMPUTED_VALUE"""),7.7735457)</f>
        <v>7.7735457</v>
      </c>
      <c r="D8487" s="7">
        <f>IFERROR(__xludf.DUMMYFUNCTION("""COMPUTED_VALUE"""),0.405405405405405)</f>
        <v>0.4054054054</v>
      </c>
    </row>
    <row r="8488">
      <c r="A8488" s="10" t="s">
        <v>9927</v>
      </c>
      <c r="B8488" s="7" t="str">
        <f>IFERROR(__xludf.DUMMYFUNCTION("SPLIT(A8488,"" "")"),"CC(C)N(Cc1ccccn1)c1ccccc1-c1cccc(CN(Cc2ccccn2)Cc2ccc(-c3ccc4c(c3)OCCOCCOCCOCCOCCO4)cn2)n1")</f>
        <v>CC(C)N(Cc1ccccn1)c1ccccc1-c1cccc(CN(Cc2ccccn2)Cc2ccc(-c3ccc4c(c3)OCCOCCOCCOCCOCCO4)cn2)n1</v>
      </c>
      <c r="C8488" s="7">
        <f>IFERROR(__xludf.DUMMYFUNCTION("""COMPUTED_VALUE"""),7.773538)</f>
        <v>7.773538</v>
      </c>
      <c r="D8488" s="7">
        <f>IFERROR(__xludf.DUMMYFUNCTION("""COMPUTED_VALUE"""),0.386666666666666)</f>
        <v>0.3866666667</v>
      </c>
    </row>
    <row r="8489">
      <c r="A8489" s="10" t="s">
        <v>9928</v>
      </c>
      <c r="B8489" s="7" t="str">
        <f>IFERROR(__xludf.DUMMYFUNCTION("SPLIT(A8489,"" "")"),"CCCNCc1ccccc1CN(C)Cc1cc(C(C)(C)c2ccccn2)ccn1")</f>
        <v>CCCNCc1ccccc1CN(C)Cc1cc(C(C)(C)c2ccccn2)ccn1</v>
      </c>
      <c r="C8489" s="7">
        <f>IFERROR(__xludf.DUMMYFUNCTION("""COMPUTED_VALUE"""),7.7735305)</f>
        <v>7.7735305</v>
      </c>
      <c r="D8489" s="7">
        <f>IFERROR(__xludf.DUMMYFUNCTION("""COMPUTED_VALUE"""),0.333333333333333)</f>
        <v>0.3333333333</v>
      </c>
    </row>
    <row r="8490">
      <c r="A8490" s="10" t="s">
        <v>9929</v>
      </c>
      <c r="B8490" s="7" t="str">
        <f>IFERROR(__xludf.DUMMYFUNCTION("SPLIT(A8490,"" "")"),"Cc1cnccc1CN(C)CC1=CC(N(C)Cc2ccccn2)C=CN1")</f>
        <v>Cc1cnccc1CN(C)CC1=CC(N(C)Cc2ccccn2)C=CN1</v>
      </c>
      <c r="C8490" s="7">
        <f>IFERROR(__xludf.DUMMYFUNCTION("""COMPUTED_VALUE"""),7.773525)</f>
        <v>7.773525</v>
      </c>
      <c r="D8490" s="7">
        <f>IFERROR(__xludf.DUMMYFUNCTION("""COMPUTED_VALUE"""),0.379310344827586)</f>
        <v>0.3793103448</v>
      </c>
    </row>
    <row r="8491">
      <c r="A8491" s="10" t="s">
        <v>9930</v>
      </c>
      <c r="B8491" s="7" t="str">
        <f>IFERROR(__xludf.DUMMYFUNCTION("SPLIT(A8491,"" "")"),"CC(C)N(C)CC1=CCC(N(C)Cc2ncccc2N)=CN1")</f>
        <v>CC(C)N(C)CC1=CCC(N(C)Cc2ncccc2N)=CN1</v>
      </c>
      <c r="C8491" s="7">
        <f>IFERROR(__xludf.DUMMYFUNCTION("""COMPUTED_VALUE"""),7.773522)</f>
        <v>7.773522</v>
      </c>
      <c r="D8491" s="7">
        <f>IFERROR(__xludf.DUMMYFUNCTION("""COMPUTED_VALUE"""),0.265625)</f>
        <v>0.265625</v>
      </c>
    </row>
    <row r="8492">
      <c r="A8492" s="10" t="s">
        <v>9931</v>
      </c>
      <c r="B8492" s="7" t="str">
        <f>IFERROR(__xludf.DUMMYFUNCTION("SPLIT(A8492,"" "")"),"Cc1ccc(-c2ccc(CN(C)C3CCC(N(Cc4ccccn4)Cc4cc(C(C)(C)C)ccn4)CC3)cc2)nc1")</f>
        <v>Cc1ccc(-c2ccc(CN(C)C3CCC(N(Cc4ccccn4)Cc4cc(C(C)(C)C)ccn4)CC3)cc2)nc1</v>
      </c>
      <c r="C8492" s="7">
        <f>IFERROR(__xludf.DUMMYFUNCTION("""COMPUTED_VALUE"""),7.7735195)</f>
        <v>7.7735195</v>
      </c>
      <c r="D8492" s="7">
        <f>IFERROR(__xludf.DUMMYFUNCTION("""COMPUTED_VALUE"""),0.348484848484848)</f>
        <v>0.3484848485</v>
      </c>
    </row>
    <row r="8493">
      <c r="A8493" s="10" t="s">
        <v>9932</v>
      </c>
      <c r="B8493" s="7" t="str">
        <f>IFERROR(__xludf.DUMMYFUNCTION("SPLIT(A8493,"" "")"),"Cc1cccnc1CN(C)C1=CNC(CN(C)C(C)C)=CC1")</f>
        <v>Cc1cccnc1CN(C)C1=CNC(CN(C)C(C)C)=CC1</v>
      </c>
      <c r="C8493" s="7">
        <f>IFERROR(__xludf.DUMMYFUNCTION("""COMPUTED_VALUE"""),7.7735195)</f>
        <v>7.7735195</v>
      </c>
      <c r="D8493" s="7">
        <f>IFERROR(__xludf.DUMMYFUNCTION("""COMPUTED_VALUE"""),0.269841269841269)</f>
        <v>0.2698412698</v>
      </c>
    </row>
    <row r="8494">
      <c r="A8494" s="10" t="s">
        <v>9933</v>
      </c>
      <c r="B8494" s="7" t="str">
        <f>IFERROR(__xludf.DUMMYFUNCTION("SPLIT(A8494,"" "")"),"CC1(C)CCC1c1ncc(CN(Cc2ccccn2)Cc2ccccn2)cc1CN(Cc1ccccn1)Cc1ccccn1")</f>
        <v>CC1(C)CCC1c1ncc(CN(Cc2ccccn2)Cc2ccccn2)cc1CN(Cc1ccccn1)Cc1ccccn1</v>
      </c>
      <c r="C8494" s="7">
        <f>IFERROR(__xludf.DUMMYFUNCTION("""COMPUTED_VALUE"""),7.7735176)</f>
        <v>7.7735176</v>
      </c>
      <c r="D8494" s="7">
        <f>IFERROR(__xludf.DUMMYFUNCTION("""COMPUTED_VALUE"""),0.434782608695652)</f>
        <v>0.4347826087</v>
      </c>
    </row>
    <row r="8495">
      <c r="A8495" s="10" t="s">
        <v>9934</v>
      </c>
      <c r="B8495" s="7" t="str">
        <f>IFERROR(__xludf.DUMMYFUNCTION("SPLIT(A8495,"" "")"),"CNCc1cccc(CN(Cc2ccccn2)Cc2cc(C)ccn2)n1")</f>
        <v>CNCc1cccc(CN(Cc2ccccn2)Cc2cc(C)ccn2)n1</v>
      </c>
      <c r="C8495" s="7">
        <f>IFERROR(__xludf.DUMMYFUNCTION("""COMPUTED_VALUE"""),7.773513)</f>
        <v>7.773513</v>
      </c>
      <c r="D8495" s="7">
        <f>IFERROR(__xludf.DUMMYFUNCTION("""COMPUTED_VALUE"""),0.5)</f>
        <v>0.5</v>
      </c>
    </row>
    <row r="8496">
      <c r="A8496" s="10" t="s">
        <v>9935</v>
      </c>
      <c r="B8496" s="7" t="str">
        <f>IFERROR(__xludf.DUMMYFUNCTION("SPLIT(A8496,"" "")"),"Cc1nc(CN(C)CCN(C)CC(C)(C)C)c(C)c(C)c1C")</f>
        <v>Cc1nc(CN(C)CCN(C)CC(C)(C)C)c(C)c(C)c1C</v>
      </c>
      <c r="C8496" s="7">
        <f>IFERROR(__xludf.DUMMYFUNCTION("""COMPUTED_VALUE"""),7.773513)</f>
        <v>7.773513</v>
      </c>
      <c r="D8496" s="7">
        <f>IFERROR(__xludf.DUMMYFUNCTION("""COMPUTED_VALUE"""),0.309523809523809)</f>
        <v>0.3095238095</v>
      </c>
    </row>
    <row r="8497">
      <c r="A8497" s="10" t="s">
        <v>9936</v>
      </c>
      <c r="B8497" s="7" t="str">
        <f>IFERROR(__xludf.DUMMYFUNCTION("SPLIT(A8497,"" "")"),"CN(Cc1ccc2c(n1)CCCC2)C1CCC(N(C)c2ccc3ncc(CF)cc3c2)CC1")</f>
        <v>CN(Cc1ccc2c(n1)CCCC2)C1CCC(N(C)c2ccc3ncc(CF)cc3c2)CC1</v>
      </c>
      <c r="C8497" s="7">
        <f>IFERROR(__xludf.DUMMYFUNCTION("""COMPUTED_VALUE"""),7.7735043)</f>
        <v>7.7735043</v>
      </c>
      <c r="D8497" s="7">
        <f>IFERROR(__xludf.DUMMYFUNCTION("""COMPUTED_VALUE"""),0.287671232876712)</f>
        <v>0.2876712329</v>
      </c>
    </row>
    <row r="8498">
      <c r="A8498" s="10" t="s">
        <v>9937</v>
      </c>
      <c r="B8498" s="7" t="str">
        <f>IFERROR(__xludf.DUMMYFUNCTION("SPLIT(A8498,"" "")"),"CCN(C)CC1=CCC(N(C)Cc2ncccc2C)=CN1")</f>
        <v>CCN(C)CC1=CCC(N(C)Cc2ncccc2C)=CN1</v>
      </c>
      <c r="C8498" s="7">
        <f>IFERROR(__xludf.DUMMYFUNCTION("""COMPUTED_VALUE"""),7.773503)</f>
        <v>7.773503</v>
      </c>
      <c r="D8498" s="7">
        <f>IFERROR(__xludf.DUMMYFUNCTION("""COMPUTED_VALUE"""),0.280701754385964)</f>
        <v>0.2807017544</v>
      </c>
    </row>
    <row r="8499">
      <c r="A8499" s="10" t="s">
        <v>9938</v>
      </c>
      <c r="B8499" s="7" t="str">
        <f>IFERROR(__xludf.DUMMYFUNCTION("SPLIT(A8499,"" "")"),"CN1CCN(Cc2ccc(-c3cccc(N=Cc4ccccn4)c3)cn2)CCN(Cc2cccc(F)n2)CC1")</f>
        <v>CN1CCN(Cc2ccc(-c3cccc(N=Cc4ccccn4)c3)cn2)CCN(Cc2cccc(F)n2)CC1</v>
      </c>
      <c r="C8499" s="7">
        <f>IFERROR(__xludf.DUMMYFUNCTION("""COMPUTED_VALUE"""),7.773495)</f>
        <v>7.773495</v>
      </c>
      <c r="D8499" s="7">
        <f>IFERROR(__xludf.DUMMYFUNCTION("""COMPUTED_VALUE"""),0.5)</f>
        <v>0.5</v>
      </c>
    </row>
    <row r="8500">
      <c r="A8500" s="10" t="s">
        <v>9939</v>
      </c>
      <c r="B8500" s="7" t="str">
        <f>IFERROR(__xludf.DUMMYFUNCTION("SPLIT(A8500,"" "")"),"CN(Cc1ccc(-c2ccc(N(C)C)cc2)cn1)Cc1cccc(-c2ccc3c(c2)OCCOCCOCCOCCOCCO3)n1")</f>
        <v>CN(Cc1ccc(-c2ccc(N(C)C)cc2)cn1)Cc1cccc(-c2ccc3c(c2)OCCOCCOCCOCCOCCO3)n1</v>
      </c>
      <c r="C8500" s="7">
        <f>IFERROR(__xludf.DUMMYFUNCTION("""COMPUTED_VALUE"""),7.7734933)</f>
        <v>7.7734933</v>
      </c>
      <c r="D8500" s="7">
        <f>IFERROR(__xludf.DUMMYFUNCTION("""COMPUTED_VALUE"""),0.426470588235294)</f>
        <v>0.4264705882</v>
      </c>
    </row>
    <row r="8501">
      <c r="A8501" s="10" t="s">
        <v>9940</v>
      </c>
      <c r="B8501" s="7" t="str">
        <f>IFERROR(__xludf.DUMMYFUNCTION("SPLIT(A8501,"" "")"),"CC1=CC(C)C(c2ncccc2CN(Cc2ccccn2)Cc2ccccn2)C(C)C1N(C)Cc1ccccn1")</f>
        <v>CC1=CC(C)C(c2ncccc2CN(Cc2ccccn2)Cc2ccccn2)C(C)C1N(C)Cc1ccccn1</v>
      </c>
      <c r="C8501" s="7">
        <f>IFERROR(__xludf.DUMMYFUNCTION("""COMPUTED_VALUE"""),7.773493)</f>
        <v>7.773493</v>
      </c>
      <c r="D8501" s="7">
        <f>IFERROR(__xludf.DUMMYFUNCTION("""COMPUTED_VALUE"""),0.416666666666666)</f>
        <v>0.4166666667</v>
      </c>
    </row>
    <row r="8502">
      <c r="A8502" s="10" t="s">
        <v>9941</v>
      </c>
      <c r="B8502" s="7" t="str">
        <f>IFERROR(__xludf.DUMMYFUNCTION("SPLIT(A8502,"" "")"),"CCNC1NC=CC=C1N(C)Cc1cccc(C)n1")</f>
        <v>CCNC1NC=CC=C1N(C)Cc1cccc(C)n1</v>
      </c>
      <c r="C8502" s="7">
        <f>IFERROR(__xludf.DUMMYFUNCTION("""COMPUTED_VALUE"""),7.7734838)</f>
        <v>7.7734838</v>
      </c>
      <c r="D8502" s="7">
        <f>IFERROR(__xludf.DUMMYFUNCTION("""COMPUTED_VALUE"""),0.416666666666666)</f>
        <v>0.4166666667</v>
      </c>
    </row>
    <row r="8503">
      <c r="A8503" s="10" t="s">
        <v>9942</v>
      </c>
      <c r="B8503" s="7" t="str">
        <f>IFERROR(__xludf.DUMMYFUNCTION("SPLIT(A8503,"" "")"),"CN(c1cccc2ncccc12)C1CCCCC1NCc1cccnn1")</f>
        <v>CN(c1cccc2ncccc12)C1CCCCC1NCc1cccnn1</v>
      </c>
      <c r="C8503" s="7">
        <f>IFERROR(__xludf.DUMMYFUNCTION("""COMPUTED_VALUE"""),7.773479)</f>
        <v>7.773479</v>
      </c>
      <c r="D8503" s="7">
        <f>IFERROR(__xludf.DUMMYFUNCTION("""COMPUTED_VALUE"""),0.413793103448275)</f>
        <v>0.4137931034</v>
      </c>
    </row>
    <row r="8504">
      <c r="A8504" s="10" t="s">
        <v>9943</v>
      </c>
      <c r="B8504" s="7" t="str">
        <f>IFERROR(__xludf.DUMMYFUNCTION("SPLIT(A8504,"" "")"),"CC1=CC2(C=CC(c3ncccc3CN(Cc3ccccn3)Cc3ccccn3)C(c3ncccc3CN(Cc3ccccn3)Cc3ccccn3)C23C(C)C=CC(C)C3C)C2(C(C)C=CCC2C)C(C)(C)C1")</f>
        <v>CC1=CC2(C=CC(c3ncccc3CN(Cc3ccccn3)Cc3ccccn3)C(c3ncccc3CN(Cc3ccccn3)Cc3ccccn3)C23C(C)C=CC(C)C3C)C2(C(C)C=CCC2C)C(C)(C)C1</v>
      </c>
      <c r="C8504" s="7">
        <f>IFERROR(__xludf.DUMMYFUNCTION("""COMPUTED_VALUE"""),7.773479)</f>
        <v>7.773479</v>
      </c>
      <c r="D8504" s="7">
        <f>IFERROR(__xludf.DUMMYFUNCTION("""COMPUTED_VALUE"""),0.273972602739726)</f>
        <v>0.2739726027</v>
      </c>
    </row>
    <row r="8505">
      <c r="A8505" s="10" t="s">
        <v>9944</v>
      </c>
      <c r="B8505" s="7" t="str">
        <f>IFERROR(__xludf.DUMMYFUNCTION("SPLIT(A8505,"" "")"),"Cc1cccc(CN(C)C2CCCC(N(C)Cc3cccc(-c4ccc(Cl)c(N)c4)n3)C2)n1")</f>
        <v>Cc1cccc(CN(C)C2CCCC(N(C)Cc3cccc(-c4ccc(Cl)c(N)c4)n3)C2)n1</v>
      </c>
      <c r="C8505" s="7">
        <f>IFERROR(__xludf.DUMMYFUNCTION("""COMPUTED_VALUE"""),7.773472)</f>
        <v>7.773472</v>
      </c>
      <c r="D8505" s="7">
        <f>IFERROR(__xludf.DUMMYFUNCTION("""COMPUTED_VALUE"""),0.472727272727272)</f>
        <v>0.4727272727</v>
      </c>
    </row>
    <row r="8506">
      <c r="A8506" s="10" t="s">
        <v>9945</v>
      </c>
      <c r="B8506" s="7" t="str">
        <f>IFERROR(__xludf.DUMMYFUNCTION("SPLIT(A8506,"" "")"),"CN(Cc1ccc(-c2ccc3c(c2)OCCOCCOCCOCCOCCO3)cn1)Cc1cc(-c2cccc(N(C)C)c2)ccn1")</f>
        <v>CN(Cc1ccc(-c2ccc3c(c2)OCCOCCOCCOCCOCCO3)cn1)Cc1cc(-c2cccc(N(C)C)c2)ccn1</v>
      </c>
      <c r="C8506" s="7">
        <f>IFERROR(__xludf.DUMMYFUNCTION("""COMPUTED_VALUE"""),7.7734675)</f>
        <v>7.7734675</v>
      </c>
      <c r="D8506" s="7">
        <f>IFERROR(__xludf.DUMMYFUNCTION("""COMPUTED_VALUE"""),0.44776119402985)</f>
        <v>0.447761194</v>
      </c>
    </row>
    <row r="8507">
      <c r="A8507" s="10" t="s">
        <v>9946</v>
      </c>
      <c r="B8507" s="7" t="str">
        <f>IFERROR(__xludf.DUMMYFUNCTION("SPLIT(A8507,"" "")"),"CCN(CC1=CC(N(C)Cc2nc(C)c(C)cc2C)C=CN1)Cc1ccccn1")</f>
        <v>CCN(CC1=CC(N(C)Cc2nc(C)c(C)cc2C)C=CN1)Cc1ccccn1</v>
      </c>
      <c r="C8507" s="7">
        <f>IFERROR(__xludf.DUMMYFUNCTION("""COMPUTED_VALUE"""),7.7734656)</f>
        <v>7.7734656</v>
      </c>
      <c r="D8507" s="7">
        <f>IFERROR(__xludf.DUMMYFUNCTION("""COMPUTED_VALUE"""),0.384615384615384)</f>
        <v>0.3846153846</v>
      </c>
    </row>
    <row r="8508">
      <c r="A8508" s="10" t="s">
        <v>9947</v>
      </c>
      <c r="B8508" s="7" t="str">
        <f>IFERROR(__xludf.DUMMYFUNCTION("SPLIT(A8508,"" "")"),"Cc1cc(CN(C)C2=CNC(CN(C)C(C)C(C)N)=CC2)nc(C)c1C")</f>
        <v>Cc1cc(CN(C)C2=CNC(CN(C)C(C)C(C)N)=CC2)nc(C)c1C</v>
      </c>
      <c r="C8508" s="7">
        <f>IFERROR(__xludf.DUMMYFUNCTION("""COMPUTED_VALUE"""),7.773464)</f>
        <v>7.773464</v>
      </c>
      <c r="D8508" s="7">
        <f>IFERROR(__xludf.DUMMYFUNCTION("""COMPUTED_VALUE"""),0.185714285714285)</f>
        <v>0.1857142857</v>
      </c>
    </row>
    <row r="8509">
      <c r="A8509" s="10" t="s">
        <v>9948</v>
      </c>
      <c r="B8509" s="7" t="str">
        <f>IFERROR(__xludf.DUMMYFUNCTION("SPLIT(A8509,"" "")"),"CN(CC1=CCC(N(C)C2C=CC=CN2)=CN1)Cc1ccccn1")</f>
        <v>CN(CC1=CCC(N(C)C2C=CC=CN2)=CN1)Cc1ccccn1</v>
      </c>
      <c r="C8509" s="7">
        <f>IFERROR(__xludf.DUMMYFUNCTION("""COMPUTED_VALUE"""),7.7734575)</f>
        <v>7.7734575</v>
      </c>
      <c r="D8509" s="7">
        <f>IFERROR(__xludf.DUMMYFUNCTION("""COMPUTED_VALUE"""),0.433333333333333)</f>
        <v>0.4333333333</v>
      </c>
    </row>
    <row r="8510">
      <c r="A8510" s="10" t="s">
        <v>9949</v>
      </c>
      <c r="B8510" s="7" t="str">
        <f>IFERROR(__xludf.DUMMYFUNCTION("SPLIT(A8510,"" "")"),"CNCC1=CC(N(C)Cc2cc(C)c(C)c(C)n2)C=CN1")</f>
        <v>CNCC1=CC(N(C)Cc2cc(C)c(C)c(C)n2)C=CN1</v>
      </c>
      <c r="C8510" s="7">
        <f>IFERROR(__xludf.DUMMYFUNCTION("""COMPUTED_VALUE"""),7.773456)</f>
        <v>7.773456</v>
      </c>
      <c r="D8510" s="7">
        <f>IFERROR(__xludf.DUMMYFUNCTION("""COMPUTED_VALUE"""),0.3)</f>
        <v>0.3</v>
      </c>
    </row>
    <row r="8511">
      <c r="A8511" s="10" t="s">
        <v>9950</v>
      </c>
      <c r="B8511" s="7" t="str">
        <f>IFERROR(__xludf.DUMMYFUNCTION("SPLIT(A8511,"" "")"),"CN(CC1=C(N(Cc2ccccn2)Cc2cccc(C(C)(C)c3cccc(CN(Cc4ccccn4)Cc4cccc(N)n4)n3)n2)CC=CN1)Cc1cccc(-c2ccc3c(c2)OCCOCCOCCOCCOCCO3)n1")</f>
        <v>CN(CC1=C(N(Cc2ccccn2)Cc2cccc(C(C)(C)c3cccc(CN(Cc4ccccn4)Cc4cccc(N)n4)n3)n2)CC=CN1)Cc1cccc(-c2ccc3c(c2)OCCOCCOCCOCCOCCO3)n1</v>
      </c>
      <c r="C8511" s="7">
        <f>IFERROR(__xludf.DUMMYFUNCTION("""COMPUTED_VALUE"""),7.773455)</f>
        <v>7.773455</v>
      </c>
      <c r="D8511" s="7">
        <f>IFERROR(__xludf.DUMMYFUNCTION("""COMPUTED_VALUE"""),0.344444444444444)</f>
        <v>0.3444444444</v>
      </c>
    </row>
    <row r="8512">
      <c r="A8512" s="10" t="s">
        <v>9951</v>
      </c>
      <c r="B8512" s="7" t="str">
        <f>IFERROR(__xludf.DUMMYFUNCTION("SPLIT(A8512,"" "")"),"CCNCC1=C(N(C)Cc2ccc(C)cn2)CC=CN1")</f>
        <v>CCNCC1=C(N(C)Cc2ccc(C)cn2)CC=CN1</v>
      </c>
      <c r="C8512" s="7">
        <f>IFERROR(__xludf.DUMMYFUNCTION("""COMPUTED_VALUE"""),7.7734547)</f>
        <v>7.7734547</v>
      </c>
      <c r="D8512" s="7">
        <f>IFERROR(__xludf.DUMMYFUNCTION("""COMPUTED_VALUE"""),0.408163265306122)</f>
        <v>0.4081632653</v>
      </c>
    </row>
    <row r="8513">
      <c r="A8513" s="10" t="s">
        <v>9952</v>
      </c>
      <c r="B8513" s="7" t="str">
        <f>IFERROR(__xludf.DUMMYFUNCTION("SPLIT(A8513,"" "")"),"CCCN(CCN(Cc1ccccc1N(C)C)Cc1ncccc1C)Cc1ccon1")</f>
        <v>CCCN(CCN(Cc1ccccc1N(C)C)Cc1ncccc1C)Cc1ccon1</v>
      </c>
      <c r="C8513" s="7">
        <f>IFERROR(__xludf.DUMMYFUNCTION("""COMPUTED_VALUE"""),7.7734513)</f>
        <v>7.7734513</v>
      </c>
      <c r="D8513" s="7">
        <f>IFERROR(__xludf.DUMMYFUNCTION("""COMPUTED_VALUE"""),0.357142857142857)</f>
        <v>0.3571428571</v>
      </c>
    </row>
    <row r="8514">
      <c r="A8514" s="10" t="s">
        <v>9953</v>
      </c>
      <c r="B8514" s="7" t="str">
        <f>IFERROR(__xludf.DUMMYFUNCTION("SPLIT(A8514,"" "")"),"Cc1cncc(CN(CCN(C)Cc2ncccc2C)Cc2cc(C)c(C)cn2)c1")</f>
        <v>Cc1cncc(CN(CCN(C)Cc2ncccc2C)Cc2cc(C)c(C)cn2)c1</v>
      </c>
      <c r="C8514" s="7">
        <f>IFERROR(__xludf.DUMMYFUNCTION("""COMPUTED_VALUE"""),7.773449)</f>
        <v>7.773449</v>
      </c>
      <c r="D8514" s="7">
        <f>IFERROR(__xludf.DUMMYFUNCTION("""COMPUTED_VALUE"""),0.390625)</f>
        <v>0.390625</v>
      </c>
    </row>
    <row r="8515">
      <c r="A8515" s="10" t="s">
        <v>9954</v>
      </c>
      <c r="B8515" s="7" t="str">
        <f>IFERROR(__xludf.DUMMYFUNCTION("SPLIT(A8515,"" "")"),"Cc1cccnc1CN(Cc1ncccc1C(C)(c1ccccn1)C(C)C)CC(C)(C)C")</f>
        <v>Cc1cccnc1CN(Cc1ncccc1C(C)(c1ccccn1)C(C)C)CC(C)(C)C</v>
      </c>
      <c r="C8515" s="7">
        <f>IFERROR(__xludf.DUMMYFUNCTION("""COMPUTED_VALUE"""),7.773446)</f>
        <v>7.773446</v>
      </c>
      <c r="D8515" s="7">
        <f>IFERROR(__xludf.DUMMYFUNCTION("""COMPUTED_VALUE"""),0.396226415094339)</f>
        <v>0.3962264151</v>
      </c>
    </row>
    <row r="8516">
      <c r="A8516" s="10" t="s">
        <v>9955</v>
      </c>
      <c r="B8516" s="7" t="str">
        <f>IFERROR(__xludf.DUMMYFUNCTION("SPLIT(A8516,"" "")"),"C=CCN(Cc1ccccn1)Cc1cccc(CN(Cc2cccc(-c3cccc(N=Cc4ccccn4)c3)n2)Cc2cccc(-c3ccc4c(c3)OCCOCCOCCOCCOCCO4)n2)n1")</f>
        <v>C=CCN(Cc1ccccn1)Cc1cccc(CN(Cc2cccc(-c3cccc(N=Cc4ccccn4)c3)n2)Cc2cccc(-c3ccc4c(c3)OCCOCCOCCOCCOCCO4)n2)n1</v>
      </c>
      <c r="C8516" s="7">
        <f>IFERROR(__xludf.DUMMYFUNCTION("""COMPUTED_VALUE"""),7.773445)</f>
        <v>7.773445</v>
      </c>
      <c r="D8516" s="7">
        <f>IFERROR(__xludf.DUMMYFUNCTION("""COMPUTED_VALUE"""),0.402597402597402)</f>
        <v>0.4025974026</v>
      </c>
    </row>
    <row r="8517">
      <c r="A8517" s="10" t="s">
        <v>9956</v>
      </c>
      <c r="B8517" s="7" t="str">
        <f>IFERROR(__xludf.DUMMYFUNCTION("SPLIT(A8517,"" "")"),"CC1C(N)CC1C(C)(C)c1ccc(CN(Cc2ccccn2)C2CCCC(N(C)c3cccc4ncc(CN(C)C)cc34)C2)cn1")</f>
        <v>CC1C(N)CC1C(C)(C)c1ccc(CN(Cc2ccccn2)C2CCCC(N(C)c3cccc4ncc(CN(C)C)cc34)C2)cn1</v>
      </c>
      <c r="C8517" s="7">
        <f>IFERROR(__xludf.DUMMYFUNCTION("""COMPUTED_VALUE"""),7.7734346)</f>
        <v>7.7734346</v>
      </c>
      <c r="D8517" s="7">
        <f>IFERROR(__xludf.DUMMYFUNCTION("""COMPUTED_VALUE"""),0.291139240506329)</f>
        <v>0.2911392405</v>
      </c>
    </row>
    <row r="8518">
      <c r="A8518" s="10" t="s">
        <v>9957</v>
      </c>
      <c r="B8518" s="7" t="str">
        <f>IFERROR(__xludf.DUMMYFUNCTION("SPLIT(A8518,"" "")"),"Cc1cc(C)c(C)c(CN(Cc2nc(C)cc(C)c2C)C2CCCCC2N(Cc2ccccn2)c2ccccc2F)n1")</f>
        <v>Cc1cc(C)c(C)c(CN(Cc2nc(C)cc(C)c2C)C2CCCCC2N(Cc2ccccn2)c2ccccc2F)n1</v>
      </c>
      <c r="C8518" s="7">
        <f>IFERROR(__xludf.DUMMYFUNCTION("""COMPUTED_VALUE"""),7.773429)</f>
        <v>7.773429</v>
      </c>
      <c r="D8518" s="7">
        <f>IFERROR(__xludf.DUMMYFUNCTION("""COMPUTED_VALUE"""),0.423728813559322)</f>
        <v>0.4237288136</v>
      </c>
    </row>
    <row r="8519">
      <c r="A8519" s="10" t="s">
        <v>9958</v>
      </c>
      <c r="B8519" s="7" t="str">
        <f>IFERROR(__xludf.DUMMYFUNCTION("SPLIT(A8519,"" "")"),"COC(=O)c1ccc(CN2CCN(C)CCN(Cc3cc(C(C)(c4ccccn4)c4ccccn4)ccn3)CC2)cn1")</f>
        <v>COC(=O)c1ccc(CN2CCN(C)CCN(Cc3cc(C(C)(c4ccccn4)c4ccccn4)ccn3)CC2)cn1</v>
      </c>
      <c r="C8519" s="7">
        <f>IFERROR(__xludf.DUMMYFUNCTION("""COMPUTED_VALUE"""),7.7734194)</f>
        <v>7.7734194</v>
      </c>
      <c r="D8519" s="7">
        <f>IFERROR(__xludf.DUMMYFUNCTION("""COMPUTED_VALUE"""),0.428571428571428)</f>
        <v>0.4285714286</v>
      </c>
    </row>
    <row r="8520">
      <c r="A8520" s="10" t="s">
        <v>9959</v>
      </c>
      <c r="B8520" s="7" t="str">
        <f>IFERROR(__xludf.DUMMYFUNCTION("SPLIT(A8520,"" "")"),"Cc1cc(C)c(CN(Cc2nc(C)c(C)cc2C)C2CCCC(NC3CCCC(N(Cc4nc(C)c(C)cc4C)Cc4nc(C)c(C)cc4C)C3N(Cc3nc(C)c(C)cc3C)Cc3nc(C)c(C)cc3C)C2)nc1C")</f>
        <v>Cc1cc(C)c(CN(Cc2nc(C)c(C)cc2C)C2CCCC(NC3CCCC(N(Cc4nc(C)c(C)cc4C)Cc4nc(C)c(C)cc4C)C3N(Cc3nc(C)c(C)cc3C)Cc3nc(C)c(C)cc3C)C2)nc1C</v>
      </c>
      <c r="C8520" s="7">
        <f>IFERROR(__xludf.DUMMYFUNCTION("""COMPUTED_VALUE"""),7.7734146)</f>
        <v>7.7734146</v>
      </c>
      <c r="D8520" s="7">
        <f>IFERROR(__xludf.DUMMYFUNCTION("""COMPUTED_VALUE"""),0.238095238095238)</f>
        <v>0.2380952381</v>
      </c>
    </row>
    <row r="8521">
      <c r="A8521" s="10" t="s">
        <v>9960</v>
      </c>
      <c r="B8521" s="7" t="str">
        <f>IFERROR(__xludf.DUMMYFUNCTION("SPLIT(A8521,"" "")"),"Cc1cnc(CN(C)C2CCC(N(Cc3ccccn3)Cc3ccc4ccccc4n3)CC2)c(C)c1")</f>
        <v>Cc1cnc(CN(C)C2CCC(N(Cc3ccccn3)Cc3ccc4ccccc4n3)CC2)c(C)c1</v>
      </c>
      <c r="C8521" s="7">
        <f>IFERROR(__xludf.DUMMYFUNCTION("""COMPUTED_VALUE"""),7.7734036)</f>
        <v>7.7734036</v>
      </c>
      <c r="D8521" s="7">
        <f>IFERROR(__xludf.DUMMYFUNCTION("""COMPUTED_VALUE"""),0.473684210526315)</f>
        <v>0.4736842105</v>
      </c>
    </row>
    <row r="8522">
      <c r="A8522" s="10" t="s">
        <v>9961</v>
      </c>
      <c r="B8522" s="7" t="str">
        <f>IFERROR(__xludf.DUMMYFUNCTION("SPLIT(A8522,"" "")"),"CN(CC1=CC(N(C)Cc2cccc(-c3ccc4c(c3)OCCOCCOCCOCCOCCO4)n2)C=CN1)c1ccc2ncccc2c1")</f>
        <v>CN(CC1=CC(N(C)Cc2cccc(-c3ccc4c(c3)OCCOCCOCCOCCOCCO4)n2)C=CN1)c1ccc2ncccc2c1</v>
      </c>
      <c r="C8522" s="7">
        <f>IFERROR(__xludf.DUMMYFUNCTION("""COMPUTED_VALUE"""),7.7733984)</f>
        <v>7.7733984</v>
      </c>
      <c r="D8522" s="7">
        <f>IFERROR(__xludf.DUMMYFUNCTION("""COMPUTED_VALUE"""),0.284090909090909)</f>
        <v>0.2840909091</v>
      </c>
    </row>
    <row r="8523">
      <c r="A8523" s="10" t="s">
        <v>9962</v>
      </c>
      <c r="B8523" s="7" t="str">
        <f>IFERROR(__xludf.DUMMYFUNCTION("SPLIT(A8523,"" "")"),"Cc1cc(C)c(CN(C)C2CCCCC2N(Cc2ccc3ncccc3c2)Cc2cccnn2)cn1")</f>
        <v>Cc1cc(C)c(CN(C)C2CCCCC2N(Cc2ccc3ncccc3c2)Cc2cccnn2)cn1</v>
      </c>
      <c r="C8523" s="7">
        <f>IFERROR(__xludf.DUMMYFUNCTION("""COMPUTED_VALUE"""),7.7733974)</f>
        <v>7.7733974</v>
      </c>
      <c r="D8523" s="7">
        <f>IFERROR(__xludf.DUMMYFUNCTION("""COMPUTED_VALUE"""),0.378787878787878)</f>
        <v>0.3787878788</v>
      </c>
    </row>
    <row r="8524">
      <c r="A8524" s="10" t="s">
        <v>9963</v>
      </c>
      <c r="B8524" s="7" t="str">
        <f>IFERROR(__xludf.DUMMYFUNCTION("SPLIT(A8524,"" "")"),"CCNCc1ncccc1CN(C)C1CCCC(N(C)c2cccc3nc(CF)ccc23)C1")</f>
        <v>CCNCc1ncccc1CN(C)C1CCCC(N(C)c2cccc3nc(CF)ccc23)C1</v>
      </c>
      <c r="C8524" s="7">
        <f>IFERROR(__xludf.DUMMYFUNCTION("""COMPUTED_VALUE"""),7.773393)</f>
        <v>7.773393</v>
      </c>
      <c r="D8524" s="7">
        <f>IFERROR(__xludf.DUMMYFUNCTION("""COMPUTED_VALUE"""),0.337837837837837)</f>
        <v>0.3378378378</v>
      </c>
    </row>
    <row r="8525">
      <c r="A8525" s="10" t="s">
        <v>9964</v>
      </c>
      <c r="B8525" s="7" t="str">
        <f>IFERROR(__xludf.DUMMYFUNCTION("SPLIT(A8525,"" "")"),"CC1=C(C)C(C)C2(C=CCC(c3cccc(CN(Cc4cccc(-c5ccc(N(C)C)cc5)n4)Cc4cccc(-c5ccc6c(c5)OCCOCCOCCOCCOCCO6)n4)n3)C2c2ccccn2)CC1")</f>
        <v>CC1=C(C)C(C)C2(C=CCC(c3cccc(CN(Cc4cccc(-c5ccc(N(C)C)cc5)n4)Cc4cccc(-c5ccc6c(c5)OCCOCCOCCOCCOCCO6)n4)n3)C2c2ccccn2)CC1</v>
      </c>
      <c r="C8525" s="7">
        <f>IFERROR(__xludf.DUMMYFUNCTION("""COMPUTED_VALUE"""),7.773393)</f>
        <v>7.773393</v>
      </c>
      <c r="D8525" s="7">
        <f>IFERROR(__xludf.DUMMYFUNCTION("""COMPUTED_VALUE"""),0.311827956989247)</f>
        <v>0.311827957</v>
      </c>
    </row>
    <row r="8526">
      <c r="A8526" s="10" t="s">
        <v>9965</v>
      </c>
      <c r="B8526" s="7" t="str">
        <f>IFERROR(__xludf.DUMMYFUNCTION("SPLIT(A8526,"" "")"),"Cc1ccc(CN(C)CC2=CC(N(C)Cc3ccccn3)C=CN2)cc1C")</f>
        <v>Cc1ccc(CN(C)CC2=CC(N(C)Cc3ccccn3)C=CN2)cc1C</v>
      </c>
      <c r="C8526" s="7">
        <f>IFERROR(__xludf.DUMMYFUNCTION("""COMPUTED_VALUE"""),7.7733917)</f>
        <v>7.7733917</v>
      </c>
      <c r="D8526" s="7">
        <f>IFERROR(__xludf.DUMMYFUNCTION("""COMPUTED_VALUE"""),0.379310344827586)</f>
        <v>0.3793103448</v>
      </c>
    </row>
    <row r="8527">
      <c r="A8527" s="10" t="s">
        <v>9966</v>
      </c>
      <c r="B8527" s="7" t="str">
        <f>IFERROR(__xludf.DUMMYFUNCTION("SPLIT(A8527,"" "")"),"CC1CC(c2cccc(CN(C)Cc3cc(N)ccn3)n2)C1")</f>
        <v>CC1CC(c2cccc(CN(C)Cc3cc(N)ccn3)n2)C1</v>
      </c>
      <c r="C8527" s="7">
        <f>IFERROR(__xludf.DUMMYFUNCTION("""COMPUTED_VALUE"""),7.7733912)</f>
        <v>7.7733912</v>
      </c>
      <c r="D8527" s="7">
        <f>IFERROR(__xludf.DUMMYFUNCTION("""COMPUTED_VALUE"""),0.423076923076923)</f>
        <v>0.4230769231</v>
      </c>
    </row>
    <row r="8528">
      <c r="A8528" s="10" t="s">
        <v>9967</v>
      </c>
      <c r="B8528" s="7" t="str">
        <f>IFERROR(__xludf.DUMMYFUNCTION("SPLIT(A8528,"" "")"),"CNCc1cccc(CNCc2ncccc2N)n1")</f>
        <v>CNCc1cccc(CNCc2ncccc2N)n1</v>
      </c>
      <c r="C8528" s="7">
        <f>IFERROR(__xludf.DUMMYFUNCTION("""COMPUTED_VALUE"""),7.7733836)</f>
        <v>7.7733836</v>
      </c>
      <c r="D8528" s="7">
        <f>IFERROR(__xludf.DUMMYFUNCTION("""COMPUTED_VALUE"""),0.357142857142857)</f>
        <v>0.3571428571</v>
      </c>
    </row>
    <row r="8529">
      <c r="A8529" s="10" t="s">
        <v>9968</v>
      </c>
      <c r="B8529" s="7" t="str">
        <f>IFERROR(__xludf.DUMMYFUNCTION("SPLIT(A8529,"" "")"),"CNCc1cc(CN(Cc2ccccn2)Cc2cc(C)ccn2)ccn1")</f>
        <v>CNCc1cc(CN(Cc2ccccn2)Cc2cc(C)ccn2)ccn1</v>
      </c>
      <c r="C8529" s="7">
        <f>IFERROR(__xludf.DUMMYFUNCTION("""COMPUTED_VALUE"""),7.7733827)</f>
        <v>7.7733827</v>
      </c>
      <c r="D8529" s="7">
        <f>IFERROR(__xludf.DUMMYFUNCTION("""COMPUTED_VALUE"""),0.5)</f>
        <v>0.5</v>
      </c>
    </row>
    <row r="8530">
      <c r="A8530" s="10" t="s">
        <v>9969</v>
      </c>
      <c r="B8530" s="7" t="str">
        <f>IFERROR(__xludf.DUMMYFUNCTION("SPLIT(A8530,"" "")"),"CC1=C(C)C(C)C(C)(c2ncccc2CN(Cc2ccccn2)Cc2ncccc2C(C)(C)C)CC1")</f>
        <v>CC1=C(C)C(C)C(C)(c2ncccc2CN(Cc2ccccn2)Cc2ncccc2C(C)(C)C)CC1</v>
      </c>
      <c r="C8530" s="7">
        <f>IFERROR(__xludf.DUMMYFUNCTION("""COMPUTED_VALUE"""),7.77338)</f>
        <v>7.77338</v>
      </c>
      <c r="D8530" s="7">
        <f>IFERROR(__xludf.DUMMYFUNCTION("""COMPUTED_VALUE"""),0.350877192982456)</f>
        <v>0.350877193</v>
      </c>
    </row>
    <row r="8531">
      <c r="A8531" s="10" t="s">
        <v>9970</v>
      </c>
      <c r="B8531" s="7" t="str">
        <f>IFERROR(__xludf.DUMMYFUNCTION("SPLIT(A8531,"" "")"),"Cc1cnc(C)c(-c2cc(CN(C)Cc3cc(-c4ccc5c(c4)OCCOCCOCCOCCOCCO5)ccn3)ccn2)c1")</f>
        <v>Cc1cnc(C)c(-c2cc(CN(C)Cc3cc(-c4ccc5c(c4)OCCOCCOCCOCCOCCO5)ccn3)ccn2)c1</v>
      </c>
      <c r="C8531" s="7">
        <f>IFERROR(__xludf.DUMMYFUNCTION("""COMPUTED_VALUE"""),7.773376)</f>
        <v>7.773376</v>
      </c>
      <c r="D8531" s="7">
        <f>IFERROR(__xludf.DUMMYFUNCTION("""COMPUTED_VALUE"""),0.346666666666666)</f>
        <v>0.3466666667</v>
      </c>
    </row>
    <row r="8532">
      <c r="A8532" s="10" t="s">
        <v>9971</v>
      </c>
      <c r="B8532" s="7" t="str">
        <f>IFERROR(__xludf.DUMMYFUNCTION("SPLIT(A8532,"" "")"),"FCNCc1ncccc1C(NCc1ccccn1)c1ccccn1")</f>
        <v>FCNCc1ncccc1C(NCc1ccccn1)c1ccccn1</v>
      </c>
      <c r="C8532" s="7">
        <f>IFERROR(__xludf.DUMMYFUNCTION("""COMPUTED_VALUE"""),7.7733727)</f>
        <v>7.7733727</v>
      </c>
      <c r="D8532" s="7">
        <f>IFERROR(__xludf.DUMMYFUNCTION("""COMPUTED_VALUE"""),0.4)</f>
        <v>0.4</v>
      </c>
    </row>
    <row r="8533">
      <c r="A8533" s="10" t="s">
        <v>9972</v>
      </c>
      <c r="B8533" s="7" t="str">
        <f>IFERROR(__xludf.DUMMYFUNCTION("SPLIT(A8533,"" "")"),"CCNCc1cccc(CN(Cc2cc(C)ccn2)Cc2ncccc2C)n1")</f>
        <v>CCNCc1cccc(CN(Cc2cc(C)ccn2)Cc2ncccc2C)n1</v>
      </c>
      <c r="C8533" s="7">
        <f>IFERROR(__xludf.DUMMYFUNCTION("""COMPUTED_VALUE"""),7.7733665)</f>
        <v>7.7733665</v>
      </c>
      <c r="D8533" s="7">
        <f>IFERROR(__xludf.DUMMYFUNCTION("""COMPUTED_VALUE"""),0.34)</f>
        <v>0.34</v>
      </c>
    </row>
    <row r="8534">
      <c r="A8534" s="10" t="s">
        <v>9973</v>
      </c>
      <c r="B8534" s="7" t="str">
        <f>IFERROR(__xludf.DUMMYFUNCTION("SPLIT(A8534,"" "")"),"CC(C)N(Cc1ccc(-c2ccc3c(c2)OCCOCCOCCOCCOCCO3)cn1)c1ccc2ncccc2c1")</f>
        <v>CC(C)N(Cc1ccc(-c2ccc3c(c2)OCCOCCOCCOCCOCCO3)cn1)c1ccc2ncccc2c1</v>
      </c>
      <c r="C8534" s="7">
        <f>IFERROR(__xludf.DUMMYFUNCTION("""COMPUTED_VALUE"""),7.773352)</f>
        <v>7.773352</v>
      </c>
      <c r="D8534" s="7">
        <f>IFERROR(__xludf.DUMMYFUNCTION("""COMPUTED_VALUE"""),0.434782608695652)</f>
        <v>0.4347826087</v>
      </c>
    </row>
    <row r="8535">
      <c r="A8535" s="10" t="s">
        <v>9974</v>
      </c>
      <c r="B8535" s="7" t="str">
        <f>IFERROR(__xludf.DUMMYFUNCTION("SPLIT(A8535,"" "")"),"COC(=O)c1cc(CN2CCN(C)CCN(Cc3cc(C(C)(c4ccccn4)c4ccccn4)ccn3)CC2)ccn1")</f>
        <v>COC(=O)c1cc(CN2CCN(C)CCN(Cc3cc(C(C)(c4ccccn4)c4ccccn4)ccn3)CC2)ccn1</v>
      </c>
      <c r="C8535" s="7">
        <f>IFERROR(__xludf.DUMMYFUNCTION("""COMPUTED_VALUE"""),7.7733355)</f>
        <v>7.7733355</v>
      </c>
      <c r="D8535" s="7">
        <f>IFERROR(__xludf.DUMMYFUNCTION("""COMPUTED_VALUE"""),0.44776119402985)</f>
        <v>0.447761194</v>
      </c>
    </row>
    <row r="8536">
      <c r="A8536" s="10" t="s">
        <v>9975</v>
      </c>
      <c r="B8536" s="7" t="str">
        <f>IFERROR(__xludf.DUMMYFUNCTION("SPLIT(A8536,"" "")"),"Cc1nc(CN(C)C2CCCCC2N(Cc2nc(C)c(C)c(C)c2C)Cc2nc(C)c(C)c(C)c2C)c(C)c(C)c1C")</f>
        <v>Cc1nc(CN(C)C2CCCCC2N(Cc2nc(C)c(C)c(C)c2C)Cc2nc(C)c(C)c(C)c2C)c(C)c(C)c1C</v>
      </c>
      <c r="C8536" s="7">
        <f>IFERROR(__xludf.DUMMYFUNCTION("""COMPUTED_VALUE"""),7.773329)</f>
        <v>7.773329</v>
      </c>
      <c r="D8536" s="7">
        <f>IFERROR(__xludf.DUMMYFUNCTION("""COMPUTED_VALUE"""),0.422222222222222)</f>
        <v>0.4222222222</v>
      </c>
    </row>
    <row r="8537">
      <c r="A8537" s="10" t="s">
        <v>9976</v>
      </c>
      <c r="B8537" s="7" t="str">
        <f>IFERROR(__xludf.DUMMYFUNCTION("SPLIT(A8537,"" "")"),"CC(C)(c1cccc(CN(Cc2ccccn2)Cc2ccc3ccccc3n2)n1)c1cccc(-c2ccc3c(c2)OCCOCCOCCOCCOCCO3)n1")</f>
        <v>CC(C)(c1cccc(CN(Cc2ccccn2)Cc2ccc3ccccc3n2)n1)c1cccc(-c2ccc3c(c2)OCCOCCOCCOCCOCCO3)n1</v>
      </c>
      <c r="C8537" s="7">
        <f>IFERROR(__xludf.DUMMYFUNCTION("""COMPUTED_VALUE"""),7.7733235)</f>
        <v>7.7733235</v>
      </c>
      <c r="D8537" s="7">
        <f>IFERROR(__xludf.DUMMYFUNCTION("""COMPUTED_VALUE"""),0.483870967741935)</f>
        <v>0.4838709677</v>
      </c>
    </row>
    <row r="8538">
      <c r="A8538" s="10" t="s">
        <v>9977</v>
      </c>
      <c r="B8538" s="7" t="str">
        <f>IFERROR(__xludf.DUMMYFUNCTION("SPLIT(A8538,"" "")"),"CC1=C(C)C(c2cc(CN(Cc3ccccn3)Cc3ccccn3)ccn2)C(C)CC1C")</f>
        <v>CC1=C(C)C(c2cc(CN(Cc3ccccn3)Cc3ccccn3)ccn2)C(C)CC1C</v>
      </c>
      <c r="C8538" s="7">
        <f>IFERROR(__xludf.DUMMYFUNCTION("""COMPUTED_VALUE"""),7.7733226)</f>
        <v>7.7733226</v>
      </c>
      <c r="D8538" s="7">
        <f>IFERROR(__xludf.DUMMYFUNCTION("""COMPUTED_VALUE"""),0.444444444444444)</f>
        <v>0.4444444444</v>
      </c>
    </row>
    <row r="8539">
      <c r="A8539" s="10" t="s">
        <v>9978</v>
      </c>
      <c r="B8539" s="7" t="str">
        <f>IFERROR(__xludf.DUMMYFUNCTION("SPLIT(A8539,"" "")"),"Cc1cccnc1CN(C)C1C=CNC(CN(Cc2ncccc2C)C(C)C)=C1")</f>
        <v>Cc1cccnc1CN(C)C1C=CNC(CN(Cc2ncccc2C)C(C)C)=C1</v>
      </c>
      <c r="C8539" s="7">
        <f>IFERROR(__xludf.DUMMYFUNCTION("""COMPUTED_VALUE"""),7.7733183)</f>
        <v>7.7733183</v>
      </c>
      <c r="D8539" s="7">
        <f>IFERROR(__xludf.DUMMYFUNCTION("""COMPUTED_VALUE"""),0.327272727272727)</f>
        <v>0.3272727273</v>
      </c>
    </row>
    <row r="8540">
      <c r="A8540" s="10" t="s">
        <v>9979</v>
      </c>
      <c r="B8540" s="7" t="str">
        <f>IFERROR(__xludf.DUMMYFUNCTION("SPLIT(A8540,"" "")"),"CN(Cc1cc(-c2ccc3c(c2)OCCOCCOCCOCCOCCO3)ccn1)Cc1cccc(-c2ccc(N(C)C)cc2)n1")</f>
        <v>CN(Cc1cc(-c2ccc3c(c2)OCCOCCOCCOCCOCCO3)ccn1)Cc1cccc(-c2ccc(N(C)C)cc2)n1</v>
      </c>
      <c r="C8540" s="7">
        <f>IFERROR(__xludf.DUMMYFUNCTION("""COMPUTED_VALUE"""),7.7733)</f>
        <v>7.7733</v>
      </c>
      <c r="D8540" s="7">
        <f>IFERROR(__xludf.DUMMYFUNCTION("""COMPUTED_VALUE"""),0.4)</f>
        <v>0.4</v>
      </c>
    </row>
    <row r="8541">
      <c r="A8541" s="10" t="s">
        <v>9980</v>
      </c>
      <c r="B8541" s="7" t="str">
        <f>IFERROR(__xludf.DUMMYFUNCTION("SPLIT(A8541,"" "")"),"Cc1cc(C)nc(CN(Cc2ccccn2)CC2C=CNC=C2)c1")</f>
        <v>Cc1cc(C)nc(CN(Cc2ccccn2)CC2C=CNC=C2)c1</v>
      </c>
      <c r="C8541" s="7">
        <f>IFERROR(__xludf.DUMMYFUNCTION("""COMPUTED_VALUE"""),7.773297)</f>
        <v>7.773297</v>
      </c>
      <c r="D8541" s="7">
        <f>IFERROR(__xludf.DUMMYFUNCTION("""COMPUTED_VALUE"""),0.436363636363636)</f>
        <v>0.4363636364</v>
      </c>
    </row>
    <row r="8542">
      <c r="A8542" s="10" t="s">
        <v>9981</v>
      </c>
      <c r="B8542" s="7" t="str">
        <f>IFERROR(__xludf.DUMMYFUNCTION("SPLIT(A8542,"" "")"),"CNCc1cccc(CN(Cc2ccccn2)Cc2ncccc2F)n1")</f>
        <v>CNCc1cccc(CN(Cc2ccccn2)Cc2ncccc2F)n1</v>
      </c>
      <c r="C8542" s="7">
        <f>IFERROR(__xludf.DUMMYFUNCTION("""COMPUTED_VALUE"""),7.7732954)</f>
        <v>7.7732954</v>
      </c>
      <c r="D8542" s="7">
        <f>IFERROR(__xludf.DUMMYFUNCTION("""COMPUTED_VALUE"""),0.476190476190476)</f>
        <v>0.4761904762</v>
      </c>
    </row>
    <row r="8543">
      <c r="A8543" s="10" t="s">
        <v>9982</v>
      </c>
      <c r="B8543" s="7" t="str">
        <f>IFERROR(__xludf.DUMMYFUNCTION("SPLIT(A8543,"" "")"),"CCC1=NCC(c2ccccc2CN(C)Cc2ccccn2)O1")</f>
        <v>CCC1=NCC(c2ccccc2CN(C)Cc2ccccn2)O1</v>
      </c>
      <c r="C8543" s="7">
        <f>IFERROR(__xludf.DUMMYFUNCTION("""COMPUTED_VALUE"""),7.7732882)</f>
        <v>7.7732882</v>
      </c>
      <c r="D8543" s="7">
        <f>IFERROR(__xludf.DUMMYFUNCTION("""COMPUTED_VALUE"""),0.423076923076923)</f>
        <v>0.4230769231</v>
      </c>
    </row>
    <row r="8544">
      <c r="A8544" s="10" t="s">
        <v>9983</v>
      </c>
      <c r="B8544" s="7" t="str">
        <f>IFERROR(__xludf.DUMMYFUNCTION("SPLIT(A8544,"" "")"),"CCNCc1cccc(CN(Cc2ccccn2)C2CCC(N(C)c3cccc4cccnc34)CC2)n1")</f>
        <v>CCNCc1cccc(CN(Cc2ccccn2)C2CCC(N(C)c3cccc4cccnc34)CC2)n1</v>
      </c>
      <c r="C8544" s="7">
        <f>IFERROR(__xludf.DUMMYFUNCTION("""COMPUTED_VALUE"""),7.7732716)</f>
        <v>7.7732716</v>
      </c>
      <c r="D8544" s="7">
        <f>IFERROR(__xludf.DUMMYFUNCTION("""COMPUTED_VALUE"""),0.440677966101694)</f>
        <v>0.4406779661</v>
      </c>
    </row>
    <row r="8545">
      <c r="A8545" s="10" t="s">
        <v>9984</v>
      </c>
      <c r="B8545" s="7" t="str">
        <f>IFERROR(__xludf.DUMMYFUNCTION("SPLIT(A8545,"" "")"),"CCCN(C)Cc1cc(C)c(C)c(C)n1")</f>
        <v>CCCN(C)Cc1cc(C)c(C)c(C)n1</v>
      </c>
      <c r="C8545" s="7">
        <f>IFERROR(__xludf.DUMMYFUNCTION("""COMPUTED_VALUE"""),7.773267)</f>
        <v>7.773267</v>
      </c>
      <c r="D8545" s="7">
        <f>IFERROR(__xludf.DUMMYFUNCTION("""COMPUTED_VALUE"""),0.384615384615384)</f>
        <v>0.3846153846</v>
      </c>
    </row>
    <row r="8546">
      <c r="A8546" s="10" t="s">
        <v>9985</v>
      </c>
      <c r="B8546" s="7" t="str">
        <f>IFERROR(__xludf.DUMMYFUNCTION("SPLIT(A8546,"" "")"),"CCCCN(CC1=C(N(C)Cc2cc(C)c(C)c(C)n2)CC=CN1)Cc1ccccn1")</f>
        <v>CCCCN(CC1=C(N(C)Cc2cc(C)c(C)c(C)n2)CC=CN1)Cc1ccccn1</v>
      </c>
      <c r="C8546" s="7">
        <f>IFERROR(__xludf.DUMMYFUNCTION("""COMPUTED_VALUE"""),7.7732663)</f>
        <v>7.7732663</v>
      </c>
      <c r="D8546" s="7">
        <f>IFERROR(__xludf.DUMMYFUNCTION("""COMPUTED_VALUE"""),0.365079365079365)</f>
        <v>0.3650793651</v>
      </c>
    </row>
    <row r="8547">
      <c r="A8547" s="10" t="s">
        <v>9986</v>
      </c>
      <c r="B8547" s="7" t="str">
        <f>IFERROR(__xludf.DUMMYFUNCTION("SPLIT(A8547,"" "")"),"CCN(Cc1cc(CN(Cc2ccccn2)Cc2ncccc2C)ccn1)C(C)C")</f>
        <v>CCN(Cc1cc(CN(Cc2ccccn2)Cc2ncccc2C)ccn1)C(C)C</v>
      </c>
      <c r="C8547" s="7">
        <f>IFERROR(__xludf.DUMMYFUNCTION("""COMPUTED_VALUE"""),7.7732663)</f>
        <v>7.7732663</v>
      </c>
      <c r="D8547" s="7">
        <f>IFERROR(__xludf.DUMMYFUNCTION("""COMPUTED_VALUE"""),0.48)</f>
        <v>0.48</v>
      </c>
    </row>
    <row r="8548">
      <c r="A8548" s="10" t="s">
        <v>9987</v>
      </c>
      <c r="B8548" s="7" t="str">
        <f>IFERROR(__xludf.DUMMYFUNCTION("SPLIT(A8548,"" "")"),"Cc1cc(C)c(CN(C)C2CC(N(C)Cc3ccccn3)CC(N(Cc3nc(C)c(C)c(C)c3C)Cc3nc(C)c(C)c(C)c3C)C2)cn1")</f>
        <v>Cc1cc(C)c(CN(C)C2CC(N(C)Cc3ccccn3)CC(N(Cc3nc(C)c(C)c(C)c3C)Cc3nc(C)c(C)c(C)c3C)C2)cn1</v>
      </c>
      <c r="C8548" s="7">
        <f>IFERROR(__xludf.DUMMYFUNCTION("""COMPUTED_VALUE"""),7.773263)</f>
        <v>7.773263</v>
      </c>
      <c r="D8548" s="7">
        <f>IFERROR(__xludf.DUMMYFUNCTION("""COMPUTED_VALUE"""),0.370967741935483)</f>
        <v>0.3709677419</v>
      </c>
    </row>
    <row r="8549">
      <c r="A8549" s="10" t="s">
        <v>9988</v>
      </c>
      <c r="B8549" s="7" t="str">
        <f>IFERROR(__xludf.DUMMYFUNCTION("SPLIT(A8549,"" "")"),"CN(Cc1cc(CF)ccn1)C1CCCCC1N(C)c1ccc2ccc(CF)nc2c1")</f>
        <v>CN(Cc1cc(CF)ccn1)C1CCCCC1N(C)c1ccc2ccc(CF)nc2c1</v>
      </c>
      <c r="C8549" s="7">
        <f>IFERROR(__xludf.DUMMYFUNCTION("""COMPUTED_VALUE"""),7.7732596)</f>
        <v>7.7732596</v>
      </c>
      <c r="D8549" s="7">
        <f>IFERROR(__xludf.DUMMYFUNCTION("""COMPUTED_VALUE"""),0.457627118644067)</f>
        <v>0.4576271186</v>
      </c>
    </row>
    <row r="8550">
      <c r="A8550" s="10" t="s">
        <v>9989</v>
      </c>
      <c r="B8550" s="7" t="str">
        <f>IFERROR(__xludf.DUMMYFUNCTION("SPLIT(A8550,"" "")"),"Cc1cc(C)c(C)c(CN(C)C2C=CNC(CN(C)CC(C)C)=C2)n1")</f>
        <v>Cc1cc(C)c(C)c(CN(C)C2C=CNC(CN(C)CC(C)C)=C2)n1</v>
      </c>
      <c r="C8550" s="7">
        <f>IFERROR(__xludf.DUMMYFUNCTION("""COMPUTED_VALUE"""),7.7732544)</f>
        <v>7.7732544</v>
      </c>
      <c r="D8550" s="7">
        <f>IFERROR(__xludf.DUMMYFUNCTION("""COMPUTED_VALUE"""),0.306451612903225)</f>
        <v>0.3064516129</v>
      </c>
    </row>
    <row r="8551">
      <c r="A8551" s="10" t="s">
        <v>9990</v>
      </c>
      <c r="B8551" s="7" t="str">
        <f>IFERROR(__xludf.DUMMYFUNCTION("SPLIT(A8551,"" "")"),"Cc1cncc(CN(C)C2=CNC=C(CN(C)C(C)(C)C)C2)c1C")</f>
        <v>Cc1cncc(CN(C)C2=CNC=C(CN(C)C(C)(C)C)C2)c1C</v>
      </c>
      <c r="C8551" s="7">
        <f>IFERROR(__xludf.DUMMYFUNCTION("""COMPUTED_VALUE"""),7.773251)</f>
        <v>7.773251</v>
      </c>
      <c r="D8551" s="7">
        <f>IFERROR(__xludf.DUMMYFUNCTION("""COMPUTED_VALUE"""),0.174603174603174)</f>
        <v>0.1746031746</v>
      </c>
    </row>
    <row r="8552">
      <c r="A8552" s="10" t="s">
        <v>9991</v>
      </c>
      <c r="B8552" s="7" t="str">
        <f>IFERROR(__xludf.DUMMYFUNCTION("SPLIT(A8552,"" "")"),"CC1=CC2(C=CC(c3cccc(CN(Cc4ccccn4)Cc4ccccn4)n3)C(c3ccc(CN(Cc4ccccn4)Cc4ccccn4)cn3)C23CCC(C)=C(C)C3C)CCC1C")</f>
        <v>CC1=CC2(C=CC(c3cccc(CN(Cc4ccccn4)Cc4ccccn4)n3)C(c3ccc(CN(Cc4ccccn4)Cc4ccccn4)cn3)C23CCC(C)=C(C)C3C)CCC1C</v>
      </c>
      <c r="C8552" s="7">
        <f>IFERROR(__xludf.DUMMYFUNCTION("""COMPUTED_VALUE"""),7.7732406)</f>
        <v>7.7732406</v>
      </c>
      <c r="D8552" s="7">
        <f>IFERROR(__xludf.DUMMYFUNCTION("""COMPUTED_VALUE"""),0.291139240506329)</f>
        <v>0.2911392405</v>
      </c>
    </row>
    <row r="8553">
      <c r="A8553" s="10" t="s">
        <v>9992</v>
      </c>
      <c r="B8553" s="7" t="str">
        <f>IFERROR(__xludf.DUMMYFUNCTION("SPLIT(A8553,"" "")"),"CC1=NC(c2ccccc2)C(CNCc2ccccn2)O1")</f>
        <v>CC1=NC(c2ccccc2)C(CNCc2ccccn2)O1</v>
      </c>
      <c r="C8553" s="7">
        <f>IFERROR(__xludf.DUMMYFUNCTION("""COMPUTED_VALUE"""),7.773235)</f>
        <v>7.773235</v>
      </c>
      <c r="D8553" s="7">
        <f>IFERROR(__xludf.DUMMYFUNCTION("""COMPUTED_VALUE"""),0.441860465116279)</f>
        <v>0.4418604651</v>
      </c>
    </row>
    <row r="8554">
      <c r="A8554" s="10" t="s">
        <v>9993</v>
      </c>
      <c r="B8554" s="7" t="str">
        <f>IFERROR(__xludf.DUMMYFUNCTION("SPLIT(A8554,"" "")"),"Cc1cncc(C)c1")</f>
        <v>Cc1cncc(C)c1</v>
      </c>
      <c r="C8554" s="7">
        <f>IFERROR(__xludf.DUMMYFUNCTION("""COMPUTED_VALUE"""),7.7732296)</f>
        <v>7.7732296</v>
      </c>
      <c r="D8554" s="7">
        <f>IFERROR(__xludf.DUMMYFUNCTION("""COMPUTED_VALUE"""),0.263157894736842)</f>
        <v>0.2631578947</v>
      </c>
    </row>
    <row r="8555">
      <c r="A8555" s="10" t="s">
        <v>9994</v>
      </c>
      <c r="B8555" s="7" t="str">
        <f>IFERROR(__xludf.DUMMYFUNCTION("SPLIT(A8555,"" "")"),"Cc1ccccc1CN(C)Cc1cc(C(C)(C)C)ccn1")</f>
        <v>Cc1ccccc1CN(C)Cc1cc(C(C)(C)C)ccn1</v>
      </c>
      <c r="C8555" s="7">
        <f>IFERROR(__xludf.DUMMYFUNCTION("""COMPUTED_VALUE"""),7.773229)</f>
        <v>7.773229</v>
      </c>
      <c r="D8555" s="7">
        <f>IFERROR(__xludf.DUMMYFUNCTION("""COMPUTED_VALUE"""),0.36)</f>
        <v>0.36</v>
      </c>
    </row>
    <row r="8556">
      <c r="A8556" s="10" t="s">
        <v>9995</v>
      </c>
      <c r="B8556" s="7" t="str">
        <f>IFERROR(__xludf.DUMMYFUNCTION("SPLIT(A8556,"" "")"),"CC1=CC(C)CCC1(C)c1cccc(CN(Cc2ccccn2)Cc2cccc(C(C)(C)C)n2)n1")</f>
        <v>CC1=CC(C)CCC1(C)c1cccc(CN(Cc2ccccn2)Cc2cccc(C(C)(C)C)n2)n1</v>
      </c>
      <c r="C8556" s="7">
        <f>IFERROR(__xludf.DUMMYFUNCTION("""COMPUTED_VALUE"""),7.773221)</f>
        <v>7.773221</v>
      </c>
      <c r="D8556" s="7">
        <f>IFERROR(__xludf.DUMMYFUNCTION("""COMPUTED_VALUE"""),0.37037037037037)</f>
        <v>0.3703703704</v>
      </c>
    </row>
    <row r="8557">
      <c r="A8557" s="10" t="s">
        <v>9996</v>
      </c>
      <c r="B8557" s="7" t="str">
        <f>IFERROR(__xludf.DUMMYFUNCTION("SPLIT(A8557,"" "")"),"CNC1C(N(Cc2cc(C)c(C)cn2)Cc2nc(C)c(C)c(C)c2C)CCCC1N(Cc1cc(C)c(C)cn1)Cc1nc(C)c(C)c(C)c1C")</f>
        <v>CNC1C(N(Cc2cc(C)c(C)cn2)Cc2nc(C)c(C)c(C)c2C)CCCC1N(Cc1cc(C)c(C)cn1)Cc1nc(C)c(C)c(C)c1C</v>
      </c>
      <c r="C8557" s="7">
        <f>IFERROR(__xludf.DUMMYFUNCTION("""COMPUTED_VALUE"""),7.7732143)</f>
        <v>7.7732143</v>
      </c>
      <c r="D8557" s="7">
        <f>IFERROR(__xludf.DUMMYFUNCTION("""COMPUTED_VALUE"""),0.327586206896551)</f>
        <v>0.3275862069</v>
      </c>
    </row>
    <row r="8558">
      <c r="A8558" s="10" t="s">
        <v>9997</v>
      </c>
      <c r="B8558" s="7" t="str">
        <f>IFERROR(__xludf.DUMMYFUNCTION("SPLIT(A8558,"" "")"),"CCN(C)CC1=CCC(N(C)Cc2cccc(C)n2)=CN1")</f>
        <v>CCN(C)CC1=CCC(N(C)Cc2cccc(C)n2)=CN1</v>
      </c>
      <c r="C8558" s="7">
        <f>IFERROR(__xludf.DUMMYFUNCTION("""COMPUTED_VALUE"""),7.773211)</f>
        <v>7.773211</v>
      </c>
      <c r="D8558" s="7">
        <f>IFERROR(__xludf.DUMMYFUNCTION("""COMPUTED_VALUE"""),0.456521739130434)</f>
        <v>0.4565217391</v>
      </c>
    </row>
    <row r="8559">
      <c r="A8559" s="10" t="s">
        <v>9998</v>
      </c>
      <c r="B8559" s="7" t="str">
        <f>IFERROR(__xludf.DUMMYFUNCTION("SPLIT(A8559,"" "")"),"CN(Cc1cc(-c2ccc3c(c2)OCCOCCOCCOCCOCCO3)ccn1)Cc1cccnc1-c1cccc(N(C)C)c1")</f>
        <v>CN(Cc1cc(-c2ccc3c(c2)OCCOCCOCCOCCOCCO3)ccn1)Cc1cccnc1-c1cccc(N(C)C)c1</v>
      </c>
      <c r="C8559" s="7">
        <f>IFERROR(__xludf.DUMMYFUNCTION("""COMPUTED_VALUE"""),7.773204)</f>
        <v>7.773204</v>
      </c>
      <c r="D8559" s="7">
        <f>IFERROR(__xludf.DUMMYFUNCTION("""COMPUTED_VALUE"""),0.328947368421052)</f>
        <v>0.3289473684</v>
      </c>
    </row>
    <row r="8560">
      <c r="A8560" s="10" t="s">
        <v>9999</v>
      </c>
      <c r="B8560" s="7" t="str">
        <f>IFERROR(__xludf.DUMMYFUNCTION("SPLIT(A8560,"" "")"),"CCN(Cc1cc(C(C)(C)C)ccn1)Cc1ncccc1C")</f>
        <v>CCN(Cc1cc(C(C)(C)C)ccn1)Cc1ncccc1C</v>
      </c>
      <c r="C8560" s="7">
        <f>IFERROR(__xludf.DUMMYFUNCTION("""COMPUTED_VALUE"""),7.7732)</f>
        <v>7.7732</v>
      </c>
      <c r="D8560" s="7">
        <f>IFERROR(__xludf.DUMMYFUNCTION("""COMPUTED_VALUE"""),0.352941176470588)</f>
        <v>0.3529411765</v>
      </c>
    </row>
    <row r="8561">
      <c r="A8561" s="10" t="s">
        <v>10000</v>
      </c>
      <c r="B8561" s="7" t="str">
        <f>IFERROR(__xludf.DUMMYFUNCTION("SPLIT(A8561,"" "")"),"CC(C)N(Cc1ccccn1)c1ccccc1-c1ccc(CN(Cc2ccccn2)Cc2ccc(-c3ccc4c(c3)OCCOCCOCCOCCOCCO4)cn2)cn1")</f>
        <v>CC(C)N(Cc1ccccn1)c1ccccc1-c1ccc(CN(Cc2ccccn2)Cc2ccc(-c3ccc4c(c3)OCCOCCOCCOCCOCCO4)cn2)cn1</v>
      </c>
      <c r="C8561" s="7">
        <f>IFERROR(__xludf.DUMMYFUNCTION("""COMPUTED_VALUE"""),7.7731943)</f>
        <v>7.7731943</v>
      </c>
      <c r="D8561" s="7">
        <f>IFERROR(__xludf.DUMMYFUNCTION("""COMPUTED_VALUE"""),0.375)</f>
        <v>0.375</v>
      </c>
    </row>
    <row r="8562">
      <c r="A8562" s="10" t="s">
        <v>10001</v>
      </c>
      <c r="B8562" s="7" t="str">
        <f>IFERROR(__xludf.DUMMYFUNCTION("SPLIT(A8562,"" "")"),"CN1CCN(Cc2cccc(F)n2)CCN(Cc2ncccc2-c2cccc(N=Cc3ccccn3)c2)CC1")</f>
        <v>CN1CCN(Cc2cccc(F)n2)CCN(Cc2ncccc2-c2cccc(N=Cc3ccccn3)c2)CC1</v>
      </c>
      <c r="C8562" s="7">
        <f>IFERROR(__xludf.DUMMYFUNCTION("""COMPUTED_VALUE"""),7.7731915)</f>
        <v>7.7731915</v>
      </c>
      <c r="D8562" s="7">
        <f>IFERROR(__xludf.DUMMYFUNCTION("""COMPUTED_VALUE"""),0.491803278688524)</f>
        <v>0.4918032787</v>
      </c>
    </row>
    <row r="8563">
      <c r="A8563" s="10" t="s">
        <v>10002</v>
      </c>
      <c r="B8563" s="7" t="str">
        <f>IFERROR(__xludf.DUMMYFUNCTION("SPLIT(A8563,"" "")"),"CC1=CC(C)CC(C)(c2ccc(CN(Cc3ccccn3)Cc3ccccn3)cn2)C1")</f>
        <v>CC1=CC(C)CC(C)(c2ccc(CN(Cc3ccccn3)Cc3ccccn3)cn2)C1</v>
      </c>
      <c r="C8563" s="7">
        <f>IFERROR(__xludf.DUMMYFUNCTION("""COMPUTED_VALUE"""),7.7731857)</f>
        <v>7.7731857</v>
      </c>
      <c r="D8563" s="7">
        <f>IFERROR(__xludf.DUMMYFUNCTION("""COMPUTED_VALUE"""),0.408163265306122)</f>
        <v>0.4081632653</v>
      </c>
    </row>
    <row r="8564">
      <c r="A8564" s="10" t="s">
        <v>10003</v>
      </c>
      <c r="B8564" s="7" t="str">
        <f>IFERROR(__xludf.DUMMYFUNCTION("SPLIT(A8564,"" "")"),"CC(C)N(Cc1ccccn1)c1cc(C(C)(C)C)ccc1-c1cnccc1CN1CCN(C)CCN(C)CC1")</f>
        <v>CC(C)N(Cc1ccccn1)c1cc(C(C)(C)C)ccc1-c1cnccc1CN1CCN(C)CCN(C)CC1</v>
      </c>
      <c r="C8564" s="7">
        <f>IFERROR(__xludf.DUMMYFUNCTION("""COMPUTED_VALUE"""),7.7731833)</f>
        <v>7.7731833</v>
      </c>
      <c r="D8564" s="7">
        <f>IFERROR(__xludf.DUMMYFUNCTION("""COMPUTED_VALUE"""),0.419354838709677)</f>
        <v>0.4193548387</v>
      </c>
    </row>
    <row r="8565">
      <c r="A8565" s="10" t="s">
        <v>10004</v>
      </c>
      <c r="B8565" s="7" t="str">
        <f>IFERROR(__xludf.DUMMYFUNCTION("SPLIT(A8565,"" "")"),"Cc1ccc(-c2cncc(CN(C)C3CCCCC3N(C)Cc3ccon3)c2)c(C)c1C")</f>
        <v>Cc1ccc(-c2cncc(CN(C)C3CCCCC3N(C)Cc3ccon3)c2)c(C)c1C</v>
      </c>
      <c r="C8565" s="7">
        <f>IFERROR(__xludf.DUMMYFUNCTION("""COMPUTED_VALUE"""),7.77318)</f>
        <v>7.77318</v>
      </c>
      <c r="D8565" s="7">
        <f>IFERROR(__xludf.DUMMYFUNCTION("""COMPUTED_VALUE"""),0.389830508474576)</f>
        <v>0.3898305085</v>
      </c>
    </row>
    <row r="8566">
      <c r="A8566" s="10" t="s">
        <v>10005</v>
      </c>
      <c r="B8566" s="7" t="str">
        <f>IFERROR(__xludf.DUMMYFUNCTION("SPLIT(A8566,"" "")"),"CN(Cc1ccc(-c2ccc3c(c2)OCCOCCOCCOCCOCCO3)cn1)Cc1ncccc1-c1cccc(N(C)C)c1")</f>
        <v>CN(Cc1ccc(-c2ccc3c(c2)OCCOCCOCCOCCOCCO3)cn1)Cc1ncccc1-c1cccc(N(C)C)c1</v>
      </c>
      <c r="C8566" s="7">
        <f>IFERROR(__xludf.DUMMYFUNCTION("""COMPUTED_VALUE"""),7.77318)</f>
        <v>7.77318</v>
      </c>
      <c r="D8566" s="7">
        <f>IFERROR(__xludf.DUMMYFUNCTION("""COMPUTED_VALUE"""),0.416666666666666)</f>
        <v>0.4166666667</v>
      </c>
    </row>
    <row r="8567">
      <c r="A8567" s="10" t="s">
        <v>10006</v>
      </c>
      <c r="B8567" s="7" t="str">
        <f>IFERROR(__xludf.DUMMYFUNCTION("SPLIT(A8567,"" "")"),"Cc1nc(CN(C)C2C=CNC(CN(C)C(C)C)=C2)c(C)c(C)c1C")</f>
        <v>Cc1nc(CN(C)C2C=CNC(CN(C)C(C)C)=C2)c(C)c(C)c1C</v>
      </c>
      <c r="C8567" s="7">
        <f>IFERROR(__xludf.DUMMYFUNCTION("""COMPUTED_VALUE"""),7.77317)</f>
        <v>7.77317</v>
      </c>
      <c r="D8567" s="7">
        <f>IFERROR(__xludf.DUMMYFUNCTION("""COMPUTED_VALUE"""),0.305084745762711)</f>
        <v>0.3050847458</v>
      </c>
    </row>
    <row r="8568">
      <c r="A8568" s="10" t="s">
        <v>10007</v>
      </c>
      <c r="B8568" s="7" t="str">
        <f>IFERROR(__xludf.DUMMYFUNCTION("SPLIT(A8568,"" "")"),"Cc1nc(CN(C)C2CCCCC2N(Cc2nc(C)c(C)c(C)c2C)c2ccccn2)c(C)c(C)c1C")</f>
        <v>Cc1nc(CN(C)C2CCCCC2N(Cc2nc(C)c(C)c(C)c2C)c2ccccn2)c(C)c(C)c1C</v>
      </c>
      <c r="C8568" s="7">
        <f>IFERROR(__xludf.DUMMYFUNCTION("""COMPUTED_VALUE"""),7.7731624)</f>
        <v>7.7731624</v>
      </c>
      <c r="D8568" s="7">
        <f>IFERROR(__xludf.DUMMYFUNCTION("""COMPUTED_VALUE"""),0.5)</f>
        <v>0.5</v>
      </c>
    </row>
    <row r="8569">
      <c r="A8569" s="10" t="s">
        <v>10008</v>
      </c>
      <c r="B8569" s="7" t="str">
        <f>IFERROR(__xludf.DUMMYFUNCTION("SPLIT(A8569,"" "")"),"Cc1ncccc1CN(C)CC1=CC(N(C)Cc2ccccn2)C=CN1")</f>
        <v>Cc1ncccc1CN(C)CC1=CC(N(C)Cc2ccccn2)C=CN1</v>
      </c>
      <c r="C8569" s="7">
        <f>IFERROR(__xludf.DUMMYFUNCTION("""COMPUTED_VALUE"""),7.7731576)</f>
        <v>7.7731576</v>
      </c>
      <c r="D8569" s="7">
        <f>IFERROR(__xludf.DUMMYFUNCTION("""COMPUTED_VALUE"""),0.392857142857142)</f>
        <v>0.3928571429</v>
      </c>
    </row>
    <row r="8570">
      <c r="A8570" s="10" t="s">
        <v>10009</v>
      </c>
      <c r="B8570" s="7" t="str">
        <f>IFERROR(__xludf.DUMMYFUNCTION("SPLIT(A8570,"" "")"),"Cc1ccc(CN(Cc2ccccn2)C2CCC(N(C)Cc3cccc(-c4ccccn4)n3)CC2N(C)Cc2cccc(C3CC(C)C3)n2)nc1C")</f>
        <v>Cc1ccc(CN(Cc2ccccn2)C2CCC(N(C)Cc3cccc(-c4ccccn4)n3)CC2N(C)Cc2cccc(C3CC(C)C3)n2)nc1C</v>
      </c>
      <c r="C8570" s="7">
        <f>IFERROR(__xludf.DUMMYFUNCTION("""COMPUTED_VALUE"""),7.773156)</f>
        <v>7.773156</v>
      </c>
      <c r="D8570" s="7">
        <f>IFERROR(__xludf.DUMMYFUNCTION("""COMPUTED_VALUE"""),0.417910447761194)</f>
        <v>0.4179104478</v>
      </c>
    </row>
    <row r="8571">
      <c r="A8571" s="10" t="s">
        <v>10010</v>
      </c>
      <c r="B8571" s="7" t="str">
        <f>IFERROR(__xludf.DUMMYFUNCTION("SPLIT(A8571,"" "")"),"COC(=O)C(=O)C(C)C(C)N=Cc1ccccn1")</f>
        <v>COC(=O)C(=O)C(C)C(C)N=Cc1ccccn1</v>
      </c>
      <c r="C8571" s="7">
        <f>IFERROR(__xludf.DUMMYFUNCTION("""COMPUTED_VALUE"""),7.773149)</f>
        <v>7.773149</v>
      </c>
      <c r="D8571" s="7">
        <f>IFERROR(__xludf.DUMMYFUNCTION("""COMPUTED_VALUE"""),0.352941176470588)</f>
        <v>0.3529411765</v>
      </c>
    </row>
    <row r="8572">
      <c r="A8572" s="10" t="s">
        <v>10011</v>
      </c>
      <c r="B8572" s="7" t="str">
        <f>IFERROR(__xludf.DUMMYFUNCTION("SPLIT(A8572,"" "")"),"C#CCN(C)CC1=CCC=C(N(C)Cc2nc(C)c(C)c(C)c2C)N1")</f>
        <v>C#CCN(C)CC1=CCC=C(N(C)Cc2nc(C)c(C)c(C)c2C)N1</v>
      </c>
      <c r="C8572" s="7">
        <f>IFERROR(__xludf.DUMMYFUNCTION("""COMPUTED_VALUE"""),7.7731457)</f>
        <v>7.7731457</v>
      </c>
      <c r="D8572" s="7">
        <f>IFERROR(__xludf.DUMMYFUNCTION("""COMPUTED_VALUE"""),0.186440677966101)</f>
        <v>0.186440678</v>
      </c>
    </row>
    <row r="8573">
      <c r="A8573" s="10" t="s">
        <v>10012</v>
      </c>
      <c r="B8573" s="7" t="str">
        <f>IFERROR(__xludf.DUMMYFUNCTION("SPLIT(A8573,"" "")"),"CNCc1ccc(CN(Cc2ccccn2)Cc2cccc(F)n2)cn1")</f>
        <v>CNCc1ccc(CN(Cc2ccccn2)Cc2cccc(F)n2)cn1</v>
      </c>
      <c r="C8573" s="7">
        <f>IFERROR(__xludf.DUMMYFUNCTION("""COMPUTED_VALUE"""),7.773143)</f>
        <v>7.773143</v>
      </c>
      <c r="D8573" s="7">
        <f>IFERROR(__xludf.DUMMYFUNCTION("""COMPUTED_VALUE"""),0.451612903225806)</f>
        <v>0.4516129032</v>
      </c>
    </row>
    <row r="8574">
      <c r="A8574" s="10" t="s">
        <v>10013</v>
      </c>
      <c r="B8574" s="7" t="str">
        <f>IFERROR(__xludf.DUMMYFUNCTION("SPLIT(A8574,"" "")"),"CC1=CC(C)C(C)C2(C=CC3(CC(C)=C(C)C4(CCC(C)=C(C)C4)C3)C(c3ncccc3CN(Cc3ccccn3)Cc3ccccn3)C2c2cccc(CN(Cc3ccccn3)Cc3ccccn3)n2)C1")</f>
        <v>CC1=CC(C)C(C)C2(C=CC3(CC(C)=C(C)C4(CCC(C)=C(C)C4)C3)C(c3ncccc3CN(Cc3ccccn3)Cc3ccccn3)C2c2cccc(CN(Cc3ccccn3)Cc3ccccn3)n2)C1</v>
      </c>
      <c r="C8574" s="7">
        <f>IFERROR(__xludf.DUMMYFUNCTION("""COMPUTED_VALUE"""),7.7731414)</f>
        <v>7.7731414</v>
      </c>
      <c r="D8574" s="7">
        <f>IFERROR(__xludf.DUMMYFUNCTION("""COMPUTED_VALUE"""),0.284090909090909)</f>
        <v>0.2840909091</v>
      </c>
    </row>
    <row r="8575">
      <c r="A8575" s="10" t="s">
        <v>10014</v>
      </c>
      <c r="B8575" s="7" t="str">
        <f>IFERROR(__xludf.DUMMYFUNCTION("SPLIT(A8575,"" "")"),"Cc1cc(C)c(CN(C)C2CCC(N(C)Cc3ncccc3-c3ccccn3)CC2)nc1C")</f>
        <v>Cc1cc(C)c(CN(C)C2CCC(N(C)Cc3ncccc3-c3ccccn3)CC2)nc1C</v>
      </c>
      <c r="C8575" s="7">
        <f>IFERROR(__xludf.DUMMYFUNCTION("""COMPUTED_VALUE"""),7.773136)</f>
        <v>7.773136</v>
      </c>
      <c r="D8575" s="7">
        <f>IFERROR(__xludf.DUMMYFUNCTION("""COMPUTED_VALUE"""),0.333333333333333)</f>
        <v>0.3333333333</v>
      </c>
    </row>
    <row r="8576">
      <c r="A8576" s="10" t="s">
        <v>10015</v>
      </c>
      <c r="B8576" s="7" t="str">
        <f>IFERROR(__xludf.DUMMYFUNCTION("SPLIT(A8576,"" "")"),"Cc1cccc(CN(Cc2nc(C)c(C)c(C)c2C)C2CCCCC2N(C)c2cccc(CN(C)Cc3ncccc3C)n2)n1")</f>
        <v>Cc1cccc(CN(Cc2nc(C)c(C)c(C)c2C)C2CCCCC2N(C)c2cccc(CN(C)Cc3ncccc3C)n2)n1</v>
      </c>
      <c r="C8576" s="7">
        <f>IFERROR(__xludf.DUMMYFUNCTION("""COMPUTED_VALUE"""),7.77312)</f>
        <v>7.77312</v>
      </c>
      <c r="D8576" s="7">
        <f>IFERROR(__xludf.DUMMYFUNCTION("""COMPUTED_VALUE"""),0.415384615384615)</f>
        <v>0.4153846154</v>
      </c>
    </row>
    <row r="8577">
      <c r="A8577" s="10" t="s">
        <v>10016</v>
      </c>
      <c r="B8577" s="7" t="str">
        <f>IFERROR(__xludf.DUMMYFUNCTION("SPLIT(A8577,"" "")"),"CCc1cccc(NCc2ccccn2)c1")</f>
        <v>CCc1cccc(NCc2ccccn2)c1</v>
      </c>
      <c r="C8577" s="7">
        <f>IFERROR(__xludf.DUMMYFUNCTION("""COMPUTED_VALUE"""),7.773118)</f>
        <v>7.773118</v>
      </c>
      <c r="D8577" s="7">
        <f>IFERROR(__xludf.DUMMYFUNCTION("""COMPUTED_VALUE"""),0.447368421052631)</f>
        <v>0.4473684211</v>
      </c>
    </row>
    <row r="8578">
      <c r="A8578" s="10" t="s">
        <v>10017</v>
      </c>
      <c r="B8578" s="7" t="str">
        <f>IFERROR(__xludf.DUMMYFUNCTION("SPLIT(A8578,"" "")"),"CN(Cc1cc(-c2cccc(N(C)C)c2)ccn1)Cc1cc(-c2ccc3c(c2)OCCOCCOCCOCCOCCO3)ccn1")</f>
        <v>CN(Cc1cc(-c2cccc(N(C)C)c2)ccn1)Cc1cc(-c2ccc3c(c2)OCCOCCOCCOCCOCCO3)ccn1</v>
      </c>
      <c r="C8578" s="7">
        <f>IFERROR(__xludf.DUMMYFUNCTION("""COMPUTED_VALUE"""),7.773117)</f>
        <v>7.773117</v>
      </c>
      <c r="D8578" s="7">
        <f>IFERROR(__xludf.DUMMYFUNCTION("""COMPUTED_VALUE"""),0.378787878787878)</f>
        <v>0.3787878788</v>
      </c>
    </row>
    <row r="8579">
      <c r="A8579" s="10" t="s">
        <v>10018</v>
      </c>
      <c r="B8579" s="7" t="str">
        <f>IFERROR(__xludf.DUMMYFUNCTION("SPLIT(A8579,"" "")"),"CNCN(Cc1cccc(F)n1)C1CCC(N(C)c2ccc3c(CF)ccnc3c2)CC1")</f>
        <v>CNCN(Cc1cccc(F)n1)C1CCC(N(C)c2ccc3c(CF)ccnc3c2)CC1</v>
      </c>
      <c r="C8579" s="7">
        <f>IFERROR(__xludf.DUMMYFUNCTION("""COMPUTED_VALUE"""),7.773115)</f>
        <v>7.773115</v>
      </c>
      <c r="D8579" s="7">
        <f>IFERROR(__xludf.DUMMYFUNCTION("""COMPUTED_VALUE"""),0.271604938271604)</f>
        <v>0.2716049383</v>
      </c>
    </row>
    <row r="8580">
      <c r="A8580" s="10" t="s">
        <v>10019</v>
      </c>
      <c r="B8580" s="7" t="str">
        <f>IFERROR(__xludf.DUMMYFUNCTION("SPLIT(A8580,"" "")"),"CNCc1cc(CN(C)C2CCC(N(C)c3ccc4nc(CF)ccc4c3)CC2)ccn1")</f>
        <v>CNCc1cc(CN(C)C2CCC(N(C)c3ccc4nc(CF)ccc4c3)CC2)ccn1</v>
      </c>
      <c r="C8580" s="7">
        <f>IFERROR(__xludf.DUMMYFUNCTION("""COMPUTED_VALUE"""),7.773111)</f>
        <v>7.773111</v>
      </c>
      <c r="D8580" s="7">
        <f>IFERROR(__xludf.DUMMYFUNCTION("""COMPUTED_VALUE"""),0.304347826086956)</f>
        <v>0.3043478261</v>
      </c>
    </row>
    <row r="8581">
      <c r="A8581" s="10" t="s">
        <v>10020</v>
      </c>
      <c r="B8581" s="7" t="str">
        <f>IFERROR(__xludf.DUMMYFUNCTION("SPLIT(A8581,"" "")"),"Cc1cncc(CN(C)Cc2ncccc2N(C)C2CCCC(N(Cc3ccccn3)Cc3nc(C)c(C)c(C)c3C)C2)c1")</f>
        <v>Cc1cncc(CN(C)Cc2ncccc2N(C)C2CCCC(N(Cc3ccccn3)Cc3nc(C)c(C)c(C)c3C)C2)c1</v>
      </c>
      <c r="C8581" s="7">
        <f>IFERROR(__xludf.DUMMYFUNCTION("""COMPUTED_VALUE"""),7.773109)</f>
        <v>7.773109</v>
      </c>
      <c r="D8581" s="7">
        <f>IFERROR(__xludf.DUMMYFUNCTION("""COMPUTED_VALUE"""),0.31081081081081)</f>
        <v>0.3108108108</v>
      </c>
    </row>
    <row r="8582">
      <c r="A8582" s="10" t="s">
        <v>10021</v>
      </c>
      <c r="B8582" s="7" t="str">
        <f>IFERROR(__xludf.DUMMYFUNCTION("SPLIT(A8582,"" "")"),"CCN(Cc1cccc(-c2ccc3c(c2)OCCOCCOCCOCCOCCO3)n1)Cc1ncccc1-c1cccc(N=Cc2ccccn2)c1")</f>
        <v>CCN(Cc1cccc(-c2ccc3c(c2)OCCOCCOCCOCCOCCO3)n1)Cc1ncccc1-c1cccc(N=Cc2ccccn2)c1</v>
      </c>
      <c r="C8582" s="7">
        <f>IFERROR(__xludf.DUMMYFUNCTION("""COMPUTED_VALUE"""),7.7731085)</f>
        <v>7.7731085</v>
      </c>
      <c r="D8582" s="7">
        <f>IFERROR(__xludf.DUMMYFUNCTION("""COMPUTED_VALUE"""),0.353658536585365)</f>
        <v>0.3536585366</v>
      </c>
    </row>
    <row r="8583">
      <c r="A8583" s="10" t="s">
        <v>10022</v>
      </c>
      <c r="B8583" s="7" t="str">
        <f>IFERROR(__xludf.DUMMYFUNCTION("SPLIT(A8583,"" "")"),"CC1=C(C)C(C)CC(c2ncccc2CN(Cc2ccccn2)Cc2ccccn2)C1")</f>
        <v>CC1=C(C)C(C)CC(c2ncccc2CN(Cc2ccccn2)Cc2ccccn2)C1</v>
      </c>
      <c r="C8583" s="7">
        <f>IFERROR(__xludf.DUMMYFUNCTION("""COMPUTED_VALUE"""),7.7731013)</f>
        <v>7.7731013</v>
      </c>
      <c r="D8583" s="7">
        <f>IFERROR(__xludf.DUMMYFUNCTION("""COMPUTED_VALUE"""),0.444444444444444)</f>
        <v>0.4444444444</v>
      </c>
    </row>
    <row r="8584">
      <c r="A8584" s="10" t="s">
        <v>10023</v>
      </c>
      <c r="B8584" s="7" t="str">
        <f>IFERROR(__xludf.DUMMYFUNCTION("SPLIT(A8584,"" "")"),"CC(C)N(Cc1ncccc1C(C)(C)C)Cc1ncccc1C(C)(C)C")</f>
        <v>CC(C)N(Cc1ncccc1C(C)(C)C)Cc1ncccc1C(C)(C)C</v>
      </c>
      <c r="C8584" s="7">
        <f>IFERROR(__xludf.DUMMYFUNCTION("""COMPUTED_VALUE"""),7.7731004)</f>
        <v>7.7731004</v>
      </c>
      <c r="D8584" s="7">
        <f>IFERROR(__xludf.DUMMYFUNCTION("""COMPUTED_VALUE"""),0.461538461538461)</f>
        <v>0.4615384615</v>
      </c>
    </row>
    <row r="8585">
      <c r="A8585" s="10" t="s">
        <v>10024</v>
      </c>
      <c r="B8585" s="7" t="str">
        <f>IFERROR(__xludf.DUMMYFUNCTION("SPLIT(A8585,"" "")"),"CCNCc1cccc(CN(Cc2ccccn2)C2CCC(N(C)c3ccc4cccnc4c3)CC2)n1")</f>
        <v>CCNCc1cccc(CN(Cc2ccccn2)C2CCC(N(C)c3ccc4cccnc4c3)CC2)n1</v>
      </c>
      <c r="C8585" s="7">
        <f>IFERROR(__xludf.DUMMYFUNCTION("""COMPUTED_VALUE"""),7.7731)</f>
        <v>7.7731</v>
      </c>
      <c r="D8585" s="7">
        <f>IFERROR(__xludf.DUMMYFUNCTION("""COMPUTED_VALUE"""),0.387096774193548)</f>
        <v>0.3870967742</v>
      </c>
    </row>
    <row r="8586">
      <c r="A8586" s="10" t="s">
        <v>10025</v>
      </c>
      <c r="B8586" s="7" t="str">
        <f>IFERROR(__xludf.DUMMYFUNCTION("SPLIT(A8586,"" "")"),"CN(Cc1ccc2c(n1)CCCC2)C1CCCCC1N(C)c1ccc2nccc(CF)c2c1")</f>
        <v>CN(Cc1ccc2c(n1)CCCC2)C1CCCCC1N(C)c1ccc2nccc(CF)c2c1</v>
      </c>
      <c r="C8586" s="7">
        <f>IFERROR(__xludf.DUMMYFUNCTION("""COMPUTED_VALUE"""),7.7730985)</f>
        <v>7.7730985</v>
      </c>
      <c r="D8586" s="7">
        <f>IFERROR(__xludf.DUMMYFUNCTION("""COMPUTED_VALUE"""),0.371428571428571)</f>
        <v>0.3714285714</v>
      </c>
    </row>
    <row r="8587">
      <c r="A8587" s="10" t="s">
        <v>10026</v>
      </c>
      <c r="B8587" s="7" t="str">
        <f>IFERROR(__xludf.DUMMYFUNCTION("SPLIT(A8587,"" "")"),"C=CCN(C)Cc1cccc(CN(C)Cc2cccc(N)n2)n1")</f>
        <v>C=CCN(C)Cc1cccc(CN(C)Cc2cccc(N)n2)n1</v>
      </c>
      <c r="C8587" s="7">
        <f>IFERROR(__xludf.DUMMYFUNCTION("""COMPUTED_VALUE"""),7.7730923)</f>
        <v>7.7730923</v>
      </c>
      <c r="D8587" s="7">
        <f>IFERROR(__xludf.DUMMYFUNCTION("""COMPUTED_VALUE"""),0.414634146341463)</f>
        <v>0.4146341463</v>
      </c>
    </row>
    <row r="8588">
      <c r="A8588" s="10" t="s">
        <v>10027</v>
      </c>
      <c r="B8588" s="7" t="str">
        <f>IFERROR(__xludf.DUMMYFUNCTION("SPLIT(A8588,"" "")"),"CC1=C(N(C)Cc2ccccn2)C(C)CC(C)C1")</f>
        <v>CC1=C(N(C)Cc2ccccn2)C(C)CC(C)C1</v>
      </c>
      <c r="C8588" s="7">
        <f>IFERROR(__xludf.DUMMYFUNCTION("""COMPUTED_VALUE"""),7.7730846)</f>
        <v>7.7730846</v>
      </c>
      <c r="D8588" s="7">
        <f>IFERROR(__xludf.DUMMYFUNCTION("""COMPUTED_VALUE"""),0.456521739130434)</f>
        <v>0.4565217391</v>
      </c>
    </row>
    <row r="8589">
      <c r="A8589" s="10" t="s">
        <v>10028</v>
      </c>
      <c r="B8589" s="7" t="str">
        <f>IFERROR(__xludf.DUMMYFUNCTION("SPLIT(A8589,"" "")"),"CCCN(Cc1ccccn1)C1C=CC=C(N(C)Cc2ccccn2)N1")</f>
        <v>CCCN(Cc1ccccn1)C1C=CC=C(N(C)Cc2ccccn2)N1</v>
      </c>
      <c r="C8589" s="7">
        <f>IFERROR(__xludf.DUMMYFUNCTION("""COMPUTED_VALUE"""),7.7730827)</f>
        <v>7.7730827</v>
      </c>
      <c r="D8589" s="7">
        <f>IFERROR(__xludf.DUMMYFUNCTION("""COMPUTED_VALUE"""),0.403846153846153)</f>
        <v>0.4038461538</v>
      </c>
    </row>
    <row r="8590">
      <c r="A8590" s="10" t="s">
        <v>10029</v>
      </c>
      <c r="B8590" s="7" t="str">
        <f>IFERROR(__xludf.DUMMYFUNCTION("SPLIT(A8590,"" "")"),"CCNCc1cccc(CN(Cc2ccccn2)C2CCC(N(C)c3ccc4nc(CF)ccc4c3)CC2)n1")</f>
        <v>CCNCc1cccc(CN(Cc2ccccn2)C2CCC(N(C)c3ccc4nc(CF)ccc4c3)CC2)n1</v>
      </c>
      <c r="C8590" s="7">
        <f>IFERROR(__xludf.DUMMYFUNCTION("""COMPUTED_VALUE"""),7.773078)</f>
        <v>7.773078</v>
      </c>
      <c r="D8590" s="7">
        <f>IFERROR(__xludf.DUMMYFUNCTION("""COMPUTED_VALUE"""),0.363636363636363)</f>
        <v>0.3636363636</v>
      </c>
    </row>
    <row r="8591">
      <c r="A8591" s="10" t="s">
        <v>10030</v>
      </c>
      <c r="B8591" s="7" t="str">
        <f>IFERROR(__xludf.DUMMYFUNCTION("SPLIT(A8591,"" "")"),"CCN(Cc1ccccn1)C1CCCCC1N(C)c1ccc2c(CF)ccnc2c1")</f>
        <v>CCN(Cc1ccccn1)C1CCCCC1N(C)c1ccc2c(CF)ccnc2c1</v>
      </c>
      <c r="C8591" s="7">
        <f>IFERROR(__xludf.DUMMYFUNCTION("""COMPUTED_VALUE"""),7.773077)</f>
        <v>7.773077</v>
      </c>
      <c r="D8591" s="7">
        <f>IFERROR(__xludf.DUMMYFUNCTION("""COMPUTED_VALUE"""),0.448275862068965)</f>
        <v>0.4482758621</v>
      </c>
    </row>
    <row r="8592">
      <c r="A8592" s="10" t="s">
        <v>10031</v>
      </c>
      <c r="B8592" s="7" t="str">
        <f>IFERROR(__xludf.DUMMYFUNCTION("SPLIT(A8592,"" "")"),"CN(C)c1ccccc1-c1ncccc1CN(Cc1ccccn1)C1CCCCC1")</f>
        <v>CN(C)c1ccccc1-c1ncccc1CN(Cc1ccccn1)C1CCCCC1</v>
      </c>
      <c r="C8592" s="7">
        <f>IFERROR(__xludf.DUMMYFUNCTION("""COMPUTED_VALUE"""),7.7730675)</f>
        <v>7.7730675</v>
      </c>
      <c r="D8592" s="7">
        <f>IFERROR(__xludf.DUMMYFUNCTION("""COMPUTED_VALUE"""),0.452830188679245)</f>
        <v>0.4528301887</v>
      </c>
    </row>
    <row r="8593">
      <c r="A8593" s="10" t="s">
        <v>10032</v>
      </c>
      <c r="B8593" s="7" t="str">
        <f>IFERROR(__xludf.DUMMYFUNCTION("SPLIT(A8593,"" "")"),"CCN(Cc1ccccn1)C1CCCCC1N(C)c1cccc2c(CF)ccnc12")</f>
        <v>CCN(Cc1ccccn1)C1CCCCC1N(C)c1cccc2c(CF)ccnc12</v>
      </c>
      <c r="C8593" s="7">
        <f>IFERROR(__xludf.DUMMYFUNCTION("""COMPUTED_VALUE"""),7.7730656)</f>
        <v>7.7730656</v>
      </c>
      <c r="D8593" s="7">
        <f>IFERROR(__xludf.DUMMYFUNCTION("""COMPUTED_VALUE"""),0.457627118644067)</f>
        <v>0.4576271186</v>
      </c>
    </row>
    <row r="8594">
      <c r="A8594" s="10" t="s">
        <v>10033</v>
      </c>
      <c r="B8594" s="7" t="str">
        <f>IFERROR(__xludf.DUMMYFUNCTION("SPLIT(A8594,"" "")"),"CCN(C)Cc1ccc2c(N(C)C3CCCC(N(C)Cc4cccnn4)C3)cccc2n1")</f>
        <v>CCN(C)Cc1ccc2c(N(C)C3CCCC(N(C)Cc4cccnn4)C3)cccc2n1</v>
      </c>
      <c r="C8594" s="7">
        <f>IFERROR(__xludf.DUMMYFUNCTION("""COMPUTED_VALUE"""),7.7730613)</f>
        <v>7.7730613</v>
      </c>
      <c r="D8594" s="7">
        <f>IFERROR(__xludf.DUMMYFUNCTION("""COMPUTED_VALUE"""),0.379310344827586)</f>
        <v>0.3793103448</v>
      </c>
    </row>
    <row r="8595">
      <c r="A8595" s="10" t="s">
        <v>10034</v>
      </c>
      <c r="B8595" s="7" t="str">
        <f>IFERROR(__xludf.DUMMYFUNCTION("SPLIT(A8595,"" "")"),"Cc1cccc(CN(C)Cc2cccc(C(C)(C)C)n2)c1")</f>
        <v>Cc1cccc(CN(C)Cc2cccc(C(C)(C)C)n2)c1</v>
      </c>
      <c r="C8595" s="7">
        <f>IFERROR(__xludf.DUMMYFUNCTION("""COMPUTED_VALUE"""),7.7730584)</f>
        <v>7.7730584</v>
      </c>
      <c r="D8595" s="7">
        <f>IFERROR(__xludf.DUMMYFUNCTION("""COMPUTED_VALUE"""),0.41860465116279)</f>
        <v>0.4186046512</v>
      </c>
    </row>
    <row r="8596">
      <c r="A8596" s="10" t="s">
        <v>10035</v>
      </c>
      <c r="B8596" s="7" t="str">
        <f>IFERROR(__xludf.DUMMYFUNCTION("SPLIT(A8596,"" "")"),"Cc1cccnc1CN(C)C1C=CNC(CN(Cc2ccon2)C(C)C)=C1")</f>
        <v>Cc1cccnc1CN(C)C1C=CNC(CN(Cc2ccon2)C(C)C)=C1</v>
      </c>
      <c r="C8596" s="7">
        <f>IFERROR(__xludf.DUMMYFUNCTION("""COMPUTED_VALUE"""),7.773058)</f>
        <v>7.773058</v>
      </c>
      <c r="D8596" s="7">
        <f>IFERROR(__xludf.DUMMYFUNCTION("""COMPUTED_VALUE"""),0.311475409836065)</f>
        <v>0.3114754098</v>
      </c>
    </row>
    <row r="8597">
      <c r="A8597" s="10" t="s">
        <v>10036</v>
      </c>
      <c r="B8597" s="7" t="str">
        <f>IFERROR(__xludf.DUMMYFUNCTION("SPLIT(A8597,"" "")"),"CC(C)(C)C1=C(N(Cc2ccccn2)C2C=CNC=C2)CC=CN1")</f>
        <v>CC(C)(C)C1=C(N(Cc2ccccn2)C2C=CNC=C2)CC=CN1</v>
      </c>
      <c r="C8597" s="7">
        <f>IFERROR(__xludf.DUMMYFUNCTION("""COMPUTED_VALUE"""),7.773056)</f>
        <v>7.773056</v>
      </c>
      <c r="D8597" s="7">
        <f>IFERROR(__xludf.DUMMYFUNCTION("""COMPUTED_VALUE"""),0.389830508474576)</f>
        <v>0.3898305085</v>
      </c>
    </row>
    <row r="8598">
      <c r="A8598" s="10" t="s">
        <v>10037</v>
      </c>
      <c r="B8598" s="7" t="str">
        <f>IFERROR(__xludf.DUMMYFUNCTION("SPLIT(A8598,"" "")"),"CC(C)N(Cc1ccccn1)C1CCCCC1N(C)c1cccc2nc(CF)ccc12")</f>
        <v>CC(C)N(Cc1ccccn1)C1CCCCC1N(C)c1cccc2nc(CF)ccc12</v>
      </c>
      <c r="C8598" s="7">
        <f>IFERROR(__xludf.DUMMYFUNCTION("""COMPUTED_VALUE"""),7.7730436)</f>
        <v>7.7730436</v>
      </c>
      <c r="D8598" s="7">
        <f>IFERROR(__xludf.DUMMYFUNCTION("""COMPUTED_VALUE"""),0.483870967741935)</f>
        <v>0.4838709677</v>
      </c>
    </row>
    <row r="8599">
      <c r="A8599" s="10" t="s">
        <v>10038</v>
      </c>
      <c r="B8599" s="7" t="str">
        <f>IFERROR(__xludf.DUMMYFUNCTION("SPLIT(A8599,"" "")"),"CNCN(Cc1ccccn1)c1cccc(F)c1")</f>
        <v>CNCN(Cc1ccccn1)c1cccc(F)c1</v>
      </c>
      <c r="C8599" s="7">
        <f>IFERROR(__xludf.DUMMYFUNCTION("""COMPUTED_VALUE"""),7.7730384)</f>
        <v>7.7730384</v>
      </c>
      <c r="D8599" s="7">
        <f>IFERROR(__xludf.DUMMYFUNCTION("""COMPUTED_VALUE"""),0.435897435897435)</f>
        <v>0.4358974359</v>
      </c>
    </row>
    <row r="8600">
      <c r="A8600" s="10" t="s">
        <v>10039</v>
      </c>
      <c r="B8600" s="7" t="str">
        <f>IFERROR(__xludf.DUMMYFUNCTION("SPLIT(A8600,"" "")"),"CCNCc1ncccc1CN(C)C1CCC(N(C)c2ccc3c(CF)ccnc3c2)CC1")</f>
        <v>CCNCc1ncccc1CN(C)C1CCC(N(C)c2ccc3c(CF)ccnc3c2)CC1</v>
      </c>
      <c r="C8600" s="7">
        <f>IFERROR(__xludf.DUMMYFUNCTION("""COMPUTED_VALUE"""),7.773035)</f>
        <v>7.773035</v>
      </c>
      <c r="D8600" s="7">
        <f>IFERROR(__xludf.DUMMYFUNCTION("""COMPUTED_VALUE"""),0.242857142857142)</f>
        <v>0.2428571429</v>
      </c>
    </row>
    <row r="8601">
      <c r="A8601" s="10" t="s">
        <v>10040</v>
      </c>
      <c r="B8601" s="7" t="str">
        <f>IFERROR(__xludf.DUMMYFUNCTION("SPLIT(A8601,"" "")"),"CCN(Cc1ccccn1)C1CCC(N(C)c2ccc3nc(CF)ccc3c2)CC1")</f>
        <v>CCN(Cc1ccccn1)C1CCC(N(C)c2ccc3nc(CF)ccc3c2)CC1</v>
      </c>
      <c r="C8601" s="7">
        <f>IFERROR(__xludf.DUMMYFUNCTION("""COMPUTED_VALUE"""),7.773035)</f>
        <v>7.773035</v>
      </c>
      <c r="D8601" s="7">
        <f>IFERROR(__xludf.DUMMYFUNCTION("""COMPUTED_VALUE"""),0.396551724137931)</f>
        <v>0.3965517241</v>
      </c>
    </row>
    <row r="8602">
      <c r="A8602" s="10" t="s">
        <v>10041</v>
      </c>
      <c r="B8602" s="7" t="str">
        <f>IFERROR(__xludf.DUMMYFUNCTION("SPLIT(A8602,"" "")"),"Cc1ccccc1CN(C)CC1=CC(N(C)Cc2ncccc2C)C=CN1")</f>
        <v>Cc1ccccc1CN(C)CC1=CC(N(C)Cc2ncccc2C)C=CN1</v>
      </c>
      <c r="C8602" s="7">
        <f>IFERROR(__xludf.DUMMYFUNCTION("""COMPUTED_VALUE"""),7.773033)</f>
        <v>7.773033</v>
      </c>
      <c r="D8602" s="7">
        <f>IFERROR(__xludf.DUMMYFUNCTION("""COMPUTED_VALUE"""),0.310344827586206)</f>
        <v>0.3103448276</v>
      </c>
    </row>
    <row r="8603">
      <c r="A8603" s="10" t="s">
        <v>10042</v>
      </c>
      <c r="B8603" s="7" t="str">
        <f>IFERROR(__xludf.DUMMYFUNCTION("SPLIT(A8603,"" "")"),"CNCc1cccc(CN(Cc2cccc(C)n2)Cc2cccc(C3CC(C)C3)n2)n1")</f>
        <v>CNCc1cccc(CN(Cc2cccc(C)n2)Cc2cccc(C3CC(C)C3)n2)n1</v>
      </c>
      <c r="C8603" s="7">
        <f>IFERROR(__xludf.DUMMYFUNCTION("""COMPUTED_VALUE"""),7.7730293)</f>
        <v>7.7730293</v>
      </c>
      <c r="D8603" s="7">
        <f>IFERROR(__xludf.DUMMYFUNCTION("""COMPUTED_VALUE"""),0.403846153846153)</f>
        <v>0.4038461538</v>
      </c>
    </row>
    <row r="8604">
      <c r="A8604" s="10" t="s">
        <v>10043</v>
      </c>
      <c r="B8604" s="7" t="str">
        <f>IFERROR(__xludf.DUMMYFUNCTION("SPLIT(A8604,"" "")"),"CCNCC1=C(N(C)Cc2cc(C)ccn2)CC=CN1")</f>
        <v>CCNCC1=C(N(C)Cc2cc(C)ccn2)CC=CN1</v>
      </c>
      <c r="C8604" s="7">
        <f>IFERROR(__xludf.DUMMYFUNCTION("""COMPUTED_VALUE"""),7.7730165)</f>
        <v>7.7730165</v>
      </c>
      <c r="D8604" s="7">
        <f>IFERROR(__xludf.DUMMYFUNCTION("""COMPUTED_VALUE"""),0.31578947368421)</f>
        <v>0.3157894737</v>
      </c>
    </row>
    <row r="8605">
      <c r="A8605" s="10" t="s">
        <v>10044</v>
      </c>
      <c r="B8605" s="7" t="str">
        <f>IFERROR(__xludf.DUMMYFUNCTION("SPLIT(A8605,"" "")"),"CN(CC1=C(N(C)C2C=CC=CN2)CC=CN1)C1CCC(N(C)c2ccc3ccc(CF)nc3c2)CC1")</f>
        <v>CN(CC1=C(N(C)C2C=CC=CN2)CC=CN1)C1CCC(N(C)c2ccc3ccc(CF)nc3c2)CC1</v>
      </c>
      <c r="C8605" s="7">
        <f>IFERROR(__xludf.DUMMYFUNCTION("""COMPUTED_VALUE"""),7.7730136)</f>
        <v>7.7730136</v>
      </c>
      <c r="D8605" s="7">
        <f>IFERROR(__xludf.DUMMYFUNCTION("""COMPUTED_VALUE"""),0.272727272727272)</f>
        <v>0.2727272727</v>
      </c>
    </row>
    <row r="8606">
      <c r="A8606" s="10" t="s">
        <v>10045</v>
      </c>
      <c r="B8606" s="7" t="str">
        <f>IFERROR(__xludf.DUMMYFUNCTION("SPLIT(A8606,"" "")"),"CCN(C)CC1=CCC=C(N(C)Cc2ccccn2)N1")</f>
        <v>CCN(C)CC1=CCC=C(N(C)Cc2ccccn2)N1</v>
      </c>
      <c r="C8606" s="7">
        <f>IFERROR(__xludf.DUMMYFUNCTION("""COMPUTED_VALUE"""),7.77301)</f>
        <v>7.77301</v>
      </c>
      <c r="D8606" s="7">
        <f>IFERROR(__xludf.DUMMYFUNCTION("""COMPUTED_VALUE"""),0.433962264150943)</f>
        <v>0.4339622642</v>
      </c>
    </row>
    <row r="8607">
      <c r="A8607" s="10" t="s">
        <v>10046</v>
      </c>
      <c r="B8607" s="7" t="str">
        <f>IFERROR(__xludf.DUMMYFUNCTION("SPLIT(A8607,"" "")"),"CCN(Cc1ccccn1)C1CCCCC1N(C)c1ccc2nccc(CF)c2c1")</f>
        <v>CCN(Cc1ccccn1)C1CCCCC1N(C)c1ccc2nccc(CF)c2c1</v>
      </c>
      <c r="C8607" s="7">
        <f>IFERROR(__xludf.DUMMYFUNCTION("""COMPUTED_VALUE"""),7.773008)</f>
        <v>7.773008</v>
      </c>
      <c r="D8607" s="7">
        <f>IFERROR(__xludf.DUMMYFUNCTION("""COMPUTED_VALUE"""),0.440677966101694)</f>
        <v>0.4406779661</v>
      </c>
    </row>
    <row r="8608">
      <c r="A8608" s="10" t="s">
        <v>10047</v>
      </c>
      <c r="B8608" s="7" t="str">
        <f>IFERROR(__xludf.DUMMYFUNCTION("SPLIT(A8608,"" "")"),"CCNCc1cccc(CN(Cc2cccc(C)n2)Cc2cccc(C)n2)n1")</f>
        <v>CCNCc1cccc(CN(Cc2cccc(C)n2)Cc2cccc(C)n2)n1</v>
      </c>
      <c r="C8608" s="7">
        <f>IFERROR(__xludf.DUMMYFUNCTION("""COMPUTED_VALUE"""),7.7730064)</f>
        <v>7.7730064</v>
      </c>
      <c r="D8608" s="7">
        <f>IFERROR(__xludf.DUMMYFUNCTION("""COMPUTED_VALUE"""),0.5)</f>
        <v>0.5</v>
      </c>
    </row>
    <row r="8609">
      <c r="A8609" s="10" t="s">
        <v>10048</v>
      </c>
      <c r="B8609" s="7" t="str">
        <f>IFERROR(__xludf.DUMMYFUNCTION("SPLIT(A8609,"" "")"),"CC(C)N(Cc1cccc(C(C)(C)C)n1)Cc1ncccc1C(C)(C)C")</f>
        <v>CC(C)N(Cc1cccc(C(C)(C)C)n1)Cc1ncccc1C(C)(C)C</v>
      </c>
      <c r="C8609" s="7">
        <f>IFERROR(__xludf.DUMMYFUNCTION("""COMPUTED_VALUE"""),7.772994)</f>
        <v>7.772994</v>
      </c>
      <c r="D8609" s="7">
        <f>IFERROR(__xludf.DUMMYFUNCTION("""COMPUTED_VALUE"""),0.425531914893617)</f>
        <v>0.4255319149</v>
      </c>
    </row>
    <row r="8610">
      <c r="A8610" s="10" t="s">
        <v>10049</v>
      </c>
      <c r="B8610" s="7" t="str">
        <f>IFERROR(__xludf.DUMMYFUNCTION("SPLIT(A8610,"" "")"),"CCNCc1cc(CN(Cc2ccccn2)C2CCC(N(C)c3ccc4nc(CF)ccc4c3)CC2)ccn1")</f>
        <v>CCNCc1cc(CN(Cc2ccccn2)C2CCC(N(C)c3ccc4nc(CF)ccc4c3)CC2)ccn1</v>
      </c>
      <c r="C8610" s="7">
        <f>IFERROR(__xludf.DUMMYFUNCTION("""COMPUTED_VALUE"""),7.7729845)</f>
        <v>7.7729845</v>
      </c>
      <c r="D8610" s="7">
        <f>IFERROR(__xludf.DUMMYFUNCTION("""COMPUTED_VALUE"""),0.333333333333333)</f>
        <v>0.3333333333</v>
      </c>
    </row>
    <row r="8611">
      <c r="A8611" s="10" t="s">
        <v>10050</v>
      </c>
      <c r="B8611" s="7" t="str">
        <f>IFERROR(__xludf.DUMMYFUNCTION("SPLIT(A8611,"" "")"),"CN(CC1=CC(N(C)Cc2cc(-c3ccc4c(c3)OCCOCCOCCOCCOCCO4)ccn2)C=CN1)c1ccc2ncccc2c1")</f>
        <v>CN(CC1=CC(N(C)Cc2cc(-c3ccc4c(c3)OCCOCCOCCOCCOCCO4)ccn2)C=CN1)c1ccc2ncccc2c1</v>
      </c>
      <c r="C8611" s="7">
        <f>IFERROR(__xludf.DUMMYFUNCTION("""COMPUTED_VALUE"""),7.7729807)</f>
        <v>7.7729807</v>
      </c>
      <c r="D8611" s="7">
        <f>IFERROR(__xludf.DUMMYFUNCTION("""COMPUTED_VALUE"""),0.302325581395348)</f>
        <v>0.3023255814</v>
      </c>
    </row>
    <row r="8612">
      <c r="A8612" s="10" t="s">
        <v>10051</v>
      </c>
      <c r="B8612" s="7" t="str">
        <f>IFERROR(__xludf.DUMMYFUNCTION("SPLIT(A8612,"" "")"),"CCNCc1ncccc1CN(C)C1CCC(N(C)c2ccc3nccc(CF)c3c2)CC1")</f>
        <v>CCNCc1ncccc1CN(C)C1CCC(N(C)c2ccc3nccc(CF)c3c2)CC1</v>
      </c>
      <c r="C8612" s="7">
        <f>IFERROR(__xludf.DUMMYFUNCTION("""COMPUTED_VALUE"""),7.7729774)</f>
        <v>7.7729774</v>
      </c>
      <c r="D8612" s="7">
        <f>IFERROR(__xludf.DUMMYFUNCTION("""COMPUTED_VALUE"""),0.239436619718309)</f>
        <v>0.2394366197</v>
      </c>
    </row>
    <row r="8613">
      <c r="A8613" s="10" t="s">
        <v>10052</v>
      </c>
      <c r="B8613" s="7" t="str">
        <f>IFERROR(__xludf.DUMMYFUNCTION("SPLIT(A8613,"" "")"),"Cc1ccc(CN(CC2=CCC=C(N(C)Cc3ccccn3)N2)C2CCCCC2N(Cc2ccccn2)Cc2nc(C)c(C)c(C)c2C)nc1")</f>
        <v>Cc1ccc(CN(CC2=CCC=C(N(C)Cc3ccccn3)N2)C2CCCCC2N(Cc2ccccn2)Cc2nc(C)c(C)c(C)c2C)nc1</v>
      </c>
      <c r="C8613" s="7">
        <f>IFERROR(__xludf.DUMMYFUNCTION("""COMPUTED_VALUE"""),7.7729774)</f>
        <v>7.7729774</v>
      </c>
      <c r="D8613" s="7">
        <f>IFERROR(__xludf.DUMMYFUNCTION("""COMPUTED_VALUE"""),0.391304347826087)</f>
        <v>0.3913043478</v>
      </c>
    </row>
    <row r="8614">
      <c r="A8614" s="10" t="s">
        <v>10053</v>
      </c>
      <c r="B8614" s="7" t="str">
        <f>IFERROR(__xludf.DUMMYFUNCTION("SPLIT(A8614,"" "")"),"Cc1cccc(CN(C)CC2=CC(N(C)Cc3ncccc3C)C=CN2)c1")</f>
        <v>Cc1cccc(CN(C)CC2=CC(N(C)Cc3ncccc3C)C=CN2)c1</v>
      </c>
      <c r="C8614" s="7">
        <f>IFERROR(__xludf.DUMMYFUNCTION("""COMPUTED_VALUE"""),7.7729754)</f>
        <v>7.7729754</v>
      </c>
      <c r="D8614" s="7">
        <f>IFERROR(__xludf.DUMMYFUNCTION("""COMPUTED_VALUE"""),0.307692307692307)</f>
        <v>0.3076923077</v>
      </c>
    </row>
    <row r="8615">
      <c r="A8615" s="10" t="s">
        <v>10054</v>
      </c>
      <c r="B8615" s="7" t="str">
        <f>IFERROR(__xludf.DUMMYFUNCTION("SPLIT(A8615,"" "")"),"CN(C)c1cccc(-c2cccc(CN(Cc3ccccn3)Cc3ccc(-c4ccc5c(c4)OCCOCCOCCOCCOCCO5)cn3)n2)c1")</f>
        <v>CN(C)c1cccc(-c2cccc(CN(Cc3ccccn3)Cc3ccc(-c4ccc5c(c4)OCCOCCOCCOCCOCCO5)cn3)n2)c1</v>
      </c>
      <c r="C8615" s="7">
        <f>IFERROR(__xludf.DUMMYFUNCTION("""COMPUTED_VALUE"""),7.772968)</f>
        <v>7.772968</v>
      </c>
      <c r="D8615" s="7">
        <f>IFERROR(__xludf.DUMMYFUNCTION("""COMPUTED_VALUE"""),0.470588235294117)</f>
        <v>0.4705882353</v>
      </c>
    </row>
    <row r="8616">
      <c r="A8616" s="10" t="s">
        <v>10055</v>
      </c>
      <c r="B8616" s="7" t="str">
        <f>IFERROR(__xludf.DUMMYFUNCTION("SPLIT(A8616,"" "")"),"CNC1CCC(N(C)Cc2cc(C)c(C)c(C)n2)C(N(Cc2nc(C)c(C)c(C)c2C)Cc2nc(C)c(C)c(C)c2C)C1")</f>
        <v>CNC1CCC(N(C)Cc2cc(C)c(C)c(C)n2)C(N(Cc2nc(C)c(C)c(C)c2C)Cc2nc(C)c(C)c(C)c2C)C1</v>
      </c>
      <c r="C8616" s="7">
        <f>IFERROR(__xludf.DUMMYFUNCTION("""COMPUTED_VALUE"""),7.7729626)</f>
        <v>7.7729626</v>
      </c>
      <c r="D8616" s="7">
        <f>IFERROR(__xludf.DUMMYFUNCTION("""COMPUTED_VALUE"""),0.311475409836065)</f>
        <v>0.3114754098</v>
      </c>
    </row>
    <row r="8617">
      <c r="A8617" s="10" t="s">
        <v>10056</v>
      </c>
      <c r="B8617" s="7" t="str">
        <f>IFERROR(__xludf.DUMMYFUNCTION("SPLIT(A8617,"" "")"),"CCCN(Cc1ccccn1)Cc1cc(C(C)(C)c2ccccn2)ccn1")</f>
        <v>CCCN(Cc1ccccn1)Cc1cc(C(C)(C)c2ccccn2)ccn1</v>
      </c>
      <c r="C8617" s="7">
        <f>IFERROR(__xludf.DUMMYFUNCTION("""COMPUTED_VALUE"""),7.7729616)</f>
        <v>7.7729616</v>
      </c>
      <c r="D8617" s="7">
        <f>IFERROR(__xludf.DUMMYFUNCTION("""COMPUTED_VALUE"""),0.489361702127659)</f>
        <v>0.4893617021</v>
      </c>
    </row>
    <row r="8618">
      <c r="A8618" s="10" t="s">
        <v>10057</v>
      </c>
      <c r="B8618" s="7" t="str">
        <f>IFERROR(__xludf.DUMMYFUNCTION("SPLIT(A8618,"" "")"),"CC(C)N(Cc1ccccn1)C1CCC(N(C)c2cccc3cccnc23)CC1")</f>
        <v>CC(C)N(Cc1ccccn1)C1CCC(N(C)c2cccc3cccnc23)CC1</v>
      </c>
      <c r="C8618" s="7">
        <f>IFERROR(__xludf.DUMMYFUNCTION("""COMPUTED_VALUE"""),7.772955)</f>
        <v>7.772955</v>
      </c>
      <c r="D8618" s="7">
        <f>IFERROR(__xludf.DUMMYFUNCTION("""COMPUTED_VALUE"""),0.5)</f>
        <v>0.5</v>
      </c>
    </row>
    <row r="8619">
      <c r="A8619" s="10" t="s">
        <v>10058</v>
      </c>
      <c r="B8619" s="7" t="str">
        <f>IFERROR(__xludf.DUMMYFUNCTION("SPLIT(A8619,"" "")"),"Cc1cc(C)c(C)c(-c2ncccc2CN(Cc2ccccn2)C2CCCCC2)c1C")</f>
        <v>Cc1cc(C)c(C)c(-c2ncccc2CN(Cc2ccccn2)C2CCCCC2)c1C</v>
      </c>
      <c r="C8619" s="7">
        <f>IFERROR(__xludf.DUMMYFUNCTION("""COMPUTED_VALUE"""),7.7729526)</f>
        <v>7.7729526</v>
      </c>
      <c r="D8619" s="7">
        <f>IFERROR(__xludf.DUMMYFUNCTION("""COMPUTED_VALUE"""),0.425925925925925)</f>
        <v>0.4259259259</v>
      </c>
    </row>
    <row r="8620">
      <c r="A8620" s="10" t="s">
        <v>10059</v>
      </c>
      <c r="B8620" s="7" t="str">
        <f>IFERROR(__xludf.DUMMYFUNCTION("SPLIT(A8620,"" "")"),"CN(Cc1ccccn1)C1=C(CN(C)C2C=CC=CN2)NC=CC1")</f>
        <v>CN(Cc1ccccn1)C1=C(CN(C)C2C=CC=CN2)NC=CC1</v>
      </c>
      <c r="C8620" s="7">
        <f>IFERROR(__xludf.DUMMYFUNCTION("""COMPUTED_VALUE"""),7.7729483)</f>
        <v>7.7729483</v>
      </c>
      <c r="D8620" s="7">
        <f>IFERROR(__xludf.DUMMYFUNCTION("""COMPUTED_VALUE"""),0.456140350877192)</f>
        <v>0.4561403509</v>
      </c>
    </row>
    <row r="8621">
      <c r="A8621" s="10" t="s">
        <v>10060</v>
      </c>
      <c r="B8621" s="7" t="str">
        <f>IFERROR(__xludf.DUMMYFUNCTION("SPLIT(A8621,"" "")"),"CNC1CC(N(Cc2ccccn2)Cc2nc(C)c(C)cc2C)CC(N(Cc2nc(C)c(C)cc2C)Cc2nc(C)c(C)cc2C)C1")</f>
        <v>CNC1CC(N(Cc2ccccn2)Cc2nc(C)c(C)cc2C)CC(N(Cc2nc(C)c(C)cc2C)Cc2nc(C)c(C)cc2C)C1</v>
      </c>
      <c r="C8621" s="7">
        <f>IFERROR(__xludf.DUMMYFUNCTION("""COMPUTED_VALUE"""),7.772948)</f>
        <v>7.772948</v>
      </c>
      <c r="D8621" s="7">
        <f>IFERROR(__xludf.DUMMYFUNCTION("""COMPUTED_VALUE"""),0.357142857142857)</f>
        <v>0.3571428571</v>
      </c>
    </row>
    <row r="8622">
      <c r="A8622" s="10" t="s">
        <v>10061</v>
      </c>
      <c r="B8622" s="7" t="str">
        <f>IFERROR(__xludf.DUMMYFUNCTION("SPLIT(A8622,"" "")"),"CNCc1cccc(CN(Cc2ccccn2)C(C)(N)N(Cc2cccc(C)n2)C(C)C)n1")</f>
        <v>CNCc1cccc(CN(Cc2ccccn2)C(C)(N)N(Cc2cccc(C)n2)C(C)C)n1</v>
      </c>
      <c r="C8622" s="7">
        <f>IFERROR(__xludf.DUMMYFUNCTION("""COMPUTED_VALUE"""),7.772946)</f>
        <v>7.772946</v>
      </c>
      <c r="D8622" s="7">
        <f>IFERROR(__xludf.DUMMYFUNCTION("""COMPUTED_VALUE"""),0.375)</f>
        <v>0.375</v>
      </c>
    </row>
    <row r="8623">
      <c r="A8623" s="10" t="s">
        <v>10062</v>
      </c>
      <c r="B8623" s="7" t="str">
        <f>IFERROR(__xludf.DUMMYFUNCTION("SPLIT(A8623,"" "")"),"Cc1ccccc1CN(C)Cc1ccc(C(C)(C)C)cn1")</f>
        <v>Cc1ccccc1CN(C)Cc1ccc(C(C)(C)C)cn1</v>
      </c>
      <c r="C8623" s="7">
        <f>IFERROR(__xludf.DUMMYFUNCTION("""COMPUTED_VALUE"""),7.772941)</f>
        <v>7.772941</v>
      </c>
      <c r="D8623" s="7">
        <f>IFERROR(__xludf.DUMMYFUNCTION("""COMPUTED_VALUE"""),0.41860465116279)</f>
        <v>0.4186046512</v>
      </c>
    </row>
    <row r="8624">
      <c r="A8624" s="10" t="s">
        <v>10063</v>
      </c>
      <c r="B8624" s="7" t="str">
        <f>IFERROR(__xludf.DUMMYFUNCTION("SPLIT(A8624,"" "")"),"C=CCN(C)CC1=CCC(N(C)Cc2ccccn2)=CN1")</f>
        <v>C=CCN(C)CC1=CCC(N(C)Cc2ccccn2)=CN1</v>
      </c>
      <c r="C8624" s="7">
        <f>IFERROR(__xludf.DUMMYFUNCTION("""COMPUTED_VALUE"""),7.772941)</f>
        <v>7.772941</v>
      </c>
      <c r="D8624" s="7">
        <f>IFERROR(__xludf.DUMMYFUNCTION("""COMPUTED_VALUE"""),0.396551724137931)</f>
        <v>0.3965517241</v>
      </c>
    </row>
    <row r="8625">
      <c r="A8625" s="10" t="s">
        <v>10064</v>
      </c>
      <c r="B8625" s="7" t="str">
        <f>IFERROR(__xludf.DUMMYFUNCTION("SPLIT(A8625,"" "")"),"CCCN(CC1=C(N(C)Cc2ccccn2)CC=CN1)Cc1ccccn1")</f>
        <v>CCCN(CC1=C(N(C)Cc2ccccn2)CC=CN1)Cc1ccccn1</v>
      </c>
      <c r="C8625" s="7">
        <f>IFERROR(__xludf.DUMMYFUNCTION("""COMPUTED_VALUE"""),7.7729306)</f>
        <v>7.7729306</v>
      </c>
      <c r="D8625" s="7">
        <f>IFERROR(__xludf.DUMMYFUNCTION("""COMPUTED_VALUE"""),0.46938775510204)</f>
        <v>0.4693877551</v>
      </c>
    </row>
    <row r="8626">
      <c r="A8626" s="10" t="s">
        <v>10065</v>
      </c>
      <c r="B8626" s="7" t="str">
        <f>IFERROR(__xludf.DUMMYFUNCTION("SPLIT(A8626,"" "")"),"CNCN(Cc1cccc(N)n1)Cc1ncc(C)cc1C")</f>
        <v>CNCN(Cc1cccc(N)n1)Cc1ncc(C)cc1C</v>
      </c>
      <c r="C8626" s="7">
        <f>IFERROR(__xludf.DUMMYFUNCTION("""COMPUTED_VALUE"""),7.772928)</f>
        <v>7.772928</v>
      </c>
      <c r="D8626" s="7">
        <f>IFERROR(__xludf.DUMMYFUNCTION("""COMPUTED_VALUE"""),0.283018867924528)</f>
        <v>0.2830188679</v>
      </c>
    </row>
    <row r="8627">
      <c r="A8627" s="10" t="s">
        <v>10066</v>
      </c>
      <c r="B8627" s="7" t="str">
        <f>IFERROR(__xludf.DUMMYFUNCTION("SPLIT(A8627,"" "")"),"CN(c1ccc2nc(CF)ccc2c1)C1CCCCC1N(Cc1ccc(C2CCC2(C)C)nc1)Cc1ccccn1")</f>
        <v>CN(c1ccc2nc(CF)ccc2c1)C1CCCCC1N(Cc1ccc(C2CCC2(C)C)nc1)Cc1ccccn1</v>
      </c>
      <c r="C8627" s="7">
        <f>IFERROR(__xludf.DUMMYFUNCTION("""COMPUTED_VALUE"""),7.7729163)</f>
        <v>7.7729163</v>
      </c>
      <c r="D8627" s="7">
        <f>IFERROR(__xludf.DUMMYFUNCTION("""COMPUTED_VALUE"""),0.358974358974359)</f>
        <v>0.358974359</v>
      </c>
    </row>
    <row r="8628">
      <c r="A8628" s="10" t="s">
        <v>10067</v>
      </c>
      <c r="B8628" s="7" t="str">
        <f>IFERROR(__xludf.DUMMYFUNCTION("SPLIT(A8628,"" "")"),"CCNCc1cccc(CN(C)C2CCC(N(C)c3ccc4nccc(CF)c4c3)CC2)n1")</f>
        <v>CCNCc1cccc(CN(C)C2CCC(N(C)c3ccc4nccc(CF)c4c3)CC2)n1</v>
      </c>
      <c r="C8628" s="7">
        <f>IFERROR(__xludf.DUMMYFUNCTION("""COMPUTED_VALUE"""),7.772915)</f>
        <v>7.772915</v>
      </c>
      <c r="D8628" s="7">
        <f>IFERROR(__xludf.DUMMYFUNCTION("""COMPUTED_VALUE"""),0.289855072463768)</f>
        <v>0.2898550725</v>
      </c>
    </row>
    <row r="8629">
      <c r="A8629" s="10" t="s">
        <v>10068</v>
      </c>
      <c r="B8629" s="7" t="str">
        <f>IFERROR(__xludf.DUMMYFUNCTION("SPLIT(A8629,"" "")"),"CCN(Cc1ccccn1)C1CCC(N(C)c2ccc3cccnc3c2)CC1")</f>
        <v>CCN(Cc1ccccn1)C1CCC(N(C)c2ccc3cccnc3c2)CC1</v>
      </c>
      <c r="C8629" s="7">
        <f>IFERROR(__xludf.DUMMYFUNCTION("""COMPUTED_VALUE"""),7.772911)</f>
        <v>7.772911</v>
      </c>
      <c r="D8629" s="7">
        <f>IFERROR(__xludf.DUMMYFUNCTION("""COMPUTED_VALUE"""),0.425925925925925)</f>
        <v>0.4259259259</v>
      </c>
    </row>
    <row r="8630">
      <c r="A8630" s="10" t="s">
        <v>10069</v>
      </c>
      <c r="B8630" s="7" t="str">
        <f>IFERROR(__xludf.DUMMYFUNCTION("SPLIT(A8630,"" "")"),"CC1=CC(C)C2(C=CC(c3cccc(CN(Cc4ccccn4)C4CCCCC4N(C)c4ccc5nc(CN(C)C)ccc5c4)n3)C(c3cccc(CN(Cc4ccccn4)Cc4ccccn4)n3)C23C(C)C=CC(C)C3C)C(C)C1")</f>
        <v>CC1=CC(C)C2(C=CC(c3cccc(CN(Cc4ccccn4)C4CCCCC4N(C)c4ccc5nc(CN(C)C)ccc5c4)n3)C(c3cccc(CN(Cc4ccccn4)Cc4ccccn4)n3)C23C(C)C=CC(C)C3C)C(C)C1</v>
      </c>
      <c r="C8630" s="7">
        <f>IFERROR(__xludf.DUMMYFUNCTION("""COMPUTED_VALUE"""),7.772904)</f>
        <v>7.772904</v>
      </c>
      <c r="D8630" s="7">
        <f>IFERROR(__xludf.DUMMYFUNCTION("""COMPUTED_VALUE"""),0.296703296703296)</f>
        <v>0.2967032967</v>
      </c>
    </row>
    <row r="8631">
      <c r="A8631" s="10" t="s">
        <v>10070</v>
      </c>
      <c r="B8631" s="7" t="str">
        <f>IFERROR(__xludf.DUMMYFUNCTION("SPLIT(A8631,"" "")"),"CC(C)C1=CCC=C(NCc2ccccn2)N1")</f>
        <v>CC(C)C1=CCC=C(NCc2ccccn2)N1</v>
      </c>
      <c r="C8631" s="7">
        <f>IFERROR(__xludf.DUMMYFUNCTION("""COMPUTED_VALUE"""),7.772901)</f>
        <v>7.772901</v>
      </c>
      <c r="D8631" s="7">
        <f>IFERROR(__xludf.DUMMYFUNCTION("""COMPUTED_VALUE"""),0.395348837209302)</f>
        <v>0.3953488372</v>
      </c>
    </row>
    <row r="8632">
      <c r="A8632" s="10" t="s">
        <v>10071</v>
      </c>
      <c r="B8632" s="7" t="str">
        <f>IFERROR(__xludf.DUMMYFUNCTION("SPLIT(A8632,"" "")"),"COC(C)CN(Cc1ccccn1)Cc1cc(C(C)(C)c2ccccn2)ccn1")</f>
        <v>COC(C)CN(Cc1ccccn1)Cc1cc(C(C)(C)c2ccccn2)ccn1</v>
      </c>
      <c r="C8632" s="7">
        <f>IFERROR(__xludf.DUMMYFUNCTION("""COMPUTED_VALUE"""),7.772896)</f>
        <v>7.772896</v>
      </c>
      <c r="D8632" s="7">
        <f>IFERROR(__xludf.DUMMYFUNCTION("""COMPUTED_VALUE"""),0.415094339622641)</f>
        <v>0.4150943396</v>
      </c>
    </row>
    <row r="8633">
      <c r="A8633" s="10" t="s">
        <v>10072</v>
      </c>
      <c r="B8633" s="7" t="str">
        <f>IFERROR(__xludf.DUMMYFUNCTION("SPLIT(A8633,"" "")"),"Cc1cccnc1CN1CCN(C)CCN(Cc2cccc(-c3cccc(N=Cc4ccccn4)c3)n2)CC1")</f>
        <v>Cc1cccnc1CN1CCN(C)CCN(Cc2cccc(-c3cccc(N=Cc4ccccn4)c3)n2)CC1</v>
      </c>
      <c r="C8633" s="7">
        <f>IFERROR(__xludf.DUMMYFUNCTION("""COMPUTED_VALUE"""),7.772896)</f>
        <v>7.772896</v>
      </c>
      <c r="D8633" s="7">
        <f>IFERROR(__xludf.DUMMYFUNCTION("""COMPUTED_VALUE"""),0.419354838709677)</f>
        <v>0.4193548387</v>
      </c>
    </row>
    <row r="8634">
      <c r="A8634" s="10" t="s">
        <v>10073</v>
      </c>
      <c r="B8634" s="7" t="str">
        <f>IFERROR(__xludf.DUMMYFUNCTION("SPLIT(A8634,"" "")"),"Cc1cnc(CN(C)C2CC(N(C)Cc3ccccn3)CC(N(Cc3nc(C)c(C)c(C)c3C)Cc3nc(C)c(C)c(C)c3C)C2)c(C)c1")</f>
        <v>Cc1cnc(CN(C)C2CC(N(C)Cc3ccccn3)CC(N(Cc3nc(C)c(C)c(C)c3C)Cc3nc(C)c(C)c(C)c3C)C2)c(C)c1</v>
      </c>
      <c r="C8634" s="7">
        <f>IFERROR(__xludf.DUMMYFUNCTION("""COMPUTED_VALUE"""),7.772887)</f>
        <v>7.772887</v>
      </c>
      <c r="D8634" s="7">
        <f>IFERROR(__xludf.DUMMYFUNCTION("""COMPUTED_VALUE"""),0.377049180327868)</f>
        <v>0.3770491803</v>
      </c>
    </row>
    <row r="8635">
      <c r="A8635" s="10" t="s">
        <v>10074</v>
      </c>
      <c r="B8635" s="7" t="str">
        <f>IFERROR(__xludf.DUMMYFUNCTION("SPLIT(A8635,"" "")"),"CN(C)c1ccccc1-c1cccnc1CN(Cc1ccccn1)Cc1cccc(-c2ccc3c(c2)OCCOCCOCCOCCOCCO3)n1")</f>
        <v>CN(C)c1ccccc1-c1cccnc1CN(Cc1ccccn1)Cc1cccc(-c2ccc3c(c2)OCCOCCOCCOCCOCCO3)n1</v>
      </c>
      <c r="C8635" s="7">
        <f>IFERROR(__xludf.DUMMYFUNCTION("""COMPUTED_VALUE"""),7.77288)</f>
        <v>7.77288</v>
      </c>
      <c r="D8635" s="7">
        <f>IFERROR(__xludf.DUMMYFUNCTION("""COMPUTED_VALUE"""),0.442857142857142)</f>
        <v>0.4428571429</v>
      </c>
    </row>
    <row r="8636">
      <c r="A8636" s="10" t="s">
        <v>10075</v>
      </c>
      <c r="B8636" s="7" t="str">
        <f>IFERROR(__xludf.DUMMYFUNCTION("SPLIT(A8636,"" "")"),"CC(N)C(C)(c1ccccn1)c1ccccn1")</f>
        <v>CC(N)C(C)(c1ccccn1)c1ccccn1</v>
      </c>
      <c r="C8636" s="7">
        <f>IFERROR(__xludf.DUMMYFUNCTION("""COMPUTED_VALUE"""),7.7728763)</f>
        <v>7.7728763</v>
      </c>
      <c r="D8636" s="7">
        <f>IFERROR(__xludf.DUMMYFUNCTION("""COMPUTED_VALUE"""),0.4)</f>
        <v>0.4</v>
      </c>
    </row>
    <row r="8637">
      <c r="A8637" s="10" t="s">
        <v>10076</v>
      </c>
      <c r="B8637" s="7" t="str">
        <f>IFERROR(__xludf.DUMMYFUNCTION("SPLIT(A8637,"" "")"),"CCNCC1=CCC(N(C)Cc2cccc(C)n2)=CN1")</f>
        <v>CCNCC1=CCC(N(C)Cc2cccc(C)n2)=CN1</v>
      </c>
      <c r="C8637" s="7">
        <f>IFERROR(__xludf.DUMMYFUNCTION("""COMPUTED_VALUE"""),7.772871)</f>
        <v>7.772871</v>
      </c>
      <c r="D8637" s="7">
        <f>IFERROR(__xludf.DUMMYFUNCTION("""COMPUTED_VALUE"""),0.408163265306122)</f>
        <v>0.4081632653</v>
      </c>
    </row>
    <row r="8638">
      <c r="A8638" s="10" t="s">
        <v>10077</v>
      </c>
      <c r="B8638" s="7" t="str">
        <f>IFERROR(__xludf.DUMMYFUNCTION("SPLIT(A8638,"" "")"),"CN(c1ccc2nc(CF)ccc2c1)C1CCCCC1N(Cc1ccccc1)Cc1ccccn1")</f>
        <v>CN(c1ccc2nc(CF)ccc2c1)C1CCCCC1N(Cc1ccccc1)Cc1ccccn1</v>
      </c>
      <c r="C8638" s="7">
        <f>IFERROR(__xludf.DUMMYFUNCTION("""COMPUTED_VALUE"""),7.772863)</f>
        <v>7.772863</v>
      </c>
      <c r="D8638" s="7">
        <f>IFERROR(__xludf.DUMMYFUNCTION("""COMPUTED_VALUE"""),0.448275862068965)</f>
        <v>0.4482758621</v>
      </c>
    </row>
    <row r="8639">
      <c r="A8639" s="10" t="s">
        <v>10078</v>
      </c>
      <c r="B8639" s="7" t="str">
        <f>IFERROR(__xludf.DUMMYFUNCTION("SPLIT(A8639,"" "")"),"Cc1cnc(CN(C)CC2=CCC(N(C)C(C)C)=CN2)cc1C")</f>
        <v>Cc1cnc(CN(C)CC2=CCC(N(C)C(C)C)=CN2)cc1C</v>
      </c>
      <c r="C8639" s="7">
        <f>IFERROR(__xludf.DUMMYFUNCTION("""COMPUTED_VALUE"""),7.7728624)</f>
        <v>7.7728624</v>
      </c>
      <c r="D8639" s="7">
        <f>IFERROR(__xludf.DUMMYFUNCTION("""COMPUTED_VALUE"""),0.326923076923076)</f>
        <v>0.3269230769</v>
      </c>
    </row>
    <row r="8640">
      <c r="A8640" s="10" t="s">
        <v>10079</v>
      </c>
      <c r="B8640" s="7" t="str">
        <f>IFERROR(__xludf.DUMMYFUNCTION("SPLIT(A8640,"" "")"),"Cc1ccc(CN(C)CCN(Cc2ccccn2)C(C)N(Cc2ccccn2)Cc2cccc(CN(Cc3ccccn3)C(C)(C)c3cccnc3CN(Cc3ccccn3)C(C)C)n2)nc1")</f>
        <v>Cc1ccc(CN(C)CCN(Cc2ccccn2)C(C)N(Cc2ccccn2)Cc2cccc(CN(Cc3ccccn3)C(C)(C)c3cccnc3CN(Cc3ccccn3)C(C)C)n2)nc1</v>
      </c>
      <c r="C8640" s="7">
        <f>IFERROR(__xludf.DUMMYFUNCTION("""COMPUTED_VALUE"""),7.7728615)</f>
        <v>7.7728615</v>
      </c>
      <c r="D8640" s="7">
        <f>IFERROR(__xludf.DUMMYFUNCTION("""COMPUTED_VALUE"""),0.412698412698412)</f>
        <v>0.4126984127</v>
      </c>
    </row>
    <row r="8641">
      <c r="A8641" s="10" t="s">
        <v>10080</v>
      </c>
      <c r="B8641" s="7" t="str">
        <f>IFERROR(__xludf.DUMMYFUNCTION("SPLIT(A8641,"" "")"),"CCN(Cc1cc(-c2cccc(N=Cc3ccccn3)c2)ccn1)Cc1cc(-c2ccc3c(c2)OCCOCCOCCOCCOCCO3)ccn1")</f>
        <v>CCN(Cc1cc(-c2cccc(N=Cc3ccccn3)c2)ccn1)Cc1cc(-c2ccc3c(c2)OCCOCCOCCOCCOCCO3)ccn1</v>
      </c>
      <c r="C8641" s="7">
        <f>IFERROR(__xludf.DUMMYFUNCTION("""COMPUTED_VALUE"""),7.7728596)</f>
        <v>7.7728596</v>
      </c>
      <c r="D8641" s="7">
        <f>IFERROR(__xludf.DUMMYFUNCTION("""COMPUTED_VALUE"""),0.316455696202531)</f>
        <v>0.3164556962</v>
      </c>
    </row>
    <row r="8642">
      <c r="A8642" s="10" t="s">
        <v>10081</v>
      </c>
      <c r="B8642" s="7" t="str">
        <f>IFERROR(__xludf.DUMMYFUNCTION("SPLIT(A8642,"" "")"),"CC(C)N(C)Cc1cc(C(C)(C)c2ccccn2)ccn1")</f>
        <v>CC(C)N(C)Cc1cc(C(C)(C)c2ccccn2)ccn1</v>
      </c>
      <c r="C8642" s="7">
        <f>IFERROR(__xludf.DUMMYFUNCTION("""COMPUTED_VALUE"""),7.7728505)</f>
        <v>7.7728505</v>
      </c>
      <c r="D8642" s="7">
        <f>IFERROR(__xludf.DUMMYFUNCTION("""COMPUTED_VALUE"""),0.404255319148936)</f>
        <v>0.4042553191</v>
      </c>
    </row>
    <row r="8643">
      <c r="A8643" s="10" t="s">
        <v>10082</v>
      </c>
      <c r="B8643" s="7" t="str">
        <f>IFERROR(__xludf.DUMMYFUNCTION("SPLIT(A8643,"" "")"),"CN(C)Cc1cnc2cc(N(C)C3CCCC(N(C)CC4=CCC=CN4)C3)ccc2c1")</f>
        <v>CN(C)Cc1cnc2cc(N(C)C3CCCC(N(C)CC4=CCC=CN4)C3)ccc2c1</v>
      </c>
      <c r="C8643" s="7">
        <f>IFERROR(__xludf.DUMMYFUNCTION("""COMPUTED_VALUE"""),7.7728457)</f>
        <v>7.7728457</v>
      </c>
      <c r="D8643" s="7">
        <f>IFERROR(__xludf.DUMMYFUNCTION("""COMPUTED_VALUE"""),0.318840579710144)</f>
        <v>0.3188405797</v>
      </c>
    </row>
    <row r="8644">
      <c r="A8644" s="10" t="s">
        <v>10083</v>
      </c>
      <c r="B8644" s="7" t="str">
        <f>IFERROR(__xludf.DUMMYFUNCTION("SPLIT(A8644,"" "")"),"Cc1cnc(CN(Cc2ccccc2N(C)Cc2ccccn2)C(C)(C)c2cnccc2CN(Cc2ccccn2)Cc2cccc(-c3ccc4c(c3)OCCOCCOCCOCCOCCO4)n2)c(C)c1")</f>
        <v>Cc1cnc(CN(Cc2ccccc2N(C)Cc2ccccn2)C(C)(C)c2cnccc2CN(Cc2ccccn2)Cc2cccc(-c3ccc4c(c3)OCCOCCOCCOCCOCCO4)n2)c(C)c1</v>
      </c>
      <c r="C8644" s="7">
        <f>IFERROR(__xludf.DUMMYFUNCTION("""COMPUTED_VALUE"""),7.772838)</f>
        <v>7.772838</v>
      </c>
      <c r="D8644" s="7">
        <f>IFERROR(__xludf.DUMMYFUNCTION("""COMPUTED_VALUE"""),0.33695652173913)</f>
        <v>0.3369565217</v>
      </c>
    </row>
    <row r="8645">
      <c r="A8645" s="10" t="s">
        <v>10084</v>
      </c>
      <c r="B8645" s="7" t="str">
        <f>IFERROR(__xludf.DUMMYFUNCTION("SPLIT(A8645,"" "")"),"CCN(Cc1cc(C)ccn1)Cc1cc(CN(C)Cc2cc(C)ccn2)ccn1")</f>
        <v>CCN(Cc1cc(C)ccn1)Cc1cc(CN(C)Cc2cc(C)ccn2)ccn1</v>
      </c>
      <c r="C8645" s="7">
        <f>IFERROR(__xludf.DUMMYFUNCTION("""COMPUTED_VALUE"""),7.772837)</f>
        <v>7.772837</v>
      </c>
      <c r="D8645" s="7">
        <f>IFERROR(__xludf.DUMMYFUNCTION("""COMPUTED_VALUE"""),0.422222222222222)</f>
        <v>0.4222222222</v>
      </c>
    </row>
    <row r="8646">
      <c r="A8646" s="10" t="s">
        <v>10085</v>
      </c>
      <c r="B8646" s="7" t="str">
        <f>IFERROR(__xludf.DUMMYFUNCTION("SPLIT(A8646,"" "")"),"CCN(Cc1ccccn1)C1=CNC(CN(C)C(C)(C)c2ccccn2)=CC1")</f>
        <v>CCN(Cc1ccccn1)C1=CNC(CN(C)C(C)(C)c2ccccn2)=CC1</v>
      </c>
      <c r="C8646" s="7">
        <f>IFERROR(__xludf.DUMMYFUNCTION("""COMPUTED_VALUE"""),7.772834)</f>
        <v>7.772834</v>
      </c>
      <c r="D8646" s="7">
        <f>IFERROR(__xludf.DUMMYFUNCTION("""COMPUTED_VALUE"""),0.370967741935483)</f>
        <v>0.3709677419</v>
      </c>
    </row>
    <row r="8647">
      <c r="A8647" s="10" t="s">
        <v>10086</v>
      </c>
      <c r="B8647" s="7" t="str">
        <f>IFERROR(__xludf.DUMMYFUNCTION("SPLIT(A8647,"" "")"),"Cc1cnc(C)c(CN(C)CN(C)Cc2ccccn2)c1C")</f>
        <v>Cc1cnc(C)c(CN(C)CN(C)Cc2ccccn2)c1C</v>
      </c>
      <c r="C8647" s="7">
        <f>IFERROR(__xludf.DUMMYFUNCTION("""COMPUTED_VALUE"""),7.7728314)</f>
        <v>7.7728314</v>
      </c>
      <c r="D8647" s="7">
        <f>IFERROR(__xludf.DUMMYFUNCTION("""COMPUTED_VALUE"""),0.465116279069767)</f>
        <v>0.4651162791</v>
      </c>
    </row>
    <row r="8648">
      <c r="A8648" s="10" t="s">
        <v>10087</v>
      </c>
      <c r="B8648" s="7" t="str">
        <f>IFERROR(__xludf.DUMMYFUNCTION("SPLIT(A8648,"" "")"),"Cc1cc(C)c(C)c(CN(C)CN(C)Cc2ncccc2CF)n1")</f>
        <v>Cc1cc(C)c(C)c(CN(C)CN(C)Cc2ncccc2CF)n1</v>
      </c>
      <c r="C8648" s="7">
        <f>IFERROR(__xludf.DUMMYFUNCTION("""COMPUTED_VALUE"""),7.772821)</f>
        <v>7.772821</v>
      </c>
      <c r="D8648" s="7">
        <f>IFERROR(__xludf.DUMMYFUNCTION("""COMPUTED_VALUE"""),0.346153846153846)</f>
        <v>0.3461538462</v>
      </c>
    </row>
    <row r="8649">
      <c r="A8649" s="10" t="s">
        <v>10088</v>
      </c>
      <c r="B8649" s="7" t="str">
        <f>IFERROR(__xludf.DUMMYFUNCTION("SPLIT(A8649,"" "")"),"CCNCc1cc(CN(C)C2CCCC(N(C)c3ccc4c(CF)ccnc4c3)C2)ccn1")</f>
        <v>CCNCc1cc(CN(C)C2CCCC(N(C)c3ccc4c(CF)ccnc4c3)C2)ccn1</v>
      </c>
      <c r="C8649" s="7">
        <f>IFERROR(__xludf.DUMMYFUNCTION("""COMPUTED_VALUE"""),7.7728167)</f>
        <v>7.7728167</v>
      </c>
      <c r="D8649" s="7">
        <f>IFERROR(__xludf.DUMMYFUNCTION("""COMPUTED_VALUE"""),0.257142857142857)</f>
        <v>0.2571428571</v>
      </c>
    </row>
    <row r="8650">
      <c r="A8650" s="10" t="s">
        <v>10089</v>
      </c>
      <c r="B8650" s="7" t="str">
        <f>IFERROR(__xludf.DUMMYFUNCTION("SPLIT(A8650,"" "")"),"CCN(Cc1cc(-c2ccc3c(c2)OCCOCCOCCOCCOCCO3)ccn1)Cc1cc(-c2ccccc2N=Cc2ccccn2)ccn1")</f>
        <v>CCN(Cc1cc(-c2ccc3c(c2)OCCOCCOCCOCCOCCO3)ccn1)Cc1cc(-c2ccccc2N=Cc2ccccn2)ccn1</v>
      </c>
      <c r="C8650" s="7">
        <f>IFERROR(__xludf.DUMMYFUNCTION("""COMPUTED_VALUE"""),7.772815)</f>
        <v>7.772815</v>
      </c>
      <c r="D8650" s="7">
        <f>IFERROR(__xludf.DUMMYFUNCTION("""COMPUTED_VALUE"""),0.333333333333333)</f>
        <v>0.3333333333</v>
      </c>
    </row>
    <row r="8651">
      <c r="A8651" s="10" t="s">
        <v>10090</v>
      </c>
      <c r="B8651" s="7" t="str">
        <f>IFERROR(__xludf.DUMMYFUNCTION("SPLIT(A8651,"" "")"),"CNc1cncc(CF)c1")</f>
        <v>CNc1cncc(CF)c1</v>
      </c>
      <c r="C8651" s="7">
        <f>IFERROR(__xludf.DUMMYFUNCTION("""COMPUTED_VALUE"""),7.7728143)</f>
        <v>7.7728143</v>
      </c>
      <c r="D8651" s="7">
        <f>IFERROR(__xludf.DUMMYFUNCTION("""COMPUTED_VALUE"""),0.173076923076923)</f>
        <v>0.1730769231</v>
      </c>
    </row>
    <row r="8652">
      <c r="A8652" s="10" t="s">
        <v>10091</v>
      </c>
      <c r="B8652" s="7" t="str">
        <f>IFERROR(__xludf.DUMMYFUNCTION("SPLIT(A8652,"" "")"),"CC(c1ccccc1)(c1ccccc1)c1ccccc1")</f>
        <v>CC(c1ccccc1)(c1ccccc1)c1ccccc1</v>
      </c>
      <c r="C8652" s="7">
        <f>IFERROR(__xludf.DUMMYFUNCTION("""COMPUTED_VALUE"""),7.7728124)</f>
        <v>7.7728124</v>
      </c>
      <c r="D8652" s="7">
        <f>IFERROR(__xludf.DUMMYFUNCTION("""COMPUTED_VALUE"""),0.388888888888888)</f>
        <v>0.3888888889</v>
      </c>
    </row>
    <row r="8653">
      <c r="A8653" s="10" t="s">
        <v>10092</v>
      </c>
      <c r="B8653" s="7" t="str">
        <f>IFERROR(__xludf.DUMMYFUNCTION("SPLIT(A8653,"" "")"),"CN(C)Cc1cnc2cccc(N(C)C3CCCCC3N(CF)Cc3ccccn3)c2c1")</f>
        <v>CN(C)Cc1cnc2cccc(N(C)C3CCCCC3N(CF)Cc3ccccn3)c2c1</v>
      </c>
      <c r="C8653" s="7">
        <f>IFERROR(__xludf.DUMMYFUNCTION("""COMPUTED_VALUE"""),7.7728095)</f>
        <v>7.7728095</v>
      </c>
      <c r="D8653" s="7">
        <f>IFERROR(__xludf.DUMMYFUNCTION("""COMPUTED_VALUE"""),0.433333333333333)</f>
        <v>0.4333333333</v>
      </c>
    </row>
    <row r="8654">
      <c r="A8654" s="10" t="s">
        <v>10093</v>
      </c>
      <c r="B8654" s="7" t="str">
        <f>IFERROR(__xludf.DUMMYFUNCTION("SPLIT(A8654,"" "")"),"COC(=O)C(C)NCc1ccc(CN(Cc2ccccn2)Cc2ccccn2)cn1")</f>
        <v>COC(=O)C(C)NCc1ccc(CN(Cc2ccccn2)Cc2ccccn2)cn1</v>
      </c>
      <c r="C8654" s="7">
        <f>IFERROR(__xludf.DUMMYFUNCTION("""COMPUTED_VALUE"""),7.772806)</f>
        <v>7.772806</v>
      </c>
      <c r="D8654" s="7">
        <f>IFERROR(__xludf.DUMMYFUNCTION("""COMPUTED_VALUE"""),0.425531914893617)</f>
        <v>0.4255319149</v>
      </c>
    </row>
    <row r="8655">
      <c r="A8655" s="10" t="s">
        <v>10094</v>
      </c>
      <c r="B8655" s="7" t="str">
        <f>IFERROR(__xludf.DUMMYFUNCTION("SPLIT(A8655,"" "")"),"Cc1ccnc(CN(C)CCN(Cc2cc(C)ccn2)Cc2cc(C)cc(C)n2)c1")</f>
        <v>Cc1ccnc(CN(C)CCN(Cc2cc(C)ccn2)Cc2cc(C)cc(C)n2)c1</v>
      </c>
      <c r="C8655" s="7">
        <f>IFERROR(__xludf.DUMMYFUNCTION("""COMPUTED_VALUE"""),7.772803)</f>
        <v>7.772803</v>
      </c>
      <c r="D8655" s="7">
        <f>IFERROR(__xludf.DUMMYFUNCTION("""COMPUTED_VALUE"""),0.441860465116279)</f>
        <v>0.4418604651</v>
      </c>
    </row>
    <row r="8656">
      <c r="A8656" s="10" t="s">
        <v>10095</v>
      </c>
      <c r="B8656" s="7" t="str">
        <f>IFERROR(__xludf.DUMMYFUNCTION("SPLIT(A8656,"" "")"),"COC(C)CNCc1ccc(CN(Cc2ccccn2)Cc2cc(C)c(C)c(C)n2)cn1")</f>
        <v>COC(C)CNCc1ccc(CN(Cc2ccccn2)Cc2cc(C)c(C)c(C)n2)cn1</v>
      </c>
      <c r="C8656" s="7">
        <f>IFERROR(__xludf.DUMMYFUNCTION("""COMPUTED_VALUE"""),7.7727942)</f>
        <v>7.7727942</v>
      </c>
      <c r="D8656" s="7">
        <f>IFERROR(__xludf.DUMMYFUNCTION("""COMPUTED_VALUE"""),0.350877192982456)</f>
        <v>0.350877193</v>
      </c>
    </row>
    <row r="8657">
      <c r="A8657" s="10" t="s">
        <v>10096</v>
      </c>
      <c r="B8657" s="7" t="str">
        <f>IFERROR(__xludf.DUMMYFUNCTION("SPLIT(A8657,"" "")"),"CN(CC1=CC(N(C)Cc2ccccn2)C=CN1)C1C=CNC(CN(C)C2C=C(NCc3ccccn3)C=CN2)=C1")</f>
        <v>CN(CC1=CC(N(C)Cc2ccccn2)C=CN1)C1C=CNC(CN(C)C2C=C(NCc3ccccn3)C=CN2)=C1</v>
      </c>
      <c r="C8657" s="7">
        <f>IFERROR(__xludf.DUMMYFUNCTION("""COMPUTED_VALUE"""),7.772794)</f>
        <v>7.772794</v>
      </c>
      <c r="D8657" s="7">
        <f>IFERROR(__xludf.DUMMYFUNCTION("""COMPUTED_VALUE"""),0.360655737704918)</f>
        <v>0.3606557377</v>
      </c>
    </row>
    <row r="8658">
      <c r="A8658" s="10" t="s">
        <v>10097</v>
      </c>
      <c r="B8658" s="7" t="str">
        <f>IFERROR(__xludf.DUMMYFUNCTION("SPLIT(A8658,"" "")"),"CC(C)c1cc(CN2CCN(C)CCN(Cc3ccc(-c4cc(NCc5ccccn5)ccc4Cl)cn3)CC2)ccn1")</f>
        <v>CC(C)c1cc(CN2CCN(C)CCN(Cc3ccc(-c4cc(NCc5ccccn5)ccc4Cl)cn3)CC2)ccn1</v>
      </c>
      <c r="C8658" s="7">
        <f>IFERROR(__xludf.DUMMYFUNCTION("""COMPUTED_VALUE"""),7.772782)</f>
        <v>7.772782</v>
      </c>
      <c r="D8658" s="7">
        <f>IFERROR(__xludf.DUMMYFUNCTION("""COMPUTED_VALUE"""),0.424242424242424)</f>
        <v>0.4242424242</v>
      </c>
    </row>
    <row r="8659">
      <c r="A8659" s="10" t="s">
        <v>10098</v>
      </c>
      <c r="B8659" s="7" t="str">
        <f>IFERROR(__xludf.DUMMYFUNCTION("SPLIT(A8659,"" "")"),"CC(C)NCc1cc(NC2C=CC=CN2)ccn1")</f>
        <v>CC(C)NCc1cc(NC2C=CC=CN2)ccn1</v>
      </c>
      <c r="C8659" s="7">
        <f>IFERROR(__xludf.DUMMYFUNCTION("""COMPUTED_VALUE"""),7.772778)</f>
        <v>7.772778</v>
      </c>
      <c r="D8659" s="7">
        <f>IFERROR(__xludf.DUMMYFUNCTION("""COMPUTED_VALUE"""),0.339285714285714)</f>
        <v>0.3392857143</v>
      </c>
    </row>
    <row r="8660">
      <c r="A8660" s="10" t="s">
        <v>10099</v>
      </c>
      <c r="B8660" s="7" t="str">
        <f>IFERROR(__xludf.DUMMYFUNCTION("SPLIT(A8660,"" "")"),"CC1(C)COC(c2cccc(CN(Cc3cccc(C4=NC(C)(C)CO4)n3)Cc3cccc(-c4ccc5c(c4)OCCOCCOCCOCCOCCO5)n3)n2)=N1")</f>
        <v>CC1(C)COC(c2cccc(CN(Cc3cccc(C4=NC(C)(C)CO4)n3)Cc3cccc(-c4ccc5c(c4)OCCOCCOCCOCCOCCO5)n3)n2)=N1</v>
      </c>
      <c r="C8660" s="7">
        <f>IFERROR(__xludf.DUMMYFUNCTION("""COMPUTED_VALUE"""),7.7727766)</f>
        <v>7.7727766</v>
      </c>
      <c r="D8660" s="7">
        <f>IFERROR(__xludf.DUMMYFUNCTION("""COMPUTED_VALUE"""),0.48076923076923)</f>
        <v>0.4807692308</v>
      </c>
    </row>
    <row r="8661">
      <c r="A8661" s="10" t="s">
        <v>10100</v>
      </c>
      <c r="B8661" s="7" t="str">
        <f>IFERROR(__xludf.DUMMYFUNCTION("SPLIT(A8661,"" "")"),"CNCc1cc(CN(C)Cc2cccc(N)n2)ccn1")</f>
        <v>CNCc1cc(CN(C)Cc2cccc(N)n2)ccn1</v>
      </c>
      <c r="C8661" s="7">
        <f>IFERROR(__xludf.DUMMYFUNCTION("""COMPUTED_VALUE"""),7.772757)</f>
        <v>7.772757</v>
      </c>
      <c r="D8661" s="7">
        <f>IFERROR(__xludf.DUMMYFUNCTION("""COMPUTED_VALUE"""),0.42)</f>
        <v>0.42</v>
      </c>
    </row>
    <row r="8662">
      <c r="A8662" s="10" t="s">
        <v>10101</v>
      </c>
      <c r="B8662" s="7" t="str">
        <f>IFERROR(__xludf.DUMMYFUNCTION("SPLIT(A8662,"" "")"),"CCN(Cc1ccccn1)C1CCC(N(C)c2ccc3ncccc3c2)CC1")</f>
        <v>CCN(Cc1ccccn1)C1CCC(N(C)c2ccc3ncccc3c2)CC1</v>
      </c>
      <c r="C8662" s="7">
        <f>IFERROR(__xludf.DUMMYFUNCTION("""COMPUTED_VALUE"""),7.7727523)</f>
        <v>7.7727523</v>
      </c>
      <c r="D8662" s="7">
        <f>IFERROR(__xludf.DUMMYFUNCTION("""COMPUTED_VALUE"""),0.407407407407407)</f>
        <v>0.4074074074</v>
      </c>
    </row>
    <row r="8663">
      <c r="A8663" s="10" t="s">
        <v>10102</v>
      </c>
      <c r="B8663" s="7" t="str">
        <f>IFERROR(__xludf.DUMMYFUNCTION("SPLIT(A8663,"" "")"),"CN(CCN(C)CC(C)(C)C)Cc1ccc2ncccc2c1")</f>
        <v>CN(CCN(C)CC(C)(C)C)Cc1ccc2ncccc2c1</v>
      </c>
      <c r="C8663" s="7">
        <f>IFERROR(__xludf.DUMMYFUNCTION("""COMPUTED_VALUE"""),7.772751)</f>
        <v>7.772751</v>
      </c>
      <c r="D8663" s="7">
        <f>IFERROR(__xludf.DUMMYFUNCTION("""COMPUTED_VALUE"""),0.425531914893617)</f>
        <v>0.4255319149</v>
      </c>
    </row>
    <row r="8664">
      <c r="A8664" s="10" t="s">
        <v>10103</v>
      </c>
      <c r="B8664" s="7" t="str">
        <f>IFERROR(__xludf.DUMMYFUNCTION("SPLIT(A8664,"" "")"),"CC(C)c1cccc(CN2CCCC2C2CCCN2Cc2cccc(-c3cccc(N=Cc4ccccn4)c3)n2)n1")</f>
        <v>CC(C)c1cccc(CN2CCCC2C2CCCN2Cc2cccc(-c3cccc(N=Cc4ccccn4)c3)n2)n1</v>
      </c>
      <c r="C8664" s="7">
        <f>IFERROR(__xludf.DUMMYFUNCTION("""COMPUTED_VALUE"""),7.7727504)</f>
        <v>7.7727504</v>
      </c>
      <c r="D8664" s="7">
        <f>IFERROR(__xludf.DUMMYFUNCTION("""COMPUTED_VALUE"""),0.435483870967741)</f>
        <v>0.435483871</v>
      </c>
    </row>
    <row r="8665">
      <c r="A8665" s="10" t="s">
        <v>10104</v>
      </c>
      <c r="B8665" s="7" t="str">
        <f>IFERROR(__xludf.DUMMYFUNCTION("SPLIT(A8665,"" "")"),"COC(=O)C1C(C(=O)NCc2ccccn2)N(C)CC2C=CC=CC21c1ccccn1")</f>
        <v>COC(=O)C1C(C(=O)NCc2ccccn2)N(C)CC2C=CC=CC21c1ccccn1</v>
      </c>
      <c r="C8665" s="7">
        <f>IFERROR(__xludf.DUMMYFUNCTION("""COMPUTED_VALUE"""),7.7727413)</f>
        <v>7.7727413</v>
      </c>
      <c r="D8665" s="7">
        <f>IFERROR(__xludf.DUMMYFUNCTION("""COMPUTED_VALUE"""),0.282051282051282)</f>
        <v>0.2820512821</v>
      </c>
    </row>
    <row r="8666">
      <c r="A8666" s="10" t="s">
        <v>10105</v>
      </c>
      <c r="B8666" s="7" t="str">
        <f>IFERROR(__xludf.DUMMYFUNCTION("SPLIT(A8666,"" "")"),"C=CCNCc1cccc(CN(Cc2cccc(C)n2)Cc2cccc(C)n2)n1")</f>
        <v>C=CCNCc1cccc(CN(Cc2cccc(C)n2)Cc2cccc(C)n2)n1</v>
      </c>
      <c r="C8666" s="7">
        <f>IFERROR(__xludf.DUMMYFUNCTION("""COMPUTED_VALUE"""),7.772741)</f>
        <v>7.772741</v>
      </c>
      <c r="D8666" s="7">
        <f>IFERROR(__xludf.DUMMYFUNCTION("""COMPUTED_VALUE"""),0.48780487804878)</f>
        <v>0.487804878</v>
      </c>
    </row>
    <row r="8667">
      <c r="A8667" s="10" t="s">
        <v>10106</v>
      </c>
      <c r="B8667" s="7" t="str">
        <f>IFERROR(__xludf.DUMMYFUNCTION("SPLIT(A8667,"" "")"),"CCNCc1ncccc1CN(Cc1ccccn1)C1CCC(N(C)c2ccc3cccnc3c2)CC1")</f>
        <v>CCNCc1ncccc1CN(Cc1ccccn1)C1CCC(N(C)c2ccc3cccnc3c2)CC1</v>
      </c>
      <c r="C8667" s="7">
        <f>IFERROR(__xludf.DUMMYFUNCTION("""COMPUTED_VALUE"""),7.772729)</f>
        <v>7.772729</v>
      </c>
      <c r="D8667" s="7">
        <f>IFERROR(__xludf.DUMMYFUNCTION("""COMPUTED_VALUE"""),0.348484848484848)</f>
        <v>0.3484848485</v>
      </c>
    </row>
    <row r="8668">
      <c r="A8668" s="10" t="s">
        <v>10107</v>
      </c>
      <c r="B8668" s="7" t="str">
        <f>IFERROR(__xludf.DUMMYFUNCTION("SPLIT(A8668,"" "")"),"CCN(CC1=CC(N(C)Cc2nc(C)c(C)c(C)c2C)C=CN1)Cc1ccccn1")</f>
        <v>CCN(CC1=CC(N(C)Cc2nc(C)c(C)c(C)c2C)C=CN1)Cc1ccccn1</v>
      </c>
      <c r="C8668" s="7">
        <f>IFERROR(__xludf.DUMMYFUNCTION("""COMPUTED_VALUE"""),7.7727256)</f>
        <v>7.7727256</v>
      </c>
      <c r="D8668" s="7">
        <f>IFERROR(__xludf.DUMMYFUNCTION("""COMPUTED_VALUE"""),0.390625)</f>
        <v>0.390625</v>
      </c>
    </row>
    <row r="8669">
      <c r="A8669" s="10" t="s">
        <v>10108</v>
      </c>
      <c r="B8669" s="7" t="str">
        <f>IFERROR(__xludf.DUMMYFUNCTION("SPLIT(A8669,"" "")"),"CNCc1ncccc1CN(Cc1ccccn1)Cc1cc(C)ccn1")</f>
        <v>CNCc1ncccc1CN(Cc1ccccn1)Cc1cc(C)ccn1</v>
      </c>
      <c r="C8669" s="7">
        <f>IFERROR(__xludf.DUMMYFUNCTION("""COMPUTED_VALUE"""),7.772721)</f>
        <v>7.772721</v>
      </c>
      <c r="D8669" s="7">
        <f>IFERROR(__xludf.DUMMYFUNCTION("""COMPUTED_VALUE"""),0.465116279069767)</f>
        <v>0.4651162791</v>
      </c>
    </row>
    <row r="8670">
      <c r="A8670" s="10" t="s">
        <v>10109</v>
      </c>
      <c r="B8670" s="7" t="str">
        <f>IFERROR(__xludf.DUMMYFUNCTION("SPLIT(A8670,"" "")"),"CC(C)(c1cccc(CNc2cccc(-c3cccc(-c4ccc5c(c4)OCCOCCOCCOCCOCCO5)n3)n2)n1)c1cccc(C2CCC2(C)C)n1")</f>
        <v>CC(C)(c1cccc(CNc2cccc(-c3cccc(-c4ccc5c(c4)OCCOCCOCCOCCOCCO5)n3)n2)n1)c1cccc(C2CCC2(C)C)n1</v>
      </c>
      <c r="C8670" s="7">
        <f>IFERROR(__xludf.DUMMYFUNCTION("""COMPUTED_VALUE"""),7.7727127)</f>
        <v>7.7727127</v>
      </c>
      <c r="D8670" s="7">
        <f>IFERROR(__xludf.DUMMYFUNCTION("""COMPUTED_VALUE"""),0.294117647058823)</f>
        <v>0.2941176471</v>
      </c>
    </row>
    <row r="8671">
      <c r="A8671" s="10" t="s">
        <v>10110</v>
      </c>
      <c r="B8671" s="7" t="str">
        <f>IFERROR(__xludf.DUMMYFUNCTION("SPLIT(A8671,"" "")"),"Cc1cnc(C)c(CN(C)CC2=C(N(C)C(C)C)CC=CN2)c1")</f>
        <v>Cc1cnc(C)c(CN(C)CC2=C(N(C)C(C)C)CC=CN2)c1</v>
      </c>
      <c r="C8671" s="7">
        <f>IFERROR(__xludf.DUMMYFUNCTION("""COMPUTED_VALUE"""),7.7727103)</f>
        <v>7.7727103</v>
      </c>
      <c r="D8671" s="7">
        <f>IFERROR(__xludf.DUMMYFUNCTION("""COMPUTED_VALUE"""),0.277777777777777)</f>
        <v>0.2777777778</v>
      </c>
    </row>
    <row r="8672">
      <c r="A8672" s="10" t="s">
        <v>10111</v>
      </c>
      <c r="B8672" s="7" t="str">
        <f>IFERROR(__xludf.DUMMYFUNCTION("SPLIT(A8672,"" "")"),"Cc1cnc(CN(C)c2ccc3c(c2)OCCOCCOCCOCCOCCO3)c(-c2cccc(CN(Cc3ccccn3)C3CCC(N(C)c4ccc5nc(CF)ccc5c4)CC3)n2)c1")</f>
        <v>Cc1cnc(CN(C)c2ccc3c(c2)OCCOCCOCCOCCOCCO3)c(-c2cccc(CN(Cc3ccccn3)C3CCC(N(C)c4ccc5nc(CF)ccc5c4)CC3)n2)c1</v>
      </c>
      <c r="C8672" s="7">
        <f>IFERROR(__xludf.DUMMYFUNCTION("""COMPUTED_VALUE"""),7.772709)</f>
        <v>7.772709</v>
      </c>
      <c r="D8672" s="7">
        <f>IFERROR(__xludf.DUMMYFUNCTION("""COMPUTED_VALUE"""),0.298850574712643)</f>
        <v>0.2988505747</v>
      </c>
    </row>
    <row r="8673">
      <c r="A8673" s="10" t="s">
        <v>10112</v>
      </c>
      <c r="B8673" s="7" t="str">
        <f>IFERROR(__xludf.DUMMYFUNCTION("SPLIT(A8673,"" "")"),"CCNC1NC=CC=C1N(C)Cc1ncccc1C")</f>
        <v>CCNC1NC=CC=C1N(C)Cc1ncccc1C</v>
      </c>
      <c r="C8673" s="7">
        <f>IFERROR(__xludf.DUMMYFUNCTION("""COMPUTED_VALUE"""),7.772699)</f>
        <v>7.772699</v>
      </c>
      <c r="D8673" s="7">
        <f>IFERROR(__xludf.DUMMYFUNCTION("""COMPUTED_VALUE"""),0.274193548387096)</f>
        <v>0.2741935484</v>
      </c>
    </row>
    <row r="8674">
      <c r="A8674" s="10" t="s">
        <v>10113</v>
      </c>
      <c r="B8674" s="7" t="str">
        <f>IFERROR(__xludf.DUMMYFUNCTION("SPLIT(A8674,"" "")"),"Cc1cnc(CN(C)C2C=CNC(CN(Cc3ccccn3)C(C)C)=C2)c(C)c1")</f>
        <v>Cc1cnc(CN(C)C2C=CNC(CN(Cc3ccccn3)C(C)C)=C2)c(C)c1</v>
      </c>
      <c r="C8674" s="7">
        <f>IFERROR(__xludf.DUMMYFUNCTION("""COMPUTED_VALUE"""),7.772695)</f>
        <v>7.772695</v>
      </c>
      <c r="D8674" s="7">
        <f>IFERROR(__xludf.DUMMYFUNCTION("""COMPUTED_VALUE"""),0.406779661016949)</f>
        <v>0.406779661</v>
      </c>
    </row>
    <row r="8675">
      <c r="A8675" s="10" t="s">
        <v>10114</v>
      </c>
      <c r="B8675" s="7" t="str">
        <f>IFERROR(__xludf.DUMMYFUNCTION("SPLIT(A8675,"" "")"),"Cc1ncccc1N(C)CCN(C)C(C)(C)c1ccccn1")</f>
        <v>Cc1ncccc1N(C)CCN(C)C(C)(C)c1ccccn1</v>
      </c>
      <c r="C8675" s="7">
        <f>IFERROR(__xludf.DUMMYFUNCTION("""COMPUTED_VALUE"""),7.7726946)</f>
        <v>7.7726946</v>
      </c>
      <c r="D8675" s="7">
        <f>IFERROR(__xludf.DUMMYFUNCTION("""COMPUTED_VALUE"""),0.422222222222222)</f>
        <v>0.4222222222</v>
      </c>
    </row>
    <row r="8676">
      <c r="A8676" s="10" t="s">
        <v>10115</v>
      </c>
      <c r="B8676" s="7" t="str">
        <f>IFERROR(__xludf.DUMMYFUNCTION("SPLIT(A8676,"" "")"),"CNCc1ncccc1CN(Cc1ccccn1)Cc1ncccc1F")</f>
        <v>CNCc1ncccc1CN(Cc1ccccn1)Cc1ncccc1F</v>
      </c>
      <c r="C8676" s="7">
        <f>IFERROR(__xludf.DUMMYFUNCTION("""COMPUTED_VALUE"""),7.772693)</f>
        <v>7.772693</v>
      </c>
      <c r="D8676" s="7">
        <f>IFERROR(__xludf.DUMMYFUNCTION("""COMPUTED_VALUE"""),0.476190476190476)</f>
        <v>0.4761904762</v>
      </c>
    </row>
    <row r="8677">
      <c r="A8677" s="10" t="s">
        <v>10116</v>
      </c>
      <c r="B8677" s="7" t="str">
        <f>IFERROR(__xludf.DUMMYFUNCTION("SPLIT(A8677,"" "")"),"CN(c1ccc2nc(CF)ccc2c1)C1CCCCC1N(Cc1ccccn1)C1C=CC=CN1")</f>
        <v>CN(c1ccc2nc(CF)ccc2c1)C1CCCCC1N(Cc1ccccn1)C1C=CC=CN1</v>
      </c>
      <c r="C8677" s="7">
        <f>IFERROR(__xludf.DUMMYFUNCTION("""COMPUTED_VALUE"""),7.7726912)</f>
        <v>7.7726912</v>
      </c>
      <c r="D8677" s="7">
        <f>IFERROR(__xludf.DUMMYFUNCTION("""COMPUTED_VALUE"""),0.394366197183098)</f>
        <v>0.3943661972</v>
      </c>
    </row>
    <row r="8678">
      <c r="A8678" s="10" t="s">
        <v>10117</v>
      </c>
      <c r="B8678" s="7" t="str">
        <f>IFERROR(__xludf.DUMMYFUNCTION("SPLIT(A8678,"" "")"),"CN(Cc1ccccn1)C1=CC(CN(C)C(C)(C)c2ccccn2)C=CN1")</f>
        <v>CN(Cc1ccccn1)C1=CC(CN(C)C(C)(C)c2ccccn2)C=CN1</v>
      </c>
      <c r="C8678" s="7">
        <f>IFERROR(__xludf.DUMMYFUNCTION("""COMPUTED_VALUE"""),7.772691)</f>
        <v>7.772691</v>
      </c>
      <c r="D8678" s="7">
        <f>IFERROR(__xludf.DUMMYFUNCTION("""COMPUTED_VALUE"""),0.4)</f>
        <v>0.4</v>
      </c>
    </row>
    <row r="8679">
      <c r="A8679" s="10" t="s">
        <v>10118</v>
      </c>
      <c r="B8679" s="7" t="str">
        <f>IFERROR(__xludf.DUMMYFUNCTION("SPLIT(A8679,"" "")"),"Cc1cccc(CN(C)C2C=CNC(CN(C)Cc3ccccn3)=C2)n1")</f>
        <v>Cc1cccc(CN(C)C2C=CNC(CN(C)Cc3ccccn3)=C2)n1</v>
      </c>
      <c r="C8679" s="7">
        <f>IFERROR(__xludf.DUMMYFUNCTION("""COMPUTED_VALUE"""),7.772688)</f>
        <v>7.772688</v>
      </c>
      <c r="D8679" s="7">
        <f>IFERROR(__xludf.DUMMYFUNCTION("""COMPUTED_VALUE"""),0.462962962962962)</f>
        <v>0.462962963</v>
      </c>
    </row>
    <row r="8680">
      <c r="A8680" s="10" t="s">
        <v>10119</v>
      </c>
      <c r="B8680" s="7" t="str">
        <f>IFERROR(__xludf.DUMMYFUNCTION("SPLIT(A8680,"" "")"),"CCNCc1cccc(C2=NCC(C)(C)O2)n1")</f>
        <v>CCNCc1cccc(C2=NCC(C)(C)O2)n1</v>
      </c>
      <c r="C8680" s="7">
        <f>IFERROR(__xludf.DUMMYFUNCTION("""COMPUTED_VALUE"""),7.7726874)</f>
        <v>7.7726874</v>
      </c>
      <c r="D8680" s="7">
        <f>IFERROR(__xludf.DUMMYFUNCTION("""COMPUTED_VALUE"""),0.333333333333333)</f>
        <v>0.3333333333</v>
      </c>
    </row>
    <row r="8681">
      <c r="A8681" s="10" t="s">
        <v>10120</v>
      </c>
      <c r="B8681" s="7" t="str">
        <f>IFERROR(__xludf.DUMMYFUNCTION("SPLIT(A8681,"" "")"),"CNCc1ncccc1CN(C)C1CCCCC1N(C)c1cccc2nc(CF)ccc12")</f>
        <v>CNCc1ncccc1CN(C)C1CCCCC1N(C)c1cccc2nc(CF)ccc12</v>
      </c>
      <c r="C8681" s="7">
        <f>IFERROR(__xludf.DUMMYFUNCTION("""COMPUTED_VALUE"""),7.7726755)</f>
        <v>7.7726755</v>
      </c>
      <c r="D8681" s="7">
        <f>IFERROR(__xludf.DUMMYFUNCTION("""COMPUTED_VALUE"""),0.454545454545454)</f>
        <v>0.4545454545</v>
      </c>
    </row>
    <row r="8682">
      <c r="A8682" s="10" t="s">
        <v>10121</v>
      </c>
      <c r="B8682" s="7" t="str">
        <f>IFERROR(__xludf.DUMMYFUNCTION("SPLIT(A8682,"" "")"),"CC(C)N(CC1=CCC(N(C)Cc2ccccn2)=CN1)C(C)N")</f>
        <v>CC(C)N(CC1=CCC(N(C)Cc2ccccn2)=CN1)C(C)N</v>
      </c>
      <c r="C8682" s="7">
        <f>IFERROR(__xludf.DUMMYFUNCTION("""COMPUTED_VALUE"""),7.7726755)</f>
        <v>7.7726755</v>
      </c>
      <c r="D8682" s="7">
        <f>IFERROR(__xludf.DUMMYFUNCTION("""COMPUTED_VALUE"""),0.396226415094339)</f>
        <v>0.3962264151</v>
      </c>
    </row>
    <row r="8683">
      <c r="A8683" s="10" t="s">
        <v>10122</v>
      </c>
      <c r="B8683" s="7" t="str">
        <f>IFERROR(__xludf.DUMMYFUNCTION("SPLIT(A8683,"" "")"),"Cc1cccc(CN(C)C2C(N(C)Cc3ncc(C)c(C)c3C)CCCC2N(Cc2nc(C)c(C)c(C)c2C)Cc2nc(C)c(C)c(C)c2C)n1")</f>
        <v>Cc1cccc(CN(C)C2C(N(C)Cc3ncc(C)c(C)c3C)CCCC2N(Cc2nc(C)c(C)c(C)c2C)Cc2nc(C)c(C)c(C)c2C)n1</v>
      </c>
      <c r="C8683" s="7">
        <f>IFERROR(__xludf.DUMMYFUNCTION("""COMPUTED_VALUE"""),7.77267)</f>
        <v>7.77267</v>
      </c>
      <c r="D8683" s="7">
        <f>IFERROR(__xludf.DUMMYFUNCTION("""COMPUTED_VALUE"""),0.5)</f>
        <v>0.5</v>
      </c>
    </row>
    <row r="8684">
      <c r="A8684" s="10" t="s">
        <v>10123</v>
      </c>
      <c r="B8684" s="7" t="str">
        <f>IFERROR(__xludf.DUMMYFUNCTION("SPLIT(A8684,"" "")"),"CCN(Cc1ncccc1-c1ccc2c(c1)OCCOCCOCCOCCOCCO2)c1ccc2ncccc2c1")</f>
        <v>CCN(Cc1ncccc1-c1ccc2c(c1)OCCOCCOCCOCCOCCO2)c1ccc2ncccc2c1</v>
      </c>
      <c r="C8684" s="7">
        <f>IFERROR(__xludf.DUMMYFUNCTION("""COMPUTED_VALUE"""),7.7726693)</f>
        <v>7.7726693</v>
      </c>
      <c r="D8684" s="7">
        <f>IFERROR(__xludf.DUMMYFUNCTION("""COMPUTED_VALUE"""),0.31081081081081)</f>
        <v>0.3108108108</v>
      </c>
    </row>
    <row r="8685">
      <c r="A8685" s="10" t="s">
        <v>10124</v>
      </c>
      <c r="B8685" s="7" t="str">
        <f>IFERROR(__xludf.DUMMYFUNCTION("SPLIT(A8685,"" "")"),"Cc1cccnc1CN(CCN(C)Cc1cc(-c2ccc3c(c2)OCCOCCOCCOCCOCCO3)ccn1)c1ccc2ncccc2c1")</f>
        <v>Cc1cccnc1CN(CCN(C)Cc1cc(-c2ccc3c(c2)OCCOCCOCCOCCOCCO3)ccn1)c1ccc2ncccc2c1</v>
      </c>
      <c r="C8685" s="7">
        <f>IFERROR(__xludf.DUMMYFUNCTION("""COMPUTED_VALUE"""),7.772664)</f>
        <v>7.772664</v>
      </c>
      <c r="D8685" s="7">
        <f>IFERROR(__xludf.DUMMYFUNCTION("""COMPUTED_VALUE"""),0.304878048780487)</f>
        <v>0.3048780488</v>
      </c>
    </row>
    <row r="8686">
      <c r="A8686" s="10" t="s">
        <v>10125</v>
      </c>
      <c r="B8686" s="7" t="str">
        <f>IFERROR(__xludf.DUMMYFUNCTION("SPLIT(A8686,"" "")"),"CC(C)N(CC1=CCC(N(C)Cc2ccccn2)=CN1)C(C)C")</f>
        <v>CC(C)N(CC1=CCC(N(C)Cc2ccccn2)=CN1)C(C)C</v>
      </c>
      <c r="C8686" s="7">
        <f>IFERROR(__xludf.DUMMYFUNCTION("""COMPUTED_VALUE"""),7.7726545)</f>
        <v>7.7726545</v>
      </c>
      <c r="D8686" s="7">
        <f>IFERROR(__xludf.DUMMYFUNCTION("""COMPUTED_VALUE"""),0.428571428571428)</f>
        <v>0.4285714286</v>
      </c>
    </row>
    <row r="8687">
      <c r="A8687" s="10" t="s">
        <v>10126</v>
      </c>
      <c r="B8687" s="7" t="str">
        <f>IFERROR(__xludf.DUMMYFUNCTION("SPLIT(A8687,"" "")"),"Cc1cccc(CN(C)CC2=CC(N(C)Cc3ccccn3)C=CN2)n1")</f>
        <v>Cc1cccc(CN(C)CC2=CC(N(C)Cc3ccccn3)C=CN2)n1</v>
      </c>
      <c r="C8687" s="7">
        <f>IFERROR(__xludf.DUMMYFUNCTION("""COMPUTED_VALUE"""),7.7726526)</f>
        <v>7.7726526</v>
      </c>
      <c r="D8687" s="7">
        <f>IFERROR(__xludf.DUMMYFUNCTION("""COMPUTED_VALUE"""),0.462962962962962)</f>
        <v>0.462962963</v>
      </c>
    </row>
    <row r="8688">
      <c r="A8688" s="10" t="s">
        <v>10127</v>
      </c>
      <c r="B8688" s="7" t="str">
        <f>IFERROR(__xludf.DUMMYFUNCTION("SPLIT(A8688,"" "")"),"CC1=CCC2(C=C(C)CC3(C=CC(c4cccc(CN(Cc5ccccn5)Cc5ccccn5)n4)C(c4ccc(CN(Cc5ccccn5)Cc5ccccn5)cn4)C34C(C)C=C(C)CC4C)C2(C)C)C(C)C1")</f>
        <v>CC1=CCC2(C=C(C)CC3(C=CC(c4cccc(CN(Cc5ccccn5)Cc5ccccn5)n4)C(c4ccc(CN(Cc5ccccn5)Cc5ccccn5)cn4)C34C(C)C=C(C)CC4C)C2(C)C)C(C)C1</v>
      </c>
      <c r="C8688" s="7">
        <f>IFERROR(__xludf.DUMMYFUNCTION("""COMPUTED_VALUE"""),7.7726507)</f>
        <v>7.7726507</v>
      </c>
      <c r="D8688" s="7">
        <f>IFERROR(__xludf.DUMMYFUNCTION("""COMPUTED_VALUE"""),0.267441860465116)</f>
        <v>0.2674418605</v>
      </c>
    </row>
    <row r="8689">
      <c r="A8689" s="10" t="s">
        <v>10128</v>
      </c>
      <c r="B8689" s="7" t="str">
        <f>IFERROR(__xludf.DUMMYFUNCTION("SPLIT(A8689,"" "")"),"CNCc1ccc(CN(C)C2CCCCC2N(C)c2cccc3nc(CF)ccc23)cn1")</f>
        <v>CNCc1ccc(CN(C)C2CCCCC2N(C)c2cccc3nc(CF)ccc23)cn1</v>
      </c>
      <c r="C8689" s="7">
        <f>IFERROR(__xludf.DUMMYFUNCTION("""COMPUTED_VALUE"""),7.77265)</f>
        <v>7.77265</v>
      </c>
      <c r="D8689" s="7">
        <f>IFERROR(__xludf.DUMMYFUNCTION("""COMPUTED_VALUE"""),0.46875)</f>
        <v>0.46875</v>
      </c>
    </row>
    <row r="8690">
      <c r="A8690" s="10" t="s">
        <v>10129</v>
      </c>
      <c r="B8690" s="7" t="str">
        <f>IFERROR(__xludf.DUMMYFUNCTION("SPLIT(A8690,"" "")"),"CCNCc1cccc(CN(Cc2ccccn2)C2CCC(N(C)c3ccc4ccc(CF)nc4c3)CC2)n1")</f>
        <v>CCNCc1cccc(CN(Cc2ccccn2)C2CCC(N(C)c3ccc4ccc(CF)nc4c3)CC2)n1</v>
      </c>
      <c r="C8690" s="7">
        <f>IFERROR(__xludf.DUMMYFUNCTION("""COMPUTED_VALUE"""),7.7726307)</f>
        <v>7.7726307</v>
      </c>
      <c r="D8690" s="7">
        <f>IFERROR(__xludf.DUMMYFUNCTION("""COMPUTED_VALUE"""),0.369230769230769)</f>
        <v>0.3692307692</v>
      </c>
    </row>
    <row r="8691">
      <c r="A8691" s="10" t="s">
        <v>10130</v>
      </c>
      <c r="B8691" s="7" t="str">
        <f>IFERROR(__xludf.DUMMYFUNCTION("SPLIT(A8691,"" "")"),"COC(=O)C(C)NCc1ncccc1CN(Cc1ccccn1)Cc1ccccn1")</f>
        <v>COC(=O)C(C)NCc1ncccc1CN(Cc1ccccn1)Cc1ccccn1</v>
      </c>
      <c r="C8691" s="7">
        <f>IFERROR(__xludf.DUMMYFUNCTION("""COMPUTED_VALUE"""),7.772628)</f>
        <v>7.772628</v>
      </c>
      <c r="D8691" s="7">
        <f>IFERROR(__xludf.DUMMYFUNCTION("""COMPUTED_VALUE"""),0.434782608695652)</f>
        <v>0.4347826087</v>
      </c>
    </row>
    <row r="8692">
      <c r="A8692" s="10" t="s">
        <v>10131</v>
      </c>
      <c r="B8692" s="7" t="str">
        <f>IFERROR(__xludf.DUMMYFUNCTION("SPLIT(A8692,"" "")"),"Cc1cccc(CN(C)Cc2ccc(N(C)C3CCCC(N(Cc4ccccn4)Cc4nc(C)c(C)cc4C)C3)cn2)n1")</f>
        <v>Cc1cccc(CN(C)Cc2ccc(N(C)C3CCCC(N(Cc4ccccn4)Cc4nc(C)c(C)cc4C)C3)cn2)n1</v>
      </c>
      <c r="C8692" s="7">
        <f>IFERROR(__xludf.DUMMYFUNCTION("""COMPUTED_VALUE"""),7.7726254)</f>
        <v>7.7726254</v>
      </c>
      <c r="D8692" s="7">
        <f>IFERROR(__xludf.DUMMYFUNCTION("""COMPUTED_VALUE"""),0.367647058823529)</f>
        <v>0.3676470588</v>
      </c>
    </row>
    <row r="8693">
      <c r="A8693" s="10" t="s">
        <v>10132</v>
      </c>
      <c r="B8693" s="7" t="str">
        <f>IFERROR(__xludf.DUMMYFUNCTION("SPLIT(A8693,"" "")"),"NCc1ccon1")</f>
        <v>NCc1ccon1</v>
      </c>
      <c r="C8693" s="7">
        <f>IFERROR(__xludf.DUMMYFUNCTION("""COMPUTED_VALUE"""),7.7726235)</f>
        <v>7.7726235</v>
      </c>
      <c r="D8693" s="7">
        <f>IFERROR(__xludf.DUMMYFUNCTION("""COMPUTED_VALUE"""),0.482758620689655)</f>
        <v>0.4827586207</v>
      </c>
    </row>
    <row r="8694">
      <c r="A8694" s="10" t="s">
        <v>10133</v>
      </c>
      <c r="B8694" s="7" t="str">
        <f>IFERROR(__xludf.DUMMYFUNCTION("SPLIT(A8694,"" "")"),"CC1=CC(C)(c2cc(CN(Cc3ccccn3)Cc3cc(C(C)(C)C)ccn3)ccn2)CCC1C")</f>
        <v>CC1=CC(C)(c2cc(CN(Cc3ccccn3)Cc3cc(C(C)(C)C)ccn3)ccn2)CCC1C</v>
      </c>
      <c r="C8694" s="7">
        <f>IFERROR(__xludf.DUMMYFUNCTION("""COMPUTED_VALUE"""),7.772623)</f>
        <v>7.772623</v>
      </c>
      <c r="D8694" s="7">
        <f>IFERROR(__xludf.DUMMYFUNCTION("""COMPUTED_VALUE"""),0.344827586206896)</f>
        <v>0.3448275862</v>
      </c>
    </row>
    <row r="8695">
      <c r="A8695" s="10" t="s">
        <v>10134</v>
      </c>
      <c r="B8695" s="7" t="str">
        <f>IFERROR(__xludf.DUMMYFUNCTION("SPLIT(A8695,"" "")"),"CN1CCN(C)CCN(Cc2cnccc2-c2cccc(N=Cc3ccccn3)c2)CC1")</f>
        <v>CN1CCN(C)CCN(Cc2cnccc2-c2cccc(N=Cc3ccccn3)c2)CC1</v>
      </c>
      <c r="C8695" s="7">
        <f>IFERROR(__xludf.DUMMYFUNCTION("""COMPUTED_VALUE"""),7.772623)</f>
        <v>7.772623</v>
      </c>
      <c r="D8695" s="7">
        <f>IFERROR(__xludf.DUMMYFUNCTION("""COMPUTED_VALUE"""),0.396551724137931)</f>
        <v>0.3965517241</v>
      </c>
    </row>
    <row r="8696">
      <c r="A8696" s="10" t="s">
        <v>10135</v>
      </c>
      <c r="B8696" s="7" t="str">
        <f>IFERROR(__xludf.DUMMYFUNCTION("SPLIT(A8696,"" "")"),"CN(CC1=CCC(N(C)C2C=CC=CN2)=CN1)C1=CCC=CN1")</f>
        <v>CN(CC1=CCC(N(C)C2C=CC=CN2)=CN1)C1=CCC=CN1</v>
      </c>
      <c r="C8696" s="7">
        <f>IFERROR(__xludf.DUMMYFUNCTION("""COMPUTED_VALUE"""),7.7726197)</f>
        <v>7.7726197</v>
      </c>
      <c r="D8696" s="7">
        <f>IFERROR(__xludf.DUMMYFUNCTION("""COMPUTED_VALUE"""),0.261538461538461)</f>
        <v>0.2615384615</v>
      </c>
    </row>
    <row r="8697">
      <c r="A8697" s="10" t="s">
        <v>10136</v>
      </c>
      <c r="B8697" s="7" t="str">
        <f>IFERROR(__xludf.DUMMYFUNCTION("SPLIT(A8697,"" "")"),"Cc1nc(CN(C)C2=CNC(CN(C)C(C)(C)C(C)N)=CC2)c(C)c(C)c1C")</f>
        <v>Cc1nc(CN(C)C2=CNC(CN(C)C(C)(C)C(C)N)=CC2)c(C)c(C)c1C</v>
      </c>
      <c r="C8697" s="7">
        <f>IFERROR(__xludf.DUMMYFUNCTION("""COMPUTED_VALUE"""),7.772616)</f>
        <v>7.772616</v>
      </c>
      <c r="D8697" s="7">
        <f>IFERROR(__xludf.DUMMYFUNCTION("""COMPUTED_VALUE"""),0.169014084507042)</f>
        <v>0.1690140845</v>
      </c>
    </row>
    <row r="8698">
      <c r="A8698" s="10" t="s">
        <v>10137</v>
      </c>
      <c r="B8698" s="7" t="str">
        <f>IFERROR(__xludf.DUMMYFUNCTION("SPLIT(A8698,"" "")"),"CN(C)C1C=C(NCc2ccccn2)C=CN1")</f>
        <v>CN(C)C1C=C(NCc2ccccn2)C=CN1</v>
      </c>
      <c r="C8698" s="7">
        <f>IFERROR(__xludf.DUMMYFUNCTION("""COMPUTED_VALUE"""),7.772602)</f>
        <v>7.772602</v>
      </c>
      <c r="D8698" s="7">
        <f>IFERROR(__xludf.DUMMYFUNCTION("""COMPUTED_VALUE"""),0.428571428571428)</f>
        <v>0.4285714286</v>
      </c>
    </row>
    <row r="8699">
      <c r="A8699" s="10" t="s">
        <v>10138</v>
      </c>
      <c r="B8699" s="7" t="str">
        <f>IFERROR(__xludf.DUMMYFUNCTION("SPLIT(A8699,"" "")"),"CN(Cc1ncccc1-c1cccc(N(C)C)c1)Cc1ncccc1-c1ccc2c(c1)OCCOCCOCCOCCOCCO2")</f>
        <v>CN(Cc1ncccc1-c1cccc(N(C)C)c1)Cc1ncccc1-c1ccc2c(c1)OCCOCCOCCOCCOCCO2</v>
      </c>
      <c r="C8699" s="7">
        <f>IFERROR(__xludf.DUMMYFUNCTION("""COMPUTED_VALUE"""),7.772592)</f>
        <v>7.772592</v>
      </c>
      <c r="D8699" s="7">
        <f>IFERROR(__xludf.DUMMYFUNCTION("""COMPUTED_VALUE"""),0.328571428571428)</f>
        <v>0.3285714286</v>
      </c>
    </row>
    <row r="8700">
      <c r="A8700" s="10" t="s">
        <v>10139</v>
      </c>
      <c r="B8700" s="7" t="str">
        <f>IFERROR(__xludf.DUMMYFUNCTION("SPLIT(A8700,"" "")"),"CCNCc1cccc(CN(Cc2ccccn2)C2CCC(N(C)c3cccc4ncccc34)CC2)n1")</f>
        <v>CCNCc1cccc(CN(Cc2ccccn2)C2CCC(N(C)c3cccc4ncccc34)CC2)n1</v>
      </c>
      <c r="C8700" s="7">
        <f>IFERROR(__xludf.DUMMYFUNCTION("""COMPUTED_VALUE"""),7.772592)</f>
        <v>7.772592</v>
      </c>
      <c r="D8700" s="7">
        <f>IFERROR(__xludf.DUMMYFUNCTION("""COMPUTED_VALUE"""),0.349206349206349)</f>
        <v>0.3492063492</v>
      </c>
    </row>
    <row r="8701">
      <c r="A8701" s="10" t="s">
        <v>10140</v>
      </c>
      <c r="B8701" s="7" t="str">
        <f>IFERROR(__xludf.DUMMYFUNCTION("SPLIT(A8701,"" "")"),"CCC1=NC(c2ccccc2CN(C)Cc2ccccn2)CO1")</f>
        <v>CCC1=NC(c2ccccc2CN(C)Cc2ccccn2)CO1</v>
      </c>
      <c r="C8701" s="7">
        <f>IFERROR(__xludf.DUMMYFUNCTION("""COMPUTED_VALUE"""),7.7725863)</f>
        <v>7.7725863</v>
      </c>
      <c r="D8701" s="7">
        <f>IFERROR(__xludf.DUMMYFUNCTION("""COMPUTED_VALUE"""),0.407407407407407)</f>
        <v>0.4074074074</v>
      </c>
    </row>
    <row r="8702">
      <c r="A8702" s="10" t="s">
        <v>10141</v>
      </c>
      <c r="B8702" s="7" t="str">
        <f>IFERROR(__xludf.DUMMYFUNCTION("SPLIT(A8702,"" "")"),"Cc1cnc(CN(C)CN(C)Cc2ccccn2)c(C)c1C")</f>
        <v>Cc1cnc(CN(C)CN(C)Cc2ccccn2)c(C)c1C</v>
      </c>
      <c r="C8702" s="7">
        <f>IFERROR(__xludf.DUMMYFUNCTION("""COMPUTED_VALUE"""),7.772584)</f>
        <v>7.772584</v>
      </c>
      <c r="D8702" s="7">
        <f>IFERROR(__xludf.DUMMYFUNCTION("""COMPUTED_VALUE"""),0.466666666666666)</f>
        <v>0.4666666667</v>
      </c>
    </row>
    <row r="8703">
      <c r="A8703" s="10" t="s">
        <v>10142</v>
      </c>
      <c r="B8703" s="7" t="str">
        <f>IFERROR(__xludf.DUMMYFUNCTION("SPLIT(A8703,"" "")"),"CCN(Cc1ccccn1)C1CCC(N(C)c2ccc3cc(CF)cnc3c2)CC1")</f>
        <v>CCN(Cc1ccccn1)C1CCC(N(C)c2ccc3cc(CF)cnc3c2)CC1</v>
      </c>
      <c r="C8703" s="7">
        <f>IFERROR(__xludf.DUMMYFUNCTION("""COMPUTED_VALUE"""),7.772579)</f>
        <v>7.772579</v>
      </c>
      <c r="D8703" s="7">
        <f>IFERROR(__xludf.DUMMYFUNCTION("""COMPUTED_VALUE"""),0.360655737704918)</f>
        <v>0.3606557377</v>
      </c>
    </row>
    <row r="8704">
      <c r="A8704" s="10" t="s">
        <v>10143</v>
      </c>
      <c r="B8704" s="7" t="str">
        <f>IFERROR(__xludf.DUMMYFUNCTION("SPLIT(A8704,"" "")"),"CN(Cc1ncccc1CF)Cc1ncccc1C(C)(C)C")</f>
        <v>CN(Cc1ncccc1CF)Cc1ncccc1C(C)(C)C</v>
      </c>
      <c r="C8704" s="7">
        <f>IFERROR(__xludf.DUMMYFUNCTION("""COMPUTED_VALUE"""),7.772578)</f>
        <v>7.772578</v>
      </c>
      <c r="D8704" s="7">
        <f>IFERROR(__xludf.DUMMYFUNCTION("""COMPUTED_VALUE"""),0.361702127659574)</f>
        <v>0.3617021277</v>
      </c>
    </row>
    <row r="8705">
      <c r="A8705" s="10" t="s">
        <v>10144</v>
      </c>
      <c r="B8705" s="7" t="str">
        <f>IFERROR(__xludf.DUMMYFUNCTION("SPLIT(A8705,"" "")"),"CCNCc1cccc(CN(Cc2ccccn2)C2CCC(N(C)c3ccc4cc(CF)cnc4c3)CC2)n1")</f>
        <v>CCNCc1cccc(CN(Cc2ccccn2)C2CCC(N(C)c3ccc4cc(CF)cnc4c3)CC2)n1</v>
      </c>
      <c r="C8705" s="7">
        <f>IFERROR(__xludf.DUMMYFUNCTION("""COMPUTED_VALUE"""),7.772573)</f>
        <v>7.772573</v>
      </c>
      <c r="D8705" s="7">
        <f>IFERROR(__xludf.DUMMYFUNCTION("""COMPUTED_VALUE"""),0.328571428571428)</f>
        <v>0.3285714286</v>
      </c>
    </row>
    <row r="8706">
      <c r="A8706" s="10" t="s">
        <v>10145</v>
      </c>
      <c r="B8706" s="7" t="str">
        <f>IFERROR(__xludf.DUMMYFUNCTION("SPLIT(A8706,"" "")"),"C1=CNC=C(NCc2ccccn2)C1")</f>
        <v>C1=CNC=C(NCc2ccccn2)C1</v>
      </c>
      <c r="C8706" s="7">
        <f>IFERROR(__xludf.DUMMYFUNCTION("""COMPUTED_VALUE"""),7.772558)</f>
        <v>7.772558</v>
      </c>
      <c r="D8706" s="7">
        <f>IFERROR(__xludf.DUMMYFUNCTION("""COMPUTED_VALUE"""),0.435897435897435)</f>
        <v>0.4358974359</v>
      </c>
    </row>
    <row r="8707">
      <c r="A8707" s="10" t="s">
        <v>10146</v>
      </c>
      <c r="B8707" s="7" t="str">
        <f>IFERROR(__xludf.DUMMYFUNCTION("SPLIT(A8707,"" "")"),"CCNCc1ncccc1CN(Cc1ccccn1)Cc1nc(N)ccc1C")</f>
        <v>CCNCc1ncccc1CN(Cc1ccccn1)Cc1nc(N)ccc1C</v>
      </c>
      <c r="C8707" s="7">
        <f>IFERROR(__xludf.DUMMYFUNCTION("""COMPUTED_VALUE"""),7.7725577)</f>
        <v>7.7725577</v>
      </c>
      <c r="D8707" s="7">
        <f>IFERROR(__xludf.DUMMYFUNCTION("""COMPUTED_VALUE"""),0.4)</f>
        <v>0.4</v>
      </c>
    </row>
    <row r="8708">
      <c r="A8708" s="10" t="s">
        <v>10147</v>
      </c>
      <c r="B8708" s="7" t="str">
        <f>IFERROR(__xludf.DUMMYFUNCTION("SPLIT(A8708,"" "")"),"Cc1ccc(CN(Cc2cccc(C(C)(C)C)n2)C2CCC(N(C)Cc3cccc(-c4ccccn4)n3)CC2)nc1")</f>
        <v>Cc1ccc(CN(Cc2cccc(C(C)(C)C)n2)C2CCC(N(C)Cc3cccc(-c4ccccn4)n3)CC2)nc1</v>
      </c>
      <c r="C8708" s="7">
        <f>IFERROR(__xludf.DUMMYFUNCTION("""COMPUTED_VALUE"""),7.7725496)</f>
        <v>7.7725496</v>
      </c>
      <c r="D8708" s="7">
        <f>IFERROR(__xludf.DUMMYFUNCTION("""COMPUTED_VALUE"""),0.457627118644067)</f>
        <v>0.4576271186</v>
      </c>
    </row>
    <row r="8709">
      <c r="A8709" s="10" t="s">
        <v>10148</v>
      </c>
      <c r="B8709" s="7" t="str">
        <f>IFERROR(__xludf.DUMMYFUNCTION("SPLIT(A8709,"" "")"),"CNCN(Cc1nccc(C)c1C)Cc1nccc(C)c1C")</f>
        <v>CNCN(Cc1nccc(C)c1C)Cc1nccc(C)c1C</v>
      </c>
      <c r="C8709" s="7">
        <f>IFERROR(__xludf.DUMMYFUNCTION("""COMPUTED_VALUE"""),7.7725434)</f>
        <v>7.7725434</v>
      </c>
      <c r="D8709" s="7">
        <f>IFERROR(__xludf.DUMMYFUNCTION("""COMPUTED_VALUE"""),0.256410256410256)</f>
        <v>0.2564102564</v>
      </c>
    </row>
    <row r="8710">
      <c r="A8710" s="10" t="s">
        <v>10149</v>
      </c>
      <c r="B8710" s="7" t="str">
        <f>IFERROR(__xludf.DUMMYFUNCTION("SPLIT(A8710,"" "")"),"CCCN(C)Cc1cc(C(C)(C)c2ccccn2)ccn1")</f>
        <v>CCCN(C)Cc1cc(C(C)(C)c2ccccn2)ccn1</v>
      </c>
      <c r="C8710" s="7">
        <f>IFERROR(__xludf.DUMMYFUNCTION("""COMPUTED_VALUE"""),7.772542)</f>
        <v>7.772542</v>
      </c>
      <c r="D8710" s="7">
        <f>IFERROR(__xludf.DUMMYFUNCTION("""COMPUTED_VALUE"""),0.38)</f>
        <v>0.38</v>
      </c>
    </row>
    <row r="8711">
      <c r="A8711" s="10" t="s">
        <v>10150</v>
      </c>
      <c r="B8711" s="7" t="str">
        <f>IFERROR(__xludf.DUMMYFUNCTION("SPLIT(A8711,"" "")"),"CCNCC1=C(N(C)Cc2cccc(C)n2)CC=CN1")</f>
        <v>CCNCC1=C(N(C)Cc2cccc(C)n2)CC=CN1</v>
      </c>
      <c r="C8711" s="7">
        <f>IFERROR(__xludf.DUMMYFUNCTION("""COMPUTED_VALUE"""),7.7725406)</f>
        <v>7.7725406</v>
      </c>
      <c r="D8711" s="7">
        <f>IFERROR(__xludf.DUMMYFUNCTION("""COMPUTED_VALUE"""),0.408163265306122)</f>
        <v>0.4081632653</v>
      </c>
    </row>
    <row r="8712">
      <c r="A8712" s="10" t="s">
        <v>10151</v>
      </c>
      <c r="B8712" s="7" t="str">
        <f>IFERROR(__xludf.DUMMYFUNCTION("SPLIT(A8712,"" "")"),"CC(C)N(Cc1ccccn1)c1ccccc1-c1cc(CN(Cc2ccccn2)C2CCCCC2)ccn1")</f>
        <v>CC(C)N(Cc1ccccn1)c1ccccc1-c1cc(CN(Cc2ccccn2)C2CCCCC2)ccn1</v>
      </c>
      <c r="C8712" s="7">
        <f>IFERROR(__xludf.DUMMYFUNCTION("""COMPUTED_VALUE"""),7.772538)</f>
        <v>7.772538</v>
      </c>
      <c r="D8712" s="7">
        <f>IFERROR(__xludf.DUMMYFUNCTION("""COMPUTED_VALUE"""),0.383333333333333)</f>
        <v>0.3833333333</v>
      </c>
    </row>
    <row r="8713">
      <c r="A8713" s="10" t="s">
        <v>10152</v>
      </c>
      <c r="B8713" s="7" t="str">
        <f>IFERROR(__xludf.DUMMYFUNCTION("SPLIT(A8713,"" "")"),"CNCc1cc(CN(C)C2CCC(N(C)c3ccc4ccc(CF)nc4c3)CC2)ccn1")</f>
        <v>CNCc1cc(CN(C)C2CCC(N(C)c3ccc4ccc(CF)nc4c3)CC2)ccn1</v>
      </c>
      <c r="C8713" s="7">
        <f>IFERROR(__xludf.DUMMYFUNCTION("""COMPUTED_VALUE"""),7.772536)</f>
        <v>7.772536</v>
      </c>
      <c r="D8713" s="7">
        <f>IFERROR(__xludf.DUMMYFUNCTION("""COMPUTED_VALUE"""),0.308823529411764)</f>
        <v>0.3088235294</v>
      </c>
    </row>
    <row r="8714">
      <c r="A8714" s="10" t="s">
        <v>10153</v>
      </c>
      <c r="B8714" s="7" t="str">
        <f>IFERROR(__xludf.DUMMYFUNCTION("SPLIT(A8714,"" "")"),"CC(C)N(C)C1C=C(N(Cc2ccccn2)Cc2ccccn2)C=CN1")</f>
        <v>CC(C)N(C)C1C=C(N(Cc2ccccn2)Cc2ccccn2)C=CN1</v>
      </c>
      <c r="C8714" s="7">
        <f>IFERROR(__xludf.DUMMYFUNCTION("""COMPUTED_VALUE"""),7.772523)</f>
        <v>7.772523</v>
      </c>
      <c r="D8714" s="7">
        <f>IFERROR(__xludf.DUMMYFUNCTION("""COMPUTED_VALUE"""),0.4375)</f>
        <v>0.4375</v>
      </c>
    </row>
    <row r="8715">
      <c r="A8715" s="10" t="s">
        <v>10154</v>
      </c>
      <c r="B8715" s="7" t="str">
        <f>IFERROR(__xludf.DUMMYFUNCTION("SPLIT(A8715,"" "")"),"CC1=CC(c2cc(CN(Cc3ccccn3)C3CCC(N(C)c4ccc5nc(CN(C)C)ccc5c4)CC3)ccn2)CC(C)C1C")</f>
        <v>CC1=CC(c2cc(CN(Cc3ccccn3)C3CCC(N(C)c4ccc5nc(CN(C)C)ccc5c4)CC3)ccn2)CC(C)C1C</v>
      </c>
      <c r="C8715" s="7">
        <f>IFERROR(__xludf.DUMMYFUNCTION("""COMPUTED_VALUE"""),7.772521)</f>
        <v>7.772521</v>
      </c>
      <c r="D8715" s="7">
        <f>IFERROR(__xludf.DUMMYFUNCTION("""COMPUTED_VALUE"""),0.31578947368421)</f>
        <v>0.3157894737</v>
      </c>
    </row>
    <row r="8716">
      <c r="A8716" s="10" t="s">
        <v>10155</v>
      </c>
      <c r="B8716" s="7" t="str">
        <f>IFERROR(__xludf.DUMMYFUNCTION("SPLIT(A8716,"" "")"),"CCNCC1=CCC(N(C)Cc2ncccc2C)=CN1")</f>
        <v>CCNCC1=CCC(N(C)Cc2ncccc2C)=CN1</v>
      </c>
      <c r="C8716" s="7">
        <f>IFERROR(__xludf.DUMMYFUNCTION("""COMPUTED_VALUE"""),7.772519)</f>
        <v>7.772519</v>
      </c>
      <c r="D8716" s="7">
        <f>IFERROR(__xludf.DUMMYFUNCTION("""COMPUTED_VALUE"""),0.258620689655172)</f>
        <v>0.2586206897</v>
      </c>
    </row>
    <row r="8717">
      <c r="A8717" s="10" t="s">
        <v>10156</v>
      </c>
      <c r="B8717" s="7" t="str">
        <f>IFERROR(__xludf.DUMMYFUNCTION("SPLIT(A8717,"" "")"),"CC1C=CCC(C)(c2ncccc2CN(Cc2ccccn2)C2CCC(N(C)c3ccc4c(CN(C)C)ccnc4c3)CC2)C1C")</f>
        <v>CC1C=CCC(C)(c2ncccc2CN(Cc2ccccn2)C2CCC(N(C)c3ccc4c(CN(C)C)ccnc4c3)CC2)C1C</v>
      </c>
      <c r="C8717" s="7">
        <f>IFERROR(__xludf.DUMMYFUNCTION("""COMPUTED_VALUE"""),7.772519)</f>
        <v>7.772519</v>
      </c>
      <c r="D8717" s="7">
        <f>IFERROR(__xludf.DUMMYFUNCTION("""COMPUTED_VALUE"""),0.285714285714285)</f>
        <v>0.2857142857</v>
      </c>
    </row>
    <row r="8718">
      <c r="A8718" s="10" t="s">
        <v>10157</v>
      </c>
      <c r="B8718" s="7" t="str">
        <f>IFERROR(__xludf.DUMMYFUNCTION("SPLIT(A8718,"" "")"),"Cc1cc(C)c(CN(Cc2ccccn2)C2CC(N(C)CC3=CCC=C(N(C)Cc4ccccn4)N3)CC(N(C)Cc3ccccn3)C2)nc1C")</f>
        <v>Cc1cc(C)c(CN(Cc2ccccn2)C2CC(N(C)CC3=CCC=C(N(C)Cc4ccccn4)N3)CC(N(C)Cc3ccccn3)C2)nc1C</v>
      </c>
      <c r="C8718" s="7">
        <f>IFERROR(__xludf.DUMMYFUNCTION("""COMPUTED_VALUE"""),7.772518)</f>
        <v>7.772518</v>
      </c>
      <c r="D8718" s="7">
        <f>IFERROR(__xludf.DUMMYFUNCTION("""COMPUTED_VALUE"""),0.338235294117647)</f>
        <v>0.3382352941</v>
      </c>
    </row>
    <row r="8719">
      <c r="A8719" s="10" t="s">
        <v>10158</v>
      </c>
      <c r="B8719" s="7" t="str">
        <f>IFERROR(__xludf.DUMMYFUNCTION("SPLIT(A8719,"" "")"),"Cc1ccnc(CN(C)C2C=CNC(CN(C)Cc3ccc(C)nc3)=C2)c1")</f>
        <v>Cc1ccnc(CN(C)C2C=CNC(CN(C)Cc3ccc(C)nc3)=C2)c1</v>
      </c>
      <c r="C8719" s="7">
        <f>IFERROR(__xludf.DUMMYFUNCTION("""COMPUTED_VALUE"""),7.7725163)</f>
        <v>7.7725163</v>
      </c>
      <c r="D8719" s="7">
        <f>IFERROR(__xludf.DUMMYFUNCTION("""COMPUTED_VALUE"""),0.287878787878787)</f>
        <v>0.2878787879</v>
      </c>
    </row>
    <row r="8720">
      <c r="A8720" s="10" t="s">
        <v>10159</v>
      </c>
      <c r="B8720" s="7" t="str">
        <f>IFERROR(__xludf.DUMMYFUNCTION("SPLIT(A8720,"" "")"),"COC(=O)C1CN(C)C(C(C)C)C(c2cc(CN(Cc3ccccn3)Cc3ccccn3)ccn2)C1c1ccccn1")</f>
        <v>COC(=O)C1CN(C)C(C(C)C)C(c2cc(CN(Cc3ccccn3)Cc3ccccn3)ccn2)C1c1ccccn1</v>
      </c>
      <c r="C8720" s="7">
        <f>IFERROR(__xludf.DUMMYFUNCTION("""COMPUTED_VALUE"""),7.7725077)</f>
        <v>7.7725077</v>
      </c>
      <c r="D8720" s="7">
        <f>IFERROR(__xludf.DUMMYFUNCTION("""COMPUTED_VALUE"""),0.333333333333333)</f>
        <v>0.3333333333</v>
      </c>
    </row>
    <row r="8721">
      <c r="A8721" s="10" t="s">
        <v>10160</v>
      </c>
      <c r="B8721" s="7" t="str">
        <f>IFERROR(__xludf.DUMMYFUNCTION("SPLIT(A8721,"" "")"),"Cc1cnc(CN(C)C2CCCC(N(Cc3ccccn3)c3cc(Cl)ccc3Cl)C2)c(C)c1")</f>
        <v>Cc1cnc(CN(C)C2CCCC(N(Cc3ccccn3)c3cc(Cl)ccc3Cl)C2)c(C)c1</v>
      </c>
      <c r="C8721" s="7">
        <f>IFERROR(__xludf.DUMMYFUNCTION("""COMPUTED_VALUE"""),7.7725053)</f>
        <v>7.7725053</v>
      </c>
      <c r="D8721" s="7">
        <f>IFERROR(__xludf.DUMMYFUNCTION("""COMPUTED_VALUE"""),0.38095238095238)</f>
        <v>0.380952381</v>
      </c>
    </row>
    <row r="8722">
      <c r="A8722" s="10" t="s">
        <v>10161</v>
      </c>
      <c r="B8722" s="7" t="str">
        <f>IFERROR(__xludf.DUMMYFUNCTION("SPLIT(A8722,"" "")"),"Cc1ccnc(CNCN(C)C2CCC(N(C)c3ccc4ccc(CN(C)C)nc4c3)CC2)c1")</f>
        <v>Cc1ccnc(CNCN(C)C2CCC(N(C)c3ccc4ccc(CN(C)C)nc4c3)CC2)c1</v>
      </c>
      <c r="C8722" s="7">
        <f>IFERROR(__xludf.DUMMYFUNCTION("""COMPUTED_VALUE"""),7.7725053)</f>
        <v>7.7725053</v>
      </c>
      <c r="D8722" s="7">
        <f>IFERROR(__xludf.DUMMYFUNCTION("""COMPUTED_VALUE"""),0.296875)</f>
        <v>0.296875</v>
      </c>
    </row>
    <row r="8723">
      <c r="A8723" s="10" t="s">
        <v>10162</v>
      </c>
      <c r="B8723" s="7" t="str">
        <f>IFERROR(__xludf.DUMMYFUNCTION("SPLIT(A8723,"" "")"),"CN(C)Cc1ccc(F)nc1")</f>
        <v>CN(C)Cc1ccc(F)nc1</v>
      </c>
      <c r="C8723" s="7">
        <f>IFERROR(__xludf.DUMMYFUNCTION("""COMPUTED_VALUE"""),7.772503)</f>
        <v>7.772503</v>
      </c>
      <c r="D8723" s="7">
        <f>IFERROR(__xludf.DUMMYFUNCTION("""COMPUTED_VALUE"""),0.324324324324324)</f>
        <v>0.3243243243</v>
      </c>
    </row>
    <row r="8724">
      <c r="A8724" s="10" t="s">
        <v>10163</v>
      </c>
      <c r="B8724" s="7" t="str">
        <f>IFERROR(__xludf.DUMMYFUNCTION("SPLIT(A8724,"" "")"),"Cc1ncccc1CN(C)CC1=CCC=C(N(C)C(C)C)N1")</f>
        <v>Cc1ncccc1CN(C)CC1=CCC=C(N(C)C(C)C)N1</v>
      </c>
      <c r="C8724" s="7">
        <f>IFERROR(__xludf.DUMMYFUNCTION("""COMPUTED_VALUE"""),7.772497)</f>
        <v>7.772497</v>
      </c>
      <c r="D8724" s="7">
        <f>IFERROR(__xludf.DUMMYFUNCTION("""COMPUTED_VALUE"""),0.351851851851851)</f>
        <v>0.3518518519</v>
      </c>
    </row>
    <row r="8725">
      <c r="A8725" s="10" t="s">
        <v>10164</v>
      </c>
      <c r="B8725" s="7" t="str">
        <f>IFERROR(__xludf.DUMMYFUNCTION("SPLIT(A8725,"" "")"),"Cc1cc(CN(C)Cc2ccccn2)ccc1N")</f>
        <v>Cc1cc(CN(C)Cc2ccccn2)ccc1N</v>
      </c>
      <c r="C8725" s="7">
        <f>IFERROR(__xludf.DUMMYFUNCTION("""COMPUTED_VALUE"""),7.77249)</f>
        <v>7.77249</v>
      </c>
      <c r="D8725" s="7">
        <f>IFERROR(__xludf.DUMMYFUNCTION("""COMPUTED_VALUE"""),0.488888888888888)</f>
        <v>0.4888888889</v>
      </c>
    </row>
    <row r="8726">
      <c r="A8726" s="10" t="s">
        <v>10165</v>
      </c>
      <c r="B8726" s="7" t="str">
        <f>IFERROR(__xludf.DUMMYFUNCTION("SPLIT(A8726,"" "")"),"CC1=CC(C)C2(CC1)CCC(C(C)(C)C)=CC21CC2(C=C(c3ncccc3CN(Cc3ccccn3)Cc3ccccn3)C3(CCC(C)=C(C)C3C)CC2c2ccc(CN(Cc3ccccn3)Cc3ccccn3)cn2)C2(C=C1C)CCC(C)=C(C)C2")</f>
        <v>CC1=CC(C)C2(CC1)CCC(C(C)(C)C)=CC21CC2(C=C(c3ncccc3CN(Cc3ccccn3)Cc3ccccn3)C3(CCC(C)=C(C)C3C)CC2c2ccc(CN(Cc3ccccn3)Cc3ccccn3)cn2)C2(C=C1C)CCC(C)=C(C)C2</v>
      </c>
      <c r="C8726" s="7">
        <f>IFERROR(__xludf.DUMMYFUNCTION("""COMPUTED_VALUE"""),7.7724867)</f>
        <v>7.7724867</v>
      </c>
      <c r="D8726" s="7">
        <f>IFERROR(__xludf.DUMMYFUNCTION("""COMPUTED_VALUE"""),0.214285714285714)</f>
        <v>0.2142857143</v>
      </c>
    </row>
    <row r="8727">
      <c r="A8727" s="10" t="s">
        <v>10166</v>
      </c>
      <c r="B8727" s="7" t="str">
        <f>IFERROR(__xludf.DUMMYFUNCTION("SPLIT(A8727,"" "")"),"CCOC(C)NCc1ncc(CN(Cc2ccccn2)Cc2ccccn2)c(C)c1C")</f>
        <v>CCOC(C)NCc1ncc(CN(Cc2ccccn2)Cc2ccccn2)c(C)c1C</v>
      </c>
      <c r="C8727" s="7">
        <f>IFERROR(__xludf.DUMMYFUNCTION("""COMPUTED_VALUE"""),7.7724833)</f>
        <v>7.7724833</v>
      </c>
      <c r="D8727" s="7">
        <f>IFERROR(__xludf.DUMMYFUNCTION("""COMPUTED_VALUE"""),0.416666666666666)</f>
        <v>0.4166666667</v>
      </c>
    </row>
    <row r="8728">
      <c r="A8728" s="10" t="s">
        <v>10167</v>
      </c>
      <c r="B8728" s="7" t="str">
        <f>IFERROR(__xludf.DUMMYFUNCTION("SPLIT(A8728,"" "")"),"CNC1C(N(Cc2ncc(C)cc2C)Cc2ncc(C)c(C)c2C)CCCC1N(Cc1ncc(C)c(C)c1C)Cc1nc(C)c(C)c(C)c1C")</f>
        <v>CNC1C(N(Cc2ncc(C)cc2C)Cc2ncc(C)c(C)c2C)CCCC1N(Cc1ncc(C)c(C)c1C)Cc1nc(C)c(C)c(C)c1C</v>
      </c>
      <c r="C8728" s="7">
        <f>IFERROR(__xludf.DUMMYFUNCTION("""COMPUTED_VALUE"""),7.7724757)</f>
        <v>7.7724757</v>
      </c>
      <c r="D8728" s="7">
        <f>IFERROR(__xludf.DUMMYFUNCTION("""COMPUTED_VALUE"""),0.306451612903225)</f>
        <v>0.3064516129</v>
      </c>
    </row>
    <row r="8729">
      <c r="A8729" s="10" t="s">
        <v>10168</v>
      </c>
      <c r="B8729" s="7" t="str">
        <f>IFERROR(__xludf.DUMMYFUNCTION("SPLIT(A8729,"" "")"),"CCNC1=C(C)C(c2ncccc2CN(C)C2CCCCC2N(C)c2ccc3nccc(CN(C)C)c3c2)CC(C)C1")</f>
        <v>CCNC1=C(C)C(c2ncccc2CN(C)C2CCCCC2N(C)c2ccc3nccc(CN(C)C)c3c2)CC(C)C1</v>
      </c>
      <c r="C8729" s="7">
        <f>IFERROR(__xludf.DUMMYFUNCTION("""COMPUTED_VALUE"""),7.772467)</f>
        <v>7.772467</v>
      </c>
      <c r="D8729" s="7">
        <f>IFERROR(__xludf.DUMMYFUNCTION("""COMPUTED_VALUE"""),0.294871794871794)</f>
        <v>0.2948717949</v>
      </c>
    </row>
    <row r="8730">
      <c r="A8730" s="10" t="s">
        <v>10169</v>
      </c>
      <c r="B8730" s="7" t="str">
        <f>IFERROR(__xludf.DUMMYFUNCTION("SPLIT(A8730,"" "")"),"CN(Cc1ccccc1)C1CCC(N(C)c2ccc3ncc(CF)cc3c2)CC1")</f>
        <v>CN(Cc1ccccc1)C1CCC(N(C)c2ccc3ncc(CF)cc3c2)CC1</v>
      </c>
      <c r="C8730" s="7">
        <f>IFERROR(__xludf.DUMMYFUNCTION("""COMPUTED_VALUE"""),7.7724643)</f>
        <v>7.7724643</v>
      </c>
      <c r="D8730" s="7">
        <f>IFERROR(__xludf.DUMMYFUNCTION("""COMPUTED_VALUE"""),0.272727272727272)</f>
        <v>0.2727272727</v>
      </c>
    </row>
    <row r="8731">
      <c r="A8731" s="10" t="s">
        <v>10170</v>
      </c>
      <c r="B8731" s="7" t="str">
        <f>IFERROR(__xludf.DUMMYFUNCTION("SPLIT(A8731,"" "")"),"CN(C)c1ccccc1-c1cccc(CN(Cc2cccc(F)n2)Cc2cccc(-c3ccc4c(c3)OCCOCCOCCOCCOCCO4)n2)n1")</f>
        <v>CN(C)c1ccccc1-c1cccc(CN(Cc2cccc(F)n2)Cc2cccc(-c3ccc4c(c3)OCCOCCOCCOCCOCCO4)n2)n1</v>
      </c>
      <c r="C8731" s="7">
        <f>IFERROR(__xludf.DUMMYFUNCTION("""COMPUTED_VALUE"""),7.772464)</f>
        <v>7.772464</v>
      </c>
      <c r="D8731" s="7">
        <f>IFERROR(__xludf.DUMMYFUNCTION("""COMPUTED_VALUE"""),0.352112676056338)</f>
        <v>0.3521126761</v>
      </c>
    </row>
    <row r="8732">
      <c r="A8732" s="10" t="s">
        <v>10171</v>
      </c>
      <c r="B8732" s="7" t="str">
        <f>IFERROR(__xludf.DUMMYFUNCTION("SPLIT(A8732,"" "")"),"CC(C)N(Cc1cccc(CN(Cc2ccc([SiH3])cn2)Cc2cccc(C(C)(C)C)n2)n1)Cc1cccc(C2CCC2(C)C)n1")</f>
        <v>CC(C)N(Cc1cccc(CN(Cc2ccc([SiH3])cn2)Cc2cccc(C(C)(C)C)n2)n1)Cc1cccc(C2CCC2(C)C)n1</v>
      </c>
      <c r="C8732" s="7">
        <f>IFERROR(__xludf.DUMMYFUNCTION("""COMPUTED_VALUE"""),7.772464)</f>
        <v>7.772464</v>
      </c>
      <c r="D8732" s="7">
        <f>IFERROR(__xludf.DUMMYFUNCTION("""COMPUTED_VALUE"""),0.279411764705882)</f>
        <v>0.2794117647</v>
      </c>
    </row>
    <row r="8733">
      <c r="A8733" s="10" t="s">
        <v>10172</v>
      </c>
      <c r="B8733" s="7" t="str">
        <f>IFERROR(__xludf.DUMMYFUNCTION("SPLIT(A8733,"" "")"),"Cc1cc(C)c(CN(C)C2CCCC(N(Cc3ccc4cccnc4c3)C(C)C)C2)nc1C")</f>
        <v>Cc1cc(C)c(CN(C)C2CCCC(N(Cc3ccc4cccnc4c3)C(C)C)C2)nc1C</v>
      </c>
      <c r="C8733" s="7">
        <f>IFERROR(__xludf.DUMMYFUNCTION("""COMPUTED_VALUE"""),7.77246)</f>
        <v>7.77246</v>
      </c>
      <c r="D8733" s="7">
        <f>IFERROR(__xludf.DUMMYFUNCTION("""COMPUTED_VALUE"""),0.26865671641791)</f>
        <v>0.2686567164</v>
      </c>
    </row>
    <row r="8734">
      <c r="A8734" s="10" t="s">
        <v>10173</v>
      </c>
      <c r="B8734" s="7" t="str">
        <f>IFERROR(__xludf.DUMMYFUNCTION("SPLIT(A8734,"" "")"),"CC1(C)CCC1c1cc(CN(Cc2ccccn2)Cc2ccccn2)c(CN(Cc2ccccn2)Cc2ccccn2)cn1")</f>
        <v>CC1(C)CCC1c1cc(CN(Cc2ccccn2)Cc2ccccn2)c(CN(Cc2ccccn2)Cc2ccccn2)cn1</v>
      </c>
      <c r="C8734" s="7">
        <f>IFERROR(__xludf.DUMMYFUNCTION("""COMPUTED_VALUE"""),7.772451)</f>
        <v>7.772451</v>
      </c>
      <c r="D8734" s="7">
        <f>IFERROR(__xludf.DUMMYFUNCTION("""COMPUTED_VALUE"""),0.454545454545454)</f>
        <v>0.4545454545</v>
      </c>
    </row>
    <row r="8735">
      <c r="A8735" s="10" t="s">
        <v>10174</v>
      </c>
      <c r="B8735" s="7" t="str">
        <f>IFERROR(__xludf.DUMMYFUNCTION("SPLIT(A8735,"" "")"),"Cc1ccc(CN2CCN(C)CCN(Cc3ccc(-c4cccc(N=Cc5ccccn5)c4)nc3)CC2)nc1")</f>
        <v>Cc1ccc(CN2CCN(C)CCN(Cc3ccc(-c4cccc(N=Cc5ccccn5)c4)nc3)CC2)nc1</v>
      </c>
      <c r="C8735" s="7">
        <f>IFERROR(__xludf.DUMMYFUNCTION("""COMPUTED_VALUE"""),7.7724476)</f>
        <v>7.7724476</v>
      </c>
      <c r="D8735" s="7">
        <f>IFERROR(__xludf.DUMMYFUNCTION("""COMPUTED_VALUE"""),0.40625)</f>
        <v>0.40625</v>
      </c>
    </row>
    <row r="8736">
      <c r="A8736" s="10" t="s">
        <v>10175</v>
      </c>
      <c r="B8736" s="7" t="str">
        <f>IFERROR(__xludf.DUMMYFUNCTION("SPLIT(A8736,"" "")"),"CN(C)Cc1ccc2c(N(C)C3CCCCC3N(CF)Cc3ccccn3)cccc2n1")</f>
        <v>CN(C)Cc1ccc2c(N(C)C3CCCCC3N(CF)Cc3ccccn3)cccc2n1</v>
      </c>
      <c r="C8736" s="7">
        <f>IFERROR(__xludf.DUMMYFUNCTION("""COMPUTED_VALUE"""),7.7724476)</f>
        <v>7.7724476</v>
      </c>
      <c r="D8736" s="7">
        <f>IFERROR(__xludf.DUMMYFUNCTION("""COMPUTED_VALUE"""),0.448275862068965)</f>
        <v>0.4482758621</v>
      </c>
    </row>
    <row r="8737">
      <c r="A8737" s="10" t="s">
        <v>10176</v>
      </c>
      <c r="B8737" s="7" t="str">
        <f>IFERROR(__xludf.DUMMYFUNCTION("SPLIT(A8737,"" "")"),"CNCc1ncccc1CN(Cc1ccccn1)Cc1ccc(C)cn1")</f>
        <v>CNCc1ncccc1CN(Cc1ccccn1)Cc1ccc(C)cn1</v>
      </c>
      <c r="C8737" s="7">
        <f>IFERROR(__xludf.DUMMYFUNCTION("""COMPUTED_VALUE"""),7.7724433)</f>
        <v>7.7724433</v>
      </c>
      <c r="D8737" s="7">
        <f>IFERROR(__xludf.DUMMYFUNCTION("""COMPUTED_VALUE"""),0.465116279069767)</f>
        <v>0.4651162791</v>
      </c>
    </row>
    <row r="8738">
      <c r="A8738" s="10" t="s">
        <v>10177</v>
      </c>
      <c r="B8738" s="7" t="str">
        <f>IFERROR(__xludf.DUMMYFUNCTION("SPLIT(A8738,"" "")"),"CC(C)c1cccc(CN2CCN(C)CCN(Cc3ccc(-c4cccc(N=Cc5ccccn5)c4)cn3)CC2)n1")</f>
        <v>CC(C)c1cccc(CN2CCN(C)CCN(Cc3ccc(-c4cccc(N=Cc5ccccn5)c4)cn3)CC2)n1</v>
      </c>
      <c r="C8738" s="7">
        <f>IFERROR(__xludf.DUMMYFUNCTION("""COMPUTED_VALUE"""),7.772442)</f>
        <v>7.772442</v>
      </c>
      <c r="D8738" s="7">
        <f>IFERROR(__xludf.DUMMYFUNCTION("""COMPUTED_VALUE"""),0.435483870967741)</f>
        <v>0.435483871</v>
      </c>
    </row>
    <row r="8739">
      <c r="A8739" s="10" t="s">
        <v>10178</v>
      </c>
      <c r="B8739" s="7" t="str">
        <f>IFERROR(__xludf.DUMMYFUNCTION("SPLIT(A8739,"" "")"),"CN(CCN(C)Cc1cccc(-c2cccc3c2OCCOCCOCCOCCOCCO3)n1)Cc1cccc(-c2ccc3ncccc3c2)n1")</f>
        <v>CN(CCN(C)Cc1cccc(-c2cccc3c2OCCOCCOCCOCCOCCO3)n1)Cc1cccc(-c2ccc3ncccc3c2)n1</v>
      </c>
      <c r="C8739" s="7">
        <f>IFERROR(__xludf.DUMMYFUNCTION("""COMPUTED_VALUE"""),7.77244)</f>
        <v>7.77244</v>
      </c>
      <c r="D8739" s="7">
        <f>IFERROR(__xludf.DUMMYFUNCTION("""COMPUTED_VALUE"""),0.348484848484848)</f>
        <v>0.3484848485</v>
      </c>
    </row>
    <row r="8740">
      <c r="A8740" s="10" t="s">
        <v>10179</v>
      </c>
      <c r="B8740" s="7" t="str">
        <f>IFERROR(__xludf.DUMMYFUNCTION("SPLIT(A8740,"" "")"),"CN(Cc1cc(-c2ccc(N(C)C)cc2)ccn1)Cc1cc(-c2ccc3c(c2)OCCOCCOCCOCCOCCO3)ccn1")</f>
        <v>CN(Cc1cc(-c2ccc(N(C)C)cc2)ccn1)Cc1cc(-c2ccc3c(c2)OCCOCCOCCOCCOCCO3)ccn1</v>
      </c>
      <c r="C8740" s="7">
        <f>IFERROR(__xludf.DUMMYFUNCTION("""COMPUTED_VALUE"""),7.7724385)</f>
        <v>7.7724385</v>
      </c>
      <c r="D8740" s="7">
        <f>IFERROR(__xludf.DUMMYFUNCTION("""COMPUTED_VALUE"""),0.396825396825396)</f>
        <v>0.3968253968</v>
      </c>
    </row>
    <row r="8741">
      <c r="A8741" s="10" t="s">
        <v>10180</v>
      </c>
      <c r="B8741" s="7" t="str">
        <f>IFERROR(__xludf.DUMMYFUNCTION("SPLIT(A8741,"" "")"),"Cc1ccncc1CN(C)C")</f>
        <v>Cc1ccncc1CN(C)C</v>
      </c>
      <c r="C8741" s="7">
        <f>IFERROR(__xludf.DUMMYFUNCTION("""COMPUTED_VALUE"""),7.7724333)</f>
        <v>7.7724333</v>
      </c>
      <c r="D8741" s="7">
        <f>IFERROR(__xludf.DUMMYFUNCTION("""COMPUTED_VALUE"""),0.289473684210526)</f>
        <v>0.2894736842</v>
      </c>
    </row>
    <row r="8742">
      <c r="A8742" s="10" t="s">
        <v>10181</v>
      </c>
      <c r="B8742" s="7" t="str">
        <f>IFERROR(__xludf.DUMMYFUNCTION("SPLIT(A8742,"" "")"),"CNCc1ncccc1CN(C)Cc1cccc(N)n1")</f>
        <v>CNCc1ncccc1CN(C)Cc1cccc(N)n1</v>
      </c>
      <c r="C8742" s="7">
        <f>IFERROR(__xludf.DUMMYFUNCTION("""COMPUTED_VALUE"""),7.7724295)</f>
        <v>7.7724295</v>
      </c>
      <c r="D8742" s="7">
        <f>IFERROR(__xludf.DUMMYFUNCTION("""COMPUTED_VALUE"""),0.411764705882352)</f>
        <v>0.4117647059</v>
      </c>
    </row>
    <row r="8743">
      <c r="A8743" s="10" t="s">
        <v>10182</v>
      </c>
      <c r="B8743" s="7" t="str">
        <f>IFERROR(__xludf.DUMMYFUNCTION("SPLIT(A8743,"" "")"),"CCNC1C(N(C)Cc2ccccn2)CCCC1N(Cc1ccccn1)c1cccc2nccc(CF)c12")</f>
        <v>CCNC1C(N(C)Cc2ccccn2)CCCC1N(Cc1ccccn1)c1cccc2nccc(CF)c12</v>
      </c>
      <c r="C8743" s="7">
        <f>IFERROR(__xludf.DUMMYFUNCTION("""COMPUTED_VALUE"""),7.772429)</f>
        <v>7.772429</v>
      </c>
      <c r="D8743" s="7">
        <f>IFERROR(__xludf.DUMMYFUNCTION("""COMPUTED_VALUE"""),0.451612903225806)</f>
        <v>0.4516129032</v>
      </c>
    </row>
    <row r="8744">
      <c r="A8744" s="10" t="s">
        <v>10183</v>
      </c>
      <c r="B8744" s="7" t="str">
        <f>IFERROR(__xludf.DUMMYFUNCTION("SPLIT(A8744,"" "")"),"CC1C=CCC(C)(c2ncccc2CN(Cc2ccccn2)C2CCC(N(C)c3ccc4nccc(CN(C)C)c4c3)CC2)C1C")</f>
        <v>CC1C=CCC(C)(c2ncccc2CN(Cc2ccccn2)C2CCC(N(C)c3ccc4nccc(CN(C)C)c4c3)CC2)C1C</v>
      </c>
      <c r="C8744" s="7">
        <f>IFERROR(__xludf.DUMMYFUNCTION("""COMPUTED_VALUE"""),7.772428)</f>
        <v>7.772428</v>
      </c>
      <c r="D8744" s="7">
        <f>IFERROR(__xludf.DUMMYFUNCTION("""COMPUTED_VALUE"""),0.282051282051282)</f>
        <v>0.2820512821</v>
      </c>
    </row>
    <row r="8745">
      <c r="A8745" s="10" t="s">
        <v>10184</v>
      </c>
      <c r="B8745" s="7" t="str">
        <f>IFERROR(__xludf.DUMMYFUNCTION("SPLIT(A8745,"" "")"),"CNCc1cccc(CN(C)Cc2cccc(N)n2)n1")</f>
        <v>CNCc1cccc(CN(C)Cc2cccc(N)n2)n1</v>
      </c>
      <c r="C8745" s="7">
        <f>IFERROR(__xludf.DUMMYFUNCTION("""COMPUTED_VALUE"""),7.772418)</f>
        <v>7.772418</v>
      </c>
      <c r="D8745" s="7">
        <f>IFERROR(__xludf.DUMMYFUNCTION("""COMPUTED_VALUE"""),0.425)</f>
        <v>0.425</v>
      </c>
    </row>
    <row r="8746">
      <c r="A8746" s="10" t="s">
        <v>10185</v>
      </c>
      <c r="B8746" s="7" t="str">
        <f>IFERROR(__xludf.DUMMYFUNCTION("SPLIT(A8746,"" "")"),"CCNCc1cc(C(C)(C)c2ccccn2)ccn1")</f>
        <v>CCNCc1cc(C(C)(C)c2ccccn2)ccn1</v>
      </c>
      <c r="C8746" s="7">
        <f>IFERROR(__xludf.DUMMYFUNCTION("""COMPUTED_VALUE"""),7.772417)</f>
        <v>7.772417</v>
      </c>
      <c r="D8746" s="7">
        <f>IFERROR(__xludf.DUMMYFUNCTION("""COMPUTED_VALUE"""),0.404761904761904)</f>
        <v>0.4047619048</v>
      </c>
    </row>
    <row r="8747">
      <c r="A8747" s="10" t="s">
        <v>10186</v>
      </c>
      <c r="B8747" s="7" t="str">
        <f>IFERROR(__xludf.DUMMYFUNCTION("SPLIT(A8747,"" "")"),"Cc1ccnc(CN(C)CCN(C)Cc2ncc(C)c(C)c2C)c1C")</f>
        <v>Cc1ccnc(CN(C)CCN(C)Cc2ncc(C)c(C)c2C)c1C</v>
      </c>
      <c r="C8747" s="7">
        <f>IFERROR(__xludf.DUMMYFUNCTION("""COMPUTED_VALUE"""),7.772401)</f>
        <v>7.772401</v>
      </c>
      <c r="D8747" s="7">
        <f>IFERROR(__xludf.DUMMYFUNCTION("""COMPUTED_VALUE"""),0.425)</f>
        <v>0.425</v>
      </c>
    </row>
    <row r="8748">
      <c r="A8748" s="10" t="s">
        <v>10187</v>
      </c>
      <c r="B8748" s="7" t="str">
        <f>IFERROR(__xludf.DUMMYFUNCTION("SPLIT(A8748,"" "")"),"CCNCC1=C(N(C)Cc2ncccc2C)CC=CN1")</f>
        <v>CCNCC1=C(N(C)Cc2ncccc2C)CC=CN1</v>
      </c>
      <c r="C8748" s="7">
        <f>IFERROR(__xludf.DUMMYFUNCTION("""COMPUTED_VALUE"""),7.772401)</f>
        <v>7.772401</v>
      </c>
      <c r="D8748" s="7">
        <f>IFERROR(__xludf.DUMMYFUNCTION("""COMPUTED_VALUE"""),0.269841269841269)</f>
        <v>0.2698412698</v>
      </c>
    </row>
    <row r="8749">
      <c r="A8749" s="10" t="s">
        <v>10188</v>
      </c>
      <c r="B8749" s="7" t="str">
        <f>IFERROR(__xludf.DUMMYFUNCTION("SPLIT(A8749,"" "")"),"Cc1ccc(CN(Cc2ccccn2)Cc2cccc(CNC(C)C)n2)nc1")</f>
        <v>Cc1ccc(CN(Cc2ccccn2)Cc2cccc(CNC(C)C)n2)nc1</v>
      </c>
      <c r="C8749" s="7">
        <f>IFERROR(__xludf.DUMMYFUNCTION("""COMPUTED_VALUE"""),7.772394)</f>
        <v>7.772394</v>
      </c>
      <c r="D8749" s="7">
        <f>IFERROR(__xludf.DUMMYFUNCTION("""COMPUTED_VALUE"""),0.465116279069767)</f>
        <v>0.4651162791</v>
      </c>
    </row>
    <row r="8750">
      <c r="A8750" s="10" t="s">
        <v>10189</v>
      </c>
      <c r="B8750" s="7" t="str">
        <f>IFERROR(__xludf.DUMMYFUNCTION("SPLIT(A8750,"" "")"),"CNCc1ccc(CN(Cc2ccccn2)Cc2cc(C)ccn2)cn1")</f>
        <v>CNCc1ccc(CN(Cc2ccccn2)Cc2cc(C)ccn2)cn1</v>
      </c>
      <c r="C8750" s="7">
        <f>IFERROR(__xludf.DUMMYFUNCTION("""COMPUTED_VALUE"""),7.772393)</f>
        <v>7.772393</v>
      </c>
      <c r="D8750" s="7">
        <f>IFERROR(__xludf.DUMMYFUNCTION("""COMPUTED_VALUE"""),0.454545454545454)</f>
        <v>0.4545454545</v>
      </c>
    </row>
    <row r="8751">
      <c r="A8751" s="10" t="s">
        <v>10190</v>
      </c>
      <c r="B8751" s="7" t="str">
        <f>IFERROR(__xludf.DUMMYFUNCTION("SPLIT(A8751,"" "")"),"CN(c1cccc2nc(CF)ccc12)C1CCC(N(Cc2ccccn2)Cc2cccc(C3CCC3)n2)CC1")</f>
        <v>CN(c1cccc2nc(CF)ccc12)C1CCC(N(Cc2ccccn2)Cc2cccc(C3CCC3)n2)CC1</v>
      </c>
      <c r="C8751" s="7">
        <f>IFERROR(__xludf.DUMMYFUNCTION("""COMPUTED_VALUE"""),7.7723927)</f>
        <v>7.7723927</v>
      </c>
      <c r="D8751" s="7">
        <f>IFERROR(__xludf.DUMMYFUNCTION("""COMPUTED_VALUE"""),0.363636363636363)</f>
        <v>0.3636363636</v>
      </c>
    </row>
    <row r="8752">
      <c r="A8752" s="10" t="s">
        <v>10191</v>
      </c>
      <c r="B8752" s="7" t="str">
        <f>IFERROR(__xludf.DUMMYFUNCTION("SPLIT(A8752,"" "")"),"CN1CCN(C)CCN(Cc2ncccc2-c2cccc(N=Cc3ccccn3)c2)CC1")</f>
        <v>CN1CCN(C)CCN(Cc2ncccc2-c2cccc(N=Cc3ccccn3)c2)CC1</v>
      </c>
      <c r="C8752" s="7">
        <f>IFERROR(__xludf.DUMMYFUNCTION("""COMPUTED_VALUE"""),7.7723866)</f>
        <v>7.7723866</v>
      </c>
      <c r="D8752" s="7">
        <f>IFERROR(__xludf.DUMMYFUNCTION("""COMPUTED_VALUE"""),0.418181818181818)</f>
        <v>0.4181818182</v>
      </c>
    </row>
    <row r="8753">
      <c r="A8753" s="10" t="s">
        <v>10192</v>
      </c>
      <c r="B8753" s="7" t="str">
        <f>IFERROR(__xludf.DUMMYFUNCTION("SPLIT(A8753,"" "")"),"Cc1ccnc(CN(Cc2cc(C)c(C)cn2)Cc2ncccc2C(C)C(C)C)c1")</f>
        <v>Cc1ccnc(CN(Cc2cc(C)c(C)cn2)Cc2ncccc2C(C)C(C)C)c1</v>
      </c>
      <c r="C8753" s="7">
        <f>IFERROR(__xludf.DUMMYFUNCTION("""COMPUTED_VALUE"""),7.7723866)</f>
        <v>7.7723866</v>
      </c>
      <c r="D8753" s="7">
        <f>IFERROR(__xludf.DUMMYFUNCTION("""COMPUTED_VALUE"""),0.375)</f>
        <v>0.375</v>
      </c>
    </row>
    <row r="8754">
      <c r="A8754" s="10" t="s">
        <v>10193</v>
      </c>
      <c r="B8754" s="7" t="str">
        <f>IFERROR(__xludf.DUMMYFUNCTION("SPLIT(A8754,"" "")"),"Cc1ccc2cccnc2c1C(C)c1ncccc1CN1CCN(C)CCN(C)CC1")</f>
        <v>Cc1ccc2cccnc2c1C(C)c1ncccc1CN1CCN(C)CCN(C)CC1</v>
      </c>
      <c r="C8754" s="7">
        <f>IFERROR(__xludf.DUMMYFUNCTION("""COMPUTED_VALUE"""),7.7723837)</f>
        <v>7.7723837</v>
      </c>
      <c r="D8754" s="7">
        <f>IFERROR(__xludf.DUMMYFUNCTION("""COMPUTED_VALUE"""),0.396226415094339)</f>
        <v>0.3962264151</v>
      </c>
    </row>
    <row r="8755">
      <c r="A8755" s="10" t="s">
        <v>10194</v>
      </c>
      <c r="B8755" s="7" t="str">
        <f>IFERROR(__xludf.DUMMYFUNCTION("SPLIT(A8755,"" "")"),"C1=CC(SCc2ccccn2)C=CN1")</f>
        <v>C1=CC(SCc2ccccn2)C=CN1</v>
      </c>
      <c r="C8755" s="7">
        <f>IFERROR(__xludf.DUMMYFUNCTION("""COMPUTED_VALUE"""),7.7723823)</f>
        <v>7.7723823</v>
      </c>
      <c r="D8755" s="7">
        <f>IFERROR(__xludf.DUMMYFUNCTION("""COMPUTED_VALUE"""),0.485714285714285)</f>
        <v>0.4857142857</v>
      </c>
    </row>
    <row r="8756">
      <c r="A8756" s="10" t="s">
        <v>10195</v>
      </c>
      <c r="B8756" s="7" t="str">
        <f>IFERROR(__xludf.DUMMYFUNCTION("SPLIT(A8756,"" "")"),"Cc1cccnc1CN(C)CC1=CC(N(C)Cc2ccccn2)C=CN1")</f>
        <v>Cc1cccnc1CN(C)CC1=CC(N(C)Cc2ccccn2)C=CN1</v>
      </c>
      <c r="C8756" s="7">
        <f>IFERROR(__xludf.DUMMYFUNCTION("""COMPUTED_VALUE"""),7.772376)</f>
        <v>7.772376</v>
      </c>
      <c r="D8756" s="7">
        <f>IFERROR(__xludf.DUMMYFUNCTION("""COMPUTED_VALUE"""),0.392857142857142)</f>
        <v>0.3928571429</v>
      </c>
    </row>
    <row r="8757">
      <c r="A8757" s="10" t="s">
        <v>10196</v>
      </c>
      <c r="B8757" s="7" t="str">
        <f>IFERROR(__xludf.DUMMYFUNCTION("SPLIT(A8757,"" "")"),"CN(C)c1ccc(CN(Cc2ccccn2)Cc2ncccc2-c2ccc3c(c2N(C)Cc2ccccn2)OCCOCCOCCOCCOCCO3)nc1")</f>
        <v>CN(C)c1ccc(CN(Cc2ccccn2)Cc2ncccc2-c2ccc3c(c2N(C)Cc2ccccn2)OCCOCCOCCOCCOCCO3)nc1</v>
      </c>
      <c r="C8757" s="7">
        <f>IFERROR(__xludf.DUMMYFUNCTION("""COMPUTED_VALUE"""),7.772373)</f>
        <v>7.772373</v>
      </c>
      <c r="D8757" s="7">
        <f>IFERROR(__xludf.DUMMYFUNCTION("""COMPUTED_VALUE"""),0.327868852459016)</f>
        <v>0.3278688525</v>
      </c>
    </row>
    <row r="8758">
      <c r="A8758" s="10" t="s">
        <v>10197</v>
      </c>
      <c r="B8758" s="7" t="str">
        <f>IFERROR(__xludf.DUMMYFUNCTION("SPLIT(A8758,"" "")"),"Cc1ccc(-c2cccc(NCc3ccccn3)c2)nc1CN(C)C1CCC(N(C)Cc2ccccn2)CC1")</f>
        <v>Cc1ccc(-c2cccc(NCc3ccccn3)c2)nc1CN(C)C1CCC(N(C)Cc2ccccn2)CC1</v>
      </c>
      <c r="C8758" s="7">
        <f>IFERROR(__xludf.DUMMYFUNCTION("""COMPUTED_VALUE"""),7.7723727)</f>
        <v>7.7723727</v>
      </c>
      <c r="D8758" s="7">
        <f>IFERROR(__xludf.DUMMYFUNCTION("""COMPUTED_VALUE"""),0.393442622950819)</f>
        <v>0.393442623</v>
      </c>
    </row>
    <row r="8759">
      <c r="A8759" s="10" t="s">
        <v>10198</v>
      </c>
      <c r="B8759" s="7" t="str">
        <f>IFERROR(__xludf.DUMMYFUNCTION("SPLIT(A8759,"" "")"),"CN(CC1=C(N(CF)Cc2ccccn2)CC=CN1)Cc1ccccn1")</f>
        <v>CN(CC1=C(N(CF)Cc2ccccn2)CC=CN1)Cc1ccccn1</v>
      </c>
      <c r="C8759" s="7">
        <f>IFERROR(__xludf.DUMMYFUNCTION("""COMPUTED_VALUE"""),7.772372)</f>
        <v>7.772372</v>
      </c>
      <c r="D8759" s="7">
        <f>IFERROR(__xludf.DUMMYFUNCTION("""COMPUTED_VALUE"""),0.423076923076923)</f>
        <v>0.4230769231</v>
      </c>
    </row>
    <row r="8760">
      <c r="A8760" s="10" t="s">
        <v>10199</v>
      </c>
      <c r="B8760" s="7" t="str">
        <f>IFERROR(__xludf.DUMMYFUNCTION("SPLIT(A8760,"" "")"),"CN(Cc1cccc(C2(C)CCC2)n1)C1CCC(N(C)c2ccc3nc(CF)ccc3c2)CC1")</f>
        <v>CN(Cc1cccc(C2(C)CCC2)n1)C1CCC(N(C)c2ccc3nc(CF)ccc3c2)CC1</v>
      </c>
      <c r="C8760" s="7">
        <f>IFERROR(__xludf.DUMMYFUNCTION("""COMPUTED_VALUE"""),7.7723713)</f>
        <v>7.7723713</v>
      </c>
      <c r="D8760" s="7">
        <f>IFERROR(__xludf.DUMMYFUNCTION("""COMPUTED_VALUE"""),0.352941176470588)</f>
        <v>0.3529411765</v>
      </c>
    </row>
    <row r="8761">
      <c r="A8761" s="10" t="s">
        <v>10200</v>
      </c>
      <c r="B8761" s="7" t="str">
        <f>IFERROR(__xludf.DUMMYFUNCTION("SPLIT(A8761,"" "")"),"Cc1ccc(C)c(CN(C)CN(C)Cc2ncccc2C)n1")</f>
        <v>Cc1ccc(C)c(CN(C)CN(C)Cc2ncccc2C)n1</v>
      </c>
      <c r="C8761" s="7">
        <f>IFERROR(__xludf.DUMMYFUNCTION("""COMPUTED_VALUE"""),7.7723675)</f>
        <v>7.7723675</v>
      </c>
      <c r="D8761" s="7">
        <f>IFERROR(__xludf.DUMMYFUNCTION("""COMPUTED_VALUE"""),0.348837209302325)</f>
        <v>0.3488372093</v>
      </c>
    </row>
    <row r="8762">
      <c r="A8762" s="10" t="s">
        <v>10201</v>
      </c>
      <c r="B8762" s="7" t="str">
        <f>IFERROR(__xludf.DUMMYFUNCTION("SPLIT(A8762,"" "")"),"CNCc1cccc(CN(C)C2CCC(N(C)c3ccc4nc(CF)ccc4c3)CC2)n1")</f>
        <v>CNCc1cccc(CN(C)C2CCC(N(C)c3ccc4nc(CF)ccc4c3)CC2)n1</v>
      </c>
      <c r="C8762" s="7">
        <f>IFERROR(__xludf.DUMMYFUNCTION("""COMPUTED_VALUE"""),7.772365)</f>
        <v>7.772365</v>
      </c>
      <c r="D8762" s="7">
        <f>IFERROR(__xludf.DUMMYFUNCTION("""COMPUTED_VALUE"""),0.353846153846153)</f>
        <v>0.3538461538</v>
      </c>
    </row>
    <row r="8763">
      <c r="A8763" s="10" t="s">
        <v>10202</v>
      </c>
      <c r="B8763" s="7" t="str">
        <f>IFERROR(__xludf.DUMMYFUNCTION("SPLIT(A8763,"" "")"),"Cc1cccnc1CN(C)CCN(Cc1ccccn1)C(C)(C)c1cccnc1CN(Cc1ncccc1C)C(C)C")</f>
        <v>Cc1cccnc1CN(C)CCN(Cc1ccccn1)C(C)(C)c1cccnc1CN(Cc1ncccc1C)C(C)C</v>
      </c>
      <c r="C8763" s="7">
        <f>IFERROR(__xludf.DUMMYFUNCTION("""COMPUTED_VALUE"""),7.772363)</f>
        <v>7.772363</v>
      </c>
      <c r="D8763" s="7">
        <f>IFERROR(__xludf.DUMMYFUNCTION("""COMPUTED_VALUE"""),0.452830188679245)</f>
        <v>0.4528301887</v>
      </c>
    </row>
    <row r="8764">
      <c r="A8764" s="10" t="s">
        <v>10203</v>
      </c>
      <c r="B8764" s="7" t="str">
        <f>IFERROR(__xludf.DUMMYFUNCTION("SPLIT(A8764,"" "")"),"CC(C)C1=CCC=C(N(C)CC2=CC(N(C)Cc3ccccn3)C=CN2)N1")</f>
        <v>CC(C)C1=CCC=C(N(C)CC2=CC(N(C)Cc3ccccn3)C=CN2)N1</v>
      </c>
      <c r="C8764" s="7">
        <f>IFERROR(__xludf.DUMMYFUNCTION("""COMPUTED_VALUE"""),7.7723627)</f>
        <v>7.7723627</v>
      </c>
      <c r="D8764" s="7">
        <f>IFERROR(__xludf.DUMMYFUNCTION("""COMPUTED_VALUE"""),0.384615384615384)</f>
        <v>0.3846153846</v>
      </c>
    </row>
    <row r="8765">
      <c r="A8765" s="10" t="s">
        <v>10204</v>
      </c>
      <c r="B8765" s="7" t="str">
        <f>IFERROR(__xludf.DUMMYFUNCTION("SPLIT(A8765,"" "")"),"CC1C=CCC(C)C1(C)c1cccc(CN(Cc2ccccn2)C2CCC(N(C)c3ccc4nc(CN(C)C)ccc4c3)CC2)n1")</f>
        <v>CC1C=CCC(C)C1(C)c1cccc(CN(Cc2ccccn2)C2CCC(N(C)c3ccc4nc(CN(C)C)ccc4c3)CC2)n1</v>
      </c>
      <c r="C8765" s="7">
        <f>IFERROR(__xludf.DUMMYFUNCTION("""COMPUTED_VALUE"""),7.772362)</f>
        <v>7.772362</v>
      </c>
      <c r="D8765" s="7">
        <f>IFERROR(__xludf.DUMMYFUNCTION("""COMPUTED_VALUE"""),0.328767123287671)</f>
        <v>0.3287671233</v>
      </c>
    </row>
    <row r="8766">
      <c r="A8766" s="10" t="s">
        <v>10205</v>
      </c>
      <c r="B8766" s="7" t="str">
        <f>IFERROR(__xludf.DUMMYFUNCTION("SPLIT(A8766,"" "")"),"CCNCc1cc(CN(Cc2ccccn2)C2CCCC(N(C)c3ccc4nc(CF)ccc4c3)C2)ccn1")</f>
        <v>CCNCc1cc(CN(Cc2ccccn2)C2CCCC(N(C)c3ccc4nc(CF)ccc4c3)C2)ccn1</v>
      </c>
      <c r="C8766" s="7">
        <f>IFERROR(__xludf.DUMMYFUNCTION("""COMPUTED_VALUE"""),7.7723613)</f>
        <v>7.7723613</v>
      </c>
      <c r="D8766" s="7">
        <f>IFERROR(__xludf.DUMMYFUNCTION("""COMPUTED_VALUE"""),0.319444444444444)</f>
        <v>0.3194444444</v>
      </c>
    </row>
    <row r="8767">
      <c r="A8767" s="10" t="s">
        <v>10206</v>
      </c>
      <c r="B8767" s="7" t="str">
        <f>IFERROR(__xludf.DUMMYFUNCTION("SPLIT(A8767,"" "")"),"CC(C)N(C)C1=C(NCc2ccccn2)C=CNC1")</f>
        <v>CC(C)N(C)C1=C(NCc2ccccn2)C=CNC1</v>
      </c>
      <c r="C8767" s="7">
        <f>IFERROR(__xludf.DUMMYFUNCTION("""COMPUTED_VALUE"""),7.7723594)</f>
        <v>7.7723594</v>
      </c>
      <c r="D8767" s="7">
        <f>IFERROR(__xludf.DUMMYFUNCTION("""COMPUTED_VALUE"""),0.408163265306122)</f>
        <v>0.4081632653</v>
      </c>
    </row>
    <row r="8768">
      <c r="A8768" s="10" t="s">
        <v>10207</v>
      </c>
      <c r="B8768" s="7" t="str">
        <f>IFERROR(__xludf.DUMMYFUNCTION("SPLIT(A8768,"" "")"),"Cc1ccc(-c2cc(CN(C)C3CCC(N(C)Cc4nc(C)c(C)c(C)c4C)CC3)ccn2)cc1")</f>
        <v>Cc1ccc(-c2cc(CN(C)C3CCC(N(C)Cc4nc(C)c(C)c(C)c4C)CC3)ccn2)cc1</v>
      </c>
      <c r="C8768" s="7">
        <f>IFERROR(__xludf.DUMMYFUNCTION("""COMPUTED_VALUE"""),7.772351)</f>
        <v>7.772351</v>
      </c>
      <c r="D8768" s="7">
        <f>IFERROR(__xludf.DUMMYFUNCTION("""COMPUTED_VALUE"""),0.283333333333333)</f>
        <v>0.2833333333</v>
      </c>
    </row>
    <row r="8769">
      <c r="A8769" s="10" t="s">
        <v>10208</v>
      </c>
      <c r="B8769" s="7" t="str">
        <f>IFERROR(__xludf.DUMMYFUNCTION("SPLIT(A8769,"" "")"),"Cc1cnc(CN(C)C(C)C)c(C)c1C")</f>
        <v>Cc1cnc(CN(C)C(C)C)c(C)c1C</v>
      </c>
      <c r="C8769" s="7">
        <f>IFERROR(__xludf.DUMMYFUNCTION("""COMPUTED_VALUE"""),7.77235)</f>
        <v>7.77235</v>
      </c>
      <c r="D8769" s="7">
        <f>IFERROR(__xludf.DUMMYFUNCTION("""COMPUTED_VALUE"""),0.3)</f>
        <v>0.3</v>
      </c>
    </row>
    <row r="8770">
      <c r="A8770" s="10" t="s">
        <v>10209</v>
      </c>
      <c r="B8770" s="7" t="str">
        <f>IFERROR(__xludf.DUMMYFUNCTION("SPLIT(A8770,"" "")"),"CNCc1ccc2cccc(N(C)C3CCCCC3N(CC3=CCC=CN3)Cc3ccccn3)c2n1")</f>
        <v>CNCc1ccc2cccc(N(C)C3CCCCC3N(CC3=CCC=CN3)Cc3ccccn3)c2n1</v>
      </c>
      <c r="C8770" s="7">
        <f>IFERROR(__xludf.DUMMYFUNCTION("""COMPUTED_VALUE"""),7.7723465)</f>
        <v>7.7723465</v>
      </c>
      <c r="D8770" s="7">
        <f>IFERROR(__xludf.DUMMYFUNCTION("""COMPUTED_VALUE"""),0.471428571428571)</f>
        <v>0.4714285714</v>
      </c>
    </row>
    <row r="8771">
      <c r="A8771" s="10" t="s">
        <v>10210</v>
      </c>
      <c r="B8771" s="7" t="str">
        <f>IFERROR(__xludf.DUMMYFUNCTION("SPLIT(A8771,"" "")"),"CCN(C)Cc1ccc2cc(N(C)C3CCC(N(C)Cc4ncccc4C)CC3)ccc2n1")</f>
        <v>CCN(C)Cc1ccc2cc(N(C)C3CCC(N(C)Cc4ncccc4C)CC3)ccc2n1</v>
      </c>
      <c r="C8771" s="7">
        <f>IFERROR(__xludf.DUMMYFUNCTION("""COMPUTED_VALUE"""),7.7723455)</f>
        <v>7.7723455</v>
      </c>
      <c r="D8771" s="7">
        <f>IFERROR(__xludf.DUMMYFUNCTION("""COMPUTED_VALUE"""),0.296875)</f>
        <v>0.296875</v>
      </c>
    </row>
    <row r="8772">
      <c r="A8772" s="10" t="s">
        <v>10211</v>
      </c>
      <c r="B8772" s="7" t="str">
        <f>IFERROR(__xludf.DUMMYFUNCTION("SPLIT(A8772,"" "")"),"CN(CC1=CCC=CN1)Cc1ncccc1N")</f>
        <v>CN(CC1=CCC=CN1)Cc1ncccc1N</v>
      </c>
      <c r="C8772" s="7">
        <f>IFERROR(__xludf.DUMMYFUNCTION("""COMPUTED_VALUE"""),7.7723393)</f>
        <v>7.7723393</v>
      </c>
      <c r="D8772" s="7">
        <f>IFERROR(__xludf.DUMMYFUNCTION("""COMPUTED_VALUE"""),0.5)</f>
        <v>0.5</v>
      </c>
    </row>
    <row r="8773">
      <c r="A8773" s="10" t="s">
        <v>10212</v>
      </c>
      <c r="B8773" s="7" t="str">
        <f>IFERROR(__xludf.DUMMYFUNCTION("SPLIT(A8773,"" "")"),"CN(C)c1ccccc1-c1ncccc1CN(Cc1ccccn1)Cc1ccc(-c2ccc3c(c2)OCCOCCOCCOCCOCCO3)cn1")</f>
        <v>CN(C)c1ccccc1-c1ncccc1CN(Cc1ccccn1)Cc1ccc(-c2ccc3c(c2)OCCOCCOCCOCCOCCO3)cn1</v>
      </c>
      <c r="C8773" s="7">
        <f>IFERROR(__xludf.DUMMYFUNCTION("""COMPUTED_VALUE"""),7.7723374)</f>
        <v>7.7723374</v>
      </c>
      <c r="D8773" s="7">
        <f>IFERROR(__xludf.DUMMYFUNCTION("""COMPUTED_VALUE"""),0.4)</f>
        <v>0.4</v>
      </c>
    </row>
    <row r="8774">
      <c r="A8774" s="10" t="s">
        <v>10213</v>
      </c>
      <c r="B8774" s="7" t="str">
        <f>IFERROR(__xludf.DUMMYFUNCTION("SPLIT(A8774,"" "")"),"C=CCNCc1ncccc1C(C)(C)c1ccccn1")</f>
        <v>C=CCNCc1ncccc1C(C)(C)c1ccccn1</v>
      </c>
      <c r="C8774" s="7">
        <f>IFERROR(__xludf.DUMMYFUNCTION("""COMPUTED_VALUE"""),7.772336)</f>
        <v>7.772336</v>
      </c>
      <c r="D8774" s="7">
        <f>IFERROR(__xludf.DUMMYFUNCTION("""COMPUTED_VALUE"""),0.320754716981132)</f>
        <v>0.320754717</v>
      </c>
    </row>
    <row r="8775">
      <c r="A8775" s="10" t="s">
        <v>10214</v>
      </c>
      <c r="B8775" s="7" t="str">
        <f>IFERROR(__xludf.DUMMYFUNCTION("SPLIT(A8775,"" "")"),"Cc1cncc(CN(C)CC2=CCC=C(N(C)C(C)C)N2)c1")</f>
        <v>Cc1cncc(CN(C)CC2=CCC=C(N(C)C(C)C)N2)c1</v>
      </c>
      <c r="C8775" s="7">
        <f>IFERROR(__xludf.DUMMYFUNCTION("""COMPUTED_VALUE"""),7.7723346)</f>
        <v>7.7723346</v>
      </c>
      <c r="D8775" s="7">
        <f>IFERROR(__xludf.DUMMYFUNCTION("""COMPUTED_VALUE"""),0.236363636363636)</f>
        <v>0.2363636364</v>
      </c>
    </row>
    <row r="8776">
      <c r="A8776" s="10" t="s">
        <v>10215</v>
      </c>
      <c r="B8776" s="7" t="str">
        <f>IFERROR(__xludf.DUMMYFUNCTION("SPLIT(A8776,"" "")"),"CC1=C(N(C)CC2=CC(N(C)Cc3nc(C)c(C)c(C)c3C)C=CN2)C(C)C(C)CC1")</f>
        <v>CC1=C(N(C)CC2=CC(N(C)Cc3nc(C)c(C)c(C)c3C)C=CN2)C(C)C(C)CC1</v>
      </c>
      <c r="C8776" s="7">
        <f>IFERROR(__xludf.DUMMYFUNCTION("""COMPUTED_VALUE"""),7.772334)</f>
        <v>7.772334</v>
      </c>
      <c r="D8776" s="7">
        <f>IFERROR(__xludf.DUMMYFUNCTION("""COMPUTED_VALUE"""),0.279411764705882)</f>
        <v>0.2794117647</v>
      </c>
    </row>
    <row r="8777">
      <c r="A8777" s="10" t="s">
        <v>10216</v>
      </c>
      <c r="B8777" s="7" t="str">
        <f>IFERROR(__xludf.DUMMYFUNCTION("SPLIT(A8777,"" "")"),"CCCN(CC1=CC(N(C)Cc2ccccn2)C=CN1)c1cccc(C)c1C")</f>
        <v>CCCN(CC1=CC(N(C)Cc2ccccn2)C=CN1)c1cccc(C)c1C</v>
      </c>
      <c r="C8777" s="7">
        <f>IFERROR(__xludf.DUMMYFUNCTION("""COMPUTED_VALUE"""),7.7723246)</f>
        <v>7.7723246</v>
      </c>
      <c r="D8777" s="7">
        <f>IFERROR(__xludf.DUMMYFUNCTION("""COMPUTED_VALUE"""),0.354838709677419)</f>
        <v>0.3548387097</v>
      </c>
    </row>
    <row r="8778">
      <c r="A8778" s="10" t="s">
        <v>10217</v>
      </c>
      <c r="B8778" s="7" t="str">
        <f>IFERROR(__xludf.DUMMYFUNCTION("SPLIT(A8778,"" "")"),"Cc1cc(C)c(CN(Cc2ccccn2)C(C)(N)N(CCN(C)Cc2ccccn2)Cc2ccccn2)nc1C")</f>
        <v>Cc1cc(C)c(CN(Cc2ccccn2)C(C)(N)N(CCN(C)Cc2ccccn2)Cc2ccccn2)nc1C</v>
      </c>
      <c r="C8778" s="7">
        <f>IFERROR(__xludf.DUMMYFUNCTION("""COMPUTED_VALUE"""),7.7723117)</f>
        <v>7.7723117</v>
      </c>
      <c r="D8778" s="7">
        <f>IFERROR(__xludf.DUMMYFUNCTION("""COMPUTED_VALUE"""),0.385964912280701)</f>
        <v>0.3859649123</v>
      </c>
    </row>
    <row r="8779">
      <c r="A8779" s="10" t="s">
        <v>10218</v>
      </c>
      <c r="B8779" s="7" t="str">
        <f>IFERROR(__xludf.DUMMYFUNCTION("SPLIT(A8779,"" "")"),"CC(C)N(CCN(Cc1ccccn1)Cc1cccc(N(C)Cc2cccc(C3CC(Cl)C3Cl)n2)n1)Cc1ccccn1")</f>
        <v>CC(C)N(CCN(Cc1ccccn1)Cc1cccc(N(C)Cc2cccc(C3CC(Cl)C3Cl)n2)n1)Cc1ccccn1</v>
      </c>
      <c r="C8779" s="7">
        <f>IFERROR(__xludf.DUMMYFUNCTION("""COMPUTED_VALUE"""),7.7723055)</f>
        <v>7.7723055</v>
      </c>
      <c r="D8779" s="7">
        <f>IFERROR(__xludf.DUMMYFUNCTION("""COMPUTED_VALUE"""),0.46551724137931)</f>
        <v>0.4655172414</v>
      </c>
    </row>
    <row r="8780">
      <c r="A8780" s="10" t="s">
        <v>10219</v>
      </c>
      <c r="B8780" s="7" t="str">
        <f>IFERROR(__xludf.DUMMYFUNCTION("SPLIT(A8780,"" "")"),"CC(C)N(Cc1ccccn1)c1cccc(-c2cc(CN(Cc3ccccn3)C3CCCCC3)ccn2)c1")</f>
        <v>CC(C)N(Cc1ccccn1)c1cccc(-c2cc(CN(Cc3ccccn3)C3CCCCC3)ccn2)c1</v>
      </c>
      <c r="C8780" s="7">
        <f>IFERROR(__xludf.DUMMYFUNCTION("""COMPUTED_VALUE"""),7.7723017)</f>
        <v>7.7723017</v>
      </c>
      <c r="D8780" s="7">
        <f>IFERROR(__xludf.DUMMYFUNCTION("""COMPUTED_VALUE"""),0.370967741935483)</f>
        <v>0.3709677419</v>
      </c>
    </row>
    <row r="8781">
      <c r="A8781" s="10" t="s">
        <v>10220</v>
      </c>
      <c r="B8781" s="7" t="str">
        <f>IFERROR(__xludf.DUMMYFUNCTION("SPLIT(A8781,"" "")"),"CNC1CC(N(Cc2cc(C)ccn2)Cc2cc(C)c(C)c(C)n2)CC(N(Cc2cc(C)c(C)cn2)Cc2nc(C)c(C)c(C)c2C)C1")</f>
        <v>CNC1CC(N(Cc2cc(C)ccn2)Cc2cc(C)c(C)c(C)n2)CC(N(Cc2cc(C)c(C)cn2)Cc2nc(C)c(C)c(C)c2C)C1</v>
      </c>
      <c r="C8781" s="7">
        <f>IFERROR(__xludf.DUMMYFUNCTION("""COMPUTED_VALUE"""),7.772301)</f>
        <v>7.772301</v>
      </c>
      <c r="D8781" s="7">
        <f>IFERROR(__xludf.DUMMYFUNCTION("""COMPUTED_VALUE"""),0.257142857142857)</f>
        <v>0.2571428571</v>
      </c>
    </row>
    <row r="8782">
      <c r="A8782" s="10" t="s">
        <v>10221</v>
      </c>
      <c r="B8782" s="7" t="str">
        <f>IFERROR(__xludf.DUMMYFUNCTION("SPLIT(A8782,"" "")"),"C1=CCNC(NCc2ccccn2)=C1")</f>
        <v>C1=CCNC(NCc2ccccn2)=C1</v>
      </c>
      <c r="C8782" s="7">
        <f>IFERROR(__xludf.DUMMYFUNCTION("""COMPUTED_VALUE"""),7.7723002)</f>
        <v>7.7723002</v>
      </c>
      <c r="D8782" s="7">
        <f>IFERROR(__xludf.DUMMYFUNCTION("""COMPUTED_VALUE"""),0.447368421052631)</f>
        <v>0.4473684211</v>
      </c>
    </row>
    <row r="8783">
      <c r="A8783" s="10" t="s">
        <v>10222</v>
      </c>
      <c r="B8783" s="7" t="str">
        <f>IFERROR(__xludf.DUMMYFUNCTION("SPLIT(A8783,"" "")"),"CCN(Cc1ccccn1)c1ccc2nc(CN(C)Cc3cccc(-c4ccc5c(c4)OCCOCCOCCOCCOCCO5)n3)ccc2c1")</f>
        <v>CCN(Cc1ccccn1)c1ccc2nc(CN(C)Cc3cccc(-c4ccc5c(c4)OCCOCCOCCOCCOCCO5)n3)ccc2c1</v>
      </c>
      <c r="C8783" s="7">
        <f>IFERROR(__xludf.DUMMYFUNCTION("""COMPUTED_VALUE"""),7.7723002)</f>
        <v>7.7723002</v>
      </c>
      <c r="D8783" s="7">
        <f>IFERROR(__xludf.DUMMYFUNCTION("""COMPUTED_VALUE"""),0.43076923076923)</f>
        <v>0.4307692308</v>
      </c>
    </row>
    <row r="8784">
      <c r="A8784" s="10" t="s">
        <v>10223</v>
      </c>
      <c r="B8784" s="7" t="str">
        <f>IFERROR(__xludf.DUMMYFUNCTION("SPLIT(A8784,"" "")"),"CCNCc1cccc(CN(Cc2ccc([SiH3])cn2)Cc2ccc([SiH3])cn2)n1")</f>
        <v>CCNCc1cccc(CN(Cc2ccc([SiH3])cn2)Cc2ccc([SiH3])cn2)n1</v>
      </c>
      <c r="C8784" s="7">
        <f>IFERROR(__xludf.DUMMYFUNCTION("""COMPUTED_VALUE"""),7.7722898)</f>
        <v>7.7722898</v>
      </c>
      <c r="D8784" s="7">
        <f>IFERROR(__xludf.DUMMYFUNCTION("""COMPUTED_VALUE"""),0.36)</f>
        <v>0.36</v>
      </c>
    </row>
    <row r="8785">
      <c r="A8785" s="10" t="s">
        <v>10224</v>
      </c>
      <c r="B8785" s="7" t="str">
        <f>IFERROR(__xludf.DUMMYFUNCTION("SPLIT(A8785,"" "")"),"CC1=CC(C)C2(CC1)CC(C(C)C)=CC1(CC(c3cc(CN(Cc4ccccn4)Cc4ccccn4)ccn3)C3(C=C1c1ccc(CN(Cc4ccccn4)Cc4ccccn4)cn1)CCC(C)=C(C)C3C)C2(C)C")</f>
        <v>CC1=CC(C)C2(CC1)CC(C(C)C)=CC1(CC(c3cc(CN(Cc4ccccn4)Cc4ccccn4)ccn3)C3(C=C1c1ccc(CN(Cc4ccccn4)Cc4ccccn4)cn1)CCC(C)=C(C)C3C)C2(C)C</v>
      </c>
      <c r="C8785" s="7">
        <f>IFERROR(__xludf.DUMMYFUNCTION("""COMPUTED_VALUE"""),7.7722883)</f>
        <v>7.7722883</v>
      </c>
      <c r="D8785" s="7">
        <f>IFERROR(__xludf.DUMMYFUNCTION("""COMPUTED_VALUE"""),0.237623762376237)</f>
        <v>0.2376237624</v>
      </c>
    </row>
    <row r="8786">
      <c r="A8786" s="10" t="s">
        <v>10225</v>
      </c>
      <c r="B8786" s="7" t="str">
        <f>IFERROR(__xludf.DUMMYFUNCTION("SPLIT(A8786,"" "")"),"CC(C)CN(CCN(C)Cc1ccc2cccnc2c1)Cc1ccccc1")</f>
        <v>CC(C)CN(CCN(C)Cc1ccc2cccnc2c1)Cc1ccccc1</v>
      </c>
      <c r="C8786" s="7">
        <f>IFERROR(__xludf.DUMMYFUNCTION("""COMPUTED_VALUE"""),7.7722883)</f>
        <v>7.7722883</v>
      </c>
      <c r="D8786" s="7">
        <f>IFERROR(__xludf.DUMMYFUNCTION("""COMPUTED_VALUE"""),0.393442622950819)</f>
        <v>0.393442623</v>
      </c>
    </row>
    <row r="8787">
      <c r="A8787" s="10" t="s">
        <v>10226</v>
      </c>
      <c r="B8787" s="7" t="str">
        <f>IFERROR(__xludf.DUMMYFUNCTION("SPLIT(A8787,"" "")"),"C=Cc1ccc(CN(Cc2cccc(COC)n2)Cc2cccc(C3CCC3C)n2)nc1")</f>
        <v>C=Cc1ccc(CN(Cc2cccc(COC)n2)Cc2cccc(C3CCC3C)n2)nc1</v>
      </c>
      <c r="C8787" s="7">
        <f>IFERROR(__xludf.DUMMYFUNCTION("""COMPUTED_VALUE"""),7.772288)</f>
        <v>7.772288</v>
      </c>
      <c r="D8787" s="7">
        <f>IFERROR(__xludf.DUMMYFUNCTION("""COMPUTED_VALUE"""),0.396825396825396)</f>
        <v>0.3968253968</v>
      </c>
    </row>
    <row r="8788">
      <c r="A8788" s="10" t="s">
        <v>10227</v>
      </c>
      <c r="B8788" s="7" t="str">
        <f>IFERROR(__xludf.DUMMYFUNCTION("SPLIT(A8788,"" "")"),"CC1C=CC(C)C(C)(c2cccc(CN(Cc3ccccn3)C3CCC(N(C)c4ccc5nc(CF)ccc5c4)CC3)n2)C1")</f>
        <v>CC1C=CC(C)C(C)(c2cccc(CN(Cc3ccccn3)C3CCC(N(C)c4ccc5nc(CF)ccc5c4)CC3)n2)C1</v>
      </c>
      <c r="C8788" s="7">
        <f>IFERROR(__xludf.DUMMYFUNCTION("""COMPUTED_VALUE"""),7.7722864)</f>
        <v>7.7722864</v>
      </c>
      <c r="D8788" s="7">
        <f>IFERROR(__xludf.DUMMYFUNCTION("""COMPUTED_VALUE"""),0.324324324324324)</f>
        <v>0.3243243243</v>
      </c>
    </row>
    <row r="8789">
      <c r="A8789" s="10" t="s">
        <v>10228</v>
      </c>
      <c r="B8789" s="7" t="str">
        <f>IFERROR(__xludf.DUMMYFUNCTION("SPLIT(A8789,"" "")"),"CC1(C)CC(c2ccc(CN(Cc3ccccn3)Cc3ccccn3)cn2)C1")</f>
        <v>CC1(C)CC(c2ccc(CN(Cc3ccccn3)Cc3ccccn3)cn2)C1</v>
      </c>
      <c r="C8789" s="7">
        <f>IFERROR(__xludf.DUMMYFUNCTION("""COMPUTED_VALUE"""),7.772276)</f>
        <v>7.772276</v>
      </c>
      <c r="D8789" s="7">
        <f>IFERROR(__xludf.DUMMYFUNCTION("""COMPUTED_VALUE"""),0.48780487804878)</f>
        <v>0.487804878</v>
      </c>
    </row>
    <row r="8790">
      <c r="A8790" s="10" t="s">
        <v>10229</v>
      </c>
      <c r="B8790" s="7" t="str">
        <f>IFERROR(__xludf.DUMMYFUNCTION("SPLIT(A8790,"" "")"),"CC1=C(N(C)Cc2ccccn2)C(C)CC(C)(C)C1")</f>
        <v>CC1=C(N(C)Cc2ccccn2)C(C)CC(C)(C)C1</v>
      </c>
      <c r="C8790" s="7">
        <f>IFERROR(__xludf.DUMMYFUNCTION("""COMPUTED_VALUE"""),7.7722673)</f>
        <v>7.7722673</v>
      </c>
      <c r="D8790" s="7">
        <f>IFERROR(__xludf.DUMMYFUNCTION("""COMPUTED_VALUE"""),0.446808510638297)</f>
        <v>0.4468085106</v>
      </c>
    </row>
    <row r="8791">
      <c r="A8791" s="10" t="s">
        <v>10230</v>
      </c>
      <c r="B8791" s="7" t="str">
        <f>IFERROR(__xludf.DUMMYFUNCTION("SPLIT(A8791,"" "")"),"Cc1ccnc(CN(CCN(Cc2ccccn2)C(C)(c2ccccn2)C(C)C)Cc2cc(C)c(C)c(C)n2)c1")</f>
        <v>Cc1ccnc(CN(CCN(Cc2ccccn2)C(C)(c2ccccn2)C(C)C)Cc2cc(C)c(C)c(C)n2)c1</v>
      </c>
      <c r="C8791" s="7">
        <f>IFERROR(__xludf.DUMMYFUNCTION("""COMPUTED_VALUE"""),7.772266)</f>
        <v>7.772266</v>
      </c>
      <c r="D8791" s="7">
        <f>IFERROR(__xludf.DUMMYFUNCTION("""COMPUTED_VALUE"""),0.387096774193548)</f>
        <v>0.3870967742</v>
      </c>
    </row>
    <row r="8792">
      <c r="A8792" s="10" t="s">
        <v>10231</v>
      </c>
      <c r="B8792" s="7" t="str">
        <f>IFERROR(__xludf.DUMMYFUNCTION("SPLIT(A8792,"" "")"),"Cc1ccc(CN(Cc2ccccn2)Cc2cccc(CN(Cc3ccccn3)Cc3cccc(C4CCC4(C)C)n3)n2)nc1")</f>
        <v>Cc1ccc(CN(Cc2ccccn2)Cc2cccc(CN(Cc3ccccn3)Cc3cccc(C4CCC4(C)C)n3)n2)nc1</v>
      </c>
      <c r="C8792" s="7">
        <f>IFERROR(__xludf.DUMMYFUNCTION("""COMPUTED_VALUE"""),7.772266)</f>
        <v>7.772266</v>
      </c>
      <c r="D8792" s="7">
        <f>IFERROR(__xludf.DUMMYFUNCTION("""COMPUTED_VALUE"""),0.410714285714285)</f>
        <v>0.4107142857</v>
      </c>
    </row>
    <row r="8793">
      <c r="A8793" s="10" t="s">
        <v>10232</v>
      </c>
      <c r="B8793" s="7" t="str">
        <f>IFERROR(__xludf.DUMMYFUNCTION("SPLIT(A8793,"" "")"),"CC1=C(N(C)Cc2cc(C(C)(C)c3ccccn3)ccn2)CCC(C)(C)C1C")</f>
        <v>CC1=C(N(C)Cc2cc(C(C)(C)c3ccccn3)ccn2)CCC(C)(C)C1C</v>
      </c>
      <c r="C8793" s="7">
        <f>IFERROR(__xludf.DUMMYFUNCTION("""COMPUTED_VALUE"""),7.772265)</f>
        <v>7.772265</v>
      </c>
      <c r="D8793" s="7">
        <f>IFERROR(__xludf.DUMMYFUNCTION("""COMPUTED_VALUE"""),0.344262295081967)</f>
        <v>0.3442622951</v>
      </c>
    </row>
    <row r="8794">
      <c r="A8794" s="10" t="s">
        <v>10233</v>
      </c>
      <c r="B8794" s="7" t="str">
        <f>IFERROR(__xludf.DUMMYFUNCTION("SPLIT(A8794,"" "")"),"CN1CCN(C)CCN(Cc2cccc(C3=NC(C)(c4ccc(C5=CCC=CN5)nc4)CO3)n2)CC1")</f>
        <v>CN1CCN(C)CCN(Cc2cccc(C3=NC(C)(c4ccc(C5=CCC=CN5)nc4)CO3)n2)CC1</v>
      </c>
      <c r="C8794" s="7">
        <f>IFERROR(__xludf.DUMMYFUNCTION("""COMPUTED_VALUE"""),7.7722573)</f>
        <v>7.7722573</v>
      </c>
      <c r="D8794" s="7">
        <f>IFERROR(__xludf.DUMMYFUNCTION("""COMPUTED_VALUE"""),0.352941176470588)</f>
        <v>0.3529411765</v>
      </c>
    </row>
    <row r="8795">
      <c r="A8795" s="10" t="s">
        <v>10234</v>
      </c>
      <c r="B8795" s="7" t="str">
        <f>IFERROR(__xludf.DUMMYFUNCTION("SPLIT(A8795,"" "")"),"Cc1cc(CN(C)C2C(N(C)C)CCCC2N(Cc2nc(C)c(C)c(C)c2C)Cc2nc(C)c(C)c(C)c2C)nc(C)c1C")</f>
        <v>Cc1cc(CN(C)C2C(N(C)C)CCCC2N(Cc2nc(C)c(C)c(C)c2C)Cc2nc(C)c(C)c(C)c2C)nc(C)c1C</v>
      </c>
      <c r="C8795" s="7">
        <f>IFERROR(__xludf.DUMMYFUNCTION("""COMPUTED_VALUE"""),7.7722573)</f>
        <v>7.7722573</v>
      </c>
      <c r="D8795" s="7">
        <f>IFERROR(__xludf.DUMMYFUNCTION("""COMPUTED_VALUE"""),0.327586206896551)</f>
        <v>0.3275862069</v>
      </c>
    </row>
    <row r="8796">
      <c r="A8796" s="10" t="s">
        <v>10235</v>
      </c>
      <c r="B8796" s="7" t="str">
        <f>IFERROR(__xludf.DUMMYFUNCTION("SPLIT(A8796,"" "")"),"Cc1ccncc1CN(Cc1ccc2ncccc2c1)C1CCCCC1N(C)c1ccc2ncc(CN3CCN(C)CCN(C)CC3)cc2c1")</f>
        <v>Cc1ccncc1CN(Cc1ccc2ncccc2c1)C1CCCCC1N(C)c1ccc2ncc(CN3CCN(C)CCN(C)CC3)cc2c1</v>
      </c>
      <c r="C8796" s="7">
        <f>IFERROR(__xludf.DUMMYFUNCTION("""COMPUTED_VALUE"""),7.7722554)</f>
        <v>7.7722554</v>
      </c>
      <c r="D8796" s="7">
        <f>IFERROR(__xludf.DUMMYFUNCTION("""COMPUTED_VALUE"""),0.311688311688311)</f>
        <v>0.3116883117</v>
      </c>
    </row>
    <row r="8797">
      <c r="A8797" s="10" t="s">
        <v>10236</v>
      </c>
      <c r="B8797" s="7" t="str">
        <f>IFERROR(__xludf.DUMMYFUNCTION("SPLIT(A8797,"" "")"),"CNCc1ncccc1CN(C)Cc1ccc(N)cn1")</f>
        <v>CNCc1ncccc1CN(C)Cc1ccc(N)cn1</v>
      </c>
      <c r="C8797" s="7">
        <f>IFERROR(__xludf.DUMMYFUNCTION("""COMPUTED_VALUE"""),7.7722526)</f>
        <v>7.7722526</v>
      </c>
      <c r="D8797" s="7">
        <f>IFERROR(__xludf.DUMMYFUNCTION("""COMPUTED_VALUE"""),0.346938775510204)</f>
        <v>0.3469387755</v>
      </c>
    </row>
    <row r="8798">
      <c r="A8798" s="10" t="s">
        <v>10237</v>
      </c>
      <c r="B8798" s="7" t="str">
        <f>IFERROR(__xludf.DUMMYFUNCTION("SPLIT(A8798,"" "")"),"Cc1cccc(CN(C)C2C=CNC(CN(Cc3cccc(C)n3)C(C)(c3cccnc3)C(C)C)=C2)n1")</f>
        <v>Cc1cccc(CN(C)C2C=CNC(CN(Cc3cccc(C)n3)C(C)(c3cccnc3)C(C)C)=C2)n1</v>
      </c>
      <c r="C8798" s="7">
        <f>IFERROR(__xludf.DUMMYFUNCTION("""COMPUTED_VALUE"""),7.7722497)</f>
        <v>7.7722497</v>
      </c>
      <c r="D8798" s="7">
        <f>IFERROR(__xludf.DUMMYFUNCTION("""COMPUTED_VALUE"""),0.343283582089552)</f>
        <v>0.3432835821</v>
      </c>
    </row>
    <row r="8799">
      <c r="A8799" s="10" t="s">
        <v>10238</v>
      </c>
      <c r="B8799" s="7" t="str">
        <f>IFERROR(__xludf.DUMMYFUNCTION("SPLIT(A8799,"" "")"),"Cc1cnc(CN(C)CCN(C)Cc2ncc(C)cc2C)c(C)c1")</f>
        <v>Cc1cnc(CN(C)CCN(C)Cc2ncc(C)cc2C)c(C)c1</v>
      </c>
      <c r="C8799" s="7">
        <f>IFERROR(__xludf.DUMMYFUNCTION("""COMPUTED_VALUE"""),7.772248)</f>
        <v>7.772248</v>
      </c>
      <c r="D8799" s="7">
        <f>IFERROR(__xludf.DUMMYFUNCTION("""COMPUTED_VALUE"""),0.5)</f>
        <v>0.5</v>
      </c>
    </row>
    <row r="8800">
      <c r="A8800" s="10" t="s">
        <v>10239</v>
      </c>
      <c r="B8800" s="7" t="str">
        <f>IFERROR(__xludf.DUMMYFUNCTION("SPLIT(A8800,"" "")"),"Cc1nc(CN(C)C2CCCCC2N(Cc2nc(C)c(C)c(C)c2C)Cc2c(C)nc(C)c(C)c2C)c(C)c(C)c1C")</f>
        <v>Cc1nc(CN(C)C2CCCCC2N(Cc2nc(C)c(C)c(C)c2C)Cc2c(C)nc(C)c(C)c2C)c(C)c(C)c1C</v>
      </c>
      <c r="C8800" s="7">
        <f>IFERROR(__xludf.DUMMYFUNCTION("""COMPUTED_VALUE"""),7.7722454)</f>
        <v>7.7722454</v>
      </c>
      <c r="D8800" s="7">
        <f>IFERROR(__xludf.DUMMYFUNCTION("""COMPUTED_VALUE"""),0.372549019607843)</f>
        <v>0.3725490196</v>
      </c>
    </row>
    <row r="8801">
      <c r="A8801" s="10" t="s">
        <v>10240</v>
      </c>
      <c r="B8801" s="7" t="str">
        <f>IFERROR(__xludf.DUMMYFUNCTION("SPLIT(A8801,"" "")"),"CC1=CC(C)C2(C=C(C)CC(C)C23CC(c2ncccc2CN(Cc2ccccn2)Cc2ccccn2)C2(C=C3c3ncccc3CN(Cc3ccccn3)Cc3ccccn3)C(C)C=CC(C)C2C)CC1")</f>
        <v>CC1=CC(C)C2(C=C(C)CC(C)C23CC(c2ncccc2CN(Cc2ccccn2)Cc2ccccn2)C2(C=C3c3ncccc3CN(Cc3ccccn3)Cc3ccccn3)C(C)C=CC(C)C2C)CC1</v>
      </c>
      <c r="C8801" s="7">
        <f>IFERROR(__xludf.DUMMYFUNCTION("""COMPUTED_VALUE"""),7.7722416)</f>
        <v>7.7722416</v>
      </c>
      <c r="D8801" s="7">
        <f>IFERROR(__xludf.DUMMYFUNCTION("""COMPUTED_VALUE"""),0.275)</f>
        <v>0.275</v>
      </c>
    </row>
    <row r="8802">
      <c r="A8802" s="10" t="s">
        <v>10241</v>
      </c>
      <c r="B8802" s="7" t="str">
        <f>IFERROR(__xludf.DUMMYFUNCTION("SPLIT(A8802,"" "")"),"CC1(C)N=COC1c1ccccn1")</f>
        <v>CC1(C)N=COC1c1ccccn1</v>
      </c>
      <c r="C8802" s="7">
        <f>IFERROR(__xludf.DUMMYFUNCTION("""COMPUTED_VALUE"""),7.772239)</f>
        <v>7.772239</v>
      </c>
      <c r="D8802" s="7">
        <f>IFERROR(__xludf.DUMMYFUNCTION("""COMPUTED_VALUE"""),0.29090909090909)</f>
        <v>0.2909090909</v>
      </c>
    </row>
    <row r="8803">
      <c r="A8803" s="10" t="s">
        <v>10242</v>
      </c>
      <c r="B8803" s="7" t="str">
        <f>IFERROR(__xludf.DUMMYFUNCTION("SPLIT(A8803,"" "")"),"CNCc1cccc(CN(Cc2ccccn2)Cc2ncccc2C)n1")</f>
        <v>CNCc1cccc(CN(Cc2ccccn2)Cc2ncccc2C)n1</v>
      </c>
      <c r="C8803" s="7">
        <f>IFERROR(__xludf.DUMMYFUNCTION("""COMPUTED_VALUE"""),7.772236)</f>
        <v>7.772236</v>
      </c>
      <c r="D8803" s="7">
        <f>IFERROR(__xludf.DUMMYFUNCTION("""COMPUTED_VALUE"""),0.48780487804878)</f>
        <v>0.487804878</v>
      </c>
    </row>
    <row r="8804">
      <c r="A8804" s="10" t="s">
        <v>10243</v>
      </c>
      <c r="B8804" s="7" t="str">
        <f>IFERROR(__xludf.DUMMYFUNCTION("SPLIT(A8804,"" "")"),"CC(C1=CCC=CN1)N(Cc1ccccn1)Cc1cccc(C(C)(C)C)n1")</f>
        <v>CC(C1=CCC=CN1)N(Cc1ccccn1)Cc1cccc(C(C)(C)C)n1</v>
      </c>
      <c r="C8804" s="7">
        <f>IFERROR(__xludf.DUMMYFUNCTION("""COMPUTED_VALUE"""),7.772234)</f>
        <v>7.772234</v>
      </c>
      <c r="D8804" s="7">
        <f>IFERROR(__xludf.DUMMYFUNCTION("""COMPUTED_VALUE"""),0.46551724137931)</f>
        <v>0.4655172414</v>
      </c>
    </row>
    <row r="8805">
      <c r="A8805" s="10" t="s">
        <v>10244</v>
      </c>
      <c r="B8805" s="7" t="str">
        <f>IFERROR(__xludf.DUMMYFUNCTION("SPLIT(A8805,"" "")"),"CCN(C)Cc1cc(C(C)(C)c2ccccn2)ccn1")</f>
        <v>CCN(C)Cc1cc(C(C)(C)c2ccccn2)ccn1</v>
      </c>
      <c r="C8805" s="7">
        <f>IFERROR(__xludf.DUMMYFUNCTION("""COMPUTED_VALUE"""),7.7722316)</f>
        <v>7.7722316</v>
      </c>
      <c r="D8805" s="7">
        <f>IFERROR(__xludf.DUMMYFUNCTION("""COMPUTED_VALUE"""),0.395833333333333)</f>
        <v>0.3958333333</v>
      </c>
    </row>
    <row r="8806">
      <c r="A8806" s="10" t="s">
        <v>10245</v>
      </c>
      <c r="B8806" s="7" t="str">
        <f>IFERROR(__xludf.DUMMYFUNCTION("SPLIT(A8806,"" "")"),"Cc1nc(CN(Cc2nc(C)c(C)c(C)c2C)C2CCCCC2N(Cc2ccccn2)c2ccccc2F)c(C)c(C)c1C")</f>
        <v>Cc1nc(CN(Cc2nc(C)c(C)c(C)c2C)C2CCCCC2N(Cc2ccccn2)c2ccccc2F)c(C)c(C)c1C</v>
      </c>
      <c r="C8806" s="7">
        <f>IFERROR(__xludf.DUMMYFUNCTION("""COMPUTED_VALUE"""),7.7722316)</f>
        <v>7.7722316</v>
      </c>
      <c r="D8806" s="7">
        <f>IFERROR(__xludf.DUMMYFUNCTION("""COMPUTED_VALUE"""),0.43859649122807)</f>
        <v>0.4385964912</v>
      </c>
    </row>
    <row r="8807">
      <c r="A8807" s="10" t="s">
        <v>10246</v>
      </c>
      <c r="B8807" s="7" t="str">
        <f>IFERROR(__xludf.DUMMYFUNCTION("SPLIT(A8807,"" "")"),"CNCc1cc(CN(Cc2ccccn2)C(C)(C)c2ccccn2)ccn1")</f>
        <v>CNCc1cc(CN(Cc2ccccn2)C(C)(C)c2ccccn2)ccn1</v>
      </c>
      <c r="C8807" s="7">
        <f>IFERROR(__xludf.DUMMYFUNCTION("""COMPUTED_VALUE"""),7.77223)</f>
        <v>7.77223</v>
      </c>
      <c r="D8807" s="7">
        <f>IFERROR(__xludf.DUMMYFUNCTION("""COMPUTED_VALUE"""),0.392156862745098)</f>
        <v>0.3921568627</v>
      </c>
    </row>
    <row r="8808">
      <c r="A8808" s="10" t="s">
        <v>10247</v>
      </c>
      <c r="B8808" s="7" t="str">
        <f>IFERROR(__xludf.DUMMYFUNCTION("SPLIT(A8808,"" "")"),"CNCc1cccc(CN(Cc2ccccn2)C2CCC(N(C)Cc3cccc(-c4cccc(Cl)c4Cl)n3)CC2)n1")</f>
        <v>CNCc1cccc(CN(Cc2ccccn2)C2CCC(N(C)Cc3cccc(-c4cccc(Cl)c4Cl)n3)CC2)n1</v>
      </c>
      <c r="C8808" s="7">
        <f>IFERROR(__xludf.DUMMYFUNCTION("""COMPUTED_VALUE"""),7.772228)</f>
        <v>7.772228</v>
      </c>
      <c r="D8808" s="7">
        <f>IFERROR(__xludf.DUMMYFUNCTION("""COMPUTED_VALUE"""),0.396825396825396)</f>
        <v>0.3968253968</v>
      </c>
    </row>
    <row r="8809">
      <c r="A8809" s="10" t="s">
        <v>10248</v>
      </c>
      <c r="B8809" s="7" t="str">
        <f>IFERROR(__xludf.DUMMYFUNCTION("SPLIT(A8809,"" "")"),"CN(Cc1ccccn1)c1cccc(C2CCC2(C)C)c1")</f>
        <v>CN(Cc1ccccn1)c1cccc(C2CCC2(C)C)c1</v>
      </c>
      <c r="C8809" s="7">
        <f>IFERROR(__xludf.DUMMYFUNCTION("""COMPUTED_VALUE"""),7.7722263)</f>
        <v>7.7722263</v>
      </c>
      <c r="D8809" s="7">
        <f>IFERROR(__xludf.DUMMYFUNCTION("""COMPUTED_VALUE"""),0.44)</f>
        <v>0.44</v>
      </c>
    </row>
    <row r="8810">
      <c r="A8810" s="10" t="s">
        <v>10249</v>
      </c>
      <c r="B8810" s="7" t="str">
        <f>IFERROR(__xludf.DUMMYFUNCTION("SPLIT(A8810,"" "")"),"CC(C)[Si](c1ccc(CN(Cc2ccc3cccnc3n2)C2CCC(N)CC2)nc1)(C(C)C)C(C)C")</f>
        <v>CC(C)[Si](c1ccc(CN(Cc2ccc3cccnc3n2)C2CCC(N)CC2)nc1)(C(C)C)C(C)C</v>
      </c>
      <c r="C8810" s="7">
        <f>IFERROR(__xludf.DUMMYFUNCTION("""COMPUTED_VALUE"""),7.772213)</f>
        <v>7.772213</v>
      </c>
      <c r="D8810" s="7">
        <f>IFERROR(__xludf.DUMMYFUNCTION("""COMPUTED_VALUE"""),0.444444444444444)</f>
        <v>0.4444444444</v>
      </c>
    </row>
    <row r="8811">
      <c r="A8811" s="10" t="s">
        <v>10250</v>
      </c>
      <c r="B8811" s="7" t="str">
        <f>IFERROR(__xludf.DUMMYFUNCTION("SPLIT(A8811,"" "")"),"CC(C)N(Cc1ncccc1-c1ccc2c(c1)OCCOCCOCCOCCOCCO2)c1ccc2ncccc2c1")</f>
        <v>CC(C)N(Cc1ncccc1-c1ccc2c(c1)OCCOCCOCCOCCOCCO2)c1ccc2ncccc2c1</v>
      </c>
      <c r="C8811" s="7">
        <f>IFERROR(__xludf.DUMMYFUNCTION("""COMPUTED_VALUE"""),7.7722054)</f>
        <v>7.7722054</v>
      </c>
      <c r="D8811" s="7">
        <f>IFERROR(__xludf.DUMMYFUNCTION("""COMPUTED_VALUE"""),0.306666666666666)</f>
        <v>0.3066666667</v>
      </c>
    </row>
    <row r="8812">
      <c r="A8812" s="10" t="s">
        <v>10251</v>
      </c>
      <c r="B8812" s="7" t="str">
        <f>IFERROR(__xludf.DUMMYFUNCTION("SPLIT(A8812,"" "")"),"CCCN(CC1=CCC(N(C)Cc2ccccn2)=CN1)Cc1ccccn1")</f>
        <v>CCCN(CC1=CCC(N(C)Cc2ccccn2)=CN1)Cc1ccccn1</v>
      </c>
      <c r="C8812" s="7">
        <f>IFERROR(__xludf.DUMMYFUNCTION("""COMPUTED_VALUE"""),7.7721934)</f>
        <v>7.7721934</v>
      </c>
      <c r="D8812" s="7">
        <f>IFERROR(__xludf.DUMMYFUNCTION("""COMPUTED_VALUE"""),0.481481481481481)</f>
        <v>0.4814814815</v>
      </c>
    </row>
    <row r="8813">
      <c r="A8813" s="10" t="s">
        <v>10252</v>
      </c>
      <c r="B8813" s="7" t="str">
        <f>IFERROR(__xludf.DUMMYFUNCTION("SPLIT(A8813,"" "")"),"CCN=Cc1cc(CN(Cc2ccccn2)Cc2ccccn2)ccn1")</f>
        <v>CCN=Cc1cc(CN(Cc2ccccn2)Cc2ccccn2)ccn1</v>
      </c>
      <c r="C8813" s="7">
        <f>IFERROR(__xludf.DUMMYFUNCTION("""COMPUTED_VALUE"""),7.772186)</f>
        <v>7.772186</v>
      </c>
      <c r="D8813" s="7">
        <f>IFERROR(__xludf.DUMMYFUNCTION("""COMPUTED_VALUE"""),0.5)</f>
        <v>0.5</v>
      </c>
    </row>
    <row r="8814">
      <c r="A8814" s="10" t="s">
        <v>10253</v>
      </c>
      <c r="B8814" s="7" t="str">
        <f>IFERROR(__xludf.DUMMYFUNCTION("SPLIT(A8814,"" "")"),"CC1C=CCC(C)C1(C)c1cccc(CN(Cc2ccccn2)C2CCC(N(C)c3ccc4cc(CN(C)C)cnc4c3)CC2)n1")</f>
        <v>CC1C=CCC(C)C1(C)c1cccc(CN(Cc2ccccn2)C2CCC(N(C)c3ccc4cc(CN(C)C)cnc4c3)CC2)n1</v>
      </c>
      <c r="C8814" s="7">
        <f>IFERROR(__xludf.DUMMYFUNCTION("""COMPUTED_VALUE"""),7.7721796)</f>
        <v>7.7721796</v>
      </c>
      <c r="D8814" s="7">
        <f>IFERROR(__xludf.DUMMYFUNCTION("""COMPUTED_VALUE"""),0.282051282051282)</f>
        <v>0.2820512821</v>
      </c>
    </row>
    <row r="8815">
      <c r="A8815" s="10" t="s">
        <v>10254</v>
      </c>
      <c r="B8815" s="7" t="str">
        <f>IFERROR(__xludf.DUMMYFUNCTION("SPLIT(A8815,"" "")"),"Cc1cccnc1CN(C)C1CCCC(N(C)Cc2cc(C)c(C)c(C)n2)C1N(Cc1nc(C)c(C)c(C)c1C)Cc1nc(C)c(C)c(C)c1C")</f>
        <v>Cc1cccnc1CN(C)C1CCCC(N(C)Cc2cc(C)c(C)c(C)n2)C1N(Cc1nc(C)c(C)c(C)c1C)Cc1nc(C)c(C)c(C)c1C</v>
      </c>
      <c r="C8815" s="7">
        <f>IFERROR(__xludf.DUMMYFUNCTION("""COMPUTED_VALUE"""),7.772174)</f>
        <v>7.772174</v>
      </c>
      <c r="D8815" s="7">
        <f>IFERROR(__xludf.DUMMYFUNCTION("""COMPUTED_VALUE"""),0.377049180327868)</f>
        <v>0.3770491803</v>
      </c>
    </row>
    <row r="8816">
      <c r="A8816" s="10" t="s">
        <v>10255</v>
      </c>
      <c r="B8816" s="7" t="str">
        <f>IFERROR(__xludf.DUMMYFUNCTION("SPLIT(A8816,"" "")"),"Cc1cnccc1CN(C)CC1=CCC=C(N(C)C(C)C)N1")</f>
        <v>Cc1cnccc1CN(C)CC1=CCC=C(N(C)C(C)C)N1</v>
      </c>
      <c r="C8816" s="7">
        <f>IFERROR(__xludf.DUMMYFUNCTION("""COMPUTED_VALUE"""),7.772172)</f>
        <v>7.772172</v>
      </c>
      <c r="D8816" s="7">
        <f>IFERROR(__xludf.DUMMYFUNCTION("""COMPUTED_VALUE"""),0.23728813559322)</f>
        <v>0.2372881356</v>
      </c>
    </row>
    <row r="8817">
      <c r="A8817" s="10" t="s">
        <v>10256</v>
      </c>
      <c r="B8817" s="7" t="str">
        <f>IFERROR(__xludf.DUMMYFUNCTION("SPLIT(A8817,"" "")"),"CCN(Cc1ccccn1)Cc1cc(C(C)(C)c2cc(CN(Cc3cc(C)ccn3)C3CCC(N(C)Cc4nc(C)c(C)c(C)c4C)CC3)ccn2)ccn1")</f>
        <v>CCN(Cc1ccccn1)Cc1cc(C(C)(C)c2cc(CN(Cc3cc(C)ccn3)C3CCC(N(C)Cc4nc(C)c(C)c(C)c4C)CC3)ccn2)ccn1</v>
      </c>
      <c r="C8817" s="7">
        <f>IFERROR(__xludf.DUMMYFUNCTION("""COMPUTED_VALUE"""),7.7721624)</f>
        <v>7.7721624</v>
      </c>
      <c r="D8817" s="7">
        <f>IFERROR(__xludf.DUMMYFUNCTION("""COMPUTED_VALUE"""),0.291139240506329)</f>
        <v>0.2911392405</v>
      </c>
    </row>
    <row r="8818">
      <c r="A8818" s="10" t="s">
        <v>10257</v>
      </c>
      <c r="B8818" s="7" t="str">
        <f>IFERROR(__xludf.DUMMYFUNCTION("SPLIT(A8818,"" "")"),"CNCc1nc(CN(Cc2ccccn2)C(C)(C)C)c(C)cc1C")</f>
        <v>CNCc1nc(CN(Cc2ccccn2)C(C)(C)C)c(C)cc1C</v>
      </c>
      <c r="C8818" s="7">
        <f>IFERROR(__xludf.DUMMYFUNCTION("""COMPUTED_VALUE"""),7.7721596)</f>
        <v>7.7721596</v>
      </c>
      <c r="D8818" s="7">
        <f>IFERROR(__xludf.DUMMYFUNCTION("""COMPUTED_VALUE"""),0.392156862745098)</f>
        <v>0.3921568627</v>
      </c>
    </row>
    <row r="8819">
      <c r="A8819" s="10" t="s">
        <v>10258</v>
      </c>
      <c r="B8819" s="7" t="str">
        <f>IFERROR(__xludf.DUMMYFUNCTION("SPLIT(A8819,"" "")"),"CN(c1ccc2nccc(CF)c2c1)C1CCC(N(CF)Cc2ccccn2)CC1")</f>
        <v>CN(c1ccc2nccc(CF)c2c1)C1CCC(N(CF)Cc2ccccn2)CC1</v>
      </c>
      <c r="C8819" s="7">
        <f>IFERROR(__xludf.DUMMYFUNCTION("""COMPUTED_VALUE"""),7.772156)</f>
        <v>7.772156</v>
      </c>
      <c r="D8819" s="7">
        <f>IFERROR(__xludf.DUMMYFUNCTION("""COMPUTED_VALUE"""),0.366666666666666)</f>
        <v>0.3666666667</v>
      </c>
    </row>
    <row r="8820">
      <c r="A8820" s="10" t="s">
        <v>10259</v>
      </c>
      <c r="B8820" s="7" t="str">
        <f>IFERROR(__xludf.DUMMYFUNCTION("SPLIT(A8820,"" "")"),"CCNCc1ncccc1CN(Cc1ccccn1)C1CCCCC1N(C)c1ccc2c(CF)ccnc2c1")</f>
        <v>CCNCc1ncccc1CN(Cc1ccccn1)C1CCCCC1N(C)c1ccc2c(CF)ccnc2c1</v>
      </c>
      <c r="C8820" s="7">
        <f>IFERROR(__xludf.DUMMYFUNCTION("""COMPUTED_VALUE"""),7.7721505)</f>
        <v>7.7721505</v>
      </c>
      <c r="D8820" s="7">
        <f>IFERROR(__xludf.DUMMYFUNCTION("""COMPUTED_VALUE"""),0.371428571428571)</f>
        <v>0.3714285714</v>
      </c>
    </row>
    <row r="8821">
      <c r="A8821" s="10" t="s">
        <v>10260</v>
      </c>
      <c r="B8821" s="7" t="str">
        <f>IFERROR(__xludf.DUMMYFUNCTION("SPLIT(A8821,"" "")"),"CNCc1cccc(CN(C)Cc2ccc(N)cn2)n1")</f>
        <v>CNCc1cccc(CN(C)Cc2ccc(N)cn2)n1</v>
      </c>
      <c r="C8821" s="7">
        <f>IFERROR(__xludf.DUMMYFUNCTION("""COMPUTED_VALUE"""),7.772147)</f>
        <v>7.772147</v>
      </c>
      <c r="D8821" s="7">
        <f>IFERROR(__xludf.DUMMYFUNCTION("""COMPUTED_VALUE"""),0.416666666666666)</f>
        <v>0.4166666667</v>
      </c>
    </row>
    <row r="8822">
      <c r="A8822" s="10" t="s">
        <v>10261</v>
      </c>
      <c r="B8822" s="7" t="str">
        <f>IFERROR(__xludf.DUMMYFUNCTION("SPLIT(A8822,"" "")"),"CC(C)N(C)Cc1ccc(C(C)(C)c2ccccn2)cn1")</f>
        <v>CC(C)N(C)Cc1ccc(C(C)(C)c2ccccn2)cn1</v>
      </c>
      <c r="C8822" s="7">
        <f>IFERROR(__xludf.DUMMYFUNCTION("""COMPUTED_VALUE"""),7.7721443)</f>
        <v>7.7721443</v>
      </c>
      <c r="D8822" s="7">
        <f>IFERROR(__xludf.DUMMYFUNCTION("""COMPUTED_VALUE"""),0.404255319148936)</f>
        <v>0.4042553191</v>
      </c>
    </row>
    <row r="8823">
      <c r="A8823" s="10" t="s">
        <v>10262</v>
      </c>
      <c r="B8823" s="7" t="str">
        <f>IFERROR(__xludf.DUMMYFUNCTION("SPLIT(A8823,"" "")"),"CC1=C(C)CC(c2ncccc2CN(Cc2ccccn2)Cc2ccccn2)C(C)C1")</f>
        <v>CC1=C(C)CC(c2ncccc2CN(Cc2ccccn2)Cc2ccccn2)C(C)C1</v>
      </c>
      <c r="C8823" s="7">
        <f>IFERROR(__xludf.DUMMYFUNCTION("""COMPUTED_VALUE"""),7.77214)</f>
        <v>7.77214</v>
      </c>
      <c r="D8823" s="7">
        <f>IFERROR(__xludf.DUMMYFUNCTION("""COMPUTED_VALUE"""),0.476190476190476)</f>
        <v>0.4761904762</v>
      </c>
    </row>
    <row r="8824">
      <c r="A8824" s="10" t="s">
        <v>10263</v>
      </c>
      <c r="B8824" s="7" t="str">
        <f>IFERROR(__xludf.DUMMYFUNCTION("SPLIT(A8824,"" "")"),"CNCc1cccc(CN(Cc2ccccn2)C(C)(C)c2ccccn2)n1")</f>
        <v>CNCc1cccc(CN(Cc2ccccn2)C(C)(C)c2ccccn2)n1</v>
      </c>
      <c r="C8824" s="7">
        <f>IFERROR(__xludf.DUMMYFUNCTION("""COMPUTED_VALUE"""),7.772137)</f>
        <v>7.772137</v>
      </c>
      <c r="D8824" s="7">
        <f>IFERROR(__xludf.DUMMYFUNCTION("""COMPUTED_VALUE"""),0.42)</f>
        <v>0.42</v>
      </c>
    </row>
    <row r="8825">
      <c r="A8825" s="10" t="s">
        <v>10264</v>
      </c>
      <c r="B8825" s="7" t="str">
        <f>IFERROR(__xludf.DUMMYFUNCTION("SPLIT(A8825,"" "")"),"Cc1ccc(CN(C)CC2=CC(N(C)Cc3cc(C)ccn3)C=CN2)nc1")</f>
        <v>Cc1ccc(CN(C)CC2=CC(N(C)Cc3cc(C)ccn3)C=CN2)nc1</v>
      </c>
      <c r="C8825" s="7">
        <f>IFERROR(__xludf.DUMMYFUNCTION("""COMPUTED_VALUE"""),7.7721357)</f>
        <v>7.7721357</v>
      </c>
      <c r="D8825" s="7">
        <f>IFERROR(__xludf.DUMMYFUNCTION("""COMPUTED_VALUE"""),0.423076923076923)</f>
        <v>0.4230769231</v>
      </c>
    </row>
    <row r="8826">
      <c r="A8826" s="10" t="s">
        <v>10265</v>
      </c>
      <c r="B8826" s="7" t="str">
        <f>IFERROR(__xludf.DUMMYFUNCTION("SPLIT(A8826,"" "")"),"Cc1cccnc1CN(C)C1C=CNC(CN(C)Cc2ccccn2)=C1")</f>
        <v>Cc1cccnc1CN(C)C1C=CNC(CN(C)Cc2ccccn2)=C1</v>
      </c>
      <c r="C8826" s="7">
        <f>IFERROR(__xludf.DUMMYFUNCTION("""COMPUTED_VALUE"""),7.7721286)</f>
        <v>7.7721286</v>
      </c>
      <c r="D8826" s="7">
        <f>IFERROR(__xludf.DUMMYFUNCTION("""COMPUTED_VALUE"""),0.385964912280701)</f>
        <v>0.3859649123</v>
      </c>
    </row>
    <row r="8827">
      <c r="A8827" s="10" t="s">
        <v>10266</v>
      </c>
      <c r="B8827" s="7" t="str">
        <f>IFERROR(__xludf.DUMMYFUNCTION("SPLIT(A8827,"" "")"),"CN(C)Cc1ccc(F)cn1")</f>
        <v>CN(C)Cc1ccc(F)cn1</v>
      </c>
      <c r="C8827" s="7">
        <f>IFERROR(__xludf.DUMMYFUNCTION("""COMPUTED_VALUE"""),7.772118)</f>
        <v>7.772118</v>
      </c>
      <c r="D8827" s="7">
        <f>IFERROR(__xludf.DUMMYFUNCTION("""COMPUTED_VALUE"""),0.484848484848484)</f>
        <v>0.4848484848</v>
      </c>
    </row>
    <row r="8828">
      <c r="A8828" s="10" t="s">
        <v>10267</v>
      </c>
      <c r="B8828" s="7" t="str">
        <f>IFERROR(__xludf.DUMMYFUNCTION("SPLIT(A8828,"" "")"),"CNCc1cc(CN(Cc2ccccn2)Cc2ncccc2C)ccn1")</f>
        <v>CNCc1cc(CN(Cc2ccccn2)Cc2ncccc2C)ccn1</v>
      </c>
      <c r="C8828" s="7">
        <f>IFERROR(__xludf.DUMMYFUNCTION("""COMPUTED_VALUE"""),7.772117)</f>
        <v>7.772117</v>
      </c>
      <c r="D8828" s="7">
        <f>IFERROR(__xludf.DUMMYFUNCTION("""COMPUTED_VALUE"""),0.465116279069767)</f>
        <v>0.4651162791</v>
      </c>
    </row>
    <row r="8829">
      <c r="A8829" s="10" t="s">
        <v>10268</v>
      </c>
      <c r="B8829" s="7" t="str">
        <f>IFERROR(__xludf.DUMMYFUNCTION("SPLIT(A8829,"" "")"),"Cc1ccnc(CN(C)CCN(C)Cc2nc(C)c(C)c(C)c2C)c1")</f>
        <v>Cc1ccnc(CN(C)CCN(C)Cc2nc(C)c(C)c(C)c2C)c1</v>
      </c>
      <c r="C8829" s="7">
        <f>IFERROR(__xludf.DUMMYFUNCTION("""COMPUTED_VALUE"""),7.7721057)</f>
        <v>7.7721057</v>
      </c>
      <c r="D8829" s="7">
        <f>IFERROR(__xludf.DUMMYFUNCTION("""COMPUTED_VALUE"""),0.409090909090909)</f>
        <v>0.4090909091</v>
      </c>
    </row>
    <row r="8830">
      <c r="A8830" s="10" t="s">
        <v>10269</v>
      </c>
      <c r="B8830" s="7" t="str">
        <f>IFERROR(__xludf.DUMMYFUNCTION("SPLIT(A8830,"" "")"),"Cc1ccnc(CN(C)C2=CCC=C(CN(C)C(C)C(C)C)N2)c1C")</f>
        <v>Cc1ccnc(CN(C)C2=CCC=C(CN(C)C(C)C(C)C)N2)c1C</v>
      </c>
      <c r="C8830" s="7">
        <f>IFERROR(__xludf.DUMMYFUNCTION("""COMPUTED_VALUE"""),7.7721)</f>
        <v>7.7721</v>
      </c>
      <c r="D8830" s="7">
        <f>IFERROR(__xludf.DUMMYFUNCTION("""COMPUTED_VALUE"""),0.227272727272727)</f>
        <v>0.2272727273</v>
      </c>
    </row>
    <row r="8831">
      <c r="A8831" s="10" t="s">
        <v>10270</v>
      </c>
      <c r="B8831" s="7" t="str">
        <f>IFERROR(__xludf.DUMMYFUNCTION("SPLIT(A8831,"" "")"),"CNCc1ncccc1CN(C)C1CCC(N(C)c2ccc3cccnc3c2)CC1")</f>
        <v>CNCc1ncccc1CN(C)C1CCC(N(C)c2ccc3cccnc3c2)CC1</v>
      </c>
      <c r="C8831" s="7">
        <f>IFERROR(__xludf.DUMMYFUNCTION("""COMPUTED_VALUE"""),7.772099)</f>
        <v>7.772099</v>
      </c>
      <c r="D8831" s="7">
        <f>IFERROR(__xludf.DUMMYFUNCTION("""COMPUTED_VALUE"""),0.295081967213114)</f>
        <v>0.2950819672</v>
      </c>
    </row>
    <row r="8832">
      <c r="A8832" s="10" t="s">
        <v>10271</v>
      </c>
      <c r="B8832" s="7" t="str">
        <f>IFERROR(__xludf.DUMMYFUNCTION("SPLIT(A8832,"" "")"),"CN(CCN(Cc1ccccn1)C(C)(N)N(Cc1ccccn1)CC(C)(C)C)c1cc(N)cc(Cl)c1")</f>
        <v>CN(CCN(Cc1ccccn1)C(C)(N)N(Cc1ccccn1)CC(C)(C)C)c1cc(N)cc(Cl)c1</v>
      </c>
      <c r="C8832" s="7">
        <f>IFERROR(__xludf.DUMMYFUNCTION("""COMPUTED_VALUE"""),7.7720942)</f>
        <v>7.7720942</v>
      </c>
      <c r="D8832" s="7">
        <f>IFERROR(__xludf.DUMMYFUNCTION("""COMPUTED_VALUE"""),0.428571428571428)</f>
        <v>0.4285714286</v>
      </c>
    </row>
    <row r="8833">
      <c r="A8833" s="10" t="s">
        <v>10272</v>
      </c>
      <c r="B8833" s="7" t="str">
        <f>IFERROR(__xludf.DUMMYFUNCTION("SPLIT(A8833,"" "")"),"CN(Cc1cccc(-c2cccc(N=Cc3ccccn3)c2)n1)Cc1cccc(-c2cccc3c2OCCOCCOCCOCCOCCO3)n1")</f>
        <v>CN(Cc1cccc(-c2cccc(N=Cc3ccccn3)c2)n1)Cc1cccc(-c2cccc3c2OCCOCCOCCOCCOCCO3)n1</v>
      </c>
      <c r="C8833" s="7">
        <f>IFERROR(__xludf.DUMMYFUNCTION("""COMPUTED_VALUE"""),7.772094)</f>
        <v>7.772094</v>
      </c>
      <c r="D8833" s="7">
        <f>IFERROR(__xludf.DUMMYFUNCTION("""COMPUTED_VALUE"""),0.376811594202898)</f>
        <v>0.3768115942</v>
      </c>
    </row>
    <row r="8834">
      <c r="A8834" s="10" t="s">
        <v>10273</v>
      </c>
      <c r="B8834" s="7" t="str">
        <f>IFERROR(__xludf.DUMMYFUNCTION("SPLIT(A8834,"" "")"),"CNCc1ncc(CN(C)Cc2ccccn2)cc1C")</f>
        <v>CNCc1ncc(CN(C)Cc2ccccn2)cc1C</v>
      </c>
      <c r="C8834" s="7">
        <f>IFERROR(__xludf.DUMMYFUNCTION("""COMPUTED_VALUE"""),7.7720933)</f>
        <v>7.7720933</v>
      </c>
      <c r="D8834" s="7">
        <f>IFERROR(__xludf.DUMMYFUNCTION("""COMPUTED_VALUE"""),0.44)</f>
        <v>0.44</v>
      </c>
    </row>
    <row r="8835">
      <c r="A8835" s="10" t="s">
        <v>10274</v>
      </c>
      <c r="B8835" s="7" t="str">
        <f>IFERROR(__xludf.DUMMYFUNCTION("SPLIT(A8835,"" "")"),"CC(C)N(C)Cc1cccnc1N(C)C(C)(C)c1ccccn1")</f>
        <v>CC(C)N(C)Cc1cccnc1N(C)C(C)(C)c1ccccn1</v>
      </c>
      <c r="C8835" s="7">
        <f>IFERROR(__xludf.DUMMYFUNCTION("""COMPUTED_VALUE"""),7.7720857)</f>
        <v>7.7720857</v>
      </c>
      <c r="D8835" s="7">
        <f>IFERROR(__xludf.DUMMYFUNCTION("""COMPUTED_VALUE"""),0.346938775510204)</f>
        <v>0.3469387755</v>
      </c>
    </row>
    <row r="8836">
      <c r="A8836" s="10" t="s">
        <v>10275</v>
      </c>
      <c r="B8836" s="7" t="str">
        <f>IFERROR(__xludf.DUMMYFUNCTION("SPLIT(A8836,"" "")"),"CN1CCN(Cc2cccc(C3=NC(C)(C)CO3)n2)CCN(Cc2cccc(C(C)(c3ccccn3)c3ccccn3)n2)CC1")</f>
        <v>CN1CCN(Cc2cccc(C3=NC(C)(C)CO3)n2)CCN(Cc2cccc(C(C)(c3ccccn3)c3ccccn3)n2)CC1</v>
      </c>
      <c r="C8836" s="7">
        <f>IFERROR(__xludf.DUMMYFUNCTION("""COMPUTED_VALUE"""),7.772083)</f>
        <v>7.772083</v>
      </c>
      <c r="D8836" s="7">
        <f>IFERROR(__xludf.DUMMYFUNCTION("""COMPUTED_VALUE"""),0.448275862068965)</f>
        <v>0.4482758621</v>
      </c>
    </row>
    <row r="8837">
      <c r="A8837" s="10" t="s">
        <v>10276</v>
      </c>
      <c r="B8837" s="7" t="str">
        <f>IFERROR(__xludf.DUMMYFUNCTION("SPLIT(A8837,"" "")"),"CC1=CC(C)C(C)CC1c1cccc(CN(Cc2ccccn2)C2CCCCC2N(C)c2ccc3cc(CN(C)C)cnc3c2)n1")</f>
        <v>CC1=CC(C)C(C)CC1c1cccc(CN(Cc2ccccn2)C2CCCCC2N(C)c2ccc3cc(CN(C)C)cnc3c2)n1</v>
      </c>
      <c r="C8837" s="7">
        <f>IFERROR(__xludf.DUMMYFUNCTION("""COMPUTED_VALUE"""),7.772081)</f>
        <v>7.772081</v>
      </c>
      <c r="D8837" s="7">
        <f>IFERROR(__xludf.DUMMYFUNCTION("""COMPUTED_VALUE"""),0.351351351351351)</f>
        <v>0.3513513514</v>
      </c>
    </row>
    <row r="8838">
      <c r="A8838" s="10" t="s">
        <v>10277</v>
      </c>
      <c r="B8838" s="7" t="str">
        <f>IFERROR(__xludf.DUMMYFUNCTION("SPLIT(A8838,"" "")"),"CC1(C)CC(c2ccc(CN(Cc3cccc(C(C)(C)C)n3)Cc3cccc(C4(C)CCC4(C)C)n3)cn2)C1")</f>
        <v>CC1(C)CC(c2ccc(CN(Cc3cccc(C(C)(C)C)n3)Cc3cccc(C4(C)CCC4(C)C)n3)cn2)C1</v>
      </c>
      <c r="C8838" s="7">
        <f>IFERROR(__xludf.DUMMYFUNCTION("""COMPUTED_VALUE"""),7.772075)</f>
        <v>7.772075</v>
      </c>
      <c r="D8838" s="7">
        <f>IFERROR(__xludf.DUMMYFUNCTION("""COMPUTED_VALUE"""),0.243589743589743)</f>
        <v>0.2435897436</v>
      </c>
    </row>
    <row r="8839">
      <c r="A8839" s="10" t="s">
        <v>10278</v>
      </c>
      <c r="B8839" s="7" t="str">
        <f>IFERROR(__xludf.DUMMYFUNCTION("SPLIT(A8839,"" "")"),"CCN(CCN(Cc1ccccn1)Cc1cc(C)c(C)c(C)n1)Cc1nc(C)c(C)cc1C")</f>
        <v>CCN(CCN(Cc1ccccn1)Cc1cc(C)c(C)c(C)n1)Cc1nc(C)c(C)cc1C</v>
      </c>
      <c r="C8839" s="7">
        <f>IFERROR(__xludf.DUMMYFUNCTION("""COMPUTED_VALUE"""),7.7720656)</f>
        <v>7.7720656</v>
      </c>
      <c r="D8839" s="7">
        <f>IFERROR(__xludf.DUMMYFUNCTION("""COMPUTED_VALUE"""),0.46)</f>
        <v>0.46</v>
      </c>
    </row>
    <row r="8840">
      <c r="A8840" s="10" t="s">
        <v>10279</v>
      </c>
      <c r="B8840" s="7" t="str">
        <f>IFERROR(__xludf.DUMMYFUNCTION("SPLIT(A8840,"" "")"),"Cc1cncc(-c2cccc(NCc3ccc(C(C)(C)N4CCN(C)CCN(C)CC4)cn3)c2)c1")</f>
        <v>Cc1cncc(-c2cccc(NCc3ccc(C(C)(C)N4CCN(C)CCN(C)CC4)cn3)c2)c1</v>
      </c>
      <c r="C8840" s="7">
        <f>IFERROR(__xludf.DUMMYFUNCTION("""COMPUTED_VALUE"""),7.772065)</f>
        <v>7.772065</v>
      </c>
      <c r="D8840" s="7">
        <f>IFERROR(__xludf.DUMMYFUNCTION("""COMPUTED_VALUE"""),0.272727272727272)</f>
        <v>0.2727272727</v>
      </c>
    </row>
    <row r="8841">
      <c r="A8841" s="10" t="s">
        <v>10280</v>
      </c>
      <c r="B8841" s="7" t="str">
        <f>IFERROR(__xludf.DUMMYFUNCTION("SPLIT(A8841,"" "")"),"Cc1ccc(CN(C)Cc2cccc(N(C)C3CCCC(N(Cc4ccc(C)nc4)Cc4nc(C)c(C)cc4C)C3)n2)nc1")</f>
        <v>Cc1ccc(CN(C)Cc2cccc(N(C)C3CCCC(N(Cc4ccc(C)nc4)Cc4nc(C)c(C)cc4C)C3)n2)nc1</v>
      </c>
      <c r="C8841" s="7">
        <f>IFERROR(__xludf.DUMMYFUNCTION("""COMPUTED_VALUE"""),7.772064)</f>
        <v>7.772064</v>
      </c>
      <c r="D8841" s="7">
        <f>IFERROR(__xludf.DUMMYFUNCTION("""COMPUTED_VALUE"""),0.328767123287671)</f>
        <v>0.3287671233</v>
      </c>
    </row>
    <row r="8842">
      <c r="A8842" s="10" t="s">
        <v>10281</v>
      </c>
      <c r="B8842" s="7" t="str">
        <f>IFERROR(__xludf.DUMMYFUNCTION("SPLIT(A8842,"" "")"),"Cc1cccnc1CN(C)C1CCCCC1N(C)Cc1cccnc1-c1ccccc1N(C)C")</f>
        <v>Cc1cccnc1CN(C)C1CCCCC1N(C)Cc1cccnc1-c1ccccc1N(C)C</v>
      </c>
      <c r="C8842" s="7">
        <f>IFERROR(__xludf.DUMMYFUNCTION("""COMPUTED_VALUE"""),7.772057)</f>
        <v>7.772057</v>
      </c>
      <c r="D8842" s="7">
        <f>IFERROR(__xludf.DUMMYFUNCTION("""COMPUTED_VALUE"""),0.444444444444444)</f>
        <v>0.4444444444</v>
      </c>
    </row>
    <row r="8843">
      <c r="A8843" s="10" t="s">
        <v>10282</v>
      </c>
      <c r="B8843" s="7" t="str">
        <f>IFERROR(__xludf.DUMMYFUNCTION("SPLIT(A8843,"" "")"),"CN(CC1=CNC(N(C)C)=CC1)Cc1ccccn1")</f>
        <v>CN(CC1=CNC(N(C)C)=CC1)Cc1ccccn1</v>
      </c>
      <c r="C8843" s="7">
        <f>IFERROR(__xludf.DUMMYFUNCTION("""COMPUTED_VALUE"""),7.7720556)</f>
        <v>7.7720556</v>
      </c>
      <c r="D8843" s="7">
        <f>IFERROR(__xludf.DUMMYFUNCTION("""COMPUTED_VALUE"""),0.458333333333333)</f>
        <v>0.4583333333</v>
      </c>
    </row>
    <row r="8844">
      <c r="A8844" s="10" t="s">
        <v>10283</v>
      </c>
      <c r="B8844" s="7" t="str">
        <f>IFERROR(__xludf.DUMMYFUNCTION("SPLIT(A8844,"" "")"),"CCN(Cc1cccc(C2C(C)CC2C)n1)Cc1nc(C)c(C)c(C)c1C")</f>
        <v>CCN(Cc1cccc(C2C(C)CC2C)n1)Cc1nc(C)c(C)c(C)c1C</v>
      </c>
      <c r="C8844" s="7">
        <f>IFERROR(__xludf.DUMMYFUNCTION("""COMPUTED_VALUE"""),7.772052)</f>
        <v>7.772052</v>
      </c>
      <c r="D8844" s="7">
        <f>IFERROR(__xludf.DUMMYFUNCTION("""COMPUTED_VALUE"""),0.293103448275862)</f>
        <v>0.2931034483</v>
      </c>
    </row>
    <row r="8845">
      <c r="A8845" s="10" t="s">
        <v>10284</v>
      </c>
      <c r="B8845" s="7" t="str">
        <f>IFERROR(__xludf.DUMMYFUNCTION("SPLIT(A8845,"" "")"),"CCN(Cc1ccccn1)c1ccc2nc(CN(Cc3ccccn3)Cc3cccc(-c4ccc5c(c4)OCCOCCOCCOCCOCCO5)n3)ccc2c1")</f>
        <v>CCN(Cc1ccccn1)c1ccc2nc(CN(Cc3ccccn3)Cc3cccc(-c4ccc5c(c4)OCCOCCOCCOCCOCCO5)n3)ccc2c1</v>
      </c>
      <c r="C8845" s="7">
        <f>IFERROR(__xludf.DUMMYFUNCTION("""COMPUTED_VALUE"""),7.7720456)</f>
        <v>7.7720456</v>
      </c>
      <c r="D8845" s="7">
        <f>IFERROR(__xludf.DUMMYFUNCTION("""COMPUTED_VALUE"""),0.436619718309859)</f>
        <v>0.4366197183</v>
      </c>
    </row>
    <row r="8846">
      <c r="A8846" s="10" t="s">
        <v>10285</v>
      </c>
      <c r="B8846" s="7" t="str">
        <f>IFERROR(__xludf.DUMMYFUNCTION("SPLIT(A8846,"" "")"),"CC1=CC(C)CC2(C=CC3(C(C)C=CC(C)C3C)C(c3cc(CN(Cc4ccccn4)Cc4ccccn4)ccn3)C2c2cc(CN(Cc3ccccn3)C3CCC(N(C)c4ccc5nccc(CN(C)C)c5c4)CC3)ccn2)C1C")</f>
        <v>CC1=CC(C)CC2(C=CC3(C(C)C=CC(C)C3C)C(c3cc(CN(Cc4ccccn4)Cc4ccccn4)ccn3)C2c2cc(CN(Cc3ccccn3)C3CCC(N(C)c4ccc5nccc(CN(C)C)c5c4)CC3)ccn2)C1C</v>
      </c>
      <c r="C8846" s="7">
        <f>IFERROR(__xludf.DUMMYFUNCTION("""COMPUTED_VALUE"""),7.7720423)</f>
        <v>7.7720423</v>
      </c>
      <c r="D8846" s="7">
        <f>IFERROR(__xludf.DUMMYFUNCTION("""COMPUTED_VALUE"""),0.229166666666666)</f>
        <v>0.2291666667</v>
      </c>
    </row>
    <row r="8847">
      <c r="A8847" s="10" t="s">
        <v>10286</v>
      </c>
      <c r="B8847" s="7" t="str">
        <f>IFERROR(__xludf.DUMMYFUNCTION("SPLIT(A8847,"" "")"),"Cc1cc2cccnc2cc1C(C)c1ncccc1CN1CCN(C)CCN(C)CC1")</f>
        <v>Cc1cc2cccnc2cc1C(C)c1ncccc1CN1CCN(C)CCN(C)CC1</v>
      </c>
      <c r="C8847" s="7">
        <f>IFERROR(__xludf.DUMMYFUNCTION("""COMPUTED_VALUE"""),7.7720394)</f>
        <v>7.7720394</v>
      </c>
      <c r="D8847" s="7">
        <f>IFERROR(__xludf.DUMMYFUNCTION("""COMPUTED_VALUE"""),0.388888888888888)</f>
        <v>0.3888888889</v>
      </c>
    </row>
    <row r="8848">
      <c r="A8848" s="10" t="s">
        <v>10287</v>
      </c>
      <c r="B8848" s="7" t="str">
        <f>IFERROR(__xludf.DUMMYFUNCTION("SPLIT(A8848,"" "")"),"CC(C)NCc1cccc(CN(Cc2ccccn2)Cc2ccc(N)cn2)n1")</f>
        <v>CC(C)NCc1cccc(CN(Cc2ccccn2)Cc2ccc(N)cn2)n1</v>
      </c>
      <c r="C8848" s="7">
        <f>IFERROR(__xludf.DUMMYFUNCTION("""COMPUTED_VALUE"""),7.7720394)</f>
        <v>7.7720394</v>
      </c>
      <c r="D8848" s="7">
        <f>IFERROR(__xludf.DUMMYFUNCTION("""COMPUTED_VALUE"""),0.454545454545454)</f>
        <v>0.4545454545</v>
      </c>
    </row>
    <row r="8849">
      <c r="A8849" s="10" t="s">
        <v>10288</v>
      </c>
      <c r="B8849" s="7" t="str">
        <f>IFERROR(__xludf.DUMMYFUNCTION("SPLIT(A8849,"" "")"),"CCCN(Cc1ccccn1)C1=C(CN(C)Cc2cccc(C)n2)NC=CC1")</f>
        <v>CCCN(Cc1ccccn1)C1=C(CN(C)Cc2cccc(C)n2)NC=CC1</v>
      </c>
      <c r="C8849" s="7">
        <f>IFERROR(__xludf.DUMMYFUNCTION("""COMPUTED_VALUE"""),7.772037)</f>
        <v>7.772037</v>
      </c>
      <c r="D8849" s="7">
        <f>IFERROR(__xludf.DUMMYFUNCTION("""COMPUTED_VALUE"""),0.423728813559322)</f>
        <v>0.4237288136</v>
      </c>
    </row>
    <row r="8850">
      <c r="A8850" s="10" t="s">
        <v>10289</v>
      </c>
      <c r="B8850" s="7" t="str">
        <f>IFERROR(__xludf.DUMMYFUNCTION("SPLIT(A8850,"" "")"),"CN(c1ccc2nc(CF)ccc2c1)C1CCCCC1N(CC1=CCC=CN1)Cc1ccccn1")</f>
        <v>CN(c1ccc2nc(CF)ccc2c1)C1CCCCC1N(CC1=CCC=CN1)Cc1ccccn1</v>
      </c>
      <c r="C8850" s="7">
        <f>IFERROR(__xludf.DUMMYFUNCTION("""COMPUTED_VALUE"""),7.7720356)</f>
        <v>7.7720356</v>
      </c>
      <c r="D8850" s="7">
        <f>IFERROR(__xludf.DUMMYFUNCTION("""COMPUTED_VALUE"""),0.462686567164179)</f>
        <v>0.4626865672</v>
      </c>
    </row>
    <row r="8851">
      <c r="A8851" s="10" t="s">
        <v>10290</v>
      </c>
      <c r="B8851" s="7" t="str">
        <f>IFERROR(__xludf.DUMMYFUNCTION("SPLIT(A8851,"" "")"),"Cc1cnc(CN(C)CCN(Cc2ccccn2)C(C)(C)c2cccnc2CN(Cc2ccccn2)C(C)C)c(C)c1")</f>
        <v>Cc1cnc(CN(C)CCN(Cc2ccccn2)C(C)(C)c2cccnc2CN(Cc2ccccn2)C(C)C)c(C)c1</v>
      </c>
      <c r="C8851" s="7">
        <f>IFERROR(__xludf.DUMMYFUNCTION("""COMPUTED_VALUE"""),7.772032)</f>
        <v>7.772032</v>
      </c>
      <c r="D8851" s="7">
        <f>IFERROR(__xludf.DUMMYFUNCTION("""COMPUTED_VALUE"""),0.423728813559322)</f>
        <v>0.4237288136</v>
      </c>
    </row>
    <row r="8852">
      <c r="A8852" s="10" t="s">
        <v>10291</v>
      </c>
      <c r="B8852" s="7" t="str">
        <f>IFERROR(__xludf.DUMMYFUNCTION("SPLIT(A8852,"" "")"),"Cc1ccccc1CN(C)Cc1cc(N)ccn1")</f>
        <v>Cc1ccccc1CN(C)Cc1cc(N)ccn1</v>
      </c>
      <c r="C8852" s="7">
        <f>IFERROR(__xludf.DUMMYFUNCTION("""COMPUTED_VALUE"""),7.772029)</f>
        <v>7.772029</v>
      </c>
      <c r="D8852" s="7">
        <f>IFERROR(__xludf.DUMMYFUNCTION("""COMPUTED_VALUE"""),0.375)</f>
        <v>0.375</v>
      </c>
    </row>
    <row r="8853">
      <c r="A8853" s="10" t="s">
        <v>10292</v>
      </c>
      <c r="B8853" s="7" t="str">
        <f>IFERROR(__xludf.DUMMYFUNCTION("SPLIT(A8853,"" "")"),"Cc1ccc(CN(C)C2C=CNC(CN(C)Cc3cncc(C)c3)=C2)nc1")</f>
        <v>Cc1ccc(CN(C)C2C=CNC(CN(C)Cc3cncc(C)c3)=C2)nc1</v>
      </c>
      <c r="C8853" s="7">
        <f>IFERROR(__xludf.DUMMYFUNCTION("""COMPUTED_VALUE"""),7.7720275)</f>
        <v>7.7720275</v>
      </c>
      <c r="D8853" s="7">
        <f>IFERROR(__xludf.DUMMYFUNCTION("""COMPUTED_VALUE"""),0.396551724137931)</f>
        <v>0.3965517241</v>
      </c>
    </row>
    <row r="8854">
      <c r="A8854" s="10" t="s">
        <v>10293</v>
      </c>
      <c r="B8854" s="7" t="str">
        <f>IFERROR(__xludf.DUMMYFUNCTION("SPLIT(A8854,"" "")"),"Cc1cccnc1CN(C)CCN(C)Cc1nc(C)c(C)c(C)c1C")</f>
        <v>Cc1cccnc1CN(C)CCN(C)Cc1nc(C)c(C)c(C)c1C</v>
      </c>
      <c r="C8854" s="7">
        <f>IFERROR(__xludf.DUMMYFUNCTION("""COMPUTED_VALUE"""),7.772024)</f>
        <v>7.772024</v>
      </c>
      <c r="D8854" s="7">
        <f>IFERROR(__xludf.DUMMYFUNCTION("""COMPUTED_VALUE"""),0.422222222222222)</f>
        <v>0.4222222222</v>
      </c>
    </row>
    <row r="8855">
      <c r="A8855" s="10" t="s">
        <v>10294</v>
      </c>
      <c r="B8855" s="7" t="str">
        <f>IFERROR(__xludf.DUMMYFUNCTION("SPLIT(A8855,"" "")"),"CNCc1ccc(CN(C)C2CCC(N(C)c3ccc4ccc(CF)nc4c3)CC2)cn1")</f>
        <v>CNCc1ccc(CN(C)C2CCC(N(C)c3ccc4ccc(CF)nc4c3)CC2)cn1</v>
      </c>
      <c r="C8855" s="7">
        <f>IFERROR(__xludf.DUMMYFUNCTION("""COMPUTED_VALUE"""),7.7720194)</f>
        <v>7.7720194</v>
      </c>
      <c r="D8855" s="7">
        <f>IFERROR(__xludf.DUMMYFUNCTION("""COMPUTED_VALUE"""),0.308823529411764)</f>
        <v>0.3088235294</v>
      </c>
    </row>
    <row r="8856">
      <c r="A8856" s="10" t="s">
        <v>10295</v>
      </c>
      <c r="B8856" s="7" t="str">
        <f>IFERROR(__xludf.DUMMYFUNCTION("SPLIT(A8856,"" "")"),"Cn1c(CN(Cc2cccc([SiH3])n2)C2CCCCC2)nc2ccccc21")</f>
        <v>Cn1c(CN(Cc2cccc([SiH3])n2)C2CCCCC2)nc2ccccc21</v>
      </c>
      <c r="C8856" s="7">
        <f>IFERROR(__xludf.DUMMYFUNCTION("""COMPUTED_VALUE"""),7.7720194)</f>
        <v>7.7720194</v>
      </c>
      <c r="D8856" s="7">
        <f>IFERROR(__xludf.DUMMYFUNCTION("""COMPUTED_VALUE"""),0.446428571428571)</f>
        <v>0.4464285714</v>
      </c>
    </row>
    <row r="8857">
      <c r="A8857" s="10" t="s">
        <v>10296</v>
      </c>
      <c r="B8857" s="7" t="str">
        <f>IFERROR(__xludf.DUMMYFUNCTION("SPLIT(A8857,"" "")"),"CC(N=Cc1ccccn1)c1ccccc1")</f>
        <v>CC(N=Cc1ccccn1)c1ccccc1</v>
      </c>
      <c r="C8857" s="7">
        <f>IFERROR(__xludf.DUMMYFUNCTION("""COMPUTED_VALUE"""),7.7720146)</f>
        <v>7.7720146</v>
      </c>
      <c r="D8857" s="7">
        <f>IFERROR(__xludf.DUMMYFUNCTION("""COMPUTED_VALUE"""),0.428571428571428)</f>
        <v>0.4285714286</v>
      </c>
    </row>
    <row r="8858">
      <c r="A8858" s="10" t="s">
        <v>10297</v>
      </c>
      <c r="B8858" s="7" t="str">
        <f>IFERROR(__xludf.DUMMYFUNCTION("SPLIT(A8858,"" "")"),"CCNC1C(N(C)Cc2ncccc2C)CCCC1N(C)c1ccc2c(CF)ccnc2c1")</f>
        <v>CCNC1C(N(C)Cc2ncccc2C)CCCC1N(C)c1ccc2c(CF)ccnc2c1</v>
      </c>
      <c r="C8858" s="7">
        <f>IFERROR(__xludf.DUMMYFUNCTION("""COMPUTED_VALUE"""),7.7720056)</f>
        <v>7.7720056</v>
      </c>
      <c r="D8858" s="7">
        <f>IFERROR(__xludf.DUMMYFUNCTION("""COMPUTED_VALUE"""),0.3)</f>
        <v>0.3</v>
      </c>
    </row>
    <row r="8859">
      <c r="A8859" s="10" t="s">
        <v>10298</v>
      </c>
      <c r="B8859" s="7" t="str">
        <f>IFERROR(__xludf.DUMMYFUNCTION("SPLIT(A8859,"" "")"),"Cc1cc(CN(C)Cc2ccccn2)ccc1CN(C)Cc1ccccn1")</f>
        <v>Cc1cc(CN(C)Cc2ccccn2)ccc1CN(C)Cc1ccccn1</v>
      </c>
      <c r="C8859" s="7">
        <f>IFERROR(__xludf.DUMMYFUNCTION("""COMPUTED_VALUE"""),7.771999)</f>
        <v>7.771999</v>
      </c>
      <c r="D8859" s="7">
        <f>IFERROR(__xludf.DUMMYFUNCTION("""COMPUTED_VALUE"""),0.5)</f>
        <v>0.5</v>
      </c>
    </row>
    <row r="8860">
      <c r="A8860" s="10" t="s">
        <v>10299</v>
      </c>
      <c r="B8860" s="7" t="str">
        <f>IFERROR(__xludf.DUMMYFUNCTION("SPLIT(A8860,"" "")"),"CC=C1C=CNC(CN(CC)Cc2ccccn2)=C1")</f>
        <v>CC=C1C=CNC(CN(CC)Cc2ccccn2)=C1</v>
      </c>
      <c r="C8860" s="7">
        <f>IFERROR(__xludf.DUMMYFUNCTION("""COMPUTED_VALUE"""),7.7719955)</f>
        <v>7.7719955</v>
      </c>
      <c r="D8860" s="7">
        <f>IFERROR(__xludf.DUMMYFUNCTION("""COMPUTED_VALUE"""),0.48076923076923)</f>
        <v>0.4807692308</v>
      </c>
    </row>
    <row r="8861">
      <c r="A8861" s="10" t="s">
        <v>10300</v>
      </c>
      <c r="B8861" s="7" t="str">
        <f>IFERROR(__xludf.DUMMYFUNCTION("SPLIT(A8861,"" "")"),"CN(Cc1cccc(CF)n1)C1CCC(N(C)c2ccc3nc(CF)ccc3c2)CC1")</f>
        <v>CN(Cc1cccc(CF)n1)C1CCC(N(C)c2ccc3nc(CF)ccc3c2)CC1</v>
      </c>
      <c r="C8861" s="7">
        <f>IFERROR(__xludf.DUMMYFUNCTION("""COMPUTED_VALUE"""),7.77199)</f>
        <v>7.77199</v>
      </c>
      <c r="D8861" s="7">
        <f>IFERROR(__xludf.DUMMYFUNCTION("""COMPUTED_VALUE"""),0.396551724137931)</f>
        <v>0.3965517241</v>
      </c>
    </row>
    <row r="8862">
      <c r="A8862" s="10" t="s">
        <v>10301</v>
      </c>
      <c r="B8862" s="7" t="str">
        <f>IFERROR(__xludf.DUMMYFUNCTION("SPLIT(A8862,"" "")"),"CCc1ccccc1NCc1ccccn1")</f>
        <v>CCc1ccccc1NCc1ccccn1</v>
      </c>
      <c r="C8862" s="7">
        <f>IFERROR(__xludf.DUMMYFUNCTION("""COMPUTED_VALUE"""),7.771987)</f>
        <v>7.771987</v>
      </c>
      <c r="D8862" s="7">
        <f>IFERROR(__xludf.DUMMYFUNCTION("""COMPUTED_VALUE"""),0.485714285714285)</f>
        <v>0.4857142857</v>
      </c>
    </row>
    <row r="8863">
      <c r="A8863" s="10" t="s">
        <v>10302</v>
      </c>
      <c r="B8863" s="7" t="str">
        <f>IFERROR(__xludf.DUMMYFUNCTION("SPLIT(A8863,"" "")"),"CNC1CCCC(N(Cc2cc(C)c([SiH3])c(C)n2)Cc2nc(C)c([SiH3])c([SiH3])c2C)C1N(Cc1ccc([SiH3])c([SiH3])n1)Cc1nc([SiH3])c(C)c(C)c1C")</f>
        <v>CNC1CCCC(N(Cc2cc(C)c([SiH3])c(C)n2)Cc2nc(C)c([SiH3])c([SiH3])c2C)C1N(Cc1ccc([SiH3])c([SiH3])n1)Cc1nc([SiH3])c(C)c(C)c1C</v>
      </c>
      <c r="C8863" s="7">
        <f>IFERROR(__xludf.DUMMYFUNCTION("""COMPUTED_VALUE"""),7.771982)</f>
        <v>7.771982</v>
      </c>
      <c r="D8863" s="7">
        <f>IFERROR(__xludf.DUMMYFUNCTION("""COMPUTED_VALUE"""),0.233766233766233)</f>
        <v>0.2337662338</v>
      </c>
    </row>
    <row r="8864">
      <c r="A8864" s="10" t="s">
        <v>10303</v>
      </c>
      <c r="B8864" s="7" t="str">
        <f>IFERROR(__xludf.DUMMYFUNCTION("SPLIT(A8864,"" "")"),"Cc1cnc(CN(Cc2ccccn2)C2CCC(N(C)Cc3ccc4cccnc4c3)CC2)c(C)c1")</f>
        <v>Cc1cnc(CN(Cc2ccccn2)C2CCC(N(C)Cc3ccc4cccnc4c3)CC2)c(C)c1</v>
      </c>
      <c r="C8864" s="7">
        <f>IFERROR(__xludf.DUMMYFUNCTION("""COMPUTED_VALUE"""),7.7719817)</f>
        <v>7.7719817</v>
      </c>
      <c r="D8864" s="7">
        <f>IFERROR(__xludf.DUMMYFUNCTION("""COMPUTED_VALUE"""),0.359375)</f>
        <v>0.359375</v>
      </c>
    </row>
    <row r="8865">
      <c r="A8865" s="10" t="s">
        <v>10304</v>
      </c>
      <c r="B8865" s="7" t="str">
        <f>IFERROR(__xludf.DUMMYFUNCTION("SPLIT(A8865,"" "")"),"Cc1cccnc1CN(C)C1=C(CN(C)C(C)C)CC=CN1")</f>
        <v>Cc1cccnc1CN(C)C1=C(CN(C)C(C)C)CC=CN1</v>
      </c>
      <c r="C8865" s="7">
        <f>IFERROR(__xludf.DUMMYFUNCTION("""COMPUTED_VALUE"""),7.77198)</f>
        <v>7.77198</v>
      </c>
      <c r="D8865" s="7">
        <f>IFERROR(__xludf.DUMMYFUNCTION("""COMPUTED_VALUE"""),0.269841269841269)</f>
        <v>0.2698412698</v>
      </c>
    </row>
    <row r="8866">
      <c r="A8866" s="10" t="s">
        <v>10305</v>
      </c>
      <c r="B8866" s="7" t="str">
        <f>IFERROR(__xludf.DUMMYFUNCTION("SPLIT(A8866,"" "")"),"Cc1ccnc(CN(C)CC2=CC(N(C)Cc3cc(C)ccn3)C=CN2)c1")</f>
        <v>Cc1ccnc(CN(C)CC2=CC(N(C)Cc3cc(C)ccn3)C=CN2)c1</v>
      </c>
      <c r="C8866" s="7">
        <f>IFERROR(__xludf.DUMMYFUNCTION("""COMPUTED_VALUE"""),7.771975)</f>
        <v>7.771975</v>
      </c>
      <c r="D8866" s="7">
        <f>IFERROR(__xludf.DUMMYFUNCTION("""COMPUTED_VALUE"""),0.333333333333333)</f>
        <v>0.3333333333</v>
      </c>
    </row>
    <row r="8867">
      <c r="A8867" s="10" t="s">
        <v>10306</v>
      </c>
      <c r="B8867" s="7" t="str">
        <f>IFERROR(__xludf.DUMMYFUNCTION("SPLIT(A8867,"" "")"),"CC(C)N(Cc1ccccn1)C1CCC(N(C)c2cccc3ncccc23)CC1")</f>
        <v>CC(C)N(Cc1ccccn1)C1CCC(N(C)c2cccc3ncccc23)CC1</v>
      </c>
      <c r="C8867" s="7">
        <f>IFERROR(__xludf.DUMMYFUNCTION("""COMPUTED_VALUE"""),7.7719727)</f>
        <v>7.7719727</v>
      </c>
      <c r="D8867" s="7">
        <f>IFERROR(__xludf.DUMMYFUNCTION("""COMPUTED_VALUE"""),0.4)</f>
        <v>0.4</v>
      </c>
    </row>
    <row r="8868">
      <c r="A8868" s="10" t="s">
        <v>10307</v>
      </c>
      <c r="B8868" s="7" t="str">
        <f>IFERROR(__xludf.DUMMYFUNCTION("SPLIT(A8868,"" "")"),"CCN(Cc1ccccn1)c1cc2ncccc2cc1CN(C)C(C)(C)c1ncccc1-c1ccc2c(c1)OCCOCCOCCOCCOCCO2")</f>
        <v>CCN(Cc1ccccn1)c1cc2ncccc2cc1CN(C)C(C)(C)c1ncccc1-c1ccc2c(c1)OCCOCCOCCOCCOCCO2</v>
      </c>
      <c r="C8868" s="7">
        <f>IFERROR(__xludf.DUMMYFUNCTION("""COMPUTED_VALUE"""),7.7719693)</f>
        <v>7.7719693</v>
      </c>
      <c r="D8868" s="7">
        <f>IFERROR(__xludf.DUMMYFUNCTION("""COMPUTED_VALUE"""),0.28735632183908)</f>
        <v>0.2873563218</v>
      </c>
    </row>
    <row r="8869">
      <c r="A8869" s="10" t="s">
        <v>10308</v>
      </c>
      <c r="B8869" s="7" t="str">
        <f>IFERROR(__xludf.DUMMYFUNCTION("SPLIT(A8869,"" "")"),"CN(C)c1cccc(-c2cccc(CN(Cc3cccc(-c4ccc5c(c4)OCCOCCOCCOCCOCCO5)n3)Cc3cccc(C(C)(C)C)n3)n2)c1")</f>
        <v>CN(C)c1cccc(-c2cccc(CN(Cc3cccc(-c4ccc5c(c4)OCCOCCOCCOCCOCCO5)n3)Cc3cccc(C(C)(C)C)n3)n2)c1</v>
      </c>
      <c r="C8869" s="7">
        <f>IFERROR(__xludf.DUMMYFUNCTION("""COMPUTED_VALUE"""),7.771966)</f>
        <v>7.771966</v>
      </c>
      <c r="D8869" s="7">
        <f>IFERROR(__xludf.DUMMYFUNCTION("""COMPUTED_VALUE"""),0.357142857142857)</f>
        <v>0.3571428571</v>
      </c>
    </row>
    <row r="8870">
      <c r="A8870" s="10" t="s">
        <v>10309</v>
      </c>
      <c r="B8870" s="7" t="str">
        <f>IFERROR(__xludf.DUMMYFUNCTION("SPLIT(A8870,"" "")"),"Cc1nc(C2CC(C)C2(C)C)c(CN(Cc2ccccn2)Cc2ccccn2)c(C)c1C")</f>
        <v>Cc1nc(C2CC(C)C2(C)C)c(CN(Cc2ccccn2)Cc2ccccn2)c(C)c1C</v>
      </c>
      <c r="C8870" s="7">
        <f>IFERROR(__xludf.DUMMYFUNCTION("""COMPUTED_VALUE"""),7.771963)</f>
        <v>7.771963</v>
      </c>
      <c r="D8870" s="7">
        <f>IFERROR(__xludf.DUMMYFUNCTION("""COMPUTED_VALUE"""),0.425531914893617)</f>
        <v>0.4255319149</v>
      </c>
    </row>
    <row r="8871">
      <c r="A8871" s="10" t="s">
        <v>10310</v>
      </c>
      <c r="B8871" s="7" t="str">
        <f>IFERROR(__xludf.DUMMYFUNCTION("SPLIT(A8871,"" "")"),"CC(C)N(Cc1ccccn1)C1CCCCC1N(C)c1cccc2nccc(CF)c12")</f>
        <v>CC(C)N(Cc1ccccn1)C1CCCCC1N(C)c1cccc2nccc(CF)c12</v>
      </c>
      <c r="C8871" s="7">
        <f>IFERROR(__xludf.DUMMYFUNCTION("""COMPUTED_VALUE"""),7.7719545)</f>
        <v>7.7719545</v>
      </c>
      <c r="D8871" s="7">
        <f>IFERROR(__xludf.DUMMYFUNCTION("""COMPUTED_VALUE"""),0.440677966101694)</f>
        <v>0.4406779661</v>
      </c>
    </row>
    <row r="8872">
      <c r="A8872" s="10" t="s">
        <v>10311</v>
      </c>
      <c r="B8872" s="7" t="str">
        <f>IFERROR(__xludf.DUMMYFUNCTION("SPLIT(A8872,"" "")"),"CC(C)N(C)C1=CCC=C(CN(C)C2CCCC(N(C)c3cccc4ncccc34)C2)N1")</f>
        <v>CC(C)N(C)C1=CCC=C(CN(C)C2CCCC(N(C)c3cccc4ncccc34)C2)N1</v>
      </c>
      <c r="C8872" s="7">
        <f>IFERROR(__xludf.DUMMYFUNCTION("""COMPUTED_VALUE"""),7.7719517)</f>
        <v>7.7719517</v>
      </c>
      <c r="D8872" s="7">
        <f>IFERROR(__xludf.DUMMYFUNCTION("""COMPUTED_VALUE"""),0.289855072463768)</f>
        <v>0.2898550725</v>
      </c>
    </row>
    <row r="8873">
      <c r="A8873" s="10" t="s">
        <v>10312</v>
      </c>
      <c r="B8873" s="7" t="str">
        <f>IFERROR(__xludf.DUMMYFUNCTION("SPLIT(A8873,"" "")"),"Cc1ccc(CN(Cc2ccccn2)Cc2cccnc2CNC(C)C)nc1")</f>
        <v>Cc1ccc(CN(Cc2ccccn2)Cc2cccnc2CNC(C)C)nc1</v>
      </c>
      <c r="C8873" s="7">
        <f>IFERROR(__xludf.DUMMYFUNCTION("""COMPUTED_VALUE"""),7.7719507)</f>
        <v>7.7719507</v>
      </c>
      <c r="D8873" s="7">
        <f>IFERROR(__xludf.DUMMYFUNCTION("""COMPUTED_VALUE"""),0.434782608695652)</f>
        <v>0.4347826087</v>
      </c>
    </row>
    <row r="8874">
      <c r="A8874" s="10" t="s">
        <v>10313</v>
      </c>
      <c r="B8874" s="7" t="str">
        <f>IFERROR(__xludf.DUMMYFUNCTION("SPLIT(A8874,"" "")"),"CCNCc1cc(CN(C)C2CCCC(N(C)c3ccc4ccc(CN(C)C)nc4c3)C2)ccn1")</f>
        <v>CCNCc1cc(CN(C)C2CCCC(N(C)c3ccc4ccc(CN(C)C)nc4c3)C2)ccn1</v>
      </c>
      <c r="C8874" s="7">
        <f>IFERROR(__xludf.DUMMYFUNCTION("""COMPUTED_VALUE"""),7.77195)</f>
        <v>7.77195</v>
      </c>
      <c r="D8874" s="7">
        <f>IFERROR(__xludf.DUMMYFUNCTION("""COMPUTED_VALUE"""),0.264705882352941)</f>
        <v>0.2647058824</v>
      </c>
    </row>
    <row r="8875">
      <c r="A8875" s="10" t="s">
        <v>10314</v>
      </c>
      <c r="B8875" s="7" t="str">
        <f>IFERROR(__xludf.DUMMYFUNCTION("SPLIT(A8875,"" "")"),"CN1CCN(C)CCN(c2ccc3nccc(CF)c3c2)CC1")</f>
        <v>CN1CCN(C)CCN(c2ccc3nccc(CF)c3c2)CC1</v>
      </c>
      <c r="C8875" s="7">
        <f>IFERROR(__xludf.DUMMYFUNCTION("""COMPUTED_VALUE"""),7.771947)</f>
        <v>7.771947</v>
      </c>
      <c r="D8875" s="7">
        <f>IFERROR(__xludf.DUMMYFUNCTION("""COMPUTED_VALUE"""),0.34)</f>
        <v>0.34</v>
      </c>
    </row>
    <row r="8876">
      <c r="A8876" s="10" t="s">
        <v>10315</v>
      </c>
      <c r="B8876" s="7" t="str">
        <f>IFERROR(__xludf.DUMMYFUNCTION("SPLIT(A8876,"" "")"),"COC(=O)C1CN(C)C(C(=O)C2(C)COC(c3cccc(C4=NC(C)(C)CO4)n3)=N2)C(C(C)C)C1C(C)C")</f>
        <v>COC(=O)C1CN(C)C(C(=O)C2(C)COC(c3cccc(C4=NC(C)(C)CO4)n3)=N2)C(C(C)C)C1C(C)C</v>
      </c>
      <c r="C8876" s="7">
        <f>IFERROR(__xludf.DUMMYFUNCTION("""COMPUTED_VALUE"""),7.771938)</f>
        <v>7.771938</v>
      </c>
      <c r="D8876" s="7">
        <f>IFERROR(__xludf.DUMMYFUNCTION("""COMPUTED_VALUE"""),0.448275862068965)</f>
        <v>0.4482758621</v>
      </c>
    </row>
    <row r="8877">
      <c r="A8877" s="10" t="s">
        <v>10316</v>
      </c>
      <c r="B8877" s="7" t="str">
        <f>IFERROR(__xludf.DUMMYFUNCTION("SPLIT(A8877,"" "")"),"CC(NCc1ccccn1)C(C)(c1ccccn1)c1ccccn1")</f>
        <v>CC(NCc1ccccn1)C(C)(c1ccccn1)c1ccccn1</v>
      </c>
      <c r="C8877" s="7">
        <f>IFERROR(__xludf.DUMMYFUNCTION("""COMPUTED_VALUE"""),7.771932)</f>
        <v>7.771932</v>
      </c>
      <c r="D8877" s="7">
        <f>IFERROR(__xludf.DUMMYFUNCTION("""COMPUTED_VALUE"""),0.447368421052631)</f>
        <v>0.4473684211</v>
      </c>
    </row>
    <row r="8878">
      <c r="A8878" s="10" t="s">
        <v>10317</v>
      </c>
      <c r="B8878" s="7" t="str">
        <f>IFERROR(__xludf.DUMMYFUNCTION("SPLIT(A8878,"" "")"),"CN1CCN(C)CCN(c2ccc3c(CF)ccnc3c2)CC1")</f>
        <v>CN1CCN(C)CCN(c2ccc3c(CF)ccnc3c2)CC1</v>
      </c>
      <c r="C8878" s="7">
        <f>IFERROR(__xludf.DUMMYFUNCTION("""COMPUTED_VALUE"""),7.771923)</f>
        <v>7.771923</v>
      </c>
      <c r="D8878" s="7">
        <f>IFERROR(__xludf.DUMMYFUNCTION("""COMPUTED_VALUE"""),0.346938775510204)</f>
        <v>0.3469387755</v>
      </c>
    </row>
    <row r="8879">
      <c r="A8879" s="10" t="s">
        <v>10318</v>
      </c>
      <c r="B8879" s="7" t="str">
        <f>IFERROR(__xludf.DUMMYFUNCTION("SPLIT(A8879,"" "")"),"CC(C)(c1ncccc1CN(Cc1ccccn1)Cc1ccc2ccccc2n1)c1ncccc1-c1ccc2c(c1)OCCOCCOCCOCCOCCO2")</f>
        <v>CC(C)(c1ncccc1CN(Cc1ccccn1)Cc1ccc2ccccc2n1)c1ncccc1-c1ccc2c(c1)OCCOCCOCCOCCOCCO2</v>
      </c>
      <c r="C8879" s="7">
        <f>IFERROR(__xludf.DUMMYFUNCTION("""COMPUTED_VALUE"""),7.771918)</f>
        <v>7.771918</v>
      </c>
      <c r="D8879" s="7">
        <f>IFERROR(__xludf.DUMMYFUNCTION("""COMPUTED_VALUE"""),0.461538461538461)</f>
        <v>0.4615384615</v>
      </c>
    </row>
    <row r="8880">
      <c r="A8880" s="10" t="s">
        <v>10319</v>
      </c>
      <c r="B8880" s="7" t="str">
        <f>IFERROR(__xludf.DUMMYFUNCTION("SPLIT(A8880,"" "")"),"CC(C)C(C)(c1cccnc1)N(C)Cc1cccc(N(C)C2C=CC=CN2)n1")</f>
        <v>CC(C)C(C)(c1cccnc1)N(C)Cc1cccc(N(C)C2C=CC=CN2)n1</v>
      </c>
      <c r="C8880" s="7">
        <f>IFERROR(__xludf.DUMMYFUNCTION("""COMPUTED_VALUE"""),7.771909)</f>
        <v>7.771909</v>
      </c>
      <c r="D8880" s="7">
        <f>IFERROR(__xludf.DUMMYFUNCTION("""COMPUTED_VALUE"""),0.285714285714285)</f>
        <v>0.2857142857</v>
      </c>
    </row>
    <row r="8881">
      <c r="A8881" s="10" t="s">
        <v>10320</v>
      </c>
      <c r="B8881" s="7" t="str">
        <f>IFERROR(__xludf.DUMMYFUNCTION("SPLIT(A8881,"" "")"),"Cc1ccc(CN(Cc2ccccn2)C2=C(CN(C)C(C)(C)C)NC=CC2)nc1")</f>
        <v>Cc1ccc(CN(Cc2ccccn2)C2=C(CN(C)C(C)(C)C)NC=CC2)nc1</v>
      </c>
      <c r="C8881" s="7">
        <f>IFERROR(__xludf.DUMMYFUNCTION("""COMPUTED_VALUE"""),7.7719083)</f>
        <v>7.7719083</v>
      </c>
      <c r="D8881" s="7">
        <f>IFERROR(__xludf.DUMMYFUNCTION("""COMPUTED_VALUE"""),0.381818181818181)</f>
        <v>0.3818181818</v>
      </c>
    </row>
    <row r="8882">
      <c r="A8882" s="10" t="s">
        <v>10321</v>
      </c>
      <c r="B8882" s="7" t="str">
        <f>IFERROR(__xludf.DUMMYFUNCTION("SPLIT(A8882,"" "")"),"CC1=CC(C)(C)C2(C=C(c3ncccc3CN(Cc3ccccn3)Cc3ccccn3)C(c3ncccc3CN(Cc3ccccn3)Cc3ccccn3)C3(CCC(C)=C(C)C3C)C2)CC12CC(C(C)C)=CCC21CCC(C)=C(C)C1")</f>
        <v>CC1=CC(C)(C)C2(C=C(c3ncccc3CN(Cc3ccccn3)Cc3ccccn3)C(c3ncccc3CN(Cc3ccccn3)Cc3ccccn3)C3(CCC(C)=C(C)C3C)C2)CC12CC(C(C)C)=CCC21CCC(C)=C(C)C1</v>
      </c>
      <c r="C8882" s="7">
        <f>IFERROR(__xludf.DUMMYFUNCTION("""COMPUTED_VALUE"""),7.7718987)</f>
        <v>7.7718987</v>
      </c>
      <c r="D8882" s="7">
        <f>IFERROR(__xludf.DUMMYFUNCTION("""COMPUTED_VALUE"""),0.232558139534883)</f>
        <v>0.2325581395</v>
      </c>
    </row>
    <row r="8883">
      <c r="A8883" s="10" t="s">
        <v>10322</v>
      </c>
      <c r="B8883" s="7" t="str">
        <f>IFERROR(__xludf.DUMMYFUNCTION("SPLIT(A8883,"" "")"),"CCNCc1cccc(CN(Cc2ccc(N)cn2)Cc2ncccc2C)n1")</f>
        <v>CCNCc1cccc(CN(Cc2ccc(N)cn2)Cc2ncccc2C)n1</v>
      </c>
      <c r="C8883" s="7">
        <f>IFERROR(__xludf.DUMMYFUNCTION("""COMPUTED_VALUE"""),7.771894)</f>
        <v>7.771894</v>
      </c>
      <c r="D8883" s="7">
        <f>IFERROR(__xludf.DUMMYFUNCTION("""COMPUTED_VALUE"""),0.338983050847457)</f>
        <v>0.3389830508</v>
      </c>
    </row>
    <row r="8884">
      <c r="A8884" s="10" t="s">
        <v>10323</v>
      </c>
      <c r="B8884" s="7" t="str">
        <f>IFERROR(__xludf.DUMMYFUNCTION("SPLIT(A8884,"" "")"),"Cc1cccnc1CN(C)C1=CCC=C(CN(Cc2ccccn2)C(C)C(C)C)N1")</f>
        <v>Cc1cccnc1CN(C)C1=CCC=C(CN(Cc2ccccn2)C(C)C(C)C)N1</v>
      </c>
      <c r="C8884" s="7">
        <f>IFERROR(__xludf.DUMMYFUNCTION("""COMPUTED_VALUE"""),7.771893)</f>
        <v>7.771893</v>
      </c>
      <c r="D8884" s="7">
        <f>IFERROR(__xludf.DUMMYFUNCTION("""COMPUTED_VALUE"""),0.379310344827586)</f>
        <v>0.3793103448</v>
      </c>
    </row>
    <row r="8885">
      <c r="A8885" s="10" t="s">
        <v>10324</v>
      </c>
      <c r="B8885" s="7" t="str">
        <f>IFERROR(__xludf.DUMMYFUNCTION("SPLIT(A8885,"" "")"),"CC(C)N(Cc1ccccn1)c1cccc2nccc(CN3CCN(C)CCN(C)CC3)c12")</f>
        <v>CC(C)N(Cc1ccccn1)c1cccc2nccc(CN3CCN(C)CCN(C)CC3)c12</v>
      </c>
      <c r="C8885" s="7">
        <f>IFERROR(__xludf.DUMMYFUNCTION("""COMPUTED_VALUE"""),7.7718887)</f>
        <v>7.7718887</v>
      </c>
      <c r="D8885" s="7">
        <f>IFERROR(__xludf.DUMMYFUNCTION("""COMPUTED_VALUE"""),0.490566037735849)</f>
        <v>0.4905660377</v>
      </c>
    </row>
    <row r="8886">
      <c r="A8886" s="10" t="s">
        <v>10325</v>
      </c>
      <c r="B8886" s="7" t="str">
        <f>IFERROR(__xludf.DUMMYFUNCTION("SPLIT(A8886,"" "")"),"CN(Cc1ccc(Cl)cn1)Cc1cccc(C2CC(Cl)C2Cl)n1")</f>
        <v>CN(Cc1ccc(Cl)cn1)Cc1cccc(C2CC(Cl)C2Cl)n1</v>
      </c>
      <c r="C8886" s="7">
        <f>IFERROR(__xludf.DUMMYFUNCTION("""COMPUTED_VALUE"""),7.7718763)</f>
        <v>7.7718763</v>
      </c>
      <c r="D8886" s="7">
        <f>IFERROR(__xludf.DUMMYFUNCTION("""COMPUTED_VALUE"""),0.388888888888888)</f>
        <v>0.3888888889</v>
      </c>
    </row>
    <row r="8887">
      <c r="A8887" s="10" t="s">
        <v>10326</v>
      </c>
      <c r="B8887" s="7" t="str">
        <f>IFERROR(__xludf.DUMMYFUNCTION("SPLIT(A8887,"" "")"),"CN(Cc1cccc(N)n1)Cc1cccc(CF)n1")</f>
        <v>CN(Cc1cccc(N)n1)Cc1cccc(CF)n1</v>
      </c>
      <c r="C8887" s="7">
        <f>IFERROR(__xludf.DUMMYFUNCTION("""COMPUTED_VALUE"""),7.7718706)</f>
        <v>7.7718706</v>
      </c>
      <c r="D8887" s="7">
        <f>IFERROR(__xludf.DUMMYFUNCTION("""COMPUTED_VALUE"""),0.459459459459459)</f>
        <v>0.4594594595</v>
      </c>
    </row>
    <row r="8888">
      <c r="A8888" s="10" t="s">
        <v>10327</v>
      </c>
      <c r="B8888" s="7" t="str">
        <f>IFERROR(__xludf.DUMMYFUNCTION("SPLIT(A8888,"" "")"),"Cc1cnc(C)c(CN(Cc2ccccn2)C2CCCC(N(C)Cc3cc(-c4ccccc4C)ccn3)C2)c1")</f>
        <v>Cc1cnc(C)c(CN(Cc2ccccn2)C2CCCC(N(C)Cc3cc(-c4ccccc4C)ccn3)C2)c1</v>
      </c>
      <c r="C8888" s="7">
        <f>IFERROR(__xludf.DUMMYFUNCTION("""COMPUTED_VALUE"""),7.7718706)</f>
        <v>7.7718706</v>
      </c>
      <c r="D8888" s="7">
        <f>IFERROR(__xludf.DUMMYFUNCTION("""COMPUTED_VALUE"""),0.384615384615384)</f>
        <v>0.3846153846</v>
      </c>
    </row>
    <row r="8889">
      <c r="A8889" s="10" t="s">
        <v>10328</v>
      </c>
      <c r="B8889" s="7" t="str">
        <f>IFERROR(__xludf.DUMMYFUNCTION("SPLIT(A8889,"" "")"),"CC1CC(C)C(c2cncc(CN(C)Cc3ccccn3)c2)C=C1N(C)Cc1ccccn1")</f>
        <v>CC1CC(C)C(c2cncc(CN(C)Cc3ccccn3)c2)C=C1N(C)Cc1ccccn1</v>
      </c>
      <c r="C8889" s="7">
        <f>IFERROR(__xludf.DUMMYFUNCTION("""COMPUTED_VALUE"""),7.7718697)</f>
        <v>7.7718697</v>
      </c>
      <c r="D8889" s="7">
        <f>IFERROR(__xludf.DUMMYFUNCTION("""COMPUTED_VALUE"""),0.372881355932203)</f>
        <v>0.3728813559</v>
      </c>
    </row>
    <row r="8890">
      <c r="A8890" s="10" t="s">
        <v>10329</v>
      </c>
      <c r="B8890" s="7" t="str">
        <f>IFERROR(__xludf.DUMMYFUNCTION("SPLIT(A8890,"" "")"),"CN(Cc1ncccc1-c1ccc2c(c1)OCCOCCOCCOCCOCCO2)CN(C)c1ccc2nccc(CF)c2c1")</f>
        <v>CN(Cc1ncccc1-c1ccc2c(c1)OCCOCCOCCOCCOCCO2)CN(C)c1ccc2nccc(CF)c2c1</v>
      </c>
      <c r="C8890" s="7">
        <f>IFERROR(__xludf.DUMMYFUNCTION("""COMPUTED_VALUE"""),7.771868)</f>
        <v>7.771868</v>
      </c>
      <c r="D8890" s="7">
        <f>IFERROR(__xludf.DUMMYFUNCTION("""COMPUTED_VALUE"""),0.273809523809523)</f>
        <v>0.2738095238</v>
      </c>
    </row>
    <row r="8891">
      <c r="A8891" s="10" t="s">
        <v>10330</v>
      </c>
      <c r="B8891" s="7" t="str">
        <f>IFERROR(__xludf.DUMMYFUNCTION("SPLIT(A8891,"" "")"),"C=C1C=CNC(CN(C)C)=C1")</f>
        <v>C=C1C=CNC(CN(C)C)=C1</v>
      </c>
      <c r="C8891" s="7">
        <f>IFERROR(__xludf.DUMMYFUNCTION("""COMPUTED_VALUE"""),7.7718678)</f>
        <v>7.7718678</v>
      </c>
      <c r="D8891" s="7">
        <f>IFERROR(__xludf.DUMMYFUNCTION("""COMPUTED_VALUE"""),0.473684210526315)</f>
        <v>0.4736842105</v>
      </c>
    </row>
    <row r="8892">
      <c r="A8892" s="10" t="s">
        <v>10331</v>
      </c>
      <c r="B8892" s="7" t="str">
        <f>IFERROR(__xludf.DUMMYFUNCTION("SPLIT(A8892,"" "")"),"CC1=CC(C)C2(C(C)C1)C(C)CC(c1ncccc1CN(Cc1ccccn1)Cc1ccccn1)=CC21CC(C)=C(C)C(C)C1")</f>
        <v>CC1=CC(C)C2(C(C)C1)C(C)CC(c1ncccc1CN(Cc1ccccn1)Cc1ccccn1)=CC21CC(C)=C(C)C(C)C1</v>
      </c>
      <c r="C8892" s="7">
        <f>IFERROR(__xludf.DUMMYFUNCTION("""COMPUTED_VALUE"""),7.7718606)</f>
        <v>7.7718606</v>
      </c>
      <c r="D8892" s="7">
        <f>IFERROR(__xludf.DUMMYFUNCTION("""COMPUTED_VALUE"""),0.327868852459016)</f>
        <v>0.3278688525</v>
      </c>
    </row>
    <row r="8893">
      <c r="A8893" s="10" t="s">
        <v>10332</v>
      </c>
      <c r="B8893" s="7" t="str">
        <f>IFERROR(__xludf.DUMMYFUNCTION("SPLIT(A8893,"" "")"),"Cc1cccnc1CN(Cc1ccc2ncccc2c1)C1CCC(N(C)Cc2cccnc2C)CC1")</f>
        <v>Cc1cccnc1CN(Cc1ccc2ncccc2c1)C1CCC(N(C)Cc2cccnc2C)CC1</v>
      </c>
      <c r="C8893" s="7">
        <f>IFERROR(__xludf.DUMMYFUNCTION("""COMPUTED_VALUE"""),7.7718506)</f>
        <v>7.7718506</v>
      </c>
      <c r="D8893" s="7">
        <f>IFERROR(__xludf.DUMMYFUNCTION("""COMPUTED_VALUE"""),0.28125)</f>
        <v>0.28125</v>
      </c>
    </row>
    <row r="8894">
      <c r="A8894" s="10" t="s">
        <v>10333</v>
      </c>
      <c r="B8894" s="7" t="str">
        <f>IFERROR(__xludf.DUMMYFUNCTION("SPLIT(A8894,"" "")"),"CCN(C)CCN(C)Cc1ccc2ncccc2c1")</f>
        <v>CCN(C)CCN(C)Cc1ccc2ncccc2c1</v>
      </c>
      <c r="C8894" s="7">
        <f>IFERROR(__xludf.DUMMYFUNCTION("""COMPUTED_VALUE"""),7.7718496)</f>
        <v>7.7718496</v>
      </c>
      <c r="D8894" s="7">
        <f>IFERROR(__xludf.DUMMYFUNCTION("""COMPUTED_VALUE"""),0.454545454545454)</f>
        <v>0.4545454545</v>
      </c>
    </row>
    <row r="8895">
      <c r="A8895" s="10" t="s">
        <v>10334</v>
      </c>
      <c r="B8895" s="7" t="str">
        <f>IFERROR(__xludf.DUMMYFUNCTION("SPLIT(A8895,"" "")"),"Cc1cnc(CN(Cc2ccccn2)C2CCC(N(C)Cc3cc(-c4ccccc4C)ccn3)CC2)c(C)c1")</f>
        <v>Cc1cnc(CN(Cc2ccccn2)C2CCC(N(C)Cc3cc(-c4ccccc4C)ccn3)CC2)c(C)c1</v>
      </c>
      <c r="C8895" s="7">
        <f>IFERROR(__xludf.DUMMYFUNCTION("""COMPUTED_VALUE"""),7.771849)</f>
        <v>7.771849</v>
      </c>
      <c r="D8895" s="7">
        <f>IFERROR(__xludf.DUMMYFUNCTION("""COMPUTED_VALUE"""),0.387096774193548)</f>
        <v>0.3870967742</v>
      </c>
    </row>
    <row r="8896">
      <c r="A8896" s="10" t="s">
        <v>10335</v>
      </c>
      <c r="B8896" s="7" t="str">
        <f>IFERROR(__xludf.DUMMYFUNCTION("SPLIT(A8896,"" "")"),"CCNCC1=CCC=C(N(C)Cc2ccccn2)N1")</f>
        <v>CCNCC1=CCC=C(N(C)Cc2ccccn2)N1</v>
      </c>
      <c r="C8896" s="7">
        <f>IFERROR(__xludf.DUMMYFUNCTION("""COMPUTED_VALUE"""),7.7718477)</f>
        <v>7.7718477</v>
      </c>
      <c r="D8896" s="7">
        <f>IFERROR(__xludf.DUMMYFUNCTION("""COMPUTED_VALUE"""),0.425925925925925)</f>
        <v>0.4259259259</v>
      </c>
    </row>
    <row r="8897">
      <c r="A8897" s="10" t="s">
        <v>10336</v>
      </c>
      <c r="B8897" s="7" t="str">
        <f>IFERROR(__xludf.DUMMYFUNCTION("SPLIT(A8897,"" "")"),"CC(C)NCc1cccc(CN(Cc2ccccn2)Cc2cc(N)ccn2)n1")</f>
        <v>CC(C)NCc1cccc(CN(Cc2ccccn2)Cc2cc(N)ccn2)n1</v>
      </c>
      <c r="C8897" s="7">
        <f>IFERROR(__xludf.DUMMYFUNCTION("""COMPUTED_VALUE"""),7.771845)</f>
        <v>7.771845</v>
      </c>
      <c r="D8897" s="7">
        <f>IFERROR(__xludf.DUMMYFUNCTION("""COMPUTED_VALUE"""),0.454545454545454)</f>
        <v>0.4545454545</v>
      </c>
    </row>
    <row r="8898">
      <c r="A8898" s="10" t="s">
        <v>10337</v>
      </c>
      <c r="B8898" s="7" t="str">
        <f>IFERROR(__xludf.DUMMYFUNCTION("SPLIT(A8898,"" "")"),"Cc1cc(CN(C)CC2=CCC=CN2)cc(C)c1C")</f>
        <v>Cc1cc(CN(C)CC2=CCC=CN2)cc(C)c1C</v>
      </c>
      <c r="C8898" s="7">
        <f>IFERROR(__xludf.DUMMYFUNCTION("""COMPUTED_VALUE"""),7.771837)</f>
        <v>7.771837</v>
      </c>
      <c r="D8898" s="7">
        <f>IFERROR(__xludf.DUMMYFUNCTION("""COMPUTED_VALUE"""),0.38)</f>
        <v>0.38</v>
      </c>
    </row>
    <row r="8899">
      <c r="A8899" s="10" t="s">
        <v>10338</v>
      </c>
      <c r="B8899" s="7" t="str">
        <f>IFERROR(__xludf.DUMMYFUNCTION("SPLIT(A8899,"" "")"),"CC1=CC(C)CC(C)(c2cc(CN(Cc3ccccn3)Cc3ccccn3)ccn2)C1")</f>
        <v>CC1=CC(C)CC(C)(c2cc(CN(Cc3ccccn3)Cc3ccccn3)ccn2)C1</v>
      </c>
      <c r="C8899" s="7">
        <f>IFERROR(__xludf.DUMMYFUNCTION("""COMPUTED_VALUE"""),7.771828)</f>
        <v>7.771828</v>
      </c>
      <c r="D8899" s="7">
        <f>IFERROR(__xludf.DUMMYFUNCTION("""COMPUTED_VALUE"""),0.408163265306122)</f>
        <v>0.4081632653</v>
      </c>
    </row>
    <row r="8900">
      <c r="A8900" s="10" t="s">
        <v>10339</v>
      </c>
      <c r="B8900" s="7" t="str">
        <f>IFERROR(__xludf.DUMMYFUNCTION("SPLIT(A8900,"" "")"),"CC(C)N(Cc1ccccn1)c1cc(N(C)Cc2ncccc2-c2cccc3c2OCCOCCOCCOCCOCCO3)cc(Cl)c1Cl")</f>
        <v>CC(C)N(Cc1ccccn1)c1cc(N(C)Cc2ncccc2-c2cccc3c2OCCOCCOCCOCCOCCO3)cc(Cl)c1Cl</v>
      </c>
      <c r="C8900" s="7">
        <f>IFERROR(__xludf.DUMMYFUNCTION("""COMPUTED_VALUE"""),7.771824)</f>
        <v>7.771824</v>
      </c>
      <c r="D8900" s="7">
        <f>IFERROR(__xludf.DUMMYFUNCTION("""COMPUTED_VALUE"""),0.357142857142857)</f>
        <v>0.3571428571</v>
      </c>
    </row>
    <row r="8901">
      <c r="A8901" s="10" t="s">
        <v>10340</v>
      </c>
      <c r="B8901" s="7" t="str">
        <f>IFERROR(__xludf.DUMMYFUNCTION("SPLIT(A8901,"" "")"),"Cc1cccnc1CN1CCN(C)CCN(Cc2ccc(-c3cccc(N=Cc4ccccn4)c3)nc2)CC1")</f>
        <v>Cc1cccnc1CN1CCN(C)CCN(Cc2ccc(-c3cccc(N=Cc4ccccn4)c3)nc2)CC1</v>
      </c>
      <c r="C8901" s="7">
        <f>IFERROR(__xludf.DUMMYFUNCTION("""COMPUTED_VALUE"""),7.7718225)</f>
        <v>7.7718225</v>
      </c>
      <c r="D8901" s="7">
        <f>IFERROR(__xludf.DUMMYFUNCTION("""COMPUTED_VALUE"""),0.352941176470588)</f>
        <v>0.3529411765</v>
      </c>
    </row>
    <row r="8902">
      <c r="A8902" s="10" t="s">
        <v>10341</v>
      </c>
      <c r="B8902" s="7" t="str">
        <f>IFERROR(__xludf.DUMMYFUNCTION("SPLIT(A8902,"" "")"),"CCN(Cc1ccccn1)c1ccc2nc(CN(C)Cc3ccc(-c4ccc5c(c4)OCCOCCOCCOCCOCCO5)cn3)ccc2c1")</f>
        <v>CCN(Cc1ccccn1)c1ccc2nc(CN(C)Cc3ccc(-c4ccc5c(c4)OCCOCCOCCOCCOCCO5)cn3)ccc2c1</v>
      </c>
      <c r="C8902" s="7">
        <f>IFERROR(__xludf.DUMMYFUNCTION("""COMPUTED_VALUE"""),7.77182)</f>
        <v>7.77182</v>
      </c>
      <c r="D8902" s="7">
        <f>IFERROR(__xludf.DUMMYFUNCTION("""COMPUTED_VALUE"""),0.405405405405405)</f>
        <v>0.4054054054</v>
      </c>
    </row>
    <row r="8903">
      <c r="A8903" s="10" t="s">
        <v>10342</v>
      </c>
      <c r="B8903" s="7" t="str">
        <f>IFERROR(__xludf.DUMMYFUNCTION("SPLIT(A8903,"" "")"),"Cc1ccc(CN(C)CC2=CC(N(C)Cc3ccccn3)C=CN2)c(C)c1")</f>
        <v>Cc1ccc(CN(C)CC2=CC(N(C)Cc3ccccn3)C=CN2)c(C)c1</v>
      </c>
      <c r="C8903" s="7">
        <f>IFERROR(__xludf.DUMMYFUNCTION("""COMPUTED_VALUE"""),7.7718186)</f>
        <v>7.7718186</v>
      </c>
      <c r="D8903" s="7">
        <f>IFERROR(__xludf.DUMMYFUNCTION("""COMPUTED_VALUE"""),0.372881355932203)</f>
        <v>0.3728813559</v>
      </c>
    </row>
    <row r="8904">
      <c r="A8904" s="10" t="s">
        <v>10343</v>
      </c>
      <c r="B8904" s="7" t="str">
        <f>IFERROR(__xludf.DUMMYFUNCTION("SPLIT(A8904,"" "")"),"Cc1ccc(CN(C)CC2=CC(N(C)Cc3ccc(C)cn3)C=CN2)nc1")</f>
        <v>Cc1ccc(CN(C)CC2=CC(N(C)Cc3ccc(C)cn3)C=CN2)nc1</v>
      </c>
      <c r="C8904" s="7">
        <f>IFERROR(__xludf.DUMMYFUNCTION("""COMPUTED_VALUE"""),7.771815)</f>
        <v>7.771815</v>
      </c>
      <c r="D8904" s="7">
        <f>IFERROR(__xludf.DUMMYFUNCTION("""COMPUTED_VALUE"""),0.5)</f>
        <v>0.5</v>
      </c>
    </row>
    <row r="8905">
      <c r="A8905" s="10" t="s">
        <v>10344</v>
      </c>
      <c r="B8905" s="7" t="str">
        <f>IFERROR(__xludf.DUMMYFUNCTION("SPLIT(A8905,"" "")"),"CC(C)N(C)CCN(C)Cc1ccc2cccnc2c1")</f>
        <v>CC(C)N(C)CCN(C)Cc1ccc2cccnc2c1</v>
      </c>
      <c r="C8905" s="7">
        <f>IFERROR(__xludf.DUMMYFUNCTION("""COMPUTED_VALUE"""),7.771805)</f>
        <v>7.771805</v>
      </c>
      <c r="D8905" s="7">
        <f>IFERROR(__xludf.DUMMYFUNCTION("""COMPUTED_VALUE"""),0.425531914893617)</f>
        <v>0.4255319149</v>
      </c>
    </row>
    <row r="8906">
      <c r="A8906" s="10" t="s">
        <v>10345</v>
      </c>
      <c r="B8906" s="7" t="str">
        <f>IFERROR(__xludf.DUMMYFUNCTION("SPLIT(A8906,"" "")"),"Cc1ccc(CN(C)CC2=CC(N(C)Cc3ccccn3)C=CN2)c(C)c1C")</f>
        <v>Cc1ccc(CN(C)CC2=CC(N(C)Cc3ccccn3)C=CN2)c(C)c1C</v>
      </c>
      <c r="C8906" s="7">
        <f>IFERROR(__xludf.DUMMYFUNCTION("""COMPUTED_VALUE"""),7.771802)</f>
        <v>7.771802</v>
      </c>
      <c r="D8906" s="7">
        <f>IFERROR(__xludf.DUMMYFUNCTION("""COMPUTED_VALUE"""),0.379310344827586)</f>
        <v>0.3793103448</v>
      </c>
    </row>
    <row r="8907">
      <c r="A8907" s="10" t="s">
        <v>10346</v>
      </c>
      <c r="B8907" s="7" t="str">
        <f>IFERROR(__xludf.DUMMYFUNCTION("SPLIT(A8907,"" "")"),"CN1CCN(C)CCN(Cc2ccc(CN(C)c3ccc4ccc(CF)nc4c3)nc2)CC1")</f>
        <v>CN1CCN(C)CCN(Cc2ccc(CN(C)c3ccc4ccc(CF)nc4c3)nc2)CC1</v>
      </c>
      <c r="C8907" s="7">
        <f>IFERROR(__xludf.DUMMYFUNCTION("""COMPUTED_VALUE"""),7.7717986)</f>
        <v>7.7717986</v>
      </c>
      <c r="D8907" s="7">
        <f>IFERROR(__xludf.DUMMYFUNCTION("""COMPUTED_VALUE"""),0.360655737704918)</f>
        <v>0.3606557377</v>
      </c>
    </row>
    <row r="8908">
      <c r="A8908" s="10" t="s">
        <v>10347</v>
      </c>
      <c r="B8908" s="7" t="str">
        <f>IFERROR(__xludf.DUMMYFUNCTION("SPLIT(A8908,"" "")"),"CC(C1=CCC=CN1)N(Cc1ccccn1)C1CCCCC1N(C)c1ccc2nc(CN(C)C)ccc2c1")</f>
        <v>CC(C1=CCC=CN1)N(Cc1ccccn1)C1CCCCC1N(C)c1ccc2nc(CN(C)C)ccc2c1</v>
      </c>
      <c r="C8908" s="7">
        <f>IFERROR(__xludf.DUMMYFUNCTION("""COMPUTED_VALUE"""),7.7717924)</f>
        <v>7.7717924</v>
      </c>
      <c r="D8908" s="7">
        <f>IFERROR(__xludf.DUMMYFUNCTION("""COMPUTED_VALUE"""),0.371428571428571)</f>
        <v>0.3714285714</v>
      </c>
    </row>
    <row r="8909">
      <c r="A8909" s="10" t="s">
        <v>10348</v>
      </c>
      <c r="B8909" s="7" t="str">
        <f>IFERROR(__xludf.DUMMYFUNCTION("SPLIT(A8909,"" "")"),"CC(C)N(Cc1ccccn1)C1CCCC(N(C)c2cccc3cccnc23)C1")</f>
        <v>CC(C)N(Cc1ccccn1)C1CCCC(N(C)c2cccc3cccnc23)C1</v>
      </c>
      <c r="C8909" s="7">
        <f>IFERROR(__xludf.DUMMYFUNCTION("""COMPUTED_VALUE"""),7.771791)</f>
        <v>7.771791</v>
      </c>
      <c r="D8909" s="7">
        <f>IFERROR(__xludf.DUMMYFUNCTION("""COMPUTED_VALUE"""),0.5)</f>
        <v>0.5</v>
      </c>
    </row>
    <row r="8910">
      <c r="A8910" s="10" t="s">
        <v>10349</v>
      </c>
      <c r="B8910" s="7" t="str">
        <f>IFERROR(__xludf.DUMMYFUNCTION("SPLIT(A8910,"" "")"),"CC(N)(C1=CCC=CN1)c1ccccn1")</f>
        <v>CC(N)(C1=CCC=CN1)c1ccccn1</v>
      </c>
      <c r="C8910" s="7">
        <f>IFERROR(__xludf.DUMMYFUNCTION("""COMPUTED_VALUE"""),7.771787)</f>
        <v>7.771787</v>
      </c>
      <c r="D8910" s="7">
        <f>IFERROR(__xludf.DUMMYFUNCTION("""COMPUTED_VALUE"""),0.4)</f>
        <v>0.4</v>
      </c>
    </row>
    <row r="8911">
      <c r="A8911" s="10" t="s">
        <v>10350</v>
      </c>
      <c r="B8911" s="7" t="str">
        <f>IFERROR(__xludf.DUMMYFUNCTION("SPLIT(A8911,"" "")"),"Cc1cc(CN(C)C2CCCC(N(Cc3nc(C)c(C)c(C)c3C)Cc3nc(C)c(C)c(C)c3C)C2N(C)C)nc(C)c1C")</f>
        <v>Cc1cc(CN(C)C2CCCC(N(Cc3nc(C)c(C)c(C)c3C)Cc3nc(C)c(C)c(C)c3C)C2N(C)C)nc(C)c1C</v>
      </c>
      <c r="C8911" s="7">
        <f>IFERROR(__xludf.DUMMYFUNCTION("""COMPUTED_VALUE"""),7.771784)</f>
        <v>7.771784</v>
      </c>
      <c r="D8911" s="7">
        <f>IFERROR(__xludf.DUMMYFUNCTION("""COMPUTED_VALUE"""),0.350877192982456)</f>
        <v>0.350877193</v>
      </c>
    </row>
    <row r="8912">
      <c r="A8912" s="10" t="s">
        <v>10351</v>
      </c>
      <c r="B8912" s="7" t="str">
        <f>IFERROR(__xludf.DUMMYFUNCTION("SPLIT(A8912,"" "")"),"Cc1cccnc1CN1CCN(C)CCN(Cc2cccnc2-c2cccc(N=Cc3ccccn3)c2)CC1")</f>
        <v>Cc1cccnc1CN1CCN(C)CCN(Cc2cccnc2-c2cccc(N=Cc3ccccn3)c2)CC1</v>
      </c>
      <c r="C8912" s="7">
        <f>IFERROR(__xludf.DUMMYFUNCTION("""COMPUTED_VALUE"""),7.7717776)</f>
        <v>7.7717776</v>
      </c>
      <c r="D8912" s="7">
        <f>IFERROR(__xludf.DUMMYFUNCTION("""COMPUTED_VALUE"""),0.369230769230769)</f>
        <v>0.3692307692</v>
      </c>
    </row>
    <row r="8913">
      <c r="A8913" s="10" t="s">
        <v>10352</v>
      </c>
      <c r="B8913" s="7" t="str">
        <f>IFERROR(__xludf.DUMMYFUNCTION("SPLIT(A8913,"" "")"),"CC1C=CC(C)(c2cccc(CN(Cc3ccccn3)C3CCC(N(C)c4ccc5nc(CN(C)C)ccc5c4)CC3)n2)CC1C")</f>
        <v>CC1C=CC(C)(c2cccc(CN(Cc3ccccn3)C3CCC(N(C)c4ccc5nc(CN(C)C)ccc5c4)CC3)n2)CC1C</v>
      </c>
      <c r="C8913" s="7">
        <f>IFERROR(__xludf.DUMMYFUNCTION("""COMPUTED_VALUE"""),7.771773)</f>
        <v>7.771773</v>
      </c>
      <c r="D8913" s="7">
        <f>IFERROR(__xludf.DUMMYFUNCTION("""COMPUTED_VALUE"""),0.328767123287671)</f>
        <v>0.3287671233</v>
      </c>
    </row>
    <row r="8914">
      <c r="A8914" s="10" t="s">
        <v>10353</v>
      </c>
      <c r="B8914" s="7" t="str">
        <f>IFERROR(__xludf.DUMMYFUNCTION("SPLIT(A8914,"" "")"),"CC(C)C(C)(c1cccnc1)N(Cc1ccccn1)C1CCC(N(C)c2ccc3nc(CF)ccc3c2)CC1")</f>
        <v>CC(C)C(C)(c1cccnc1)N(Cc1ccccn1)C1CCC(N(C)c2ccc3nc(CF)ccc3c2)CC1</v>
      </c>
      <c r="C8914" s="7">
        <f>IFERROR(__xludf.DUMMYFUNCTION("""COMPUTED_VALUE"""),7.771773)</f>
        <v>7.771773</v>
      </c>
      <c r="D8914" s="7">
        <f>IFERROR(__xludf.DUMMYFUNCTION("""COMPUTED_VALUE"""),0.328571428571428)</f>
        <v>0.3285714286</v>
      </c>
    </row>
    <row r="8915">
      <c r="A8915" s="10" t="s">
        <v>10354</v>
      </c>
      <c r="B8915" s="7" t="str">
        <f>IFERROR(__xludf.DUMMYFUNCTION("SPLIT(A8915,"" "")"),"CN(Cc1cccc(C2CC(C)(C)C2)n1)Cc1cccc(C(C)(C)C)n1")</f>
        <v>CN(Cc1cccc(C2CC(C)(C)C2)n1)Cc1cccc(C(C)(C)C)n1</v>
      </c>
      <c r="C8915" s="7">
        <f>IFERROR(__xludf.DUMMYFUNCTION("""COMPUTED_VALUE"""),7.771764)</f>
        <v>7.771764</v>
      </c>
      <c r="D8915" s="7">
        <f>IFERROR(__xludf.DUMMYFUNCTION("""COMPUTED_VALUE"""),0.365384615384615)</f>
        <v>0.3653846154</v>
      </c>
    </row>
    <row r="8916">
      <c r="A8916" s="10" t="s">
        <v>10355</v>
      </c>
      <c r="B8916" s="7" t="str">
        <f>IFERROR(__xludf.DUMMYFUNCTION("SPLIT(A8916,"" "")"),"Cc1ccc(CN(Cc2ccccn2)C2CCCCC2)nc1-c1cc(F)ccc1NCc1ccccn1")</f>
        <v>Cc1ccc(CN(Cc2ccccn2)C2CCCCC2)nc1-c1cc(F)ccc1NCc1ccccn1</v>
      </c>
      <c r="C8916" s="7">
        <f>IFERROR(__xludf.DUMMYFUNCTION("""COMPUTED_VALUE"""),7.771763)</f>
        <v>7.771763</v>
      </c>
      <c r="D8916" s="7">
        <f>IFERROR(__xludf.DUMMYFUNCTION("""COMPUTED_VALUE"""),0.353846153846153)</f>
        <v>0.3538461538</v>
      </c>
    </row>
    <row r="8917">
      <c r="A8917" s="10" t="s">
        <v>10356</v>
      </c>
      <c r="B8917" s="7" t="str">
        <f>IFERROR(__xludf.DUMMYFUNCTION("SPLIT(A8917,"" "")"),"CN(C)c1ccccc1-c1cccnc1CN(Cc1ccccn1)Cc1ncccc1-c1ccc2c(c1)OCCOCCOCCOCCOCCO2")</f>
        <v>CN(C)c1ccccc1-c1cccnc1CN(Cc1ccccn1)Cc1ncccc1-c1ccc2c(c1)OCCOCCOCCOCCOCCO2</v>
      </c>
      <c r="C8917" s="7">
        <f>IFERROR(__xludf.DUMMYFUNCTION("""COMPUTED_VALUE"""),7.7717557)</f>
        <v>7.7717557</v>
      </c>
      <c r="D8917" s="7">
        <f>IFERROR(__xludf.DUMMYFUNCTION("""COMPUTED_VALUE"""),0.363636363636363)</f>
        <v>0.3636363636</v>
      </c>
    </row>
    <row r="8918">
      <c r="A8918" s="10" t="s">
        <v>10357</v>
      </c>
      <c r="B8918" s="7" t="str">
        <f>IFERROR(__xludf.DUMMYFUNCTION("SPLIT(A8918,"" "")"),"CCNCc1cccc(CN(Cc2ccccn2)C2CCCC(N(C)c3cccc4ncccc34)C2)n1")</f>
        <v>CCNCc1cccc(CN(Cc2ccccn2)C2CCCC(N(C)c3cccc4ncccc34)C2)n1</v>
      </c>
      <c r="C8918" s="7">
        <f>IFERROR(__xludf.DUMMYFUNCTION("""COMPUTED_VALUE"""),7.771753)</f>
        <v>7.771753</v>
      </c>
      <c r="D8918" s="7">
        <f>IFERROR(__xludf.DUMMYFUNCTION("""COMPUTED_VALUE"""),0.353846153846153)</f>
        <v>0.3538461538</v>
      </c>
    </row>
    <row r="8919">
      <c r="A8919" s="10" t="s">
        <v>10358</v>
      </c>
      <c r="B8919" s="7" t="str">
        <f>IFERROR(__xludf.DUMMYFUNCTION("SPLIT(A8919,"" "")"),"Cc1ccc(CN(Cc2ccccn2)C2CCC(N(C)c3ccc4nc(CF)ccc4c3)CC2)nc1C1(C)C(C)C=CCC1C")</f>
        <v>Cc1ccc(CN(Cc2ccccn2)C2CCC(N(C)c3ccc4nc(CF)ccc4c3)CC2)nc1C1(C)C(C)C=CCC1C</v>
      </c>
      <c r="C8919" s="7">
        <f>IFERROR(__xludf.DUMMYFUNCTION("""COMPUTED_VALUE"""),7.7717447)</f>
        <v>7.7717447</v>
      </c>
      <c r="D8919" s="7">
        <f>IFERROR(__xludf.DUMMYFUNCTION("""COMPUTED_VALUE"""),0.311688311688311)</f>
        <v>0.3116883117</v>
      </c>
    </row>
    <row r="8920">
      <c r="A8920" s="10" t="s">
        <v>10359</v>
      </c>
      <c r="B8920" s="7" t="str">
        <f>IFERROR(__xludf.DUMMYFUNCTION("SPLIT(A8920,"" "")"),"C=CCNCC1=CCC=C(N(C)Cc2ccccn2)N1")</f>
        <v>C=CCNCC1=CCC=C(N(C)Cc2ccccn2)N1</v>
      </c>
      <c r="C8920" s="7">
        <f>IFERROR(__xludf.DUMMYFUNCTION("""COMPUTED_VALUE"""),7.7717338)</f>
        <v>7.7717338</v>
      </c>
      <c r="D8920" s="7">
        <f>IFERROR(__xludf.DUMMYFUNCTION("""COMPUTED_VALUE"""),0.389830508474576)</f>
        <v>0.3898305085</v>
      </c>
    </row>
    <row r="8921">
      <c r="A8921" s="10" t="s">
        <v>10360</v>
      </c>
      <c r="B8921" s="7" t="str">
        <f>IFERROR(__xludf.DUMMYFUNCTION("SPLIT(A8921,"" "")"),"Cc1cnc(CN(C)CCN(Cc2ccccn2)C(C)(C)c2ccccn2)c(C)c1C")</f>
        <v>Cc1cnc(CN(C)CCN(Cc2ccccn2)C(C)(C)c2ccccn2)c(C)c1C</v>
      </c>
      <c r="C8921" s="7">
        <f>IFERROR(__xludf.DUMMYFUNCTION("""COMPUTED_VALUE"""),7.7717333)</f>
        <v>7.7717333</v>
      </c>
      <c r="D8921" s="7">
        <f>IFERROR(__xludf.DUMMYFUNCTION("""COMPUTED_VALUE"""),0.388888888888888)</f>
        <v>0.3888888889</v>
      </c>
    </row>
    <row r="8922">
      <c r="A8922" s="10" t="s">
        <v>10361</v>
      </c>
      <c r="B8922" s="7" t="str">
        <f>IFERROR(__xludf.DUMMYFUNCTION("SPLIT(A8922,"" "")"),"CN(C)c1ccccc1-c1cnccc1CN(Cc1ccccn1)Cc1ncccc1-c1ccc2c(c1)OCCOCCOCCOCCOCCO2")</f>
        <v>CN(C)c1ccccc1-c1cnccc1CN(Cc1ccccn1)Cc1ncccc1-c1ccc2c(c1)OCCOCCOCCOCCOCCO2</v>
      </c>
      <c r="C8922" s="7">
        <f>IFERROR(__xludf.DUMMYFUNCTION("""COMPUTED_VALUE"""),7.771722)</f>
        <v>7.771722</v>
      </c>
      <c r="D8922" s="7">
        <f>IFERROR(__xludf.DUMMYFUNCTION("""COMPUTED_VALUE"""),0.3125)</f>
        <v>0.3125</v>
      </c>
    </row>
    <row r="8923">
      <c r="A8923" s="10" t="s">
        <v>10362</v>
      </c>
      <c r="B8923" s="7" t="str">
        <f>IFERROR(__xludf.DUMMYFUNCTION("SPLIT(A8923,"" "")"),"Cc1cnc(CN(C)CCN(Cc2ncc(C)c(C)c2C)CC(C)C)c(C)c1C")</f>
        <v>Cc1cnc(CN(C)CCN(Cc2ncc(C)c(C)c2C)CC(C)C)c(C)c1C</v>
      </c>
      <c r="C8923" s="7">
        <f>IFERROR(__xludf.DUMMYFUNCTION("""COMPUTED_VALUE"""),7.771711)</f>
        <v>7.771711</v>
      </c>
      <c r="D8923" s="7">
        <f>IFERROR(__xludf.DUMMYFUNCTION("""COMPUTED_VALUE"""),0.363636363636363)</f>
        <v>0.3636363636</v>
      </c>
    </row>
    <row r="8924">
      <c r="A8924" s="10" t="s">
        <v>10363</v>
      </c>
      <c r="B8924" s="7" t="str">
        <f>IFERROR(__xludf.DUMMYFUNCTION("SPLIT(A8924,"" "")"),"CNC1CCCC(N(Cc2nc(C)c(C)cc2C)Cc2nc(C)cc(C)c2C)C1N(Cc1nc(C)cc(C)c1C)Cc1nc(C)cc(C)c1C")</f>
        <v>CNC1CCCC(N(Cc2nc(C)c(C)cc2C)Cc2nc(C)cc(C)c2C)C1N(Cc1nc(C)cc(C)c1C)Cc1nc(C)cc(C)c1C</v>
      </c>
      <c r="C8924" s="7">
        <f>IFERROR(__xludf.DUMMYFUNCTION("""COMPUTED_VALUE"""),7.77171)</f>
        <v>7.77171</v>
      </c>
      <c r="D8924" s="7">
        <f>IFERROR(__xludf.DUMMYFUNCTION("""COMPUTED_VALUE"""),0.258064516129032)</f>
        <v>0.2580645161</v>
      </c>
    </row>
    <row r="8925">
      <c r="A8925" s="10" t="s">
        <v>10364</v>
      </c>
      <c r="B8925" s="7" t="str">
        <f>IFERROR(__xludf.DUMMYFUNCTION("SPLIT(A8925,"" "")"),"CN(Cc1cccc(-c2ccccc2N=Cc2ccccn2)n1)Cc1cccc(-c2cccc3c2OCCOCCOCCOCCOCCO3)n1")</f>
        <v>CN(Cc1cccc(-c2ccccc2N=Cc2ccccn2)n1)Cc1cccc(-c2cccc3c2OCCOCCOCCOCCOCCO3)n1</v>
      </c>
      <c r="C8925" s="7">
        <f>IFERROR(__xludf.DUMMYFUNCTION("""COMPUTED_VALUE"""),7.771708)</f>
        <v>7.771708</v>
      </c>
      <c r="D8925" s="7">
        <f>IFERROR(__xludf.DUMMYFUNCTION("""COMPUTED_VALUE"""),0.40625)</f>
        <v>0.40625</v>
      </c>
    </row>
    <row r="8926">
      <c r="A8926" s="10" t="s">
        <v>10365</v>
      </c>
      <c r="B8926" s="7" t="str">
        <f>IFERROR(__xludf.DUMMYFUNCTION("SPLIT(A8926,"" "")"),"CNC1C(N(C)Cc2nc(C)c(C)c(C)c2C)CCCC1N(Cc1nc(C)c(C)c(C)c1C)Cc1nc(C)c(C)c(C)c1C")</f>
        <v>CNC1C(N(C)Cc2nc(C)c(C)c(C)c2C)CCCC1N(Cc1nc(C)c(C)c(C)c1C)Cc1nc(C)c(C)c(C)c1C</v>
      </c>
      <c r="C8926" s="7">
        <f>IFERROR(__xludf.DUMMYFUNCTION("""COMPUTED_VALUE"""),7.7717023)</f>
        <v>7.7717023</v>
      </c>
      <c r="D8926" s="7">
        <f>IFERROR(__xludf.DUMMYFUNCTION("""COMPUTED_VALUE"""),0.320754716981132)</f>
        <v>0.320754717</v>
      </c>
    </row>
    <row r="8927">
      <c r="A8927" s="10" t="s">
        <v>10366</v>
      </c>
      <c r="B8927" s="7" t="str">
        <f>IFERROR(__xludf.DUMMYFUNCTION("SPLIT(A8927,"" "")"),"CNCc1ccc(CN(Cc2ccccn2)C(C)(C)c2ccccn2)cn1")</f>
        <v>CNCc1ccc(CN(Cc2ccccn2)C(C)(C)c2ccccn2)cn1</v>
      </c>
      <c r="C8927" s="7">
        <f>IFERROR(__xludf.DUMMYFUNCTION("""COMPUTED_VALUE"""),7.7716985)</f>
        <v>7.7716985</v>
      </c>
      <c r="D8927" s="7">
        <f>IFERROR(__xludf.DUMMYFUNCTION("""COMPUTED_VALUE"""),0.377358490566037)</f>
        <v>0.3773584906</v>
      </c>
    </row>
    <row r="8928">
      <c r="A8928" s="10" t="s">
        <v>10367</v>
      </c>
      <c r="B8928" s="7" t="str">
        <f>IFERROR(__xludf.DUMMYFUNCTION("SPLIT(A8928,"" "")"),"CNCc1cccc(CN(C)C2=C(C(C)(C)C)NC=CC2)n1")</f>
        <v>CNCc1cccc(CN(C)C2=C(C(C)(C)C)NC=CC2)n1</v>
      </c>
      <c r="C8928" s="7">
        <f>IFERROR(__xludf.DUMMYFUNCTION("""COMPUTED_VALUE"""),7.7716966)</f>
        <v>7.7716966</v>
      </c>
      <c r="D8928" s="7">
        <f>IFERROR(__xludf.DUMMYFUNCTION("""COMPUTED_VALUE"""),0.277777777777777)</f>
        <v>0.2777777778</v>
      </c>
    </row>
    <row r="8929">
      <c r="A8929" s="10" t="s">
        <v>10368</v>
      </c>
      <c r="B8929" s="7" t="str">
        <f>IFERROR(__xludf.DUMMYFUNCTION("SPLIT(A8929,"" "")"),"Cc1cccnc1CN(C)CC1=CCC=C(N(C)C(C)C)N1")</f>
        <v>Cc1cccnc1CN(C)CC1=CCC=C(N(C)C(C)C)N1</v>
      </c>
      <c r="C8929" s="7">
        <f>IFERROR(__xludf.DUMMYFUNCTION("""COMPUTED_VALUE"""),7.7716928)</f>
        <v>7.7716928</v>
      </c>
      <c r="D8929" s="7">
        <f>IFERROR(__xludf.DUMMYFUNCTION("""COMPUTED_VALUE"""),0.29090909090909)</f>
        <v>0.2909090909</v>
      </c>
    </row>
    <row r="8930">
      <c r="A8930" s="10" t="s">
        <v>10369</v>
      </c>
      <c r="B8930" s="7" t="str">
        <f>IFERROR(__xludf.DUMMYFUNCTION("SPLIT(A8930,"" "")"),"CNCc1cc(CN(Cc2ccccn2)C2CCCCC2N(C)c2ccc3nc(CF)ccc3c2)ccn1")</f>
        <v>CNCc1cc(CN(Cc2ccccn2)C2CCCCC2N(C)c2ccc3nc(CF)ccc3c2)ccn1</v>
      </c>
      <c r="C8930" s="7">
        <f>IFERROR(__xludf.DUMMYFUNCTION("""COMPUTED_VALUE"""),7.7716823)</f>
        <v>7.7716823</v>
      </c>
      <c r="D8930" s="7">
        <f>IFERROR(__xludf.DUMMYFUNCTION("""COMPUTED_VALUE"""),0.394366197183098)</f>
        <v>0.3943661972</v>
      </c>
    </row>
    <row r="8931">
      <c r="A8931" s="10" t="s">
        <v>10370</v>
      </c>
      <c r="B8931" s="7" t="str">
        <f>IFERROR(__xludf.DUMMYFUNCTION("SPLIT(A8931,"" "")"),"CN(C)C1=CC=CNC1NCc1ccccn1")</f>
        <v>CN(C)C1=CC=CNC1NCc1ccccn1</v>
      </c>
      <c r="C8931" s="7">
        <f>IFERROR(__xludf.DUMMYFUNCTION("""COMPUTED_VALUE"""),7.771681)</f>
        <v>7.771681</v>
      </c>
      <c r="D8931" s="7">
        <f>IFERROR(__xludf.DUMMYFUNCTION("""COMPUTED_VALUE"""),0.396226415094339)</f>
        <v>0.3962264151</v>
      </c>
    </row>
    <row r="8932">
      <c r="A8932" s="10" t="s">
        <v>10371</v>
      </c>
      <c r="B8932" s="7" t="str">
        <f>IFERROR(__xludf.DUMMYFUNCTION("SPLIT(A8932,"" "")"),"CC1=CC2(C(C)=C(C)C3(C(C)CC=C(C)C3C)C(c3ncccc3CN(Cc3ccccn3)Cc3ccccn3)C2(C)C)C2(C(C)C=CCC2C)C(C)(C)C1")</f>
        <v>CC1=CC2(C(C)=C(C)C3(C(C)CC=C(C)C3C)C(c3ncccc3CN(Cc3ccccn3)Cc3ccccn3)C2(C)C)C2(C(C)C=CCC2C)C(C)(C)C1</v>
      </c>
      <c r="C8932" s="7">
        <f>IFERROR(__xludf.DUMMYFUNCTION("""COMPUTED_VALUE"""),7.77167)</f>
        <v>7.77167</v>
      </c>
      <c r="D8932" s="7">
        <f>IFERROR(__xludf.DUMMYFUNCTION("""COMPUTED_VALUE"""),0.28235294117647)</f>
        <v>0.2823529412</v>
      </c>
    </row>
    <row r="8933">
      <c r="A8933" s="10" t="s">
        <v>10372</v>
      </c>
      <c r="B8933" s="7" t="str">
        <f>IFERROR(__xludf.DUMMYFUNCTION("SPLIT(A8933,"" "")"),"CC1C=CCC(C)(c2ncccc2CN(Cc2ccccn2)C2CCCC(N(C)c3cccc4nccc(CN(C)C)c34)C2)C1C")</f>
        <v>CC1C=CCC(C)(c2ncccc2CN(Cc2ccccn2)C2CCCC(N(C)c3cccc4nccc(CN(C)C)c34)C2)C1C</v>
      </c>
      <c r="C8933" s="7">
        <f>IFERROR(__xludf.DUMMYFUNCTION("""COMPUTED_VALUE"""),7.7716675)</f>
        <v>7.7716675</v>
      </c>
      <c r="D8933" s="7">
        <f>IFERROR(__xludf.DUMMYFUNCTION("""COMPUTED_VALUE"""),0.291139240506329)</f>
        <v>0.2911392405</v>
      </c>
    </row>
    <row r="8934">
      <c r="A8934" s="10" t="s">
        <v>10373</v>
      </c>
      <c r="B8934" s="7" t="str">
        <f>IFERROR(__xludf.DUMMYFUNCTION("SPLIT(A8934,"" "")"),"FC1=CC=CC(SCc2ccccn2)N1")</f>
        <v>FC1=CC=CC(SCc2ccccn2)N1</v>
      </c>
      <c r="C8934" s="7">
        <f>IFERROR(__xludf.DUMMYFUNCTION("""COMPUTED_VALUE"""),7.7716656)</f>
        <v>7.7716656</v>
      </c>
      <c r="D8934" s="7">
        <f>IFERROR(__xludf.DUMMYFUNCTION("""COMPUTED_VALUE"""),0.414634146341463)</f>
        <v>0.4146341463</v>
      </c>
    </row>
    <row r="8935">
      <c r="A8935" s="10" t="s">
        <v>10374</v>
      </c>
      <c r="B8935" s="7" t="str">
        <f>IFERROR(__xludf.DUMMYFUNCTION("SPLIT(A8935,"" "")"),"CN(Cc1ccccn1)C1CCC(N(C)CN(Cc2ccccn2)c2ccc3ccc(CF)nc3c2)CC1")</f>
        <v>CN(Cc1ccccn1)C1CCC(N(C)CN(Cc2ccccn2)c2ccc3ccc(CF)nc3c2)CC1</v>
      </c>
      <c r="C8935" s="7">
        <f>IFERROR(__xludf.DUMMYFUNCTION("""COMPUTED_VALUE"""),7.771661)</f>
        <v>7.771661</v>
      </c>
      <c r="D8935" s="7">
        <f>IFERROR(__xludf.DUMMYFUNCTION("""COMPUTED_VALUE"""),0.436363636363636)</f>
        <v>0.4363636364</v>
      </c>
    </row>
    <row r="8936">
      <c r="A8936" s="10" t="s">
        <v>10375</v>
      </c>
      <c r="B8936" s="7" t="str">
        <f>IFERROR(__xludf.DUMMYFUNCTION("SPLIT(A8936,"" "")"),"CCN(Cc1ccccn1)Cc1ccc2cccc(N(C)Cc3cccc(-c4ccc5c(c4)OCCOCCOCCOCCOCCO5)n3)c2n1")</f>
        <v>CCN(Cc1ccccn1)Cc1ccc2cccc(N(C)Cc3cccc(-c4ccc5c(c4)OCCOCCOCCOCCOCCO5)n3)c2n1</v>
      </c>
      <c r="C8936" s="7">
        <f>IFERROR(__xludf.DUMMYFUNCTION("""COMPUTED_VALUE"""),7.7716513)</f>
        <v>7.7716513</v>
      </c>
      <c r="D8936" s="7">
        <f>IFERROR(__xludf.DUMMYFUNCTION("""COMPUTED_VALUE"""),0.430555555555555)</f>
        <v>0.4305555556</v>
      </c>
    </row>
    <row r="8937">
      <c r="A8937" s="10" t="s">
        <v>10376</v>
      </c>
      <c r="B8937" s="7" t="str">
        <f>IFERROR(__xludf.DUMMYFUNCTION("SPLIT(A8937,"" "")"),"CNCc1ncccc1CN(Cc1ccccn1)C(C)(C)c1ccccn1")</f>
        <v>CNCc1ncccc1CN(Cc1ccccn1)C(C)(C)c1ccccn1</v>
      </c>
      <c r="C8937" s="7">
        <f>IFERROR(__xludf.DUMMYFUNCTION("""COMPUTED_VALUE"""),7.77165)</f>
        <v>7.77165</v>
      </c>
      <c r="D8937" s="7">
        <f>IFERROR(__xludf.DUMMYFUNCTION("""COMPUTED_VALUE"""),0.384615384615384)</f>
        <v>0.3846153846</v>
      </c>
    </row>
    <row r="8938">
      <c r="A8938" s="10" t="s">
        <v>10377</v>
      </c>
      <c r="B8938" s="7" t="str">
        <f>IFERROR(__xludf.DUMMYFUNCTION("SPLIT(A8938,"" "")"),"CNC1CCCC(N(C)Cc2nc(C)c(C)c(C)c2C)C1N(Cc1nc(C)c(C)c(C)c1C)Cc1nc(C)c(C)c(C)c1C")</f>
        <v>CNC1CCCC(N(C)Cc2nc(C)c(C)c(C)c2C)C1N(Cc1nc(C)c(C)c(C)c1C)Cc1nc(C)c(C)c(C)c1C</v>
      </c>
      <c r="C8938" s="7">
        <f>IFERROR(__xludf.DUMMYFUNCTION("""COMPUTED_VALUE"""),7.7716465)</f>
        <v>7.7716465</v>
      </c>
      <c r="D8938" s="7">
        <f>IFERROR(__xludf.DUMMYFUNCTION("""COMPUTED_VALUE"""),0.309090909090909)</f>
        <v>0.3090909091</v>
      </c>
    </row>
    <row r="8939">
      <c r="A8939" s="10" t="s">
        <v>10378</v>
      </c>
      <c r="B8939" s="7" t="str">
        <f>IFERROR(__xludf.DUMMYFUNCTION("SPLIT(A8939,"" "")"),"CCCN(Cc1ccccn1)Cc1nc(C)c(C)o1")</f>
        <v>CCCN(Cc1ccccn1)Cc1nc(C)c(C)o1</v>
      </c>
      <c r="C8939" s="7">
        <f>IFERROR(__xludf.DUMMYFUNCTION("""COMPUTED_VALUE"""),7.7716365)</f>
        <v>7.7716365</v>
      </c>
      <c r="D8939" s="7">
        <f>IFERROR(__xludf.DUMMYFUNCTION("""COMPUTED_VALUE"""),0.5)</f>
        <v>0.5</v>
      </c>
    </row>
    <row r="8940">
      <c r="A8940" s="10" t="s">
        <v>10379</v>
      </c>
      <c r="B8940" s="7" t="str">
        <f>IFERROR(__xludf.DUMMYFUNCTION("SPLIT(A8940,"" "")"),"CNC1C(N(Cc2cc(C)c(C)cn2)Cc2cc(C)c(C)c(C)n2)CCCC1N(Cc1cc(C)c(C)c(C)n1)Cc1nc(C)c(C)c(C)c1C")</f>
        <v>CNC1C(N(Cc2cc(C)c(C)cn2)Cc2cc(C)c(C)c(C)n2)CCCC1N(Cc1cc(C)c(C)c(C)n1)Cc1nc(C)c(C)c(C)c1C</v>
      </c>
      <c r="C8940" s="7">
        <f>IFERROR(__xludf.DUMMYFUNCTION("""COMPUTED_VALUE"""),7.7716317)</f>
        <v>7.7716317</v>
      </c>
      <c r="D8940" s="7">
        <f>IFERROR(__xludf.DUMMYFUNCTION("""COMPUTED_VALUE"""),0.306451612903225)</f>
        <v>0.3064516129</v>
      </c>
    </row>
    <row r="8941">
      <c r="A8941" s="10" t="s">
        <v>10380</v>
      </c>
      <c r="B8941" s="7" t="str">
        <f>IFERROR(__xludf.DUMMYFUNCTION("SPLIT(A8941,"" "")"),"CNCc1cc(CN(C)C2CCCCC2N(C)c2ccc3c(CF)ccnc3c2)ccn1")</f>
        <v>CNCc1cc(CN(C)C2CCCCC2N(C)c2ccc3c(CF)ccnc3c2)ccn1</v>
      </c>
      <c r="C8941" s="7">
        <f>IFERROR(__xludf.DUMMYFUNCTION("""COMPUTED_VALUE"""),7.7716293)</f>
        <v>7.7716293</v>
      </c>
      <c r="D8941" s="7">
        <f>IFERROR(__xludf.DUMMYFUNCTION("""COMPUTED_VALUE"""),0.370967741935483)</f>
        <v>0.3709677419</v>
      </c>
    </row>
    <row r="8942">
      <c r="A8942" s="10" t="s">
        <v>10381</v>
      </c>
      <c r="B8942" s="7" t="str">
        <f>IFERROR(__xludf.DUMMYFUNCTION("SPLIT(A8942,"" "")"),"Cc1cnccc1CN1CCN(C)CCN(Cc2ncccc2-c2cccc(N=Cc3ccccn3)c2)CC1")</f>
        <v>Cc1cnccc1CN1CCN(C)CCN(Cc2ncccc2-c2cccc(N=Cc3ccccn3)c2)CC1</v>
      </c>
      <c r="C8942" s="7">
        <f>IFERROR(__xludf.DUMMYFUNCTION("""COMPUTED_VALUE"""),7.7716274)</f>
        <v>7.7716274</v>
      </c>
      <c r="D8942" s="7">
        <f>IFERROR(__xludf.DUMMYFUNCTION("""COMPUTED_VALUE"""),0.343283582089552)</f>
        <v>0.3432835821</v>
      </c>
    </row>
    <row r="8943">
      <c r="A8943" s="10" t="s">
        <v>10382</v>
      </c>
      <c r="B8943" s="7" t="str">
        <f>IFERROR(__xludf.DUMMYFUNCTION("SPLIT(A8943,"" "")"),"Cc1cnc(CN(Cc2ccccn2)C2CCC(N(C)Cc3ncccc3-c3ccccc3C)CC2)c(C)c1")</f>
        <v>Cc1cnc(CN(Cc2ccccn2)C2CCC(N(C)Cc3ncccc3-c3ccccc3C)CC2)c(C)c1</v>
      </c>
      <c r="C8943" s="7">
        <f>IFERROR(__xludf.DUMMYFUNCTION("""COMPUTED_VALUE"""),7.771625)</f>
        <v>7.771625</v>
      </c>
      <c r="D8943" s="7">
        <f>IFERROR(__xludf.DUMMYFUNCTION("""COMPUTED_VALUE"""),0.377049180327868)</f>
        <v>0.3770491803</v>
      </c>
    </row>
    <row r="8944">
      <c r="A8944" s="10" t="s">
        <v>10383</v>
      </c>
      <c r="B8944" s="7" t="str">
        <f>IFERROR(__xludf.DUMMYFUNCTION("SPLIT(A8944,"" "")"),"Cc1ccc(CN(C)C2C=CNC(CN(C)Cc3ccncc3C)=C2)nc1")</f>
        <v>Cc1ccc(CN(C)C2C=CNC(CN(C)Cc3ccncc3C)=C2)nc1</v>
      </c>
      <c r="C8944" s="7">
        <f>IFERROR(__xludf.DUMMYFUNCTION("""COMPUTED_VALUE"""),7.7716236)</f>
        <v>7.7716236</v>
      </c>
      <c r="D8944" s="7">
        <f>IFERROR(__xludf.DUMMYFUNCTION("""COMPUTED_VALUE"""),0.396551724137931)</f>
        <v>0.3965517241</v>
      </c>
    </row>
    <row r="8945">
      <c r="A8945" s="10" t="s">
        <v>10384</v>
      </c>
      <c r="B8945" s="7" t="str">
        <f>IFERROR(__xludf.DUMMYFUNCTION("SPLIT(A8945,"" "")"),"CC1=C(C)C(C)C(N(C)Cc2ccccn2)C(c2cncc(CN(Cc3ccccn3)Cc3cc(N)ccn3)c2)C1")</f>
        <v>CC1=C(C)C(C)C(N(C)Cc2ccccn2)C(c2cncc(CN(Cc3ccccn3)Cc3cc(N)ccn3)c2)C1</v>
      </c>
      <c r="C8945" s="7">
        <f>IFERROR(__xludf.DUMMYFUNCTION("""COMPUTED_VALUE"""),7.7716174)</f>
        <v>7.7716174</v>
      </c>
      <c r="D8945" s="7">
        <f>IFERROR(__xludf.DUMMYFUNCTION("""COMPUTED_VALUE"""),0.338235294117647)</f>
        <v>0.3382352941</v>
      </c>
    </row>
    <row r="8946">
      <c r="A8946" s="10" t="s">
        <v>10385</v>
      </c>
      <c r="B8946" s="7" t="str">
        <f>IFERROR(__xludf.DUMMYFUNCTION("SPLIT(A8946,"" "")"),"CCN(CCN(C)Cc1cc(C)c(C)c(C)n1)Cc1cc(C)c(C)c(C)n1")</f>
        <v>CCN(CCN(C)Cc1cc(C)c(C)c(C)n1)Cc1cc(C)c(C)c(C)n1</v>
      </c>
      <c r="C8946" s="7">
        <f>IFERROR(__xludf.DUMMYFUNCTION("""COMPUTED_VALUE"""),7.771609)</f>
        <v>7.771609</v>
      </c>
      <c r="D8946" s="7">
        <f>IFERROR(__xludf.DUMMYFUNCTION("""COMPUTED_VALUE"""),0.38095238095238)</f>
        <v>0.380952381</v>
      </c>
    </row>
    <row r="8947">
      <c r="A8947" s="10" t="s">
        <v>10386</v>
      </c>
      <c r="B8947" s="7" t="str">
        <f>IFERROR(__xludf.DUMMYFUNCTION("SPLIT(A8947,"" "")"),"CC1=CC(C)CCC1(C)c1cc(CN(Cc2ccccn2)Cc2cccc(C(C)(C)C)n2)ccn1")</f>
        <v>CC1=CC(C)CCC1(C)c1cc(CN(Cc2ccccn2)Cc2cccc(C(C)(C)C)n2)ccn1</v>
      </c>
      <c r="C8947" s="7">
        <f>IFERROR(__xludf.DUMMYFUNCTION("""COMPUTED_VALUE"""),7.7716)</f>
        <v>7.7716</v>
      </c>
      <c r="D8947" s="7">
        <f>IFERROR(__xludf.DUMMYFUNCTION("""COMPUTED_VALUE"""),0.333333333333333)</f>
        <v>0.3333333333</v>
      </c>
    </row>
    <row r="8948">
      <c r="A8948" s="10" t="s">
        <v>10387</v>
      </c>
      <c r="B8948" s="7" t="str">
        <f>IFERROR(__xludf.DUMMYFUNCTION("SPLIT(A8948,"" "")"),"Cc1ccc(N)cc1CN(C)Cc1ccccn1")</f>
        <v>Cc1ccc(N)cc1CN(C)Cc1ccccn1</v>
      </c>
      <c r="C8948" s="7">
        <f>IFERROR(__xludf.DUMMYFUNCTION("""COMPUTED_VALUE"""),7.7716)</f>
        <v>7.7716</v>
      </c>
      <c r="D8948" s="7">
        <f>IFERROR(__xludf.DUMMYFUNCTION("""COMPUTED_VALUE"""),0.5)</f>
        <v>0.5</v>
      </c>
    </row>
    <row r="8949">
      <c r="A8949" s="10" t="s">
        <v>10388</v>
      </c>
      <c r="B8949" s="7" t="str">
        <f>IFERROR(__xludf.DUMMYFUNCTION("SPLIT(A8949,"" "")"),"CN(Cc1cc(-c2ccc3c(c2)OCCOCCOCCOCCOCCO3)ccn1)C1CCCCC1N(Cc1cc(-c2ccc3ncccc3c2)ccn1)Cc1cc(C(C)(C)c2ccccn2)ccn1")</f>
        <v>CN(Cc1cc(-c2ccc3c(c2)OCCOCCOCCOCCOCCO3)ccn1)C1CCCCC1N(Cc1cc(-c2ccc3ncccc3c2)ccn1)Cc1cc(C(C)(C)c2ccccn2)ccn1</v>
      </c>
      <c r="C8949" s="7">
        <f>IFERROR(__xludf.DUMMYFUNCTION("""COMPUTED_VALUE"""),7.771588)</f>
        <v>7.771588</v>
      </c>
      <c r="D8949" s="7">
        <f>IFERROR(__xludf.DUMMYFUNCTION("""COMPUTED_VALUE"""),0.373333333333333)</f>
        <v>0.3733333333</v>
      </c>
    </row>
    <row r="8950">
      <c r="A8950" s="10" t="s">
        <v>10389</v>
      </c>
      <c r="B8950" s="7" t="str">
        <f>IFERROR(__xludf.DUMMYFUNCTION("SPLIT(A8950,"" "")"),"CCN(Cc1ccccn1)Cc1ccc2cccc(N(Cc3ccccn3)Cc3cccc(-c4ccc5c(c4)OCCOCCOCCOCCOCCO5)n3)c2n1")</f>
        <v>CCN(Cc1ccccn1)Cc1ccc2cccc(N(Cc3ccccn3)Cc3cccc(-c4ccc5c(c4)OCCOCCOCCOCCOCCO5)n3)c2n1</v>
      </c>
      <c r="C8950" s="7">
        <f>IFERROR(__xludf.DUMMYFUNCTION("""COMPUTED_VALUE"""),7.771584)</f>
        <v>7.771584</v>
      </c>
      <c r="D8950" s="7">
        <f>IFERROR(__xludf.DUMMYFUNCTION("""COMPUTED_VALUE"""),0.436619718309859)</f>
        <v>0.4366197183</v>
      </c>
    </row>
    <row r="8951">
      <c r="A8951" s="10" t="s">
        <v>10390</v>
      </c>
      <c r="B8951" s="7" t="str">
        <f>IFERROR(__xludf.DUMMYFUNCTION("SPLIT(A8951,"" "")"),"CN(Cc1ccccn1)C1CCC(N(C)Cc2ccc(-c3ccc4c(c3)OCCOCCOCCOCCOCCO4)cn2)C(N(C)c2ccc3cc(-c4ccccn4)cnc3c2)C1")</f>
        <v>CN(Cc1ccccn1)C1CCC(N(C)Cc2ccc(-c3ccc4c(c3)OCCOCCOCCOCCOCCO4)cn2)C(N(C)c2ccc3cc(-c4ccccn4)cnc3c2)C1</v>
      </c>
      <c r="C8951" s="7">
        <f>IFERROR(__xludf.DUMMYFUNCTION("""COMPUTED_VALUE"""),7.7715826)</f>
        <v>7.7715826</v>
      </c>
      <c r="D8951" s="7">
        <f>IFERROR(__xludf.DUMMYFUNCTION("""COMPUTED_VALUE"""),0.372093023255813)</f>
        <v>0.3720930233</v>
      </c>
    </row>
    <row r="8952">
      <c r="A8952" s="10" t="s">
        <v>10391</v>
      </c>
      <c r="B8952" s="7" t="str">
        <f>IFERROR(__xludf.DUMMYFUNCTION("SPLIT(A8952,"" "")"),"Cc1cccnc1CN(Cc1ccccn1)Cc1cccc(CNCc2ccccn2)n1")</f>
        <v>Cc1cccnc1CN(Cc1ccccn1)Cc1cccc(CNCc2ccccn2)n1</v>
      </c>
      <c r="C8952" s="7">
        <f>IFERROR(__xludf.DUMMYFUNCTION("""COMPUTED_VALUE"""),7.771582)</f>
        <v>7.771582</v>
      </c>
      <c r="D8952" s="7">
        <f>IFERROR(__xludf.DUMMYFUNCTION("""COMPUTED_VALUE"""),0.48780487804878)</f>
        <v>0.487804878</v>
      </c>
    </row>
    <row r="8953">
      <c r="A8953" s="10" t="s">
        <v>10392</v>
      </c>
      <c r="B8953" s="7" t="str">
        <f>IFERROR(__xludf.DUMMYFUNCTION("SPLIT(A8953,"" "")"),"CNCc1ccc(CN(C)Cc2ccc(N)cn2)cn1")</f>
        <v>CNCc1ccc(CN(C)Cc2ccc(N)cn2)cn1</v>
      </c>
      <c r="C8953" s="7">
        <f>IFERROR(__xludf.DUMMYFUNCTION("""COMPUTED_VALUE"""),7.7715783)</f>
        <v>7.7715783</v>
      </c>
      <c r="D8953" s="7">
        <f>IFERROR(__xludf.DUMMYFUNCTION("""COMPUTED_VALUE"""),0.386363636363636)</f>
        <v>0.3863636364</v>
      </c>
    </row>
    <row r="8954">
      <c r="A8954" s="10" t="s">
        <v>10393</v>
      </c>
      <c r="B8954" s="7" t="str">
        <f>IFERROR(__xludf.DUMMYFUNCTION("SPLIT(A8954,"" "")"),"Cc1cccnc1CN(C)Cc1ccc(C2CC(C)(C)C2)cn1")</f>
        <v>Cc1cccnc1CN(C)Cc1ccc(C2CC(C)(C)C2)cn1</v>
      </c>
      <c r="C8954" s="7">
        <f>IFERROR(__xludf.DUMMYFUNCTION("""COMPUTED_VALUE"""),7.771576)</f>
        <v>7.771576</v>
      </c>
      <c r="D8954" s="7">
        <f>IFERROR(__xludf.DUMMYFUNCTION("""COMPUTED_VALUE"""),0.352941176470588)</f>
        <v>0.3529411765</v>
      </c>
    </row>
    <row r="8955">
      <c r="A8955" s="10" t="s">
        <v>10394</v>
      </c>
      <c r="B8955" s="7" t="str">
        <f>IFERROR(__xludf.DUMMYFUNCTION("SPLIT(A8955,"" "")"),"CNCc1cc(CN(C)C2CCCCC2N(C)c2ccc3nccc(CF)c3c2)ccn1")</f>
        <v>CNCc1cc(CN(C)C2CCCCC2N(C)c2ccc3nccc(CF)c3c2)ccn1</v>
      </c>
      <c r="C8955" s="7">
        <f>IFERROR(__xludf.DUMMYFUNCTION("""COMPUTED_VALUE"""),7.771573)</f>
        <v>7.771573</v>
      </c>
      <c r="D8955" s="7">
        <f>IFERROR(__xludf.DUMMYFUNCTION("""COMPUTED_VALUE"""),0.365079365079365)</f>
        <v>0.3650793651</v>
      </c>
    </row>
    <row r="8956">
      <c r="A8956" s="10" t="s">
        <v>10395</v>
      </c>
      <c r="B8956" s="7" t="str">
        <f>IFERROR(__xludf.DUMMYFUNCTION("SPLIT(A8956,"" "")"),"Cc1ccc(CN(Cc2ccc(CNC(C)C)nc2)Cc2ccccn2)nc1")</f>
        <v>Cc1ccc(CN(Cc2ccc(CNC(C)C)nc2)Cc2ccccn2)nc1</v>
      </c>
      <c r="C8956" s="7">
        <f>IFERROR(__xludf.DUMMYFUNCTION("""COMPUTED_VALUE"""),7.7715726)</f>
        <v>7.7715726</v>
      </c>
      <c r="D8956" s="7">
        <f>IFERROR(__xludf.DUMMYFUNCTION("""COMPUTED_VALUE"""),0.454545454545454)</f>
        <v>0.4545454545</v>
      </c>
    </row>
    <row r="8957">
      <c r="A8957" s="10" t="s">
        <v>10396</v>
      </c>
      <c r="B8957" s="7" t="str">
        <f>IFERROR(__xludf.DUMMYFUNCTION("SPLIT(A8957,"" "")"),"Cc1cccc(CN(Cc2ccccn2)Cc2cccc(CNC(C)C)n2)n1")</f>
        <v>Cc1cccc(CN(Cc2ccccn2)Cc2cccc(CNC(C)C)n2)n1</v>
      </c>
      <c r="C8957" s="7">
        <f>IFERROR(__xludf.DUMMYFUNCTION("""COMPUTED_VALUE"""),7.771571)</f>
        <v>7.771571</v>
      </c>
      <c r="D8957" s="7">
        <f>IFERROR(__xludf.DUMMYFUNCTION("""COMPUTED_VALUE"""),0.5)</f>
        <v>0.5</v>
      </c>
    </row>
    <row r="8958">
      <c r="A8958" s="10" t="s">
        <v>10397</v>
      </c>
      <c r="B8958" s="7" t="str">
        <f>IFERROR(__xludf.DUMMYFUNCTION("SPLIT(A8958,"" "")"),"CCNc1ncccc1CN(Cc1ccccn1)Cc1ncccc1C")</f>
        <v>CCNc1ncccc1CN(Cc1ccccn1)Cc1ncccc1C</v>
      </c>
      <c r="C8958" s="7">
        <f>IFERROR(__xludf.DUMMYFUNCTION("""COMPUTED_VALUE"""),7.7715683)</f>
        <v>7.7715683</v>
      </c>
      <c r="D8958" s="7">
        <f>IFERROR(__xludf.DUMMYFUNCTION("""COMPUTED_VALUE"""),0.465116279069767)</f>
        <v>0.4651162791</v>
      </c>
    </row>
    <row r="8959">
      <c r="A8959" s="10" t="s">
        <v>10398</v>
      </c>
      <c r="B8959" s="7" t="str">
        <f>IFERROR(__xludf.DUMMYFUNCTION("SPLIT(A8959,"" "")"),"CN(C)C1CCCC(N(C)c2cccc3nc4c(cc23)CCCC4)C1")</f>
        <v>CN(C)C1CCCC(N(C)c2cccc3nc4c(cc23)CCCC4)C1</v>
      </c>
      <c r="C8959" s="7">
        <f>IFERROR(__xludf.DUMMYFUNCTION("""COMPUTED_VALUE"""),7.771568)</f>
        <v>7.771568</v>
      </c>
      <c r="D8959" s="7">
        <f>IFERROR(__xludf.DUMMYFUNCTION("""COMPUTED_VALUE"""),0.472727272727272)</f>
        <v>0.4727272727</v>
      </c>
    </row>
    <row r="8960">
      <c r="A8960" s="10" t="s">
        <v>10399</v>
      </c>
      <c r="B8960" s="7" t="str">
        <f>IFERROR(__xludf.DUMMYFUNCTION("SPLIT(A8960,"" "")"),"CNCc1ccc2cccc(N(Cc3ccccn3)Cc3cccc(-c4ccc5c(c4)OCCOCCOCCOCCOCCO5)n3)c2n1")</f>
        <v>CNCc1ccc2cccc(N(Cc3ccccn3)Cc3cccc(-c4ccc5c(c4)OCCOCCOCCOCCOCCO5)n3)c2n1</v>
      </c>
      <c r="C8960" s="7">
        <f>IFERROR(__xludf.DUMMYFUNCTION("""COMPUTED_VALUE"""),7.771563)</f>
        <v>7.771563</v>
      </c>
      <c r="D8960" s="7">
        <f>IFERROR(__xludf.DUMMYFUNCTION("""COMPUTED_VALUE"""),0.391891891891891)</f>
        <v>0.3918918919</v>
      </c>
    </row>
    <row r="8961">
      <c r="A8961" s="10" t="s">
        <v>10400</v>
      </c>
      <c r="B8961" s="7" t="str">
        <f>IFERROR(__xludf.DUMMYFUNCTION("SPLIT(A8961,"" "")"),"CC(C)(CN(Cc1ccccn1)Cc1ccc(-c2ccccc2N=Cc2ccccn2)cn1)c1ncccc1-c1ccc2c(c1)OCCOCCOCCOCCOCCO2")</f>
        <v>CC(C)(CN(Cc1ccccn1)Cc1ccc(-c2ccccc2N=Cc2ccccn2)cn1)c1ncccc1-c1ccc2c(c1)OCCOCCOCCOCCOCCO2</v>
      </c>
      <c r="C8961" s="7">
        <f>IFERROR(__xludf.DUMMYFUNCTION("""COMPUTED_VALUE"""),7.7715626)</f>
        <v>7.7715626</v>
      </c>
      <c r="D8961" s="7">
        <f>IFERROR(__xludf.DUMMYFUNCTION("""COMPUTED_VALUE"""),0.32183908045977)</f>
        <v>0.3218390805</v>
      </c>
    </row>
    <row r="8962">
      <c r="A8962" s="10" t="s">
        <v>10401</v>
      </c>
      <c r="B8962" s="7" t="str">
        <f>IFERROR(__xludf.DUMMYFUNCTION("SPLIT(A8962,"" "")"),"COC(=O)C1CN(C)C(CN(Cc2ccccn2)Cc2cc(C(C)(C)C)ccn2)C(c2ccccn2)C1c1ccccn1")</f>
        <v>COC(=O)C1CN(C)C(CN(Cc2ccccn2)Cc2cc(C(C)(C)C)ccn2)C(c2ccccn2)C1c1ccccn1</v>
      </c>
      <c r="C8962" s="7">
        <f>IFERROR(__xludf.DUMMYFUNCTION("""COMPUTED_VALUE"""),7.7715564)</f>
        <v>7.7715564</v>
      </c>
      <c r="D8962" s="7">
        <f>IFERROR(__xludf.DUMMYFUNCTION("""COMPUTED_VALUE"""),0.328947368421052)</f>
        <v>0.3289473684</v>
      </c>
    </row>
    <row r="8963">
      <c r="A8963" s="10" t="s">
        <v>10402</v>
      </c>
      <c r="B8963" s="7" t="str">
        <f>IFERROR(__xludf.DUMMYFUNCTION("SPLIT(A8963,"" "")"),"CCN(Cc1ccccn1)Cc1ccc2cc(N(C)Cc3ncccc3-c3cccc4c3OCCOCCOCCOCCOCCO4)ccc2n1")</f>
        <v>CCN(Cc1ccccn1)Cc1ccc2cc(N(C)Cc3ncccc3-c3cccc4c3OCCOCCOCCOCCOCCO4)ccc2n1</v>
      </c>
      <c r="C8963" s="7">
        <f>IFERROR(__xludf.DUMMYFUNCTION("""COMPUTED_VALUE"""),7.7715316)</f>
        <v>7.7715316</v>
      </c>
      <c r="D8963" s="7">
        <f>IFERROR(__xludf.DUMMYFUNCTION("""COMPUTED_VALUE"""),0.376811594202898)</f>
        <v>0.3768115942</v>
      </c>
    </row>
    <row r="8964">
      <c r="A8964" s="10" t="s">
        <v>10403</v>
      </c>
      <c r="B8964" s="7" t="str">
        <f>IFERROR(__xludf.DUMMYFUNCTION("SPLIT(A8964,"" "")"),"CNC1CCCCC1N(C)c1cccc2c(CF)ccnc12")</f>
        <v>CNC1CCCCC1N(C)c1cccc2c(CF)ccnc12</v>
      </c>
      <c r="C8964" s="7">
        <f>IFERROR(__xludf.DUMMYFUNCTION("""COMPUTED_VALUE"""),7.7715316)</f>
        <v>7.7715316</v>
      </c>
      <c r="D8964" s="7">
        <f>IFERROR(__xludf.DUMMYFUNCTION("""COMPUTED_VALUE"""),0.48076923076923)</f>
        <v>0.4807692308</v>
      </c>
    </row>
    <row r="8965">
      <c r="A8965" s="10" t="s">
        <v>10404</v>
      </c>
      <c r="B8965" s="7" t="str">
        <f>IFERROR(__xludf.DUMMYFUNCTION("SPLIT(A8965,"" "")"),"CNCN(Cc1ncccc1C)C1CCC(N(C)c2cccc3nc(CF)ccc23)CC1")</f>
        <v>CNCN(Cc1ncccc1C)C1CCC(N(C)c2cccc3nc(CF)ccc23)CC1</v>
      </c>
      <c r="C8965" s="7">
        <f>IFERROR(__xludf.DUMMYFUNCTION("""COMPUTED_VALUE"""),7.771517)</f>
        <v>7.771517</v>
      </c>
      <c r="D8965" s="7">
        <f>IFERROR(__xludf.DUMMYFUNCTION("""COMPUTED_VALUE"""),0.338028169014084)</f>
        <v>0.338028169</v>
      </c>
    </row>
    <row r="8966">
      <c r="A8966" s="10" t="s">
        <v>10405</v>
      </c>
      <c r="B8966" s="7" t="str">
        <f>IFERROR(__xludf.DUMMYFUNCTION("SPLIT(A8966,"" "")"),"Cc1ccnc2cc(N(C)C3=CNC(CN4CCN(C)CCN(C)CC4)=CC3)ccc12")</f>
        <v>Cc1ccnc2cc(N(C)C3=CNC(CN4CCN(C)CCN(C)CC4)=CC3)ccc12</v>
      </c>
      <c r="C8966" s="7">
        <f>IFERROR(__xludf.DUMMYFUNCTION("""COMPUTED_VALUE"""),7.771516)</f>
        <v>7.771516</v>
      </c>
      <c r="D8966" s="7">
        <f>IFERROR(__xludf.DUMMYFUNCTION("""COMPUTED_VALUE"""),0.38095238095238)</f>
        <v>0.380952381</v>
      </c>
    </row>
    <row r="8967">
      <c r="A8967" s="10" t="s">
        <v>10406</v>
      </c>
      <c r="B8967" s="7" t="str">
        <f>IFERROR(__xludf.DUMMYFUNCTION("SPLIT(A8967,"" "")"),"CC(C)N(C)CCN(C)Cc1ccc2ncccc2c1")</f>
        <v>CC(C)N(C)CCN(C)Cc1ccc2ncccc2c1</v>
      </c>
      <c r="C8967" s="7">
        <f>IFERROR(__xludf.DUMMYFUNCTION("""COMPUTED_VALUE"""),7.7715125)</f>
        <v>7.7715125</v>
      </c>
      <c r="D8967" s="7">
        <f>IFERROR(__xludf.DUMMYFUNCTION("""COMPUTED_VALUE"""),0.425531914893617)</f>
        <v>0.4255319149</v>
      </c>
    </row>
    <row r="8968">
      <c r="A8968" s="10" t="s">
        <v>10407</v>
      </c>
      <c r="B8968" s="7" t="str">
        <f>IFERROR(__xludf.DUMMYFUNCTION("SPLIT(A8968,"" "")"),"CC1=C(N(Cc2ccccn2)Cc2ccccn2)CC(Cl)C(C)C12C=CNC(C(C)C)=C2")</f>
        <v>CC1=C(N(Cc2ccccn2)Cc2ccccn2)CC(Cl)C(C)C12C=CNC(C(C)C)=C2</v>
      </c>
      <c r="C8968" s="7">
        <f>IFERROR(__xludf.DUMMYFUNCTION("""COMPUTED_VALUE"""),7.771509)</f>
        <v>7.771509</v>
      </c>
      <c r="D8968" s="7">
        <f>IFERROR(__xludf.DUMMYFUNCTION("""COMPUTED_VALUE"""),0.333333333333333)</f>
        <v>0.3333333333</v>
      </c>
    </row>
    <row r="8969">
      <c r="A8969" s="10" t="s">
        <v>10408</v>
      </c>
      <c r="B8969" s="7" t="str">
        <f>IFERROR(__xludf.DUMMYFUNCTION("SPLIT(A8969,"" "")"),"Cc1cnc(CN(C)C2=CNC(CN(C)CCF)=CC2)c(C)c1")</f>
        <v>Cc1cnc(CN(C)C2=CNC(CN(C)CCF)=CC2)c(C)c1</v>
      </c>
      <c r="C8969" s="7">
        <f>IFERROR(__xludf.DUMMYFUNCTION("""COMPUTED_VALUE"""),7.771507)</f>
        <v>7.771507</v>
      </c>
      <c r="D8969" s="7">
        <f>IFERROR(__xludf.DUMMYFUNCTION("""COMPUTED_VALUE"""),0.309090909090909)</f>
        <v>0.3090909091</v>
      </c>
    </row>
    <row r="8970">
      <c r="A8970" s="10" t="s">
        <v>10409</v>
      </c>
      <c r="B8970" s="7" t="str">
        <f>IFERROR(__xludf.DUMMYFUNCTION("SPLIT(A8970,"" "")"),"Cc1cccc(-c2cccc(CN(C)C3CCCC(N(C)Cc4ccccn4)C3N(Cc3ccccn3)Cc3nc(C)c(C)c(C)c3C)n2)c1")</f>
        <v>Cc1cccc(-c2cccc(CN(C)C3CCCC(N(C)Cc4ccccn4)C3N(Cc3ccccn3)Cc3nc(C)c(C)c(C)c3C)n2)c1</v>
      </c>
      <c r="C8970" s="7">
        <f>IFERROR(__xludf.DUMMYFUNCTION("""COMPUTED_VALUE"""),7.771501)</f>
        <v>7.771501</v>
      </c>
      <c r="D8970" s="7">
        <f>IFERROR(__xludf.DUMMYFUNCTION("""COMPUTED_VALUE"""),0.444444444444444)</f>
        <v>0.4444444444</v>
      </c>
    </row>
    <row r="8971">
      <c r="A8971" s="10" t="s">
        <v>10410</v>
      </c>
      <c r="B8971" s="7" t="str">
        <f>IFERROR(__xludf.DUMMYFUNCTION("SPLIT(A8971,"" "")"),"Cc1ccc(CN(C)C2=CNC(CN(C)C3C=CNC(C(C)C)=C3)=CC2)nc1")</f>
        <v>Cc1ccc(CN(C)C2=CNC(CN(C)C3C=CNC(C(C)C)=C3)=CC2)nc1</v>
      </c>
      <c r="C8971" s="7">
        <f>IFERROR(__xludf.DUMMYFUNCTION("""COMPUTED_VALUE"""),7.771491)</f>
        <v>7.771491</v>
      </c>
      <c r="D8971" s="7">
        <f>IFERROR(__xludf.DUMMYFUNCTION("""COMPUTED_VALUE"""),0.359375)</f>
        <v>0.359375</v>
      </c>
    </row>
    <row r="8972">
      <c r="A8972" s="10" t="s">
        <v>10411</v>
      </c>
      <c r="B8972" s="7" t="str">
        <f>IFERROR(__xludf.DUMMYFUNCTION("SPLIT(A8972,"" "")"),"CCNCc1cccc(CN(Cc2cccc(F)n2)C2CCC(N(C)c3ccc4nc(CF)ccc4c3)CC2)n1")</f>
        <v>CCNCc1cccc(CN(Cc2cccc(F)n2)C2CCC(N(C)c3ccc4nc(CF)ccc4c3)CC2)n1</v>
      </c>
      <c r="C8972" s="7">
        <f>IFERROR(__xludf.DUMMYFUNCTION("""COMPUTED_VALUE"""),7.7714853)</f>
        <v>7.7714853</v>
      </c>
      <c r="D8972" s="7">
        <f>IFERROR(__xludf.DUMMYFUNCTION("""COMPUTED_VALUE"""),0.319444444444444)</f>
        <v>0.3194444444</v>
      </c>
    </row>
    <row r="8973">
      <c r="A8973" s="10" t="s">
        <v>10412</v>
      </c>
      <c r="B8973" s="7" t="str">
        <f>IFERROR(__xludf.DUMMYFUNCTION("SPLIT(A8973,"" "")"),"CNCc1ncccc1CN(Cc1ccccn1)Cc1ncccc1C")</f>
        <v>CNCc1ncccc1CN(Cc1ccccn1)Cc1ncccc1C</v>
      </c>
      <c r="C8973" s="7">
        <f>IFERROR(__xludf.DUMMYFUNCTION("""COMPUTED_VALUE"""),7.7714853)</f>
        <v>7.7714853</v>
      </c>
      <c r="D8973" s="7">
        <f>IFERROR(__xludf.DUMMYFUNCTION("""COMPUTED_VALUE"""),0.48780487804878)</f>
        <v>0.487804878</v>
      </c>
    </row>
    <row r="8974">
      <c r="A8974" s="10" t="s">
        <v>10413</v>
      </c>
      <c r="B8974" s="7" t="str">
        <f>IFERROR(__xludf.DUMMYFUNCTION("SPLIT(A8974,"" "")"),"CC1=C(C)C(C)C(C)(c2cc(CN(Cc3ccccn3)Cc3cc(C(C)(C)C)ccn3)ccn2)CC1")</f>
        <v>CC1=C(C)C(C)C(C)(c2cc(CN(Cc3ccccn3)Cc3cc(C(C)(C)C)ccn3)ccn2)CC1</v>
      </c>
      <c r="C8974" s="7">
        <f>IFERROR(__xludf.DUMMYFUNCTION("""COMPUTED_VALUE"""),7.7714834)</f>
        <v>7.7714834</v>
      </c>
      <c r="D8974" s="7">
        <f>IFERROR(__xludf.DUMMYFUNCTION("""COMPUTED_VALUE"""),0.344827586206896)</f>
        <v>0.3448275862</v>
      </c>
    </row>
    <row r="8975">
      <c r="A8975" s="10" t="s">
        <v>10414</v>
      </c>
      <c r="B8975" s="7" t="str">
        <f>IFERROR(__xludf.DUMMYFUNCTION("SPLIT(A8975,"" "")"),"CNCN(C)Cc1ncc(C)c(C)c1C")</f>
        <v>CNCN(C)Cc1ncc(C)c(C)c1C</v>
      </c>
      <c r="C8975" s="7">
        <f>IFERROR(__xludf.DUMMYFUNCTION("""COMPUTED_VALUE"""),7.7714806)</f>
        <v>7.7714806</v>
      </c>
      <c r="D8975" s="7">
        <f>IFERROR(__xludf.DUMMYFUNCTION("""COMPUTED_VALUE"""),0.317073170731707)</f>
        <v>0.3170731707</v>
      </c>
    </row>
    <row r="8976">
      <c r="A8976" s="10" t="s">
        <v>10415</v>
      </c>
      <c r="B8976" s="7" t="str">
        <f>IFERROR(__xludf.DUMMYFUNCTION("SPLIT(A8976,"" "")"),"Cc1cnc(CN(Cc2ccccn2)C2CCC(N(C)Cc3ncccc3-c3ccccn3)CC2)c(C)c1")</f>
        <v>Cc1cnc(CN(Cc2ccccn2)C2CCC(N(C)Cc3ncccc3-c3ccccn3)CC2)c(C)c1</v>
      </c>
      <c r="C8976" s="7">
        <f>IFERROR(__xludf.DUMMYFUNCTION("""COMPUTED_VALUE"""),7.771468)</f>
        <v>7.771468</v>
      </c>
      <c r="D8976" s="7">
        <f>IFERROR(__xludf.DUMMYFUNCTION("""COMPUTED_VALUE"""),0.370967741935483)</f>
        <v>0.3709677419</v>
      </c>
    </row>
    <row r="8977">
      <c r="A8977" s="10" t="s">
        <v>10416</v>
      </c>
      <c r="B8977" s="7" t="str">
        <f>IFERROR(__xludf.DUMMYFUNCTION("SPLIT(A8977,"" "")"),"Cc1ccccc1N(C)C1=CNC=C(CN(C)C(C)C)C1")</f>
        <v>Cc1ccccc1N(C)C1=CNC=C(CN(C)C(C)C)C1</v>
      </c>
      <c r="C8977" s="7">
        <f>IFERROR(__xludf.DUMMYFUNCTION("""COMPUTED_VALUE"""),7.7714663)</f>
        <v>7.7714663</v>
      </c>
      <c r="D8977" s="7">
        <f>IFERROR(__xludf.DUMMYFUNCTION("""COMPUTED_VALUE"""),0.222222222222222)</f>
        <v>0.2222222222</v>
      </c>
    </row>
    <row r="8978">
      <c r="A8978" s="10" t="s">
        <v>10417</v>
      </c>
      <c r="B8978" s="7" t="str">
        <f>IFERROR(__xludf.DUMMYFUNCTION("SPLIT(A8978,"" "")"),"CCN(Cc1cccnn1)C1CCC(N(C)c2cccc3ncccc23)CC1")</f>
        <v>CCN(Cc1cccnn1)C1CCC(N(C)c2cccc3ncccc23)CC1</v>
      </c>
      <c r="C8978" s="7">
        <f>IFERROR(__xludf.DUMMYFUNCTION("""COMPUTED_VALUE"""),7.771465)</f>
        <v>7.771465</v>
      </c>
      <c r="D8978" s="7">
        <f>IFERROR(__xludf.DUMMYFUNCTION("""COMPUTED_VALUE"""),0.377358490566037)</f>
        <v>0.3773584906</v>
      </c>
    </row>
    <row r="8979">
      <c r="A8979" s="10" t="s">
        <v>10418</v>
      </c>
      <c r="B8979" s="7" t="str">
        <f>IFERROR(__xludf.DUMMYFUNCTION("SPLIT(A8979,"" "")"),"CCN(Cc1ccccn1)c1ccc2nc(CN(C)Cc3cc(-c4ccc5c(c4)OCCOCCOCCOCCOCCO5)ccn3)ccc2c1")</f>
        <v>CCN(Cc1ccccn1)c1ccc2nc(CN(C)Cc3cc(-c4ccc5c(c4)OCCOCCOCCOCCOCCO5)ccn3)ccc2c1</v>
      </c>
      <c r="C8979" s="7">
        <f>IFERROR(__xludf.DUMMYFUNCTION("""COMPUTED_VALUE"""),7.7714624)</f>
        <v>7.7714624</v>
      </c>
      <c r="D8979" s="7">
        <f>IFERROR(__xludf.DUMMYFUNCTION("""COMPUTED_VALUE"""),0.35820895522388)</f>
        <v>0.3582089552</v>
      </c>
    </row>
    <row r="8980">
      <c r="A8980" s="10" t="s">
        <v>10419</v>
      </c>
      <c r="B8980" s="7" t="str">
        <f>IFERROR(__xludf.DUMMYFUNCTION("SPLIT(A8980,"" "")"),"Cc1cccnc1CN(Cc1ccccn1)Cc1cccc(NCF)n1")</f>
        <v>Cc1cccnc1CN(Cc1ccccn1)Cc1cccc(NCF)n1</v>
      </c>
      <c r="C8980" s="7">
        <f>IFERROR(__xludf.DUMMYFUNCTION("""COMPUTED_VALUE"""),7.7714615)</f>
        <v>7.7714615</v>
      </c>
      <c r="D8980" s="7">
        <f>IFERROR(__xludf.DUMMYFUNCTION("""COMPUTED_VALUE"""),0.465116279069767)</f>
        <v>0.4651162791</v>
      </c>
    </row>
    <row r="8981">
      <c r="A8981" s="10" t="s">
        <v>10420</v>
      </c>
      <c r="B8981" s="7" t="str">
        <f>IFERROR(__xludf.DUMMYFUNCTION("SPLIT(A8981,"" "")"),"CNC1C(N(Cc2ncccc2C)Cc2nc(C)c(C)c(C)c2C)CCC(N(Cc2ncccc2C)Cc2ncccc2C)C1N(Cc1ncccc1C)Cc1ncccc1C")</f>
        <v>CNC1C(N(Cc2ncccc2C)Cc2nc(C)c(C)c(C)c2C)CCC(N(Cc2ncccc2C)Cc2ncccc2C)C1N(Cc1ncccc1C)Cc1ncccc1C</v>
      </c>
      <c r="C8981" s="7">
        <f>IFERROR(__xludf.DUMMYFUNCTION("""COMPUTED_VALUE"""),7.7714477)</f>
        <v>7.7714477</v>
      </c>
      <c r="D8981" s="7">
        <f>IFERROR(__xludf.DUMMYFUNCTION("""COMPUTED_VALUE"""),0.258064516129032)</f>
        <v>0.2580645161</v>
      </c>
    </row>
    <row r="8982">
      <c r="A8982" s="10" t="s">
        <v>10421</v>
      </c>
      <c r="B8982" s="7" t="str">
        <f>IFERROR(__xludf.DUMMYFUNCTION("SPLIT(A8982,"" "")"),"Cc1cccc(CN(C)CC2=CC(N(C)Cc3nccc(C)c3C)C=CN2)c1")</f>
        <v>Cc1cccc(CN(C)CC2=CC(N(C)Cc3nccc(C)c3C)C=CN2)c1</v>
      </c>
      <c r="C8982" s="7">
        <f>IFERROR(__xludf.DUMMYFUNCTION("""COMPUTED_VALUE"""),7.7714458)</f>
        <v>7.7714458</v>
      </c>
      <c r="D8982" s="7">
        <f>IFERROR(__xludf.DUMMYFUNCTION("""COMPUTED_VALUE"""),0.303030303030303)</f>
        <v>0.303030303</v>
      </c>
    </row>
    <row r="8983">
      <c r="A8983" s="10" t="s">
        <v>10422</v>
      </c>
      <c r="B8983" s="7" t="str">
        <f>IFERROR(__xludf.DUMMYFUNCTION("SPLIT(A8983,"" "")"),"CN(CC1=C(N(O)C2C=CC=CN2)CC=CN1)C1=CCC=CN1")</f>
        <v>CN(CC1=C(N(O)C2C=CC=CN2)CC=CN1)C1=CCC=CN1</v>
      </c>
      <c r="C8983" s="7">
        <f>IFERROR(__xludf.DUMMYFUNCTION("""COMPUTED_VALUE"""),7.7714343)</f>
        <v>7.7714343</v>
      </c>
      <c r="D8983" s="7">
        <f>IFERROR(__xludf.DUMMYFUNCTION("""COMPUTED_VALUE"""),0.227272727272727)</f>
        <v>0.2272727273</v>
      </c>
    </row>
    <row r="8984">
      <c r="A8984" s="10" t="s">
        <v>10423</v>
      </c>
      <c r="B8984" s="7" t="str">
        <f>IFERROR(__xludf.DUMMYFUNCTION("SPLIT(A8984,"" "")"),"Cc1cc(C)c(C)c(N(C)CCN(C)C(C)C)c1")</f>
        <v>Cc1cc(C)c(C)c(N(C)CCN(C)C(C)C)c1</v>
      </c>
      <c r="C8984" s="7">
        <f>IFERROR(__xludf.DUMMYFUNCTION("""COMPUTED_VALUE"""),7.771434)</f>
        <v>7.771434</v>
      </c>
      <c r="D8984" s="7">
        <f>IFERROR(__xludf.DUMMYFUNCTION("""COMPUTED_VALUE"""),0.244444444444444)</f>
        <v>0.2444444444</v>
      </c>
    </row>
    <row r="8985">
      <c r="A8985" s="10" t="s">
        <v>10424</v>
      </c>
      <c r="B8985" s="7" t="str">
        <f>IFERROR(__xludf.DUMMYFUNCTION("SPLIT(A8985,"" "")"),"CN(Cc1cccc(-c2cccc(N=Cc3ccccn3)c2)n1)Cc1cccc(-c2ccc3c(c2)OCCOCCOCCOCCOCCO3)n1")</f>
        <v>CN(Cc1cccc(-c2cccc(N=Cc3ccccn3)c2)n1)Cc1cccc(-c2ccc3c(c2)OCCOCCOCCOCCOCCO3)n1</v>
      </c>
      <c r="C8985" s="7">
        <f>IFERROR(__xludf.DUMMYFUNCTION("""COMPUTED_VALUE"""),7.7714324)</f>
        <v>7.7714324</v>
      </c>
      <c r="D8985" s="7">
        <f>IFERROR(__xludf.DUMMYFUNCTION("""COMPUTED_VALUE"""),0.4)</f>
        <v>0.4</v>
      </c>
    </row>
    <row r="8986">
      <c r="A8986" s="10" t="s">
        <v>10425</v>
      </c>
      <c r="B8986" s="7" t="str">
        <f>IFERROR(__xludf.DUMMYFUNCTION("SPLIT(A8986,"" "")"),"CC1CC(C)C(N(C)Cc2ccccn2)C=C1C(C)(C)c1cccc(CN(Cc2ccccn2)C2CCCCC2N(C)c2ccc3cc(CN(C)C)cnc3c2)n1")</f>
        <v>CC1CC(C)C(N(C)Cc2ccccn2)C=C1C(C)(C)c1cccc(CN(Cc2ccccn2)C2CCCCC2N(C)c2ccc3cc(CN(C)C)cnc3c2)n1</v>
      </c>
      <c r="C8986" s="7">
        <f>IFERROR(__xludf.DUMMYFUNCTION("""COMPUTED_VALUE"""),7.771429)</f>
        <v>7.771429</v>
      </c>
      <c r="D8986" s="7">
        <f>IFERROR(__xludf.DUMMYFUNCTION("""COMPUTED_VALUE"""),0.358974358974359)</f>
        <v>0.358974359</v>
      </c>
    </row>
    <row r="8987">
      <c r="A8987" s="10" t="s">
        <v>10426</v>
      </c>
      <c r="B8987" s="7" t="str">
        <f>IFERROR(__xludf.DUMMYFUNCTION("SPLIT(A8987,"" "")"),"CC1=CCC(C)(c2ccc(CN(Cc3ccccn3)C3CCCC(N(C)c4cccc5ncc(CN(C)C)cc45)C3)cn2)C(C)C1C")</f>
        <v>CC1=CCC(C)(c2ccc(CN(Cc3ccccn3)C3CCCC(N(C)c4cccc5ncc(CN(C)C)cc45)C3)cn2)C(C)C1C</v>
      </c>
      <c r="C8987" s="7">
        <f>IFERROR(__xludf.DUMMYFUNCTION("""COMPUTED_VALUE"""),7.7714257)</f>
        <v>7.7714257</v>
      </c>
      <c r="D8987" s="7">
        <f>IFERROR(__xludf.DUMMYFUNCTION("""COMPUTED_VALUE"""),0.277108433734939)</f>
        <v>0.2771084337</v>
      </c>
    </row>
    <row r="8988">
      <c r="A8988" s="10" t="s">
        <v>10427</v>
      </c>
      <c r="B8988" s="7" t="str">
        <f>IFERROR(__xludf.DUMMYFUNCTION("SPLIT(A8988,"" "")"),"Cc1cc(C)c(C)c(CN(C)C2=CNC(CN(C)C(C)C(C)C)=CC2)n1")</f>
        <v>Cc1cc(C)c(C)c(CN(C)C2=CNC(CN(C)C(C)C(C)C)=CC2)n1</v>
      </c>
      <c r="C8988" s="7">
        <f>IFERROR(__xludf.DUMMYFUNCTION("""COMPUTED_VALUE"""),7.771424)</f>
        <v>7.771424</v>
      </c>
      <c r="D8988" s="7">
        <f>IFERROR(__xludf.DUMMYFUNCTION("""COMPUTED_VALUE"""),0.184615384615384)</f>
        <v>0.1846153846</v>
      </c>
    </row>
    <row r="8989">
      <c r="A8989" s="10" t="s">
        <v>10428</v>
      </c>
      <c r="B8989" s="7" t="str">
        <f>IFERROR(__xludf.DUMMYFUNCTION("SPLIT(A8989,"" "")"),"CCNCc1cccc(NCc2ccccn2)c1C(C)(C)C")</f>
        <v>CCNCc1cccc(NCc2ccccn2)c1C(C)(C)C</v>
      </c>
      <c r="C8989" s="7">
        <f>IFERROR(__xludf.DUMMYFUNCTION("""COMPUTED_VALUE"""),7.771413)</f>
        <v>7.771413</v>
      </c>
      <c r="D8989" s="7">
        <f>IFERROR(__xludf.DUMMYFUNCTION("""COMPUTED_VALUE"""),0.409090909090909)</f>
        <v>0.4090909091</v>
      </c>
    </row>
    <row r="8990">
      <c r="A8990" s="10" t="s">
        <v>10429</v>
      </c>
      <c r="B8990" s="7" t="str">
        <f>IFERROR(__xludf.DUMMYFUNCTION("SPLIT(A8990,"" "")"),"CNC1CCCCC1N(C)c1ccc2c(CF)ccnc2c1")</f>
        <v>CNC1CCCCC1N(C)c1ccc2c(CF)ccnc2c1</v>
      </c>
      <c r="C8990" s="7">
        <f>IFERROR(__xludf.DUMMYFUNCTION("""COMPUTED_VALUE"""),7.7714114)</f>
        <v>7.7714114</v>
      </c>
      <c r="D8990" s="7">
        <f>IFERROR(__xludf.DUMMYFUNCTION("""COMPUTED_VALUE"""),0.327868852459016)</f>
        <v>0.3278688525</v>
      </c>
    </row>
    <row r="8991">
      <c r="A8991" s="10" t="s">
        <v>10430</v>
      </c>
      <c r="B8991" s="7" t="str">
        <f>IFERROR(__xludf.DUMMYFUNCTION("SPLIT(A8991,"" "")"),"CNC1C(N(Cc2cc(C)ccn2)Cc2nc(C)c(C)c(C)c2C)CCCC1N(Cc1nc(C)c(C)c(C)c1C)Cc1nc(C)c(C)c(C)c1C")</f>
        <v>CNC1C(N(Cc2cc(C)ccn2)Cc2nc(C)c(C)c(C)c2C)CCCC1N(Cc1nc(C)c(C)c(C)c1C)Cc1nc(C)c(C)c(C)c1C</v>
      </c>
      <c r="C8991" s="7">
        <f>IFERROR(__xludf.DUMMYFUNCTION("""COMPUTED_VALUE"""),7.7714076)</f>
        <v>7.7714076</v>
      </c>
      <c r="D8991" s="7">
        <f>IFERROR(__xludf.DUMMYFUNCTION("""COMPUTED_VALUE"""),0.305084745762711)</f>
        <v>0.3050847458</v>
      </c>
    </row>
    <row r="8992">
      <c r="A8992" s="10" t="s">
        <v>10431</v>
      </c>
      <c r="B8992" s="7" t="str">
        <f>IFERROR(__xludf.DUMMYFUNCTION("SPLIT(A8992,"" "")"),"Cc1ccc(CN(Cc2cccc(N(C)C)n2)C2CCCCC2N(Cc2cc(C)c(C)c(C)n2)Cc2nc(C)c(C)c(C)c2C)nc1")</f>
        <v>Cc1ccc(CN(Cc2cccc(N(C)C)n2)C2CCCCC2N(Cc2cc(C)c(C)c(C)n2)Cc2nc(C)c(C)c(C)c2C)nc1</v>
      </c>
      <c r="C8992" s="7">
        <f>IFERROR(__xludf.DUMMYFUNCTION("""COMPUTED_VALUE"""),7.7714076)</f>
        <v>7.7714076</v>
      </c>
      <c r="D8992" s="7">
        <f>IFERROR(__xludf.DUMMYFUNCTION("""COMPUTED_VALUE"""),0.428571428571428)</f>
        <v>0.4285714286</v>
      </c>
    </row>
    <row r="8993">
      <c r="A8993" s="10" t="s">
        <v>10432</v>
      </c>
      <c r="B8993" s="7" t="str">
        <f>IFERROR(__xludf.DUMMYFUNCTION("SPLIT(A8993,"" "")"),"CC(C)C1=CC2(C=CN1)CC(C)C(C)(C)C=C2c1ccc(CN(Cc2ccccn2)Cc2ccccn2)cn1")</f>
        <v>CC(C)C1=CC2(C=CN1)CC(C)C(C)(C)C=C2c1ccc(CN(Cc2ccccn2)Cc2ccccn2)cn1</v>
      </c>
      <c r="C8993" s="7">
        <f>IFERROR(__xludf.DUMMYFUNCTION("""COMPUTED_VALUE"""),7.7714076)</f>
        <v>7.7714076</v>
      </c>
      <c r="D8993" s="7">
        <f>IFERROR(__xludf.DUMMYFUNCTION("""COMPUTED_VALUE"""),0.328767123287671)</f>
        <v>0.3287671233</v>
      </c>
    </row>
    <row r="8994">
      <c r="A8994" s="10" t="s">
        <v>10433</v>
      </c>
      <c r="B8994" s="7" t="str">
        <f>IFERROR(__xludf.DUMMYFUNCTION("SPLIT(A8994,"" "")"),"CCNCc1ncccc1CN(Cc1ccccn1)Cc1ncc(C)cc1C")</f>
        <v>CCNCc1ncccc1CN(Cc1ccccn1)Cc1ncc(C)cc1C</v>
      </c>
      <c r="C8994" s="7">
        <f>IFERROR(__xludf.DUMMYFUNCTION("""COMPUTED_VALUE"""),7.7714033)</f>
        <v>7.7714033</v>
      </c>
      <c r="D8994" s="7">
        <f>IFERROR(__xludf.DUMMYFUNCTION("""COMPUTED_VALUE"""),0.408163265306122)</f>
        <v>0.4081632653</v>
      </c>
    </row>
    <row r="8995">
      <c r="A8995" s="10" t="s">
        <v>10434</v>
      </c>
      <c r="B8995" s="7" t="str">
        <f>IFERROR(__xludf.DUMMYFUNCTION("SPLIT(A8995,"" "")"),"C=CCN(C)CCN(Cc1ccccn1)Cc1cccnc1CN(Cc1ccccn1)Cc1cccc(N(C)C)n1")</f>
        <v>C=CCN(C)CCN(Cc1ccccn1)Cc1cccnc1CN(Cc1ccccn1)Cc1cccc(N(C)C)n1</v>
      </c>
      <c r="C8995" s="7">
        <f>IFERROR(__xludf.DUMMYFUNCTION("""COMPUTED_VALUE"""),7.771396)</f>
        <v>7.771396</v>
      </c>
      <c r="D8995" s="7">
        <f>IFERROR(__xludf.DUMMYFUNCTION("""COMPUTED_VALUE"""),0.46031746031746)</f>
        <v>0.4603174603</v>
      </c>
    </row>
    <row r="8996">
      <c r="A8996" s="10" t="s">
        <v>10435</v>
      </c>
      <c r="B8996" s="7" t="str">
        <f>IFERROR(__xludf.DUMMYFUNCTION("SPLIT(A8996,"" "")"),"CC(C)N(Cc1ccccn1)c1cccc2ccc(CN(C)Cc3cccc(-c4ccc5c(c4)OCCOCCOCCOCCOCCO5)n3)nc12")</f>
        <v>CC(C)N(Cc1ccccn1)c1cccc2ccc(CN(C)Cc3cccc(-c4ccc5c(c4)OCCOCCOCCOCCOCCO5)n3)nc12</v>
      </c>
      <c r="C8996" s="7">
        <f>IFERROR(__xludf.DUMMYFUNCTION("""COMPUTED_VALUE"""),7.7713814)</f>
        <v>7.7713814</v>
      </c>
      <c r="D8996" s="7">
        <f>IFERROR(__xludf.DUMMYFUNCTION("""COMPUTED_VALUE"""),0.417910447761194)</f>
        <v>0.4179104478</v>
      </c>
    </row>
    <row r="8997">
      <c r="A8997" s="10" t="s">
        <v>10436</v>
      </c>
      <c r="B8997" s="7" t="str">
        <f>IFERROR(__xludf.DUMMYFUNCTION("SPLIT(A8997,"" "")"),"CN(C)C1CCCC(N(C)c2ccc3nc(CF)ccc3c2)C1")</f>
        <v>CN(C)C1CCCC(N(C)c2ccc3nc(CF)ccc3c2)C1</v>
      </c>
      <c r="C8997" s="7">
        <f>IFERROR(__xludf.DUMMYFUNCTION("""COMPUTED_VALUE"""),7.7713757)</f>
        <v>7.7713757</v>
      </c>
      <c r="D8997" s="7">
        <f>IFERROR(__xludf.DUMMYFUNCTION("""COMPUTED_VALUE"""),0.4)</f>
        <v>0.4</v>
      </c>
    </row>
    <row r="8998">
      <c r="A8998" s="10" t="s">
        <v>10437</v>
      </c>
      <c r="B8998" s="7" t="str">
        <f>IFERROR(__xludf.DUMMYFUNCTION("SPLIT(A8998,"" "")"),"Cc1cccnc1CN(C)Cc1ccccc1CN(C)C")</f>
        <v>Cc1cccnc1CN(C)Cc1ccccc1CN(C)C</v>
      </c>
      <c r="C8998" s="7">
        <f>IFERROR(__xludf.DUMMYFUNCTION("""COMPUTED_VALUE"""),7.7713604)</f>
        <v>7.7713604</v>
      </c>
      <c r="D8998" s="7">
        <f>IFERROR(__xludf.DUMMYFUNCTION("""COMPUTED_VALUE"""),0.41860465116279)</f>
        <v>0.4186046512</v>
      </c>
    </row>
    <row r="8999">
      <c r="A8999" s="10" t="s">
        <v>10438</v>
      </c>
      <c r="B8999" s="7" t="str">
        <f>IFERROR(__xludf.DUMMYFUNCTION("SPLIT(A8999,"" "")"),"CC(N=Cc1ccccn1)C(C)N=Cc1ccccn1")</f>
        <v>CC(N=Cc1ccccn1)C(C)N=Cc1ccccn1</v>
      </c>
      <c r="C8999" s="7">
        <f>IFERROR(__xludf.DUMMYFUNCTION("""COMPUTED_VALUE"""),7.7713604)</f>
        <v>7.7713604</v>
      </c>
      <c r="D8999" s="7">
        <f>IFERROR(__xludf.DUMMYFUNCTION("""COMPUTED_VALUE"""),0.473684210526315)</f>
        <v>0.4736842105</v>
      </c>
    </row>
    <row r="9000">
      <c r="A9000" s="10" t="s">
        <v>10439</v>
      </c>
      <c r="B9000" s="7" t="str">
        <f>IFERROR(__xludf.DUMMYFUNCTION("SPLIT(A9000,"" "")"),"CN(CNCc1cccc(N(C)c2ccc3ncccc3c2)n1)Cc1ccc(-c2ccc3c(c2)OCCOCCOCCOCCOCCO3)cn1")</f>
        <v>CN(CNCc1cccc(N(C)c2ccc3ncccc3c2)n1)Cc1ccc(-c2ccc3c(c2)OCCOCCOCCOCCOCCO3)cn1</v>
      </c>
      <c r="C9000" s="7">
        <f>IFERROR(__xludf.DUMMYFUNCTION("""COMPUTED_VALUE"""),7.77136)</f>
        <v>7.77136</v>
      </c>
      <c r="D9000" s="7">
        <f>IFERROR(__xludf.DUMMYFUNCTION("""COMPUTED_VALUE"""),0.365853658536585)</f>
        <v>0.3658536585</v>
      </c>
    </row>
    <row r="9001">
      <c r="A9001" s="10" t="s">
        <v>10440</v>
      </c>
      <c r="B9001" s="7" t="str">
        <f>IFERROR(__xludf.DUMMYFUNCTION("SPLIT(A9001,"" "")"),"CN1CCN(Cc2cccc(C(C)(c3ccccn3)c3ccccn3)n2)CCN(Cc2ncccc2-c2ncccc2C2CCC2(C)C)CC1")</f>
        <v>CN1CCN(Cc2cccc(C(C)(c3ccccn3)c3ccccn3)n2)CCN(Cc2ncccc2-c2ncccc2C2CCC2(C)C)CC1</v>
      </c>
      <c r="C9001" s="7">
        <f>IFERROR(__xludf.DUMMYFUNCTION("""COMPUTED_VALUE"""),7.7713585)</f>
        <v>7.7713585</v>
      </c>
      <c r="D9001" s="7">
        <f>IFERROR(__xludf.DUMMYFUNCTION("""COMPUTED_VALUE"""),0.393939393939393)</f>
        <v>0.3939393939</v>
      </c>
    </row>
    <row r="9002">
      <c r="A9002" s="10" t="s">
        <v>10441</v>
      </c>
      <c r="B9002" s="7" t="str">
        <f>IFERROR(__xludf.DUMMYFUNCTION("SPLIT(A9002,"" "")"),"FCc1ncccc1NCc1ncccc1-c1ncccc1CN(Cc1ccccn1)Cc1ncccc1-c1cccc2c1OCCOCCOCCOCCOCCO2")</f>
        <v>FCc1ncccc1NCc1ncccc1-c1ncccc1CN(Cc1ccccn1)Cc1ncccc1-c1cccc2c1OCCOCCOCCOCCOCCO2</v>
      </c>
      <c r="C9002" s="7">
        <f>IFERROR(__xludf.DUMMYFUNCTION("""COMPUTED_VALUE"""),7.7713585)</f>
        <v>7.7713585</v>
      </c>
      <c r="D9002" s="7">
        <f>IFERROR(__xludf.DUMMYFUNCTION("""COMPUTED_VALUE"""),0.298507462686567)</f>
        <v>0.2985074627</v>
      </c>
    </row>
    <row r="9003">
      <c r="A9003" s="10" t="s">
        <v>10442</v>
      </c>
      <c r="B9003" s="7" t="str">
        <f>IFERROR(__xludf.DUMMYFUNCTION("SPLIT(A9003,"" "")"),"COC(=O)C(=O)C(=O)C(C)C(C)C(=O)C(C)C(=O)C(=O)C(=O)C(=O)C(C)C(=O)C(=O)C(=O)C(C)C(=O)C(=O)C(C)C(=O)C(=O)C(=O)C(C)C(C)C(C)C(C)C(=O)C(=O)C(=O)C(=O)C(=O)C(=O)C(C)C(C)C(C)C(C)C(C)=O")</f>
        <v>COC(=O)C(=O)C(=O)C(C)C(C)C(=O)C(C)C(=O)C(=O)C(=O)C(=O)C(C)C(=O)C(=O)C(=O)C(C)C(=O)C(=O)C(C)C(=O)C(=O)C(=O)C(C)C(C)C(C)C(C)C(=O)C(=O)C(=O)C(=O)C(=O)C(=O)C(C)C(C)C(C)C(C)C(C)=O</v>
      </c>
      <c r="C9003" s="7">
        <f>IFERROR(__xludf.DUMMYFUNCTION("""COMPUTED_VALUE"""),7.7713513)</f>
        <v>7.7713513</v>
      </c>
      <c r="D9003" s="7">
        <f>IFERROR(__xludf.DUMMYFUNCTION("""COMPUTED_VALUE"""),0.114285714285714)</f>
        <v>0.1142857143</v>
      </c>
    </row>
    <row r="9004">
      <c r="A9004" s="10" t="s">
        <v>10443</v>
      </c>
      <c r="B9004" s="7" t="str">
        <f>IFERROR(__xludf.DUMMYFUNCTION("SPLIT(A9004,"" "")"),"Cc1ccnc(CN(C)C2C=CNC(CN(C)Cc3c(C)cccc3C)=C2)c1")</f>
        <v>Cc1ccnc(CN(C)C2C=CNC(CN(C)Cc3c(C)cccc3C)=C2)c1</v>
      </c>
      <c r="C9004" s="7">
        <f>IFERROR(__xludf.DUMMYFUNCTION("""COMPUTED_VALUE"""),7.7713428)</f>
        <v>7.7713428</v>
      </c>
      <c r="D9004" s="7">
        <f>IFERROR(__xludf.DUMMYFUNCTION("""COMPUTED_VALUE"""),0.301587301587301)</f>
        <v>0.3015873016</v>
      </c>
    </row>
    <row r="9005">
      <c r="A9005" s="10" t="s">
        <v>10444</v>
      </c>
      <c r="B9005" s="7" t="str">
        <f>IFERROR(__xludf.DUMMYFUNCTION("SPLIT(A9005,"" "")"),"CN(c1ccc2nc(CF)ccc2c1)C1CCC(N(Cc2ccccn2)C(C)(C)C)CC1")</f>
        <v>CN(c1ccc2nc(CF)ccc2c1)C1CCC(N(Cc2ccccn2)C(C)(C)C)CC1</v>
      </c>
      <c r="C9005" s="7">
        <f>IFERROR(__xludf.DUMMYFUNCTION("""COMPUTED_VALUE"""),7.7713327)</f>
        <v>7.7713327</v>
      </c>
      <c r="D9005" s="7">
        <f>IFERROR(__xludf.DUMMYFUNCTION("""COMPUTED_VALUE"""),0.389830508474576)</f>
        <v>0.3898305085</v>
      </c>
    </row>
    <row r="9006">
      <c r="A9006" s="10" t="s">
        <v>10445</v>
      </c>
      <c r="B9006" s="7" t="str">
        <f>IFERROR(__xludf.DUMMYFUNCTION("SPLIT(A9006,"" "")"),"CCCN(C)CCN(C)Cc1ccc2ncccc2c1")</f>
        <v>CCCN(C)CCN(C)Cc1ccc2ncccc2c1</v>
      </c>
      <c r="C9006" s="7">
        <f>IFERROR(__xludf.DUMMYFUNCTION("""COMPUTED_VALUE"""),7.771328)</f>
        <v>7.771328</v>
      </c>
      <c r="D9006" s="7">
        <f>IFERROR(__xludf.DUMMYFUNCTION("""COMPUTED_VALUE"""),0.444444444444444)</f>
        <v>0.4444444444</v>
      </c>
    </row>
    <row r="9007">
      <c r="A9007" s="10" t="s">
        <v>10446</v>
      </c>
      <c r="B9007" s="7" t="str">
        <f>IFERROR(__xludf.DUMMYFUNCTION("SPLIT(A9007,"" "")"),"Cc1ccnc(CN(C)C2C=CNC(CN(C)Cc3cccc(C)n3)=C2)c1")</f>
        <v>Cc1ccnc(CN(C)C2C=CNC(CN(C)Cc3cccc(C)n3)=C2)c1</v>
      </c>
      <c r="C9007" s="7">
        <f>IFERROR(__xludf.DUMMYFUNCTION("""COMPUTED_VALUE"""),7.7713265)</f>
        <v>7.7713265</v>
      </c>
      <c r="D9007" s="7">
        <f>IFERROR(__xludf.DUMMYFUNCTION("""COMPUTED_VALUE"""),0.407407407407407)</f>
        <v>0.4074074074</v>
      </c>
    </row>
    <row r="9008">
      <c r="A9008" s="10" t="s">
        <v>10447</v>
      </c>
      <c r="B9008" s="7" t="str">
        <f>IFERROR(__xludf.DUMMYFUNCTION("SPLIT(A9008,"" "")"),"CNC1CCCCC1N(C)c1ccc2nccc(CF)c2c1")</f>
        <v>CNC1CCCCC1N(C)c1ccc2nccc(CF)c2c1</v>
      </c>
      <c r="C9008" s="7">
        <f>IFERROR(__xludf.DUMMYFUNCTION("""COMPUTED_VALUE"""),7.771322)</f>
        <v>7.771322</v>
      </c>
      <c r="D9008" s="7">
        <f>IFERROR(__xludf.DUMMYFUNCTION("""COMPUTED_VALUE"""),0.32258064516129)</f>
        <v>0.3225806452</v>
      </c>
    </row>
    <row r="9009">
      <c r="A9009" s="10" t="s">
        <v>10448</v>
      </c>
      <c r="B9009" s="7" t="str">
        <f>IFERROR(__xludf.DUMMYFUNCTION("SPLIT(A9009,"" "")"),"CN(Cc1cccnn1)C1CCCCC1N(C)c1ccc2cccnc2c1")</f>
        <v>CN(Cc1cccnn1)C1CCCCC1N(C)c1ccc2cccnc2c1</v>
      </c>
      <c r="C9009" s="7">
        <f>IFERROR(__xludf.DUMMYFUNCTION("""COMPUTED_VALUE"""),7.7713156)</f>
        <v>7.7713156</v>
      </c>
      <c r="D9009" s="7">
        <f>IFERROR(__xludf.DUMMYFUNCTION("""COMPUTED_VALUE"""),0.5)</f>
        <v>0.5</v>
      </c>
    </row>
    <row r="9010">
      <c r="A9010" s="10" t="s">
        <v>10449</v>
      </c>
      <c r="B9010" s="7" t="str">
        <f>IFERROR(__xludf.DUMMYFUNCTION("SPLIT(A9010,"" "")"),"CC(C)N(Cc1cccc(CF)n1)C1CCC(N(C)c2ccc3nc(CF)ccc3c2)CC1")</f>
        <v>CC(C)N(Cc1cccc(CF)n1)C1CCC(N(C)c2ccc3nc(CF)ccc3c2)CC1</v>
      </c>
      <c r="C9010" s="7">
        <f>IFERROR(__xludf.DUMMYFUNCTION("""COMPUTED_VALUE"""),7.771315)</f>
        <v>7.771315</v>
      </c>
      <c r="D9010" s="7">
        <f>IFERROR(__xludf.DUMMYFUNCTION("""COMPUTED_VALUE"""),0.377049180327868)</f>
        <v>0.3770491803</v>
      </c>
    </row>
    <row r="9011">
      <c r="A9011" s="10" t="s">
        <v>10450</v>
      </c>
      <c r="B9011" s="7" t="str">
        <f>IFERROR(__xludf.DUMMYFUNCTION("SPLIT(A9011,"" "")"),"Cc1cccnc1CN1CCN(C)CCN(Cc2ccc(-c3cccc(N=Cc4ccccn4)c3)cn2)CC1")</f>
        <v>Cc1cccnc1CN1CCN(C)CCN(Cc2ccc(-c3cccc(N=Cc4ccccn4)c3)cn2)CC1</v>
      </c>
      <c r="C9011" s="7">
        <f>IFERROR(__xludf.DUMMYFUNCTION("""COMPUTED_VALUE"""),7.771314)</f>
        <v>7.771314</v>
      </c>
      <c r="D9011" s="7">
        <f>IFERROR(__xludf.DUMMYFUNCTION("""COMPUTED_VALUE"""),0.419354838709677)</f>
        <v>0.4193548387</v>
      </c>
    </row>
    <row r="9012">
      <c r="A9012" s="10" t="s">
        <v>10451</v>
      </c>
      <c r="B9012" s="7" t="str">
        <f>IFERROR(__xludf.DUMMYFUNCTION("SPLIT(A9012,"" "")"),"CC1=CCC(C)C2(C1C)C(c1cccc(CN(Cc3ncccc3C(C)(C)C)C3CCC(N(C)c4cccc5nccc(CF)c45)CC3)n1)CC=C(C)C2(C)C")</f>
        <v>CC1=CCC(C)C2(C1C)C(c1cccc(CN(Cc3ncccc3C(C)(C)C)C3CCC(N(C)c4cccc5nccc(CF)c45)CC3)n1)CC=C(C)C2(C)C</v>
      </c>
      <c r="C9012" s="7">
        <f>IFERROR(__xludf.DUMMYFUNCTION("""COMPUTED_VALUE"""),7.7713137)</f>
        <v>7.7713137</v>
      </c>
      <c r="D9012" s="7">
        <f>IFERROR(__xludf.DUMMYFUNCTION("""COMPUTED_VALUE"""),0.215686274509803)</f>
        <v>0.2156862745</v>
      </c>
    </row>
    <row r="9013">
      <c r="A9013" s="10" t="s">
        <v>10452</v>
      </c>
      <c r="B9013" s="7" t="str">
        <f>IFERROR(__xludf.DUMMYFUNCTION("SPLIT(A9013,"" "")"),"CN(C)C1=CCC=C(CN(Cc2ccccn2)C(C)(C)C)N1")</f>
        <v>CN(C)C1=CCC=C(CN(Cc2ccccn2)C(C)(C)C)N1</v>
      </c>
      <c r="C9013" s="7">
        <f>IFERROR(__xludf.DUMMYFUNCTION("""COMPUTED_VALUE"""),7.77131)</f>
        <v>7.77131</v>
      </c>
      <c r="D9013" s="7">
        <f>IFERROR(__xludf.DUMMYFUNCTION("""COMPUTED_VALUE"""),0.433962264150943)</f>
        <v>0.4339622642</v>
      </c>
    </row>
    <row r="9014">
      <c r="A9014" s="10" t="s">
        <v>10453</v>
      </c>
      <c r="B9014" s="7" t="str">
        <f>IFERROR(__xludf.DUMMYFUNCTION("SPLIT(A9014,"" "")"),"CCc1cccc(CNCc2cccc(C(C)(C)c3ccccn3)n2)c1")</f>
        <v>CCc1cccc(CNCc2cccc(C(C)(C)c3ccccn3)n2)c1</v>
      </c>
      <c r="C9014" s="7">
        <f>IFERROR(__xludf.DUMMYFUNCTION("""COMPUTED_VALUE"""),7.7713094)</f>
        <v>7.7713094</v>
      </c>
      <c r="D9014" s="7">
        <f>IFERROR(__xludf.DUMMYFUNCTION("""COMPUTED_VALUE"""),0.362068965517241)</f>
        <v>0.3620689655</v>
      </c>
    </row>
    <row r="9015">
      <c r="A9015" s="10" t="s">
        <v>10454</v>
      </c>
      <c r="B9015" s="7" t="str">
        <f>IFERROR(__xludf.DUMMYFUNCTION("SPLIT(A9015,"" "")"),"Cc1nc(CN(Cc2cccc(-c3ccc4c(c3)OCCOCCOCCOCCOCCO4)n2)Cc2ccc3ccccc3n2)n(C)c1C")</f>
        <v>Cc1nc(CN(Cc2cccc(-c3ccc4c(c3)OCCOCCOCCOCCOCCO4)n2)Cc2ccc3ccccc3n2)n(C)c1C</v>
      </c>
      <c r="C9015" s="7">
        <f>IFERROR(__xludf.DUMMYFUNCTION("""COMPUTED_VALUE"""),7.7713065)</f>
        <v>7.7713065</v>
      </c>
      <c r="D9015" s="7">
        <f>IFERROR(__xludf.DUMMYFUNCTION("""COMPUTED_VALUE"""),0.377049180327868)</f>
        <v>0.3770491803</v>
      </c>
    </row>
    <row r="9016">
      <c r="A9016" s="10" t="s">
        <v>10455</v>
      </c>
      <c r="B9016" s="7" t="str">
        <f>IFERROR(__xludf.DUMMYFUNCTION("SPLIT(A9016,"" "")"),"CC(C)NCc1ncccc1NCc1ccccn1")</f>
        <v>CC(C)NCc1ncccc1NCc1ccccn1</v>
      </c>
      <c r="C9016" s="7">
        <f>IFERROR(__xludf.DUMMYFUNCTION("""COMPUTED_VALUE"""),7.7713037)</f>
        <v>7.7713037</v>
      </c>
      <c r="D9016" s="7">
        <f>IFERROR(__xludf.DUMMYFUNCTION("""COMPUTED_VALUE"""),0.425)</f>
        <v>0.425</v>
      </c>
    </row>
    <row r="9017">
      <c r="A9017" s="10" t="s">
        <v>10456</v>
      </c>
      <c r="B9017" s="7" t="str">
        <f>IFERROR(__xludf.DUMMYFUNCTION("SPLIT(A9017,"" "")"),"CC1C=CC(CN(C)Cc2cncc(-c3ccc(N(C)C)cc3)c2)CC1(C)C")</f>
        <v>CC1C=CC(CN(C)Cc2cncc(-c3ccc(N(C)C)cc3)c2)CC1(C)C</v>
      </c>
      <c r="C9017" s="7">
        <f>IFERROR(__xludf.DUMMYFUNCTION("""COMPUTED_VALUE"""),7.7713003)</f>
        <v>7.7713003</v>
      </c>
      <c r="D9017" s="7">
        <f>IFERROR(__xludf.DUMMYFUNCTION("""COMPUTED_VALUE"""),0.2)</f>
        <v>0.2</v>
      </c>
    </row>
    <row r="9018">
      <c r="A9018" s="10" t="s">
        <v>10457</v>
      </c>
      <c r="B9018" s="7" t="str">
        <f>IFERROR(__xludf.DUMMYFUNCTION("SPLIT(A9018,"" "")"),"CNCCN(Cc1nc(C)c(C)c(C)c1C)C(C)C")</f>
        <v>CNCCN(Cc1nc(C)c(C)c(C)c1C)C(C)C</v>
      </c>
      <c r="C9018" s="7">
        <f>IFERROR(__xludf.DUMMYFUNCTION("""COMPUTED_VALUE"""),7.7712903)</f>
        <v>7.7712903</v>
      </c>
      <c r="D9018" s="7">
        <f>IFERROR(__xludf.DUMMYFUNCTION("""COMPUTED_VALUE"""),0.318181818181818)</f>
        <v>0.3181818182</v>
      </c>
    </row>
    <row r="9019">
      <c r="A9019" s="10" t="s">
        <v>10458</v>
      </c>
      <c r="B9019" s="7" t="str">
        <f>IFERROR(__xludf.DUMMYFUNCTION("SPLIT(A9019,"" "")"),"Cc1cncc(CN(C)CC2=CC(N(C)Cc3cccc(C)n3)C=CN2)c1")</f>
        <v>Cc1cncc(CN(C)CC2=CC(N(C)Cc3cccc(C)n3)C=CN2)c1</v>
      </c>
      <c r="C9019" s="7">
        <f>IFERROR(__xludf.DUMMYFUNCTION("""COMPUTED_VALUE"""),7.7712836)</f>
        <v>7.7712836</v>
      </c>
      <c r="D9019" s="7">
        <f>IFERROR(__xludf.DUMMYFUNCTION("""COMPUTED_VALUE"""),0.383333333333333)</f>
        <v>0.3833333333</v>
      </c>
    </row>
    <row r="9020">
      <c r="A9020" s="10" t="s">
        <v>10459</v>
      </c>
      <c r="B9020" s="7" t="str">
        <f>IFERROR(__xludf.DUMMYFUNCTION("SPLIT(A9020,"" "")"),"CNCc1ncc(C)cc1C")</f>
        <v>CNCc1ncc(C)cc1C</v>
      </c>
      <c r="C9020" s="7">
        <f>IFERROR(__xludf.DUMMYFUNCTION("""COMPUTED_VALUE"""),7.771279)</f>
        <v>7.771279</v>
      </c>
      <c r="D9020" s="7">
        <f>IFERROR(__xludf.DUMMYFUNCTION("""COMPUTED_VALUE"""),0.256410256410256)</f>
        <v>0.2564102564</v>
      </c>
    </row>
    <row r="9021">
      <c r="A9021" s="10" t="s">
        <v>10460</v>
      </c>
      <c r="B9021" s="7" t="str">
        <f>IFERROR(__xludf.DUMMYFUNCTION("SPLIT(A9021,"" "")"),"CCN(Cc1ccccn1)C1CCCC(N(C)c2cccc3ncccc23)C1")</f>
        <v>CCN(Cc1ccccn1)C1CCCC(N(C)c2cccc3ncccc23)C1</v>
      </c>
      <c r="C9021" s="7">
        <f>IFERROR(__xludf.DUMMYFUNCTION("""COMPUTED_VALUE"""),7.7712765)</f>
        <v>7.7712765</v>
      </c>
      <c r="D9021" s="7">
        <f>IFERROR(__xludf.DUMMYFUNCTION("""COMPUTED_VALUE"""),0.410714285714285)</f>
        <v>0.4107142857</v>
      </c>
    </row>
    <row r="9022">
      <c r="A9022" s="10" t="s">
        <v>10461</v>
      </c>
      <c r="B9022" s="7" t="str">
        <f>IFERROR(__xludf.DUMMYFUNCTION("SPLIT(A9022,"" "")"),"Cc1cc(CNCc2ccccn2)cc(CN(C)Cc2ccccn2)c1C")</f>
        <v>Cc1cc(CNCc2ccccn2)cc(CN(C)Cc2ccccn2)c1C</v>
      </c>
      <c r="C9022" s="7">
        <f>IFERROR(__xludf.DUMMYFUNCTION("""COMPUTED_VALUE"""),7.7712708)</f>
        <v>7.7712708</v>
      </c>
      <c r="D9022" s="7">
        <f>IFERROR(__xludf.DUMMYFUNCTION("""COMPUTED_VALUE"""),0.431372549019607)</f>
        <v>0.431372549</v>
      </c>
    </row>
    <row r="9023">
      <c r="A9023" s="10" t="s">
        <v>10462</v>
      </c>
      <c r="B9023" s="7" t="str">
        <f>IFERROR(__xludf.DUMMYFUNCTION("SPLIT(A9023,"" "")"),"Cc1cnc(CN(C)C2=C(CN(C)C(C)C)NC=CC2)cc1C")</f>
        <v>Cc1cnc(CN(C)C2=C(CN(C)C(C)C)NC=CC2)cc1C</v>
      </c>
      <c r="C9023" s="7">
        <f>IFERROR(__xludf.DUMMYFUNCTION("""COMPUTED_VALUE"""),7.7712684)</f>
        <v>7.7712684</v>
      </c>
      <c r="D9023" s="7">
        <f>IFERROR(__xludf.DUMMYFUNCTION("""COMPUTED_VALUE"""),0.259259259259259)</f>
        <v>0.2592592593</v>
      </c>
    </row>
    <row r="9024">
      <c r="A9024" s="10" t="s">
        <v>10463</v>
      </c>
      <c r="B9024" s="7" t="str">
        <f>IFERROR(__xludf.DUMMYFUNCTION("SPLIT(A9024,"" "")"),"CC(c1ccccn1)(c1ccccn1)c1cccc(CNCNCF)n1")</f>
        <v>CC(c1ccccn1)(c1ccccn1)c1cccc(CNCNCF)n1</v>
      </c>
      <c r="C9024" s="7">
        <f>IFERROR(__xludf.DUMMYFUNCTION("""COMPUTED_VALUE"""),7.7712626)</f>
        <v>7.7712626</v>
      </c>
      <c r="D9024" s="7">
        <f>IFERROR(__xludf.DUMMYFUNCTION("""COMPUTED_VALUE"""),0.470588235294117)</f>
        <v>0.4705882353</v>
      </c>
    </row>
    <row r="9025">
      <c r="A9025" s="10" t="s">
        <v>10464</v>
      </c>
      <c r="B9025" s="7" t="str">
        <f>IFERROR(__xludf.DUMMYFUNCTION("SPLIT(A9025,"" "")"),"CC1CC(N)C1c1cccc(CN(Cc2ccccn2)Cc2cc(N)ccn2)n1")</f>
        <v>CC1CC(N)C1c1cccc(CN(Cc2ccccn2)Cc2cc(N)ccn2)n1</v>
      </c>
      <c r="C9025" s="7">
        <f>IFERROR(__xludf.DUMMYFUNCTION("""COMPUTED_VALUE"""),7.771262)</f>
        <v>7.771262</v>
      </c>
      <c r="D9025" s="7">
        <f>IFERROR(__xludf.DUMMYFUNCTION("""COMPUTED_VALUE"""),0.419354838709677)</f>
        <v>0.4193548387</v>
      </c>
    </row>
    <row r="9026">
      <c r="A9026" s="10" t="s">
        <v>10465</v>
      </c>
      <c r="B9026" s="7" t="str">
        <f>IFERROR(__xludf.DUMMYFUNCTION("SPLIT(A9026,"" "")"),"Cc1cnc(C2CCC2(C)C)c(CN(Cc2ncccc2C(C)(C)C)Cc2ncccc2C(C)(C)C)c1C")</f>
        <v>Cc1cnc(C2CCC2(C)C)c(CN(Cc2ncccc2C(C)(C)C)Cc2ncccc2C(C)(C)C)c1C</v>
      </c>
      <c r="C9026" s="7">
        <f>IFERROR(__xludf.DUMMYFUNCTION("""COMPUTED_VALUE"""),7.771261)</f>
        <v>7.771261</v>
      </c>
      <c r="D9026" s="7">
        <f>IFERROR(__xludf.DUMMYFUNCTION("""COMPUTED_VALUE"""),0.269841269841269)</f>
        <v>0.2698412698</v>
      </c>
    </row>
    <row r="9027">
      <c r="A9027" s="10" t="s">
        <v>10466</v>
      </c>
      <c r="B9027" s="7" t="str">
        <f>IFERROR(__xludf.DUMMYFUNCTION("SPLIT(A9027,"" "")"),"CC1C=CCC(C)(c2cc(CN(Cc3ccccn3)C3CCCC(N(C)c4ccc5nccc(CN(C)C)c5c4)C3)ccn2)C1(C)C")</f>
        <v>CC1C=CCC(C)(c2cc(CN(Cc3ccccn3)C3CCCC(N(C)c4ccc5nccc(CN(C)C)c5c4)C3)ccn2)C1(C)C</v>
      </c>
      <c r="C9027" s="7">
        <f>IFERROR(__xludf.DUMMYFUNCTION("""COMPUTED_VALUE"""),7.771252)</f>
        <v>7.771252</v>
      </c>
      <c r="D9027" s="7">
        <f>IFERROR(__xludf.DUMMYFUNCTION("""COMPUTED_VALUE"""),0.280487804878048)</f>
        <v>0.2804878049</v>
      </c>
    </row>
    <row r="9028">
      <c r="A9028" s="10" t="s">
        <v>10467</v>
      </c>
      <c r="B9028" s="7" t="str">
        <f>IFERROR(__xludf.DUMMYFUNCTION("SPLIT(A9028,"" "")"),"Cc1cccnc1CN(Cc1ncccc1C)C1CCC(N(C)Cc2ncccc2-c2ccccn2)CC1")</f>
        <v>Cc1cccnc1CN(Cc1ncccc1C)C1CCC(N(C)Cc2ncccc2-c2ccccn2)CC1</v>
      </c>
      <c r="C9028" s="7">
        <f>IFERROR(__xludf.DUMMYFUNCTION("""COMPUTED_VALUE"""),7.771247)</f>
        <v>7.771247</v>
      </c>
      <c r="D9028" s="7">
        <f>IFERROR(__xludf.DUMMYFUNCTION("""COMPUTED_VALUE"""),0.345454545454545)</f>
        <v>0.3454545455</v>
      </c>
    </row>
    <row r="9029">
      <c r="A9029" s="10" t="s">
        <v>10468</v>
      </c>
      <c r="B9029" s="7" t="str">
        <f>IFERROR(__xludf.DUMMYFUNCTION("SPLIT(A9029,"" "")"),"CN(CCN(c1cccc2cccnc12)C1CCCCC1N(Cc1ccc2c(c1)OCCOCCOCCOCCOCCO2)Cc1cccc2cccnc12)c1cccc2cccnc12")</f>
        <v>CN(CCN(c1cccc2cccnc12)C1CCCCC1N(Cc1ccc2c(c1)OCCOCCOCCOCCOCCO2)Cc1cccc2cccnc12)c1cccc2cccnc12</v>
      </c>
      <c r="C9029" s="7">
        <f>IFERROR(__xludf.DUMMYFUNCTION("""COMPUTED_VALUE"""),7.7712436)</f>
        <v>7.7712436</v>
      </c>
      <c r="D9029" s="7">
        <f>IFERROR(__xludf.DUMMYFUNCTION("""COMPUTED_VALUE"""),0.409090909090909)</f>
        <v>0.4090909091</v>
      </c>
    </row>
    <row r="9030">
      <c r="A9030" s="10" t="s">
        <v>10469</v>
      </c>
      <c r="B9030" s="7" t="str">
        <f>IFERROR(__xludf.DUMMYFUNCTION("SPLIT(A9030,"" "")"),"Cc1cnc(CN(Cc2ccccn2)CC2C=CNC=C2)c(C)c1C")</f>
        <v>Cc1cnc(CN(Cc2ccccn2)CC2C=CNC=C2)c(C)c1C</v>
      </c>
      <c r="C9030" s="7">
        <f>IFERROR(__xludf.DUMMYFUNCTION("""COMPUTED_VALUE"""),7.7712398)</f>
        <v>7.7712398</v>
      </c>
      <c r="D9030" s="7">
        <f>IFERROR(__xludf.DUMMYFUNCTION("""COMPUTED_VALUE"""),0.436363636363636)</f>
        <v>0.4363636364</v>
      </c>
    </row>
    <row r="9031">
      <c r="A9031" s="10" t="s">
        <v>10470</v>
      </c>
      <c r="B9031" s="7" t="str">
        <f>IFERROR(__xludf.DUMMYFUNCTION("SPLIT(A9031,"" "")"),"CC1=CC(N(C)Cc2ccccn2)=CC(C)C1C(C)(C)C")</f>
        <v>CC1=CC(N(C)Cc2ccccn2)=CC(C)C1C(C)(C)C</v>
      </c>
      <c r="C9031" s="7">
        <f>IFERROR(__xludf.DUMMYFUNCTION("""COMPUTED_VALUE"""),7.7712364)</f>
        <v>7.7712364</v>
      </c>
      <c r="D9031" s="7">
        <f>IFERROR(__xludf.DUMMYFUNCTION("""COMPUTED_VALUE"""),0.4375)</f>
        <v>0.4375</v>
      </c>
    </row>
    <row r="9032">
      <c r="A9032" s="10" t="s">
        <v>10471</v>
      </c>
      <c r="B9032" s="7" t="str">
        <f>IFERROR(__xludf.DUMMYFUNCTION("SPLIT(A9032,"" "")"),"Cc1ccc(CN(C)C2CCCC(N(C)Cc3cccc(-c4ccc(N)cc4Cl)n3)C2)nc1")</f>
        <v>Cc1ccc(CN(C)C2CCCC(N(C)Cc3cccc(-c4ccc(N)cc4Cl)n3)C2)nc1</v>
      </c>
      <c r="C9032" s="7">
        <f>IFERROR(__xludf.DUMMYFUNCTION("""COMPUTED_VALUE"""),7.771236)</f>
        <v>7.771236</v>
      </c>
      <c r="D9032" s="7">
        <f>IFERROR(__xludf.DUMMYFUNCTION("""COMPUTED_VALUE"""),0.433333333333333)</f>
        <v>0.4333333333</v>
      </c>
    </row>
    <row r="9033">
      <c r="A9033" s="10" t="s">
        <v>10472</v>
      </c>
      <c r="B9033" s="7" t="str">
        <f>IFERROR(__xludf.DUMMYFUNCTION("SPLIT(A9033,"" "")"),"Cc1ccc(CN(C)C)cn1")</f>
        <v>Cc1ccc(CN(C)C)cn1</v>
      </c>
      <c r="C9033" s="7">
        <f>IFERROR(__xludf.DUMMYFUNCTION("""COMPUTED_VALUE"""),7.77123)</f>
        <v>7.77123</v>
      </c>
      <c r="D9033" s="7">
        <f>IFERROR(__xludf.DUMMYFUNCTION("""COMPUTED_VALUE"""),0.333333333333333)</f>
        <v>0.3333333333</v>
      </c>
    </row>
    <row r="9034">
      <c r="A9034" s="10" t="s">
        <v>10473</v>
      </c>
      <c r="B9034" s="7" t="str">
        <f>IFERROR(__xludf.DUMMYFUNCTION("SPLIT(A9034,"" "")"),"CNCN(Cc1ccccn1)C1=CNC=C(CN(C)Cc2ccccn2)C1")</f>
        <v>CNCN(Cc1ccccn1)C1=CNC=C(CN(C)Cc2ccccn2)C1</v>
      </c>
      <c r="C9034" s="7">
        <f>IFERROR(__xludf.DUMMYFUNCTION("""COMPUTED_VALUE"""),7.771229)</f>
        <v>7.771229</v>
      </c>
      <c r="D9034" s="7">
        <f>IFERROR(__xludf.DUMMYFUNCTION("""COMPUTED_VALUE"""),0.407407407407407)</f>
        <v>0.4074074074</v>
      </c>
    </row>
    <row r="9035">
      <c r="A9035" s="10" t="s">
        <v>10474</v>
      </c>
      <c r="B9035" s="7" t="str">
        <f>IFERROR(__xludf.DUMMYFUNCTION("SPLIT(A9035,"" "")"),"CCN(Cc1ccccn1)c1cccc2ccc(CN(Cc3ccccn3)Cc3ncccc3-c3ccc4c(c3)OCCOCCOCCOCCOCCO4)nc12")</f>
        <v>CCN(Cc1ccccn1)c1cccc2ccc(CN(Cc3ccccn3)Cc3ncccc3-c3ccc4c(c3)OCCOCCOCCOCCOCCO4)nc12</v>
      </c>
      <c r="C9035" s="7">
        <f>IFERROR(__xludf.DUMMYFUNCTION("""COMPUTED_VALUE"""),7.771229)</f>
        <v>7.771229</v>
      </c>
      <c r="D9035" s="7">
        <f>IFERROR(__xludf.DUMMYFUNCTION("""COMPUTED_VALUE"""),0.352112676056338)</f>
        <v>0.3521126761</v>
      </c>
    </row>
    <row r="9036">
      <c r="A9036" s="10" t="s">
        <v>10475</v>
      </c>
      <c r="B9036" s="7" t="str">
        <f>IFERROR(__xludf.DUMMYFUNCTION("SPLIT(A9036,"" "")"),"CCN(Cc1ccccn1)c1cc2ncccc2cc1CN(C)Cc1cccc(-c2ccc3c(c2)OCCOCCOCCOCCOCCO3)n1")</f>
        <v>CCN(Cc1ccccn1)c1cc2ncccc2cc1CN(C)Cc1cccc(-c2ccc3c(c2)OCCOCCOCCOCCOCCO3)n1</v>
      </c>
      <c r="C9036" s="7">
        <f>IFERROR(__xludf.DUMMYFUNCTION("""COMPUTED_VALUE"""),7.7712274)</f>
        <v>7.7712274</v>
      </c>
      <c r="D9036" s="7">
        <f>IFERROR(__xludf.DUMMYFUNCTION("""COMPUTED_VALUE"""),0.411764705882352)</f>
        <v>0.4117647059</v>
      </c>
    </row>
    <row r="9037">
      <c r="A9037" s="10" t="s">
        <v>10476</v>
      </c>
      <c r="B9037" s="7" t="str">
        <f>IFERROR(__xludf.DUMMYFUNCTION("SPLIT(A9037,"" "")"),"CC(C)C(C)c1cc(CN(Cc2cc(C(C)(C)C)ccn2)Cc2ncccc2C(C)(C)C)ccn1")</f>
        <v>CC(C)C(C)c1cc(CN(Cc2cc(C(C)(C)C)ccn2)Cc2ncccc2C(C)(C)C)ccn1</v>
      </c>
      <c r="C9037" s="7">
        <f>IFERROR(__xludf.DUMMYFUNCTION("""COMPUTED_VALUE"""),7.7712245)</f>
        <v>7.7712245</v>
      </c>
      <c r="D9037" s="7">
        <f>IFERROR(__xludf.DUMMYFUNCTION("""COMPUTED_VALUE"""),0.314814814814814)</f>
        <v>0.3148148148</v>
      </c>
    </row>
    <row r="9038">
      <c r="A9038" s="10" t="s">
        <v>10477</v>
      </c>
      <c r="B9038" s="7" t="str">
        <f>IFERROR(__xludf.DUMMYFUNCTION("SPLIT(A9038,"" "")"),"Cc1ccc(C)c(CN(C)C2=C(CN(C)C(C)(C)C)NC=CC2)n1")</f>
        <v>Cc1ccc(C)c(CN(C)C2=C(CN(C)C(C)(C)C)NC=CC2)n1</v>
      </c>
      <c r="C9038" s="7">
        <f>IFERROR(__xludf.DUMMYFUNCTION("""COMPUTED_VALUE"""),7.7712245)</f>
        <v>7.7712245</v>
      </c>
      <c r="D9038" s="7">
        <f>IFERROR(__xludf.DUMMYFUNCTION("""COMPUTED_VALUE"""),0.254545454545454)</f>
        <v>0.2545454545</v>
      </c>
    </row>
    <row r="9039">
      <c r="A9039" s="10" t="s">
        <v>10478</v>
      </c>
      <c r="B9039" s="7" t="str">
        <f>IFERROR(__xludf.DUMMYFUNCTION("SPLIT(A9039,"" "")"),"Cc1ccc(NCc2ccccn2)cc1-c1ncccc1CN(C)C1CCC(N(C)Cc2ccccn2)CC1")</f>
        <v>Cc1ccc(NCc2ccccn2)cc1-c1ncccc1CN(C)C1CCC(N(C)Cc2ccccn2)CC1</v>
      </c>
      <c r="C9039" s="7">
        <f>IFERROR(__xludf.DUMMYFUNCTION("""COMPUTED_VALUE"""),7.771219)</f>
        <v>7.771219</v>
      </c>
      <c r="D9039" s="7">
        <f>IFERROR(__xludf.DUMMYFUNCTION("""COMPUTED_VALUE"""),0.406779661016949)</f>
        <v>0.406779661</v>
      </c>
    </row>
    <row r="9040">
      <c r="A9040" s="10" t="s">
        <v>10479</v>
      </c>
      <c r="B9040" s="7" t="str">
        <f>IFERROR(__xludf.DUMMYFUNCTION("SPLIT(A9040,"" "")"),"CCNCc1ncccc1CN(Cc1ccccn1)C1CCCC(N(C)c2cccc3ncccc23)C1")</f>
        <v>CCNCc1ncccc1CN(Cc1ccccn1)C1CCCC(N(C)c2cccc3ncccc23)C1</v>
      </c>
      <c r="C9040" s="7">
        <f>IFERROR(__xludf.DUMMYFUNCTION("""COMPUTED_VALUE"""),7.7712154)</f>
        <v>7.7712154</v>
      </c>
      <c r="D9040" s="7">
        <f>IFERROR(__xludf.DUMMYFUNCTION("""COMPUTED_VALUE"""),0.338235294117647)</f>
        <v>0.3382352941</v>
      </c>
    </row>
    <row r="9041">
      <c r="A9041" s="10" t="s">
        <v>10480</v>
      </c>
      <c r="B9041" s="7" t="str">
        <f>IFERROR(__xludf.DUMMYFUNCTION("SPLIT(A9041,"" "")"),"CC1=CC(C)C2(C(C)C1)C(c1ccc(CN(Cc3ccccn3)Cc3ccccn3)cn1)C(c1cccc(CN(Cc3ccccn3)Cc3ccccn3)n1)C=CC21CC(C)C(C)C=C1C")</f>
        <v>CC1=CC(C)C2(C(C)C1)C(c1ccc(CN(Cc3ccccn3)Cc3ccccn3)cn1)C(c1cccc(CN(Cc3ccccn3)Cc3ccccn3)n1)C=CC21CC(C)C(C)C=C1C</v>
      </c>
      <c r="C9041" s="7">
        <f>IFERROR(__xludf.DUMMYFUNCTION("""COMPUTED_VALUE"""),7.7712126)</f>
        <v>7.7712126</v>
      </c>
      <c r="D9041" s="7">
        <f>IFERROR(__xludf.DUMMYFUNCTION("""COMPUTED_VALUE"""),0.2875)</f>
        <v>0.2875</v>
      </c>
    </row>
    <row r="9042">
      <c r="A9042" s="10" t="s">
        <v>10481</v>
      </c>
      <c r="B9042" s="7" t="str">
        <f>IFERROR(__xludf.DUMMYFUNCTION("SPLIT(A9042,"" "")"),"Cc1cnc(C2CC(C)(C)C2)c(C(C)(C)C(C)N=Cc2ccccn2)c1")</f>
        <v>Cc1cnc(C2CC(C)(C)C2)c(C(C)(C)C(C)N=Cc2ccccn2)c1</v>
      </c>
      <c r="C9042" s="7">
        <f>IFERROR(__xludf.DUMMYFUNCTION("""COMPUTED_VALUE"""),7.771211)</f>
        <v>7.771211</v>
      </c>
      <c r="D9042" s="7">
        <f>IFERROR(__xludf.DUMMYFUNCTION("""COMPUTED_VALUE"""),0.301587301587301)</f>
        <v>0.3015873016</v>
      </c>
    </row>
    <row r="9043">
      <c r="A9043" s="10" t="s">
        <v>10482</v>
      </c>
      <c r="B9043" s="7" t="str">
        <f>IFERROR(__xludf.DUMMYFUNCTION("SPLIT(A9043,"" "")"),"CN(Cc1ncccc1CF)C1CCC(N(C)c2ccc3nc(CF)ccc3c2)CC1")</f>
        <v>CN(Cc1ncccc1CF)C1CCC(N(C)c2ccc3nc(CF)ccc3c2)CC1</v>
      </c>
      <c r="C9043" s="7">
        <f>IFERROR(__xludf.DUMMYFUNCTION("""COMPUTED_VALUE"""),7.7711997)</f>
        <v>7.7711997</v>
      </c>
      <c r="D9043" s="7">
        <f>IFERROR(__xludf.DUMMYFUNCTION("""COMPUTED_VALUE"""),0.333333333333333)</f>
        <v>0.3333333333</v>
      </c>
    </row>
    <row r="9044">
      <c r="A9044" s="10" t="s">
        <v>10483</v>
      </c>
      <c r="B9044" s="7" t="str">
        <f>IFERROR(__xludf.DUMMYFUNCTION("SPLIT(A9044,"" "")"),"COC(=O)C1CN(C)C2C=CC=CC2(C(=O)NCc2ccccn2)C1c1ccccn1")</f>
        <v>COC(=O)C1CN(C)C2C=CC=CC2(C(=O)NCc2ccccn2)C1c1ccccn1</v>
      </c>
      <c r="C9044" s="7">
        <f>IFERROR(__xludf.DUMMYFUNCTION("""COMPUTED_VALUE"""),7.7711983)</f>
        <v>7.7711983</v>
      </c>
      <c r="D9044" s="7">
        <f>IFERROR(__xludf.DUMMYFUNCTION("""COMPUTED_VALUE"""),0.346666666666666)</f>
        <v>0.3466666667</v>
      </c>
    </row>
    <row r="9045">
      <c r="A9045" s="10" t="s">
        <v>10484</v>
      </c>
      <c r="B9045" s="7" t="str">
        <f>IFERROR(__xludf.DUMMYFUNCTION("SPLIT(A9045,"" "")"),"Cc1cnccc1CN(C)Cc1cnccc1C")</f>
        <v>Cc1cnccc1CN(C)Cc1cnccc1C</v>
      </c>
      <c r="C9045" s="7">
        <f>IFERROR(__xludf.DUMMYFUNCTION("""COMPUTED_VALUE"""),7.771198)</f>
        <v>7.771198</v>
      </c>
      <c r="D9045" s="7">
        <f>IFERROR(__xludf.DUMMYFUNCTION("""COMPUTED_VALUE"""),0.295454545454545)</f>
        <v>0.2954545455</v>
      </c>
    </row>
    <row r="9046">
      <c r="A9046" s="10" t="s">
        <v>10485</v>
      </c>
      <c r="B9046" s="7" t="str">
        <f>IFERROR(__xludf.DUMMYFUNCTION("SPLIT(A9046,"" "")"),"CN(Cc1ncccc1N)Cc1ncccc1CF")</f>
        <v>CN(Cc1ncccc1N)Cc1ncccc1CF</v>
      </c>
      <c r="C9046" s="7">
        <f>IFERROR(__xludf.DUMMYFUNCTION("""COMPUTED_VALUE"""),7.7711945)</f>
        <v>7.7711945</v>
      </c>
      <c r="D9046" s="7">
        <f>IFERROR(__xludf.DUMMYFUNCTION("""COMPUTED_VALUE"""),0.377777777777777)</f>
        <v>0.3777777778</v>
      </c>
    </row>
    <row r="9047">
      <c r="A9047" s="10" t="s">
        <v>10486</v>
      </c>
      <c r="B9047" s="7" t="str">
        <f>IFERROR(__xludf.DUMMYFUNCTION("SPLIT(A9047,"" "")"),"CN(C)Cc1cnc2ccc(N(C)C3CCCCC3N(Cc3ccc4ncccc4c3)Cc3cccc(-c4ccc5c(c4)OCCOCCOCCOCCOCCO5)n3)cc2c1")</f>
        <v>CN(C)Cc1cnc2ccc(N(C)C3CCCCC3N(Cc3ccc4ncccc4c3)Cc3cccc(-c4ccc5c(c4)OCCOCCOCCOCCOCCO5)n3)cc2c1</v>
      </c>
      <c r="C9047" s="7">
        <f>IFERROR(__xludf.DUMMYFUNCTION("""COMPUTED_VALUE"""),7.771187)</f>
        <v>7.771187</v>
      </c>
      <c r="D9047" s="7">
        <f>IFERROR(__xludf.DUMMYFUNCTION("""COMPUTED_VALUE"""),0.304347826086956)</f>
        <v>0.3043478261</v>
      </c>
    </row>
    <row r="9048">
      <c r="A9048" s="10" t="s">
        <v>10487</v>
      </c>
      <c r="B9048" s="7" t="str">
        <f>IFERROR(__xludf.DUMMYFUNCTION("SPLIT(A9048,"" "")"),"CCCN(C)C1=CC(CN(C)Cc2nc(C)c(C)c(C)c2C)C=CN1")</f>
        <v>CCCN(C)C1=CC(CN(C)Cc2nc(C)c(C)c(C)c2C)C=CN1</v>
      </c>
      <c r="C9048" s="7">
        <f>IFERROR(__xludf.DUMMYFUNCTION("""COMPUTED_VALUE"""),7.771185)</f>
        <v>7.771185</v>
      </c>
      <c r="D9048" s="7">
        <f>IFERROR(__xludf.DUMMYFUNCTION("""COMPUTED_VALUE"""),0.215384615384615)</f>
        <v>0.2153846154</v>
      </c>
    </row>
    <row r="9049">
      <c r="A9049" s="10" t="s">
        <v>10488</v>
      </c>
      <c r="B9049" s="7" t="str">
        <f>IFERROR(__xludf.DUMMYFUNCTION("SPLIT(A9049,"" "")"),"CC(C)N(Cc1ccccn1)C1CCCCC1N(C)c1ccc2c(CF)ccnc2c1")</f>
        <v>CC(C)N(Cc1ccccn1)C1CCCCC1N(C)c1ccc2c(CF)ccnc2c1</v>
      </c>
      <c r="C9049" s="7">
        <f>IFERROR(__xludf.DUMMYFUNCTION("""COMPUTED_VALUE"""),7.7711782)</f>
        <v>7.7711782</v>
      </c>
      <c r="D9049" s="7">
        <f>IFERROR(__xludf.DUMMYFUNCTION("""COMPUTED_VALUE"""),0.440677966101694)</f>
        <v>0.4406779661</v>
      </c>
    </row>
    <row r="9050">
      <c r="A9050" s="10" t="s">
        <v>10489</v>
      </c>
      <c r="B9050" s="7" t="str">
        <f>IFERROR(__xludf.DUMMYFUNCTION("SPLIT(A9050,"" "")"),"COC(=O)C1CN(C)C(CN(C)C2CCC(N(C)c3ccc4c(CF)ccnc4c3)CC2)C(c2ccccn2)C1c1ccccn1")</f>
        <v>COC(=O)C1CN(C)C(CN(C)C2CCC(N(C)c3ccc4c(CF)ccnc4c3)CC2)C(c2ccccn2)C1c1ccccn1</v>
      </c>
      <c r="C9050" s="7">
        <f>IFERROR(__xludf.DUMMYFUNCTION("""COMPUTED_VALUE"""),7.7711773)</f>
        <v>7.7711773</v>
      </c>
      <c r="D9050" s="7">
        <f>IFERROR(__xludf.DUMMYFUNCTION("""COMPUTED_VALUE"""),0.272727272727272)</f>
        <v>0.2727272727</v>
      </c>
    </row>
    <row r="9051">
      <c r="A9051" s="10" t="s">
        <v>10490</v>
      </c>
      <c r="B9051" s="7" t="str">
        <f>IFERROR(__xludf.DUMMYFUNCTION("SPLIT(A9051,"" "")"),"Cc1ccc(CN(C)Cc2cnccc2C)cn1")</f>
        <v>Cc1ccc(CN(C)Cc2cnccc2C)cn1</v>
      </c>
      <c r="C9051" s="7">
        <f>IFERROR(__xludf.DUMMYFUNCTION("""COMPUTED_VALUE"""),7.7711754)</f>
        <v>7.7711754</v>
      </c>
      <c r="D9051" s="7">
        <f>IFERROR(__xludf.DUMMYFUNCTION("""COMPUTED_VALUE"""),0.3125)</f>
        <v>0.3125</v>
      </c>
    </row>
    <row r="9052">
      <c r="A9052" s="10" t="s">
        <v>10491</v>
      </c>
      <c r="B9052" s="7" t="str">
        <f>IFERROR(__xludf.DUMMYFUNCTION("SPLIT(A9052,"" "")"),"CNCc1cccc(CN(Cc2ccccn2)C2CCCCC2N(C)c2ccc3cccnc3c2)n1")</f>
        <v>CNCc1cccc(CN(Cc2ccccn2)C2CCCCC2N(C)c2ccc3cccnc3c2)n1</v>
      </c>
      <c r="C9052" s="7">
        <f>IFERROR(__xludf.DUMMYFUNCTION("""COMPUTED_VALUE"""),7.7711725)</f>
        <v>7.7711725</v>
      </c>
      <c r="D9052" s="7">
        <f>IFERROR(__xludf.DUMMYFUNCTION("""COMPUTED_VALUE"""),0.433333333333333)</f>
        <v>0.4333333333</v>
      </c>
    </row>
    <row r="9053">
      <c r="A9053" s="10" t="s">
        <v>10492</v>
      </c>
      <c r="B9053" s="7" t="str">
        <f>IFERROR(__xludf.DUMMYFUNCTION("SPLIT(A9053,"" "")"),"Cc1ccnc(CN(C)C2C=CNC(CN(C)Cc3ncccc3C)=C2)c1")</f>
        <v>Cc1ccnc(CN(C)C2C=CNC(CN(C)Cc3ncccc3C)=C2)c1</v>
      </c>
      <c r="C9053" s="7">
        <f>IFERROR(__xludf.DUMMYFUNCTION("""COMPUTED_VALUE"""),7.7711716)</f>
        <v>7.7711716</v>
      </c>
      <c r="D9053" s="7">
        <f>IFERROR(__xludf.DUMMYFUNCTION("""COMPUTED_VALUE"""),0.287878787878787)</f>
        <v>0.2878787879</v>
      </c>
    </row>
    <row r="9054">
      <c r="A9054" s="10" t="s">
        <v>10493</v>
      </c>
      <c r="B9054" s="7" t="str">
        <f>IFERROR(__xludf.DUMMYFUNCTION("SPLIT(A9054,"" "")"),"CC1=C(C)CC(C)(c2ncccc2CN(Cc2ccccn2)Cc2ccccn2)CC1")</f>
        <v>CC1=C(C)CC(C)(c2ncccc2CN(Cc2ccccn2)Cc2ccccn2)CC1</v>
      </c>
      <c r="C9054" s="7">
        <f>IFERROR(__xludf.DUMMYFUNCTION("""COMPUTED_VALUE"""),7.771167)</f>
        <v>7.771167</v>
      </c>
      <c r="D9054" s="7">
        <f>IFERROR(__xludf.DUMMYFUNCTION("""COMPUTED_VALUE"""),0.465116279069767)</f>
        <v>0.4651162791</v>
      </c>
    </row>
    <row r="9055">
      <c r="A9055" s="10" t="s">
        <v>10494</v>
      </c>
      <c r="B9055" s="7" t="str">
        <f>IFERROR(__xludf.DUMMYFUNCTION("SPLIT(A9055,"" "")"),"CCNCc1ccc(C(C)(C)c2ccccn2)cn1")</f>
        <v>CCNCc1ccc(C(C)(C)c2ccccn2)cn1</v>
      </c>
      <c r="C9055" s="7">
        <f>IFERROR(__xludf.DUMMYFUNCTION("""COMPUTED_VALUE"""),7.771165)</f>
        <v>7.771165</v>
      </c>
      <c r="D9055" s="7">
        <f>IFERROR(__xludf.DUMMYFUNCTION("""COMPUTED_VALUE"""),0.404761904761904)</f>
        <v>0.4047619048</v>
      </c>
    </row>
    <row r="9056">
      <c r="A9056" s="10" t="s">
        <v>10495</v>
      </c>
      <c r="B9056" s="7" t="str">
        <f>IFERROR(__xludf.DUMMYFUNCTION("SPLIT(A9056,"" "")"),"CC(C)N(Cc1ccccn1)c1ccc2c(CN3CCN(C)CCN(C)CC3)ccnc2c1")</f>
        <v>CC(C)N(Cc1ccccn1)c1ccc2c(CN3CCN(C)CCN(C)CC3)ccnc2c1</v>
      </c>
      <c r="C9056" s="7">
        <f>IFERROR(__xludf.DUMMYFUNCTION("""COMPUTED_VALUE"""),7.7711577)</f>
        <v>7.7711577</v>
      </c>
      <c r="D9056" s="7">
        <f>IFERROR(__xludf.DUMMYFUNCTION("""COMPUTED_VALUE"""),0.490566037735849)</f>
        <v>0.4905660377</v>
      </c>
    </row>
    <row r="9057">
      <c r="A9057" s="10" t="s">
        <v>10496</v>
      </c>
      <c r="B9057" s="7" t="str">
        <f>IFERROR(__xludf.DUMMYFUNCTION("SPLIT(A9057,"" "")"),"CC(C)N(C)Cc1ccc2cc(N(C)C3CCC(N(Cc4ccccn4)Cc4cccc(F)n4)CC3)ccc2n1")</f>
        <v>CC(C)N(C)Cc1ccc2cc(N(C)C3CCC(N(Cc4ccccn4)Cc4cccc(F)n4)CC3)ccc2n1</v>
      </c>
      <c r="C9057" s="7">
        <f>IFERROR(__xludf.DUMMYFUNCTION("""COMPUTED_VALUE"""),7.771152)</f>
        <v>7.771152</v>
      </c>
      <c r="D9057" s="7">
        <f>IFERROR(__xludf.DUMMYFUNCTION("""COMPUTED_VALUE"""),0.375)</f>
        <v>0.375</v>
      </c>
    </row>
    <row r="9058">
      <c r="A9058" s="10" t="s">
        <v>10497</v>
      </c>
      <c r="B9058" s="7" t="str">
        <f>IFERROR(__xludf.DUMMYFUNCTION("SPLIT(A9058,"" "")"),"CC(C)N(Cc1ccccn1)C1CCC(N(C)c2ccc3nc(CF)ccc3c2)CC1")</f>
        <v>CC(C)N(Cc1ccccn1)C1CCC(N(C)c2ccc3nc(CF)ccc3c2)CC1</v>
      </c>
      <c r="C9058" s="7">
        <f>IFERROR(__xludf.DUMMYFUNCTION("""COMPUTED_VALUE"""),7.7711487)</f>
        <v>7.7711487</v>
      </c>
      <c r="D9058" s="7">
        <f>IFERROR(__xludf.DUMMYFUNCTION("""COMPUTED_VALUE"""),0.396551724137931)</f>
        <v>0.3965517241</v>
      </c>
    </row>
    <row r="9059">
      <c r="A9059" s="10" t="s">
        <v>10498</v>
      </c>
      <c r="B9059" s="7" t="str">
        <f>IFERROR(__xludf.DUMMYFUNCTION("SPLIT(A9059,"" "")"),"CN(CCN(C)Cc1cccc(C2CC(C)(C)C2)n1)Cc1cccc(C2=CCC=CN2)n1")</f>
        <v>CN(CCN(C)Cc1cccc(C2CC(C)(C)C2)n1)Cc1cccc(C2=CCC=CN2)n1</v>
      </c>
      <c r="C9059" s="7">
        <f>IFERROR(__xludf.DUMMYFUNCTION("""COMPUTED_VALUE"""),7.7711453)</f>
        <v>7.7711453</v>
      </c>
      <c r="D9059" s="7">
        <f>IFERROR(__xludf.DUMMYFUNCTION("""COMPUTED_VALUE"""),0.363636363636363)</f>
        <v>0.3636363636</v>
      </c>
    </row>
    <row r="9060">
      <c r="A9060" s="10" t="s">
        <v>10499</v>
      </c>
      <c r="B9060" s="7" t="str">
        <f>IFERROR(__xludf.DUMMYFUNCTION("SPLIT(A9060,"" "")"),"CNCc1cccc(CN(Cc2ccccn2)C2CCCCC2N(C)c2ccc3ccc(CF)nc3c2)n1")</f>
        <v>CNCc1cccc(CN(Cc2ccccn2)C2CCCCC2N(C)c2ccc3ccc(CF)nc3c2)n1</v>
      </c>
      <c r="C9060" s="7">
        <f>IFERROR(__xludf.DUMMYFUNCTION("""COMPUTED_VALUE"""),7.771138)</f>
        <v>7.771138</v>
      </c>
      <c r="D9060" s="7">
        <f>IFERROR(__xludf.DUMMYFUNCTION("""COMPUTED_VALUE"""),0.432835820895522)</f>
        <v>0.4328358209</v>
      </c>
    </row>
    <row r="9061">
      <c r="A9061" s="10" t="s">
        <v>10500</v>
      </c>
      <c r="B9061" s="7" t="str">
        <f>IFERROR(__xludf.DUMMYFUNCTION("SPLIT(A9061,"" "")"),"Cc1ccc(CN(C)CC2=CC(N(C)Cc3cccc(C)n3)C=CN2)nc1")</f>
        <v>Cc1ccc(CN(C)CC2=CC(N(C)Cc3cccc(C)n3)C=CN2)nc1</v>
      </c>
      <c r="C9061" s="7">
        <f>IFERROR(__xludf.DUMMYFUNCTION("""COMPUTED_VALUE"""),7.771138)</f>
        <v>7.771138</v>
      </c>
      <c r="D9061" s="7">
        <f>IFERROR(__xludf.DUMMYFUNCTION("""COMPUTED_VALUE"""),0.415094339622641)</f>
        <v>0.4150943396</v>
      </c>
    </row>
    <row r="9062">
      <c r="A9062" s="10" t="s">
        <v>10501</v>
      </c>
      <c r="B9062" s="7" t="str">
        <f>IFERROR(__xludf.DUMMYFUNCTION("SPLIT(A9062,"" "")"),"CCNC1CC(N(Cc2ccccn2)c2ccc3cccnc3c2)CCC1N(C)Cc1ccccn1")</f>
        <v>CCNC1CC(N(Cc2ccccn2)c2ccc3cccnc3c2)CCC1N(C)Cc1ccccn1</v>
      </c>
      <c r="C9062" s="7">
        <f>IFERROR(__xludf.DUMMYFUNCTION("""COMPUTED_VALUE"""),7.771137)</f>
        <v>7.771137</v>
      </c>
      <c r="D9062" s="7">
        <f>IFERROR(__xludf.DUMMYFUNCTION("""COMPUTED_VALUE"""),0.426229508196721)</f>
        <v>0.4262295082</v>
      </c>
    </row>
    <row r="9063">
      <c r="A9063" s="10" t="s">
        <v>10502</v>
      </c>
      <c r="B9063" s="7" t="str">
        <f>IFERROR(__xludf.DUMMYFUNCTION("SPLIT(A9063,"" "")"),"CC1(C)COC(C2=CCC=CN2)=N1")</f>
        <v>CC1(C)COC(C2=CCC=CN2)=N1</v>
      </c>
      <c r="C9063" s="7">
        <f>IFERROR(__xludf.DUMMYFUNCTION("""COMPUTED_VALUE"""),7.7711353)</f>
        <v>7.7711353</v>
      </c>
      <c r="D9063" s="7">
        <f>IFERROR(__xludf.DUMMYFUNCTION("""COMPUTED_VALUE"""),0.425)</f>
        <v>0.425</v>
      </c>
    </row>
    <row r="9064">
      <c r="A9064" s="10" t="s">
        <v>10503</v>
      </c>
      <c r="B9064" s="7" t="str">
        <f>IFERROR(__xludf.DUMMYFUNCTION("SPLIT(A9064,"" "")"),"Cc1cnc(C2CCC2(C)C)c(C)c1CN(Cc1ccccn1)Cc1ccccn1")</f>
        <v>Cc1cnc(C2CCC2(C)C)c(C)c1CN(Cc1ccccn1)Cc1ccccn1</v>
      </c>
      <c r="C9064" s="7">
        <f>IFERROR(__xludf.DUMMYFUNCTION("""COMPUTED_VALUE"""),7.7711344)</f>
        <v>7.7711344</v>
      </c>
      <c r="D9064" s="7">
        <f>IFERROR(__xludf.DUMMYFUNCTION("""COMPUTED_VALUE"""),0.444444444444444)</f>
        <v>0.4444444444</v>
      </c>
    </row>
    <row r="9065">
      <c r="A9065" s="10" t="s">
        <v>10504</v>
      </c>
      <c r="B9065" s="7" t="str">
        <f>IFERROR(__xludf.DUMMYFUNCTION("SPLIT(A9065,"" "")"),"FCc1ccnc2cc(N(Cc3ccccn3)C3CCCCC3N(CF)Cc3ccccn3)ccc12")</f>
        <v>FCc1ccnc2cc(N(Cc3ccccn3)C3CCCCC3N(CF)Cc3ccccn3)ccc12</v>
      </c>
      <c r="C9065" s="7">
        <f>IFERROR(__xludf.DUMMYFUNCTION("""COMPUTED_VALUE"""),7.7711277)</f>
        <v>7.7711277</v>
      </c>
      <c r="D9065" s="7">
        <f>IFERROR(__xludf.DUMMYFUNCTION("""COMPUTED_VALUE"""),0.413793103448275)</f>
        <v>0.4137931034</v>
      </c>
    </row>
    <row r="9066">
      <c r="A9066" s="10" t="s">
        <v>10505</v>
      </c>
      <c r="B9066" s="7" t="str">
        <f>IFERROR(__xludf.DUMMYFUNCTION("SPLIT(A9066,"" "")"),"CCN(Cc1ccccn1)C1CCC(N(C)c2cccc3nc(CF)ccc23)CC1")</f>
        <v>CCN(Cc1ccccn1)C1CCC(N(C)c2cccc3nc(CF)ccc23)CC1</v>
      </c>
      <c r="C9066" s="7">
        <f>IFERROR(__xludf.DUMMYFUNCTION("""COMPUTED_VALUE"""),7.7711267)</f>
        <v>7.7711267</v>
      </c>
      <c r="D9066" s="7">
        <f>IFERROR(__xludf.DUMMYFUNCTION("""COMPUTED_VALUE"""),0.369230769230769)</f>
        <v>0.3692307692</v>
      </c>
    </row>
    <row r="9067">
      <c r="A9067" s="10" t="s">
        <v>10506</v>
      </c>
      <c r="B9067" s="7" t="str">
        <f>IFERROR(__xludf.DUMMYFUNCTION("SPLIT(A9067,"" "")"),"CCNC1=C(C)CC(c2cc(CN(Cc3ccccn3)Cc3cc(C(C)(C)C)ccn3)ccn2)CC1C")</f>
        <v>CCNC1=C(C)CC(c2cc(CN(Cc3ccccn3)Cc3cc(C(C)(C)C)ccn3)ccn2)CC1C</v>
      </c>
      <c r="C9067" s="7">
        <f>IFERROR(__xludf.DUMMYFUNCTION("""COMPUTED_VALUE"""),7.7711225)</f>
        <v>7.7711225</v>
      </c>
      <c r="D9067" s="7">
        <f>IFERROR(__xludf.DUMMYFUNCTION("""COMPUTED_VALUE"""),0.32258064516129)</f>
        <v>0.3225806452</v>
      </c>
    </row>
    <row r="9068">
      <c r="A9068" s="10" t="s">
        <v>10507</v>
      </c>
      <c r="B9068" s="7" t="str">
        <f>IFERROR(__xludf.DUMMYFUNCTION("SPLIT(A9068,"" "")"),"CNCc1cccc(CN(Cc2ccccn2)Cc2ccc(N)cn2)n1")</f>
        <v>CNCc1cccc(CN(Cc2ccccn2)Cc2ccc(N)cn2)n1</v>
      </c>
      <c r="C9068" s="7">
        <f>IFERROR(__xludf.DUMMYFUNCTION("""COMPUTED_VALUE"""),7.7711143)</f>
        <v>7.7711143</v>
      </c>
      <c r="D9068" s="7">
        <f>IFERROR(__xludf.DUMMYFUNCTION("""COMPUTED_VALUE"""),0.48780487804878)</f>
        <v>0.487804878</v>
      </c>
    </row>
    <row r="9069">
      <c r="A9069" s="10" t="s">
        <v>10508</v>
      </c>
      <c r="B9069" s="7" t="str">
        <f>IFERROR(__xludf.DUMMYFUNCTION("SPLIT(A9069,"" "")"),"CC(C)N(C)CCN(Cc1ccccn1)C(C)(N)N(CC(C)(C)C)c1cccc2ncccc12")</f>
        <v>CC(C)N(C)CCN(Cc1ccccn1)C(C)(N)N(CC(C)(C)C)c1cccc2ncccc12</v>
      </c>
      <c r="C9069" s="7">
        <f>IFERROR(__xludf.DUMMYFUNCTION("""COMPUTED_VALUE"""),7.7711124)</f>
        <v>7.7711124</v>
      </c>
      <c r="D9069" s="7">
        <f>IFERROR(__xludf.DUMMYFUNCTION("""COMPUTED_VALUE"""),0.4)</f>
        <v>0.4</v>
      </c>
    </row>
    <row r="9070">
      <c r="A9070" s="10" t="s">
        <v>10509</v>
      </c>
      <c r="B9070" s="7" t="str">
        <f>IFERROR(__xludf.DUMMYFUNCTION("SPLIT(A9070,"" "")"),"CCN(Cc1ccccn1)c1ccc2nccc(-c3ccc4c(c3)OCCOCCOCCOCCOCCO4)c2c1")</f>
        <v>CCN(Cc1ccccn1)c1ccc2nccc(-c3ccc4c(c3)OCCOCCOCCOCCOCCO4)c2c1</v>
      </c>
      <c r="C9070" s="7">
        <f>IFERROR(__xludf.DUMMYFUNCTION("""COMPUTED_VALUE"""),7.771108)</f>
        <v>7.771108</v>
      </c>
      <c r="D9070" s="7">
        <f>IFERROR(__xludf.DUMMYFUNCTION("""COMPUTED_VALUE"""),0.333333333333333)</f>
        <v>0.3333333333</v>
      </c>
    </row>
    <row r="9071">
      <c r="A9071" s="10" t="s">
        <v>10510</v>
      </c>
      <c r="B9071" s="7" t="str">
        <f>IFERROR(__xludf.DUMMYFUNCTION("SPLIT(A9071,"" "")"),"CN(Cc1ccc(-c2cccc(N=Cc3ccccn3)c2)cn1)Cc1ccc(-c2cccc3c2OCCOCCOCCOCCOCCO3)cn1")</f>
        <v>CN(Cc1ccc(-c2cccc(N=Cc3ccccn3)c2)cn1)Cc1ccc(-c2cccc3c2OCCOCCOCCOCCOCCO3)cn1</v>
      </c>
      <c r="C9071" s="7">
        <f>IFERROR(__xludf.DUMMYFUNCTION("""COMPUTED_VALUE"""),7.7710967)</f>
        <v>7.7710967</v>
      </c>
      <c r="D9071" s="7">
        <f>IFERROR(__xludf.DUMMYFUNCTION("""COMPUTED_VALUE"""),0.317073170731707)</f>
        <v>0.3170731707</v>
      </c>
    </row>
    <row r="9072">
      <c r="A9072" s="10" t="s">
        <v>10511</v>
      </c>
      <c r="B9072" s="7" t="str">
        <f>IFERROR(__xludf.DUMMYFUNCTION("SPLIT(A9072,"" "")"),"CN(C)c1cccc(-c2cccc(CN(Cc3ccc(-c4ccc5c(c4)OCCOCCOCCOCCOCCO5)cn3)Cc3cc(C(C)(C)C)ccn3)n2)c1")</f>
        <v>CN(C)c1cccc(-c2cccc(CN(Cc3ccc(-c4ccc5c(c4)OCCOCCOCCOCCOCCO5)cn3)Cc3cc(C(C)(C)C)ccn3)n2)c1</v>
      </c>
      <c r="C9072" s="7">
        <f>IFERROR(__xludf.DUMMYFUNCTION("""COMPUTED_VALUE"""),7.771095)</f>
        <v>7.771095</v>
      </c>
      <c r="D9072" s="7">
        <f>IFERROR(__xludf.DUMMYFUNCTION("""COMPUTED_VALUE"""),0.376623376623376)</f>
        <v>0.3766233766</v>
      </c>
    </row>
    <row r="9073">
      <c r="A9073" s="10" t="s">
        <v>10512</v>
      </c>
      <c r="B9073" s="7" t="str">
        <f>IFERROR(__xludf.DUMMYFUNCTION("SPLIT(A9073,"" "")"),"CN(Cc1cccc(F)n1)C1CCCCC1N(C)c1ccc2nc(CF)ccc2c1")</f>
        <v>CN(Cc1cccc(F)n1)C1CCCCC1N(C)c1ccc2nc(CF)ccc2c1</v>
      </c>
      <c r="C9073" s="7">
        <f>IFERROR(__xludf.DUMMYFUNCTION("""COMPUTED_VALUE"""),7.7710843)</f>
        <v>7.7710843</v>
      </c>
      <c r="D9073" s="7">
        <f>IFERROR(__xludf.DUMMYFUNCTION("""COMPUTED_VALUE"""),0.5)</f>
        <v>0.5</v>
      </c>
    </row>
    <row r="9074">
      <c r="A9074" s="10" t="s">
        <v>10513</v>
      </c>
      <c r="B9074" s="7" t="str">
        <f>IFERROR(__xludf.DUMMYFUNCTION("SPLIT(A9074,"" "")"),"CCN(Cc1ccccn1)c1ccc2nc(CN(C)Cc3ncccc3-c3ccc4c(c3)OCCOCCOCCOCCOCCO4)ccc2c1")</f>
        <v>CCN(Cc1ccccn1)c1ccc2nc(CN(C)Cc3ncccc3-c3ccc4c(c3)OCCOCCOCCOCCOCCO4)ccc2c1</v>
      </c>
      <c r="C9074" s="7">
        <f>IFERROR(__xludf.DUMMYFUNCTION("""COMPUTED_VALUE"""),7.771077)</f>
        <v>7.771077</v>
      </c>
      <c r="D9074" s="7">
        <f>IFERROR(__xludf.DUMMYFUNCTION("""COMPUTED_VALUE"""),0.338028169014084)</f>
        <v>0.338028169</v>
      </c>
    </row>
    <row r="9075">
      <c r="A9075" s="10" t="s">
        <v>10514</v>
      </c>
      <c r="B9075" s="7" t="str">
        <f>IFERROR(__xludf.DUMMYFUNCTION("SPLIT(A9075,"" "")"),"CC(C)N(Cc1ccccn1)Cc1ccc2cc(N(C)C3CCC(N(C)Cc4ccccn4)CC3)ccc2n1")</f>
        <v>CC(C)N(Cc1ccccn1)Cc1ccc2cc(N(C)C3CCC(N(C)Cc4ccccn4)CC3)ccc2n1</v>
      </c>
      <c r="C9075" s="7">
        <f>IFERROR(__xludf.DUMMYFUNCTION("""COMPUTED_VALUE"""),7.771076)</f>
        <v>7.771076</v>
      </c>
      <c r="D9075" s="7">
        <f>IFERROR(__xludf.DUMMYFUNCTION("""COMPUTED_VALUE"""),0.471698113207547)</f>
        <v>0.4716981132</v>
      </c>
    </row>
    <row r="9076">
      <c r="A9076" s="10" t="s">
        <v>10515</v>
      </c>
      <c r="B9076" s="7" t="str">
        <f>IFERROR(__xludf.DUMMYFUNCTION("SPLIT(A9076,"" "")"),"Cc1cccnc1CN(Cc1ccccn1)Cc1cccnc1CNC(C)C")</f>
        <v>Cc1cccnc1CN(Cc1ccccn1)Cc1cccnc1CNC(C)C</v>
      </c>
      <c r="C9076" s="7">
        <f>IFERROR(__xludf.DUMMYFUNCTION("""COMPUTED_VALUE"""),7.7710676)</f>
        <v>7.7710676</v>
      </c>
      <c r="D9076" s="7">
        <f>IFERROR(__xludf.DUMMYFUNCTION("""COMPUTED_VALUE"""),0.454545454545454)</f>
        <v>0.4545454545</v>
      </c>
    </row>
    <row r="9077">
      <c r="A9077" s="10" t="s">
        <v>10516</v>
      </c>
      <c r="B9077" s="7" t="str">
        <f>IFERROR(__xludf.DUMMYFUNCTION("SPLIT(A9077,"" "")"),"CCN(Cc1cccnn1)C1CCCC(N(C)c2ccc3cccnc3c2)C1")</f>
        <v>CCN(Cc1cccnn1)C1CCCC(N(C)c2ccc3cccnc3c2)C1</v>
      </c>
      <c r="C9077" s="7">
        <f>IFERROR(__xludf.DUMMYFUNCTION("""COMPUTED_VALUE"""),7.77106)</f>
        <v>7.77106</v>
      </c>
      <c r="D9077" s="7">
        <f>IFERROR(__xludf.DUMMYFUNCTION("""COMPUTED_VALUE"""),0.350877192982456)</f>
        <v>0.350877193</v>
      </c>
    </row>
    <row r="9078">
      <c r="A9078" s="10" t="s">
        <v>10517</v>
      </c>
      <c r="B9078" s="7" t="str">
        <f>IFERROR(__xludf.DUMMYFUNCTION("SPLIT(A9078,"" "")"),"Cc1nccc(CN(C)C2=C(CN(C)C(C)(C)C)NC=CC2)c1C")</f>
        <v>Cc1nccc(CN(C)C2=C(CN(C)C(C)(C)C)NC=CC2)c1C</v>
      </c>
      <c r="C9078" s="7">
        <f>IFERROR(__xludf.DUMMYFUNCTION("""COMPUTED_VALUE"""),7.771058)</f>
        <v>7.771058</v>
      </c>
      <c r="D9078" s="7">
        <f>IFERROR(__xludf.DUMMYFUNCTION("""COMPUTED_VALUE"""),0.23076923076923)</f>
        <v>0.2307692308</v>
      </c>
    </row>
    <row r="9079">
      <c r="A9079" s="10" t="s">
        <v>10518</v>
      </c>
      <c r="B9079" s="7" t="str">
        <f>IFERROR(__xludf.DUMMYFUNCTION("SPLIT(A9079,"" "")"),"CC(C)NCC1=CCC(N(C)Cc2ccccn2)=CN1")</f>
        <v>CC(C)NCC1=CCC(N(C)Cc2ccccn2)=CN1</v>
      </c>
      <c r="C9079" s="7">
        <f>IFERROR(__xludf.DUMMYFUNCTION("""COMPUTED_VALUE"""),7.771056)</f>
        <v>7.771056</v>
      </c>
      <c r="D9079" s="7">
        <f>IFERROR(__xludf.DUMMYFUNCTION("""COMPUTED_VALUE"""),0.396226415094339)</f>
        <v>0.3962264151</v>
      </c>
    </row>
    <row r="9080">
      <c r="A9080" s="10" t="s">
        <v>10519</v>
      </c>
      <c r="B9080" s="7" t="str">
        <f>IFERROR(__xludf.DUMMYFUNCTION("SPLIT(A9080,"" "")"),"CNCC1=CC(N(C)Cc2nc(C)c(C)cc2C)C=CN1")</f>
        <v>CNCC1=CC(N(C)Cc2nc(C)c(C)cc2C)C=CN1</v>
      </c>
      <c r="C9080" s="7">
        <f>IFERROR(__xludf.DUMMYFUNCTION("""COMPUTED_VALUE"""),7.7710524)</f>
        <v>7.7710524</v>
      </c>
      <c r="D9080" s="7">
        <f>IFERROR(__xludf.DUMMYFUNCTION("""COMPUTED_VALUE"""),0.310344827586206)</f>
        <v>0.3103448276</v>
      </c>
    </row>
    <row r="9081">
      <c r="A9081" s="10" t="s">
        <v>10520</v>
      </c>
      <c r="B9081" s="7" t="str">
        <f>IFERROR(__xludf.DUMMYFUNCTION("SPLIT(A9081,"" "")"),"Cc1cccnc1CN(C)CCN(Cc1ccccn1)Cc1cc(C)c(C)c(C)n1")</f>
        <v>Cc1cccnc1CN(C)CCN(Cc1ccccn1)Cc1cc(C)c(C)c(C)n1</v>
      </c>
      <c r="C9081" s="7">
        <f>IFERROR(__xludf.DUMMYFUNCTION("""COMPUTED_VALUE"""),7.771051)</f>
        <v>7.771051</v>
      </c>
      <c r="D9081" s="7">
        <f>IFERROR(__xludf.DUMMYFUNCTION("""COMPUTED_VALUE"""),0.489795918367346)</f>
        <v>0.4897959184</v>
      </c>
    </row>
    <row r="9082">
      <c r="A9082" s="10" t="s">
        <v>10521</v>
      </c>
      <c r="B9082" s="7" t="str">
        <f>IFERROR(__xludf.DUMMYFUNCTION("SPLIT(A9082,"" "")"),"CN(Cc1cccc(-c2ccc3c(c2)OCCOCCOCCOCCOCCO3)n1)Cc1cccc(-c2ccccc2N=Cc2ccccn2)n1")</f>
        <v>CN(Cc1cccc(-c2ccc3c(c2)OCCOCCOCCOCCOCCO3)n1)Cc1cccc(-c2ccccc2N=Cc2ccccn2)n1</v>
      </c>
      <c r="C9082" s="7">
        <f>IFERROR(__xludf.DUMMYFUNCTION("""COMPUTED_VALUE"""),7.7710495)</f>
        <v>7.7710495</v>
      </c>
      <c r="D9082" s="7">
        <f>IFERROR(__xludf.DUMMYFUNCTION("""COMPUTED_VALUE"""),0.388059701492537)</f>
        <v>0.3880597015</v>
      </c>
    </row>
    <row r="9083">
      <c r="A9083" s="10" t="s">
        <v>10522</v>
      </c>
      <c r="B9083" s="7" t="str">
        <f>IFERROR(__xludf.DUMMYFUNCTION("SPLIT(A9083,"" "")"),"CN(C)Cc1ncccc1C(C)(C)C")</f>
        <v>CN(C)Cc1ncccc1C(C)(C)C</v>
      </c>
      <c r="C9083" s="7">
        <f>IFERROR(__xludf.DUMMYFUNCTION("""COMPUTED_VALUE"""),7.771048)</f>
        <v>7.771048</v>
      </c>
      <c r="D9083" s="7">
        <f>IFERROR(__xludf.DUMMYFUNCTION("""COMPUTED_VALUE"""),0.35)</f>
        <v>0.35</v>
      </c>
    </row>
    <row r="9084">
      <c r="A9084" s="10" t="s">
        <v>10523</v>
      </c>
      <c r="B9084" s="7" t="str">
        <f>IFERROR(__xludf.DUMMYFUNCTION("SPLIT(A9084,"" "")"),"Cc1cnc(CN(C)CN(C)Cc2ncccc2C)c(C)c1")</f>
        <v>Cc1cnc(CN(C)CN(C)Cc2ncccc2C)c(C)c1</v>
      </c>
      <c r="C9084" s="7">
        <f>IFERROR(__xludf.DUMMYFUNCTION("""COMPUTED_VALUE"""),7.771043)</f>
        <v>7.771043</v>
      </c>
      <c r="D9084" s="7">
        <f>IFERROR(__xludf.DUMMYFUNCTION("""COMPUTED_VALUE"""),0.34090909090909)</f>
        <v>0.3409090909</v>
      </c>
    </row>
    <row r="9085">
      <c r="A9085" s="10" t="s">
        <v>10524</v>
      </c>
      <c r="B9085" s="7" t="str">
        <f>IFERROR(__xludf.DUMMYFUNCTION("SPLIT(A9085,"" "")"),"CCNCc1ccc(CN(Cc2ncccc2C)Cc2ncccc2N)cn1")</f>
        <v>CCNCc1ccc(CN(Cc2ncccc2C)Cc2ncccc2N)cn1</v>
      </c>
      <c r="C9085" s="7">
        <f>IFERROR(__xludf.DUMMYFUNCTION("""COMPUTED_VALUE"""),7.7710423)</f>
        <v>7.7710423</v>
      </c>
      <c r="D9085" s="7">
        <f>IFERROR(__xludf.DUMMYFUNCTION("""COMPUTED_VALUE"""),0.277777777777777)</f>
        <v>0.2777777778</v>
      </c>
    </row>
    <row r="9086">
      <c r="A9086" s="10" t="s">
        <v>10525</v>
      </c>
      <c r="B9086" s="7" t="str">
        <f>IFERROR(__xludf.DUMMYFUNCTION("SPLIT(A9086,"" "")"),"Cc1cccc(CN(Cc2ncccc2C)C2CCC(N(C)Cc3ncccc3-c3ccccn3)CC2)n1")</f>
        <v>Cc1cccc(CN(Cc2ncccc2C)C2CCC(N(C)Cc3ncccc3-c3ccccn3)CC2)n1</v>
      </c>
      <c r="C9086" s="7">
        <f>IFERROR(__xludf.DUMMYFUNCTION("""COMPUTED_VALUE"""),7.771038)</f>
        <v>7.771038</v>
      </c>
      <c r="D9086" s="7">
        <f>IFERROR(__xludf.DUMMYFUNCTION("""COMPUTED_VALUE"""),0.393442622950819)</f>
        <v>0.393442623</v>
      </c>
    </row>
    <row r="9087">
      <c r="A9087" s="10" t="s">
        <v>10526</v>
      </c>
      <c r="B9087" s="7" t="str">
        <f>IFERROR(__xludf.DUMMYFUNCTION("SPLIT(A9087,"" "")"),"C=CCNCc1cc(C(C)(C)c2ccccn2)ccn1")</f>
        <v>C=CCNCc1cc(C(C)(C)c2ccccn2)ccn1</v>
      </c>
      <c r="C9087" s="7">
        <f>IFERROR(__xludf.DUMMYFUNCTION("""COMPUTED_VALUE"""),7.7710304)</f>
        <v>7.7710304</v>
      </c>
      <c r="D9087" s="7">
        <f>IFERROR(__xludf.DUMMYFUNCTION("""COMPUTED_VALUE"""),0.369565217391304)</f>
        <v>0.3695652174</v>
      </c>
    </row>
    <row r="9088">
      <c r="A9088" s="10" t="s">
        <v>10527</v>
      </c>
      <c r="B9088" s="7" t="str">
        <f>IFERROR(__xludf.DUMMYFUNCTION("SPLIT(A9088,"" "")"),"CN(Cc1ccc(-c2ccc3c(c2)OCCOCCOCCOCCOCCO3)cn1)Cc1cccc(-c2cccc(N=Cc3ccccn3)c2)n1")</f>
        <v>CN(Cc1ccc(-c2ccc3c(c2)OCCOCCOCCOCCOCCO3)cn1)Cc1cccc(-c2cccc(N=Cc3ccccn3)c2)n1</v>
      </c>
      <c r="C9088" s="7">
        <f>IFERROR(__xludf.DUMMYFUNCTION("""COMPUTED_VALUE"""),7.771027)</f>
        <v>7.771027</v>
      </c>
      <c r="D9088" s="7">
        <f>IFERROR(__xludf.DUMMYFUNCTION("""COMPUTED_VALUE"""),0.380281690140845)</f>
        <v>0.3802816901</v>
      </c>
    </row>
    <row r="9089">
      <c r="A9089" s="10" t="s">
        <v>10528</v>
      </c>
      <c r="B9089" s="7" t="str">
        <f>IFERROR(__xludf.DUMMYFUNCTION("SPLIT(A9089,"" "")"),"Cc1cc(C)c(CN(C)CN(C)Cc2ccccn2)nc1C")</f>
        <v>Cc1cc(C)c(CN(C)CN(C)Cc2ccccn2)nc1C</v>
      </c>
      <c r="C9089" s="7">
        <f>IFERROR(__xludf.DUMMYFUNCTION("""COMPUTED_VALUE"""),7.771025)</f>
        <v>7.771025</v>
      </c>
      <c r="D9089" s="7">
        <f>IFERROR(__xludf.DUMMYFUNCTION("""COMPUTED_VALUE"""),0.478260869565217)</f>
        <v>0.4782608696</v>
      </c>
    </row>
    <row r="9090">
      <c r="A9090" s="10" t="s">
        <v>10529</v>
      </c>
      <c r="B9090" s="7" t="str">
        <f>IFERROR(__xludf.DUMMYFUNCTION("SPLIT(A9090,"" "")"),"CCN(Cc1ccccn1)c1cc2cccnc2cc1CN(C)Cc1cccc(-c2ccc3c(c2)OCCOCCOCCOCCOCCO3)n1")</f>
        <v>CCN(Cc1ccccn1)c1cc2cccnc2cc1CN(C)Cc1cccc(-c2ccc3c(c2)OCCOCCOCCOCCOCCO3)n1</v>
      </c>
      <c r="C9090" s="7">
        <f>IFERROR(__xludf.DUMMYFUNCTION("""COMPUTED_VALUE"""),7.7710233)</f>
        <v>7.7710233</v>
      </c>
      <c r="D9090" s="7">
        <f>IFERROR(__xludf.DUMMYFUNCTION("""COMPUTED_VALUE"""),0.411764705882352)</f>
        <v>0.4117647059</v>
      </c>
    </row>
    <row r="9091">
      <c r="A9091" s="10" t="s">
        <v>10530</v>
      </c>
      <c r="B9091" s="7" t="str">
        <f>IFERROR(__xludf.DUMMYFUNCTION("SPLIT(A9091,"" "")"),"CCNCc1cccc(CN(Cc2cccc(C)n2)C2CCCCC2N(C)c2ccc3nc(CF)ccc3c2)n1")</f>
        <v>CCNCc1cccc(CN(Cc2cccc(C)n2)C2CCCCC2N(C)c2ccc3nc(CF)ccc3c2)n1</v>
      </c>
      <c r="C9091" s="7">
        <f>IFERROR(__xludf.DUMMYFUNCTION("""COMPUTED_VALUE"""),7.7710214)</f>
        <v>7.7710214</v>
      </c>
      <c r="D9091" s="7">
        <f>IFERROR(__xludf.DUMMYFUNCTION("""COMPUTED_VALUE"""),0.426470588235294)</f>
        <v>0.4264705882</v>
      </c>
    </row>
    <row r="9092">
      <c r="A9092" s="10" t="s">
        <v>10531</v>
      </c>
      <c r="B9092" s="7" t="str">
        <f>IFERROR(__xludf.DUMMYFUNCTION("SPLIT(A9092,"" "")"),"CN(Cc1ccccn1)C1=CNC(C(C)(C)C)=CC1")</f>
        <v>CN(Cc1ccccn1)C1=CNC(C(C)(C)C)=CC1</v>
      </c>
      <c r="C9092" s="7">
        <f>IFERROR(__xludf.DUMMYFUNCTION("""COMPUTED_VALUE"""),7.7710195)</f>
        <v>7.7710195</v>
      </c>
      <c r="D9092" s="7">
        <f>IFERROR(__xludf.DUMMYFUNCTION("""COMPUTED_VALUE"""),0.4375)</f>
        <v>0.4375</v>
      </c>
    </row>
    <row r="9093">
      <c r="A9093" s="10" t="s">
        <v>10532</v>
      </c>
      <c r="B9093" s="7" t="str">
        <f>IFERROR(__xludf.DUMMYFUNCTION("SPLIT(A9093,"" "")"),"CN(Cc1ccc(-c2cccc(N=Cc3ccccn3)c2)nc1)Cc1cccc(-c2ccc3c(c2)OCCOCCOCCOCCOCCO3)n1")</f>
        <v>CN(Cc1ccc(-c2cccc(N=Cc3ccccn3)c2)nc1)Cc1cccc(-c2ccc3c(c2)OCCOCCOCCOCCOCCO3)n1</v>
      </c>
      <c r="C9093" s="7">
        <f>IFERROR(__xludf.DUMMYFUNCTION("""COMPUTED_VALUE"""),7.7710176)</f>
        <v>7.7710176</v>
      </c>
      <c r="D9093" s="7">
        <f>IFERROR(__xludf.DUMMYFUNCTION("""COMPUTED_VALUE"""),0.351351351351351)</f>
        <v>0.3513513514</v>
      </c>
    </row>
    <row r="9094">
      <c r="A9094" s="10" t="s">
        <v>10533</v>
      </c>
      <c r="B9094" s="7" t="str">
        <f>IFERROR(__xludf.DUMMYFUNCTION("SPLIT(A9094,"" "")"),"Cc1ccc(CN(C)C2C=CNC(CN(C)Cc3cccc(C)n3)=C2)nc1")</f>
        <v>Cc1ccc(CN(C)C2C=CNC(CN(C)Cc3cccc(C)n3)=C2)nc1</v>
      </c>
      <c r="C9094" s="7">
        <f>IFERROR(__xludf.DUMMYFUNCTION("""COMPUTED_VALUE"""),7.771009)</f>
        <v>7.771009</v>
      </c>
      <c r="D9094" s="7">
        <f>IFERROR(__xludf.DUMMYFUNCTION("""COMPUTED_VALUE"""),0.415094339622641)</f>
        <v>0.4150943396</v>
      </c>
    </row>
    <row r="9095">
      <c r="A9095" s="10" t="s">
        <v>10534</v>
      </c>
      <c r="B9095" s="7" t="str">
        <f>IFERROR(__xludf.DUMMYFUNCTION("SPLIT(A9095,"" "")"),"Cc1cncc(CN(Cc2ccccn2)C2CCC(N(C)Cc3cccc(-c4cccc(Cl)c4N)n3)CC2)c1")</f>
        <v>Cc1cncc(CN(Cc2ccccn2)C2CCC(N(C)Cc3cccc(-c4cccc(Cl)c4N)n3)CC2)c1</v>
      </c>
      <c r="C9095" s="7">
        <f>IFERROR(__xludf.DUMMYFUNCTION("""COMPUTED_VALUE"""),7.771006)</f>
        <v>7.771006</v>
      </c>
      <c r="D9095" s="7">
        <f>IFERROR(__xludf.DUMMYFUNCTION("""COMPUTED_VALUE"""),0.357142857142857)</f>
        <v>0.3571428571</v>
      </c>
    </row>
    <row r="9096">
      <c r="A9096" s="10" t="s">
        <v>10535</v>
      </c>
      <c r="B9096" s="7" t="str">
        <f>IFERROR(__xludf.DUMMYFUNCTION("SPLIT(A9096,"" "")"),"CN(Cc1cccnc1F)Cc1ncccc1C(C)(C)C")</f>
        <v>CN(Cc1cccnc1F)Cc1ncccc1C(C)(C)C</v>
      </c>
      <c r="C9096" s="7">
        <f>IFERROR(__xludf.DUMMYFUNCTION("""COMPUTED_VALUE"""),7.771005)</f>
        <v>7.771005</v>
      </c>
      <c r="D9096" s="7">
        <f>IFERROR(__xludf.DUMMYFUNCTION("""COMPUTED_VALUE"""),0.391304347826087)</f>
        <v>0.3913043478</v>
      </c>
    </row>
    <row r="9097">
      <c r="A9097" s="10" t="s">
        <v>10536</v>
      </c>
      <c r="B9097" s="7" t="str">
        <f>IFERROR(__xludf.DUMMYFUNCTION("SPLIT(A9097,"" "")"),"CCNCc1cccc(CN(Cc2ccccn2)C2CCCC(N(C)c3cccc4nc(CF)ccc34)C2)n1")</f>
        <v>CCNCc1cccc(CN(Cc2ccccn2)C2CCCC(N(C)c3cccc4nc(CF)ccc34)C2)n1</v>
      </c>
      <c r="C9097" s="7">
        <f>IFERROR(__xludf.DUMMYFUNCTION("""COMPUTED_VALUE"""),7.7709928)</f>
        <v>7.7709928</v>
      </c>
      <c r="D9097" s="7">
        <f>IFERROR(__xludf.DUMMYFUNCTION("""COMPUTED_VALUE"""),0.333333333333333)</f>
        <v>0.3333333333</v>
      </c>
    </row>
    <row r="9098">
      <c r="A9098" s="10" t="s">
        <v>10537</v>
      </c>
      <c r="B9098" s="7" t="str">
        <f>IFERROR(__xludf.DUMMYFUNCTION("SPLIT(A9098,"" "")"),"CC(C)C1(C)CC(c2ncccc2CN(Cc2ccccn2)C2CCC(N(C)c3ccc4nccc(CF)c4c3)CC2)C1")</f>
        <v>CC(C)C1(C)CC(c2ncccc2CN(Cc2ccccn2)C2CCC(N(C)c3ccc4nccc(CF)c4c3)CC2)C1</v>
      </c>
      <c r="C9098" s="7">
        <f>IFERROR(__xludf.DUMMYFUNCTION("""COMPUTED_VALUE"""),7.7709894)</f>
        <v>7.7709894</v>
      </c>
      <c r="D9098" s="7">
        <f>IFERROR(__xludf.DUMMYFUNCTION("""COMPUTED_VALUE"""),0.285714285714285)</f>
        <v>0.2857142857</v>
      </c>
    </row>
    <row r="9099">
      <c r="A9099" s="10" t="s">
        <v>10538</v>
      </c>
      <c r="B9099" s="7" t="str">
        <f>IFERROR(__xludf.DUMMYFUNCTION("SPLIT(A9099,"" "")"),"Cc1cc(C)c(CN(CCN(C)Cc2ncccc2C)Cc2ccccn2)nc1C")</f>
        <v>Cc1cc(C)c(CN(CCN(C)Cc2ncccc2C)Cc2ccccn2)nc1C</v>
      </c>
      <c r="C9099" s="7">
        <f>IFERROR(__xludf.DUMMYFUNCTION("""COMPUTED_VALUE"""),7.7709875)</f>
        <v>7.7709875</v>
      </c>
      <c r="D9099" s="7">
        <f>IFERROR(__xludf.DUMMYFUNCTION("""COMPUTED_VALUE"""),0.489795918367346)</f>
        <v>0.4897959184</v>
      </c>
    </row>
    <row r="9100">
      <c r="A9100" s="10" t="s">
        <v>10539</v>
      </c>
      <c r="B9100" s="7" t="str">
        <f>IFERROR(__xludf.DUMMYFUNCTION("SPLIT(A9100,"" "")"),"CCN(Cc1ccccn1)Cc1nc(C)c(C)cc1C")</f>
        <v>CCN(Cc1ccccn1)Cc1nc(C)c(C)cc1C</v>
      </c>
      <c r="C9100" s="7">
        <f>IFERROR(__xludf.DUMMYFUNCTION("""COMPUTED_VALUE"""),7.770987)</f>
        <v>7.770987</v>
      </c>
      <c r="D9100" s="7">
        <f>IFERROR(__xludf.DUMMYFUNCTION("""COMPUTED_VALUE"""),0.5)</f>
        <v>0.5</v>
      </c>
    </row>
    <row r="9101">
      <c r="A9101" s="10" t="s">
        <v>10540</v>
      </c>
      <c r="B9101" s="7" t="str">
        <f>IFERROR(__xludf.DUMMYFUNCTION("SPLIT(A9101,"" "")"),"CN(Cc1cccnn1)C1CCCCC1N(C)c1cccc2cc(CF)cnc12")</f>
        <v>CN(Cc1cccnn1)C1CCCCC1N(C)c1cccc2cc(CF)cnc12</v>
      </c>
      <c r="C9101" s="7">
        <f>IFERROR(__xludf.DUMMYFUNCTION("""COMPUTED_VALUE"""),7.770985)</f>
        <v>7.770985</v>
      </c>
      <c r="D9101" s="7">
        <f>IFERROR(__xludf.DUMMYFUNCTION("""COMPUTED_VALUE"""),0.5)</f>
        <v>0.5</v>
      </c>
    </row>
    <row r="9102">
      <c r="A9102" s="10" t="s">
        <v>10541</v>
      </c>
      <c r="B9102" s="7" t="str">
        <f>IFERROR(__xludf.DUMMYFUNCTION("SPLIT(A9102,"" "")"),"CN(Cc1ccc(F)cn1)C1CCCCC1N(C)c1ccc2ccc(CF)nc2c1")</f>
        <v>CN(Cc1ccc(F)cn1)C1CCCCC1N(C)c1ccc2ccc(CF)nc2c1</v>
      </c>
      <c r="C9102" s="7">
        <f>IFERROR(__xludf.DUMMYFUNCTION("""COMPUTED_VALUE"""),7.7709746)</f>
        <v>7.7709746</v>
      </c>
      <c r="D9102" s="7">
        <f>IFERROR(__xludf.DUMMYFUNCTION("""COMPUTED_VALUE"""),0.481481481481481)</f>
        <v>0.4814814815</v>
      </c>
    </row>
    <row r="9103">
      <c r="A9103" s="10" t="s">
        <v>10542</v>
      </c>
      <c r="B9103" s="7" t="str">
        <f>IFERROR(__xludf.DUMMYFUNCTION("SPLIT(A9103,"" "")"),"CNC1C(N(Cc2cccc(C)n2)Cc2nc(C)c(C)c(C)c2C)CCCC1N(Cc1nc(C)c(C)c(C)c1C)Cc1nc(C)c(C)c(C)c1C")</f>
        <v>CNC1C(N(Cc2cccc(C)n2)Cc2nc(C)c(C)c(C)c2C)CCCC1N(Cc1nc(C)c(C)c(C)c1C)Cc1nc(C)c(C)c(C)c1C</v>
      </c>
      <c r="C9103" s="7">
        <f>IFERROR(__xludf.DUMMYFUNCTION("""COMPUTED_VALUE"""),7.7709746)</f>
        <v>7.7709746</v>
      </c>
      <c r="D9103" s="7">
        <f>IFERROR(__xludf.DUMMYFUNCTION("""COMPUTED_VALUE"""),0.490196078431372)</f>
        <v>0.4901960784</v>
      </c>
    </row>
    <row r="9104">
      <c r="A9104" s="10" t="s">
        <v>10543</v>
      </c>
      <c r="B9104" s="7" t="str">
        <f>IFERROR(__xludf.DUMMYFUNCTION("SPLIT(A9104,"" "")"),"Cc1cnc(CN2CCN(C)CCN(CN(C)c3cccc4nccc(C)c34)CC2)c(C)c1C")</f>
        <v>Cc1cnc(CN2CCN(C)CCN(CN(C)c3cccc4nccc(C)c34)CC2)c(C)c1C</v>
      </c>
      <c r="C9104" s="7">
        <f>IFERROR(__xludf.DUMMYFUNCTION("""COMPUTED_VALUE"""),7.7709727)</f>
        <v>7.7709727</v>
      </c>
      <c r="D9104" s="7">
        <f>IFERROR(__xludf.DUMMYFUNCTION("""COMPUTED_VALUE"""),0.433333333333333)</f>
        <v>0.4333333333</v>
      </c>
    </row>
    <row r="9105">
      <c r="A9105" s="10" t="s">
        <v>10544</v>
      </c>
      <c r="B9105" s="7" t="str">
        <f>IFERROR(__xludf.DUMMYFUNCTION("SPLIT(A9105,"" "")"),"CC(C)C(C)(c1cccnc1)N(Cc1ccccn1)C1CCC(N(C)c2ccc3cc(CF)cnc3c2)CC1")</f>
        <v>CC(C)C(C)(c1cccnc1)N(Cc1ccccn1)C1CCC(N(C)c2ccc3cc(CF)cnc3c2)CC1</v>
      </c>
      <c r="C9105" s="7">
        <f>IFERROR(__xludf.DUMMYFUNCTION("""COMPUTED_VALUE"""),7.7709665)</f>
        <v>7.7709665</v>
      </c>
      <c r="D9105" s="7">
        <f>IFERROR(__xludf.DUMMYFUNCTION("""COMPUTED_VALUE"""),0.305555555555555)</f>
        <v>0.3055555556</v>
      </c>
    </row>
    <row r="9106">
      <c r="A9106" s="10" t="s">
        <v>10545</v>
      </c>
      <c r="B9106" s="7" t="str">
        <f>IFERROR(__xludf.DUMMYFUNCTION("SPLIT(A9106,"" "")"),"CN(Cc1ccc2c(n1)CCCC2)C1CCC(N(C)c2ccc3nccc(CF)c3c2)CC1")</f>
        <v>CN(Cc1ccc2c(n1)CCCC2)C1CCC(N(C)c2ccc3nccc(CF)c3c2)CC1</v>
      </c>
      <c r="C9106" s="7">
        <f>IFERROR(__xludf.DUMMYFUNCTION("""COMPUTED_VALUE"""),7.7709575)</f>
        <v>7.7709575</v>
      </c>
      <c r="D9106" s="7">
        <f>IFERROR(__xludf.DUMMYFUNCTION("""COMPUTED_VALUE"""),0.283783783783783)</f>
        <v>0.2837837838</v>
      </c>
    </row>
    <row r="9107">
      <c r="A9107" s="10" t="s">
        <v>10546</v>
      </c>
      <c r="B9107" s="7" t="str">
        <f>IFERROR(__xludf.DUMMYFUNCTION("SPLIT(A9107,"" "")"),"Cc1cccc(NCc2ccccn2)c1-c1cccc(CN(C)C2CCCC(N(C)Cc3ccccn3)C2)n1")</f>
        <v>Cc1cccc(NCc2ccccn2)c1-c1cccc(CN(C)C2CCCC(N(C)Cc3ccccn3)C2)n1</v>
      </c>
      <c r="C9107" s="7">
        <f>IFERROR(__xludf.DUMMYFUNCTION("""COMPUTED_VALUE"""),7.7709575)</f>
        <v>7.7709575</v>
      </c>
      <c r="D9107" s="7">
        <f>IFERROR(__xludf.DUMMYFUNCTION("""COMPUTED_VALUE"""),0.43103448275862)</f>
        <v>0.4310344828</v>
      </c>
    </row>
    <row r="9108">
      <c r="A9108" s="10" t="s">
        <v>10547</v>
      </c>
      <c r="B9108" s="7" t="str">
        <f>IFERROR(__xludf.DUMMYFUNCTION("SPLIT(A9108,"" "")"),"CC(C)NCc1ccc(CN(Cc2ccccn2)Cc2cc(N)ccn2)cn1")</f>
        <v>CC(C)NCc1ccc(CN(Cc2ccccn2)Cc2cc(N)ccn2)cn1</v>
      </c>
      <c r="C9108" s="7">
        <f>IFERROR(__xludf.DUMMYFUNCTION("""COMPUTED_VALUE"""),7.770953)</f>
        <v>7.770953</v>
      </c>
      <c r="D9108" s="7">
        <f>IFERROR(__xludf.DUMMYFUNCTION("""COMPUTED_VALUE"""),0.416666666666666)</f>
        <v>0.4166666667</v>
      </c>
    </row>
    <row r="9109">
      <c r="A9109" s="10" t="s">
        <v>10548</v>
      </c>
      <c r="B9109" s="7" t="str">
        <f>IFERROR(__xludf.DUMMYFUNCTION("SPLIT(A9109,"" "")"),"CN(c1ccc2nc(CF)ccc2c1)C1CCCCC1N(Cc1ccccn1)Cc1cccc(CF)n1")</f>
        <v>CN(c1ccc2nc(CF)ccc2c1)C1CCCCC1N(Cc1ccccn1)Cc1cccc(CF)n1</v>
      </c>
      <c r="C9109" s="7">
        <f>IFERROR(__xludf.DUMMYFUNCTION("""COMPUTED_VALUE"""),7.7709484)</f>
        <v>7.7709484</v>
      </c>
      <c r="D9109" s="7">
        <f>IFERROR(__xludf.DUMMYFUNCTION("""COMPUTED_VALUE"""),0.475409836065573)</f>
        <v>0.4754098361</v>
      </c>
    </row>
    <row r="9110">
      <c r="A9110" s="10" t="s">
        <v>10549</v>
      </c>
      <c r="B9110" s="7" t="str">
        <f>IFERROR(__xludf.DUMMYFUNCTION("SPLIT(A9110,"" "")"),"CNCc1cc(CN(Cc2ccccn2)Cc2ncccc2N)ccn1")</f>
        <v>CNCc1cc(CN(Cc2ccccn2)Cc2ncccc2N)ccn1</v>
      </c>
      <c r="C9110" s="7">
        <f>IFERROR(__xludf.DUMMYFUNCTION("""COMPUTED_VALUE"""),7.7709394)</f>
        <v>7.7709394</v>
      </c>
      <c r="D9110" s="7">
        <f>IFERROR(__xludf.DUMMYFUNCTION("""COMPUTED_VALUE"""),0.454545454545454)</f>
        <v>0.4545454545</v>
      </c>
    </row>
    <row r="9111">
      <c r="A9111" s="10" t="s">
        <v>10550</v>
      </c>
      <c r="B9111" s="7" t="str">
        <f>IFERROR(__xludf.DUMMYFUNCTION("SPLIT(A9111,"" "")"),"CCN(Cc1cc(-c2ccc3c(c2)OCCOCCOCCOCCOCCO3)ccn1)c1ccc2nccc(CF)c2c1")</f>
        <v>CCN(Cc1cc(-c2ccc3c(c2)OCCOCCOCCOCCOCCO3)ccn1)c1ccc2nccc(CF)c2c1</v>
      </c>
      <c r="C9111" s="7">
        <f>IFERROR(__xludf.DUMMYFUNCTION("""COMPUTED_VALUE"""),7.7709336)</f>
        <v>7.7709336</v>
      </c>
      <c r="D9111" s="7">
        <f>IFERROR(__xludf.DUMMYFUNCTION("""COMPUTED_VALUE"""),0.351351351351351)</f>
        <v>0.3513513514</v>
      </c>
    </row>
    <row r="9112">
      <c r="A9112" s="10" t="s">
        <v>10551</v>
      </c>
      <c r="B9112" s="7" t="str">
        <f>IFERROR(__xludf.DUMMYFUNCTION("SPLIT(A9112,"" "")"),"CC(C)N(C)Cc1ccc(N(C)C(C)(C)c2ccccn2)cn1")</f>
        <v>CC(C)N(C)Cc1ccc(N(C)C(C)(C)c2ccccn2)cn1</v>
      </c>
      <c r="C9112" s="7">
        <f>IFERROR(__xludf.DUMMYFUNCTION("""COMPUTED_VALUE"""),7.7709303)</f>
        <v>7.7709303</v>
      </c>
      <c r="D9112" s="7">
        <f>IFERROR(__xludf.DUMMYFUNCTION("""COMPUTED_VALUE"""),0.387755102040816)</f>
        <v>0.387755102</v>
      </c>
    </row>
    <row r="9113">
      <c r="A9113" s="10" t="s">
        <v>10552</v>
      </c>
      <c r="B9113" s="7" t="str">
        <f>IFERROR(__xludf.DUMMYFUNCTION("SPLIT(A9113,"" "")"),"Cc1cccc(Nc2cncc(-c3ccc(C(C)N4CCN(C)CCN(C(C)C)CC4)cn3)c2)n1")</f>
        <v>Cc1cccc(Nc2cncc(-c3ccc(C(C)N4CCN(C)CCN(C(C)C)CC4)cn3)c2)n1</v>
      </c>
      <c r="C9113" s="7">
        <f>IFERROR(__xludf.DUMMYFUNCTION("""COMPUTED_VALUE"""),7.770924)</f>
        <v>7.770924</v>
      </c>
      <c r="D9113" s="7">
        <f>IFERROR(__xludf.DUMMYFUNCTION("""COMPUTED_VALUE"""),0.287878787878787)</f>
        <v>0.2878787879</v>
      </c>
    </row>
    <row r="9114">
      <c r="A9114" s="10" t="s">
        <v>10553</v>
      </c>
      <c r="B9114" s="7" t="str">
        <f>IFERROR(__xludf.DUMMYFUNCTION("SPLIT(A9114,"" "")"),"Cc1ccc(N)c(CN(C)CC2=CCC=CN2)c1C")</f>
        <v>Cc1ccc(N)c(CN(C)CC2=CCC=CN2)c1C</v>
      </c>
      <c r="C9114" s="7">
        <f>IFERROR(__xludf.DUMMYFUNCTION("""COMPUTED_VALUE"""),7.770924)</f>
        <v>7.770924</v>
      </c>
      <c r="D9114" s="7">
        <f>IFERROR(__xludf.DUMMYFUNCTION("""COMPUTED_VALUE"""),0.37037037037037)</f>
        <v>0.3703703704</v>
      </c>
    </row>
    <row r="9115">
      <c r="A9115" s="10" t="s">
        <v>10554</v>
      </c>
      <c r="B9115" s="7" t="str">
        <f>IFERROR(__xludf.DUMMYFUNCTION("SPLIT(A9115,"" "")"),"Cc1cccnc1CN(C)C1CCCCC1N(C)Cc1cccnc1-c1ccc(N(C)C)cc1")</f>
        <v>Cc1cccnc1CN(C)C1CCCCC1N(C)Cc1cccnc1-c1ccc(N(C)C)cc1</v>
      </c>
      <c r="C9115" s="7">
        <f>IFERROR(__xludf.DUMMYFUNCTION("""COMPUTED_VALUE"""),7.7709193)</f>
        <v>7.7709193</v>
      </c>
      <c r="D9115" s="7">
        <f>IFERROR(__xludf.DUMMYFUNCTION("""COMPUTED_VALUE"""),0.425925925925925)</f>
        <v>0.4259259259</v>
      </c>
    </row>
    <row r="9116">
      <c r="A9116" s="10" t="s">
        <v>10555</v>
      </c>
      <c r="B9116" s="7" t="str">
        <f>IFERROR(__xludf.DUMMYFUNCTION("SPLIT(A9116,"" "")"),"Cc1cc(CN(C)C2C=CNC(CN(Cc3ccccn3)C(C)C)=C2)nc(C)c1C")</f>
        <v>Cc1cc(CN(C)C2C=CNC(CN(Cc3ccccn3)C(C)C)=C2)nc(C)c1C</v>
      </c>
      <c r="C9116" s="7">
        <f>IFERROR(__xludf.DUMMYFUNCTION("""COMPUTED_VALUE"""),7.7709193)</f>
        <v>7.7709193</v>
      </c>
      <c r="D9116" s="7">
        <f>IFERROR(__xludf.DUMMYFUNCTION("""COMPUTED_VALUE"""),0.406779661016949)</f>
        <v>0.406779661</v>
      </c>
    </row>
    <row r="9117">
      <c r="A9117" s="10" t="s">
        <v>10556</v>
      </c>
      <c r="B9117" s="7" t="str">
        <f>IFERROR(__xludf.DUMMYFUNCTION("SPLIT(A9117,"" "")"),"Cc1cnc(CN(C)CC2=C(N(C)C(C)C)CC=CN2)c(C)c1")</f>
        <v>Cc1cnc(CN(C)CC2=C(N(C)C(C)C)CC=CN2)c(C)c1</v>
      </c>
      <c r="C9117" s="7">
        <f>IFERROR(__xludf.DUMMYFUNCTION("""COMPUTED_VALUE"""),7.770912)</f>
        <v>7.770912</v>
      </c>
      <c r="D9117" s="7">
        <f>IFERROR(__xludf.DUMMYFUNCTION("""COMPUTED_VALUE"""),0.277777777777777)</f>
        <v>0.2777777778</v>
      </c>
    </row>
    <row r="9118">
      <c r="A9118" s="10" t="s">
        <v>10557</v>
      </c>
      <c r="B9118" s="7" t="str">
        <f>IFERROR(__xludf.DUMMYFUNCTION("SPLIT(A9118,"" "")"),"CNCc1cccc(CN(Cc2ccccn2)C2CCCCC2N(C)c2ccc3cc(CF)cnc3c2)n1")</f>
        <v>CNCc1cccc(CN(Cc2ccccn2)C2CCCCC2N(C)c2ccc3cc(CF)cnc3c2)n1</v>
      </c>
      <c r="C9118" s="7">
        <f>IFERROR(__xludf.DUMMYFUNCTION("""COMPUTED_VALUE"""),7.7709103)</f>
        <v>7.7709103</v>
      </c>
      <c r="D9118" s="7">
        <f>IFERROR(__xludf.DUMMYFUNCTION("""COMPUTED_VALUE"""),0.393939393939393)</f>
        <v>0.3939393939</v>
      </c>
    </row>
    <row r="9119">
      <c r="A9119" s="10" t="s">
        <v>10558</v>
      </c>
      <c r="B9119" s="7" t="str">
        <f>IFERROR(__xludf.DUMMYFUNCTION("SPLIT(A9119,"" "")"),"CC(C)N(Cc1cccnn1)C1CCCC(N(C)c2cccc3cccnc23)C1")</f>
        <v>CC(C)N(Cc1cccnn1)C1CCCC(N(C)c2cccc3cccnc23)C1</v>
      </c>
      <c r="C9119" s="7">
        <f>IFERROR(__xludf.DUMMYFUNCTION("""COMPUTED_VALUE"""),7.7709055)</f>
        <v>7.7709055</v>
      </c>
      <c r="D9119" s="7">
        <f>IFERROR(__xludf.DUMMYFUNCTION("""COMPUTED_VALUE"""),0.482142857142857)</f>
        <v>0.4821428571</v>
      </c>
    </row>
    <row r="9120">
      <c r="A9120" s="10" t="s">
        <v>10559</v>
      </c>
      <c r="B9120" s="7" t="str">
        <f>IFERROR(__xludf.DUMMYFUNCTION("SPLIT(A9120,"" "")"),"CN(Cc1cccnn1)C1CCCCC1N(C)c1ccc2ccc(CF)nc2c1")</f>
        <v>CN(Cc1cccnn1)C1CCCCC1N(C)c1ccc2ccc(CF)nc2c1</v>
      </c>
      <c r="C9120" s="7">
        <f>IFERROR(__xludf.DUMMYFUNCTION("""COMPUTED_VALUE"""),7.770899)</f>
        <v>7.770899</v>
      </c>
      <c r="D9120" s="7">
        <f>IFERROR(__xludf.DUMMYFUNCTION("""COMPUTED_VALUE"""),0.47457627118644)</f>
        <v>0.4745762712</v>
      </c>
    </row>
    <row r="9121">
      <c r="A9121" s="10" t="s">
        <v>10560</v>
      </c>
      <c r="B9121" s="7" t="str">
        <f>IFERROR(__xludf.DUMMYFUNCTION("SPLIT(A9121,"" "")"),"Cc1ccc(CN(CF)C2CCCC(N(C)c3ccc4cc(CF)cnc4c3)C2)nc1")</f>
        <v>Cc1ccc(CN(CF)C2CCCC(N(C)c3ccc4cc(CF)cnc4c3)C2)nc1</v>
      </c>
      <c r="C9121" s="7">
        <f>IFERROR(__xludf.DUMMYFUNCTION("""COMPUTED_VALUE"""),7.770872)</f>
        <v>7.770872</v>
      </c>
      <c r="D9121" s="7">
        <f>IFERROR(__xludf.DUMMYFUNCTION("""COMPUTED_VALUE"""),0.387096774193548)</f>
        <v>0.3870967742</v>
      </c>
    </row>
    <row r="9122">
      <c r="A9122" s="10" t="s">
        <v>10561</v>
      </c>
      <c r="B9122" s="7" t="str">
        <f>IFERROR(__xludf.DUMMYFUNCTION("SPLIT(A9122,"" "")"),"CN(c1cccc2cc(CF)cnc12)C1CCCCC1N(CC1=CCC=CN1)Cc1ccccn1")</f>
        <v>CN(c1cccc2cc(CF)cnc12)C1CCCCC1N(CC1=CCC=CN1)Cc1ccccn1</v>
      </c>
      <c r="C9122" s="7">
        <f>IFERROR(__xludf.DUMMYFUNCTION("""COMPUTED_VALUE"""),7.770858)</f>
        <v>7.770858</v>
      </c>
      <c r="D9122" s="7">
        <f>IFERROR(__xludf.DUMMYFUNCTION("""COMPUTED_VALUE"""),0.436619718309859)</f>
        <v>0.4366197183</v>
      </c>
    </row>
    <row r="9123">
      <c r="A9123" s="10" t="s">
        <v>10562</v>
      </c>
      <c r="B9123" s="7" t="str">
        <f>IFERROR(__xludf.DUMMYFUNCTION("SPLIT(A9123,"" "")"),"CCNc1cccc(CN(Cc2ccccn2)Cc2ncccc2C)n1")</f>
        <v>CCNc1cccc(CN(Cc2ccccn2)Cc2ncccc2C)n1</v>
      </c>
      <c r="C9123" s="7">
        <f>IFERROR(__xludf.DUMMYFUNCTION("""COMPUTED_VALUE"""),7.7708545)</f>
        <v>7.7708545</v>
      </c>
      <c r="D9123" s="7">
        <f>IFERROR(__xludf.DUMMYFUNCTION("""COMPUTED_VALUE"""),0.476190476190476)</f>
        <v>0.4761904762</v>
      </c>
    </row>
    <row r="9124">
      <c r="A9124" s="10" t="s">
        <v>10563</v>
      </c>
      <c r="B9124" s="7" t="str">
        <f>IFERROR(__xludf.DUMMYFUNCTION("SPLIT(A9124,"" "")"),"FCc1ccc2cccc(N(Cc3ccccn3)Cc3cccc(-c4ccc5c(c4)OCCOCCOCCOCCOCCO5)n3)c2n1")</f>
        <v>FCc1ccc2cccc(N(Cc3ccccn3)Cc3cccc(-c4ccc5c(c4)OCCOCCOCCOCCOCCO5)n3)c2n1</v>
      </c>
      <c r="C9124" s="7">
        <f>IFERROR(__xludf.DUMMYFUNCTION("""COMPUTED_VALUE"""),7.770853)</f>
        <v>7.770853</v>
      </c>
      <c r="D9124" s="7">
        <f>IFERROR(__xludf.DUMMYFUNCTION("""COMPUTED_VALUE"""),0.388888888888888)</f>
        <v>0.3888888889</v>
      </c>
    </row>
    <row r="9125">
      <c r="A9125" s="10" t="s">
        <v>10564</v>
      </c>
      <c r="B9125" s="7" t="str">
        <f>IFERROR(__xludf.DUMMYFUNCTION("SPLIT(A9125,"" "")"),"COC(=O)C(C)NCc1cc(C(=O)C(C)NCc2ccccn2)ccn1")</f>
        <v>COC(=O)C(C)NCc1cc(C(=O)C(C)NCc2ccccn2)ccn1</v>
      </c>
      <c r="C9125" s="7">
        <f>IFERROR(__xludf.DUMMYFUNCTION("""COMPUTED_VALUE"""),7.7708454)</f>
        <v>7.7708454</v>
      </c>
      <c r="D9125" s="7">
        <f>IFERROR(__xludf.DUMMYFUNCTION("""COMPUTED_VALUE"""),0.354166666666666)</f>
        <v>0.3541666667</v>
      </c>
    </row>
    <row r="9126">
      <c r="A9126" s="10" t="s">
        <v>10565</v>
      </c>
      <c r="B9126" s="7" t="str">
        <f>IFERROR(__xludf.DUMMYFUNCTION("SPLIT(A9126,"" "")"),"Cc1ccc(C)c(CN(C)C2=C(CN(C)CC(C)(C)C)NC=CC2)n1")</f>
        <v>Cc1ccc(C)c(CN(C)C2=C(CN(C)CC(C)(C)C)NC=CC2)n1</v>
      </c>
      <c r="C9126" s="7">
        <f>IFERROR(__xludf.DUMMYFUNCTION("""COMPUTED_VALUE"""),7.770845)</f>
        <v>7.770845</v>
      </c>
      <c r="D9126" s="7">
        <f>IFERROR(__xludf.DUMMYFUNCTION("""COMPUTED_VALUE"""),0.245614035087719)</f>
        <v>0.2456140351</v>
      </c>
    </row>
    <row r="9127">
      <c r="A9127" s="10" t="s">
        <v>10566</v>
      </c>
      <c r="B9127" s="7" t="str">
        <f>IFERROR(__xludf.DUMMYFUNCTION("SPLIT(A9127,"" "")"),"CC(C)N(Cc1ccccn1)C1CC2CCC1C2N(C)c1ccc2cccnc2c1")</f>
        <v>CC(C)N(Cc1ccccn1)C1CC2CCC1C2N(C)c1ccc2cccnc2c1</v>
      </c>
      <c r="C9127" s="7">
        <f>IFERROR(__xludf.DUMMYFUNCTION("""COMPUTED_VALUE"""),7.7708426)</f>
        <v>7.7708426</v>
      </c>
      <c r="D9127" s="7">
        <f>IFERROR(__xludf.DUMMYFUNCTION("""COMPUTED_VALUE"""),0.370967741935483)</f>
        <v>0.3709677419</v>
      </c>
    </row>
    <row r="9128">
      <c r="A9128" s="10" t="s">
        <v>10567</v>
      </c>
      <c r="B9128" s="7" t="str">
        <f>IFERROR(__xludf.DUMMYFUNCTION("SPLIT(A9128,"" "")"),"CNCN(Cc1ccc(C)cn1)Cc1nc(C)c(C)c(C)c1C")</f>
        <v>CNCN(Cc1ccc(C)cn1)Cc1nc(C)c(C)c(C)c1C</v>
      </c>
      <c r="C9128" s="7">
        <f>IFERROR(__xludf.DUMMYFUNCTION("""COMPUTED_VALUE"""),7.770842)</f>
        <v>7.770842</v>
      </c>
      <c r="D9128" s="7">
        <f>IFERROR(__xludf.DUMMYFUNCTION("""COMPUTED_VALUE"""),0.422222222222222)</f>
        <v>0.4222222222</v>
      </c>
    </row>
    <row r="9129">
      <c r="A9129" s="10" t="s">
        <v>10568</v>
      </c>
      <c r="B9129" s="7" t="str">
        <f>IFERROR(__xludf.DUMMYFUNCTION("SPLIT(A9129,"" "")"),"CC1C=CC(C)C(C)(c2cc(CN(Cc3ccccn3)C3CCC(N(C)c4ccc5nc(CF)ccc5c4)CC3)ccn2)C1")</f>
        <v>CC1C=CC(C)C(C)(c2cc(CN(Cc3ccccn3)C3CCC(N(C)c4ccc5nc(CF)ccc5c4)CC3)ccn2)C1</v>
      </c>
      <c r="C9129" s="7">
        <f>IFERROR(__xludf.DUMMYFUNCTION("""COMPUTED_VALUE"""),7.7708325)</f>
        <v>7.7708325</v>
      </c>
      <c r="D9129" s="7">
        <f>IFERROR(__xludf.DUMMYFUNCTION("""COMPUTED_VALUE"""),0.294871794871794)</f>
        <v>0.2948717949</v>
      </c>
    </row>
    <row r="9130">
      <c r="A9130" s="10" t="s">
        <v>10569</v>
      </c>
      <c r="B9130" s="7" t="str">
        <f>IFERROR(__xludf.DUMMYFUNCTION("SPLIT(A9130,"" "")"),"Cc1ccnc(CN(CC2=CNC=CC2)Cc2ccccn2)c1")</f>
        <v>Cc1ccnc(CN(CC2=CNC=CC2)Cc2ccccn2)c1</v>
      </c>
      <c r="C9130" s="7">
        <f>IFERROR(__xludf.DUMMYFUNCTION("""COMPUTED_VALUE"""),7.770831)</f>
        <v>7.770831</v>
      </c>
      <c r="D9130" s="7">
        <f>IFERROR(__xludf.DUMMYFUNCTION("""COMPUTED_VALUE"""),0.454545454545454)</f>
        <v>0.4545454545</v>
      </c>
    </row>
    <row r="9131">
      <c r="A9131" s="10" t="s">
        <v>10570</v>
      </c>
      <c r="B9131" s="7" t="str">
        <f>IFERROR(__xludf.DUMMYFUNCTION("SPLIT(A9131,"" "")"),"Cc1cc(N(C)Cc2ccccn2)ccc1C(C)(C)c1ncccc1CN(C)C1CCCC(N(C)Cc2ccccn2)C1")</f>
        <v>Cc1cc(N(C)Cc2ccccn2)ccc1C(C)(C)c1ncccc1CN(C)C1CCCC(N(C)Cc2ccccn2)C1</v>
      </c>
      <c r="C9131" s="7">
        <f>IFERROR(__xludf.DUMMYFUNCTION("""COMPUTED_VALUE"""),7.770829)</f>
        <v>7.770829</v>
      </c>
      <c r="D9131" s="7">
        <f>IFERROR(__xludf.DUMMYFUNCTION("""COMPUTED_VALUE"""),0.403225806451612)</f>
        <v>0.4032258065</v>
      </c>
    </row>
    <row r="9132">
      <c r="A9132" s="10" t="s">
        <v>10571</v>
      </c>
      <c r="B9132" s="7" t="str">
        <f>IFERROR(__xludf.DUMMYFUNCTION("SPLIT(A9132,"" "")"),"Cc1ccc(C(C)(C)c2cc(CN(Cc3ccccn3)C3CCCCC3)ccn2)cc1N=Cc1ccccn1")</f>
        <v>Cc1ccc(C(C)(C)c2cc(CN(Cc3ccccn3)C3CCCCC3)ccn2)cc1N=Cc1ccccn1</v>
      </c>
      <c r="C9132" s="7">
        <f>IFERROR(__xludf.DUMMYFUNCTION("""COMPUTED_VALUE"""),7.7708287)</f>
        <v>7.7708287</v>
      </c>
      <c r="D9132" s="7">
        <f>IFERROR(__xludf.DUMMYFUNCTION("""COMPUTED_VALUE"""),0.338028169014084)</f>
        <v>0.338028169</v>
      </c>
    </row>
    <row r="9133">
      <c r="A9133" s="10" t="s">
        <v>10572</v>
      </c>
      <c r="B9133" s="7" t="str">
        <f>IFERROR(__xludf.DUMMYFUNCTION("SPLIT(A9133,"" "")"),"Cc1cnc(CN(C)CC2=CNC=C(N(C)C(C)C)C2)c(C)c1")</f>
        <v>Cc1cnc(CN(C)CC2=CNC=C(N(C)C(C)C)C2)c(C)c1</v>
      </c>
      <c r="C9133" s="7">
        <f>IFERROR(__xludf.DUMMYFUNCTION("""COMPUTED_VALUE"""),7.7708254)</f>
        <v>7.7708254</v>
      </c>
      <c r="D9133" s="7">
        <f>IFERROR(__xludf.DUMMYFUNCTION("""COMPUTED_VALUE"""),0.277777777777777)</f>
        <v>0.2777777778</v>
      </c>
    </row>
    <row r="9134">
      <c r="A9134" s="10" t="s">
        <v>10573</v>
      </c>
      <c r="B9134" s="7" t="str">
        <f>IFERROR(__xludf.DUMMYFUNCTION("SPLIT(A9134,"" "")"),"CNCc1cccc(CN(Cc2ccccn2)C2CCCCC2N(C)c2cccc3ncccc23)n1")</f>
        <v>CNCc1cccc(CN(Cc2ccccn2)C2CCCCC2N(C)c2cccc3ncccc23)n1</v>
      </c>
      <c r="C9134" s="7">
        <f>IFERROR(__xludf.DUMMYFUNCTION("""COMPUTED_VALUE"""),7.7708178)</f>
        <v>7.7708178</v>
      </c>
      <c r="D9134" s="7">
        <f>IFERROR(__xludf.DUMMYFUNCTION("""COMPUTED_VALUE"""),0.440677966101694)</f>
        <v>0.4406779661</v>
      </c>
    </row>
    <row r="9135">
      <c r="A9135" s="10" t="s">
        <v>10574</v>
      </c>
      <c r="B9135" s="7" t="str">
        <f>IFERROR(__xludf.DUMMYFUNCTION("SPLIT(A9135,"" "")"),"CCN(Cc1ccccn1)Cc1ccc2cccc(N(C)Cc3cc(-c4ccc5c(c4)OCCOCCOCCOCCOCCO5)ccn3)c2n1")</f>
        <v>CCN(Cc1ccccn1)Cc1ccc2cccc(N(C)Cc3cc(-c4ccc5c(c4)OCCOCCOCCOCCOCCO5)ccn3)c2n1</v>
      </c>
      <c r="C9135" s="7">
        <f>IFERROR(__xludf.DUMMYFUNCTION("""COMPUTED_VALUE"""),7.770808)</f>
        <v>7.770808</v>
      </c>
      <c r="D9135" s="7">
        <f>IFERROR(__xludf.DUMMYFUNCTION("""COMPUTED_VALUE"""),0.352941176470588)</f>
        <v>0.3529411765</v>
      </c>
    </row>
    <row r="9136">
      <c r="A9136" s="10" t="s">
        <v>10575</v>
      </c>
      <c r="B9136" s="7" t="str">
        <f>IFERROR(__xludf.DUMMYFUNCTION("SPLIT(A9136,"" "")"),"CN(c1ccc2ncccc2c1)C1CCC(N(Cc2ccccc2)Cc2ccccn2)CC1")</f>
        <v>CN(c1ccc2ncccc2c1)C1CCC(N(Cc2ccccc2)Cc2ccccn2)CC1</v>
      </c>
      <c r="C9136" s="7">
        <f>IFERROR(__xludf.DUMMYFUNCTION("""COMPUTED_VALUE"""),7.7707977)</f>
        <v>7.7707977</v>
      </c>
      <c r="D9136" s="7">
        <f>IFERROR(__xludf.DUMMYFUNCTION("""COMPUTED_VALUE"""),0.392857142857142)</f>
        <v>0.3928571429</v>
      </c>
    </row>
    <row r="9137">
      <c r="A9137" s="10" t="s">
        <v>10576</v>
      </c>
      <c r="B9137" s="7" t="str">
        <f>IFERROR(__xludf.DUMMYFUNCTION("SPLIT(A9137,"" "")"),"CN(c1ccc2cccnc2c1)C1CCCCC1N(Cc1cccnc1)Cc1ccccn1")</f>
        <v>CN(c1ccc2cccnc2c1)C1CCCCC1N(Cc1cccnc1)Cc1ccccn1</v>
      </c>
      <c r="C9137" s="7">
        <f>IFERROR(__xludf.DUMMYFUNCTION("""COMPUTED_VALUE"""),7.770793)</f>
        <v>7.770793</v>
      </c>
      <c r="D9137" s="7">
        <f>IFERROR(__xludf.DUMMYFUNCTION("""COMPUTED_VALUE"""),0.440677966101694)</f>
        <v>0.4406779661</v>
      </c>
    </row>
    <row r="9138">
      <c r="A9138" s="10" t="s">
        <v>10577</v>
      </c>
      <c r="B9138" s="7" t="str">
        <f>IFERROR(__xludf.DUMMYFUNCTION("SPLIT(A9138,"" "")"),"Cc1cccc(CN(C)C2C(N(C)Cc3ncc(C)c(C)c3C)CCCC2N(Cc2nc(C)c(C)c(C)c2C)Cc2nc(C)c(C)c(C)c2Cl)n1")</f>
        <v>Cc1cccc(CN(C)C2C(N(C)Cc3ncc(C)c(C)c3C)CCCC2N(Cc2nc(C)c(C)c(C)c2C)Cc2nc(C)c(C)c(C)c2Cl)n1</v>
      </c>
      <c r="C9138" s="7">
        <f>IFERROR(__xludf.DUMMYFUNCTION("""COMPUTED_VALUE"""),7.770791)</f>
        <v>7.770791</v>
      </c>
      <c r="D9138" s="7">
        <f>IFERROR(__xludf.DUMMYFUNCTION("""COMPUTED_VALUE"""),0.453125)</f>
        <v>0.453125</v>
      </c>
    </row>
    <row r="9139">
      <c r="A9139" s="10" t="s">
        <v>10578</v>
      </c>
      <c r="B9139" s="7" t="str">
        <f>IFERROR(__xludf.DUMMYFUNCTION("SPLIT(A9139,"" "")"),"Cc1cnc(C2CCC2(C)C)c(C(C)C(C)NCc2cc(C3=NC(C)(C)CO3)ccn2)c1C")</f>
        <v>Cc1cnc(C2CCC2(C)C)c(C(C)C(C)NCc2cc(C3=NC(C)(C)CO3)ccn2)c1C</v>
      </c>
      <c r="C9139" s="7">
        <f>IFERROR(__xludf.DUMMYFUNCTION("""COMPUTED_VALUE"""),7.7707896)</f>
        <v>7.7707896</v>
      </c>
      <c r="D9139" s="7">
        <f>IFERROR(__xludf.DUMMYFUNCTION("""COMPUTED_VALUE"""),0.271428571428571)</f>
        <v>0.2714285714</v>
      </c>
    </row>
    <row r="9140">
      <c r="A9140" s="10" t="s">
        <v>10579</v>
      </c>
      <c r="B9140" s="7" t="str">
        <f>IFERROR(__xludf.DUMMYFUNCTION("SPLIT(A9140,"" "")"),"Cc1ccc(CN(C)C2C=CNC(CN(C)Cc3ncccc3C)=C2)nc1")</f>
        <v>Cc1ccc(CN(C)C2C=CNC(CN(C)Cc3ncccc3C)=C2)nc1</v>
      </c>
      <c r="C9140" s="7">
        <f>IFERROR(__xludf.DUMMYFUNCTION("""COMPUTED_VALUE"""),7.770785)</f>
        <v>7.770785</v>
      </c>
      <c r="D9140" s="7">
        <f>IFERROR(__xludf.DUMMYFUNCTION("""COMPUTED_VALUE"""),0.389830508474576)</f>
        <v>0.3898305085</v>
      </c>
    </row>
    <row r="9141">
      <c r="A9141" s="10" t="s">
        <v>10580</v>
      </c>
      <c r="B9141" s="7" t="str">
        <f>IFERROR(__xludf.DUMMYFUNCTION("SPLIT(A9141,"" "")"),"C(=Nc1cccc(-c2cccc(CN(Cc3ccccn3)Cc3ccc(-c4ccc5c(c4)OCCOCCOCCOCCOCCO5)cn3)n2)c1)c1ccccn1")</f>
        <v>C(=Nc1cccc(-c2cccc(CN(Cc3ccccn3)Cc3ccc(-c4ccc5c(c4)OCCOCCOCCOCCOCCO5)cn3)n2)c1)c1ccccn1</v>
      </c>
      <c r="C9141" s="7">
        <f>IFERROR(__xludf.DUMMYFUNCTION("""COMPUTED_VALUE"""),7.7707686)</f>
        <v>7.7707686</v>
      </c>
      <c r="D9141" s="7">
        <f>IFERROR(__xludf.DUMMYFUNCTION("""COMPUTED_VALUE"""),0.413333333333333)</f>
        <v>0.4133333333</v>
      </c>
    </row>
    <row r="9142">
      <c r="A9142" s="10" t="s">
        <v>10581</v>
      </c>
      <c r="B9142" s="7" t="str">
        <f>IFERROR(__xludf.DUMMYFUNCTION("SPLIT(A9142,"" "")"),"Cc1cccc(-c2ccc(CNCC3CCCN3Cc3cc(C)c(C)cn3)cc2)n1")</f>
        <v>Cc1cccc(-c2ccc(CNCC3CCCN3Cc3cc(C)c(C)cn3)cc2)n1</v>
      </c>
      <c r="C9142" s="7">
        <f>IFERROR(__xludf.DUMMYFUNCTION("""COMPUTED_VALUE"""),7.77076)</f>
        <v>7.77076</v>
      </c>
      <c r="D9142" s="7">
        <f>IFERROR(__xludf.DUMMYFUNCTION("""COMPUTED_VALUE"""),0.403225806451612)</f>
        <v>0.4032258065</v>
      </c>
    </row>
    <row r="9143">
      <c r="A9143" s="10" t="s">
        <v>10582</v>
      </c>
      <c r="B9143" s="7" t="str">
        <f>IFERROR(__xludf.DUMMYFUNCTION("SPLIT(A9143,"" "")"),"CN(CC1=CCC=CN1)C1CCCC(N(C)c2cccc3ncccc23)C1")</f>
        <v>CN(CC1=CCC=CN1)C1CCCC(N(C)c2cccc3ncccc23)C1</v>
      </c>
      <c r="C9143" s="7">
        <f>IFERROR(__xludf.DUMMYFUNCTION("""COMPUTED_VALUE"""),7.77075)</f>
        <v>7.77075</v>
      </c>
      <c r="D9143" s="7">
        <f>IFERROR(__xludf.DUMMYFUNCTION("""COMPUTED_VALUE"""),0.403225806451612)</f>
        <v>0.4032258065</v>
      </c>
    </row>
    <row r="9144">
      <c r="A9144" s="10" t="s">
        <v>10583</v>
      </c>
      <c r="B9144" s="7" t="str">
        <f>IFERROR(__xludf.DUMMYFUNCTION("SPLIT(A9144,"" "")"),"CN(CC1=CC(N(C)Cc2ccccn2)C=CN1)Cc1ccon1")</f>
        <v>CN(CC1=CC(N(C)Cc2ccccn2)C=CN1)Cc1ccon1</v>
      </c>
      <c r="C9144" s="7">
        <f>IFERROR(__xludf.DUMMYFUNCTION("""COMPUTED_VALUE"""),7.770747)</f>
        <v>7.770747</v>
      </c>
      <c r="D9144" s="7">
        <f>IFERROR(__xludf.DUMMYFUNCTION("""COMPUTED_VALUE"""),0.403846153846153)</f>
        <v>0.4038461538</v>
      </c>
    </row>
    <row r="9145">
      <c r="A9145" s="10" t="s">
        <v>10584</v>
      </c>
      <c r="B9145" s="7" t="str">
        <f>IFERROR(__xludf.DUMMYFUNCTION("SPLIT(A9145,"" "")"),"CC(C)C(C)(c1cccnc1)N(Cc1ccccn1)C1CCCCC1N(C)c1ccc2c(CF)ccnc2c1")</f>
        <v>CC(C)C(C)(c1cccnc1)N(Cc1ccccn1)C1CCCCC1N(C)c1ccc2c(CF)ccnc2c1</v>
      </c>
      <c r="C9145" s="7">
        <f>IFERROR(__xludf.DUMMYFUNCTION("""COMPUTED_VALUE"""),7.7707443)</f>
        <v>7.7707443</v>
      </c>
      <c r="D9145" s="7">
        <f>IFERROR(__xludf.DUMMYFUNCTION("""COMPUTED_VALUE"""),0.361111111111111)</f>
        <v>0.3611111111</v>
      </c>
    </row>
    <row r="9146">
      <c r="A9146" s="10" t="s">
        <v>10585</v>
      </c>
      <c r="B9146" s="7" t="str">
        <f>IFERROR(__xludf.DUMMYFUNCTION("SPLIT(A9146,"" "")"),"CNCc1cccc(CN(Cc2ccccn2)Cc2ncccc2N)n1")</f>
        <v>CNCc1cccc(CN(Cc2ccccn2)Cc2ncccc2N)n1</v>
      </c>
      <c r="C9146" s="7">
        <f>IFERROR(__xludf.DUMMYFUNCTION("""COMPUTED_VALUE"""),7.7707434)</f>
        <v>7.7707434</v>
      </c>
      <c r="D9146" s="7">
        <f>IFERROR(__xludf.DUMMYFUNCTION("""COMPUTED_VALUE"""),0.476190476190476)</f>
        <v>0.4761904762</v>
      </c>
    </row>
    <row r="9147">
      <c r="A9147" s="10" t="s">
        <v>10586</v>
      </c>
      <c r="B9147" s="7" t="str">
        <f>IFERROR(__xludf.DUMMYFUNCTION("SPLIT(A9147,"" "")"),"Cc1cncc(CN(C)CC2=CC(N(C)Cc3ncccc3C)C=CN2)c1")</f>
        <v>Cc1cncc(CN(C)CC2=CC(N(C)Cc3ncccc3C)C=CN2)c1</v>
      </c>
      <c r="C9147" s="7">
        <f>IFERROR(__xludf.DUMMYFUNCTION("""COMPUTED_VALUE"""),7.7707405)</f>
        <v>7.7707405</v>
      </c>
      <c r="D9147" s="7">
        <f>IFERROR(__xludf.DUMMYFUNCTION("""COMPUTED_VALUE"""),0.279411764705882)</f>
        <v>0.2794117647</v>
      </c>
    </row>
    <row r="9148">
      <c r="A9148" s="10" t="s">
        <v>10587</v>
      </c>
      <c r="B9148" s="7" t="str">
        <f>IFERROR(__xludf.DUMMYFUNCTION("SPLIT(A9148,"" "")"),"CN(Cc1cccnn1)C1CCCCC1N(C)c1ccc2cc(CF)cnc2c1")</f>
        <v>CN(Cc1cccnn1)C1CCCCC1N(C)c1ccc2cc(CF)cnc2c1</v>
      </c>
      <c r="C9148" s="7">
        <f>IFERROR(__xludf.DUMMYFUNCTION("""COMPUTED_VALUE"""),7.770734)</f>
        <v>7.770734</v>
      </c>
      <c r="D9148" s="7">
        <f>IFERROR(__xludf.DUMMYFUNCTION("""COMPUTED_VALUE"""),0.423728813559322)</f>
        <v>0.4237288136</v>
      </c>
    </row>
    <row r="9149">
      <c r="A9149" s="10" t="s">
        <v>10588</v>
      </c>
      <c r="B9149" s="7" t="str">
        <f>IFERROR(__xludf.DUMMYFUNCTION("SPLIT(A9149,"" "")"),"CC(c1ccnc(CNCNCF)c1)(c1ccccn1)c1ccccn1")</f>
        <v>CC(c1ccnc(CNCNCF)c1)(c1ccccn1)c1ccccn1</v>
      </c>
      <c r="C9149" s="7">
        <f>IFERROR(__xludf.DUMMYFUNCTION("""COMPUTED_VALUE"""),7.770722)</f>
        <v>7.770722</v>
      </c>
      <c r="D9149" s="7">
        <f>IFERROR(__xludf.DUMMYFUNCTION("""COMPUTED_VALUE"""),0.369565217391304)</f>
        <v>0.3695652174</v>
      </c>
    </row>
    <row r="9150">
      <c r="A9150" s="10" t="s">
        <v>10589</v>
      </c>
      <c r="B9150" s="7" t="str">
        <f>IFERROR(__xludf.DUMMYFUNCTION("SPLIT(A9150,"" "")"),"Cc1cc(C)c(C)c(CN(C)CCN(C)Cc2nccc(C)c2C)n1")</f>
        <v>Cc1cc(C)c(C)c(CN(C)CCN(C)Cc2nccc(C)c2C)n1</v>
      </c>
      <c r="C9150" s="7">
        <f>IFERROR(__xludf.DUMMYFUNCTION("""COMPUTED_VALUE"""),7.7707214)</f>
        <v>7.7707214</v>
      </c>
      <c r="D9150" s="7">
        <f>IFERROR(__xludf.DUMMYFUNCTION("""COMPUTED_VALUE"""),0.372093023255813)</f>
        <v>0.3720930233</v>
      </c>
    </row>
    <row r="9151">
      <c r="A9151" s="10" t="s">
        <v>10590</v>
      </c>
      <c r="B9151" s="7" t="str">
        <f>IFERROR(__xludf.DUMMYFUNCTION("SPLIT(A9151,"" "")"),"CCN(CCN(C)Cc1nc(C)c(C)cc1C)Cc1nc(C)c(C)cc1C")</f>
        <v>CCN(CCN(C)Cc1nc(C)c(C)cc1C)Cc1nc(C)c(C)cc1C</v>
      </c>
      <c r="C9151" s="7">
        <f>IFERROR(__xludf.DUMMYFUNCTION("""COMPUTED_VALUE"""),7.7707195)</f>
        <v>7.7707195</v>
      </c>
      <c r="D9151" s="7">
        <f>IFERROR(__xludf.DUMMYFUNCTION("""COMPUTED_VALUE"""),0.333333333333333)</f>
        <v>0.3333333333</v>
      </c>
    </row>
    <row r="9152">
      <c r="A9152" s="10" t="s">
        <v>10591</v>
      </c>
      <c r="B9152" s="7" t="str">
        <f>IFERROR(__xludf.DUMMYFUNCTION("SPLIT(A9152,"" "")"),"CN(c1ccc2ncccc2c1)C1CCCCC1N(Cc1cccnc1)Cc1ccccn1")</f>
        <v>CN(c1ccc2ncccc2c1)C1CCCCC1N(Cc1cccnc1)Cc1ccccn1</v>
      </c>
      <c r="C9152" s="7">
        <f>IFERROR(__xludf.DUMMYFUNCTION("""COMPUTED_VALUE"""),7.770712)</f>
        <v>7.770712</v>
      </c>
      <c r="D9152" s="7">
        <f>IFERROR(__xludf.DUMMYFUNCTION("""COMPUTED_VALUE"""),0.448275862068965)</f>
        <v>0.4482758621</v>
      </c>
    </row>
    <row r="9153">
      <c r="A9153" s="10" t="s">
        <v>10592</v>
      </c>
      <c r="B9153" s="7" t="str">
        <f>IFERROR(__xludf.DUMMYFUNCTION("SPLIT(A9153,"" "")"),"Cc1cnc(CN(C)C2=CCC=C(CN(C)C(C)C(C)C)N2)c(C)c1")</f>
        <v>Cc1cnc(CN(C)C2=CCC=C(CN(C)C(C)C(C)C)N2)c(C)c1</v>
      </c>
      <c r="C9153" s="7">
        <f>IFERROR(__xludf.DUMMYFUNCTION("""COMPUTED_VALUE"""),7.7707095)</f>
        <v>7.7707095</v>
      </c>
      <c r="D9153" s="7">
        <f>IFERROR(__xludf.DUMMYFUNCTION("""COMPUTED_VALUE"""),0.224137931034482)</f>
        <v>0.224137931</v>
      </c>
    </row>
    <row r="9154">
      <c r="A9154" s="10" t="s">
        <v>10593</v>
      </c>
      <c r="B9154" s="7" t="str">
        <f>IFERROR(__xludf.DUMMYFUNCTION("SPLIT(A9154,"" "")"),"CCNCc1cc(CN(Cc2ccccn2)C2CCCCC2N(C)c2ccc3nc(CN(C)C)ccc3c2)ccn1")</f>
        <v>CCNCc1cc(CN(Cc2ccccn2)C2CCCCC2N(C)c2ccc3nc(CN(C)C)ccc3c2)ccn1</v>
      </c>
      <c r="C9154" s="7">
        <f>IFERROR(__xludf.DUMMYFUNCTION("""COMPUTED_VALUE"""),7.770708)</f>
        <v>7.770708</v>
      </c>
      <c r="D9154" s="7">
        <f>IFERROR(__xludf.DUMMYFUNCTION("""COMPUTED_VALUE"""),0.388059701492537)</f>
        <v>0.3880597015</v>
      </c>
    </row>
    <row r="9155">
      <c r="A9155" s="10" t="s">
        <v>10594</v>
      </c>
      <c r="B9155" s="7" t="str">
        <f>IFERROR(__xludf.DUMMYFUNCTION("SPLIT(A9155,"" "")"),"CC(C)N(Cc1ccccn1)C1CCC(N(C)c2ccc3cc(CF)cnc3c2)CC1")</f>
        <v>CC(C)N(Cc1ccccn1)C1CCC(N(C)c2ccc3cc(CF)cnc3c2)CC1</v>
      </c>
      <c r="C9155" s="7">
        <f>IFERROR(__xludf.DUMMYFUNCTION("""COMPUTED_VALUE"""),7.770706)</f>
        <v>7.770706</v>
      </c>
      <c r="D9155" s="7">
        <f>IFERROR(__xludf.DUMMYFUNCTION("""COMPUTED_VALUE"""),0.360655737704918)</f>
        <v>0.3606557377</v>
      </c>
    </row>
    <row r="9156">
      <c r="A9156" s="10" t="s">
        <v>10595</v>
      </c>
      <c r="B9156" s="7" t="str">
        <f>IFERROR(__xludf.DUMMYFUNCTION("SPLIT(A9156,"" "")"),"CN(Cc1cccc(-c2ccc(N=Cc3ccccn3)cc2)n1)Cc1cccc(-c2ccc3c(c2)OCCOCCOCCOCCOCCO3)n1")</f>
        <v>CN(Cc1cccc(-c2ccc(N=Cc3ccccn3)cc2)n1)Cc1cccc(-c2ccc3c(c2)OCCOCCOCCOCCOCCO3)n1</v>
      </c>
      <c r="C9156" s="7">
        <f>IFERROR(__xludf.DUMMYFUNCTION("""COMPUTED_VALUE"""),7.7707033)</f>
        <v>7.7707033</v>
      </c>
      <c r="D9156" s="7">
        <f>IFERROR(__xludf.DUMMYFUNCTION("""COMPUTED_VALUE"""),0.40625)</f>
        <v>0.40625</v>
      </c>
    </row>
    <row r="9157">
      <c r="A9157" s="10" t="s">
        <v>10596</v>
      </c>
      <c r="B9157" s="7" t="str">
        <f>IFERROR(__xludf.DUMMYFUNCTION("SPLIT(A9157,"" "")"),"CN(C)C1CCCC(N(C)c2ccc3ccc(CF)nc3c2)C1")</f>
        <v>CN(C)C1CCCC(N(C)c2ccc3ccc(CF)nc3c2)C1</v>
      </c>
      <c r="C9157" s="7">
        <f>IFERROR(__xludf.DUMMYFUNCTION("""COMPUTED_VALUE"""),7.7707033)</f>
        <v>7.7707033</v>
      </c>
      <c r="D9157" s="7">
        <f>IFERROR(__xludf.DUMMYFUNCTION("""COMPUTED_VALUE"""),0.407407407407407)</f>
        <v>0.4074074074</v>
      </c>
    </row>
    <row r="9158">
      <c r="A9158" s="10" t="s">
        <v>10597</v>
      </c>
      <c r="B9158" s="7" t="str">
        <f>IFERROR(__xludf.DUMMYFUNCTION("SPLIT(A9158,"" "")"),"CC(C)N(Cc1ccccn1)C1CCC(N(C)c2ccc3ccc(CF)nc3c2)CC1")</f>
        <v>CC(C)N(Cc1ccccn1)C1CCC(N(C)c2ccc3ccc(CF)nc3c2)CC1</v>
      </c>
      <c r="C9158" s="7">
        <f>IFERROR(__xludf.DUMMYFUNCTION("""COMPUTED_VALUE"""),7.770693)</f>
        <v>7.770693</v>
      </c>
      <c r="D9158" s="7">
        <f>IFERROR(__xludf.DUMMYFUNCTION("""COMPUTED_VALUE"""),0.403508771929824)</f>
        <v>0.4035087719</v>
      </c>
    </row>
    <row r="9159">
      <c r="A9159" s="10" t="s">
        <v>10598</v>
      </c>
      <c r="B9159" s="7" t="str">
        <f>IFERROR(__xludf.DUMMYFUNCTION("SPLIT(A9159,"" "")"),"CNCc1ccc2cccc(N(Cc3cccnn3)C3CCCCC3)c2n1")</f>
        <v>CNCc1ccc2cccc(N(Cc3cccnn3)C3CCCCC3)c2n1</v>
      </c>
      <c r="C9159" s="7">
        <f>IFERROR(__xludf.DUMMYFUNCTION("""COMPUTED_VALUE"""),7.770691)</f>
        <v>7.770691</v>
      </c>
      <c r="D9159" s="7">
        <f>IFERROR(__xludf.DUMMYFUNCTION("""COMPUTED_VALUE"""),0.403225806451612)</f>
        <v>0.4032258065</v>
      </c>
    </row>
    <row r="9160">
      <c r="A9160" s="10" t="s">
        <v>10599</v>
      </c>
      <c r="B9160" s="7" t="str">
        <f>IFERROR(__xludf.DUMMYFUNCTION("SPLIT(A9160,"" "")"),"CN(Cc1ccc(-c2cccc(N=Cc3ccccn3)c2)cn1)Cc1ccc(-c2ccc3c(c2)OCCOCCOCCOCCOCCO3)cn1")</f>
        <v>CN(Cc1ccc(-c2cccc(N=Cc3ccccn3)c2)cn1)Cc1ccc(-c2ccc3c(c2)OCCOCCOCCOCCOCCO3)cn1</v>
      </c>
      <c r="C9160" s="7">
        <f>IFERROR(__xludf.DUMMYFUNCTION("""COMPUTED_VALUE"""),7.770683)</f>
        <v>7.770683</v>
      </c>
      <c r="D9160" s="7">
        <f>IFERROR(__xludf.DUMMYFUNCTION("""COMPUTED_VALUE"""),0.410958904109589)</f>
        <v>0.4109589041</v>
      </c>
    </row>
    <row r="9161">
      <c r="A9161" s="10" t="s">
        <v>10600</v>
      </c>
      <c r="B9161" s="7" t="str">
        <f>IFERROR(__xludf.DUMMYFUNCTION("SPLIT(A9161,"" "")"),"Cc1cc(C(C)(C)N(C)c2cccnc2CN2CCN(C)CCN(C)CC2)cnc1-c1ccccn1")</f>
        <v>Cc1cc(C(C)(C)N(C)c2cccnc2CN2CCN(C)CCN(C)CC2)cnc1-c1ccccn1</v>
      </c>
      <c r="C9161" s="7">
        <f>IFERROR(__xludf.DUMMYFUNCTION("""COMPUTED_VALUE"""),7.7706814)</f>
        <v>7.7706814</v>
      </c>
      <c r="D9161" s="7">
        <f>IFERROR(__xludf.DUMMYFUNCTION("""COMPUTED_VALUE"""),0.389830508474576)</f>
        <v>0.3898305085</v>
      </c>
    </row>
    <row r="9162">
      <c r="A9162" s="10" t="s">
        <v>10601</v>
      </c>
      <c r="B9162" s="7" t="str">
        <f>IFERROR(__xludf.DUMMYFUNCTION("SPLIT(A9162,"" "")"),"Cc1nc(CN(C)C2=CNC(CN(C)C(C)C(C)N)=CC2)c(N)c(C)c1C")</f>
        <v>Cc1nc(CN(C)C2=CNC(CN(C)C(C)C(C)N)=CC2)c(N)c(C)c1C</v>
      </c>
      <c r="C9162" s="7">
        <f>IFERROR(__xludf.DUMMYFUNCTION("""COMPUTED_VALUE"""),7.7706776)</f>
        <v>7.7706776</v>
      </c>
      <c r="D9162" s="7">
        <f>IFERROR(__xludf.DUMMYFUNCTION("""COMPUTED_VALUE"""),0.169014084507042)</f>
        <v>0.1690140845</v>
      </c>
    </row>
    <row r="9163">
      <c r="A9163" s="10" t="s">
        <v>10602</v>
      </c>
      <c r="B9163" s="7" t="str">
        <f>IFERROR(__xludf.DUMMYFUNCTION("SPLIT(A9163,"" "")"),"CNCc1cccc(CN(C)C2=C(C(C)(C)N)NC=CC2)n1")</f>
        <v>CNCc1cccc(CN(C)C2=C(C(C)(C)N)NC=CC2)n1</v>
      </c>
      <c r="C9163" s="7">
        <f>IFERROR(__xludf.DUMMYFUNCTION("""COMPUTED_VALUE"""),7.7706695)</f>
        <v>7.7706695</v>
      </c>
      <c r="D9163" s="7">
        <f>IFERROR(__xludf.DUMMYFUNCTION("""COMPUTED_VALUE"""),0.267857142857142)</f>
        <v>0.2678571429</v>
      </c>
    </row>
    <row r="9164">
      <c r="A9164" s="10" t="s">
        <v>10603</v>
      </c>
      <c r="B9164" s="7" t="str">
        <f>IFERROR(__xludf.DUMMYFUNCTION("SPLIT(A9164,"" "")"),"CC(C)N(Cc1ccccn1)c1ccc2nc(CN(Cc3ccccn3)Cc3cccc(-c4ccc5c(c4)OCCOCCOCCOCCOCCO5)n3)ccc2c1")</f>
        <v>CC(C)N(Cc1ccccn1)c1ccc2nc(CN(Cc3ccccn3)Cc3cccc(-c4ccc5c(c4)OCCOCCOCCOCCOCCO5)n3)ccc2c1</v>
      </c>
      <c r="C9164" s="7">
        <f>IFERROR(__xludf.DUMMYFUNCTION("""COMPUTED_VALUE"""),7.7706614)</f>
        <v>7.7706614</v>
      </c>
      <c r="D9164" s="7">
        <f>IFERROR(__xludf.DUMMYFUNCTION("""COMPUTED_VALUE"""),0.430555555555555)</f>
        <v>0.4305555556</v>
      </c>
    </row>
    <row r="9165">
      <c r="A9165" s="10" t="s">
        <v>10604</v>
      </c>
      <c r="B9165" s="7" t="str">
        <f>IFERROR(__xludf.DUMMYFUNCTION("SPLIT(A9165,"" "")"),"CCN(Cc1ccccn1)Cc1nccc2cccc(N(C)Cc3cccc(-c4cccc5c4OCCOCCOCCOCCOCCO5)n3)c12")</f>
        <v>CCN(Cc1ccccn1)Cc1nccc2cccc(N(C)Cc3cccc(-c4cccc5c4OCCOCCOCCOCCOCCO5)n3)c12</v>
      </c>
      <c r="C9165" s="7">
        <f>IFERROR(__xludf.DUMMYFUNCTION("""COMPUTED_VALUE"""),7.7706604)</f>
        <v>7.7706604</v>
      </c>
      <c r="D9165" s="7">
        <f>IFERROR(__xludf.DUMMYFUNCTION("""COMPUTED_VALUE"""),0.347222222222222)</f>
        <v>0.3472222222</v>
      </c>
    </row>
    <row r="9166">
      <c r="A9166" s="10" t="s">
        <v>10605</v>
      </c>
      <c r="B9166" s="7" t="str">
        <f>IFERROR(__xludf.DUMMYFUNCTION("SPLIT(A9166,"" "")"),"Cc1ccc(C)c(CN(C)C2=C(CN(C)C(C)C)NC=CC2)n1")</f>
        <v>Cc1ccc(C)c(CN(C)C2=C(CN(C)C(C)C)NC=CC2)n1</v>
      </c>
      <c r="C9166" s="7">
        <f>IFERROR(__xludf.DUMMYFUNCTION("""COMPUTED_VALUE"""),7.7706585)</f>
        <v>7.7706585</v>
      </c>
      <c r="D9166" s="7">
        <f>IFERROR(__xludf.DUMMYFUNCTION("""COMPUTED_VALUE"""),0.236363636363636)</f>
        <v>0.2363636364</v>
      </c>
    </row>
    <row r="9167">
      <c r="A9167" s="10" t="s">
        <v>10606</v>
      </c>
      <c r="B9167" s="7" t="str">
        <f>IFERROR(__xludf.DUMMYFUNCTION("SPLIT(A9167,"" "")"),"CN(Cc1ccccn1)CC1C=CNC=C1N(C)Cc1ccccn1")</f>
        <v>CN(Cc1ccccn1)CC1C=CNC=C1N(C)Cc1ccccn1</v>
      </c>
      <c r="C9167" s="7">
        <f>IFERROR(__xludf.DUMMYFUNCTION("""COMPUTED_VALUE"""),7.770654)</f>
        <v>7.770654</v>
      </c>
      <c r="D9167" s="7">
        <f>IFERROR(__xludf.DUMMYFUNCTION("""COMPUTED_VALUE"""),0.428571428571428)</f>
        <v>0.4285714286</v>
      </c>
    </row>
    <row r="9168">
      <c r="A9168" s="10" t="s">
        <v>10607</v>
      </c>
      <c r="B9168" s="7" t="str">
        <f>IFERROR(__xludf.DUMMYFUNCTION("SPLIT(A9168,"" "")"),"Cc1cnc(CN(Cc2ccc3ncccc3c2)C2CCCC(N(C)Cc3ccccn3)C2N(C)Cc2ccccn2)c(C)c1C")</f>
        <v>Cc1cnc(CN(Cc2ccc3ncccc3c2)C2CCCC(N(C)Cc3ccccn3)C2N(C)Cc2ccccn2)c(C)c1C</v>
      </c>
      <c r="C9168" s="7">
        <f>IFERROR(__xludf.DUMMYFUNCTION("""COMPUTED_VALUE"""),7.7706466)</f>
        <v>7.7706466</v>
      </c>
      <c r="D9168" s="7">
        <f>IFERROR(__xludf.DUMMYFUNCTION("""COMPUTED_VALUE"""),0.444444444444444)</f>
        <v>0.4444444444</v>
      </c>
    </row>
    <row r="9169">
      <c r="A9169" s="10" t="s">
        <v>10608</v>
      </c>
      <c r="B9169" s="7" t="str">
        <f>IFERROR(__xludf.DUMMYFUNCTION("SPLIT(A9169,"" "")"),"Cc1cccc(CN(C)Cc2cc(N)ccn2)c1")</f>
        <v>Cc1cccc(CN(C)Cc2cc(N)ccn2)c1</v>
      </c>
      <c r="C9169" s="7">
        <f>IFERROR(__xludf.DUMMYFUNCTION("""COMPUTED_VALUE"""),7.770645)</f>
        <v>7.770645</v>
      </c>
      <c r="D9169" s="7">
        <f>IFERROR(__xludf.DUMMYFUNCTION("""COMPUTED_VALUE"""),0.36734693877551)</f>
        <v>0.3673469388</v>
      </c>
    </row>
    <row r="9170">
      <c r="A9170" s="10" t="s">
        <v>10609</v>
      </c>
      <c r="B9170" s="7" t="str">
        <f>IFERROR(__xludf.DUMMYFUNCTION("SPLIT(A9170,"" "")"),"CC(C)CN(Cc1ccccn1)Cc1cccc(C(C)(C)c2ccccn2)n1")</f>
        <v>CC(C)CN(Cc1ccccn1)Cc1cccc(C(C)(C)c2ccccn2)n1</v>
      </c>
      <c r="C9170" s="7">
        <f>IFERROR(__xludf.DUMMYFUNCTION("""COMPUTED_VALUE"""),7.770638)</f>
        <v>7.770638</v>
      </c>
      <c r="D9170" s="7">
        <f>IFERROR(__xludf.DUMMYFUNCTION("""COMPUTED_VALUE"""),0.468085106382978)</f>
        <v>0.4680851064</v>
      </c>
    </row>
    <row r="9171">
      <c r="A9171" s="10" t="s">
        <v>10610</v>
      </c>
      <c r="B9171" s="7" t="str">
        <f>IFERROR(__xludf.DUMMYFUNCTION("SPLIT(A9171,"" "")"),"Cc1cc(CN(C)CCN(C)Cc2ncc(C)c(C)c2C)cnc1C")</f>
        <v>Cc1cc(CN(C)CCN(C)Cc2ncc(C)c(C)c2C)cnc1C</v>
      </c>
      <c r="C9171" s="7">
        <f>IFERROR(__xludf.DUMMYFUNCTION("""COMPUTED_VALUE"""),7.7706375)</f>
        <v>7.7706375</v>
      </c>
      <c r="D9171" s="7">
        <f>IFERROR(__xludf.DUMMYFUNCTION("""COMPUTED_VALUE"""),0.363636363636363)</f>
        <v>0.3636363636</v>
      </c>
    </row>
    <row r="9172">
      <c r="A9172" s="10" t="s">
        <v>10611</v>
      </c>
      <c r="B9172" s="7" t="str">
        <f>IFERROR(__xludf.DUMMYFUNCTION("SPLIT(A9172,"" "")"),"Cc1cccnc1CN(C)C1CCC(N(C)Cc2cc(C)c(C)c(C)n2)C(N(Cc2nc(C)c(C)c(C)c2C)Cc2nc(C)c(C)c(C)c2C)C1")</f>
        <v>Cc1cccnc1CN(C)C1CCC(N(C)Cc2cc(C)c(C)c(C)n2)C(N(Cc2nc(C)c(C)c(C)c2C)Cc2nc(C)c(C)c(C)c2C)C1</v>
      </c>
      <c r="C9172" s="7">
        <f>IFERROR(__xludf.DUMMYFUNCTION("""COMPUTED_VALUE"""),7.770632)</f>
        <v>7.770632</v>
      </c>
      <c r="D9172" s="7">
        <f>IFERROR(__xludf.DUMMYFUNCTION("""COMPUTED_VALUE"""),0.338461538461538)</f>
        <v>0.3384615385</v>
      </c>
    </row>
    <row r="9173">
      <c r="A9173" s="10" t="s">
        <v>10612</v>
      </c>
      <c r="B9173" s="7" t="str">
        <f>IFERROR(__xludf.DUMMYFUNCTION("SPLIT(A9173,"" "")"),"CC(C)N(Cc1ccccn1)c1ccc2nc(CN(C)Cc3ccc(-c4ccc5c(c4)OCCOCCOCCOCCOCCO5)cn3)ccc2c1")</f>
        <v>CC(C)N(Cc1ccccn1)c1ccc2nc(CN(C)Cc3ccc(-c4ccc5c(c4)OCCOCCOCCOCCOCCO5)cn3)ccc2c1</v>
      </c>
      <c r="C9173" s="7">
        <f>IFERROR(__xludf.DUMMYFUNCTION("""COMPUTED_VALUE"""),7.770626)</f>
        <v>7.770626</v>
      </c>
      <c r="D9173" s="7">
        <f>IFERROR(__xludf.DUMMYFUNCTION("""COMPUTED_VALUE"""),0.389610389610389)</f>
        <v>0.3896103896</v>
      </c>
    </row>
    <row r="9174">
      <c r="A9174" s="10" t="s">
        <v>10613</v>
      </c>
      <c r="B9174" s="7" t="str">
        <f>IFERROR(__xludf.DUMMYFUNCTION("SPLIT(A9174,"" "")"),"Cc1ccc(CN(Cc2cccnn2)C2CCC(N(C)Cc3ccc4ncccc4c3)CC2)nc1C")</f>
        <v>Cc1ccc(CN(Cc2cccnn2)C2CCC(N(C)Cc3ccc4ncccc4c3)CC2)nc1C</v>
      </c>
      <c r="C9174" s="7">
        <f>IFERROR(__xludf.DUMMYFUNCTION("""COMPUTED_VALUE"""),7.770626)</f>
        <v>7.770626</v>
      </c>
      <c r="D9174" s="7">
        <f>IFERROR(__xludf.DUMMYFUNCTION("""COMPUTED_VALUE"""),0.327868852459016)</f>
        <v>0.3278688525</v>
      </c>
    </row>
    <row r="9175">
      <c r="A9175" s="10" t="s">
        <v>10614</v>
      </c>
      <c r="B9175" s="7" t="str">
        <f>IFERROR(__xludf.DUMMYFUNCTION("SPLIT(A9175,"" "")"),"CCN(Cc1ccccn1)Cc1ccc2cccc(N(C)Cc3ncccc3-c3ccc4c(c3)OCCOCCOCCOCCOCCO4)c2n1")</f>
        <v>CCN(Cc1ccccn1)Cc1ccc2cccc(N(C)Cc3ncccc3-c3ccc4c(c3)OCCOCCOCCOCCOCCO4)c2n1</v>
      </c>
      <c r="C9175" s="7">
        <f>IFERROR(__xludf.DUMMYFUNCTION("""COMPUTED_VALUE"""),7.770617)</f>
        <v>7.770617</v>
      </c>
      <c r="D9175" s="7">
        <f>IFERROR(__xludf.DUMMYFUNCTION("""COMPUTED_VALUE"""),0.333333333333333)</f>
        <v>0.3333333333</v>
      </c>
    </row>
    <row r="9176">
      <c r="A9176" s="10" t="s">
        <v>10615</v>
      </c>
      <c r="B9176" s="7" t="str">
        <f>IFERROR(__xludf.DUMMYFUNCTION("SPLIT(A9176,"" "")"),"CCNc1ccc(CN(C)Cc2cc(N)ccn2)cn1")</f>
        <v>CCNc1ccc(CN(C)Cc2cc(N)ccn2)cn1</v>
      </c>
      <c r="C9176" s="7">
        <f>IFERROR(__xludf.DUMMYFUNCTION("""COMPUTED_VALUE"""),7.7706165)</f>
        <v>7.7706165</v>
      </c>
      <c r="D9176" s="7">
        <f>IFERROR(__xludf.DUMMYFUNCTION("""COMPUTED_VALUE"""),0.285714285714285)</f>
        <v>0.2857142857</v>
      </c>
    </row>
    <row r="9177">
      <c r="A9177" s="10" t="s">
        <v>10616</v>
      </c>
      <c r="B9177" s="7" t="str">
        <f>IFERROR(__xludf.DUMMYFUNCTION("SPLIT(A9177,"" "")"),"CC1=CC(C)CC(N(C)Cc2ccccn2)C1c1cccc(CN(CC2=CCC=CN2)C2CCC(N(C)c3ccc4ncccc4c3)CC2)n1")</f>
        <v>CC1=CC(C)CC(N(C)Cc2ccccn2)C1c1cccc(CN(CC2=CCC=CN2)C2CCC(N(C)c3ccc4ncccc4c3)CC2)n1</v>
      </c>
      <c r="C9177" s="7">
        <f>IFERROR(__xludf.DUMMYFUNCTION("""COMPUTED_VALUE"""),7.770616)</f>
        <v>7.770616</v>
      </c>
      <c r="D9177" s="7">
        <f>IFERROR(__xludf.DUMMYFUNCTION("""COMPUTED_VALUE"""),0.369047619047619)</f>
        <v>0.369047619</v>
      </c>
    </row>
    <row r="9178">
      <c r="A9178" s="10" t="s">
        <v>10617</v>
      </c>
      <c r="B9178" s="7" t="str">
        <f>IFERROR(__xludf.DUMMYFUNCTION("SPLIT(A9178,"" "")"),"Cc1ccc(CN(Cc2cccc(-c3cccc(N(C)C)c3)n2)Cc2cccc(-c3ccc4c(c3)OCCOCCOCCOCCOCCO4)n2)nc1")</f>
        <v>Cc1ccc(CN(Cc2cccc(-c3cccc(N(C)C)c3)n2)Cc2cccc(-c3ccc4c(c3)OCCOCCOCCOCCOCCO4)n2)nc1</v>
      </c>
      <c r="C9178" s="7">
        <f>IFERROR(__xludf.DUMMYFUNCTION("""COMPUTED_VALUE"""),7.770606)</f>
        <v>7.770606</v>
      </c>
      <c r="D9178" s="7">
        <f>IFERROR(__xludf.DUMMYFUNCTION("""COMPUTED_VALUE"""),0.385714285714285)</f>
        <v>0.3857142857</v>
      </c>
    </row>
    <row r="9179">
      <c r="A9179" s="10" t="s">
        <v>10618</v>
      </c>
      <c r="B9179" s="7" t="str">
        <f>IFERROR(__xludf.DUMMYFUNCTION("SPLIT(A9179,"" "")"),"Cc1ccc(CN(C)CC2=CC(N(C)Cc3ccccn3)C=CN2)nc1C")</f>
        <v>Cc1ccc(CN(C)CC2=CC(N(C)Cc3ccccn3)C=CN2)nc1C</v>
      </c>
      <c r="C9179" s="7">
        <f>IFERROR(__xludf.DUMMYFUNCTION("""COMPUTED_VALUE"""),7.770605)</f>
        <v>7.770605</v>
      </c>
      <c r="D9179" s="7">
        <f>IFERROR(__xludf.DUMMYFUNCTION("""COMPUTED_VALUE"""),0.421052631578947)</f>
        <v>0.4210526316</v>
      </c>
    </row>
    <row r="9180">
      <c r="A9180" s="10" t="s">
        <v>10619</v>
      </c>
      <c r="B9180" s="7" t="str">
        <f>IFERROR(__xludf.DUMMYFUNCTION("SPLIT(A9180,"" "")"),"CNCCN(Cc1cc(C)ccn1)C(C)(N)N(Cc1nc(C)c(C)cc1C)Cc1nc(C)c(C)cc1C")</f>
        <v>CNCCN(Cc1cc(C)ccn1)C(C)(N)N(Cc1nc(C)c(C)cc1C)Cc1nc(C)c(C)cc1C</v>
      </c>
      <c r="C9180" s="7">
        <f>IFERROR(__xludf.DUMMYFUNCTION("""COMPUTED_VALUE"""),7.770604)</f>
        <v>7.770604</v>
      </c>
      <c r="D9180" s="7">
        <f>IFERROR(__xludf.DUMMYFUNCTION("""COMPUTED_VALUE"""),0.278688524590163)</f>
        <v>0.2786885246</v>
      </c>
    </row>
    <row r="9181">
      <c r="A9181" s="10" t="s">
        <v>10620</v>
      </c>
      <c r="B9181" s="7" t="str">
        <f>IFERROR(__xludf.DUMMYFUNCTION("SPLIT(A9181,"" "")"),"Cc1ccc(C)c(CN(C)CCN(Cc2ncccc2C)Cc2nc(C)ccc2C)n1")</f>
        <v>Cc1ccc(C)c(CN(C)CCN(Cc2ncccc2C)Cc2nc(C)ccc2C)n1</v>
      </c>
      <c r="C9181" s="7">
        <f>IFERROR(__xludf.DUMMYFUNCTION("""COMPUTED_VALUE"""),7.770602)</f>
        <v>7.770602</v>
      </c>
      <c r="D9181" s="7">
        <f>IFERROR(__xludf.DUMMYFUNCTION("""COMPUTED_VALUE"""),0.409090909090909)</f>
        <v>0.4090909091</v>
      </c>
    </row>
    <row r="9182">
      <c r="A9182" s="10" t="s">
        <v>10621</v>
      </c>
      <c r="B9182" s="7" t="str">
        <f>IFERROR(__xludf.DUMMYFUNCTION("SPLIT(A9182,"" "")"),"Cc1cc(C)c(C)c(CN(C)CC2=CC(N(C)Cc3ccccn3)C=CN2)c1")</f>
        <v>Cc1cc(C)c(C)c(CN(C)CC2=CC(N(C)Cc3ccccn3)C=CN2)c1</v>
      </c>
      <c r="C9182" s="7">
        <f>IFERROR(__xludf.DUMMYFUNCTION("""COMPUTED_VALUE"""),7.770599)</f>
        <v>7.770599</v>
      </c>
      <c r="D9182" s="7">
        <f>IFERROR(__xludf.DUMMYFUNCTION("""COMPUTED_VALUE"""),0.366666666666666)</f>
        <v>0.3666666667</v>
      </c>
    </row>
    <row r="9183">
      <c r="A9183" s="10" t="s">
        <v>10622</v>
      </c>
      <c r="B9183" s="7" t="str">
        <f>IFERROR(__xludf.DUMMYFUNCTION("SPLIT(A9183,"" "")"),"Cc1cc(C(C)(C)c2cc(CN(Cc3ccccn3)C3CCCCC3)ccn2)ccc1N=Cc1ccccn1")</f>
        <v>Cc1cc(C(C)(C)c2cc(CN(Cc3ccccn3)C3CCCCC3)ccn2)ccc1N=Cc1ccccn1</v>
      </c>
      <c r="C9183" s="7">
        <f>IFERROR(__xludf.DUMMYFUNCTION("""COMPUTED_VALUE"""),7.770599)</f>
        <v>7.770599</v>
      </c>
      <c r="D9183" s="7">
        <f>IFERROR(__xludf.DUMMYFUNCTION("""COMPUTED_VALUE"""),0.342857142857142)</f>
        <v>0.3428571429</v>
      </c>
    </row>
    <row r="9184">
      <c r="A9184" s="10" t="s">
        <v>10623</v>
      </c>
      <c r="B9184" s="7" t="str">
        <f>IFERROR(__xludf.DUMMYFUNCTION("SPLIT(A9184,"" "")"),"Cc1ccc(CN(C)CC2=CC(N(C)Cc3ncccc3C)C=CN2)nc1")</f>
        <v>Cc1ccc(CN(C)CC2=CC(N(C)Cc3ncccc3C)C=CN2)nc1</v>
      </c>
      <c r="C9184" s="7">
        <f>IFERROR(__xludf.DUMMYFUNCTION("""COMPUTED_VALUE"""),7.770596)</f>
        <v>7.770596</v>
      </c>
      <c r="D9184" s="7">
        <f>IFERROR(__xludf.DUMMYFUNCTION("""COMPUTED_VALUE"""),0.407407407407407)</f>
        <v>0.4074074074</v>
      </c>
    </row>
    <row r="9185">
      <c r="A9185" s="10" t="s">
        <v>10624</v>
      </c>
      <c r="B9185" s="7" t="str">
        <f>IFERROR(__xludf.DUMMYFUNCTION("SPLIT(A9185,"" "")"),"CC(C)C(C)(c1cccnc1)N(Cc1ccccn1)C1CCCCC1N(C)c1ccc2nccc(CF)c2c1")</f>
        <v>CC(C)C(C)(c1cccnc1)N(Cc1ccccn1)C1CCCCC1N(C)c1ccc2nccc(CF)c2c1</v>
      </c>
      <c r="C9185" s="7">
        <f>IFERROR(__xludf.DUMMYFUNCTION("""COMPUTED_VALUE"""),7.7705956)</f>
        <v>7.7705956</v>
      </c>
      <c r="D9185" s="7">
        <f>IFERROR(__xludf.DUMMYFUNCTION("""COMPUTED_VALUE"""),0.356164383561643)</f>
        <v>0.3561643836</v>
      </c>
    </row>
    <row r="9186">
      <c r="A9186" s="10" t="s">
        <v>10625</v>
      </c>
      <c r="B9186" s="7" t="str">
        <f>IFERROR(__xludf.DUMMYFUNCTION("SPLIT(A9186,"" "")"),"CC1C(N(C)Cc2ccccn2)=CC=CC1N(CC1=CC(N(C)Cc2ccccn2)C=CN1)Cc1ccccn1")</f>
        <v>CC1C(N(C)Cc2ccccn2)=CC=CC1N(CC1=CC(N(C)Cc2ccccn2)C=CN1)Cc1ccccn1</v>
      </c>
      <c r="C9186" s="7">
        <f>IFERROR(__xludf.DUMMYFUNCTION("""COMPUTED_VALUE"""),7.770592)</f>
        <v>7.770592</v>
      </c>
      <c r="D9186" s="7">
        <f>IFERROR(__xludf.DUMMYFUNCTION("""COMPUTED_VALUE"""),0.349206349206349)</f>
        <v>0.3492063492</v>
      </c>
    </row>
    <row r="9187">
      <c r="A9187" s="10" t="s">
        <v>10626</v>
      </c>
      <c r="B9187" s="7" t="str">
        <f>IFERROR(__xludf.DUMMYFUNCTION("SPLIT(A9187,"" "")"),"CC1CCC1c1cccc(CN(CC2=CCC(N(C)Cc3ccccn3)=CN2)Cc2ccccn2)n1")</f>
        <v>CC1CCC1c1cccc(CN(CC2=CCC(N(C)Cc3ccccn3)=CN2)Cc2ccccn2)n1</v>
      </c>
      <c r="C9187" s="7">
        <f>IFERROR(__xludf.DUMMYFUNCTION("""COMPUTED_VALUE"""),7.770581)</f>
        <v>7.770581</v>
      </c>
      <c r="D9187" s="7">
        <f>IFERROR(__xludf.DUMMYFUNCTION("""COMPUTED_VALUE"""),0.428571428571428)</f>
        <v>0.4285714286</v>
      </c>
    </row>
    <row r="9188">
      <c r="A9188" s="10" t="s">
        <v>10627</v>
      </c>
      <c r="B9188" s="7" t="str">
        <f>IFERROR(__xludf.DUMMYFUNCTION("SPLIT(A9188,"" "")"),"CC1=CC(C)CCC1(C)c1cc(CN(Cc2ccccn2)Cc2ccc(C(C)(C)C)cn2)ccn1")</f>
        <v>CC1=CC(C)CCC1(C)c1cc(CN(Cc2ccccn2)Cc2ccc(C(C)(C)C)cn2)ccn1</v>
      </c>
      <c r="C9188" s="7">
        <f>IFERROR(__xludf.DUMMYFUNCTION("""COMPUTED_VALUE"""),7.7705793)</f>
        <v>7.7705793</v>
      </c>
      <c r="D9188" s="7">
        <f>IFERROR(__xludf.DUMMYFUNCTION("""COMPUTED_VALUE"""),0.333333333333333)</f>
        <v>0.3333333333</v>
      </c>
    </row>
    <row r="9189">
      <c r="A9189" s="10" t="s">
        <v>10628</v>
      </c>
      <c r="B9189" s="7" t="str">
        <f>IFERROR(__xludf.DUMMYFUNCTION("SPLIT(A9189,"" "")"),"CC1=C(C)C(C)(C)CC(C)(c2ncccc2CN(Cc2ccccn2)Cc2ccccn2)C1")</f>
        <v>CC1=C(C)C(C)(C)CC(C)(c2ncccc2CN(Cc2ccccn2)Cc2ccccn2)C1</v>
      </c>
      <c r="C9189" s="7">
        <f>IFERROR(__xludf.DUMMYFUNCTION("""COMPUTED_VALUE"""),7.7705774)</f>
        <v>7.7705774</v>
      </c>
      <c r="D9189" s="7">
        <f>IFERROR(__xludf.DUMMYFUNCTION("""COMPUTED_VALUE"""),0.454545454545454)</f>
        <v>0.4545454545</v>
      </c>
    </row>
    <row r="9190">
      <c r="A9190" s="10" t="s">
        <v>10629</v>
      </c>
      <c r="B9190" s="7" t="str">
        <f>IFERROR(__xludf.DUMMYFUNCTION("SPLIT(A9190,"" "")"),"CNCc1cc(CN(C)Cc2cc(C)c(C)cn2)ccn1")</f>
        <v>CNCc1cc(CN(C)Cc2cc(C)c(C)cn2)ccn1</v>
      </c>
      <c r="C9190" s="7">
        <f>IFERROR(__xludf.DUMMYFUNCTION("""COMPUTED_VALUE"""),7.770574)</f>
        <v>7.770574</v>
      </c>
      <c r="D9190" s="7">
        <f>IFERROR(__xludf.DUMMYFUNCTION("""COMPUTED_VALUE"""),0.369565217391304)</f>
        <v>0.3695652174</v>
      </c>
    </row>
    <row r="9191">
      <c r="A9191" s="10" t="s">
        <v>10630</v>
      </c>
      <c r="B9191" s="7" t="str">
        <f>IFERROR(__xludf.DUMMYFUNCTION("SPLIT(A9191,"" "")"),"CC(C)NCc1cccc(CN(Cc2ccccn2)Cc2cccc(C(C)(C)C)n2)n1")</f>
        <v>CC(C)NCc1cccc(CN(Cc2ccccn2)Cc2cccc(C(C)(C)C)n2)n1</v>
      </c>
      <c r="C9191" s="7">
        <f>IFERROR(__xludf.DUMMYFUNCTION("""COMPUTED_VALUE"""),7.7705727)</f>
        <v>7.7705727</v>
      </c>
      <c r="D9191" s="7">
        <f>IFERROR(__xludf.DUMMYFUNCTION("""COMPUTED_VALUE"""),0.465116279069767)</f>
        <v>0.4651162791</v>
      </c>
    </row>
    <row r="9192">
      <c r="A9192" s="10" t="s">
        <v>10631</v>
      </c>
      <c r="B9192" s="7" t="str">
        <f>IFERROR(__xludf.DUMMYFUNCTION("SPLIT(A9192,"" "")"),"CC(C)N(Cc1ccccn1)C1CC2CCC1C2N(C)c1ccc2ncccc2c1")</f>
        <v>CC(C)N(Cc1ccccn1)C1CC2CCC1C2N(C)c1ccc2ncccc2c1</v>
      </c>
      <c r="C9192" s="7">
        <f>IFERROR(__xludf.DUMMYFUNCTION("""COMPUTED_VALUE"""),7.7705717)</f>
        <v>7.7705717</v>
      </c>
      <c r="D9192" s="7">
        <f>IFERROR(__xludf.DUMMYFUNCTION("""COMPUTED_VALUE"""),0.377049180327868)</f>
        <v>0.3770491803</v>
      </c>
    </row>
    <row r="9193">
      <c r="A9193" s="10" t="s">
        <v>10632</v>
      </c>
      <c r="B9193" s="7" t="str">
        <f>IFERROR(__xludf.DUMMYFUNCTION("SPLIT(A9193,"" "")"),"CN(C)C1CCCCC1N(C)c1ccc2c(CF)ccnc2c1")</f>
        <v>CN(C)C1CCCCC1N(C)c1ccc2c(CF)ccnc2c1</v>
      </c>
      <c r="C9193" s="7">
        <f>IFERROR(__xludf.DUMMYFUNCTION("""COMPUTED_VALUE"""),7.770569)</f>
        <v>7.770569</v>
      </c>
      <c r="D9193" s="7">
        <f>IFERROR(__xludf.DUMMYFUNCTION("""COMPUTED_VALUE"""),0.368421052631578)</f>
        <v>0.3684210526</v>
      </c>
    </row>
    <row r="9194">
      <c r="A9194" s="10" t="s">
        <v>10633</v>
      </c>
      <c r="B9194" s="7" t="str">
        <f>IFERROR(__xludf.DUMMYFUNCTION("SPLIT(A9194,"" "")"),"CNCc1cc(CN(Cc2ccccn2)C2CCCCC2N(C)c2cccc3nc(CF)ccc23)ccn1")</f>
        <v>CNCc1cc(CN(Cc2ccccn2)C2CCCCC2N(C)c2cccc3nc(CF)ccc23)ccn1</v>
      </c>
      <c r="C9194" s="7">
        <f>IFERROR(__xludf.DUMMYFUNCTION("""COMPUTED_VALUE"""),7.770568)</f>
        <v>7.770568</v>
      </c>
      <c r="D9194" s="7">
        <f>IFERROR(__xludf.DUMMYFUNCTION("""COMPUTED_VALUE"""),0.422535211267605)</f>
        <v>0.4225352113</v>
      </c>
    </row>
    <row r="9195">
      <c r="A9195" s="10" t="s">
        <v>10634</v>
      </c>
      <c r="B9195" s="7" t="str">
        <f>IFERROR(__xludf.DUMMYFUNCTION("SPLIT(A9195,"" "")"),"Cc1cnc(C)c(CN(C)CC2=CC(N(C)Cc3ccccn3)C=CN2)c1")</f>
        <v>Cc1cnc(C)c(CN(C)CC2=CC(N(C)Cc3ccccn3)C=CN2)c1</v>
      </c>
      <c r="C9195" s="7">
        <f>IFERROR(__xludf.DUMMYFUNCTION("""COMPUTED_VALUE"""),7.770564)</f>
        <v>7.770564</v>
      </c>
      <c r="D9195" s="7">
        <f>IFERROR(__xludf.DUMMYFUNCTION("""COMPUTED_VALUE"""),0.366666666666666)</f>
        <v>0.3666666667</v>
      </c>
    </row>
    <row r="9196">
      <c r="A9196" s="10" t="s">
        <v>10635</v>
      </c>
      <c r="B9196" s="7" t="str">
        <f>IFERROR(__xludf.DUMMYFUNCTION("SPLIT(A9196,"" "")"),"CN1CCN(Cc2ccc(N)cn2)CCN(Cc2ncccc2-c2cccc(N=Cc3ccccn3)c2)CC1")</f>
        <v>CN1CCN(Cc2ccc(N)cn2)CCN(Cc2ncccc2-c2cccc(N=Cc3ccccn3)c2)CC1</v>
      </c>
      <c r="C9196" s="7">
        <f>IFERROR(__xludf.DUMMYFUNCTION("""COMPUTED_VALUE"""),7.770564)</f>
        <v>7.770564</v>
      </c>
      <c r="D9196" s="7">
        <f>IFERROR(__xludf.DUMMYFUNCTION("""COMPUTED_VALUE"""),0.40625)</f>
        <v>0.40625</v>
      </c>
    </row>
    <row r="9197">
      <c r="A9197" s="10" t="s">
        <v>10636</v>
      </c>
      <c r="B9197" s="7" t="str">
        <f>IFERROR(__xludf.DUMMYFUNCTION("SPLIT(A9197,"" "")"),"CN(c1cccc2ncc(CF)cc12)C1CCCCC1N(Cc1ccccn1)C1C=CC=CN1")</f>
        <v>CN(c1cccc2ncc(CF)cc12)C1CCCCC1N(Cc1ccccn1)C1C=CC=CN1</v>
      </c>
      <c r="C9197" s="7">
        <f>IFERROR(__xludf.DUMMYFUNCTION("""COMPUTED_VALUE"""),7.770563)</f>
        <v>7.770563</v>
      </c>
      <c r="D9197" s="7">
        <f>IFERROR(__xludf.DUMMYFUNCTION("""COMPUTED_VALUE"""),0.376811594202898)</f>
        <v>0.3768115942</v>
      </c>
    </row>
    <row r="9198">
      <c r="A9198" s="10" t="s">
        <v>10637</v>
      </c>
      <c r="B9198" s="7" t="str">
        <f>IFERROR(__xludf.DUMMYFUNCTION("SPLIT(A9198,"" "")"),"CC1=CCC(c2ccccc2)C=C1NCc1ccccn1")</f>
        <v>CC1=CCC(c2ccccc2)C=C1NCc1ccccn1</v>
      </c>
      <c r="C9198" s="7">
        <f>IFERROR(__xludf.DUMMYFUNCTION("""COMPUTED_VALUE"""),7.7705526)</f>
        <v>7.7705526</v>
      </c>
      <c r="D9198" s="7">
        <f>IFERROR(__xludf.DUMMYFUNCTION("""COMPUTED_VALUE"""),0.377777777777777)</f>
        <v>0.3777777778</v>
      </c>
    </row>
    <row r="9199">
      <c r="A9199" s="10" t="s">
        <v>10638</v>
      </c>
      <c r="B9199" s="7" t="str">
        <f>IFERROR(__xludf.DUMMYFUNCTION("SPLIT(A9199,"" "")"),"Cc1cccc(CN(C)C2CCC(N(C)Cc3cc(C)c(C)c(C)n3)C(N(Cc3nc(C)c(C)c(C)c3C)Cc3nc(C)c(C)c(C)c3C)C2)n1")</f>
        <v>Cc1cccc(CN(C)C2CCC(N(C)Cc3cc(C)c(C)c(C)n3)C(N(Cc3nc(C)c(C)c(C)c3C)Cc3nc(C)c(C)c(C)c3C)C2)n1</v>
      </c>
      <c r="C9199" s="7">
        <f>IFERROR(__xludf.DUMMYFUNCTION("""COMPUTED_VALUE"""),7.770547)</f>
        <v>7.770547</v>
      </c>
      <c r="D9199" s="7">
        <f>IFERROR(__xludf.DUMMYFUNCTION("""COMPUTED_VALUE"""),0.482758620689655)</f>
        <v>0.4827586207</v>
      </c>
    </row>
    <row r="9200">
      <c r="A9200" s="10" t="s">
        <v>10639</v>
      </c>
      <c r="B9200" s="7" t="str">
        <f>IFERROR(__xludf.DUMMYFUNCTION("SPLIT(A9200,"" "")"),"CC(C)NCC1=C(N(C)Cc2ccccn2)CC=CN1")</f>
        <v>CC(C)NCC1=C(N(C)Cc2ccccn2)CC=CN1</v>
      </c>
      <c r="C9200" s="7">
        <f>IFERROR(__xludf.DUMMYFUNCTION("""COMPUTED_VALUE"""),7.7705364)</f>
        <v>7.7705364</v>
      </c>
      <c r="D9200" s="7">
        <f>IFERROR(__xludf.DUMMYFUNCTION("""COMPUTED_VALUE"""),0.410714285714285)</f>
        <v>0.4107142857</v>
      </c>
    </row>
    <row r="9201">
      <c r="A9201" s="10" t="s">
        <v>10640</v>
      </c>
      <c r="B9201" s="7" t="str">
        <f>IFERROR(__xludf.DUMMYFUNCTION("SPLIT(A9201,"" "")"),"CN(C)C1CCCCC1N(C)c1ccc2nccc(CF)c2c1")</f>
        <v>CN(C)C1CCCCC1N(C)c1ccc2nccc(CF)c2c1</v>
      </c>
      <c r="C9201" s="7">
        <f>IFERROR(__xludf.DUMMYFUNCTION("""COMPUTED_VALUE"""),7.770525)</f>
        <v>7.770525</v>
      </c>
      <c r="D9201" s="7">
        <f>IFERROR(__xludf.DUMMYFUNCTION("""COMPUTED_VALUE"""),0.362068965517241)</f>
        <v>0.3620689655</v>
      </c>
    </row>
    <row r="9202">
      <c r="A9202" s="10" t="s">
        <v>10641</v>
      </c>
      <c r="B9202" s="7" t="str">
        <f>IFERROR(__xludf.DUMMYFUNCTION("SPLIT(A9202,"" "")"),"Cc1cnc(C2CC(C)(C)C2)c(CN(C)Cc2ccccn2)c1")</f>
        <v>Cc1cnc(C2CC(C)(C)C2)c(CN(C)Cc2ccccn2)c1</v>
      </c>
      <c r="C9202" s="7">
        <f>IFERROR(__xludf.DUMMYFUNCTION("""COMPUTED_VALUE"""),7.7705164)</f>
        <v>7.7705164</v>
      </c>
      <c r="D9202" s="7">
        <f>IFERROR(__xludf.DUMMYFUNCTION("""COMPUTED_VALUE"""),0.407407407407407)</f>
        <v>0.4074074074</v>
      </c>
    </row>
    <row r="9203">
      <c r="A9203" s="10" t="s">
        <v>10642</v>
      </c>
      <c r="B9203" s="7" t="str">
        <f>IFERROR(__xludf.DUMMYFUNCTION("SPLIT(A9203,"" "")"),"CN(c1cccc2ncccc12)C1CCCC(N(Cc2ccc(C3CCC3)nc2)Cc2ccccn2)C1")</f>
        <v>CN(c1cccc2ncccc12)C1CCCC(N(Cc2ccc(C3CCC3)nc2)Cc2ccccn2)C1</v>
      </c>
      <c r="C9203" s="7">
        <f>IFERROR(__xludf.DUMMYFUNCTION("""COMPUTED_VALUE"""),7.770516)</f>
        <v>7.770516</v>
      </c>
      <c r="D9203" s="7">
        <f>IFERROR(__xludf.DUMMYFUNCTION("""COMPUTED_VALUE"""),0.348484848484848)</f>
        <v>0.3484848485</v>
      </c>
    </row>
    <row r="9204">
      <c r="A9204" s="10" t="s">
        <v>10643</v>
      </c>
      <c r="B9204" s="7" t="str">
        <f>IFERROR(__xludf.DUMMYFUNCTION("SPLIT(A9204,"" "")"),"Cc1cc(N2CCN(C)CCN(C)CC2)c2cccnc2c1")</f>
        <v>Cc1cc(N2CCN(C)CCN(C)CC2)c2cccnc2c1</v>
      </c>
      <c r="C9204" s="7">
        <f>IFERROR(__xludf.DUMMYFUNCTION("""COMPUTED_VALUE"""),7.77051)</f>
        <v>7.77051</v>
      </c>
      <c r="D9204" s="7">
        <f>IFERROR(__xludf.DUMMYFUNCTION("""COMPUTED_VALUE"""),0.361702127659574)</f>
        <v>0.3617021277</v>
      </c>
    </row>
    <row r="9205">
      <c r="A9205" s="10" t="s">
        <v>10644</v>
      </c>
      <c r="B9205" s="7" t="str">
        <f>IFERROR(__xludf.DUMMYFUNCTION("SPLIT(A9205,"" "")"),"CNCc1ccc(CN(Cc2ccccn2)C2CCCCC2N(C)c2cccc3cc(CF)cnc23)cn1")</f>
        <v>CNCc1ccc(CN(Cc2ccccn2)C2CCCCC2N(C)c2cccc3cc(CF)cnc23)cn1</v>
      </c>
      <c r="C9205" s="7">
        <f>IFERROR(__xludf.DUMMYFUNCTION("""COMPUTED_VALUE"""),7.7705092)</f>
        <v>7.7705092</v>
      </c>
      <c r="D9205" s="7">
        <f>IFERROR(__xludf.DUMMYFUNCTION("""COMPUTED_VALUE"""),0.436619718309859)</f>
        <v>0.4366197183</v>
      </c>
    </row>
    <row r="9206">
      <c r="A9206" s="10" t="s">
        <v>10645</v>
      </c>
      <c r="B9206" s="7" t="str">
        <f>IFERROR(__xludf.DUMMYFUNCTION("SPLIT(A9206,"" "")"),"Cc1cnc(CN(C)CCN(C)Cc2ncc(C)c(C)c2C)c(C)c1")</f>
        <v>Cc1cnc(CN(C)CCN(C)Cc2ncc(C)c(C)c2C)c(C)c1</v>
      </c>
      <c r="C9206" s="7">
        <f>IFERROR(__xludf.DUMMYFUNCTION("""COMPUTED_VALUE"""),7.7705016)</f>
        <v>7.7705016</v>
      </c>
      <c r="D9206" s="7">
        <f>IFERROR(__xludf.DUMMYFUNCTION("""COMPUTED_VALUE"""),0.461538461538461)</f>
        <v>0.4615384615</v>
      </c>
    </row>
    <row r="9207">
      <c r="A9207" s="10" t="s">
        <v>10646</v>
      </c>
      <c r="B9207" s="7" t="str">
        <f>IFERROR(__xludf.DUMMYFUNCTION("SPLIT(A9207,"" "")"),"CC1C=CCC(C)C1(C)c1cc(CN(Cc2ccccn2)C2CCC(N(C)c3ccc4nccc(CF)c4c3)CC2)ccn1")</f>
        <v>CC1C=CCC(C)C1(C)c1cc(CN(Cc2ccccn2)C2CCC(N(C)c3ccc4nccc(CF)c4c3)CC2)ccn1</v>
      </c>
      <c r="C9207" s="7">
        <f>IFERROR(__xludf.DUMMYFUNCTION("""COMPUTED_VALUE"""),7.7704988)</f>
        <v>7.7704988</v>
      </c>
      <c r="D9207" s="7">
        <f>IFERROR(__xludf.DUMMYFUNCTION("""COMPUTED_VALUE"""),0.271604938271604)</f>
        <v>0.2716049383</v>
      </c>
    </row>
    <row r="9208">
      <c r="A9208" s="10" t="s">
        <v>10647</v>
      </c>
      <c r="B9208" s="7" t="str">
        <f>IFERROR(__xludf.DUMMYFUNCTION("SPLIT(A9208,"" "")"),"Cc1cnc(CN(C)CCN(C)Cc2cc(C)c(C)c(C)n2)cc1C")</f>
        <v>Cc1cnc(CN(C)CCN(C)Cc2cc(C)c(C)c(C)n2)cc1C</v>
      </c>
      <c r="C9208" s="7">
        <f>IFERROR(__xludf.DUMMYFUNCTION("""COMPUTED_VALUE"""),7.7704988)</f>
        <v>7.7704988</v>
      </c>
      <c r="D9208" s="7">
        <f>IFERROR(__xludf.DUMMYFUNCTION("""COMPUTED_VALUE"""),0.487179487179487)</f>
        <v>0.4871794872</v>
      </c>
    </row>
    <row r="9209">
      <c r="A9209" s="10" t="s">
        <v>10648</v>
      </c>
      <c r="B9209" s="7" t="str">
        <f>IFERROR(__xludf.DUMMYFUNCTION("SPLIT(A9209,"" "")"),"CNCc1ncccc1CN(Cc1ccccn1)C1CCCCC1N(C)c1cccc2cc(CF)cnc12")</f>
        <v>CNCc1ncccc1CN(Cc1ccccn1)C1CCCCC1N(C)c1cccc2cc(CF)cnc12</v>
      </c>
      <c r="C9209" s="7">
        <f>IFERROR(__xludf.DUMMYFUNCTION("""COMPUTED_VALUE"""),7.7704988)</f>
        <v>7.7704988</v>
      </c>
      <c r="D9209" s="7">
        <f>IFERROR(__xludf.DUMMYFUNCTION("""COMPUTED_VALUE"""),0.434782608695652)</f>
        <v>0.4347826087</v>
      </c>
    </row>
    <row r="9210">
      <c r="A9210" s="10" t="s">
        <v>10649</v>
      </c>
      <c r="B9210" s="7" t="str">
        <f>IFERROR(__xludf.DUMMYFUNCTION("SPLIT(A9210,"" "")"),"Cc1cncc(CN(CCNCc2nccc(C)c2C)Cc2nccc(C)c2C)c1")</f>
        <v>Cc1cncc(CN(CCNCc2nccc(C)c2C)Cc2nccc(C)c2C)c1</v>
      </c>
      <c r="C9210" s="7">
        <f>IFERROR(__xludf.DUMMYFUNCTION("""COMPUTED_VALUE"""),7.7704926)</f>
        <v>7.7704926</v>
      </c>
      <c r="D9210" s="7">
        <f>IFERROR(__xludf.DUMMYFUNCTION("""COMPUTED_VALUE"""),0.228070175438596)</f>
        <v>0.2280701754</v>
      </c>
    </row>
    <row r="9211">
      <c r="A9211" s="10" t="s">
        <v>10650</v>
      </c>
      <c r="B9211" s="7" t="str">
        <f>IFERROR(__xludf.DUMMYFUNCTION("SPLIT(A9211,"" "")"),"CN(Cc1cccc(-c2ccc3c(c2)OCCOCCOCCOCCOCCO3)n1)c1ccc2ncccc2c1")</f>
        <v>CN(Cc1cccc(-c2ccc3c(c2)OCCOCCOCCOCCOCCO3)n1)c1ccc2ncccc2c1</v>
      </c>
      <c r="C9211" s="7">
        <f>IFERROR(__xludf.DUMMYFUNCTION("""COMPUTED_VALUE"""),7.770491)</f>
        <v>7.770491</v>
      </c>
      <c r="D9211" s="7">
        <f>IFERROR(__xludf.DUMMYFUNCTION("""COMPUTED_VALUE"""),0.347826086956521)</f>
        <v>0.347826087</v>
      </c>
    </row>
    <row r="9212">
      <c r="A9212" s="10" t="s">
        <v>10651</v>
      </c>
      <c r="B9212" s="7" t="str">
        <f>IFERROR(__xludf.DUMMYFUNCTION("SPLIT(A9212,"" "")"),"CC(c1ccccn1)(c1ccccn1)c1cccnc1CNCNCF")</f>
        <v>CC(c1ccccn1)(c1ccccn1)c1cccnc1CNCNCF</v>
      </c>
      <c r="C9212" s="7">
        <f>IFERROR(__xludf.DUMMYFUNCTION("""COMPUTED_VALUE"""),7.770485)</f>
        <v>7.770485</v>
      </c>
      <c r="D9212" s="7">
        <f>IFERROR(__xludf.DUMMYFUNCTION("""COMPUTED_VALUE"""),0.372549019607843)</f>
        <v>0.3725490196</v>
      </c>
    </row>
    <row r="9213">
      <c r="A9213" s="10" t="s">
        <v>10652</v>
      </c>
      <c r="B9213" s="7" t="str">
        <f>IFERROR(__xludf.DUMMYFUNCTION("SPLIT(A9213,"" "")"),"C1=CC(NCc2ccccn2)=CCN1")</f>
        <v>C1=CC(NCc2ccccn2)=CCN1</v>
      </c>
      <c r="C9213" s="7">
        <f>IFERROR(__xludf.DUMMYFUNCTION("""COMPUTED_VALUE"""),7.770483)</f>
        <v>7.770483</v>
      </c>
      <c r="D9213" s="7">
        <f>IFERROR(__xludf.DUMMYFUNCTION("""COMPUTED_VALUE"""),0.473684210526315)</f>
        <v>0.4736842105</v>
      </c>
    </row>
    <row r="9214">
      <c r="A9214" s="10" t="s">
        <v>10653</v>
      </c>
      <c r="B9214" s="7" t="str">
        <f>IFERROR(__xludf.DUMMYFUNCTION("SPLIT(A9214,"" "")"),"CC1=CC(C)CC(c2cccc(CN(Cc3ccccn3)C3CCCCC3N(C)c3ccc4nccc(CN(C)C)c4c3)n2)C1C")</f>
        <v>CC1=CC(C)CC(c2cccc(CN(Cc3ccccn3)C3CCCCC3N(C)c3ccc4nccc(CN(C)C)c4c3)n2)C1C</v>
      </c>
      <c r="C9214" s="7">
        <f>IFERROR(__xludf.DUMMYFUNCTION("""COMPUTED_VALUE"""),7.7704725)</f>
        <v>7.7704725</v>
      </c>
      <c r="D9214" s="7">
        <f>IFERROR(__xludf.DUMMYFUNCTION("""COMPUTED_VALUE"""),0.346666666666666)</f>
        <v>0.3466666667</v>
      </c>
    </row>
    <row r="9215">
      <c r="A9215" s="10" t="s">
        <v>10654</v>
      </c>
      <c r="B9215" s="7" t="str">
        <f>IFERROR(__xludf.DUMMYFUNCTION("SPLIT(A9215,"" "")"),"CC(c1cccc(CN2C=CCC=C2)n1)N(C)Cc1ccccn1")</f>
        <v>CC(c1cccc(CN2C=CCC=C2)n1)N(C)Cc1ccccn1</v>
      </c>
      <c r="C9215" s="7">
        <f>IFERROR(__xludf.DUMMYFUNCTION("""COMPUTED_VALUE"""),7.770466)</f>
        <v>7.770466</v>
      </c>
      <c r="D9215" s="7">
        <f>IFERROR(__xludf.DUMMYFUNCTION("""COMPUTED_VALUE"""),0.411764705882352)</f>
        <v>0.4117647059</v>
      </c>
    </row>
    <row r="9216">
      <c r="A9216" s="10" t="s">
        <v>10655</v>
      </c>
      <c r="B9216" s="7" t="str">
        <f>IFERROR(__xludf.DUMMYFUNCTION("SPLIT(A9216,"" "")"),"CCc1cccc(CN(Cc2cccc(-c3cccc(N=Cc4ccccn4)c3)n2)Cc2cccc(-c3ccc4c(c3)OCCOCCOCCOCCOCCO4)n2)n1")</f>
        <v>CCc1cccc(CN(Cc2cccc(-c3cccc(N=Cc4ccccn4)c3)n2)Cc2cccc(-c3ccc4c(c3)OCCOCCOCCOCCOCCO4)n2)n1</v>
      </c>
      <c r="C9216" s="7">
        <f>IFERROR(__xludf.DUMMYFUNCTION("""COMPUTED_VALUE"""),7.770461)</f>
        <v>7.770461</v>
      </c>
      <c r="D9216" s="7">
        <f>IFERROR(__xludf.DUMMYFUNCTION("""COMPUTED_VALUE"""),0.405405405405405)</f>
        <v>0.4054054054</v>
      </c>
    </row>
    <row r="9217">
      <c r="A9217" s="10" t="s">
        <v>10656</v>
      </c>
      <c r="B9217" s="7" t="str">
        <f>IFERROR(__xludf.DUMMYFUNCTION("SPLIT(A9217,"" "")"),"CC(C)NCc1ccc(CN(C)C2CCCC(N(C)c3cccc4nc(CF)ccc34)C2)cn1")</f>
        <v>CC(C)NCc1ccc(CN(C)C2CCCC(N(C)c3cccc4nc(CF)ccc34)C2)cn1</v>
      </c>
      <c r="C9217" s="7">
        <f>IFERROR(__xludf.DUMMYFUNCTION("""COMPUTED_VALUE"""),7.770461)</f>
        <v>7.770461</v>
      </c>
      <c r="D9217" s="7">
        <f>IFERROR(__xludf.DUMMYFUNCTION("""COMPUTED_VALUE"""),0.347222222222222)</f>
        <v>0.3472222222</v>
      </c>
    </row>
    <row r="9218">
      <c r="A9218" s="10" t="s">
        <v>10657</v>
      </c>
      <c r="B9218" s="7" t="str">
        <f>IFERROR(__xludf.DUMMYFUNCTION("SPLIT(A9218,"" "")"),"CN(Cc1cccc(C2=CCC=CN2)n1)C1CCC(N(C)Cc2cccc(-c3ccccc3)n2)CC1")</f>
        <v>CN(Cc1cccc(C2=CCC=CN2)n1)C1CCC(N(C)Cc2cccc(-c3ccccc3)n2)CC1</v>
      </c>
      <c r="C9218" s="7">
        <f>IFERROR(__xludf.DUMMYFUNCTION("""COMPUTED_VALUE"""),7.7704577)</f>
        <v>7.7704577</v>
      </c>
      <c r="D9218" s="7">
        <f>IFERROR(__xludf.DUMMYFUNCTION("""COMPUTED_VALUE"""),0.344827586206896)</f>
        <v>0.3448275862</v>
      </c>
    </row>
    <row r="9219">
      <c r="A9219" s="10" t="s">
        <v>10658</v>
      </c>
      <c r="B9219" s="7" t="str">
        <f>IFERROR(__xludf.DUMMYFUNCTION("SPLIT(A9219,"" "")"),"CC(C)(CN(Cc1ccccn1)Cc1ccon1)c1ccccn1")</f>
        <v>CC(C)(CN(Cc1ccccn1)Cc1ccon1)c1ccccn1</v>
      </c>
      <c r="C9219" s="7">
        <f>IFERROR(__xludf.DUMMYFUNCTION("""COMPUTED_VALUE"""),7.7704434)</f>
        <v>7.7704434</v>
      </c>
      <c r="D9219" s="7">
        <f>IFERROR(__xludf.DUMMYFUNCTION("""COMPUTED_VALUE"""),0.5)</f>
        <v>0.5</v>
      </c>
    </row>
    <row r="9220">
      <c r="A9220" s="10" t="s">
        <v>10659</v>
      </c>
      <c r="B9220" s="7" t="str">
        <f>IFERROR(__xludf.DUMMYFUNCTION("SPLIT(A9220,"" "")"),"CNCc1cccc(CN(Cc2ccc(F)cn2)Cc2cccc(F)n2)n1")</f>
        <v>CNCc1cccc(CN(Cc2ccc(F)cn2)Cc2cccc(F)n2)n1</v>
      </c>
      <c r="C9220" s="7">
        <f>IFERROR(__xludf.DUMMYFUNCTION("""COMPUTED_VALUE"""),7.7704196)</f>
        <v>7.7704196</v>
      </c>
      <c r="D9220" s="7">
        <f>IFERROR(__xludf.DUMMYFUNCTION("""COMPUTED_VALUE"""),0.370967741935483)</f>
        <v>0.3709677419</v>
      </c>
    </row>
    <row r="9221">
      <c r="A9221" s="10" t="s">
        <v>10660</v>
      </c>
      <c r="B9221" s="7" t="str">
        <f>IFERROR(__xludf.DUMMYFUNCTION("SPLIT(A9221,"" "")"),"CC1=CC(C)C2(C=CC3(C=C(C)C(C)C(C)C3)C(c3ccc(CN(Cc4ccccn4)Cc4ccccn4)cn3)C2c2cccc(CN(Cc3ccccn3)C3CCC(N(C)c4ccc5cc(CN(C)C)cnc5c4)CC3)n2)C(C)C1")</f>
        <v>CC1=CC(C)C2(C=CC3(C=C(C)C(C)C(C)C3)C(c3ccc(CN(Cc4ccccn4)Cc4ccccn4)cn3)C2c2cccc(CN(Cc3ccccn3)C3CCC(N(C)c4ccc5cc(CN(C)C)cnc5c4)CC3)n2)C(C)C1</v>
      </c>
      <c r="C9221" s="7">
        <f>IFERROR(__xludf.DUMMYFUNCTION("""COMPUTED_VALUE"""),7.7704186)</f>
        <v>7.7704186</v>
      </c>
      <c r="D9221" s="7">
        <f>IFERROR(__xludf.DUMMYFUNCTION("""COMPUTED_VALUE"""),0.252525252525252)</f>
        <v>0.2525252525</v>
      </c>
    </row>
    <row r="9222">
      <c r="A9222" s="10" t="s">
        <v>10661</v>
      </c>
      <c r="B9222" s="7" t="str">
        <f>IFERROR(__xludf.DUMMYFUNCTION("SPLIT(A9222,"" "")"),"CC(C)C1(C)N=COC1c1ncccc1CN(Cc1ccccn1)Cc1ccccn1")</f>
        <v>CC(C)C1(C)N=COC1c1ncccc1CN(Cc1ccccn1)Cc1ccccn1</v>
      </c>
      <c r="C9222" s="7">
        <f>IFERROR(__xludf.DUMMYFUNCTION("""COMPUTED_VALUE"""),7.7703943)</f>
        <v>7.7703943</v>
      </c>
      <c r="D9222" s="7">
        <f>IFERROR(__xludf.DUMMYFUNCTION("""COMPUTED_VALUE"""),0.425531914893617)</f>
        <v>0.4255319149</v>
      </c>
    </row>
    <row r="9223">
      <c r="A9223" s="10" t="s">
        <v>10662</v>
      </c>
      <c r="B9223" s="7" t="str">
        <f>IFERROR(__xludf.DUMMYFUNCTION("SPLIT(A9223,"" "")"),"C(=Nc1cccc(-c2ccc(CN(Cc3ccccn3)Cc3ccc(-c4ccc5c(c4)OCCOCCOCCOCCOCCO5)cn3)nc2)c1)c1ccccn1")</f>
        <v>C(=Nc1cccc(-c2ccc(CN(Cc3ccccn3)Cc3ccc(-c4ccc5c(c4)OCCOCCOCCOCCOCCO5)cn3)nc2)c1)c1ccccn1</v>
      </c>
      <c r="C9223" s="7">
        <f>IFERROR(__xludf.DUMMYFUNCTION("""COMPUTED_VALUE"""),7.7703867)</f>
        <v>7.7703867</v>
      </c>
      <c r="D9223" s="7">
        <f>IFERROR(__xludf.DUMMYFUNCTION("""COMPUTED_VALUE"""),0.410958904109589)</f>
        <v>0.4109589041</v>
      </c>
    </row>
    <row r="9224">
      <c r="A9224" s="10" t="s">
        <v>10663</v>
      </c>
      <c r="B9224" s="7" t="str">
        <f>IFERROR(__xludf.DUMMYFUNCTION("SPLIT(A9224,"" "")"),"CCNCc1cccc(CN(Cc2ccccn2)C2CCC(N(C)c3cccc4c(CF)ccnc34)CC2)n1")</f>
        <v>CCNCc1cccc(CN(Cc2ccccn2)C2CCC(N(C)c3cccc4c(CF)ccnc34)CC2)n1</v>
      </c>
      <c r="C9224" s="7">
        <f>IFERROR(__xludf.DUMMYFUNCTION("""COMPUTED_VALUE"""),7.770376)</f>
        <v>7.770376</v>
      </c>
      <c r="D9224" s="7">
        <f>IFERROR(__xludf.DUMMYFUNCTION("""COMPUTED_VALUE"""),0.333333333333333)</f>
        <v>0.3333333333</v>
      </c>
    </row>
    <row r="9225">
      <c r="A9225" s="10" t="s">
        <v>10664</v>
      </c>
      <c r="B9225" s="7" t="str">
        <f>IFERROR(__xludf.DUMMYFUNCTION("SPLIT(A9225,"" "")"),"CCNc1cccc(CN(Cc2ccccn2)Cc2ccc(N)cn2)n1")</f>
        <v>CCNc1cccc(CN(Cc2ccccn2)Cc2ccc(N)cn2)n1</v>
      </c>
      <c r="C9225" s="7">
        <f>IFERROR(__xludf.DUMMYFUNCTION("""COMPUTED_VALUE"""),7.7703753)</f>
        <v>7.7703753</v>
      </c>
      <c r="D9225" s="7">
        <f>IFERROR(__xludf.DUMMYFUNCTION("""COMPUTED_VALUE"""),0.476190476190476)</f>
        <v>0.4761904762</v>
      </c>
    </row>
    <row r="9226">
      <c r="A9226" s="10" t="s">
        <v>10665</v>
      </c>
      <c r="B9226" s="7" t="str">
        <f>IFERROR(__xludf.DUMMYFUNCTION("SPLIT(A9226,"" "")"),"CN(Cc1ncccc1C(C)(C)C)Cc1ncccc1C(C)(C)C")</f>
        <v>CN(Cc1ncccc1C(C)(C)C)Cc1ncccc1C(C)(C)C</v>
      </c>
      <c r="C9226" s="7">
        <f>IFERROR(__xludf.DUMMYFUNCTION("""COMPUTED_VALUE"""),7.770373)</f>
        <v>7.770373</v>
      </c>
      <c r="D9226" s="7">
        <f>IFERROR(__xludf.DUMMYFUNCTION("""COMPUTED_VALUE"""),0.365853658536585)</f>
        <v>0.3658536585</v>
      </c>
    </row>
    <row r="9227">
      <c r="A9227" s="10" t="s">
        <v>10666</v>
      </c>
      <c r="B9227" s="7" t="str">
        <f>IFERROR(__xludf.DUMMYFUNCTION("SPLIT(A9227,"" "")"),"CCNCc1cccc(CN(Cc2ccccn2)C2CCC(N(C)c3cccc4nccc(CF)c34)CC2)n1")</f>
        <v>CCNCc1cccc(CN(Cc2ccccn2)C2CCC(N(C)c3cccc4nccc(CF)c34)CC2)n1</v>
      </c>
      <c r="C9227" s="7">
        <f>IFERROR(__xludf.DUMMYFUNCTION("""COMPUTED_VALUE"""),7.770373)</f>
        <v>7.770373</v>
      </c>
      <c r="D9227" s="7">
        <f>IFERROR(__xludf.DUMMYFUNCTION("""COMPUTED_VALUE"""),0.333333333333333)</f>
        <v>0.3333333333</v>
      </c>
    </row>
    <row r="9228">
      <c r="A9228" s="10" t="s">
        <v>10667</v>
      </c>
      <c r="B9228" s="7" t="str">
        <f>IFERROR(__xludf.DUMMYFUNCTION("SPLIT(A9228,"" "")"),"CC(C)N(Cc1ccccn1)C1CCC(N(C)c2ccc3ncc(CF)cc3c2)CC1")</f>
        <v>CC(C)N(Cc1ccccn1)C1CCC(N(C)c2ccc3ncc(CF)cc3c2)CC1</v>
      </c>
      <c r="C9228" s="7">
        <f>IFERROR(__xludf.DUMMYFUNCTION("""COMPUTED_VALUE"""),7.770373)</f>
        <v>7.770373</v>
      </c>
      <c r="D9228" s="7">
        <f>IFERROR(__xludf.DUMMYFUNCTION("""COMPUTED_VALUE"""),0.354838709677419)</f>
        <v>0.3548387097</v>
      </c>
    </row>
    <row r="9229">
      <c r="A9229" s="10" t="s">
        <v>10668</v>
      </c>
      <c r="B9229" s="7" t="str">
        <f>IFERROR(__xludf.DUMMYFUNCTION("SPLIT(A9229,"" "")"),"Cc1cccc(CN(C)C2CC(N(Cc3nc(C)c(C)c(C)c3C)Cc3nc(C)c(C)c(C)c3C)CCC2N(C)Cc2cc(C)c(C)c(C)n2)n1")</f>
        <v>Cc1cccc(CN(C)C2CC(N(Cc3nc(C)c(C)c(C)c3C)Cc3nc(C)c(C)c(C)c3C)CCC2N(C)Cc2cc(C)c(C)c(C)n2)n1</v>
      </c>
      <c r="C9229" s="7">
        <f>IFERROR(__xludf.DUMMYFUNCTION("""COMPUTED_VALUE"""),7.7703686)</f>
        <v>7.7703686</v>
      </c>
      <c r="D9229" s="7">
        <f>IFERROR(__xludf.DUMMYFUNCTION("""COMPUTED_VALUE"""),0.491228070175438)</f>
        <v>0.4912280702</v>
      </c>
    </row>
    <row r="9230">
      <c r="A9230" s="10" t="s">
        <v>10669</v>
      </c>
      <c r="B9230" s="7" t="str">
        <f>IFERROR(__xludf.DUMMYFUNCTION("SPLIT(A9230,"" "")"),"CCNCc1cc(CN(Cc2cc(C)ccn2)Cc2nccc(C)c2C)ccn1")</f>
        <v>CCNCc1cc(CN(Cc2cc(C)ccn2)Cc2nccc(C)c2C)ccn1</v>
      </c>
      <c r="C9230" s="7">
        <f>IFERROR(__xludf.DUMMYFUNCTION("""COMPUTED_VALUE"""),7.770363)</f>
        <v>7.770363</v>
      </c>
      <c r="D9230" s="7">
        <f>IFERROR(__xludf.DUMMYFUNCTION("""COMPUTED_VALUE"""),0.31578947368421)</f>
        <v>0.3157894737</v>
      </c>
    </row>
    <row r="9231">
      <c r="A9231" s="10" t="s">
        <v>10670</v>
      </c>
      <c r="B9231" s="7" t="str">
        <f>IFERROR(__xludf.DUMMYFUNCTION("SPLIT(A9231,"" "")"),"Cc1cccc(-c2ccc(CN(C)C3CCCCC3N(Cc3ccccn3)Cc3nc(C)c(C)c(C)c3C)cc2)n1")</f>
        <v>Cc1cccc(-c2ccc(CN(C)C3CCCCC3N(Cc3ccccn3)Cc3nc(C)c(C)c(C)c3C)cc2)n1</v>
      </c>
      <c r="C9231" s="7">
        <f>IFERROR(__xludf.DUMMYFUNCTION("""COMPUTED_VALUE"""),7.770361)</f>
        <v>7.770361</v>
      </c>
      <c r="D9231" s="7">
        <f>IFERROR(__xludf.DUMMYFUNCTION("""COMPUTED_VALUE"""),0.475409836065573)</f>
        <v>0.4754098361</v>
      </c>
    </row>
    <row r="9232">
      <c r="A9232" s="10" t="s">
        <v>10671</v>
      </c>
      <c r="B9232" s="7" t="str">
        <f>IFERROR(__xludf.DUMMYFUNCTION("SPLIT(A9232,"" "")"),"CC(C)C(C)(c1ccccn1)c1cccc(CN(Cc2ccc([Si](C(C)C)(C(C)C)C(C)C)cn2)CC(C)(C)C)n1")</f>
        <v>CC(C)C(C)(c1ccccn1)c1cccc(CN(Cc2ccc([Si](C(C)C)(C(C)C)C(C)C)cn2)CC(C)(C)C)n1</v>
      </c>
      <c r="C9232" s="7">
        <f>IFERROR(__xludf.DUMMYFUNCTION("""COMPUTED_VALUE"""),7.7703576)</f>
        <v>7.7703576</v>
      </c>
      <c r="D9232" s="7">
        <f>IFERROR(__xludf.DUMMYFUNCTION("""COMPUTED_VALUE"""),0.490566037735849)</f>
        <v>0.4905660377</v>
      </c>
    </row>
    <row r="9233">
      <c r="A9233" s="10" t="s">
        <v>10672</v>
      </c>
      <c r="B9233" s="7" t="str">
        <f>IFERROR(__xludf.DUMMYFUNCTION("SPLIT(A9233,"" "")"),"CN(Cc1cccnn1)C1CCCCC1N(C)c1ccc2ncc(CF)cc2c1")</f>
        <v>CN(Cc1cccnn1)C1CCCCC1N(C)c1ccc2ncc(CF)cc2c1</v>
      </c>
      <c r="C9233" s="7">
        <f>IFERROR(__xludf.DUMMYFUNCTION("""COMPUTED_VALUE"""),7.770351)</f>
        <v>7.770351</v>
      </c>
      <c r="D9233" s="7">
        <f>IFERROR(__xludf.DUMMYFUNCTION("""COMPUTED_VALUE"""),0.416666666666666)</f>
        <v>0.4166666667</v>
      </c>
    </row>
    <row r="9234">
      <c r="A9234" s="10" t="s">
        <v>10673</v>
      </c>
      <c r="B9234" s="7" t="str">
        <f>IFERROR(__xludf.DUMMYFUNCTION("SPLIT(A9234,"" "")"),"CN(Cc1ccc(-c2cccc3c2OCCOCCOCCOCCOCCO3)cn1)c1cccc2cccnc12")</f>
        <v>CN(Cc1ccc(-c2cccc3c2OCCOCCOCCOCCOCCO3)cn1)c1cccc2cccnc12</v>
      </c>
      <c r="C9234" s="7">
        <f>IFERROR(__xludf.DUMMYFUNCTION("""COMPUTED_VALUE"""),7.7703505)</f>
        <v>7.7703505</v>
      </c>
      <c r="D9234" s="7">
        <f>IFERROR(__xludf.DUMMYFUNCTION("""COMPUTED_VALUE"""),0.421052631578947)</f>
        <v>0.4210526316</v>
      </c>
    </row>
    <row r="9235">
      <c r="A9235" s="10" t="s">
        <v>10674</v>
      </c>
      <c r="B9235" s="7" t="str">
        <f>IFERROR(__xludf.DUMMYFUNCTION("SPLIT(A9235,"" "")"),"CCC(C)c1cccc(CN(Cc2ccccn2)C2CCC(N(C)c3ccc4ncc(CF)cc4c3)CC2)n1")</f>
        <v>CCC(C)c1cccc(CN(Cc2ccccn2)C2CCC(N(C)c3ccc4ncc(CF)cc4c3)CC2)n1</v>
      </c>
      <c r="C9235" s="7">
        <f>IFERROR(__xludf.DUMMYFUNCTION("""COMPUTED_VALUE"""),7.77035)</f>
        <v>7.77035</v>
      </c>
      <c r="D9235" s="7">
        <f>IFERROR(__xludf.DUMMYFUNCTION("""COMPUTED_VALUE"""),0.319444444444444)</f>
        <v>0.3194444444</v>
      </c>
    </row>
    <row r="9236">
      <c r="A9236" s="10" t="s">
        <v>10675</v>
      </c>
      <c r="B9236" s="7" t="str">
        <f>IFERROR(__xludf.DUMMYFUNCTION("SPLIT(A9236,"" "")"),"CN1CCN(C)CCN(C(C)(C)c2cccnc2-c2cccc(N=Cc3ccccn3)c2)CC1")</f>
        <v>CN1CCN(C)CCN(C(C)(C)c2cccnc2-c2cccc(N=Cc3ccccn3)c2)CC1</v>
      </c>
      <c r="C9236" s="7">
        <f>IFERROR(__xludf.DUMMYFUNCTION("""COMPUTED_VALUE"""),7.770349)</f>
        <v>7.770349</v>
      </c>
      <c r="D9236" s="7">
        <f>IFERROR(__xludf.DUMMYFUNCTION("""COMPUTED_VALUE"""),0.344262295081967)</f>
        <v>0.3442622951</v>
      </c>
    </row>
    <row r="9237">
      <c r="A9237" s="10" t="s">
        <v>10676</v>
      </c>
      <c r="B9237" s="7" t="str">
        <f>IFERROR(__xludf.DUMMYFUNCTION("SPLIT(A9237,"" "")"),"CC(C)C1(C)N=COC1c1ccc(CN(Cc2ccccn2)Cc2ccccn2)cn1")</f>
        <v>CC(C)C1(C)N=COC1c1ccc(CN(Cc2ccccn2)Cc2ccccn2)cn1</v>
      </c>
      <c r="C9237" s="7">
        <f>IFERROR(__xludf.DUMMYFUNCTION("""COMPUTED_VALUE"""),7.7703457)</f>
        <v>7.7703457</v>
      </c>
      <c r="D9237" s="7">
        <f>IFERROR(__xludf.DUMMYFUNCTION("""COMPUTED_VALUE"""),0.408163265306122)</f>
        <v>0.4081632653</v>
      </c>
    </row>
    <row r="9238">
      <c r="A9238" s="10" t="s">
        <v>10677</v>
      </c>
      <c r="B9238" s="7" t="str">
        <f>IFERROR(__xludf.DUMMYFUNCTION("SPLIT(A9238,"" "")"),"CN(Cc1ccc(-c2ccc3c(c2)OCCOCCOCCOCCOCCO3)cn1)Cc1cccc(-c2ccc(N=Cc3ccccn3)cc2)n1")</f>
        <v>CN(Cc1ccc(-c2ccc3c(c2)OCCOCCOCCOCCOCCO3)cn1)Cc1cccc(-c2ccc(N=Cc3ccccn3)cc2)n1</v>
      </c>
      <c r="C9238" s="7">
        <f>IFERROR(__xludf.DUMMYFUNCTION("""COMPUTED_VALUE"""),7.7703385)</f>
        <v>7.7703385</v>
      </c>
      <c r="D9238" s="7">
        <f>IFERROR(__xludf.DUMMYFUNCTION("""COMPUTED_VALUE"""),0.391304347826087)</f>
        <v>0.3913043478</v>
      </c>
    </row>
    <row r="9239">
      <c r="A9239" s="10" t="s">
        <v>10678</v>
      </c>
      <c r="B9239" s="7" t="str">
        <f>IFERROR(__xludf.DUMMYFUNCTION("SPLIT(A9239,"" "")"),"C(=Nc1ccccc1-c1cccc(CN(Cc2ccccn2)Cc2ccc(-c3ccc4c(c3)OCCOCCOCCOCCOCCO4)cn2)n1)c1ccccn1")</f>
        <v>C(=Nc1ccccc1-c1cccc(CN(Cc2ccccn2)Cc2ccc(-c3ccc4c(c3)OCCOCCOCCOCCOCCO4)cn2)n1)c1ccccn1</v>
      </c>
      <c r="C9239" s="7">
        <f>IFERROR(__xludf.DUMMYFUNCTION("""COMPUTED_VALUE"""),7.7703376)</f>
        <v>7.7703376</v>
      </c>
      <c r="D9239" s="7">
        <f>IFERROR(__xludf.DUMMYFUNCTION("""COMPUTED_VALUE"""),0.375)</f>
        <v>0.375</v>
      </c>
    </row>
    <row r="9240">
      <c r="A9240" s="10" t="s">
        <v>10679</v>
      </c>
      <c r="B9240" s="7" t="str">
        <f>IFERROR(__xludf.DUMMYFUNCTION("SPLIT(A9240,"" "")"),"Cc1ncccc1CN(C)C")</f>
        <v>Cc1ncccc1CN(C)C</v>
      </c>
      <c r="C9240" s="7">
        <f>IFERROR(__xludf.DUMMYFUNCTION("""COMPUTED_VALUE"""),7.7703333)</f>
        <v>7.7703333</v>
      </c>
      <c r="D9240" s="7">
        <f>IFERROR(__xludf.DUMMYFUNCTION("""COMPUTED_VALUE"""),0.432432432432432)</f>
        <v>0.4324324324</v>
      </c>
    </row>
    <row r="9241">
      <c r="A9241" s="10" t="s">
        <v>10680</v>
      </c>
      <c r="B9241" s="7" t="str">
        <f>IFERROR(__xludf.DUMMYFUNCTION("SPLIT(A9241,"" "")"),"c1ccc(CN(Cc2cccc(-c3ccc4c(c3)OCCOCCOCCOCCOCCO4)n2)c2ccc3ncccc3c2)nc1")</f>
        <v>c1ccc(CN(Cc2cccc(-c3ccc4c(c3)OCCOCCOCCOCCOCCO4)n2)c2ccc3ncccc3c2)nc1</v>
      </c>
      <c r="C9241" s="7">
        <f>IFERROR(__xludf.DUMMYFUNCTION("""COMPUTED_VALUE"""),7.7703285)</f>
        <v>7.7703285</v>
      </c>
      <c r="D9241" s="7">
        <f>IFERROR(__xludf.DUMMYFUNCTION("""COMPUTED_VALUE"""),0.397058823529411)</f>
        <v>0.3970588235</v>
      </c>
    </row>
    <row r="9242">
      <c r="A9242" s="10" t="s">
        <v>10681</v>
      </c>
      <c r="B9242" s="7" t="str">
        <f>IFERROR(__xludf.DUMMYFUNCTION("SPLIT(A9242,"" "")"),"FCc1ccc2cccc(N(Cc3ccccn3)Cc3ccc(-c4ccc5c(c4)OCCOCCOCCOCCOCCO5)cn3)c2n1")</f>
        <v>FCc1ccc2cccc(N(Cc3ccccn3)Cc3ccc(-c4ccc5c(c4)OCCOCCOCCOCCOCCO5)cn3)c2n1</v>
      </c>
      <c r="C9242" s="7">
        <f>IFERROR(__xludf.DUMMYFUNCTION("""COMPUTED_VALUE"""),7.770322)</f>
        <v>7.770322</v>
      </c>
      <c r="D9242" s="7">
        <f>IFERROR(__xludf.DUMMYFUNCTION("""COMPUTED_VALUE"""),0.416666666666666)</f>
        <v>0.4166666667</v>
      </c>
    </row>
    <row r="9243">
      <c r="A9243" s="10" t="s">
        <v>10682</v>
      </c>
      <c r="B9243" s="7" t="str">
        <f>IFERROR(__xludf.DUMMYFUNCTION("SPLIT(A9243,"" "")"),"Cc1cc(C)c(CN(C)C2CC(N(Cc3nc(C)c(C)c(C)c3C)Cc3nc(C)c(C)c(C)c3C)CCC2N(C)C)nc1C")</f>
        <v>Cc1cc(C)c(CN(C)C2CC(N(Cc3nc(C)c(C)c(C)c3C)Cc3nc(C)c(C)c(C)c3C)CCC2N(C)C)nc1C</v>
      </c>
      <c r="C9243" s="7">
        <f>IFERROR(__xludf.DUMMYFUNCTION("""COMPUTED_VALUE"""),7.770321)</f>
        <v>7.770321</v>
      </c>
      <c r="D9243" s="7">
        <f>IFERROR(__xludf.DUMMYFUNCTION("""COMPUTED_VALUE"""),0.262295081967213)</f>
        <v>0.262295082</v>
      </c>
    </row>
    <row r="9244">
      <c r="A9244" s="10" t="s">
        <v>10683</v>
      </c>
      <c r="B9244" s="7" t="str">
        <f>IFERROR(__xludf.DUMMYFUNCTION("SPLIT(A9244,"" "")"),"CNc1ccccc1F")</f>
        <v>CNc1ccccc1F</v>
      </c>
      <c r="C9244" s="7">
        <f>IFERROR(__xludf.DUMMYFUNCTION("""COMPUTED_VALUE"""),7.7703133)</f>
        <v>7.7703133</v>
      </c>
      <c r="D9244" s="7">
        <f>IFERROR(__xludf.DUMMYFUNCTION("""COMPUTED_VALUE"""),0.260869565217391)</f>
        <v>0.2608695652</v>
      </c>
    </row>
    <row r="9245">
      <c r="A9245" s="10" t="s">
        <v>10684</v>
      </c>
      <c r="B9245" s="7" t="str">
        <f>IFERROR(__xludf.DUMMYFUNCTION("SPLIT(A9245,"" "")"),"CC1=C(C)C(C)CC2(C=CC3(CCC(C)=C(C)C3C)C(c3ncccc3CN(Cc3ccccn3)Cc3ccccn3)C2c2ncccc2CN(Cc2ccccn2)Cc2ccccn2)C1")</f>
        <v>CC1=C(C)C(C)CC2(C=CC3(CCC(C)=C(C)C3C)C(c3ncccc3CN(Cc3ccccn3)Cc3ccccn3)C2c2ncccc2CN(Cc2ccccn2)Cc2ccccn2)C1</v>
      </c>
      <c r="C9245" s="7">
        <f>IFERROR(__xludf.DUMMYFUNCTION("""COMPUTED_VALUE"""),7.770311)</f>
        <v>7.770311</v>
      </c>
      <c r="D9245" s="7">
        <f>IFERROR(__xludf.DUMMYFUNCTION("""COMPUTED_VALUE"""),0.327868852459016)</f>
        <v>0.3278688525</v>
      </c>
    </row>
    <row r="9246">
      <c r="A9246" s="10" t="s">
        <v>10685</v>
      </c>
      <c r="B9246" s="7" t="str">
        <f>IFERROR(__xludf.DUMMYFUNCTION("SPLIT(A9246,"" "")"),"CN(Cc1cc(-c2ccc3c(c2)OCCOCCOCCOCCOCCO3)ccn1)Cc1cccc(-c2ccccc2N=Cc2ccccn2)n1")</f>
        <v>CN(Cc1cc(-c2ccc3c(c2)OCCOCCOCCOCCOCCO3)ccn1)Cc1cccc(-c2ccccc2N=Cc2ccccn2)n1</v>
      </c>
      <c r="C9246" s="7">
        <f>IFERROR(__xludf.DUMMYFUNCTION("""COMPUTED_VALUE"""),7.7703047)</f>
        <v>7.7703047</v>
      </c>
      <c r="D9246" s="7">
        <f>IFERROR(__xludf.DUMMYFUNCTION("""COMPUTED_VALUE"""),0.385714285714285)</f>
        <v>0.3857142857</v>
      </c>
    </row>
    <row r="9247">
      <c r="A9247" s="10" t="s">
        <v>10686</v>
      </c>
      <c r="B9247" s="7" t="str">
        <f>IFERROR(__xludf.DUMMYFUNCTION("SPLIT(A9247,"" "")"),"Cc1cc(C)c(CN(C)C2=C(CN(C)C(C)C)NC=CC2)cn1")</f>
        <v>Cc1cc(C)c(CN(C)C2=C(CN(C)C(C)C)NC=CC2)cn1</v>
      </c>
      <c r="C9247" s="7">
        <f>IFERROR(__xludf.DUMMYFUNCTION("""COMPUTED_VALUE"""),7.7703)</f>
        <v>7.7703</v>
      </c>
      <c r="D9247" s="7">
        <f>IFERROR(__xludf.DUMMYFUNCTION("""COMPUTED_VALUE"""),0.196969696969696)</f>
        <v>0.196969697</v>
      </c>
    </row>
    <row r="9248">
      <c r="A9248" s="10" t="s">
        <v>10687</v>
      </c>
      <c r="B9248" s="7" t="str">
        <f>IFERROR(__xludf.DUMMYFUNCTION("SPLIT(A9248,"" "")"),"FCc1ccc2cccc(N(Cc3ccccn3)Cc3ncccc3-c3cccc4c3OCCOCCOCCOCCOCCO4)c2n1")</f>
        <v>FCc1ccc2cccc(N(Cc3ccccn3)Cc3ncccc3-c3cccc4c3OCCOCCOCCOCCOCCO4)c2n1</v>
      </c>
      <c r="C9248" s="7">
        <f>IFERROR(__xludf.DUMMYFUNCTION("""COMPUTED_VALUE"""),7.770294)</f>
        <v>7.770294</v>
      </c>
      <c r="D9248" s="7">
        <f>IFERROR(__xludf.DUMMYFUNCTION("""COMPUTED_VALUE"""),0.342465753424657)</f>
        <v>0.3424657534</v>
      </c>
    </row>
    <row r="9249">
      <c r="A9249" s="10" t="s">
        <v>10688</v>
      </c>
      <c r="B9249" s="7" t="str">
        <f>IFERROR(__xludf.DUMMYFUNCTION("SPLIT(A9249,"" "")"),"CNCc1cccc(CN(Cc2ccccn2)Cc2cccc(C(C)(C)C)n2)n1")</f>
        <v>CNCc1cccc(CN(Cc2ccccn2)Cc2cccc(C(C)(C)C)n2)n1</v>
      </c>
      <c r="C9249" s="7">
        <f>IFERROR(__xludf.DUMMYFUNCTION("""COMPUTED_VALUE"""),7.770293)</f>
        <v>7.770293</v>
      </c>
      <c r="D9249" s="7">
        <f>IFERROR(__xludf.DUMMYFUNCTION("""COMPUTED_VALUE"""),0.5)</f>
        <v>0.5</v>
      </c>
    </row>
    <row r="9250">
      <c r="A9250" s="10" t="s">
        <v>10689</v>
      </c>
      <c r="B9250" s="7" t="str">
        <f>IFERROR(__xludf.DUMMYFUNCTION("SPLIT(A9250,"" "")"),"CN(Cc1cccc(-c2ccc3c(c2)OCCOCCOCCOCCOCCO3)n1)c1cccc2ccc(CF)nc12")</f>
        <v>CN(Cc1cccc(-c2ccc3c(c2)OCCOCCOCCOCCOCCO3)n1)c1cccc2ccc(CF)nc12</v>
      </c>
      <c r="C9250" s="7">
        <f>IFERROR(__xludf.DUMMYFUNCTION("""COMPUTED_VALUE"""),7.7702894)</f>
        <v>7.7702894</v>
      </c>
      <c r="D9250" s="7">
        <f>IFERROR(__xludf.DUMMYFUNCTION("""COMPUTED_VALUE"""),0.415384615384615)</f>
        <v>0.4153846154</v>
      </c>
    </row>
    <row r="9251">
      <c r="A9251" s="10" t="s">
        <v>10690</v>
      </c>
      <c r="B9251" s="7" t="str">
        <f>IFERROR(__xludf.DUMMYFUNCTION("SPLIT(A9251,"" "")"),"CNCc1ncccc1CN(C)C1CCCC(N(C)c2cccc3ncccc23)C1")</f>
        <v>CNCc1ncccc1CN(C)C1CCCC(N(C)c2cccc3ncccc23)C1</v>
      </c>
      <c r="C9251" s="7">
        <f>IFERROR(__xludf.DUMMYFUNCTION("""COMPUTED_VALUE"""),7.770266)</f>
        <v>7.770266</v>
      </c>
      <c r="D9251" s="7">
        <f>IFERROR(__xludf.DUMMYFUNCTION("""COMPUTED_VALUE"""),0.3125)</f>
        <v>0.3125</v>
      </c>
    </row>
    <row r="9252">
      <c r="A9252" s="10" t="s">
        <v>10691</v>
      </c>
      <c r="B9252" s="7" t="str">
        <f>IFERROR(__xludf.DUMMYFUNCTION("SPLIT(A9252,"" "")"),"CNC1CCCC(N(Cc2nc(C)c(C)cc2C)Cc2nc(C)c(C)cc2C)C1N(Cc1nc(C)c(C)cc1C)Cc1nc(C)c(C)cc1C")</f>
        <v>CNC1CCCC(N(Cc2nc(C)c(C)cc2C)Cc2nc(C)c(C)cc2C)C1N(Cc1nc(C)c(C)cc1C)Cc1nc(C)c(C)cc1C</v>
      </c>
      <c r="C9252" s="7">
        <f>IFERROR(__xludf.DUMMYFUNCTION("""COMPUTED_VALUE"""),7.7702656)</f>
        <v>7.7702656</v>
      </c>
      <c r="D9252" s="7">
        <f>IFERROR(__xludf.DUMMYFUNCTION("""COMPUTED_VALUE"""),0.272727272727272)</f>
        <v>0.2727272727</v>
      </c>
    </row>
    <row r="9253">
      <c r="A9253" s="10" t="s">
        <v>10692</v>
      </c>
      <c r="B9253" s="7" t="str">
        <f>IFERROR(__xludf.DUMMYFUNCTION("SPLIT(A9253,"" "")"),"CN(Cc1ccccn1)C1C=CNC(CN(Cc2ccccn2)Cc2cccc(F)n2)=C1")</f>
        <v>CN(Cc1ccccn1)C1C=CNC(CN(Cc2ccccn2)Cc2cccc(F)n2)=C1</v>
      </c>
      <c r="C9253" s="7">
        <f>IFERROR(__xludf.DUMMYFUNCTION("""COMPUTED_VALUE"""),7.7702603)</f>
        <v>7.7702603</v>
      </c>
      <c r="D9253" s="7">
        <f>IFERROR(__xludf.DUMMYFUNCTION("""COMPUTED_VALUE"""),0.46875)</f>
        <v>0.46875</v>
      </c>
    </row>
    <row r="9254">
      <c r="A9254" s="10" t="s">
        <v>10693</v>
      </c>
      <c r="B9254" s="7" t="str">
        <f>IFERROR(__xludf.DUMMYFUNCTION("SPLIT(A9254,"" "")"),"CNC1CCC(N(C)c2ccc3c(CF)ccnc3c2)CC1")</f>
        <v>CNC1CCC(N(C)c2ccc3c(CF)ccnc3c2)CC1</v>
      </c>
      <c r="C9254" s="7">
        <f>IFERROR(__xludf.DUMMYFUNCTION("""COMPUTED_VALUE"""),7.770256)</f>
        <v>7.770256</v>
      </c>
      <c r="D9254" s="7">
        <f>IFERROR(__xludf.DUMMYFUNCTION("""COMPUTED_VALUE"""),0.23076923076923)</f>
        <v>0.2307692308</v>
      </c>
    </row>
    <row r="9255">
      <c r="A9255" s="10" t="s">
        <v>10694</v>
      </c>
      <c r="B9255" s="7" t="str">
        <f>IFERROR(__xludf.DUMMYFUNCTION("SPLIT(A9255,"" "")"),"Cc1cccnc1CN(Cc1ccc(C(C)(C)C)cn1)C1CCC(N(C)Cc2cc(-c3ccccn3)ccn2)CC1")</f>
        <v>Cc1cccnc1CN(Cc1ccc(C(C)(C)C)cn1)C1CCC(N(C)Cc2cc(-c3ccccn3)ccn2)CC1</v>
      </c>
      <c r="C9255" s="7">
        <f>IFERROR(__xludf.DUMMYFUNCTION("""COMPUTED_VALUE"""),7.7702556)</f>
        <v>7.7702556</v>
      </c>
      <c r="D9255" s="7">
        <f>IFERROR(__xludf.DUMMYFUNCTION("""COMPUTED_VALUE"""),0.333333333333333)</f>
        <v>0.3333333333</v>
      </c>
    </row>
    <row r="9256">
      <c r="A9256" s="10" t="s">
        <v>10695</v>
      </c>
      <c r="B9256" s="7" t="str">
        <f>IFERROR(__xludf.DUMMYFUNCTION("SPLIT(A9256,"" "")"),"Cc1cc(C)c(CN(Cc2ccccn2)CN(C)Cc2ccccn2)nc1N")</f>
        <v>Cc1cc(C)c(CN(Cc2ccccn2)CN(C)Cc2ccccn2)nc1N</v>
      </c>
      <c r="C9256" s="7">
        <f>IFERROR(__xludf.DUMMYFUNCTION("""COMPUTED_VALUE"""),7.770254)</f>
        <v>7.770254</v>
      </c>
      <c r="D9256" s="7">
        <f>IFERROR(__xludf.DUMMYFUNCTION("""COMPUTED_VALUE"""),0.441860465116279)</f>
        <v>0.4418604651</v>
      </c>
    </row>
    <row r="9257">
      <c r="A9257" s="10" t="s">
        <v>10696</v>
      </c>
      <c r="B9257" s="7" t="str">
        <f>IFERROR(__xludf.DUMMYFUNCTION("SPLIT(A9257,"" "")"),"CN(Cc1ncccc1-c1ccccc1N=Cc1ccccn1)Cc1ncccc1-c1cccc2c1OCCOCCOCCOCCOCCO2")</f>
        <v>CN(Cc1ncccc1-c1ccccc1N=Cc1ccccn1)Cc1ncccc1-c1cccc2c1OCCOCCOCCOCCOCCO2</v>
      </c>
      <c r="C9257" s="7">
        <f>IFERROR(__xludf.DUMMYFUNCTION("""COMPUTED_VALUE"""),7.770252)</f>
        <v>7.770252</v>
      </c>
      <c r="D9257" s="7">
        <f>IFERROR(__xludf.DUMMYFUNCTION("""COMPUTED_VALUE"""),0.38095238095238)</f>
        <v>0.380952381</v>
      </c>
    </row>
    <row r="9258">
      <c r="A9258" s="10" t="s">
        <v>10697</v>
      </c>
      <c r="B9258" s="7" t="str">
        <f>IFERROR(__xludf.DUMMYFUNCTION("SPLIT(A9258,"" "")"),"CNC1C(N(C)Cc2cc(C)ccn2)CCCC1N(C)c1ccc2ccc(CF)nc2c1")</f>
        <v>CNC1C(N(C)Cc2cc(C)ccn2)CCCC1N(C)c1ccc2ccc(CF)nc2c1</v>
      </c>
      <c r="C9258" s="7">
        <f>IFERROR(__xludf.DUMMYFUNCTION("""COMPUTED_VALUE"""),7.7702484)</f>
        <v>7.7702484</v>
      </c>
      <c r="D9258" s="7">
        <f>IFERROR(__xludf.DUMMYFUNCTION("""COMPUTED_VALUE"""),0.367647058823529)</f>
        <v>0.3676470588</v>
      </c>
    </row>
    <row r="9259">
      <c r="A9259" s="10" t="s">
        <v>10698</v>
      </c>
      <c r="B9259" s="7" t="str">
        <f>IFERROR(__xludf.DUMMYFUNCTION("SPLIT(A9259,"" "")"),"CCc1ccccc1CN=Cc1ccccn1")</f>
        <v>CCc1ccccc1CN=Cc1ccccn1</v>
      </c>
      <c r="C9259" s="7">
        <f>IFERROR(__xludf.DUMMYFUNCTION("""COMPUTED_VALUE"""),7.7702475)</f>
        <v>7.7702475</v>
      </c>
      <c r="D9259" s="7">
        <f>IFERROR(__xludf.DUMMYFUNCTION("""COMPUTED_VALUE"""),0.409090909090909)</f>
        <v>0.4090909091</v>
      </c>
    </row>
    <row r="9260">
      <c r="A9260" s="10" t="s">
        <v>10699</v>
      </c>
      <c r="B9260" s="7" t="str">
        <f>IFERROR(__xludf.DUMMYFUNCTION("SPLIT(A9260,"" "")"),"Cc1ccc(C)c(CN(C)CC2=CC(N(C)Cc3ccccn3)C=CN2)n1")</f>
        <v>Cc1ccc(C)c(CN(C)CC2=CC(N(C)Cc3ccccn3)C=CN2)n1</v>
      </c>
      <c r="C9260" s="7">
        <f>IFERROR(__xludf.DUMMYFUNCTION("""COMPUTED_VALUE"""),7.770246)</f>
        <v>7.770246</v>
      </c>
      <c r="D9260" s="7">
        <f>IFERROR(__xludf.DUMMYFUNCTION("""COMPUTED_VALUE"""),0.372881355932203)</f>
        <v>0.3728813559</v>
      </c>
    </row>
    <row r="9261">
      <c r="A9261" s="10" t="s">
        <v>10700</v>
      </c>
      <c r="B9261" s="7" t="str">
        <f>IFERROR(__xludf.DUMMYFUNCTION("SPLIT(A9261,"" "")"),"CN(Cc1cccc(-c2ccc3c(c2)OCCOCCOCCOCCOCCO3)n1)Cc1ncccc1-c1cccc(N=Cc2ccccn2)c1")</f>
        <v>CN(Cc1cccc(-c2ccc3c(c2)OCCOCCOCCOCCOCCO3)n1)Cc1ncccc1-c1cccc(N=Cc2ccccn2)c1</v>
      </c>
      <c r="C9261" s="7">
        <f>IFERROR(__xludf.DUMMYFUNCTION("""COMPUTED_VALUE"""),7.770236)</f>
        <v>7.770236</v>
      </c>
      <c r="D9261" s="7">
        <f>IFERROR(__xludf.DUMMYFUNCTION("""COMPUTED_VALUE"""),0.351351351351351)</f>
        <v>0.3513513514</v>
      </c>
    </row>
    <row r="9262">
      <c r="A9262" s="10" t="s">
        <v>10701</v>
      </c>
      <c r="B9262" s="7" t="str">
        <f>IFERROR(__xludf.DUMMYFUNCTION("SPLIT(A9262,"" "")"),"CNC1C(N(Cc2nc(C)c(C)cc2C)Cc2nc(C)c(C)cc2C)CCCC1N(Cc1nc(C)c(C)cc1C)Cc1nc(C)c(C)cc1C")</f>
        <v>CNC1C(N(Cc2nc(C)c(C)cc2C)Cc2nc(C)c(C)cc2C)CCCC1N(Cc1nc(C)c(C)cc1C)Cc1nc(C)c(C)cc1C</v>
      </c>
      <c r="C9262" s="7">
        <f>IFERROR(__xludf.DUMMYFUNCTION("""COMPUTED_VALUE"""),7.770226)</f>
        <v>7.770226</v>
      </c>
      <c r="D9262" s="7">
        <f>IFERROR(__xludf.DUMMYFUNCTION("""COMPUTED_VALUE"""),0.294117647058823)</f>
        <v>0.2941176471</v>
      </c>
    </row>
    <row r="9263">
      <c r="A9263" s="10" t="s">
        <v>10702</v>
      </c>
      <c r="B9263" s="7" t="str">
        <f>IFERROR(__xludf.DUMMYFUNCTION("SPLIT(A9263,"" "")"),"CN(C1=CCC=CN1)C1=CCC=C(C(C)(C)C)N1")</f>
        <v>CN(C1=CCC=CN1)C1=CCC=C(C(C)(C)C)N1</v>
      </c>
      <c r="C9263" s="7">
        <f>IFERROR(__xludf.DUMMYFUNCTION("""COMPUTED_VALUE"""),7.7702236)</f>
        <v>7.7702236</v>
      </c>
      <c r="D9263" s="7">
        <f>IFERROR(__xludf.DUMMYFUNCTION("""COMPUTED_VALUE"""),0.24074074074074)</f>
        <v>0.2407407407</v>
      </c>
    </row>
    <row r="9264">
      <c r="A9264" s="10" t="s">
        <v>10703</v>
      </c>
      <c r="B9264" s="7" t="str">
        <f>IFERROR(__xludf.DUMMYFUNCTION("SPLIT(A9264,"" "")"),"CN(C)Cc1ncccc1N(C)C(C)(C)C")</f>
        <v>CN(C)Cc1ncccc1N(C)C(C)(C)C</v>
      </c>
      <c r="C9264" s="7">
        <f>IFERROR(__xludf.DUMMYFUNCTION("""COMPUTED_VALUE"""),7.770221)</f>
        <v>7.770221</v>
      </c>
      <c r="D9264" s="7">
        <f>IFERROR(__xludf.DUMMYFUNCTION("""COMPUTED_VALUE"""),0.365853658536585)</f>
        <v>0.3658536585</v>
      </c>
    </row>
    <row r="9265">
      <c r="A9265" s="10" t="s">
        <v>10704</v>
      </c>
      <c r="B9265" s="7" t="str">
        <f>IFERROR(__xludf.DUMMYFUNCTION("SPLIT(A9265,"" "")"),"CC=CCN(C)CC1=CCC=C(N(C)Cc2ccccn2)N1")</f>
        <v>CC=CCN(C)CC1=CCC=C(N(C)Cc2ccccn2)N1</v>
      </c>
      <c r="C9265" s="7">
        <f>IFERROR(__xludf.DUMMYFUNCTION("""COMPUTED_VALUE"""),7.770216)</f>
        <v>7.770216</v>
      </c>
      <c r="D9265" s="7">
        <f>IFERROR(__xludf.DUMMYFUNCTION("""COMPUTED_VALUE"""),0.396551724137931)</f>
        <v>0.3965517241</v>
      </c>
    </row>
    <row r="9266">
      <c r="A9266" s="10" t="s">
        <v>10705</v>
      </c>
      <c r="B9266" s="7" t="str">
        <f>IFERROR(__xludf.DUMMYFUNCTION("SPLIT(A9266,"" "")"),"CC(C(=O)C(=O)C(=O)C(=O)C(=O)C(C)C(=O)C(=O)C(=O)C(=O)C(C)C(C)C(C)C(C)C(C)C(C)C(C)C(C)C(=O)C(=O)C(=O)C(=O)C(=O)C(=O)C(=O)C=O)C(=O)C(=O)C(=O)C(=O)C(=O)C(C)C(=O)C(C)C(=O)c1cccc(C2CCC2(C)C)n1")</f>
        <v>CC(C(=O)C(=O)C(=O)C(=O)C(=O)C(C)C(=O)C(=O)C(=O)C(=O)C(C)C(C)C(C)C(C)C(C)C(C)C(C)C(C)C(=O)C(=O)C(=O)C(=O)C(=O)C(=O)C(=O)C=O)C(=O)C(=O)C(=O)C(=O)C(=O)C(C)C(=O)C(C)C(=O)c1cccc(C2CCC2(C)C)n1</v>
      </c>
      <c r="C9266" s="7">
        <f>IFERROR(__xludf.DUMMYFUNCTION("""COMPUTED_VALUE"""),7.7702107)</f>
        <v>7.7702107</v>
      </c>
      <c r="D9266" s="7">
        <f>IFERROR(__xludf.DUMMYFUNCTION("""COMPUTED_VALUE"""),0.180722891566265)</f>
        <v>0.1807228916</v>
      </c>
    </row>
    <row r="9267">
      <c r="A9267" s="10" t="s">
        <v>10706</v>
      </c>
      <c r="B9267" s="7" t="str">
        <f>IFERROR(__xludf.DUMMYFUNCTION("SPLIT(A9267,"" "")"),"CC(C)(C)c1ccnc(CN(Cc2ccccn2)Cc2cccnc2NCF)c1")</f>
        <v>CC(C)(C)c1ccnc(CN(Cc2ccccn2)Cc2cccnc2NCF)c1</v>
      </c>
      <c r="C9267" s="7">
        <f>IFERROR(__xludf.DUMMYFUNCTION("""COMPUTED_VALUE"""),7.7701917)</f>
        <v>7.7701917</v>
      </c>
      <c r="D9267" s="7">
        <f>IFERROR(__xludf.DUMMYFUNCTION("""COMPUTED_VALUE"""),0.425531914893617)</f>
        <v>0.4255319149</v>
      </c>
    </row>
    <row r="9268">
      <c r="A9268" s="10" t="s">
        <v>10707</v>
      </c>
      <c r="B9268" s="7" t="str">
        <f>IFERROR(__xludf.DUMMYFUNCTION("SPLIT(A9268,"" "")"),"CC1=CC(C)CC2(C1C)C(c1ncccc1CN(Cc1ccccn1)Cc1ccccn1)C=CC1(CC(C)=C(C)CC1C)C2c1ccc(CN(Cc2ccccn2)Cc2ccccn2)cn1")</f>
        <v>CC1=CC(C)CC2(C1C)C(c1ncccc1CN(Cc1ccccn1)Cc1ccccn1)C=CC1(CC(C)=C(C)CC1C)C2c1ccc(CN(Cc2ccccn2)Cc2ccccn2)cn1</v>
      </c>
      <c r="C9268" s="7">
        <f>IFERROR(__xludf.DUMMYFUNCTION("""COMPUTED_VALUE"""),7.7701902)</f>
        <v>7.7701902</v>
      </c>
      <c r="D9268" s="7">
        <f>IFERROR(__xludf.DUMMYFUNCTION("""COMPUTED_VALUE"""),0.273972602739726)</f>
        <v>0.2739726027</v>
      </c>
    </row>
    <row r="9269">
      <c r="A9269" s="10" t="s">
        <v>10708</v>
      </c>
      <c r="B9269" s="7" t="str">
        <f>IFERROR(__xludf.DUMMYFUNCTION("SPLIT(A9269,"" "")"),"Cc1cnc(C)c(CN(C)C2=CNC(CN(C)C(C)(C)C)=CC2)c1")</f>
        <v>Cc1cnc(C)c(CN(C)C2=CNC(CN(C)C(C)(C)C)=CC2)c1</v>
      </c>
      <c r="C9269" s="7">
        <f>IFERROR(__xludf.DUMMYFUNCTION("""COMPUTED_VALUE"""),7.770189)</f>
        <v>7.770189</v>
      </c>
      <c r="D9269" s="7">
        <f>IFERROR(__xludf.DUMMYFUNCTION("""COMPUTED_VALUE"""),0.232142857142857)</f>
        <v>0.2321428571</v>
      </c>
    </row>
    <row r="9270">
      <c r="A9270" s="10" t="s">
        <v>10709</v>
      </c>
      <c r="B9270" s="7" t="str">
        <f>IFERROR(__xludf.DUMMYFUNCTION("SPLIT(A9270,"" "")"),"CC(C)N(Cc1ccccn1)C1CCCC(N(C)c2ccc3nc(CF)ccc3c2)C1")</f>
        <v>CC(C)N(Cc1ccccn1)C1CCCC(N(C)c2ccc3nc(CF)ccc3c2)C1</v>
      </c>
      <c r="C9270" s="7">
        <f>IFERROR(__xludf.DUMMYFUNCTION("""COMPUTED_VALUE"""),7.7701883)</f>
        <v>7.7701883</v>
      </c>
      <c r="D9270" s="7">
        <f>IFERROR(__xludf.DUMMYFUNCTION("""COMPUTED_VALUE"""),0.377049180327868)</f>
        <v>0.3770491803</v>
      </c>
    </row>
    <row r="9271">
      <c r="A9271" s="10" t="s">
        <v>10710</v>
      </c>
      <c r="B9271" s="7" t="str">
        <f>IFERROR(__xludf.DUMMYFUNCTION("SPLIT(A9271,"" "")"),"CCNCc1cc(CN(Cc2ccccn2)C2CCC(N(C)c3cccc4c(CF)ccnc34)CC2)ccn1")</f>
        <v>CCNCc1cc(CN(Cc2ccccn2)C2CCC(N(C)c3cccc4c(CF)ccnc34)CC2)ccn1</v>
      </c>
      <c r="C9271" s="7">
        <f>IFERROR(__xludf.DUMMYFUNCTION("""COMPUTED_VALUE"""),7.7701864)</f>
        <v>7.7701864</v>
      </c>
      <c r="D9271" s="7">
        <f>IFERROR(__xludf.DUMMYFUNCTION("""COMPUTED_VALUE"""),0.309859154929577)</f>
        <v>0.3098591549</v>
      </c>
    </row>
    <row r="9272">
      <c r="A9272" s="10" t="s">
        <v>10711</v>
      </c>
      <c r="B9272" s="7" t="str">
        <f>IFERROR(__xludf.DUMMYFUNCTION("SPLIT(A9272,"" "")"),"CC(C)N(C)Cc1cc(N(C)C(C)(C)c2ccccn2)ccn1")</f>
        <v>CC(C)N(C)Cc1cc(N(C)C(C)(C)c2ccccn2)ccn1</v>
      </c>
      <c r="C9272" s="7">
        <f>IFERROR(__xludf.DUMMYFUNCTION("""COMPUTED_VALUE"""),7.770174)</f>
        <v>7.770174</v>
      </c>
      <c r="D9272" s="7">
        <f>IFERROR(__xludf.DUMMYFUNCTION("""COMPUTED_VALUE"""),0.387755102040816)</f>
        <v>0.387755102</v>
      </c>
    </row>
    <row r="9273">
      <c r="A9273" s="10" t="s">
        <v>10712</v>
      </c>
      <c r="B9273" s="7" t="str">
        <f>IFERROR(__xludf.DUMMYFUNCTION("SPLIT(A9273,"" "")"),"CN(Cc1ccccn1)C1CCC(N(C)c2ccc3nc(CF)ccc3c2)CC1")</f>
        <v>CN(Cc1ccccn1)C1CCC(N(C)c2ccc3nc(CF)ccc3c2)CC1</v>
      </c>
      <c r="C9273" s="7">
        <f>IFERROR(__xludf.DUMMYFUNCTION("""COMPUTED_VALUE"""),7.770172)</f>
        <v>7.770172</v>
      </c>
      <c r="D9273" s="7">
        <f>IFERROR(__xludf.DUMMYFUNCTION("""COMPUTED_VALUE"""),0.444444444444444)</f>
        <v>0.4444444444</v>
      </c>
    </row>
    <row r="9274">
      <c r="A9274" s="10" t="s">
        <v>10713</v>
      </c>
      <c r="B9274" s="7" t="str">
        <f>IFERROR(__xludf.DUMMYFUNCTION("SPLIT(A9274,"" "")"),"Cc1cccc(CN(C)Cc2ncccc2C(C)(C)C)c1C")</f>
        <v>Cc1cccc(CN(C)Cc2ncccc2C(C)(C)C)c1C</v>
      </c>
      <c r="C9274" s="7">
        <f>IFERROR(__xludf.DUMMYFUNCTION("""COMPUTED_VALUE"""),7.770161)</f>
        <v>7.770161</v>
      </c>
      <c r="D9274" s="7">
        <f>IFERROR(__xludf.DUMMYFUNCTION("""COMPUTED_VALUE"""),0.395833333333333)</f>
        <v>0.3958333333</v>
      </c>
    </row>
    <row r="9275">
      <c r="A9275" s="10" t="s">
        <v>10714</v>
      </c>
      <c r="B9275" s="7" t="str">
        <f>IFERROR(__xludf.DUMMYFUNCTION("SPLIT(A9275,"" "")"),"CN(c1cccc2ncc(CF)cc12)C1CCCCC1N(CC1=CCC=CN1)Cc1ccccn1")</f>
        <v>CN(c1cccc2ncc(CF)cc12)C1CCCCC1N(CC1=CCC=CN1)Cc1ccccn1</v>
      </c>
      <c r="C9275" s="7">
        <f>IFERROR(__xludf.DUMMYFUNCTION("""COMPUTED_VALUE"""),7.7701597)</f>
        <v>7.7701597</v>
      </c>
      <c r="D9275" s="7">
        <f>IFERROR(__xludf.DUMMYFUNCTION("""COMPUTED_VALUE"""),0.436619718309859)</f>
        <v>0.4366197183</v>
      </c>
    </row>
    <row r="9276">
      <c r="A9276" s="10" t="s">
        <v>10715</v>
      </c>
      <c r="B9276" s="7" t="str">
        <f>IFERROR(__xludf.DUMMYFUNCTION("SPLIT(A9276,"" "")"),"CN(Cc1cc(C(C)(C)C)ccn1)Cc1cccc(C2CC(C)(C)C2)n1")</f>
        <v>CN(Cc1cc(C(C)(C)C)ccn1)Cc1cccc(C2CC(C)(C)C2)n1</v>
      </c>
      <c r="C9276" s="7">
        <f>IFERROR(__xludf.DUMMYFUNCTION("""COMPUTED_VALUE"""),7.770159)</f>
        <v>7.770159</v>
      </c>
      <c r="D9276" s="7">
        <f>IFERROR(__xludf.DUMMYFUNCTION("""COMPUTED_VALUE"""),0.4)</f>
        <v>0.4</v>
      </c>
    </row>
    <row r="9277">
      <c r="A9277" s="10" t="s">
        <v>10716</v>
      </c>
      <c r="B9277" s="7" t="str">
        <f>IFERROR(__xludf.DUMMYFUNCTION("SPLIT(A9277,"" "")"),"CNCc1ccc2cccc(N(C)Cc3cc(-c4ccc5c(c4)OCCOCCOCCOCCOCCO5)ccn3)c2n1")</f>
        <v>CNCc1ccc2cccc(N(C)Cc3cc(-c4ccc5c(c4)OCCOCCOCCOCCOCCO5)ccn3)c2n1</v>
      </c>
      <c r="C9277" s="7">
        <f>IFERROR(__xludf.DUMMYFUNCTION("""COMPUTED_VALUE"""),7.770142)</f>
        <v>7.770142</v>
      </c>
      <c r="D9277" s="7">
        <f>IFERROR(__xludf.DUMMYFUNCTION("""COMPUTED_VALUE"""),0.342105263157894)</f>
        <v>0.3421052632</v>
      </c>
    </row>
    <row r="9278">
      <c r="A9278" s="10" t="s">
        <v>10717</v>
      </c>
      <c r="B9278" s="7" t="str">
        <f>IFERROR(__xludf.DUMMYFUNCTION("SPLIT(A9278,"" "")"),"COC(=O)C(C)NCc1cc(C(=O)C(C)N)ccn1")</f>
        <v>COC(=O)C(C)NCc1cc(C(=O)C(C)N)ccn1</v>
      </c>
      <c r="C9278" s="7">
        <f>IFERROR(__xludf.DUMMYFUNCTION("""COMPUTED_VALUE"""),7.770141)</f>
        <v>7.770141</v>
      </c>
      <c r="D9278" s="7">
        <f>IFERROR(__xludf.DUMMYFUNCTION("""COMPUTED_VALUE"""),0.333333333333333)</f>
        <v>0.3333333333</v>
      </c>
    </row>
    <row r="9279">
      <c r="A9279" s="10" t="s">
        <v>10718</v>
      </c>
      <c r="B9279" s="7" t="str">
        <f>IFERROR(__xludf.DUMMYFUNCTION("SPLIT(A9279,"" "")"),"Cc1cccc(CN(C)CC2=CC(N(C)Cc3cccc(C)n3)C=CN2)n1")</f>
        <v>Cc1cccc(CN(C)CC2=CC(N(C)Cc3cccc(C)n3)C=CN2)n1</v>
      </c>
      <c r="C9279" s="7">
        <f>IFERROR(__xludf.DUMMYFUNCTION("""COMPUTED_VALUE"""),7.770135)</f>
        <v>7.770135</v>
      </c>
      <c r="D9279" s="7">
        <f>IFERROR(__xludf.DUMMYFUNCTION("""COMPUTED_VALUE"""),0.5)</f>
        <v>0.5</v>
      </c>
    </row>
    <row r="9280">
      <c r="A9280" s="10" t="s">
        <v>10719</v>
      </c>
      <c r="B9280" s="7" t="str">
        <f>IFERROR(__xludf.DUMMYFUNCTION("SPLIT(A9280,"" "")"),"CN(Cc1ccccc1N(C)Cc1ncccc1-c1ccc2c(c1)OCCOCCOCCOCCOCCO2)Cc1ncccc1-c1cccc(N)c1")</f>
        <v>CN(Cc1ccccc1N(C)Cc1ncccc1-c1ccc2c(c1)OCCOCCOCCOCCOCCO2)Cc1ncccc1-c1cccc(N)c1</v>
      </c>
      <c r="C9280" s="7">
        <f>IFERROR(__xludf.DUMMYFUNCTION("""COMPUTED_VALUE"""),7.770129)</f>
        <v>7.770129</v>
      </c>
      <c r="D9280" s="7">
        <f>IFERROR(__xludf.DUMMYFUNCTION("""COMPUTED_VALUE"""),0.28395061728395)</f>
        <v>0.2839506173</v>
      </c>
    </row>
    <row r="9281">
      <c r="A9281" s="10" t="s">
        <v>10720</v>
      </c>
      <c r="B9281" s="7" t="str">
        <f>IFERROR(__xludf.DUMMYFUNCTION("SPLIT(A9281,"" "")"),"CCCN(CC1=CC(N(C)Cc2ccccn2)C=CN1)c1cc(C)cc(C)c1")</f>
        <v>CCCN(CC1=CC(N(C)Cc2ccccn2)C=CN1)c1cc(C)cc(C)c1</v>
      </c>
      <c r="C9281" s="7">
        <f>IFERROR(__xludf.DUMMYFUNCTION("""COMPUTED_VALUE"""),7.770118)</f>
        <v>7.770118</v>
      </c>
      <c r="D9281" s="7">
        <f>IFERROR(__xludf.DUMMYFUNCTION("""COMPUTED_VALUE"""),0.366666666666666)</f>
        <v>0.3666666667</v>
      </c>
    </row>
    <row r="9282">
      <c r="A9282" s="10" t="s">
        <v>10721</v>
      </c>
      <c r="B9282" s="7" t="str">
        <f>IFERROR(__xludf.DUMMYFUNCTION("SPLIT(A9282,"" "")"),"CCN(Cc1ccccn1)Cc1nccc2cccc(N(C)Cc3ncccc3-c3cccc4c3OCCOCCOCCOCCOCCO4)c12")</f>
        <v>CCN(Cc1ccccn1)Cc1nccc2cccc(N(C)Cc3ncccc3-c3cccc4c3OCCOCCOCCOCCOCCO4)c12</v>
      </c>
      <c r="C9282" s="7">
        <f>IFERROR(__xludf.DUMMYFUNCTION("""COMPUTED_VALUE"""),7.770115)</f>
        <v>7.770115</v>
      </c>
      <c r="D9282" s="7">
        <f>IFERROR(__xludf.DUMMYFUNCTION("""COMPUTED_VALUE"""),0.309859154929577)</f>
        <v>0.3098591549</v>
      </c>
    </row>
    <row r="9283">
      <c r="A9283" s="10" t="s">
        <v>10722</v>
      </c>
      <c r="B9283" s="7" t="str">
        <f>IFERROR(__xludf.DUMMYFUNCTION("SPLIT(A9283,"" "")"),"C1=CNC(N(Cc2ccccc2)Cc2ccccn2)C(NCc2ccccn2)=C1")</f>
        <v>C1=CNC(N(Cc2ccccc2)Cc2ccccn2)C(NCc2ccccn2)=C1</v>
      </c>
      <c r="C9283" s="7">
        <f>IFERROR(__xludf.DUMMYFUNCTION("""COMPUTED_VALUE"""),7.770114)</f>
        <v>7.770114</v>
      </c>
      <c r="D9283" s="7">
        <f>IFERROR(__xludf.DUMMYFUNCTION("""COMPUTED_VALUE"""),0.403508771929824)</f>
        <v>0.4035087719</v>
      </c>
    </row>
    <row r="9284">
      <c r="A9284" s="10" t="s">
        <v>10723</v>
      </c>
      <c r="B9284" s="7" t="str">
        <f>IFERROR(__xludf.DUMMYFUNCTION("SPLIT(A9284,"" "")"),"CCCN(Cc1ccccn1)Cc1ncccc1N(C)C1C=CC=CN1")</f>
        <v>CCCN(Cc1ccccn1)Cc1ncccc1N(C)C1C=CC=CN1</v>
      </c>
      <c r="C9284" s="7">
        <f>IFERROR(__xludf.DUMMYFUNCTION("""COMPUTED_VALUE"""),7.770112)</f>
        <v>7.770112</v>
      </c>
      <c r="D9284" s="7">
        <f>IFERROR(__xludf.DUMMYFUNCTION("""COMPUTED_VALUE"""),0.491228070175438)</f>
        <v>0.4912280702</v>
      </c>
    </row>
    <row r="9285">
      <c r="A9285" s="10" t="s">
        <v>10724</v>
      </c>
      <c r="B9285" s="7" t="str">
        <f>IFERROR(__xludf.DUMMYFUNCTION("SPLIT(A9285,"" "")"),"COC(=O)C(C)NCc1ccc(C(=O)C(C)N)cn1")</f>
        <v>COC(=O)C(C)NCc1ccc(C(=O)C(C)N)cn1</v>
      </c>
      <c r="C9285" s="7">
        <f>IFERROR(__xludf.DUMMYFUNCTION("""COMPUTED_VALUE"""),7.770103)</f>
        <v>7.770103</v>
      </c>
      <c r="D9285" s="7">
        <f>IFERROR(__xludf.DUMMYFUNCTION("""COMPUTED_VALUE"""),0.245283018867924)</f>
        <v>0.2452830189</v>
      </c>
    </row>
    <row r="9286">
      <c r="A9286" s="10" t="s">
        <v>10725</v>
      </c>
      <c r="B9286" s="7" t="str">
        <f>IFERROR(__xludf.DUMMYFUNCTION("SPLIT(A9286,"" "")"),"Cc1ccncc1CN(C)Cc1ncccc1C")</f>
        <v>Cc1ccncc1CN(C)Cc1ncccc1C</v>
      </c>
      <c r="C9286" s="7">
        <f>IFERROR(__xludf.DUMMYFUNCTION("""COMPUTED_VALUE"""),7.7701025)</f>
        <v>7.7701025</v>
      </c>
      <c r="D9286" s="7">
        <f>IFERROR(__xludf.DUMMYFUNCTION("""COMPUTED_VALUE"""),0.369565217391304)</f>
        <v>0.3695652174</v>
      </c>
    </row>
    <row r="9287">
      <c r="A9287" s="10" t="s">
        <v>10726</v>
      </c>
      <c r="B9287" s="7" t="str">
        <f>IFERROR(__xludf.DUMMYFUNCTION("SPLIT(A9287,"" "")"),"CN(Cc1ncccc1-c1cccc(N=Cc2ccccn2)c1)Cc1ncccc1-c1cccc2c1OCCOCCOCCOCCOCCO2")</f>
        <v>CN(Cc1ncccc1-c1cccc(N=Cc2ccccn2)c1)Cc1ncccc1-c1cccc2c1OCCOCCOCCOCCOCCO2</v>
      </c>
      <c r="C9287" s="7">
        <f>IFERROR(__xludf.DUMMYFUNCTION("""COMPUTED_VALUE"""),7.7700877)</f>
        <v>7.7700877</v>
      </c>
      <c r="D9287" s="7">
        <f>IFERROR(__xludf.DUMMYFUNCTION("""COMPUTED_VALUE"""),0.295774647887323)</f>
        <v>0.2957746479</v>
      </c>
    </row>
    <row r="9288">
      <c r="A9288" s="10" t="s">
        <v>10727</v>
      </c>
      <c r="B9288" s="7" t="str">
        <f>IFERROR(__xludf.DUMMYFUNCTION("SPLIT(A9288,"" "")"),"CN(Cc1cccc(-c2ccc3c(c2)OCCOCCOCCOCCOCCO3)n1)c1ccc2ccc(CF)nc2c1")</f>
        <v>CN(Cc1cccc(-c2ccc3c(c2)OCCOCCOCCOCCOCCO3)n1)c1ccc2ccc(CF)nc2c1</v>
      </c>
      <c r="C9288" s="7">
        <f>IFERROR(__xludf.DUMMYFUNCTION("""COMPUTED_VALUE"""),7.7700872)</f>
        <v>7.7700872</v>
      </c>
      <c r="D9288" s="7">
        <f>IFERROR(__xludf.DUMMYFUNCTION("""COMPUTED_VALUE"""),0.324324324324324)</f>
        <v>0.3243243243</v>
      </c>
    </row>
    <row r="9289">
      <c r="A9289" s="10" t="s">
        <v>10728</v>
      </c>
      <c r="B9289" s="7" t="str">
        <f>IFERROR(__xludf.DUMMYFUNCTION("SPLIT(A9289,"" "")"),"Cc1ccnc(CN(C)C2=C(CN(C)C(C)C)NC=CC2)c1C")</f>
        <v>Cc1ccnc(CN(C)C2=C(CN(C)C(C)C)NC=CC2)c1C</v>
      </c>
      <c r="C9289" s="7">
        <f>IFERROR(__xludf.DUMMYFUNCTION("""COMPUTED_VALUE"""),7.770083)</f>
        <v>7.770083</v>
      </c>
      <c r="D9289" s="7">
        <f>IFERROR(__xludf.DUMMYFUNCTION("""COMPUTED_VALUE"""),0.234375)</f>
        <v>0.234375</v>
      </c>
    </row>
    <row r="9290">
      <c r="A9290" s="10" t="s">
        <v>10729</v>
      </c>
      <c r="B9290" s="7" t="str">
        <f>IFERROR(__xludf.DUMMYFUNCTION("SPLIT(A9290,"" "")"),"Cc1cnccc1CN(C)CC1=CC(N(C)Cc2ncccc2C)C=CN1")</f>
        <v>Cc1cnccc1CN(C)CC1=CC(N(C)Cc2ncccc2C)C=CN1</v>
      </c>
      <c r="C9290" s="7">
        <f>IFERROR(__xludf.DUMMYFUNCTION("""COMPUTED_VALUE"""),7.7700815)</f>
        <v>7.7700815</v>
      </c>
      <c r="D9290" s="7">
        <f>IFERROR(__xludf.DUMMYFUNCTION("""COMPUTED_VALUE"""),0.292307692307692)</f>
        <v>0.2923076923</v>
      </c>
    </row>
    <row r="9291">
      <c r="A9291" s="10" t="s">
        <v>10730</v>
      </c>
      <c r="B9291" s="7" t="str">
        <f>IFERROR(__xludf.DUMMYFUNCTION("SPLIT(A9291,"" "")"),"Cc1cc(CN(C)CC2=CC(N(C)Cc3ccccn3)C=CN2)cnc1C")</f>
        <v>Cc1cc(CN(C)CC2=CC(N(C)Cc3ccccn3)C=CN2)cnc1C</v>
      </c>
      <c r="C9291" s="7">
        <f>IFERROR(__xludf.DUMMYFUNCTION("""COMPUTED_VALUE"""),7.7700768)</f>
        <v>7.7700768</v>
      </c>
      <c r="D9291" s="7">
        <f>IFERROR(__xludf.DUMMYFUNCTION("""COMPUTED_VALUE"""),0.366666666666666)</f>
        <v>0.3666666667</v>
      </c>
    </row>
    <row r="9292">
      <c r="A9292" s="10" t="s">
        <v>10731</v>
      </c>
      <c r="B9292" s="7" t="str">
        <f>IFERROR(__xludf.DUMMYFUNCTION("SPLIT(A9292,"" "")"),"CNCc1ncccc1CN(Cc1ccccn1)C1CCCCC1N(C)c1cccc2nc(CF)ccc12")</f>
        <v>CNCc1ncccc1CN(Cc1ccccn1)C1CCCCC1N(C)c1cccc2nc(CF)ccc12</v>
      </c>
      <c r="C9292" s="7">
        <f>IFERROR(__xludf.DUMMYFUNCTION("""COMPUTED_VALUE"""),7.7700763)</f>
        <v>7.7700763</v>
      </c>
      <c r="D9292" s="7">
        <f>IFERROR(__xludf.DUMMYFUNCTION("""COMPUTED_VALUE"""),0.416666666666666)</f>
        <v>0.4166666667</v>
      </c>
    </row>
    <row r="9293">
      <c r="A9293" s="10" t="s">
        <v>10732</v>
      </c>
      <c r="B9293" s="7" t="str">
        <f>IFERROR(__xludf.DUMMYFUNCTION("SPLIT(A9293,"" "")"),"CN(Cc1cc(CF)ccn1)C1CCCCC1N(C)c1ccc2c(CF)ccnc2c1")</f>
        <v>CN(Cc1cc(CF)ccn1)C1CCCCC1N(C)c1ccc2c(CF)ccnc2c1</v>
      </c>
      <c r="C9293" s="7">
        <f>IFERROR(__xludf.DUMMYFUNCTION("""COMPUTED_VALUE"""),7.7700753)</f>
        <v>7.7700753</v>
      </c>
      <c r="D9293" s="7">
        <f>IFERROR(__xludf.DUMMYFUNCTION("""COMPUTED_VALUE"""),0.428571428571428)</f>
        <v>0.4285714286</v>
      </c>
    </row>
    <row r="9294">
      <c r="A9294" s="10" t="s">
        <v>10733</v>
      </c>
      <c r="B9294" s="7" t="str">
        <f>IFERROR(__xludf.DUMMYFUNCTION("SPLIT(A9294,"" "")"),"CN(Cc1ccccn1)C1CCC(N(C)c2ccc3cccnc3c2)CC1")</f>
        <v>CN(Cc1ccccn1)C1CCC(N(C)c2ccc3cccnc3c2)CC1</v>
      </c>
      <c r="C9294" s="7">
        <f>IFERROR(__xludf.DUMMYFUNCTION("""COMPUTED_VALUE"""),7.770074)</f>
        <v>7.770074</v>
      </c>
      <c r="D9294" s="7">
        <f>IFERROR(__xludf.DUMMYFUNCTION("""COMPUTED_VALUE"""),0.48)</f>
        <v>0.48</v>
      </c>
    </row>
    <row r="9295">
      <c r="A9295" s="10" t="s">
        <v>10734</v>
      </c>
      <c r="B9295" s="7" t="str">
        <f>IFERROR(__xludf.DUMMYFUNCTION("SPLIT(A9295,"" "")"),"CC(C)NCc1ncccc1CN(Cc1ccccn1)Cc1ncccc1C(C)(C)C")</f>
        <v>CC(C)NCc1ncccc1CN(Cc1ccccn1)Cc1ncccc1C(C)(C)C</v>
      </c>
      <c r="C9295" s="7">
        <f>IFERROR(__xludf.DUMMYFUNCTION("""COMPUTED_VALUE"""),7.770074)</f>
        <v>7.770074</v>
      </c>
      <c r="D9295" s="7">
        <f>IFERROR(__xludf.DUMMYFUNCTION("""COMPUTED_VALUE"""),0.425531914893617)</f>
        <v>0.4255319149</v>
      </c>
    </row>
    <row r="9296">
      <c r="A9296" s="10" t="s">
        <v>10735</v>
      </c>
      <c r="B9296" s="7" t="str">
        <f>IFERROR(__xludf.DUMMYFUNCTION("SPLIT(A9296,"" "")"),"CN(c1ccc2ncccc2c1)C1CCCCC1N(Cc1ccccn1)C1C=CC=CN1")</f>
        <v>CN(c1ccc2ncccc2c1)C1CCCCC1N(Cc1ccccn1)C1C=CC=CN1</v>
      </c>
      <c r="C9296" s="7">
        <f>IFERROR(__xludf.DUMMYFUNCTION("""COMPUTED_VALUE"""),7.770073)</f>
        <v>7.770073</v>
      </c>
      <c r="D9296" s="7">
        <f>IFERROR(__xludf.DUMMYFUNCTION("""COMPUTED_VALUE"""),0.426229508196721)</f>
        <v>0.4262295082</v>
      </c>
    </row>
    <row r="9297">
      <c r="A9297" s="10" t="s">
        <v>10736</v>
      </c>
      <c r="B9297" s="7" t="str">
        <f>IFERROR(__xludf.DUMMYFUNCTION("SPLIT(A9297,"" "")"),"CC(C)N(Cc1ccccn1)c1ccc2nc(CN(Cc3ccccn3)Cc3ccc(-c4ccc5c(c4)OCCOCCOCCOCCOCCO5)cn3)ccc2c1")</f>
        <v>CC(C)N(Cc1ccccn1)c1ccc2nc(CN(Cc3ccccn3)Cc3ccc(-c4ccc5c(c4)OCCOCCOCCOCCOCCO5)cn3)ccc2c1</v>
      </c>
      <c r="C9297" s="7">
        <f>IFERROR(__xludf.DUMMYFUNCTION("""COMPUTED_VALUE"""),7.77007)</f>
        <v>7.77007</v>
      </c>
      <c r="D9297" s="7">
        <f>IFERROR(__xludf.DUMMYFUNCTION("""COMPUTED_VALUE"""),0.415384615384615)</f>
        <v>0.4153846154</v>
      </c>
    </row>
    <row r="9298">
      <c r="A9298" s="10" t="s">
        <v>10737</v>
      </c>
      <c r="B9298" s="7" t="str">
        <f>IFERROR(__xludf.DUMMYFUNCTION("SPLIT(A9298,"" "")"),"CNCC1=CC(N(C)Cc2nc(C)c(C)c(C)c2C)C=CN1")</f>
        <v>CNCC1=CC(N(C)Cc2nc(C)c(C)c(C)c2C)C=CN1</v>
      </c>
      <c r="C9298" s="7">
        <f>IFERROR(__xludf.DUMMYFUNCTION("""COMPUTED_VALUE"""),7.7700696)</f>
        <v>7.7700696</v>
      </c>
      <c r="D9298" s="7">
        <f>IFERROR(__xludf.DUMMYFUNCTION("""COMPUTED_VALUE"""),0.310344827586206)</f>
        <v>0.3103448276</v>
      </c>
    </row>
    <row r="9299">
      <c r="A9299" s="10" t="s">
        <v>10738</v>
      </c>
      <c r="B9299" s="7" t="str">
        <f>IFERROR(__xludf.DUMMYFUNCTION("SPLIT(A9299,"" "")"),"CN(Cc1ccccn1)c1c(-c2cnccc2CN(Cc2ccccn2)Cc2cccc(-c3ccc4c(c3)OCCOCCOCCOCCOCCO4)n2)c(N=Cc2ccccn2)c(-c2cnccc2CN(Cc2ccccn2)Cc2cccc(-c3ccc4c(c3)OCCOCCOCCOCCOCCO4)n2)c(-c2cnccc2CN(Cc2ccccn2)Cc2cccc(-c3ccc4c(c3)OCCOCCOCCOCCOCCO4)n2)c1-c1cnccc1CN(Cc1ccccn1)Cc1cccc"&amp;"(-c2ccc3c(c2)OCCOCCOCCOCCOCCO3)n1")</f>
        <v>CN(Cc1ccccn1)c1c(-c2cnccc2CN(Cc2ccccn2)Cc2cccc(-c3ccc4c(c3)OCCOCCOCCOCCOCCO4)n2)c(N=Cc2ccccn2)c(-c2cnccc2CN(Cc2ccccn2)Cc2cccc(-c3ccc4c(c3)OCCOCCOCCOCCOCCO4)n2)c(-c2cnccc2CN(Cc2ccccn2)Cc2cccc(-c3ccc4c(c3)OCCOCCOCCOCCOCCO4)n2)c1-c1cnccc1CN(Cc1ccccn1)Cc1cccc(-c2ccc3c(c2)OCCOCCOCCOCCOCCO3)n1</v>
      </c>
      <c r="C9299" s="7">
        <f>IFERROR(__xludf.DUMMYFUNCTION("""COMPUTED_VALUE"""),7.7700686)</f>
        <v>7.7700686</v>
      </c>
      <c r="D9299" s="7">
        <f>IFERROR(__xludf.DUMMYFUNCTION("""COMPUTED_VALUE"""),0.360465116279069)</f>
        <v>0.3604651163</v>
      </c>
    </row>
    <row r="9300">
      <c r="A9300" s="10" t="s">
        <v>10739</v>
      </c>
      <c r="B9300" s="7" t="str">
        <f>IFERROR(__xludf.DUMMYFUNCTION("SPLIT(A9300,"" "")"),"Cc1ccc(C)c(CN(C)CCN(C)Cc2nc(C)cc(C)c2C)n1")</f>
        <v>Cc1ccc(C)c(CN(C)CCN(C)Cc2nc(C)cc(C)c2C)n1</v>
      </c>
      <c r="C9300" s="7">
        <f>IFERROR(__xludf.DUMMYFUNCTION("""COMPUTED_VALUE"""),7.7700677)</f>
        <v>7.7700677</v>
      </c>
      <c r="D9300" s="7">
        <f>IFERROR(__xludf.DUMMYFUNCTION("""COMPUTED_VALUE"""),0.425)</f>
        <v>0.425</v>
      </c>
    </row>
    <row r="9301">
      <c r="A9301" s="10" t="s">
        <v>10740</v>
      </c>
      <c r="B9301" s="7" t="str">
        <f>IFERROR(__xludf.DUMMYFUNCTION("SPLIT(A9301,"" "")"),"Cc1cc(C)c(CN(C)CC2=CC(N(C)Cc3ccccn3)C=CN2)cn1")</f>
        <v>Cc1cc(C)c(CN(C)CC2=CC(N(C)Cc3ccccn3)C=CN2)cn1</v>
      </c>
      <c r="C9301" s="7">
        <f>IFERROR(__xludf.DUMMYFUNCTION("""COMPUTED_VALUE"""),7.770063)</f>
        <v>7.770063</v>
      </c>
      <c r="D9301" s="7">
        <f>IFERROR(__xludf.DUMMYFUNCTION("""COMPUTED_VALUE"""),0.366666666666666)</f>
        <v>0.3666666667</v>
      </c>
    </row>
    <row r="9302">
      <c r="A9302" s="10" t="s">
        <v>10741</v>
      </c>
      <c r="B9302" s="7" t="str">
        <f>IFERROR(__xludf.DUMMYFUNCTION("SPLIT(A9302,"" "")"),"Cc1cncc(CN(C)c2cc(Cl)c(F)cc2N(C)Cc2cccc(-c3ccc4c(c3)OCCOCCOCCOCCOCCO4)n2)c1")</f>
        <v>Cc1cncc(CN(C)c2cc(Cl)c(F)cc2N(C)Cc2cccc(-c3ccc4c(c3)OCCOCCOCCOCCOCCO4)n2)c1</v>
      </c>
      <c r="C9302" s="7">
        <f>IFERROR(__xludf.DUMMYFUNCTION("""COMPUTED_VALUE"""),7.770052)</f>
        <v>7.770052</v>
      </c>
      <c r="D9302" s="7">
        <f>IFERROR(__xludf.DUMMYFUNCTION("""COMPUTED_VALUE"""),0.295774647887323)</f>
        <v>0.2957746479</v>
      </c>
    </row>
    <row r="9303">
      <c r="A9303" s="10" t="s">
        <v>10742</v>
      </c>
      <c r="B9303" s="7" t="str">
        <f>IFERROR(__xludf.DUMMYFUNCTION("SPLIT(A9303,"" "")"),"CN(Cc1ccccn1)C1C=CNC(C(C)(C)c2ccccn2)=C1")</f>
        <v>CN(Cc1ccccn1)C1C=CNC(C(C)(C)c2ccccn2)=C1</v>
      </c>
      <c r="C9303" s="7">
        <f>IFERROR(__xludf.DUMMYFUNCTION("""COMPUTED_VALUE"""),7.7700467)</f>
        <v>7.7700467</v>
      </c>
      <c r="D9303" s="7">
        <f>IFERROR(__xludf.DUMMYFUNCTION("""COMPUTED_VALUE"""),0.423076923076923)</f>
        <v>0.4230769231</v>
      </c>
    </row>
    <row r="9304">
      <c r="A9304" s="10" t="s">
        <v>10743</v>
      </c>
      <c r="B9304" s="7" t="str">
        <f>IFERROR(__xludf.DUMMYFUNCTION("SPLIT(A9304,"" "")"),"CCN(C)CC1=CCC(N(C)Cc2nccc(C)c2C)=CN1")</f>
        <v>CCN(C)CC1=CCC(N(C)Cc2nccc(C)c2C)=CN1</v>
      </c>
      <c r="C9304" s="7">
        <f>IFERROR(__xludf.DUMMYFUNCTION("""COMPUTED_VALUE"""),7.770039)</f>
        <v>7.770039</v>
      </c>
      <c r="D9304" s="7">
        <f>IFERROR(__xludf.DUMMYFUNCTION("""COMPUTED_VALUE"""),0.234375)</f>
        <v>0.234375</v>
      </c>
    </row>
    <row r="9305">
      <c r="A9305" s="10" t="s">
        <v>10744</v>
      </c>
      <c r="B9305" s="7" t="str">
        <f>IFERROR(__xludf.DUMMYFUNCTION("SPLIT(A9305,"" "")"),"CN(CCF)Cc1cccc(N(C)C2CCCCC2N(C)c2ccc3nc(CF)ccc3c2)n1")</f>
        <v>CN(CCF)Cc1cccc(N(C)C2CCCCC2N(C)c2ccc3nc(CF)ccc3c2)n1</v>
      </c>
      <c r="C9305" s="7">
        <f>IFERROR(__xludf.DUMMYFUNCTION("""COMPUTED_VALUE"""),7.7700367)</f>
        <v>7.7700367</v>
      </c>
      <c r="D9305" s="7">
        <f>IFERROR(__xludf.DUMMYFUNCTION("""COMPUTED_VALUE"""),0.491525423728813)</f>
        <v>0.4915254237</v>
      </c>
    </row>
    <row r="9306">
      <c r="A9306" s="10" t="s">
        <v>10745</v>
      </c>
      <c r="B9306" s="7" t="str">
        <f>IFERROR(__xludf.DUMMYFUNCTION("SPLIT(A9306,"" "")"),"CCOC(C)c1cccc(CN(Cc2ccccn2)Cc2cccc(C(C)(C)C)n2)n1")</f>
        <v>CCOC(C)c1cccc(CN(Cc2ccccn2)Cc2cccc(C(C)(C)C)n2)n1</v>
      </c>
      <c r="C9306" s="7">
        <f>IFERROR(__xludf.DUMMYFUNCTION("""COMPUTED_VALUE"""),7.770035)</f>
        <v>7.770035</v>
      </c>
      <c r="D9306" s="7">
        <f>IFERROR(__xludf.DUMMYFUNCTION("""COMPUTED_VALUE"""),0.434782608695652)</f>
        <v>0.4347826087</v>
      </c>
    </row>
    <row r="9307">
      <c r="A9307" s="10" t="s">
        <v>10746</v>
      </c>
      <c r="B9307" s="7" t="str">
        <f>IFERROR(__xludf.DUMMYFUNCTION("SPLIT(A9307,"" "")"),"CCNCc1cccc(CN(Cc2ccccn2)C2CCC(N(C)c3ccc4c(CF)ccnc4c3)CC2)n1")</f>
        <v>CCNCc1cccc(CN(Cc2ccccn2)C2CCC(N(C)c3ccc4c(CF)ccnc4c3)CC2)n1</v>
      </c>
      <c r="C9307" s="7">
        <f>IFERROR(__xludf.DUMMYFUNCTION("""COMPUTED_VALUE"""),7.7700243)</f>
        <v>7.7700243</v>
      </c>
      <c r="D9307" s="7">
        <f>IFERROR(__xludf.DUMMYFUNCTION("""COMPUTED_VALUE"""),0.328571428571428)</f>
        <v>0.3285714286</v>
      </c>
    </row>
    <row r="9308">
      <c r="A9308" s="10" t="s">
        <v>10747</v>
      </c>
      <c r="B9308" s="7" t="str">
        <f>IFERROR(__xludf.DUMMYFUNCTION("SPLIT(A9308,"" "")"),"CN(Cc1ncccc1-c1cccc2c1OCCOCCOCCOCCOCCO2)c1ccc2ncccc2c1")</f>
        <v>CN(Cc1ncccc1-c1cccc2c1OCCOCCOCCOCCOCCO2)c1ccc2ncccc2c1</v>
      </c>
      <c r="C9308" s="7">
        <f>IFERROR(__xludf.DUMMYFUNCTION("""COMPUTED_VALUE"""),7.770021)</f>
        <v>7.770021</v>
      </c>
      <c r="D9308" s="7">
        <f>IFERROR(__xludf.DUMMYFUNCTION("""COMPUTED_VALUE"""),0.278688524590163)</f>
        <v>0.2786885246</v>
      </c>
    </row>
    <row r="9309">
      <c r="A9309" s="10" t="s">
        <v>10748</v>
      </c>
      <c r="B9309" s="7" t="str">
        <f>IFERROR(__xludf.DUMMYFUNCTION("SPLIT(A9309,"" "")"),"CN(c1ccc2nc(CF)ccc2c1)C1CCCCC1N(CC1=C(F)CC=CN1)Cc1ccccn1")</f>
        <v>CN(c1ccc2nc(CF)ccc2c1)C1CCCCC1N(CC1=C(F)CC=CN1)Cc1ccccn1</v>
      </c>
      <c r="C9309" s="7">
        <f>IFERROR(__xludf.DUMMYFUNCTION("""COMPUTED_VALUE"""),7.770018)</f>
        <v>7.770018</v>
      </c>
      <c r="D9309" s="7">
        <f>IFERROR(__xludf.DUMMYFUNCTION("""COMPUTED_VALUE"""),0.378378378378378)</f>
        <v>0.3783783784</v>
      </c>
    </row>
    <row r="9310">
      <c r="A9310" s="10" t="s">
        <v>10749</v>
      </c>
      <c r="B9310" s="7" t="str">
        <f>IFERROR(__xludf.DUMMYFUNCTION("SPLIT(A9310,"" "")"),"Cc1cccc(CN(C)CC2=CC(N(C)Cc3cc(C)cc(C)n3)C=CN2)c1")</f>
        <v>Cc1cccc(CN(C)CC2=CC(N(C)Cc3cc(C)cc(C)n3)C=CN2)c1</v>
      </c>
      <c r="C9310" s="7">
        <f>IFERROR(__xludf.DUMMYFUNCTION("""COMPUTED_VALUE"""),7.770014)</f>
        <v>7.770014</v>
      </c>
      <c r="D9310" s="7">
        <f>IFERROR(__xludf.DUMMYFUNCTION("""COMPUTED_VALUE"""),0.3125)</f>
        <v>0.3125</v>
      </c>
    </row>
    <row r="9311">
      <c r="A9311" s="10" t="s">
        <v>10750</v>
      </c>
      <c r="B9311" s="7" t="str">
        <f>IFERROR(__xludf.DUMMYFUNCTION("SPLIT(A9311,"" "")"),"Cc1ccc(CN(C)C2=CCC=C(CN(C)C(C)C)N2)nc1")</f>
        <v>Cc1ccc(CN(C)C2=CCC=C(CN(C)C(C)C)N2)nc1</v>
      </c>
      <c r="C9311" s="7">
        <f>IFERROR(__xludf.DUMMYFUNCTION("""COMPUTED_VALUE"""),7.770009)</f>
        <v>7.770009</v>
      </c>
      <c r="D9311" s="7">
        <f>IFERROR(__xludf.DUMMYFUNCTION("""COMPUTED_VALUE"""),0.416666666666666)</f>
        <v>0.4166666667</v>
      </c>
    </row>
    <row r="9312">
      <c r="A9312" s="10" t="s">
        <v>10751</v>
      </c>
      <c r="B9312" s="7" t="str">
        <f>IFERROR(__xludf.DUMMYFUNCTION("SPLIT(A9312,"" "")"),"CN(c1ccc2ncccc2c1)C1CCCCC1N(CC1=CCC=CN1)Cc1ccccn1")</f>
        <v>CN(c1ccc2ncccc2c1)C1CCCCC1N(CC1=CCC=CN1)Cc1ccccn1</v>
      </c>
      <c r="C9312" s="7">
        <f>IFERROR(__xludf.DUMMYFUNCTION("""COMPUTED_VALUE"""),7.770007)</f>
        <v>7.770007</v>
      </c>
      <c r="D9312" s="7">
        <f>IFERROR(__xludf.DUMMYFUNCTION("""COMPUTED_VALUE"""),0.492063492063492)</f>
        <v>0.4920634921</v>
      </c>
    </row>
    <row r="9313">
      <c r="A9313" s="10" t="s">
        <v>10752</v>
      </c>
      <c r="B9313" s="7" t="str">
        <f>IFERROR(__xludf.DUMMYFUNCTION("SPLIT(A9313,"" "")"),"Cc1cccc(CN(C)C2C=CNC(CN(C)Cc3ncccc3C)=C2)n1")</f>
        <v>Cc1cccc(CN(C)C2C=CNC(CN(C)Cc3ncccc3C)=C2)n1</v>
      </c>
      <c r="C9313" s="7">
        <f>IFERROR(__xludf.DUMMYFUNCTION("""COMPUTED_VALUE"""),7.770007)</f>
        <v>7.770007</v>
      </c>
      <c r="D9313" s="7">
        <f>IFERROR(__xludf.DUMMYFUNCTION("""COMPUTED_VALUE"""),0.389830508474576)</f>
        <v>0.3898305085</v>
      </c>
    </row>
    <row r="9314">
      <c r="A9314" s="10" t="s">
        <v>10753</v>
      </c>
      <c r="B9314" s="7" t="str">
        <f>IFERROR(__xludf.DUMMYFUNCTION("SPLIT(A9314,"" "")"),"CN(Cc1cc(-c2cccc(N=Cc3ccccn3)c2)ccn1)Cc1cc(-c2ccc3c(c2)OCCOCCOCCOCCOCCO3)ccn1")</f>
        <v>CN(Cc1cc(-c2cccc(N=Cc3ccccn3)c2)ccn1)Cc1cc(-c2ccc3c(c2)OCCOCCOCCOCCOCCO3)ccn1</v>
      </c>
      <c r="C9314" s="7">
        <f>IFERROR(__xludf.DUMMYFUNCTION("""COMPUTED_VALUE"""),7.7699995)</f>
        <v>7.7699995</v>
      </c>
      <c r="D9314" s="7">
        <f>IFERROR(__xludf.DUMMYFUNCTION("""COMPUTED_VALUE"""),0.324675324675324)</f>
        <v>0.3246753247</v>
      </c>
    </row>
    <row r="9315">
      <c r="A9315" s="10" t="s">
        <v>10754</v>
      </c>
      <c r="B9315" s="7" t="str">
        <f>IFERROR(__xludf.DUMMYFUNCTION("SPLIT(A9315,"" "")"),"Cc1cncc(CN(C)C2=CNC(CN(Cc3ccccn3)CC(C)(C)C)=CC2)c1")</f>
        <v>Cc1cncc(CN(C)C2=CNC(CN(Cc3ccccn3)CC(C)(C)C)=CC2)c1</v>
      </c>
      <c r="C9315" s="7">
        <f>IFERROR(__xludf.DUMMYFUNCTION("""COMPUTED_VALUE"""),7.7699986)</f>
        <v>7.7699986</v>
      </c>
      <c r="D9315" s="7">
        <f>IFERROR(__xludf.DUMMYFUNCTION("""COMPUTED_VALUE"""),0.433333333333333)</f>
        <v>0.4333333333</v>
      </c>
    </row>
    <row r="9316">
      <c r="A9316" s="10" t="s">
        <v>10755</v>
      </c>
      <c r="B9316" s="7" t="str">
        <f>IFERROR(__xludf.DUMMYFUNCTION("SPLIT(A9316,"" "")"),"CNC1CC(N(Cc2nc(C)c(C)c(C)c2C)Cc2nc(C)c(C)c(C)c2C)CCC1N(C)Cc1nc(C)c(C)c(C)c1C")</f>
        <v>CNC1CC(N(Cc2nc(C)c(C)c(C)c2C)Cc2nc(C)c(C)c(C)c2C)CCC1N(C)Cc1nc(C)c(C)c(C)c1C</v>
      </c>
      <c r="C9316" s="7">
        <f>IFERROR(__xludf.DUMMYFUNCTION("""COMPUTED_VALUE"""),7.769997)</f>
        <v>7.769997</v>
      </c>
      <c r="D9316" s="7">
        <f>IFERROR(__xludf.DUMMYFUNCTION("""COMPUTED_VALUE"""),0.263157894736842)</f>
        <v>0.2631578947</v>
      </c>
    </row>
    <row r="9317">
      <c r="A9317" s="10" t="s">
        <v>10756</v>
      </c>
      <c r="B9317" s="7" t="str">
        <f>IFERROR(__xludf.DUMMYFUNCTION("SPLIT(A9317,"" "")"),"Cc1ccc(CN(C)C2CCC(N(C)c3ccc4nc(CF)ccc4c3)CC2)cc1")</f>
        <v>Cc1ccc(CN(C)C2CCC(N(C)c3ccc4nc(CF)ccc4c3)CC2)cc1</v>
      </c>
      <c r="C9317" s="7">
        <f>IFERROR(__xludf.DUMMYFUNCTION("""COMPUTED_VALUE"""),7.7699966)</f>
        <v>7.7699966</v>
      </c>
      <c r="D9317" s="7">
        <f>IFERROR(__xludf.DUMMYFUNCTION("""COMPUTED_VALUE"""),0.338709677419354)</f>
        <v>0.3387096774</v>
      </c>
    </row>
    <row r="9318">
      <c r="A9318" s="10" t="s">
        <v>10757</v>
      </c>
      <c r="B9318" s="7" t="str">
        <f>IFERROR(__xludf.DUMMYFUNCTION("SPLIT(A9318,"" "")"),"CN(Cc1cccc(C2=CCC=CN2)n1)C1CCCC(N(C)Cc2cccc(-c3ccccc3)n2)C1")</f>
        <v>CN(Cc1cccc(C2=CCC=CN2)n1)C1CCCC(N(C)Cc2cccc(-c3ccccc3)n2)C1</v>
      </c>
      <c r="C9318" s="7">
        <f>IFERROR(__xludf.DUMMYFUNCTION("""COMPUTED_VALUE"""),7.7699933)</f>
        <v>7.7699933</v>
      </c>
      <c r="D9318" s="7">
        <f>IFERROR(__xludf.DUMMYFUNCTION("""COMPUTED_VALUE"""),0.35)</f>
        <v>0.35</v>
      </c>
    </row>
    <row r="9319">
      <c r="A9319" s="10" t="s">
        <v>10758</v>
      </c>
      <c r="B9319" s="7" t="str">
        <f>IFERROR(__xludf.DUMMYFUNCTION("SPLIT(A9319,"" "")"),"CN(Cc1cc(-c2ccc3c(c2)OCCOCCOCCOCCOCCO3)ccn1)Cc1cccc(-c2ccc(N=Cc3ccccn3)cc2)n1")</f>
        <v>CN(Cc1cc(-c2ccc3c(c2)OCCOCCOCCOCCOCCO3)ccn1)Cc1cccc(-c2ccc(N=Cc3ccccn3)cc2)n1</v>
      </c>
      <c r="C9319" s="7">
        <f>IFERROR(__xludf.DUMMYFUNCTION("""COMPUTED_VALUE"""),7.7699924)</f>
        <v>7.7699924</v>
      </c>
      <c r="D9319" s="7">
        <f>IFERROR(__xludf.DUMMYFUNCTION("""COMPUTED_VALUE"""),0.397058823529411)</f>
        <v>0.3970588235</v>
      </c>
    </row>
    <row r="9320">
      <c r="A9320" s="10" t="s">
        <v>10759</v>
      </c>
      <c r="B9320" s="7" t="str">
        <f>IFERROR(__xludf.DUMMYFUNCTION("SPLIT(A9320,"" "")"),"CCNc1cccc(CN(Cc2ccccn2)Cc2ncccc2N)n1")</f>
        <v>CCNc1cccc(CN(Cc2ccccn2)Cc2ncccc2N)n1</v>
      </c>
      <c r="C9320" s="7">
        <f>IFERROR(__xludf.DUMMYFUNCTION("""COMPUTED_VALUE"""),7.7699914)</f>
        <v>7.7699914</v>
      </c>
      <c r="D9320" s="7">
        <f>IFERROR(__xludf.DUMMYFUNCTION("""COMPUTED_VALUE"""),0.465116279069767)</f>
        <v>0.4651162791</v>
      </c>
    </row>
    <row r="9321">
      <c r="A9321" s="10" t="s">
        <v>10760</v>
      </c>
      <c r="B9321" s="7" t="str">
        <f>IFERROR(__xludf.DUMMYFUNCTION("SPLIT(A9321,"" "")"),"CN(C)Cc1ccc2cccc(N(C)C3CCCC(N(Cc4ccccn4)Cc4cccnc4CNCF)C3)c2n1")</f>
        <v>CN(C)Cc1ccc2cccc(N(C)C3CCCC(N(Cc4ccccn4)Cc4cccnc4CNCF)C3)c2n1</v>
      </c>
      <c r="C9321" s="7">
        <f>IFERROR(__xludf.DUMMYFUNCTION("""COMPUTED_VALUE"""),7.769975)</f>
        <v>7.769975</v>
      </c>
      <c r="D9321" s="7">
        <f>IFERROR(__xludf.DUMMYFUNCTION("""COMPUTED_VALUE"""),0.386666666666666)</f>
        <v>0.3866666667</v>
      </c>
    </row>
    <row r="9322">
      <c r="A9322" s="10" t="s">
        <v>10761</v>
      </c>
      <c r="B9322" s="7" t="str">
        <f>IFERROR(__xludf.DUMMYFUNCTION("SPLIT(A9322,"" "")"),"Cc1cc(CN(Cc2cc(-c3ccc4c(c3)OCCOCCOCCOCCOCCO4)ccn2)Cc2ccnc3ccccc23)nc(C)c1C")</f>
        <v>Cc1cc(CN(Cc2cc(-c3ccc4c(c3)OCCOCCOCCOCCOCCO4)ccn2)Cc2ccnc3ccccc23)nc(C)c1C</v>
      </c>
      <c r="C9322" s="7">
        <f>IFERROR(__xludf.DUMMYFUNCTION("""COMPUTED_VALUE"""),7.7699714)</f>
        <v>7.7699714</v>
      </c>
      <c r="D9322" s="7">
        <f>IFERROR(__xludf.DUMMYFUNCTION("""COMPUTED_VALUE"""),0.316455696202531)</f>
        <v>0.3164556962</v>
      </c>
    </row>
    <row r="9323">
      <c r="A9323" s="10" t="s">
        <v>10762</v>
      </c>
      <c r="B9323" s="7" t="str">
        <f>IFERROR(__xludf.DUMMYFUNCTION("SPLIT(A9323,"" "")"),"Cc1cccc(-c2cccc(CN(C)C3CCCC(N(C)Cc4nc(C)c(C)c(C)c4C)C3)n2)n1")</f>
        <v>Cc1cccc(-c2cccc(CN(C)C3CCCC(N(C)Cc4nc(C)c(C)c(C)c4C)C3)n2)n1</v>
      </c>
      <c r="C9323" s="7">
        <f>IFERROR(__xludf.DUMMYFUNCTION("""COMPUTED_VALUE"""),7.7699704)</f>
        <v>7.7699704</v>
      </c>
      <c r="D9323" s="7">
        <f>IFERROR(__xludf.DUMMYFUNCTION("""COMPUTED_VALUE"""),0.48076923076923)</f>
        <v>0.4807692308</v>
      </c>
    </row>
    <row r="9324">
      <c r="A9324" s="10" t="s">
        <v>10763</v>
      </c>
      <c r="B9324" s="7" t="str">
        <f>IFERROR(__xludf.DUMMYFUNCTION("SPLIT(A9324,"" "")"),"Cc1cc(C)c(C)c(CN(C)CCN(C)Cc2ccc(C)c(C)n2)n1")</f>
        <v>Cc1cc(C)c(C)c(CN(C)CCN(C)Cc2ccc(C)c(C)n2)n1</v>
      </c>
      <c r="C9324" s="7">
        <f>IFERROR(__xludf.DUMMYFUNCTION("""COMPUTED_VALUE"""),7.769963)</f>
        <v>7.769963</v>
      </c>
      <c r="D9324" s="7">
        <f>IFERROR(__xludf.DUMMYFUNCTION("""COMPUTED_VALUE"""),0.452380952380952)</f>
        <v>0.4523809524</v>
      </c>
    </row>
    <row r="9325">
      <c r="A9325" s="10" t="s">
        <v>10764</v>
      </c>
      <c r="B9325" s="7" t="str">
        <f>IFERROR(__xludf.DUMMYFUNCTION("SPLIT(A9325,"" "")"),"CN(Cc1ccc(-c2ccc3c(c2)OCCOCCOCCOCCOCCO3)cn1)c1ccc2cccnc2c1")</f>
        <v>CN(Cc1ccc(-c2ccc3c(c2)OCCOCCOCCOCCOCCO3)cn1)c1ccc2cccnc2c1</v>
      </c>
      <c r="C9325" s="7">
        <f>IFERROR(__xludf.DUMMYFUNCTION("""COMPUTED_VALUE"""),7.76996)</f>
        <v>7.76996</v>
      </c>
      <c r="D9325" s="7">
        <f>IFERROR(__xludf.DUMMYFUNCTION("""COMPUTED_VALUE"""),0.44776119402985)</f>
        <v>0.447761194</v>
      </c>
    </row>
    <row r="9326">
      <c r="A9326" s="10" t="s">
        <v>10765</v>
      </c>
      <c r="B9326" s="7" t="str">
        <f>IFERROR(__xludf.DUMMYFUNCTION("SPLIT(A9326,"" "")"),"Cc1cc(C)c(CN(C)C2C=CC=CN2)nc1C")</f>
        <v>Cc1cc(C)c(CN(C)C2C=CC=CN2)nc1C</v>
      </c>
      <c r="C9326" s="7">
        <f>IFERROR(__xludf.DUMMYFUNCTION("""COMPUTED_VALUE"""),7.769955)</f>
        <v>7.769955</v>
      </c>
      <c r="D9326" s="7">
        <f>IFERROR(__xludf.DUMMYFUNCTION("""COMPUTED_VALUE"""),0.267857142857142)</f>
        <v>0.2678571429</v>
      </c>
    </row>
    <row r="9327">
      <c r="A9327" s="10" t="s">
        <v>10766</v>
      </c>
      <c r="B9327" s="7" t="str">
        <f>IFERROR(__xludf.DUMMYFUNCTION("SPLIT(A9327,"" "")"),"CN(C)Cc1cccnc1C(C)(C)C")</f>
        <v>CN(C)Cc1cccnc1C(C)(C)C</v>
      </c>
      <c r="C9327" s="7">
        <f>IFERROR(__xludf.DUMMYFUNCTION("""COMPUTED_VALUE"""),7.769951)</f>
        <v>7.769951</v>
      </c>
      <c r="D9327" s="7">
        <f>IFERROR(__xludf.DUMMYFUNCTION("""COMPUTED_VALUE"""),0.4)</f>
        <v>0.4</v>
      </c>
    </row>
    <row r="9328">
      <c r="A9328" s="10" t="s">
        <v>10767</v>
      </c>
      <c r="B9328" s="7" t="str">
        <f>IFERROR(__xludf.DUMMYFUNCTION("SPLIT(A9328,"" "")"),"CCN(Cc1ccccn1)c1cc2cccnc2cc1CN(C)Cc1ncccc1-c1ccc2c(c1)OCCOCCOCCOCCOCCO2")</f>
        <v>CCN(Cc1ccccn1)c1cc2cccnc2cc1CN(C)Cc1ncccc1-c1ccc2c(c1)OCCOCCOCCOCCOCCO2</v>
      </c>
      <c r="C9328" s="7">
        <f>IFERROR(__xludf.DUMMYFUNCTION("""COMPUTED_VALUE"""),7.769946)</f>
        <v>7.769946</v>
      </c>
      <c r="D9328" s="7">
        <f>IFERROR(__xludf.DUMMYFUNCTION("""COMPUTED_VALUE"""),0.297619047619047)</f>
        <v>0.2976190476</v>
      </c>
    </row>
    <row r="9329">
      <c r="A9329" s="10" t="s">
        <v>10768</v>
      </c>
      <c r="B9329" s="7" t="str">
        <f>IFERROR(__xludf.DUMMYFUNCTION("SPLIT(A9329,"" "")"),"Cc1ccncc1CN(C)c1cccnc1CN(CNCF)Cc1ccccn1")</f>
        <v>Cc1ccncc1CN(C)c1cccnc1CN(CNCF)Cc1ccccn1</v>
      </c>
      <c r="C9329" s="7">
        <f>IFERROR(__xludf.DUMMYFUNCTION("""COMPUTED_VALUE"""),7.769941)</f>
        <v>7.769941</v>
      </c>
      <c r="D9329" s="7">
        <f>IFERROR(__xludf.DUMMYFUNCTION("""COMPUTED_VALUE"""),0.366666666666666)</f>
        <v>0.3666666667</v>
      </c>
    </row>
    <row r="9330">
      <c r="A9330" s="10" t="s">
        <v>10769</v>
      </c>
      <c r="B9330" s="7" t="str">
        <f>IFERROR(__xludf.DUMMYFUNCTION("SPLIT(A9330,"" "")"),"CC(C)NCc1cc(N(C)C2C=CC=CN2)ccn1")</f>
        <v>CC(C)NCc1cc(N(C)C2C=CC=CN2)ccn1</v>
      </c>
      <c r="C9330" s="7">
        <f>IFERROR(__xludf.DUMMYFUNCTION("""COMPUTED_VALUE"""),7.7699375)</f>
        <v>7.7699375</v>
      </c>
      <c r="D9330" s="7">
        <f>IFERROR(__xludf.DUMMYFUNCTION("""COMPUTED_VALUE"""),0.322033898305084)</f>
        <v>0.3220338983</v>
      </c>
    </row>
    <row r="9331">
      <c r="A9331" s="10" t="s">
        <v>10770</v>
      </c>
      <c r="B9331" s="7" t="str">
        <f>IFERROR(__xludf.DUMMYFUNCTION("SPLIT(A9331,"" "")"),"CC(C)NCc1ncccc1CN(Cc1ccccn1)C1CCCCC1N(C)c1cccc2nccc(CF)c12")</f>
        <v>CC(C)NCc1ncccc1CN(Cc1ccccn1)C1CCCCC1N(C)c1cccc2nccc(CF)c12</v>
      </c>
      <c r="C9331" s="7">
        <f>IFERROR(__xludf.DUMMYFUNCTION("""COMPUTED_VALUE"""),7.769929)</f>
        <v>7.769929</v>
      </c>
      <c r="D9331" s="7">
        <f>IFERROR(__xludf.DUMMYFUNCTION("""COMPUTED_VALUE"""),0.371428571428571)</f>
        <v>0.3714285714</v>
      </c>
    </row>
    <row r="9332">
      <c r="A9332" s="10" t="s">
        <v>10771</v>
      </c>
      <c r="B9332" s="7" t="str">
        <f>IFERROR(__xludf.DUMMYFUNCTION("SPLIT(A9332,"" "")"),"CN(C)Cc1ncccc1F")</f>
        <v>CN(C)Cc1ncccc1F</v>
      </c>
      <c r="C9332" s="7">
        <f>IFERROR(__xludf.DUMMYFUNCTION("""COMPUTED_VALUE"""),7.7699265)</f>
        <v>7.7699265</v>
      </c>
      <c r="D9332" s="7">
        <f>IFERROR(__xludf.DUMMYFUNCTION("""COMPUTED_VALUE"""),0.368421052631578)</f>
        <v>0.3684210526</v>
      </c>
    </row>
    <row r="9333">
      <c r="A9333" s="10" t="s">
        <v>10772</v>
      </c>
      <c r="B9333" s="7" t="str">
        <f>IFERROR(__xludf.DUMMYFUNCTION("SPLIT(A9333,"" "")"),"CC(C)C(C)(c1cccnc1)N(C)Cc1ncccc1C(C)(C)c1ccccn1")</f>
        <v>CC(C)C(C)(c1cccnc1)N(C)Cc1ncccc1C(C)(C)c1ccccn1</v>
      </c>
      <c r="C9333" s="7">
        <f>IFERROR(__xludf.DUMMYFUNCTION("""COMPUTED_VALUE"""),7.769925)</f>
        <v>7.769925</v>
      </c>
      <c r="D9333" s="7">
        <f>IFERROR(__xludf.DUMMYFUNCTION("""COMPUTED_VALUE"""),0.283333333333333)</f>
        <v>0.2833333333</v>
      </c>
    </row>
    <row r="9334">
      <c r="A9334" s="10" t="s">
        <v>10773</v>
      </c>
      <c r="B9334" s="7" t="str">
        <f>IFERROR(__xludf.DUMMYFUNCTION("SPLIT(A9334,"" "")"),"CC(C)c1cccc(NCc2ccccn2)c1")</f>
        <v>CC(C)c1cccc(NCc2ccccn2)c1</v>
      </c>
      <c r="C9334" s="7">
        <f>IFERROR(__xludf.DUMMYFUNCTION("""COMPUTED_VALUE"""),7.769923)</f>
        <v>7.769923</v>
      </c>
      <c r="D9334" s="7">
        <f>IFERROR(__xludf.DUMMYFUNCTION("""COMPUTED_VALUE"""),0.435897435897435)</f>
        <v>0.4358974359</v>
      </c>
    </row>
    <row r="9335">
      <c r="A9335" s="10" t="s">
        <v>10774</v>
      </c>
      <c r="B9335" s="7" t="str">
        <f>IFERROR(__xludf.DUMMYFUNCTION("SPLIT(A9335,"" "")"),"Cc1cncc(CN(C)CCN(Cc2ccccn2)C(C)(C)c2cncc(CN(Cc3ccccn3)Cc3ncccc3N)c2)c1")</f>
        <v>Cc1cncc(CN(C)CCN(Cc2ccccn2)C(C)(C)c2cncc(CN(Cc3ccccn3)Cc3ncccc3N)c2)c1</v>
      </c>
      <c r="C9335" s="7">
        <f>IFERROR(__xludf.DUMMYFUNCTION("""COMPUTED_VALUE"""),7.7699137)</f>
        <v>7.7699137</v>
      </c>
      <c r="D9335" s="7">
        <f>IFERROR(__xludf.DUMMYFUNCTION("""COMPUTED_VALUE"""),0.36)</f>
        <v>0.36</v>
      </c>
    </row>
    <row r="9336">
      <c r="A9336" s="10" t="s">
        <v>10775</v>
      </c>
      <c r="B9336" s="7" t="str">
        <f>IFERROR(__xludf.DUMMYFUNCTION("SPLIT(A9336,"" "")"),"CCNCc1cc(CN(Cc2ccccn2)C2CCC(N(C)c3ccc4c(CF)ccnc4c3)CC2)ccn1")</f>
        <v>CCNCc1cc(CN(Cc2ccccn2)C2CCC(N(C)c3ccc4c(CF)ccnc4c3)CC2)ccn1</v>
      </c>
      <c r="C9336" s="7">
        <f>IFERROR(__xludf.DUMMYFUNCTION("""COMPUTED_VALUE"""),7.7699122)</f>
        <v>7.7699122</v>
      </c>
      <c r="D9336" s="7">
        <f>IFERROR(__xludf.DUMMYFUNCTION("""COMPUTED_VALUE"""),0.314285714285714)</f>
        <v>0.3142857143</v>
      </c>
    </row>
    <row r="9337">
      <c r="A9337" s="10" t="s">
        <v>10776</v>
      </c>
      <c r="B9337" s="7" t="str">
        <f>IFERROR(__xludf.DUMMYFUNCTION("SPLIT(A9337,"" "")"),"CC(C)C1=CC2(C=CN1)CC(NCc1ccccn1)C(C)(C)C=C2c1ccc(CN(Cc2ccccn2)Cc2ccccn2)cn1")</f>
        <v>CC(C)C1=CC2(C=CN1)CC(NCc1ccccn1)C(C)(C)C=C2c1ccc(CN(Cc2ccccn2)Cc2ccccn2)cn1</v>
      </c>
      <c r="C9337" s="7">
        <f>IFERROR(__xludf.DUMMYFUNCTION("""COMPUTED_VALUE"""),7.7699113)</f>
        <v>7.7699113</v>
      </c>
      <c r="D9337" s="7">
        <f>IFERROR(__xludf.DUMMYFUNCTION("""COMPUTED_VALUE"""),0.307692307692307)</f>
        <v>0.3076923077</v>
      </c>
    </row>
    <row r="9338">
      <c r="A9338" s="10" t="s">
        <v>10777</v>
      </c>
      <c r="B9338" s="7" t="str">
        <f>IFERROR(__xludf.DUMMYFUNCTION("SPLIT(A9338,"" "")"),"CN(Cc1ccc(-c2ccc3c(c2)OCCOCCOCCOCCOCCO3)cn1)c1ccc2ncccc2c1")</f>
        <v>CN(Cc1ccc(-c2ccc3c(c2)OCCOCCOCCOCCOCCO3)cn1)c1ccc2ncccc2c1</v>
      </c>
      <c r="C9338" s="7">
        <f>IFERROR(__xludf.DUMMYFUNCTION("""COMPUTED_VALUE"""),7.7699037)</f>
        <v>7.7699037</v>
      </c>
      <c r="D9338" s="7">
        <f>IFERROR(__xludf.DUMMYFUNCTION("""COMPUTED_VALUE"""),0.454545454545454)</f>
        <v>0.4545454545</v>
      </c>
    </row>
    <row r="9339">
      <c r="A9339" s="10" t="s">
        <v>10778</v>
      </c>
      <c r="B9339" s="7" t="str">
        <f>IFERROR(__xludf.DUMMYFUNCTION("SPLIT(A9339,"" "")"),"CCN(Cc1cc(CF)ccn1)C1CCC(N(C)c2ccc3nccc(CF)c3c2)CC1")</f>
        <v>CCN(Cc1cc(CF)ccn1)C1CCC(N(C)c2ccc3nccc(CF)c3c2)CC1</v>
      </c>
      <c r="C9339" s="7">
        <f>IFERROR(__xludf.DUMMYFUNCTION("""COMPUTED_VALUE"""),7.769891)</f>
        <v>7.769891</v>
      </c>
      <c r="D9339" s="7">
        <f>IFERROR(__xludf.DUMMYFUNCTION("""COMPUTED_VALUE"""),0.242424242424242)</f>
        <v>0.2424242424</v>
      </c>
    </row>
    <row r="9340">
      <c r="A9340" s="10" t="s">
        <v>10779</v>
      </c>
      <c r="B9340" s="7" t="str">
        <f>IFERROR(__xludf.DUMMYFUNCTION("SPLIT(A9340,"" "")"),"CN(Cc1cc(-c2ccc3c(c2)OCCOCCOCCOCCOCCO3)ccn1)Cc1cc(-c2ccccc2N=Cc2ccccn2)ccn1")</f>
        <v>CN(Cc1cc(-c2ccc3c(c2)OCCOCCOCCOCCOCCO3)ccn1)Cc1cc(-c2ccccc2N=Cc2ccccn2)ccn1</v>
      </c>
      <c r="C9340" s="7">
        <f>IFERROR(__xludf.DUMMYFUNCTION("""COMPUTED_VALUE"""),7.7698894)</f>
        <v>7.7698894</v>
      </c>
      <c r="D9340" s="7">
        <f>IFERROR(__xludf.DUMMYFUNCTION("""COMPUTED_VALUE"""),0.359375)</f>
        <v>0.359375</v>
      </c>
    </row>
    <row r="9341">
      <c r="A9341" s="10" t="s">
        <v>10780</v>
      </c>
      <c r="B9341" s="7" t="str">
        <f>IFERROR(__xludf.DUMMYFUNCTION("SPLIT(A9341,"" "")"),"CC(C)N(Cc1ccccn1)Cc1ccc2cccc(N(C)Cc3cc(-c4ccc5c(c4)OCCOCCOCCOCCOCCO5)ccn3)c2n1")</f>
        <v>CC(C)N(Cc1ccccn1)Cc1ccc2cccc(N(C)Cc3cc(-c4ccc5c(c4)OCCOCCOCCOCCOCCO5)ccn3)c2n1</v>
      </c>
      <c r="C9341" s="7">
        <f>IFERROR(__xludf.DUMMYFUNCTION("""COMPUTED_VALUE"""),7.7698894)</f>
        <v>7.7698894</v>
      </c>
      <c r="D9341" s="7">
        <f>IFERROR(__xludf.DUMMYFUNCTION("""COMPUTED_VALUE"""),0.35820895522388)</f>
        <v>0.3582089552</v>
      </c>
    </row>
    <row r="9342">
      <c r="A9342" s="10" t="s">
        <v>10781</v>
      </c>
      <c r="B9342" s="7" t="str">
        <f>IFERROR(__xludf.DUMMYFUNCTION("SPLIT(A9342,"" "")"),"CC(C)NCc1ccc(CN(Cc2ccccn2)Cc2cccc(C(C)(C)C)n2)cn1")</f>
        <v>CC(C)NCc1ccc(CN(Cc2ccccn2)Cc2cccc(C(C)(C)C)n2)cn1</v>
      </c>
      <c r="C9342" s="7">
        <f>IFERROR(__xludf.DUMMYFUNCTION("""COMPUTED_VALUE"""),7.7698894)</f>
        <v>7.7698894</v>
      </c>
      <c r="D9342" s="7">
        <f>IFERROR(__xludf.DUMMYFUNCTION("""COMPUTED_VALUE"""),0.403508771929824)</f>
        <v>0.4035087719</v>
      </c>
    </row>
    <row r="9343">
      <c r="A9343" s="10" t="s">
        <v>10782</v>
      </c>
      <c r="B9343" s="7" t="str">
        <f>IFERROR(__xludf.DUMMYFUNCTION("SPLIT(A9343,"" "")"),"CN(Cc1ccccn1)C1CCC(N(C)c2ccc3ncccc3c2)CC1")</f>
        <v>CN(Cc1ccccn1)C1CCC(N(C)c2ccc3ncccc3c2)CC1</v>
      </c>
      <c r="C9343" s="7">
        <f>IFERROR(__xludf.DUMMYFUNCTION("""COMPUTED_VALUE"""),7.769874)</f>
        <v>7.769874</v>
      </c>
      <c r="D9343" s="7">
        <f>IFERROR(__xludf.DUMMYFUNCTION("""COMPUTED_VALUE"""),0.489795918367346)</f>
        <v>0.4897959184</v>
      </c>
    </row>
    <row r="9344">
      <c r="A9344" s="10" t="s">
        <v>10783</v>
      </c>
      <c r="B9344" s="7" t="str">
        <f>IFERROR(__xludf.DUMMYFUNCTION("SPLIT(A9344,"" "")"),"CNCc1ccc(N(C)C)cc1")</f>
        <v>CNCc1ccc(N(C)C)cc1</v>
      </c>
      <c r="C9344" s="7">
        <f>IFERROR(__xludf.DUMMYFUNCTION("""COMPUTED_VALUE"""),7.76987)</f>
        <v>7.76987</v>
      </c>
      <c r="D9344" s="7">
        <f>IFERROR(__xludf.DUMMYFUNCTION("""COMPUTED_VALUE"""),0.184210526315789)</f>
        <v>0.1842105263</v>
      </c>
    </row>
    <row r="9345">
      <c r="A9345" s="10" t="s">
        <v>10784</v>
      </c>
      <c r="B9345" s="7" t="str">
        <f>IFERROR(__xludf.DUMMYFUNCTION("SPLIT(A9345,"" "")"),"CN(Cc1cc(-c2ccc3c(c2)OCCOCCOCCOCCOCCO3)ccn1)Cc1cccnc1-c1cccc(N=Cc2ccccn2)c1")</f>
        <v>CN(Cc1cc(-c2ccc3c(c2)OCCOCCOCCOCCOCCO3)ccn1)Cc1cccnc1-c1cccc(N=Cc2ccccn2)c1</v>
      </c>
      <c r="C9345" s="7">
        <f>IFERROR(__xludf.DUMMYFUNCTION("""COMPUTED_VALUE"""),7.7698603)</f>
        <v>7.7698603</v>
      </c>
      <c r="D9345" s="7">
        <f>IFERROR(__xludf.DUMMYFUNCTION("""COMPUTED_VALUE"""),0.290697674418604)</f>
        <v>0.2906976744</v>
      </c>
    </row>
    <row r="9346">
      <c r="A9346" s="10" t="s">
        <v>10785</v>
      </c>
      <c r="B9346" s="7" t="str">
        <f>IFERROR(__xludf.DUMMYFUNCTION("SPLIT(A9346,"" "")"),"CN(C)Cc1cccc(F)n1")</f>
        <v>CN(C)Cc1cccc(F)n1</v>
      </c>
      <c r="C9346" s="7">
        <f>IFERROR(__xludf.DUMMYFUNCTION("""COMPUTED_VALUE"""),7.7698493)</f>
        <v>7.7698493</v>
      </c>
      <c r="D9346" s="7">
        <f>IFERROR(__xludf.DUMMYFUNCTION("""COMPUTED_VALUE"""),0.484848484848484)</f>
        <v>0.4848484848</v>
      </c>
    </row>
    <row r="9347">
      <c r="A9347" s="10" t="s">
        <v>10786</v>
      </c>
      <c r="B9347" s="7" t="str">
        <f>IFERROR(__xludf.DUMMYFUNCTION("SPLIT(A9347,"" "")"),"CC1=CC(C)C2(C=C(C)CC(C)C23CC(c2cc(CN(Cc4ccccn4)Cc4ccccn4)ccn2)=CC2(C=C(C)C(C)C(C)C2)C3c2cc(CN(Cc3ccccn3)Cc3ccccn3)ccn2)CC1")</f>
        <v>CC1=CC(C)C2(C=C(C)CC(C)C23CC(c2cc(CN(Cc4ccccn4)Cc4ccccn4)ccn2)=CC2(C=C(C)C(C)C(C)C2)C3c2cc(CN(Cc3ccccn3)Cc3ccccn3)ccn2)CC1</v>
      </c>
      <c r="C9347" s="7">
        <f>IFERROR(__xludf.DUMMYFUNCTION("""COMPUTED_VALUE"""),7.7698355)</f>
        <v>7.7698355</v>
      </c>
      <c r="D9347" s="7">
        <f>IFERROR(__xludf.DUMMYFUNCTION("""COMPUTED_VALUE"""),0.28395061728395)</f>
        <v>0.2839506173</v>
      </c>
    </row>
    <row r="9348">
      <c r="A9348" s="10" t="s">
        <v>10787</v>
      </c>
      <c r="B9348" s="7" t="str">
        <f>IFERROR(__xludf.DUMMYFUNCTION("SPLIT(A9348,"" "")"),"CC(C)(C)c1ccccc1N(CF)Cc1ccccn1")</f>
        <v>CC(C)(C)c1ccccc1N(CF)Cc1ccccn1</v>
      </c>
      <c r="C9348" s="7">
        <f>IFERROR(__xludf.DUMMYFUNCTION("""COMPUTED_VALUE"""),7.769829)</f>
        <v>7.769829</v>
      </c>
      <c r="D9348" s="7">
        <f>IFERROR(__xludf.DUMMYFUNCTION("""COMPUTED_VALUE"""),0.454545454545454)</f>
        <v>0.4545454545</v>
      </c>
    </row>
    <row r="9349">
      <c r="A9349" s="10" t="s">
        <v>10788</v>
      </c>
      <c r="B9349" s="7" t="str">
        <f>IFERROR(__xludf.DUMMYFUNCTION("SPLIT(A9349,"" "")"),"Cc1cncc(CN(C)Cc2cccc(N(C)C(C)(C)c3cccnc3CN(Cc3ccccn3)C3(C)CCC3)n2)c1")</f>
        <v>Cc1cncc(CN(C)Cc2cccc(N(C)C(C)(C)c3cccnc3CN(Cc3ccccn3)C3(C)CCC3)n2)c1</v>
      </c>
      <c r="C9349" s="7">
        <f>IFERROR(__xludf.DUMMYFUNCTION("""COMPUTED_VALUE"""),7.7698207)</f>
        <v>7.7698207</v>
      </c>
      <c r="D9349" s="7">
        <f>IFERROR(__xludf.DUMMYFUNCTION("""COMPUTED_VALUE"""),0.342465753424657)</f>
        <v>0.3424657534</v>
      </c>
    </row>
    <row r="9350">
      <c r="A9350" s="10" t="s">
        <v>10789</v>
      </c>
      <c r="B9350" s="7" t="str">
        <f>IFERROR(__xludf.DUMMYFUNCTION("SPLIT(A9350,"" "")"),"CNCCN(C)Cc1nc(C)c(C)c(C)c1C")</f>
        <v>CNCCN(C)Cc1nc(C)c(C)c(C)c1C</v>
      </c>
      <c r="C9350" s="7">
        <f>IFERROR(__xludf.DUMMYFUNCTION("""COMPUTED_VALUE"""),7.769819)</f>
        <v>7.769819</v>
      </c>
      <c r="D9350" s="7">
        <f>IFERROR(__xludf.DUMMYFUNCTION("""COMPUTED_VALUE"""),0.285714285714285)</f>
        <v>0.2857142857</v>
      </c>
    </row>
    <row r="9351">
      <c r="A9351" s="10" t="s">
        <v>10790</v>
      </c>
      <c r="B9351" s="7" t="str">
        <f>IFERROR(__xludf.DUMMYFUNCTION("SPLIT(A9351,"" "")"),"Cc1cccc(CN(C)C2=CCC=C(CN(C)CC(C)(C)C)N2)n1")</f>
        <v>Cc1cccc(CN(C)C2=CCC=C(CN(C)CC(C)(C)C)N2)n1</v>
      </c>
      <c r="C9351" s="7">
        <f>IFERROR(__xludf.DUMMYFUNCTION("""COMPUTED_VALUE"""),7.76981)</f>
        <v>7.76981</v>
      </c>
      <c r="D9351" s="7">
        <f>IFERROR(__xludf.DUMMYFUNCTION("""COMPUTED_VALUE"""),0.4375)</f>
        <v>0.4375</v>
      </c>
    </row>
    <row r="9352">
      <c r="A9352" s="10" t="s">
        <v>10791</v>
      </c>
      <c r="B9352" s="7" t="str">
        <f>IFERROR(__xludf.DUMMYFUNCTION("SPLIT(A9352,"" "")"),"CC(C)N(Cc1ccccn1)Cc1ccc2cccc(N(C)Cc3ncccc3-c3ccc4c(c3)OCCOCCOCCOCCOCCO4)c2n1")</f>
        <v>CC(C)N(Cc1ccccn1)Cc1ccc2cccc(N(C)Cc3ncccc3-c3ccc4c(c3)OCCOCCOCCOCCOCCO4)c2n1</v>
      </c>
      <c r="C9352" s="7">
        <f>IFERROR(__xludf.DUMMYFUNCTION("""COMPUTED_VALUE"""),7.769805)</f>
        <v>7.769805</v>
      </c>
      <c r="D9352" s="7">
        <f>IFERROR(__xludf.DUMMYFUNCTION("""COMPUTED_VALUE"""),0.342857142857142)</f>
        <v>0.3428571429</v>
      </c>
    </row>
    <row r="9353">
      <c r="A9353" s="10" t="s">
        <v>10792</v>
      </c>
      <c r="B9353" s="7" t="str">
        <f>IFERROR(__xludf.DUMMYFUNCTION("SPLIT(A9353,"" "")"),"Cc1cnc(CN(Cc2ncccc2-c2ccc3c(c2)OCCOCCOCCOCCOCCO3)Cc2ccnc3ccccc23)c(C)c1C")</f>
        <v>Cc1cnc(CN(Cc2ncccc2-c2ccc3c(c2)OCCOCCOCCOCCOCCO3)Cc2ccnc3ccccc23)c(C)c1C</v>
      </c>
      <c r="C9353" s="7">
        <f>IFERROR(__xludf.DUMMYFUNCTION("""COMPUTED_VALUE"""),7.7698026)</f>
        <v>7.7698026</v>
      </c>
      <c r="D9353" s="7">
        <f>IFERROR(__xludf.DUMMYFUNCTION("""COMPUTED_VALUE"""),0.292682926829268)</f>
        <v>0.2926829268</v>
      </c>
    </row>
    <row r="9354">
      <c r="A9354" s="10" t="s">
        <v>10793</v>
      </c>
      <c r="B9354" s="7" t="str">
        <f>IFERROR(__xludf.DUMMYFUNCTION("SPLIT(A9354,"" "")"),"CN(CC1=CCC=C(N(C)C2C=CC=CN2)N1)Cc1ccccn1")</f>
        <v>CN(CC1=CCC=C(N(C)C2C=CC=CN2)N1)Cc1ccccn1</v>
      </c>
      <c r="C9354" s="7">
        <f>IFERROR(__xludf.DUMMYFUNCTION("""COMPUTED_VALUE"""),7.769782)</f>
        <v>7.769782</v>
      </c>
      <c r="D9354" s="7">
        <f>IFERROR(__xludf.DUMMYFUNCTION("""COMPUTED_VALUE"""),0.440677966101694)</f>
        <v>0.4406779661</v>
      </c>
    </row>
    <row r="9355">
      <c r="A9355" s="10" t="s">
        <v>10794</v>
      </c>
      <c r="B9355" s="7" t="str">
        <f>IFERROR(__xludf.DUMMYFUNCTION("SPLIT(A9355,"" "")"),"CN(Cc1ccc(-c2ccc3c(c2)OCCOCCOCCOCCOCCO3)cn1)Cc1ncccc1-c1cccc(N=Cc2ccccn2)c1")</f>
        <v>CN(Cc1ccc(-c2ccc3c(c2)OCCOCCOCCOCCOCCO3)cn1)Cc1ncccc1-c1cccc(N=Cc2ccccn2)c1</v>
      </c>
      <c r="C9355" s="7">
        <f>IFERROR(__xludf.DUMMYFUNCTION("""COMPUTED_VALUE"""),7.769771)</f>
        <v>7.769771</v>
      </c>
      <c r="D9355" s="7">
        <f>IFERROR(__xludf.DUMMYFUNCTION("""COMPUTED_VALUE"""),0.365853658536585)</f>
        <v>0.3658536585</v>
      </c>
    </row>
    <row r="9356">
      <c r="A9356" s="10" t="s">
        <v>10795</v>
      </c>
      <c r="B9356" s="7" t="str">
        <f>IFERROR(__xludf.DUMMYFUNCTION("SPLIT(A9356,"" "")"),"CN(Cc1cnccc1F)C1CCC(N(C)c2ccc3nc(CF)ccc3c2)CC1")</f>
        <v>CN(Cc1cnccc1F)C1CCC(N(C)c2ccc3nc(CF)ccc3c2)CC1</v>
      </c>
      <c r="C9356" s="7">
        <f>IFERROR(__xludf.DUMMYFUNCTION("""COMPUTED_VALUE"""),7.76977)</f>
        <v>7.76977</v>
      </c>
      <c r="D9356" s="7">
        <f>IFERROR(__xludf.DUMMYFUNCTION("""COMPUTED_VALUE"""),0.313432835820895)</f>
        <v>0.3134328358</v>
      </c>
    </row>
    <row r="9357">
      <c r="A9357" s="10" t="s">
        <v>10796</v>
      </c>
      <c r="B9357" s="7" t="str">
        <f>IFERROR(__xludf.DUMMYFUNCTION("SPLIT(A9357,"" "")"),"CC(C)CN(Cc1ccccn1)Cc1ncccc1C(C)(C)c1ccccn1")</f>
        <v>CC(C)CN(Cc1ccccn1)Cc1ncccc1C(C)(C)c1ccccn1</v>
      </c>
      <c r="C9357" s="7">
        <f>IFERROR(__xludf.DUMMYFUNCTION("""COMPUTED_VALUE"""),7.7697644)</f>
        <v>7.7697644</v>
      </c>
      <c r="D9357" s="7">
        <f>IFERROR(__xludf.DUMMYFUNCTION("""COMPUTED_VALUE"""),0.44)</f>
        <v>0.44</v>
      </c>
    </row>
    <row r="9358">
      <c r="A9358" s="10" t="s">
        <v>10797</v>
      </c>
      <c r="B9358" s="7" t="str">
        <f>IFERROR(__xludf.DUMMYFUNCTION("SPLIT(A9358,"" "")"),"CN(Cc1cccnn1)C1CCCCC1N(C)c1cccc2ncc(CF)cc12")</f>
        <v>CN(Cc1cccnn1)C1CCCCC1N(C)c1cccc2ncc(CF)cc12</v>
      </c>
      <c r="C9358" s="7">
        <f>IFERROR(__xludf.DUMMYFUNCTION("""COMPUTED_VALUE"""),7.7697625)</f>
        <v>7.7697625</v>
      </c>
      <c r="D9358" s="7">
        <f>IFERROR(__xludf.DUMMYFUNCTION("""COMPUTED_VALUE"""),0.416666666666666)</f>
        <v>0.4166666667</v>
      </c>
    </row>
    <row r="9359">
      <c r="A9359" s="10" t="s">
        <v>10798</v>
      </c>
      <c r="B9359" s="7" t="str">
        <f>IFERROR(__xludf.DUMMYFUNCTION("SPLIT(A9359,"" "")"),"CNCc1ncccc1CN(Cc1ccccn1)C1CCCCC1N(C)c1cccc2ncc(CF)cc12")</f>
        <v>CNCc1ncccc1CN(Cc1ccccn1)C1CCCCC1N(C)c1cccc2ncc(CF)cc12</v>
      </c>
      <c r="C9359" s="7">
        <f>IFERROR(__xludf.DUMMYFUNCTION("""COMPUTED_VALUE"""),7.7697606)</f>
        <v>7.7697606</v>
      </c>
      <c r="D9359" s="7">
        <f>IFERROR(__xludf.DUMMYFUNCTION("""COMPUTED_VALUE"""),0.366197183098591)</f>
        <v>0.3661971831</v>
      </c>
    </row>
    <row r="9360">
      <c r="A9360" s="10" t="s">
        <v>10799</v>
      </c>
      <c r="B9360" s="7" t="str">
        <f>IFERROR(__xludf.DUMMYFUNCTION("SPLIT(A9360,"" "")"),"CN(Cc1ccc(-c2ccc3c(c2)OCCOCCOCCOCCOCCO3)cn1)Cc1ncccc1-c1ccccc1N=Cc1ccccn1")</f>
        <v>CN(Cc1ccc(-c2ccc3c(c2)OCCOCCOCCOCCOCCO3)cn1)Cc1ncccc1-c1ccccc1N=Cc1ccccn1</v>
      </c>
      <c r="C9360" s="7">
        <f>IFERROR(__xludf.DUMMYFUNCTION("""COMPUTED_VALUE"""),7.769759)</f>
        <v>7.769759</v>
      </c>
      <c r="D9360" s="7">
        <f>IFERROR(__xludf.DUMMYFUNCTION("""COMPUTED_VALUE"""),0.379746835443038)</f>
        <v>0.3797468354</v>
      </c>
    </row>
    <row r="9361">
      <c r="A9361" s="10" t="s">
        <v>10800</v>
      </c>
      <c r="B9361" s="7" t="str">
        <f>IFERROR(__xludf.DUMMYFUNCTION("SPLIT(A9361,"" "")"),"CNc1cccc(CF)n1")</f>
        <v>CNc1cccc(CF)n1</v>
      </c>
      <c r="C9361" s="7">
        <f>IFERROR(__xludf.DUMMYFUNCTION("""COMPUTED_VALUE"""),7.7697587)</f>
        <v>7.7697587</v>
      </c>
      <c r="D9361" s="7">
        <f>IFERROR(__xludf.DUMMYFUNCTION("""COMPUTED_VALUE"""),0.361111111111111)</f>
        <v>0.3611111111</v>
      </c>
    </row>
    <row r="9362">
      <c r="A9362" s="10" t="s">
        <v>10801</v>
      </c>
      <c r="B9362" s="7" t="str">
        <f>IFERROR(__xludf.DUMMYFUNCTION("SPLIT(A9362,"" "")"),"Cc1cncc(CN(C)C)c1")</f>
        <v>Cc1cncc(CN(C)C)c1</v>
      </c>
      <c r="C9362" s="7">
        <f>IFERROR(__xludf.DUMMYFUNCTION("""COMPUTED_VALUE"""),7.769753)</f>
        <v>7.769753</v>
      </c>
      <c r="D9362" s="7">
        <f>IFERROR(__xludf.DUMMYFUNCTION("""COMPUTED_VALUE"""),0.297297297297297)</f>
        <v>0.2972972973</v>
      </c>
    </row>
    <row r="9363">
      <c r="A9363" s="10" t="s">
        <v>10802</v>
      </c>
      <c r="B9363" s="7" t="str">
        <f>IFERROR(__xludf.DUMMYFUNCTION("SPLIT(A9363,"" "")"),"CC(C)N(C)C1=CCC=C(CN(C)C)N1")</f>
        <v>CC(C)N(C)C1=CCC=C(CN(C)C)N1</v>
      </c>
      <c r="C9363" s="7">
        <f>IFERROR(__xludf.DUMMYFUNCTION("""COMPUTED_VALUE"""),7.7697434)</f>
        <v>7.7697434</v>
      </c>
      <c r="D9363" s="7">
        <f>IFERROR(__xludf.DUMMYFUNCTION("""COMPUTED_VALUE"""),0.217391304347826)</f>
        <v>0.2173913043</v>
      </c>
    </row>
    <row r="9364">
      <c r="A9364" s="10" t="s">
        <v>10803</v>
      </c>
      <c r="B9364" s="7" t="str">
        <f>IFERROR(__xludf.DUMMYFUNCTION("SPLIT(A9364,"" "")"),"CN(c1ccc2nccc(CF)c2c1)C1CCCCC1N(Cc1ccnc(C2CCC2(C)C)c1)Cc1ccccn1")</f>
        <v>CN(c1ccc2nccc(CF)c2c1)C1CCCCC1N(Cc1ccnc(C2CCC2(C)C)c1)Cc1ccccn1</v>
      </c>
      <c r="C9364" s="7">
        <f>IFERROR(__xludf.DUMMYFUNCTION("""COMPUTED_VALUE"""),7.7697387)</f>
        <v>7.7697387</v>
      </c>
      <c r="D9364" s="7">
        <f>IFERROR(__xludf.DUMMYFUNCTION("""COMPUTED_VALUE"""),0.356164383561643)</f>
        <v>0.3561643836</v>
      </c>
    </row>
    <row r="9365">
      <c r="A9365" s="10" t="s">
        <v>10804</v>
      </c>
      <c r="B9365" s="7" t="str">
        <f>IFERROR(__xludf.DUMMYFUNCTION("SPLIT(A9365,"" "")"),"CC(C)C1(C)N=COC1c1cc(CN(Cc2ccccn2)Cc2ccccn2)ccn1")</f>
        <v>CC(C)C1(C)N=COC1c1cc(CN(Cc2ccccn2)Cc2ccccn2)ccn1</v>
      </c>
      <c r="C9365" s="7">
        <f>IFERROR(__xludf.DUMMYFUNCTION("""COMPUTED_VALUE"""),7.7697353)</f>
        <v>7.7697353</v>
      </c>
      <c r="D9365" s="7">
        <f>IFERROR(__xludf.DUMMYFUNCTION("""COMPUTED_VALUE"""),0.408163265306122)</f>
        <v>0.4081632653</v>
      </c>
    </row>
    <row r="9366">
      <c r="A9366" s="10" t="s">
        <v>10805</v>
      </c>
      <c r="B9366" s="7" t="str">
        <f>IFERROR(__xludf.DUMMYFUNCTION("SPLIT(A9366,"" "")"),"Cc1ccnc(CN(C)C2=CCC=C(CN(C)C(C)C)N2)c1")</f>
        <v>Cc1ccnc(CN(C)C2=CCC=C(CN(C)C(C)C)N2)c1</v>
      </c>
      <c r="C9366" s="7">
        <f>IFERROR(__xludf.DUMMYFUNCTION("""COMPUTED_VALUE"""),7.769735)</f>
        <v>7.769735</v>
      </c>
      <c r="D9366" s="7">
        <f>IFERROR(__xludf.DUMMYFUNCTION("""COMPUTED_VALUE"""),0.321428571428571)</f>
        <v>0.3214285714</v>
      </c>
    </row>
    <row r="9367">
      <c r="A9367" s="10" t="s">
        <v>10806</v>
      </c>
      <c r="B9367" s="7" t="str">
        <f>IFERROR(__xludf.DUMMYFUNCTION("SPLIT(A9367,"" "")"),"CCNCc1cc(CN(Cc2ccccn2)Cc2ncc(C)c(C)c2C)ccn1")</f>
        <v>CCNCc1cc(CN(Cc2ccccn2)Cc2ncc(C)c(C)c2C)ccn1</v>
      </c>
      <c r="C9367" s="7">
        <f>IFERROR(__xludf.DUMMYFUNCTION("""COMPUTED_VALUE"""),7.769735)</f>
        <v>7.769735</v>
      </c>
      <c r="D9367" s="7">
        <f>IFERROR(__xludf.DUMMYFUNCTION("""COMPUTED_VALUE"""),0.425531914893617)</f>
        <v>0.4255319149</v>
      </c>
    </row>
    <row r="9368">
      <c r="A9368" s="10" t="s">
        <v>10807</v>
      </c>
      <c r="B9368" s="7" t="str">
        <f>IFERROR(__xludf.DUMMYFUNCTION("SPLIT(A9368,"" "")"),"Cc1cncc(CN(C)C2=CNC=CC2CN(C)Cc2ccccn2)c1")</f>
        <v>Cc1cncc(CN(C)C2=CNC=CC2CN(C)Cc2ccccn2)c1</v>
      </c>
      <c r="C9368" s="7">
        <f>IFERROR(__xludf.DUMMYFUNCTION("""COMPUTED_VALUE"""),7.7697315)</f>
        <v>7.7697315</v>
      </c>
      <c r="D9368" s="7">
        <f>IFERROR(__xludf.DUMMYFUNCTION("""COMPUTED_VALUE"""),0.347826086956521)</f>
        <v>0.347826087</v>
      </c>
    </row>
    <row r="9369">
      <c r="A9369" s="10" t="s">
        <v>10808</v>
      </c>
      <c r="B9369" s="7" t="str">
        <f>IFERROR(__xludf.DUMMYFUNCTION("SPLIT(A9369,"" "")"),"CCOC(C)c1cccc(CN(Cc2ccccn2)Cc2ncccc2C(C)(C)C)n1")</f>
        <v>CCOC(C)c1cccc(CN(Cc2ccccn2)Cc2ncccc2C(C)(C)C)n1</v>
      </c>
      <c r="C9369" s="7">
        <f>IFERROR(__xludf.DUMMYFUNCTION("""COMPUTED_VALUE"""),7.7697244)</f>
        <v>7.7697244</v>
      </c>
      <c r="D9369" s="7">
        <f>IFERROR(__xludf.DUMMYFUNCTION("""COMPUTED_VALUE"""),0.4)</f>
        <v>0.4</v>
      </c>
    </row>
    <row r="9370">
      <c r="A9370" s="10" t="s">
        <v>10809</v>
      </c>
      <c r="B9370" s="7" t="str">
        <f>IFERROR(__xludf.DUMMYFUNCTION("SPLIT(A9370,"" "")"),"CNCN(Cc1ncccc1N)Cc1nc(C)c(C)c(C)c1C")</f>
        <v>CNCN(Cc1ncccc1N)Cc1nc(C)c(C)c(C)c1C</v>
      </c>
      <c r="C9370" s="7">
        <f>IFERROR(__xludf.DUMMYFUNCTION("""COMPUTED_VALUE"""),7.7697215)</f>
        <v>7.7697215</v>
      </c>
      <c r="D9370" s="7">
        <f>IFERROR(__xludf.DUMMYFUNCTION("""COMPUTED_VALUE"""),0.254545454545454)</f>
        <v>0.2545454545</v>
      </c>
    </row>
    <row r="9371">
      <c r="A9371" s="10" t="s">
        <v>10810</v>
      </c>
      <c r="B9371" s="7" t="str">
        <f>IFERROR(__xludf.DUMMYFUNCTION("SPLIT(A9371,"" "")"),"CCNCc1cc(CN(Cc2ccccn2)C2CCC(N(C)c3ccc4nccc(CF)c4c3)CC2)ccn1")</f>
        <v>CCNCc1cc(CN(Cc2ccccn2)C2CCC(N(C)c3ccc4nccc(CF)c4c3)CC2)ccn1</v>
      </c>
      <c r="C9371" s="7">
        <f>IFERROR(__xludf.DUMMYFUNCTION("""COMPUTED_VALUE"""),7.7697124)</f>
        <v>7.7697124</v>
      </c>
      <c r="D9371" s="7">
        <f>IFERROR(__xludf.DUMMYFUNCTION("""COMPUTED_VALUE"""),0.309859154929577)</f>
        <v>0.3098591549</v>
      </c>
    </row>
    <row r="9372">
      <c r="A9372" s="10" t="s">
        <v>10811</v>
      </c>
      <c r="B9372" s="7" t="str">
        <f>IFERROR(__xludf.DUMMYFUNCTION("SPLIT(A9372,"" "")"),"COC(=O)C1C(c2ccccn2)C(C(=O)NCc2ccccn2)CN(C)C1c1ccccn1")</f>
        <v>COC(=O)C1C(c2ccccn2)C(C(=O)NCc2ccccn2)CN(C)C1c1ccccn1</v>
      </c>
      <c r="C9372" s="7">
        <f>IFERROR(__xludf.DUMMYFUNCTION("""COMPUTED_VALUE"""),7.769705)</f>
        <v>7.769705</v>
      </c>
      <c r="D9372" s="7">
        <f>IFERROR(__xludf.DUMMYFUNCTION("""COMPUTED_VALUE"""),0.342857142857142)</f>
        <v>0.3428571429</v>
      </c>
    </row>
    <row r="9373">
      <c r="A9373" s="10" t="s">
        <v>10812</v>
      </c>
      <c r="B9373" s="7" t="str">
        <f>IFERROR(__xludf.DUMMYFUNCTION("SPLIT(A9373,"" "")"),"CC(C)N(Cc1ccccn1)C1CCCCC1N(C)c1cccc2ncc(CN(C)C)cc12")</f>
        <v>CC(C)N(Cc1ccccn1)C1CCCCC1N(C)c1cccc2ncc(CN(C)C)cc12</v>
      </c>
      <c r="C9373" s="7">
        <f>IFERROR(__xludf.DUMMYFUNCTION("""COMPUTED_VALUE"""),7.7696977)</f>
        <v>7.7696977</v>
      </c>
      <c r="D9373" s="7">
        <f>IFERROR(__xludf.DUMMYFUNCTION("""COMPUTED_VALUE"""),0.433333333333333)</f>
        <v>0.4333333333</v>
      </c>
    </row>
    <row r="9374">
      <c r="A9374" s="10" t="s">
        <v>10813</v>
      </c>
      <c r="B9374" s="7" t="str">
        <f>IFERROR(__xludf.DUMMYFUNCTION("SPLIT(A9374,"" "")"),"Cc1cncc(CN(C)Cc2ncccc2N(C)C(C)(C)C)c1")</f>
        <v>Cc1cncc(CN(C)Cc2ncccc2N(C)C(C)(C)C)c1</v>
      </c>
      <c r="C9374" s="7">
        <f>IFERROR(__xludf.DUMMYFUNCTION("""COMPUTED_VALUE"""),7.7696958)</f>
        <v>7.7696958</v>
      </c>
      <c r="D9374" s="7">
        <f>IFERROR(__xludf.DUMMYFUNCTION("""COMPUTED_VALUE"""),0.277777777777777)</f>
        <v>0.2777777778</v>
      </c>
    </row>
    <row r="9375">
      <c r="A9375" s="10" t="s">
        <v>10814</v>
      </c>
      <c r="B9375" s="7" t="str">
        <f>IFERROR(__xludf.DUMMYFUNCTION("SPLIT(A9375,"" "")"),"CC(C)N(Cc1ccccn1)Cc1ccc2cc(N(C)Cc3ncccc3-c3ccc4c(c3)OCCOCCOCCOCCOCCO4)ccc2n1")</f>
        <v>CC(C)N(Cc1ccccn1)Cc1ccc2cc(N(C)Cc3ncccc3-c3ccc4c(c3)OCCOCCOCCOCCOCCO4)ccc2n1</v>
      </c>
      <c r="C9375" s="7">
        <f>IFERROR(__xludf.DUMMYFUNCTION("""COMPUTED_VALUE"""),7.7696943)</f>
        <v>7.7696943</v>
      </c>
      <c r="D9375" s="7">
        <f>IFERROR(__xludf.DUMMYFUNCTION("""COMPUTED_VALUE"""),0.367647058823529)</f>
        <v>0.3676470588</v>
      </c>
    </row>
    <row r="9376">
      <c r="A9376" s="10" t="s">
        <v>10815</v>
      </c>
      <c r="B9376" s="7" t="str">
        <f>IFERROR(__xludf.DUMMYFUNCTION("SPLIT(A9376,"" "")"),"CC1=C(N(C)C2CCCC(N(C)c3ccc4c(C)ccnc4c3)C2)CC(C)CC1(C)C")</f>
        <v>CC1=C(N(C)C2CCCC(N(C)c3ccc4c(C)ccnc4c3)C2)CC(C)CC1(C)C</v>
      </c>
      <c r="C9376" s="7">
        <f>IFERROR(__xludf.DUMMYFUNCTION("""COMPUTED_VALUE"""),7.7696924)</f>
        <v>7.7696924</v>
      </c>
      <c r="D9376" s="7">
        <f>IFERROR(__xludf.DUMMYFUNCTION("""COMPUTED_VALUE"""),0.20253164556962)</f>
        <v>0.2025316456</v>
      </c>
    </row>
    <row r="9377">
      <c r="A9377" s="10" t="s">
        <v>10816</v>
      </c>
      <c r="B9377" s="7" t="str">
        <f>IFERROR(__xludf.DUMMYFUNCTION("SPLIT(A9377,"" "")"),"COC(C)c1ncccc1CN(Cc1ccccn1)Cc1ncccc1C(C)(C)C")</f>
        <v>COC(C)c1ncccc1CN(Cc1ccccn1)Cc1ncccc1C(C)(C)C</v>
      </c>
      <c r="C9377" s="7">
        <f>IFERROR(__xludf.DUMMYFUNCTION("""COMPUTED_VALUE"""),7.7696905)</f>
        <v>7.7696905</v>
      </c>
      <c r="D9377" s="7">
        <f>IFERROR(__xludf.DUMMYFUNCTION("""COMPUTED_VALUE"""),0.416666666666666)</f>
        <v>0.4166666667</v>
      </c>
    </row>
    <row r="9378">
      <c r="A9378" s="10" t="s">
        <v>10817</v>
      </c>
      <c r="B9378" s="7" t="str">
        <f>IFERROR(__xludf.DUMMYFUNCTION("SPLIT(A9378,"" "")"),"CN(Cc1cc(-c2ccc3c(c2)OCCOCCOCCOCCOCCO3)ccn1)Cc1ccc2cc(N(Cc3ccccc3)Cc3ccccn3)ccc2n1")</f>
        <v>CN(Cc1cc(-c2ccc3c(c2)OCCOCCOCCOCCOCCO3)ccn1)Cc1ccc2cc(N(Cc3ccccc3)Cc3ccccn3)ccc2n1</v>
      </c>
      <c r="C9378" s="7">
        <f>IFERROR(__xludf.DUMMYFUNCTION("""COMPUTED_VALUE"""),7.7696834)</f>
        <v>7.7696834</v>
      </c>
      <c r="D9378" s="7">
        <f>IFERROR(__xludf.DUMMYFUNCTION("""COMPUTED_VALUE"""),0.347826086956521)</f>
        <v>0.347826087</v>
      </c>
    </row>
    <row r="9379">
      <c r="A9379" s="10" t="s">
        <v>10818</v>
      </c>
      <c r="B9379" s="7" t="str">
        <f>IFERROR(__xludf.DUMMYFUNCTION("SPLIT(A9379,"" "")"),"CC(C)[Si](c1cccc(CN(Cc2ccccn2)Cc2ccc([SiH3])cn2)n1)(C(C)C)C(C)C")</f>
        <v>CC(C)[Si](c1cccc(CN(Cc2ccccn2)Cc2ccc([SiH3])cn2)n1)(C(C)C)C(C)C</v>
      </c>
      <c r="C9379" s="7">
        <f>IFERROR(__xludf.DUMMYFUNCTION("""COMPUTED_VALUE"""),7.7696795)</f>
        <v>7.7696795</v>
      </c>
      <c r="D9379" s="7">
        <f>IFERROR(__xludf.DUMMYFUNCTION("""COMPUTED_VALUE"""),0.465116279069767)</f>
        <v>0.4651162791</v>
      </c>
    </row>
    <row r="9380">
      <c r="A9380" s="10" t="s">
        <v>10819</v>
      </c>
      <c r="B9380" s="7" t="str">
        <f>IFERROR(__xludf.DUMMYFUNCTION("SPLIT(A9380,"" "")"),"CCCNCC1=C(N(C)Cc2nc(C)c(C)cc2C)CC=CN1")</f>
        <v>CCCNCC1=C(N(C)Cc2nc(C)c(C)cc2C)CC=CN1</v>
      </c>
      <c r="C9380" s="7">
        <f>IFERROR(__xludf.DUMMYFUNCTION("""COMPUTED_VALUE"""),7.769679)</f>
        <v>7.769679</v>
      </c>
      <c r="D9380" s="7">
        <f>IFERROR(__xludf.DUMMYFUNCTION("""COMPUTED_VALUE"""),0.17391304347826)</f>
        <v>0.1739130435</v>
      </c>
    </row>
    <row r="9381">
      <c r="A9381" s="10" t="s">
        <v>10820</v>
      </c>
      <c r="B9381" s="7" t="str">
        <f>IFERROR(__xludf.DUMMYFUNCTION("SPLIT(A9381,"" "")"),"CC1=CC(CN(Cc2ccccn2)Cc2ccccn2)C(C)=C(C)N1")</f>
        <v>CC1=CC(CN(Cc2ccccn2)Cc2ccccn2)C(C)=C(C)N1</v>
      </c>
      <c r="C9381" s="7">
        <f>IFERROR(__xludf.DUMMYFUNCTION("""COMPUTED_VALUE"""),7.7696786)</f>
        <v>7.7696786</v>
      </c>
      <c r="D9381" s="7">
        <f>IFERROR(__xludf.DUMMYFUNCTION("""COMPUTED_VALUE"""),0.487179487179487)</f>
        <v>0.4871794872</v>
      </c>
    </row>
    <row r="9382">
      <c r="A9382" s="10" t="s">
        <v>10821</v>
      </c>
      <c r="B9382" s="7" t="str">
        <f>IFERROR(__xludf.DUMMYFUNCTION("SPLIT(A9382,"" "")"),"CN(Cc1ccccn1)C(C)(C)c1cccnc1CNC1=CC=CCN1")</f>
        <v>CN(Cc1ccccn1)C(C)(C)c1cccnc1CNC1=CC=CCN1</v>
      </c>
      <c r="C9382" s="7">
        <f>IFERROR(__xludf.DUMMYFUNCTION("""COMPUTED_VALUE"""),7.7696686)</f>
        <v>7.7696686</v>
      </c>
      <c r="D9382" s="7">
        <f>IFERROR(__xludf.DUMMYFUNCTION("""COMPUTED_VALUE"""),0.333333333333333)</f>
        <v>0.3333333333</v>
      </c>
    </row>
    <row r="9383">
      <c r="A9383" s="10" t="s">
        <v>10822</v>
      </c>
      <c r="B9383" s="7" t="str">
        <f>IFERROR(__xludf.DUMMYFUNCTION("SPLIT(A9383,"" "")"),"CN(c1ccc2nc(CF)ccc2c1)C1CCCCC1N(Cc1ccccn1)Cc1ccccn1")</f>
        <v>CN(c1ccc2nc(CF)ccc2c1)C1CCCCC1N(Cc1ccccn1)Cc1ccccn1</v>
      </c>
      <c r="C9383" s="7">
        <f>IFERROR(__xludf.DUMMYFUNCTION("""COMPUTED_VALUE"""),7.769666)</f>
        <v>7.769666</v>
      </c>
      <c r="D9383" s="7">
        <f>IFERROR(__xludf.DUMMYFUNCTION("""COMPUTED_VALUE"""),0.481481481481481)</f>
        <v>0.4814814815</v>
      </c>
    </row>
    <row r="9384">
      <c r="A9384" s="10" t="s">
        <v>10823</v>
      </c>
      <c r="B9384" s="7" t="str">
        <f>IFERROR(__xludf.DUMMYFUNCTION("SPLIT(A9384,"" "")"),"CNC1CC(N(Cc2nc(C)c(C)c(C)c2C)Cc2nc(C)c(C)c(C)c2C)CCC1N(Cc1cc(C)ccn1)Cc1nc(C)c(C)c(C)c1C")</f>
        <v>CNC1CC(N(Cc2nc(C)c(C)c(C)c2C)Cc2nc(C)c(C)c(C)c2C)CCC1N(Cc1cc(C)ccn1)Cc1nc(C)c(C)c(C)c1C</v>
      </c>
      <c r="C9384" s="7">
        <f>IFERROR(__xludf.DUMMYFUNCTION("""COMPUTED_VALUE"""),7.7696605)</f>
        <v>7.7696605</v>
      </c>
      <c r="D9384" s="7">
        <f>IFERROR(__xludf.DUMMYFUNCTION("""COMPUTED_VALUE"""),0.28125)</f>
        <v>0.28125</v>
      </c>
    </row>
    <row r="9385">
      <c r="A9385" s="10" t="s">
        <v>10824</v>
      </c>
      <c r="B9385" s="7" t="str">
        <f>IFERROR(__xludf.DUMMYFUNCTION("SPLIT(A9385,"" "")"),"CC1=C(C)CC(C)(c2ncccc2CN(Cc2ccccn2)Cc2ccccn2)C(C)C1")</f>
        <v>CC1=C(C)CC(C)(c2ncccc2CN(Cc2ccccn2)Cc2ccccn2)C(C)C1</v>
      </c>
      <c r="C9385" s="7">
        <f>IFERROR(__xludf.DUMMYFUNCTION("""COMPUTED_VALUE"""),7.769657)</f>
        <v>7.769657</v>
      </c>
      <c r="D9385" s="7">
        <f>IFERROR(__xludf.DUMMYFUNCTION("""COMPUTED_VALUE"""),0.454545454545454)</f>
        <v>0.4545454545</v>
      </c>
    </row>
    <row r="9386">
      <c r="A9386" s="10" t="s">
        <v>10825</v>
      </c>
      <c r="B9386" s="7" t="str">
        <f>IFERROR(__xludf.DUMMYFUNCTION("SPLIT(A9386,"" "")"),"Cc1cccc(CN(C)CC2=CC(N(C)Cc3ncccc3C)C=CN2)n1")</f>
        <v>Cc1cccc(CN(C)CC2=CC(N(C)Cc3ncccc3C)C=CN2)n1</v>
      </c>
      <c r="C9386" s="7">
        <f>IFERROR(__xludf.DUMMYFUNCTION("""COMPUTED_VALUE"""),7.7696567)</f>
        <v>7.7696567</v>
      </c>
      <c r="D9386" s="7">
        <f>IFERROR(__xludf.DUMMYFUNCTION("""COMPUTED_VALUE"""),0.407407407407407)</f>
        <v>0.4074074074</v>
      </c>
    </row>
    <row r="9387">
      <c r="A9387" s="10" t="s">
        <v>10826</v>
      </c>
      <c r="B9387" s="7" t="str">
        <f>IFERROR(__xludf.DUMMYFUNCTION("SPLIT(A9387,"" "")"),"Cc1ccc(CN(Cc2ccccn2)C2CCCC(N(C)Cc3ccccn3)C2N(Cc2ccccn2)Cc2cccc(-c3cc(Cl)ccc3N)n2)nc1")</f>
        <v>Cc1ccc(CN(Cc2ccccn2)C2CCCC(N(C)Cc3ccccn3)C2N(Cc2ccccn2)Cc2cccc(-c3cc(Cl)ccc3N)n2)nc1</v>
      </c>
      <c r="C9387" s="7">
        <f>IFERROR(__xludf.DUMMYFUNCTION("""COMPUTED_VALUE"""),7.769656)</f>
        <v>7.769656</v>
      </c>
      <c r="D9387" s="7">
        <f>IFERROR(__xludf.DUMMYFUNCTION("""COMPUTED_VALUE"""),0.432835820895522)</f>
        <v>0.4328358209</v>
      </c>
    </row>
    <row r="9388">
      <c r="A9388" s="10" t="s">
        <v>10827</v>
      </c>
      <c r="B9388" s="7" t="str">
        <f>IFERROR(__xludf.DUMMYFUNCTION("SPLIT(A9388,"" "")"),"CCN(Cc1ccccn1)C1CCC(N(C)c2cccc3c(CF)ccnc23)CC1")</f>
        <v>CCN(Cc1ccccn1)C1CCC(N(C)c2cccc3c(CF)ccnc23)CC1</v>
      </c>
      <c r="C9388" s="7">
        <f>IFERROR(__xludf.DUMMYFUNCTION("""COMPUTED_VALUE"""),7.7696447)</f>
        <v>7.7696447</v>
      </c>
      <c r="D9388" s="7">
        <f>IFERROR(__xludf.DUMMYFUNCTION("""COMPUTED_VALUE"""),0.366666666666666)</f>
        <v>0.3666666667</v>
      </c>
    </row>
    <row r="9389">
      <c r="A9389" s="10" t="s">
        <v>10828</v>
      </c>
      <c r="B9389" s="7" t="str">
        <f>IFERROR(__xludf.DUMMYFUNCTION("SPLIT(A9389,"" "")"),"CN(c1cccc2ncccc12)C1CCCCC1N(Cc1cccnc1)Cc1ccccn1")</f>
        <v>CN(c1cccc2ncccc12)C1CCCCC1N(Cc1cccnc1)Cc1ccccn1</v>
      </c>
      <c r="C9389" s="7">
        <f>IFERROR(__xludf.DUMMYFUNCTION("""COMPUTED_VALUE"""),7.7696385)</f>
        <v>7.7696385</v>
      </c>
      <c r="D9389" s="7">
        <f>IFERROR(__xludf.DUMMYFUNCTION("""COMPUTED_VALUE"""),0.448275862068965)</f>
        <v>0.4482758621</v>
      </c>
    </row>
    <row r="9390">
      <c r="A9390" s="10" t="s">
        <v>10829</v>
      </c>
      <c r="B9390" s="7" t="str">
        <f>IFERROR(__xludf.DUMMYFUNCTION("SPLIT(A9390,"" "")"),"Cc1ccc(CN(C)C2=C(CN(Cc3ccccn3)CC(C)(C)C)NC=CC2)nc1")</f>
        <v>Cc1ccc(CN(C)C2=C(CN(Cc3ccccn3)CC(C)(C)C)NC=CC2)nc1</v>
      </c>
      <c r="C9390" s="7">
        <f>IFERROR(__xludf.DUMMYFUNCTION("""COMPUTED_VALUE"""),7.7696333)</f>
        <v>7.7696333</v>
      </c>
      <c r="D9390" s="7">
        <f>IFERROR(__xludf.DUMMYFUNCTION("""COMPUTED_VALUE"""),0.456140350877192)</f>
        <v>0.4561403509</v>
      </c>
    </row>
    <row r="9391">
      <c r="A9391" s="10" t="s">
        <v>10830</v>
      </c>
      <c r="B9391" s="7" t="str">
        <f>IFERROR(__xludf.DUMMYFUNCTION("SPLIT(A9391,"" "")"),"Cc1cc(CN(Cc2ccccn2)CC(C)C)nc(C)c1C")</f>
        <v>Cc1cc(CN(Cc2ccccn2)CC(C)C)nc(C)c1C</v>
      </c>
      <c r="C9391" s="7">
        <f>IFERROR(__xludf.DUMMYFUNCTION("""COMPUTED_VALUE"""),7.7696285)</f>
        <v>7.7696285</v>
      </c>
      <c r="D9391" s="7">
        <f>IFERROR(__xludf.DUMMYFUNCTION("""COMPUTED_VALUE"""),0.475)</f>
        <v>0.475</v>
      </c>
    </row>
    <row r="9392">
      <c r="A9392" s="10" t="s">
        <v>10831</v>
      </c>
      <c r="B9392" s="7" t="str">
        <f>IFERROR(__xludf.DUMMYFUNCTION("SPLIT(A9392,"" "")"),"C=CCN(C)Cc1cccc(C(C)(C)c2ccccn2)n1")</f>
        <v>C=CCN(C)Cc1cccc(C(C)(C)c2ccccn2)n1</v>
      </c>
      <c r="C9392" s="7">
        <f>IFERROR(__xludf.DUMMYFUNCTION("""COMPUTED_VALUE"""),7.769624)</f>
        <v>7.769624</v>
      </c>
      <c r="D9392" s="7">
        <f>IFERROR(__xludf.DUMMYFUNCTION("""COMPUTED_VALUE"""),0.448979591836734)</f>
        <v>0.4489795918</v>
      </c>
    </row>
    <row r="9393">
      <c r="A9393" s="10" t="s">
        <v>10832</v>
      </c>
      <c r="B9393" s="7" t="str">
        <f>IFERROR(__xludf.DUMMYFUNCTION("SPLIT(A9393,"" "")"),"Cc1cccnc1CN(C)C1=C(CN(C)C2C=CC=CN2)NC=CC1")</f>
        <v>Cc1cccnc1CN(C)C1=C(CN(C)C2C=CC=CN2)NC=CC1</v>
      </c>
      <c r="C9393" s="7">
        <f>IFERROR(__xludf.DUMMYFUNCTION("""COMPUTED_VALUE"""),7.769621)</f>
        <v>7.769621</v>
      </c>
      <c r="D9393" s="7">
        <f>IFERROR(__xludf.DUMMYFUNCTION("""COMPUTED_VALUE"""),0.307692307692307)</f>
        <v>0.3076923077</v>
      </c>
    </row>
    <row r="9394">
      <c r="A9394" s="10" t="s">
        <v>10833</v>
      </c>
      <c r="B9394" s="7" t="str">
        <f>IFERROR(__xludf.DUMMYFUNCTION("SPLIT(A9394,"" "")"),"Cc1ccnc2cccc(N(C)CCN(C)C(C)C(C)C(C)N)c12")</f>
        <v>Cc1ccnc2cccc(N(C)CCN(C)C(C)C(C)C(C)N)c12</v>
      </c>
      <c r="C9394" s="7">
        <f>IFERROR(__xludf.DUMMYFUNCTION("""COMPUTED_VALUE"""),7.7696166)</f>
        <v>7.7696166</v>
      </c>
      <c r="D9394" s="7">
        <f>IFERROR(__xludf.DUMMYFUNCTION("""COMPUTED_VALUE"""),0.346153846153846)</f>
        <v>0.3461538462</v>
      </c>
    </row>
    <row r="9395">
      <c r="A9395" s="10" t="s">
        <v>10834</v>
      </c>
      <c r="B9395" s="7" t="str">
        <f>IFERROR(__xludf.DUMMYFUNCTION("SPLIT(A9395,"" "")"),"CN(Cc1cnccc1-c1ccccc1N=Cc1ccccn1)Cc1ncccc1-c1ccc2c(c1)OCCOCCOCCOCCOCCO2")</f>
        <v>CN(Cc1cnccc1-c1ccccc1N=Cc1ccccn1)Cc1ncccc1-c1ccc2c(c1)OCCOCCOCCOCCOCCO2</v>
      </c>
      <c r="C9395" s="7">
        <f>IFERROR(__xludf.DUMMYFUNCTION("""COMPUTED_VALUE"""),7.769612)</f>
        <v>7.769612</v>
      </c>
      <c r="D9395" s="7">
        <f>IFERROR(__xludf.DUMMYFUNCTION("""COMPUTED_VALUE"""),0.306666666666666)</f>
        <v>0.3066666667</v>
      </c>
    </row>
    <row r="9396">
      <c r="A9396" s="10" t="s">
        <v>10835</v>
      </c>
      <c r="B9396" s="7" t="str">
        <f>IFERROR(__xludf.DUMMYFUNCTION("SPLIT(A9396,"" "")"),"Cc1cccnc1CN(C)CN(C)Cc1ncc(C)c(C)c1C")</f>
        <v>Cc1cccnc1CN(C)CN(C)Cc1ncc(C)c(C)c1C</v>
      </c>
      <c r="C9396" s="7">
        <f>IFERROR(__xludf.DUMMYFUNCTION("""COMPUTED_VALUE"""),7.7696114)</f>
        <v>7.7696114</v>
      </c>
      <c r="D9396" s="7">
        <f>IFERROR(__xludf.DUMMYFUNCTION("""COMPUTED_VALUE"""),0.3125)</f>
        <v>0.3125</v>
      </c>
    </row>
    <row r="9397">
      <c r="A9397" s="10" t="s">
        <v>10836</v>
      </c>
      <c r="B9397" s="7" t="str">
        <f>IFERROR(__xludf.DUMMYFUNCTION("SPLIT(A9397,"" "")"),"CC(C)CN(CC1=CCC(N(C)Cc2ccccn2)=CN1)Cc1ccccn1")</f>
        <v>CC(C)CN(CC1=CCC(N(C)Cc2ccccn2)=CN1)Cc1ccccn1</v>
      </c>
      <c r="C9397" s="7">
        <f>IFERROR(__xludf.DUMMYFUNCTION("""COMPUTED_VALUE"""),7.769602)</f>
        <v>7.769602</v>
      </c>
      <c r="D9397" s="7">
        <f>IFERROR(__xludf.DUMMYFUNCTION("""COMPUTED_VALUE"""),0.5)</f>
        <v>0.5</v>
      </c>
    </row>
    <row r="9398">
      <c r="A9398" s="10" t="s">
        <v>10837</v>
      </c>
      <c r="B9398" s="7" t="str">
        <f>IFERROR(__xludf.DUMMYFUNCTION("SPLIT(A9398,"" "")"),"CN(c1cccc2cc(CF)cnc12)C1CCCCC1N(Cc1ccccn1)Cc1cccnc1CF")</f>
        <v>CN(c1cccc2cc(CF)cnc12)C1CCCCC1N(Cc1ccccn1)Cc1cccnc1CF</v>
      </c>
      <c r="C9398" s="7">
        <f>IFERROR(__xludf.DUMMYFUNCTION("""COMPUTED_VALUE"""),7.7696)</f>
        <v>7.7696</v>
      </c>
      <c r="D9398" s="7">
        <f>IFERROR(__xludf.DUMMYFUNCTION("""COMPUTED_VALUE"""),0.46875)</f>
        <v>0.46875</v>
      </c>
    </row>
    <row r="9399">
      <c r="A9399" s="10" t="s">
        <v>10838</v>
      </c>
      <c r="B9399" s="7" t="str">
        <f>IFERROR(__xludf.DUMMYFUNCTION("SPLIT(A9399,"" "")"),"CCCN(C)CC1=CCC=C(N(C)Cc2cccc(C)n2)N1")</f>
        <v>CCCN(C)CC1=CCC=C(N(C)Cc2cccc(C)n2)N1</v>
      </c>
      <c r="C9399" s="7">
        <f>IFERROR(__xludf.DUMMYFUNCTION("""COMPUTED_VALUE"""),7.7695966)</f>
        <v>7.7695966</v>
      </c>
      <c r="D9399" s="7">
        <f>IFERROR(__xludf.DUMMYFUNCTION("""COMPUTED_VALUE"""),0.5)</f>
        <v>0.5</v>
      </c>
    </row>
    <row r="9400">
      <c r="A9400" s="10" t="s">
        <v>10839</v>
      </c>
      <c r="B9400" s="7" t="str">
        <f>IFERROR(__xludf.DUMMYFUNCTION("SPLIT(A9400,"" "")"),"Cc1cc2c(c(-c3cccc(CN(Cc4ccccn4)Cc4cccc(-c5cccc(N=Cc6ccccn6)c5)n4)n3)c1)OCCOCCOCCOCCOCCO2")</f>
        <v>Cc1cc2c(c(-c3cccc(CN(Cc4ccccn4)Cc4cccc(-c5cccc(N=Cc6ccccn6)c5)n4)n3)c1)OCCOCCOCCOCCOCCO2</v>
      </c>
      <c r="C9400" s="7">
        <f>IFERROR(__xludf.DUMMYFUNCTION("""COMPUTED_VALUE"""),7.769596)</f>
        <v>7.769596</v>
      </c>
      <c r="D9400" s="7">
        <f>IFERROR(__xludf.DUMMYFUNCTION("""COMPUTED_VALUE"""),0.421052631578947)</f>
        <v>0.4210526316</v>
      </c>
    </row>
    <row r="9401">
      <c r="A9401" s="10" t="s">
        <v>10840</v>
      </c>
      <c r="B9401" s="7" t="str">
        <f>IFERROR(__xludf.DUMMYFUNCTION("SPLIT(A9401,"" "")"),"Cc1cc(NCc2ccccn2)ccc1CN(C)CN(C)Cc1ccccn1")</f>
        <v>Cc1cc(NCc2ccccn2)ccc1CN(C)CN(C)Cc1ccccn1</v>
      </c>
      <c r="C9401" s="7">
        <f>IFERROR(__xludf.DUMMYFUNCTION("""COMPUTED_VALUE"""),7.7695923)</f>
        <v>7.7695923</v>
      </c>
      <c r="D9401" s="7">
        <f>IFERROR(__xludf.DUMMYFUNCTION("""COMPUTED_VALUE"""),0.403846153846153)</f>
        <v>0.4038461538</v>
      </c>
    </row>
    <row r="9402">
      <c r="A9402" s="10" t="s">
        <v>10841</v>
      </c>
      <c r="B9402" s="7" t="str">
        <f>IFERROR(__xludf.DUMMYFUNCTION("SPLIT(A9402,"" "")"),"Cc1cccnc1CN(c1ccc2ncccc2c1)C1CCCCC1N(CF)Cc1ccccn1")</f>
        <v>Cc1cccnc1CN(c1ccc2ncccc2c1)C1CCCCC1N(CF)Cc1ccccn1</v>
      </c>
      <c r="C9402" s="7">
        <f>IFERROR(__xludf.DUMMYFUNCTION("""COMPUTED_VALUE"""),7.7695894)</f>
        <v>7.7695894</v>
      </c>
      <c r="D9402" s="7">
        <f>IFERROR(__xludf.DUMMYFUNCTION("""COMPUTED_VALUE"""),0.40983606557377)</f>
        <v>0.4098360656</v>
      </c>
    </row>
    <row r="9403">
      <c r="A9403" s="10" t="s">
        <v>10842</v>
      </c>
      <c r="B9403" s="7" t="str">
        <f>IFERROR(__xludf.DUMMYFUNCTION("SPLIT(A9403,"" "")"),"Cc1cnc(C)c(CN(CCN(C)Cc2nc(C)cc(C)c2C)Cc2ccccn2)c1")</f>
        <v>Cc1cnc(C)c(CN(CCN(C)Cc2nc(C)cc(C)c2C)Cc2ccccn2)c1</v>
      </c>
      <c r="C9403" s="7">
        <f>IFERROR(__xludf.DUMMYFUNCTION("""COMPUTED_VALUE"""),7.769586)</f>
        <v>7.769586</v>
      </c>
      <c r="D9403" s="7">
        <f>IFERROR(__xludf.DUMMYFUNCTION("""COMPUTED_VALUE"""),0.4375)</f>
        <v>0.4375</v>
      </c>
    </row>
    <row r="9404">
      <c r="A9404" s="10" t="s">
        <v>10843</v>
      </c>
      <c r="B9404" s="7" t="str">
        <f>IFERROR(__xludf.DUMMYFUNCTION("SPLIT(A9404,"" "")"),"Cc1cnc(CN(Cc2nc(C)c(C)c(C)c2C)C2CCCC(N(C)c3cnc(CN(C)C(C)C)c(C)c3C)C2)c(C)c1C")</f>
        <v>Cc1cnc(CN(Cc2nc(C)c(C)c(C)c2C)C2CCCC(N(C)c3cnc(CN(C)C(C)C)c(C)c3C)C2)c(C)c1C</v>
      </c>
      <c r="C9404" s="7">
        <f>IFERROR(__xludf.DUMMYFUNCTION("""COMPUTED_VALUE"""),7.769583)</f>
        <v>7.769583</v>
      </c>
      <c r="D9404" s="7">
        <f>IFERROR(__xludf.DUMMYFUNCTION("""COMPUTED_VALUE"""),0.235294117647058)</f>
        <v>0.2352941176</v>
      </c>
    </row>
    <row r="9405">
      <c r="A9405" s="10" t="s">
        <v>10844</v>
      </c>
      <c r="B9405" s="7" t="str">
        <f>IFERROR(__xludf.DUMMYFUNCTION("SPLIT(A9405,"" "")"),"Cc1ccc(C)c(CN(C)C2=CNC=C(CN(C)C(C)C)C2)n1")</f>
        <v>Cc1ccc(C)c(CN(C)C2=CNC=C(CN(C)C(C)C)C2)n1</v>
      </c>
      <c r="C9405" s="7">
        <f>IFERROR(__xludf.DUMMYFUNCTION("""COMPUTED_VALUE"""),7.7695813)</f>
        <v>7.7695813</v>
      </c>
      <c r="D9405" s="7">
        <f>IFERROR(__xludf.DUMMYFUNCTION("""COMPUTED_VALUE"""),0.254237288135593)</f>
        <v>0.2542372881</v>
      </c>
    </row>
    <row r="9406">
      <c r="A9406" s="10" t="s">
        <v>10845</v>
      </c>
      <c r="B9406" s="7" t="str">
        <f>IFERROR(__xludf.DUMMYFUNCTION("SPLIT(A9406,"" "")"),"CCNC1C=C(N(C)Cc2ccc(C)cn2)C=CN1")</f>
        <v>CCNC1C=C(N(C)Cc2ccc(C)cn2)C=CN1</v>
      </c>
      <c r="C9406" s="7">
        <f>IFERROR(__xludf.DUMMYFUNCTION("""COMPUTED_VALUE"""),7.7695775)</f>
        <v>7.7695775</v>
      </c>
      <c r="D9406" s="7">
        <f>IFERROR(__xludf.DUMMYFUNCTION("""COMPUTED_VALUE"""),0.425531914893617)</f>
        <v>0.4255319149</v>
      </c>
    </row>
    <row r="9407">
      <c r="A9407" s="10" t="s">
        <v>10846</v>
      </c>
      <c r="B9407" s="7" t="str">
        <f>IFERROR(__xludf.DUMMYFUNCTION("SPLIT(A9407,"" "")"),"Cc1nc(CN(C)C2C=CNC(CN(Cc3ccccn3)C(C)C)=C2)c(C)c(C)c1C")</f>
        <v>Cc1nc(CN(C)C2C=CNC(CN(Cc3ccccn3)C(C)C)=C2)c(C)c(C)c1C</v>
      </c>
      <c r="C9407" s="7">
        <f>IFERROR(__xludf.DUMMYFUNCTION("""COMPUTED_VALUE"""),7.769575)</f>
        <v>7.769575</v>
      </c>
      <c r="D9407" s="7">
        <f>IFERROR(__xludf.DUMMYFUNCTION("""COMPUTED_VALUE"""),0.421052631578947)</f>
        <v>0.4210526316</v>
      </c>
    </row>
    <row r="9408">
      <c r="A9408" s="10" t="s">
        <v>10847</v>
      </c>
      <c r="B9408" s="7" t="str">
        <f>IFERROR(__xludf.DUMMYFUNCTION("SPLIT(A9408,"" "")"),"Cc1cccnc1CN(C)CCN(Cc1ncccc1C)Cc1ncc(C)c(C)c1C")</f>
        <v>Cc1cccnc1CN(C)CCN(Cc1ncccc1C)Cc1ncc(C)c(C)c1C</v>
      </c>
      <c r="C9408" s="7">
        <f>IFERROR(__xludf.DUMMYFUNCTION("""COMPUTED_VALUE"""),7.769571)</f>
        <v>7.769571</v>
      </c>
      <c r="D9408" s="7">
        <f>IFERROR(__xludf.DUMMYFUNCTION("""COMPUTED_VALUE"""),0.382978723404255)</f>
        <v>0.3829787234</v>
      </c>
    </row>
    <row r="9409">
      <c r="A9409" s="10" t="s">
        <v>10848</v>
      </c>
      <c r="B9409" s="7" t="str">
        <f>IFERROR(__xludf.DUMMYFUNCTION("SPLIT(A9409,"" "")"),"CN(Cc1ccccn1)C1CCC(N(C)c2ccc3cc(CF)cnc3c2)CC1")</f>
        <v>CN(Cc1ccccn1)C1CCC(N(C)c2ccc3cc(CF)cnc3c2)CC1</v>
      </c>
      <c r="C9409" s="7">
        <f>IFERROR(__xludf.DUMMYFUNCTION("""COMPUTED_VALUE"""),7.7695656)</f>
        <v>7.7695656</v>
      </c>
      <c r="D9409" s="7">
        <f>IFERROR(__xludf.DUMMYFUNCTION("""COMPUTED_VALUE"""),0.428571428571428)</f>
        <v>0.4285714286</v>
      </c>
    </row>
    <row r="9410">
      <c r="A9410" s="10" t="s">
        <v>10849</v>
      </c>
      <c r="B9410" s="7" t="str">
        <f>IFERROR(__xludf.DUMMYFUNCTION("SPLIT(A9410,"" "")"),"Cc1cccc(CN(Cc2cc(C(C)(C)C)ccn2)C(C)C)n1")</f>
        <v>Cc1cccc(CN(Cc2cc(C(C)(C)C)ccn2)C(C)C)n1</v>
      </c>
      <c r="C9410" s="7">
        <f>IFERROR(__xludf.DUMMYFUNCTION("""COMPUTED_VALUE"""),7.769559)</f>
        <v>7.769559</v>
      </c>
      <c r="D9410" s="7">
        <f>IFERROR(__xludf.DUMMYFUNCTION("""COMPUTED_VALUE"""),0.425531914893617)</f>
        <v>0.4255319149</v>
      </c>
    </row>
    <row r="9411">
      <c r="A9411" s="10" t="s">
        <v>10850</v>
      </c>
      <c r="B9411" s="7" t="str">
        <f>IFERROR(__xludf.DUMMYFUNCTION("SPLIT(A9411,"" "")"),"CC1=CCC2(C(c3ccc(CN(Cc4ccccn4)Cc4ccc(-c5cccc(N=Cc6ccccn6)c5)cn4)cn3)C=CC(C)C2c2ccc(CN(Cc3ccccn3)Cc3ccc(-c4ccc5c(c4)OCCOCCOCCOCCOCCO5)cn3)cn2)C(C)C1C")</f>
        <v>CC1=CCC2(C(c3ccc(CN(Cc4ccccn4)Cc4ccc(-c5cccc(N=Cc6ccccn6)c5)cn4)cn3)C=CC(C)C2c2ccc(CN(Cc3ccccn3)Cc3ccc(-c4ccc5c(c4)OCCOCCOCCOCCOCCO5)cn3)cn2)C(C)C1C</v>
      </c>
      <c r="C9411" s="7">
        <f>IFERROR(__xludf.DUMMYFUNCTION("""COMPUTED_VALUE"""),7.769559)</f>
        <v>7.769559</v>
      </c>
      <c r="D9411" s="7">
        <f>IFERROR(__xludf.DUMMYFUNCTION("""COMPUTED_VALUE"""),0.287037037037037)</f>
        <v>0.287037037</v>
      </c>
    </row>
    <row r="9412">
      <c r="A9412" s="10" t="s">
        <v>10851</v>
      </c>
      <c r="B9412" s="7" t="str">
        <f>IFERROR(__xludf.DUMMYFUNCTION("SPLIT(A9412,"" "")"),"Cc1cc(C)c(CN(C)C2C(N(C)Cc3cc(C)c(C)c(C)n3)CCCC2N(Cc2nc(C)c(C)c(C)c2C)Cc2nc(C)c(C)c(C)c2C)cn1")</f>
        <v>Cc1cc(C)c(CN(C)C2C(N(C)Cc3cc(C)c(C)c(C)n3)CCCC2N(Cc2nc(C)c(C)c(C)c2C)Cc2nc(C)c(C)c(C)c2C)cn1</v>
      </c>
      <c r="C9412" s="7">
        <f>IFERROR(__xludf.DUMMYFUNCTION("""COMPUTED_VALUE"""),7.7695518)</f>
        <v>7.7695518</v>
      </c>
      <c r="D9412" s="7">
        <f>IFERROR(__xludf.DUMMYFUNCTION("""COMPUTED_VALUE"""),0.318181818181818)</f>
        <v>0.3181818182</v>
      </c>
    </row>
    <row r="9413">
      <c r="A9413" s="10" t="s">
        <v>10852</v>
      </c>
      <c r="B9413" s="7" t="str">
        <f>IFERROR(__xludf.DUMMYFUNCTION("SPLIT(A9413,"" "")"),"Cc1cc(CN(C)C2C=CNC(C(C)C)=C2)nc(C)c1C")</f>
        <v>Cc1cc(CN(C)C2C=CNC(C(C)C)=C2)nc(C)c1C</v>
      </c>
      <c r="C9413" s="7">
        <f>IFERROR(__xludf.DUMMYFUNCTION("""COMPUTED_VALUE"""),7.7695494)</f>
        <v>7.7695494</v>
      </c>
      <c r="D9413" s="7">
        <f>IFERROR(__xludf.DUMMYFUNCTION("""COMPUTED_VALUE"""),0.25)</f>
        <v>0.25</v>
      </c>
    </row>
    <row r="9414">
      <c r="A9414" s="10" t="s">
        <v>10853</v>
      </c>
      <c r="B9414" s="7" t="str">
        <f>IFERROR(__xludf.DUMMYFUNCTION("SPLIT(A9414,"" "")"),"CC1=CCC(C)(C)C(C)(c2cc(CN(Cc3ccccn3)C3CCC(N(C)c4ccc5nccc(CF)c5c4)CC3)ccn2)C1C")</f>
        <v>CC1=CCC(C)(C)C(C)(c2cc(CN(Cc3ccccn3)C3CCC(N(C)c4ccc5nccc(CF)c5c4)CC3)ccn2)C1C</v>
      </c>
      <c r="C9414" s="7">
        <f>IFERROR(__xludf.DUMMYFUNCTION("""COMPUTED_VALUE"""),7.769543)</f>
        <v>7.769543</v>
      </c>
      <c r="D9414" s="7">
        <f>IFERROR(__xludf.DUMMYFUNCTION("""COMPUTED_VALUE"""),0.268292682926829)</f>
        <v>0.2682926829</v>
      </c>
    </row>
    <row r="9415">
      <c r="A9415" s="10" t="s">
        <v>10854</v>
      </c>
      <c r="B9415" s="7" t="str">
        <f>IFERROR(__xludf.DUMMYFUNCTION("SPLIT(A9415,"" "")"),"CN(c1ccc2ncccc2c1)C1CCCCC1N(Cc1ccncc1)Cc1ccccn1")</f>
        <v>CN(c1ccc2ncccc2c1)C1CCCCC1N(Cc1ccncc1)Cc1ccccn1</v>
      </c>
      <c r="C9415" s="7">
        <f>IFERROR(__xludf.DUMMYFUNCTION("""COMPUTED_VALUE"""),7.7695394)</f>
        <v>7.7695394</v>
      </c>
      <c r="D9415" s="7">
        <f>IFERROR(__xludf.DUMMYFUNCTION("""COMPUTED_VALUE"""),0.464285714285714)</f>
        <v>0.4642857143</v>
      </c>
    </row>
    <row r="9416">
      <c r="A9416" s="10" t="s">
        <v>10855</v>
      </c>
      <c r="B9416" s="7" t="str">
        <f>IFERROR(__xludf.DUMMYFUNCTION("SPLIT(A9416,"" "")"),"CN(Cc1cc(-c2ccc3c(c2)OCCOCCOCCOCCOCCO3)ccn1)Cc1ncccc1-c1cccc(N=Cc2ccccn2)c1")</f>
        <v>CN(Cc1cc(-c2ccc3c(c2)OCCOCCOCCOCCOCCO3)ccn1)Cc1ncccc1-c1cccc(N=Cc2ccccn2)c1</v>
      </c>
      <c r="C9416" s="7">
        <f>IFERROR(__xludf.DUMMYFUNCTION("""COMPUTED_VALUE"""),7.769538)</f>
        <v>7.769538</v>
      </c>
      <c r="D9416" s="7">
        <f>IFERROR(__xludf.DUMMYFUNCTION("""COMPUTED_VALUE"""),0.290697674418604)</f>
        <v>0.2906976744</v>
      </c>
    </row>
    <row r="9417">
      <c r="A9417" s="10" t="s">
        <v>10856</v>
      </c>
      <c r="B9417" s="7" t="str">
        <f>IFERROR(__xludf.DUMMYFUNCTION("SPLIT(A9417,"" "")"),"CN(Cc1cccc(-c2ccc3c(c2)OCCOCCOCCOCCOCCO3)n1)Cc1ncccc1-c1ccc(N=Cc2ccccn2)cc1")</f>
        <v>CN(Cc1cccc(-c2ccc3c(c2)OCCOCCOCCOCCOCCO3)n1)Cc1ncccc1-c1ccc(N=Cc2ccccn2)cc1</v>
      </c>
      <c r="C9417" s="7">
        <f>IFERROR(__xludf.DUMMYFUNCTION("""COMPUTED_VALUE"""),7.7695365)</f>
        <v>7.7695365</v>
      </c>
      <c r="D9417" s="7">
        <f>IFERROR(__xludf.DUMMYFUNCTION("""COMPUTED_VALUE"""),0.361111111111111)</f>
        <v>0.3611111111</v>
      </c>
    </row>
    <row r="9418">
      <c r="A9418" s="10" t="s">
        <v>10857</v>
      </c>
      <c r="B9418" s="7" t="str">
        <f>IFERROR(__xludf.DUMMYFUNCTION("SPLIT(A9418,"" "")"),"CN(Cc1cc(-c2ccc3c(c2)OCCOCCOCCOCCOCCO3)ccn1)c1ccc2ncccc2c1")</f>
        <v>CN(Cc1cc(-c2ccc3c(c2)OCCOCCOCCOCCOCCO3)ccn1)c1ccc2ncccc2c1</v>
      </c>
      <c r="C9418" s="7">
        <f>IFERROR(__xludf.DUMMYFUNCTION("""COMPUTED_VALUE"""),7.769536)</f>
        <v>7.769536</v>
      </c>
      <c r="D9418" s="7">
        <f>IFERROR(__xludf.DUMMYFUNCTION("""COMPUTED_VALUE"""),0.357142857142857)</f>
        <v>0.3571428571</v>
      </c>
    </row>
    <row r="9419">
      <c r="A9419" s="10" t="s">
        <v>10858</v>
      </c>
      <c r="B9419" s="7" t="str">
        <f>IFERROR(__xludf.DUMMYFUNCTION("SPLIT(A9419,"" "")"),"CNCc1cccc(CN(Cc2ccccn2)Cc2ncccc2C(C)(C)C)n1")</f>
        <v>CNCc1cccc(CN(Cc2ccccn2)Cc2ncccc2C(C)(C)C)n1</v>
      </c>
      <c r="C9419" s="7">
        <f>IFERROR(__xludf.DUMMYFUNCTION("""COMPUTED_VALUE"""),7.7695346)</f>
        <v>7.7695346</v>
      </c>
      <c r="D9419" s="7">
        <f>IFERROR(__xludf.DUMMYFUNCTION("""COMPUTED_VALUE"""),0.454545454545454)</f>
        <v>0.4545454545</v>
      </c>
    </row>
    <row r="9420">
      <c r="A9420" s="10" t="s">
        <v>10859</v>
      </c>
      <c r="B9420" s="7" t="str">
        <f>IFERROR(__xludf.DUMMYFUNCTION("SPLIT(A9420,"" "")"),"CCN(Cc1ccccn1)c1cc2ccccc2c(-c2cccc(N(C)C3CCC(N(C)Cc4ccccn4)CC3)c2C)c1-c1ccc2c(c1)OCCOCCOCCOCCOCCO2")</f>
        <v>CCN(Cc1ccccn1)c1cc2ccccc2c(-c2cccc(N(C)C3CCC(N(C)Cc4ccccn4)CC3)c2C)c1-c1ccc2c(c1)OCCOCCOCCOCCOCCO2</v>
      </c>
      <c r="C9420" s="7">
        <f>IFERROR(__xludf.DUMMYFUNCTION("""COMPUTED_VALUE"""),7.769532)</f>
        <v>7.769532</v>
      </c>
      <c r="D9420" s="7">
        <f>IFERROR(__xludf.DUMMYFUNCTION("""COMPUTED_VALUE"""),0.3)</f>
        <v>0.3</v>
      </c>
    </row>
    <row r="9421">
      <c r="A9421" s="10" t="s">
        <v>10860</v>
      </c>
      <c r="B9421" s="7" t="str">
        <f>IFERROR(__xludf.DUMMYFUNCTION("SPLIT(A9421,"" "")"),"Cc1cnc(CN(C)C2C=CNC(CN(Cc3ccccn3)C3(C)C=CC=CN3)=C2)c(C)c1C")</f>
        <v>Cc1cnc(CN(C)C2C=CNC(CN(Cc3ccccn3)C3(C)C=CC=CN3)=C2)c(C)c1C</v>
      </c>
      <c r="C9421" s="7">
        <f>IFERROR(__xludf.DUMMYFUNCTION("""COMPUTED_VALUE"""),7.769526)</f>
        <v>7.769526</v>
      </c>
      <c r="D9421" s="7">
        <f>IFERROR(__xludf.DUMMYFUNCTION("""COMPUTED_VALUE"""),0.31081081081081)</f>
        <v>0.3108108108</v>
      </c>
    </row>
    <row r="9422">
      <c r="A9422" s="10" t="s">
        <v>10861</v>
      </c>
      <c r="B9422" s="7" t="str">
        <f>IFERROR(__xludf.DUMMYFUNCTION("SPLIT(A9422,"" "")"),"CNCCN(Cc1ncc(C)cc1C)Cc1nc(C)c(C)c(C)c1C")</f>
        <v>CNCCN(Cc1ncc(C)cc1C)Cc1nc(C)c(C)c(C)c1C</v>
      </c>
      <c r="C9422" s="7">
        <f>IFERROR(__xludf.DUMMYFUNCTION("""COMPUTED_VALUE"""),7.769525)</f>
        <v>7.769525</v>
      </c>
      <c r="D9422" s="7">
        <f>IFERROR(__xludf.DUMMYFUNCTION("""COMPUTED_VALUE"""),0.25)</f>
        <v>0.25</v>
      </c>
    </row>
    <row r="9423">
      <c r="A9423" s="10" t="s">
        <v>10862</v>
      </c>
      <c r="B9423" s="7" t="str">
        <f>IFERROR(__xludf.DUMMYFUNCTION("SPLIT(A9423,"" "")"),"CC(C)N(Cc1ccccn1)C1CCCC(N(C)c2ccc3ncc(CF)cc3c2)C1")</f>
        <v>CC(C)N(Cc1ccccn1)C1CCCC(N(C)c2ccc3ncc(CF)cc3c2)C1</v>
      </c>
      <c r="C9423" s="7">
        <f>IFERROR(__xludf.DUMMYFUNCTION("""COMPUTED_VALUE"""),7.7695227)</f>
        <v>7.7695227</v>
      </c>
      <c r="D9423" s="7">
        <f>IFERROR(__xludf.DUMMYFUNCTION("""COMPUTED_VALUE"""),0.359375)</f>
        <v>0.359375</v>
      </c>
    </row>
    <row r="9424">
      <c r="A9424" s="10" t="s">
        <v>10863</v>
      </c>
      <c r="B9424" s="7" t="str">
        <f>IFERROR(__xludf.DUMMYFUNCTION("SPLIT(A9424,"" "")"),"CN(Cc1cccc(F)n1)C1CCCCC1N(C)c1ccc2cccnc2c1")</f>
        <v>CN(Cc1cccc(F)n1)C1CCCCC1N(C)c1ccc2cccnc2c1</v>
      </c>
      <c r="C9424" s="7">
        <f>IFERROR(__xludf.DUMMYFUNCTION("""COMPUTED_VALUE"""),7.769522)</f>
        <v>7.769522</v>
      </c>
      <c r="D9424" s="7">
        <f>IFERROR(__xludf.DUMMYFUNCTION("""COMPUTED_VALUE"""),0.481481481481481)</f>
        <v>0.4814814815</v>
      </c>
    </row>
    <row r="9425">
      <c r="A9425" s="10" t="s">
        <v>10864</v>
      </c>
      <c r="B9425" s="7" t="str">
        <f>IFERROR(__xludf.DUMMYFUNCTION("SPLIT(A9425,"" "")"),"FCc1ccc2cccc(N(Cc3ccccn3)Cc3ncccc3-c3ccc4c(c3)OCCOCCOCCOCCOCCO4)c2n1")</f>
        <v>FCc1ccc2cccc(N(Cc3ccccn3)Cc3ncccc3-c3ccc4c(c3)OCCOCCOCCOCCOCCO4)c2n1</v>
      </c>
      <c r="C9425" s="7">
        <f>IFERROR(__xludf.DUMMYFUNCTION("""COMPUTED_VALUE"""),7.76952)</f>
        <v>7.76952</v>
      </c>
      <c r="D9425" s="7">
        <f>IFERROR(__xludf.DUMMYFUNCTION("""COMPUTED_VALUE"""),0.333333333333333)</f>
        <v>0.3333333333</v>
      </c>
    </row>
    <row r="9426">
      <c r="A9426" s="10" t="s">
        <v>10865</v>
      </c>
      <c r="B9426" s="7" t="str">
        <f>IFERROR(__xludf.DUMMYFUNCTION("SPLIT(A9426,"" "")"),"CN(Cc1ccccn1)C1CCC(N(C)c2ccc3ccc(CF)nc3c2)CC1")</f>
        <v>CN(Cc1ccccn1)C1CCC(N(C)c2ccc3ccc(CF)nc3c2)CC1</v>
      </c>
      <c r="C9426" s="7">
        <f>IFERROR(__xludf.DUMMYFUNCTION("""COMPUTED_VALUE"""),7.7695193)</f>
        <v>7.7695193</v>
      </c>
      <c r="D9426" s="7">
        <f>IFERROR(__xludf.DUMMYFUNCTION("""COMPUTED_VALUE"""),0.452830188679245)</f>
        <v>0.4528301887</v>
      </c>
    </row>
    <row r="9427">
      <c r="A9427" s="10" t="s">
        <v>10866</v>
      </c>
      <c r="B9427" s="7" t="str">
        <f>IFERROR(__xludf.DUMMYFUNCTION("SPLIT(A9427,"" "")"),"Cc1cccnc1CN(Cc1ccccn1)C1CCC(N(C)c2ccc3nc(CN(C)C(C)C)ccc3c2)CC1")</f>
        <v>Cc1cccnc1CN(Cc1ccccn1)C1CCC(N(C)c2ccc3nc(CN(C)C(C)C)ccc3c2)CC1</v>
      </c>
      <c r="C9427" s="7">
        <f>IFERROR(__xludf.DUMMYFUNCTION("""COMPUTED_VALUE"""),7.7695136)</f>
        <v>7.7695136</v>
      </c>
      <c r="D9427" s="7">
        <f>IFERROR(__xludf.DUMMYFUNCTION("""COMPUTED_VALUE"""),0.363636363636363)</f>
        <v>0.3636363636</v>
      </c>
    </row>
    <row r="9428">
      <c r="A9428" s="10" t="s">
        <v>10867</v>
      </c>
      <c r="B9428" s="7" t="str">
        <f>IFERROR(__xludf.DUMMYFUNCTION("SPLIT(A9428,"" "")"),"Cc1cccc(N(C)Cc2cccc(-c3ccc4c(c3)OCCOCCOCCOCCOCCO4)n2)c1-c1ccc(C(C)C)cn1")</f>
        <v>Cc1cccc(N(C)Cc2cccc(-c3ccc4c(c3)OCCOCCOCCOCCOCCO4)n2)c1-c1ccc(C(C)C)cn1</v>
      </c>
      <c r="C9428" s="7">
        <f>IFERROR(__xludf.DUMMYFUNCTION("""COMPUTED_VALUE"""),7.769513)</f>
        <v>7.769513</v>
      </c>
      <c r="D9428" s="7">
        <f>IFERROR(__xludf.DUMMYFUNCTION("""COMPUTED_VALUE"""),0.3125)</f>
        <v>0.3125</v>
      </c>
    </row>
    <row r="9429">
      <c r="A9429" s="10" t="s">
        <v>10868</v>
      </c>
      <c r="B9429" s="7" t="str">
        <f>IFERROR(__xludf.DUMMYFUNCTION("SPLIT(A9429,"" "")"),"Cc1nccc(CN(C)CC2=CC(N(C)Cc3ccccn3)C=CN2)c1C")</f>
        <v>Cc1nccc(CN(C)CC2=CC(N(C)Cc3ccccn3)C=CN2)c1C</v>
      </c>
      <c r="C9429" s="7">
        <f>IFERROR(__xludf.DUMMYFUNCTION("""COMPUTED_VALUE"""),7.769512)</f>
        <v>7.769512</v>
      </c>
      <c r="D9429" s="7">
        <f>IFERROR(__xludf.DUMMYFUNCTION("""COMPUTED_VALUE"""),0.385964912280701)</f>
        <v>0.3859649123</v>
      </c>
    </row>
    <row r="9430">
      <c r="A9430" s="10" t="s">
        <v>10869</v>
      </c>
      <c r="B9430" s="7" t="str">
        <f>IFERROR(__xludf.DUMMYFUNCTION("SPLIT(A9430,"" "")"),"Cc1cncc(CN(C)CCN(Cc2ccccn2)C(C)(C)c2cnccc2CN(Cc2ccccn2)C(C)(N)CN(C)Cc2cc(C)c(C)c(C)n2)c1")</f>
        <v>Cc1cncc(CN(C)CCN(Cc2ccccn2)C(C)(C)c2cnccc2CN(Cc2ccccn2)C(C)(N)CN(C)Cc2cc(C)c(C)c(C)n2)c1</v>
      </c>
      <c r="C9430" s="7">
        <f>IFERROR(__xludf.DUMMYFUNCTION("""COMPUTED_VALUE"""),7.769505)</f>
        <v>7.769505</v>
      </c>
      <c r="D9430" s="7">
        <f>IFERROR(__xludf.DUMMYFUNCTION("""COMPUTED_VALUE"""),0.290697674418604)</f>
        <v>0.2906976744</v>
      </c>
    </row>
    <row r="9431">
      <c r="A9431" s="10" t="s">
        <v>10870</v>
      </c>
      <c r="B9431" s="7" t="str">
        <f>IFERROR(__xludf.DUMMYFUNCTION("SPLIT(A9431,"" "")"),"Cc1cc(C)nc(CN(C)C2C=CNC(CN(C)Cc3ccccn3)=C2)c1")</f>
        <v>Cc1cc(C)nc(CN(C)C2C=CNC(CN(C)Cc3ccccn3)=C2)c1</v>
      </c>
      <c r="C9431" s="7">
        <f>IFERROR(__xludf.DUMMYFUNCTION("""COMPUTED_VALUE"""),7.769501)</f>
        <v>7.769501</v>
      </c>
      <c r="D9431" s="7">
        <f>IFERROR(__xludf.DUMMYFUNCTION("""COMPUTED_VALUE"""),0.389830508474576)</f>
        <v>0.3898305085</v>
      </c>
    </row>
    <row r="9432">
      <c r="A9432" s="10" t="s">
        <v>10871</v>
      </c>
      <c r="B9432" s="7" t="str">
        <f>IFERROR(__xludf.DUMMYFUNCTION("SPLIT(A9432,"" "")"),"CN(Cc1ccccn1)Cc1ccc2cccc(N(C)Cc3cccc(-c4cccc5c4OCCOCCOCCOCCOCCO5)n3)c2n1")</f>
        <v>CN(Cc1ccccn1)Cc1ccc2cccc(N(C)Cc3cccc(-c4cccc5c4OCCOCCOCCOCCOCCO5)n3)c2n1</v>
      </c>
      <c r="C9432" s="7">
        <f>IFERROR(__xludf.DUMMYFUNCTION("""COMPUTED_VALUE"""),7.7694907)</f>
        <v>7.7694907</v>
      </c>
      <c r="D9432" s="7">
        <f>IFERROR(__xludf.DUMMYFUNCTION("""COMPUTED_VALUE"""),0.444444444444444)</f>
        <v>0.4444444444</v>
      </c>
    </row>
    <row r="9433">
      <c r="A9433" s="10" t="s">
        <v>10872</v>
      </c>
      <c r="B9433" s="7" t="str">
        <f>IFERROR(__xludf.DUMMYFUNCTION("SPLIT(A9433,"" "")"),"CCCN(Cc1ccccn1)c1cccc(C)c1CN(C)Cc1ccccn1")</f>
        <v>CCCN(Cc1ccccn1)c1cccc(C)c1CN(C)Cc1ccccn1</v>
      </c>
      <c r="C9433" s="7">
        <f>IFERROR(__xludf.DUMMYFUNCTION("""COMPUTED_VALUE"""),7.769488)</f>
        <v>7.769488</v>
      </c>
      <c r="D9433" s="7">
        <f>IFERROR(__xludf.DUMMYFUNCTION("""COMPUTED_VALUE"""),0.46938775510204)</f>
        <v>0.4693877551</v>
      </c>
    </row>
    <row r="9434">
      <c r="A9434" s="10" t="s">
        <v>10873</v>
      </c>
      <c r="B9434" s="7" t="str">
        <f>IFERROR(__xludf.DUMMYFUNCTION("SPLIT(A9434,"" "")"),"Cc1c(CN(CF)Cc2ccccn2)nc(N(C)C(C)C)c(C)c1C")</f>
        <v>Cc1c(CN(CF)Cc2ccccn2)nc(N(C)C(C)C)c(C)c1C</v>
      </c>
      <c r="C9434" s="7">
        <f>IFERROR(__xludf.DUMMYFUNCTION("""COMPUTED_VALUE"""),7.7694864)</f>
        <v>7.7694864</v>
      </c>
      <c r="D9434" s="7">
        <f>IFERROR(__xludf.DUMMYFUNCTION("""COMPUTED_VALUE"""),0.479166666666666)</f>
        <v>0.4791666667</v>
      </c>
    </row>
    <row r="9435">
      <c r="A9435" s="10" t="s">
        <v>10874</v>
      </c>
      <c r="B9435" s="7" t="str">
        <f>IFERROR(__xludf.DUMMYFUNCTION("SPLIT(A9435,"" "")"),"CN(Cc1cccc(F)n1)Cc1ncccc1C(C)(C)C")</f>
        <v>CN(Cc1cccc(F)n1)Cc1ncccc1C(C)(C)C</v>
      </c>
      <c r="C9435" s="7">
        <f>IFERROR(__xludf.DUMMYFUNCTION("""COMPUTED_VALUE"""),7.7694836)</f>
        <v>7.7694836</v>
      </c>
      <c r="D9435" s="7">
        <f>IFERROR(__xludf.DUMMYFUNCTION("""COMPUTED_VALUE"""),0.4375)</f>
        <v>0.4375</v>
      </c>
    </row>
    <row r="9436">
      <c r="A9436" s="10" t="s">
        <v>10875</v>
      </c>
      <c r="B9436" s="7" t="str">
        <f>IFERROR(__xludf.DUMMYFUNCTION("SPLIT(A9436,"" "")"),"CN1CCN(C)CCN(C(C)(C)c2cncc(-c3cccc(N=Cc4ccccn4)c3)c2)CC1")</f>
        <v>CN1CCN(C)CCN(C(C)(C)c2cncc(-c3cccc(N=Cc4ccccn4)c3)c2)CC1</v>
      </c>
      <c r="C9436" s="7">
        <f>IFERROR(__xludf.DUMMYFUNCTION("""COMPUTED_VALUE"""),7.7694798)</f>
        <v>7.7694798</v>
      </c>
      <c r="D9436" s="7">
        <f>IFERROR(__xludf.DUMMYFUNCTION("""COMPUTED_VALUE"""),0.333333333333333)</f>
        <v>0.3333333333</v>
      </c>
    </row>
    <row r="9437">
      <c r="A9437" s="10" t="s">
        <v>10876</v>
      </c>
      <c r="B9437" s="7" t="str">
        <f>IFERROR(__xludf.DUMMYFUNCTION("SPLIT(A9437,"" "")"),"CN(C)Cc1ncccc1N")</f>
        <v>CN(C)Cc1ncccc1N</v>
      </c>
      <c r="C9437" s="7">
        <f>IFERROR(__xludf.DUMMYFUNCTION("""COMPUTED_VALUE"""),7.769473)</f>
        <v>7.769473</v>
      </c>
      <c r="D9437" s="7">
        <f>IFERROR(__xludf.DUMMYFUNCTION("""COMPUTED_VALUE"""),0.368421052631578)</f>
        <v>0.3684210526</v>
      </c>
    </row>
    <row r="9438">
      <c r="A9438" s="10" t="s">
        <v>10877</v>
      </c>
      <c r="B9438" s="7" t="str">
        <f>IFERROR(__xludf.DUMMYFUNCTION("SPLIT(A9438,"" "")"),"CC1=CC(c2ccccc2)CC=C1NCc1ccccn1")</f>
        <v>CC1=CC(c2ccccc2)CC=C1NCc1ccccn1</v>
      </c>
      <c r="C9438" s="7">
        <f>IFERROR(__xludf.DUMMYFUNCTION("""COMPUTED_VALUE"""),7.7694716)</f>
        <v>7.7694716</v>
      </c>
      <c r="D9438" s="7">
        <f>IFERROR(__xludf.DUMMYFUNCTION("""COMPUTED_VALUE"""),0.386363636363636)</f>
        <v>0.3863636364</v>
      </c>
    </row>
    <row r="9439">
      <c r="A9439" s="10" t="s">
        <v>10878</v>
      </c>
      <c r="B9439" s="7" t="str">
        <f>IFERROR(__xludf.DUMMYFUNCTION("SPLIT(A9439,"" "")"),"Cc1ccc(C)c(CN(C)CCN(Cc2nc(C)ccc2C)Cc2nc(C)ccc2C)n1")</f>
        <v>Cc1ccc(C)c(CN(C)CCN(Cc2nc(C)ccc2C)Cc2nc(C)ccc2C)n1</v>
      </c>
      <c r="C9439" s="7">
        <f>IFERROR(__xludf.DUMMYFUNCTION("""COMPUTED_VALUE"""),7.7694697)</f>
        <v>7.7694697</v>
      </c>
      <c r="D9439" s="7">
        <f>IFERROR(__xludf.DUMMYFUNCTION("""COMPUTED_VALUE"""),0.459459459459459)</f>
        <v>0.4594594595</v>
      </c>
    </row>
    <row r="9440">
      <c r="A9440" s="10" t="s">
        <v>10879</v>
      </c>
      <c r="B9440" s="7" t="str">
        <f>IFERROR(__xludf.DUMMYFUNCTION("SPLIT(A9440,"" "")"),"CN(C)C1=CCC=C(CN(C)C(C)(C)c2ccccn2)N1")</f>
        <v>CN(C)C1=CCC=C(CN(C)C(C)(C)c2ccccn2)N1</v>
      </c>
      <c r="C9440" s="7">
        <f>IFERROR(__xludf.DUMMYFUNCTION("""COMPUTED_VALUE"""),7.769469)</f>
        <v>7.769469</v>
      </c>
      <c r="D9440" s="7">
        <f>IFERROR(__xludf.DUMMYFUNCTION("""COMPUTED_VALUE"""),0.333333333333333)</f>
        <v>0.3333333333</v>
      </c>
    </row>
    <row r="9441">
      <c r="A9441" s="10" t="s">
        <v>10880</v>
      </c>
      <c r="B9441" s="7" t="str">
        <f>IFERROR(__xludf.DUMMYFUNCTION("SPLIT(A9441,"" "")"),"CNCc1cc(CN(C)C2CCC(N(C)c3ccc4c(CF)ccnc4c3)CC2)ccn1")</f>
        <v>CNCc1cc(CN(C)C2CCC(N(C)c3ccc4c(CF)ccnc4c3)CC2)ccn1</v>
      </c>
      <c r="C9441" s="7">
        <f>IFERROR(__xludf.DUMMYFUNCTION("""COMPUTED_VALUE"""),7.769467)</f>
        <v>7.769467</v>
      </c>
      <c r="D9441" s="7">
        <f>IFERROR(__xludf.DUMMYFUNCTION("""COMPUTED_VALUE"""),0.257575757575757)</f>
        <v>0.2575757576</v>
      </c>
    </row>
    <row r="9442">
      <c r="A9442" s="10" t="s">
        <v>10881</v>
      </c>
      <c r="B9442" s="7" t="str">
        <f>IFERROR(__xludf.DUMMYFUNCTION("SPLIT(A9442,"" "")"),"CN(Cc1ccccn1)Cc1ncccc1CN(Cc1ccccn1)Cc1cccc(C2CC(C)(C)C2)n1")</f>
        <v>CN(Cc1ccccn1)Cc1ncccc1CN(Cc1ccccn1)Cc1cccc(C2CC(C)(C)C2)n1</v>
      </c>
      <c r="C9442" s="7">
        <f>IFERROR(__xludf.DUMMYFUNCTION("""COMPUTED_VALUE"""),7.769466)</f>
        <v>7.769466</v>
      </c>
      <c r="D9442" s="7">
        <f>IFERROR(__xludf.DUMMYFUNCTION("""COMPUTED_VALUE"""),0.464285714285714)</f>
        <v>0.4642857143</v>
      </c>
    </row>
    <row r="9443">
      <c r="A9443" s="10" t="s">
        <v>10882</v>
      </c>
      <c r="B9443" s="7" t="str">
        <f>IFERROR(__xludf.DUMMYFUNCTION("SPLIT(A9443,"" "")"),"CN(c1cccc2nc(CF)ccc12)C1CCCCC1N(Cc1ccccn1)Cc1cccc(CF)n1")</f>
        <v>CN(c1cccc2nc(CF)ccc12)C1CCCCC1N(Cc1ccccn1)Cc1cccc(CF)n1</v>
      </c>
      <c r="C9443" s="7">
        <f>IFERROR(__xludf.DUMMYFUNCTION("""COMPUTED_VALUE"""),7.769465)</f>
        <v>7.769465</v>
      </c>
      <c r="D9443" s="7">
        <f>IFERROR(__xludf.DUMMYFUNCTION("""COMPUTED_VALUE"""),0.5)</f>
        <v>0.5</v>
      </c>
    </row>
    <row r="9444">
      <c r="A9444" s="10" t="s">
        <v>10883</v>
      </c>
      <c r="B9444" s="7" t="str">
        <f>IFERROR(__xludf.DUMMYFUNCTION("SPLIT(A9444,"" "")"),"CN(CC1=CCC(N(C)C)=CN1)Cc1ccccn1")</f>
        <v>CN(CC1=CCC(N(C)C)=CN1)Cc1ccccn1</v>
      </c>
      <c r="C9444" s="7">
        <f>IFERROR(__xludf.DUMMYFUNCTION("""COMPUTED_VALUE"""),7.769465)</f>
        <v>7.769465</v>
      </c>
      <c r="D9444" s="7">
        <f>IFERROR(__xludf.DUMMYFUNCTION("""COMPUTED_VALUE"""),0.489361702127659)</f>
        <v>0.4893617021</v>
      </c>
    </row>
    <row r="9445">
      <c r="A9445" s="10" t="s">
        <v>10884</v>
      </c>
      <c r="B9445" s="7" t="str">
        <f>IFERROR(__xludf.DUMMYFUNCTION("SPLIT(A9445,"" "")"),"Cc1cccc(C(C)(CN(Cc2ccccn2)Cc2ccccn2)c2ccccn2)c1")</f>
        <v>Cc1cccc(C(C)(CN(Cc2ccccn2)Cc2ccccn2)c2ccccn2)c1</v>
      </c>
      <c r="C9445" s="7">
        <f>IFERROR(__xludf.DUMMYFUNCTION("""COMPUTED_VALUE"""),7.769464)</f>
        <v>7.769464</v>
      </c>
      <c r="D9445" s="7">
        <f>IFERROR(__xludf.DUMMYFUNCTION("""COMPUTED_VALUE"""),0.489361702127659)</f>
        <v>0.4893617021</v>
      </c>
    </row>
    <row r="9446">
      <c r="A9446" s="10" t="s">
        <v>10885</v>
      </c>
      <c r="B9446" s="7" t="str">
        <f>IFERROR(__xludf.DUMMYFUNCTION("SPLIT(A9446,"" "")"),"CC(c1ccc(CNCNCF)nc1)(c1ccccn1)c1ccccn1")</f>
        <v>CC(c1ccc(CNCNCF)nc1)(c1ccccn1)c1ccccn1</v>
      </c>
      <c r="C9446" s="7">
        <f>IFERROR(__xludf.DUMMYFUNCTION("""COMPUTED_VALUE"""),7.7694592)</f>
        <v>7.7694592</v>
      </c>
      <c r="D9446" s="7">
        <f>IFERROR(__xludf.DUMMYFUNCTION("""COMPUTED_VALUE"""),0.377777777777777)</f>
        <v>0.3777777778</v>
      </c>
    </row>
    <row r="9447">
      <c r="A9447" s="10" t="s">
        <v>10886</v>
      </c>
      <c r="B9447" s="7" t="str">
        <f>IFERROR(__xludf.DUMMYFUNCTION("SPLIT(A9447,"" "")"),"CC1CC(N(C)Cc2ccccn2)=CC(c2ncccc2CN(C)C2CCC(N(C)c3ccc4cccnc4c3)CC2)C1C")</f>
        <v>CC1CC(N(C)Cc2ccccn2)=CC(c2ncccc2CN(C)C2CCC(N(C)c3ccc4cccnc4c3)CC2)C1C</v>
      </c>
      <c r="C9447" s="7">
        <f>IFERROR(__xludf.DUMMYFUNCTION("""COMPUTED_VALUE"""),7.76945)</f>
        <v>7.76945</v>
      </c>
      <c r="D9447" s="7">
        <f>IFERROR(__xludf.DUMMYFUNCTION("""COMPUTED_VALUE"""),0.315068493150684)</f>
        <v>0.3150684932</v>
      </c>
    </row>
    <row r="9448">
      <c r="A9448" s="10" t="s">
        <v>10887</v>
      </c>
      <c r="B9448" s="7" t="str">
        <f>IFERROR(__xludf.DUMMYFUNCTION("SPLIT(A9448,"" "")"),"Cc1ccc(C)c(CN(Cc2ccccn2)C2C=CNC(C(C)C)=C2)n1")</f>
        <v>Cc1ccc(C)c(CN(Cc2ccccn2)C2C=CNC(C(C)C)=C2)n1</v>
      </c>
      <c r="C9448" s="7">
        <f>IFERROR(__xludf.DUMMYFUNCTION("""COMPUTED_VALUE"""),7.76945)</f>
        <v>7.76945</v>
      </c>
      <c r="D9448" s="7">
        <f>IFERROR(__xludf.DUMMYFUNCTION("""COMPUTED_VALUE"""),0.375)</f>
        <v>0.375</v>
      </c>
    </row>
    <row r="9449">
      <c r="A9449" s="10" t="s">
        <v>10888</v>
      </c>
      <c r="B9449" s="7" t="str">
        <f>IFERROR(__xludf.DUMMYFUNCTION("SPLIT(A9449,"" "")"),"CN(Cc1cccnc1-c1ccccc1N=Cc1ccccn1)Cc1ncccc1-c1ccc2c(c1)OCCOCCOCCOCCOCCO2")</f>
        <v>CN(Cc1cccnc1-c1ccccc1N=Cc1ccccn1)Cc1ncccc1-c1ccc2c(c1)OCCOCCOCCOCCOCCO2</v>
      </c>
      <c r="C9449" s="7">
        <f>IFERROR(__xludf.DUMMYFUNCTION("""COMPUTED_VALUE"""),7.769449)</f>
        <v>7.769449</v>
      </c>
      <c r="D9449" s="7">
        <f>IFERROR(__xludf.DUMMYFUNCTION("""COMPUTED_VALUE"""),0.319444444444444)</f>
        <v>0.3194444444</v>
      </c>
    </row>
    <row r="9450">
      <c r="A9450" s="10" t="s">
        <v>10889</v>
      </c>
      <c r="B9450" s="7" t="str">
        <f>IFERROR(__xludf.DUMMYFUNCTION("SPLIT(A9450,"" "")"),"CN(Cc1ccc2c(n1)CCCC2)C1CCCCC1N(C)c1ccc2cc3c(nc2c1)CCC3")</f>
        <v>CN(Cc1ccc2c(n1)CCCC2)C1CCCCC1N(C)c1ccc2cc3c(nc2c1)CCC3</v>
      </c>
      <c r="C9450" s="7">
        <f>IFERROR(__xludf.DUMMYFUNCTION("""COMPUTED_VALUE"""),7.7694435)</f>
        <v>7.7694435</v>
      </c>
      <c r="D9450" s="7">
        <f>IFERROR(__xludf.DUMMYFUNCTION("""COMPUTED_VALUE"""),0.47457627118644)</f>
        <v>0.4745762712</v>
      </c>
    </row>
    <row r="9451">
      <c r="A9451" s="10" t="s">
        <v>10890</v>
      </c>
      <c r="B9451" s="7" t="str">
        <f>IFERROR(__xludf.DUMMYFUNCTION("SPLIT(A9451,"" "")"),"CCN(CCN(C)Cc1ncc(C)c(C)c1C)Cc1nc(C)c(C)c(C)c1C")</f>
        <v>CCN(CCN(C)Cc1ncc(C)c(C)c1C)Cc1nc(C)c(C)c(C)c1C</v>
      </c>
      <c r="C9451" s="7">
        <f>IFERROR(__xludf.DUMMYFUNCTION("""COMPUTED_VALUE"""),7.7694407)</f>
        <v>7.7694407</v>
      </c>
      <c r="D9451" s="7">
        <f>IFERROR(__xludf.DUMMYFUNCTION("""COMPUTED_VALUE"""),0.333333333333333)</f>
        <v>0.3333333333</v>
      </c>
    </row>
    <row r="9452">
      <c r="A9452" s="10" t="s">
        <v>10891</v>
      </c>
      <c r="B9452" s="7" t="str">
        <f>IFERROR(__xludf.DUMMYFUNCTION("SPLIT(A9452,"" "")"),"Cc1cc(CNCc2ccccn2)cnc1CNCc1ccccc1C(C)C")</f>
        <v>Cc1cc(CNCc2ccccn2)cnc1CNCc1ccccc1C(C)C</v>
      </c>
      <c r="C9452" s="7">
        <f>IFERROR(__xludf.DUMMYFUNCTION("""COMPUTED_VALUE"""),7.7694383)</f>
        <v>7.7694383</v>
      </c>
      <c r="D9452" s="7">
        <f>IFERROR(__xludf.DUMMYFUNCTION("""COMPUTED_VALUE"""),0.387755102040816)</f>
        <v>0.387755102</v>
      </c>
    </row>
    <row r="9453">
      <c r="A9453" s="10" t="s">
        <v>10892</v>
      </c>
      <c r="B9453" s="7" t="str">
        <f>IFERROR(__xludf.DUMMYFUNCTION("SPLIT(A9453,"" "")"),"C=Cc1ccc(NCc2ccccn2)c(CN(C)C2CCCCC2N(C)Cc2ccc3ncccc3c2)c1")</f>
        <v>C=Cc1ccc(NCc2ccccn2)c(CN(C)C2CCCCC2N(C)Cc2ccc3ncccc3c2)c1</v>
      </c>
      <c r="C9453" s="7">
        <f>IFERROR(__xludf.DUMMYFUNCTION("""COMPUTED_VALUE"""),7.7694364)</f>
        <v>7.7694364</v>
      </c>
      <c r="D9453" s="7">
        <f>IFERROR(__xludf.DUMMYFUNCTION("""COMPUTED_VALUE"""),0.4375)</f>
        <v>0.4375</v>
      </c>
    </row>
    <row r="9454">
      <c r="A9454" s="10" t="s">
        <v>10893</v>
      </c>
      <c r="B9454" s="7" t="str">
        <f>IFERROR(__xludf.DUMMYFUNCTION("SPLIT(A9454,"" "")"),"CC(C)N(C)Cc1cccnc1N(C)Cc1ccccn1")</f>
        <v>CC(C)N(C)Cc1cccnc1N(C)Cc1ccccn1</v>
      </c>
      <c r="C9454" s="7">
        <f>IFERROR(__xludf.DUMMYFUNCTION("""COMPUTED_VALUE"""),7.769434)</f>
        <v>7.769434</v>
      </c>
      <c r="D9454" s="7">
        <f>IFERROR(__xludf.DUMMYFUNCTION("""COMPUTED_VALUE"""),0.5)</f>
        <v>0.5</v>
      </c>
    </row>
    <row r="9455">
      <c r="A9455" s="10" t="s">
        <v>10894</v>
      </c>
      <c r="B9455" s="7" t="str">
        <f>IFERROR(__xludf.DUMMYFUNCTION("SPLIT(A9455,"" "")"),"C=CCN(C)CC1=CCC(N(C)Cc2cccc(C)n2)=CN1")</f>
        <v>C=CCN(C)CC1=CCC(N(C)Cc2cccc(C)n2)=CN1</v>
      </c>
      <c r="C9455" s="7">
        <f>IFERROR(__xludf.DUMMYFUNCTION("""COMPUTED_VALUE"""),7.7694335)</f>
        <v>7.7694335</v>
      </c>
      <c r="D9455" s="7">
        <f>IFERROR(__xludf.DUMMYFUNCTION("""COMPUTED_VALUE"""),0.42)</f>
        <v>0.42</v>
      </c>
    </row>
    <row r="9456">
      <c r="A9456" s="10" t="s">
        <v>10895</v>
      </c>
      <c r="B9456" s="7" t="str">
        <f>IFERROR(__xludf.DUMMYFUNCTION("SPLIT(A9456,"" "")"),"COC(C)c1cccc(CN(Cc2ccccn2)Cc2cc(C(C)(C)C)ccn2)n1")</f>
        <v>COC(C)c1cccc(CN(Cc2ccccn2)Cc2cc(C(C)(C)C)ccn2)n1</v>
      </c>
      <c r="C9456" s="7">
        <f>IFERROR(__xludf.DUMMYFUNCTION("""COMPUTED_VALUE"""),7.769429)</f>
        <v>7.769429</v>
      </c>
      <c r="D9456" s="7">
        <f>IFERROR(__xludf.DUMMYFUNCTION("""COMPUTED_VALUE"""),0.45)</f>
        <v>0.45</v>
      </c>
    </row>
    <row r="9457">
      <c r="A9457" s="10" t="s">
        <v>10896</v>
      </c>
      <c r="B9457" s="7" t="str">
        <f>IFERROR(__xludf.DUMMYFUNCTION("SPLIT(A9457,"" "")"),"Cc1cc(CN(CC2=CNC(N(C)CCN)=CC2)Cc2ccccn2)nc(C)c1C")</f>
        <v>Cc1cc(CN(CC2=CNC(N(C)CCN)=CC2)Cc2ccccn2)nc(C)c1C</v>
      </c>
      <c r="C9457" s="7">
        <f>IFERROR(__xludf.DUMMYFUNCTION("""COMPUTED_VALUE"""),7.769423)</f>
        <v>7.769423</v>
      </c>
      <c r="D9457" s="7">
        <f>IFERROR(__xludf.DUMMYFUNCTION("""COMPUTED_VALUE"""),0.354838709677419)</f>
        <v>0.3548387097</v>
      </c>
    </row>
    <row r="9458">
      <c r="A9458" s="10" t="s">
        <v>10897</v>
      </c>
      <c r="B9458" s="7" t="str">
        <f>IFERROR(__xludf.DUMMYFUNCTION("SPLIT(A9458,"" "")"),"Cc1cc(NCc2ccccn2)cc(-c2cc(C)cc(CN(Cc3ccccn3)C3CCCCC3)n2)c1")</f>
        <v>Cc1cc(NCc2ccccn2)cc(-c2cc(C)cc(CN(Cc3ccccn3)C3CCCCC3)n2)c1</v>
      </c>
      <c r="C9458" s="7">
        <f>IFERROR(__xludf.DUMMYFUNCTION("""COMPUTED_VALUE"""),7.769421)</f>
        <v>7.769421</v>
      </c>
      <c r="D9458" s="7">
        <f>IFERROR(__xludf.DUMMYFUNCTION("""COMPUTED_VALUE"""),0.377049180327868)</f>
        <v>0.3770491803</v>
      </c>
    </row>
    <row r="9459">
      <c r="A9459" s="10" t="s">
        <v>10898</v>
      </c>
      <c r="B9459" s="7" t="str">
        <f>IFERROR(__xludf.DUMMYFUNCTION("SPLIT(A9459,"" "")"),"Cc1cnc(CN(Cc2ccccn2)C2CCCCC2N(C)Cc2cccc(-c3cccc(Cl)c3N)n2)c(C)c1")</f>
        <v>Cc1cnc(CN(Cc2ccccn2)C2CCCCC2N(C)Cc2cccc(-c3cccc(Cl)c3N)n2)c(C)c1</v>
      </c>
      <c r="C9459" s="7">
        <f>IFERROR(__xludf.DUMMYFUNCTION("""COMPUTED_VALUE"""),7.7694206)</f>
        <v>7.7694206</v>
      </c>
      <c r="D9459" s="7">
        <f>IFERROR(__xludf.DUMMYFUNCTION("""COMPUTED_VALUE"""),0.461538461538461)</f>
        <v>0.4615384615</v>
      </c>
    </row>
    <row r="9460">
      <c r="A9460" s="10" t="s">
        <v>10899</v>
      </c>
      <c r="B9460" s="7" t="str">
        <f>IFERROR(__xludf.DUMMYFUNCTION("SPLIT(A9460,"" "")"),"CCOC(C)c1cccc(CN(Cc2ccccn2)Cc2ccc(N)cn2)n1")</f>
        <v>CCOC(C)c1cccc(CN(Cc2ccccn2)Cc2ccc(N)cn2)n1</v>
      </c>
      <c r="C9460" s="7">
        <f>IFERROR(__xludf.DUMMYFUNCTION("""COMPUTED_VALUE"""),7.7694182)</f>
        <v>7.7694182</v>
      </c>
      <c r="D9460" s="7">
        <f>IFERROR(__xludf.DUMMYFUNCTION("""COMPUTED_VALUE"""),0.425925925925925)</f>
        <v>0.4259259259</v>
      </c>
    </row>
    <row r="9461">
      <c r="A9461" s="10" t="s">
        <v>10900</v>
      </c>
      <c r="B9461" s="7" t="str">
        <f>IFERROR(__xludf.DUMMYFUNCTION("SPLIT(A9461,"" "")"),"CC(C)NCc1cccc(CN(Cc2ccccn2)C2CCC(N(C)c3ccc4nc(CF)ccc4c3)CC2)n1")</f>
        <v>CC(C)NCc1cccc(CN(Cc2ccccn2)C2CCC(N(C)c3ccc4nc(CF)ccc4c3)CC2)n1</v>
      </c>
      <c r="C9461" s="7">
        <f>IFERROR(__xludf.DUMMYFUNCTION("""COMPUTED_VALUE"""),7.769415)</f>
        <v>7.769415</v>
      </c>
      <c r="D9461" s="7">
        <f>IFERROR(__xludf.DUMMYFUNCTION("""COMPUTED_VALUE"""),0.35820895522388)</f>
        <v>0.3582089552</v>
      </c>
    </row>
    <row r="9462">
      <c r="A9462" s="10" t="s">
        <v>10901</v>
      </c>
      <c r="B9462" s="7" t="str">
        <f>IFERROR(__xludf.DUMMYFUNCTION("SPLIT(A9462,"" "")"),"c1ccc(CN(Cc2cc(-c3ccc4c(c3)OCCOCCOCCOCCOCCO4)ccn2)c2ccc3ncccc3c2)nc1")</f>
        <v>c1ccc(CN(Cc2cc(-c3ccc4c(c3)OCCOCCOCCOCCOCCO4)ccn2)c2ccc3ncccc3c2)nc1</v>
      </c>
      <c r="C9462" s="7">
        <f>IFERROR(__xludf.DUMMYFUNCTION("""COMPUTED_VALUE"""),7.7694116)</f>
        <v>7.7694116</v>
      </c>
      <c r="D9462" s="7">
        <f>IFERROR(__xludf.DUMMYFUNCTION("""COMPUTED_VALUE"""),0.366197183098591)</f>
        <v>0.3661971831</v>
      </c>
    </row>
    <row r="9463">
      <c r="A9463" s="10" t="s">
        <v>10902</v>
      </c>
      <c r="B9463" s="7" t="str">
        <f>IFERROR(__xludf.DUMMYFUNCTION("SPLIT(A9463,"" "")"),"Cc1cccc(CN(C)C2=CCC=C(CN(C)C(C)C)N2)n1")</f>
        <v>Cc1cccc(CN(C)C2=CCC=C(CN(C)C(C)C)N2)n1</v>
      </c>
      <c r="C9463" s="7">
        <f>IFERROR(__xludf.DUMMYFUNCTION("""COMPUTED_VALUE"""),7.7694087)</f>
        <v>7.7694087</v>
      </c>
      <c r="D9463" s="7">
        <f>IFERROR(__xludf.DUMMYFUNCTION("""COMPUTED_VALUE"""),0.416666666666666)</f>
        <v>0.4166666667</v>
      </c>
    </row>
    <row r="9464">
      <c r="A9464" s="10" t="s">
        <v>10903</v>
      </c>
      <c r="B9464" s="7" t="str">
        <f>IFERROR(__xludf.DUMMYFUNCTION("SPLIT(A9464,"" "")"),"CNCc1cc(CN(C)C2CCC(N(C)c3ccc4nccc(CF)c4c3)CC2)ccn1")</f>
        <v>CNCc1cc(CN(C)C2CCC(N(C)c3ccc4nccc(CF)c4c3)CC2)ccn1</v>
      </c>
      <c r="C9464" s="7">
        <f>IFERROR(__xludf.DUMMYFUNCTION("""COMPUTED_VALUE"""),7.7694035)</f>
        <v>7.7694035</v>
      </c>
      <c r="D9464" s="7">
        <f>IFERROR(__xludf.DUMMYFUNCTION("""COMPUTED_VALUE"""),0.253731343283582)</f>
        <v>0.2537313433</v>
      </c>
    </row>
    <row r="9465">
      <c r="A9465" s="10" t="s">
        <v>10904</v>
      </c>
      <c r="B9465" s="7" t="str">
        <f>IFERROR(__xludf.DUMMYFUNCTION("SPLIT(A9465,"" "")"),"CN(Cc1cccnc1)C1CCCC(N(C)c2cccc3ncccc23)C1")</f>
        <v>CN(Cc1cccnc1)C1CCCC(N(C)c2cccc3ncccc23)C1</v>
      </c>
      <c r="C9465" s="7">
        <f>IFERROR(__xludf.DUMMYFUNCTION("""COMPUTED_VALUE"""),7.7694016)</f>
        <v>7.7694016</v>
      </c>
      <c r="D9465" s="7">
        <f>IFERROR(__xludf.DUMMYFUNCTION("""COMPUTED_VALUE"""),0.333333333333333)</f>
        <v>0.3333333333</v>
      </c>
    </row>
    <row r="9466">
      <c r="A9466" s="10" t="s">
        <v>10905</v>
      </c>
      <c r="B9466" s="7" t="str">
        <f>IFERROR(__xludf.DUMMYFUNCTION("SPLIT(A9466,"" "")"),"CC1=CC(C)C2(C=CC3(C(C)CC=C(C)C3C)C(c3cc(CN(Cc4ccccn4)Cc4ccccn4)ccn3)C2c2cc(CN(Cc3ccccn3)C3CCC(N(C)c4ccc5cc(CN(C)C)cnc5c4)CC3)ccn2)C(C)C1")</f>
        <v>CC1=CC(C)C2(C=CC3(C(C)CC=C(C)C3C)C(c3cc(CN(Cc4ccccn4)Cc4ccccn4)ccn3)C2c2cc(CN(Cc3ccccn3)C3CCC(N(C)c4ccc5cc(CN(C)C)cnc5c4)CC3)ccn2)C(C)C1</v>
      </c>
      <c r="C9466" s="7">
        <f>IFERROR(__xludf.DUMMYFUNCTION("""COMPUTED_VALUE"""),7.7693944)</f>
        <v>7.7693944</v>
      </c>
      <c r="D9466" s="7">
        <f>IFERROR(__xludf.DUMMYFUNCTION("""COMPUTED_VALUE"""),0.258064516129032)</f>
        <v>0.2580645161</v>
      </c>
    </row>
    <row r="9467">
      <c r="A9467" s="10" t="s">
        <v>10906</v>
      </c>
      <c r="B9467" s="7" t="str">
        <f>IFERROR(__xludf.DUMMYFUNCTION("SPLIT(A9467,"" "")"),"Cc1ccc(CN(C)C2=CNC(CN(C)C3C=CC=CN3)=CC2)nc1")</f>
        <v>Cc1ccc(CN(C)C2=CNC(CN(C)C3C=CC=CN3)=CC2)nc1</v>
      </c>
      <c r="C9467" s="7">
        <f>IFERROR(__xludf.DUMMYFUNCTION("""COMPUTED_VALUE"""),7.7693906)</f>
        <v>7.7693906</v>
      </c>
      <c r="D9467" s="7">
        <f>IFERROR(__xludf.DUMMYFUNCTION("""COMPUTED_VALUE"""),0.383333333333333)</f>
        <v>0.3833333333</v>
      </c>
    </row>
    <row r="9468">
      <c r="A9468" s="10" t="s">
        <v>10907</v>
      </c>
      <c r="B9468" s="7" t="str">
        <f>IFERROR(__xludf.DUMMYFUNCTION("SPLIT(A9468,"" "")"),"Cc1cccc(CN(C)c2cccc(CN(CNCF)Cc3ccccn3)n2)n1")</f>
        <v>Cc1cccc(CN(C)c2cccc(CN(CNCF)Cc3ccccn3)n2)n1</v>
      </c>
      <c r="C9468" s="7">
        <f>IFERROR(__xludf.DUMMYFUNCTION("""COMPUTED_VALUE"""),7.7693887)</f>
        <v>7.7693887</v>
      </c>
      <c r="D9468" s="7">
        <f>IFERROR(__xludf.DUMMYFUNCTION("""COMPUTED_VALUE"""),0.425925925925925)</f>
        <v>0.4259259259</v>
      </c>
    </row>
    <row r="9469">
      <c r="A9469" s="10" t="s">
        <v>10908</v>
      </c>
      <c r="B9469" s="7" t="str">
        <f>IFERROR(__xludf.DUMMYFUNCTION("SPLIT(A9469,"" "")"),"CNCc1ccc2cccc(N(C)C3CCC(N(CC4=CCC=CN4)Cc4ccccn4)CC3)c2n1")</f>
        <v>CNCc1ccc2cccc(N(C)C3CCC(N(CC4=CCC=CN4)Cc4ccccn4)CC3)c2n1</v>
      </c>
      <c r="C9469" s="7">
        <f>IFERROR(__xludf.DUMMYFUNCTION("""COMPUTED_VALUE"""),7.769388)</f>
        <v>7.769388</v>
      </c>
      <c r="D9469" s="7">
        <f>IFERROR(__xludf.DUMMYFUNCTION("""COMPUTED_VALUE"""),0.455882352941176)</f>
        <v>0.4558823529</v>
      </c>
    </row>
    <row r="9470">
      <c r="A9470" s="10" t="s">
        <v>10909</v>
      </c>
      <c r="B9470" s="7" t="str">
        <f>IFERROR(__xludf.DUMMYFUNCTION("SPLIT(A9470,"" "")"),"Cc1ccc(CN(C)C2=CNC(CN(C)C(C)(C)C)=CC2)nc1C")</f>
        <v>Cc1ccc(CN(C)C2=CNC(CN(C)C(C)(C)C)=CC2)nc1C</v>
      </c>
      <c r="C9470" s="7">
        <f>IFERROR(__xludf.DUMMYFUNCTION("""COMPUTED_VALUE"""),7.769383)</f>
        <v>7.769383</v>
      </c>
      <c r="D9470" s="7">
        <f>IFERROR(__xludf.DUMMYFUNCTION("""COMPUTED_VALUE"""),0.236363636363636)</f>
        <v>0.2363636364</v>
      </c>
    </row>
    <row r="9471">
      <c r="A9471" s="10" t="s">
        <v>10910</v>
      </c>
      <c r="B9471" s="7" t="str">
        <f>IFERROR(__xludf.DUMMYFUNCTION("SPLIT(A9471,"" "")"),"CC(C)N(Cc1ccccn1)C1CCC(N(C)c2cccc3nc(CF)ccc23)CC1")</f>
        <v>CC(C)N(Cc1ccccn1)C1CCC(N(C)c2cccc3nc(CF)ccc23)CC1</v>
      </c>
      <c r="C9471" s="7">
        <f>IFERROR(__xludf.DUMMYFUNCTION("""COMPUTED_VALUE"""),7.769377)</f>
        <v>7.769377</v>
      </c>
      <c r="D9471" s="7">
        <f>IFERROR(__xludf.DUMMYFUNCTION("""COMPUTED_VALUE"""),0.363636363636363)</f>
        <v>0.3636363636</v>
      </c>
    </row>
    <row r="9472">
      <c r="A9472" s="10" t="s">
        <v>10911</v>
      </c>
      <c r="B9472" s="7" t="str">
        <f>IFERROR(__xludf.DUMMYFUNCTION("SPLIT(A9472,"" "")"),"CN(Cc1ccccn1)C1CCC(N(C)c2cccc3ncccc23)CC1")</f>
        <v>CN(Cc1ccccn1)C1CCC(N(C)c2cccc3ncccc23)CC1</v>
      </c>
      <c r="C9472" s="7">
        <f>IFERROR(__xludf.DUMMYFUNCTION("""COMPUTED_VALUE"""),7.7693653)</f>
        <v>7.7693653</v>
      </c>
      <c r="D9472" s="7">
        <f>IFERROR(__xludf.DUMMYFUNCTION("""COMPUTED_VALUE"""),0.489795918367346)</f>
        <v>0.4897959184</v>
      </c>
    </row>
    <row r="9473">
      <c r="A9473" s="10" t="s">
        <v>10912</v>
      </c>
      <c r="B9473" s="7" t="str">
        <f>IFERROR(__xludf.DUMMYFUNCTION("SPLIT(A9473,"" "")"),"Cc1ccnc(CN(Cc2ncccc2CN(C)Cc2cccc(C)n2)C(C)C)c1")</f>
        <v>Cc1ccnc(CN(Cc2ncccc2CN(C)Cc2cccc(C)n2)C(C)C)c1</v>
      </c>
      <c r="C9473" s="7">
        <f>IFERROR(__xludf.DUMMYFUNCTION("""COMPUTED_VALUE"""),7.769344)</f>
        <v>7.769344</v>
      </c>
      <c r="D9473" s="7">
        <f>IFERROR(__xludf.DUMMYFUNCTION("""COMPUTED_VALUE"""),0.423076923076923)</f>
        <v>0.4230769231</v>
      </c>
    </row>
    <row r="9474">
      <c r="A9474" s="10" t="s">
        <v>10913</v>
      </c>
      <c r="B9474" s="7" t="str">
        <f>IFERROR(__xludf.DUMMYFUNCTION("SPLIT(A9474,"" "")"),"Cc1cccnc1CN(C)C1CCC(N(CCN(C)c2ccc3nc(CF)ccc3c2)Cc2ncccc2C)CC1")</f>
        <v>Cc1cccnc1CN(C)C1CCC(N(CCN(C)c2ccc3nc(CF)ccc3c2)Cc2ncccc2C)CC1</v>
      </c>
      <c r="C9474" s="7">
        <f>IFERROR(__xludf.DUMMYFUNCTION("""COMPUTED_VALUE"""),7.7693396)</f>
        <v>7.7693396</v>
      </c>
      <c r="D9474" s="7">
        <f>IFERROR(__xludf.DUMMYFUNCTION("""COMPUTED_VALUE"""),0.291666666666666)</f>
        <v>0.2916666667</v>
      </c>
    </row>
    <row r="9475">
      <c r="A9475" s="10" t="s">
        <v>10914</v>
      </c>
      <c r="B9475" s="7" t="str">
        <f>IFERROR(__xludf.DUMMYFUNCTION("SPLIT(A9475,"" "")"),"CN(c1cccc2ncc(CF)cc12)C1CCCCC1N(Cc1ccccn1)Cc1cccc(CF)n1")</f>
        <v>CN(c1cccc2ncc(CF)cc12)C1CCCCC1N(Cc1ccccn1)Cc1cccc(CF)n1</v>
      </c>
      <c r="C9475" s="7">
        <f>IFERROR(__xludf.DUMMYFUNCTION("""COMPUTED_VALUE"""),7.769336)</f>
        <v>7.769336</v>
      </c>
      <c r="D9475" s="7">
        <f>IFERROR(__xludf.DUMMYFUNCTION("""COMPUTED_VALUE"""),0.439393939393939)</f>
        <v>0.4393939394</v>
      </c>
    </row>
    <row r="9476">
      <c r="A9476" s="10" t="s">
        <v>10915</v>
      </c>
      <c r="B9476" s="7" t="str">
        <f>IFERROR(__xludf.DUMMYFUNCTION("SPLIT(A9476,"" "")"),"CN(Cc1cc(-c2ccc(N=Cc3ccccn3)cc2)ccn1)Cc1cc(-c2ccc3c(c2)OCCOCCOCCOCCOCCO3)ccn1")</f>
        <v>CN(Cc1cc(-c2ccc(N=Cc3ccccn3)cc2)ccn1)Cc1cc(-c2ccc3c(c2)OCCOCCOCCOCCOCCO3)ccn1</v>
      </c>
      <c r="C9476" s="7">
        <f>IFERROR(__xludf.DUMMYFUNCTION("""COMPUTED_VALUE"""),7.7693324)</f>
        <v>7.7693324</v>
      </c>
      <c r="D9476" s="7">
        <f>IFERROR(__xludf.DUMMYFUNCTION("""COMPUTED_VALUE"""),0.333333333333333)</f>
        <v>0.3333333333</v>
      </c>
    </row>
    <row r="9477">
      <c r="A9477" s="10" t="s">
        <v>10916</v>
      </c>
      <c r="B9477" s="7" t="str">
        <f>IFERROR(__xludf.DUMMYFUNCTION("SPLIT(A9477,"" "")"),"C=CCN(C)Cc1ncccc1C(C)(C)c1ccccn1")</f>
        <v>C=CCN(C)Cc1ncccc1C(C)(C)c1ccccn1</v>
      </c>
      <c r="C9477" s="7">
        <f>IFERROR(__xludf.DUMMYFUNCTION("""COMPUTED_VALUE"""),7.7693205)</f>
        <v>7.7693205</v>
      </c>
      <c r="D9477" s="7">
        <f>IFERROR(__xludf.DUMMYFUNCTION("""COMPUTED_VALUE"""),0.314814814814814)</f>
        <v>0.3148148148</v>
      </c>
    </row>
    <row r="9478">
      <c r="A9478" s="10" t="s">
        <v>10917</v>
      </c>
      <c r="B9478" s="7" t="str">
        <f>IFERROR(__xludf.DUMMYFUNCTION("SPLIT(A9478,"" "")"),"CCNCc1cc(CN(C)C2CCC(N(C)c3ccc4c(C)ccnc4c3)CC2)ccn1")</f>
        <v>CCNCc1cc(CN(C)C2CCC(N(C)c3ccc4c(C)ccnc4c3)CC2)ccn1</v>
      </c>
      <c r="C9478" s="7">
        <f>IFERROR(__xludf.DUMMYFUNCTION("""COMPUTED_VALUE"""),7.769319)</f>
        <v>7.769319</v>
      </c>
      <c r="D9478" s="7">
        <f>IFERROR(__xludf.DUMMYFUNCTION("""COMPUTED_VALUE"""),0.257575757575757)</f>
        <v>0.2575757576</v>
      </c>
    </row>
    <row r="9479">
      <c r="A9479" s="10" t="s">
        <v>10918</v>
      </c>
      <c r="B9479" s="7" t="str">
        <f>IFERROR(__xludf.DUMMYFUNCTION("SPLIT(A9479,"" "")"),"CC1C=CC(C)C(C)(c2ncccc2CN(Cc2ccccn2)C2CCC(N(C)c3ccc4ncc(CN(C)C)cc4c3)CC2)C1")</f>
        <v>CC1C=CC(C)C(C)(c2ncccc2CN(Cc2ccccn2)C2CCC(N(C)c3ccc4ncc(CN(C)C)cc4c3)CC2)C1</v>
      </c>
      <c r="C9479" s="7">
        <f>IFERROR(__xludf.DUMMYFUNCTION("""COMPUTED_VALUE"""),7.769316)</f>
        <v>7.769316</v>
      </c>
      <c r="D9479" s="7">
        <f>IFERROR(__xludf.DUMMYFUNCTION("""COMPUTED_VALUE"""),0.275)</f>
        <v>0.275</v>
      </c>
    </row>
    <row r="9480">
      <c r="A9480" s="10" t="s">
        <v>10919</v>
      </c>
      <c r="B9480" s="7" t="str">
        <f>IFERROR(__xludf.DUMMYFUNCTION("SPLIT(A9480,"" "")"),"CN(Cc1ccccn1)C1CCC(N(C)c2cccc3cc(CF)cnc23)CC1")</f>
        <v>CN(Cc1ccccn1)C1CCC(N(C)c2cccc3cc(CF)cnc23)CC1</v>
      </c>
      <c r="C9480" s="7">
        <f>IFERROR(__xludf.DUMMYFUNCTION("""COMPUTED_VALUE"""),7.7693124)</f>
        <v>7.7693124</v>
      </c>
      <c r="D9480" s="7">
        <f>IFERROR(__xludf.DUMMYFUNCTION("""COMPUTED_VALUE"""),0.421052631578947)</f>
        <v>0.4210526316</v>
      </c>
    </row>
    <row r="9481">
      <c r="A9481" s="10" t="s">
        <v>10920</v>
      </c>
      <c r="B9481" s="7" t="str">
        <f>IFERROR(__xludf.DUMMYFUNCTION("SPLIT(A9481,"" "")"),"Cc1nc(CN(C)C2=C(CN(C)C(C)C(C)C)NC=CC2)c(C)c(C)c1C")</f>
        <v>Cc1nc(CN(C)C2=C(CN(C)C(C)C(C)C)NC=CC2)c(C)c(C)c1C</v>
      </c>
      <c r="C9481" s="7">
        <f>IFERROR(__xludf.DUMMYFUNCTION("""COMPUTED_VALUE"""),7.769305)</f>
        <v>7.769305</v>
      </c>
      <c r="D9481" s="7">
        <f>IFERROR(__xludf.DUMMYFUNCTION("""COMPUTED_VALUE"""),0.17910447761194)</f>
        <v>0.1791044776</v>
      </c>
    </row>
    <row r="9482">
      <c r="A9482" s="10" t="s">
        <v>10921</v>
      </c>
      <c r="B9482" s="7" t="str">
        <f>IFERROR(__xludf.DUMMYFUNCTION("SPLIT(A9482,"" "")"),"Cc1ccc(CN(C)c2ccccc2-c2cccc(CN(C)Cc3cccc(-c4ccc5c(c4)OCCOCCOCCOCCOCCO5)n3)n2)nc1")</f>
        <v>Cc1ccc(CN(C)c2ccccc2-c2cccc(CN(C)Cc3cccc(-c4ccc5c(c4)OCCOCCOCCOCCOCCO5)n3)n2)nc1</v>
      </c>
      <c r="C9482" s="7">
        <f>IFERROR(__xludf.DUMMYFUNCTION("""COMPUTED_VALUE"""),7.7693048)</f>
        <v>7.7693048</v>
      </c>
      <c r="D9482" s="7">
        <f>IFERROR(__xludf.DUMMYFUNCTION("""COMPUTED_VALUE"""),0.352941176470588)</f>
        <v>0.3529411765</v>
      </c>
    </row>
    <row r="9483">
      <c r="A9483" s="10" t="s">
        <v>10922</v>
      </c>
      <c r="B9483" s="7" t="str">
        <f>IFERROR(__xludf.DUMMYFUNCTION("SPLIT(A9483,"" "")"),"C1=CNC(NCc2ccccn2)C(NCc2ccccn2)=C1")</f>
        <v>C1=CNC(NCc2ccccn2)C(NCc2ccccn2)=C1</v>
      </c>
      <c r="C9483" s="7">
        <f>IFERROR(__xludf.DUMMYFUNCTION("""COMPUTED_VALUE"""),7.7693033)</f>
        <v>7.7693033</v>
      </c>
      <c r="D9483" s="7">
        <f>IFERROR(__xludf.DUMMYFUNCTION("""COMPUTED_VALUE"""),0.404761904761904)</f>
        <v>0.4047619048</v>
      </c>
    </row>
    <row r="9484">
      <c r="A9484" s="10" t="s">
        <v>10923</v>
      </c>
      <c r="B9484" s="7" t="str">
        <f>IFERROR(__xludf.DUMMYFUNCTION("SPLIT(A9484,"" "")"),"CC1C=CC(C)C(C)(c2ncccc2CN(Cc2ccccn2)C2CCCCC2N(C)c2cccc3nccc(CN(C)C)c23)C1")</f>
        <v>CC1C=CC(C)C(C)(c2ncccc2CN(Cc2ccccn2)C2CCCCC2N(C)c2cccc3nccc(CN(C)C)c23)C1</v>
      </c>
      <c r="C9484" s="7">
        <f>IFERROR(__xludf.DUMMYFUNCTION("""COMPUTED_VALUE"""),7.7693024)</f>
        <v>7.7693024</v>
      </c>
      <c r="D9484" s="7">
        <f>IFERROR(__xludf.DUMMYFUNCTION("""COMPUTED_VALUE"""),0.346666666666666)</f>
        <v>0.3466666667</v>
      </c>
    </row>
    <row r="9485">
      <c r="A9485" s="10" t="s">
        <v>10924</v>
      </c>
      <c r="B9485" s="7" t="str">
        <f>IFERROR(__xludf.DUMMYFUNCTION("SPLIT(A9485,"" "")"),"CN(Cc1ccc(C2=CCC=CN2)cn1)C1CCCC(N(C)Cc2cccc(-c3ccccc3)n2)C1")</f>
        <v>CN(Cc1ccc(C2=CCC=CN2)cn1)C1CCCC(N(C)Cc2cccc(-c3ccccc3)n2)C1</v>
      </c>
      <c r="C9485" s="7">
        <f>IFERROR(__xludf.DUMMYFUNCTION("""COMPUTED_VALUE"""),7.7692943)</f>
        <v>7.7692943</v>
      </c>
      <c r="D9485" s="7">
        <f>IFERROR(__xludf.DUMMYFUNCTION("""COMPUTED_VALUE"""),0.333333333333333)</f>
        <v>0.3333333333</v>
      </c>
    </row>
    <row r="9486">
      <c r="A9486" s="10" t="s">
        <v>10925</v>
      </c>
      <c r="B9486" s="7" t="str">
        <f>IFERROR(__xludf.DUMMYFUNCTION("SPLIT(A9486,"" "")"),"CC(C)NCc1ncccc1C(C)(C)c1ccccn1")</f>
        <v>CC(C)NCc1ncccc1C(C)(C)c1ccccn1</v>
      </c>
      <c r="C9486" s="7">
        <f>IFERROR(__xludf.DUMMYFUNCTION("""COMPUTED_VALUE"""),7.769285)</f>
        <v>7.769285</v>
      </c>
      <c r="D9486" s="7">
        <f>IFERROR(__xludf.DUMMYFUNCTION("""COMPUTED_VALUE"""),0.34)</f>
        <v>0.34</v>
      </c>
    </row>
    <row r="9487">
      <c r="A9487" s="10" t="s">
        <v>10926</v>
      </c>
      <c r="B9487" s="7" t="str">
        <f>IFERROR(__xludf.DUMMYFUNCTION("SPLIT(A9487,"" "")"),"CNCc1cccc(CN(Cc2ccccn2)C2CCC(N(C)Cc3cccc(-c4cccc(Cl)c4SC)n3)CC2)n1")</f>
        <v>CNCc1cccc(CN(Cc2ccccn2)C2CCC(N(C)Cc3cccc(-c4cccc(Cl)c4SC)n3)CC2)n1</v>
      </c>
      <c r="C9487" s="7">
        <f>IFERROR(__xludf.DUMMYFUNCTION("""COMPUTED_VALUE"""),7.769281)</f>
        <v>7.769281</v>
      </c>
      <c r="D9487" s="7">
        <f>IFERROR(__xludf.DUMMYFUNCTION("""COMPUTED_VALUE"""),0.373134328358209)</f>
        <v>0.3731343284</v>
      </c>
    </row>
    <row r="9488">
      <c r="A9488" s="10" t="s">
        <v>10927</v>
      </c>
      <c r="B9488" s="7" t="str">
        <f>IFERROR(__xludf.DUMMYFUNCTION("SPLIT(A9488,"" "")"),"CNCc1ncccc1CN(C)Cc1ncc(C)cc1C")</f>
        <v>CNCc1ncccc1CN(C)Cc1ncc(C)cc1C</v>
      </c>
      <c r="C9488" s="7">
        <f>IFERROR(__xludf.DUMMYFUNCTION("""COMPUTED_VALUE"""),7.769272)</f>
        <v>7.769272</v>
      </c>
      <c r="D9488" s="7">
        <f>IFERROR(__xludf.DUMMYFUNCTION("""COMPUTED_VALUE"""),0.346153846153846)</f>
        <v>0.3461538462</v>
      </c>
    </row>
    <row r="9489">
      <c r="A9489" s="10" t="s">
        <v>10928</v>
      </c>
      <c r="B9489" s="7" t="str">
        <f>IFERROR(__xludf.DUMMYFUNCTION("SPLIT(A9489,"" "")"),"CN(Cc1ccccn1)C1CCC(N(C)c2ccc3ncc(CF)cc3c2)CC1")</f>
        <v>CN(Cc1ccccn1)C1CCC(N(C)c2ccc3ncc(CF)cc3c2)CC1</v>
      </c>
      <c r="C9489" s="7">
        <f>IFERROR(__xludf.DUMMYFUNCTION("""COMPUTED_VALUE"""),7.769266)</f>
        <v>7.769266</v>
      </c>
      <c r="D9489" s="7">
        <f>IFERROR(__xludf.DUMMYFUNCTION("""COMPUTED_VALUE"""),0.421052631578947)</f>
        <v>0.4210526316</v>
      </c>
    </row>
    <row r="9490">
      <c r="A9490" s="10" t="s">
        <v>10929</v>
      </c>
      <c r="B9490" s="7" t="str">
        <f>IFERROR(__xludf.DUMMYFUNCTION("SPLIT(A9490,"" "")"),"Cc1ccc(CN(C)Cc2cccc(CN(Cc3cc(C)ccn3)C(C)C)n2)nc1")</f>
        <v>Cc1ccc(CN(C)Cc2cccc(CN(Cc3cc(C)ccn3)C(C)C)n2)nc1</v>
      </c>
      <c r="C9490" s="7">
        <f>IFERROR(__xludf.DUMMYFUNCTION("""COMPUTED_VALUE"""),7.769265)</f>
        <v>7.769265</v>
      </c>
      <c r="D9490" s="7">
        <f>IFERROR(__xludf.DUMMYFUNCTION("""COMPUTED_VALUE"""),0.468085106382978)</f>
        <v>0.4680851064</v>
      </c>
    </row>
    <row r="9491">
      <c r="A9491" s="10" t="s">
        <v>10930</v>
      </c>
      <c r="B9491" s="7" t="str">
        <f>IFERROR(__xludf.DUMMYFUNCTION("SPLIT(A9491,"" "")"),"CCOC(=O)C(=O)NCc1ccccn1")</f>
        <v>CCOC(=O)C(=O)NCc1ccccn1</v>
      </c>
      <c r="C9491" s="7">
        <f>IFERROR(__xludf.DUMMYFUNCTION("""COMPUTED_VALUE"""),7.7692633)</f>
        <v>7.7692633</v>
      </c>
      <c r="D9491" s="7">
        <f>IFERROR(__xludf.DUMMYFUNCTION("""COMPUTED_VALUE"""),0.435897435897435)</f>
        <v>0.4358974359</v>
      </c>
    </row>
    <row r="9492">
      <c r="A9492" s="10" t="s">
        <v>10931</v>
      </c>
      <c r="B9492" s="7" t="str">
        <f>IFERROR(__xludf.DUMMYFUNCTION("SPLIT(A9492,"" "")"),"CC1=C(C)C(C)CC(C)(c2cc(CN(Cc3ccccn3)Cc3ccccn3)ccn2)C1")</f>
        <v>CC1=C(C)C(C)CC(C)(c2cc(CN(Cc3ccccn3)Cc3ccccn3)ccn2)C1</v>
      </c>
      <c r="C9492" s="7">
        <f>IFERROR(__xludf.DUMMYFUNCTION("""COMPUTED_VALUE"""),7.7692614)</f>
        <v>7.7692614</v>
      </c>
      <c r="D9492" s="7">
        <f>IFERROR(__xludf.DUMMYFUNCTION("""COMPUTED_VALUE"""),0.408163265306122)</f>
        <v>0.4081632653</v>
      </c>
    </row>
    <row r="9493">
      <c r="A9493" s="10" t="s">
        <v>10932</v>
      </c>
      <c r="B9493" s="7" t="str">
        <f>IFERROR(__xludf.DUMMYFUNCTION("SPLIT(A9493,"" "")"),"CC(C)N(Cc1cc(C(C)(C)C)ccn1)Cc1cc(C(C)(C)C)ccn1")</f>
        <v>CC(C)N(Cc1cc(C(C)(C)C)ccn1)Cc1cc(C(C)(C)C)ccn1</v>
      </c>
      <c r="C9493" s="7">
        <f>IFERROR(__xludf.DUMMYFUNCTION("""COMPUTED_VALUE"""),7.7692614)</f>
        <v>7.7692614</v>
      </c>
      <c r="D9493" s="7">
        <f>IFERROR(__xludf.DUMMYFUNCTION("""COMPUTED_VALUE"""),0.461538461538461)</f>
        <v>0.4615384615</v>
      </c>
    </row>
    <row r="9494">
      <c r="A9494" s="10" t="s">
        <v>10933</v>
      </c>
      <c r="B9494" s="7" t="str">
        <f>IFERROR(__xludf.DUMMYFUNCTION("SPLIT(A9494,"" "")"),"CCNCc1ncccc1CN(Cc1ccccn1)Cc1ncc(C)c(C)c1C")</f>
        <v>CCNCc1ncccc1CN(Cc1ccccn1)Cc1ncc(C)c(C)c1C</v>
      </c>
      <c r="C9494" s="7">
        <f>IFERROR(__xludf.DUMMYFUNCTION("""COMPUTED_VALUE"""),7.769254)</f>
        <v>7.769254</v>
      </c>
      <c r="D9494" s="7">
        <f>IFERROR(__xludf.DUMMYFUNCTION("""COMPUTED_VALUE"""),0.425531914893617)</f>
        <v>0.4255319149</v>
      </c>
    </row>
    <row r="9495">
      <c r="A9495" s="10" t="s">
        <v>10934</v>
      </c>
      <c r="B9495" s="7" t="str">
        <f>IFERROR(__xludf.DUMMYFUNCTION("SPLIT(A9495,"" "")"),"CCN(Cc1ccccn1)C1CCC(N(C)c2ccc3c(CF)ccnc3c2)CC1")</f>
        <v>CCN(Cc1ccccn1)C1CCC(N(C)c2ccc3c(CF)ccnc3c2)CC1</v>
      </c>
      <c r="C9495" s="7">
        <f>IFERROR(__xludf.DUMMYFUNCTION("""COMPUTED_VALUE"""),7.769253)</f>
        <v>7.769253</v>
      </c>
      <c r="D9495" s="7">
        <f>IFERROR(__xludf.DUMMYFUNCTION("""COMPUTED_VALUE"""),0.366666666666666)</f>
        <v>0.3666666667</v>
      </c>
    </row>
    <row r="9496">
      <c r="A9496" s="10" t="s">
        <v>10935</v>
      </c>
      <c r="B9496" s="7" t="str">
        <f>IFERROR(__xludf.DUMMYFUNCTION("SPLIT(A9496,"" "")"),"CN(Cc1cccc(F)n1)C1CCCCC1N(C)c1ccc2ncccc2c1")</f>
        <v>CN(Cc1cccc(F)n1)C1CCCCC1N(C)c1ccc2ncccc2c1</v>
      </c>
      <c r="C9496" s="7">
        <f>IFERROR(__xludf.DUMMYFUNCTION("""COMPUTED_VALUE"""),7.7692413)</f>
        <v>7.7692413</v>
      </c>
      <c r="D9496" s="7">
        <f>IFERROR(__xludf.DUMMYFUNCTION("""COMPUTED_VALUE"""),0.490566037735849)</f>
        <v>0.4905660377</v>
      </c>
    </row>
    <row r="9497">
      <c r="A9497" s="10" t="s">
        <v>10936</v>
      </c>
      <c r="B9497" s="7" t="str">
        <f>IFERROR(__xludf.DUMMYFUNCTION("SPLIT(A9497,"" "")"),"CCNCc1cc(CN(Cc2ccccn2)C2CCCCC2N(C)c2cccc3nccc(C)c23)ccn1")</f>
        <v>CCNCc1cc(CN(Cc2ccccn2)C2CCCCC2N(C)c2cccc3nccc(C)c23)ccn1</v>
      </c>
      <c r="C9497" s="7">
        <f>IFERROR(__xludf.DUMMYFUNCTION("""COMPUTED_VALUE"""),7.769238)</f>
        <v>7.769238</v>
      </c>
      <c r="D9497" s="7">
        <f>IFERROR(__xludf.DUMMYFUNCTION("""COMPUTED_VALUE"""),0.393939393939393)</f>
        <v>0.3939393939</v>
      </c>
    </row>
    <row r="9498">
      <c r="A9498" s="10" t="s">
        <v>10937</v>
      </c>
      <c r="B9498" s="7" t="str">
        <f>IFERROR(__xludf.DUMMYFUNCTION("SPLIT(A9498,"" "")"),"CC1=CC(C)(C)CC2(C1)CC(c1nc(CN(Cc3cc(C(C)(C)C)ccn3)Cc3ncccc3C3=NC(C)(C)CO3)ccc1C)=CC1(CC(C)C=CC13CCC(C)=C(C)C3)C2")</f>
        <v>CC1=CC(C)(C)CC2(C1)CC(c1nc(CN(Cc3cc(C(C)(C)C)ccn3)Cc3ncccc3C3=NC(C)(C)CO3)ccc1C)=CC1(CC(C)C=CC13CCC(C)=C(C)C3)C2</v>
      </c>
      <c r="C9498" s="7">
        <f>IFERROR(__xludf.DUMMYFUNCTION("""COMPUTED_VALUE"""),7.769231)</f>
        <v>7.769231</v>
      </c>
      <c r="D9498" s="7">
        <f>IFERROR(__xludf.DUMMYFUNCTION("""COMPUTED_VALUE"""),0.198019801980198)</f>
        <v>0.198019802</v>
      </c>
    </row>
    <row r="9499">
      <c r="A9499" s="10" t="s">
        <v>10938</v>
      </c>
      <c r="B9499" s="7" t="str">
        <f>IFERROR(__xludf.DUMMYFUNCTION("SPLIT(A9499,"" "")"),"CN(c1ccc2c(CF)ccnc2c1)C1CCCCC1N(Cc1ccccc1)Cc1ccccn1")</f>
        <v>CN(c1ccc2c(CF)ccnc2c1)C1CCCCC1N(Cc1ccccc1)Cc1ccccn1</v>
      </c>
      <c r="C9499" s="7">
        <f>IFERROR(__xludf.DUMMYFUNCTION("""COMPUTED_VALUE"""),7.7692266)</f>
        <v>7.7692266</v>
      </c>
      <c r="D9499" s="7">
        <f>IFERROR(__xludf.DUMMYFUNCTION("""COMPUTED_VALUE"""),0.433333333333333)</f>
        <v>0.4333333333</v>
      </c>
    </row>
    <row r="9500">
      <c r="A9500" s="10" t="s">
        <v>10939</v>
      </c>
      <c r="B9500" s="7" t="str">
        <f>IFERROR(__xludf.DUMMYFUNCTION("SPLIT(A9500,"" "")"),"CC1=C(c2ccccc2)C(CN(C)Cc2ncccc2N)C(C)C=C1")</f>
        <v>CC1=C(c2ccccc2)C(CN(C)Cc2ncccc2N)C(C)C=C1</v>
      </c>
      <c r="C9500" s="7">
        <f>IFERROR(__xludf.DUMMYFUNCTION("""COMPUTED_VALUE"""),7.769224)</f>
        <v>7.769224</v>
      </c>
      <c r="D9500" s="7">
        <f>IFERROR(__xludf.DUMMYFUNCTION("""COMPUTED_VALUE"""),0.260869565217391)</f>
        <v>0.2608695652</v>
      </c>
    </row>
    <row r="9501">
      <c r="A9501" s="10" t="s">
        <v>10940</v>
      </c>
      <c r="B9501" s="7" t="str">
        <f>IFERROR(__xludf.DUMMYFUNCTION("SPLIT(A9501,"" "")"),"CNCc1ccc2cccc(N(C)C3CCC(N(Cc4ccccn4)Cc4ccccn4)CC3)c2n1")</f>
        <v>CNCc1ccc2cccc(N(C)C3CCC(N(Cc4ccccn4)Cc4ccccn4)CC3)c2n1</v>
      </c>
      <c r="C9501" s="7">
        <f>IFERROR(__xludf.DUMMYFUNCTION("""COMPUTED_VALUE"""),7.7692146)</f>
        <v>7.7692146</v>
      </c>
      <c r="D9501" s="7">
        <f>IFERROR(__xludf.DUMMYFUNCTION("""COMPUTED_VALUE"""),0.426229508196721)</f>
        <v>0.4262295082</v>
      </c>
    </row>
    <row r="9502">
      <c r="A9502" s="10" t="s">
        <v>10941</v>
      </c>
      <c r="B9502" s="7" t="str">
        <f>IFERROR(__xludf.DUMMYFUNCTION("SPLIT(A9502,"" "")"),"CN1CCN(C)CCN(Cc2ccc(-c3ccc4ccccc4c3)nc2)CC1")</f>
        <v>CN1CCN(C)CCN(Cc2ccc(-c3ccc4ccccc4c3)nc2)CC1</v>
      </c>
      <c r="C9502" s="7">
        <f>IFERROR(__xludf.DUMMYFUNCTION("""COMPUTED_VALUE"""),7.7692094)</f>
        <v>7.7692094</v>
      </c>
      <c r="D9502" s="7">
        <f>IFERROR(__xludf.DUMMYFUNCTION("""COMPUTED_VALUE"""),0.416666666666666)</f>
        <v>0.4166666667</v>
      </c>
    </row>
    <row r="9503">
      <c r="A9503" s="10" t="s">
        <v>10942</v>
      </c>
      <c r="B9503" s="7" t="str">
        <f>IFERROR(__xludf.DUMMYFUNCTION("SPLIT(A9503,"" "")"),"Cc1cccnc1CN(Cc1cncc(F)c1)Cc1ccccn1")</f>
        <v>Cc1cccnc1CN(Cc1cncc(F)c1)Cc1ccccn1</v>
      </c>
      <c r="C9503" s="7">
        <f>IFERROR(__xludf.DUMMYFUNCTION("""COMPUTED_VALUE"""),7.7692027)</f>
        <v>7.7692027</v>
      </c>
      <c r="D9503" s="7">
        <f>IFERROR(__xludf.DUMMYFUNCTION("""COMPUTED_VALUE"""),0.454545454545454)</f>
        <v>0.4545454545</v>
      </c>
    </row>
    <row r="9504">
      <c r="A9504" s="10" t="s">
        <v>10943</v>
      </c>
      <c r="B9504" s="7" t="str">
        <f>IFERROR(__xludf.DUMMYFUNCTION("SPLIT(A9504,"" "")"),"CCNC1NC=CC=C1N(Cc1ccccn1)Cc1ccccn1")</f>
        <v>CCNC1NC=CC=C1N(Cc1ccccn1)Cc1ccccn1</v>
      </c>
      <c r="C9504" s="7">
        <f>IFERROR(__xludf.DUMMYFUNCTION("""COMPUTED_VALUE"""),7.769195)</f>
        <v>7.769195</v>
      </c>
      <c r="D9504" s="7">
        <f>IFERROR(__xludf.DUMMYFUNCTION("""COMPUTED_VALUE"""),0.433962264150943)</f>
        <v>0.4339622642</v>
      </c>
    </row>
    <row r="9505">
      <c r="A9505" s="10" t="s">
        <v>10944</v>
      </c>
      <c r="B9505" s="7" t="str">
        <f>IFERROR(__xludf.DUMMYFUNCTION("SPLIT(A9505,"" "")"),"CN(Cc1ncccc1-c1ccc2c(c1)OCCOCCOCCOCCOCCO2)Cc1ncccc1-c1ccccc1N=Cc1ccccn1")</f>
        <v>CN(Cc1ncccc1-c1ccc2c(c1)OCCOCCOCCOCCOCCO2)Cc1ncccc1-c1ccccc1N=Cc1ccccn1</v>
      </c>
      <c r="C9505" s="7">
        <f>IFERROR(__xludf.DUMMYFUNCTION("""COMPUTED_VALUE"""),7.769194)</f>
        <v>7.769194</v>
      </c>
      <c r="D9505" s="7">
        <f>IFERROR(__xludf.DUMMYFUNCTION("""COMPUTED_VALUE"""),0.348484848484848)</f>
        <v>0.3484848485</v>
      </c>
    </row>
    <row r="9506">
      <c r="A9506" s="10" t="s">
        <v>10945</v>
      </c>
      <c r="B9506" s="7" t="str">
        <f>IFERROR(__xludf.DUMMYFUNCTION("SPLIT(A9506,"" "")"),"Cc1ccc(C)c(CN(C)Cc2ncccc2C)c1")</f>
        <v>Cc1ccc(C)c(CN(C)Cc2ncccc2C)c1</v>
      </c>
      <c r="C9506" s="7">
        <f>IFERROR(__xludf.DUMMYFUNCTION("""COMPUTED_VALUE"""),7.7691917)</f>
        <v>7.7691917</v>
      </c>
      <c r="D9506" s="7">
        <f>IFERROR(__xludf.DUMMYFUNCTION("""COMPUTED_VALUE"""),0.377777777777777)</f>
        <v>0.3777777778</v>
      </c>
    </row>
    <row r="9507">
      <c r="A9507" s="10" t="s">
        <v>10946</v>
      </c>
      <c r="B9507" s="7" t="str">
        <f>IFERROR(__xludf.DUMMYFUNCTION("SPLIT(A9507,"" "")"),"Cc1ccc(C)c(CN(Cc2ncccc2C)C2CCC(N(C)Cc3ncccc3-c3ccccn3)CC2)n1")</f>
        <v>Cc1ccc(C)c(CN(Cc2ncccc2C)C2CCC(N(C)Cc3ncccc3-c3ccccn3)CC2)n1</v>
      </c>
      <c r="C9507" s="7">
        <f>IFERROR(__xludf.DUMMYFUNCTION("""COMPUTED_VALUE"""),7.7691894)</f>
        <v>7.7691894</v>
      </c>
      <c r="D9507" s="7">
        <f>IFERROR(__xludf.DUMMYFUNCTION("""COMPUTED_VALUE"""),0.306451612903225)</f>
        <v>0.3064516129</v>
      </c>
    </row>
    <row r="9508">
      <c r="A9508" s="10" t="s">
        <v>10947</v>
      </c>
      <c r="B9508" s="7" t="str">
        <f>IFERROR(__xludf.DUMMYFUNCTION("SPLIT(A9508,"" "")"),"CC(C)NCc1cccc(C(C)(C)c2ccccn2)n1")</f>
        <v>CC(C)NCc1cccc(C(C)(C)c2ccccn2)n1</v>
      </c>
      <c r="C9508" s="7">
        <f>IFERROR(__xludf.DUMMYFUNCTION("""COMPUTED_VALUE"""),7.7691836)</f>
        <v>7.7691836</v>
      </c>
      <c r="D9508" s="7">
        <f>IFERROR(__xludf.DUMMYFUNCTION("""COMPUTED_VALUE"""),0.377358490566037)</f>
        <v>0.3773584906</v>
      </c>
    </row>
    <row r="9509">
      <c r="A9509" s="10" t="s">
        <v>10948</v>
      </c>
      <c r="B9509" s="7" t="str">
        <f>IFERROR(__xludf.DUMMYFUNCTION("SPLIT(A9509,"" "")"),"CCOC(C)c1cccc(CN(Cc2ccccn2)Cc2cc(C(C)(C)C)ccn2)n1")</f>
        <v>CCOC(C)c1cccc(CN(Cc2ccccn2)Cc2cc(C(C)(C)C)ccn2)n1</v>
      </c>
      <c r="C9509" s="7">
        <f>IFERROR(__xludf.DUMMYFUNCTION("""COMPUTED_VALUE"""),7.769182)</f>
        <v>7.769182</v>
      </c>
      <c r="D9509" s="7">
        <f>IFERROR(__xludf.DUMMYFUNCTION("""COMPUTED_VALUE"""),0.412698412698412)</f>
        <v>0.4126984127</v>
      </c>
    </row>
    <row r="9510">
      <c r="A9510" s="10" t="s">
        <v>10949</v>
      </c>
      <c r="B9510" s="7" t="str">
        <f>IFERROR(__xludf.DUMMYFUNCTION("SPLIT(A9510,"" "")"),"CNCc1cccc(CN(Cc2ccccn2)C(C)(N)c2ccccn2)n1")</f>
        <v>CNCc1cccc(CN(Cc2ccccn2)C(C)(N)c2ccccn2)n1</v>
      </c>
      <c r="C9510" s="7">
        <f>IFERROR(__xludf.DUMMYFUNCTION("""COMPUTED_VALUE"""),7.769181)</f>
        <v>7.769181</v>
      </c>
      <c r="D9510" s="7">
        <f>IFERROR(__xludf.DUMMYFUNCTION("""COMPUTED_VALUE"""),0.403846153846153)</f>
        <v>0.4038461538</v>
      </c>
    </row>
    <row r="9511">
      <c r="A9511" s="10" t="s">
        <v>10950</v>
      </c>
      <c r="B9511" s="7" t="str">
        <f>IFERROR(__xludf.DUMMYFUNCTION("SPLIT(A9511,"" "")"),"CNC1C(N(Cc2cc(C)c(C)cn2)Cc2nc(C)c(C)c(C)c2C)CCCC1N(Cc1nc(C)c(C)c(C)c1C)Cc1nc(C)c(C)c(C)c1C")</f>
        <v>CNC1C(N(Cc2cc(C)c(C)cn2)Cc2nc(C)c(C)c(C)c2C)CCCC1N(Cc1nc(C)c(C)c(C)c1C)Cc1nc(C)c(C)c(C)c1C</v>
      </c>
      <c r="C9511" s="7">
        <f>IFERROR(__xludf.DUMMYFUNCTION("""COMPUTED_VALUE"""),7.7691803)</f>
        <v>7.7691803</v>
      </c>
      <c r="D9511" s="7">
        <f>IFERROR(__xludf.DUMMYFUNCTION("""COMPUTED_VALUE"""),0.327586206896551)</f>
        <v>0.3275862069</v>
      </c>
    </row>
    <row r="9512">
      <c r="A9512" s="10" t="s">
        <v>10951</v>
      </c>
      <c r="B9512" s="7" t="str">
        <f>IFERROR(__xludf.DUMMYFUNCTION("SPLIT(A9512,"" "")"),"C=CCN(Cc1ccccn1)Cc1ncccc1C(C)(C)c1ccccn1")</f>
        <v>C=CCN(Cc1ccccn1)Cc1ncccc1C(C)(C)c1ccccn1</v>
      </c>
      <c r="C9512" s="7">
        <f>IFERROR(__xludf.DUMMYFUNCTION("""COMPUTED_VALUE"""),7.76918)</f>
        <v>7.76918</v>
      </c>
      <c r="D9512" s="7">
        <f>IFERROR(__xludf.DUMMYFUNCTION("""COMPUTED_VALUE"""),0.431372549019607)</f>
        <v>0.431372549</v>
      </c>
    </row>
    <row r="9513">
      <c r="A9513" s="10" t="s">
        <v>10952</v>
      </c>
      <c r="B9513" s="7" t="str">
        <f>IFERROR(__xludf.DUMMYFUNCTION("SPLIT(A9513,"" "")"),"CC(C)C(C)(c1cccnc1)N(Cc1ccccn1)C1CCC(N(C)c2ccc3c(CF)ccnc3c2)CC1")</f>
        <v>CC(C)C(C)(c1cccnc1)N(Cc1ccccn1)C1CCC(N(C)c2ccc3c(CF)ccnc3c2)CC1</v>
      </c>
      <c r="C9513" s="7">
        <f>IFERROR(__xludf.DUMMYFUNCTION("""COMPUTED_VALUE"""),7.7691774)</f>
        <v>7.7691774</v>
      </c>
      <c r="D9513" s="7">
        <f>IFERROR(__xludf.DUMMYFUNCTION("""COMPUTED_VALUE"""),0.305555555555555)</f>
        <v>0.3055555556</v>
      </c>
    </row>
    <row r="9514">
      <c r="A9514" s="10" t="s">
        <v>10953</v>
      </c>
      <c r="B9514" s="7" t="str">
        <f>IFERROR(__xludf.DUMMYFUNCTION("SPLIT(A9514,"" "")"),"Cc1ccccc1N(C)C1CC(N(C)Cc2ccccn2)CC(N(Cc2nc(C)c(C)c(C)c2C)Cc2nc(C)c(C)c(C)c2C)C1")</f>
        <v>Cc1ccccc1N(C)C1CC(N(C)Cc2ccccn2)CC(N(Cc2nc(C)c(C)c(C)c2C)Cc2nc(C)c(C)c(C)c2C)C1</v>
      </c>
      <c r="C9514" s="7">
        <f>IFERROR(__xludf.DUMMYFUNCTION("""COMPUTED_VALUE"""),7.769173)</f>
        <v>7.769173</v>
      </c>
      <c r="D9514" s="7">
        <f>IFERROR(__xludf.DUMMYFUNCTION("""COMPUTED_VALUE"""),0.389830508474576)</f>
        <v>0.3898305085</v>
      </c>
    </row>
    <row r="9515">
      <c r="A9515" s="10" t="s">
        <v>10954</v>
      </c>
      <c r="B9515" s="7" t="str">
        <f>IFERROR(__xludf.DUMMYFUNCTION("SPLIT(A9515,"" "")"),"Cc1ccc(CN(C)C2=CNC(CN(Cc3ccccn3)CC(C)(C)C)=CC2)nc1")</f>
        <v>Cc1ccc(CN(C)C2=CNC(CN(Cc3ccccn3)CC(C)(C)C)=CC2)nc1</v>
      </c>
      <c r="C9515" s="7">
        <f>IFERROR(__xludf.DUMMYFUNCTION("""COMPUTED_VALUE"""),7.7691717)</f>
        <v>7.7691717</v>
      </c>
      <c r="D9515" s="7">
        <f>IFERROR(__xludf.DUMMYFUNCTION("""COMPUTED_VALUE"""),0.464285714285714)</f>
        <v>0.4642857143</v>
      </c>
    </row>
    <row r="9516">
      <c r="A9516" s="10" t="s">
        <v>10955</v>
      </c>
      <c r="B9516" s="7" t="str">
        <f>IFERROR(__xludf.DUMMYFUNCTION("SPLIT(A9516,"" "")"),"CCNCc1ccc(CN(Cc2ccccn2)C2CCCC(N(C)c3cccc4nccc(CF)c34)C2)cn1")</f>
        <v>CCNCc1ccc(CN(Cc2ccccn2)C2CCCC(N(C)c3cccc4nccc(CF)c34)C2)cn1</v>
      </c>
      <c r="C9516" s="7">
        <f>IFERROR(__xludf.DUMMYFUNCTION("""COMPUTED_VALUE"""),7.7691684)</f>
        <v>7.7691684</v>
      </c>
      <c r="D9516" s="7">
        <f>IFERROR(__xludf.DUMMYFUNCTION("""COMPUTED_VALUE"""),0.302631578947368)</f>
        <v>0.3026315789</v>
      </c>
    </row>
    <row r="9517">
      <c r="A9517" s="10" t="s">
        <v>10956</v>
      </c>
      <c r="B9517" s="7" t="str">
        <f>IFERROR(__xludf.DUMMYFUNCTION("SPLIT(A9517,"" "")"),"Cc1ccc(C)c(CN(C)C2=CNC(CN(C)C(C)C)=CC2)n1")</f>
        <v>Cc1ccc(C)c(CN(C)C2=CNC(CN(C)C(C)C)=CC2)n1</v>
      </c>
      <c r="C9517" s="7">
        <f>IFERROR(__xludf.DUMMYFUNCTION("""COMPUTED_VALUE"""),7.769168)</f>
        <v>7.769168</v>
      </c>
      <c r="D9517" s="7">
        <f>IFERROR(__xludf.DUMMYFUNCTION("""COMPUTED_VALUE"""),0.236363636363636)</f>
        <v>0.2363636364</v>
      </c>
    </row>
    <row r="9518">
      <c r="A9518" s="10" t="s">
        <v>10957</v>
      </c>
      <c r="B9518" s="7" t="str">
        <f>IFERROR(__xludf.DUMMYFUNCTION("SPLIT(A9518,"" "")"),"CCNC1CC(N(C)Cc2ccccn2)CC(N(C)c2ccc3c(CF)ccnc3c2)C1")</f>
        <v>CCNC1CC(N(C)Cc2ccccn2)CC(N(C)c2ccc3c(CF)ccnc3c2)C1</v>
      </c>
      <c r="C9518" s="7">
        <f>IFERROR(__xludf.DUMMYFUNCTION("""COMPUTED_VALUE"""),7.769166)</f>
        <v>7.769166</v>
      </c>
      <c r="D9518" s="7">
        <f>IFERROR(__xludf.DUMMYFUNCTION("""COMPUTED_VALUE"""),0.359375)</f>
        <v>0.359375</v>
      </c>
    </row>
    <row r="9519">
      <c r="A9519" s="10" t="s">
        <v>10958</v>
      </c>
      <c r="B9519" s="7" t="str">
        <f>IFERROR(__xludf.DUMMYFUNCTION("SPLIT(A9519,"" "")"),"CCN(Cc1ccccn1)C1CCC(N(C)c2ccc3nccc(CF)c3c2)CC1")</f>
        <v>CCN(Cc1ccccn1)C1CCC(N(C)c2ccc3nccc(CF)c3c2)CC1</v>
      </c>
      <c r="C9519" s="7">
        <f>IFERROR(__xludf.DUMMYFUNCTION("""COMPUTED_VALUE"""),7.7691555)</f>
        <v>7.7691555</v>
      </c>
      <c r="D9519" s="7">
        <f>IFERROR(__xludf.DUMMYFUNCTION("""COMPUTED_VALUE"""),0.360655737704918)</f>
        <v>0.3606557377</v>
      </c>
    </row>
    <row r="9520">
      <c r="A9520" s="10" t="s">
        <v>10959</v>
      </c>
      <c r="B9520" s="7" t="str">
        <f>IFERROR(__xludf.DUMMYFUNCTION("SPLIT(A9520,"" "")"),"CC(C)N(Cc1ccccn1)c1ccc(Cl)c(N)c1-c1ncccc1CN1CCN(C)CCN(C)CC1")</f>
        <v>CC(C)N(Cc1ccccn1)c1ccc(Cl)c(N)c1-c1ncccc1CN1CCN(C)CCN(C)CC1</v>
      </c>
      <c r="C9520" s="7">
        <f>IFERROR(__xludf.DUMMYFUNCTION("""COMPUTED_VALUE"""),7.7691545)</f>
        <v>7.7691545</v>
      </c>
      <c r="D9520" s="7">
        <f>IFERROR(__xludf.DUMMYFUNCTION("""COMPUTED_VALUE"""),0.433333333333333)</f>
        <v>0.4333333333</v>
      </c>
    </row>
    <row r="9521">
      <c r="A9521" s="10" t="s">
        <v>10960</v>
      </c>
      <c r="B9521" s="7" t="str">
        <f>IFERROR(__xludf.DUMMYFUNCTION("SPLIT(A9521,"" "")"),"CNCc1cc(CN(Cc2ccccn2)C2CCC(N(C)c3cccc4ccc(CF)nc34)CC2)ccn1")</f>
        <v>CNCc1cc(CN(Cc2ccccn2)C2CCC(N(C)c3cccc4ccc(CF)nc34)CC2)ccn1</v>
      </c>
      <c r="C9521" s="7">
        <f>IFERROR(__xludf.DUMMYFUNCTION("""COMPUTED_VALUE"""),7.7691536)</f>
        <v>7.7691536</v>
      </c>
      <c r="D9521" s="7">
        <f>IFERROR(__xludf.DUMMYFUNCTION("""COMPUTED_VALUE"""),0.462686567164179)</f>
        <v>0.4626865672</v>
      </c>
    </row>
    <row r="9522">
      <c r="A9522" s="10" t="s">
        <v>10961</v>
      </c>
      <c r="B9522" s="7" t="str">
        <f>IFERROR(__xludf.DUMMYFUNCTION("SPLIT(A9522,"" "")"),"Cc1cccnc1CN(C)CC1=CC(N(C)Cc2ncccc2C)C=CN1")</f>
        <v>Cc1cccnc1CN(C)CC1=CC(N(C)Cc2ncccc2C)C=CN1</v>
      </c>
      <c r="C9522" s="7">
        <f>IFERROR(__xludf.DUMMYFUNCTION("""COMPUTED_VALUE"""),7.769151)</f>
        <v>7.769151</v>
      </c>
      <c r="D9522" s="7">
        <f>IFERROR(__xludf.DUMMYFUNCTION("""COMPUTED_VALUE"""),0.333333333333333)</f>
        <v>0.3333333333</v>
      </c>
    </row>
    <row r="9523">
      <c r="A9523" s="10" t="s">
        <v>10962</v>
      </c>
      <c r="B9523" s="7" t="str">
        <f>IFERROR(__xludf.DUMMYFUNCTION("SPLIT(A9523,"" "")"),"CC(C)C(C)(c1ccccn1)c1cccnc1CN(C)Cc1ccccn1")</f>
        <v>CC(C)C(C)(c1ccccn1)c1cccnc1CN(C)Cc1ccccn1</v>
      </c>
      <c r="C9523" s="7">
        <f>IFERROR(__xludf.DUMMYFUNCTION("""COMPUTED_VALUE"""),7.7691483)</f>
        <v>7.7691483</v>
      </c>
      <c r="D9523" s="7">
        <f>IFERROR(__xludf.DUMMYFUNCTION("""COMPUTED_VALUE"""),0.431372549019607)</f>
        <v>0.431372549</v>
      </c>
    </row>
    <row r="9524">
      <c r="A9524" s="10" t="s">
        <v>10963</v>
      </c>
      <c r="B9524" s="7" t="str">
        <f>IFERROR(__xludf.DUMMYFUNCTION("SPLIT(A9524,"" "")"),"CN(C1=CC=CCN1)c1ccccc1-c1ncccc1CN(Cc1ccccn1)C1CCCCC1")</f>
        <v>CN(C1=CC=CCN1)c1ccccc1-c1ncccc1CN(Cc1ccccn1)C1CCCCC1</v>
      </c>
      <c r="C9524" s="7">
        <f>IFERROR(__xludf.DUMMYFUNCTION("""COMPUTED_VALUE"""),7.769146)</f>
        <v>7.769146</v>
      </c>
      <c r="D9524" s="7">
        <f>IFERROR(__xludf.DUMMYFUNCTION("""COMPUTED_VALUE"""),0.369230769230769)</f>
        <v>0.3692307692</v>
      </c>
    </row>
    <row r="9525">
      <c r="A9525" s="10" t="s">
        <v>10964</v>
      </c>
      <c r="B9525" s="7" t="str">
        <f>IFERROR(__xludf.DUMMYFUNCTION("SPLIT(A9525,"" "")"),"Cc1ccc(C)c(CN(C)CCN(C)Cc2nc(C)c(C)cc2C)n1")</f>
        <v>Cc1ccc(C)c(CN(C)CCN(C)Cc2nc(C)c(C)cc2C)n1</v>
      </c>
      <c r="C9525" s="7">
        <f>IFERROR(__xludf.DUMMYFUNCTION("""COMPUTED_VALUE"""),7.7691426)</f>
        <v>7.7691426</v>
      </c>
      <c r="D9525" s="7">
        <f>IFERROR(__xludf.DUMMYFUNCTION("""COMPUTED_VALUE"""),0.425)</f>
        <v>0.425</v>
      </c>
    </row>
    <row r="9526">
      <c r="A9526" s="10" t="s">
        <v>10965</v>
      </c>
      <c r="B9526" s="7" t="str">
        <f>IFERROR(__xludf.DUMMYFUNCTION("SPLIT(A9526,"" "")"),"Cc1cc(C)c(CN(Cc2ccccn2)CC(C)C)nc1N")</f>
        <v>Cc1cc(C)c(CN(Cc2ccccn2)CC(C)C)nc1N</v>
      </c>
      <c r="C9526" s="7">
        <f>IFERROR(__xludf.DUMMYFUNCTION("""COMPUTED_VALUE"""),7.7691374)</f>
        <v>7.7691374</v>
      </c>
      <c r="D9526" s="7">
        <f>IFERROR(__xludf.DUMMYFUNCTION("""COMPUTED_VALUE"""),0.441860465116279)</f>
        <v>0.4418604651</v>
      </c>
    </row>
    <row r="9527">
      <c r="A9527" s="10" t="s">
        <v>10966</v>
      </c>
      <c r="B9527" s="7" t="str">
        <f>IFERROR(__xludf.DUMMYFUNCTION("SPLIT(A9527,"" "")"),"Cc1cnc(CN(CCN(C)Cc2ccon2)Cc2ccccn2)c(C)c1C")</f>
        <v>Cc1cnc(CN(CCN(C)Cc2ccon2)Cc2ccccn2)c(C)c1C</v>
      </c>
      <c r="C9527" s="7">
        <f>IFERROR(__xludf.DUMMYFUNCTION("""COMPUTED_VALUE"""),7.7691374)</f>
        <v>7.7691374</v>
      </c>
      <c r="D9527" s="7">
        <f>IFERROR(__xludf.DUMMYFUNCTION("""COMPUTED_VALUE"""),0.5)</f>
        <v>0.5</v>
      </c>
    </row>
    <row r="9528">
      <c r="A9528" s="10" t="s">
        <v>10967</v>
      </c>
      <c r="B9528" s="7" t="str">
        <f>IFERROR(__xludf.DUMMYFUNCTION("SPLIT(A9528,"" "")"),"CCCN(CC1=CCC=C(N(C)Cc2ccccn2)N1)Cc1ccccn1")</f>
        <v>CCCN(CC1=CCC=C(N(C)Cc2ccccn2)N1)Cc1ccccn1</v>
      </c>
      <c r="C9528" s="7">
        <f>IFERROR(__xludf.DUMMYFUNCTION("""COMPUTED_VALUE"""),7.7691355)</f>
        <v>7.7691355</v>
      </c>
      <c r="D9528" s="7">
        <f>IFERROR(__xludf.DUMMYFUNCTION("""COMPUTED_VALUE"""),0.490566037735849)</f>
        <v>0.4905660377</v>
      </c>
    </row>
    <row r="9529">
      <c r="A9529" s="10" t="s">
        <v>10968</v>
      </c>
      <c r="B9529" s="7" t="str">
        <f>IFERROR(__xludf.DUMMYFUNCTION("SPLIT(A9529,"" "")"),"Cc1cncc(CN(C)Cc2ncccc2C)c1")</f>
        <v>Cc1cncc(CN(C)Cc2ncccc2C)c1</v>
      </c>
      <c r="C9529" s="7">
        <f>IFERROR(__xludf.DUMMYFUNCTION("""COMPUTED_VALUE"""),7.769134)</f>
        <v>7.769134</v>
      </c>
      <c r="D9529" s="7">
        <f>IFERROR(__xludf.DUMMYFUNCTION("""COMPUTED_VALUE"""),0.3)</f>
        <v>0.3</v>
      </c>
    </row>
    <row r="9530">
      <c r="A9530" s="10" t="s">
        <v>10969</v>
      </c>
      <c r="B9530" s="7" t="str">
        <f>IFERROR(__xludf.DUMMYFUNCTION("SPLIT(A9530,"" "")"),"Cc1cccc(CN(C)C2=C(CN(Cc3ccccn3)CC(C)(C)C)NC=CC2)n1")</f>
        <v>Cc1cccc(CN(C)C2=C(CN(Cc3ccccn3)CC(C)(C)C)NC=CC2)n1</v>
      </c>
      <c r="C9530" s="7">
        <f>IFERROR(__xludf.DUMMYFUNCTION("""COMPUTED_VALUE"""),7.7691226)</f>
        <v>7.7691226</v>
      </c>
      <c r="D9530" s="7">
        <f>IFERROR(__xludf.DUMMYFUNCTION("""COMPUTED_VALUE"""),0.456140350877192)</f>
        <v>0.4561403509</v>
      </c>
    </row>
    <row r="9531">
      <c r="A9531" s="10" t="s">
        <v>10970</v>
      </c>
      <c r="B9531" s="7" t="str">
        <f>IFERROR(__xludf.DUMMYFUNCTION("SPLIT(A9531,"" "")"),"Cc1ccnc(CN(C)Cc2cc(C)ccn2)c1")</f>
        <v>Cc1ccnc(CN(C)Cc2cc(C)ccn2)c1</v>
      </c>
      <c r="C9531" s="7">
        <f>IFERROR(__xludf.DUMMYFUNCTION("""COMPUTED_VALUE"""),7.769118)</f>
        <v>7.769118</v>
      </c>
      <c r="D9531" s="7">
        <f>IFERROR(__xludf.DUMMYFUNCTION("""COMPUTED_VALUE"""),0.5)</f>
        <v>0.5</v>
      </c>
    </row>
    <row r="9532">
      <c r="A9532" s="10" t="s">
        <v>10971</v>
      </c>
      <c r="B9532" s="7" t="str">
        <f>IFERROR(__xludf.DUMMYFUNCTION("SPLIT(A9532,"" "")"),"CNC1CCCC(N(C)c2ccc3c(CF)ccnc3c2)C1")</f>
        <v>CNC1CCCC(N(C)c2ccc3c(CF)ccnc3c2)C1</v>
      </c>
      <c r="C9532" s="7">
        <f>IFERROR(__xludf.DUMMYFUNCTION("""COMPUTED_VALUE"""),7.7691135)</f>
        <v>7.7691135</v>
      </c>
      <c r="D9532" s="7">
        <f>IFERROR(__xludf.DUMMYFUNCTION("""COMPUTED_VALUE"""),0.238805970149253)</f>
        <v>0.2388059701</v>
      </c>
    </row>
    <row r="9533">
      <c r="A9533" s="10" t="s">
        <v>10972</v>
      </c>
      <c r="B9533" s="7" t="str">
        <f>IFERROR(__xludf.DUMMYFUNCTION("SPLIT(A9533,"" "")"),"CC(C)CN(CCN(C)Cc1ccc2ncccc2c1)Cc1ccccn1")</f>
        <v>CC(C)CN(CCN(C)Cc1ccc2ncccc2c1)Cc1ccccn1</v>
      </c>
      <c r="C9533" s="7">
        <f>IFERROR(__xludf.DUMMYFUNCTION("""COMPUTED_VALUE"""),7.769105)</f>
        <v>7.769105</v>
      </c>
      <c r="D9533" s="7">
        <f>IFERROR(__xludf.DUMMYFUNCTION("""COMPUTED_VALUE"""),0.48)</f>
        <v>0.48</v>
      </c>
    </row>
    <row r="9534">
      <c r="A9534" s="10" t="s">
        <v>10973</v>
      </c>
      <c r="B9534" s="7" t="str">
        <f>IFERROR(__xludf.DUMMYFUNCTION("SPLIT(A9534,"" "")"),"CC(C)NCc1ncccc1CN(Cc1ccccn1)C1CCC(N(C)c2ccc3cc(CF)cnc3c2)CC1")</f>
        <v>CC(C)NCc1ncccc1CN(Cc1ccccn1)C1CCC(N(C)c2ccc3cc(CF)cnc3c2)CC1</v>
      </c>
      <c r="C9534" s="7">
        <f>IFERROR(__xludf.DUMMYFUNCTION("""COMPUTED_VALUE"""),7.7691007)</f>
        <v>7.7691007</v>
      </c>
      <c r="D9534" s="7">
        <f>IFERROR(__xludf.DUMMYFUNCTION("""COMPUTED_VALUE"""),0.31081081081081)</f>
        <v>0.3108108108</v>
      </c>
    </row>
    <row r="9535">
      <c r="A9535" s="10" t="s">
        <v>10974</v>
      </c>
      <c r="B9535" s="7" t="str">
        <f>IFERROR(__xludf.DUMMYFUNCTION("SPLIT(A9535,"" "")"),"CN1CCN(C)CCN(CCCN(C)c2ccc3nc(-c4ccccn4)ccc3c2)CC1")</f>
        <v>CN1CCN(C)CCN(CCCN(C)c2ccc3nc(-c4ccccn4)ccc3c2)CC1</v>
      </c>
      <c r="C9535" s="7">
        <f>IFERROR(__xludf.DUMMYFUNCTION("""COMPUTED_VALUE"""),7.769099)</f>
        <v>7.769099</v>
      </c>
      <c r="D9535" s="7">
        <f>IFERROR(__xludf.DUMMYFUNCTION("""COMPUTED_VALUE"""),0.388888888888888)</f>
        <v>0.3888888889</v>
      </c>
    </row>
    <row r="9536">
      <c r="A9536" s="10" t="s">
        <v>10975</v>
      </c>
      <c r="B9536" s="7" t="str">
        <f>IFERROR(__xludf.DUMMYFUNCTION("SPLIT(A9536,"" "")"),"Cc1ccc(CN(C)CC2=CC(N(C)Cc3nc(C)ccc3C)C=CN2)cn1")</f>
        <v>Cc1ccc(CN(C)CC2=CC(N(C)Cc3nc(C)ccc3C)C=CN2)cn1</v>
      </c>
      <c r="C9536" s="7">
        <f>IFERROR(__xludf.DUMMYFUNCTION("""COMPUTED_VALUE"""),7.7690945)</f>
        <v>7.7690945</v>
      </c>
      <c r="D9536" s="7">
        <f>IFERROR(__xludf.DUMMYFUNCTION("""COMPUTED_VALUE"""),0.296875)</f>
        <v>0.296875</v>
      </c>
    </row>
    <row r="9537">
      <c r="A9537" s="10" t="s">
        <v>10976</v>
      </c>
      <c r="B9537" s="7" t="str">
        <f>IFERROR(__xludf.DUMMYFUNCTION("SPLIT(A9537,"" "")"),"CCNCC1=CCC=C(N(C)Cc2ccc(C)cn2)N1")</f>
        <v>CCNCC1=CCC=C(N(C)Cc2ccc(C)cn2)N1</v>
      </c>
      <c r="C9537" s="7">
        <f>IFERROR(__xludf.DUMMYFUNCTION("""COMPUTED_VALUE"""),7.769092)</f>
        <v>7.769092</v>
      </c>
      <c r="D9537" s="7">
        <f>IFERROR(__xludf.DUMMYFUNCTION("""COMPUTED_VALUE"""),0.423076923076923)</f>
        <v>0.4230769231</v>
      </c>
    </row>
    <row r="9538">
      <c r="A9538" s="10" t="s">
        <v>10977</v>
      </c>
      <c r="B9538" s="7" t="str">
        <f>IFERROR(__xludf.DUMMYFUNCTION("SPLIT(A9538,"" "")"),"Cc1ccc(CN(C)Cc2ncccc2C)cn1")</f>
        <v>Cc1ccc(CN(C)Cc2ncccc2C)cn1</v>
      </c>
      <c r="C9538" s="7">
        <f>IFERROR(__xludf.DUMMYFUNCTION("""COMPUTED_VALUE"""),7.7690887)</f>
        <v>7.7690887</v>
      </c>
      <c r="D9538" s="7">
        <f>IFERROR(__xludf.DUMMYFUNCTION("""COMPUTED_VALUE"""),0.319148936170212)</f>
        <v>0.3191489362</v>
      </c>
    </row>
    <row r="9539">
      <c r="A9539" s="10" t="s">
        <v>10978</v>
      </c>
      <c r="B9539" s="7" t="str">
        <f>IFERROR(__xludf.DUMMYFUNCTION("SPLIT(A9539,"" "")"),"Cc1ccc(C)c(CN(C)Cc2cccc(C(C)(C)C)n2)c1")</f>
        <v>Cc1ccc(C)c(CN(C)Cc2cccc(C(C)(C)C)n2)c1</v>
      </c>
      <c r="C9539" s="7">
        <f>IFERROR(__xludf.DUMMYFUNCTION("""COMPUTED_VALUE"""),7.7690883)</f>
        <v>7.7690883</v>
      </c>
      <c r="D9539" s="7">
        <f>IFERROR(__xludf.DUMMYFUNCTION("""COMPUTED_VALUE"""),0.41860465116279)</f>
        <v>0.4186046512</v>
      </c>
    </row>
    <row r="9540">
      <c r="A9540" s="10" t="s">
        <v>10979</v>
      </c>
      <c r="B9540" s="7" t="str">
        <f>IFERROR(__xludf.DUMMYFUNCTION("SPLIT(A9540,"" "")"),"CNCc1ncccc1CN(C)C1CCC(N(C)c2ccc3c(CF)ccnc3c2)CC1")</f>
        <v>CNCc1ncccc1CN(C)C1CCC(N(C)c2ccc3c(CF)ccnc3c2)CC1</v>
      </c>
      <c r="C9540" s="7">
        <f>IFERROR(__xludf.DUMMYFUNCTION("""COMPUTED_VALUE"""),7.769088)</f>
        <v>7.769088</v>
      </c>
      <c r="D9540" s="7">
        <f>IFERROR(__xludf.DUMMYFUNCTION("""COMPUTED_VALUE"""),0.25)</f>
        <v>0.25</v>
      </c>
    </row>
    <row r="9541">
      <c r="A9541" s="10" t="s">
        <v>10980</v>
      </c>
      <c r="B9541" s="7" t="str">
        <f>IFERROR(__xludf.DUMMYFUNCTION("SPLIT(A9541,"" "")"),"CNC1C(N(Cc2nccc(C)c2C)Cc2nc(C)c(C)c(C)c2C)CCCC1N(Cc1nc(C)c(C)c(C)c1C)Cc1nc(C)c(C)c(C)c1C")</f>
        <v>CNC1C(N(Cc2nccc(C)c2C)Cc2nc(C)c(C)c(C)c2C)CCCC1N(Cc1nc(C)c(C)c(C)c1C)Cc1nc(C)c(C)c(C)c1C</v>
      </c>
      <c r="C9541" s="7">
        <f>IFERROR(__xludf.DUMMYFUNCTION("""COMPUTED_VALUE"""),7.7690854)</f>
        <v>7.7690854</v>
      </c>
      <c r="D9541" s="7">
        <f>IFERROR(__xludf.DUMMYFUNCTION("""COMPUTED_VALUE"""),0.275862068965517)</f>
        <v>0.275862069</v>
      </c>
    </row>
    <row r="9542">
      <c r="A9542" s="10" t="s">
        <v>10981</v>
      </c>
      <c r="B9542" s="7" t="str">
        <f>IFERROR(__xludf.DUMMYFUNCTION("SPLIT(A9542,"" "")"),"Cc1cncc(CN(C)Cc2cncc(C)c2)c1")</f>
        <v>Cc1cncc(CN(C)Cc2cncc(C)c2)c1</v>
      </c>
      <c r="C9542" s="7">
        <f>IFERROR(__xludf.DUMMYFUNCTION("""COMPUTED_VALUE"""),7.7690825)</f>
        <v>7.7690825</v>
      </c>
      <c r="D9542" s="7">
        <f>IFERROR(__xludf.DUMMYFUNCTION("""COMPUTED_VALUE"""),0.333333333333333)</f>
        <v>0.3333333333</v>
      </c>
    </row>
    <row r="9543">
      <c r="A9543" s="10" t="s">
        <v>10982</v>
      </c>
      <c r="B9543" s="7" t="str">
        <f>IFERROR(__xludf.DUMMYFUNCTION("SPLIT(A9543,"" "")"),"CNCC1=CCC=C(N(C)C)N1")</f>
        <v>CNCC1=CCC=C(N(C)C)N1</v>
      </c>
      <c r="C9543" s="7">
        <f>IFERROR(__xludf.DUMMYFUNCTION("""COMPUTED_VALUE"""),7.7690797)</f>
        <v>7.7690797</v>
      </c>
      <c r="D9543" s="7">
        <f>IFERROR(__xludf.DUMMYFUNCTION("""COMPUTED_VALUE"""),0.192307692307692)</f>
        <v>0.1923076923</v>
      </c>
    </row>
    <row r="9544">
      <c r="A9544" s="10" t="s">
        <v>10983</v>
      </c>
      <c r="B9544" s="7" t="str">
        <f>IFERROR(__xludf.DUMMYFUNCTION("SPLIT(A9544,"" "")"),"Cc1cc(N)ccc1CN(C)Cc1ccccn1")</f>
        <v>Cc1cc(N)ccc1CN(C)Cc1ccccn1</v>
      </c>
      <c r="C9544" s="7">
        <f>IFERROR(__xludf.DUMMYFUNCTION("""COMPUTED_VALUE"""),7.769079)</f>
        <v>7.769079</v>
      </c>
      <c r="D9544" s="7">
        <f>IFERROR(__xludf.DUMMYFUNCTION("""COMPUTED_VALUE"""),0.488888888888888)</f>
        <v>0.4888888889</v>
      </c>
    </row>
    <row r="9545">
      <c r="A9545" s="10" t="s">
        <v>10984</v>
      </c>
      <c r="B9545" s="7" t="str">
        <f>IFERROR(__xludf.DUMMYFUNCTION("SPLIT(A9545,"" "")"),"CNCc1cccc(CN(Cc2ccccn2)C2CCC(N(C)c3cccc4ccc(CF)nc34)CC2)n1")</f>
        <v>CNCc1cccc(CN(Cc2ccccn2)C2CCC(N(C)c3cccc4ccc(CF)nc34)CC2)n1</v>
      </c>
      <c r="C9545" s="7">
        <f>IFERROR(__xludf.DUMMYFUNCTION("""COMPUTED_VALUE"""),7.7690673)</f>
        <v>7.7690673</v>
      </c>
      <c r="D9545" s="7">
        <f>IFERROR(__xludf.DUMMYFUNCTION("""COMPUTED_VALUE"""),0.492063492063492)</f>
        <v>0.4920634921</v>
      </c>
    </row>
    <row r="9546">
      <c r="A9546" s="10" t="s">
        <v>10985</v>
      </c>
      <c r="B9546" s="7" t="str">
        <f>IFERROR(__xludf.DUMMYFUNCTION("SPLIT(A9546,"" "")"),"CN(c1ccc2nccc(CF)c2c1)C1CCCCC1N(Cc1ccccc1)Cc1ccccn1")</f>
        <v>CN(c1ccc2nccc(CF)c2c1)C1CCCCC1N(Cc1ccccc1)Cc1ccccn1</v>
      </c>
      <c r="C9546" s="7">
        <f>IFERROR(__xludf.DUMMYFUNCTION("""COMPUTED_VALUE"""),7.7690616)</f>
        <v>7.7690616</v>
      </c>
      <c r="D9546" s="7">
        <f>IFERROR(__xludf.DUMMYFUNCTION("""COMPUTED_VALUE"""),0.426229508196721)</f>
        <v>0.4262295082</v>
      </c>
    </row>
    <row r="9547">
      <c r="A9547" s="10" t="s">
        <v>10986</v>
      </c>
      <c r="B9547" s="7" t="str">
        <f>IFERROR(__xludf.DUMMYFUNCTION("SPLIT(A9547,"" "")"),"Cc1cc(CNCCN(C)Cc2cc(C)c(C)c(C)n2)nc(C)c1C")</f>
        <v>Cc1cc(CNCCN(C)Cc2cc(C)c(C)c(C)n2)nc(C)c1C</v>
      </c>
      <c r="C9547" s="7">
        <f>IFERROR(__xludf.DUMMYFUNCTION("""COMPUTED_VALUE"""),7.7690616)</f>
        <v>7.7690616</v>
      </c>
      <c r="D9547" s="7">
        <f>IFERROR(__xludf.DUMMYFUNCTION("""COMPUTED_VALUE"""),0.34090909090909)</f>
        <v>0.3409090909</v>
      </c>
    </row>
    <row r="9548">
      <c r="A9548" s="10" t="s">
        <v>10987</v>
      </c>
      <c r="B9548" s="7" t="str">
        <f>IFERROR(__xludf.DUMMYFUNCTION("SPLIT(A9548,"" "")"),"CCN(Cc1ccccn1)c1cc2ncccc2cc1CN(C)C1CCC(N(C)Cc2ccccn2)CC1")</f>
        <v>CCN(Cc1ccccn1)c1cc2ncccc2cc1CN(C)C1CCC(N(C)Cc2ccccn2)CC1</v>
      </c>
      <c r="C9548" s="7">
        <f>IFERROR(__xludf.DUMMYFUNCTION("""COMPUTED_VALUE"""),7.76906)</f>
        <v>7.76906</v>
      </c>
      <c r="D9548" s="7">
        <f>IFERROR(__xludf.DUMMYFUNCTION("""COMPUTED_VALUE"""),0.444444444444444)</f>
        <v>0.4444444444</v>
      </c>
    </row>
    <row r="9549">
      <c r="A9549" s="10" t="s">
        <v>10988</v>
      </c>
      <c r="B9549" s="7" t="str">
        <f>IFERROR(__xludf.DUMMYFUNCTION("SPLIT(A9549,"" "")"),"CN(c1cccc2ncccc12)C1CCCCC1N(CC1=CCC=CN1)Cc1ccccn1")</f>
        <v>CN(c1cccc2ncccc12)C1CCCCC1N(CC1=CCC=CN1)Cc1ccccn1</v>
      </c>
      <c r="C9549" s="7">
        <f>IFERROR(__xludf.DUMMYFUNCTION("""COMPUTED_VALUE"""),7.769059)</f>
        <v>7.769059</v>
      </c>
      <c r="D9549" s="7">
        <f>IFERROR(__xludf.DUMMYFUNCTION("""COMPUTED_VALUE"""),0.492063492063492)</f>
        <v>0.4920634921</v>
      </c>
    </row>
    <row r="9550">
      <c r="A9550" s="10" t="s">
        <v>10989</v>
      </c>
      <c r="B9550" s="7" t="str">
        <f>IFERROR(__xludf.DUMMYFUNCTION("SPLIT(A9550,"" "")"),"CCNCc1ncccc1CN(Cc1ccccn1)C1CCCC(N(C)c2ccc3nccc(CF)c3c2)C1")</f>
        <v>CCNCc1ncccc1CN(Cc1ccccn1)C1CCCC(N(C)c2ccc3nccc(CF)c3c2)C1</v>
      </c>
      <c r="C9550" s="7">
        <f>IFERROR(__xludf.DUMMYFUNCTION("""COMPUTED_VALUE"""),7.7690516)</f>
        <v>7.7690516</v>
      </c>
      <c r="D9550" s="7">
        <f>IFERROR(__xludf.DUMMYFUNCTION("""COMPUTED_VALUE"""),0.306666666666666)</f>
        <v>0.3066666667</v>
      </c>
    </row>
    <row r="9551">
      <c r="A9551" s="10" t="s">
        <v>10990</v>
      </c>
      <c r="B9551" s="7" t="str">
        <f>IFERROR(__xludf.DUMMYFUNCTION("SPLIT(A9551,"" "")"),"Cc1cccnc1CN(C)C1=CCC=C(CN(C)C(C)C)N1")</f>
        <v>Cc1cccnc1CN(C)C1=CCC=C(CN(C)C(C)C)N1</v>
      </c>
      <c r="C9551" s="7">
        <f>IFERROR(__xludf.DUMMYFUNCTION("""COMPUTED_VALUE"""),7.7690516)</f>
        <v>7.7690516</v>
      </c>
      <c r="D9551" s="7">
        <f>IFERROR(__xludf.DUMMYFUNCTION("""COMPUTED_VALUE"""),0.274193548387096)</f>
        <v>0.2741935484</v>
      </c>
    </row>
    <row r="9552">
      <c r="A9552" s="10" t="s">
        <v>10991</v>
      </c>
      <c r="B9552" s="7" t="str">
        <f>IFERROR(__xludf.DUMMYFUNCTION("SPLIT(A9552,"" "")"),"CNC1CCCC(N(C)c2ccc3nccc(CF)c3c2)C1")</f>
        <v>CNC1CCCC(N(C)c2ccc3nccc(CF)c3c2)C1</v>
      </c>
      <c r="C9552" s="7">
        <f>IFERROR(__xludf.DUMMYFUNCTION("""COMPUTED_VALUE"""),7.7690473)</f>
        <v>7.7690473</v>
      </c>
      <c r="D9552" s="7">
        <f>IFERROR(__xludf.DUMMYFUNCTION("""COMPUTED_VALUE"""),0.235294117647058)</f>
        <v>0.2352941176</v>
      </c>
    </row>
    <row r="9553">
      <c r="A9553" s="10" t="s">
        <v>10992</v>
      </c>
      <c r="B9553" s="7" t="str">
        <f>IFERROR(__xludf.DUMMYFUNCTION("SPLIT(A9553,"" "")"),"Cc1nc(C2(N(C)C3CCCCC3N(C)C3(c4nc(C)c(C)c(C)c4C)C(C)N(C)C3C)C(C)N(C)C2C)c(C)c(C)c1C")</f>
        <v>Cc1nc(C2(N(C)C3CCCCC3N(C)C3(c4nc(C)c(C)c(C)c4C)C(C)N(C)C3C)C(C)N(C)C2C)c(C)c(C)c1C</v>
      </c>
      <c r="C9553" s="7">
        <f>IFERROR(__xludf.DUMMYFUNCTION("""COMPUTED_VALUE"""),7.7690463)</f>
        <v>7.7690463</v>
      </c>
      <c r="D9553" s="7">
        <f>IFERROR(__xludf.DUMMYFUNCTION("""COMPUTED_VALUE"""),0.264150943396226)</f>
        <v>0.2641509434</v>
      </c>
    </row>
    <row r="9554">
      <c r="A9554" s="10" t="s">
        <v>10993</v>
      </c>
      <c r="B9554" s="7" t="str">
        <f>IFERROR(__xludf.DUMMYFUNCTION("SPLIT(A9554,"" "")"),"Cc1cc(C)c(CN(C)CCN(C)Cc2cc(C)c(C)c(C)n2)cn1")</f>
        <v>Cc1cc(C)c(CN(C)CCN(C)Cc2cc(C)c(C)c(C)n2)cn1</v>
      </c>
      <c r="C9554" s="7">
        <f>IFERROR(__xludf.DUMMYFUNCTION("""COMPUTED_VALUE"""),7.7690263)</f>
        <v>7.7690263</v>
      </c>
      <c r="D9554" s="7">
        <f>IFERROR(__xludf.DUMMYFUNCTION("""COMPUTED_VALUE"""),0.377777777777777)</f>
        <v>0.3777777778</v>
      </c>
    </row>
    <row r="9555">
      <c r="A9555" s="10" t="s">
        <v>10994</v>
      </c>
      <c r="B9555" s="7" t="str">
        <f>IFERROR(__xludf.DUMMYFUNCTION("SPLIT(A9555,"" "")"),"CC(C)N(Cc1ccc(C(C)(C)C)cn1)Cc1cc(C(C)(C)C)ccn1")</f>
        <v>CC(C)N(Cc1ccc(C(C)(C)C)cn1)Cc1cc(C(C)(C)C)ccn1</v>
      </c>
      <c r="C9555" s="7">
        <f>IFERROR(__xludf.DUMMYFUNCTION("""COMPUTED_VALUE"""),7.769023)</f>
        <v>7.769023</v>
      </c>
      <c r="D9555" s="7">
        <f>IFERROR(__xludf.DUMMYFUNCTION("""COMPUTED_VALUE"""),0.422222222222222)</f>
        <v>0.4222222222</v>
      </c>
    </row>
    <row r="9556">
      <c r="A9556" s="10" t="s">
        <v>10995</v>
      </c>
      <c r="B9556" s="7" t="str">
        <f>IFERROR(__xludf.DUMMYFUNCTION("SPLIT(A9556,"" "")"),"CN(Cc1ccccn1)C1CCC(N(C)c2cccc(-c3cc(C(C)(C)C)ccn3)c2)CC1")</f>
        <v>CN(Cc1ccccn1)C1CCC(N(C)c2cccc(-c3cc(C(C)(C)C)ccn3)c2)CC1</v>
      </c>
      <c r="C9556" s="7">
        <f>IFERROR(__xludf.DUMMYFUNCTION("""COMPUTED_VALUE"""),7.7690215)</f>
        <v>7.7690215</v>
      </c>
      <c r="D9556" s="7">
        <f>IFERROR(__xludf.DUMMYFUNCTION("""COMPUTED_VALUE"""),0.413793103448275)</f>
        <v>0.4137931034</v>
      </c>
    </row>
    <row r="9557">
      <c r="A9557" s="10" t="s">
        <v>10996</v>
      </c>
      <c r="B9557" s="7" t="str">
        <f>IFERROR(__xludf.DUMMYFUNCTION("SPLIT(A9557,"" "")"),"CCC1=NC(c2ccccc2C2=NC(C(C)C)C(C(C)C)O2)CO1")</f>
        <v>CCC1=NC(c2ccccc2C2=NC(C(C)C)C(C(C)C)O2)CO1</v>
      </c>
      <c r="C9557" s="7">
        <f>IFERROR(__xludf.DUMMYFUNCTION("""COMPUTED_VALUE"""),7.7690215)</f>
        <v>7.7690215</v>
      </c>
      <c r="D9557" s="7">
        <f>IFERROR(__xludf.DUMMYFUNCTION("""COMPUTED_VALUE"""),0.197183098591549)</f>
        <v>0.1971830986</v>
      </c>
    </row>
    <row r="9558">
      <c r="A9558" s="10" t="s">
        <v>10997</v>
      </c>
      <c r="B9558" s="7" t="str">
        <f>IFERROR(__xludf.DUMMYFUNCTION("SPLIT(A9558,"" "")"),"CN(Cc1ccccn1)c1cccc2cc(-c3ccc4c(c3)OCCOCCOCCOCCOCCO4)cnc12")</f>
        <v>CN(Cc1ccccn1)c1cccc2cc(-c3ccc4c(c3)OCCOCCOCCOCCOCCO4)cnc12</v>
      </c>
      <c r="C9558" s="7">
        <f>IFERROR(__xludf.DUMMYFUNCTION("""COMPUTED_VALUE"""),7.7690187)</f>
        <v>7.7690187</v>
      </c>
      <c r="D9558" s="7">
        <f>IFERROR(__xludf.DUMMYFUNCTION("""COMPUTED_VALUE"""),0.406779661016949)</f>
        <v>0.406779661</v>
      </c>
    </row>
    <row r="9559">
      <c r="A9559" s="10" t="s">
        <v>10998</v>
      </c>
      <c r="B9559" s="7" t="str">
        <f>IFERROR(__xludf.DUMMYFUNCTION("SPLIT(A9559,"" "")"),"C=CCN(C)CC1=CCC(N(C)Cc2ncccc2C)=CN1")</f>
        <v>C=CCN(C)CC1=CCC(N(C)Cc2ncccc2C)=CN1</v>
      </c>
      <c r="C9559" s="7">
        <f>IFERROR(__xludf.DUMMYFUNCTION("""COMPUTED_VALUE"""),7.7690177)</f>
        <v>7.7690177</v>
      </c>
      <c r="D9559" s="7">
        <f>IFERROR(__xludf.DUMMYFUNCTION("""COMPUTED_VALUE"""),0.262295081967213)</f>
        <v>0.262295082</v>
      </c>
    </row>
    <row r="9560">
      <c r="A9560" s="10" t="s">
        <v>10999</v>
      </c>
      <c r="B9560" s="7" t="str">
        <f>IFERROR(__xludf.DUMMYFUNCTION("SPLIT(A9560,"" "")"),"CN(Cc1cccc(F)n1)C1CCC(N(C)c2ccc3nc(CF)ccc3c2)CC1")</f>
        <v>CN(Cc1cccc(F)n1)C1CCC(N(C)c2ccc3nc(CF)ccc3c2)CC1</v>
      </c>
      <c r="C9560" s="7">
        <f>IFERROR(__xludf.DUMMYFUNCTION("""COMPUTED_VALUE"""),7.769017)</f>
        <v>7.769017</v>
      </c>
      <c r="D9560" s="7">
        <f>IFERROR(__xludf.DUMMYFUNCTION("""COMPUTED_VALUE"""),0.370967741935483)</f>
        <v>0.3709677419</v>
      </c>
    </row>
    <row r="9561">
      <c r="A9561" s="10" t="s">
        <v>11000</v>
      </c>
      <c r="B9561" s="7" t="str">
        <f>IFERROR(__xludf.DUMMYFUNCTION("SPLIT(A9561,"" "")"),"CC(C)N(Cc1cccc(C(C)(C)c2ccccn2)n1)C(C)C")</f>
        <v>CC(C)N(Cc1cccc(C(C)(C)c2ccccn2)n1)C(C)C</v>
      </c>
      <c r="C9561" s="7">
        <f>IFERROR(__xludf.DUMMYFUNCTION("""COMPUTED_VALUE"""),7.769015)</f>
        <v>7.769015</v>
      </c>
      <c r="D9561" s="7">
        <f>IFERROR(__xludf.DUMMYFUNCTION("""COMPUTED_VALUE"""),0.431818181818181)</f>
        <v>0.4318181818</v>
      </c>
    </row>
    <row r="9562">
      <c r="A9562" s="10" t="s">
        <v>11001</v>
      </c>
      <c r="B9562" s="7" t="str">
        <f>IFERROR(__xludf.DUMMYFUNCTION("SPLIT(A9562,"" "")"),"COCc1ncc(CN(Cc2ccccn2)Cc2ccccn2)cc1C")</f>
        <v>COCc1ncc(CN(Cc2ccccn2)Cc2ccccn2)cc1C</v>
      </c>
      <c r="C9562" s="7">
        <f>IFERROR(__xludf.DUMMYFUNCTION("""COMPUTED_VALUE"""),7.769014)</f>
        <v>7.769014</v>
      </c>
      <c r="D9562" s="7">
        <f>IFERROR(__xludf.DUMMYFUNCTION("""COMPUTED_VALUE"""),0.5)</f>
        <v>0.5</v>
      </c>
    </row>
    <row r="9563">
      <c r="A9563" s="10" t="s">
        <v>11002</v>
      </c>
      <c r="B9563" s="7" t="str">
        <f>IFERROR(__xludf.DUMMYFUNCTION("SPLIT(A9563,"" "")"),"Cc1cccc(CN(C)Cc2cccc(N(C)C(C)(C)c3cccnc3CN(Cc3ccccn3)C3(C)CCC3)n2)n1")</f>
        <v>Cc1cccc(CN(C)Cc2cccc(N(C)C(C)(C)c3cccnc3CN(Cc3ccccn3)C3(C)CCC3)n2)n1</v>
      </c>
      <c r="C9563" s="7">
        <f>IFERROR(__xludf.DUMMYFUNCTION("""COMPUTED_VALUE"""),7.7690043)</f>
        <v>7.7690043</v>
      </c>
      <c r="D9563" s="7">
        <f>IFERROR(__xludf.DUMMYFUNCTION("""COMPUTED_VALUE"""),0.384615384615384)</f>
        <v>0.3846153846</v>
      </c>
    </row>
    <row r="9564">
      <c r="A9564" s="10" t="s">
        <v>11003</v>
      </c>
      <c r="B9564" s="7" t="str">
        <f>IFERROR(__xludf.DUMMYFUNCTION("SPLIT(A9564,"" "")"),"CN(c1ccc2nc(CF)ccc2c1)C1CCC(N(CC2=CCC=CN2)Cc2ccccn2)CC1")</f>
        <v>CN(c1ccc2nc(CF)ccc2c1)C1CCC(N(CC2=CCC=CN2)Cc2ccccn2)CC1</v>
      </c>
      <c r="C9564" s="7">
        <f>IFERROR(__xludf.DUMMYFUNCTION("""COMPUTED_VALUE"""),7.7689967)</f>
        <v>7.7689967</v>
      </c>
      <c r="D9564" s="7">
        <f>IFERROR(__xludf.DUMMYFUNCTION("""COMPUTED_VALUE"""),0.476923076923076)</f>
        <v>0.4769230769</v>
      </c>
    </row>
    <row r="9565">
      <c r="A9565" s="10" t="s">
        <v>11004</v>
      </c>
      <c r="B9565" s="7" t="str">
        <f>IFERROR(__xludf.DUMMYFUNCTION("SPLIT(A9565,"" "")"),"CN(Cc1ccccn1)Cc1ccc2cc(N(C)Cc3cccc(-c4ccc5c(c4)OCCOCCOCCOCCOCCO5)n3)ccc2n1")</f>
        <v>CN(Cc1ccccn1)Cc1ccc2cc(N(C)Cc3cccc(-c4ccc5c(c4)OCCOCCOCCOCCOCCO5)n3)ccc2n1</v>
      </c>
      <c r="C9565" s="7">
        <f>IFERROR(__xludf.DUMMYFUNCTION("""COMPUTED_VALUE"""),7.768987)</f>
        <v>7.768987</v>
      </c>
      <c r="D9565" s="7">
        <f>IFERROR(__xludf.DUMMYFUNCTION("""COMPUTED_VALUE"""),0.444444444444444)</f>
        <v>0.4444444444</v>
      </c>
    </row>
    <row r="9566">
      <c r="A9566" s="10" t="s">
        <v>11005</v>
      </c>
      <c r="B9566" s="7" t="str">
        <f>IFERROR(__xludf.DUMMYFUNCTION("SPLIT(A9566,"" "")"),"Cc1cnc(CN(C)CC2=CC(N(C)Cc3ccccn3)C=CN2)c(C)c1")</f>
        <v>Cc1cnc(CN(C)CC2=CC(N(C)Cc3ccccn3)C=CN2)c(C)c1</v>
      </c>
      <c r="C9566" s="7">
        <f>IFERROR(__xludf.DUMMYFUNCTION("""COMPUTED_VALUE"""),7.7689857)</f>
        <v>7.7689857</v>
      </c>
      <c r="D9566" s="7">
        <f>IFERROR(__xludf.DUMMYFUNCTION("""COMPUTED_VALUE"""),0.366666666666666)</f>
        <v>0.3666666667</v>
      </c>
    </row>
    <row r="9567">
      <c r="A9567" s="10" t="s">
        <v>11006</v>
      </c>
      <c r="B9567" s="7" t="str">
        <f>IFERROR(__xludf.DUMMYFUNCTION("SPLIT(A9567,"" "")"),"CCNCc1cccc(CN(Cc2cccc(C)n2)C2CCC(N(C)c3ccc4nc(CF)ccc4c3)CC2)n1")</f>
        <v>CCNCc1cccc(CN(Cc2cccc(C)n2)C2CCC(N(C)c3ccc4nc(CF)ccc4c3)CC2)n1</v>
      </c>
      <c r="C9567" s="7">
        <f>IFERROR(__xludf.DUMMYFUNCTION("""COMPUTED_VALUE"""),7.7689853)</f>
        <v>7.7689853</v>
      </c>
      <c r="D9567" s="7">
        <f>IFERROR(__xludf.DUMMYFUNCTION("""COMPUTED_VALUE"""),0.360655737704918)</f>
        <v>0.3606557377</v>
      </c>
    </row>
    <row r="9568">
      <c r="A9568" s="10" t="s">
        <v>11007</v>
      </c>
      <c r="B9568" s="7" t="str">
        <f>IFERROR(__xludf.DUMMYFUNCTION("SPLIT(A9568,"" "")"),"CC(C)NCc1cccc(CN(Cc2ccccn2)C2CCC(N(C)c3ccc4cc(CF)cnc4c3)CC2)n1")</f>
        <v>CC(C)NCc1cccc(CN(Cc2ccccn2)C2CCC(N(C)c3ccc4cc(CF)cnc4c3)CC2)n1</v>
      </c>
      <c r="C9568" s="7">
        <f>IFERROR(__xludf.DUMMYFUNCTION("""COMPUTED_VALUE"""),7.7689776)</f>
        <v>7.7689776</v>
      </c>
      <c r="D9568" s="7">
        <f>IFERROR(__xludf.DUMMYFUNCTION("""COMPUTED_VALUE"""),0.328571428571428)</f>
        <v>0.3285714286</v>
      </c>
    </row>
    <row r="9569">
      <c r="A9569" s="10" t="s">
        <v>11008</v>
      </c>
      <c r="B9569" s="7" t="str">
        <f>IFERROR(__xludf.DUMMYFUNCTION("SPLIT(A9569,"" "")"),"CCNC1=CC=C(N(C)Cc2ccccn2)CN1")</f>
        <v>CCNC1=CC=C(N(C)Cc2ccccn2)CN1</v>
      </c>
      <c r="C9569" s="7">
        <f>IFERROR(__xludf.DUMMYFUNCTION("""COMPUTED_VALUE"""),7.7689767)</f>
        <v>7.7689767</v>
      </c>
      <c r="D9569" s="7">
        <f>IFERROR(__xludf.DUMMYFUNCTION("""COMPUTED_VALUE"""),0.4375)</f>
        <v>0.4375</v>
      </c>
    </row>
    <row r="9570">
      <c r="A9570" s="10" t="s">
        <v>11009</v>
      </c>
      <c r="B9570" s="7" t="str">
        <f>IFERROR(__xludf.DUMMYFUNCTION("SPLIT(A9570,"" "")"),"CNCc1ncccc1CN(C)C1CCC(N(C)c2ccc3nccc(CF)c3c2)CC1")</f>
        <v>CNCc1ncccc1CN(C)C1CCC(N(C)c2ccc3nccc(CF)c3c2)CC1</v>
      </c>
      <c r="C9570" s="7">
        <f>IFERROR(__xludf.DUMMYFUNCTION("""COMPUTED_VALUE"""),7.768973)</f>
        <v>7.768973</v>
      </c>
      <c r="D9570" s="7">
        <f>IFERROR(__xludf.DUMMYFUNCTION("""COMPUTED_VALUE"""),0.246376811594202)</f>
        <v>0.2463768116</v>
      </c>
    </row>
    <row r="9571">
      <c r="A9571" s="10" t="s">
        <v>11010</v>
      </c>
      <c r="B9571" s="7" t="str">
        <f>IFERROR(__xludf.DUMMYFUNCTION("SPLIT(A9571,"" "")"),"CC(C)NCc1cccc(CN(Cc2ccccn2)C2CCC(N(C)c3cccc4cc(CF)cnc34)CC2)n1")</f>
        <v>CC(C)NCc1cccc(CN(Cc2ccccn2)C2CCC(N(C)c3cccc4cc(CF)cnc34)CC2)n1</v>
      </c>
      <c r="C9571" s="7">
        <f>IFERROR(__xludf.DUMMYFUNCTION("""COMPUTED_VALUE"""),7.7689643)</f>
        <v>7.7689643</v>
      </c>
      <c r="D9571" s="7">
        <f>IFERROR(__xludf.DUMMYFUNCTION("""COMPUTED_VALUE"""),0.338028169014084)</f>
        <v>0.338028169</v>
      </c>
    </row>
    <row r="9572">
      <c r="A9572" s="10" t="s">
        <v>11011</v>
      </c>
      <c r="B9572" s="7" t="str">
        <f>IFERROR(__xludf.DUMMYFUNCTION("SPLIT(A9572,"" "")"),"CN(Cc1cccnn1)C1CCC(N(C)c2ccc3nc(CF)ccc3c2)CC1")</f>
        <v>CN(Cc1cccnn1)C1CCC(N(C)c2ccc3nc(CF)ccc3c2)CC1</v>
      </c>
      <c r="C9572" s="7">
        <f>IFERROR(__xludf.DUMMYFUNCTION("""COMPUTED_VALUE"""),7.768963)</f>
        <v>7.768963</v>
      </c>
      <c r="D9572" s="7">
        <f>IFERROR(__xludf.DUMMYFUNCTION("""COMPUTED_VALUE"""),0.423076923076923)</f>
        <v>0.4230769231</v>
      </c>
    </row>
    <row r="9573">
      <c r="A9573" s="10" t="s">
        <v>11012</v>
      </c>
      <c r="B9573" s="7" t="str">
        <f>IFERROR(__xludf.DUMMYFUNCTION("SPLIT(A9573,"" "")"),"CCNCc1cc(CN(C)C2CCCC(N(C)c3ccc4nccc(C)c4c3)C2)ccn1")</f>
        <v>CCNCc1cc(CN(C)C2CCCC(N(C)c3ccc4nccc(C)c4c3)C2)ccn1</v>
      </c>
      <c r="C9573" s="7">
        <f>IFERROR(__xludf.DUMMYFUNCTION("""COMPUTED_VALUE"""),7.7689614)</f>
        <v>7.7689614</v>
      </c>
      <c r="D9573" s="7">
        <f>IFERROR(__xludf.DUMMYFUNCTION("""COMPUTED_VALUE"""),0.264705882352941)</f>
        <v>0.2647058824</v>
      </c>
    </row>
    <row r="9574">
      <c r="A9574" s="10" t="s">
        <v>11013</v>
      </c>
      <c r="B9574" s="7" t="str">
        <f>IFERROR(__xludf.DUMMYFUNCTION("SPLIT(A9574,"" "")"),"CN(Cc1ccc2c(n1)CCC2)C1CCCCC1N(C)c1ccc2nc(CF)ccc2c1")</f>
        <v>CN(Cc1ccc2c(n1)CCC2)C1CCCCC1N(C)c1ccc2nc(CF)ccc2c1</v>
      </c>
      <c r="C9574" s="7">
        <f>IFERROR(__xludf.DUMMYFUNCTION("""COMPUTED_VALUE"""),7.7689605)</f>
        <v>7.7689605</v>
      </c>
      <c r="D9574" s="7">
        <f>IFERROR(__xludf.DUMMYFUNCTION("""COMPUTED_VALUE"""),0.435483870967741)</f>
        <v>0.435483871</v>
      </c>
    </row>
    <row r="9575">
      <c r="A9575" s="10" t="s">
        <v>11014</v>
      </c>
      <c r="B9575" s="7" t="str">
        <f>IFERROR(__xludf.DUMMYFUNCTION("SPLIT(A9575,"" "")"),"CNCc1ncccc1CN(Cc1ccccn1)C(C)(N)c1ccccn1")</f>
        <v>CNCc1ncccc1CN(Cc1ccccn1)C(C)(N)c1ccccn1</v>
      </c>
      <c r="C9575" s="7">
        <f>IFERROR(__xludf.DUMMYFUNCTION("""COMPUTED_VALUE"""),7.768957)</f>
        <v>7.768957</v>
      </c>
      <c r="D9575" s="7">
        <f>IFERROR(__xludf.DUMMYFUNCTION("""COMPUTED_VALUE"""),0.37037037037037)</f>
        <v>0.3703703704</v>
      </c>
    </row>
    <row r="9576">
      <c r="A9576" s="10" t="s">
        <v>11015</v>
      </c>
      <c r="B9576" s="7" t="str">
        <f>IFERROR(__xludf.DUMMYFUNCTION("SPLIT(A9576,"" "")"),"Cc1cnc(CN(C)CC2=C(N(C)C(C)C)CC=CN2)c(C)c1C")</f>
        <v>Cc1cnc(CN(C)CC2=C(N(C)C(C)C)CC=CN2)c(C)c1C</v>
      </c>
      <c r="C9576" s="7">
        <f>IFERROR(__xludf.DUMMYFUNCTION("""COMPUTED_VALUE"""),7.768951)</f>
        <v>7.768951</v>
      </c>
      <c r="D9576" s="7">
        <f>IFERROR(__xludf.DUMMYFUNCTION("""COMPUTED_VALUE"""),0.259259259259259)</f>
        <v>0.2592592593</v>
      </c>
    </row>
    <row r="9577">
      <c r="A9577" s="10" t="s">
        <v>11016</v>
      </c>
      <c r="B9577" s="7" t="str">
        <f>IFERROR(__xludf.DUMMYFUNCTION("SPLIT(A9577,"" "")"),"Cc1ccnc(CN(C)Cc2ccnc(C)c2)c1")</f>
        <v>Cc1ccnc(CN(C)Cc2ccnc(C)c2)c1</v>
      </c>
      <c r="C9577" s="7">
        <f>IFERROR(__xludf.DUMMYFUNCTION("""COMPUTED_VALUE"""),7.7689505)</f>
        <v>7.7689505</v>
      </c>
      <c r="D9577" s="7">
        <f>IFERROR(__xludf.DUMMYFUNCTION("""COMPUTED_VALUE"""),0.441860465116279)</f>
        <v>0.4418604651</v>
      </c>
    </row>
    <row r="9578">
      <c r="A9578" s="10" t="s">
        <v>11017</v>
      </c>
      <c r="B9578" s="7" t="str">
        <f>IFERROR(__xludf.DUMMYFUNCTION("SPLIT(A9578,"" "")"),"CCOC(C)c1ncccc1CN(Cc1ccccn1)Cc1ncccc1C(C)(C)C")</f>
        <v>CCOC(C)c1ncccc1CN(Cc1ccccn1)Cc1ncccc1C(C)(C)C</v>
      </c>
      <c r="C9578" s="7">
        <f>IFERROR(__xludf.DUMMYFUNCTION("""COMPUTED_VALUE"""),7.7689466)</f>
        <v>7.7689466</v>
      </c>
      <c r="D9578" s="7">
        <f>IFERROR(__xludf.DUMMYFUNCTION("""COMPUTED_VALUE"""),0.4)</f>
        <v>0.4</v>
      </c>
    </row>
    <row r="9579">
      <c r="A9579" s="10" t="s">
        <v>11018</v>
      </c>
      <c r="B9579" s="7" t="str">
        <f>IFERROR(__xludf.DUMMYFUNCTION("SPLIT(A9579,"" "")"),"C=CCN(C)Cc1cccc(C(C)(C)c2cccc(CN(Cc3cccc(C)n3)C3CCC(N(C)Cc4cc(-c5ccccn5)ccn4)CC3)n2)n1")</f>
        <v>C=CCN(C)Cc1cccc(C(C)(C)c2cccc(CN(Cc3cccc(C)n3)C3CCC(N(C)Cc4cc(-c5ccccn5)ccn4)CC3)n2)n1</v>
      </c>
      <c r="C9579" s="7">
        <f>IFERROR(__xludf.DUMMYFUNCTION("""COMPUTED_VALUE"""),7.768946)</f>
        <v>7.768946</v>
      </c>
      <c r="D9579" s="7">
        <f>IFERROR(__xludf.DUMMYFUNCTION("""COMPUTED_VALUE"""),0.356164383561643)</f>
        <v>0.3561643836</v>
      </c>
    </row>
    <row r="9580">
      <c r="A9580" s="10" t="s">
        <v>11019</v>
      </c>
      <c r="B9580" s="7" t="str">
        <f>IFERROR(__xludf.DUMMYFUNCTION("SPLIT(A9580,"" "")"),"CN(C)Cc1cncc(C(C)(C)C)c1")</f>
        <v>CN(C)Cc1cncc(C(C)(C)C)c1</v>
      </c>
      <c r="C9580" s="7">
        <f>IFERROR(__xludf.DUMMYFUNCTION("""COMPUTED_VALUE"""),7.768945)</f>
        <v>7.768945</v>
      </c>
      <c r="D9580" s="7">
        <f>IFERROR(__xludf.DUMMYFUNCTION("""COMPUTED_VALUE"""),0.219512195121951)</f>
        <v>0.2195121951</v>
      </c>
    </row>
    <row r="9581">
      <c r="A9581" s="10" t="s">
        <v>11020</v>
      </c>
      <c r="B9581" s="7" t="str">
        <f>IFERROR(__xludf.DUMMYFUNCTION("SPLIT(A9581,"" "")"),"CCNCc1cc(CN(Cc2ccccn2)Cc2cc(C)c(C)c(C)n2)ccn1")</f>
        <v>CCNCc1cc(CN(Cc2ccccn2)Cc2cc(C)c(C)c(C)n2)ccn1</v>
      </c>
      <c r="C9581" s="7">
        <f>IFERROR(__xludf.DUMMYFUNCTION("""COMPUTED_VALUE"""),7.768935)</f>
        <v>7.768935</v>
      </c>
      <c r="D9581" s="7">
        <f>IFERROR(__xludf.DUMMYFUNCTION("""COMPUTED_VALUE"""),0.425531914893617)</f>
        <v>0.4255319149</v>
      </c>
    </row>
    <row r="9582">
      <c r="A9582" s="10" t="s">
        <v>11021</v>
      </c>
      <c r="B9582" s="7" t="str">
        <f>IFERROR(__xludf.DUMMYFUNCTION("SPLIT(A9582,"" "")"),"Cc1ccc(CN(Cc2ncccc2C)C2CCC(N(C)Cc3ncccc3-c3ccccn3)CC2)nc1C")</f>
        <v>Cc1ccc(CN(Cc2ncccc2C)C2CCC(N(C)Cc3ncccc3-c3ccccn3)CC2)nc1C</v>
      </c>
      <c r="C9582" s="7">
        <f>IFERROR(__xludf.DUMMYFUNCTION("""COMPUTED_VALUE"""),7.7689314)</f>
        <v>7.7689314</v>
      </c>
      <c r="D9582" s="7">
        <f>IFERROR(__xludf.DUMMYFUNCTION("""COMPUTED_VALUE"""),0.328125)</f>
        <v>0.328125</v>
      </c>
    </row>
    <row r="9583">
      <c r="A9583" s="10" t="s">
        <v>11022</v>
      </c>
      <c r="B9583" s="7" t="str">
        <f>IFERROR(__xludf.DUMMYFUNCTION("SPLIT(A9583,"" "")"),"Cc1cccc(CN(Cc2cccc(CN(C)C3CCC(N(C)Cc4cc(C)c(C)c(C)n4)CC3)n2)C2CCC(N(C)Cc3cc(-c4ccc5ncccc5c4)ccn3)CC2)n1")</f>
        <v>Cc1cccc(CN(Cc2cccc(CN(C)C3CCC(N(C)Cc4cc(C)c(C)c(C)n4)CC3)n2)C2CCC(N(C)Cc3cc(-c4ccc5ncccc5c4)ccn3)CC2)n1</v>
      </c>
      <c r="C9583" s="7">
        <f>IFERROR(__xludf.DUMMYFUNCTION("""COMPUTED_VALUE"""),7.7689247)</f>
        <v>7.7689247</v>
      </c>
      <c r="D9583" s="7">
        <f>IFERROR(__xludf.DUMMYFUNCTION("""COMPUTED_VALUE"""),0.36231884057971)</f>
        <v>0.3623188406</v>
      </c>
    </row>
    <row r="9584">
      <c r="A9584" s="10" t="s">
        <v>11023</v>
      </c>
      <c r="B9584" s="7" t="str">
        <f>IFERROR(__xludf.DUMMYFUNCTION("SPLIT(A9584,"" "")"),"CNCc1cc(CN(Cc2ccccn2)C2CCC(N(C)c3ccc4nc(CF)ccc4c3)CC2)ccn1")</f>
        <v>CNCc1cc(CN(Cc2ccccn2)C2CCC(N(C)c3ccc4nc(CF)ccc4c3)CC2)ccn1</v>
      </c>
      <c r="C9584" s="7">
        <f>IFERROR(__xludf.DUMMYFUNCTION("""COMPUTED_VALUE"""),7.7689223)</f>
        <v>7.7689223</v>
      </c>
      <c r="D9584" s="7">
        <f>IFERROR(__xludf.DUMMYFUNCTION("""COMPUTED_VALUE"""),0.343283582089552)</f>
        <v>0.3432835821</v>
      </c>
    </row>
    <row r="9585">
      <c r="A9585" s="10" t="s">
        <v>11024</v>
      </c>
      <c r="B9585" s="7" t="str">
        <f>IFERROR(__xludf.DUMMYFUNCTION("SPLIT(A9585,"" "")"),"CC(C)C1=CC2(C=CN1)C=C(NCc1ccccn1)C(C)(C)C(c1ncccc1CN(Cc1ccccn1)Cc1ccccn1)C2C")</f>
        <v>CC(C)C1=CC2(C=CN1)C=C(NCc1ccccn1)C(C)(C)C(c1ncccc1CN(Cc1ccccn1)Cc1ccccn1)C2C</v>
      </c>
      <c r="C9585" s="7">
        <f>IFERROR(__xludf.DUMMYFUNCTION("""COMPUTED_VALUE"""),7.7689185)</f>
        <v>7.7689185</v>
      </c>
      <c r="D9585" s="7">
        <f>IFERROR(__xludf.DUMMYFUNCTION("""COMPUTED_VALUE"""),0.314285714285714)</f>
        <v>0.3142857143</v>
      </c>
    </row>
    <row r="9586">
      <c r="A9586" s="10" t="s">
        <v>11025</v>
      </c>
      <c r="B9586" s="7" t="str">
        <f>IFERROR(__xludf.DUMMYFUNCTION("SPLIT(A9586,"" "")"),"CNCc1cc(CN(Cc2ccccn2)C(C)(N)c2ccccn2)ccn1")</f>
        <v>CNCc1cc(CN(Cc2ccccn2)C(C)(N)c2ccccn2)ccn1</v>
      </c>
      <c r="C9586" s="7">
        <f>IFERROR(__xludf.DUMMYFUNCTION("""COMPUTED_VALUE"""),7.7689185)</f>
        <v>7.7689185</v>
      </c>
      <c r="D9586" s="7">
        <f>IFERROR(__xludf.DUMMYFUNCTION("""COMPUTED_VALUE"""),0.377358490566037)</f>
        <v>0.3773584906</v>
      </c>
    </row>
    <row r="9587">
      <c r="A9587" s="10" t="s">
        <v>11026</v>
      </c>
      <c r="B9587" s="7" t="str">
        <f>IFERROR(__xludf.DUMMYFUNCTION("SPLIT(A9587,"" "")"),"Cc1cncc(CN(C)Cc2cccc(CN(Cc3cccc(C)n3)C(C)C)n2)c1")</f>
        <v>Cc1cncc(CN(C)Cc2cccc(CN(Cc3cccc(C)n3)C(C)C)n2)c1</v>
      </c>
      <c r="C9587" s="7">
        <f>IFERROR(__xludf.DUMMYFUNCTION("""COMPUTED_VALUE"""),7.7689157)</f>
        <v>7.7689157</v>
      </c>
      <c r="D9587" s="7">
        <f>IFERROR(__xludf.DUMMYFUNCTION("""COMPUTED_VALUE"""),0.478260869565217)</f>
        <v>0.4782608696</v>
      </c>
    </row>
    <row r="9588">
      <c r="A9588" s="10" t="s">
        <v>11027</v>
      </c>
      <c r="B9588" s="7" t="str">
        <f>IFERROR(__xludf.DUMMYFUNCTION("SPLIT(A9588,"" "")"),"CN(C)Cc1cccnc1N(C)C(C)(C)C")</f>
        <v>CN(C)Cc1cccnc1N(C)C(C)(C)C</v>
      </c>
      <c r="C9588" s="7">
        <f>IFERROR(__xludf.DUMMYFUNCTION("""COMPUTED_VALUE"""),7.7689114)</f>
        <v>7.7689114</v>
      </c>
      <c r="D9588" s="7">
        <f>IFERROR(__xludf.DUMMYFUNCTION("""COMPUTED_VALUE"""),0.38095238095238)</f>
        <v>0.380952381</v>
      </c>
    </row>
    <row r="9589">
      <c r="A9589" s="10" t="s">
        <v>11028</v>
      </c>
      <c r="B9589" s="7" t="str">
        <f>IFERROR(__xludf.DUMMYFUNCTION("SPLIT(A9589,"" "")"),"Cc1ccnc(CN(Cc2ccnc(CNC(C)C)c2)Cc2cc(C)ccn2)c1")</f>
        <v>Cc1ccnc(CN(Cc2ccnc(CNC(C)C)c2)Cc2cc(C)ccn2)c1</v>
      </c>
      <c r="C9589" s="7">
        <f>IFERROR(__xludf.DUMMYFUNCTION("""COMPUTED_VALUE"""),7.768906)</f>
        <v>7.768906</v>
      </c>
      <c r="D9589" s="7">
        <f>IFERROR(__xludf.DUMMYFUNCTION("""COMPUTED_VALUE"""),0.36734693877551)</f>
        <v>0.3673469388</v>
      </c>
    </row>
    <row r="9590">
      <c r="A9590" s="10" t="s">
        <v>11029</v>
      </c>
      <c r="B9590" s="7" t="str">
        <f>IFERROR(__xludf.DUMMYFUNCTION("SPLIT(A9590,"" "")"),"CNCc1cccc(CN(Cc2ccccn2)C2CCC(N(C)c3ccc4nc(CF)ccc4c3)CC2)n1")</f>
        <v>CNCc1cccc(CN(Cc2ccccn2)C2CCC(N(C)c3ccc4nc(CF)ccc4c3)CC2)n1</v>
      </c>
      <c r="C9590" s="7">
        <f>IFERROR(__xludf.DUMMYFUNCTION("""COMPUTED_VALUE"""),7.7689056)</f>
        <v>7.7689056</v>
      </c>
      <c r="D9590" s="7">
        <f>IFERROR(__xludf.DUMMYFUNCTION("""COMPUTED_VALUE"""),0.375)</f>
        <v>0.375</v>
      </c>
    </row>
    <row r="9591">
      <c r="A9591" s="10" t="s">
        <v>11030</v>
      </c>
      <c r="B9591" s="7" t="str">
        <f>IFERROR(__xludf.DUMMYFUNCTION("SPLIT(A9591,"" "")"),"CCNC1=C(c2ccc(CN(Cc3ccccn3)C3CCC(N(C)c4ccc5c(CN(C)C)ccnc5c4)CC3)cn2)CCC(C)C1C")</f>
        <v>CCNC1=C(c2ccc(CN(Cc3ccccn3)C3CCC(N(C)c4ccc5c(CN(C)C)ccnc5c4)CC3)cn2)CCC(C)C1C</v>
      </c>
      <c r="C9591" s="7">
        <f>IFERROR(__xludf.DUMMYFUNCTION("""COMPUTED_VALUE"""),7.768903)</f>
        <v>7.768903</v>
      </c>
      <c r="D9591" s="7">
        <f>IFERROR(__xludf.DUMMYFUNCTION("""COMPUTED_VALUE"""),0.265060240963855)</f>
        <v>0.265060241</v>
      </c>
    </row>
    <row r="9592">
      <c r="A9592" s="10" t="s">
        <v>11031</v>
      </c>
      <c r="B9592" s="7" t="str">
        <f>IFERROR(__xludf.DUMMYFUNCTION("SPLIT(A9592,"" "")"),"CNCc1ncccc1CN(Cc1ccccn1)C1CCC(N(C)c2cccc3ccc(CF)nc23)CC1")</f>
        <v>CNCc1ncccc1CN(Cc1ccccn1)C1CCC(N(C)c2cccc3ccc(CF)nc23)CC1</v>
      </c>
      <c r="C9592" s="7">
        <f>IFERROR(__xludf.DUMMYFUNCTION("""COMPUTED_VALUE"""),7.7688966)</f>
        <v>7.7688966</v>
      </c>
      <c r="D9592" s="7">
        <f>IFERROR(__xludf.DUMMYFUNCTION("""COMPUTED_VALUE"""),0.455882352941176)</f>
        <v>0.4558823529</v>
      </c>
    </row>
    <row r="9593">
      <c r="A9593" s="10" t="s">
        <v>11032</v>
      </c>
      <c r="B9593" s="7" t="str">
        <f>IFERROR(__xludf.DUMMYFUNCTION("SPLIT(A9593,"" "")"),"CN(c1ccc2ncc(CF)cc2c1)C1CCCCC1N(Cc1ccccn1)Cc1ccccn1")</f>
        <v>CN(c1ccc2ncc(CF)cc2c1)C1CCCCC1N(Cc1ccccn1)Cc1ccccn1</v>
      </c>
      <c r="C9593" s="7">
        <f>IFERROR(__xludf.DUMMYFUNCTION("""COMPUTED_VALUE"""),7.7688956)</f>
        <v>7.7688956</v>
      </c>
      <c r="D9593" s="7">
        <f>IFERROR(__xludf.DUMMYFUNCTION("""COMPUTED_VALUE"""),0.456140350877192)</f>
        <v>0.4561403509</v>
      </c>
    </row>
    <row r="9594">
      <c r="A9594" s="10" t="s">
        <v>11033</v>
      </c>
      <c r="B9594" s="7" t="str">
        <f>IFERROR(__xludf.DUMMYFUNCTION("SPLIT(A9594,"" "")"),"CCc1cccc(CNCc2cc(C(C)(C)c3ccccn3)ccn2)c1")</f>
        <v>CCc1cccc(CNCc2cc(C(C)(C)c3ccccn3)ccn2)c1</v>
      </c>
      <c r="C9594" s="7">
        <f>IFERROR(__xludf.DUMMYFUNCTION("""COMPUTED_VALUE"""),7.7688923)</f>
        <v>7.7688923</v>
      </c>
      <c r="D9594" s="7">
        <f>IFERROR(__xludf.DUMMYFUNCTION("""COMPUTED_VALUE"""),0.346938775510204)</f>
        <v>0.3469387755</v>
      </c>
    </row>
    <row r="9595">
      <c r="A9595" s="10" t="s">
        <v>11034</v>
      </c>
      <c r="B9595" s="7" t="str">
        <f>IFERROR(__xludf.DUMMYFUNCTION("SPLIT(A9595,"" "")"),"Cc1cccnc1CN(C)C1=C(CN(Cc2ccccn2)CC(C)(C)C)NC=CC1")</f>
        <v>Cc1cccnc1CN(C)C1=C(CN(Cc2ccccn2)CC(C)(C)C)NC=CC1</v>
      </c>
      <c r="C9595" s="7">
        <f>IFERROR(__xludf.DUMMYFUNCTION("""COMPUTED_VALUE"""),7.7688775)</f>
        <v>7.7688775</v>
      </c>
      <c r="D9595" s="7">
        <f>IFERROR(__xludf.DUMMYFUNCTION("""COMPUTED_VALUE"""),0.456140350877192)</f>
        <v>0.4561403509</v>
      </c>
    </row>
    <row r="9596">
      <c r="A9596" s="10" t="s">
        <v>11035</v>
      </c>
      <c r="B9596" s="7" t="str">
        <f>IFERROR(__xludf.DUMMYFUNCTION("SPLIT(A9596,"" "")"),"Cc1cccnc1CN(C)Cc1ncccc1N(C)C(C)(C)C")</f>
        <v>Cc1cccnc1CN(C)Cc1ncccc1N(C)C(C)(C)C</v>
      </c>
      <c r="C9596" s="7">
        <f>IFERROR(__xludf.DUMMYFUNCTION("""COMPUTED_VALUE"""),7.76887)</f>
        <v>7.76887</v>
      </c>
      <c r="D9596" s="7">
        <f>IFERROR(__xludf.DUMMYFUNCTION("""COMPUTED_VALUE"""),0.326086956521739)</f>
        <v>0.3260869565</v>
      </c>
    </row>
    <row r="9597">
      <c r="A9597" s="10" t="s">
        <v>11036</v>
      </c>
      <c r="B9597" s="7" t="str">
        <f>IFERROR(__xludf.DUMMYFUNCTION("SPLIT(A9597,"" "")"),"CN(Cc1cccc(-c2ccc3c(c2)OCCOCCOCCOCCOCCO3)n1)Cc1ccc2cc(N(C)Cc3ccccn3)ccc2n1")</f>
        <v>CN(Cc1cccc(-c2ccc3c(c2)OCCOCCOCCOCCOCCO3)n1)Cc1ccc2cc(N(C)Cc3ccccn3)ccc2n1</v>
      </c>
      <c r="C9597" s="7">
        <f>IFERROR(__xludf.DUMMYFUNCTION("""COMPUTED_VALUE"""),7.768867)</f>
        <v>7.768867</v>
      </c>
      <c r="D9597" s="7">
        <f>IFERROR(__xludf.DUMMYFUNCTION("""COMPUTED_VALUE"""),0.444444444444444)</f>
        <v>0.4444444444</v>
      </c>
    </row>
    <row r="9598">
      <c r="A9598" s="10" t="s">
        <v>11037</v>
      </c>
      <c r="B9598" s="7" t="str">
        <f>IFERROR(__xludf.DUMMYFUNCTION("SPLIT(A9598,"" "")"),"Cc1ccc(CN(Cc2ncc(C)c(C)c2C)C2CCC(N(C)Cc3cc(-c4ccccn4)ccn3)CC2)nc1")</f>
        <v>Cc1ccc(CN(Cc2ncc(C)c(C)c2C)C2CCC(N(C)Cc3cc(-c4ccccn4)ccn3)CC2)nc1</v>
      </c>
      <c r="C9598" s="7">
        <f>IFERROR(__xludf.DUMMYFUNCTION("""COMPUTED_VALUE"""),7.7688627)</f>
        <v>7.7688627</v>
      </c>
      <c r="D9598" s="7">
        <f>IFERROR(__xludf.DUMMYFUNCTION("""COMPUTED_VALUE"""),0.384615384615384)</f>
        <v>0.3846153846</v>
      </c>
    </row>
    <row r="9599">
      <c r="A9599" s="10" t="s">
        <v>11038</v>
      </c>
      <c r="B9599" s="7" t="str">
        <f>IFERROR(__xludf.DUMMYFUNCTION("SPLIT(A9599,"" "")"),"CN(Cc1ccccn1)Cc1ccc2cccc(N(Cc3ccccn3)Cc3cc(-c4cccc5c4OCCOCCOCCOCCOCCO5)ccn3)c2n1")</f>
        <v>CN(Cc1ccccn1)Cc1ccc2cccc(N(Cc3ccccn3)Cc3cc(-c4cccc5c4OCCOCCOCCOCCOCCO5)ccn3)c2n1</v>
      </c>
      <c r="C9599" s="7">
        <f>IFERROR(__xludf.DUMMYFUNCTION("""COMPUTED_VALUE"""),7.7688603)</f>
        <v>7.7688603</v>
      </c>
      <c r="D9599" s="7">
        <f>IFERROR(__xludf.DUMMYFUNCTION("""COMPUTED_VALUE"""),0.36231884057971)</f>
        <v>0.3623188406</v>
      </c>
    </row>
    <row r="9600">
      <c r="A9600" s="10" t="s">
        <v>11039</v>
      </c>
      <c r="B9600" s="7" t="str">
        <f>IFERROR(__xludf.DUMMYFUNCTION("SPLIT(A9600,"" "")"),"Cc1cnc(CN(CCN(C)Cc2ncc(C)c(C)c2C)Cc2ccccn2)c(C)c1")</f>
        <v>Cc1cnc(CN(CCN(C)Cc2ncc(C)c(C)c2C)Cc2ccccn2)c(C)c1</v>
      </c>
      <c r="C9600" s="7">
        <f>IFERROR(__xludf.DUMMYFUNCTION("""COMPUTED_VALUE"""),7.7688594)</f>
        <v>7.7688594</v>
      </c>
      <c r="D9600" s="7">
        <f>IFERROR(__xludf.DUMMYFUNCTION("""COMPUTED_VALUE"""),0.489795918367346)</f>
        <v>0.4897959184</v>
      </c>
    </row>
    <row r="9601">
      <c r="A9601" s="10" t="s">
        <v>11040</v>
      </c>
      <c r="B9601" s="7" t="str">
        <f>IFERROR(__xludf.DUMMYFUNCTION("SPLIT(A9601,"" "")"),"CCNCc1cccc(CN(Cc2ncccc2C)C2CCC(N(C)c3cccc4ncccc34)CC2)n1")</f>
        <v>CCNCc1cccc(CN(Cc2ncccc2C)C2CCC(N(C)c3cccc4ncccc34)CC2)n1</v>
      </c>
      <c r="C9601" s="7">
        <f>IFERROR(__xludf.DUMMYFUNCTION("""COMPUTED_VALUE"""),7.7688575)</f>
        <v>7.7688575</v>
      </c>
      <c r="D9601" s="7">
        <f>IFERROR(__xludf.DUMMYFUNCTION("""COMPUTED_VALUE"""),0.28169014084507)</f>
        <v>0.2816901408</v>
      </c>
    </row>
    <row r="9602">
      <c r="A9602" s="10" t="s">
        <v>11041</v>
      </c>
      <c r="B9602" s="7" t="str">
        <f>IFERROR(__xludf.DUMMYFUNCTION("SPLIT(A9602,"" "")"),"CCNCc1cc(CN(Cc2ccccn2)Cc2nc(C)c(C)cc2C)ccn1")</f>
        <v>CCNCc1cc(CN(Cc2ccccn2)Cc2nc(C)c(C)cc2C)ccn1</v>
      </c>
      <c r="C9602" s="7">
        <f>IFERROR(__xludf.DUMMYFUNCTION("""COMPUTED_VALUE"""),7.7688546)</f>
        <v>7.7688546</v>
      </c>
      <c r="D9602" s="7">
        <f>IFERROR(__xludf.DUMMYFUNCTION("""COMPUTED_VALUE"""),0.416666666666666)</f>
        <v>0.4166666667</v>
      </c>
    </row>
    <row r="9603">
      <c r="A9603" s="10" t="s">
        <v>11042</v>
      </c>
      <c r="B9603" s="7" t="str">
        <f>IFERROR(__xludf.DUMMYFUNCTION("SPLIT(A9603,"" "")"),"CN(Cc1cccnn1)C1CCC(N(C)c2ccc3cccnc3c2)CC1")</f>
        <v>CN(Cc1cccnn1)C1CCC(N(C)c2ccc3cccnc3c2)CC1</v>
      </c>
      <c r="C9603" s="7">
        <f>IFERROR(__xludf.DUMMYFUNCTION("""COMPUTED_VALUE"""),7.768852)</f>
        <v>7.768852</v>
      </c>
      <c r="D9603" s="7">
        <f>IFERROR(__xludf.DUMMYFUNCTION("""COMPUTED_VALUE"""),0.392156862745098)</f>
        <v>0.3921568627</v>
      </c>
    </row>
    <row r="9604">
      <c r="A9604" s="10" t="s">
        <v>11043</v>
      </c>
      <c r="B9604" s="7" t="str">
        <f>IFERROR(__xludf.DUMMYFUNCTION("SPLIT(A9604,"" "")"),"Fc1ccccc1N(Cc1ccccn1)C1CCCCC1N(Cc1ccc2cccnc2c1)Cc1ccccn1")</f>
        <v>Fc1ccccc1N(Cc1ccccn1)C1CCCCC1N(Cc1ccc2cccnc2c1)Cc1ccccn1</v>
      </c>
      <c r="C9604" s="7">
        <f>IFERROR(__xludf.DUMMYFUNCTION("""COMPUTED_VALUE"""),7.7688475)</f>
        <v>7.7688475</v>
      </c>
      <c r="D9604" s="7">
        <f>IFERROR(__xludf.DUMMYFUNCTION("""COMPUTED_VALUE"""),0.4)</f>
        <v>0.4</v>
      </c>
    </row>
    <row r="9605">
      <c r="A9605" s="10" t="s">
        <v>11044</v>
      </c>
      <c r="B9605" s="7" t="str">
        <f>IFERROR(__xludf.DUMMYFUNCTION("SPLIT(A9605,"" "")"),"CN(Cc1ncccc1-c1ccc2c(c1)OCCOCCOCCOCCOCCO2)c1ccc2ncccc2c1")</f>
        <v>CN(Cc1ncccc1-c1ccc2c(c1)OCCOCCOCCOCCOCCO2)c1ccc2ncccc2c1</v>
      </c>
      <c r="C9605" s="7">
        <f>IFERROR(__xludf.DUMMYFUNCTION("""COMPUTED_VALUE"""),7.7688274)</f>
        <v>7.7688274</v>
      </c>
      <c r="D9605" s="7">
        <f>IFERROR(__xludf.DUMMYFUNCTION("""COMPUTED_VALUE"""),0.319444444444444)</f>
        <v>0.3194444444</v>
      </c>
    </row>
    <row r="9606">
      <c r="A9606" s="10" t="s">
        <v>11045</v>
      </c>
      <c r="B9606" s="7" t="str">
        <f>IFERROR(__xludf.DUMMYFUNCTION("SPLIT(A9606,"" "")"),"CC1=C(c2ccccn2)C2(C=CNC(CN(C)Cc3ccccn3)=C2)CCC1")</f>
        <v>CC1=C(c2ccccn2)C2(C=CNC(CN(C)Cc3ccccn3)=C2)CCC1</v>
      </c>
      <c r="C9606" s="7">
        <f>IFERROR(__xludf.DUMMYFUNCTION("""COMPUTED_VALUE"""),7.768826)</f>
        <v>7.768826</v>
      </c>
      <c r="D9606" s="7">
        <f>IFERROR(__xludf.DUMMYFUNCTION("""COMPUTED_VALUE"""),0.43103448275862)</f>
        <v>0.4310344828</v>
      </c>
    </row>
    <row r="9607">
      <c r="A9607" s="10" t="s">
        <v>11046</v>
      </c>
      <c r="B9607" s="7" t="str">
        <f>IFERROR(__xludf.DUMMYFUNCTION("SPLIT(A9607,"" "")"),"CN(Cc1ccccn1)Cc1ccc2cccc(N(C)Cc3cccc(-c4ccc5c(c4)OCCOCCOCCOCCOCCO5)n3)c2n1")</f>
        <v>CN(Cc1ccccn1)Cc1ccc2cccc(N(C)Cc3cccc(-c4ccc5c(c4)OCCOCCOCCOCCOCCO5)n3)c2n1</v>
      </c>
      <c r="C9607" s="7">
        <f>IFERROR(__xludf.DUMMYFUNCTION("""COMPUTED_VALUE"""),7.768824)</f>
        <v>7.768824</v>
      </c>
      <c r="D9607" s="7">
        <f>IFERROR(__xludf.DUMMYFUNCTION("""COMPUTED_VALUE"""),0.444444444444444)</f>
        <v>0.4444444444</v>
      </c>
    </row>
    <row r="9608">
      <c r="A9608" s="10" t="s">
        <v>11047</v>
      </c>
      <c r="B9608" s="7" t="str">
        <f>IFERROR(__xludf.DUMMYFUNCTION("SPLIT(A9608,"" "")"),"Cc1cc(CN(C)C2=CNC(CN(C)C(C)C)=CC2)cnc1C")</f>
        <v>Cc1cc(CN(C)C2=CNC(CN(C)C(C)C)=CC2)cnc1C</v>
      </c>
      <c r="C9608" s="7">
        <f>IFERROR(__xludf.DUMMYFUNCTION("""COMPUTED_VALUE"""),7.7688227)</f>
        <v>7.7688227</v>
      </c>
      <c r="D9608" s="7">
        <f>IFERROR(__xludf.DUMMYFUNCTION("""COMPUTED_VALUE"""),0.194029850746268)</f>
        <v>0.1940298507</v>
      </c>
    </row>
    <row r="9609">
      <c r="A9609" s="10" t="s">
        <v>11048</v>
      </c>
      <c r="B9609" s="7" t="str">
        <f>IFERROR(__xludf.DUMMYFUNCTION("SPLIT(A9609,"" "")"),"CN(CCN(C)c1ccc2ncc(C3=CCC=CN3)cc2c1)Cc1cccc(-c2ccc3c(c2)OCCOCCOCCOCCOCCO3)n1")</f>
        <v>CN(CCN(C)c1ccc2ncc(C3=CCC=CN3)cc2c1)Cc1cccc(-c2ccc3c(c2)OCCOCCOCCOCCOCCO3)n1</v>
      </c>
      <c r="C9609" s="7">
        <f>IFERROR(__xludf.DUMMYFUNCTION("""COMPUTED_VALUE"""),7.76882)</f>
        <v>7.76882</v>
      </c>
      <c r="D9609" s="7">
        <f>IFERROR(__xludf.DUMMYFUNCTION("""COMPUTED_VALUE"""),0.288888888888888)</f>
        <v>0.2888888889</v>
      </c>
    </row>
    <row r="9610">
      <c r="A9610" s="10" t="s">
        <v>11049</v>
      </c>
      <c r="B9610" s="7" t="str">
        <f>IFERROR(__xludf.DUMMYFUNCTION("SPLIT(A9610,"" "")"),"CC1(C)CC(c2cccc(CN(Cc3ccccn3)Cc3cccc(C(C)(C)C)n3)n2)C1")</f>
        <v>CC1(C)CC(c2cccc(CN(Cc3ccccn3)Cc3cccc(C(C)(C)C)n3)n2)C1</v>
      </c>
      <c r="C9610" s="7">
        <f>IFERROR(__xludf.DUMMYFUNCTION("""COMPUTED_VALUE"""),7.768818)</f>
        <v>7.768818</v>
      </c>
      <c r="D9610" s="7">
        <f>IFERROR(__xludf.DUMMYFUNCTION("""COMPUTED_VALUE"""),0.434782608695652)</f>
        <v>0.4347826087</v>
      </c>
    </row>
    <row r="9611">
      <c r="A9611" s="10" t="s">
        <v>11050</v>
      </c>
      <c r="B9611" s="7" t="str">
        <f>IFERROR(__xludf.DUMMYFUNCTION("SPLIT(A9611,"" "")"),"CC(C)(C)c1cccc(CN(Cc2cncc(-c3cccc(N=Cc4ccccn4)c3)c2)Cc2ncccc2-c2cccc3c2OCCOCCOCCOCCOCCO3)n1")</f>
        <v>CC(C)(C)c1cccc(CN(Cc2cncc(-c3cccc(N=Cc4ccccn4)c3)c2)Cc2ncccc2-c2cccc3c2OCCOCCOCCOCCOCCO3)n1</v>
      </c>
      <c r="C9611" s="7">
        <f>IFERROR(__xludf.DUMMYFUNCTION("""COMPUTED_VALUE"""),7.7688146)</f>
        <v>7.7688146</v>
      </c>
      <c r="D9611" s="7">
        <f>IFERROR(__xludf.DUMMYFUNCTION("""COMPUTED_VALUE"""),0.257731958762886)</f>
        <v>0.2577319588</v>
      </c>
    </row>
    <row r="9612">
      <c r="A9612" s="10" t="s">
        <v>11051</v>
      </c>
      <c r="B9612" s="7" t="str">
        <f>IFERROR(__xludf.DUMMYFUNCTION("SPLIT(A9612,"" "")"),"Cc1cccc(CN(Cc2ccnc(C(C)(C)C)c2)Cc2cc(C(C)(C)C(C)C)ccn2)n1")</f>
        <v>Cc1cccc(CN(Cc2ccnc(C(C)(C)C)c2)Cc2cc(C(C)(C)C(C)C)ccn2)n1</v>
      </c>
      <c r="C9612" s="7">
        <f>IFERROR(__xludf.DUMMYFUNCTION("""COMPUTED_VALUE"""),7.7688084)</f>
        <v>7.7688084</v>
      </c>
      <c r="D9612" s="7">
        <f>IFERROR(__xludf.DUMMYFUNCTION("""COMPUTED_VALUE"""),0.345454545454545)</f>
        <v>0.3454545455</v>
      </c>
    </row>
    <row r="9613">
      <c r="A9613" s="10" t="s">
        <v>11052</v>
      </c>
      <c r="B9613" s="7" t="str">
        <f>IFERROR(__xludf.DUMMYFUNCTION("SPLIT(A9613,"" "")"),"Cc1ccc(N)c(N(Cc2ccccn2)C(C)(N)N(Cc2ccccn2)CC2CC(C)C(N(C)Cc3ccccn3)=CC2C)c1")</f>
        <v>Cc1ccc(N)c(N(Cc2ccccn2)C(C)(N)N(Cc2ccccn2)CC2CC(C)C(N(C)Cc3ccccn3)=CC2C)c1</v>
      </c>
      <c r="C9613" s="7">
        <f>IFERROR(__xludf.DUMMYFUNCTION("""COMPUTED_VALUE"""),7.768802)</f>
        <v>7.768802</v>
      </c>
      <c r="D9613" s="7">
        <f>IFERROR(__xludf.DUMMYFUNCTION("""COMPUTED_VALUE"""),0.333333333333333)</f>
        <v>0.3333333333</v>
      </c>
    </row>
    <row r="9614">
      <c r="A9614" s="10" t="s">
        <v>11053</v>
      </c>
      <c r="B9614" s="7" t="str">
        <f>IFERROR(__xludf.DUMMYFUNCTION("SPLIT(A9614,"" "")"),"Cc1cnc(CN(C)CC2=CC(N(C)Cc3ccccn3)C=CN2)c(C)c1C")</f>
        <v>Cc1cnc(CN(C)CC2=CC(N(C)Cc3ccccn3)C=CN2)c(C)c1C</v>
      </c>
      <c r="C9614" s="7">
        <f>IFERROR(__xludf.DUMMYFUNCTION("""COMPUTED_VALUE"""),7.7688007)</f>
        <v>7.7688007</v>
      </c>
      <c r="D9614" s="7">
        <f>IFERROR(__xludf.DUMMYFUNCTION("""COMPUTED_VALUE"""),0.379310344827586)</f>
        <v>0.3793103448</v>
      </c>
    </row>
    <row r="9615">
      <c r="A9615" s="10" t="s">
        <v>11054</v>
      </c>
      <c r="B9615" s="7" t="str">
        <f>IFERROR(__xludf.DUMMYFUNCTION("SPLIT(A9615,"" "")"),"CC(C)(NCc1ccccn1)c1cccc(NCc2ccccn2)c1")</f>
        <v>CC(C)(NCc1ccccn1)c1cccc(NCc2ccccn2)c1</v>
      </c>
      <c r="C9615" s="7">
        <f>IFERROR(__xludf.DUMMYFUNCTION("""COMPUTED_VALUE"""),7.7687964)</f>
        <v>7.7687964</v>
      </c>
      <c r="D9615" s="7">
        <f>IFERROR(__xludf.DUMMYFUNCTION("""COMPUTED_VALUE"""),0.404761904761904)</f>
        <v>0.4047619048</v>
      </c>
    </row>
    <row r="9616">
      <c r="A9616" s="10" t="s">
        <v>11055</v>
      </c>
      <c r="B9616" s="7" t="str">
        <f>IFERROR(__xludf.DUMMYFUNCTION("SPLIT(A9616,"" "")"),"CC(C)N(C)Cc1cccc(N(C)Cc2ccccn2)n1")</f>
        <v>CC(C)N(C)Cc1cccc(N(C)Cc2ccccn2)n1</v>
      </c>
      <c r="C9616" s="7">
        <f>IFERROR(__xludf.DUMMYFUNCTION("""COMPUTED_VALUE"""),7.7687902)</f>
        <v>7.7687902</v>
      </c>
      <c r="D9616" s="7">
        <f>IFERROR(__xludf.DUMMYFUNCTION("""COMPUTED_VALUE"""),0.5)</f>
        <v>0.5</v>
      </c>
    </row>
    <row r="9617">
      <c r="A9617" s="10" t="s">
        <v>11056</v>
      </c>
      <c r="B9617" s="7" t="str">
        <f>IFERROR(__xludf.DUMMYFUNCTION("SPLIT(A9617,"" "")"),"Cc1ccnc(CN(C)Cc2ncccc2C)c1")</f>
        <v>Cc1ccnc(CN(C)Cc2ncccc2C)c1</v>
      </c>
      <c r="C9617" s="7">
        <f>IFERROR(__xludf.DUMMYFUNCTION("""COMPUTED_VALUE"""),7.7687883)</f>
        <v>7.7687883</v>
      </c>
      <c r="D9617" s="7">
        <f>IFERROR(__xludf.DUMMYFUNCTION("""COMPUTED_VALUE"""),0.391304347826087)</f>
        <v>0.3913043478</v>
      </c>
    </row>
    <row r="9618">
      <c r="A9618" s="10" t="s">
        <v>11057</v>
      </c>
      <c r="B9618" s="7" t="str">
        <f>IFERROR(__xludf.DUMMYFUNCTION("SPLIT(A9618,"" "")"),"Cc1ccnc(CN(C)C2=CNC(CN(C)C(C)C)=CC2)c1C")</f>
        <v>Cc1ccnc(CN(C)C2=CNC(CN(C)C(C)C)=CC2)c1C</v>
      </c>
      <c r="C9618" s="7">
        <f>IFERROR(__xludf.DUMMYFUNCTION("""COMPUTED_VALUE"""),7.768783)</f>
        <v>7.768783</v>
      </c>
      <c r="D9618" s="7">
        <f>IFERROR(__xludf.DUMMYFUNCTION("""COMPUTED_VALUE"""),0.23076923076923)</f>
        <v>0.2307692308</v>
      </c>
    </row>
    <row r="9619">
      <c r="A9619" s="10" t="s">
        <v>11058</v>
      </c>
      <c r="B9619" s="7" t="str">
        <f>IFERROR(__xludf.DUMMYFUNCTION("SPLIT(A9619,"" "")"),"CC1=CC(C)C(C)C(C)(c2cccc(CN(Cc3ccccn3)C3CCC(N(C)c4ccc5nccc(CN(C)C)c5c4)CC3)n2)C1")</f>
        <v>CC1=CC(C)C(C)C(C)(c2cccc(CN(Cc3ccccn3)C3CCC(N(C)c4ccc5nccc(CN(C)C)c5c4)CC3)n2)C1</v>
      </c>
      <c r="C9619" s="7">
        <f>IFERROR(__xludf.DUMMYFUNCTION("""COMPUTED_VALUE"""),7.7687764)</f>
        <v>7.7687764</v>
      </c>
      <c r="D9619" s="7">
        <f>IFERROR(__xludf.DUMMYFUNCTION("""COMPUTED_VALUE"""),0.275)</f>
        <v>0.275</v>
      </c>
    </row>
    <row r="9620">
      <c r="A9620" s="10" t="s">
        <v>11059</v>
      </c>
      <c r="B9620" s="7" t="str">
        <f>IFERROR(__xludf.DUMMYFUNCTION("SPLIT(A9620,"" "")"),"Cc1c(N2CCN(C)CCN(C)CC2)ccc2ncccc12")</f>
        <v>Cc1c(N2CCN(C)CCN(C)CC2)ccc2ncccc12</v>
      </c>
      <c r="C9620" s="7">
        <f>IFERROR(__xludf.DUMMYFUNCTION("""COMPUTED_VALUE"""),7.768775)</f>
        <v>7.768775</v>
      </c>
      <c r="D9620" s="7">
        <f>IFERROR(__xludf.DUMMYFUNCTION("""COMPUTED_VALUE"""),0.355555555555555)</f>
        <v>0.3555555556</v>
      </c>
    </row>
    <row r="9621">
      <c r="A9621" s="10" t="s">
        <v>11060</v>
      </c>
      <c r="B9621" s="7" t="str">
        <f>IFERROR(__xludf.DUMMYFUNCTION("SPLIT(A9621,"" "")"),"Cc1cccnc1CN(C)C1CCC(N(Cc2ccc3ncccc3n2)Cc2ncccc2C)CC1")</f>
        <v>Cc1cccnc1CN(C)C1CCC(N(Cc2ccc3ncccc3n2)Cc2ncccc2C)CC1</v>
      </c>
      <c r="C9621" s="7">
        <f>IFERROR(__xludf.DUMMYFUNCTION("""COMPUTED_VALUE"""),7.76877)</f>
        <v>7.76877</v>
      </c>
      <c r="D9621" s="7">
        <f>IFERROR(__xludf.DUMMYFUNCTION("""COMPUTED_VALUE"""),0.310344827586206)</f>
        <v>0.3103448276</v>
      </c>
    </row>
    <row r="9622">
      <c r="A9622" s="10" t="s">
        <v>11061</v>
      </c>
      <c r="B9622" s="7" t="str">
        <f>IFERROR(__xludf.DUMMYFUNCTION("SPLIT(A9622,"" "")"),"CCN(Cc1ccccn1)c1ccc2c(CN(Cc3ccccn3)Cc3cc(-c4ccc5c(c4)OCCOCCOCCOCCOCCO5)ccn3)ccnc2c1")</f>
        <v>CCN(Cc1ccccn1)c1ccc2c(CN(Cc3ccccn3)Cc3cc(-c4ccc5c(c4)OCCOCCOCCOCCOCCO5)ccn3)ccnc2c1</v>
      </c>
      <c r="C9622" s="7">
        <f>IFERROR(__xludf.DUMMYFUNCTION("""COMPUTED_VALUE"""),7.768768)</f>
        <v>7.768768</v>
      </c>
      <c r="D9622" s="7">
        <f>IFERROR(__xludf.DUMMYFUNCTION("""COMPUTED_VALUE"""),0.325)</f>
        <v>0.325</v>
      </c>
    </row>
    <row r="9623">
      <c r="A9623" s="10" t="s">
        <v>11062</v>
      </c>
      <c r="B9623" s="7" t="str">
        <f>IFERROR(__xludf.DUMMYFUNCTION("SPLIT(A9623,"" "")"),"Cc1cc(C)nc(CN(Cc2ccc(N)cn2)Cc2cccc(CN(C)C(C)C)n2)c1")</f>
        <v>Cc1cc(C)nc(CN(Cc2ccc(N)cn2)Cc2cccc(CN(C)C(C)C)n2)c1</v>
      </c>
      <c r="C9623" s="7">
        <f>IFERROR(__xludf.DUMMYFUNCTION("""COMPUTED_VALUE"""),7.768768)</f>
        <v>7.768768</v>
      </c>
      <c r="D9623" s="7">
        <f>IFERROR(__xludf.DUMMYFUNCTION("""COMPUTED_VALUE"""),0.345454545454545)</f>
        <v>0.3454545455</v>
      </c>
    </row>
    <row r="9624">
      <c r="A9624" s="10" t="s">
        <v>11063</v>
      </c>
      <c r="B9624" s="7" t="str">
        <f>IFERROR(__xludf.DUMMYFUNCTION("SPLIT(A9624,"" "")"),"CC1(C)CC(c2ccc(CN(Cc3ccccn3)Cc3ccccn3)c(CN(Cc3ccccn3)Cc3ccccn3)n2)C1")</f>
        <v>CC1(C)CC(c2ccc(CN(Cc3ccccn3)Cc3ccccn3)c(CN(Cc3ccccn3)Cc3ccccn3)n2)C1</v>
      </c>
      <c r="C9624" s="7">
        <f>IFERROR(__xludf.DUMMYFUNCTION("""COMPUTED_VALUE"""),7.7687545)</f>
        <v>7.7687545</v>
      </c>
      <c r="D9624" s="7">
        <f>IFERROR(__xludf.DUMMYFUNCTION("""COMPUTED_VALUE"""),0.465116279069767)</f>
        <v>0.4651162791</v>
      </c>
    </row>
    <row r="9625">
      <c r="A9625" s="10" t="s">
        <v>11064</v>
      </c>
      <c r="B9625" s="7" t="str">
        <f>IFERROR(__xludf.DUMMYFUNCTION("SPLIT(A9625,"" "")"),"CCNCC1=CCC(N(C)Cc2nccc(C)c2C)=CN1")</f>
        <v>CCNCC1=CCC(N(C)Cc2nccc(C)c2C)=CN1</v>
      </c>
      <c r="C9625" s="7">
        <f>IFERROR(__xludf.DUMMYFUNCTION("""COMPUTED_VALUE"""),7.768746)</f>
        <v>7.768746</v>
      </c>
      <c r="D9625" s="7">
        <f>IFERROR(__xludf.DUMMYFUNCTION("""COMPUTED_VALUE"""),0.208955223880597)</f>
        <v>0.2089552239</v>
      </c>
    </row>
    <row r="9626">
      <c r="A9626" s="10" t="s">
        <v>11065</v>
      </c>
      <c r="B9626" s="7" t="str">
        <f>IFERROR(__xludf.DUMMYFUNCTION("SPLIT(A9626,"" "")"),"Cc1cc(CN(C)CCN(Cc2ccccn2)C(C)(C)c2cccnc2CN(Cc2ccccn2)Cc2ncccc2C)ccn1")</f>
        <v>Cc1cc(CN(C)CCN(Cc2ccccn2)C(C)(C)c2cccnc2CN(Cc2ccccn2)Cc2ncccc2C)ccn1</v>
      </c>
      <c r="C9626" s="7">
        <f>IFERROR(__xludf.DUMMYFUNCTION("""COMPUTED_VALUE"""),7.7687454)</f>
        <v>7.7687454</v>
      </c>
      <c r="D9626" s="7">
        <f>IFERROR(__xludf.DUMMYFUNCTION("""COMPUTED_VALUE"""),0.385714285714285)</f>
        <v>0.3857142857</v>
      </c>
    </row>
    <row r="9627">
      <c r="A9627" s="10" t="s">
        <v>11066</v>
      </c>
      <c r="B9627" s="7" t="str">
        <f>IFERROR(__xludf.DUMMYFUNCTION("SPLIT(A9627,"" "")"),"COC(C)c1ncccc1CN(Cc1ccccn1)Cc1cc(C(C)(C)C)ccn1")</f>
        <v>COC(C)c1ncccc1CN(Cc1ccccn1)Cc1cc(C(C)(C)C)ccn1</v>
      </c>
      <c r="C9627" s="7">
        <f>IFERROR(__xludf.DUMMYFUNCTION("""COMPUTED_VALUE"""),7.768744)</f>
        <v>7.768744</v>
      </c>
      <c r="D9627" s="7">
        <f>IFERROR(__xludf.DUMMYFUNCTION("""COMPUTED_VALUE"""),0.416666666666666)</f>
        <v>0.4166666667</v>
      </c>
    </row>
    <row r="9628">
      <c r="A9628" s="10" t="s">
        <v>11067</v>
      </c>
      <c r="B9628" s="7" t="str">
        <f>IFERROR(__xludf.DUMMYFUNCTION("SPLIT(A9628,"" "")"),"CN(c1cccc2ncc(CF)cc12)C1CCCCC1N(Cc1ccccn1)Cc1cccnc1CF")</f>
        <v>CN(c1cccc2ncc(CF)cc12)C1CCCCC1N(Cc1ccccn1)Cc1cccnc1CF</v>
      </c>
      <c r="C9628" s="7">
        <f>IFERROR(__xludf.DUMMYFUNCTION("""COMPUTED_VALUE"""),7.7687387)</f>
        <v>7.7687387</v>
      </c>
      <c r="D9628" s="7">
        <f>IFERROR(__xludf.DUMMYFUNCTION("""COMPUTED_VALUE"""),0.393939393939393)</f>
        <v>0.3939393939</v>
      </c>
    </row>
    <row r="9629">
      <c r="A9629" s="10" t="s">
        <v>11068</v>
      </c>
      <c r="B9629" s="7" t="str">
        <f>IFERROR(__xludf.DUMMYFUNCTION("SPLIT(A9629,"" "")"),"CNC1C(N(Cc2ccc(C)c(C)n2)Cc2nc(C)c(C)c(C)c2C)CCCC1N(Cc1nc(C)c(C)c(C)c1C)Cc1nc(C)c(C)c(C)c1C")</f>
        <v>CNC1C(N(Cc2ccc(C)c(C)n2)Cc2nc(C)c(C)c(C)c2C)CCCC1N(Cc1nc(C)c(C)c(C)c1C)Cc1nc(C)c(C)c(C)c1C</v>
      </c>
      <c r="C9629" s="7">
        <f>IFERROR(__xludf.DUMMYFUNCTION("""COMPUTED_VALUE"""),7.7687335)</f>
        <v>7.7687335</v>
      </c>
      <c r="D9629" s="7">
        <f>IFERROR(__xludf.DUMMYFUNCTION("""COMPUTED_VALUE"""),0.31578947368421)</f>
        <v>0.3157894737</v>
      </c>
    </row>
    <row r="9630">
      <c r="A9630" s="10" t="s">
        <v>11069</v>
      </c>
      <c r="B9630" s="7" t="str">
        <f>IFERROR(__xludf.DUMMYFUNCTION("SPLIT(A9630,"" "")"),"CCN(Cc1ccccn1)Cc1cccc(C(C)(C)c2ccccn2)n1")</f>
        <v>CCN(Cc1ccccn1)Cc1cccc(C(C)(C)c2ccccn2)n1</v>
      </c>
      <c r="C9630" s="7">
        <f>IFERROR(__xludf.DUMMYFUNCTION("""COMPUTED_VALUE"""),7.768717)</f>
        <v>7.768717</v>
      </c>
      <c r="D9630" s="7">
        <f>IFERROR(__xludf.DUMMYFUNCTION("""COMPUTED_VALUE"""),0.5)</f>
        <v>0.5</v>
      </c>
    </row>
    <row r="9631">
      <c r="A9631" s="10" t="s">
        <v>11070</v>
      </c>
      <c r="B9631" s="7" t="str">
        <f>IFERROR(__xludf.DUMMYFUNCTION("SPLIT(A9631,"" "")"),"COC(=O)C1C(C(=O)C(C)N)C(c2ccc(CN(Cc3ccccn3)Cc3ccc(C(C)(C)C)cn3)cn2)CN(C)C1c1ccccn1")</f>
        <v>COC(=O)C1C(C(=O)C(C)N)C(c2ccc(CN(Cc3ccccn3)Cc3ccc(C(C)(C)C)cn3)cn2)CN(C)C1c1ccccn1</v>
      </c>
      <c r="C9631" s="7">
        <f>IFERROR(__xludf.DUMMYFUNCTION("""COMPUTED_VALUE"""),7.7687154)</f>
        <v>7.7687154</v>
      </c>
      <c r="D9631" s="7">
        <f>IFERROR(__xludf.DUMMYFUNCTION("""COMPUTED_VALUE"""),0.285714285714285)</f>
        <v>0.2857142857</v>
      </c>
    </row>
    <row r="9632">
      <c r="A9632" s="10" t="s">
        <v>11071</v>
      </c>
      <c r="B9632" s="7" t="str">
        <f>IFERROR(__xludf.DUMMYFUNCTION("SPLIT(A9632,"" "")"),"CC(C)(c1ccccn1)c1cccc(CN(Cc2ccccn2)Cc2cccc(C3CCC3(C)C)n2)n1")</f>
        <v>CC(C)(c1ccccn1)c1cccc(CN(Cc2ccccn2)Cc2cccc(C3CCC3(C)C)n2)n1</v>
      </c>
      <c r="C9632" s="7">
        <f>IFERROR(__xludf.DUMMYFUNCTION("""COMPUTED_VALUE"""),7.7687106)</f>
        <v>7.7687106</v>
      </c>
      <c r="D9632" s="7">
        <f>IFERROR(__xludf.DUMMYFUNCTION("""COMPUTED_VALUE"""),0.4)</f>
        <v>0.4</v>
      </c>
    </row>
    <row r="9633">
      <c r="A9633" s="10" t="s">
        <v>11072</v>
      </c>
      <c r="B9633" s="7" t="str">
        <f>IFERROR(__xludf.DUMMYFUNCTION("SPLIT(A9633,"" "")"),"Fc1cccc(CN(Cc2cccc(-c3ccc4c(c3)OCCOCCOCCOCCOCCO4)n2)Cc2cccc(-c3ccccc3N=Cc3ccccn3)n2)n1")</f>
        <v>Fc1cccc(CN(Cc2cccc(-c3ccc4c(c3)OCCOCCOCCOCCOCCO4)n2)Cc2cccc(-c3ccccc3N=Cc3ccccn3)n2)n1</v>
      </c>
      <c r="C9633" s="7">
        <f>IFERROR(__xludf.DUMMYFUNCTION("""COMPUTED_VALUE"""),7.7687087)</f>
        <v>7.7687087</v>
      </c>
      <c r="D9633" s="7">
        <f>IFERROR(__xludf.DUMMYFUNCTION("""COMPUTED_VALUE"""),0.358974358974359)</f>
        <v>0.358974359</v>
      </c>
    </row>
    <row r="9634">
      <c r="A9634" s="10" t="s">
        <v>11073</v>
      </c>
      <c r="B9634" s="7" t="str">
        <f>IFERROR(__xludf.DUMMYFUNCTION("SPLIT(A9634,"" "")"),"CCOC(=O)C(=O)C(=O)C(C)NCc1cccc(CN(Cc2ccccn2)Cc2ccccn2)n1")</f>
        <v>CCOC(=O)C(=O)C(=O)C(C)NCc1cccc(CN(Cc2ccccn2)Cc2ccccn2)n1</v>
      </c>
      <c r="C9634" s="7">
        <f>IFERROR(__xludf.DUMMYFUNCTION("""COMPUTED_VALUE"""),7.7687073)</f>
        <v>7.7687073</v>
      </c>
      <c r="D9634" s="7">
        <f>IFERROR(__xludf.DUMMYFUNCTION("""COMPUTED_VALUE"""),0.40983606557377)</f>
        <v>0.4098360656</v>
      </c>
    </row>
    <row r="9635">
      <c r="A9635" s="10" t="s">
        <v>11074</v>
      </c>
      <c r="B9635" s="7" t="str">
        <f>IFERROR(__xludf.DUMMYFUNCTION("SPLIT(A9635,"" "")"),"Cc1cccnc1CN(CC1=CNC=CC1)Cc1ccccn1")</f>
        <v>Cc1cccnc1CN(CC1=CNC=CC1)Cc1ccccn1</v>
      </c>
      <c r="C9635" s="7">
        <f>IFERROR(__xludf.DUMMYFUNCTION("""COMPUTED_VALUE"""),7.7687054)</f>
        <v>7.7687054</v>
      </c>
      <c r="D9635" s="7">
        <f>IFERROR(__xludf.DUMMYFUNCTION("""COMPUTED_VALUE"""),0.444444444444444)</f>
        <v>0.4444444444</v>
      </c>
    </row>
    <row r="9636">
      <c r="A9636" s="10" t="s">
        <v>11075</v>
      </c>
      <c r="B9636" s="7" t="str">
        <f>IFERROR(__xludf.DUMMYFUNCTION("SPLIT(A9636,"" "")"),"COc1cc2nc(c1)CN(C)CC1C=CC=C(CN(C)C2)N1")</f>
        <v>COc1cc2nc(c1)CN(C)CC1C=CC=C(CN(C)C2)N1</v>
      </c>
      <c r="C9636" s="7">
        <f>IFERROR(__xludf.DUMMYFUNCTION("""COMPUTED_VALUE"""),7.768698)</f>
        <v>7.768698</v>
      </c>
      <c r="D9636" s="7">
        <f>IFERROR(__xludf.DUMMYFUNCTION("""COMPUTED_VALUE"""),0.488888888888888)</f>
        <v>0.4888888889</v>
      </c>
    </row>
    <row r="9637">
      <c r="A9637" s="10" t="s">
        <v>11076</v>
      </c>
      <c r="B9637" s="7" t="str">
        <f>IFERROR(__xludf.DUMMYFUNCTION("SPLIT(A9637,"" "")"),"CNCc1ncccc1CN(Cc1ccccn1)C1CCC(N(C)c2ccc3nc(CF)ccc3c2)CC1")</f>
        <v>CNCc1ncccc1CN(Cc1ccccn1)C1CCC(N(C)c2ccc3nc(CF)ccc3c2)CC1</v>
      </c>
      <c r="C9637" s="7">
        <f>IFERROR(__xludf.DUMMYFUNCTION("""COMPUTED_VALUE"""),7.7686977)</f>
        <v>7.7686977</v>
      </c>
      <c r="D9637" s="7">
        <f>IFERROR(__xludf.DUMMYFUNCTION("""COMPUTED_VALUE"""),0.333333333333333)</f>
        <v>0.3333333333</v>
      </c>
    </row>
    <row r="9638">
      <c r="A9638" s="10" t="s">
        <v>11077</v>
      </c>
      <c r="B9638" s="7" t="str">
        <f>IFERROR(__xludf.DUMMYFUNCTION("SPLIT(A9638,"" "")"),"Cc1cccnc1CN(Cc1ccccn1)Cc1cccnc1CN(C)Cc1ccccn1")</f>
        <v>Cc1cccnc1CN(Cc1ccccn1)Cc1cccnc1CN(C)Cc1ccccn1</v>
      </c>
      <c r="C9638" s="7">
        <f>IFERROR(__xludf.DUMMYFUNCTION("""COMPUTED_VALUE"""),7.7686934)</f>
        <v>7.7686934</v>
      </c>
      <c r="D9638" s="7">
        <f>IFERROR(__xludf.DUMMYFUNCTION("""COMPUTED_VALUE"""),0.5)</f>
        <v>0.5</v>
      </c>
    </row>
    <row r="9639">
      <c r="A9639" s="10" t="s">
        <v>11078</v>
      </c>
      <c r="B9639" s="7" t="str">
        <f>IFERROR(__xludf.DUMMYFUNCTION("SPLIT(A9639,"" "")"),"Cc1ccc(N(C)CCN(C)Cc2ccccn2)cc1C")</f>
        <v>Cc1ccc(N(C)CCN(C)Cc2ccccn2)cc1C</v>
      </c>
      <c r="C9639" s="7">
        <f>IFERROR(__xludf.DUMMYFUNCTION("""COMPUTED_VALUE"""),7.768684)</f>
        <v>7.768684</v>
      </c>
      <c r="D9639" s="7">
        <f>IFERROR(__xludf.DUMMYFUNCTION("""COMPUTED_VALUE"""),0.466666666666666)</f>
        <v>0.4666666667</v>
      </c>
    </row>
    <row r="9640">
      <c r="A9640" s="10" t="s">
        <v>11079</v>
      </c>
      <c r="B9640" s="7" t="str">
        <f>IFERROR(__xludf.DUMMYFUNCTION("SPLIT(A9640,"" "")"),"CN(C)Cc1cnc2cc(N(C)C3CCCCC3N(CC3=CCC=CN3)Cc3ccccn3)ccc2c1")</f>
        <v>CN(C)Cc1cnc2cc(N(C)C3CCCCC3N(CC3=CCC=CN3)Cc3ccccn3)ccc2c1</v>
      </c>
      <c r="C9640" s="7">
        <f>IFERROR(__xludf.DUMMYFUNCTION("""COMPUTED_VALUE"""),7.768682)</f>
        <v>7.768682</v>
      </c>
      <c r="D9640" s="7">
        <f>IFERROR(__xludf.DUMMYFUNCTION("""COMPUTED_VALUE"""),0.44927536231884)</f>
        <v>0.4492753623</v>
      </c>
    </row>
    <row r="9641">
      <c r="A9641" s="10" t="s">
        <v>11080</v>
      </c>
      <c r="B9641" s="7" t="str">
        <f>IFERROR(__xludf.DUMMYFUNCTION("SPLIT(A9641,"" "")"),"CNC1C(N(Cc2nc(C)c(C)cc2C)Cc2nc(C)c(C)cc2C)CCCC1N(Cc1nc(C)c(C)cc1C)Cc1nc(C)c(C)c(C)c1C")</f>
        <v>CNC1C(N(Cc2nc(C)c(C)cc2C)Cc2nc(C)c(C)cc2C)CCCC1N(Cc1nc(C)c(C)cc1C)Cc1nc(C)c(C)c(C)c1C</v>
      </c>
      <c r="C9641" s="7">
        <f>IFERROR(__xludf.DUMMYFUNCTION("""COMPUTED_VALUE"""),7.7686753)</f>
        <v>7.7686753</v>
      </c>
      <c r="D9641" s="7">
        <f>IFERROR(__xludf.DUMMYFUNCTION("""COMPUTED_VALUE"""),0.263157894736842)</f>
        <v>0.2631578947</v>
      </c>
    </row>
    <row r="9642">
      <c r="A9642" s="10" t="s">
        <v>11081</v>
      </c>
      <c r="B9642" s="7" t="str">
        <f>IFERROR(__xludf.DUMMYFUNCTION("SPLIT(A9642,"" "")"),"CC1(C)CCC1c1cccc(N(Cc2ccccn2)Cc2ccccn2)c1")</f>
        <v>CC1(C)CCC1c1cccc(N(Cc2ccccn2)Cc2ccccn2)c1</v>
      </c>
      <c r="C9642" s="7">
        <f>IFERROR(__xludf.DUMMYFUNCTION("""COMPUTED_VALUE"""),7.768669)</f>
        <v>7.768669</v>
      </c>
      <c r="D9642" s="7">
        <f>IFERROR(__xludf.DUMMYFUNCTION("""COMPUTED_VALUE"""),0.411764705882352)</f>
        <v>0.4117647059</v>
      </c>
    </row>
    <row r="9643">
      <c r="A9643" s="10" t="s">
        <v>11082</v>
      </c>
      <c r="B9643" s="7" t="str">
        <f>IFERROR(__xludf.DUMMYFUNCTION("SPLIT(A9643,"" "")"),"CN(Cc1ccccn1)c1ccc2nc(CN(Cc3ccccn3)Cc3cccc(-c4ccc5c(c4)OCCOCCOCCOCCOCCO5)n3)ccc2c1")</f>
        <v>CN(Cc1ccccn1)c1ccc2nc(CN(Cc3ccccn3)Cc3cccc(-c4ccc5c(c4)OCCOCCOCCOCCOCCO5)n3)ccc2c1</v>
      </c>
      <c r="C9643" s="7">
        <f>IFERROR(__xludf.DUMMYFUNCTION("""COMPUTED_VALUE"""),7.768666)</f>
        <v>7.768666</v>
      </c>
      <c r="D9643" s="7">
        <f>IFERROR(__xludf.DUMMYFUNCTION("""COMPUTED_VALUE"""),0.44927536231884)</f>
        <v>0.4492753623</v>
      </c>
    </row>
    <row r="9644">
      <c r="A9644" s="10" t="s">
        <v>11083</v>
      </c>
      <c r="B9644" s="7" t="str">
        <f>IFERROR(__xludf.DUMMYFUNCTION("SPLIT(A9644,"" "")"),"CN(CCCN(C)Cc1ccccn1)Cc1ccc2cccnc2c1")</f>
        <v>CN(CCCN(C)Cc1ccccn1)Cc1ccc2cccnc2c1</v>
      </c>
      <c r="C9644" s="7">
        <f>IFERROR(__xludf.DUMMYFUNCTION("""COMPUTED_VALUE"""),7.7686634)</f>
        <v>7.7686634</v>
      </c>
      <c r="D9644" s="7">
        <f>IFERROR(__xludf.DUMMYFUNCTION("""COMPUTED_VALUE"""),0.489361702127659)</f>
        <v>0.4893617021</v>
      </c>
    </row>
    <row r="9645">
      <c r="A9645" s="10" t="s">
        <v>11084</v>
      </c>
      <c r="B9645" s="7" t="str">
        <f>IFERROR(__xludf.DUMMYFUNCTION("SPLIT(A9645,"" "")"),"CN(c1ccc2cc(CF)cnc2c1)C1CCCCC1N(Cc1cccnc1)Cc1cccnn1")</f>
        <v>CN(c1ccc2cc(CF)cnc2c1)C1CCCCC1N(Cc1cccnc1)Cc1cccnn1</v>
      </c>
      <c r="C9645" s="7">
        <f>IFERROR(__xludf.DUMMYFUNCTION("""COMPUTED_VALUE"""),7.76866)</f>
        <v>7.76866</v>
      </c>
      <c r="D9645" s="7">
        <f>IFERROR(__xludf.DUMMYFUNCTION("""COMPUTED_VALUE"""),0.361111111111111)</f>
        <v>0.3611111111</v>
      </c>
    </row>
    <row r="9646">
      <c r="A9646" s="10" t="s">
        <v>11085</v>
      </c>
      <c r="B9646" s="7" t="str">
        <f>IFERROR(__xludf.DUMMYFUNCTION("SPLIT(A9646,"" "")"),"CCNCCN(C)Cc1cccc2ncccc12")</f>
        <v>CCNCCN(C)Cc1cccc2ncccc12</v>
      </c>
      <c r="C9646" s="7">
        <f>IFERROR(__xludf.DUMMYFUNCTION("""COMPUTED_VALUE"""),7.768652)</f>
        <v>7.768652</v>
      </c>
      <c r="D9646" s="7">
        <f>IFERROR(__xludf.DUMMYFUNCTION("""COMPUTED_VALUE"""),0.466666666666666)</f>
        <v>0.4666666667</v>
      </c>
    </row>
    <row r="9647">
      <c r="A9647" s="10" t="s">
        <v>11086</v>
      </c>
      <c r="B9647" s="7" t="str">
        <f>IFERROR(__xludf.DUMMYFUNCTION("SPLIT(A9647,"" "")"),"Cc1cccnc1CN(C)C1C=CNC(CN(C)Cc2ccc(C)c(C)c2C)=C1")</f>
        <v>Cc1cccnc1CN(C)C1C=CNC(CN(C)Cc2ccc(C)c(C)c2C)=C1</v>
      </c>
      <c r="C9647" s="7">
        <f>IFERROR(__xludf.DUMMYFUNCTION("""COMPUTED_VALUE"""),7.76865)</f>
        <v>7.76865</v>
      </c>
      <c r="D9647" s="7">
        <f>IFERROR(__xludf.DUMMYFUNCTION("""COMPUTED_VALUE"""),0.292307692307692)</f>
        <v>0.2923076923</v>
      </c>
    </row>
    <row r="9648">
      <c r="A9648" s="10" t="s">
        <v>11087</v>
      </c>
      <c r="B9648" s="7" t="str">
        <f>IFERROR(__xludf.DUMMYFUNCTION("SPLIT(A9648,"" "")"),"CCN(C)CC1=CCC=C(N(C)Cc2ncccc2C)N1")</f>
        <v>CCN(C)CC1=CCC=C(N(C)Cc2ncccc2C)N1</v>
      </c>
      <c r="C9648" s="7">
        <f>IFERROR(__xludf.DUMMYFUNCTION("""COMPUTED_VALUE"""),7.768647)</f>
        <v>7.768647</v>
      </c>
      <c r="D9648" s="7">
        <f>IFERROR(__xludf.DUMMYFUNCTION("""COMPUTED_VALUE"""),0.278688524590163)</f>
        <v>0.2786885246</v>
      </c>
    </row>
    <row r="9649">
      <c r="A9649" s="10" t="s">
        <v>11088</v>
      </c>
      <c r="B9649" s="7" t="str">
        <f>IFERROR(__xludf.DUMMYFUNCTION("SPLIT(A9649,"" "")"),"Cc1ccnc(CN(C)C2CCCCC2N(C)c2ccc3nc(CF)ccc3c2)c1")</f>
        <v>Cc1ccnc(CN(C)C2CCCCC2N(C)c2ccc3nc(CF)ccc3c2)c1</v>
      </c>
      <c r="C9649" s="7">
        <f>IFERROR(__xludf.DUMMYFUNCTION("""COMPUTED_VALUE"""),7.768645)</f>
        <v>7.768645</v>
      </c>
      <c r="D9649" s="7">
        <f>IFERROR(__xludf.DUMMYFUNCTION("""COMPUTED_VALUE"""),0.442622950819672)</f>
        <v>0.4426229508</v>
      </c>
    </row>
    <row r="9650">
      <c r="A9650" s="10" t="s">
        <v>11089</v>
      </c>
      <c r="B9650" s="7" t="str">
        <f>IFERROR(__xludf.DUMMYFUNCTION("SPLIT(A9650,"" "")"),"COC(C)c1ccc(CN(Cc2ccccn2)Cc2cc(C(C)(C)C)ccn2)cn1")</f>
        <v>COC(C)c1ccc(CN(Cc2ccccn2)Cc2cc(C(C)(C)C)ccn2)cn1</v>
      </c>
      <c r="C9650" s="7">
        <f>IFERROR(__xludf.DUMMYFUNCTION("""COMPUTED_VALUE"""),7.76864)</f>
        <v>7.76864</v>
      </c>
      <c r="D9650" s="7">
        <f>IFERROR(__xludf.DUMMYFUNCTION("""COMPUTED_VALUE"""),0.4)</f>
        <v>0.4</v>
      </c>
    </row>
    <row r="9651">
      <c r="A9651" s="10" t="s">
        <v>11090</v>
      </c>
      <c r="B9651" s="7" t="str">
        <f>IFERROR(__xludf.DUMMYFUNCTION("SPLIT(A9651,"" "")"),"CNCc1cccc(CN(Cc2ccccn2)C2CCC(N(C)c3ccc4cccnc4c3)CC2)n1")</f>
        <v>CNCc1cccc(CN(Cc2ccccn2)C2CCC(N(C)c3ccc4cccnc4c3)CC2)n1</v>
      </c>
      <c r="C9651" s="7">
        <f>IFERROR(__xludf.DUMMYFUNCTION("""COMPUTED_VALUE"""),7.7686353)</f>
        <v>7.7686353</v>
      </c>
      <c r="D9651" s="7">
        <f>IFERROR(__xludf.DUMMYFUNCTION("""COMPUTED_VALUE"""),0.4)</f>
        <v>0.4</v>
      </c>
    </row>
    <row r="9652">
      <c r="A9652" s="10" t="s">
        <v>11091</v>
      </c>
      <c r="B9652" s="7" t="str">
        <f>IFERROR(__xludf.DUMMYFUNCTION("SPLIT(A9652,"" "")"),"CCN(Cc1ccccn1)C1CCCC(N(C)c2cccc3c(CF)ccnc23)C1")</f>
        <v>CCN(Cc1ccccn1)C1CCCC(N(C)c2cccc3c(CF)ccnc23)C1</v>
      </c>
      <c r="C9652" s="7">
        <f>IFERROR(__xludf.DUMMYFUNCTION("""COMPUTED_VALUE"""),7.7686334)</f>
        <v>7.7686334</v>
      </c>
      <c r="D9652" s="7">
        <f>IFERROR(__xludf.DUMMYFUNCTION("""COMPUTED_VALUE"""),0.370967741935483)</f>
        <v>0.3709677419</v>
      </c>
    </row>
    <row r="9653">
      <c r="A9653" s="10" t="s">
        <v>11092</v>
      </c>
      <c r="B9653" s="7" t="str">
        <f>IFERROR(__xludf.DUMMYFUNCTION("SPLIT(A9653,"" "")"),"Cc1cncc(CN(C)CC2=CC(N(C)Cc3nccc(C)c3C)C=CN2)c1")</f>
        <v>Cc1cncc(CN(C)CC2=CC(N(C)Cc3nccc(C)c3C)C=CN2)c1</v>
      </c>
      <c r="C9653" s="7">
        <f>IFERROR(__xludf.DUMMYFUNCTION("""COMPUTED_VALUE"""),7.768628)</f>
        <v>7.768628</v>
      </c>
      <c r="D9653" s="7">
        <f>IFERROR(__xludf.DUMMYFUNCTION("""COMPUTED_VALUE"""),0.279411764705882)</f>
        <v>0.2794117647</v>
      </c>
    </row>
    <row r="9654">
      <c r="A9654" s="10" t="s">
        <v>11093</v>
      </c>
      <c r="B9654" s="7" t="str">
        <f>IFERROR(__xludf.DUMMYFUNCTION("SPLIT(A9654,"" "")"),"Cc1cccnc1CN(CC1=CC(C)C=CN1)Cc1ccccn1")</f>
        <v>Cc1cccnc1CN(CC1=CC(C)C=CN1)Cc1ccccn1</v>
      </c>
      <c r="C9654" s="7">
        <f>IFERROR(__xludf.DUMMYFUNCTION("""COMPUTED_VALUE"""),7.7686276)</f>
        <v>7.7686276</v>
      </c>
      <c r="D9654" s="7">
        <f>IFERROR(__xludf.DUMMYFUNCTION("""COMPUTED_VALUE"""),0.472727272727272)</f>
        <v>0.4727272727</v>
      </c>
    </row>
    <row r="9655">
      <c r="A9655" s="10" t="s">
        <v>11094</v>
      </c>
      <c r="B9655" s="7" t="str">
        <f>IFERROR(__xludf.DUMMYFUNCTION("SPLIT(A9655,"" "")"),"CCOC(C)c1cc(CN(Cc2ccccn2)Cc2ncccc2C(C)(C)C)ccn1")</f>
        <v>CCOC(C)c1cc(CN(Cc2ccccn2)Cc2ncccc2C(C)(C)C)ccn1</v>
      </c>
      <c r="C9655" s="7">
        <f>IFERROR(__xludf.DUMMYFUNCTION("""COMPUTED_VALUE"""),7.7686195)</f>
        <v>7.7686195</v>
      </c>
      <c r="D9655" s="7">
        <f>IFERROR(__xludf.DUMMYFUNCTION("""COMPUTED_VALUE"""),0.377358490566037)</f>
        <v>0.3773584906</v>
      </c>
    </row>
    <row r="9656">
      <c r="A9656" s="10" t="s">
        <v>11095</v>
      </c>
      <c r="B9656" s="7" t="str">
        <f>IFERROR(__xludf.DUMMYFUNCTION("SPLIT(A9656,"" "")"),"Cc1cnc(CN(C)C2CCC(N(Cc3ccc4ncccc4c3)Cc3cccnn3)CC2)c(C)c1C")</f>
        <v>Cc1cnc(CN(C)C2CCC(N(Cc3ccc4ncccc4c3)Cc3cccnn3)CC2)c(C)c1C</v>
      </c>
      <c r="C9656" s="7">
        <f>IFERROR(__xludf.DUMMYFUNCTION("""COMPUTED_VALUE"""),7.768612)</f>
        <v>7.768612</v>
      </c>
      <c r="D9656" s="7">
        <f>IFERROR(__xludf.DUMMYFUNCTION("""COMPUTED_VALUE"""),0.323076923076923)</f>
        <v>0.3230769231</v>
      </c>
    </row>
    <row r="9657">
      <c r="A9657" s="10" t="s">
        <v>11096</v>
      </c>
      <c r="B9657" s="7" t="str">
        <f>IFERROR(__xludf.DUMMYFUNCTION("SPLIT(A9657,"" "")"),"CC(C)NCc1ccc(CN(Cc2ccccn2)Cc2ccc(C(C)(C)C)cn2)cn1")</f>
        <v>CC(C)NCc1ccc(CN(Cc2ccccn2)Cc2ccc(C(C)(C)C)cn2)cn1</v>
      </c>
      <c r="C9657" s="7">
        <f>IFERROR(__xludf.DUMMYFUNCTION("""COMPUTED_VALUE"""),7.768601)</f>
        <v>7.768601</v>
      </c>
      <c r="D9657" s="7">
        <f>IFERROR(__xludf.DUMMYFUNCTION("""COMPUTED_VALUE"""),0.425531914893617)</f>
        <v>0.4255319149</v>
      </c>
    </row>
    <row r="9658">
      <c r="A9658" s="10" t="s">
        <v>11097</v>
      </c>
      <c r="B9658" s="7" t="str">
        <f>IFERROR(__xludf.DUMMYFUNCTION("SPLIT(A9658,"" "")"),"CCN(Cc1ccccn1)c1ccc2nccc(CN(C)Cc3ncccc3-c3ccc4c(c3)OCCOCCOCCOCCOCCO4)c2c1")</f>
        <v>CCN(Cc1ccccn1)c1ccc2nccc(CN(C)Cc3ncccc3-c3ccc4c(c3)OCCOCCOCCOCCOCCO4)c2c1</v>
      </c>
      <c r="C9658" s="7">
        <f>IFERROR(__xludf.DUMMYFUNCTION("""COMPUTED_VALUE"""),7.7685995)</f>
        <v>7.7685995</v>
      </c>
      <c r="D9658" s="7">
        <f>IFERROR(__xludf.DUMMYFUNCTION("""COMPUTED_VALUE"""),0.28735632183908)</f>
        <v>0.2873563218</v>
      </c>
    </row>
    <row r="9659">
      <c r="A9659" s="10" t="s">
        <v>11098</v>
      </c>
      <c r="B9659" s="7" t="str">
        <f>IFERROR(__xludf.DUMMYFUNCTION("SPLIT(A9659,"" "")"),"CCNC1C(N(Cc2nc(C)c(C)c(C)c2C)Cc2nc(C)c(C)c(C)c2C)CCCC1N(Cc1nc(C)c(C)c(C)c1C)Cc1nc(C)c(C)c(C)c1C")</f>
        <v>CCNC1C(N(Cc2nc(C)c(C)c(C)c2C)Cc2nc(C)c(C)c(C)c2C)CCCC1N(Cc1nc(C)c(C)c(C)c1C)Cc1nc(C)c(C)c(C)c1C</v>
      </c>
      <c r="C9659" s="7">
        <f>IFERROR(__xludf.DUMMYFUNCTION("""COMPUTED_VALUE"""),7.7685986)</f>
        <v>7.7685986</v>
      </c>
      <c r="D9659" s="7">
        <f>IFERROR(__xludf.DUMMYFUNCTION("""COMPUTED_VALUE"""),0.264150943396226)</f>
        <v>0.2641509434</v>
      </c>
    </row>
    <row r="9660">
      <c r="A9660" s="10" t="s">
        <v>11099</v>
      </c>
      <c r="B9660" s="7" t="str">
        <f>IFERROR(__xludf.DUMMYFUNCTION("SPLIT(A9660,"" "")"),"CN(Cc1cccnn1)C1CCC(N(C)c2ccc3ncccc3c2)CC1")</f>
        <v>CN(Cc1cccnn1)C1CCC(N(C)c2ccc3ncccc3c2)CC1</v>
      </c>
      <c r="C9660" s="7">
        <f>IFERROR(__xludf.DUMMYFUNCTION("""COMPUTED_VALUE"""),7.7685976)</f>
        <v>7.7685976</v>
      </c>
      <c r="D9660" s="7">
        <f>IFERROR(__xludf.DUMMYFUNCTION("""COMPUTED_VALUE"""),0.4)</f>
        <v>0.4</v>
      </c>
    </row>
    <row r="9661">
      <c r="A9661" s="10" t="s">
        <v>11100</v>
      </c>
      <c r="B9661" s="7" t="str">
        <f>IFERROR(__xludf.DUMMYFUNCTION("SPLIT(A9661,"" "")"),"Cc1ccnc(CN(C)c2c(C(C)(C)C)ccc(N(C)Cc3ccc(-c4ccc5c(c4)OCCOCCOCCOCCOCCO5)cn3)c2Cl)c1")</f>
        <v>Cc1ccnc(CN(C)c2c(C(C)(C)C)ccc(N(C)Cc3ccc(-c4ccc5c(c4)OCCOCCOCCOCCOCCO5)cn3)c2Cl)c1</v>
      </c>
      <c r="C9661" s="7">
        <f>IFERROR(__xludf.DUMMYFUNCTION("""COMPUTED_VALUE"""),7.7685943)</f>
        <v>7.7685943</v>
      </c>
      <c r="D9661" s="7">
        <f>IFERROR(__xludf.DUMMYFUNCTION("""COMPUTED_VALUE"""),0.384615384615384)</f>
        <v>0.3846153846</v>
      </c>
    </row>
    <row r="9662">
      <c r="A9662" s="10" t="s">
        <v>11101</v>
      </c>
      <c r="B9662" s="7" t="str">
        <f>IFERROR(__xludf.DUMMYFUNCTION("SPLIT(A9662,"" "")"),"CC(C)CNCc1cccc(CN(Cc2ccccn2)Cc2cccc(C(C)(C)c3ccccn3)n2)n1")</f>
        <v>CC(C)CNCc1cccc(CN(Cc2ccccn2)Cc2cccc(C(C)(C)c3ccccn3)n2)n1</v>
      </c>
      <c r="C9662" s="7">
        <f>IFERROR(__xludf.DUMMYFUNCTION("""COMPUTED_VALUE"""),7.768594)</f>
        <v>7.768594</v>
      </c>
      <c r="D9662" s="7">
        <f>IFERROR(__xludf.DUMMYFUNCTION("""COMPUTED_VALUE"""),0.425531914893617)</f>
        <v>0.4255319149</v>
      </c>
    </row>
    <row r="9663">
      <c r="A9663" s="10" t="s">
        <v>11102</v>
      </c>
      <c r="B9663" s="7" t="str">
        <f>IFERROR(__xludf.DUMMYFUNCTION("SPLIT(A9663,"" "")"),"CC1=CC2(C=CC(c3cccc(CN(Cc4ccccn4)C4CCC(N(C)c5ccc6nccc(CN(C)C)c6c5)CC4)n3)CC2c2ccccn2)CCC1C")</f>
        <v>CC1=CC2(C=CC(c3cccc(CN(Cc4ccccn4)C4CCC(N(C)c5ccc6nccc(CN(C)C)c6c5)CC4)n3)CC2c2ccccn2)CCC1C</v>
      </c>
      <c r="C9663" s="7">
        <f>IFERROR(__xludf.DUMMYFUNCTION("""COMPUTED_VALUE"""),7.7685924)</f>
        <v>7.7685924</v>
      </c>
      <c r="D9663" s="7">
        <f>IFERROR(__xludf.DUMMYFUNCTION("""COMPUTED_VALUE"""),0.264367816091954)</f>
        <v>0.2643678161</v>
      </c>
    </row>
    <row r="9664">
      <c r="A9664" s="10" t="s">
        <v>11103</v>
      </c>
      <c r="B9664" s="7" t="str">
        <f>IFERROR(__xludf.DUMMYFUNCTION("SPLIT(A9664,"" "")"),"Cc1cccnc1CN(C)C1C=CNC(CN(C)Cc2c(C)ccc(C)c2C)=C1")</f>
        <v>Cc1cccnc1CN(C)C1C=CNC(CN(C)Cc2c(C)ccc(C)c2C)=C1</v>
      </c>
      <c r="C9664" s="7">
        <f>IFERROR(__xludf.DUMMYFUNCTION("""COMPUTED_VALUE"""),7.7685885)</f>
        <v>7.7685885</v>
      </c>
      <c r="D9664" s="7">
        <f>IFERROR(__xludf.DUMMYFUNCTION("""COMPUTED_VALUE"""),0.301587301587301)</f>
        <v>0.3015873016</v>
      </c>
    </row>
    <row r="9665">
      <c r="A9665" s="10" t="s">
        <v>11104</v>
      </c>
      <c r="B9665" s="7" t="str">
        <f>IFERROR(__xludf.DUMMYFUNCTION("SPLIT(A9665,"" "")"),"CC1=C(C)CC2(CC1)CCC(N(C)Cc1ccccn1)=C(C)C2C(C)(C)c1ccc(CN(Cc2ccccn2)Cc2ccccn2)cn1")</f>
        <v>CC1=C(C)CC2(CC1)CCC(N(C)Cc1ccccn1)=C(C)C2C(C)(C)c1ccc(CN(Cc2ccccn2)Cc2ccccn2)cn1</v>
      </c>
      <c r="C9665" s="7">
        <f>IFERROR(__xludf.DUMMYFUNCTION("""COMPUTED_VALUE"""),7.7685876)</f>
        <v>7.7685876</v>
      </c>
      <c r="D9665" s="7">
        <f>IFERROR(__xludf.DUMMYFUNCTION("""COMPUTED_VALUE"""),0.333333333333333)</f>
        <v>0.3333333333</v>
      </c>
    </row>
    <row r="9666">
      <c r="A9666" s="10" t="s">
        <v>11105</v>
      </c>
      <c r="B9666" s="7" t="str">
        <f>IFERROR(__xludf.DUMMYFUNCTION("SPLIT(A9666,"" "")"),"CN(Cc1cccc(F)n1)C1CCC(N(C)c2ccc3cc(CF)cnc3c2)CC1")</f>
        <v>CN(Cc1cccc(F)n1)C1CCC(N(C)c2ccc3cc(CF)cnc3c2)CC1</v>
      </c>
      <c r="C9666" s="7">
        <f>IFERROR(__xludf.DUMMYFUNCTION("""COMPUTED_VALUE"""),7.7685833)</f>
        <v>7.7685833</v>
      </c>
      <c r="D9666" s="7">
        <f>IFERROR(__xludf.DUMMYFUNCTION("""COMPUTED_VALUE"""),0.32258064516129)</f>
        <v>0.3225806452</v>
      </c>
    </row>
    <row r="9667">
      <c r="A9667" s="10" t="s">
        <v>11106</v>
      </c>
      <c r="B9667" s="7" t="str">
        <f>IFERROR(__xludf.DUMMYFUNCTION("SPLIT(A9667,"" "")"),"CCSc1c(Cl)ccc(N(Cc2ccccn2)C(C)C)c1-c1cc(CN2CCN(C)CCN(C)CC2)ccn1")</f>
        <v>CCSc1c(Cl)ccc(N(Cc2ccccn2)C(C)C)c1-c1cc(CN2CCN(C)CCN(C)CC2)ccn1</v>
      </c>
      <c r="C9667" s="7">
        <f>IFERROR(__xludf.DUMMYFUNCTION("""COMPUTED_VALUE"""),7.7685823)</f>
        <v>7.7685823</v>
      </c>
      <c r="D9667" s="7">
        <f>IFERROR(__xludf.DUMMYFUNCTION("""COMPUTED_VALUE"""),0.393939393939393)</f>
        <v>0.3939393939</v>
      </c>
    </row>
    <row r="9668">
      <c r="A9668" s="10" t="s">
        <v>11107</v>
      </c>
      <c r="B9668" s="7" t="str">
        <f>IFERROR(__xludf.DUMMYFUNCTION("SPLIT(A9668,"" "")"),"CN(Cc1cccnn1)C1CCCCC1N(C)c1cccc2nccc(CF)c12")</f>
        <v>CN(Cc1cccnn1)C1CCCCC1N(C)c1cccc2nccc(CF)c12</v>
      </c>
      <c r="C9668" s="7">
        <f>IFERROR(__xludf.DUMMYFUNCTION("""COMPUTED_VALUE"""),7.768581)</f>
        <v>7.768581</v>
      </c>
      <c r="D9668" s="7">
        <f>IFERROR(__xludf.DUMMYFUNCTION("""COMPUTED_VALUE"""),0.43103448275862)</f>
        <v>0.4310344828</v>
      </c>
    </row>
    <row r="9669">
      <c r="A9669" s="10" t="s">
        <v>11108</v>
      </c>
      <c r="B9669" s="7" t="str">
        <f>IFERROR(__xludf.DUMMYFUNCTION("SPLIT(A9669,"" "")"),"CC(C)NCc1ncccc1CN(Cc1ccccn1)C1CCC(N(C)c2cccc3nc(CF)ccc23)CC1")</f>
        <v>CC(C)NCc1ncccc1CN(Cc1ccccn1)C1CCC(N(C)c2cccc3nc(CF)ccc23)CC1</v>
      </c>
      <c r="C9669" s="7">
        <f>IFERROR(__xludf.DUMMYFUNCTION("""COMPUTED_VALUE"""),7.768577)</f>
        <v>7.768577</v>
      </c>
      <c r="D9669" s="7">
        <f>IFERROR(__xludf.DUMMYFUNCTION("""COMPUTED_VALUE"""),0.32051282051282)</f>
        <v>0.3205128205</v>
      </c>
    </row>
    <row r="9670">
      <c r="A9670" s="10" t="s">
        <v>11109</v>
      </c>
      <c r="B9670" s="7" t="str">
        <f>IFERROR(__xludf.DUMMYFUNCTION("SPLIT(A9670,"" "")"),"CC(NCc1ccccn1)c1cccc(CNCc2cccc(Cl)n2)n1")</f>
        <v>CC(NCc1ccccn1)c1cccc(CNCc2cccc(Cl)n2)n1</v>
      </c>
      <c r="C9670" s="7">
        <f>IFERROR(__xludf.DUMMYFUNCTION("""COMPUTED_VALUE"""),7.7685766)</f>
        <v>7.7685766</v>
      </c>
      <c r="D9670" s="7">
        <f>IFERROR(__xludf.DUMMYFUNCTION("""COMPUTED_VALUE"""),0.431818181818181)</f>
        <v>0.4318181818</v>
      </c>
    </row>
    <row r="9671">
      <c r="A9671" s="10" t="s">
        <v>11110</v>
      </c>
      <c r="B9671" s="7" t="str">
        <f>IFERROR(__xludf.DUMMYFUNCTION("SPLIT(A9671,"" "")"),"CCN(Cc1ccccn1)Cc1ccc2cccc(N(C)C3CCC(N(C)Cc4ncccc4C)CC3)c2n1")</f>
        <v>CCN(Cc1ccccn1)Cc1ccc2cccc(N(C)C3CCC(N(C)Cc4ncccc4C)CC3)c2n1</v>
      </c>
      <c r="C9671" s="7">
        <f>IFERROR(__xludf.DUMMYFUNCTION("""COMPUTED_VALUE"""),7.76856)</f>
        <v>7.76856</v>
      </c>
      <c r="D9671" s="7">
        <f>IFERROR(__xludf.DUMMYFUNCTION("""COMPUTED_VALUE"""),0.376811594202898)</f>
        <v>0.3768115942</v>
      </c>
    </row>
    <row r="9672">
      <c r="A9672" s="10" t="s">
        <v>11111</v>
      </c>
      <c r="B9672" s="7" t="str">
        <f>IFERROR(__xludf.DUMMYFUNCTION("SPLIT(A9672,"" "")"),"Cc1ccc(CN(C)CC2=CC(N(C)Cc3nc(C)ccc3C)C=CN2)nc1")</f>
        <v>Cc1ccc(CN(C)CC2=CC(N(C)Cc3nc(C)ccc3C)C=CN2)nc1</v>
      </c>
      <c r="C9672" s="7">
        <f>IFERROR(__xludf.DUMMYFUNCTION("""COMPUTED_VALUE"""),7.7685575)</f>
        <v>7.7685575</v>
      </c>
      <c r="D9672" s="7">
        <f>IFERROR(__xludf.DUMMYFUNCTION("""COMPUTED_VALUE"""),0.407407407407407)</f>
        <v>0.4074074074</v>
      </c>
    </row>
    <row r="9673">
      <c r="A9673" s="10" t="s">
        <v>11112</v>
      </c>
      <c r="B9673" s="7" t="str">
        <f>IFERROR(__xludf.DUMMYFUNCTION("SPLIT(A9673,"" "")"),"Cc1cnc2cc(N(C)C3CCC(N(Cc4ccccn4)C(C)C)CC3)ccc2c1")</f>
        <v>Cc1cnc2cc(N(C)C3CCC(N(Cc4ccccn4)C(C)C)CC3)ccc2c1</v>
      </c>
      <c r="C9673" s="7">
        <f>IFERROR(__xludf.DUMMYFUNCTION("""COMPUTED_VALUE"""),7.7685513)</f>
        <v>7.7685513</v>
      </c>
      <c r="D9673" s="7">
        <f>IFERROR(__xludf.DUMMYFUNCTION("""COMPUTED_VALUE"""),0.379310344827586)</f>
        <v>0.3793103448</v>
      </c>
    </row>
    <row r="9674">
      <c r="A9674" s="10" t="s">
        <v>11113</v>
      </c>
      <c r="B9674" s="7" t="str">
        <f>IFERROR(__xludf.DUMMYFUNCTION("SPLIT(A9674,"" "")"),"CCN1CCCC1c1cccc(C(C)(c2ccccn2)c2ccccn2)n1")</f>
        <v>CCN1CCCC1c1cccc(C(C)(c2ccccn2)c2ccccn2)n1</v>
      </c>
      <c r="C9674" s="7">
        <f>IFERROR(__xludf.DUMMYFUNCTION("""COMPUTED_VALUE"""),7.7685466)</f>
        <v>7.7685466</v>
      </c>
      <c r="D9674" s="7">
        <f>IFERROR(__xludf.DUMMYFUNCTION("""COMPUTED_VALUE"""),0.462962962962962)</f>
        <v>0.462962963</v>
      </c>
    </row>
    <row r="9675">
      <c r="A9675" s="10" t="s">
        <v>11114</v>
      </c>
      <c r="B9675" s="7" t="str">
        <f>IFERROR(__xludf.DUMMYFUNCTION("SPLIT(A9675,"" "")"),"CN(c1ccc2nc(CF)ccc2c1)C1CCC(N(C)C2CCCCC2N(C)c2ccc3ccc(CF)nc3c2)CC1")</f>
        <v>CN(c1ccc2nc(CF)ccc2c1)C1CCC(N(C)C2CCCCC2N(C)c2ccc3ccc(CF)nc3c2)CC1</v>
      </c>
      <c r="C9675" s="7">
        <f>IFERROR(__xludf.DUMMYFUNCTION("""COMPUTED_VALUE"""),7.7685437)</f>
        <v>7.7685437</v>
      </c>
      <c r="D9675" s="7">
        <f>IFERROR(__xludf.DUMMYFUNCTION("""COMPUTED_VALUE"""),0.482142857142857)</f>
        <v>0.4821428571</v>
      </c>
    </row>
    <row r="9676">
      <c r="A9676" s="10" t="s">
        <v>11115</v>
      </c>
      <c r="B9676" s="7" t="str">
        <f>IFERROR(__xludf.DUMMYFUNCTION("SPLIT(A9676,"" "")"),"CNCc1ccc(CN(Cc2ccccn2)C2CCC(N(C)c3ccc4nc(CF)ccc4c3)CC2)cn1")</f>
        <v>CNCc1ccc(CN(Cc2ccccn2)C2CCC(N(C)c3ccc4nc(CF)ccc4c3)CC2)cn1</v>
      </c>
      <c r="C9676" s="7">
        <f>IFERROR(__xludf.DUMMYFUNCTION("""COMPUTED_VALUE"""),7.768543)</f>
        <v>7.768543</v>
      </c>
      <c r="D9676" s="7">
        <f>IFERROR(__xludf.DUMMYFUNCTION("""COMPUTED_VALUE"""),0.333333333333333)</f>
        <v>0.3333333333</v>
      </c>
    </row>
    <row r="9677">
      <c r="A9677" s="10" t="s">
        <v>11116</v>
      </c>
      <c r="B9677" s="7" t="str">
        <f>IFERROR(__xludf.DUMMYFUNCTION("SPLIT(A9677,"" "")"),"C=CCNCC1=CCC=C(N(C)Cc2cccc(C)n2)N1")</f>
        <v>C=CCNCC1=CCC=C(N(C)Cc2cccc(C)n2)N1</v>
      </c>
      <c r="C9677" s="7">
        <f>IFERROR(__xludf.DUMMYFUNCTION("""COMPUTED_VALUE"""),7.7685423)</f>
        <v>7.7685423</v>
      </c>
      <c r="D9677" s="7">
        <f>IFERROR(__xludf.DUMMYFUNCTION("""COMPUTED_VALUE"""),0.403846153846153)</f>
        <v>0.4038461538</v>
      </c>
    </row>
    <row r="9678">
      <c r="A9678" s="10" t="s">
        <v>11117</v>
      </c>
      <c r="B9678" s="7" t="str">
        <f>IFERROR(__xludf.DUMMYFUNCTION("SPLIT(A9678,"" "")"),"COC(=O)C(=O)C(C)C(C)NCc1ncccc1C1=NC(C)(C)CO1")</f>
        <v>COC(=O)C(=O)C(C)C(C)NCc1ncccc1C1=NC(C)(C)CO1</v>
      </c>
      <c r="C9678" s="7">
        <f>IFERROR(__xludf.DUMMYFUNCTION("""COMPUTED_VALUE"""),7.768541)</f>
        <v>7.768541</v>
      </c>
      <c r="D9678" s="7">
        <f>IFERROR(__xludf.DUMMYFUNCTION("""COMPUTED_VALUE"""),0.322033898305084)</f>
        <v>0.3220338983</v>
      </c>
    </row>
    <row r="9679">
      <c r="A9679" s="10" t="s">
        <v>11118</v>
      </c>
      <c r="B9679" s="7" t="str">
        <f>IFERROR(__xludf.DUMMYFUNCTION("SPLIT(A9679,"" "")"),"CNC1CC(N(Cc2ccccn2)Cc2nc(C)c(C)c(C)c2C)CC(N(Cc2nc(C)c(C)c(C)c2C)Cc2nc(C)c(C)c(C)c2C)C1")</f>
        <v>CNC1CC(N(Cc2ccccn2)Cc2nc(C)c(C)c(C)c2C)CC(N(Cc2nc(C)c(C)c(C)c2C)Cc2nc(C)c(C)c(C)c2C)C1</v>
      </c>
      <c r="C9679" s="7">
        <f>IFERROR(__xludf.DUMMYFUNCTION("""COMPUTED_VALUE"""),7.7685385)</f>
        <v>7.7685385</v>
      </c>
      <c r="D9679" s="7">
        <f>IFERROR(__xludf.DUMMYFUNCTION("""COMPUTED_VALUE"""),0.357142857142857)</f>
        <v>0.3571428571</v>
      </c>
    </row>
    <row r="9680">
      <c r="A9680" s="10" t="s">
        <v>11119</v>
      </c>
      <c r="B9680" s="7" t="str">
        <f>IFERROR(__xludf.DUMMYFUNCTION("SPLIT(A9680,"" "")"),"CN(Cc1ccc(F)cn1)Cc1cccc(C(C)(C)C)n1")</f>
        <v>CN(Cc1ccc(F)cn1)Cc1cccc(C(C)(C)C)n1</v>
      </c>
      <c r="C9680" s="7">
        <f>IFERROR(__xludf.DUMMYFUNCTION("""COMPUTED_VALUE"""),7.768538)</f>
        <v>7.768538</v>
      </c>
      <c r="D9680" s="7">
        <f>IFERROR(__xludf.DUMMYFUNCTION("""COMPUTED_VALUE"""),0.425531914893617)</f>
        <v>0.4255319149</v>
      </c>
    </row>
    <row r="9681">
      <c r="A9681" s="10" t="s">
        <v>11120</v>
      </c>
      <c r="B9681" s="7" t="str">
        <f>IFERROR(__xludf.DUMMYFUNCTION("SPLIT(A9681,"" "")"),"CCN(Cc1ccccn1)c1ccc2nccc(CN(Cc3ccccn3)Cc3ncccc3-c3ccc4c(c3)OCCOCCOCCOCCOCCO4)c2c1")</f>
        <v>CCN(Cc1ccccn1)c1ccc2nccc(CN(Cc3ccccn3)Cc3ncccc3-c3ccc4c(c3)OCCOCCOCCOCCOCCO4)c2c1</v>
      </c>
      <c r="C9681" s="7">
        <f>IFERROR(__xludf.DUMMYFUNCTION("""COMPUTED_VALUE"""),7.768533)</f>
        <v>7.768533</v>
      </c>
      <c r="D9681" s="7">
        <f>IFERROR(__xludf.DUMMYFUNCTION("""COMPUTED_VALUE"""),0.294117647058823)</f>
        <v>0.2941176471</v>
      </c>
    </row>
    <row r="9682">
      <c r="A9682" s="10" t="s">
        <v>11121</v>
      </c>
      <c r="B9682" s="7" t="str">
        <f>IFERROR(__xludf.DUMMYFUNCTION("SPLIT(A9682,"" "")"),"CN(Cc1cccc(F)n1)CC1C=CNC=C1N(C)Cc1ccccn1")</f>
        <v>CN(Cc1cccc(F)n1)CC1C=CNC=C1N(C)Cc1ccccn1</v>
      </c>
      <c r="C9682" s="7">
        <f>IFERROR(__xludf.DUMMYFUNCTION("""COMPUTED_VALUE"""),7.7685323)</f>
        <v>7.7685323</v>
      </c>
      <c r="D9682" s="7">
        <f>IFERROR(__xludf.DUMMYFUNCTION("""COMPUTED_VALUE"""),0.446153846153846)</f>
        <v>0.4461538462</v>
      </c>
    </row>
    <row r="9683">
      <c r="A9683" s="10" t="s">
        <v>11122</v>
      </c>
      <c r="B9683" s="7" t="str">
        <f>IFERROR(__xludf.DUMMYFUNCTION("SPLIT(A9683,"" "")"),"CCC(C)c1cccc(CN(Cc2ccccn2)C2CCC(N(C)c3cccc4nccc(CF)c34)CC2)n1")</f>
        <v>CCC(C)c1cccc(CN(Cc2ccccn2)C2CCC(N(C)c3cccc4nccc(CF)c34)CC2)n1</v>
      </c>
      <c r="C9683" s="7">
        <f>IFERROR(__xludf.DUMMYFUNCTION("""COMPUTED_VALUE"""),7.768527)</f>
        <v>7.768527</v>
      </c>
      <c r="D9683" s="7">
        <f>IFERROR(__xludf.DUMMYFUNCTION("""COMPUTED_VALUE"""),0.333333333333333)</f>
        <v>0.3333333333</v>
      </c>
    </row>
    <row r="9684">
      <c r="A9684" s="10" t="s">
        <v>11123</v>
      </c>
      <c r="B9684" s="7" t="str">
        <f>IFERROR(__xludf.DUMMYFUNCTION("SPLIT(A9684,"" "")"),"CNCc1cccc(N(C)C2C=CC=CN2)n1")</f>
        <v>CNCc1cccc(N(C)C2C=CC=CN2)n1</v>
      </c>
      <c r="C9684" s="7">
        <f>IFERROR(__xludf.DUMMYFUNCTION("""COMPUTED_VALUE"""),7.7685146)</f>
        <v>7.7685146</v>
      </c>
      <c r="D9684" s="7">
        <f>IFERROR(__xludf.DUMMYFUNCTION("""COMPUTED_VALUE"""),0.321428571428571)</f>
        <v>0.3214285714</v>
      </c>
    </row>
    <row r="9685">
      <c r="A9685" s="10" t="s">
        <v>11124</v>
      </c>
      <c r="B9685" s="7" t="str">
        <f>IFERROR(__xludf.DUMMYFUNCTION("SPLIT(A9685,"" "")"),"C=CCNCc1cccc(CN(Cc2ccccn2)Cc2nc(N)c(C)cc2C)n1")</f>
        <v>C=CCNCc1cccc(CN(Cc2ccccn2)Cc2nc(N)c(C)cc2C)n1</v>
      </c>
      <c r="C9685" s="7">
        <f>IFERROR(__xludf.DUMMYFUNCTION("""COMPUTED_VALUE"""),7.768514)</f>
        <v>7.768514</v>
      </c>
      <c r="D9685" s="7">
        <f>IFERROR(__xludf.DUMMYFUNCTION("""COMPUTED_VALUE"""),0.466666666666666)</f>
        <v>0.4666666667</v>
      </c>
    </row>
    <row r="9686">
      <c r="A9686" s="10" t="s">
        <v>11125</v>
      </c>
      <c r="B9686" s="7" t="str">
        <f>IFERROR(__xludf.DUMMYFUNCTION("SPLIT(A9686,"" "")"),"FCc1nccc2ccc(N(Cc3ccccn3)Cc3cccc(-c4ccc5c(c4)OCCOCCOCCOCCOCCO5)n3)cc12")</f>
        <v>FCc1nccc2ccc(N(Cc3ccccn3)Cc3cccc(-c4ccc5c(c4)OCCOCCOCCOCCOCCO5)n3)cc12</v>
      </c>
      <c r="C9686" s="7">
        <f>IFERROR(__xludf.DUMMYFUNCTION("""COMPUTED_VALUE"""),7.768512)</f>
        <v>7.768512</v>
      </c>
      <c r="D9686" s="7">
        <f>IFERROR(__xludf.DUMMYFUNCTION("""COMPUTED_VALUE"""),0.364864864864864)</f>
        <v>0.3648648649</v>
      </c>
    </row>
    <row r="9687">
      <c r="A9687" s="10" t="s">
        <v>11126</v>
      </c>
      <c r="B9687" s="7" t="str">
        <f>IFERROR(__xludf.DUMMYFUNCTION("SPLIT(A9687,"" "")"),"CNCc1cccc(CN(Cc2ccccn2)C2CCC(N(C)c3ccc4ncccc4c3)CC2)n1")</f>
        <v>CNCc1cccc(CN(Cc2ccccn2)C2CCC(N(C)c3ccc4ncccc4c3)CC2)n1</v>
      </c>
      <c r="C9687" s="7">
        <f>IFERROR(__xludf.DUMMYFUNCTION("""COMPUTED_VALUE"""),7.768512)</f>
        <v>7.768512</v>
      </c>
      <c r="D9687" s="7">
        <f>IFERROR(__xludf.DUMMYFUNCTION("""COMPUTED_VALUE"""),0.360655737704918)</f>
        <v>0.3606557377</v>
      </c>
    </row>
    <row r="9688">
      <c r="A9688" s="10" t="s">
        <v>11127</v>
      </c>
      <c r="B9688" s="7" t="str">
        <f>IFERROR(__xludf.DUMMYFUNCTION("SPLIT(A9688,"" "")"),"CCNCc1cccc(CN(Cc2ccccn2)Cc2cccc(C(C)(C)c3ccccn3)n2)n1")</f>
        <v>CCNCc1cccc(CN(Cc2ccccn2)Cc2cccc(C(C)(C)c3ccccn3)n2)n1</v>
      </c>
      <c r="C9688" s="7">
        <f>IFERROR(__xludf.DUMMYFUNCTION("""COMPUTED_VALUE"""),7.768497)</f>
        <v>7.768497</v>
      </c>
      <c r="D9688" s="7">
        <f>IFERROR(__xludf.DUMMYFUNCTION("""COMPUTED_VALUE"""),0.454545454545454)</f>
        <v>0.4545454545</v>
      </c>
    </row>
    <row r="9689">
      <c r="A9689" s="10" t="s">
        <v>11128</v>
      </c>
      <c r="B9689" s="7" t="str">
        <f>IFERROR(__xludf.DUMMYFUNCTION("SPLIT(A9689,"" "")"),"CN(c1ccc2ncccc2c1)C1CCCCC1N(Cc1ccccn1)Cc1cccnn1")</f>
        <v>CN(c1ccc2ncccc2c1)C1CCCCC1N(Cc1ccccn1)Cc1cccnn1</v>
      </c>
      <c r="C9689" s="7">
        <f>IFERROR(__xludf.DUMMYFUNCTION("""COMPUTED_VALUE"""),7.768492)</f>
        <v>7.768492</v>
      </c>
      <c r="D9689" s="7">
        <f>IFERROR(__xludf.DUMMYFUNCTION("""COMPUTED_VALUE"""),0.472727272727272)</f>
        <v>0.4727272727</v>
      </c>
    </row>
    <row r="9690">
      <c r="A9690" s="10" t="s">
        <v>11129</v>
      </c>
      <c r="B9690" s="7" t="str">
        <f>IFERROR(__xludf.DUMMYFUNCTION("SPLIT(A9690,"" "")"),"CC1=C(c2cc(CN(Cc3ccccn3)Cc3cc(N)ccn3)ccn2)C(C)C(C)CC1")</f>
        <v>CC1=C(c2cc(CN(Cc3ccccn3)Cc3cc(N)ccn3)ccn2)C(C)C(C)CC1</v>
      </c>
      <c r="C9690" s="7">
        <f>IFERROR(__xludf.DUMMYFUNCTION("""COMPUTED_VALUE"""),7.7684917)</f>
        <v>7.7684917</v>
      </c>
      <c r="D9690" s="7">
        <f>IFERROR(__xludf.DUMMYFUNCTION("""COMPUTED_VALUE"""),0.37037037037037)</f>
        <v>0.3703703704</v>
      </c>
    </row>
    <row r="9691">
      <c r="A9691" s="10" t="s">
        <v>11130</v>
      </c>
      <c r="B9691" s="7" t="str">
        <f>IFERROR(__xludf.DUMMYFUNCTION("SPLIT(A9691,"" "")"),"Cc1cc(CN(C)Cc2ncccc2C)ccn1")</f>
        <v>Cc1cc(CN(C)Cc2ncccc2C)ccn1</v>
      </c>
      <c r="C9691" s="7">
        <f>IFERROR(__xludf.DUMMYFUNCTION("""COMPUTED_VALUE"""),7.7684917)</f>
        <v>7.7684917</v>
      </c>
      <c r="D9691" s="7">
        <f>IFERROR(__xludf.DUMMYFUNCTION("""COMPUTED_VALUE"""),0.3125)</f>
        <v>0.3125</v>
      </c>
    </row>
    <row r="9692">
      <c r="A9692" s="10" t="s">
        <v>11131</v>
      </c>
      <c r="B9692" s="7" t="str">
        <f>IFERROR(__xludf.DUMMYFUNCTION("SPLIT(A9692,"" "")"),"CCN(Cc1ccccn1)C1CCCC(N(C)c2ccc3c(CF)ccnc3c2)C1")</f>
        <v>CCN(Cc1ccccn1)C1CCCC(N(C)c2ccc3c(CF)ccnc3c2)C1</v>
      </c>
      <c r="C9692" s="7">
        <f>IFERROR(__xludf.DUMMYFUNCTION("""COMPUTED_VALUE"""),7.768491)</f>
        <v>7.768491</v>
      </c>
      <c r="D9692" s="7">
        <f>IFERROR(__xludf.DUMMYFUNCTION("""COMPUTED_VALUE"""),0.370967741935483)</f>
        <v>0.3709677419</v>
      </c>
    </row>
    <row r="9693">
      <c r="A9693" s="10" t="s">
        <v>11132</v>
      </c>
      <c r="B9693" s="7" t="str">
        <f>IFERROR(__xludf.DUMMYFUNCTION("SPLIT(A9693,"" "")"),"CC1=C(C)C(C)(c2cc(CN(Cc3ccccn3)Cc3ccccn3)ccn2)CC(C)C1")</f>
        <v>CC1=C(C)C(C)(c2cc(CN(Cc3ccccn3)Cc3ccccn3)ccn2)CC(C)C1</v>
      </c>
      <c r="C9693" s="7">
        <f>IFERROR(__xludf.DUMMYFUNCTION("""COMPUTED_VALUE"""),7.7684894)</f>
        <v>7.7684894</v>
      </c>
      <c r="D9693" s="7">
        <f>IFERROR(__xludf.DUMMYFUNCTION("""COMPUTED_VALUE"""),0.408163265306122)</f>
        <v>0.4081632653</v>
      </c>
    </row>
    <row r="9694">
      <c r="A9694" s="10" t="s">
        <v>11133</v>
      </c>
      <c r="B9694" s="7" t="str">
        <f>IFERROR(__xludf.DUMMYFUNCTION("SPLIT(A9694,"" "")"),"Cc1cnc(CN(C)CCN(C)C)c(C)c1C")</f>
        <v>Cc1cnc(CN(C)CCN(C)C)c(C)c1C</v>
      </c>
      <c r="C9694" s="7">
        <f>IFERROR(__xludf.DUMMYFUNCTION("""COMPUTED_VALUE"""),7.768476)</f>
        <v>7.768476</v>
      </c>
      <c r="D9694" s="7">
        <f>IFERROR(__xludf.DUMMYFUNCTION("""COMPUTED_VALUE"""),0.432432432432432)</f>
        <v>0.4324324324</v>
      </c>
    </row>
    <row r="9695">
      <c r="A9695" s="10" t="s">
        <v>11134</v>
      </c>
      <c r="B9695" s="7" t="str">
        <f>IFERROR(__xludf.DUMMYFUNCTION("SPLIT(A9695,"" "")"),"C=CCN(C)CC1=CCC=C(N(C)Cc2ccccn2)N1")</f>
        <v>C=CCN(C)CC1=CCC=C(N(C)Cc2ccccn2)N1</v>
      </c>
      <c r="C9695" s="7">
        <f>IFERROR(__xludf.DUMMYFUNCTION("""COMPUTED_VALUE"""),7.768471)</f>
        <v>7.768471</v>
      </c>
      <c r="D9695" s="7">
        <f>IFERROR(__xludf.DUMMYFUNCTION("""COMPUTED_VALUE"""),0.403508771929824)</f>
        <v>0.4035087719</v>
      </c>
    </row>
    <row r="9696">
      <c r="A9696" s="10" t="s">
        <v>11135</v>
      </c>
      <c r="B9696" s="7" t="str">
        <f>IFERROR(__xludf.DUMMYFUNCTION("SPLIT(A9696,"" "")"),"CNCc1cc(CN(Cc2cc(C)ccn2)Cc2ncccc2C)ccn1")</f>
        <v>CNCc1cc(CN(Cc2cc(C)ccn2)Cc2ncccc2C)ccn1</v>
      </c>
      <c r="C9696" s="7">
        <f>IFERROR(__xludf.DUMMYFUNCTION("""COMPUTED_VALUE"""),7.7684655)</f>
        <v>7.7684655</v>
      </c>
      <c r="D9696" s="7">
        <f>IFERROR(__xludf.DUMMYFUNCTION("""COMPUTED_VALUE"""),0.333333333333333)</f>
        <v>0.3333333333</v>
      </c>
    </row>
    <row r="9697">
      <c r="A9697" s="10" t="s">
        <v>11136</v>
      </c>
      <c r="B9697" s="7" t="str">
        <f>IFERROR(__xludf.DUMMYFUNCTION("SPLIT(A9697,"" "")"),"CNC1C(N(C)Cc2ncccc2C)CCCC1N(C)c1cccc2nc(CF)ccc12")</f>
        <v>CNC1C(N(C)Cc2ncccc2C)CCCC1N(C)c1cccc2nc(CF)ccc12</v>
      </c>
      <c r="C9697" s="7">
        <f>IFERROR(__xludf.DUMMYFUNCTION("""COMPUTED_VALUE"""),7.7684593)</f>
        <v>7.7684593</v>
      </c>
      <c r="D9697" s="7">
        <f>IFERROR(__xludf.DUMMYFUNCTION("""COMPUTED_VALUE"""),0.405797101449275)</f>
        <v>0.4057971014</v>
      </c>
    </row>
    <row r="9698">
      <c r="A9698" s="10" t="s">
        <v>11137</v>
      </c>
      <c r="B9698" s="7" t="str">
        <f>IFERROR(__xludf.DUMMYFUNCTION("SPLIT(A9698,"" "")"),"CNCc1cccc(CN(Cc2ccccn2)C2CCC(N(C)c3ccc4ccc(CF)nc4c3)CC2)n1")</f>
        <v>CNCc1cccc(CN(Cc2ccccn2)C2CCC(N(C)c3ccc4ccc(CF)nc4c3)CC2)n1</v>
      </c>
      <c r="C9698" s="7">
        <f>IFERROR(__xludf.DUMMYFUNCTION("""COMPUTED_VALUE"""),7.7684565)</f>
        <v>7.7684565</v>
      </c>
      <c r="D9698" s="7">
        <f>IFERROR(__xludf.DUMMYFUNCTION("""COMPUTED_VALUE"""),0.38095238095238)</f>
        <v>0.380952381</v>
      </c>
    </row>
    <row r="9699">
      <c r="A9699" s="10" t="s">
        <v>11138</v>
      </c>
      <c r="B9699" s="7" t="str">
        <f>IFERROR(__xludf.DUMMYFUNCTION("SPLIT(A9699,"" "")"),"CNCc1ncccc1CN(Cc1ccccn1)C1CCCCC1N(C)c1cccc2nccc(CF)c12")</f>
        <v>CNCc1ncccc1CN(Cc1ccccn1)C1CCCCC1N(C)c1cccc2nccc(CF)c12</v>
      </c>
      <c r="C9699" s="7">
        <f>IFERROR(__xludf.DUMMYFUNCTION("""COMPUTED_VALUE"""),7.768449)</f>
        <v>7.768449</v>
      </c>
      <c r="D9699" s="7">
        <f>IFERROR(__xludf.DUMMYFUNCTION("""COMPUTED_VALUE"""),0.38235294117647)</f>
        <v>0.3823529412</v>
      </c>
    </row>
    <row r="9700">
      <c r="A9700" s="10" t="s">
        <v>11139</v>
      </c>
      <c r="B9700" s="7" t="str">
        <f>IFERROR(__xludf.DUMMYFUNCTION("SPLIT(A9700,"" "")"),"CN(Cc1cccc(-c2ccc3c(c2)OCCOCCOCCOCCOCCO3)n1)C1=CC(CN(C)c2ccc3ncccc3c2)C=CN1")</f>
        <v>CN(Cc1cccc(-c2ccc3c(c2)OCCOCCOCCOCCOCCO3)n1)C1=CC(CN(C)c2ccc3ncccc3c2)C=CN1</v>
      </c>
      <c r="C9700" s="7">
        <f>IFERROR(__xludf.DUMMYFUNCTION("""COMPUTED_VALUE"""),7.7684393)</f>
        <v>7.7684393</v>
      </c>
      <c r="D9700" s="7">
        <f>IFERROR(__xludf.DUMMYFUNCTION("""COMPUTED_VALUE"""),0.284090909090909)</f>
        <v>0.2840909091</v>
      </c>
    </row>
    <row r="9701">
      <c r="A9701" s="10" t="s">
        <v>11140</v>
      </c>
      <c r="B9701" s="7" t="str">
        <f>IFERROR(__xludf.DUMMYFUNCTION("SPLIT(A9701,"" "")"),"CN(Cc1cccnn1)C1CCC(N(C)c2ccc3cc(CF)cnc3c2)CC1")</f>
        <v>CN(Cc1cccnn1)C1CCC(N(C)c2ccc3cc(CF)cnc3c2)CC1</v>
      </c>
      <c r="C9701" s="7">
        <f>IFERROR(__xludf.DUMMYFUNCTION("""COMPUTED_VALUE"""),7.768437)</f>
        <v>7.768437</v>
      </c>
      <c r="D9701" s="7">
        <f>IFERROR(__xludf.DUMMYFUNCTION("""COMPUTED_VALUE"""),0.375)</f>
        <v>0.375</v>
      </c>
    </row>
    <row r="9702">
      <c r="A9702" s="10" t="s">
        <v>11141</v>
      </c>
      <c r="B9702" s="7" t="str">
        <f>IFERROR(__xludf.DUMMYFUNCTION("SPLIT(A9702,"" "")"),"CC(C)(c1ccccn1)c1cccnc1CN(CF)Cc1ccccn1")</f>
        <v>CC(C)(c1ccccn1)c1cccnc1CN(CF)Cc1ccccn1</v>
      </c>
      <c r="C9702" s="7">
        <f>IFERROR(__xludf.DUMMYFUNCTION("""COMPUTED_VALUE"""),7.7684355)</f>
        <v>7.7684355</v>
      </c>
      <c r="D9702" s="7">
        <f>IFERROR(__xludf.DUMMYFUNCTION("""COMPUTED_VALUE"""),0.458333333333333)</f>
        <v>0.4583333333</v>
      </c>
    </row>
    <row r="9703">
      <c r="A9703" s="10" t="s">
        <v>11142</v>
      </c>
      <c r="B9703" s="7" t="str">
        <f>IFERROR(__xludf.DUMMYFUNCTION("SPLIT(A9703,"" "")"),"CCNCc1c(C)cccc1NCc1ccccn1")</f>
        <v>CCNCc1c(C)cccc1NCc1ccccn1</v>
      </c>
      <c r="C9703" s="7">
        <f>IFERROR(__xludf.DUMMYFUNCTION("""COMPUTED_VALUE"""),7.7684283)</f>
        <v>7.7684283</v>
      </c>
      <c r="D9703" s="7">
        <f>IFERROR(__xludf.DUMMYFUNCTION("""COMPUTED_VALUE"""),0.439024390243902)</f>
        <v>0.4390243902</v>
      </c>
    </row>
    <row r="9704">
      <c r="A9704" s="10" t="s">
        <v>11143</v>
      </c>
      <c r="B9704" s="7" t="str">
        <f>IFERROR(__xludf.DUMMYFUNCTION("SPLIT(A9704,"" "")"),"CC(C)CN(CCN(C)Cc1cccc2ncccc12)Cc1ccccn1")</f>
        <v>CC(C)CN(CCN(C)Cc1cccc2ncccc12)Cc1ccccn1</v>
      </c>
      <c r="C9704" s="7">
        <f>IFERROR(__xludf.DUMMYFUNCTION("""COMPUTED_VALUE"""),7.7684264)</f>
        <v>7.7684264</v>
      </c>
      <c r="D9704" s="7">
        <f>IFERROR(__xludf.DUMMYFUNCTION("""COMPUTED_VALUE"""),0.5)</f>
        <v>0.5</v>
      </c>
    </row>
    <row r="9705">
      <c r="A9705" s="10" t="s">
        <v>11144</v>
      </c>
      <c r="B9705" s="7" t="str">
        <f>IFERROR(__xludf.DUMMYFUNCTION("SPLIT(A9705,"" "")"),"CN(Cc1cccc(F)n1)C1CCC(N(C)c2ccc3ccc(CF)nc3c2)CC1")</f>
        <v>CN(Cc1cccc(F)n1)C1CCC(N(C)c2ccc3ccc(CF)nc3c2)CC1</v>
      </c>
      <c r="C9705" s="7">
        <f>IFERROR(__xludf.DUMMYFUNCTION("""COMPUTED_VALUE"""),7.7684264)</f>
        <v>7.7684264</v>
      </c>
      <c r="D9705" s="7">
        <f>IFERROR(__xludf.DUMMYFUNCTION("""COMPUTED_VALUE"""),0.377049180327868)</f>
        <v>0.3770491803</v>
      </c>
    </row>
    <row r="9706">
      <c r="A9706" s="10" t="s">
        <v>11145</v>
      </c>
      <c r="B9706" s="7" t="str">
        <f>IFERROR(__xludf.DUMMYFUNCTION("SPLIT(A9706,"" "")"),"CN1CCN(Cc2cc(N(O)C3=CCC=CN3)ccn2)CCN(Cc2cccc(C(C)(c3ccccn3)c3ccccn3)n2)CC1")</f>
        <v>CN1CCN(Cc2cc(N(O)C3=CCC=CN3)ccn2)CCN(Cc2cccc(C(C)(c3ccccn3)c3ccccn3)n2)CC1</v>
      </c>
      <c r="C9706" s="7">
        <f>IFERROR(__xludf.DUMMYFUNCTION("""COMPUTED_VALUE"""),7.76842)</f>
        <v>7.76842</v>
      </c>
      <c r="D9706" s="7">
        <f>IFERROR(__xludf.DUMMYFUNCTION("""COMPUTED_VALUE"""),0.455882352941176)</f>
        <v>0.4558823529</v>
      </c>
    </row>
    <row r="9707">
      <c r="A9707" s="10" t="s">
        <v>11146</v>
      </c>
      <c r="B9707" s="7" t="str">
        <f>IFERROR(__xludf.DUMMYFUNCTION("SPLIT(A9707,"" "")"),"CC1=CC(C)(c2ncccc2CN(Cc2ccccn2)C2CCC(N(C)c3cccc4cc(CN(C)C)cnc34)CC2)CC(C)C1C")</f>
        <v>CC1=CC(C)(c2ncccc2CN(Cc2ccccn2)C2CCC(N(C)c3cccc4cc(CN(C)C)cnc34)CC2)CC(C)C1C</v>
      </c>
      <c r="C9707" s="7">
        <f>IFERROR(__xludf.DUMMYFUNCTION("""COMPUTED_VALUE"""),7.7684174)</f>
        <v>7.7684174</v>
      </c>
      <c r="D9707" s="7">
        <f>IFERROR(__xludf.DUMMYFUNCTION("""COMPUTED_VALUE"""),0.296296296296296)</f>
        <v>0.2962962963</v>
      </c>
    </row>
    <row r="9708">
      <c r="A9708" s="10" t="s">
        <v>11147</v>
      </c>
      <c r="B9708" s="7" t="str">
        <f>IFERROR(__xludf.DUMMYFUNCTION("SPLIT(A9708,"" "")"),"Cc1cnc(CN(C)CCN(C)Cc2cc(C)c(C)c(C)n2)c(C)c1")</f>
        <v>Cc1cnc(CN(C)CCN(C)Cc2cc(C)c(C)c(C)n2)c(C)c1</v>
      </c>
      <c r="C9708" s="7">
        <f>IFERROR(__xludf.DUMMYFUNCTION("""COMPUTED_VALUE"""),7.7684164)</f>
        <v>7.7684164</v>
      </c>
      <c r="D9708" s="7">
        <f>IFERROR(__xludf.DUMMYFUNCTION("""COMPUTED_VALUE"""),0.441860465116279)</f>
        <v>0.4418604651</v>
      </c>
    </row>
    <row r="9709">
      <c r="A9709" s="10" t="s">
        <v>11148</v>
      </c>
      <c r="B9709" s="7" t="str">
        <f>IFERROR(__xludf.DUMMYFUNCTION("SPLIT(A9709,"" "")"),"Cc1cc(C)nc(CN(C)C2=C(CN(C)C(C)C)NC=CC2)c1")</f>
        <v>Cc1cc(C)nc(CN(C)C2=C(CN(C)C(C)C)NC=CC2)c1</v>
      </c>
      <c r="C9709" s="7">
        <f>IFERROR(__xludf.DUMMYFUNCTION("""COMPUTED_VALUE"""),7.768415)</f>
        <v>7.768415</v>
      </c>
      <c r="D9709" s="7">
        <f>IFERROR(__xludf.DUMMYFUNCTION("""COMPUTED_VALUE"""),0.309090909090909)</f>
        <v>0.3090909091</v>
      </c>
    </row>
    <row r="9710">
      <c r="A9710" s="10" t="s">
        <v>11149</v>
      </c>
      <c r="B9710" s="7" t="str">
        <f>IFERROR(__xludf.DUMMYFUNCTION("SPLIT(A9710,"" "")"),"Cc1ccc(C2CCC2(C)C)nc1CN(Cc1ccccn1)C1CCC(N(C)c2ccc3nc(CF)ccc3c2)CC1")</f>
        <v>Cc1ccc(C2CCC2(C)C)nc1CN(Cc1ccccn1)C1CCC(N(C)c2ccc3nc(CF)ccc3c2)CC1</v>
      </c>
      <c r="C9710" s="7">
        <f>IFERROR(__xludf.DUMMYFUNCTION("""COMPUTED_VALUE"""),7.7683964)</f>
        <v>7.7683964</v>
      </c>
      <c r="D9710" s="7">
        <f>IFERROR(__xludf.DUMMYFUNCTION("""COMPUTED_VALUE"""),0.306666666666666)</f>
        <v>0.3066666667</v>
      </c>
    </row>
    <row r="9711">
      <c r="A9711" s="10" t="s">
        <v>11150</v>
      </c>
      <c r="B9711" s="7" t="str">
        <f>IFERROR(__xludf.DUMMYFUNCTION("SPLIT(A9711,"" "")"),"CN(Cc1ccc2c(n1)CCC2)C1CCCCC1N(C)c1ccc2ccc(CF)nc2c1")</f>
        <v>CN(Cc1ccc2c(n1)CCC2)C1CCCCC1N(C)c1ccc2ccc(CF)nc2c1</v>
      </c>
      <c r="C9711" s="7">
        <f>IFERROR(__xludf.DUMMYFUNCTION("""COMPUTED_VALUE"""),7.7683954)</f>
        <v>7.7683954</v>
      </c>
      <c r="D9711" s="7">
        <f>IFERROR(__xludf.DUMMYFUNCTION("""COMPUTED_VALUE"""),0.442622950819672)</f>
        <v>0.4426229508</v>
      </c>
    </row>
    <row r="9712">
      <c r="A9712" s="10" t="s">
        <v>11151</v>
      </c>
      <c r="B9712" s="7" t="str">
        <f>IFERROR(__xludf.DUMMYFUNCTION("SPLIT(A9712,"" "")"),"CN(c1ccc2nccc(CF)c2c1)C1CCCCC1N(CC1=CCC=CN1)Cc1ccccn1")</f>
        <v>CN(c1ccc2nccc(CF)c2c1)C1CCCCC1N(CC1=CCC=CN1)Cc1ccccn1</v>
      </c>
      <c r="C9712" s="7">
        <f>IFERROR(__xludf.DUMMYFUNCTION("""COMPUTED_VALUE"""),7.7683945)</f>
        <v>7.7683945</v>
      </c>
      <c r="D9712" s="7">
        <f>IFERROR(__xludf.DUMMYFUNCTION("""COMPUTED_VALUE"""),0.442857142857142)</f>
        <v>0.4428571429</v>
      </c>
    </row>
    <row r="9713">
      <c r="A9713" s="10" t="s">
        <v>11152</v>
      </c>
      <c r="B9713" s="7" t="str">
        <f>IFERROR(__xludf.DUMMYFUNCTION("SPLIT(A9713,"" "")"),"CC(NCc1ccccn1)c1ccnc(CN2C=CCC=C2)c1")</f>
        <v>CC(NCc1ccccn1)c1ccnc(CN2C=CCC=C2)c1</v>
      </c>
      <c r="C9713" s="7">
        <f>IFERROR(__xludf.DUMMYFUNCTION("""COMPUTED_VALUE"""),7.7683935)</f>
        <v>7.7683935</v>
      </c>
      <c r="D9713" s="7">
        <f>IFERROR(__xludf.DUMMYFUNCTION("""COMPUTED_VALUE"""),0.388888888888888)</f>
        <v>0.3888888889</v>
      </c>
    </row>
    <row r="9714">
      <c r="A9714" s="10" t="s">
        <v>11153</v>
      </c>
      <c r="B9714" s="7" t="str">
        <f>IFERROR(__xludf.DUMMYFUNCTION("SPLIT(A9714,"" "")"),"Cc1cccnc1CN(C)C1=CNC(CN(Cc2ccccn2)CC(C)(C)C)=CC1")</f>
        <v>Cc1cccnc1CN(C)C1=CNC(CN(Cc2ccccn2)CC(C)(C)C)=CC1</v>
      </c>
      <c r="C9714" s="7">
        <f>IFERROR(__xludf.DUMMYFUNCTION("""COMPUTED_VALUE"""),7.76838)</f>
        <v>7.76838</v>
      </c>
      <c r="D9714" s="7">
        <f>IFERROR(__xludf.DUMMYFUNCTION("""COMPUTED_VALUE"""),0.464285714285714)</f>
        <v>0.4642857143</v>
      </c>
    </row>
    <row r="9715">
      <c r="A9715" s="10" t="s">
        <v>11154</v>
      </c>
      <c r="B9715" s="7" t="str">
        <f>IFERROR(__xludf.DUMMYFUNCTION("SPLIT(A9715,"" "")"),"CC1C=CC(N(C)c2ccc3cccnc3c2)C(C)C1C")</f>
        <v>CC1C=CC(N(C)c2ccc3cccnc3c2)C(C)C1C</v>
      </c>
      <c r="C9715" s="7">
        <f>IFERROR(__xludf.DUMMYFUNCTION("""COMPUTED_VALUE"""),7.7683797)</f>
        <v>7.7683797</v>
      </c>
      <c r="D9715" s="7">
        <f>IFERROR(__xludf.DUMMYFUNCTION("""COMPUTED_VALUE"""),0.296296296296296)</f>
        <v>0.2962962963</v>
      </c>
    </row>
    <row r="9716">
      <c r="A9716" s="10" t="s">
        <v>11155</v>
      </c>
      <c r="B9716" s="7" t="str">
        <f>IFERROR(__xludf.DUMMYFUNCTION("SPLIT(A9716,"" "")"),"CCNCc1ncccc1CN(Cc1ccccn1)Cc1nc(C)c(C)cc1C")</f>
        <v>CCNCc1ncccc1CN(Cc1ccccn1)Cc1nc(C)c(C)cc1C</v>
      </c>
      <c r="C9716" s="7">
        <f>IFERROR(__xludf.DUMMYFUNCTION("""COMPUTED_VALUE"""),7.768378)</f>
        <v>7.768378</v>
      </c>
      <c r="D9716" s="7">
        <f>IFERROR(__xludf.DUMMYFUNCTION("""COMPUTED_VALUE"""),0.408163265306122)</f>
        <v>0.4081632653</v>
      </c>
    </row>
    <row r="9717">
      <c r="A9717" s="10" t="s">
        <v>11156</v>
      </c>
      <c r="B9717" s="7" t="str">
        <f>IFERROR(__xludf.DUMMYFUNCTION("SPLIT(A9717,"" "")"),"CN(CCCN(C)Cc1ccccn1)Cc1ccc2ncccc2c1")</f>
        <v>CN(CCCN(C)Cc1ccccn1)Cc1ccc2ncccc2c1</v>
      </c>
      <c r="C9717" s="7">
        <f>IFERROR(__xludf.DUMMYFUNCTION("""COMPUTED_VALUE"""),7.7683764)</f>
        <v>7.7683764</v>
      </c>
      <c r="D9717" s="7">
        <f>IFERROR(__xludf.DUMMYFUNCTION("""COMPUTED_VALUE"""),0.454545454545454)</f>
        <v>0.4545454545</v>
      </c>
    </row>
    <row r="9718">
      <c r="A9718" s="10" t="s">
        <v>11157</v>
      </c>
      <c r="B9718" s="7" t="str">
        <f>IFERROR(__xludf.DUMMYFUNCTION("SPLIT(A9718,"" "")"),"CNCc1cccc(CN(Cc2ccccn2)C2=CNC(C(C)(C)C)=CC2)n1")</f>
        <v>CNCc1cccc(CN(Cc2ccccn2)C2=CNC(C(C)(C)C)=CC2)n1</v>
      </c>
      <c r="C9718" s="7">
        <f>IFERROR(__xludf.DUMMYFUNCTION("""COMPUTED_VALUE"""),7.7683735)</f>
        <v>7.7683735</v>
      </c>
      <c r="D9718" s="7">
        <f>IFERROR(__xludf.DUMMYFUNCTION("""COMPUTED_VALUE"""),0.368421052631578)</f>
        <v>0.3684210526</v>
      </c>
    </row>
    <row r="9719">
      <c r="A9719" s="10" t="s">
        <v>11158</v>
      </c>
      <c r="B9719" s="7" t="str">
        <f>IFERROR(__xludf.DUMMYFUNCTION("SPLIT(A9719,"" "")"),"Cc1cc(C)c(CN(C)C2C=CNC(C(C)N)=C2)nc1C")</f>
        <v>Cc1cc(C)c(CN(C)C2C=CNC(C(C)N)=C2)nc1C</v>
      </c>
      <c r="C9719" s="7">
        <f>IFERROR(__xludf.DUMMYFUNCTION("""COMPUTED_VALUE"""),7.768372)</f>
        <v>7.768372</v>
      </c>
      <c r="D9719" s="7">
        <f>IFERROR(__xludf.DUMMYFUNCTION("""COMPUTED_VALUE"""),0.241935483870967)</f>
        <v>0.2419354839</v>
      </c>
    </row>
    <row r="9720">
      <c r="A9720" s="10" t="s">
        <v>11159</v>
      </c>
      <c r="B9720" s="7" t="str">
        <f>IFERROR(__xludf.DUMMYFUNCTION("SPLIT(A9720,"" "")"),"CC(C)C1=CC2C=C(c3ncccc3CN(Cc3ccccn3)Cc3ccccn3)C(C)(C)C(C)C2=CN1")</f>
        <v>CC(C)C1=CC2C=C(c3ncccc3CN(Cc3ccccn3)Cc3ccccn3)C(C)(C)C(C)C2=CN1</v>
      </c>
      <c r="C9720" s="7">
        <f>IFERROR(__xludf.DUMMYFUNCTION("""COMPUTED_VALUE"""),7.768372)</f>
        <v>7.768372</v>
      </c>
      <c r="D9720" s="7">
        <f>IFERROR(__xludf.DUMMYFUNCTION("""COMPUTED_VALUE"""),0.350877192982456)</f>
        <v>0.350877193</v>
      </c>
    </row>
    <row r="9721">
      <c r="A9721" s="10" t="s">
        <v>11160</v>
      </c>
      <c r="B9721" s="7" t="str">
        <f>IFERROR(__xludf.DUMMYFUNCTION("SPLIT(A9721,"" "")"),"CC1=C(N(C)Cc2cc(C(C)(C)C)ccn2)CC(C)CC1C")</f>
        <v>CC1=C(N(C)Cc2cc(C(C)(C)C)ccn2)CC(C)CC1C</v>
      </c>
      <c r="C9721" s="7">
        <f>IFERROR(__xludf.DUMMYFUNCTION("""COMPUTED_VALUE"""),7.768369)</f>
        <v>7.768369</v>
      </c>
      <c r="D9721" s="7">
        <f>IFERROR(__xludf.DUMMYFUNCTION("""COMPUTED_VALUE"""),0.285714285714285)</f>
        <v>0.2857142857</v>
      </c>
    </row>
    <row r="9722">
      <c r="A9722" s="10" t="s">
        <v>11161</v>
      </c>
      <c r="B9722" s="7" t="str">
        <f>IFERROR(__xludf.DUMMYFUNCTION("SPLIT(A9722,"" "")"),"CNCc1cc(CN(Cc2ccccn2)C2CCCCC2N(C)c2ccc3c(CF)ccnc3c2)ccn1")</f>
        <v>CNCc1cc(CN(Cc2ccccn2)C2CCCCC2N(C)c2ccc3c(CF)ccnc3c2)ccn1</v>
      </c>
      <c r="C9722" s="7">
        <f>IFERROR(__xludf.DUMMYFUNCTION("""COMPUTED_VALUE"""),7.7683644)</f>
        <v>7.7683644</v>
      </c>
      <c r="D9722" s="7">
        <f>IFERROR(__xludf.DUMMYFUNCTION("""COMPUTED_VALUE"""),0.393939393939393)</f>
        <v>0.3939393939</v>
      </c>
    </row>
    <row r="9723">
      <c r="A9723" s="10" t="s">
        <v>11162</v>
      </c>
      <c r="B9723" s="7" t="str">
        <f>IFERROR(__xludf.DUMMYFUNCTION("SPLIT(A9723,"" "")"),"Cc1cc(-c2ncccc2C(C)C)ccc1N(C)C1CCCC(N(C)C)C1")</f>
        <v>Cc1cc(-c2ncccc2C(C)C)ccc1N(C)C1CCCC(N(C)C)C1</v>
      </c>
      <c r="C9723" s="7">
        <f>IFERROR(__xludf.DUMMYFUNCTION("""COMPUTED_VALUE"""),7.7683625)</f>
        <v>7.7683625</v>
      </c>
      <c r="D9723" s="7">
        <f>IFERROR(__xludf.DUMMYFUNCTION("""COMPUTED_VALUE"""),0.3)</f>
        <v>0.3</v>
      </c>
    </row>
    <row r="9724">
      <c r="A9724" s="10" t="s">
        <v>11163</v>
      </c>
      <c r="B9724" s="7" t="str">
        <f>IFERROR(__xludf.DUMMYFUNCTION("SPLIT(A9724,"" "")"),"Cc1ccnc(CN(C)C2CCCCC2N(C)c2ccc3cc(CF)cnc3c2)c1")</f>
        <v>Cc1ccnc(CN(C)C2CCCCC2N(C)c2ccc3cc(CF)cnc3c2)c1</v>
      </c>
      <c r="C9724" s="7">
        <f>IFERROR(__xludf.DUMMYFUNCTION("""COMPUTED_VALUE"""),7.768356)</f>
        <v>7.768356</v>
      </c>
      <c r="D9724" s="7">
        <f>IFERROR(__xludf.DUMMYFUNCTION("""COMPUTED_VALUE"""),0.423728813559322)</f>
        <v>0.4237288136</v>
      </c>
    </row>
    <row r="9725">
      <c r="A9725" s="10" t="s">
        <v>11164</v>
      </c>
      <c r="B9725" s="7" t="str">
        <f>IFERROR(__xludf.DUMMYFUNCTION("SPLIT(A9725,"" "")"),"CSCc1ncccc1CN(C)Cc1ncccc1C")</f>
        <v>CSCc1ncccc1CN(C)Cc1ncccc1C</v>
      </c>
      <c r="C9725" s="7">
        <f>IFERROR(__xludf.DUMMYFUNCTION("""COMPUTED_VALUE"""),7.768354)</f>
        <v>7.768354</v>
      </c>
      <c r="D9725" s="7">
        <f>IFERROR(__xludf.DUMMYFUNCTION("""COMPUTED_VALUE"""),0.391304347826087)</f>
        <v>0.3913043478</v>
      </c>
    </row>
    <row r="9726">
      <c r="A9726" s="10" t="s">
        <v>11165</v>
      </c>
      <c r="B9726" s="7" t="str">
        <f>IFERROR(__xludf.DUMMYFUNCTION("SPLIT(A9726,"" "")"),"CC1C=CC(C)(c2ncccc2CN(Cc2ccccn2)C2CCCC(N(C)c3ccc4c(CN(C)C)ccnc4c3)C2)CC1C")</f>
        <v>CC1C=CC(C)(c2ncccc2CN(Cc2ccccn2)C2CCCC(N(C)c3ccc4c(CN(C)C)ccnc4c3)C2)CC1C</v>
      </c>
      <c r="C9726" s="7">
        <f>IFERROR(__xludf.DUMMYFUNCTION("""COMPUTED_VALUE"""),7.768352)</f>
        <v>7.768352</v>
      </c>
      <c r="D9726" s="7">
        <f>IFERROR(__xludf.DUMMYFUNCTION("""COMPUTED_VALUE"""),0.291139240506329)</f>
        <v>0.2911392405</v>
      </c>
    </row>
    <row r="9727">
      <c r="A9727" s="10" t="s">
        <v>11166</v>
      </c>
      <c r="B9727" s="7" t="str">
        <f>IFERROR(__xludf.DUMMYFUNCTION("SPLIT(A9727,"" "")"),"Cc1cncc(CN(C)CC2=CCC=C(N(C)C(C)C)N2)c1C")</f>
        <v>Cc1cncc(CN(C)CC2=CCC=C(N(C)C(C)C)N2)c1C</v>
      </c>
      <c r="C9727" s="7">
        <f>IFERROR(__xludf.DUMMYFUNCTION("""COMPUTED_VALUE"""),7.768349)</f>
        <v>7.768349</v>
      </c>
      <c r="D9727" s="7">
        <f>IFERROR(__xludf.DUMMYFUNCTION("""COMPUTED_VALUE"""),0.220338983050847)</f>
        <v>0.2203389831</v>
      </c>
    </row>
    <row r="9728">
      <c r="A9728" s="10" t="s">
        <v>11167</v>
      </c>
      <c r="B9728" s="7" t="str">
        <f>IFERROR(__xludf.DUMMYFUNCTION("SPLIT(A9728,"" "")"),"CC(C)NCc1cccc(CN(Cc2ccccn2)C2CCC(N(C)c3cccc4nc(CF)ccc34)CC2)n1")</f>
        <v>CC(C)NCc1cccc(CN(Cc2ccccn2)C2CCC(N(C)c3cccc4nc(CF)ccc34)CC2)n1</v>
      </c>
      <c r="C9728" s="7">
        <f>IFERROR(__xludf.DUMMYFUNCTION("""COMPUTED_VALUE"""),7.7683473)</f>
        <v>7.7683473</v>
      </c>
      <c r="D9728" s="7">
        <f>IFERROR(__xludf.DUMMYFUNCTION("""COMPUTED_VALUE"""),0.342465753424657)</f>
        <v>0.3424657534</v>
      </c>
    </row>
    <row r="9729">
      <c r="A9729" s="10" t="s">
        <v>11168</v>
      </c>
      <c r="B9729" s="7" t="str">
        <f>IFERROR(__xludf.DUMMYFUNCTION("SPLIT(A9729,"" "")"),"CN(Cc1ncccc1-c1cccc2c1OCCOCCOCCOCCOCCO2)C1=CC(CN(C)c2cccc3ncccc23)C=CN1")</f>
        <v>CN(Cc1ncccc1-c1cccc2c1OCCOCCOCCOCCOCCO2)C1=CC(CN(C)c2cccc3ncccc23)C=CN1</v>
      </c>
      <c r="C9729" s="7">
        <f>IFERROR(__xludf.DUMMYFUNCTION("""COMPUTED_VALUE"""),7.7683434)</f>
        <v>7.7683434</v>
      </c>
      <c r="D9729" s="7">
        <f>IFERROR(__xludf.DUMMYFUNCTION("""COMPUTED_VALUE"""),0.246753246753246)</f>
        <v>0.2467532468</v>
      </c>
    </row>
    <row r="9730">
      <c r="A9730" s="10" t="s">
        <v>11169</v>
      </c>
      <c r="B9730" s="7" t="str">
        <f>IFERROR(__xludf.DUMMYFUNCTION("SPLIT(A9730,"" "")"),"Cc1cccnc1CN(C)Cc1cccc(N(C)C2CCC(N(Cc3nc(C)c(C)c(C)c3C)Cc3nc(C)c(C)c(C)c3C)CC2)n1")</f>
        <v>Cc1cccnc1CN(C)Cc1cccc(N(C)C2CCC(N(Cc3nc(C)c(C)c(C)c3C)Cc3nc(C)c(C)c(C)c3C)CC2)n1</v>
      </c>
      <c r="C9730" s="7">
        <f>IFERROR(__xludf.DUMMYFUNCTION("""COMPUTED_VALUE"""),7.7683425)</f>
        <v>7.7683425</v>
      </c>
      <c r="D9730" s="7">
        <f>IFERROR(__xludf.DUMMYFUNCTION("""COMPUTED_VALUE"""),0.328125)</f>
        <v>0.328125</v>
      </c>
    </row>
    <row r="9731">
      <c r="A9731" s="10" t="s">
        <v>11170</v>
      </c>
      <c r="B9731" s="7" t="str">
        <f>IFERROR(__xludf.DUMMYFUNCTION("SPLIT(A9731,"" "")"),"CC1=CC(N=Cc2ccccn2)CC(c2ccc(CN(C)Cc3ccc(N)cn3)cn2)C1C")</f>
        <v>CC1=CC(N=Cc2ccccn2)CC(c2ccc(CN(C)Cc3ccc(N)cn3)cn2)C1C</v>
      </c>
      <c r="C9731" s="7">
        <f>IFERROR(__xludf.DUMMYFUNCTION("""COMPUTED_VALUE"""),7.768338)</f>
        <v>7.768338</v>
      </c>
      <c r="D9731" s="7">
        <f>IFERROR(__xludf.DUMMYFUNCTION("""COMPUTED_VALUE"""),0.287671232876712)</f>
        <v>0.2876712329</v>
      </c>
    </row>
    <row r="9732">
      <c r="A9732" s="10" t="s">
        <v>11171</v>
      </c>
      <c r="B9732" s="7" t="str">
        <f>IFERROR(__xludf.DUMMYFUNCTION("SPLIT(A9732,"" "")"),"CN(Cc1cccc(N)n1)Cc1cccc(CNC2C=CC=CN2)n1")</f>
        <v>CN(Cc1cccc(N)n1)Cc1cccc(CNC2C=CC=CN2)n1</v>
      </c>
      <c r="C9732" s="7">
        <f>IFERROR(__xludf.DUMMYFUNCTION("""COMPUTED_VALUE"""),7.7683344)</f>
        <v>7.7683344</v>
      </c>
      <c r="D9732" s="7">
        <f>IFERROR(__xludf.DUMMYFUNCTION("""COMPUTED_VALUE"""),0.333333333333333)</f>
        <v>0.3333333333</v>
      </c>
    </row>
    <row r="9733">
      <c r="A9733" s="10" t="s">
        <v>11172</v>
      </c>
      <c r="B9733" s="7" t="str">
        <f>IFERROR(__xludf.DUMMYFUNCTION("SPLIT(A9733,"" "")"),"CN(c1ccc2ncc(CF)cc2c1)C1CCC(N(CC2=CCC=CN2)Cc2ccccn2)CC1")</f>
        <v>CN(c1ccc2ncc(CF)cc2c1)C1CCC(N(CC2=CCC=CN2)Cc2ccccn2)CC1</v>
      </c>
      <c r="C9733" s="7">
        <f>IFERROR(__xludf.DUMMYFUNCTION("""COMPUTED_VALUE"""),7.7683306)</f>
        <v>7.7683306</v>
      </c>
      <c r="D9733" s="7">
        <f>IFERROR(__xludf.DUMMYFUNCTION("""COMPUTED_VALUE"""),0.44927536231884)</f>
        <v>0.4492753623</v>
      </c>
    </row>
    <row r="9734">
      <c r="A9734" s="10" t="s">
        <v>11173</v>
      </c>
      <c r="B9734" s="7" t="str">
        <f>IFERROR(__xludf.DUMMYFUNCTION("SPLIT(A9734,"" "")"),"CC(C)N(Cc1ccccn1)c1ccc2nccc(CN(Cc3ccccn3)Cc3cccc(-c4ccc5c(c4)OCCOCCOCCOCCOCCO5)n3)c2c1")</f>
        <v>CC(C)N(Cc1ccccn1)c1ccc2nccc(CN(Cc3ccccn3)Cc3cccc(-c4ccc5c(c4)OCCOCCOCCOCCOCCO5)n3)c2c1</v>
      </c>
      <c r="C9734" s="7">
        <f>IFERROR(__xludf.DUMMYFUNCTION("""COMPUTED_VALUE"""),7.7683277)</f>
        <v>7.7683277</v>
      </c>
      <c r="D9734" s="7">
        <f>IFERROR(__xludf.DUMMYFUNCTION("""COMPUTED_VALUE"""),0.407894736842105)</f>
        <v>0.4078947368</v>
      </c>
    </row>
    <row r="9735">
      <c r="A9735" s="10" t="s">
        <v>11174</v>
      </c>
      <c r="B9735" s="7" t="str">
        <f>IFERROR(__xludf.DUMMYFUNCTION("SPLIT(A9735,"" "")"),"CNCc1ncccc1CN(Cc1ccccn1)C1CCCCC1N(C)c1cccc2c(CF)ccnc12")</f>
        <v>CNCc1ncccc1CN(Cc1ccccn1)C1CCCCC1N(C)c1cccc2c(CF)ccnc12</v>
      </c>
      <c r="C9735" s="7">
        <f>IFERROR(__xludf.DUMMYFUNCTION("""COMPUTED_VALUE"""),7.768326)</f>
        <v>7.768326</v>
      </c>
      <c r="D9735" s="7">
        <f>IFERROR(__xludf.DUMMYFUNCTION("""COMPUTED_VALUE"""),0.411764705882352)</f>
        <v>0.4117647059</v>
      </c>
    </row>
    <row r="9736">
      <c r="A9736" s="10" t="s">
        <v>11175</v>
      </c>
      <c r="B9736" s="7" t="str">
        <f>IFERROR(__xludf.DUMMYFUNCTION("SPLIT(A9736,"" "")"),"CN(Cc1ncccc1-c1ccc2c(c1)OCCOCCOCCOCCOCCO2)c1cccc2ncccc12")</f>
        <v>CN(Cc1ncccc1-c1ccc2c(c1)OCCOCCOCCOCCOCCO2)c1cccc2ncccc12</v>
      </c>
      <c r="C9736" s="7">
        <f>IFERROR(__xludf.DUMMYFUNCTION("""COMPUTED_VALUE"""),7.7683225)</f>
        <v>7.7683225</v>
      </c>
      <c r="D9736" s="7">
        <f>IFERROR(__xludf.DUMMYFUNCTION("""COMPUTED_VALUE"""),0.315068493150684)</f>
        <v>0.3150684932</v>
      </c>
    </row>
    <row r="9737">
      <c r="A9737" s="10" t="s">
        <v>11176</v>
      </c>
      <c r="B9737" s="7" t="str">
        <f>IFERROR(__xludf.DUMMYFUNCTION("SPLIT(A9737,"" "")"),"CC1CC=CC(N(C)Cc2ccccn2)=C1CN(C)Cc1ccccn1")</f>
        <v>CC1CC=CC(N(C)Cc2ccccn2)=C1CN(C)Cc1ccccn1</v>
      </c>
      <c r="C9737" s="7">
        <f>IFERROR(__xludf.DUMMYFUNCTION("""COMPUTED_VALUE"""),7.768316)</f>
        <v>7.768316</v>
      </c>
      <c r="D9737" s="7">
        <f>IFERROR(__xludf.DUMMYFUNCTION("""COMPUTED_VALUE"""),0.448979591836734)</f>
        <v>0.4489795918</v>
      </c>
    </row>
    <row r="9738">
      <c r="A9738" s="10" t="s">
        <v>11177</v>
      </c>
      <c r="B9738" s="7" t="str">
        <f>IFERROR(__xludf.DUMMYFUNCTION("SPLIT(A9738,"" "")"),"CC(C)NCc1cccc(CN(Cc2ccccn2)C2CCCC(N(C)c3ccc4cc(CF)cnc4c3)C2)n1")</f>
        <v>CC(C)NCc1cccc(CN(Cc2ccccn2)C2CCCC(N(C)c3ccc4cc(CF)cnc4c3)C2)n1</v>
      </c>
      <c r="C9738" s="7">
        <f>IFERROR(__xludf.DUMMYFUNCTION("""COMPUTED_VALUE"""),7.768316)</f>
        <v>7.768316</v>
      </c>
      <c r="D9738" s="7">
        <f>IFERROR(__xludf.DUMMYFUNCTION("""COMPUTED_VALUE"""),0.319444444444444)</f>
        <v>0.3194444444</v>
      </c>
    </row>
    <row r="9739">
      <c r="A9739" s="10" t="s">
        <v>11178</v>
      </c>
      <c r="B9739" s="7" t="str">
        <f>IFERROR(__xludf.DUMMYFUNCTION("SPLIT(A9739,"" "")"),"CCN(CC1=C(N(C)Cc2ccccn2)CC=CN1)Cc1ccccn1")</f>
        <v>CCN(CC1=C(N(C)Cc2ccccn2)CC=CN1)Cc1ccccn1</v>
      </c>
      <c r="C9739" s="7">
        <f>IFERROR(__xludf.DUMMYFUNCTION("""COMPUTED_VALUE"""),7.7683105)</f>
        <v>7.7683105</v>
      </c>
      <c r="D9739" s="7">
        <f>IFERROR(__xludf.DUMMYFUNCTION("""COMPUTED_VALUE"""),0.471698113207547)</f>
        <v>0.4716981132</v>
      </c>
    </row>
    <row r="9740">
      <c r="A9740" s="10" t="s">
        <v>11179</v>
      </c>
      <c r="B9740" s="7" t="str">
        <f>IFERROR(__xludf.DUMMYFUNCTION("SPLIT(A9740,"" "")"),"CC(C)C1=CC2(C=CN1)C(c1ncccc1CN(Cc1ccccn1)Cc1ncccc1C(C)(C)C)=CCCC2(C)C")</f>
        <v>CC(C)C1=CC2(C=CN1)C(c1ncccc1CN(Cc1ccccn1)Cc1ncccc1C(C)(C)C)=CCCC2(C)C</v>
      </c>
      <c r="C9740" s="7">
        <f>IFERROR(__xludf.DUMMYFUNCTION("""COMPUTED_VALUE"""),7.76831)</f>
        <v>7.76831</v>
      </c>
      <c r="D9740" s="7">
        <f>IFERROR(__xludf.DUMMYFUNCTION("""COMPUTED_VALUE"""),0.3125)</f>
        <v>0.3125</v>
      </c>
    </row>
    <row r="9741">
      <c r="A9741" s="10" t="s">
        <v>11180</v>
      </c>
      <c r="B9741" s="7" t="str">
        <f>IFERROR(__xludf.DUMMYFUNCTION("SPLIT(A9741,"" "")"),"CNCc1ncccc1CN(Cc1ccccn1)C1CCC(N(C)c2ccc3cccnc3c2)CC1")</f>
        <v>CNCc1ncccc1CN(Cc1ccccn1)C1CCC(N(C)c2ccc3cccnc3c2)CC1</v>
      </c>
      <c r="C9741" s="7">
        <f>IFERROR(__xludf.DUMMYFUNCTION("""COMPUTED_VALUE"""),7.7683096)</f>
        <v>7.7683096</v>
      </c>
      <c r="D9741" s="7">
        <f>IFERROR(__xludf.DUMMYFUNCTION("""COMPUTED_VALUE"""),0.359375)</f>
        <v>0.359375</v>
      </c>
    </row>
    <row r="9742">
      <c r="A9742" s="10" t="s">
        <v>11181</v>
      </c>
      <c r="B9742" s="7" t="str">
        <f>IFERROR(__xludf.DUMMYFUNCTION("SPLIT(A9742,"" "")"),"CNCc1ncccc1CN(Cc1ccccn1)C1CCC(N(C)c2cccc3cccnc23)CC1")</f>
        <v>CNCc1ncccc1CN(Cc1ccccn1)C1CCC(N(C)c2cccc3cccnc23)CC1</v>
      </c>
      <c r="C9742" s="7">
        <f>IFERROR(__xludf.DUMMYFUNCTION("""COMPUTED_VALUE"""),7.7683034)</f>
        <v>7.7683034</v>
      </c>
      <c r="D9742" s="7">
        <f>IFERROR(__xludf.DUMMYFUNCTION("""COMPUTED_VALUE"""),0.426229508196721)</f>
        <v>0.4262295082</v>
      </c>
    </row>
    <row r="9743">
      <c r="A9743" s="10" t="s">
        <v>11182</v>
      </c>
      <c r="B9743" s="7" t="str">
        <f>IFERROR(__xludf.DUMMYFUNCTION("SPLIT(A9743,"" "")"),"CN(c1cccc2ncc(CF)cc12)C1CCCCC1N(Cc1ccccn1)Cc1ccccn1")</f>
        <v>CN(c1cccc2ncc(CF)cc12)C1CCCCC1N(Cc1ccccn1)Cc1ccccn1</v>
      </c>
      <c r="C9743" s="7">
        <f>IFERROR(__xludf.DUMMYFUNCTION("""COMPUTED_VALUE"""),7.7683015)</f>
        <v>7.7683015</v>
      </c>
      <c r="D9743" s="7">
        <f>IFERROR(__xludf.DUMMYFUNCTION("""COMPUTED_VALUE"""),0.456140350877192)</f>
        <v>0.4561403509</v>
      </c>
    </row>
    <row r="9744">
      <c r="A9744" s="10" t="s">
        <v>11183</v>
      </c>
      <c r="B9744" s="7" t="str">
        <f>IFERROR(__xludf.DUMMYFUNCTION("SPLIT(A9744,"" "")"),"COC(C)c1cccc(CNCc2cc(C(=O)C(C)NCc3ccccn3)ccn2)n1")</f>
        <v>COC(C)c1cccc(CNCc2cc(C(=O)C(C)NCc3ccccn3)ccn2)n1</v>
      </c>
      <c r="C9744" s="7">
        <f>IFERROR(__xludf.DUMMYFUNCTION("""COMPUTED_VALUE"""),7.7682996)</f>
        <v>7.7682996</v>
      </c>
      <c r="D9744" s="7">
        <f>IFERROR(__xludf.DUMMYFUNCTION("""COMPUTED_VALUE"""),0.339285714285714)</f>
        <v>0.3392857143</v>
      </c>
    </row>
    <row r="9745">
      <c r="A9745" s="10" t="s">
        <v>11184</v>
      </c>
      <c r="B9745" s="7" t="str">
        <f>IFERROR(__xludf.DUMMYFUNCTION("SPLIT(A9745,"" "")"),"Cc1cccnc1CN(C)Cc1cccnc1C")</f>
        <v>Cc1cccnc1CN(C)Cc1cccnc1C</v>
      </c>
      <c r="C9745" s="7">
        <f>IFERROR(__xludf.DUMMYFUNCTION("""COMPUTED_VALUE"""),7.7682977)</f>
        <v>7.7682977</v>
      </c>
      <c r="D9745" s="7">
        <f>IFERROR(__xludf.DUMMYFUNCTION("""COMPUTED_VALUE"""),0.428571428571428)</f>
        <v>0.4285714286</v>
      </c>
    </row>
    <row r="9746">
      <c r="A9746" s="10" t="s">
        <v>11185</v>
      </c>
      <c r="B9746" s="7" t="str">
        <f>IFERROR(__xludf.DUMMYFUNCTION("SPLIT(A9746,"" "")"),"CC(C)N(CC1=CCC=C(N(C)Cc2ccccn2)N1)C(C)C")</f>
        <v>CC(C)N(CC1=CCC=C(N(C)Cc2ccccn2)N1)C(C)C</v>
      </c>
      <c r="C9746" s="7">
        <f>IFERROR(__xludf.DUMMYFUNCTION("""COMPUTED_VALUE"""),7.768293)</f>
        <v>7.768293</v>
      </c>
      <c r="D9746" s="7">
        <f>IFERROR(__xludf.DUMMYFUNCTION("""COMPUTED_VALUE"""),0.4375)</f>
        <v>0.4375</v>
      </c>
    </row>
    <row r="9747">
      <c r="A9747" s="10" t="s">
        <v>11186</v>
      </c>
      <c r="B9747" s="7" t="str">
        <f>IFERROR(__xludf.DUMMYFUNCTION("SPLIT(A9747,"" "")"),"Cc1cccnc1CN(C)C")</f>
        <v>Cc1cccnc1CN(C)C</v>
      </c>
      <c r="C9747" s="7">
        <f>IFERROR(__xludf.DUMMYFUNCTION("""COMPUTED_VALUE"""),7.768287)</f>
        <v>7.768287</v>
      </c>
      <c r="D9747" s="7">
        <f>IFERROR(__xludf.DUMMYFUNCTION("""COMPUTED_VALUE"""),0.378378378378378)</f>
        <v>0.3783783784</v>
      </c>
    </row>
    <row r="9748">
      <c r="A9748" s="10" t="s">
        <v>11187</v>
      </c>
      <c r="B9748" s="7" t="str">
        <f>IFERROR(__xludf.DUMMYFUNCTION("SPLIT(A9748,"" "")"),"CCCN(Cc1ccccn1)C1=C(CN(C)Cc2nc(C)c(C)c(C)c2C)NC=CC1")</f>
        <v>CCCN(Cc1ccccn1)C1=C(CN(C)Cc2nc(C)c(C)c(C)c2C)NC=CC1</v>
      </c>
      <c r="C9748" s="7">
        <f>IFERROR(__xludf.DUMMYFUNCTION("""COMPUTED_VALUE"""),7.7682776)</f>
        <v>7.7682776</v>
      </c>
      <c r="D9748" s="7">
        <f>IFERROR(__xludf.DUMMYFUNCTION("""COMPUTED_VALUE"""),0.338709677419354)</f>
        <v>0.3387096774</v>
      </c>
    </row>
    <row r="9749">
      <c r="A9749" s="10" t="s">
        <v>11188</v>
      </c>
      <c r="B9749" s="7" t="str">
        <f>IFERROR(__xludf.DUMMYFUNCTION("SPLIT(A9749,"" "")"),"Cc1cccnc1CN(C)Cc1ncccc1F")</f>
        <v>Cc1cccnc1CN(C)Cc1ncccc1F</v>
      </c>
      <c r="C9749" s="7">
        <f>IFERROR(__xludf.DUMMYFUNCTION("""COMPUTED_VALUE"""),7.7682705)</f>
        <v>7.7682705</v>
      </c>
      <c r="D9749" s="7">
        <f>IFERROR(__xludf.DUMMYFUNCTION("""COMPUTED_VALUE"""),0.355555555555555)</f>
        <v>0.3555555556</v>
      </c>
    </row>
    <row r="9750">
      <c r="A9750" s="10" t="s">
        <v>11189</v>
      </c>
      <c r="B9750" s="7" t="str">
        <f>IFERROR(__xludf.DUMMYFUNCTION("SPLIT(A9750,"" "")"),"Cc1cccc(CN(C)C2C=CNC(CN(C)Cc3nc(C)ccc3C)=C2)n1")</f>
        <v>Cc1cccc(CN(C)C2C=CNC(CN(C)Cc3nc(C)ccc3C)=C2)n1</v>
      </c>
      <c r="C9750" s="7">
        <f>IFERROR(__xludf.DUMMYFUNCTION("""COMPUTED_VALUE"""),7.768268)</f>
        <v>7.768268</v>
      </c>
      <c r="D9750" s="7">
        <f>IFERROR(__xludf.DUMMYFUNCTION("""COMPUTED_VALUE"""),0.410714285714285)</f>
        <v>0.4107142857</v>
      </c>
    </row>
    <row r="9751">
      <c r="A9751" s="10" t="s">
        <v>11190</v>
      </c>
      <c r="B9751" s="7" t="str">
        <f>IFERROR(__xludf.DUMMYFUNCTION("SPLIT(A9751,"" "")"),"Cc1cccnc1CN(Cc1cccc(-c2cccc(N=Cc3ccccn3)c2)n1)Cc1cccc(-c2ccc3c(c2)OCCOCCOCCOCCOCCO3)n1")</f>
        <v>Cc1cccnc1CN(Cc1cccc(-c2cccc(N=Cc3ccccn3)c2)n1)Cc1cccc(-c2ccc3c(c2)OCCOCCOCCOCCOCCO3)n1</v>
      </c>
      <c r="C9751" s="7">
        <f>IFERROR(__xludf.DUMMYFUNCTION("""COMPUTED_VALUE"""),7.768267)</f>
        <v>7.768267</v>
      </c>
      <c r="D9751" s="7">
        <f>IFERROR(__xludf.DUMMYFUNCTION("""COMPUTED_VALUE"""),0.384615384615384)</f>
        <v>0.3846153846</v>
      </c>
    </row>
    <row r="9752">
      <c r="A9752" s="10" t="s">
        <v>11191</v>
      </c>
      <c r="B9752" s="7" t="str">
        <f>IFERROR(__xludf.DUMMYFUNCTION("SPLIT(A9752,"" "")"),"CC1=CC(C)(c2cccc(CN(Cc3ccccn3)C3CCC(N(C)c4ccc5nc(CN(C)C)ccc5c4)CC3)n2)CCC1C")</f>
        <v>CC1=CC(C)(c2cccc(CN(Cc3ccccn3)C3CCC(N(C)c4ccc5nc(CN(C)C)ccc5c4)CC3)n2)CCC1C</v>
      </c>
      <c r="C9752" s="7">
        <f>IFERROR(__xludf.DUMMYFUNCTION("""COMPUTED_VALUE"""),7.7682605)</f>
        <v>7.7682605</v>
      </c>
      <c r="D9752" s="7">
        <f>IFERROR(__xludf.DUMMYFUNCTION("""COMPUTED_VALUE"""),0.333333333333333)</f>
        <v>0.3333333333</v>
      </c>
    </row>
    <row r="9753">
      <c r="A9753" s="10" t="s">
        <v>11192</v>
      </c>
      <c r="B9753" s="7" t="str">
        <f>IFERROR(__xludf.DUMMYFUNCTION("SPLIT(A9753,"" "")"),"CN(Cc1cccc(F)n1)Cc1cccc(C(C)(C)C)n1")</f>
        <v>CN(Cc1cccc(F)n1)Cc1cccc(C(C)(C)C)n1</v>
      </c>
      <c r="C9753" s="7">
        <f>IFERROR(__xludf.DUMMYFUNCTION("""COMPUTED_VALUE"""),7.768257)</f>
        <v>7.768257</v>
      </c>
      <c r="D9753" s="7">
        <f>IFERROR(__xludf.DUMMYFUNCTION("""COMPUTED_VALUE"""),0.435897435897435)</f>
        <v>0.4358974359</v>
      </c>
    </row>
    <row r="9754">
      <c r="A9754" s="10" t="s">
        <v>11193</v>
      </c>
      <c r="B9754" s="7" t="str">
        <f>IFERROR(__xludf.DUMMYFUNCTION("SPLIT(A9754,"" "")"),"CCNC1CC(N(Cc2nc(C)c(C)cc2C)Cc2nc(C)c(C)cc2C)CC(N(Cc2nc(C)c(C)cc2C)Cc2nc(C)c(C)cc2C)C1")</f>
        <v>CCNC1CC(N(Cc2nc(C)c(C)cc2C)Cc2nc(C)c(C)cc2C)CC(N(Cc2nc(C)c(C)cc2C)Cc2nc(C)c(C)cc2C)C1</v>
      </c>
      <c r="C9754" s="7">
        <f>IFERROR(__xludf.DUMMYFUNCTION("""COMPUTED_VALUE"""),7.7682567)</f>
        <v>7.7682567</v>
      </c>
      <c r="D9754" s="7">
        <f>IFERROR(__xludf.DUMMYFUNCTION("""COMPUTED_VALUE"""),0.19298245614035)</f>
        <v>0.1929824561</v>
      </c>
    </row>
    <row r="9755">
      <c r="A9755" s="10" t="s">
        <v>11194</v>
      </c>
      <c r="B9755" s="7" t="str">
        <f>IFERROR(__xludf.DUMMYFUNCTION("SPLIT(A9755,"" "")"),"Cc1ccnc(CN(C)C2C=CNC(CN(C)Cc3cnc(C)c(C)c3)=C2)c1")</f>
        <v>Cc1ccnc(CN(C)C2C=CNC(CN(C)Cc3cnc(C)c(C)c3)=C2)c1</v>
      </c>
      <c r="C9755" s="7">
        <f>IFERROR(__xludf.DUMMYFUNCTION("""COMPUTED_VALUE"""),7.7682543)</f>
        <v>7.7682543</v>
      </c>
      <c r="D9755" s="7">
        <f>IFERROR(__xludf.DUMMYFUNCTION("""COMPUTED_VALUE"""),0.283582089552238)</f>
        <v>0.2835820896</v>
      </c>
    </row>
    <row r="9756">
      <c r="A9756" s="10" t="s">
        <v>11195</v>
      </c>
      <c r="B9756" s="7" t="str">
        <f>IFERROR(__xludf.DUMMYFUNCTION("SPLIT(A9756,"" "")"),"CC(C)N(C)CC1=C(N(C)C(c2ccccc2)c2ccccn2)CC=CN1")</f>
        <v>CC(C)N(C)CC1=C(N(C)C(c2ccccc2)c2ccccn2)CC=CN1</v>
      </c>
      <c r="C9756" s="7">
        <f>IFERROR(__xludf.DUMMYFUNCTION("""COMPUTED_VALUE"""),7.768254)</f>
        <v>7.768254</v>
      </c>
      <c r="D9756" s="7">
        <f>IFERROR(__xludf.DUMMYFUNCTION("""COMPUTED_VALUE"""),0.421052631578947)</f>
        <v>0.4210526316</v>
      </c>
    </row>
    <row r="9757">
      <c r="A9757" s="10" t="s">
        <v>11196</v>
      </c>
      <c r="B9757" s="7" t="str">
        <f>IFERROR(__xludf.DUMMYFUNCTION("SPLIT(A9757,"" "")"),"COC(C)c1ncccc1CN(Cc1ccccn1)Cc1ccc(C(C)(C)C)cn1")</f>
        <v>COC(C)c1ncccc1CN(Cc1ccccn1)Cc1ccc(C(C)(C)C)cn1</v>
      </c>
      <c r="C9757" s="7">
        <f>IFERROR(__xludf.DUMMYFUNCTION("""COMPUTED_VALUE"""),7.7682533)</f>
        <v>7.7682533</v>
      </c>
      <c r="D9757" s="7">
        <f>IFERROR(__xludf.DUMMYFUNCTION("""COMPUTED_VALUE"""),0.416666666666666)</f>
        <v>0.4166666667</v>
      </c>
    </row>
    <row r="9758">
      <c r="A9758" s="10" t="s">
        <v>11197</v>
      </c>
      <c r="B9758" s="7" t="str">
        <f>IFERROR(__xludf.DUMMYFUNCTION("SPLIT(A9758,"" "")"),"CC(C)N(Cc1ccccn1)C1CCC(N(C)c2cccc3nccc(CF)c23)CC1")</f>
        <v>CC(C)N(Cc1ccccn1)C1CCC(N(C)c2cccc3nccc(CF)c23)CC1</v>
      </c>
      <c r="C9758" s="7">
        <f>IFERROR(__xludf.DUMMYFUNCTION("""COMPUTED_VALUE"""),7.76825)</f>
        <v>7.76825</v>
      </c>
      <c r="D9758" s="7">
        <f>IFERROR(__xludf.DUMMYFUNCTION("""COMPUTED_VALUE"""),0.360655737704918)</f>
        <v>0.3606557377</v>
      </c>
    </row>
    <row r="9759">
      <c r="A9759" s="10" t="s">
        <v>11198</v>
      </c>
      <c r="B9759" s="7" t="str">
        <f>IFERROR(__xludf.DUMMYFUNCTION("SPLIT(A9759,"" "")"),"CNCc1cc(CN(Cc2ccccn2)C2CCCCC2N(C)c2ccc3nccc(CF)c3c2)ccn1")</f>
        <v>CNCc1cc(CN(Cc2ccccn2)C2CCCCC2N(C)c2ccc3nccc(CF)c3c2)ccn1</v>
      </c>
      <c r="C9759" s="7">
        <f>IFERROR(__xludf.DUMMYFUNCTION("""COMPUTED_VALUE"""),7.7682424)</f>
        <v>7.7682424</v>
      </c>
      <c r="D9759" s="7">
        <f>IFERROR(__xludf.DUMMYFUNCTION("""COMPUTED_VALUE"""),0.388059701492537)</f>
        <v>0.3880597015</v>
      </c>
    </row>
    <row r="9760">
      <c r="A9760" s="10" t="s">
        <v>11199</v>
      </c>
      <c r="B9760" s="7" t="str">
        <f>IFERROR(__xludf.DUMMYFUNCTION("SPLIT(A9760,"" "")"),"CNCc1ncccc1CN(Cc1ccccn1)C1CCC(N(C)c2ccc3ccc(CF)nc3c2)CC1")</f>
        <v>CNCc1ncccc1CN(Cc1ccccn1)C1CCC(N(C)c2ccc3ccc(CF)nc3c2)CC1</v>
      </c>
      <c r="C9760" s="7">
        <f>IFERROR(__xludf.DUMMYFUNCTION("""COMPUTED_VALUE"""),7.7682276)</f>
        <v>7.7682276</v>
      </c>
      <c r="D9760" s="7">
        <f>IFERROR(__xludf.DUMMYFUNCTION("""COMPUTED_VALUE"""),0.338235294117647)</f>
        <v>0.3382352941</v>
      </c>
    </row>
    <row r="9761">
      <c r="A9761" s="10" t="s">
        <v>11200</v>
      </c>
      <c r="B9761" s="7" t="str">
        <f>IFERROR(__xludf.DUMMYFUNCTION("SPLIT(A9761,"" "")"),"CC(N=Cc1ccccn1)C(=O)c1ccncc1C1CCC1(C)C")</f>
        <v>CC(N=Cc1ccccn1)C(=O)c1ccncc1C1CCC1(C)C</v>
      </c>
      <c r="C9761" s="7">
        <f>IFERROR(__xludf.DUMMYFUNCTION("""COMPUTED_VALUE"""),7.7682247)</f>
        <v>7.7682247</v>
      </c>
      <c r="D9761" s="7">
        <f>IFERROR(__xludf.DUMMYFUNCTION("""COMPUTED_VALUE"""),0.311475409836065)</f>
        <v>0.3114754098</v>
      </c>
    </row>
    <row r="9762">
      <c r="A9762" s="10" t="s">
        <v>11201</v>
      </c>
      <c r="B9762" s="7" t="str">
        <f>IFERROR(__xludf.DUMMYFUNCTION("SPLIT(A9762,"" "")"),"CC1=CC(C)C(c2cccc(CN(Cc3ccccn3)C3CCC(N(C)c4cccc5ccc(CN(C)C)nc45)CC3)n2)C(C)C1")</f>
        <v>CC1=CC(C)C(c2cccc(CN(Cc3ccccn3)C3CCC(N(C)c4cccc5ccc(CN(C)C)nc45)CC3)n2)C(C)C1</v>
      </c>
      <c r="C9762" s="7">
        <f>IFERROR(__xludf.DUMMYFUNCTION("""COMPUTED_VALUE"""),7.768214)</f>
        <v>7.768214</v>
      </c>
      <c r="D9762" s="7">
        <f>IFERROR(__xludf.DUMMYFUNCTION("""COMPUTED_VALUE"""),0.342105263157894)</f>
        <v>0.3421052632</v>
      </c>
    </row>
    <row r="9763">
      <c r="A9763" s="10" t="s">
        <v>11202</v>
      </c>
      <c r="B9763" s="7" t="str">
        <f>IFERROR(__xludf.DUMMYFUNCTION("SPLIT(A9763,"" "")"),"CN(c1ccc2nc(CF)ccc2c1)C1CCCCC1N(Cc1ccccn1)Cc1cccnc1F")</f>
        <v>CN(c1ccc2nc(CF)ccc2c1)C1CCCCC1N(Cc1ccccn1)Cc1cccnc1F</v>
      </c>
      <c r="C9763" s="7">
        <f>IFERROR(__xludf.DUMMYFUNCTION("""COMPUTED_VALUE"""),7.7682123)</f>
        <v>7.7682123</v>
      </c>
      <c r="D9763" s="7">
        <f>IFERROR(__xludf.DUMMYFUNCTION("""COMPUTED_VALUE"""),0.419354838709677)</f>
        <v>0.4193548387</v>
      </c>
    </row>
    <row r="9764">
      <c r="A9764" s="10" t="s">
        <v>11203</v>
      </c>
      <c r="B9764" s="7" t="str">
        <f>IFERROR(__xludf.DUMMYFUNCTION("SPLIT(A9764,"" "")"),"CN(Cc1ccccn1)C1CCCC(N(C)c2ccc3ncc(CF)cc3c2)C1")</f>
        <v>CN(Cc1ccccn1)C1CCCC(N(C)c2ccc3ncc(CF)cc3c2)C1</v>
      </c>
      <c r="C9764" s="7">
        <f>IFERROR(__xludf.DUMMYFUNCTION("""COMPUTED_VALUE"""),7.7682114)</f>
        <v>7.7682114</v>
      </c>
      <c r="D9764" s="7">
        <f>IFERROR(__xludf.DUMMYFUNCTION("""COMPUTED_VALUE"""),0.423728813559322)</f>
        <v>0.4237288136</v>
      </c>
    </row>
    <row r="9765">
      <c r="A9765" s="10" t="s">
        <v>11204</v>
      </c>
      <c r="B9765" s="7" t="str">
        <f>IFERROR(__xludf.DUMMYFUNCTION("SPLIT(A9765,"" "")"),"CCCN(Cc1ccccn1)Cc1ncccc1C(C)(C)c1ncccc1CN(Cc1ccccn1)Cc1ccccn1")</f>
        <v>CCCN(Cc1ccccn1)Cc1ncccc1C(C)(C)c1ncccc1CN(Cc1ccccn1)Cc1ccccn1</v>
      </c>
      <c r="C9765" s="7">
        <f>IFERROR(__xludf.DUMMYFUNCTION("""COMPUTED_VALUE"""),7.7682114)</f>
        <v>7.7682114</v>
      </c>
      <c r="D9765" s="7">
        <f>IFERROR(__xludf.DUMMYFUNCTION("""COMPUTED_VALUE"""),0.442307692307692)</f>
        <v>0.4423076923</v>
      </c>
    </row>
    <row r="9766">
      <c r="A9766" s="10" t="s">
        <v>11205</v>
      </c>
      <c r="B9766" s="7" t="str">
        <f>IFERROR(__xludf.DUMMYFUNCTION("SPLIT(A9766,"" "")"),"COC(=O)C(=O)C(C)C(=O)C(C)N=Cc1ccccn1")</f>
        <v>COC(=O)C(=O)C(C)C(=O)C(C)N=Cc1ccccn1</v>
      </c>
      <c r="C9766" s="7">
        <f>IFERROR(__xludf.DUMMYFUNCTION("""COMPUTED_VALUE"""),7.7682037)</f>
        <v>7.7682037</v>
      </c>
      <c r="D9766" s="7">
        <f>IFERROR(__xludf.DUMMYFUNCTION("""COMPUTED_VALUE"""),0.339622641509433)</f>
        <v>0.3396226415</v>
      </c>
    </row>
    <row r="9767">
      <c r="A9767" s="10" t="s">
        <v>11206</v>
      </c>
      <c r="B9767" s="7" t="str">
        <f>IFERROR(__xludf.DUMMYFUNCTION("SPLIT(A9767,"" "")"),"CC1=CC(C)C(C)C2(C1)CC(c1ncccc1CN(Cc1ccccn1)Cc1ccccn1)C=C(c1ncccc1CN(Cc1ccccn1)Cc1ccccn1)C21CC(C)=C(C)C(C)C1")</f>
        <v>CC1=CC(C)C(C)C2(C1)CC(c1ncccc1CN(Cc1ccccn1)Cc1ccccn1)C=C(c1ncccc1CN(Cc1ccccn1)Cc1ccccn1)C21CC(C)=C(C)C(C)C1</v>
      </c>
      <c r="C9767" s="7">
        <f>IFERROR(__xludf.DUMMYFUNCTION("""COMPUTED_VALUE"""),7.7681956)</f>
        <v>7.7681956</v>
      </c>
      <c r="D9767" s="7">
        <f>IFERROR(__xludf.DUMMYFUNCTION("""COMPUTED_VALUE"""),0.298507462686567)</f>
        <v>0.2985074627</v>
      </c>
    </row>
    <row r="9768">
      <c r="A9768" s="10" t="s">
        <v>11207</v>
      </c>
      <c r="B9768" s="7" t="str">
        <f>IFERROR(__xludf.DUMMYFUNCTION("SPLIT(A9768,"" "")"),"CNCc1cccc(CN(Cc2ccccn2)C2CCC(N(C)c3ccc4cc(CF)cnc4c3)CC2)n1")</f>
        <v>CNCc1cccc(CN(Cc2ccccn2)C2CCC(N(C)c3ccc4cc(CF)cnc4c3)CC2)n1</v>
      </c>
      <c r="C9768" s="7">
        <f>IFERROR(__xludf.DUMMYFUNCTION("""COMPUTED_VALUE"""),7.7681894)</f>
        <v>7.7681894</v>
      </c>
      <c r="D9768" s="7">
        <f>IFERROR(__xludf.DUMMYFUNCTION("""COMPUTED_VALUE"""),0.338235294117647)</f>
        <v>0.3382352941</v>
      </c>
    </row>
    <row r="9769">
      <c r="A9769" s="10" t="s">
        <v>11208</v>
      </c>
      <c r="B9769" s="7" t="str">
        <f>IFERROR(__xludf.DUMMYFUNCTION("SPLIT(A9769,"" "")"),"CNCc1ncccc1CN(Cc1ccccn1)C1CCC(N(C)c2ccc3ncccc3c2)CC1")</f>
        <v>CNCc1ncccc1CN(Cc1ccccn1)C1CCC(N(C)c2ccc3ncccc3c2)CC1</v>
      </c>
      <c r="C9769" s="7">
        <f>IFERROR(__xludf.DUMMYFUNCTION("""COMPUTED_VALUE"""),7.7681875)</f>
        <v>7.7681875</v>
      </c>
      <c r="D9769" s="7">
        <f>IFERROR(__xludf.DUMMYFUNCTION("""COMPUTED_VALUE"""),0.34375)</f>
        <v>0.34375</v>
      </c>
    </row>
    <row r="9770">
      <c r="A9770" s="10" t="s">
        <v>11209</v>
      </c>
      <c r="B9770" s="7" t="str">
        <f>IFERROR(__xludf.DUMMYFUNCTION("SPLIT(A9770,"" "")"),"CCCN(Cc1ccccn1)C1=C(CN(C)Cc2nccc(C)c2C)CC=CN1")</f>
        <v>CCCN(Cc1ccccn1)C1=C(CN(C)Cc2nccc(C)c2C)CC=CN1</v>
      </c>
      <c r="C9770" s="7">
        <f>IFERROR(__xludf.DUMMYFUNCTION("""COMPUTED_VALUE"""),7.768187)</f>
        <v>7.768187</v>
      </c>
      <c r="D9770" s="7">
        <f>IFERROR(__xludf.DUMMYFUNCTION("""COMPUTED_VALUE"""),0.343283582089552)</f>
        <v>0.3432835821</v>
      </c>
    </row>
    <row r="9771">
      <c r="A9771" s="10" t="s">
        <v>11210</v>
      </c>
      <c r="B9771" s="7" t="str">
        <f>IFERROR(__xludf.DUMMYFUNCTION("SPLIT(A9771,"" "")"),"CCN(CC1=CCC(N(C)Cc2ccccn2)=CN1)Cc1cccnc1")</f>
        <v>CCN(CC1=CCC(N(C)Cc2ccccn2)=CN1)Cc1cccnc1</v>
      </c>
      <c r="C9771" s="7">
        <f>IFERROR(__xludf.DUMMYFUNCTION("""COMPUTED_VALUE"""),7.7681866)</f>
        <v>7.7681866</v>
      </c>
      <c r="D9771" s="7">
        <f>IFERROR(__xludf.DUMMYFUNCTION("""COMPUTED_VALUE"""),0.403225806451612)</f>
        <v>0.4032258065</v>
      </c>
    </row>
    <row r="9772">
      <c r="A9772" s="10" t="s">
        <v>11211</v>
      </c>
      <c r="B9772" s="7" t="str">
        <f>IFERROR(__xludf.DUMMYFUNCTION("SPLIT(A9772,"" "")"),"CCN(CCN(C)Cc1ccc2ncccc2c1)Cc1ccccn1")</f>
        <v>CCN(CCN(C)Cc1ccc2ncccc2c1)Cc1ccccn1</v>
      </c>
      <c r="C9772" s="7">
        <f>IFERROR(__xludf.DUMMYFUNCTION("""COMPUTED_VALUE"""),7.768185)</f>
        <v>7.768185</v>
      </c>
      <c r="D9772" s="7">
        <f>IFERROR(__xludf.DUMMYFUNCTION("""COMPUTED_VALUE"""),0.5)</f>
        <v>0.5</v>
      </c>
    </row>
    <row r="9773">
      <c r="A9773" s="10" t="s">
        <v>11212</v>
      </c>
      <c r="B9773" s="7" t="str">
        <f>IFERROR(__xludf.DUMMYFUNCTION("SPLIT(A9773,"" "")"),"CC(C)C1(C)N=COC1c1ncccc1CN(Cc1ccccn1)Cc1ncccc1C(C)(C)C")</f>
        <v>CC(C)C1(C)N=COC1c1ncccc1CN(Cc1ccccn1)Cc1ncccc1C(C)(C)C</v>
      </c>
      <c r="C9773" s="7">
        <f>IFERROR(__xludf.DUMMYFUNCTION("""COMPUTED_VALUE"""),7.7681746)</f>
        <v>7.7681746</v>
      </c>
      <c r="D9773" s="7">
        <f>IFERROR(__xludf.DUMMYFUNCTION("""COMPUTED_VALUE"""),0.344827586206896)</f>
        <v>0.3448275862</v>
      </c>
    </row>
    <row r="9774">
      <c r="A9774" s="10" t="s">
        <v>11213</v>
      </c>
      <c r="B9774" s="7" t="str">
        <f>IFERROR(__xludf.DUMMYFUNCTION("SPLIT(A9774,"" "")"),"CNC1NC=CC=C1N(C)Cc1cccnn1")</f>
        <v>CNC1NC=CC=C1N(C)Cc1cccnn1</v>
      </c>
      <c r="C9774" s="7">
        <f>IFERROR(__xludf.DUMMYFUNCTION("""COMPUTED_VALUE"""),7.7681746)</f>
        <v>7.7681746</v>
      </c>
      <c r="D9774" s="7">
        <f>IFERROR(__xludf.DUMMYFUNCTION("""COMPUTED_VALUE"""),0.434782608695652)</f>
        <v>0.4347826087</v>
      </c>
    </row>
    <row r="9775">
      <c r="A9775" s="10" t="s">
        <v>11214</v>
      </c>
      <c r="B9775" s="7" t="str">
        <f>IFERROR(__xludf.DUMMYFUNCTION("SPLIT(A9775,"" "")"),"Cc1cccc(CN(C)C2C=CNC(CN(C)Cc3ccon3)=C2)n1")</f>
        <v>Cc1cccc(CN(C)C2C=CNC(CN(C)Cc3ccon3)=C2)n1</v>
      </c>
      <c r="C9775" s="7">
        <f>IFERROR(__xludf.DUMMYFUNCTION("""COMPUTED_VALUE"""),7.7681694)</f>
        <v>7.7681694</v>
      </c>
      <c r="D9775" s="7">
        <f>IFERROR(__xludf.DUMMYFUNCTION("""COMPUTED_VALUE"""),0.415094339622641)</f>
        <v>0.4150943396</v>
      </c>
    </row>
    <row r="9776">
      <c r="A9776" s="10" t="s">
        <v>11215</v>
      </c>
      <c r="B9776" s="7" t="str">
        <f>IFERROR(__xludf.DUMMYFUNCTION("SPLIT(A9776,"" "")"),"CC1=CC(C)(c2cc(CN(Cc3ccccn3)C3CCC(N(C)c4ccc5nccc(CF)c5c4)CC3)ccn2)CC(C)C1C")</f>
        <v>CC1=CC(C)(c2cc(CN(Cc3ccccn3)C3CCC(N(C)c4ccc5nccc(CF)c5c4)CC3)ccn2)CC(C)C1C</v>
      </c>
      <c r="C9776" s="7">
        <f>IFERROR(__xludf.DUMMYFUNCTION("""COMPUTED_VALUE"""),7.7681627)</f>
        <v>7.7681627</v>
      </c>
      <c r="D9776" s="7">
        <f>IFERROR(__xludf.DUMMYFUNCTION("""COMPUTED_VALUE"""),0.268292682926829)</f>
        <v>0.2682926829</v>
      </c>
    </row>
    <row r="9777">
      <c r="A9777" s="10" t="s">
        <v>11216</v>
      </c>
      <c r="B9777" s="7" t="str">
        <f>IFERROR(__xludf.DUMMYFUNCTION("SPLIT(A9777,"" "")"),"CC(C)(c1ccccn1)c1cccc(CN(Cc2ccc(C3CCC3(C)C)nc2)Cc2ccccn2)n1")</f>
        <v>CC(C)(c1ccccn1)c1cccc(CN(Cc2ccc(C3CCC3(C)C)nc2)Cc2ccccn2)n1</v>
      </c>
      <c r="C9777" s="7">
        <f>IFERROR(__xludf.DUMMYFUNCTION("""COMPUTED_VALUE"""),7.768162)</f>
        <v>7.768162</v>
      </c>
      <c r="D9777" s="7">
        <f>IFERROR(__xludf.DUMMYFUNCTION("""COMPUTED_VALUE"""),0.359375)</f>
        <v>0.359375</v>
      </c>
    </row>
    <row r="9778">
      <c r="A9778" s="10" t="s">
        <v>11217</v>
      </c>
      <c r="B9778" s="7" t="str">
        <f>IFERROR(__xludf.DUMMYFUNCTION("SPLIT(A9778,"" "")"),"Cc1ccc(CN(C)CC2=CC(N(C)Cc3nccc(C)c3C)C=CN2)nc1")</f>
        <v>Cc1ccc(CN(C)CC2=CC(N(C)Cc3nccc(C)c3C)C=CN2)nc1</v>
      </c>
      <c r="C9778" s="7">
        <f>IFERROR(__xludf.DUMMYFUNCTION("""COMPUTED_VALUE"""),7.768159)</f>
        <v>7.768159</v>
      </c>
      <c r="D9778" s="7">
        <f>IFERROR(__xludf.DUMMYFUNCTION("""COMPUTED_VALUE"""),0.407407407407407)</f>
        <v>0.4074074074</v>
      </c>
    </row>
    <row r="9779">
      <c r="A9779" s="10" t="s">
        <v>11218</v>
      </c>
      <c r="B9779" s="7" t="str">
        <f>IFERROR(__xludf.DUMMYFUNCTION("SPLIT(A9779,"" "")"),"Cc1ncccc1CN(C)Cc1ncccc1C(C)(C)C")</f>
        <v>Cc1ncccc1CN(C)Cc1ncccc1C(C)(C)C</v>
      </c>
      <c r="C9779" s="7">
        <f>IFERROR(__xludf.DUMMYFUNCTION("""COMPUTED_VALUE"""),7.768158)</f>
        <v>7.768158</v>
      </c>
      <c r="D9779" s="7">
        <f>IFERROR(__xludf.DUMMYFUNCTION("""COMPUTED_VALUE"""),0.391304347826087)</f>
        <v>0.3913043478</v>
      </c>
    </row>
    <row r="9780">
      <c r="A9780" s="10" t="s">
        <v>11219</v>
      </c>
      <c r="B9780" s="7" t="str">
        <f>IFERROR(__xludf.DUMMYFUNCTION("SPLIT(A9780,"" "")"),"Cc1ccc(CNCc2cccc(C(C)(C)C)n2)c(C)c1")</f>
        <v>Cc1ccc(CNCc2cccc(C(C)(C)C)n2)c(C)c1</v>
      </c>
      <c r="C9780" s="7">
        <f>IFERROR(__xludf.DUMMYFUNCTION("""COMPUTED_VALUE"""),7.7681527)</f>
        <v>7.7681527</v>
      </c>
      <c r="D9780" s="7">
        <f>IFERROR(__xludf.DUMMYFUNCTION("""COMPUTED_VALUE"""),0.260869565217391)</f>
        <v>0.2608695652</v>
      </c>
    </row>
    <row r="9781">
      <c r="A9781" s="10" t="s">
        <v>11220</v>
      </c>
      <c r="B9781" s="7" t="str">
        <f>IFERROR(__xludf.DUMMYFUNCTION("SPLIT(A9781,"" "")"),"Cc1cc(C)nc(CN(C)C2CCCC(N(C)CN(C)c3ccc4cccnc4c3)C2)c1")</f>
        <v>Cc1cc(C)nc(CN(C)C2CCCC(N(C)CN(C)c3ccc4cccnc4c3)C2)c1</v>
      </c>
      <c r="C9781" s="7">
        <f>IFERROR(__xludf.DUMMYFUNCTION("""COMPUTED_VALUE"""),7.768149)</f>
        <v>7.768149</v>
      </c>
      <c r="D9781" s="7">
        <f>IFERROR(__xludf.DUMMYFUNCTION("""COMPUTED_VALUE"""),0.333333333333333)</f>
        <v>0.3333333333</v>
      </c>
    </row>
    <row r="9782">
      <c r="A9782" s="10" t="s">
        <v>11221</v>
      </c>
      <c r="B9782" s="7" t="str">
        <f>IFERROR(__xludf.DUMMYFUNCTION("SPLIT(A9782,"" "")"),"Cc1cc(CN(C)C2CCCCC2N(C)Cc2cncc(-c3cccc(N(C)C)c3)c2)nc(C)c1C")</f>
        <v>Cc1cc(CN(C)C2CCCCC2N(C)Cc2cncc(-c3cccc(N(C)C)c3)c2)nc(C)c1C</v>
      </c>
      <c r="C9782" s="7">
        <f>IFERROR(__xludf.DUMMYFUNCTION("""COMPUTED_VALUE"""),7.7681437)</f>
        <v>7.7681437</v>
      </c>
      <c r="D9782" s="7">
        <f>IFERROR(__xludf.DUMMYFUNCTION("""COMPUTED_VALUE"""),0.416666666666666)</f>
        <v>0.4166666667</v>
      </c>
    </row>
    <row r="9783">
      <c r="A9783" s="10" t="s">
        <v>11222</v>
      </c>
      <c r="B9783" s="7" t="str">
        <f>IFERROR(__xludf.DUMMYFUNCTION("SPLIT(A9783,"" "")"),"CCCN(Cc1ccccn1)Cc1ccccc1N=Cc1ccccn1")</f>
        <v>CCCN(Cc1ccccn1)Cc1ccccc1N=Cc1ccccn1</v>
      </c>
      <c r="C9783" s="7">
        <f>IFERROR(__xludf.DUMMYFUNCTION("""COMPUTED_VALUE"""),7.7681437)</f>
        <v>7.7681437</v>
      </c>
      <c r="D9783" s="7">
        <f>IFERROR(__xludf.DUMMYFUNCTION("""COMPUTED_VALUE"""),0.468085106382978)</f>
        <v>0.4680851064</v>
      </c>
    </row>
    <row r="9784">
      <c r="A9784" s="10" t="s">
        <v>11223</v>
      </c>
      <c r="B9784" s="7" t="str">
        <f>IFERROR(__xludf.DUMMYFUNCTION("SPLIT(A9784,"" "")"),"CC1C=CC(C)(c2cc(CN(Cc3ccccn3)C3CCC(N(C)c4ccc5nccc(CN(C)C)c5c4)CC3)ccn2)CC1C")</f>
        <v>CC1C=CC(C)(c2cc(CN(Cc3ccccn3)C3CCC(N(C)c4ccc5nccc(CN(C)C)c5c4)CC3)ccn2)CC1C</v>
      </c>
      <c r="C9784" s="7">
        <f>IFERROR(__xludf.DUMMYFUNCTION("""COMPUTED_VALUE"""),7.7681417)</f>
        <v>7.7681417</v>
      </c>
      <c r="D9784" s="7">
        <f>IFERROR(__xludf.DUMMYFUNCTION("""COMPUTED_VALUE"""),0.282051282051282)</f>
        <v>0.2820512821</v>
      </c>
    </row>
    <row r="9785">
      <c r="A9785" s="10" t="s">
        <v>11224</v>
      </c>
      <c r="B9785" s="7" t="str">
        <f>IFERROR(__xludf.DUMMYFUNCTION("SPLIT(A9785,"" "")"),"Cc1cc(CN(C)C2CCCCC2N(C)c2ccc3ccc(CF)nc3c2)ccn1")</f>
        <v>Cc1cc(CN(C)C2CCCCC2N(C)c2ccc3ccc(CF)nc3c2)ccn1</v>
      </c>
      <c r="C9785" s="7">
        <f>IFERROR(__xludf.DUMMYFUNCTION("""COMPUTED_VALUE"""),7.768139)</f>
        <v>7.768139</v>
      </c>
      <c r="D9785" s="7">
        <f>IFERROR(__xludf.DUMMYFUNCTION("""COMPUTED_VALUE"""),0.442622950819672)</f>
        <v>0.4426229508</v>
      </c>
    </row>
    <row r="9786">
      <c r="A9786" s="10" t="s">
        <v>11225</v>
      </c>
      <c r="B9786" s="7" t="str">
        <f>IFERROR(__xludf.DUMMYFUNCTION("SPLIT(A9786,"" "")"),"CCNC1CC(N(C)Cc2ccccn2)C(N(Cc2ccccn2)Cc2ncccc2F)C(N(C)c2cccc3cccnc23)C1")</f>
        <v>CCNC1CC(N(C)Cc2ccccn2)C(N(Cc2ccccn2)Cc2ncccc2F)C(N(C)c2cccc3cccnc23)C1</v>
      </c>
      <c r="C9786" s="7">
        <f>IFERROR(__xludf.DUMMYFUNCTION("""COMPUTED_VALUE"""),7.7681155)</f>
        <v>7.7681155</v>
      </c>
      <c r="D9786" s="7">
        <f>IFERROR(__xludf.DUMMYFUNCTION("""COMPUTED_VALUE"""),0.397058823529411)</f>
        <v>0.3970588235</v>
      </c>
    </row>
    <row r="9787">
      <c r="A9787" s="10" t="s">
        <v>11226</v>
      </c>
      <c r="B9787" s="7" t="str">
        <f>IFERROR(__xludf.DUMMYFUNCTION("SPLIT(A9787,"" "")"),"CN(Cc1ccccn1)C1NC=CC=C1NCc1ccccn1")</f>
        <v>CN(Cc1ccccn1)C1NC=CC=C1NCc1ccccn1</v>
      </c>
      <c r="C9787" s="7">
        <f>IFERROR(__xludf.DUMMYFUNCTION("""COMPUTED_VALUE"""),7.768114)</f>
        <v>7.768114</v>
      </c>
      <c r="D9787" s="7">
        <f>IFERROR(__xludf.DUMMYFUNCTION("""COMPUTED_VALUE"""),0.44)</f>
        <v>0.44</v>
      </c>
    </row>
    <row r="9788">
      <c r="A9788" s="10" t="s">
        <v>11227</v>
      </c>
      <c r="B9788" s="7" t="str">
        <f>IFERROR(__xludf.DUMMYFUNCTION("SPLIT(A9788,"" "")"),"CC1=CC(C)CC(C)(c2cccc(CN(Cc3ccccn3)C3CCC(N(C)c4ccc5nc(CN(C)C)ccc5c4)CC3)n2)C1C")</f>
        <v>CC1=CC(C)CC(C)(c2cccc(CN(Cc3ccccn3)C3CCC(N(C)c4ccc5nc(CN(C)C)ccc5c4)CC3)n2)C1C</v>
      </c>
      <c r="C9788" s="7">
        <f>IFERROR(__xludf.DUMMYFUNCTION("""COMPUTED_VALUE"""),7.7681026)</f>
        <v>7.7681026</v>
      </c>
      <c r="D9788" s="7">
        <f>IFERROR(__xludf.DUMMYFUNCTION("""COMPUTED_VALUE"""),0.324324324324324)</f>
        <v>0.3243243243</v>
      </c>
    </row>
    <row r="9789">
      <c r="A9789" s="10" t="s">
        <v>11228</v>
      </c>
      <c r="B9789" s="7" t="str">
        <f>IFERROR(__xludf.DUMMYFUNCTION("SPLIT(A9789,"" "")"),"CN(Cc1cccnn1)C1CCC(N(C)c2ccc3ncc(CF)cc3c2)CC1")</f>
        <v>CN(Cc1cccnn1)C1CCC(N(C)c2ccc3ncc(CF)cc3c2)CC1</v>
      </c>
      <c r="C9789" s="7">
        <f>IFERROR(__xludf.DUMMYFUNCTION("""COMPUTED_VALUE"""),7.7681026)</f>
        <v>7.7681026</v>
      </c>
      <c r="D9789" s="7">
        <f>IFERROR(__xludf.DUMMYFUNCTION("""COMPUTED_VALUE"""),0.368421052631578)</f>
        <v>0.3684210526</v>
      </c>
    </row>
    <row r="9790">
      <c r="A9790" s="10" t="s">
        <v>11229</v>
      </c>
      <c r="B9790" s="7" t="str">
        <f>IFERROR(__xludf.DUMMYFUNCTION("SPLIT(A9790,"" "")"),"COC(=O)C(=O)C(C)C(C)NCc1cccc(CNCc2cc(C(C)(c3ccccn3)C(C)C)c(C)c(C)n2)n1")</f>
        <v>COC(=O)C(=O)C(C)C(C)NCc1cccc(CNCc2cc(C(C)(c3ccccn3)C(C)C)c(C)c(C)n2)n1</v>
      </c>
      <c r="C9790" s="7">
        <f>IFERROR(__xludf.DUMMYFUNCTION("""COMPUTED_VALUE"""),7.768102)</f>
        <v>7.768102</v>
      </c>
      <c r="D9790" s="7">
        <f>IFERROR(__xludf.DUMMYFUNCTION("""COMPUTED_VALUE"""),0.25)</f>
        <v>0.25</v>
      </c>
    </row>
    <row r="9791">
      <c r="A9791" s="10" t="s">
        <v>11230</v>
      </c>
      <c r="B9791" s="7" t="str">
        <f>IFERROR(__xludf.DUMMYFUNCTION("SPLIT(A9791,"" "")"),"COC(C)c1cc(CN(Cc2ccccn2)Cc2cc(C(C)(C)C)ccn2)ccn1")</f>
        <v>COC(C)c1cc(CN(Cc2ccccn2)Cc2cc(C(C)(C)C)ccn2)ccn1</v>
      </c>
      <c r="C9791" s="7">
        <f>IFERROR(__xludf.DUMMYFUNCTION("""COMPUTED_VALUE"""),7.768102)</f>
        <v>7.768102</v>
      </c>
      <c r="D9791" s="7">
        <f>IFERROR(__xludf.DUMMYFUNCTION("""COMPUTED_VALUE"""),0.416666666666666)</f>
        <v>0.4166666667</v>
      </c>
    </row>
    <row r="9792">
      <c r="A9792" s="10" t="s">
        <v>11231</v>
      </c>
      <c r="B9792" s="7" t="str">
        <f>IFERROR(__xludf.DUMMYFUNCTION("SPLIT(A9792,"" "")"),"CN(c1ccc2nc(CF)ccc2c1)C1CCC(N(Cc2ccccn2)Cc2cccc(CF)n2)CC1")</f>
        <v>CN(c1ccc2nc(CF)ccc2c1)C1CCC(N(Cc2ccccn2)Cc2cccc(CF)n2)CC1</v>
      </c>
      <c r="C9792" s="7">
        <f>IFERROR(__xludf.DUMMYFUNCTION("""COMPUTED_VALUE"""),7.7681017)</f>
        <v>7.7681017</v>
      </c>
      <c r="D9792" s="7">
        <f>IFERROR(__xludf.DUMMYFUNCTION("""COMPUTED_VALUE"""),0.421052631578947)</f>
        <v>0.4210526316</v>
      </c>
    </row>
    <row r="9793">
      <c r="A9793" s="10" t="s">
        <v>11232</v>
      </c>
      <c r="B9793" s="7" t="str">
        <f>IFERROR(__xludf.DUMMYFUNCTION("SPLIT(A9793,"" "")"),"CC(C)C(C)(c1cccnc1)c1cccc(CN(Cc2ccccn2)Cc2ccccn2)n1")</f>
        <v>CC(C)C(C)(c1cccnc1)c1cccc(CN(Cc2ccccn2)Cc2ccccn2)n1</v>
      </c>
      <c r="C9793" s="7">
        <f>IFERROR(__xludf.DUMMYFUNCTION("""COMPUTED_VALUE"""),7.768098)</f>
        <v>7.768098</v>
      </c>
      <c r="D9793" s="7">
        <f>IFERROR(__xludf.DUMMYFUNCTION("""COMPUTED_VALUE"""),0.444444444444444)</f>
        <v>0.4444444444</v>
      </c>
    </row>
    <row r="9794">
      <c r="A9794" s="10" t="s">
        <v>11233</v>
      </c>
      <c r="B9794" s="7" t="str">
        <f>IFERROR(__xludf.DUMMYFUNCTION("SPLIT(A9794,"" "")"),"Cc1nc(CN(C)C2=CNC(CN(C)C(C)C(C)C)=CC2)c(C)c(C)c1C")</f>
        <v>Cc1nc(CN(C)C2=CNC(CN(C)C(C)C(C)C)=CC2)c(C)c(C)c1C</v>
      </c>
      <c r="C9794" s="7">
        <f>IFERROR(__xludf.DUMMYFUNCTION("""COMPUTED_VALUE"""),7.768098)</f>
        <v>7.768098</v>
      </c>
      <c r="D9794" s="7">
        <f>IFERROR(__xludf.DUMMYFUNCTION("""COMPUTED_VALUE"""),0.17910447761194)</f>
        <v>0.1791044776</v>
      </c>
    </row>
    <row r="9795">
      <c r="A9795" s="10" t="s">
        <v>11234</v>
      </c>
      <c r="B9795" s="7" t="str">
        <f>IFERROR(__xludf.DUMMYFUNCTION("SPLIT(A9795,"" "")"),"Cc1ccnc(CN(C)C2C=CNC(CN(C)Cc3cccnc3C)=C2)c1C")</f>
        <v>Cc1ccnc(CN(C)C2C=CNC(CN(C)Cc3cccnc3C)=C2)c1C</v>
      </c>
      <c r="C9795" s="7">
        <f>IFERROR(__xludf.DUMMYFUNCTION("""COMPUTED_VALUE"""),7.768095)</f>
        <v>7.768095</v>
      </c>
      <c r="D9795" s="7">
        <f>IFERROR(__xludf.DUMMYFUNCTION("""COMPUTED_VALUE"""),0.290322580645161)</f>
        <v>0.2903225806</v>
      </c>
    </row>
    <row r="9796">
      <c r="A9796" s="10" t="s">
        <v>11235</v>
      </c>
      <c r="B9796" s="7" t="str">
        <f>IFERROR(__xludf.DUMMYFUNCTION("SPLIT(A9796,"" "")"),"Cc1ncccc1CN(C)C1CCCCC1N(C)c1ccc2cccnc2c1")</f>
        <v>Cc1ncccc1CN(C)C1CCCCC1N(C)c1ccc2cccnc2c1</v>
      </c>
      <c r="C9796" s="7">
        <f>IFERROR(__xludf.DUMMYFUNCTION("""COMPUTED_VALUE"""),7.768093)</f>
        <v>7.768093</v>
      </c>
      <c r="D9796" s="7">
        <f>IFERROR(__xludf.DUMMYFUNCTION("""COMPUTED_VALUE"""),0.436363636363636)</f>
        <v>0.4363636364</v>
      </c>
    </row>
    <row r="9797">
      <c r="A9797" s="10" t="s">
        <v>11236</v>
      </c>
      <c r="B9797" s="7" t="str">
        <f>IFERROR(__xludf.DUMMYFUNCTION("SPLIT(A9797,"" "")"),"CN(CC1=CC2NC=CC=C2C=C1)Cc1ccccn1")</f>
        <v>CN(CC1=CC2NC=CC=C2C=C1)Cc1ccccn1</v>
      </c>
      <c r="C9797" s="7">
        <f>IFERROR(__xludf.DUMMYFUNCTION("""COMPUTED_VALUE"""),7.7680907)</f>
        <v>7.7680907</v>
      </c>
      <c r="D9797" s="7">
        <f>IFERROR(__xludf.DUMMYFUNCTION("""COMPUTED_VALUE"""),0.415094339622641)</f>
        <v>0.4150943396</v>
      </c>
    </row>
    <row r="9798">
      <c r="A9798" s="10" t="s">
        <v>11237</v>
      </c>
      <c r="B9798" s="7" t="str">
        <f>IFERROR(__xludf.DUMMYFUNCTION("SPLIT(A9798,"" "")"),"Cc1cccc(CN(CC2=CC(N(C)Cc3nc(C)c(C)c(C)c3C)C=CN2)C(C)C)n1")</f>
        <v>Cc1cccc(CN(CC2=CC(N(C)Cc3nc(C)c(C)c(C)c3C)C=CN2)C(C)C)n1</v>
      </c>
      <c r="C9798" s="7">
        <f>IFERROR(__xludf.DUMMYFUNCTION("""COMPUTED_VALUE"""),7.768088)</f>
        <v>7.768088</v>
      </c>
      <c r="D9798" s="7">
        <f>IFERROR(__xludf.DUMMYFUNCTION("""COMPUTED_VALUE"""),0.354838709677419)</f>
        <v>0.3548387097</v>
      </c>
    </row>
    <row r="9799">
      <c r="A9799" s="10" t="s">
        <v>11238</v>
      </c>
      <c r="B9799" s="7" t="str">
        <f>IFERROR(__xludf.DUMMYFUNCTION("SPLIT(A9799,"" "")"),"CN(CCN)Cc1cnc2cccc(N(C)CCN(C)C(C)(C)C)c2c1")</f>
        <v>CN(CCN)Cc1cnc2cccc(N(C)CCN(C)C(C)(C)C)c2c1</v>
      </c>
      <c r="C9799" s="7">
        <f>IFERROR(__xludf.DUMMYFUNCTION("""COMPUTED_VALUE"""),7.768083)</f>
        <v>7.768083</v>
      </c>
      <c r="D9799" s="7">
        <f>IFERROR(__xludf.DUMMYFUNCTION("""COMPUTED_VALUE"""),0.327272727272727)</f>
        <v>0.3272727273</v>
      </c>
    </row>
    <row r="9800">
      <c r="A9800" s="10" t="s">
        <v>11239</v>
      </c>
      <c r="B9800" s="7" t="str">
        <f>IFERROR(__xludf.DUMMYFUNCTION("SPLIT(A9800,"" "")"),"CC1COC(c2cccc(CN(C)CCSCc3ccccn3)n2)=N1")</f>
        <v>CC1COC(c2cccc(CN(C)CCSCc3ccccn3)n2)=N1</v>
      </c>
      <c r="C9800" s="7">
        <f>IFERROR(__xludf.DUMMYFUNCTION("""COMPUTED_VALUE"""),7.768082)</f>
        <v>7.768082</v>
      </c>
      <c r="D9800" s="7">
        <f>IFERROR(__xludf.DUMMYFUNCTION("""COMPUTED_VALUE"""),0.456140350877192)</f>
        <v>0.4561403509</v>
      </c>
    </row>
    <row r="9801">
      <c r="A9801" s="10" t="s">
        <v>11240</v>
      </c>
      <c r="B9801" s="7" t="str">
        <f>IFERROR(__xludf.DUMMYFUNCTION("SPLIT(A9801,"" "")"),"Cc1cc(CN2CCN(C)CCN(Cc3cnccc3-c3cccc(N=Cc4ccccn4)c3)CC2)cnc1C")</f>
        <v>Cc1cc(CN2CCN(C)CCN(Cc3cnccc3-c3cccc(N=Cc4ccccn4)c3)CC2)cnc1C</v>
      </c>
      <c r="C9801" s="7">
        <f>IFERROR(__xludf.DUMMYFUNCTION("""COMPUTED_VALUE"""),7.768075)</f>
        <v>7.768075</v>
      </c>
      <c r="D9801" s="7">
        <f>IFERROR(__xludf.DUMMYFUNCTION("""COMPUTED_VALUE"""),0.333333333333333)</f>
        <v>0.3333333333</v>
      </c>
    </row>
    <row r="9802">
      <c r="A9802" s="10" t="s">
        <v>11241</v>
      </c>
      <c r="B9802" s="7" t="str">
        <f>IFERROR(__xludf.DUMMYFUNCTION("SPLIT(A9802,"" "")"),"CNCc1cccc(CN(Cc2ccccn2)C2CCC(N(C)c3cccc4ncccc34)CC2)n1")</f>
        <v>CNCc1cccc(CN(Cc2ccccn2)C2CCC(N(C)c3cccc4ncccc34)CC2)n1</v>
      </c>
      <c r="C9802" s="7">
        <f>IFERROR(__xludf.DUMMYFUNCTION("""COMPUTED_VALUE"""),7.7680683)</f>
        <v>7.7680683</v>
      </c>
      <c r="D9802" s="7">
        <f>IFERROR(__xludf.DUMMYFUNCTION("""COMPUTED_VALUE"""),0.360655737704918)</f>
        <v>0.3606557377</v>
      </c>
    </row>
    <row r="9803">
      <c r="A9803" s="10" t="s">
        <v>11242</v>
      </c>
      <c r="B9803" s="7" t="str">
        <f>IFERROR(__xludf.DUMMYFUNCTION("SPLIT(A9803,"" "")"),"Cc1ccnc(CN(C)C2CCCCC2N(C)c2ccc3ccc(CF)nc3c2)c1")</f>
        <v>Cc1ccnc(CN(C)C2CCCCC2N(C)c2ccc3ccc(CF)nc3c2)c1</v>
      </c>
      <c r="C9803" s="7">
        <f>IFERROR(__xludf.DUMMYFUNCTION("""COMPUTED_VALUE"""),7.7680655)</f>
        <v>7.7680655</v>
      </c>
      <c r="D9803" s="7">
        <f>IFERROR(__xludf.DUMMYFUNCTION("""COMPUTED_VALUE"""),0.45)</f>
        <v>0.45</v>
      </c>
    </row>
    <row r="9804">
      <c r="A9804" s="10" t="s">
        <v>11243</v>
      </c>
      <c r="B9804" s="7" t="str">
        <f>IFERROR(__xludf.DUMMYFUNCTION("SPLIT(A9804,"" "")"),"Cc1cnc(CN(C)C2=CCC=C(CN(C)C(C)C(C)C)N2)c(C)c1C")</f>
        <v>Cc1cnc(CN(C)C2=CCC=C(CN(C)C(C)C(C)C)N2)c(C)c1C</v>
      </c>
      <c r="C9804" s="7">
        <f>IFERROR(__xludf.DUMMYFUNCTION("""COMPUTED_VALUE"""),7.7680564)</f>
        <v>7.7680564</v>
      </c>
      <c r="D9804" s="7">
        <f>IFERROR(__xludf.DUMMYFUNCTION("""COMPUTED_VALUE"""),0.215384615384615)</f>
        <v>0.2153846154</v>
      </c>
    </row>
    <row r="9805">
      <c r="A9805" s="10" t="s">
        <v>11244</v>
      </c>
      <c r="B9805" s="7" t="str">
        <f>IFERROR(__xludf.DUMMYFUNCTION("SPLIT(A9805,"" "")"),"CN(Cc1cccnn1)C1CCC(N(C)c2cccc3ncccc23)CC1")</f>
        <v>CN(Cc1cccnn1)C1CCC(N(C)c2cccc3ncccc23)CC1</v>
      </c>
      <c r="C9805" s="7">
        <f>IFERROR(__xludf.DUMMYFUNCTION("""COMPUTED_VALUE"""),7.7680554)</f>
        <v>7.7680554</v>
      </c>
      <c r="D9805" s="7">
        <f>IFERROR(__xludf.DUMMYFUNCTION("""COMPUTED_VALUE"""),0.4)</f>
        <v>0.4</v>
      </c>
    </row>
    <row r="9806">
      <c r="A9806" s="10" t="s">
        <v>11245</v>
      </c>
      <c r="B9806" s="7" t="str">
        <f>IFERROR(__xludf.DUMMYFUNCTION("SPLIT(A9806,"" "")"),"Cc1cnc(C)c(CN(C)Cc2ccccn2)c1")</f>
        <v>Cc1cnc(C)c(CN(C)Cc2ccccn2)c1</v>
      </c>
      <c r="C9806" s="7">
        <f>IFERROR(__xludf.DUMMYFUNCTION("""COMPUTED_VALUE"""),7.768051)</f>
        <v>7.768051</v>
      </c>
      <c r="D9806" s="7">
        <f>IFERROR(__xludf.DUMMYFUNCTION("""COMPUTED_VALUE"""),0.5)</f>
        <v>0.5</v>
      </c>
    </row>
    <row r="9807">
      <c r="A9807" s="10" t="s">
        <v>11246</v>
      </c>
      <c r="B9807" s="7" t="str">
        <f>IFERROR(__xludf.DUMMYFUNCTION("SPLIT(A9807,"" "")"),"CN(Cc1ccccn1)C1CCC(N(C)c2cccc3ncc(CF)cc23)CC1")</f>
        <v>CN(Cc1ccccn1)C1CCC(N(C)c2cccc3ncc(CF)cc23)CC1</v>
      </c>
      <c r="C9807" s="7">
        <f>IFERROR(__xludf.DUMMYFUNCTION("""COMPUTED_VALUE"""),7.768044)</f>
        <v>7.768044</v>
      </c>
      <c r="D9807" s="7">
        <f>IFERROR(__xludf.DUMMYFUNCTION("""COMPUTED_VALUE"""),0.421052631578947)</f>
        <v>0.4210526316</v>
      </c>
    </row>
    <row r="9808">
      <c r="A9808" s="10" t="s">
        <v>11247</v>
      </c>
      <c r="B9808" s="7" t="str">
        <f>IFERROR(__xludf.DUMMYFUNCTION("SPLIT(A9808,"" "")"),"CNCc1cc(CN(Cc2cc(C)ccn2)C2CCCCC2N(C)c2ccc3nc(CF)ccc3c2)ccn1")</f>
        <v>CNCc1cc(CN(Cc2cc(C)ccn2)C2CCCCC2N(C)c2ccc3nc(CF)ccc3c2)ccn1</v>
      </c>
      <c r="C9808" s="7">
        <f>IFERROR(__xludf.DUMMYFUNCTION("""COMPUTED_VALUE"""),7.768034)</f>
        <v>7.768034</v>
      </c>
      <c r="D9808" s="7">
        <f>IFERROR(__xludf.DUMMYFUNCTION("""COMPUTED_VALUE"""),0.375)</f>
        <v>0.375</v>
      </c>
    </row>
    <row r="9809">
      <c r="A9809" s="10" t="s">
        <v>11248</v>
      </c>
      <c r="B9809" s="7" t="str">
        <f>IFERROR(__xludf.DUMMYFUNCTION("SPLIT(A9809,"" "")"),"CNCc1ncccc1CN(Cc1ccccn1)C1CCC(N(C)c2cccc3cc(CF)cnc23)CC1")</f>
        <v>CNCc1ncccc1CN(Cc1ccccn1)C1CCC(N(C)c2cccc3cc(CF)cnc23)CC1</v>
      </c>
      <c r="C9809" s="7">
        <f>IFERROR(__xludf.DUMMYFUNCTION("""COMPUTED_VALUE"""),7.768032)</f>
        <v>7.768032</v>
      </c>
      <c r="D9809" s="7">
        <f>IFERROR(__xludf.DUMMYFUNCTION("""COMPUTED_VALUE"""),0.328767123287671)</f>
        <v>0.3287671233</v>
      </c>
    </row>
    <row r="9810">
      <c r="A9810" s="10" t="s">
        <v>11249</v>
      </c>
      <c r="B9810" s="7" t="str">
        <f>IFERROR(__xludf.DUMMYFUNCTION("SPLIT(A9810,"" "")"),"CN(Cc1cnc2c(N(C)Cc3ccccn3)cccc2c1)Cc1ncccc1-c1cccc2c1OCCOCCOCCOCCOCCO2")</f>
        <v>CN(Cc1cnc2c(N(C)Cc3ccccn3)cccc2c1)Cc1ncccc1-c1cccc2c1OCCOCCOCCOCCOCCO2</v>
      </c>
      <c r="C9810" s="7">
        <f>IFERROR(__xludf.DUMMYFUNCTION("""COMPUTED_VALUE"""),7.7680273)</f>
        <v>7.7680273</v>
      </c>
      <c r="D9810" s="7">
        <f>IFERROR(__xludf.DUMMYFUNCTION("""COMPUTED_VALUE"""),0.342857142857142)</f>
        <v>0.3428571429</v>
      </c>
    </row>
    <row r="9811">
      <c r="A9811" s="10" t="s">
        <v>11250</v>
      </c>
      <c r="B9811" s="7" t="str">
        <f>IFERROR(__xludf.DUMMYFUNCTION("SPLIT(A9811,"" "")"),"Cc1cnc(CN(C)Cc2ccccc2C)c(C)c1")</f>
        <v>Cc1cnc(CN(C)Cc2ccccc2C)c(C)c1</v>
      </c>
      <c r="C9811" s="7">
        <f>IFERROR(__xludf.DUMMYFUNCTION("""COMPUTED_VALUE"""),7.7680254)</f>
        <v>7.7680254</v>
      </c>
      <c r="D9811" s="7">
        <f>IFERROR(__xludf.DUMMYFUNCTION("""COMPUTED_VALUE"""),0.348837209302325)</f>
        <v>0.3488372093</v>
      </c>
    </row>
    <row r="9812">
      <c r="A9812" s="10" t="s">
        <v>11251</v>
      </c>
      <c r="B9812" s="7" t="str">
        <f>IFERROR(__xludf.DUMMYFUNCTION("SPLIT(A9812,"" "")"),"CCOC(C)c1cc(CN(Cc2ccccn2)Cc2cc(C(C)(C)C)ccn2)ccn1")</f>
        <v>CCOC(C)c1cc(CN(Cc2ccccn2)Cc2cc(C(C)(C)C)ccn2)ccn1</v>
      </c>
      <c r="C9812" s="7">
        <f>IFERROR(__xludf.DUMMYFUNCTION("""COMPUTED_VALUE"""),7.7680244)</f>
        <v>7.7680244</v>
      </c>
      <c r="D9812" s="7">
        <f>IFERROR(__xludf.DUMMYFUNCTION("""COMPUTED_VALUE"""),0.4)</f>
        <v>0.4</v>
      </c>
    </row>
    <row r="9813">
      <c r="A9813" s="10" t="s">
        <v>11252</v>
      </c>
      <c r="B9813" s="7" t="str">
        <f>IFERROR(__xludf.DUMMYFUNCTION("SPLIT(A9813,"" "")"),"Cc1ncccc1CN(C)Cc1ncccc1N")</f>
        <v>Cc1ncccc1CN(C)Cc1ncccc1N</v>
      </c>
      <c r="C9813" s="7">
        <f>IFERROR(__xludf.DUMMYFUNCTION("""COMPUTED_VALUE"""),7.7680206)</f>
        <v>7.7680206</v>
      </c>
      <c r="D9813" s="7">
        <f>IFERROR(__xludf.DUMMYFUNCTION("""COMPUTED_VALUE"""),0.409090909090909)</f>
        <v>0.4090909091</v>
      </c>
    </row>
    <row r="9814">
      <c r="A9814" s="10" t="s">
        <v>11253</v>
      </c>
      <c r="B9814" s="7" t="str">
        <f>IFERROR(__xludf.DUMMYFUNCTION("SPLIT(A9814,"" "")"),"CN(CC1=CC=C(NCc2ccccn2)NC1)Cc1ccccn1")</f>
        <v>CN(CC1=CC=C(NCc2ccccn2)NC1)Cc1ccccn1</v>
      </c>
      <c r="C9814" s="7">
        <f>IFERROR(__xludf.DUMMYFUNCTION("""COMPUTED_VALUE"""),7.768016)</f>
        <v>7.768016</v>
      </c>
      <c r="D9814" s="7">
        <f>IFERROR(__xludf.DUMMYFUNCTION("""COMPUTED_VALUE"""),0.44)</f>
        <v>0.44</v>
      </c>
    </row>
    <row r="9815">
      <c r="A9815" s="10" t="s">
        <v>11254</v>
      </c>
      <c r="B9815" s="7" t="str">
        <f>IFERROR(__xludf.DUMMYFUNCTION("SPLIT(A9815,"" "")"),"CN(Cc1ccc2c(n1)CCCC2)C1CCC(N(C)c2ccc3nc4c(cc3c2)CCC4)CC1")</f>
        <v>CN(Cc1ccc2c(n1)CCCC2)C1CCC(N(C)c2ccc3nc4c(cc3c2)CCC4)CC1</v>
      </c>
      <c r="C9815" s="7">
        <f>IFERROR(__xludf.DUMMYFUNCTION("""COMPUTED_VALUE"""),7.768015)</f>
        <v>7.768015</v>
      </c>
      <c r="D9815" s="7">
        <f>IFERROR(__xludf.DUMMYFUNCTION("""COMPUTED_VALUE"""),0.359375)</f>
        <v>0.359375</v>
      </c>
    </row>
    <row r="9816">
      <c r="A9816" s="10" t="s">
        <v>11255</v>
      </c>
      <c r="B9816" s="7" t="str">
        <f>IFERROR(__xludf.DUMMYFUNCTION("SPLIT(A9816,"" "")"),"CNCc1ccc(CN(Cc2ccc(C)cn2)Cc2ccc(C)cn2)cn1")</f>
        <v>CNCc1ccc(CN(Cc2ccc(C)cn2)Cc2ccc(C)cn2)cn1</v>
      </c>
      <c r="C9816" s="7">
        <f>IFERROR(__xludf.DUMMYFUNCTION("""COMPUTED_VALUE"""),7.768014)</f>
        <v>7.768014</v>
      </c>
      <c r="D9816" s="7">
        <f>IFERROR(__xludf.DUMMYFUNCTION("""COMPUTED_VALUE"""),0.475)</f>
        <v>0.475</v>
      </c>
    </row>
    <row r="9817">
      <c r="A9817" s="10" t="s">
        <v>11256</v>
      </c>
      <c r="B9817" s="7" t="str">
        <f>IFERROR(__xludf.DUMMYFUNCTION("SPLIT(A9817,"" "")"),"Cc1cnc(CN(C)CCN(C)Cc2nc(C)c(C)cc2C)c(C)c1")</f>
        <v>Cc1cnc(CN(C)CCN(C)Cc2nc(C)c(C)cc2C)c(C)c1</v>
      </c>
      <c r="C9817" s="7">
        <f>IFERROR(__xludf.DUMMYFUNCTION("""COMPUTED_VALUE"""),7.7680078)</f>
        <v>7.7680078</v>
      </c>
      <c r="D9817" s="7">
        <f>IFERROR(__xludf.DUMMYFUNCTION("""COMPUTED_VALUE"""),0.414634146341463)</f>
        <v>0.4146341463</v>
      </c>
    </row>
    <row r="9818">
      <c r="A9818" s="10" t="s">
        <v>11257</v>
      </c>
      <c r="B9818" s="7" t="str">
        <f>IFERROR(__xludf.DUMMYFUNCTION("SPLIT(A9818,"" "")"),"CN(Cc1ccc(C(C)(C)C)cn1)Cc1ncccc1C(C)(C)C")</f>
        <v>CN(Cc1ccc(C(C)(C)C)cn1)Cc1ncccc1C(C)(C)C</v>
      </c>
      <c r="C9818" s="7">
        <f>IFERROR(__xludf.DUMMYFUNCTION("""COMPUTED_VALUE"""),7.7680073)</f>
        <v>7.7680073</v>
      </c>
      <c r="D9818" s="7">
        <f>IFERROR(__xludf.DUMMYFUNCTION("""COMPUTED_VALUE"""),0.369565217391304)</f>
        <v>0.3695652174</v>
      </c>
    </row>
    <row r="9819">
      <c r="A9819" s="10" t="s">
        <v>11258</v>
      </c>
      <c r="B9819" s="7" t="str">
        <f>IFERROR(__xludf.DUMMYFUNCTION("SPLIT(A9819,"" "")"),"Cc1cnccc1CN(C)Cc1ncccc1N")</f>
        <v>Cc1cnccc1CN(C)Cc1ncccc1N</v>
      </c>
      <c r="C9819" s="7">
        <f>IFERROR(__xludf.DUMMYFUNCTION("""COMPUTED_VALUE"""),7.7680054)</f>
        <v>7.7680054</v>
      </c>
      <c r="D9819" s="7">
        <f>IFERROR(__xludf.DUMMYFUNCTION("""COMPUTED_VALUE"""),0.346938775510204)</f>
        <v>0.3469387755</v>
      </c>
    </row>
    <row r="9820">
      <c r="A9820" s="10" t="s">
        <v>11259</v>
      </c>
      <c r="B9820" s="7" t="str">
        <f>IFERROR(__xludf.DUMMYFUNCTION("SPLIT(A9820,"" "")"),"Cc1ccnc(C)c1CC1CN(C)CCN(C)CCN1Cc1nc2ccccc2n1C")</f>
        <v>Cc1ccnc(C)c1CC1CN(C)CCN(C)CCN1Cc1nc2ccccc2n1C</v>
      </c>
      <c r="C9820" s="7">
        <f>IFERROR(__xludf.DUMMYFUNCTION("""COMPUTED_VALUE"""),7.7680016)</f>
        <v>7.7680016</v>
      </c>
      <c r="D9820" s="7">
        <f>IFERROR(__xludf.DUMMYFUNCTION("""COMPUTED_VALUE"""),0.5)</f>
        <v>0.5</v>
      </c>
    </row>
    <row r="9821">
      <c r="A9821" s="10" t="s">
        <v>11260</v>
      </c>
      <c r="B9821" s="7" t="str">
        <f>IFERROR(__xludf.DUMMYFUNCTION("SPLIT(A9821,"" "")"),"CN(Cc1ccccn1)C1CCCC(N(C)c2cccc3ncccc23)C1")</f>
        <v>CN(Cc1ccccn1)C1CCCC(N(C)c2cccc3ncccc23)C1</v>
      </c>
      <c r="C9821" s="7">
        <f>IFERROR(__xludf.DUMMYFUNCTION("""COMPUTED_VALUE"""),7.7680016)</f>
        <v>7.7680016</v>
      </c>
      <c r="D9821" s="7">
        <f>IFERROR(__xludf.DUMMYFUNCTION("""COMPUTED_VALUE"""),0.490196078431372)</f>
        <v>0.4901960784</v>
      </c>
    </row>
    <row r="9822">
      <c r="A9822" s="10" t="s">
        <v>11261</v>
      </c>
      <c r="B9822" s="7" t="str">
        <f>IFERROR(__xludf.DUMMYFUNCTION("SPLIT(A9822,"" "")"),"CC(C)C1=CC2(C=CN1)C=CC(C)(C)C(c1ncccc1CN(Cc1ccccn1)Cc1ccccn1)C2c1ccc(CN(Cc2ccccn2)C(C)C)cn1")</f>
        <v>CC(C)C1=CC2(C=CN1)C=CC(C)(C)C(c1ncccc1CN(Cc1ccccn1)Cc1ccccn1)C2c1ccc(CN(Cc2ccccn2)C(C)C)cn1</v>
      </c>
      <c r="C9822" s="7">
        <f>IFERROR(__xludf.DUMMYFUNCTION("""COMPUTED_VALUE"""),7.7679987)</f>
        <v>7.7679987</v>
      </c>
      <c r="D9822" s="7">
        <f>IFERROR(__xludf.DUMMYFUNCTION("""COMPUTED_VALUE"""),0.324324324324324)</f>
        <v>0.3243243243</v>
      </c>
    </row>
    <row r="9823">
      <c r="A9823" s="10" t="s">
        <v>11262</v>
      </c>
      <c r="B9823" s="7" t="str">
        <f>IFERROR(__xludf.DUMMYFUNCTION("SPLIT(A9823,"" "")"),"CC1=CC(C)C(C)(c2cccc(CN(Cc3ccccn3)C3CCC(N(C)c4ccc5nc(CN(C)C)ccc5c4)CC3)n2)CC1C")</f>
        <v>CC1=CC(C)C(C)(c2cccc(CN(Cc3ccccn3)C3CCC(N(C)c4ccc5nc(CN(C)C)ccc5c4)CC3)n2)CC1C</v>
      </c>
      <c r="C9823" s="7">
        <f>IFERROR(__xludf.DUMMYFUNCTION("""COMPUTED_VALUE"""),7.767993)</f>
        <v>7.767993</v>
      </c>
      <c r="D9823" s="7">
        <f>IFERROR(__xludf.DUMMYFUNCTION("""COMPUTED_VALUE"""),0.324324324324324)</f>
        <v>0.3243243243</v>
      </c>
    </row>
    <row r="9824">
      <c r="A9824" s="10" t="s">
        <v>11263</v>
      </c>
      <c r="B9824" s="7" t="str">
        <f>IFERROR(__xludf.DUMMYFUNCTION("SPLIT(A9824,"" "")"),"CC(C)(c1ccnc(CN(CF)Cc2ccccn2)c1)c1ccccn1")</f>
        <v>CC(C)(c1ccnc(CN(CF)Cc2ccccn2)c1)c1ccccn1</v>
      </c>
      <c r="C9824" s="7">
        <f>IFERROR(__xludf.DUMMYFUNCTION("""COMPUTED_VALUE"""),7.7679873)</f>
        <v>7.7679873</v>
      </c>
      <c r="D9824" s="7">
        <f>IFERROR(__xludf.DUMMYFUNCTION("""COMPUTED_VALUE"""),0.468085106382978)</f>
        <v>0.4680851064</v>
      </c>
    </row>
    <row r="9825">
      <c r="A9825" s="10" t="s">
        <v>11264</v>
      </c>
      <c r="B9825" s="7" t="str">
        <f>IFERROR(__xludf.DUMMYFUNCTION("SPLIT(A9825,"" "")"),"CC(C)C(C)(c1cccnc1)N(C)Cc1cccc(N(C)C(C)(C)c2ccccn2)n1")</f>
        <v>CC(C)C(C)(c1cccnc1)N(C)Cc1cccc(N(C)C(C)(C)c2ccccn2)n1</v>
      </c>
      <c r="C9825" s="7">
        <f>IFERROR(__xludf.DUMMYFUNCTION("""COMPUTED_VALUE"""),7.767987)</f>
        <v>7.767987</v>
      </c>
      <c r="D9825" s="7">
        <f>IFERROR(__xludf.DUMMYFUNCTION("""COMPUTED_VALUE"""),0.317460317460317)</f>
        <v>0.3174603175</v>
      </c>
    </row>
    <row r="9826">
      <c r="A9826" s="10" t="s">
        <v>11265</v>
      </c>
      <c r="B9826" s="7" t="str">
        <f>IFERROR(__xludf.DUMMYFUNCTION("SPLIT(A9826,"" "")"),"CCN(CCN(C)Cc1cc(C)c(C)c(C)n1)Cc1nc(C)c(C)c(C)c1C")</f>
        <v>CCN(CCN(C)Cc1cc(C)c(C)c(C)n1)Cc1nc(C)c(C)c(C)c1C</v>
      </c>
      <c r="C9826" s="7">
        <f>IFERROR(__xludf.DUMMYFUNCTION("""COMPUTED_VALUE"""),7.7679863)</f>
        <v>7.7679863</v>
      </c>
      <c r="D9826" s="7">
        <f>IFERROR(__xludf.DUMMYFUNCTION("""COMPUTED_VALUE"""),0.333333333333333)</f>
        <v>0.3333333333</v>
      </c>
    </row>
    <row r="9827">
      <c r="A9827" s="10" t="s">
        <v>11266</v>
      </c>
      <c r="B9827" s="7" t="str">
        <f>IFERROR(__xludf.DUMMYFUNCTION("SPLIT(A9827,"" "")"),"CN(Cc1ccccn1)Cc1ccc2cccc(N(C)Cc3cc(-c4ccc5c(c4)OCCOCCOCCOCCOCCO5)ccn3)c2n1")</f>
        <v>CN(Cc1ccccn1)Cc1ccc2cccc(N(C)Cc3cc(-c4ccc5c(c4)OCCOCCOCCOCCOCCO5)ccn3)c2n1</v>
      </c>
      <c r="C9827" s="7">
        <f>IFERROR(__xludf.DUMMYFUNCTION("""COMPUTED_VALUE"""),7.7679853)</f>
        <v>7.7679853</v>
      </c>
      <c r="D9827" s="7">
        <f>IFERROR(__xludf.DUMMYFUNCTION("""COMPUTED_VALUE"""),0.378787878787878)</f>
        <v>0.3787878788</v>
      </c>
    </row>
    <row r="9828">
      <c r="A9828" s="10" t="s">
        <v>11267</v>
      </c>
      <c r="B9828" s="7" t="str">
        <f>IFERROR(__xludf.DUMMYFUNCTION("SPLIT(A9828,"" "")"),"Cc1cnc(CN(C)C2=C(CN(C)C(C)C)NC=CC2)c(C)c1")</f>
        <v>Cc1cnc(CN(C)C2=C(CN(C)C(C)C)NC=CC2)c(C)c1</v>
      </c>
      <c r="C9828" s="7">
        <f>IFERROR(__xludf.DUMMYFUNCTION("""COMPUTED_VALUE"""),7.767982)</f>
        <v>7.767982</v>
      </c>
      <c r="D9828" s="7">
        <f>IFERROR(__xludf.DUMMYFUNCTION("""COMPUTED_VALUE"""),0.232142857142857)</f>
        <v>0.2321428571</v>
      </c>
    </row>
    <row r="9829">
      <c r="A9829" s="10" t="s">
        <v>11268</v>
      </c>
      <c r="B9829" s="7" t="str">
        <f>IFERROR(__xludf.DUMMYFUNCTION("SPLIT(A9829,"" "")"),"CN(C)Cc1ccc2cc(N(C)C3CCCCC3N(C)Cc3cccnn3)ccc2n1")</f>
        <v>CN(C)Cc1ccc2cc(N(C)C3CCCCC3N(C)Cc3cccnn3)ccc2n1</v>
      </c>
      <c r="C9829" s="7">
        <f>IFERROR(__xludf.DUMMYFUNCTION("""COMPUTED_VALUE"""),7.7679696)</f>
        <v>7.7679696</v>
      </c>
      <c r="D9829" s="7">
        <f>IFERROR(__xludf.DUMMYFUNCTION("""COMPUTED_VALUE"""),0.446428571428571)</f>
        <v>0.4464285714</v>
      </c>
    </row>
    <row r="9830">
      <c r="A9830" s="10" t="s">
        <v>11269</v>
      </c>
      <c r="B9830" s="7" t="str">
        <f>IFERROR(__xludf.DUMMYFUNCTION("SPLIT(A9830,"" "")"),"CCN(Cc1cc(C)ccn1)C1CCC(N(C)c2ccc3ccc(CF)nc3c2)CC1")</f>
        <v>CCN(Cc1cc(C)ccn1)C1CCC(N(C)c2ccc3ccc(CF)nc3c2)CC1</v>
      </c>
      <c r="C9830" s="7">
        <f>IFERROR(__xludf.DUMMYFUNCTION("""COMPUTED_VALUE"""),7.767967)</f>
        <v>7.767967</v>
      </c>
      <c r="D9830" s="7">
        <f>IFERROR(__xludf.DUMMYFUNCTION("""COMPUTED_VALUE"""),0.313432835820895)</f>
        <v>0.3134328358</v>
      </c>
    </row>
    <row r="9831">
      <c r="A9831" s="10" t="s">
        <v>11270</v>
      </c>
      <c r="B9831" s="7" t="str">
        <f>IFERROR(__xludf.DUMMYFUNCTION("SPLIT(A9831,"" "")"),"Cc1cccc(CN(C)CC2=CC(N(C)Cc3nc(C)ccc3C)C=CN2)n1")</f>
        <v>Cc1cccc(CN(C)CC2=CC(N(C)Cc3nc(C)ccc3C)C=CN2)n1</v>
      </c>
      <c r="C9831" s="7">
        <f>IFERROR(__xludf.DUMMYFUNCTION("""COMPUTED_VALUE"""),7.767964)</f>
        <v>7.767964</v>
      </c>
      <c r="D9831" s="7">
        <f>IFERROR(__xludf.DUMMYFUNCTION("""COMPUTED_VALUE"""),0.431372549019607)</f>
        <v>0.431372549</v>
      </c>
    </row>
    <row r="9832">
      <c r="A9832" s="10" t="s">
        <v>11271</v>
      </c>
      <c r="B9832" s="7" t="str">
        <f>IFERROR(__xludf.DUMMYFUNCTION("SPLIT(A9832,"" "")"),"CNCc1ccc2cccc(N(C)C3CCCCC3N(Cc3ccccn3)Cc3ncccc3C)c2n1")</f>
        <v>CNCc1ccc2cccc(N(C)C3CCCCC3N(Cc3ccccn3)Cc3ncccc3C)c2n1</v>
      </c>
      <c r="C9832" s="7">
        <f>IFERROR(__xludf.DUMMYFUNCTION("""COMPUTED_VALUE"""),7.7679577)</f>
        <v>7.7679577</v>
      </c>
      <c r="D9832" s="7">
        <f>IFERROR(__xludf.DUMMYFUNCTION("""COMPUTED_VALUE"""),0.484848484848484)</f>
        <v>0.4848484848</v>
      </c>
    </row>
    <row r="9833">
      <c r="A9833" s="10" t="s">
        <v>11272</v>
      </c>
      <c r="B9833" s="7" t="str">
        <f>IFERROR(__xludf.DUMMYFUNCTION("SPLIT(A9833,"" "")"),"Cc1ccc(CN(C)CN(C)Cc2cc(C)c(C)c(C)n2)cn1")</f>
        <v>Cc1ccc(CN(C)CN(C)Cc2cc(C)c(C)c(C)n2)cn1</v>
      </c>
      <c r="C9833" s="7">
        <f>IFERROR(__xludf.DUMMYFUNCTION("""COMPUTED_VALUE"""),7.7679543)</f>
        <v>7.7679543</v>
      </c>
      <c r="D9833" s="7">
        <f>IFERROR(__xludf.DUMMYFUNCTION("""COMPUTED_VALUE"""),0.3125)</f>
        <v>0.3125</v>
      </c>
    </row>
    <row r="9834">
      <c r="A9834" s="10" t="s">
        <v>11273</v>
      </c>
      <c r="B9834" s="7" t="str">
        <f>IFERROR(__xludf.DUMMYFUNCTION("SPLIT(A9834,"" "")"),"CN(C)Cc1cnc2cccc(N(C)C3CCCC(N(CF)Cc4ccccn4)C3)c2c1")</f>
        <v>CN(C)Cc1cnc2cccc(N(C)C3CCCC(N(CF)Cc4ccccn4)C3)c2c1</v>
      </c>
      <c r="C9834" s="7">
        <f>IFERROR(__xludf.DUMMYFUNCTION("""COMPUTED_VALUE"""),7.767947)</f>
        <v>7.767947</v>
      </c>
      <c r="D9834" s="7">
        <f>IFERROR(__xludf.DUMMYFUNCTION("""COMPUTED_VALUE"""),0.359375)</f>
        <v>0.359375</v>
      </c>
    </row>
    <row r="9835">
      <c r="A9835" s="10" t="s">
        <v>11274</v>
      </c>
      <c r="B9835" s="7" t="str">
        <f>IFERROR(__xludf.DUMMYFUNCTION("SPLIT(A9835,"" "")"),"Cc1cc(CN(C)C2C=CNC(CN(C)Cc3ccccn3)=C2)nc(C)c1C")</f>
        <v>Cc1cc(CN(C)C2C=CNC(CN(C)Cc3ccccn3)=C2)nc(C)c1C</v>
      </c>
      <c r="C9835" s="7">
        <f>IFERROR(__xludf.DUMMYFUNCTION("""COMPUTED_VALUE"""),7.7679453)</f>
        <v>7.7679453</v>
      </c>
      <c r="D9835" s="7">
        <f>IFERROR(__xludf.DUMMYFUNCTION("""COMPUTED_VALUE"""),0.383333333333333)</f>
        <v>0.3833333333</v>
      </c>
    </row>
    <row r="9836">
      <c r="A9836" s="10" t="s">
        <v>11275</v>
      </c>
      <c r="B9836" s="7" t="str">
        <f>IFERROR(__xludf.DUMMYFUNCTION("SPLIT(A9836,"" "")"),"C1=CNC(N(Cc2ccccn2)c2ccccc2-c2cccc(CN(Cc3ccccn3)C3CCCCC3)n2)C=C1")</f>
        <v>C1=CNC(N(Cc2ccccn2)c2ccccc2-c2cccc(CN(Cc3ccccn3)C3CCCCC3)n2)C=C1</v>
      </c>
      <c r="C9836" s="7">
        <f>IFERROR(__xludf.DUMMYFUNCTION("""COMPUTED_VALUE"""),7.7679353)</f>
        <v>7.7679353</v>
      </c>
      <c r="D9836" s="7">
        <f>IFERROR(__xludf.DUMMYFUNCTION("""COMPUTED_VALUE"""),0.393939393939393)</f>
        <v>0.3939393939</v>
      </c>
    </row>
    <row r="9837">
      <c r="A9837" s="10" t="s">
        <v>11276</v>
      </c>
      <c r="B9837" s="7" t="str">
        <f>IFERROR(__xludf.DUMMYFUNCTION("SPLIT(A9837,"" "")"),"CC(C)N(Cc1ccccn1)C1CCC(N(C)c2ccc3c(CF)ccnc3c2)CC1")</f>
        <v>CC(C)N(Cc1ccccn1)C1CCC(N(C)c2ccc3c(CF)ccnc3c2)CC1</v>
      </c>
      <c r="C9837" s="7">
        <f>IFERROR(__xludf.DUMMYFUNCTION("""COMPUTED_VALUE"""),7.7679315)</f>
        <v>7.7679315</v>
      </c>
      <c r="D9837" s="7">
        <f>IFERROR(__xludf.DUMMYFUNCTION("""COMPUTED_VALUE"""),0.366666666666666)</f>
        <v>0.3666666667</v>
      </c>
    </row>
    <row r="9838">
      <c r="A9838" s="10" t="s">
        <v>11277</v>
      </c>
      <c r="B9838" s="7" t="str">
        <f>IFERROR(__xludf.DUMMYFUNCTION("SPLIT(A9838,"" "")"),"Cc1ccc(CN(Cc2cc(C(C)(C)C)ccn2)C2CCC(N(C)Cc3cc(-c4ccccn4)ccn3)CC2)nc1C")</f>
        <v>Cc1ccc(CN(Cc2cc(C(C)(C)C)ccn2)C2CCC(N(C)Cc3cc(-c4ccccn4)ccn3)CC2)nc1C</v>
      </c>
      <c r="C9838" s="7">
        <f>IFERROR(__xludf.DUMMYFUNCTION("""COMPUTED_VALUE"""),7.7679257)</f>
        <v>7.7679257</v>
      </c>
      <c r="D9838" s="7">
        <f>IFERROR(__xludf.DUMMYFUNCTION("""COMPUTED_VALUE"""),0.328358208955223)</f>
        <v>0.328358209</v>
      </c>
    </row>
    <row r="9839">
      <c r="A9839" s="10" t="s">
        <v>11278</v>
      </c>
      <c r="B9839" s="7" t="str">
        <f>IFERROR(__xludf.DUMMYFUNCTION("SPLIT(A9839,"" "")"),"CC1C=CC(C)C(C)(c2ncccc2CN(Cc2ccccn2)C2CCCC(N(C)c3cccc4ncc(CN(C)C)cc34)C2)C1")</f>
        <v>CC1C=CC(C)C(C)(c2ncccc2CN(Cc2ccccn2)C2CCCC(N(C)c3cccc4ncc(CN(C)C)cc34)C2)C1</v>
      </c>
      <c r="C9839" s="7">
        <f>IFERROR(__xludf.DUMMYFUNCTION("""COMPUTED_VALUE"""),7.7679167)</f>
        <v>7.7679167</v>
      </c>
      <c r="D9839" s="7">
        <f>IFERROR(__xludf.DUMMYFUNCTION("""COMPUTED_VALUE"""),0.280487804878048)</f>
        <v>0.2804878049</v>
      </c>
    </row>
    <row r="9840">
      <c r="A9840" s="10" t="s">
        <v>11279</v>
      </c>
      <c r="B9840" s="7" t="str">
        <f>IFERROR(__xludf.DUMMYFUNCTION("SPLIT(A9840,"" "")"),"CC(C)N(Cc1ccccn1)C1CCCCC1N(c1cccc2ncccc12)C1CCCCC1N(C)c1cccc2ncccc12")</f>
        <v>CC(C)N(Cc1ccccn1)C1CCCCC1N(c1cccc2ncccc12)C1CCCCC1N(C)c1cccc2ncccc12</v>
      </c>
      <c r="C9840" s="7">
        <f>IFERROR(__xludf.DUMMYFUNCTION("""COMPUTED_VALUE"""),7.7679143)</f>
        <v>7.7679143</v>
      </c>
      <c r="D9840" s="7">
        <f>IFERROR(__xludf.DUMMYFUNCTION("""COMPUTED_VALUE"""),0.456140350877192)</f>
        <v>0.4561403509</v>
      </c>
    </row>
    <row r="9841">
      <c r="A9841" s="10" t="s">
        <v>11280</v>
      </c>
      <c r="B9841" s="7" t="str">
        <f>IFERROR(__xludf.DUMMYFUNCTION("SPLIT(A9841,"" "")"),"CC1=C(c2ncccc2CN(Cc2ccccn2)Cc2ccccn2)CC(C)C(C)C1")</f>
        <v>CC1=C(c2ncccc2CN(Cc2ccccn2)Cc2ccccn2)CC(C)C(C)C1</v>
      </c>
      <c r="C9841" s="7">
        <f>IFERROR(__xludf.DUMMYFUNCTION("""COMPUTED_VALUE"""),7.7679143)</f>
        <v>7.7679143</v>
      </c>
      <c r="D9841" s="7">
        <f>IFERROR(__xludf.DUMMYFUNCTION("""COMPUTED_VALUE"""),0.476190476190476)</f>
        <v>0.4761904762</v>
      </c>
    </row>
    <row r="9842">
      <c r="A9842" s="10" t="s">
        <v>11281</v>
      </c>
      <c r="B9842" s="7" t="str">
        <f>IFERROR(__xludf.DUMMYFUNCTION("SPLIT(A9842,"" "")"),"Cc1ccnc(CN(C)C2CCCCC2N(C)c2ccc3cccnc3c2)c1")</f>
        <v>Cc1ccnc(CN(C)C2CCCCC2N(C)c2ccc3cccnc3c2)c1</v>
      </c>
      <c r="C9842" s="7">
        <f>IFERROR(__xludf.DUMMYFUNCTION("""COMPUTED_VALUE"""),7.767906)</f>
        <v>7.767906</v>
      </c>
      <c r="D9842" s="7">
        <f>IFERROR(__xludf.DUMMYFUNCTION("""COMPUTED_VALUE"""),0.490566037735849)</f>
        <v>0.4905660377</v>
      </c>
    </row>
    <row r="9843">
      <c r="A9843" s="10" t="s">
        <v>11282</v>
      </c>
      <c r="B9843" s="7" t="str">
        <f>IFERROR(__xludf.DUMMYFUNCTION("SPLIT(A9843,"" "")"),"Cc1ccccc1CN(C)CC1=CC(N(C)Cc2nc(C)c(C)c(C)c2C)C=CN1")</f>
        <v>Cc1ccccc1CN(C)CC1=CC(N(C)Cc2nc(C)c(C)c(C)c2C)C=CN1</v>
      </c>
      <c r="C9843" s="7">
        <f>IFERROR(__xludf.DUMMYFUNCTION("""COMPUTED_VALUE"""),7.767901)</f>
        <v>7.767901</v>
      </c>
      <c r="D9843" s="7">
        <f>IFERROR(__xludf.DUMMYFUNCTION("""COMPUTED_VALUE"""),0.296875)</f>
        <v>0.296875</v>
      </c>
    </row>
    <row r="9844">
      <c r="A9844" s="10" t="s">
        <v>11283</v>
      </c>
      <c r="B9844" s="7" t="str">
        <f>IFERROR(__xludf.DUMMYFUNCTION("SPLIT(A9844,"" "")"),"Cc1cccc(CN(C)C2C=CNC(CN(C)Cc3ccc(C)nc3C)=C2)n1")</f>
        <v>Cc1cccc(CN(C)C2C=CNC(CN(C)Cc3ccc(C)nc3C)=C2)n1</v>
      </c>
      <c r="C9844" s="7">
        <f>IFERROR(__xludf.DUMMYFUNCTION("""COMPUTED_VALUE"""),7.767898)</f>
        <v>7.767898</v>
      </c>
      <c r="D9844" s="7">
        <f>IFERROR(__xludf.DUMMYFUNCTION("""COMPUTED_VALUE"""),0.410714285714285)</f>
        <v>0.4107142857</v>
      </c>
    </row>
    <row r="9845">
      <c r="A9845" s="10" t="s">
        <v>11284</v>
      </c>
      <c r="B9845" s="7" t="str">
        <f>IFERROR(__xludf.DUMMYFUNCTION("SPLIT(A9845,"" "")"),"CN(Cc1cnc2cc(N(C)Cc3ccccn3)ccc2c1)Cc1ncccc1-c1cccc2c1OCCOCCOCCOCCOCCO2")</f>
        <v>CN(Cc1cnc2cc(N(C)Cc3ccccn3)ccc2c1)Cc1ncccc1-c1cccc2c1OCCOCCOCCOCCOCCO2</v>
      </c>
      <c r="C9845" s="7">
        <f>IFERROR(__xludf.DUMMYFUNCTION("""COMPUTED_VALUE"""),7.7678943)</f>
        <v>7.7678943</v>
      </c>
      <c r="D9845" s="7">
        <f>IFERROR(__xludf.DUMMYFUNCTION("""COMPUTED_VALUE"""),0.315068493150684)</f>
        <v>0.3150684932</v>
      </c>
    </row>
    <row r="9846">
      <c r="A9846" s="10" t="s">
        <v>11285</v>
      </c>
      <c r="B9846" s="7" t="str">
        <f>IFERROR(__xludf.DUMMYFUNCTION("SPLIT(A9846,"" "")"),"CC1=CC(C)C(C)CC1(C)c1cccc(CN(Cc2ccccn2)C2CCC(N(C)c3ccc4cc(CN(C)C)cnc4c3)CC2)n1")</f>
        <v>CC1=CC(C)C(C)CC1(C)c1cccc(CN(Cc2ccccn2)C2CCC(N(C)c3ccc4cc(CN(C)C)cnc4c3)CC2)n1</v>
      </c>
      <c r="C9846" s="7">
        <f>IFERROR(__xludf.DUMMYFUNCTION("""COMPUTED_VALUE"""),7.7678933)</f>
        <v>7.7678933</v>
      </c>
      <c r="D9846" s="7">
        <f>IFERROR(__xludf.DUMMYFUNCTION("""COMPUTED_VALUE"""),0.278481012658227)</f>
        <v>0.2784810127</v>
      </c>
    </row>
    <row r="9847">
      <c r="A9847" s="10" t="s">
        <v>11286</v>
      </c>
      <c r="B9847" s="7" t="str">
        <f>IFERROR(__xludf.DUMMYFUNCTION("SPLIT(A9847,"" "")"),"CN(Cc1ccc2c(n1)CCC2)C1CCCCC1N(C)c1ccc2ncccc2c1")</f>
        <v>CN(Cc1ccc2c(n1)CCC2)C1CCCCC1N(C)c1ccc2ncccc2c1</v>
      </c>
      <c r="C9847" s="7">
        <f>IFERROR(__xludf.DUMMYFUNCTION("""COMPUTED_VALUE"""),7.7678843)</f>
        <v>7.7678843</v>
      </c>
      <c r="D9847" s="7">
        <f>IFERROR(__xludf.DUMMYFUNCTION("""COMPUTED_VALUE"""),0.451612903225806)</f>
        <v>0.4516129032</v>
      </c>
    </row>
    <row r="9848">
      <c r="A9848" s="10" t="s">
        <v>11287</v>
      </c>
      <c r="B9848" s="7" t="str">
        <f>IFERROR(__xludf.DUMMYFUNCTION("SPLIT(A9848,"" "")"),"CN(Cc1ccccn1)c1ccc2nc(CN(Cc3ccccn3)Cc3cc(-c4ccc5c(c4)OCCOCCOCCOCCOCCO5)ccn3)ccc2c1")</f>
        <v>CN(Cc1ccccn1)c1ccc2nc(CN(Cc3ccccn3)Cc3cc(-c4ccc5c(c4)OCCOCCOCCOCCOCCO5)ccn3)ccc2c1</v>
      </c>
      <c r="C9848" s="7">
        <f>IFERROR(__xludf.DUMMYFUNCTION("""COMPUTED_VALUE"""),7.7678795)</f>
        <v>7.7678795</v>
      </c>
      <c r="D9848" s="7">
        <f>IFERROR(__xludf.DUMMYFUNCTION("""COMPUTED_VALUE"""),0.435483870967741)</f>
        <v>0.435483871</v>
      </c>
    </row>
    <row r="9849">
      <c r="A9849" s="10" t="s">
        <v>11288</v>
      </c>
      <c r="B9849" s="7" t="str">
        <f>IFERROR(__xludf.DUMMYFUNCTION("SPLIT(A9849,"" "")"),"Cc1cncc(CN(C)Cc2ncccc2N)c1")</f>
        <v>Cc1cncc(CN(C)Cc2ncccc2N)c1</v>
      </c>
      <c r="C9849" s="7">
        <f>IFERROR(__xludf.DUMMYFUNCTION("""COMPUTED_VALUE"""),7.767879)</f>
        <v>7.767879</v>
      </c>
      <c r="D9849" s="7">
        <f>IFERROR(__xludf.DUMMYFUNCTION("""COMPUTED_VALUE"""),0.288461538461538)</f>
        <v>0.2884615385</v>
      </c>
    </row>
    <row r="9850">
      <c r="A9850" s="10" t="s">
        <v>11289</v>
      </c>
      <c r="B9850" s="7" t="str">
        <f>IFERROR(__xludf.DUMMYFUNCTION("SPLIT(A9850,"" "")"),"Cc1ccc(CN(C)C2=CNC=CC2CN(C)Cc2ccccn2)nc1")</f>
        <v>Cc1ccc(CN(C)C2=CNC=CC2CN(C)Cc2ccccn2)nc1</v>
      </c>
      <c r="C9850" s="7">
        <f>IFERROR(__xludf.DUMMYFUNCTION("""COMPUTED_VALUE"""),7.7678776)</f>
        <v>7.7678776</v>
      </c>
      <c r="D9850" s="7">
        <f>IFERROR(__xludf.DUMMYFUNCTION("""COMPUTED_VALUE"""),0.423076923076923)</f>
        <v>0.4230769231</v>
      </c>
    </row>
    <row r="9851">
      <c r="A9851" s="10" t="s">
        <v>11290</v>
      </c>
      <c r="B9851" s="7" t="str">
        <f>IFERROR(__xludf.DUMMYFUNCTION("SPLIT(A9851,"" "")"),"CN(C)Cc1cnc2cc(N(C)Cc3cccc(-c4cccc5c4OCCOCCOCCOCCOCCO5)n3)ccc2c1")</f>
        <v>CN(C)Cc1cnc2cc(N(C)Cc3cccc(-c4cccc5c4OCCOCCOCCOCCOCCO5)n3)ccc2c1</v>
      </c>
      <c r="C9851" s="7">
        <f>IFERROR(__xludf.DUMMYFUNCTION("""COMPUTED_VALUE"""),7.7678766)</f>
        <v>7.7678766</v>
      </c>
      <c r="D9851" s="7">
        <f>IFERROR(__xludf.DUMMYFUNCTION("""COMPUTED_VALUE"""),0.271428571428571)</f>
        <v>0.2714285714</v>
      </c>
    </row>
    <row r="9852">
      <c r="A9852" s="10" t="s">
        <v>11291</v>
      </c>
      <c r="B9852" s="7" t="str">
        <f>IFERROR(__xludf.DUMMYFUNCTION("SPLIT(A9852,"" "")"),"Cc1cccc(CN(C)CC2=CC(N(C)Cc3nc(C)cc(C)c3C)C=CN2)c1")</f>
        <v>Cc1cccc(CN(C)CC2=CC(N(C)Cc3nc(C)cc(C)c3C)C=CN2)c1</v>
      </c>
      <c r="C9852" s="7">
        <f>IFERROR(__xludf.DUMMYFUNCTION("""COMPUTED_VALUE"""),7.7678733)</f>
        <v>7.7678733</v>
      </c>
      <c r="D9852" s="7">
        <f>IFERROR(__xludf.DUMMYFUNCTION("""COMPUTED_VALUE"""),0.303030303030303)</f>
        <v>0.303030303</v>
      </c>
    </row>
    <row r="9853">
      <c r="A9853" s="10" t="s">
        <v>11292</v>
      </c>
      <c r="B9853" s="7" t="str">
        <f>IFERROR(__xludf.DUMMYFUNCTION("SPLIT(A9853,"" "")"),"CC(NCc1ccccn1)c1cccc(CN2C=CCC=C2)n1")</f>
        <v>CC(NCc1ccccn1)c1cccc(CN2C=CCC=C2)n1</v>
      </c>
      <c r="C9853" s="7">
        <f>IFERROR(__xludf.DUMMYFUNCTION("""COMPUTED_VALUE"""),7.7678676)</f>
        <v>7.7678676</v>
      </c>
      <c r="D9853" s="7">
        <f>IFERROR(__xludf.DUMMYFUNCTION("""COMPUTED_VALUE"""),0.388888888888888)</f>
        <v>0.3888888889</v>
      </c>
    </row>
    <row r="9854">
      <c r="A9854" s="10" t="s">
        <v>11293</v>
      </c>
      <c r="B9854" s="7" t="str">
        <f>IFERROR(__xludf.DUMMYFUNCTION("SPLIT(A9854,"" "")"),"CCN(Cc1ccccn1)c1ccccc1C(C)(C)C")</f>
        <v>CCN(Cc1ccccn1)c1ccccc1C(C)(C)C</v>
      </c>
      <c r="C9854" s="7">
        <f>IFERROR(__xludf.DUMMYFUNCTION("""COMPUTED_VALUE"""),7.7678666)</f>
        <v>7.7678666</v>
      </c>
      <c r="D9854" s="7">
        <f>IFERROR(__xludf.DUMMYFUNCTION("""COMPUTED_VALUE"""),0.465116279069767)</f>
        <v>0.4651162791</v>
      </c>
    </row>
    <row r="9855">
      <c r="A9855" s="10" t="s">
        <v>11294</v>
      </c>
      <c r="B9855" s="7" t="str">
        <f>IFERROR(__xludf.DUMMYFUNCTION("SPLIT(A9855,"" "")"),"Cc1cccnc1CN(Cc1ccccn1)C1=CNC(CN(C)C(C)C)=CC1")</f>
        <v>Cc1cccnc1CN(Cc1ccccn1)C1=CNC(CN(C)C(C)C)=CC1</v>
      </c>
      <c r="C9855" s="7">
        <f>IFERROR(__xludf.DUMMYFUNCTION("""COMPUTED_VALUE"""),7.767865)</f>
        <v>7.767865</v>
      </c>
      <c r="D9855" s="7">
        <f>IFERROR(__xludf.DUMMYFUNCTION("""COMPUTED_VALUE"""),0.368421052631578)</f>
        <v>0.3684210526</v>
      </c>
    </row>
    <row r="9856">
      <c r="A9856" s="10" t="s">
        <v>11295</v>
      </c>
      <c r="B9856" s="7" t="str">
        <f>IFERROR(__xludf.DUMMYFUNCTION("SPLIT(A9856,"" "")"),"CCc1ccccc1CNCc1ncccc1C(C)(C)c1ccccn1")</f>
        <v>CCc1ccccc1CNCc1ncccc1C(C)(C)c1ccccn1</v>
      </c>
      <c r="C9856" s="7">
        <f>IFERROR(__xludf.DUMMYFUNCTION("""COMPUTED_VALUE"""),7.767864)</f>
        <v>7.767864</v>
      </c>
      <c r="D9856" s="7">
        <f>IFERROR(__xludf.DUMMYFUNCTION("""COMPUTED_VALUE"""),0.327586206896551)</f>
        <v>0.3275862069</v>
      </c>
    </row>
    <row r="9857">
      <c r="A9857" s="10" t="s">
        <v>11296</v>
      </c>
      <c r="B9857" s="7" t="str">
        <f>IFERROR(__xludf.DUMMYFUNCTION("SPLIT(A9857,"" "")"),"Cc1cc(C)nc(CN(C)C2C=CNC(CN(C)Cc3ccncc3C)=C2)c1")</f>
        <v>Cc1cc(C)nc(CN(C)C2C=CNC(CN(C)Cc3ccncc3C)=C2)c1</v>
      </c>
      <c r="C9857" s="7">
        <f>IFERROR(__xludf.DUMMYFUNCTION("""COMPUTED_VALUE"""),7.767863)</f>
        <v>7.767863</v>
      </c>
      <c r="D9857" s="7">
        <f>IFERROR(__xludf.DUMMYFUNCTION("""COMPUTED_VALUE"""),0.283582089552238)</f>
        <v>0.2835820896</v>
      </c>
    </row>
    <row r="9858">
      <c r="A9858" s="10" t="s">
        <v>11297</v>
      </c>
      <c r="B9858" s="7" t="str">
        <f>IFERROR(__xludf.DUMMYFUNCTION("SPLIT(A9858,"" "")"),"CC(C)N(Cc1ccccn1)Cc1cc2c(N(Cc3ccccn3)Cc3ncccc3-c3ccc4c(c3)OCCOCCOCCOCCOCCO4)cccc2cn1")</f>
        <v>CC(C)N(Cc1ccccn1)Cc1cc2c(N(Cc3ccccn3)Cc3ncccc3-c3ccc4c(c3)OCCOCCOCCOCCOCCO4)cccc2cn1</v>
      </c>
      <c r="C9858" s="7">
        <f>IFERROR(__xludf.DUMMYFUNCTION("""COMPUTED_VALUE"""),7.767861)</f>
        <v>7.767861</v>
      </c>
      <c r="D9858" s="7">
        <f>IFERROR(__xludf.DUMMYFUNCTION("""COMPUTED_VALUE"""),0.338028169014084)</f>
        <v>0.338028169</v>
      </c>
    </row>
    <row r="9859">
      <c r="A9859" s="10" t="s">
        <v>11298</v>
      </c>
      <c r="B9859" s="7" t="str">
        <f>IFERROR(__xludf.DUMMYFUNCTION("SPLIT(A9859,"" "")"),"CC(C)C1=CCC(N(C)Cc2ccccn2)=CN1")</f>
        <v>CC(C)C1=CCC(N(C)Cc2ccccn2)=CN1</v>
      </c>
      <c r="C9859" s="7">
        <f>IFERROR(__xludf.DUMMYFUNCTION("""COMPUTED_VALUE"""),7.767844)</f>
        <v>7.767844</v>
      </c>
      <c r="D9859" s="7">
        <f>IFERROR(__xludf.DUMMYFUNCTION("""COMPUTED_VALUE"""),0.4375)</f>
        <v>0.4375</v>
      </c>
    </row>
    <row r="9860">
      <c r="A9860" s="10" t="s">
        <v>11299</v>
      </c>
      <c r="B9860" s="7" t="str">
        <f>IFERROR(__xludf.DUMMYFUNCTION("SPLIT(A9860,"" "")"),"CN(Cc1cc(CF)ccn1)C1CCC(N(C)c2ccc3c(CF)ccnc3c2)CC1")</f>
        <v>CN(Cc1cc(CF)ccn1)C1CCC(N(C)c2ccc3c(CF)ccnc3c2)CC1</v>
      </c>
      <c r="C9860" s="7">
        <f>IFERROR(__xludf.DUMMYFUNCTION("""COMPUTED_VALUE"""),7.7678323)</f>
        <v>7.7678323</v>
      </c>
      <c r="D9860" s="7">
        <f>IFERROR(__xludf.DUMMYFUNCTION("""COMPUTED_VALUE"""),0.3)</f>
        <v>0.3</v>
      </c>
    </row>
    <row r="9861">
      <c r="A9861" s="10" t="s">
        <v>11300</v>
      </c>
      <c r="B9861" s="7" t="str">
        <f>IFERROR(__xludf.DUMMYFUNCTION("SPLIT(A9861,"" "")"),"COC(=O)C(=O)C(=O)C(C)NCc1ccccn1")</f>
        <v>COC(=O)C(=O)C(=O)C(C)NCc1ccccn1</v>
      </c>
      <c r="C9861" s="7">
        <f>IFERROR(__xludf.DUMMYFUNCTION("""COMPUTED_VALUE"""),7.767832)</f>
        <v>7.767832</v>
      </c>
      <c r="D9861" s="7">
        <f>IFERROR(__xludf.DUMMYFUNCTION("""COMPUTED_VALUE"""),0.404761904761904)</f>
        <v>0.4047619048</v>
      </c>
    </row>
    <row r="9862">
      <c r="A9862" s="10" t="s">
        <v>11301</v>
      </c>
      <c r="B9862" s="7" t="str">
        <f>IFERROR(__xludf.DUMMYFUNCTION("SPLIT(A9862,"" "")"),"CC(C)C1=CCC(N(C)Cc2cccnn2)=CN1")</f>
        <v>CC(C)C1=CCC(N(C)Cc2cccnn2)=CN1</v>
      </c>
      <c r="C9862" s="7">
        <f>IFERROR(__xludf.DUMMYFUNCTION("""COMPUTED_VALUE"""),7.767831)</f>
        <v>7.767831</v>
      </c>
      <c r="D9862" s="7">
        <f>IFERROR(__xludf.DUMMYFUNCTION("""COMPUTED_VALUE"""),0.434782608695652)</f>
        <v>0.4347826087</v>
      </c>
    </row>
    <row r="9863">
      <c r="A9863" s="10" t="s">
        <v>11302</v>
      </c>
      <c r="B9863" s="7" t="str">
        <f>IFERROR(__xludf.DUMMYFUNCTION("SPLIT(A9863,"" "")"),"CC1C(N)CC1c1cccc(CN(C)Cc2cccc(C3=CCC=CN3)n2)n1")</f>
        <v>CC1C(N)CC1c1cccc(CN(C)Cc2cccc(C3=CCC=CN3)n2)n1</v>
      </c>
      <c r="C9863" s="7">
        <f>IFERROR(__xludf.DUMMYFUNCTION("""COMPUTED_VALUE"""),7.767827)</f>
        <v>7.767827</v>
      </c>
      <c r="D9863" s="7">
        <f>IFERROR(__xludf.DUMMYFUNCTION("""COMPUTED_VALUE"""),0.344262295081967)</f>
        <v>0.3442622951</v>
      </c>
    </row>
    <row r="9864">
      <c r="A9864" s="10" t="s">
        <v>11303</v>
      </c>
      <c r="B9864" s="7" t="str">
        <f>IFERROR(__xludf.DUMMYFUNCTION("SPLIT(A9864,"" "")"),"CNCc1ncccc1CN(Cc1ccccn1)C1CCCCC1N(C)c1ccc2nccc(CF)c2c1")</f>
        <v>CNCc1ncccc1CN(Cc1ccccn1)C1CCCCC1N(C)c1ccc2nccc(CF)c2c1</v>
      </c>
      <c r="C9864" s="7">
        <f>IFERROR(__xludf.DUMMYFUNCTION("""COMPUTED_VALUE"""),7.767825)</f>
        <v>7.767825</v>
      </c>
      <c r="D9864" s="7">
        <f>IFERROR(__xludf.DUMMYFUNCTION("""COMPUTED_VALUE"""),0.376811594202898)</f>
        <v>0.3768115942</v>
      </c>
    </row>
    <row r="9865">
      <c r="A9865" s="10" t="s">
        <v>11304</v>
      </c>
      <c r="B9865" s="7" t="str">
        <f>IFERROR(__xludf.DUMMYFUNCTION("SPLIT(A9865,"" "")"),"Cc1cncc(CN(C)Cc2ncccc2C(C)(C)C)c1")</f>
        <v>Cc1cncc(CN(C)Cc2ncccc2C(C)(C)C)c1</v>
      </c>
      <c r="C9865" s="7">
        <f>IFERROR(__xludf.DUMMYFUNCTION("""COMPUTED_VALUE"""),7.767822)</f>
        <v>7.767822</v>
      </c>
      <c r="D9865" s="7">
        <f>IFERROR(__xludf.DUMMYFUNCTION("""COMPUTED_VALUE"""),0.277777777777777)</f>
        <v>0.2777777778</v>
      </c>
    </row>
    <row r="9866">
      <c r="A9866" s="10" t="s">
        <v>11305</v>
      </c>
      <c r="B9866" s="7" t="str">
        <f>IFERROR(__xludf.DUMMYFUNCTION("SPLIT(A9866,"" "")"),"CNCc1cc(C)c(C)c(CN(C)C2CCCCC2N(C)c2ccc3nc(CF)ccc3c2)n1")</f>
        <v>CNCc1cc(C)c(C)c(CN(C)C2CCCCC2N(C)c2ccc3nc(CF)ccc3c2)n1</v>
      </c>
      <c r="C9866" s="7">
        <f>IFERROR(__xludf.DUMMYFUNCTION("""COMPUTED_VALUE"""),7.7678204)</f>
        <v>7.7678204</v>
      </c>
      <c r="D9866" s="7">
        <f>IFERROR(__xludf.DUMMYFUNCTION("""COMPUTED_VALUE"""),0.402985074626865)</f>
        <v>0.4029850746</v>
      </c>
    </row>
    <row r="9867">
      <c r="A9867" s="10" t="s">
        <v>11306</v>
      </c>
      <c r="B9867" s="7" t="str">
        <f>IFERROR(__xludf.DUMMYFUNCTION("SPLIT(A9867,"" "")"),"CCN(Cc1ccccn1)Cc1ncccc1C(C)(C)c1ccccn1")</f>
        <v>CCN(Cc1ccccn1)Cc1ncccc1C(C)(C)c1ccccn1</v>
      </c>
      <c r="C9867" s="7">
        <f>IFERROR(__xludf.DUMMYFUNCTION("""COMPUTED_VALUE"""),7.7678165)</f>
        <v>7.7678165</v>
      </c>
      <c r="D9867" s="7">
        <f>IFERROR(__xludf.DUMMYFUNCTION("""COMPUTED_VALUE"""),0.468085106382978)</f>
        <v>0.4680851064</v>
      </c>
    </row>
    <row r="9868">
      <c r="A9868" s="10" t="s">
        <v>11307</v>
      </c>
      <c r="B9868" s="7" t="str">
        <f>IFERROR(__xludf.DUMMYFUNCTION("SPLIT(A9868,"" "")"),"CN(Cc1ccccn1)Cc1nccc2cccc(N(C)Cc3cccc(-c4cccc5c4OCCOCCOCCOCCOCCO5)n3)c12")</f>
        <v>CN(Cc1ccccn1)Cc1nccc2cccc(N(C)Cc3cccc(-c4cccc5c4OCCOCCOCCOCCOCCO5)n3)c12</v>
      </c>
      <c r="C9868" s="7">
        <f>IFERROR(__xludf.DUMMYFUNCTION("""COMPUTED_VALUE"""),7.7678146)</f>
        <v>7.7678146</v>
      </c>
      <c r="D9868" s="7">
        <f>IFERROR(__xludf.DUMMYFUNCTION("""COMPUTED_VALUE"""),0.424242424242424)</f>
        <v>0.4242424242</v>
      </c>
    </row>
    <row r="9869">
      <c r="A9869" s="10" t="s">
        <v>11308</v>
      </c>
      <c r="B9869" s="7" t="str">
        <f>IFERROR(__xludf.DUMMYFUNCTION("SPLIT(A9869,"" "")"),"CN(Cc1ccc(F)cn1)Cc1ncccc1N")</f>
        <v>CN(Cc1ccc(F)cn1)Cc1ncccc1N</v>
      </c>
      <c r="C9869" s="7">
        <f>IFERROR(__xludf.DUMMYFUNCTION("""COMPUTED_VALUE"""),7.76781)</f>
        <v>7.76781</v>
      </c>
      <c r="D9869" s="7">
        <f>IFERROR(__xludf.DUMMYFUNCTION("""COMPUTED_VALUE"""),0.395348837209302)</f>
        <v>0.3953488372</v>
      </c>
    </row>
    <row r="9870">
      <c r="A9870" s="10" t="s">
        <v>11309</v>
      </c>
      <c r="B9870" s="7" t="str">
        <f>IFERROR(__xludf.DUMMYFUNCTION("SPLIT(A9870,"" "")"),"CC1=CC(C)C2(C=CC(c3cc(CN(Cc4ccccn4)Cc4cccc(N(C)C)n4)ccn3)C(c3ccc(CN(Cc4ccccn4)Cc4ccccn4)cn3)C23CCC(C)=C(C)C3C)CC1C")</f>
        <v>CC1=CC(C)C2(C=CC(c3cc(CN(Cc4ccccn4)Cc4cccc(N(C)C)n4)ccn3)C(c3ccc(CN(Cc4ccccn4)Cc4ccccn4)cn3)C23CCC(C)=C(C)C3C)CC1C</v>
      </c>
      <c r="C9870" s="7">
        <f>IFERROR(__xludf.DUMMYFUNCTION("""COMPUTED_VALUE"""),7.767809)</f>
        <v>7.767809</v>
      </c>
      <c r="D9870" s="7">
        <f>IFERROR(__xludf.DUMMYFUNCTION("""COMPUTED_VALUE"""),0.268041237113402)</f>
        <v>0.2680412371</v>
      </c>
    </row>
    <row r="9871">
      <c r="A9871" s="10" t="s">
        <v>11310</v>
      </c>
      <c r="B9871" s="7" t="str">
        <f>IFERROR(__xludf.DUMMYFUNCTION("SPLIT(A9871,"" "")"),"Fc1cccc(NCc2ccccn2)c1")</f>
        <v>Fc1cccc(NCc2ccccn2)c1</v>
      </c>
      <c r="C9871" s="7">
        <f>IFERROR(__xludf.DUMMYFUNCTION("""COMPUTED_VALUE"""),7.7678065)</f>
        <v>7.7678065</v>
      </c>
      <c r="D9871" s="7">
        <f>IFERROR(__xludf.DUMMYFUNCTION("""COMPUTED_VALUE"""),0.472222222222222)</f>
        <v>0.4722222222</v>
      </c>
    </row>
    <row r="9872">
      <c r="A9872" s="10" t="s">
        <v>11311</v>
      </c>
      <c r="B9872" s="7" t="str">
        <f>IFERROR(__xludf.DUMMYFUNCTION("SPLIT(A9872,"" "")"),"CCNC1CCCC(N(Cc2nc(C)c(C)c(C)c2C)Cc2nc(C)c(C)c(C)c2C)C1N(Cc1nc(C)c(C)c(C)c1C)Cc1nc(C)c(C)c(C)c1C")</f>
        <v>CCNC1CCCC(N(Cc2nc(C)c(C)c(C)c2C)Cc2nc(C)c(C)c(C)c2C)C1N(Cc1nc(C)c(C)c(C)c1C)Cc1nc(C)c(C)c(C)c1C</v>
      </c>
      <c r="C9872" s="7">
        <f>IFERROR(__xludf.DUMMYFUNCTION("""COMPUTED_VALUE"""),7.7678056)</f>
        <v>7.7678056</v>
      </c>
      <c r="D9872" s="7">
        <f>IFERROR(__xludf.DUMMYFUNCTION("""COMPUTED_VALUE"""),0.245614035087719)</f>
        <v>0.2456140351</v>
      </c>
    </row>
    <row r="9873">
      <c r="A9873" s="10" t="s">
        <v>11312</v>
      </c>
      <c r="B9873" s="7" t="str">
        <f>IFERROR(__xludf.DUMMYFUNCTION("SPLIT(A9873,"" "")"),"Cc1cc(C(C)(C)N(Cc2ccccn2)Cc2ccccn2)ccn1")</f>
        <v>Cc1cc(C(C)(C)N(Cc2ccccn2)Cc2ccccn2)ccn1</v>
      </c>
      <c r="C9873" s="7">
        <f>IFERROR(__xludf.DUMMYFUNCTION("""COMPUTED_VALUE"""),7.7677975)</f>
        <v>7.7677975</v>
      </c>
      <c r="D9873" s="7">
        <f>IFERROR(__xludf.DUMMYFUNCTION("""COMPUTED_VALUE"""),0.454545454545454)</f>
        <v>0.4545454545</v>
      </c>
    </row>
    <row r="9874">
      <c r="A9874" s="10" t="s">
        <v>11313</v>
      </c>
      <c r="B9874" s="7" t="str">
        <f>IFERROR(__xludf.DUMMYFUNCTION("SPLIT(A9874,"" "")"),"CC(C)(C)c1cccc(CN(Cc2cccc(-c3ccc4c(c3)OCCOCCOCCOCCOCCO4)n2)c2cccc3ccc(CF)nc23)n1")</f>
        <v>CC(C)(C)c1cccc(CN(Cc2cccc(-c3ccc4c(c3)OCCOCCOCCOCCOCCO4)n2)c2cccc3ccc(CF)nc23)n1</v>
      </c>
      <c r="C9874" s="7">
        <f>IFERROR(__xludf.DUMMYFUNCTION("""COMPUTED_VALUE"""),7.767797)</f>
        <v>7.767797</v>
      </c>
      <c r="D9874" s="7">
        <f>IFERROR(__xludf.DUMMYFUNCTION("""COMPUTED_VALUE"""),0.356164383561643)</f>
        <v>0.3561643836</v>
      </c>
    </row>
    <row r="9875">
      <c r="A9875" s="10" t="s">
        <v>11314</v>
      </c>
      <c r="B9875" s="7" t="str">
        <f>IFERROR(__xludf.DUMMYFUNCTION("SPLIT(A9875,"" "")"),"CC(C)N(Cc1ccccn1)C1CCC(N(C)c2ccc3nccc(CF)c3c2)CC1")</f>
        <v>CC(C)N(Cc1ccccn1)C1CCC(N(C)c2ccc3nccc(CF)c3c2)CC1</v>
      </c>
      <c r="C9875" s="7">
        <f>IFERROR(__xludf.DUMMYFUNCTION("""COMPUTED_VALUE"""),7.767792)</f>
        <v>7.767792</v>
      </c>
      <c r="D9875" s="7">
        <f>IFERROR(__xludf.DUMMYFUNCTION("""COMPUTED_VALUE"""),0.360655737704918)</f>
        <v>0.3606557377</v>
      </c>
    </row>
    <row r="9876">
      <c r="A9876" s="10" t="s">
        <v>11315</v>
      </c>
      <c r="B9876" s="7" t="str">
        <f>IFERROR(__xludf.DUMMYFUNCTION("SPLIT(A9876,"" "")"),"CCNC1=CC(C)CC(C)C1c1ncccc1CN(Cc1ccccn1)Cc1cc(C(C)(C)c2ccccn2)ccn1")</f>
        <v>CCNC1=CC(C)CC(C)C1c1ncccc1CN(Cc1ccccn1)Cc1cc(C(C)(C)c2ccccn2)ccn1</v>
      </c>
      <c r="C9876" s="7">
        <f>IFERROR(__xludf.DUMMYFUNCTION("""COMPUTED_VALUE"""),7.76779)</f>
        <v>7.76779</v>
      </c>
      <c r="D9876" s="7">
        <f>IFERROR(__xludf.DUMMYFUNCTION("""COMPUTED_VALUE"""),0.3125)</f>
        <v>0.3125</v>
      </c>
    </row>
    <row r="9877">
      <c r="A9877" s="10" t="s">
        <v>11316</v>
      </c>
      <c r="B9877" s="7" t="str">
        <f>IFERROR(__xludf.DUMMYFUNCTION("SPLIT(A9877,"" "")"),"CCCN(Cc1ccccn1)C1=C(CN(Cc2ccccn2)C(C)(C)c2ccccn2)CC=CN1")</f>
        <v>CCCN(Cc1ccccn1)C1=C(CN(Cc2ccccn2)C(C)(C)c2ccccn2)CC=CN1</v>
      </c>
      <c r="C9877" s="7">
        <f>IFERROR(__xludf.DUMMYFUNCTION("""COMPUTED_VALUE"""),7.767783)</f>
        <v>7.767783</v>
      </c>
      <c r="D9877" s="7">
        <f>IFERROR(__xludf.DUMMYFUNCTION("""COMPUTED_VALUE"""),0.359375)</f>
        <v>0.359375</v>
      </c>
    </row>
    <row r="9878">
      <c r="A9878" s="10" t="s">
        <v>11317</v>
      </c>
      <c r="B9878" s="7" t="str">
        <f>IFERROR(__xludf.DUMMYFUNCTION("SPLIT(A9878,"" "")"),"CC1=C(C)CC(C)(c2ncccc2CN(Cc2ccccn2)Cc2cc(C(C)(C)C)ccn2)CC1")</f>
        <v>CC1=C(C)CC(C)(c2ncccc2CN(Cc2ccccn2)Cc2cc(C(C)(C)C)ccn2)CC1</v>
      </c>
      <c r="C9878" s="7">
        <f>IFERROR(__xludf.DUMMYFUNCTION("""COMPUTED_VALUE"""),7.767782)</f>
        <v>7.767782</v>
      </c>
      <c r="D9878" s="7">
        <f>IFERROR(__xludf.DUMMYFUNCTION("""COMPUTED_VALUE"""),0.37037037037037)</f>
        <v>0.3703703704</v>
      </c>
    </row>
    <row r="9879">
      <c r="A9879" s="10" t="s">
        <v>11318</v>
      </c>
      <c r="B9879" s="7" t="str">
        <f>IFERROR(__xludf.DUMMYFUNCTION("SPLIT(A9879,"" "")"),"Cc1ccc(C)c(-c2cccc(NCc3ccc(C(C)(C)N4CCN(C)CCN(C)CC4)cn3)c2)n1")</f>
        <v>Cc1ccc(C)c(-c2cccc(NCc3ccc(C(C)(C)N4CCN(C)CCN(C)CC4)cn3)c2)n1</v>
      </c>
      <c r="C9879" s="7">
        <f>IFERROR(__xludf.DUMMYFUNCTION("""COMPUTED_VALUE"""),7.7677794)</f>
        <v>7.7677794</v>
      </c>
      <c r="D9879" s="7">
        <f>IFERROR(__xludf.DUMMYFUNCTION("""COMPUTED_VALUE"""),0.307692307692307)</f>
        <v>0.3076923077</v>
      </c>
    </row>
    <row r="9880">
      <c r="A9880" s="10" t="s">
        <v>11319</v>
      </c>
      <c r="B9880" s="7" t="str">
        <f>IFERROR(__xludf.DUMMYFUNCTION("SPLIT(A9880,"" "")"),"CC(C)NCc1ncccc1CN(Cc1ccccn1)C1CCCC(N(C)c2cccc3nc(CF)ccc23)C1")</f>
        <v>CC(C)NCc1ncccc1CN(Cc1ccccn1)C1CCCC(N(C)c2cccc3nc(CF)ccc23)C1</v>
      </c>
      <c r="C9880" s="7">
        <f>IFERROR(__xludf.DUMMYFUNCTION("""COMPUTED_VALUE"""),7.767779)</f>
        <v>7.767779</v>
      </c>
      <c r="D9880" s="7">
        <f>IFERROR(__xludf.DUMMYFUNCTION("""COMPUTED_VALUE"""),0.3125)</f>
        <v>0.3125</v>
      </c>
    </row>
    <row r="9881">
      <c r="A9881" s="10" t="s">
        <v>11320</v>
      </c>
      <c r="B9881" s="7" t="str">
        <f>IFERROR(__xludf.DUMMYFUNCTION("SPLIT(A9881,"" "")"),"CC1=CC(C)C2(CC1)C(C(C)C)=CC1(C=C(c3ncccc3CN(Cc3ccccn3)Cc3ccccn3)C(c3ncc(C)cc3CN(Cc3ccccn3)Cc3ccccn3)C3(CC(C)=C(C)C(C)C3)C1)CC2(C)C")</f>
        <v>CC1=CC(C)C2(CC1)C(C(C)C)=CC1(C=C(c3ncccc3CN(Cc3ccccn3)Cc3ccccn3)C(c3ncc(C)cc3CN(Cc3ccccn3)Cc3ccccn3)C3(CC(C)=C(C)C(C)C3)C1)CC2(C)C</v>
      </c>
      <c r="C9881" s="7">
        <f>IFERROR(__xludf.DUMMYFUNCTION("""COMPUTED_VALUE"""),7.7677784)</f>
        <v>7.7677784</v>
      </c>
      <c r="D9881" s="7">
        <f>IFERROR(__xludf.DUMMYFUNCTION("""COMPUTED_VALUE"""),0.227272727272727)</f>
        <v>0.2272727273</v>
      </c>
    </row>
    <row r="9882">
      <c r="A9882" s="10" t="s">
        <v>11321</v>
      </c>
      <c r="B9882" s="7" t="str">
        <f>IFERROR(__xludf.DUMMYFUNCTION("SPLIT(A9882,"" "")"),"CN(Cc1cnc2ccc(N(C)Cc3ccccn3)cc2c1)Cc1ncccc1-c1cccc2c1OCCOCCOCCOCCOCCO2")</f>
        <v>CN(Cc1cnc2ccc(N(C)Cc3ccccn3)cc2c1)Cc1ncccc1-c1cccc2c1OCCOCCOCCOCCOCCO2</v>
      </c>
      <c r="C9882" s="7">
        <f>IFERROR(__xludf.DUMMYFUNCTION("""COMPUTED_VALUE"""),7.7677617)</f>
        <v>7.7677617</v>
      </c>
      <c r="D9882" s="7">
        <f>IFERROR(__xludf.DUMMYFUNCTION("""COMPUTED_VALUE"""),0.31081081081081)</f>
        <v>0.3108108108</v>
      </c>
    </row>
    <row r="9883">
      <c r="A9883" s="10" t="s">
        <v>11322</v>
      </c>
      <c r="B9883" s="7" t="str">
        <f>IFERROR(__xludf.DUMMYFUNCTION("SPLIT(A9883,"" "")"),"CC1CC(C)C(C)C=C1c1cc(CN(Cc2ccccn2)C2CCCCC2N(C)c2ccc3nc(CN(C)C)ccc3c2)ccn1")</f>
        <v>CC1CC(C)C(C)C=C1c1cc(CN(Cc2ccccn2)C2CCCCC2N(C)c2ccc3nc(CN(C)C)ccc3c2)ccn1</v>
      </c>
      <c r="C9883" s="7">
        <f>IFERROR(__xludf.DUMMYFUNCTION("""COMPUTED_VALUE"""),7.767757)</f>
        <v>7.767757</v>
      </c>
      <c r="D9883" s="7">
        <f>IFERROR(__xludf.DUMMYFUNCTION("""COMPUTED_VALUE"""),0.346666666666666)</f>
        <v>0.3466666667</v>
      </c>
    </row>
    <row r="9884">
      <c r="A9884" s="10" t="s">
        <v>11323</v>
      </c>
      <c r="B9884" s="7" t="str">
        <f>IFERROR(__xludf.DUMMYFUNCTION("SPLIT(A9884,"" "")"),"Cc1ccc(C)c(N(C)C2CCCCC2N(Cc2ccccn2)Cc2ccc3ccccc3n2)c1")</f>
        <v>Cc1ccc(C)c(N(C)C2CCCCC2N(Cc2ccccn2)Cc2ccc3ccccc3n2)c1</v>
      </c>
      <c r="C9884" s="7">
        <f>IFERROR(__xludf.DUMMYFUNCTION("""COMPUTED_VALUE"""),7.767755)</f>
        <v>7.767755</v>
      </c>
      <c r="D9884" s="7">
        <f>IFERROR(__xludf.DUMMYFUNCTION("""COMPUTED_VALUE"""),0.473684210526315)</f>
        <v>0.4736842105</v>
      </c>
    </row>
    <row r="9885">
      <c r="A9885" s="10" t="s">
        <v>11324</v>
      </c>
      <c r="B9885" s="7" t="str">
        <f>IFERROR(__xludf.DUMMYFUNCTION("SPLIT(A9885,"" "")"),"Cc1ccc(CN(C)CC2=CCC=C(N(C)C(C)C)N2)nc1C")</f>
        <v>Cc1ccc(CN(C)CC2=CCC=C(N(C)C(C)C)N2)nc1C</v>
      </c>
      <c r="C9885" s="7">
        <f>IFERROR(__xludf.DUMMYFUNCTION("""COMPUTED_VALUE"""),7.767747)</f>
        <v>7.767747</v>
      </c>
      <c r="D9885" s="7">
        <f>IFERROR(__xludf.DUMMYFUNCTION("""COMPUTED_VALUE"""),0.307692307692307)</f>
        <v>0.3076923077</v>
      </c>
    </row>
    <row r="9886">
      <c r="A9886" s="10" t="s">
        <v>11325</v>
      </c>
      <c r="B9886" s="7" t="str">
        <f>IFERROR(__xludf.DUMMYFUNCTION("SPLIT(A9886,"" "")"),"CN(Cc1ccccn1)c1ccc2ncc(CN(Cc3ccccn3)Cc3ncccc3-c3cccc4c3OCCOCCOCCOCCOCCO4)cc2c1")</f>
        <v>CN(Cc1ccccn1)c1ccc2ncc(CN(Cc3ccccn3)Cc3ncccc3-c3cccc4c3OCCOCCOCCOCCOCCO4)cc2c1</v>
      </c>
      <c r="C9886" s="7">
        <f>IFERROR(__xludf.DUMMYFUNCTION("""COMPUTED_VALUE"""),7.7677407)</f>
        <v>7.7677407</v>
      </c>
      <c r="D9886" s="7">
        <f>IFERROR(__xludf.DUMMYFUNCTION("""COMPUTED_VALUE"""),0.298507462686567)</f>
        <v>0.2985074627</v>
      </c>
    </row>
    <row r="9887">
      <c r="A9887" s="10" t="s">
        <v>11326</v>
      </c>
      <c r="B9887" s="7" t="str">
        <f>IFERROR(__xludf.DUMMYFUNCTION("SPLIT(A9887,"" "")"),"CC1=NC(C)C(C)O1")</f>
        <v>CC1=NC(C)C(C)O1</v>
      </c>
      <c r="C9887" s="7">
        <f>IFERROR(__xludf.DUMMYFUNCTION("""COMPUTED_VALUE"""),7.7677374)</f>
        <v>7.7677374</v>
      </c>
      <c r="D9887" s="7">
        <f>IFERROR(__xludf.DUMMYFUNCTION("""COMPUTED_VALUE"""),0.142857142857142)</f>
        <v>0.1428571429</v>
      </c>
    </row>
    <row r="9888">
      <c r="A9888" s="10" t="s">
        <v>11327</v>
      </c>
      <c r="B9888" s="7" t="str">
        <f>IFERROR(__xludf.DUMMYFUNCTION("SPLIT(A9888,"" "")"),"CCNCC1=CCC=C(N(C)Cc2cccc(C)n2)N1")</f>
        <v>CCNCC1=CCC=C(N(C)Cc2cccc(C)n2)N1</v>
      </c>
      <c r="C9888" s="7">
        <f>IFERROR(__xludf.DUMMYFUNCTION("""COMPUTED_VALUE"""),7.7677345)</f>
        <v>7.7677345</v>
      </c>
      <c r="D9888" s="7">
        <f>IFERROR(__xludf.DUMMYFUNCTION("""COMPUTED_VALUE"""),0.423076923076923)</f>
        <v>0.4230769231</v>
      </c>
    </row>
    <row r="9889">
      <c r="A9889" s="10" t="s">
        <v>11328</v>
      </c>
      <c r="B9889" s="7" t="str">
        <f>IFERROR(__xludf.DUMMYFUNCTION("SPLIT(A9889,"" "")"),"CCN(Cc1ccccn1)Cc1ccc2cccc(N(C)C3CCC(N(Cc4ccccn4)Cc4ncccc4F)CC3)c2n1")</f>
        <v>CCN(Cc1ccccn1)Cc1ccc2cccc(N(C)C3CCC(N(Cc4ccccn4)Cc4ncccc4F)CC3)c2n1</v>
      </c>
      <c r="C9889" s="7">
        <f>IFERROR(__xludf.DUMMYFUNCTION("""COMPUTED_VALUE"""),7.7677345)</f>
        <v>7.7677345</v>
      </c>
      <c r="D9889" s="7">
        <f>IFERROR(__xludf.DUMMYFUNCTION("""COMPUTED_VALUE"""),0.385714285714285)</f>
        <v>0.3857142857</v>
      </c>
    </row>
    <row r="9890">
      <c r="A9890" s="10" t="s">
        <v>11329</v>
      </c>
      <c r="B9890" s="7" t="str">
        <f>IFERROR(__xludf.DUMMYFUNCTION("SPLIT(A9890,"" "")"),"CN(CC1=CCC=C(N(C)C2C=CC=CN2)N1)C1=CCC=CN1")</f>
        <v>CN(CC1=CCC=C(N(C)C2C=CC=CN2)N1)C1=CCC=CN1</v>
      </c>
      <c r="C9890" s="7">
        <f>IFERROR(__xludf.DUMMYFUNCTION("""COMPUTED_VALUE"""),7.767728)</f>
        <v>7.767728</v>
      </c>
      <c r="D9890" s="7">
        <f>IFERROR(__xludf.DUMMYFUNCTION("""COMPUTED_VALUE"""),0.274193548387096)</f>
        <v>0.2741935484</v>
      </c>
    </row>
    <row r="9891">
      <c r="A9891" s="10" t="s">
        <v>11330</v>
      </c>
      <c r="B9891" s="7" t="str">
        <f>IFERROR(__xludf.DUMMYFUNCTION("SPLIT(A9891,"" "")"),"Cc1ccnc(CN(C)C2CCCCC2N(C)c2ccc3ncccc3c2)c1")</f>
        <v>Cc1ccnc(CN(C)C2CCCCC2N(C)c2ccc3ncccc3c2)c1</v>
      </c>
      <c r="C9891" s="7">
        <f>IFERROR(__xludf.DUMMYFUNCTION("""COMPUTED_VALUE"""),7.767727)</f>
        <v>7.767727</v>
      </c>
      <c r="D9891" s="7">
        <f>IFERROR(__xludf.DUMMYFUNCTION("""COMPUTED_VALUE"""),0.5)</f>
        <v>0.5</v>
      </c>
    </row>
    <row r="9892">
      <c r="A9892" s="10" t="s">
        <v>11331</v>
      </c>
      <c r="B9892" s="7" t="str">
        <f>IFERROR(__xludf.DUMMYFUNCTION("SPLIT(A9892,"" "")"),"CCOC(C)c1ncccc1CN(Cc1ccccn1)Cc1ccc(C(C)(C)C)cn1")</f>
        <v>CCOC(C)c1ncccc1CN(Cc1ccccn1)Cc1ccc(C(C)(C)C)cn1</v>
      </c>
      <c r="C9892" s="7">
        <f>IFERROR(__xludf.DUMMYFUNCTION("""COMPUTED_VALUE"""),7.76771)</f>
        <v>7.76771</v>
      </c>
      <c r="D9892" s="7">
        <f>IFERROR(__xludf.DUMMYFUNCTION("""COMPUTED_VALUE"""),0.4)</f>
        <v>0.4</v>
      </c>
    </row>
    <row r="9893">
      <c r="A9893" s="10" t="s">
        <v>11332</v>
      </c>
      <c r="B9893" s="7" t="str">
        <f>IFERROR(__xludf.DUMMYFUNCTION("SPLIT(A9893,"" "")"),"Cc1cccnc1CN(Cc1ncc(C)c(C)c1C)C1CCC(N(C)Cc2ncccc2-c2ccccn2)CC1")</f>
        <v>Cc1cccnc1CN(Cc1ncc(C)c(C)c1C)C1CCC(N(C)Cc2ncccc2-c2ccccn2)CC1</v>
      </c>
      <c r="C9893" s="7">
        <f>IFERROR(__xludf.DUMMYFUNCTION("""COMPUTED_VALUE"""),7.7677093)</f>
        <v>7.7677093</v>
      </c>
      <c r="D9893" s="7">
        <f>IFERROR(__xludf.DUMMYFUNCTION("""COMPUTED_VALUE"""),0.32258064516129)</f>
        <v>0.3225806452</v>
      </c>
    </row>
    <row r="9894">
      <c r="A9894" s="10" t="s">
        <v>11333</v>
      </c>
      <c r="B9894" s="7" t="str">
        <f>IFERROR(__xludf.DUMMYFUNCTION("SPLIT(A9894,"" "")"),"CN1CCN(Cc2ccccn2)CCN(Cc2cc(N(C)Cc3cccc(-c4cccc(Cl)c4N)n3)ccn2)CC1")</f>
        <v>CN1CCN(Cc2ccccn2)CCN(Cc2cc(N(C)Cc3cccc(-c4cccc(Cl)c4N)n3)ccn2)CC1</v>
      </c>
      <c r="C9894" s="7">
        <f>IFERROR(__xludf.DUMMYFUNCTION("""COMPUTED_VALUE"""),7.7677016)</f>
        <v>7.7677016</v>
      </c>
      <c r="D9894" s="7">
        <f>IFERROR(__xludf.DUMMYFUNCTION("""COMPUTED_VALUE"""),0.466666666666666)</f>
        <v>0.4666666667</v>
      </c>
    </row>
    <row r="9895">
      <c r="A9895" s="10" t="s">
        <v>11334</v>
      </c>
      <c r="B9895" s="7" t="str">
        <f>IFERROR(__xludf.DUMMYFUNCTION("SPLIT(A9895,"" "")"),"Cc1ccc(CN(Cc2ccccn2)Cc2cccc(N(C)CCF)n2)nc1")</f>
        <v>Cc1ccc(CN(Cc2ccccn2)Cc2cccc(N(C)CCF)n2)nc1</v>
      </c>
      <c r="C9895" s="7">
        <f>IFERROR(__xludf.DUMMYFUNCTION("""COMPUTED_VALUE"""),7.7676983)</f>
        <v>7.7676983</v>
      </c>
      <c r="D9895" s="7">
        <f>IFERROR(__xludf.DUMMYFUNCTION("""COMPUTED_VALUE"""),0.470588235294117)</f>
        <v>0.4705882353</v>
      </c>
    </row>
    <row r="9896">
      <c r="A9896" s="10" t="s">
        <v>11335</v>
      </c>
      <c r="B9896" s="7" t="str">
        <f>IFERROR(__xludf.DUMMYFUNCTION("SPLIT(A9896,"" "")"),"CN(Cc1ncccc1-c1cccc2c1OCCOCCOCCOCCOCCO2)Cc1c(N(C)Cc2ccccn2)ccc2ncccc12")</f>
        <v>CN(Cc1ncccc1-c1cccc2c1OCCOCCOCCOCCOCCO2)Cc1c(N(C)Cc2ccccn2)ccc2ncccc12</v>
      </c>
      <c r="C9896" s="7">
        <f>IFERROR(__xludf.DUMMYFUNCTION("""COMPUTED_VALUE"""),7.767696)</f>
        <v>7.767696</v>
      </c>
      <c r="D9896" s="7">
        <f>IFERROR(__xludf.DUMMYFUNCTION("""COMPUTED_VALUE"""),0.338235294117647)</f>
        <v>0.3382352941</v>
      </c>
    </row>
    <row r="9897">
      <c r="A9897" s="10" t="s">
        <v>11336</v>
      </c>
      <c r="B9897" s="7" t="str">
        <f>IFERROR(__xludf.DUMMYFUNCTION("SPLIT(A9897,"" "")"),"CN(c1ccc2nc(CF)ccc2c1)C1CCC(N(Cc2ccccn2)Cc2cccnc2CF)CC1")</f>
        <v>CN(c1ccc2nc(CF)ccc2c1)C1CCC(N(Cc2ccccn2)Cc2cccnc2CF)CC1</v>
      </c>
      <c r="C9897" s="7">
        <f>IFERROR(__xludf.DUMMYFUNCTION("""COMPUTED_VALUE"""),7.767689)</f>
        <v>7.767689</v>
      </c>
      <c r="D9897" s="7">
        <f>IFERROR(__xludf.DUMMYFUNCTION("""COMPUTED_VALUE"""),0.359375)</f>
        <v>0.359375</v>
      </c>
    </row>
    <row r="9898">
      <c r="A9898" s="10" t="s">
        <v>11337</v>
      </c>
      <c r="B9898" s="7" t="str">
        <f>IFERROR(__xludf.DUMMYFUNCTION("SPLIT(A9898,"" "")"),"Cc1ccc(CN(C)CC2=CC(N(C)Cc3ncccc3C)C=CN2)nc1C")</f>
        <v>Cc1ccc(CN(C)CC2=CC(N(C)Cc3ncccc3C)C=CN2)nc1C</v>
      </c>
      <c r="C9898" s="7">
        <f>IFERROR(__xludf.DUMMYFUNCTION("""COMPUTED_VALUE"""),7.767675)</f>
        <v>7.767675</v>
      </c>
      <c r="D9898" s="7">
        <f>IFERROR(__xludf.DUMMYFUNCTION("""COMPUTED_VALUE"""),0.301587301587301)</f>
        <v>0.3015873016</v>
      </c>
    </row>
    <row r="9899">
      <c r="A9899" s="10" t="s">
        <v>11338</v>
      </c>
      <c r="B9899" s="7" t="str">
        <f>IFERROR(__xludf.DUMMYFUNCTION("SPLIT(A9899,"" "")"),"CN(Cc1ccccn1)Cc1ccc2cccc(N(C)Cc3ncccc3-c3ccc4c(c3)OCCOCCOCCOCCOCCO4)c2n1")</f>
        <v>CN(Cc1ccccn1)Cc1ccc2cccc(N(C)Cc3ncccc3-c3ccc4c(c3)OCCOCCOCCOCCOCCO4)c2n1</v>
      </c>
      <c r="C9899" s="7">
        <f>IFERROR(__xludf.DUMMYFUNCTION("""COMPUTED_VALUE"""),7.7676644)</f>
        <v>7.7676644</v>
      </c>
      <c r="D9899" s="7">
        <f>IFERROR(__xludf.DUMMYFUNCTION("""COMPUTED_VALUE"""),0.36231884057971)</f>
        <v>0.3623188406</v>
      </c>
    </row>
    <row r="9900">
      <c r="A9900" s="10" t="s">
        <v>11339</v>
      </c>
      <c r="B9900" s="7" t="str">
        <f>IFERROR(__xludf.DUMMYFUNCTION("SPLIT(A9900,"" "")"),"CC1=CC(C)(C)C(NCc2ccccn2)C(C)C1c1cccc(CN(Cc2ccccn2)Cc2cccc(N(C)C)n2)n1")</f>
        <v>CC1=CC(C)(C)C(NCc2ccccn2)C(C)C1c1cccc(CN(Cc2ccccn2)Cc2cccc(N(C)C)n2)n1</v>
      </c>
      <c r="C9900" s="7">
        <f>IFERROR(__xludf.DUMMYFUNCTION("""COMPUTED_VALUE"""),7.7676635)</f>
        <v>7.7676635</v>
      </c>
      <c r="D9900" s="7">
        <f>IFERROR(__xludf.DUMMYFUNCTION("""COMPUTED_VALUE"""),0.348484848484848)</f>
        <v>0.3484848485</v>
      </c>
    </row>
    <row r="9901">
      <c r="A9901" s="10" t="s">
        <v>11340</v>
      </c>
      <c r="B9901" s="7" t="str">
        <f>IFERROR(__xludf.DUMMYFUNCTION("SPLIT(A9901,"" "")"),"Cc1cnc(CN(Cc2ccccn2)C2C=CNC(C(C)C)=C2)c(C)c1")</f>
        <v>Cc1cnc(CN(Cc2ccccn2)C2C=CNC(C(C)C)=C2)c(C)c1</v>
      </c>
      <c r="C9901" s="7">
        <f>IFERROR(__xludf.DUMMYFUNCTION("""COMPUTED_VALUE"""),7.7676616)</f>
        <v>7.7676616</v>
      </c>
      <c r="D9901" s="7">
        <f>IFERROR(__xludf.DUMMYFUNCTION("""COMPUTED_VALUE"""),0.344827586206896)</f>
        <v>0.3448275862</v>
      </c>
    </row>
    <row r="9902">
      <c r="A9902" s="10" t="s">
        <v>11341</v>
      </c>
      <c r="B9902" s="7" t="str">
        <f>IFERROR(__xludf.DUMMYFUNCTION("SPLIT(A9902,"" "")"),"CNC1CC(N(Cc2nccc(C)c2C)Cc2ncc(C)c(C)c2C)CC(N(Cc2ncc(C)c(C)c2C)Cc2nc(C)c(C)c(C)c2C)C1")</f>
        <v>CNC1CC(N(Cc2nccc(C)c2C)Cc2ncc(C)c(C)c2C)CC(N(Cc2ncc(C)c(C)c2C)Cc2nc(C)c(C)c(C)c2C)C1</v>
      </c>
      <c r="C9902" s="7">
        <f>IFERROR(__xludf.DUMMYFUNCTION("""COMPUTED_VALUE"""),7.7676606)</f>
        <v>7.7676606</v>
      </c>
      <c r="D9902" s="7">
        <f>IFERROR(__xludf.DUMMYFUNCTION("""COMPUTED_VALUE"""),0.212121212121212)</f>
        <v>0.2121212121</v>
      </c>
    </row>
    <row r="9903">
      <c r="A9903" s="10" t="s">
        <v>11342</v>
      </c>
      <c r="B9903" s="7" t="str">
        <f>IFERROR(__xludf.DUMMYFUNCTION("SPLIT(A9903,"" "")"),"CCN(CC1=CCC(N(C)Cc2ccccn2)=CN1)Cc1ccccn1")</f>
        <v>CCN(CC1=CCC(N(C)Cc2ccccn2)=CN1)Cc1ccccn1</v>
      </c>
      <c r="C9903" s="7">
        <f>IFERROR(__xludf.DUMMYFUNCTION("""COMPUTED_VALUE"""),7.7676597)</f>
        <v>7.7676597</v>
      </c>
      <c r="D9903" s="7">
        <f>IFERROR(__xludf.DUMMYFUNCTION("""COMPUTED_VALUE"""),0.5)</f>
        <v>0.5</v>
      </c>
    </row>
    <row r="9904">
      <c r="A9904" s="10" t="s">
        <v>11343</v>
      </c>
      <c r="B9904" s="7" t="str">
        <f>IFERROR(__xludf.DUMMYFUNCTION("SPLIT(A9904,"" "")"),"CN(Cc1cccnc1F)Cc1ncccc1N")</f>
        <v>CN(Cc1cccnc1F)Cc1ncccc1N</v>
      </c>
      <c r="C9904" s="7">
        <f>IFERROR(__xludf.DUMMYFUNCTION("""COMPUTED_VALUE"""),7.7676578)</f>
        <v>7.7676578</v>
      </c>
      <c r="D9904" s="7">
        <f>IFERROR(__xludf.DUMMYFUNCTION("""COMPUTED_VALUE"""),0.409090909090909)</f>
        <v>0.4090909091</v>
      </c>
    </row>
    <row r="9905">
      <c r="A9905" s="10" t="s">
        <v>11344</v>
      </c>
      <c r="B9905" s="7" t="str">
        <f>IFERROR(__xludf.DUMMYFUNCTION("SPLIT(A9905,"" "")"),"CN(Cc1ccccn1)C1=CCC=C(CN(C)C2C=CC=CN2)N1")</f>
        <v>CN(Cc1ccccn1)C1=CCC=C(CN(C)C2C=CC=CN2)N1</v>
      </c>
      <c r="C9905" s="7">
        <f>IFERROR(__xludf.DUMMYFUNCTION("""COMPUTED_VALUE"""),7.767654)</f>
        <v>7.767654</v>
      </c>
      <c r="D9905" s="7">
        <f>IFERROR(__xludf.DUMMYFUNCTION("""COMPUTED_VALUE"""),0.440677966101694)</f>
        <v>0.4406779661</v>
      </c>
    </row>
    <row r="9906">
      <c r="A9906" s="10" t="s">
        <v>11345</v>
      </c>
      <c r="B9906" s="7" t="str">
        <f>IFERROR(__xludf.DUMMYFUNCTION("SPLIT(A9906,"" "")"),"CNC1CCCC(N(Cc2nc(C)c(C)cc2C)Cc2nc(C)c(C)cc2C)C1N(Cc1nc(C)c(C)c(C)c1C)Cc1nc(C)c(C)c(C)c1C")</f>
        <v>CNC1CCCC(N(Cc2nc(C)c(C)cc2C)Cc2nc(C)c(C)cc2C)C1N(Cc1nc(C)c(C)c(C)c1C)Cc1nc(C)c(C)c(C)c1C</v>
      </c>
      <c r="C9906" s="7">
        <f>IFERROR(__xludf.DUMMYFUNCTION("""COMPUTED_VALUE"""),7.7676516)</f>
        <v>7.7676516</v>
      </c>
      <c r="D9906" s="7">
        <f>IFERROR(__xludf.DUMMYFUNCTION("""COMPUTED_VALUE"""),0.245901639344262)</f>
        <v>0.2459016393</v>
      </c>
    </row>
    <row r="9907">
      <c r="A9907" s="10" t="s">
        <v>11346</v>
      </c>
      <c r="B9907" s="7" t="str">
        <f>IFERROR(__xludf.DUMMYFUNCTION("SPLIT(A9907,"" "")"),"CNCN(CN(C)Cc1nc(C)c(C)c(C)c1C)C(C)C")</f>
        <v>CNCN(CN(C)Cc1nc(C)c(C)c(C)c1C)C(C)C</v>
      </c>
      <c r="C9907" s="7">
        <f>IFERROR(__xludf.DUMMYFUNCTION("""COMPUTED_VALUE"""),7.76765)</f>
        <v>7.76765</v>
      </c>
      <c r="D9907" s="7">
        <f>IFERROR(__xludf.DUMMYFUNCTION("""COMPUTED_VALUE"""),0.224489795918367)</f>
        <v>0.2244897959</v>
      </c>
    </row>
    <row r="9908">
      <c r="A9908" s="10" t="s">
        <v>11347</v>
      </c>
      <c r="B9908" s="7" t="str">
        <f>IFERROR(__xludf.DUMMYFUNCTION("SPLIT(A9908,"" "")"),"CNCc1cc(CN(Cc2cccc(C)n2)Cc2cccc(C)n2)ccn1")</f>
        <v>CNCc1cc(CN(Cc2cccc(C)n2)Cc2cccc(C)n2)ccn1</v>
      </c>
      <c r="C9908" s="7">
        <f>IFERROR(__xludf.DUMMYFUNCTION("""COMPUTED_VALUE"""),7.7676487)</f>
        <v>7.7676487</v>
      </c>
      <c r="D9908" s="7">
        <f>IFERROR(__xludf.DUMMYFUNCTION("""COMPUTED_VALUE"""),0.431818181818181)</f>
        <v>0.4318181818</v>
      </c>
    </row>
    <row r="9909">
      <c r="A9909" s="10" t="s">
        <v>11348</v>
      </c>
      <c r="B9909" s="7" t="str">
        <f>IFERROR(__xludf.DUMMYFUNCTION("SPLIT(A9909,"" "")"),"FCC1=C(SCc2ccccn2)CC=CN1")</f>
        <v>FCC1=C(SCc2ccccn2)CC=CN1</v>
      </c>
      <c r="C9909" s="7">
        <f>IFERROR(__xludf.DUMMYFUNCTION("""COMPUTED_VALUE"""),7.767647)</f>
        <v>7.767647</v>
      </c>
      <c r="D9909" s="7">
        <f>IFERROR(__xludf.DUMMYFUNCTION("""COMPUTED_VALUE"""),0.395348837209302)</f>
        <v>0.3953488372</v>
      </c>
    </row>
    <row r="9910">
      <c r="A9910" s="10" t="s">
        <v>11349</v>
      </c>
      <c r="B9910" s="7" t="str">
        <f>IFERROR(__xludf.DUMMYFUNCTION("SPLIT(A9910,"" "")"),"Cc1cnc(C)c(CN(C)CC2=CC(N(C)Cc3ncccc3C)C=CN2)c1")</f>
        <v>Cc1cnc(C)c(CN(C)CC2=CC(N(C)Cc3ncccc3C)C=CN2)c1</v>
      </c>
      <c r="C9910" s="7">
        <f>IFERROR(__xludf.DUMMYFUNCTION("""COMPUTED_VALUE"""),7.767647)</f>
        <v>7.767647</v>
      </c>
      <c r="D9910" s="7">
        <f>IFERROR(__xludf.DUMMYFUNCTION("""COMPUTED_VALUE"""),0.279411764705882)</f>
        <v>0.2794117647</v>
      </c>
    </row>
    <row r="9911">
      <c r="A9911" s="10" t="s">
        <v>11350</v>
      </c>
      <c r="B9911" s="7" t="str">
        <f>IFERROR(__xludf.DUMMYFUNCTION("SPLIT(A9911,"" "")"),"Cc1cccc(CN(Cc2nc(C)c(C)cc2C)C2CCC(N(C)Cc3cc(-c4ccccn4)ccn3)CC2)n1")</f>
        <v>Cc1cccc(CN(Cc2nc(C)c(C)cc2C)C2CCC(N(C)Cc3cc(-c4ccccn4)ccn3)CC2)n1</v>
      </c>
      <c r="C9911" s="7">
        <f>IFERROR(__xludf.DUMMYFUNCTION("""COMPUTED_VALUE"""),7.767644)</f>
        <v>7.767644</v>
      </c>
      <c r="D9911" s="7">
        <f>IFERROR(__xludf.DUMMYFUNCTION("""COMPUTED_VALUE"""),0.378787878787878)</f>
        <v>0.3787878788</v>
      </c>
    </row>
    <row r="9912">
      <c r="A9912" s="10" t="s">
        <v>11351</v>
      </c>
      <c r="B9912" s="7" t="str">
        <f>IFERROR(__xludf.DUMMYFUNCTION("SPLIT(A9912,"" "")"),"COC(=O)c1cccc(-c2cccc(C(=O)C(=O)C(C)NCc3cccc(CN4CCN(C)CCN(C)CC4)n3)n2)n1")</f>
        <v>COC(=O)c1cccc(-c2cccc(C(=O)C(=O)C(C)NCc3cccc(CN4CCN(C)CCN(C)CC4)n3)n2)n1</v>
      </c>
      <c r="C9912" s="7">
        <f>IFERROR(__xludf.DUMMYFUNCTION("""COMPUTED_VALUE"""),7.767628)</f>
        <v>7.767628</v>
      </c>
      <c r="D9912" s="7">
        <f>IFERROR(__xludf.DUMMYFUNCTION("""COMPUTED_VALUE"""),0.4)</f>
        <v>0.4</v>
      </c>
    </row>
    <row r="9913">
      <c r="A9913" s="10" t="s">
        <v>11352</v>
      </c>
      <c r="B9913" s="7" t="str">
        <f>IFERROR(__xludf.DUMMYFUNCTION("SPLIT(A9913,"" "")"),"Cc1ccc(C)c(CN(C)C2=C(CN(Cc3ccccn3)CC(C)(C)C)NC=CC2)n1")</f>
        <v>Cc1ccc(C)c(CN(C)C2=C(CN(Cc3ccccn3)CC(C)(C)C)NC=CC2)n1</v>
      </c>
      <c r="C9913" s="7">
        <f>IFERROR(__xludf.DUMMYFUNCTION("""COMPUTED_VALUE"""),7.7676272)</f>
        <v>7.7676272</v>
      </c>
      <c r="D9913" s="7">
        <f>IFERROR(__xludf.DUMMYFUNCTION("""COMPUTED_VALUE"""),0.433333333333333)</f>
        <v>0.4333333333</v>
      </c>
    </row>
    <row r="9914">
      <c r="A9914" s="10" t="s">
        <v>11353</v>
      </c>
      <c r="B9914" s="7" t="str">
        <f>IFERROR(__xludf.DUMMYFUNCTION("SPLIT(A9914,"" "")"),"Cc1cccc(-c2ccc(N(C)c3ccc(CN(Cc4ccc(CN5CCN(C)CCN(C)CC5)cn4)C4CCC(N(Cc5cc(C)c(C)cn5)Cc5cc(C)c(C)c(C)n5)CC4)nc3)cn2)n1")</f>
        <v>Cc1cccc(-c2ccc(N(C)c3ccc(CN(Cc4ccc(CN5CCN(C)CCN(C)CC5)cn4)C4CCC(N(Cc5cc(C)c(C)cn5)Cc5cc(C)c(C)c(C)n5)CC4)nc3)cn2)n1</v>
      </c>
      <c r="C9914" s="7">
        <f>IFERROR(__xludf.DUMMYFUNCTION("""COMPUTED_VALUE"""),7.7676196)</f>
        <v>7.7676196</v>
      </c>
      <c r="D9914" s="7">
        <f>IFERROR(__xludf.DUMMYFUNCTION("""COMPUTED_VALUE"""),0.333333333333333)</f>
        <v>0.3333333333</v>
      </c>
    </row>
    <row r="9915">
      <c r="A9915" s="10" t="s">
        <v>11354</v>
      </c>
      <c r="B9915" s="7" t="str">
        <f>IFERROR(__xludf.DUMMYFUNCTION("SPLIT(A9915,"" "")"),"CC(C)N(Cc1cc(CF)ccn1)C1CCC(N(C)c2cccc3c(CF)ccnc23)CC1")</f>
        <v>CC(C)N(Cc1cc(CF)ccn1)C1CCC(N(C)c2cccc3c(CF)ccnc23)CC1</v>
      </c>
      <c r="C9915" s="7">
        <f>IFERROR(__xludf.DUMMYFUNCTION("""COMPUTED_VALUE"""),7.767618)</f>
        <v>7.767618</v>
      </c>
      <c r="D9915" s="7">
        <f>IFERROR(__xludf.DUMMYFUNCTION("""COMPUTED_VALUE"""),0.323529411764705)</f>
        <v>0.3235294118</v>
      </c>
    </row>
    <row r="9916">
      <c r="A9916" s="10" t="s">
        <v>11355</v>
      </c>
      <c r="B9916" s="7" t="str">
        <f>IFERROR(__xludf.DUMMYFUNCTION("SPLIT(A9916,"" "")"),"Cc1cccc(CN(C)Cc2ccc(N)cn2)c1C")</f>
        <v>Cc1cccc(CN(C)Cc2ccc(N)cn2)c1C</v>
      </c>
      <c r="C9916" s="7">
        <f>IFERROR(__xludf.DUMMYFUNCTION("""COMPUTED_VALUE"""),7.7676163)</f>
        <v>7.7676163</v>
      </c>
      <c r="D9916" s="7">
        <f>IFERROR(__xludf.DUMMYFUNCTION("""COMPUTED_VALUE"""),0.41860465116279)</f>
        <v>0.4186046512</v>
      </c>
    </row>
    <row r="9917">
      <c r="A9917" s="10" t="s">
        <v>11356</v>
      </c>
      <c r="B9917" s="7" t="str">
        <f>IFERROR(__xludf.DUMMYFUNCTION("SPLIT(A9917,"" "")"),"Cc1cc(C(C)(C)c2cc(CN3CCN(C)CCN(C)CC3)ccn2)cc2cccnc12")</f>
        <v>Cc1cc(C(C)(C)c2cc(CN3CCN(C)CCN(C)CC3)ccn2)cc2cccnc12</v>
      </c>
      <c r="C9917" s="7">
        <f>IFERROR(__xludf.DUMMYFUNCTION("""COMPUTED_VALUE"""),7.7676144)</f>
        <v>7.7676144</v>
      </c>
      <c r="D9917" s="7">
        <f>IFERROR(__xludf.DUMMYFUNCTION("""COMPUTED_VALUE"""),0.4)</f>
        <v>0.4</v>
      </c>
    </row>
    <row r="9918">
      <c r="A9918" s="10" t="s">
        <v>11357</v>
      </c>
      <c r="B9918" s="7" t="str">
        <f>IFERROR(__xludf.DUMMYFUNCTION("SPLIT(A9918,"" "")"),"CNCc1ncccc1CN(Cc1ccccn1)C1CCC(N(C)c2cccc3ncccc23)CC1")</f>
        <v>CNCc1ncccc1CN(Cc1ccccn1)C1CCC(N(C)c2cccc3ncccc23)CC1</v>
      </c>
      <c r="C9918" s="7">
        <f>IFERROR(__xludf.DUMMYFUNCTION("""COMPUTED_VALUE"""),7.7676086)</f>
        <v>7.7676086</v>
      </c>
      <c r="D9918" s="7">
        <f>IFERROR(__xludf.DUMMYFUNCTION("""COMPUTED_VALUE"""),0.34375)</f>
        <v>0.34375</v>
      </c>
    </row>
    <row r="9919">
      <c r="A9919" s="10" t="s">
        <v>11358</v>
      </c>
      <c r="B9919" s="7" t="str">
        <f>IFERROR(__xludf.DUMMYFUNCTION("SPLIT(A9919,"" "")"),"CNCc1cccc(CN(Cc2ccccn2)c2ccc3nc(CN(C)Cc4ncccc4-c4ccc5c(c4)OCCOCCOCCOCCOCCO5)ccc3c2)n1")</f>
        <v>CNCc1cccc(CN(Cc2ccccn2)c2ccc3nc(CN(C)Cc4ncccc4-c4ccc5c(c4)OCCOCCOCCOCCOCCO5)ccc3c2)n1</v>
      </c>
      <c r="C9919" s="7">
        <f>IFERROR(__xludf.DUMMYFUNCTION("""COMPUTED_VALUE"""),7.767605)</f>
        <v>7.767605</v>
      </c>
      <c r="D9919" s="7">
        <f>IFERROR(__xludf.DUMMYFUNCTION("""COMPUTED_VALUE"""),0.324675324675324)</f>
        <v>0.3246753247</v>
      </c>
    </row>
    <row r="9920">
      <c r="A9920" s="10" t="s">
        <v>11359</v>
      </c>
      <c r="B9920" s="7" t="str">
        <f>IFERROR(__xludf.DUMMYFUNCTION("SPLIT(A9920,"" "")"),"CN(c1ccc2nc(CF)ccc2c1)C1CCCCC1N(Cc1ccccn1)Cc1ncccc1F")</f>
        <v>CN(c1ccc2nc(CF)ccc2c1)C1CCCCC1N(Cc1ccccn1)Cc1ncccc1F</v>
      </c>
      <c r="C9920" s="7">
        <f>IFERROR(__xludf.DUMMYFUNCTION("""COMPUTED_VALUE"""),7.7676034)</f>
        <v>7.7676034</v>
      </c>
      <c r="D9920" s="7">
        <f>IFERROR(__xludf.DUMMYFUNCTION("""COMPUTED_VALUE"""),0.412698412698412)</f>
        <v>0.4126984127</v>
      </c>
    </row>
    <row r="9921">
      <c r="A9921" s="10" t="s">
        <v>11360</v>
      </c>
      <c r="B9921" s="7" t="str">
        <f>IFERROR(__xludf.DUMMYFUNCTION("SPLIT(A9921,"" "")"),"Cc1cccnc1CN(C)C1CCCCC1N(C)c1ccc2nc(CF)ccc2c1")</f>
        <v>Cc1cccnc1CN(C)C1CCCCC1N(C)c1ccc2nc(CF)ccc2c1</v>
      </c>
      <c r="C9921" s="7">
        <f>IFERROR(__xludf.DUMMYFUNCTION("""COMPUTED_VALUE"""),7.7676034)</f>
        <v>7.7676034</v>
      </c>
      <c r="D9921" s="7">
        <f>IFERROR(__xludf.DUMMYFUNCTION("""COMPUTED_VALUE"""),0.451612903225806)</f>
        <v>0.4516129032</v>
      </c>
    </row>
    <row r="9922">
      <c r="A9922" s="10" t="s">
        <v>11361</v>
      </c>
      <c r="B9922" s="7" t="str">
        <f>IFERROR(__xludf.DUMMYFUNCTION("SPLIT(A9922,"" "")"),"CN(Cc1cccnn1)C1CCCC(N(C)c2ccc3nc(CF)ccc3c2)C1")</f>
        <v>CN(Cc1cccnn1)C1CCCC(N(C)c2ccc3nc(CF)ccc3c2)C1</v>
      </c>
      <c r="C9922" s="7">
        <f>IFERROR(__xludf.DUMMYFUNCTION("""COMPUTED_VALUE"""),7.7675986)</f>
        <v>7.7675986</v>
      </c>
      <c r="D9922" s="7">
        <f>IFERROR(__xludf.DUMMYFUNCTION("""COMPUTED_VALUE"""),0.4)</f>
        <v>0.4</v>
      </c>
    </row>
    <row r="9923">
      <c r="A9923" s="10" t="s">
        <v>11362</v>
      </c>
      <c r="B9923" s="7" t="str">
        <f>IFERROR(__xludf.DUMMYFUNCTION("SPLIT(A9923,"" "")"),"CC(C)(c1ccccn1)c1cccnc1CN(Cc1ccccn1)Cc1cccnc1C1CCC1(C)C")</f>
        <v>CC(C)(c1ccccn1)c1cccnc1CN(Cc1ccccn1)Cc1cccnc1C1CCC1(C)C</v>
      </c>
      <c r="C9923" s="7">
        <f>IFERROR(__xludf.DUMMYFUNCTION("""COMPUTED_VALUE"""),7.7675896)</f>
        <v>7.7675896</v>
      </c>
      <c r="D9923" s="7">
        <f>IFERROR(__xludf.DUMMYFUNCTION("""COMPUTED_VALUE"""),0.357142857142857)</f>
        <v>0.3571428571</v>
      </c>
    </row>
    <row r="9924">
      <c r="A9924" s="10" t="s">
        <v>11363</v>
      </c>
      <c r="B9924" s="7" t="str">
        <f>IFERROR(__xludf.DUMMYFUNCTION("SPLIT(A9924,"" "")"),"CN(Cc1cccnn1)C1CCCCC1N(C)c1ccc2c(CF)ccnc2c1")</f>
        <v>CN(Cc1cccnn1)C1CCCCC1N(C)c1ccc2c(CF)ccnc2c1</v>
      </c>
      <c r="C9924" s="7">
        <f>IFERROR(__xludf.DUMMYFUNCTION("""COMPUTED_VALUE"""),7.767577)</f>
        <v>7.767577</v>
      </c>
      <c r="D9924" s="7">
        <f>IFERROR(__xludf.DUMMYFUNCTION("""COMPUTED_VALUE"""),0.43103448275862)</f>
        <v>0.4310344828</v>
      </c>
    </row>
    <row r="9925">
      <c r="A9925" s="10" t="s">
        <v>11364</v>
      </c>
      <c r="B9925" s="7" t="str">
        <f>IFERROR(__xludf.DUMMYFUNCTION("SPLIT(A9925,"" "")"),"Cc1cc(C)c(CN(C)C2=CCC=C(CN(C)C(C)C(C)N)N2)nc1C")</f>
        <v>Cc1cc(C)c(CN(C)C2=CCC=C(CN(C)C(C)C(C)N)N2)nc1C</v>
      </c>
      <c r="C9925" s="7">
        <f>IFERROR(__xludf.DUMMYFUNCTION("""COMPUTED_VALUE"""),7.7675757)</f>
        <v>7.7675757</v>
      </c>
      <c r="D9925" s="7">
        <f>IFERROR(__xludf.DUMMYFUNCTION("""COMPUTED_VALUE"""),0.171428571428571)</f>
        <v>0.1714285714</v>
      </c>
    </row>
    <row r="9926">
      <c r="A9926" s="10" t="s">
        <v>11365</v>
      </c>
      <c r="B9926" s="7" t="str">
        <f>IFERROR(__xludf.DUMMYFUNCTION("SPLIT(A9926,"" "")"),"CNC1C(N(Cc2nc(C)c(C)cc2C)Cc2nc(C)c(C)c(C)c2C)CCCC1N(Cc1nc(C)c(C)cc1C)Cc1nc(C)c(C)c(C)c1C")</f>
        <v>CNC1C(N(Cc2nc(C)c(C)cc2C)Cc2nc(C)c(C)c(C)c2C)CCCC1N(Cc1nc(C)c(C)cc1C)Cc1nc(C)c(C)c(C)c1C</v>
      </c>
      <c r="C9926" s="7">
        <f>IFERROR(__xludf.DUMMYFUNCTION("""COMPUTED_VALUE"""),7.767575)</f>
        <v>7.767575</v>
      </c>
      <c r="D9926" s="7">
        <f>IFERROR(__xludf.DUMMYFUNCTION("""COMPUTED_VALUE"""),0.263157894736842)</f>
        <v>0.2631578947</v>
      </c>
    </row>
    <row r="9927">
      <c r="A9927" s="10" t="s">
        <v>11366</v>
      </c>
      <c r="B9927" s="7" t="str">
        <f>IFERROR(__xludf.DUMMYFUNCTION("SPLIT(A9927,"" "")"),"Cc1ccc(CN(C)CC2=CCC=C(N(C)C3C=CC=CN3)N2)nc1")</f>
        <v>Cc1ccc(CN(C)CC2=CCC=C(N(C)C3C=CC=CN3)N2)nc1</v>
      </c>
      <c r="C9927" s="7">
        <f>IFERROR(__xludf.DUMMYFUNCTION("""COMPUTED_VALUE"""),7.7675743)</f>
        <v>7.7675743</v>
      </c>
      <c r="D9927" s="7">
        <f>IFERROR(__xludf.DUMMYFUNCTION("""COMPUTED_VALUE"""),0.407407407407407)</f>
        <v>0.4074074074</v>
      </c>
    </row>
    <row r="9928">
      <c r="A9928" s="10" t="s">
        <v>11367</v>
      </c>
      <c r="B9928" s="7" t="str">
        <f>IFERROR(__xludf.DUMMYFUNCTION("SPLIT(A9928,"" "")"),"CN(Cc1ccc2cc(N(C)Cc3ccccn3)ccc2n1)Cc1ncccc1-c1ccc2c(c1)OCCOCCOCCOCCOCCO2")</f>
        <v>CN(Cc1ccc2cc(N(C)Cc3ccccn3)ccc2n1)Cc1ncccc1-c1ccc2c(c1)OCCOCCOCCOCCOCCO2</v>
      </c>
      <c r="C9928" s="7">
        <f>IFERROR(__xludf.DUMMYFUNCTION("""COMPUTED_VALUE"""),7.767573)</f>
        <v>7.767573</v>
      </c>
      <c r="D9928" s="7">
        <f>IFERROR(__xludf.DUMMYFUNCTION("""COMPUTED_VALUE"""),0.347826086956521)</f>
        <v>0.347826087</v>
      </c>
    </row>
    <row r="9929">
      <c r="A9929" s="10" t="s">
        <v>11368</v>
      </c>
      <c r="B9929" s="7" t="str">
        <f>IFERROR(__xludf.DUMMYFUNCTION("SPLIT(A9929,"" "")"),"CN(C)Cc1ccc2cc(N(C)Cc3cccc(-c4ccc5c(c4)OCCOCCOCCOCCOCCO5)n3)ccc2n1")</f>
        <v>CN(C)Cc1ccc2cc(N(C)Cc3cccc(-c4ccc5c(c4)OCCOCCOCCOCCOCCO5)n3)ccc2n1</v>
      </c>
      <c r="C9929" s="7">
        <f>IFERROR(__xludf.DUMMYFUNCTION("""COMPUTED_VALUE"""),7.767572)</f>
        <v>7.767572</v>
      </c>
      <c r="D9929" s="7">
        <f>IFERROR(__xludf.DUMMYFUNCTION("""COMPUTED_VALUE"""),0.328767123287671)</f>
        <v>0.3287671233</v>
      </c>
    </row>
    <row r="9930">
      <c r="A9930" s="10" t="s">
        <v>11369</v>
      </c>
      <c r="B9930" s="7" t="str">
        <f>IFERROR(__xludf.DUMMYFUNCTION("SPLIT(A9930,"" "")"),"CCNCC1=CCC=C(N(C)Cc2ncccc2C)N1")</f>
        <v>CCNCC1=CCC=C(N(C)Cc2ncccc2C)N1</v>
      </c>
      <c r="C9930" s="7">
        <f>IFERROR(__xludf.DUMMYFUNCTION("""COMPUTED_VALUE"""),7.767568)</f>
        <v>7.767568</v>
      </c>
      <c r="D9930" s="7">
        <f>IFERROR(__xludf.DUMMYFUNCTION("""COMPUTED_VALUE"""),0.274193548387096)</f>
        <v>0.2741935484</v>
      </c>
    </row>
    <row r="9931">
      <c r="A9931" s="10" t="s">
        <v>11370</v>
      </c>
      <c r="B9931" s="7" t="str">
        <f>IFERROR(__xludf.DUMMYFUNCTION("SPLIT(A9931,"" "")"),"Cc1cnc(CN(C)CCN(C)Cc2ncc(C)c(C)c2C)c(C)c1C")</f>
        <v>Cc1cnc(CN(C)CCN(C)Cc2ncc(C)c(C)c2C)c(C)c1C</v>
      </c>
      <c r="C9931" s="7">
        <f>IFERROR(__xludf.DUMMYFUNCTION("""COMPUTED_VALUE"""),7.7675657)</f>
        <v>7.7675657</v>
      </c>
      <c r="D9931" s="7">
        <f>IFERROR(__xludf.DUMMYFUNCTION("""COMPUTED_VALUE"""),0.470588235294117)</f>
        <v>0.4705882353</v>
      </c>
    </row>
    <row r="9932">
      <c r="A9932" s="10" t="s">
        <v>11371</v>
      </c>
      <c r="B9932" s="7" t="str">
        <f>IFERROR(__xludf.DUMMYFUNCTION("SPLIT(A9932,"" "")"),"Cc1cccnc1CN(C)C1CCC(N(C)c2cccc3ccc(CN(Cc4ccccn4)C(C)C)nc23)CC1")</f>
        <v>Cc1cccnc1CN(C)C1CCC(N(C)c2cccc3ccc(CN(Cc4ccccn4)C(C)C)nc23)CC1</v>
      </c>
      <c r="C9932" s="7">
        <f>IFERROR(__xludf.DUMMYFUNCTION("""COMPUTED_VALUE"""),7.7675624)</f>
        <v>7.7675624</v>
      </c>
      <c r="D9932" s="7">
        <f>IFERROR(__xludf.DUMMYFUNCTION("""COMPUTED_VALUE"""),0.387096774193548)</f>
        <v>0.3870967742</v>
      </c>
    </row>
    <row r="9933">
      <c r="A9933" s="10" t="s">
        <v>11372</v>
      </c>
      <c r="B9933" s="7" t="str">
        <f>IFERROR(__xludf.DUMMYFUNCTION("SPLIT(A9933,"" "")"),"CC1N=COC1c1ncccc1CN(C)C")</f>
        <v>CC1N=COC1c1ncccc1CN(C)C</v>
      </c>
      <c r="C9933" s="7">
        <f>IFERROR(__xludf.DUMMYFUNCTION("""COMPUTED_VALUE"""),7.7675557)</f>
        <v>7.7675557</v>
      </c>
      <c r="D9933" s="7">
        <f>IFERROR(__xludf.DUMMYFUNCTION("""COMPUTED_VALUE"""),0.361702127659574)</f>
        <v>0.3617021277</v>
      </c>
    </row>
    <row r="9934">
      <c r="A9934" s="10" t="s">
        <v>11373</v>
      </c>
      <c r="B9934" s="7" t="str">
        <f>IFERROR(__xludf.DUMMYFUNCTION("SPLIT(A9934,"" "")"),"CNCc1ncccc1CN(Cc1ncccc1C)Cc1ncccc1F")</f>
        <v>CNCc1ncccc1CN(Cc1ncccc1C)Cc1ncccc1F</v>
      </c>
      <c r="C9934" s="7">
        <f>IFERROR(__xludf.DUMMYFUNCTION("""COMPUTED_VALUE"""),7.7675524)</f>
        <v>7.7675524</v>
      </c>
      <c r="D9934" s="7">
        <f>IFERROR(__xludf.DUMMYFUNCTION("""COMPUTED_VALUE"""),0.277777777777777)</f>
        <v>0.2777777778</v>
      </c>
    </row>
    <row r="9935">
      <c r="A9935" s="10" t="s">
        <v>11374</v>
      </c>
      <c r="B9935" s="7" t="str">
        <f>IFERROR(__xludf.DUMMYFUNCTION("SPLIT(A9935,"" "")"),"Cc1cc(C)nc(CN(C)Cc2ccnc(CNC(C)C)c2)c1")</f>
        <v>Cc1cc(C)nc(CN(C)Cc2ccnc(CNC(C)C)c2)c1</v>
      </c>
      <c r="C9935" s="7">
        <f>IFERROR(__xludf.DUMMYFUNCTION("""COMPUTED_VALUE"""),7.7675447)</f>
        <v>7.7675447</v>
      </c>
      <c r="D9935" s="7">
        <f>IFERROR(__xludf.DUMMYFUNCTION("""COMPUTED_VALUE"""),0.339622641509433)</f>
        <v>0.3396226415</v>
      </c>
    </row>
    <row r="9936">
      <c r="A9936" s="10" t="s">
        <v>11375</v>
      </c>
      <c r="B9936" s="7" t="str">
        <f>IFERROR(__xludf.DUMMYFUNCTION("SPLIT(A9936,"" "")"),"CN(CCN(C)C1(C)CCC1)c1cccc2ncccc12")</f>
        <v>CN(CCN(C)C1(C)CCC1)c1cccc2ncccc12</v>
      </c>
      <c r="C9936" s="7">
        <f>IFERROR(__xludf.DUMMYFUNCTION("""COMPUTED_VALUE"""),7.7675366)</f>
        <v>7.7675366</v>
      </c>
      <c r="D9936" s="7">
        <f>IFERROR(__xludf.DUMMYFUNCTION("""COMPUTED_VALUE"""),0.456521739130434)</f>
        <v>0.4565217391</v>
      </c>
    </row>
    <row r="9937">
      <c r="A9937" s="10" t="s">
        <v>11376</v>
      </c>
      <c r="B9937" s="7" t="str">
        <f>IFERROR(__xludf.DUMMYFUNCTION("SPLIT(A9937,"" "")"),"CN(Cc1cccc(C2=CCC=CN2)n1)C1CCC(N(C)Cc2cccc(-c3ccccn3)n2)CC1")</f>
        <v>CN(Cc1cccc(C2=CCC=CN2)n1)C1CCC(N(C)Cc2cccc(-c3ccccn3)n2)CC1</v>
      </c>
      <c r="C9937" s="7">
        <f>IFERROR(__xludf.DUMMYFUNCTION("""COMPUTED_VALUE"""),7.767535)</f>
        <v>7.767535</v>
      </c>
      <c r="D9937" s="7">
        <f>IFERROR(__xludf.DUMMYFUNCTION("""COMPUTED_VALUE"""),0.481481481481481)</f>
        <v>0.4814814815</v>
      </c>
    </row>
    <row r="9938">
      <c r="A9938" s="10" t="s">
        <v>11377</v>
      </c>
      <c r="B9938" s="7" t="str">
        <f>IFERROR(__xludf.DUMMYFUNCTION("SPLIT(A9938,"" "")"),"CN(C)Cc1ccc2ccc(N(C)C3CCCCC3N(C)Cc3cccnn3)cc2n1")</f>
        <v>CN(C)Cc1ccc2ccc(N(C)C3CCCCC3N(C)Cc3cccnn3)cc2n1</v>
      </c>
      <c r="C9938" s="7">
        <f>IFERROR(__xludf.DUMMYFUNCTION("""COMPUTED_VALUE"""),7.767534)</f>
        <v>7.767534</v>
      </c>
      <c r="D9938" s="7">
        <f>IFERROR(__xludf.DUMMYFUNCTION("""COMPUTED_VALUE"""),0.454545454545454)</f>
        <v>0.4545454545</v>
      </c>
    </row>
    <row r="9939">
      <c r="A9939" s="10" t="s">
        <v>11378</v>
      </c>
      <c r="B9939" s="7" t="str">
        <f>IFERROR(__xludf.DUMMYFUNCTION("SPLIT(A9939,"" "")"),"Cc1cnc(CN(C)C2=CNC(CN(C)C(C)(C)C)=CC2)c(C)c1")</f>
        <v>Cc1cnc(CN(C)C2=CNC(CN(C)C(C)(C)C)=CC2)c(C)c1</v>
      </c>
      <c r="C9939" s="7">
        <f>IFERROR(__xludf.DUMMYFUNCTION("""COMPUTED_VALUE"""),7.767526)</f>
        <v>7.767526</v>
      </c>
      <c r="D9939" s="7">
        <f>IFERROR(__xludf.DUMMYFUNCTION("""COMPUTED_VALUE"""),0.228070175438596)</f>
        <v>0.2280701754</v>
      </c>
    </row>
    <row r="9940">
      <c r="A9940" s="10" t="s">
        <v>11379</v>
      </c>
      <c r="B9940" s="7" t="str">
        <f>IFERROR(__xludf.DUMMYFUNCTION("SPLIT(A9940,"" "")"),"CNCc1cccc(CN(Cc2ccccn2)C2CCC(N(C)c3cccc4nc(CF)ccc34)CC2)n1")</f>
        <v>CNCc1cccc(CN(Cc2ccccn2)C2CCC(N(C)c3cccc4nc(CF)ccc34)CC2)n1</v>
      </c>
      <c r="C9940" s="7">
        <f>IFERROR(__xludf.DUMMYFUNCTION("""COMPUTED_VALUE"""),7.7675247)</f>
        <v>7.7675247</v>
      </c>
      <c r="D9940" s="7">
        <f>IFERROR(__xludf.DUMMYFUNCTION("""COMPUTED_VALUE"""),0.353846153846153)</f>
        <v>0.3538461538</v>
      </c>
    </row>
    <row r="9941">
      <c r="A9941" s="10" t="s">
        <v>11380</v>
      </c>
      <c r="B9941" s="7" t="str">
        <f>IFERROR(__xludf.DUMMYFUNCTION("SPLIT(A9941,"" "")"),"CN1C=CCC=C1NCc1ccccn1")</f>
        <v>CN1C=CCC=C1NCc1ccccn1</v>
      </c>
      <c r="C9941" s="7">
        <f>IFERROR(__xludf.DUMMYFUNCTION("""COMPUTED_VALUE"""),7.7675242)</f>
        <v>7.7675242</v>
      </c>
      <c r="D9941" s="7">
        <f>IFERROR(__xludf.DUMMYFUNCTION("""COMPUTED_VALUE"""),0.414634146341463)</f>
        <v>0.4146341463</v>
      </c>
    </row>
    <row r="9942">
      <c r="A9942" s="10" t="s">
        <v>11381</v>
      </c>
      <c r="B9942" s="7" t="str">
        <f>IFERROR(__xludf.DUMMYFUNCTION("SPLIT(A9942,"" "")"),"CN(Cc1ccccn1)Cc1ccc2cccc(N(Cc3ccccn3)Cc3ncccc3-c3ccc4c(c3)OCCOCCOCCOCCOCCO4)c2n1")</f>
        <v>CN(Cc1ccccn1)Cc1ccc2cccc(N(Cc3ccccn3)Cc3ncccc3-c3ccc4c(c3)OCCOCCOCCOCCOCCO4)c2n1</v>
      </c>
      <c r="C9942" s="7">
        <f>IFERROR(__xludf.DUMMYFUNCTION("""COMPUTED_VALUE"""),7.7675242)</f>
        <v>7.7675242</v>
      </c>
      <c r="D9942" s="7">
        <f>IFERROR(__xludf.DUMMYFUNCTION("""COMPUTED_VALUE"""),0.357142857142857)</f>
        <v>0.3571428571</v>
      </c>
    </row>
    <row r="9943">
      <c r="A9943" s="10" t="s">
        <v>11382</v>
      </c>
      <c r="B9943" s="7" t="str">
        <f>IFERROR(__xludf.DUMMYFUNCTION("SPLIT(A9943,"" "")"),"CC1=CC(C)C(C)C(C)(c2cc(CN(Cc3ccccn3)C3CCC(N(C)c4ccc5nccc(CN(C)C)c5c4)CC3)ccn2)C1")</f>
        <v>CC1=CC(C)C(C)C(C)(c2cc(CN(Cc3ccccn3)C3CCC(N(C)c4ccc5nccc(CN(C)C)c5c4)CC3)ccn2)C1</v>
      </c>
      <c r="C9943" s="7">
        <f>IFERROR(__xludf.DUMMYFUNCTION("""COMPUTED_VALUE"""),7.767521)</f>
        <v>7.767521</v>
      </c>
      <c r="D9943" s="7">
        <f>IFERROR(__xludf.DUMMYFUNCTION("""COMPUTED_VALUE"""),0.271604938271604)</f>
        <v>0.2716049383</v>
      </c>
    </row>
    <row r="9944">
      <c r="A9944" s="10" t="s">
        <v>11383</v>
      </c>
      <c r="B9944" s="7" t="str">
        <f>IFERROR(__xludf.DUMMYFUNCTION("SPLIT(A9944,"" "")"),"CN(C)Cc1ccc2cccc(N(C)Cc3cccc(-c4ccc5c(c4)OCCOCCOCCOCCOCCO5)n3)c2n1")</f>
        <v>CN(C)Cc1ccc2cccc(N(C)Cc3cccc(-c4ccc5c(c4)OCCOCCOCCOCCOCCO5)n3)c2n1</v>
      </c>
      <c r="C9944" s="7">
        <f>IFERROR(__xludf.DUMMYFUNCTION("""COMPUTED_VALUE"""),7.767519)</f>
        <v>7.767519</v>
      </c>
      <c r="D9944" s="7">
        <f>IFERROR(__xludf.DUMMYFUNCTION("""COMPUTED_VALUE"""),0.328767123287671)</f>
        <v>0.3287671233</v>
      </c>
    </row>
    <row r="9945">
      <c r="A9945" s="10" t="s">
        <v>11384</v>
      </c>
      <c r="B9945" s="7" t="str">
        <f>IFERROR(__xludf.DUMMYFUNCTION("SPLIT(A9945,"" "")"),"CC(C)N(CC1=C(N(C)Cc2ccccn2)CC=CN1)C1=CNC(C(C)(C)N)=CC1")</f>
        <v>CC(C)N(CC1=C(N(C)Cc2ccccn2)CC=CN1)C1=CNC(C(C)(C)N)=CC1</v>
      </c>
      <c r="C9945" s="7">
        <f>IFERROR(__xludf.DUMMYFUNCTION("""COMPUTED_VALUE"""),7.7675176)</f>
        <v>7.7675176</v>
      </c>
      <c r="D9945" s="7">
        <f>IFERROR(__xludf.DUMMYFUNCTION("""COMPUTED_VALUE"""),0.352941176470588)</f>
        <v>0.3529411765</v>
      </c>
    </row>
    <row r="9946">
      <c r="A9946" s="10" t="s">
        <v>11385</v>
      </c>
      <c r="B9946" s="7" t="str">
        <f>IFERROR(__xludf.DUMMYFUNCTION("SPLIT(A9946,"" "")"),"Cc1cccnc1CN(C)C1CC(N(C)Cc2cc(C)c(C)c(C)n2)CC(N(Cc2nc(C)c(C)c(C)c2C)Cc2nc(C)c(C)c(C)c2C)C1")</f>
        <v>Cc1cccnc1CN(C)C1CC(N(C)Cc2cc(C)c(C)c(C)n2)CC(N(Cc2nc(C)c(C)c(C)c2C)Cc2nc(C)c(C)c(C)c2C)C1</v>
      </c>
      <c r="C9946" s="7">
        <f>IFERROR(__xludf.DUMMYFUNCTION("""COMPUTED_VALUE"""),7.7675023)</f>
        <v>7.7675023</v>
      </c>
      <c r="D9946" s="7">
        <f>IFERROR(__xludf.DUMMYFUNCTION("""COMPUTED_VALUE"""),0.285714285714285)</f>
        <v>0.2857142857</v>
      </c>
    </row>
    <row r="9947">
      <c r="A9947" s="10" t="s">
        <v>11386</v>
      </c>
      <c r="B9947" s="7" t="str">
        <f>IFERROR(__xludf.DUMMYFUNCTION("SPLIT(A9947,"" "")"),"Cc1ccc(CN(C)Cc2cccc(C(C)(C)C)n2)cn1")</f>
        <v>Cc1ccc(CN(C)Cc2cccc(C(C)(C)C)n2)cn1</v>
      </c>
      <c r="C9947" s="7">
        <f>IFERROR(__xludf.DUMMYFUNCTION("""COMPUTED_VALUE"""),7.767496)</f>
        <v>7.767496</v>
      </c>
      <c r="D9947" s="7">
        <f>IFERROR(__xludf.DUMMYFUNCTION("""COMPUTED_VALUE"""),0.431818181818181)</f>
        <v>0.4318181818</v>
      </c>
    </row>
    <row r="9948">
      <c r="A9948" s="10" t="s">
        <v>11387</v>
      </c>
      <c r="B9948" s="7" t="str">
        <f>IFERROR(__xludf.DUMMYFUNCTION("SPLIT(A9948,"" "")"),"CNCc1cc(CN(Cc2ccccn2)Cc2nccc(C)c2C)ccn1")</f>
        <v>CNCc1cc(CN(Cc2ccccn2)Cc2nccc(C)c2C)ccn1</v>
      </c>
      <c r="C9948" s="7">
        <f>IFERROR(__xludf.DUMMYFUNCTION("""COMPUTED_VALUE"""),7.767489)</f>
        <v>7.767489</v>
      </c>
      <c r="D9948" s="7">
        <f>IFERROR(__xludf.DUMMYFUNCTION("""COMPUTED_VALUE"""),0.454545454545454)</f>
        <v>0.4545454545</v>
      </c>
    </row>
    <row r="9949">
      <c r="A9949" s="10" t="s">
        <v>11388</v>
      </c>
      <c r="B9949" s="7" t="str">
        <f>IFERROR(__xludf.DUMMYFUNCTION("SPLIT(A9949,"" "")"),"Cc1cnc(CN(CCN(C)Cc2ncccc2C)Cc2ncc(C)c(C)c2C)c(C)c1")</f>
        <v>Cc1cnc(CN(CCN(C)Cc2ncccc2C)Cc2ncc(C)c(C)c2C)c(C)c1</v>
      </c>
      <c r="C9949" s="7">
        <f>IFERROR(__xludf.DUMMYFUNCTION("""COMPUTED_VALUE"""),7.767487)</f>
        <v>7.767487</v>
      </c>
      <c r="D9949" s="7">
        <f>IFERROR(__xludf.DUMMYFUNCTION("""COMPUTED_VALUE"""),0.38)</f>
        <v>0.38</v>
      </c>
    </row>
    <row r="9950">
      <c r="A9950" s="10" t="s">
        <v>11389</v>
      </c>
      <c r="B9950" s="7" t="str">
        <f>IFERROR(__xludf.DUMMYFUNCTION("SPLIT(A9950,"" "")"),"Cc1cc(C)nc(CN(C)C2=CNC(CN(C)C(C)C)=CC2)c1")</f>
        <v>Cc1cc(C)nc(CN(C)C2=CNC(CN(C)C(C)C)=CC2)c1</v>
      </c>
      <c r="C9950" s="7">
        <f>IFERROR(__xludf.DUMMYFUNCTION("""COMPUTED_VALUE"""),7.7674847)</f>
        <v>7.7674847</v>
      </c>
      <c r="D9950" s="7">
        <f>IFERROR(__xludf.DUMMYFUNCTION("""COMPUTED_VALUE"""),0.309090909090909)</f>
        <v>0.3090909091</v>
      </c>
    </row>
    <row r="9951">
      <c r="A9951" s="10" t="s">
        <v>11390</v>
      </c>
      <c r="B9951" s="7" t="str">
        <f>IFERROR(__xludf.DUMMYFUNCTION("SPLIT(A9951,"" "")"),"Cc1ccnc(CN(C)C2C=CNC(CN(C)Cc3ncc(C)cc3C)=C2)c1")</f>
        <v>Cc1ccnc(CN(C)C2C=CNC(CN(C)Cc3ncc(C)cc3C)=C2)c1</v>
      </c>
      <c r="C9951" s="7">
        <f>IFERROR(__xludf.DUMMYFUNCTION("""COMPUTED_VALUE"""),7.7674785)</f>
        <v>7.7674785</v>
      </c>
      <c r="D9951" s="7">
        <f>IFERROR(__xludf.DUMMYFUNCTION("""COMPUTED_VALUE"""),0.287878787878787)</f>
        <v>0.2878787879</v>
      </c>
    </row>
    <row r="9952">
      <c r="A9952" s="10" t="s">
        <v>11391</v>
      </c>
      <c r="B9952" s="7" t="str">
        <f>IFERROR(__xludf.DUMMYFUNCTION("SPLIT(A9952,"" "")"),"Cc1cccnc1CN(C)Cc1ncccc1C")</f>
        <v>Cc1cccnc1CN(C)Cc1ncccc1C</v>
      </c>
      <c r="C9952" s="7">
        <f>IFERROR(__xludf.DUMMYFUNCTION("""COMPUTED_VALUE"""),7.7674775)</f>
        <v>7.7674775</v>
      </c>
      <c r="D9952" s="7">
        <f>IFERROR(__xludf.DUMMYFUNCTION("""COMPUTED_VALUE"""),0.394736842105263)</f>
        <v>0.3947368421</v>
      </c>
    </row>
    <row r="9953">
      <c r="A9953" s="10" t="s">
        <v>11392</v>
      </c>
      <c r="B9953" s="7" t="str">
        <f>IFERROR(__xludf.DUMMYFUNCTION("SPLIT(A9953,"" "")"),"CCN(C)CC1=C(N(C)Cc2nc(C)cc(C)c2C)CC=CN1")</f>
        <v>CCN(C)CC1=C(N(C)Cc2nc(C)cc(C)c2C)CC=CN1</v>
      </c>
      <c r="C9953" s="7">
        <f>IFERROR(__xludf.DUMMYFUNCTION("""COMPUTED_VALUE"""),7.7674747)</f>
        <v>7.7674747</v>
      </c>
      <c r="D9953" s="7">
        <f>IFERROR(__xludf.DUMMYFUNCTION("""COMPUTED_VALUE"""),0.210526315789473)</f>
        <v>0.2105263158</v>
      </c>
    </row>
    <row r="9954">
      <c r="A9954" s="10" t="s">
        <v>11393</v>
      </c>
      <c r="B9954" s="7" t="str">
        <f>IFERROR(__xludf.DUMMYFUNCTION("SPLIT(A9954,"" "")"),"Cc1ccc(CN(C)C2=CNC(CNC(C)C)=CC2)nc1")</f>
        <v>Cc1ccc(CN(C)C2=CNC(CNC(C)C)=CC2)nc1</v>
      </c>
      <c r="C9954" s="7">
        <f>IFERROR(__xludf.DUMMYFUNCTION("""COMPUTED_VALUE"""),7.7674723)</f>
        <v>7.7674723</v>
      </c>
      <c r="D9954" s="7">
        <f>IFERROR(__xludf.DUMMYFUNCTION("""COMPUTED_VALUE"""),0.4)</f>
        <v>0.4</v>
      </c>
    </row>
    <row r="9955">
      <c r="A9955" s="10" t="s">
        <v>11394</v>
      </c>
      <c r="B9955" s="7" t="str">
        <f>IFERROR(__xludf.DUMMYFUNCTION("SPLIT(A9955,"" "")"),"CN(c1ccc2cccnc2c1)C1CCC(N(Cc2ccccn2)Cc2ccccn2)CC1")</f>
        <v>CN(c1ccc2cccnc2c1)C1CCC(N(Cc2ccccn2)Cc2ccccn2)CC1</v>
      </c>
      <c r="C9955" s="7">
        <f>IFERROR(__xludf.DUMMYFUNCTION("""COMPUTED_VALUE"""),7.7674713)</f>
        <v>7.7674713</v>
      </c>
      <c r="D9955" s="7">
        <f>IFERROR(__xludf.DUMMYFUNCTION("""COMPUTED_VALUE"""),0.450980392156862)</f>
        <v>0.4509803922</v>
      </c>
    </row>
    <row r="9956">
      <c r="A9956" s="10" t="s">
        <v>11395</v>
      </c>
      <c r="B9956" s="7" t="str">
        <f>IFERROR(__xludf.DUMMYFUNCTION("SPLIT(A9956,"" "")"),"CN(C)Cc1cnc2cc(N(C)C3CCCCC3N(C)Cc3cccnn3)ccc2c1")</f>
        <v>CN(C)Cc1cnc2cc(N(C)C3CCCCC3N(C)Cc3cccnn3)ccc2c1</v>
      </c>
      <c r="C9956" s="7">
        <f>IFERROR(__xludf.DUMMYFUNCTION("""COMPUTED_VALUE"""),7.76747)</f>
        <v>7.76747</v>
      </c>
      <c r="D9956" s="7">
        <f>IFERROR(__xludf.DUMMYFUNCTION("""COMPUTED_VALUE"""),0.43103448275862)</f>
        <v>0.4310344828</v>
      </c>
    </row>
    <row r="9957">
      <c r="A9957" s="10" t="s">
        <v>11396</v>
      </c>
      <c r="B9957" s="7" t="str">
        <f>IFERROR(__xludf.DUMMYFUNCTION("SPLIT(A9957,"" "")"),"CCOC1(C)N=COC1c1ncccc1CN(Cc1ccccn1)Cc1ccccn1")</f>
        <v>CCOC1(C)N=COC1c1ncccc1CN(Cc1ccccn1)Cc1ccccn1</v>
      </c>
      <c r="C9957" s="7">
        <f>IFERROR(__xludf.DUMMYFUNCTION("""COMPUTED_VALUE"""),7.7674694)</f>
        <v>7.7674694</v>
      </c>
      <c r="D9957" s="7">
        <f>IFERROR(__xludf.DUMMYFUNCTION("""COMPUTED_VALUE"""),0.408163265306122)</f>
        <v>0.4081632653</v>
      </c>
    </row>
    <row r="9958">
      <c r="A9958" s="10" t="s">
        <v>11397</v>
      </c>
      <c r="B9958" s="7" t="str">
        <f>IFERROR(__xludf.DUMMYFUNCTION("SPLIT(A9958,"" "")"),"CC(C)NCc1ncccc1CN(Cc1ccccn1)C1CCCC(N(C)c2cccc3ncc(CF)cc23)C1")</f>
        <v>CC(C)NCc1ncccc1CN(Cc1ccccn1)C1CCCC(N(C)c2cccc3ncc(CF)cc23)C1</v>
      </c>
      <c r="C9958" s="7">
        <f>IFERROR(__xludf.DUMMYFUNCTION("""COMPUTED_VALUE"""),7.76746)</f>
        <v>7.76746</v>
      </c>
      <c r="D9958" s="7">
        <f>IFERROR(__xludf.DUMMYFUNCTION("""COMPUTED_VALUE"""),0.298701298701298)</f>
        <v>0.2987012987</v>
      </c>
    </row>
    <row r="9959">
      <c r="A9959" s="10" t="s">
        <v>11398</v>
      </c>
      <c r="B9959" s="7" t="str">
        <f>IFERROR(__xludf.DUMMYFUNCTION("SPLIT(A9959,"" "")"),"Cc1ncccc1CN(C)Cc1cccc(N)n1")</f>
        <v>Cc1ncccc1CN(C)Cc1cccc(N)n1</v>
      </c>
      <c r="C9959" s="7">
        <f>IFERROR(__xludf.DUMMYFUNCTION("""COMPUTED_VALUE"""),7.767456)</f>
        <v>7.767456</v>
      </c>
      <c r="D9959" s="7">
        <f>IFERROR(__xludf.DUMMYFUNCTION("""COMPUTED_VALUE"""),0.456521739130434)</f>
        <v>0.4565217391</v>
      </c>
    </row>
    <row r="9960">
      <c r="A9960" s="10" t="s">
        <v>11399</v>
      </c>
      <c r="B9960" s="7" t="str">
        <f>IFERROR(__xludf.DUMMYFUNCTION("SPLIT(A9960,"" "")"),"CN(c1ccc2ncccc2c1)C1CCCCC1N(Cc1ccccn1)C(C)(C)c1ccccn1")</f>
        <v>CN(c1ccc2ncccc2c1)C1CCCCC1N(Cc1ccccn1)C(C)(C)c1ccccn1</v>
      </c>
      <c r="C9960" s="7">
        <f>IFERROR(__xludf.DUMMYFUNCTION("""COMPUTED_VALUE"""),7.7674513)</f>
        <v>7.7674513</v>
      </c>
      <c r="D9960" s="7">
        <f>IFERROR(__xludf.DUMMYFUNCTION("""COMPUTED_VALUE"""),0.456140350877192)</f>
        <v>0.4561403509</v>
      </c>
    </row>
    <row r="9961">
      <c r="A9961" s="10" t="s">
        <v>11400</v>
      </c>
      <c r="B9961" s="7" t="str">
        <f>IFERROR(__xludf.DUMMYFUNCTION("SPLIT(A9961,"" "")"),"CN(c1ccc2nccc(CF)c2c1)C1CCCCC1N(Cc1ccccn1)Cc1cccc(CF)n1")</f>
        <v>CN(c1ccc2nccc(CF)c2c1)C1CCCCC1N(Cc1ccccn1)Cc1cccc(CF)n1</v>
      </c>
      <c r="C9961" s="7">
        <f>IFERROR(__xludf.DUMMYFUNCTION("""COMPUTED_VALUE"""),7.767447)</f>
        <v>7.767447</v>
      </c>
      <c r="D9961" s="7">
        <f>IFERROR(__xludf.DUMMYFUNCTION("""COMPUTED_VALUE"""),0.419354838709677)</f>
        <v>0.4193548387</v>
      </c>
    </row>
    <row r="9962">
      <c r="A9962" s="10" t="s">
        <v>11401</v>
      </c>
      <c r="B9962" s="7" t="str">
        <f>IFERROR(__xludf.DUMMYFUNCTION("SPLIT(A9962,"" "")"),"Cc1ccc(CNCc2ccccn2)cc1NCc1ccccn1")</f>
        <v>Cc1ccc(CNCc2ccccn2)cc1NCc1ccccn1</v>
      </c>
      <c r="C9962" s="7">
        <f>IFERROR(__xludf.DUMMYFUNCTION("""COMPUTED_VALUE"""),7.767437)</f>
        <v>7.767437</v>
      </c>
      <c r="D9962" s="7">
        <f>IFERROR(__xludf.DUMMYFUNCTION("""COMPUTED_VALUE"""),0.487179487179487)</f>
        <v>0.4871794872</v>
      </c>
    </row>
    <row r="9963">
      <c r="A9963" s="10" t="s">
        <v>11402</v>
      </c>
      <c r="B9963" s="7" t="str">
        <f>IFERROR(__xludf.DUMMYFUNCTION("SPLIT(A9963,"" "")"),"CN(Cc1ccccn1)c1ccc2nc(CN(Cc3ccccn3)Cc3ncccc3-c3ccc4c(c3)OCCOCCOCCOCCOCCO4)ccc2c1")</f>
        <v>CN(Cc1ccccn1)c1ccc2nc(CN(Cc3ccccn3)Cc3ncccc3-c3ccc4c(c3)OCCOCCOCCOCCOCCO4)ccc2c1</v>
      </c>
      <c r="C9963" s="7">
        <f>IFERROR(__xludf.DUMMYFUNCTION("""COMPUTED_VALUE"""),7.767426)</f>
        <v>7.767426</v>
      </c>
      <c r="D9963" s="7">
        <f>IFERROR(__xludf.DUMMYFUNCTION("""COMPUTED_VALUE"""),0.409090909090909)</f>
        <v>0.4090909091</v>
      </c>
    </row>
    <row r="9964">
      <c r="A9964" s="10" t="s">
        <v>11403</v>
      </c>
      <c r="B9964" s="7" t="str">
        <f>IFERROR(__xludf.DUMMYFUNCTION("SPLIT(A9964,"" "")"),"Cc1cnccc1CN(C)Cc1cnccc1C(C)(C)C")</f>
        <v>Cc1cnccc1CN(C)Cc1cnccc1C(C)(C)C</v>
      </c>
      <c r="C9964" s="7">
        <f>IFERROR(__xludf.DUMMYFUNCTION("""COMPUTED_VALUE"""),7.767423)</f>
        <v>7.767423</v>
      </c>
      <c r="D9964" s="7">
        <f>IFERROR(__xludf.DUMMYFUNCTION("""COMPUTED_VALUE"""),0.265306122448979)</f>
        <v>0.2653061224</v>
      </c>
    </row>
    <row r="9965">
      <c r="A9965" s="10" t="s">
        <v>11404</v>
      </c>
      <c r="B9965" s="7" t="str">
        <f>IFERROR(__xludf.DUMMYFUNCTION("SPLIT(A9965,"" "")"),"Cc1cc(C)c(CN(C)C2CCCCC2N(Cc2ccccn2)Cc2cccnc2-c2cccc(Cl)c2N)c(C)c1")</f>
        <v>Cc1cc(C)c(CN(C)C2CCCCC2N(Cc2ccccn2)Cc2cccnc2-c2cccc(Cl)c2N)c(C)c1</v>
      </c>
      <c r="C9965" s="7">
        <f>IFERROR(__xludf.DUMMYFUNCTION("""COMPUTED_VALUE"""),7.767419)</f>
        <v>7.767419</v>
      </c>
      <c r="D9965" s="7">
        <f>IFERROR(__xludf.DUMMYFUNCTION("""COMPUTED_VALUE"""),0.453125)</f>
        <v>0.453125</v>
      </c>
    </row>
    <row r="9966">
      <c r="A9966" s="10" t="s">
        <v>11405</v>
      </c>
      <c r="B9966" s="7" t="str">
        <f>IFERROR(__xludf.DUMMYFUNCTION("SPLIT(A9966,"" "")"),"Cc1cncc(CN(C)CC2=CC(N(C)Cc3cc(C)cc(C)n3)C=CN2)c1")</f>
        <v>Cc1cncc(CN(C)CC2=CC(N(C)Cc3cc(C)cc(C)n3)C=CN2)c1</v>
      </c>
      <c r="C9966" s="7">
        <f>IFERROR(__xludf.DUMMYFUNCTION("""COMPUTED_VALUE"""),7.7674174)</f>
        <v>7.7674174</v>
      </c>
      <c r="D9966" s="7">
        <f>IFERROR(__xludf.DUMMYFUNCTION("""COMPUTED_VALUE"""),0.292307692307692)</f>
        <v>0.2923076923</v>
      </c>
    </row>
    <row r="9967">
      <c r="A9967" s="10" t="s">
        <v>11406</v>
      </c>
      <c r="B9967" s="7" t="str">
        <f>IFERROR(__xludf.DUMMYFUNCTION("SPLIT(A9967,"" "")"),"Cc1cccc(CN(C)CC2=CC(N(C)Cc3nccc(C)c3C)C=CN2)n1")</f>
        <v>Cc1cccc(CN(C)CC2=CC(N(C)Cc3nccc(C)c3C)C=CN2)n1</v>
      </c>
      <c r="C9967" s="7">
        <f>IFERROR(__xludf.DUMMYFUNCTION("""COMPUTED_VALUE"""),7.7674136)</f>
        <v>7.7674136</v>
      </c>
      <c r="D9967" s="7">
        <f>IFERROR(__xludf.DUMMYFUNCTION("""COMPUTED_VALUE"""),0.4)</f>
        <v>0.4</v>
      </c>
    </row>
    <row r="9968">
      <c r="A9968" s="10" t="s">
        <v>11407</v>
      </c>
      <c r="B9968" s="7" t="str">
        <f>IFERROR(__xludf.DUMMYFUNCTION("SPLIT(A9968,"" "")"),"Cc1nc(CN(C)CCN2Cc3ccccc3C2(C)C)c(C)c(C)c1C")</f>
        <v>Cc1nc(CN(C)CCN2Cc3ccccc3C2(C)C)c(C)c(C)c1C</v>
      </c>
      <c r="C9968" s="7">
        <f>IFERROR(__xludf.DUMMYFUNCTION("""COMPUTED_VALUE"""),7.767412)</f>
        <v>7.767412</v>
      </c>
      <c r="D9968" s="7">
        <f>IFERROR(__xludf.DUMMYFUNCTION("""COMPUTED_VALUE"""),0.283018867924528)</f>
        <v>0.2830188679</v>
      </c>
    </row>
    <row r="9969">
      <c r="A9969" s="10" t="s">
        <v>11408</v>
      </c>
      <c r="B9969" s="7" t="str">
        <f>IFERROR(__xludf.DUMMYFUNCTION("SPLIT(A9969,"" "")"),"Cc1cnccc1CN(C)Cc1ncccc1N(C)C(C)C")</f>
        <v>Cc1cnccc1CN(C)Cc1ncccc1N(C)C(C)C</v>
      </c>
      <c r="C9969" s="7">
        <f>IFERROR(__xludf.DUMMYFUNCTION("""COMPUTED_VALUE"""),7.7674074)</f>
        <v>7.7674074</v>
      </c>
      <c r="D9969" s="7">
        <f>IFERROR(__xludf.DUMMYFUNCTION("""COMPUTED_VALUE"""),0.346153846153846)</f>
        <v>0.3461538462</v>
      </c>
    </row>
    <row r="9970">
      <c r="A9970" s="10" t="s">
        <v>11409</v>
      </c>
      <c r="B9970" s="7" t="str">
        <f>IFERROR(__xludf.DUMMYFUNCTION("SPLIT(A9970,"" "")"),"CC(C)C(c1ccccn1)N(C)C1=CNC(CN(C)Cc2ccccn2)=CC1")</f>
        <v>CC(C)C(c1ccccn1)N(C)C1=CNC(CN(C)Cc2ccccn2)=CC1</v>
      </c>
      <c r="C9970" s="7">
        <f>IFERROR(__xludf.DUMMYFUNCTION("""COMPUTED_VALUE"""),7.7674065)</f>
        <v>7.7674065</v>
      </c>
      <c r="D9970" s="7">
        <f>IFERROR(__xludf.DUMMYFUNCTION("""COMPUTED_VALUE"""),0.403508771929824)</f>
        <v>0.4035087719</v>
      </c>
    </row>
    <row r="9971">
      <c r="A9971" s="10" t="s">
        <v>11410</v>
      </c>
      <c r="B9971" s="7" t="str">
        <f>IFERROR(__xludf.DUMMYFUNCTION("SPLIT(A9971,"" "")"),"C1=CC(NCc2ccccn2)C(c2ccccc2)C(c2ccccc2)=C1")</f>
        <v>C1=CC(NCc2ccccn2)C(c2ccccc2)C(c2ccccc2)=C1</v>
      </c>
      <c r="C9971" s="7">
        <f>IFERROR(__xludf.DUMMYFUNCTION("""COMPUTED_VALUE"""),7.7674055)</f>
        <v>7.7674055</v>
      </c>
      <c r="D9971" s="7">
        <f>IFERROR(__xludf.DUMMYFUNCTION("""COMPUTED_VALUE"""),0.377777777777777)</f>
        <v>0.3777777778</v>
      </c>
    </row>
    <row r="9972">
      <c r="A9972" s="10" t="s">
        <v>11411</v>
      </c>
      <c r="B9972" s="7" t="str">
        <f>IFERROR(__xludf.DUMMYFUNCTION("SPLIT(A9972,"" "")"),"Cc1ccnc(CN(C)CN(C)Cc2nc(C)c(C)cc2C)c1")</f>
        <v>Cc1ccnc(CN(C)CN(C)Cc2nc(C)c(C)cc2C)c1</v>
      </c>
      <c r="C9972" s="7">
        <f>IFERROR(__xludf.DUMMYFUNCTION("""COMPUTED_VALUE"""),7.7674036)</f>
        <v>7.7674036</v>
      </c>
      <c r="D9972" s="7">
        <f>IFERROR(__xludf.DUMMYFUNCTION("""COMPUTED_VALUE"""),0.36734693877551)</f>
        <v>0.3673469388</v>
      </c>
    </row>
    <row r="9973">
      <c r="A9973" s="10" t="s">
        <v>11412</v>
      </c>
      <c r="B9973" s="7" t="str">
        <f>IFERROR(__xludf.DUMMYFUNCTION("SPLIT(A9973,"" "")"),"CC(C)NCc1ncccc1CN(Cc1ccccn1)C1CCC(N(C)c2cccc3c(CF)ccnc23)CC1")</f>
        <v>CC(C)NCc1ncccc1CN(Cc1ccccn1)C1CCC(N(C)c2cccc3c(CF)ccnc23)CC1</v>
      </c>
      <c r="C9973" s="7">
        <f>IFERROR(__xludf.DUMMYFUNCTION("""COMPUTED_VALUE"""),7.7674026)</f>
        <v>7.7674026</v>
      </c>
      <c r="D9973" s="7">
        <f>IFERROR(__xludf.DUMMYFUNCTION("""COMPUTED_VALUE"""),0.319444444444444)</f>
        <v>0.3194444444</v>
      </c>
    </row>
    <row r="9974">
      <c r="A9974" s="10" t="s">
        <v>11413</v>
      </c>
      <c r="B9974" s="7" t="str">
        <f>IFERROR(__xludf.DUMMYFUNCTION("SPLIT(A9974,"" "")"),"CC1(C)CC(c2nccc(CN(Cc3ccccn3)Cc3ccccn3)c2CN(Cc2ccccn2)Cc2ccccn2)C1")</f>
        <v>CC1(C)CC(c2nccc(CN(Cc3ccccn3)Cc3ccccn3)c2CN(Cc2ccccn2)Cc2ccccn2)C1</v>
      </c>
      <c r="C9974" s="7">
        <f>IFERROR(__xludf.DUMMYFUNCTION("""COMPUTED_VALUE"""),7.7674026)</f>
        <v>7.7674026</v>
      </c>
      <c r="D9974" s="7">
        <f>IFERROR(__xludf.DUMMYFUNCTION("""COMPUTED_VALUE"""),0.476190476190476)</f>
        <v>0.4761904762</v>
      </c>
    </row>
    <row r="9975">
      <c r="A9975" s="10" t="s">
        <v>11414</v>
      </c>
      <c r="B9975" s="7" t="str">
        <f>IFERROR(__xludf.DUMMYFUNCTION("SPLIT(A9975,"" "")"),"Cc1cccnc1CN(C)Cc1ncccc1C(C)(C)C")</f>
        <v>Cc1cccnc1CN(C)Cc1ncccc1C(C)(C)C</v>
      </c>
      <c r="C9975" s="7">
        <f>IFERROR(__xludf.DUMMYFUNCTION("""COMPUTED_VALUE"""),7.767402)</f>
        <v>7.767402</v>
      </c>
      <c r="D9975" s="7">
        <f>IFERROR(__xludf.DUMMYFUNCTION("""COMPUTED_VALUE"""),0.326086956521739)</f>
        <v>0.3260869565</v>
      </c>
    </row>
    <row r="9976">
      <c r="A9976" s="10" t="s">
        <v>11415</v>
      </c>
      <c r="B9976" s="7" t="str">
        <f>IFERROR(__xludf.DUMMYFUNCTION("SPLIT(A9976,"" "")"),"CN(Cc1cccnn1)C1CCCCC1N(C)c1ccc2nccc(CF)c2c1")</f>
        <v>CN(Cc1cccnn1)C1CCCCC1N(C)c1ccc2nccc(CF)c2c1</v>
      </c>
      <c r="C9976" s="7">
        <f>IFERROR(__xludf.DUMMYFUNCTION("""COMPUTED_VALUE"""),7.7674007)</f>
        <v>7.7674007</v>
      </c>
      <c r="D9976" s="7">
        <f>IFERROR(__xludf.DUMMYFUNCTION("""COMPUTED_VALUE"""),0.423728813559322)</f>
        <v>0.4237288136</v>
      </c>
    </row>
    <row r="9977">
      <c r="A9977" s="10" t="s">
        <v>11416</v>
      </c>
      <c r="B9977" s="7" t="str">
        <f>IFERROR(__xludf.DUMMYFUNCTION("SPLIT(A9977,"" "")"),"CCCN(C)Cc1nccc2cc(N(C)C3CCCC(N(C)Cc4ccon4)C3)ccc12")</f>
        <v>CCCN(C)Cc1nccc2cc(N(C)C3CCCC(N(C)Cc4ccon4)C3)ccc12</v>
      </c>
      <c r="C9977" s="7">
        <f>IFERROR(__xludf.DUMMYFUNCTION("""COMPUTED_VALUE"""),7.7674003)</f>
        <v>7.7674003</v>
      </c>
      <c r="D9977" s="7">
        <f>IFERROR(__xludf.DUMMYFUNCTION("""COMPUTED_VALUE"""),0.366666666666666)</f>
        <v>0.3666666667</v>
      </c>
    </row>
    <row r="9978">
      <c r="A9978" s="10" t="s">
        <v>11417</v>
      </c>
      <c r="B9978" s="7" t="str">
        <f>IFERROR(__xludf.DUMMYFUNCTION("SPLIT(A9978,"" "")"),"Cc1ccnc(CN(C)C)c1")</f>
        <v>Cc1ccnc(CN(C)C)c1</v>
      </c>
      <c r="C9978" s="7">
        <f>IFERROR(__xludf.DUMMYFUNCTION("""COMPUTED_VALUE"""),7.7673965)</f>
        <v>7.7673965</v>
      </c>
      <c r="D9978" s="7">
        <f>IFERROR(__xludf.DUMMYFUNCTION("""COMPUTED_VALUE"""),0.5)</f>
        <v>0.5</v>
      </c>
    </row>
    <row r="9979">
      <c r="A9979" s="10" t="s">
        <v>11418</v>
      </c>
      <c r="B9979" s="7" t="str">
        <f>IFERROR(__xludf.DUMMYFUNCTION("SPLIT(A9979,"" "")"),"CC(NCc1ccccn1)c1cccnc1C1C=CNC=C1")</f>
        <v>CC(NCc1ccccn1)c1cccnc1C1C=CNC=C1</v>
      </c>
      <c r="C9979" s="7">
        <f>IFERROR(__xludf.DUMMYFUNCTION("""COMPUTED_VALUE"""),7.7673903)</f>
        <v>7.7673903</v>
      </c>
      <c r="D9979" s="7">
        <f>IFERROR(__xludf.DUMMYFUNCTION("""COMPUTED_VALUE"""),0.361702127659574)</f>
        <v>0.3617021277</v>
      </c>
    </row>
    <row r="9980">
      <c r="A9980" s="10" t="s">
        <v>11419</v>
      </c>
      <c r="B9980" s="7" t="str">
        <f>IFERROR(__xludf.DUMMYFUNCTION("SPLIT(A9980,"" "")"),"CC(C)NCc1ncccc1CN(Cc1ccccn1)C1CCC(N(C)c2cccc3nccc(CF)c23)CC1")</f>
        <v>CC(C)NCc1ncccc1CN(Cc1ccccn1)C1CCC(N(C)c2cccc3nccc(CF)c23)CC1</v>
      </c>
      <c r="C9980" s="7">
        <f>IFERROR(__xludf.DUMMYFUNCTION("""COMPUTED_VALUE"""),7.7673893)</f>
        <v>7.7673893</v>
      </c>
      <c r="D9980" s="7">
        <f>IFERROR(__xludf.DUMMYFUNCTION("""COMPUTED_VALUE"""),0.319444444444444)</f>
        <v>0.3194444444</v>
      </c>
    </row>
    <row r="9981">
      <c r="A9981" s="10" t="s">
        <v>11420</v>
      </c>
      <c r="B9981" s="7" t="str">
        <f>IFERROR(__xludf.DUMMYFUNCTION("SPLIT(A9981,"" "")"),"Cc1cccnc1CN(C)c1ccccc1-c1cccnc1CN(C)Cc1ccc(-c2ccc3c(c2)OCCOCCOCCOCCOCCO3)cn1")</f>
        <v>Cc1cccnc1CN(C)c1ccccc1-c1cccnc1CN(C)Cc1ccc(-c2ccc3c(c2)OCCOCCOCCOCCOCCO3)cn1</v>
      </c>
      <c r="C9981" s="7">
        <f>IFERROR(__xludf.DUMMYFUNCTION("""COMPUTED_VALUE"""),7.7673764)</f>
        <v>7.7673764</v>
      </c>
      <c r="D9981" s="7">
        <f>IFERROR(__xludf.DUMMYFUNCTION("""COMPUTED_VALUE"""),0.394736842105263)</f>
        <v>0.3947368421</v>
      </c>
    </row>
    <row r="9982">
      <c r="A9982" s="10" t="s">
        <v>11421</v>
      </c>
      <c r="B9982" s="7" t="str">
        <f>IFERROR(__xludf.DUMMYFUNCTION("SPLIT(A9982,"" "")"),"CNC1NC=CC=C1N(C)C1CCC(N(C)c2ccc3cccnc3c2)CC1")</f>
        <v>CNC1NC=CC=C1N(C)C1CCC(N(C)c2ccc3cccnc3c2)CC1</v>
      </c>
      <c r="C9982" s="7">
        <f>IFERROR(__xludf.DUMMYFUNCTION("""COMPUTED_VALUE"""),7.767374)</f>
        <v>7.767374</v>
      </c>
      <c r="D9982" s="7">
        <f>IFERROR(__xludf.DUMMYFUNCTION("""COMPUTED_VALUE"""),0.28125)</f>
        <v>0.28125</v>
      </c>
    </row>
    <row r="9983">
      <c r="A9983" s="10" t="s">
        <v>11422</v>
      </c>
      <c r="B9983" s="7" t="str">
        <f>IFERROR(__xludf.DUMMYFUNCTION("SPLIT(A9983,"" "")"),"CN(C)c1ccccc1-c1cnccc1CN(C)C1CCC(N(C)Cc2ccon2)CC1")</f>
        <v>CN(C)c1ccccc1-c1cnccc1CN(C)C1CCC(N(C)Cc2ccon2)CC1</v>
      </c>
      <c r="C9983" s="7">
        <f>IFERROR(__xludf.DUMMYFUNCTION("""COMPUTED_VALUE"""),7.7673697)</f>
        <v>7.7673697</v>
      </c>
      <c r="D9983" s="7">
        <f>IFERROR(__xludf.DUMMYFUNCTION("""COMPUTED_VALUE"""),0.351851851851851)</f>
        <v>0.3518518519</v>
      </c>
    </row>
    <row r="9984">
      <c r="A9984" s="10" t="s">
        <v>11423</v>
      </c>
      <c r="B9984" s="7" t="str">
        <f>IFERROR(__xludf.DUMMYFUNCTION("SPLIT(A9984,"" "")"),"CN(c1ccc2ncccc2c1)C1CCC(N(Cc2ccccn2)Cc2ccccn2)CC1")</f>
        <v>CN(c1ccc2ncccc2c1)C1CCC(N(Cc2ccccn2)Cc2ccccn2)CC1</v>
      </c>
      <c r="C9984" s="7">
        <f>IFERROR(__xludf.DUMMYFUNCTION("""COMPUTED_VALUE"""),7.767369)</f>
        <v>7.767369</v>
      </c>
      <c r="D9984" s="7">
        <f>IFERROR(__xludf.DUMMYFUNCTION("""COMPUTED_VALUE"""),0.431372549019607)</f>
        <v>0.431372549</v>
      </c>
    </row>
    <row r="9985">
      <c r="A9985" s="10" t="s">
        <v>11424</v>
      </c>
      <c r="B9985" s="7" t="str">
        <f>IFERROR(__xludf.DUMMYFUNCTION("SPLIT(A9985,"" "")"),"CC(N)(c1ccccn1)N(Cc1ccccn1)Cc1ccccn1")</f>
        <v>CC(N)(c1ccccn1)N(Cc1ccccn1)Cc1ccccn1</v>
      </c>
      <c r="C9985" s="7">
        <f>IFERROR(__xludf.DUMMYFUNCTION("""COMPUTED_VALUE"""),7.7673674)</f>
        <v>7.7673674</v>
      </c>
      <c r="D9985" s="7">
        <f>IFERROR(__xludf.DUMMYFUNCTION("""COMPUTED_VALUE"""),0.5)</f>
        <v>0.5</v>
      </c>
    </row>
    <row r="9986">
      <c r="A9986" s="10" t="s">
        <v>11425</v>
      </c>
      <c r="B9986" s="7" t="str">
        <f>IFERROR(__xludf.DUMMYFUNCTION("SPLIT(A9986,"" "")"),"Cc1cccnc1CN(C)C1C=CNC(CN(C)Cc2ccon2)=C1")</f>
        <v>Cc1cccnc1CN(C)C1C=CNC(CN(C)Cc2ccon2)=C1</v>
      </c>
      <c r="C9986" s="7">
        <f>IFERROR(__xludf.DUMMYFUNCTION("""COMPUTED_VALUE"""),7.767357)</f>
        <v>7.767357</v>
      </c>
      <c r="D9986" s="7">
        <f>IFERROR(__xludf.DUMMYFUNCTION("""COMPUTED_VALUE"""),0.381818181818181)</f>
        <v>0.3818181818</v>
      </c>
    </row>
    <row r="9987">
      <c r="A9987" s="10" t="s">
        <v>11426</v>
      </c>
      <c r="B9987" s="7" t="str">
        <f>IFERROR(__xludf.DUMMYFUNCTION("SPLIT(A9987,"" "")"),"CC1=CCC(C)C(C)C1c1cc(CN(Cc2ccccn2)Cc2cccc(N(C)C)n2)ccn1")</f>
        <v>CC1=CCC(C)C(C)C1c1cc(CN(Cc2ccccn2)Cc2cccc(N(C)C)n2)ccn1</v>
      </c>
      <c r="C9987" s="7">
        <f>IFERROR(__xludf.DUMMYFUNCTION("""COMPUTED_VALUE"""),7.767356)</f>
        <v>7.767356</v>
      </c>
      <c r="D9987" s="7">
        <f>IFERROR(__xludf.DUMMYFUNCTION("""COMPUTED_VALUE"""),0.375)</f>
        <v>0.375</v>
      </c>
    </row>
    <row r="9988">
      <c r="A9988" s="10" t="s">
        <v>11427</v>
      </c>
      <c r="B9988" s="7" t="str">
        <f>IFERROR(__xludf.DUMMYFUNCTION("SPLIT(A9988,"" "")"),"CN(CC1=CCC=C(N(C)C2C=CC=CN2)N1)C1CCC(N(C)c2ccc3cccnc3c2)CC1")</f>
        <v>CN(CC1=CCC=C(N(C)C2C=CC=CN2)N1)C1CCC(N(C)c2ccc3cccnc3c2)CC1</v>
      </c>
      <c r="C9988" s="7">
        <f>IFERROR(__xludf.DUMMYFUNCTION("""COMPUTED_VALUE"""),7.767351)</f>
        <v>7.767351</v>
      </c>
      <c r="D9988" s="7">
        <f>IFERROR(__xludf.DUMMYFUNCTION("""COMPUTED_VALUE"""),0.263157894736842)</f>
        <v>0.2631578947</v>
      </c>
    </row>
    <row r="9989">
      <c r="A9989" s="10" t="s">
        <v>11428</v>
      </c>
      <c r="B9989" s="7" t="str">
        <f>IFERROR(__xludf.DUMMYFUNCTION("SPLIT(A9989,"" "")"),"COCC(C)c1ccc(CN(Cc2ccccn2)Cc2ncccc2C)c(CN(Cc2ccccn2)Cc2ccccn2)n1")</f>
        <v>COCC(C)c1ccc(CN(Cc2ccccn2)Cc2ncccc2C)c(CN(Cc2ccccn2)Cc2ccccn2)n1</v>
      </c>
      <c r="C9989" s="7">
        <f>IFERROR(__xludf.DUMMYFUNCTION("""COMPUTED_VALUE"""),7.7673492)</f>
        <v>7.7673492</v>
      </c>
      <c r="D9989" s="7">
        <f>IFERROR(__xludf.DUMMYFUNCTION("""COMPUTED_VALUE"""),0.4)</f>
        <v>0.4</v>
      </c>
    </row>
    <row r="9990">
      <c r="A9990" s="10" t="s">
        <v>11429</v>
      </c>
      <c r="B9990" s="7" t="str">
        <f>IFERROR(__xludf.DUMMYFUNCTION("SPLIT(A9990,"" "")"),"CCCN(Cc1ccccn1)C1=CNC(CN(Cc2ccccn2)Cc2ncccc2C)=CC1")</f>
        <v>CCCN(Cc1ccccn1)C1=CNC(CN(Cc2ccccn2)Cc2ncccc2C)=CC1</v>
      </c>
      <c r="C9990" s="7">
        <f>IFERROR(__xludf.DUMMYFUNCTION("""COMPUTED_VALUE"""),7.767348)</f>
        <v>7.767348</v>
      </c>
      <c r="D9990" s="7">
        <f>IFERROR(__xludf.DUMMYFUNCTION("""COMPUTED_VALUE"""),0.442622950819672)</f>
        <v>0.4426229508</v>
      </c>
    </row>
    <row r="9991">
      <c r="A9991" s="10" t="s">
        <v>11430</v>
      </c>
      <c r="B9991" s="7" t="str">
        <f>IFERROR(__xludf.DUMMYFUNCTION("SPLIT(A9991,"" "")"),"Cc1cncc(CN(C)C2CCC(N(C)c3ccc4ccc(CF)nc4c3)CC2)c1")</f>
        <v>Cc1cncc(CN(C)C2CCC(N(C)c3ccc4ccc(CF)nc4c3)CC2)c1</v>
      </c>
      <c r="C9991" s="7">
        <f>IFERROR(__xludf.DUMMYFUNCTION("""COMPUTED_VALUE"""),7.767342)</f>
        <v>7.767342</v>
      </c>
      <c r="D9991" s="7">
        <f>IFERROR(__xludf.DUMMYFUNCTION("""COMPUTED_VALUE"""),0.323076923076923)</f>
        <v>0.3230769231</v>
      </c>
    </row>
    <row r="9992">
      <c r="A9992" s="10" t="s">
        <v>11431</v>
      </c>
      <c r="B9992" s="7" t="str">
        <f>IFERROR(__xludf.DUMMYFUNCTION("SPLIT(A9992,"" "")"),"Cc1cccnc1CN(C)C1CCC(N(C)c2ccc3nc(CN(Cc4ccccn4)C(C)C)ccc3c2)CC1")</f>
        <v>Cc1cccnc1CN(C)C1CCC(N(C)c2ccc3nc(CN(Cc4ccccn4)C(C)C)ccc3c2)CC1</v>
      </c>
      <c r="C9992" s="7">
        <f>IFERROR(__xludf.DUMMYFUNCTION("""COMPUTED_VALUE"""),7.7673416)</f>
        <v>7.7673416</v>
      </c>
      <c r="D9992" s="7">
        <f>IFERROR(__xludf.DUMMYFUNCTION("""COMPUTED_VALUE"""),0.40983606557377)</f>
        <v>0.4098360656</v>
      </c>
    </row>
    <row r="9993">
      <c r="A9993" s="10" t="s">
        <v>11432</v>
      </c>
      <c r="B9993" s="7" t="str">
        <f>IFERROR(__xludf.DUMMYFUNCTION("SPLIT(A9993,"" "")"),"CN(Cc1ccccn1)Cc1nccc2cccc(N(C)Cc3ncccc3-c3cccc4c3OCCOCCOCCOCCOCCO4)c12")</f>
        <v>CN(Cc1ccccn1)Cc1nccc2cccc(N(C)Cc3ncccc3-c3cccc4c3OCCOCCOCCOCCOCCO4)c12</v>
      </c>
      <c r="C9993" s="7">
        <f>IFERROR(__xludf.DUMMYFUNCTION("""COMPUTED_VALUE"""),7.7673407)</f>
        <v>7.7673407</v>
      </c>
      <c r="D9993" s="7">
        <f>IFERROR(__xludf.DUMMYFUNCTION("""COMPUTED_VALUE"""),0.352941176470588)</f>
        <v>0.3529411765</v>
      </c>
    </row>
    <row r="9994">
      <c r="A9994" s="10" t="s">
        <v>11433</v>
      </c>
      <c r="B9994" s="7" t="str">
        <f>IFERROR(__xludf.DUMMYFUNCTION("SPLIT(A9994,"" "")"),"C=CCNCC1=C(N(C)Cc2cc(C)c(C)c(C)n2)CC=CN1")</f>
        <v>C=CCNCC1=C(N(C)Cc2cc(C)c(C)c(C)n2)CC=CN1</v>
      </c>
      <c r="C9994" s="7">
        <f>IFERROR(__xludf.DUMMYFUNCTION("""COMPUTED_VALUE"""),7.7673383)</f>
        <v>7.7673383</v>
      </c>
      <c r="D9994" s="7">
        <f>IFERROR(__xludf.DUMMYFUNCTION("""COMPUTED_VALUE"""),0.193548387096774)</f>
        <v>0.1935483871</v>
      </c>
    </row>
    <row r="9995">
      <c r="A9995" s="10" t="s">
        <v>11434</v>
      </c>
      <c r="B9995" s="7" t="str">
        <f>IFERROR(__xludf.DUMMYFUNCTION("SPLIT(A9995,"" "")"),"CCN(Cc1cc(CN(Cc2ccccn2)Cc2cccc(C)n2)ccn1)C(C)(C)c1ccccn1")</f>
        <v>CCN(Cc1cc(CN(Cc2ccccn2)Cc2cccc(C)n2)ccn1)C(C)(C)c1ccccn1</v>
      </c>
      <c r="C9995" s="7">
        <f>IFERROR(__xludf.DUMMYFUNCTION("""COMPUTED_VALUE"""),7.767338)</f>
        <v>7.767338</v>
      </c>
      <c r="D9995" s="7">
        <f>IFERROR(__xludf.DUMMYFUNCTION("""COMPUTED_VALUE"""),0.4)</f>
        <v>0.4</v>
      </c>
    </row>
    <row r="9996">
      <c r="A9996" s="10" t="s">
        <v>11435</v>
      </c>
      <c r="B9996" s="7" t="str">
        <f>IFERROR(__xludf.DUMMYFUNCTION("SPLIT(A9996,"" "")"),"CN(c1ccc2ccc(CF)nc2c1)C1CCCCC1N(Cc1ccccn1)Cc1cccc(F)n1")</f>
        <v>CN(c1ccc2ccc(CF)nc2c1)C1CCCCC1N(Cc1ccccn1)Cc1cccc(F)n1</v>
      </c>
      <c r="C9996" s="7">
        <f>IFERROR(__xludf.DUMMYFUNCTION("""COMPUTED_VALUE"""),7.7673364)</f>
        <v>7.7673364</v>
      </c>
      <c r="D9996" s="7">
        <f>IFERROR(__xludf.DUMMYFUNCTION("""COMPUTED_VALUE"""),0.453125)</f>
        <v>0.453125</v>
      </c>
    </row>
    <row r="9997">
      <c r="A9997" s="10" t="s">
        <v>11436</v>
      </c>
      <c r="B9997" s="7" t="str">
        <f>IFERROR(__xludf.DUMMYFUNCTION("SPLIT(A9997,"" "")"),"CNC1C(N(Cc2nc([SiH3])c(C)c(C)c2C)Cc2nc([SiH3])c(C)c(C)c2C)CCCC1N(Cc1nc([SiH3])c(C)c(C)c1C)Cc1nc([SiH3])c([SiH3])c(C)c1C")</f>
        <v>CNC1C(N(Cc2nc([SiH3])c(C)c(C)c2C)Cc2nc([SiH3])c(C)c(C)c2C)CCCC1N(Cc1nc([SiH3])c(C)c(C)c1C)Cc1nc([SiH3])c([SiH3])c(C)c1C</v>
      </c>
      <c r="C9997" s="7">
        <f>IFERROR(__xludf.DUMMYFUNCTION("""COMPUTED_VALUE"""),7.7673354)</f>
        <v>7.7673354</v>
      </c>
      <c r="D9997" s="7">
        <f>IFERROR(__xludf.DUMMYFUNCTION("""COMPUTED_VALUE"""),0.245614035087719)</f>
        <v>0.2456140351</v>
      </c>
    </row>
    <row r="9998">
      <c r="A9998" s="10" t="s">
        <v>11437</v>
      </c>
      <c r="B9998" s="7" t="str">
        <f>IFERROR(__xludf.DUMMYFUNCTION("SPLIT(A9998,"" "")"),"CCN(Cc1ccccn1)C1CCC(N(C)c2ccc3nc4c(cc3c2)CCC4)CC1")</f>
        <v>CCN(Cc1ccccn1)C1CCC(N(C)c2ccc3nc4c(cc3c2)CCC4)CC1</v>
      </c>
      <c r="C9998" s="7">
        <f>IFERROR(__xludf.DUMMYFUNCTION("""COMPUTED_VALUE"""),7.7673335)</f>
        <v>7.7673335</v>
      </c>
      <c r="D9998" s="7">
        <f>IFERROR(__xludf.DUMMYFUNCTION("""COMPUTED_VALUE"""),0.370967741935483)</f>
        <v>0.3709677419</v>
      </c>
    </row>
    <row r="9999">
      <c r="A9999" s="10" t="s">
        <v>11438</v>
      </c>
      <c r="B9999" s="7" t="str">
        <f>IFERROR(__xludf.DUMMYFUNCTION("SPLIT(A9999,"" "")"),"CCNCc1cc(CN(Cc2cc(C)ccn2)Cc2cc(C)c(C)c(C)n2)ccn1")</f>
        <v>CCNCc1cc(CN(Cc2cc(C)ccn2)Cc2cc(C)c(C)c(C)n2)ccn1</v>
      </c>
      <c r="C9999" s="7">
        <f>IFERROR(__xludf.DUMMYFUNCTION("""COMPUTED_VALUE"""),7.7673326)</f>
        <v>7.7673326</v>
      </c>
      <c r="D9999" s="7">
        <f>IFERROR(__xludf.DUMMYFUNCTION("""COMPUTED_VALUE"""),0.310344827586206)</f>
        <v>0.3103448276</v>
      </c>
    </row>
    <row r="10000">
      <c r="A10000" s="10" t="s">
        <v>11439</v>
      </c>
      <c r="B10000" s="7" t="str">
        <f>IFERROR(__xludf.DUMMYFUNCTION("SPLIT(A10000,"" "")"),"Cc1ccnc(CN(C)Cc2ncccc2N)c1")</f>
        <v>Cc1ccnc(CN(C)Cc2ncccc2N)c1</v>
      </c>
      <c r="C10000" s="7">
        <f>IFERROR(__xludf.DUMMYFUNCTION("""COMPUTED_VALUE"""),7.767332)</f>
        <v>7.767332</v>
      </c>
      <c r="D10000" s="7">
        <f>IFERROR(__xludf.DUMMYFUNCTION("""COMPUTED_VALUE"""),0.375)</f>
        <v>0.375</v>
      </c>
    </row>
    <row r="10001">
      <c r="A10001" s="10" t="s">
        <v>11440</v>
      </c>
      <c r="B10001" s="7" t="str">
        <f>IFERROR(__xludf.DUMMYFUNCTION("SPLIT(A10001,"" "")"),"CC(C)N(Cc1ccccn1)C1CCCC(N(C)c2cccc3nccc(CF)c23)C1")</f>
        <v>CC(C)N(Cc1ccccn1)C1CCCC(N(C)c2cccc3nccc(CF)c23)C1</v>
      </c>
      <c r="C10001" s="7">
        <f>IFERROR(__xludf.DUMMYFUNCTION("""COMPUTED_VALUE"""),7.7673235)</f>
        <v>7.7673235</v>
      </c>
      <c r="D10001" s="7">
        <f>IFERROR(__xludf.DUMMYFUNCTION("""COMPUTED_VALUE"""),0.365079365079365)</f>
        <v>0.3650793651</v>
      </c>
    </row>
    <row r="10002">
      <c r="A10002" s="10" t="s">
        <v>11441</v>
      </c>
      <c r="B10002" s="7" t="str">
        <f>IFERROR(__xludf.DUMMYFUNCTION("SPLIT(A10002,"" "")"),"Cc1cccnc1CN(C)Cc1ncccc1N")</f>
        <v>Cc1cccnc1CN(C)Cc1ncccc1N</v>
      </c>
      <c r="C10002" s="7">
        <f>IFERROR(__xludf.DUMMYFUNCTION("""COMPUTED_VALUE"""),7.7673225)</f>
        <v>7.7673225</v>
      </c>
      <c r="D10002" s="7">
        <f>IFERROR(__xludf.DUMMYFUNCTION("""COMPUTED_VALUE"""),0.34090909090909)</f>
        <v>0.3409090909</v>
      </c>
    </row>
    <row r="10003">
      <c r="A10003" s="10" t="s">
        <v>11442</v>
      </c>
      <c r="B10003" s="7" t="str">
        <f>IFERROR(__xludf.DUMMYFUNCTION("SPLIT(A10003,"" "")"),"Cc1cc(C)c(C)c(CN(C)Cc2ccccn2)c1")</f>
        <v>Cc1cc(C)c(C)c(CN(C)Cc2ccccn2)c1</v>
      </c>
      <c r="C10003" s="7">
        <f>IFERROR(__xludf.DUMMYFUNCTION("""COMPUTED_VALUE"""),7.7673144)</f>
        <v>7.7673144</v>
      </c>
      <c r="D10003" s="7">
        <f>IFERROR(__xludf.DUMMYFUNCTION("""COMPUTED_VALUE"""),0.5)</f>
        <v>0.5</v>
      </c>
    </row>
    <row r="10004">
      <c r="A10004" s="10" t="s">
        <v>11443</v>
      </c>
      <c r="B10004" s="7" t="str">
        <f>IFERROR(__xludf.DUMMYFUNCTION("SPLIT(A10004,"" "")"),"CNc1cccnc1CF")</f>
        <v>CNc1cccnc1CF</v>
      </c>
      <c r="C10004" s="7">
        <f>IFERROR(__xludf.DUMMYFUNCTION("""COMPUTED_VALUE"""),7.767308)</f>
        <v>7.767308</v>
      </c>
      <c r="D10004" s="7">
        <f>IFERROR(__xludf.DUMMYFUNCTION("""COMPUTED_VALUE"""),0.27027027027027)</f>
        <v>0.2702702703</v>
      </c>
    </row>
    <row r="10005">
      <c r="A10005" s="10" t="s">
        <v>11444</v>
      </c>
      <c r="B10005" s="7" t="str">
        <f>IFERROR(__xludf.DUMMYFUNCTION("SPLIT(A10005,"" "")"),"CC1=CC(C)CC2(C1)CC1(C=CC2c2ncccc2CN(Cc2ccccn2)Cc2ncccc2C(C)(c2ccccn2)c2ccccn2)C(C)=C(C)CCC1C")</f>
        <v>CC1=CC(C)CC2(C1)CC1(C=CC2c2ncccc2CN(Cc2ccccn2)Cc2ncccc2C(C)(c2ccccn2)c2ccccn2)C(C)=C(C)CCC1C</v>
      </c>
      <c r="C10005" s="7">
        <f>IFERROR(__xludf.DUMMYFUNCTION("""COMPUTED_VALUE"""),7.767308)</f>
        <v>7.767308</v>
      </c>
      <c r="D10005" s="7">
        <f>IFERROR(__xludf.DUMMYFUNCTION("""COMPUTED_VALUE"""),0.25287356321839)</f>
        <v>0.2528735632</v>
      </c>
    </row>
    <row r="10006">
      <c r="A10006" s="10" t="s">
        <v>11445</v>
      </c>
      <c r="B10006" s="7" t="str">
        <f>IFERROR(__xludf.DUMMYFUNCTION("SPLIT(A10006,"" "")"),"CN(C)Cc1cncc2cc(N(C)C3CCCCC3N(CC3=CCC=CN3)Cc3ccccn3)ccc12")</f>
        <v>CN(C)Cc1cncc2cc(N(C)C3CCCCC3N(CC3=CCC=CN3)Cc3ccccn3)ccc12</v>
      </c>
      <c r="C10006" s="7">
        <f>IFERROR(__xludf.DUMMYFUNCTION("""COMPUTED_VALUE"""),7.7673073)</f>
        <v>7.7673073</v>
      </c>
      <c r="D10006" s="7">
        <f>IFERROR(__xludf.DUMMYFUNCTION("""COMPUTED_VALUE"""),0.436619718309859)</f>
        <v>0.4366197183</v>
      </c>
    </row>
    <row r="10007">
      <c r="A10007" s="10" t="s">
        <v>11446</v>
      </c>
      <c r="B10007" s="7" t="str">
        <f>IFERROR(__xludf.DUMMYFUNCTION("SPLIT(A10007,"" "")"),"CCN(Cc1ccccn1)C1CCC(N(C)Cc2nc(C)c(C)c(C)c2C)C(N(C)Cc2nc(C)c(C)c(C)c2C)C1N(Cc1nc(C)c(C)c(C)c1C)Cc1nc(C)c(C)c(C)c1C")</f>
        <v>CCN(Cc1ccccn1)C1CCC(N(C)Cc2nc(C)c(C)c(C)c2C)C(N(C)Cc2nc(C)c(C)c(C)c2C)C1N(Cc1nc(C)c(C)c(C)c1C)Cc1nc(C)c(C)c(C)c1C</v>
      </c>
      <c r="C10007" s="7">
        <f>IFERROR(__xludf.DUMMYFUNCTION("""COMPUTED_VALUE"""),7.767297)</f>
        <v>7.767297</v>
      </c>
      <c r="D10007" s="7">
        <f>IFERROR(__xludf.DUMMYFUNCTION("""COMPUTED_VALUE"""),0.43859649122807)</f>
        <v>0.4385964912</v>
      </c>
    </row>
    <row r="10008">
      <c r="A10008" s="10" t="s">
        <v>11447</v>
      </c>
      <c r="B10008" s="7" t="str">
        <f>IFERROR(__xludf.DUMMYFUNCTION("SPLIT(A10008,"" "")"),"CN(Cc1cccnn1)C1CCCC(N(C)c2ccc3cccnc3c2)C1")</f>
        <v>CN(Cc1cccnn1)C1CCCC(N(C)c2ccc3cccnc3c2)C1</v>
      </c>
      <c r="C10008" s="7">
        <f>IFERROR(__xludf.DUMMYFUNCTION("""COMPUTED_VALUE"""),7.767291)</f>
        <v>7.767291</v>
      </c>
      <c r="D10008" s="7">
        <f>IFERROR(__xludf.DUMMYFUNCTION("""COMPUTED_VALUE"""),0.37037037037037)</f>
        <v>0.3703703704</v>
      </c>
    </row>
    <row r="10009">
      <c r="A10009" s="10" t="s">
        <v>11448</v>
      </c>
      <c r="B10009" s="7" t="str">
        <f>IFERROR(__xludf.DUMMYFUNCTION("SPLIT(A10009,"" "")"),"Cc1cc(C)c(CN(C)C2=C(CN(Cc3ccccn3)CC(C)(C)C)NC=CC2)cn1")</f>
        <v>Cc1cc(C)c(CN(C)C2=C(CN(Cc3ccccn3)CC(C)(C)C)NC=CC2)cn1</v>
      </c>
      <c r="C10009" s="7">
        <f>IFERROR(__xludf.DUMMYFUNCTION("""COMPUTED_VALUE"""),7.767284)</f>
        <v>7.767284</v>
      </c>
      <c r="D10009" s="7">
        <f>IFERROR(__xludf.DUMMYFUNCTION("""COMPUTED_VALUE"""),0.426229508196721)</f>
        <v>0.4262295082</v>
      </c>
    </row>
    <row r="10010">
      <c r="A10010" s="10" t="s">
        <v>11449</v>
      </c>
      <c r="B10010" s="7" t="str">
        <f>IFERROR(__xludf.DUMMYFUNCTION("SPLIT(A10010,"" "")"),"CC(C)N(Cc1ccccn1)C1CCC(N(C)c2ccc3cc(CN(C)C)cnc3c2)CC1")</f>
        <v>CC(C)N(Cc1ccccn1)C1CCC(N(C)c2ccc3cc(CN(C)C)cnc3c2)CC1</v>
      </c>
      <c r="C10010" s="7">
        <f>IFERROR(__xludf.DUMMYFUNCTION("""COMPUTED_VALUE"""),7.7672777)</f>
        <v>7.7672777</v>
      </c>
      <c r="D10010" s="7">
        <f>IFERROR(__xludf.DUMMYFUNCTION("""COMPUTED_VALUE"""),0.366666666666666)</f>
        <v>0.3666666667</v>
      </c>
    </row>
    <row r="10011">
      <c r="A10011" s="10" t="s">
        <v>11450</v>
      </c>
      <c r="B10011" s="7" t="str">
        <f>IFERROR(__xludf.DUMMYFUNCTION("SPLIT(A10011,"" "")"),"CC1=C(C)C(C)CC(C)(c2ncccc2CN(Cc2ccccn2)Cc2cc(C(C)(C)C)ccn2)C1")</f>
        <v>CC1=C(C)C(C)CC(C)(c2ncccc2CN(Cc2ccccn2)Cc2cc(C(C)(C)C)ccn2)C1</v>
      </c>
      <c r="C10011" s="7">
        <f>IFERROR(__xludf.DUMMYFUNCTION("""COMPUTED_VALUE"""),7.767275)</f>
        <v>7.767275</v>
      </c>
      <c r="D10011" s="7">
        <f>IFERROR(__xludf.DUMMYFUNCTION("""COMPUTED_VALUE"""),0.350877192982456)</f>
        <v>0.350877193</v>
      </c>
    </row>
    <row r="10012">
      <c r="A10012" s="10" t="s">
        <v>11451</v>
      </c>
      <c r="B10012" s="7" t="str">
        <f>IFERROR(__xludf.DUMMYFUNCTION("SPLIT(A10012,"" "")"),"Cc1cc(C)c(CN(C)CC2=CC(N(C)Cc3ccccn3)C=CN2)nc1C")</f>
        <v>Cc1cc(C)c(CN(C)CC2=CC(N(C)Cc3ccccn3)C=CN2)nc1C</v>
      </c>
      <c r="C10012" s="7">
        <f>IFERROR(__xludf.DUMMYFUNCTION("""COMPUTED_VALUE"""),7.767268)</f>
        <v>7.767268</v>
      </c>
      <c r="D10012" s="7">
        <f>IFERROR(__xludf.DUMMYFUNCTION("""COMPUTED_VALUE"""),0.366666666666666)</f>
        <v>0.3666666667</v>
      </c>
    </row>
    <row r="10013">
      <c r="A10013" s="10" t="s">
        <v>11452</v>
      </c>
      <c r="B10013" s="7" t="str">
        <f>IFERROR(__xludf.DUMMYFUNCTION("SPLIT(A10013,"" "")"),"CNC1C(N(Cc2ncc(C)c(C)c2C)Cc2nc(C)c(C)c(C)c2C)CCCC1N(Cc1nc(C)c(C)c(C)c1C)Cc1nc(C)c(C)c(C)c1C")</f>
        <v>CNC1C(N(Cc2ncc(C)c(C)c2C)Cc2nc(C)c(C)c(C)c2C)CCCC1N(Cc1nc(C)c(C)c(C)c1C)Cc1nc(C)c(C)c(C)c1C</v>
      </c>
      <c r="C10013" s="7">
        <f>IFERROR(__xludf.DUMMYFUNCTION("""COMPUTED_VALUE"""),7.7672677)</f>
        <v>7.7672677</v>
      </c>
      <c r="D10013" s="7">
        <f>IFERROR(__xludf.DUMMYFUNCTION("""COMPUTED_VALUE"""),0.298245614035087)</f>
        <v>0.298245614</v>
      </c>
    </row>
    <row r="10014">
      <c r="A10014" s="10" t="s">
        <v>11453</v>
      </c>
      <c r="B10014" s="7" t="str">
        <f>IFERROR(__xludf.DUMMYFUNCTION("SPLIT(A10014,"" "")"),"Cc1cnccc1CN(C)Cc1cccc(N)n1")</f>
        <v>Cc1cnccc1CN(C)Cc1cccc(N)n1</v>
      </c>
      <c r="C10014" s="7">
        <f>IFERROR(__xludf.DUMMYFUNCTION("""COMPUTED_VALUE"""),7.7672644)</f>
        <v>7.7672644</v>
      </c>
      <c r="D10014" s="7">
        <f>IFERROR(__xludf.DUMMYFUNCTION("""COMPUTED_VALUE"""),0.409090909090909)</f>
        <v>0.4090909091</v>
      </c>
    </row>
    <row r="10015">
      <c r="A10015" s="10" t="s">
        <v>11454</v>
      </c>
      <c r="B10015" s="7" t="str">
        <f>IFERROR(__xludf.DUMMYFUNCTION("SPLIT(A10015,"" "")"),"CCNCc1cccc(C2=NC(C)C(C)O2)n1")</f>
        <v>CCNCc1cccc(C2=NC(C)C(C)O2)n1</v>
      </c>
      <c r="C10015" s="7">
        <f>IFERROR(__xludf.DUMMYFUNCTION("""COMPUTED_VALUE"""),7.767264)</f>
        <v>7.767264</v>
      </c>
      <c r="D10015" s="7">
        <f>IFERROR(__xludf.DUMMYFUNCTION("""COMPUTED_VALUE"""),0.26)</f>
        <v>0.26</v>
      </c>
    </row>
    <row r="10016">
      <c r="A10016" s="10" t="s">
        <v>11455</v>
      </c>
      <c r="B10016" s="7" t="str">
        <f>IFERROR(__xludf.DUMMYFUNCTION("SPLIT(A10016,"" "")"),"CN(Cc1ncccc1CF)C1CCC(N(C)c2ccc3nccc(CF)c3c2)CC1")</f>
        <v>CN(Cc1ncccc1CF)C1CCC(N(C)c2ccc3nccc(CF)c3c2)CC1</v>
      </c>
      <c r="C10016" s="7">
        <f>IFERROR(__xludf.DUMMYFUNCTION("""COMPUTED_VALUE"""),7.7672625)</f>
        <v>7.7672625</v>
      </c>
      <c r="D10016" s="7">
        <f>IFERROR(__xludf.DUMMYFUNCTION("""COMPUTED_VALUE"""),0.269841269841269)</f>
        <v>0.2698412698</v>
      </c>
    </row>
    <row r="10017">
      <c r="A10017" s="10" t="s">
        <v>11456</v>
      </c>
      <c r="B10017" s="7" t="str">
        <f>IFERROR(__xludf.DUMMYFUNCTION("SPLIT(A10017,"" "")"),"CN(Cc1ccccn1)C1CCCC(N(C)c2cccc3nc(CF)ccc23)C1")</f>
        <v>CN(Cc1ccccn1)C1CCCC(N(C)c2cccc3nc(CF)ccc23)C1</v>
      </c>
      <c r="C10017" s="7">
        <f>IFERROR(__xludf.DUMMYFUNCTION("""COMPUTED_VALUE"""),7.767262)</f>
        <v>7.767262</v>
      </c>
      <c r="D10017" s="7">
        <f>IFERROR(__xludf.DUMMYFUNCTION("""COMPUTED_VALUE"""),0.43859649122807)</f>
        <v>0.4385964912</v>
      </c>
    </row>
    <row r="10018">
      <c r="A10018" s="10" t="s">
        <v>11457</v>
      </c>
      <c r="B10018" s="7" t="str">
        <f>IFERROR(__xludf.DUMMYFUNCTION("SPLIT(A10018,"" "")"),"CN(Cc1cccc(F)n1)C1CCCCC1N(C)c1ccc2c(CF)ccnc2c1")</f>
        <v>CN(Cc1cccc(F)n1)C1CCCCC1N(C)c1ccc2c(CF)ccnc2c1</v>
      </c>
      <c r="C10018" s="7">
        <f>IFERROR(__xludf.DUMMYFUNCTION("""COMPUTED_VALUE"""),7.7672586)</f>
        <v>7.7672586</v>
      </c>
      <c r="D10018" s="7">
        <f>IFERROR(__xludf.DUMMYFUNCTION("""COMPUTED_VALUE"""),0.440677966101694)</f>
        <v>0.4406779661</v>
      </c>
    </row>
    <row r="10019">
      <c r="A10019" s="10" t="s">
        <v>11458</v>
      </c>
      <c r="B10019" s="7" t="str">
        <f>IFERROR(__xludf.DUMMYFUNCTION("SPLIT(A10019,"" "")"),"CN(Cc1ccccn1)C1=CNC=CC1CN(Cc1ccccn1)Cc1ccccn1")</f>
        <v>CN(Cc1ccccn1)C1=CNC=CC1CN(Cc1ccccn1)Cc1ccccn1</v>
      </c>
      <c r="C10019" s="7">
        <f>IFERROR(__xludf.DUMMYFUNCTION("""COMPUTED_VALUE"""),7.7672553)</f>
        <v>7.7672553</v>
      </c>
      <c r="D10019" s="7">
        <f>IFERROR(__xludf.DUMMYFUNCTION("""COMPUTED_VALUE"""),0.461538461538461)</f>
        <v>0.4615384615</v>
      </c>
    </row>
    <row r="10020">
      <c r="A10020" s="10" t="s">
        <v>11459</v>
      </c>
      <c r="B10020" s="7" t="str">
        <f>IFERROR(__xludf.DUMMYFUNCTION("SPLIT(A10020,"" "")"),"CC(C)NCc1cc(CN(Cc2ccccn2)C2CCC(N(C)c3cccc4nccc(CF)c34)CC2)ccn1")</f>
        <v>CC(C)NCc1cc(CN(Cc2ccccn2)C2CCC(N(C)c3cccc4nccc(CF)c34)CC2)ccn1</v>
      </c>
      <c r="C10020" s="7">
        <f>IFERROR(__xludf.DUMMYFUNCTION("""COMPUTED_VALUE"""),7.767255)</f>
        <v>7.767255</v>
      </c>
      <c r="D10020" s="7">
        <f>IFERROR(__xludf.DUMMYFUNCTION("""COMPUTED_VALUE"""),0.328571428571428)</f>
        <v>0.3285714286</v>
      </c>
    </row>
    <row r="10021">
      <c r="A10021" s="10" t="s">
        <v>11460</v>
      </c>
      <c r="B10021" s="7" t="str">
        <f>IFERROR(__xludf.DUMMYFUNCTION("SPLIT(A10021,"" "")"),"CC(C)C(C)(c1cccnc1)c1ncccc1CN(Cc1ccccn1)Cc1ccccn1")</f>
        <v>CC(C)C(C)(c1cccnc1)c1ncccc1CN(Cc1ccccn1)Cc1ccccn1</v>
      </c>
      <c r="C10021" s="7">
        <f>IFERROR(__xludf.DUMMYFUNCTION("""COMPUTED_VALUE"""),7.767255)</f>
        <v>7.767255</v>
      </c>
      <c r="D10021" s="7">
        <f>IFERROR(__xludf.DUMMYFUNCTION("""COMPUTED_VALUE"""),0.444444444444444)</f>
        <v>0.4444444444</v>
      </c>
    </row>
    <row r="10022">
      <c r="A10022" s="10" t="s">
        <v>11461</v>
      </c>
      <c r="B10022" s="7" t="str">
        <f>IFERROR(__xludf.DUMMYFUNCTION("SPLIT(A10022,"" "")"),"Cc1cnc2cc(N(C)C3CCC(N(Cc4ccc(CNC(C)C)nc4)Cc4ccccn4)CC3)ccc2c1")</f>
        <v>Cc1cnc2cc(N(C)C3CCC(N(Cc4ccc(CNC(C)C)nc4)Cc4ccccn4)CC3)ccc2c1</v>
      </c>
      <c r="C10022" s="7">
        <f>IFERROR(__xludf.DUMMYFUNCTION("""COMPUTED_VALUE"""),7.76725)</f>
        <v>7.76725</v>
      </c>
      <c r="D10022" s="7">
        <f>IFERROR(__xludf.DUMMYFUNCTION("""COMPUTED_VALUE"""),0.323943661971831)</f>
        <v>0.323943662</v>
      </c>
    </row>
    <row r="10023">
      <c r="A10023" s="10" t="s">
        <v>11462</v>
      </c>
      <c r="B10023" s="7" t="str">
        <f>IFERROR(__xludf.DUMMYFUNCTION("SPLIT(A10023,"" "")"),"CNCc1cccc(CN(Cc2ccccn2)C2CCC(N(C)c3cccc4ncc(CF)cc34)CC2)n1")</f>
        <v>CNCc1cccc(CN(Cc2ccccn2)C2CCC(N(C)c3cccc4ncc(CF)cc34)CC2)n1</v>
      </c>
      <c r="C10023" s="7">
        <f>IFERROR(__xludf.DUMMYFUNCTION("""COMPUTED_VALUE"""),7.7672405)</f>
        <v>7.7672405</v>
      </c>
      <c r="D10023" s="7">
        <f>IFERROR(__xludf.DUMMYFUNCTION("""COMPUTED_VALUE"""),0.333333333333333)</f>
        <v>0.3333333333</v>
      </c>
    </row>
    <row r="10024">
      <c r="A10024" s="10" t="s">
        <v>11463</v>
      </c>
      <c r="B10024" s="7" t="str">
        <f>IFERROR(__xludf.DUMMYFUNCTION("SPLIT(A10024,"" "")"),"Cc1ccc(N(CC2=CC(N(C)Cc3ccccn3)C=CN2)C(C)C)cc1")</f>
        <v>Cc1ccc(N(CC2=CC(N(C)Cc3ccccn3)C=CN2)C(C)C)cc1</v>
      </c>
      <c r="C10024" s="7">
        <f>IFERROR(__xludf.DUMMYFUNCTION("""COMPUTED_VALUE"""),7.767237)</f>
        <v>7.767237</v>
      </c>
      <c r="D10024" s="7">
        <f>IFERROR(__xludf.DUMMYFUNCTION("""COMPUTED_VALUE"""),0.379310344827586)</f>
        <v>0.3793103448</v>
      </c>
    </row>
    <row r="10025">
      <c r="A10025" s="10" t="s">
        <v>11464</v>
      </c>
      <c r="B10025" s="7" t="str">
        <f>IFERROR(__xludf.DUMMYFUNCTION("SPLIT(A10025,"" "")"),"C=CCN(C)Cc1cc(C(C)(C)c2ccccn2)ccn1")</f>
        <v>C=CCN(C)Cc1cc(C(C)(C)c2ccccn2)ccn1</v>
      </c>
      <c r="C10025" s="7">
        <f>IFERROR(__xludf.DUMMYFUNCTION("""COMPUTED_VALUE"""),7.7672305)</f>
        <v>7.7672305</v>
      </c>
      <c r="D10025" s="7">
        <f>IFERROR(__xludf.DUMMYFUNCTION("""COMPUTED_VALUE"""),0.366666666666666)</f>
        <v>0.3666666667</v>
      </c>
    </row>
    <row r="10026">
      <c r="A10026" s="10" t="s">
        <v>11465</v>
      </c>
      <c r="B10026" s="7" t="str">
        <f>IFERROR(__xludf.DUMMYFUNCTION("SPLIT(A10026,"" "")"),"CC1C=CC(C)(C)C(C)C12CC(c1cccc(CN(Cc3ccccn3)Cc3ccccn3)n1)C=C(c1cccc(CN(Cc3ccccn3)Cc3ccccn3)n1)C21C=CNC(C(C)(C)C)=C1")</f>
        <v>CC1C=CC(C)(C)C(C)C12CC(c1cccc(CN(Cc3ccccn3)Cc3ccccn3)n1)C=C(c1cccc(CN(Cc3ccccn3)Cc3ccccn3)n1)C21C=CNC(C(C)(C)C)=C1</v>
      </c>
      <c r="C10026" s="7">
        <f>IFERROR(__xludf.DUMMYFUNCTION("""COMPUTED_VALUE"""),7.7672305)</f>
        <v>7.7672305</v>
      </c>
      <c r="D10026" s="7">
        <f>IFERROR(__xludf.DUMMYFUNCTION("""COMPUTED_VALUE"""),0.325301204819277)</f>
        <v>0.3253012048</v>
      </c>
    </row>
    <row r="10027">
      <c r="A10027" s="10" t="s">
        <v>11466</v>
      </c>
      <c r="B10027" s="7" t="str">
        <f>IFERROR(__xludf.DUMMYFUNCTION("SPLIT(A10027,"" "")"),"CNC(C)(C)c1ccc(CN(Cc2ccccn2)Cc2cc(C(C)(C)C)ccn2)cn1")</f>
        <v>CNC(C)(C)c1ccc(CN(Cc2ccccn2)Cc2cc(C(C)(C)C)ccn2)cn1</v>
      </c>
      <c r="C10027" s="7">
        <f>IFERROR(__xludf.DUMMYFUNCTION("""COMPUTED_VALUE"""),7.7672153)</f>
        <v>7.7672153</v>
      </c>
      <c r="D10027" s="7">
        <f>IFERROR(__xludf.DUMMYFUNCTION("""COMPUTED_VALUE"""),0.416666666666666)</f>
        <v>0.4166666667</v>
      </c>
    </row>
    <row r="10028">
      <c r="A10028" s="10" t="s">
        <v>11467</v>
      </c>
      <c r="B10028" s="7" t="str">
        <f>IFERROR(__xludf.DUMMYFUNCTION("SPLIT(A10028,"" "")"),"Cc1cncc(CN(C)Cc2ncccc2N(C)C(C)C)c1")</f>
        <v>Cc1cncc(CN(C)Cc2ncccc2N(C)C(C)C)c1</v>
      </c>
      <c r="C10028" s="7">
        <f>IFERROR(__xludf.DUMMYFUNCTION("""COMPUTED_VALUE"""),7.767213)</f>
        <v>7.767213</v>
      </c>
      <c r="D10028" s="7">
        <f>IFERROR(__xludf.DUMMYFUNCTION("""COMPUTED_VALUE"""),0.326923076923076)</f>
        <v>0.3269230769</v>
      </c>
    </row>
    <row r="10029">
      <c r="A10029" s="10" t="s">
        <v>11468</v>
      </c>
      <c r="B10029" s="7" t="str">
        <f>IFERROR(__xludf.DUMMYFUNCTION("SPLIT(A10029,"" "")"),"CC(C)NCc1cccc(CN(Cc2ccccn2)C2CCCC(N(C)c3cccc4ncc(CF)cc34)C2)n1")</f>
        <v>CC(C)NCc1cccc(CN(Cc2ccccn2)C2CCCC(N(C)c3cccc4ncc(CF)cc34)C2)n1</v>
      </c>
      <c r="C10029" s="7">
        <f>IFERROR(__xludf.DUMMYFUNCTION("""COMPUTED_VALUE"""),7.767212)</f>
        <v>7.767212</v>
      </c>
      <c r="D10029" s="7">
        <f>IFERROR(__xludf.DUMMYFUNCTION("""COMPUTED_VALUE"""),0.315068493150684)</f>
        <v>0.3150684932</v>
      </c>
    </row>
    <row r="10030">
      <c r="A10030" s="10" t="s">
        <v>11469</v>
      </c>
      <c r="B10030" s="7" t="str">
        <f>IFERROR(__xludf.DUMMYFUNCTION("SPLIT(A10030,"" "")"),"CC(C)N(C)Cc1ccc(N(C)Cc2ccccn2)nc1")</f>
        <v>CC(C)N(C)Cc1ccc(N(C)Cc2ccccn2)nc1</v>
      </c>
      <c r="C10030" s="7">
        <f>IFERROR(__xludf.DUMMYFUNCTION("""COMPUTED_VALUE"""),7.76721)</f>
        <v>7.76721</v>
      </c>
      <c r="D10030" s="7">
        <f>IFERROR(__xludf.DUMMYFUNCTION("""COMPUTED_VALUE"""),0.488372093023255)</f>
        <v>0.488372093</v>
      </c>
    </row>
    <row r="10031">
      <c r="A10031" s="10" t="s">
        <v>11470</v>
      </c>
      <c r="B10031" s="7" t="str">
        <f>IFERROR(__xludf.DUMMYFUNCTION("SPLIT(A10031,"" "")"),"Cc1ccnc(CN(C)CCN(C)Cc2nc(C)c(C)c(C)c2C)c1C")</f>
        <v>Cc1ccnc(CN(C)CCN(C)Cc2nc(C)c(C)c(C)c2C)c1C</v>
      </c>
      <c r="C10031" s="7">
        <f>IFERROR(__xludf.DUMMYFUNCTION("""COMPUTED_VALUE"""),7.7671986)</f>
        <v>7.7671986</v>
      </c>
      <c r="D10031" s="7">
        <f>IFERROR(__xludf.DUMMYFUNCTION("""COMPUTED_VALUE"""),0.34090909090909)</f>
        <v>0.3409090909</v>
      </c>
    </row>
    <row r="10032">
      <c r="A10032" s="10" t="s">
        <v>11471</v>
      </c>
      <c r="B10032" s="7" t="str">
        <f>IFERROR(__xludf.DUMMYFUNCTION("SPLIT(A10032,"" "")"),"CCc1cccc(CN(Cc2ccccn2)C2CCC(N(C)c3ccc4nc(CF)ccc4c3)CC2)n1")</f>
        <v>CCc1cccc(CN(Cc2ccccn2)C2CCC(N(C)c3ccc4nc(CF)ccc4c3)CC2)n1</v>
      </c>
      <c r="C10032" s="7">
        <f>IFERROR(__xludf.DUMMYFUNCTION("""COMPUTED_VALUE"""),7.7671976)</f>
        <v>7.7671976</v>
      </c>
      <c r="D10032" s="7">
        <f>IFERROR(__xludf.DUMMYFUNCTION("""COMPUTED_VALUE"""),0.393442622950819)</f>
        <v>0.393442623</v>
      </c>
    </row>
    <row r="10033">
      <c r="A10033" s="10" t="s">
        <v>11472</v>
      </c>
      <c r="B10033" s="7" t="str">
        <f>IFERROR(__xludf.DUMMYFUNCTION("SPLIT(A10033,"" "")"),"CC1=CC(C)C2(C=C(C)CC3(CCC4(C(c5ncccc5CN(Cc5ccccn5)Cc5ccccn5)=C3c3nccc(CN(Cc5ccccn5)Cc5ccccn5)c3C)C(C)CC=C(C)C4C)C2(C)C)CC1")</f>
        <v>CC1=CC(C)C2(C=C(C)CC3(CCC4(C(c5ncccc5CN(Cc5ccccn5)Cc5ccccn5)=C3c3nccc(CN(Cc5ccccn5)Cc5ccccn5)c3C)C(C)CC=C(C)C4C)C2(C)C)CC1</v>
      </c>
      <c r="C10033" s="7">
        <f>IFERROR(__xludf.DUMMYFUNCTION("""COMPUTED_VALUE"""),7.7671924)</f>
        <v>7.7671924</v>
      </c>
      <c r="D10033" s="7">
        <f>IFERROR(__xludf.DUMMYFUNCTION("""COMPUTED_VALUE"""),0.258823529411764)</f>
        <v>0.2588235294</v>
      </c>
    </row>
    <row r="10034">
      <c r="A10034" s="10" t="s">
        <v>11473</v>
      </c>
      <c r="B10034" s="7" t="str">
        <f>IFERROR(__xludf.DUMMYFUNCTION("SPLIT(A10034,"" "")"),"CN(Cc1cccc(-c2ccc3c(c2)OCCOCCOCCOCCOCCO3)n1)Cc1cc2ncccc2cc1N(C)Cc1ccccn1")</f>
        <v>CN(Cc1cccc(-c2ccc3c(c2)OCCOCCOCCOCCOCCO3)n1)Cc1cc2ncccc2cc1N(C)Cc1ccccn1</v>
      </c>
      <c r="C10034" s="7">
        <f>IFERROR(__xludf.DUMMYFUNCTION("""COMPUTED_VALUE"""),7.767191)</f>
        <v>7.767191</v>
      </c>
      <c r="D10034" s="7">
        <f>IFERROR(__xludf.DUMMYFUNCTION("""COMPUTED_VALUE"""),0.424242424242424)</f>
        <v>0.4242424242</v>
      </c>
    </row>
    <row r="10035">
      <c r="A10035" s="10" t="s">
        <v>11474</v>
      </c>
      <c r="B10035" s="7" t="str">
        <f>IFERROR(__xludf.DUMMYFUNCTION("SPLIT(A10035,"" "")"),"Cc1cc(C)c(CN(C)CC2=CC(N(C)Cc3ncccc3C)C=CN2)cn1")</f>
        <v>Cc1cc(C)c(CN(C)CC2=CC(N(C)Cc3ncccc3C)C=CN2)cn1</v>
      </c>
      <c r="C10035" s="7">
        <f>IFERROR(__xludf.DUMMYFUNCTION("""COMPUTED_VALUE"""),7.767189)</f>
        <v>7.767189</v>
      </c>
      <c r="D10035" s="7">
        <f>IFERROR(__xludf.DUMMYFUNCTION("""COMPUTED_VALUE"""),0.283582089552238)</f>
        <v>0.2835820896</v>
      </c>
    </row>
    <row r="10036">
      <c r="A10036" s="10" t="s">
        <v>11475</v>
      </c>
      <c r="B10036" s="7" t="str">
        <f>IFERROR(__xludf.DUMMYFUNCTION("SPLIT(A10036,"" "")"),"CCNCc1cccc(CN(Cc2ccccn2)Cc2cc(C(C)(C)c3ccccn3)ccn2)n1")</f>
        <v>CCNCc1cccc(CN(Cc2ccccn2)Cc2cc(C(C)(C)c3ccccn3)ccn2)n1</v>
      </c>
      <c r="C10036" s="7">
        <f>IFERROR(__xludf.DUMMYFUNCTION("""COMPUTED_VALUE"""),7.767188)</f>
        <v>7.767188</v>
      </c>
      <c r="D10036" s="7">
        <f>IFERROR(__xludf.DUMMYFUNCTION("""COMPUTED_VALUE"""),0.408163265306122)</f>
        <v>0.4081632653</v>
      </c>
    </row>
    <row r="10037">
      <c r="A10037" s="10" t="s">
        <v>11476</v>
      </c>
      <c r="B10037" s="7" t="str">
        <f>IFERROR(__xludf.DUMMYFUNCTION("SPLIT(A10037,"" "")"),"CN(CCN(C)C1=CCC(CN(C)Cc2ccccn2)=CN1)CC1=CCC(N(C)Cc2ccccn2)=CN1")</f>
        <v>CN(CCN(C)C1=CCC(CN(C)Cc2ccccn2)=CN1)CC1=CCC(N(C)Cc2ccccn2)=CN1</v>
      </c>
      <c r="C10037" s="7">
        <f>IFERROR(__xludf.DUMMYFUNCTION("""COMPUTED_VALUE"""),7.7671824)</f>
        <v>7.7671824</v>
      </c>
      <c r="D10037" s="7">
        <f>IFERROR(__xludf.DUMMYFUNCTION("""COMPUTED_VALUE"""),0.393442622950819)</f>
        <v>0.393442623</v>
      </c>
    </row>
    <row r="10038">
      <c r="A10038" s="10" t="s">
        <v>11477</v>
      </c>
      <c r="B10038" s="7" t="str">
        <f>IFERROR(__xludf.DUMMYFUNCTION("SPLIT(A10038,"" "")"),"C#Cc1ccc(CN(Cc2ccccn2)C2CCCCC2N(C)c2ccc3nc(CF)ccc3c2)nc1")</f>
        <v>C#Cc1ccc(CN(Cc2ccccn2)C2CCCCC2N(C)c2ccc3nc(CF)ccc3c2)nc1</v>
      </c>
      <c r="C10038" s="7">
        <f>IFERROR(__xludf.DUMMYFUNCTION("""COMPUTED_VALUE"""),7.7671804)</f>
        <v>7.7671804</v>
      </c>
      <c r="D10038" s="7">
        <f>IFERROR(__xludf.DUMMYFUNCTION("""COMPUTED_VALUE"""),0.4)</f>
        <v>0.4</v>
      </c>
    </row>
    <row r="10039">
      <c r="A10039" s="10" t="s">
        <v>11478</v>
      </c>
      <c r="B10039" s="7" t="str">
        <f>IFERROR(__xludf.DUMMYFUNCTION("SPLIT(A10039,"" "")"),"CNC1NC=CC=C1N(C)Cc1ccccn1")</f>
        <v>CNC1NC=CC=C1N(C)Cc1ccccn1</v>
      </c>
      <c r="C10039" s="7">
        <f>IFERROR(__xludf.DUMMYFUNCTION("""COMPUTED_VALUE"""),7.76718)</f>
        <v>7.76718</v>
      </c>
      <c r="D10039" s="7">
        <f>IFERROR(__xludf.DUMMYFUNCTION("""COMPUTED_VALUE"""),0.442307692307692)</f>
        <v>0.4423076923</v>
      </c>
    </row>
    <row r="10040">
      <c r="A10040" s="10" t="s">
        <v>11479</v>
      </c>
      <c r="B10040" s="7" t="str">
        <f>IFERROR(__xludf.DUMMYFUNCTION("SPLIT(A10040,"" "")"),"CCN(Cc1ccccn1)Cc1nc(C(C)(C)C)c(C)c(C)c1C")</f>
        <v>CCN(Cc1ccccn1)Cc1nc(C(C)(C)C)c(C)c(C)c1C</v>
      </c>
      <c r="C10040" s="7">
        <f>IFERROR(__xludf.DUMMYFUNCTION("""COMPUTED_VALUE"""),7.767178)</f>
        <v>7.767178</v>
      </c>
      <c r="D10040" s="7">
        <f>IFERROR(__xludf.DUMMYFUNCTION("""COMPUTED_VALUE"""),0.468085106382978)</f>
        <v>0.4680851064</v>
      </c>
    </row>
    <row r="10041">
      <c r="A10041" s="10" t="s">
        <v>11480</v>
      </c>
      <c r="B10041" s="7" t="str">
        <f>IFERROR(__xludf.DUMMYFUNCTION("SPLIT(A10041,"" "")"),"CNCc1cccc(CN(Cc2cccc(C)n2)Cc2cccc(N)n2)n1")</f>
        <v>CNCc1cccc(CN(Cc2cccc(C)n2)Cc2cccc(N)n2)n1</v>
      </c>
      <c r="C10041" s="7">
        <f>IFERROR(__xludf.DUMMYFUNCTION("""COMPUTED_VALUE"""),7.7671766)</f>
        <v>7.7671766</v>
      </c>
      <c r="D10041" s="7">
        <f>IFERROR(__xludf.DUMMYFUNCTION("""COMPUTED_VALUE"""),0.452380952380952)</f>
        <v>0.4523809524</v>
      </c>
    </row>
    <row r="10042">
      <c r="A10042" s="10" t="s">
        <v>11481</v>
      </c>
      <c r="B10042" s="7" t="str">
        <f>IFERROR(__xludf.DUMMYFUNCTION("SPLIT(A10042,"" "")"),"CNCc1cc(CN(Cc2cccc(F)n2)C2CCC(N(C)c3ccc4nc(CF)ccc4c3)CC2)ccn1")</f>
        <v>CNCc1cc(CN(Cc2cccc(F)n2)C2CCC(N(C)c3ccc4nc(CF)ccc4c3)CC2)ccn1</v>
      </c>
      <c r="C10042" s="7">
        <f>IFERROR(__xludf.DUMMYFUNCTION("""COMPUTED_VALUE"""),7.7671733)</f>
        <v>7.7671733</v>
      </c>
      <c r="D10042" s="7">
        <f>IFERROR(__xludf.DUMMYFUNCTION("""COMPUTED_VALUE"""),0.298701298701298)</f>
        <v>0.2987012987</v>
      </c>
    </row>
    <row r="10043">
      <c r="A10043" s="10" t="s">
        <v>11482</v>
      </c>
      <c r="B10043" s="7" t="str">
        <f>IFERROR(__xludf.DUMMYFUNCTION("SPLIT(A10043,"" "")"),"Cc1ccnc2cc(N(C)C3CCCC(N(Cc4ccccn4)CC4C=CNC=C4)C3)ccc12")</f>
        <v>Cc1ccnc2cc(N(C)C3CCCC(N(Cc4ccccn4)CC4C=CNC=C4)C3)ccc12</v>
      </c>
      <c r="C10043" s="7">
        <f>IFERROR(__xludf.DUMMYFUNCTION("""COMPUTED_VALUE"""),7.7671714)</f>
        <v>7.7671714</v>
      </c>
      <c r="D10043" s="7">
        <f>IFERROR(__xludf.DUMMYFUNCTION("""COMPUTED_VALUE"""),0.338235294117647)</f>
        <v>0.3382352941</v>
      </c>
    </row>
    <row r="10044">
      <c r="A10044" s="10" t="s">
        <v>11483</v>
      </c>
      <c r="B10044" s="7" t="str">
        <f>IFERROR(__xludf.DUMMYFUNCTION("SPLIT(A10044,"" "")"),"CNC1NC=CC=C1N(C)C1CCC(N(C)c2ccc3ncccc3c2)CC1")</f>
        <v>CNC1NC=CC=C1N(C)C1CCC(N(C)c2ccc3ncccc3c2)CC1</v>
      </c>
      <c r="C10044" s="7">
        <f>IFERROR(__xludf.DUMMYFUNCTION("""COMPUTED_VALUE"""),7.767161)</f>
        <v>7.767161</v>
      </c>
      <c r="D10044" s="7">
        <f>IFERROR(__xludf.DUMMYFUNCTION("""COMPUTED_VALUE"""),0.285714285714285)</f>
        <v>0.2857142857</v>
      </c>
    </row>
    <row r="10045">
      <c r="A10045" s="10" t="s">
        <v>11484</v>
      </c>
      <c r="B10045" s="7" t="str">
        <f>IFERROR(__xludf.DUMMYFUNCTION("SPLIT(A10045,"" "")"),"CC(C)(C)c1ccnc(CNCc2ccnc(C(C)(C)C)c2)c1")</f>
        <v>CC(C)(C)c1ccnc(CNCc2ccnc(C(C)(C)C)c2)c1</v>
      </c>
      <c r="C10045" s="7">
        <f>IFERROR(__xludf.DUMMYFUNCTION("""COMPUTED_VALUE"""),7.7671556)</f>
        <v>7.7671556</v>
      </c>
      <c r="D10045" s="7">
        <f>IFERROR(__xludf.DUMMYFUNCTION("""COMPUTED_VALUE"""),0.295454545454545)</f>
        <v>0.2954545455</v>
      </c>
    </row>
    <row r="10046">
      <c r="A10046" s="10" t="s">
        <v>11485</v>
      </c>
      <c r="B10046" s="7" t="str">
        <f>IFERROR(__xludf.DUMMYFUNCTION("SPLIT(A10046,"" "")"),"Cc1cncc(CN(C)CC2=CC(N(C)Cc3ncc(C)cc3C)C=CN2)c1")</f>
        <v>Cc1cncc(CN(C)CC2=CC(N(C)Cc3ncc(C)cc3C)C=CN2)c1</v>
      </c>
      <c r="C10046" s="7">
        <f>IFERROR(__xludf.DUMMYFUNCTION("""COMPUTED_VALUE"""),7.7671504)</f>
        <v>7.7671504</v>
      </c>
      <c r="D10046" s="7">
        <f>IFERROR(__xludf.DUMMYFUNCTION("""COMPUTED_VALUE"""),0.296875)</f>
        <v>0.296875</v>
      </c>
    </row>
    <row r="10047">
      <c r="A10047" s="10" t="s">
        <v>11486</v>
      </c>
      <c r="B10047" s="7" t="str">
        <f>IFERROR(__xludf.DUMMYFUNCTION("SPLIT(A10047,"" "")"),"Cc1ccc(CN(C)CC2=CC(N(C)Cc3ncc(C)cc3C)C=CN2)nc1")</f>
        <v>Cc1ccc(CN(C)CC2=CC(N(C)Cc3ncc(C)cc3C)C=CN2)nc1</v>
      </c>
      <c r="C10047" s="7">
        <f>IFERROR(__xludf.DUMMYFUNCTION("""COMPUTED_VALUE"""),7.7671423)</f>
        <v>7.7671423</v>
      </c>
      <c r="D10047" s="7">
        <f>IFERROR(__xludf.DUMMYFUNCTION("""COMPUTED_VALUE"""),0.423076923076923)</f>
        <v>0.4230769231</v>
      </c>
    </row>
    <row r="10048">
      <c r="A10048" s="10" t="s">
        <v>11487</v>
      </c>
      <c r="B10048" s="7" t="str">
        <f>IFERROR(__xludf.DUMMYFUNCTION("SPLIT(A10048,"" "")"),"Cc1ccc(CN(CC2=CC(N(C)Cc3ccccn3)C=CN2)C(C)(C)c2ccccn2)nc1")</f>
        <v>Cc1ccc(CN(CC2=CC(N(C)Cc3ccccn3)C=CN2)C(C)(C)c2ccccn2)nc1</v>
      </c>
      <c r="C10048" s="7">
        <f>IFERROR(__xludf.DUMMYFUNCTION("""COMPUTED_VALUE"""),7.7671394)</f>
        <v>7.7671394</v>
      </c>
      <c r="D10048" s="7">
        <f>IFERROR(__xludf.DUMMYFUNCTION("""COMPUTED_VALUE"""),0.359375)</f>
        <v>0.359375</v>
      </c>
    </row>
    <row r="10049">
      <c r="A10049" s="10" t="s">
        <v>11488</v>
      </c>
      <c r="B10049" s="7" t="str">
        <f>IFERROR(__xludf.DUMMYFUNCTION("SPLIT(A10049,"" "")"),"Cc1cc(CN(C)Cc2ncccc2N)ccn1")</f>
        <v>Cc1cc(CN(C)Cc2ncccc2N)ccn1</v>
      </c>
      <c r="C10049" s="7">
        <f>IFERROR(__xludf.DUMMYFUNCTION("""COMPUTED_VALUE"""),7.767129)</f>
        <v>7.767129</v>
      </c>
      <c r="D10049" s="7">
        <f>IFERROR(__xludf.DUMMYFUNCTION("""COMPUTED_VALUE"""),0.3)</f>
        <v>0.3</v>
      </c>
    </row>
    <row r="10050">
      <c r="A10050" s="10" t="s">
        <v>11489</v>
      </c>
      <c r="B10050" s="7" t="str">
        <f>IFERROR(__xludf.DUMMYFUNCTION("SPLIT(A10050,"" "")"),"CN(Cc1ccccn1)C1CCC(N(C)c2cccc3nccc(CF)c23)CC1")</f>
        <v>CN(Cc1ccccn1)C1CCC(N(C)c2cccc3nccc(CF)c23)CC1</v>
      </c>
      <c r="C10050" s="7">
        <f>IFERROR(__xludf.DUMMYFUNCTION("""COMPUTED_VALUE"""),7.767129)</f>
        <v>7.767129</v>
      </c>
      <c r="D10050" s="7">
        <f>IFERROR(__xludf.DUMMYFUNCTION("""COMPUTED_VALUE"""),0.436363636363636)</f>
        <v>0.4363636364</v>
      </c>
    </row>
    <row r="10051">
      <c r="A10051" s="10" t="s">
        <v>11490</v>
      </c>
      <c r="B10051" s="7" t="str">
        <f>IFERROR(__xludf.DUMMYFUNCTION("SPLIT(A10051,"" "")"),"CCCN(Cc1ccccn1)C1=C(CN(C)Cc2nc(C)c(C)c(C)c2C)CC=CN1")</f>
        <v>CCCN(Cc1ccccn1)C1=C(CN(C)Cc2nc(C)c(C)c(C)c2C)CC=CN1</v>
      </c>
      <c r="C10051" s="7">
        <f>IFERROR(__xludf.DUMMYFUNCTION("""COMPUTED_VALUE"""),7.7671266)</f>
        <v>7.7671266</v>
      </c>
      <c r="D10051" s="7">
        <f>IFERROR(__xludf.DUMMYFUNCTION("""COMPUTED_VALUE"""),0.338461538461538)</f>
        <v>0.3384615385</v>
      </c>
    </row>
    <row r="10052">
      <c r="A10052" s="10" t="s">
        <v>11491</v>
      </c>
      <c r="B10052" s="7" t="str">
        <f>IFERROR(__xludf.DUMMYFUNCTION("SPLIT(A10052,"" "")"),"COCC(C)NCc1cccc(CN(Cc2ccccn2)Cc2cc(C(C)(C)c3ccccn3)ccn2)n1")</f>
        <v>COCC(C)NCc1cccc(CN(Cc2ccccn2)Cc2cc(C(C)(C)c3ccccn3)ccn2)n1</v>
      </c>
      <c r="C10052" s="7">
        <f>IFERROR(__xludf.DUMMYFUNCTION("""COMPUTED_VALUE"""),7.7671256)</f>
        <v>7.7671256</v>
      </c>
      <c r="D10052" s="7">
        <f>IFERROR(__xludf.DUMMYFUNCTION("""COMPUTED_VALUE"""),0.391304347826087)</f>
        <v>0.3913043478</v>
      </c>
    </row>
    <row r="10053">
      <c r="A10053" s="10" t="s">
        <v>11492</v>
      </c>
      <c r="B10053" s="7" t="str">
        <f>IFERROR(__xludf.DUMMYFUNCTION("SPLIT(A10053,"" "")"),"Cc1ncccc1CN(C)Cc1ncccc1N(C)C(C)C")</f>
        <v>Cc1ncccc1CN(C)Cc1ncccc1N(C)C(C)C</v>
      </c>
      <c r="C10053" s="7">
        <f>IFERROR(__xludf.DUMMYFUNCTION("""COMPUTED_VALUE"""),7.767118)</f>
        <v>7.767118</v>
      </c>
      <c r="D10053" s="7">
        <f>IFERROR(__xludf.DUMMYFUNCTION("""COMPUTED_VALUE"""),0.404255319148936)</f>
        <v>0.4042553191</v>
      </c>
    </row>
    <row r="10054">
      <c r="A10054" s="10" t="s">
        <v>11493</v>
      </c>
      <c r="B10054" s="7" t="str">
        <f>IFERROR(__xludf.DUMMYFUNCTION("SPLIT(A10054,"" "")"),"CN(Cc1ccccn1)c1ccc(N(C)Cc2cccc(-c3ccc4c(c3)OCCOCCOCCOCCOCCO4)n2)c(Cl)c1Cl")</f>
        <v>CN(Cc1ccccn1)c1ccc(N(C)Cc2cccc(-c3ccc4c(c3)OCCOCCOCCOCCOCCO4)n2)c(Cl)c1Cl</v>
      </c>
      <c r="C10054" s="7">
        <f>IFERROR(__xludf.DUMMYFUNCTION("""COMPUTED_VALUE"""),7.7671137)</f>
        <v>7.7671137</v>
      </c>
      <c r="D10054" s="7">
        <f>IFERROR(__xludf.DUMMYFUNCTION("""COMPUTED_VALUE"""),0.456140350877192)</f>
        <v>0.4561403509</v>
      </c>
    </row>
    <row r="10055">
      <c r="A10055" s="10" t="s">
        <v>11494</v>
      </c>
      <c r="B10055" s="7" t="str">
        <f>IFERROR(__xludf.DUMMYFUNCTION("SPLIT(A10055,"" "")"),"CCN(Cc1ccccn1)C1=CC(CN(C)Cc2nc(C)c(C)cc2C)C=CN1")</f>
        <v>CCN(Cc1ccccn1)C1=CC(CN(C)Cc2nc(C)c(C)cc2C)C=CN1</v>
      </c>
      <c r="C10055" s="7">
        <f>IFERROR(__xludf.DUMMYFUNCTION("""COMPUTED_VALUE"""),7.7671027)</f>
        <v>7.7671027</v>
      </c>
      <c r="D10055" s="7">
        <f>IFERROR(__xludf.DUMMYFUNCTION("""COMPUTED_VALUE"""),0.318840579710144)</f>
        <v>0.3188405797</v>
      </c>
    </row>
    <row r="10056">
      <c r="A10056" s="10" t="s">
        <v>11495</v>
      </c>
      <c r="B10056" s="7" t="str">
        <f>IFERROR(__xludf.DUMMYFUNCTION("SPLIT(A10056,"" "")"),"CCN(Cc1ccccn1)c1cccnc1C1C(Cl)CC1N(C)Cc1ccccn1")</f>
        <v>CCN(Cc1ccccn1)c1cccnc1C1C(Cl)CC1N(C)Cc1ccccn1</v>
      </c>
      <c r="C10056" s="7">
        <f>IFERROR(__xludf.DUMMYFUNCTION("""COMPUTED_VALUE"""),7.767102)</f>
        <v>7.767102</v>
      </c>
      <c r="D10056" s="7">
        <f>IFERROR(__xludf.DUMMYFUNCTION("""COMPUTED_VALUE"""),0.48076923076923)</f>
        <v>0.4807692308</v>
      </c>
    </row>
    <row r="10057">
      <c r="A10057" s="10" t="s">
        <v>11496</v>
      </c>
      <c r="B10057" s="7" t="str">
        <f>IFERROR(__xludf.DUMMYFUNCTION("SPLIT(A10057,"" "")"),"CNCc1cc(CN(Cc2ccccn2)Cc2nc(N)ccc2C)ccn1")</f>
        <v>CNCc1cc(CN(Cc2ccccn2)Cc2nc(N)ccc2C)ccn1</v>
      </c>
      <c r="C10057" s="7">
        <f>IFERROR(__xludf.DUMMYFUNCTION("""COMPUTED_VALUE"""),7.7671013)</f>
        <v>7.7671013</v>
      </c>
      <c r="D10057" s="7">
        <f>IFERROR(__xludf.DUMMYFUNCTION("""COMPUTED_VALUE"""),0.416666666666666)</f>
        <v>0.4166666667</v>
      </c>
    </row>
    <row r="10058">
      <c r="A10058" s="10" t="s">
        <v>11497</v>
      </c>
      <c r="B10058" s="7" t="str">
        <f>IFERROR(__xludf.DUMMYFUNCTION("SPLIT(A10058,"" "")"),"CNCc1ncccc1N(C)C1C=CC=CN1")</f>
        <v>CNCc1ncccc1N(C)C1C=CC=CN1</v>
      </c>
      <c r="C10058" s="7">
        <f>IFERROR(__xludf.DUMMYFUNCTION("""COMPUTED_VALUE"""),7.767098)</f>
        <v>7.767098</v>
      </c>
      <c r="D10058" s="7">
        <f>IFERROR(__xludf.DUMMYFUNCTION("""COMPUTED_VALUE"""),0.339285714285714)</f>
        <v>0.3392857143</v>
      </c>
    </row>
    <row r="10059">
      <c r="A10059" s="10" t="s">
        <v>11498</v>
      </c>
      <c r="B10059" s="7" t="str">
        <f>IFERROR(__xludf.DUMMYFUNCTION("SPLIT(A10059,"" "")"),"CN(Cc1ccc2c(n1)CCC2)C1CCC(N(C)c2ccc3nc(CF)ccc3c2)CC1")</f>
        <v>CN(Cc1ccc2c(n1)CCC2)C1CCC(N(C)c2ccc3nc(CF)ccc3c2)CC1</v>
      </c>
      <c r="C10059" s="7">
        <f>IFERROR(__xludf.DUMMYFUNCTION("""COMPUTED_VALUE"""),7.7670975)</f>
        <v>7.7670975</v>
      </c>
      <c r="D10059" s="7">
        <f>IFERROR(__xludf.DUMMYFUNCTION("""COMPUTED_VALUE"""),0.333333333333333)</f>
        <v>0.3333333333</v>
      </c>
    </row>
    <row r="10060">
      <c r="A10060" s="10" t="s">
        <v>11499</v>
      </c>
      <c r="B10060" s="7" t="str">
        <f>IFERROR(__xludf.DUMMYFUNCTION("SPLIT(A10060,"" "")"),"CC(C)N(Cc1ccccn1)C1CCC(N(C)c2ccc3ncc(CN(C)C)cc3c2)CC1")</f>
        <v>CC(C)N(Cc1ccccn1)C1CCC(N(C)c2ccc3ncc(CN(C)C)cc3c2)CC1</v>
      </c>
      <c r="C10060" s="7">
        <f>IFERROR(__xludf.DUMMYFUNCTION("""COMPUTED_VALUE"""),7.767096)</f>
        <v>7.767096</v>
      </c>
      <c r="D10060" s="7">
        <f>IFERROR(__xludf.DUMMYFUNCTION("""COMPUTED_VALUE"""),0.360655737704918)</f>
        <v>0.3606557377</v>
      </c>
    </row>
    <row r="10061">
      <c r="A10061" s="10" t="s">
        <v>11500</v>
      </c>
      <c r="B10061" s="7" t="str">
        <f>IFERROR(__xludf.DUMMYFUNCTION("SPLIT(A10061,"" "")"),"CN(C)Cc1cnc2ccc(N(C)C3CCCC(N(Cc4ccc(C5CCC5(C)C)nc4)Cc4ccccn4)C3)cc2c1")</f>
        <v>CN(C)Cc1cnc2ccc(N(C)C3CCCC(N(Cc4ccc(C5CCC5(C)C)nc4)Cc4ccccn4)C3)cc2c1</v>
      </c>
      <c r="C10061" s="7">
        <f>IFERROR(__xludf.DUMMYFUNCTION("""COMPUTED_VALUE"""),7.7670927)</f>
        <v>7.7670927</v>
      </c>
      <c r="D10061" s="7">
        <f>IFERROR(__xludf.DUMMYFUNCTION("""COMPUTED_VALUE"""),0.302631578947368)</f>
        <v>0.3026315789</v>
      </c>
    </row>
    <row r="10062">
      <c r="A10062" s="10" t="s">
        <v>11501</v>
      </c>
      <c r="B10062" s="7" t="str">
        <f>IFERROR(__xludf.DUMMYFUNCTION("SPLIT(A10062,"" "")"),"CNC1CCC(N(Cc2nc(C)c(C)c(C)c2C)Cc2nc(C)c(C)c(C)c2C)CC1N(Cc1cc(C)c(C)cn1)Cc1nc(C)c(C)c(C)c1C")</f>
        <v>CNC1CCC(N(Cc2nc(C)c(C)c(C)c2C)Cc2nc(C)c(C)c(C)c2C)CC1N(Cc1cc(C)c(C)cn1)Cc1nc(C)c(C)c(C)c1C</v>
      </c>
      <c r="C10062" s="7">
        <f>IFERROR(__xludf.DUMMYFUNCTION("""COMPUTED_VALUE"""),7.7670903)</f>
        <v>7.7670903</v>
      </c>
      <c r="D10062" s="7">
        <f>IFERROR(__xludf.DUMMYFUNCTION("""COMPUTED_VALUE"""),0.261538461538461)</f>
        <v>0.2615384615</v>
      </c>
    </row>
    <row r="10063">
      <c r="A10063" s="10" t="s">
        <v>11502</v>
      </c>
      <c r="B10063" s="7" t="str">
        <f>IFERROR(__xludf.DUMMYFUNCTION("SPLIT(A10063,"" "")"),"Cc1ccc(CN(Cc2ccccn2)C2CCC(N(C)Cc3cccc(-c4cccc(N(C)C)c4)n3)CC2)nc1")</f>
        <v>Cc1ccc(CN(Cc2ccccn2)C2CCC(N(C)Cc3cccc(-c4cccc(N(C)C)c4)n3)CC2)nc1</v>
      </c>
      <c r="C10063" s="7">
        <f>IFERROR(__xludf.DUMMYFUNCTION("""COMPUTED_VALUE"""),7.7670894)</f>
        <v>7.7670894</v>
      </c>
      <c r="D10063" s="7">
        <f>IFERROR(__xludf.DUMMYFUNCTION("""COMPUTED_VALUE"""),0.426470588235294)</f>
        <v>0.4264705882</v>
      </c>
    </row>
    <row r="10064">
      <c r="A10064" s="10" t="s">
        <v>11503</v>
      </c>
      <c r="B10064" s="7" t="str">
        <f>IFERROR(__xludf.DUMMYFUNCTION("SPLIT(A10064,"" "")"),"CN(Cc1cccnn1)C1CCCC(N(C)c2ccc3ncccc3c2)C1")</f>
        <v>CN(Cc1cccnn1)C1CCCC(N(C)c2ccc3ncccc3c2)C1</v>
      </c>
      <c r="C10064" s="7">
        <f>IFERROR(__xludf.DUMMYFUNCTION("""COMPUTED_VALUE"""),7.7670894)</f>
        <v>7.7670894</v>
      </c>
      <c r="D10064" s="7">
        <f>IFERROR(__xludf.DUMMYFUNCTION("""COMPUTED_VALUE"""),0.377358490566037)</f>
        <v>0.3773584906</v>
      </c>
    </row>
    <row r="10065">
      <c r="A10065" s="10" t="s">
        <v>11504</v>
      </c>
      <c r="B10065" s="7" t="str">
        <f>IFERROR(__xludf.DUMMYFUNCTION("SPLIT(A10065,"" "")"),"Cc1cnc(CN(C)CC2=CC(N(C)Cc3cccc(C)n3)C=CN2)c(C)c1")</f>
        <v>Cc1cnc(CN(C)CC2=CC(N(C)Cc3cccc(C)n3)C=CN2)c(C)c1</v>
      </c>
      <c r="C10065" s="7">
        <f>IFERROR(__xludf.DUMMYFUNCTION("""COMPUTED_VALUE"""),7.7670884)</f>
        <v>7.7670884</v>
      </c>
      <c r="D10065" s="7">
        <f>IFERROR(__xludf.DUMMYFUNCTION("""COMPUTED_VALUE"""),0.377049180327868)</f>
        <v>0.3770491803</v>
      </c>
    </row>
    <row r="10066">
      <c r="A10066" s="10" t="s">
        <v>11505</v>
      </c>
      <c r="B10066" s="7" t="str">
        <f>IFERROR(__xludf.DUMMYFUNCTION("SPLIT(A10066,"" "")"),"CN(Cc1cccnn1)C1CCCC(N(C)c2ccc3cc(CF)cnc3c2)C1")</f>
        <v>CN(Cc1cccnn1)C1CCCC(N(C)c2ccc3cc(CF)cnc3c2)C1</v>
      </c>
      <c r="C10066" s="7">
        <f>IFERROR(__xludf.DUMMYFUNCTION("""COMPUTED_VALUE"""),7.767088)</f>
        <v>7.767088</v>
      </c>
      <c r="D10066" s="7">
        <f>IFERROR(__xludf.DUMMYFUNCTION("""COMPUTED_VALUE"""),0.35593220338983)</f>
        <v>0.3559322034</v>
      </c>
    </row>
    <row r="10067">
      <c r="A10067" s="10" t="s">
        <v>11506</v>
      </c>
      <c r="B10067" s="7" t="str">
        <f>IFERROR(__xludf.DUMMYFUNCTION("SPLIT(A10067,"" "")"),"Cc1c(CNCc2ccccn2)cccc1NCc1ccccn1")</f>
        <v>Cc1c(CNCc2ccccn2)cccc1NCc1ccccn1</v>
      </c>
      <c r="C10067" s="7">
        <f>IFERROR(__xludf.DUMMYFUNCTION("""COMPUTED_VALUE"""),7.7670765)</f>
        <v>7.7670765</v>
      </c>
      <c r="D10067" s="7">
        <f>IFERROR(__xludf.DUMMYFUNCTION("""COMPUTED_VALUE"""),0.5)</f>
        <v>0.5</v>
      </c>
    </row>
    <row r="10068">
      <c r="A10068" s="10" t="s">
        <v>11507</v>
      </c>
      <c r="B10068" s="7" t="str">
        <f>IFERROR(__xludf.DUMMYFUNCTION("SPLIT(A10068,"" "")"),"Cc1ccnc(CN(C)CCN(Cc2nccc(C)c2C)Cc2ncc(C)c(C)c2C)c1C")</f>
        <v>Cc1ccnc(CN(C)CCN(Cc2nccc(C)c2C)Cc2ncc(C)c(C)c2C)c1C</v>
      </c>
      <c r="C10068" s="7">
        <f>IFERROR(__xludf.DUMMYFUNCTION("""COMPUTED_VALUE"""),7.767075)</f>
        <v>7.767075</v>
      </c>
      <c r="D10068" s="7">
        <f>IFERROR(__xludf.DUMMYFUNCTION("""COMPUTED_VALUE"""),0.386363636363636)</f>
        <v>0.3863636364</v>
      </c>
    </row>
    <row r="10069">
      <c r="A10069" s="10" t="s">
        <v>11508</v>
      </c>
      <c r="B10069" s="7" t="str">
        <f>IFERROR(__xludf.DUMMYFUNCTION("SPLIT(A10069,"" "")"),"CNC1CCC(N(Cc2cc(C)c(C)cn2)Cc2nc(C)c(C)c(C)c2C)CC1N(Cc1nc(C)c(C)c(C)c1C)Cc1nc(C)c(C)c(C)c1C")</f>
        <v>CNC1CCC(N(Cc2cc(C)c(C)cn2)Cc2nc(C)c(C)c(C)c2C)CC1N(Cc1nc(C)c(C)c(C)c1C)Cc1nc(C)c(C)c(C)c1C</v>
      </c>
      <c r="C10069" s="7">
        <f>IFERROR(__xludf.DUMMYFUNCTION("""COMPUTED_VALUE"""),7.767064)</f>
        <v>7.767064</v>
      </c>
      <c r="D10069" s="7">
        <f>IFERROR(__xludf.DUMMYFUNCTION("""COMPUTED_VALUE"""),0.261538461538461)</f>
        <v>0.2615384615</v>
      </c>
    </row>
    <row r="10070">
      <c r="A10070" s="10" t="s">
        <v>11509</v>
      </c>
      <c r="B10070" s="7" t="str">
        <f>IFERROR(__xludf.DUMMYFUNCTION("SPLIT(A10070,"" "")"),"Cc1cccnc1CN(C)C1CCCCC1N(C)c1ccc2ccc(CF)nc2c1")</f>
        <v>Cc1cccnc1CN(C)C1CCCCC1N(C)c1ccc2ccc(CF)nc2c1</v>
      </c>
      <c r="C10070" s="7">
        <f>IFERROR(__xludf.DUMMYFUNCTION("""COMPUTED_VALUE"""),7.767063)</f>
        <v>7.767063</v>
      </c>
      <c r="D10070" s="7">
        <f>IFERROR(__xludf.DUMMYFUNCTION("""COMPUTED_VALUE"""),0.459016393442622)</f>
        <v>0.4590163934</v>
      </c>
    </row>
    <row r="10071">
      <c r="A10071" s="10" t="s">
        <v>11510</v>
      </c>
      <c r="B10071" s="7" t="str">
        <f>IFERROR(__xludf.DUMMYFUNCTION("SPLIT(A10071,"" "")"),"CC1=CC(C)CC(C)(c2cc(CN(Cc3ccccn3)Cc3ccc(C(C)(C)C)cn3)ccn2)C1")</f>
        <v>CC1=CC(C)CC(C)(c2cc(CN(Cc3ccccn3)Cc3ccc(C(C)(C)C)cn3)ccn2)C1</v>
      </c>
      <c r="C10071" s="7">
        <f>IFERROR(__xludf.DUMMYFUNCTION("""COMPUTED_VALUE"""),7.7670603)</f>
        <v>7.7670603</v>
      </c>
      <c r="D10071" s="7">
        <f>IFERROR(__xludf.DUMMYFUNCTION("""COMPUTED_VALUE"""),0.333333333333333)</f>
        <v>0.3333333333</v>
      </c>
    </row>
    <row r="10072">
      <c r="A10072" s="10" t="s">
        <v>11511</v>
      </c>
      <c r="B10072" s="7" t="str">
        <f>IFERROR(__xludf.DUMMYFUNCTION("SPLIT(A10072,"" "")"),"CC(c1ccc2cccnc2c1)c1cc(CN2CCN(C)CCN(Cc3cc(C(C)(C)c4ccccn4)ccn3)CC2)ccn1")</f>
        <v>CC(c1ccc2cccnc2c1)c1cc(CN2CCN(C)CCN(Cc3cc(C(C)(C)c4ccccn4)ccn3)CC2)ccn1</v>
      </c>
      <c r="C10072" s="7">
        <f>IFERROR(__xludf.DUMMYFUNCTION("""COMPUTED_VALUE"""),7.767057)</f>
        <v>7.767057</v>
      </c>
      <c r="D10072" s="7">
        <f>IFERROR(__xludf.DUMMYFUNCTION("""COMPUTED_VALUE"""),0.388059701492537)</f>
        <v>0.3880597015</v>
      </c>
    </row>
    <row r="10073">
      <c r="A10073" s="10" t="s">
        <v>11512</v>
      </c>
      <c r="B10073" s="7" t="str">
        <f>IFERROR(__xludf.DUMMYFUNCTION("SPLIT(A10073,"" "")"),"CC(N=Cc1ccccn1)C(=O)c1cccnc1C1CCC1(C)C")</f>
        <v>CC(N=Cc1ccccn1)C(=O)c1cccnc1C1CCC1(C)C</v>
      </c>
      <c r="C10073" s="7">
        <f>IFERROR(__xludf.DUMMYFUNCTION("""COMPUTED_VALUE"""),7.767057)</f>
        <v>7.767057</v>
      </c>
      <c r="D10073" s="7">
        <f>IFERROR(__xludf.DUMMYFUNCTION("""COMPUTED_VALUE"""),0.327586206896551)</f>
        <v>0.3275862069</v>
      </c>
    </row>
    <row r="10074">
      <c r="A10074" s="10" t="s">
        <v>11513</v>
      </c>
      <c r="B10074" s="7" t="str">
        <f>IFERROR(__xludf.DUMMYFUNCTION("SPLIT(A10074,"" "")"),"CCCN(Cc1ccccn1)C1CCC(N(C)Cc2cc(-c3ccc4ncccc4c3)ccn2)CC1")</f>
        <v>CCCN(Cc1ccccn1)C1CCC(N(C)Cc2cc(-c3ccc4ncccc4c3)ccn2)CC1</v>
      </c>
      <c r="C10074" s="7">
        <f>IFERROR(__xludf.DUMMYFUNCTION("""COMPUTED_VALUE"""),7.767053)</f>
        <v>7.767053</v>
      </c>
      <c r="D10074" s="7">
        <f>IFERROR(__xludf.DUMMYFUNCTION("""COMPUTED_VALUE"""),0.4)</f>
        <v>0.4</v>
      </c>
    </row>
    <row r="10075">
      <c r="A10075" s="10" t="s">
        <v>11514</v>
      </c>
      <c r="B10075" s="7" t="str">
        <f>IFERROR(__xludf.DUMMYFUNCTION("SPLIT(A10075,"" "")"),"Cc1cncc(C)c1CN(C)C1=CNC(CN(C)C(C)C)=CC1")</f>
        <v>Cc1cncc(C)c1CN(C)C1=CNC(CN(C)C(C)C)=CC1</v>
      </c>
      <c r="C10075" s="7">
        <f>IFERROR(__xludf.DUMMYFUNCTION("""COMPUTED_VALUE"""),7.767052)</f>
        <v>7.767052</v>
      </c>
      <c r="D10075" s="7">
        <f>IFERROR(__xludf.DUMMYFUNCTION("""COMPUTED_VALUE"""),0.1875)</f>
        <v>0.1875</v>
      </c>
    </row>
    <row r="10076">
      <c r="A10076" s="10" t="s">
        <v>11515</v>
      </c>
      <c r="B10076" s="7" t="str">
        <f>IFERROR(__xludf.DUMMYFUNCTION("SPLIT(A10076,"" "")"),"CN(CN(Cc1ccccn1)C1CCCC(N(C)c2cccc3ncccc23)C1)C1CCC(N(C)c2cccc3cccnc23)CC1")</f>
        <v>CN(CN(Cc1ccccn1)C1CCCC(N(C)c2cccc3ncccc23)C1)C1CCC(N(C)c2cccc3cccnc23)CC1</v>
      </c>
      <c r="C10076" s="7">
        <f>IFERROR(__xludf.DUMMYFUNCTION("""COMPUTED_VALUE"""),7.767051)</f>
        <v>7.767051</v>
      </c>
      <c r="D10076" s="7">
        <f>IFERROR(__xludf.DUMMYFUNCTION("""COMPUTED_VALUE"""),0.415384615384615)</f>
        <v>0.4153846154</v>
      </c>
    </row>
    <row r="10077">
      <c r="A10077" s="10" t="s">
        <v>11516</v>
      </c>
      <c r="B10077" s="7" t="str">
        <f>IFERROR(__xludf.DUMMYFUNCTION("SPLIT(A10077,"" "")"),"CNCc1cccc(CN(Cc2ccccn2)Cc2nccc(C)c2C)n1")</f>
        <v>CNCc1cccc(CN(Cc2ccccn2)Cc2nccc(C)c2C)n1</v>
      </c>
      <c r="C10077" s="7">
        <f>IFERROR(__xludf.DUMMYFUNCTION("""COMPUTED_VALUE"""),7.7670455)</f>
        <v>7.7670455</v>
      </c>
      <c r="D10077" s="7">
        <f>IFERROR(__xludf.DUMMYFUNCTION("""COMPUTED_VALUE"""),0.465116279069767)</f>
        <v>0.4651162791</v>
      </c>
    </row>
    <row r="10078">
      <c r="A10078" s="10" t="s">
        <v>11517</v>
      </c>
      <c r="B10078" s="7" t="str">
        <f>IFERROR(__xludf.DUMMYFUNCTION("SPLIT(A10078,"" "")"),"CNC1C(N(Cc2nc([SiH3])c(C)c(C)c2C)Cc2nc([SiH3])c(C)c(C)c2C)CCCC1N(Cc1nc([SiH3])c(C)c(C)c1C)Cc1nc(C)c([SiH3])c([SiH3])c1C")</f>
        <v>CNC1C(N(Cc2nc([SiH3])c(C)c(C)c2C)Cc2nc([SiH3])c(C)c(C)c2C)CCCC1N(Cc1nc([SiH3])c(C)c(C)c1C)Cc1nc(C)c([SiH3])c([SiH3])c1C</v>
      </c>
      <c r="C10078" s="7">
        <f>IFERROR(__xludf.DUMMYFUNCTION("""COMPUTED_VALUE"""),7.767042)</f>
        <v>7.767042</v>
      </c>
      <c r="D10078" s="7">
        <f>IFERROR(__xludf.DUMMYFUNCTION("""COMPUTED_VALUE"""),0.233333333333333)</f>
        <v>0.2333333333</v>
      </c>
    </row>
    <row r="10079">
      <c r="A10079" s="10" t="s">
        <v>11518</v>
      </c>
      <c r="B10079" s="7" t="str">
        <f>IFERROR(__xludf.DUMMYFUNCTION("SPLIT(A10079,"" "")"),"COCc1cccc(-c2cccc(CN3CCN(C)CCN(Cc4cc(C(C)(c5ccccn5)c5ccccn5)ccn4)CC3)n2)n1")</f>
        <v>COCc1cccc(-c2cccc(CN3CCN(C)CCN(Cc4cc(C(C)(c5ccccn5)c5ccccn5)ccn4)CC3)n2)n1</v>
      </c>
      <c r="C10079" s="7">
        <f>IFERROR(__xludf.DUMMYFUNCTION("""COMPUTED_VALUE"""),7.7670417)</f>
        <v>7.7670417</v>
      </c>
      <c r="D10079" s="7">
        <f>IFERROR(__xludf.DUMMYFUNCTION("""COMPUTED_VALUE"""),0.473684210526315)</f>
        <v>0.4736842105</v>
      </c>
    </row>
    <row r="10080">
      <c r="A10080" s="10" t="s">
        <v>11519</v>
      </c>
      <c r="B10080" s="7" t="str">
        <f>IFERROR(__xludf.DUMMYFUNCTION("SPLIT(A10080,"" "")"),"CCN(C)Cc1nc(C)c(C)c(C)c1C")</f>
        <v>CCN(C)Cc1nc(C)c(C)c(C)c1C</v>
      </c>
      <c r="C10080" s="7">
        <f>IFERROR(__xludf.DUMMYFUNCTION("""COMPUTED_VALUE"""),7.7670417)</f>
        <v>7.7670417</v>
      </c>
      <c r="D10080" s="7">
        <f>IFERROR(__xludf.DUMMYFUNCTION("""COMPUTED_VALUE"""),0.256410256410256)</f>
        <v>0.2564102564</v>
      </c>
    </row>
    <row r="10081">
      <c r="A10081" s="10" t="s">
        <v>11520</v>
      </c>
      <c r="B10081" s="7" t="str">
        <f>IFERROR(__xludf.DUMMYFUNCTION("SPLIT(A10081,"" "")"),"Cc1cc(C)c(CN(Cc2ccccn2)Cc2nc(C3CC(N)C3C)c(C)c(C)c2C)nc1C")</f>
        <v>Cc1cc(C)c(CN(Cc2ccccn2)Cc2nc(C3CC(N)C3C)c(C)c(C)c2C)nc1C</v>
      </c>
      <c r="C10081" s="7">
        <f>IFERROR(__xludf.DUMMYFUNCTION("""COMPUTED_VALUE"""),7.76704)</f>
        <v>7.76704</v>
      </c>
      <c r="D10081" s="7">
        <f>IFERROR(__xludf.DUMMYFUNCTION("""COMPUTED_VALUE"""),0.363636363636363)</f>
        <v>0.3636363636</v>
      </c>
    </row>
    <row r="10082">
      <c r="A10082" s="10" t="s">
        <v>11521</v>
      </c>
      <c r="B10082" s="7" t="str">
        <f>IFERROR(__xludf.DUMMYFUNCTION("SPLIT(A10082,"" "")"),"CNCc1cc(CN(Cc2cccc(C)n2)Cc2ncccc2C)ccn1")</f>
        <v>CNCc1cc(CN(Cc2cccc(C)n2)Cc2ncccc2C)ccn1</v>
      </c>
      <c r="C10082" s="7">
        <f>IFERROR(__xludf.DUMMYFUNCTION("""COMPUTED_VALUE"""),7.767032)</f>
        <v>7.767032</v>
      </c>
      <c r="D10082" s="7">
        <f>IFERROR(__xludf.DUMMYFUNCTION("""COMPUTED_VALUE"""),0.358490566037735)</f>
        <v>0.358490566</v>
      </c>
    </row>
    <row r="10083">
      <c r="A10083" s="10" t="s">
        <v>11522</v>
      </c>
      <c r="B10083" s="7" t="str">
        <f>IFERROR(__xludf.DUMMYFUNCTION("SPLIT(A10083,"" "")"),"Cc1cc(C)nc(CN(Cc2cccnc2)Cc2ccccn2)c1")</f>
        <v>Cc1cc(C)nc(CN(Cc2cccnc2)Cc2ccccn2)c1</v>
      </c>
      <c r="C10083" s="7">
        <f>IFERROR(__xludf.DUMMYFUNCTION("""COMPUTED_VALUE"""),7.767032)</f>
        <v>7.767032</v>
      </c>
      <c r="D10083" s="7">
        <f>IFERROR(__xludf.DUMMYFUNCTION("""COMPUTED_VALUE"""),0.476190476190476)</f>
        <v>0.4761904762</v>
      </c>
    </row>
    <row r="10084">
      <c r="A10084" s="10" t="s">
        <v>11523</v>
      </c>
      <c r="B10084" s="7" t="str">
        <f>IFERROR(__xludf.DUMMYFUNCTION("SPLIT(A10084,"" "")"),"Cc1cccnc1CN(C)C1CCCCC1N(C)c1cccc2ncccc12")</f>
        <v>Cc1cccnc1CN(C)C1CCCCC1N(C)c1cccc2ncccc12</v>
      </c>
      <c r="C10084" s="7">
        <f>IFERROR(__xludf.DUMMYFUNCTION("""COMPUTED_VALUE"""),7.76703)</f>
        <v>7.76703</v>
      </c>
      <c r="D10084" s="7">
        <f>IFERROR(__xludf.DUMMYFUNCTION("""COMPUTED_VALUE"""),0.471698113207547)</f>
        <v>0.4716981132</v>
      </c>
    </row>
    <row r="10085">
      <c r="A10085" s="10" t="s">
        <v>11524</v>
      </c>
      <c r="B10085" s="7" t="str">
        <f>IFERROR(__xludf.DUMMYFUNCTION("SPLIT(A10085,"" "")"),"CNCc1ccc2cccc(N(C)CC3CCCN3C(C)C)c2n1")</f>
        <v>CNCc1ccc2cccc(N(C)CC3CCCN3C(C)C)c2n1</v>
      </c>
      <c r="C10085" s="7">
        <f>IFERROR(__xludf.DUMMYFUNCTION("""COMPUTED_VALUE"""),7.767026)</f>
        <v>7.767026</v>
      </c>
      <c r="D10085" s="7">
        <f>IFERROR(__xludf.DUMMYFUNCTION("""COMPUTED_VALUE"""),0.403225806451612)</f>
        <v>0.4032258065</v>
      </c>
    </row>
    <row r="10086">
      <c r="A10086" s="10" t="s">
        <v>11525</v>
      </c>
      <c r="B10086" s="7" t="str">
        <f>IFERROR(__xludf.DUMMYFUNCTION("SPLIT(A10086,"" "")"),"CC1=C(C)C(c2cccnc2CN(C)Cc2ccccn2)C(C)C=C1")</f>
        <v>CC1=C(C)C(c2cccnc2CN(C)Cc2ccccn2)C(C)C=C1</v>
      </c>
      <c r="C10086" s="7">
        <f>IFERROR(__xludf.DUMMYFUNCTION("""COMPUTED_VALUE"""),7.767026)</f>
        <v>7.767026</v>
      </c>
      <c r="D10086" s="7">
        <f>IFERROR(__xludf.DUMMYFUNCTION("""COMPUTED_VALUE"""),0.407407407407407)</f>
        <v>0.4074074074</v>
      </c>
    </row>
    <row r="10087">
      <c r="A10087" s="10" t="s">
        <v>11526</v>
      </c>
      <c r="B10087" s="7" t="str">
        <f>IFERROR(__xludf.DUMMYFUNCTION("SPLIT(A10087,"" "")"),"Cc1cccnc1CN(Cc1cccnc1NCF)Cc1ncccc1C")</f>
        <v>Cc1cccnc1CN(Cc1cccnc1NCF)Cc1ncccc1C</v>
      </c>
      <c r="C10087" s="7">
        <f>IFERROR(__xludf.DUMMYFUNCTION("""COMPUTED_VALUE"""),7.7670245)</f>
        <v>7.7670245</v>
      </c>
      <c r="D10087" s="7">
        <f>IFERROR(__xludf.DUMMYFUNCTION("""COMPUTED_VALUE"""),0.32)</f>
        <v>0.32</v>
      </c>
    </row>
    <row r="10088">
      <c r="A10088" s="10" t="s">
        <v>11527</v>
      </c>
      <c r="B10088" s="7" t="str">
        <f>IFERROR(__xludf.DUMMYFUNCTION("SPLIT(A10088,"" "")"),"CC(C)N(Cc1ccccn1)C1=CCC=CN1C")</f>
        <v>CC(C)N(Cc1ccccn1)C1=CCC=CN1C</v>
      </c>
      <c r="C10088" s="7">
        <f>IFERROR(__xludf.DUMMYFUNCTION("""COMPUTED_VALUE"""),7.7670145)</f>
        <v>7.7670145</v>
      </c>
      <c r="D10088" s="7">
        <f>IFERROR(__xludf.DUMMYFUNCTION("""COMPUTED_VALUE"""),0.456521739130434)</f>
        <v>0.4565217391</v>
      </c>
    </row>
    <row r="10089">
      <c r="A10089" s="10" t="s">
        <v>11528</v>
      </c>
      <c r="B10089" s="7" t="str">
        <f>IFERROR(__xludf.DUMMYFUNCTION("SPLIT(A10089,"" "")"),"CNCc1ncc(C)c(C)c1C")</f>
        <v>CNCc1ncc(C)c(C)c1C</v>
      </c>
      <c r="C10089" s="7">
        <f>IFERROR(__xludf.DUMMYFUNCTION("""COMPUTED_VALUE"""),7.76701)</f>
        <v>7.76701</v>
      </c>
      <c r="D10089" s="7">
        <f>IFERROR(__xludf.DUMMYFUNCTION("""COMPUTED_VALUE"""),0.295454545454545)</f>
        <v>0.2954545455</v>
      </c>
    </row>
    <row r="10090">
      <c r="A10090" s="10" t="s">
        <v>11529</v>
      </c>
      <c r="B10090" s="7" t="str">
        <f>IFERROR(__xludf.DUMMYFUNCTION("SPLIT(A10090,"" "")"),"C1=CC(NCc2cccnn2)NC(NCc2ccccn2)=C1")</f>
        <v>C1=CC(NCc2cccnn2)NC(NCc2ccccn2)=C1</v>
      </c>
      <c r="C10090" s="7">
        <f>IFERROR(__xludf.DUMMYFUNCTION("""COMPUTED_VALUE"""),7.767009)</f>
        <v>7.767009</v>
      </c>
      <c r="D10090" s="7">
        <f>IFERROR(__xludf.DUMMYFUNCTION("""COMPUTED_VALUE"""),0.392156862745098)</f>
        <v>0.3921568627</v>
      </c>
    </row>
    <row r="10091">
      <c r="A10091" s="10" t="s">
        <v>11530</v>
      </c>
      <c r="B10091" s="7" t="str">
        <f>IFERROR(__xludf.DUMMYFUNCTION("SPLIT(A10091,"" "")"),"CCN(Cc1ccccn1)C1=CC(CN(C)Cc2cc(C)c(C)c(C)n2)C=CN1")</f>
        <v>CCN(Cc1ccccn1)C1=CC(CN(C)Cc2cc(C)c(C)c(C)n2)C=CN1</v>
      </c>
      <c r="C10091" s="7">
        <f>IFERROR(__xludf.DUMMYFUNCTION("""COMPUTED_VALUE"""),7.7670026)</f>
        <v>7.7670026</v>
      </c>
      <c r="D10091" s="7">
        <f>IFERROR(__xludf.DUMMYFUNCTION("""COMPUTED_VALUE"""),0.338461538461538)</f>
        <v>0.3384615385</v>
      </c>
    </row>
    <row r="10092">
      <c r="A10092" s="10" t="s">
        <v>11531</v>
      </c>
      <c r="B10092" s="7" t="str">
        <f>IFERROR(__xludf.DUMMYFUNCTION("SPLIT(A10092,"" "")"),"CCOC1(C)N=COC1c1cc(CN(Cc2ccccn2)Cc2ccccn2)ccn1")</f>
        <v>CCOC1(C)N=COC1c1cc(CN(Cc2ccccn2)Cc2ccccn2)ccn1</v>
      </c>
      <c r="C10092" s="7">
        <f>IFERROR(__xludf.DUMMYFUNCTION("""COMPUTED_VALUE"""),7.766997)</f>
        <v>7.766997</v>
      </c>
      <c r="D10092" s="7">
        <f>IFERROR(__xludf.DUMMYFUNCTION("""COMPUTED_VALUE"""),0.392156862745098)</f>
        <v>0.3921568627</v>
      </c>
    </row>
    <row r="10093">
      <c r="A10093" s="10" t="s">
        <v>11532</v>
      </c>
      <c r="B10093" s="7" t="str">
        <f>IFERROR(__xludf.DUMMYFUNCTION("SPLIT(A10093,"" "")"),"Cc1cccc(CNCc2cccc(C(C)(C)c3ccccn3)n2)c1")</f>
        <v>Cc1cccc(CNCc2cccc(C(C)(C)c3ccccn3)n2)c1</v>
      </c>
      <c r="C10093" s="7">
        <f>IFERROR(__xludf.DUMMYFUNCTION("""COMPUTED_VALUE"""),7.7669964)</f>
        <v>7.7669964</v>
      </c>
      <c r="D10093" s="7">
        <f>IFERROR(__xludf.DUMMYFUNCTION("""COMPUTED_VALUE"""),0.361702127659574)</f>
        <v>0.3617021277</v>
      </c>
    </row>
    <row r="10094">
      <c r="A10094" s="10" t="s">
        <v>11533</v>
      </c>
      <c r="B10094" s="7" t="str">
        <f>IFERROR(__xludf.DUMMYFUNCTION("SPLIT(A10094,"" "")"),"CCCN(Cc1ccccn1)c1cc2ncccc2c(-c2ccc3c(c2)OCCOCCOCCOCCOCCO3)c1N(Cc1ccccn1)Cc1ccccn1")</f>
        <v>CCCN(Cc1ccccn1)c1cc2ncccc2c(-c2ccc3c(c2)OCCOCCOCCOCCOCCO3)c1N(Cc1ccccn1)Cc1ccccn1</v>
      </c>
      <c r="C10094" s="7">
        <f>IFERROR(__xludf.DUMMYFUNCTION("""COMPUTED_VALUE"""),7.7669888)</f>
        <v>7.7669888</v>
      </c>
      <c r="D10094" s="7">
        <f>IFERROR(__xludf.DUMMYFUNCTION("""COMPUTED_VALUE"""),0.32051282051282)</f>
        <v>0.3205128205</v>
      </c>
    </row>
    <row r="10095">
      <c r="A10095" s="10" t="s">
        <v>11534</v>
      </c>
      <c r="B10095" s="7" t="str">
        <f>IFERROR(__xludf.DUMMYFUNCTION("SPLIT(A10095,"" "")"),"CN(C)Cc1cnc2c(N(C)Cc3cccc(-c4ccc5c(c4)OCCOCCOCCOCCOCCO5)n3)cccc2c1")</f>
        <v>CN(C)Cc1cnc2c(N(C)Cc3cccc(-c4ccc5c(c4)OCCOCCOCCOCCOCCO5)n3)cccc2c1</v>
      </c>
      <c r="C10095" s="7">
        <f>IFERROR(__xludf.DUMMYFUNCTION("""COMPUTED_VALUE"""),7.7669826)</f>
        <v>7.7669826</v>
      </c>
      <c r="D10095" s="7">
        <f>IFERROR(__xludf.DUMMYFUNCTION("""COMPUTED_VALUE"""),0.328947368421052)</f>
        <v>0.3289473684</v>
      </c>
    </row>
    <row r="10096">
      <c r="A10096" s="10" t="s">
        <v>11535</v>
      </c>
      <c r="B10096" s="7" t="str">
        <f>IFERROR(__xludf.DUMMYFUNCTION("SPLIT(A10096,"" "")"),"CN(Cc1ccccn1)C1CCCC(N(C)c2cccc3ncc(CF)cc23)C1")</f>
        <v>CN(Cc1ccccn1)C1CCCC(N(C)c2cccc3ncc(CF)cc23)C1</v>
      </c>
      <c r="C10096" s="7">
        <f>IFERROR(__xludf.DUMMYFUNCTION("""COMPUTED_VALUE"""),7.7669773)</f>
        <v>7.7669773</v>
      </c>
      <c r="D10096" s="7">
        <f>IFERROR(__xludf.DUMMYFUNCTION("""COMPUTED_VALUE"""),0.423728813559322)</f>
        <v>0.4237288136</v>
      </c>
    </row>
    <row r="10097">
      <c r="A10097" s="10" t="s">
        <v>11536</v>
      </c>
      <c r="B10097" s="7" t="str">
        <f>IFERROR(__xludf.DUMMYFUNCTION("SPLIT(A10097,"" "")"),"CN(Cc1ccccn1)C1C=CC=C(NCc2ccccn2)N1")</f>
        <v>CN(Cc1ccccn1)C1C=CC=C(NCc2ccccn2)N1</v>
      </c>
      <c r="C10097" s="7">
        <f>IFERROR(__xludf.DUMMYFUNCTION("""COMPUTED_VALUE"""),7.766975)</f>
        <v>7.766975</v>
      </c>
      <c r="D10097" s="7">
        <f>IFERROR(__xludf.DUMMYFUNCTION("""COMPUTED_VALUE"""),0.44)</f>
        <v>0.44</v>
      </c>
    </row>
    <row r="10098">
      <c r="A10098" s="10" t="s">
        <v>11537</v>
      </c>
      <c r="B10098" s="7" t="str">
        <f>IFERROR(__xludf.DUMMYFUNCTION("SPLIT(A10098,"" "")"),"CNCc1cc(CN(Cc2ccccn2)Cc2ncc(C)cc2C)ccn1")</f>
        <v>CNCc1cc(CN(Cc2ccccn2)Cc2ncc(C)cc2C)ccn1</v>
      </c>
      <c r="C10098" s="7">
        <f>IFERROR(__xludf.DUMMYFUNCTION("""COMPUTED_VALUE"""),7.766971)</f>
        <v>7.766971</v>
      </c>
      <c r="D10098" s="7">
        <f>IFERROR(__xludf.DUMMYFUNCTION("""COMPUTED_VALUE"""),0.434782608695652)</f>
        <v>0.4347826087</v>
      </c>
    </row>
    <row r="10099">
      <c r="A10099" s="10" t="s">
        <v>11538</v>
      </c>
      <c r="B10099" s="7" t="str">
        <f>IFERROR(__xludf.DUMMYFUNCTION("SPLIT(A10099,"" "")"),"CNCc1cc(CN(Cc2ncccc2C)Cc2ncccc2C)ccn1")</f>
        <v>CNCc1cc(CN(Cc2ncccc2C)Cc2ncccc2C)ccn1</v>
      </c>
      <c r="C10099" s="7">
        <f>IFERROR(__xludf.DUMMYFUNCTION("""COMPUTED_VALUE"""),7.76697)</f>
        <v>7.76697</v>
      </c>
      <c r="D10099" s="7">
        <f>IFERROR(__xludf.DUMMYFUNCTION("""COMPUTED_VALUE"""),0.348837209302325)</f>
        <v>0.3488372093</v>
      </c>
    </row>
    <row r="10100">
      <c r="A10100" s="10" t="s">
        <v>11539</v>
      </c>
      <c r="B10100" s="7" t="str">
        <f>IFERROR(__xludf.DUMMYFUNCTION("SPLIT(A10100,"" "")"),"CN(c1ccc2nc(CF)ccc2c1)C1CCC(N(Cc2ccccn2)Cc2ccccn2)CC1")</f>
        <v>CN(c1ccc2nc(CF)ccc2c1)C1CCC(N(Cc2ccccn2)Cc2ccccn2)CC1</v>
      </c>
      <c r="C10100" s="7">
        <f>IFERROR(__xludf.DUMMYFUNCTION("""COMPUTED_VALUE"""),7.766967)</f>
        <v>7.766967</v>
      </c>
      <c r="D10100" s="7">
        <f>IFERROR(__xludf.DUMMYFUNCTION("""COMPUTED_VALUE"""),0.418181818181818)</f>
        <v>0.4181818182</v>
      </c>
    </row>
    <row r="10101">
      <c r="A10101" s="10" t="s">
        <v>11540</v>
      </c>
      <c r="B10101" s="7" t="str">
        <f>IFERROR(__xludf.DUMMYFUNCTION("SPLIT(A10101,"" "")"),"Cc1cnc(CN(C)C2C=CNC(CN(C)C)=C2)c(C)c1C")</f>
        <v>Cc1cnc(CN(C)C2C=CNC(CN(C)C)=C2)c(C)c1C</v>
      </c>
      <c r="C10101" s="7">
        <f>IFERROR(__xludf.DUMMYFUNCTION("""COMPUTED_VALUE"""),7.766967)</f>
        <v>7.766967</v>
      </c>
      <c r="D10101" s="7">
        <f>IFERROR(__xludf.DUMMYFUNCTION("""COMPUTED_VALUE"""),0.321428571428571)</f>
        <v>0.3214285714</v>
      </c>
    </row>
    <row r="10102">
      <c r="A10102" s="10" t="s">
        <v>11541</v>
      </c>
      <c r="B10102" s="7" t="str">
        <f>IFERROR(__xludf.DUMMYFUNCTION("SPLIT(A10102,"" "")"),"Cc1ccc(N)c(C)c1C")</f>
        <v>Cc1ccc(N)c(C)c1C</v>
      </c>
      <c r="C10102" s="7">
        <f>IFERROR(__xludf.DUMMYFUNCTION("""COMPUTED_VALUE"""),7.7669654)</f>
        <v>7.7669654</v>
      </c>
      <c r="D10102" s="7">
        <f>IFERROR(__xludf.DUMMYFUNCTION("""COMPUTED_VALUE"""),0.227272727272727)</f>
        <v>0.2272727273</v>
      </c>
    </row>
    <row r="10103">
      <c r="A10103" s="10" t="s">
        <v>11542</v>
      </c>
      <c r="B10103" s="7" t="str">
        <f>IFERROR(__xludf.DUMMYFUNCTION("SPLIT(A10103,"" "")"),"CC(N)c1cccc(NCc2ccccn2)c1")</f>
        <v>CC(N)c1cccc(NCc2ccccn2)c1</v>
      </c>
      <c r="C10103" s="7">
        <f>IFERROR(__xludf.DUMMYFUNCTION("""COMPUTED_VALUE"""),7.766965)</f>
        <v>7.766965</v>
      </c>
      <c r="D10103" s="7">
        <f>IFERROR(__xludf.DUMMYFUNCTION("""COMPUTED_VALUE"""),0.414634146341463)</f>
        <v>0.4146341463</v>
      </c>
    </row>
    <row r="10104">
      <c r="A10104" s="10" t="s">
        <v>11543</v>
      </c>
      <c r="B10104" s="7" t="str">
        <f>IFERROR(__xludf.DUMMYFUNCTION("SPLIT(A10104,"" "")"),"CN(Cc1ccccn1)C1=CCC=C(C(C)(C)C)N1")</f>
        <v>CN(Cc1ccccn1)C1=CCC=C(C(C)(C)C)N1</v>
      </c>
      <c r="C10104" s="7">
        <f>IFERROR(__xludf.DUMMYFUNCTION("""COMPUTED_VALUE"""),7.766965)</f>
        <v>7.766965</v>
      </c>
      <c r="D10104" s="7">
        <f>IFERROR(__xludf.DUMMYFUNCTION("""COMPUTED_VALUE"""),0.446808510638297)</f>
        <v>0.4468085106</v>
      </c>
    </row>
    <row r="10105">
      <c r="A10105" s="10" t="s">
        <v>11544</v>
      </c>
      <c r="B10105" s="7" t="str">
        <f>IFERROR(__xludf.DUMMYFUNCTION("SPLIT(A10105,"" "")"),"Cc1cncc(CN(C)c2ccccc2-c2ccc(CN(Cc3cccc(-c4ccc5c(c4)OCCOCCOCCOCCOCCO5)n3)Cc3cccc(C(C)C)n3)nc2)c1")</f>
        <v>Cc1cncc(CN(C)c2ccccc2-c2ccc(CN(Cc3cccc(-c4ccc5c(c4)OCCOCCOCCOCCOCCO5)n3)Cc3cccc(C(C)C)n3)nc2)c1</v>
      </c>
      <c r="C10105" s="7">
        <f>IFERROR(__xludf.DUMMYFUNCTION("""COMPUTED_VALUE"""),7.7669606)</f>
        <v>7.7669606</v>
      </c>
      <c r="D10105" s="7">
        <f>IFERROR(__xludf.DUMMYFUNCTION("""COMPUTED_VALUE"""),0.307692307692307)</f>
        <v>0.3076923077</v>
      </c>
    </row>
    <row r="10106">
      <c r="A10106" s="10" t="s">
        <v>11545</v>
      </c>
      <c r="B10106" s="7" t="str">
        <f>IFERROR(__xludf.DUMMYFUNCTION("SPLIT(A10106,"" "")"),"CC(C)N(C)CCNc1ccc2nc(CF)ccc2c1")</f>
        <v>CC(C)N(C)CCNc1ccc2nc(CF)ccc2c1</v>
      </c>
      <c r="C10106" s="7">
        <f>IFERROR(__xludf.DUMMYFUNCTION("""COMPUTED_VALUE"""),7.766951)</f>
        <v>7.766951</v>
      </c>
      <c r="D10106" s="7">
        <f>IFERROR(__xludf.DUMMYFUNCTION("""COMPUTED_VALUE"""),0.293103448275862)</f>
        <v>0.2931034483</v>
      </c>
    </row>
    <row r="10107">
      <c r="A10107" s="10" t="s">
        <v>11546</v>
      </c>
      <c r="B10107" s="7" t="str">
        <f>IFERROR(__xludf.DUMMYFUNCTION("SPLIT(A10107,"" "")"),"Cc1cc(C)c(CN(C)CC2=CC(N(C)Cc3ccccn3)C=CN2)c(C)c1")</f>
        <v>Cc1cc(C)c(CN(C)CC2=CC(N(C)Cc3ccccn3)C=CN2)c(C)c1</v>
      </c>
      <c r="C10107" s="7">
        <f>IFERROR(__xludf.DUMMYFUNCTION("""COMPUTED_VALUE"""),7.7669497)</f>
        <v>7.7669497</v>
      </c>
      <c r="D10107" s="7">
        <f>IFERROR(__xludf.DUMMYFUNCTION("""COMPUTED_VALUE"""),0.385964912280701)</f>
        <v>0.3859649123</v>
      </c>
    </row>
    <row r="10108">
      <c r="A10108" s="10" t="s">
        <v>11547</v>
      </c>
      <c r="B10108" s="7" t="str">
        <f>IFERROR(__xludf.DUMMYFUNCTION("SPLIT(A10108,"" "")"),"Cc1cncc(CN(C)Cc2cccc(N)n2)c1")</f>
        <v>Cc1cncc(CN(C)Cc2cccc(N)n2)c1</v>
      </c>
      <c r="C10108" s="7">
        <f>IFERROR(__xludf.DUMMYFUNCTION("""COMPUTED_VALUE"""),7.766947)</f>
        <v>7.766947</v>
      </c>
      <c r="D10108" s="7">
        <f>IFERROR(__xludf.DUMMYFUNCTION("""COMPUTED_VALUE"""),0.409090909090909)</f>
        <v>0.4090909091</v>
      </c>
    </row>
    <row r="10109">
      <c r="A10109" s="10" t="s">
        <v>11548</v>
      </c>
      <c r="B10109" s="7" t="str">
        <f>IFERROR(__xludf.DUMMYFUNCTION("SPLIT(A10109,"" "")"),"CC(C)N(C)CC1=CCC(N(C)C(c2ccccc2)c2ccccn2)=CN1")</f>
        <v>CC(C)N(C)CC1=CCC(N(C)C(c2ccccc2)c2ccccn2)=CN1</v>
      </c>
      <c r="C10109" s="7">
        <f>IFERROR(__xludf.DUMMYFUNCTION("""COMPUTED_VALUE"""),7.766941)</f>
        <v>7.766941</v>
      </c>
      <c r="D10109" s="7">
        <f>IFERROR(__xludf.DUMMYFUNCTION("""COMPUTED_VALUE"""),0.413793103448275)</f>
        <v>0.4137931034</v>
      </c>
    </row>
    <row r="10110">
      <c r="A10110" s="10" t="s">
        <v>11549</v>
      </c>
      <c r="B10110" s="7" t="str">
        <f>IFERROR(__xludf.DUMMYFUNCTION("SPLIT(A10110,"" "")"),"CN(C)Cc1ccnc2ccc(N3CCN(C)CCN(C)CC3)cc12")</f>
        <v>CN(C)Cc1ccnc2ccc(N3CCN(C)CCN(C)CC3)cc12</v>
      </c>
      <c r="C10110" s="7">
        <f>IFERROR(__xludf.DUMMYFUNCTION("""COMPUTED_VALUE"""),7.766934)</f>
        <v>7.766934</v>
      </c>
      <c r="D10110" s="7">
        <f>IFERROR(__xludf.DUMMYFUNCTION("""COMPUTED_VALUE"""),0.352941176470588)</f>
        <v>0.3529411765</v>
      </c>
    </row>
    <row r="10111">
      <c r="A10111" s="10" t="s">
        <v>11550</v>
      </c>
      <c r="B10111" s="7" t="str">
        <f>IFERROR(__xludf.DUMMYFUNCTION("SPLIT(A10111,"" "")"),"CN(c1ccc2nccc(CF)c2c1)C1CCCCC1N(Cc1ccccn1)Cc1cccnc1CF")</f>
        <v>CN(c1ccc2nccc(CF)c2c1)C1CCCCC1N(Cc1ccccn1)Cc1cccnc1CF</v>
      </c>
      <c r="C10111" s="7">
        <f>IFERROR(__xludf.DUMMYFUNCTION("""COMPUTED_VALUE"""),7.7669334)</f>
        <v>7.7669334</v>
      </c>
      <c r="D10111" s="7">
        <f>IFERROR(__xludf.DUMMYFUNCTION("""COMPUTED_VALUE"""),0.40625)</f>
        <v>0.40625</v>
      </c>
    </row>
    <row r="10112">
      <c r="A10112" s="10" t="s">
        <v>11551</v>
      </c>
      <c r="B10112" s="7" t="str">
        <f>IFERROR(__xludf.DUMMYFUNCTION("SPLIT(A10112,"" "")"),"Cc1cnc(CN(C)C2=CNC(CN(C)C(C)C)=CC2)c(C)c1")</f>
        <v>Cc1cnc(CN(C)C2=CNC(CN(C)C(C)C)=CC2)c(C)c1</v>
      </c>
      <c r="C10112" s="7">
        <f>IFERROR(__xludf.DUMMYFUNCTION("""COMPUTED_VALUE"""),7.76693)</f>
        <v>7.76693</v>
      </c>
      <c r="D10112" s="7">
        <f>IFERROR(__xludf.DUMMYFUNCTION("""COMPUTED_VALUE"""),0.228070175438596)</f>
        <v>0.2280701754</v>
      </c>
    </row>
    <row r="10113">
      <c r="A10113" s="10" t="s">
        <v>11552</v>
      </c>
      <c r="B10113" s="7" t="str">
        <f>IFERROR(__xludf.DUMMYFUNCTION("SPLIT(A10113,"" "")"),"CN(C)C1CCCC(N(C)c2cccc3nccc(CF)c23)C1")</f>
        <v>CN(C)C1CCCC(N(C)c2cccc3nccc(CF)c23)C1</v>
      </c>
      <c r="C10113" s="7">
        <f>IFERROR(__xludf.DUMMYFUNCTION("""COMPUTED_VALUE"""),7.766922)</f>
        <v>7.766922</v>
      </c>
      <c r="D10113" s="7">
        <f>IFERROR(__xludf.DUMMYFUNCTION("""COMPUTED_VALUE"""),0.333333333333333)</f>
        <v>0.3333333333</v>
      </c>
    </row>
    <row r="10114">
      <c r="A10114" s="10" t="s">
        <v>11553</v>
      </c>
      <c r="B10114" s="7" t="str">
        <f>IFERROR(__xludf.DUMMYFUNCTION("SPLIT(A10114,"" "")"),"Cc1ccc(CN(Cc2ccccn2)C2CCCCC2N(C)c2cccc3ccc(CN(C)C)nc23)c(C2CCC2(C)C)n1")</f>
        <v>Cc1ccc(CN(Cc2ccccn2)C2CCCCC2N(C)c2cccc3ccc(CN(C)C)nc23)c(C2CCC2(C)C)n1</v>
      </c>
      <c r="C10114" s="7">
        <f>IFERROR(__xludf.DUMMYFUNCTION("""COMPUTED_VALUE"""),7.766921)</f>
        <v>7.766921</v>
      </c>
      <c r="D10114" s="7">
        <f>IFERROR(__xludf.DUMMYFUNCTION("""COMPUTED_VALUE"""),0.432432432432432)</f>
        <v>0.4324324324</v>
      </c>
    </row>
    <row r="10115">
      <c r="A10115" s="10" t="s">
        <v>11554</v>
      </c>
      <c r="B10115" s="7" t="str">
        <f>IFERROR(__xludf.DUMMYFUNCTION("SPLIT(A10115,"" "")"),"Cc1cccc(CN(C)CC2=CC(N(C)Cc3nc(C)c(C)c(C)c3C)C=CN2)c1")</f>
        <v>Cc1cccc(CN(C)CC2=CC(N(C)Cc3nc(C)c(C)c(C)c3C)C=CN2)c1</v>
      </c>
      <c r="C10115" s="7">
        <f>IFERROR(__xludf.DUMMYFUNCTION("""COMPUTED_VALUE"""),7.766919)</f>
        <v>7.766919</v>
      </c>
      <c r="D10115" s="7">
        <f>IFERROR(__xludf.DUMMYFUNCTION("""COMPUTED_VALUE"""),0.307692307692307)</f>
        <v>0.3076923077</v>
      </c>
    </row>
    <row r="10116">
      <c r="A10116" s="10" t="s">
        <v>11555</v>
      </c>
      <c r="B10116" s="7" t="str">
        <f>IFERROR(__xludf.DUMMYFUNCTION("SPLIT(A10116,"" "")"),"CNCc1cccc(CN(Cc2cccc(F)n2)C2CCC(N(C)c3ccc4nc(CF)ccc4c3)CC2)n1")</f>
        <v>CNCc1cccc(CN(Cc2cccc(F)n2)C2CCC(N(C)c3ccc4nc(CF)ccc4c3)CC2)n1</v>
      </c>
      <c r="C10116" s="7">
        <f>IFERROR(__xludf.DUMMYFUNCTION("""COMPUTED_VALUE"""),7.766915)</f>
        <v>7.766915</v>
      </c>
      <c r="D10116" s="7">
        <f>IFERROR(__xludf.DUMMYFUNCTION("""COMPUTED_VALUE"""),0.328571428571428)</f>
        <v>0.3285714286</v>
      </c>
    </row>
    <row r="10117">
      <c r="A10117" s="10" t="s">
        <v>11556</v>
      </c>
      <c r="B10117" s="7" t="str">
        <f>IFERROR(__xludf.DUMMYFUNCTION("SPLIT(A10117,"" "")"),"CC1=CC(C)(c2ncccc2CN(Cc2ccccn2)C2CCCCC2N(C)c2ccc3nccc(CN(C)C)c3c2)CCC1C")</f>
        <v>CC1=CC(C)(c2ncccc2CN(Cc2ccccn2)C2CCCCC2N(C)c2ccc3nccc(CN(C)C)c3c2)CCC1C</v>
      </c>
      <c r="C10117" s="7">
        <f>IFERROR(__xludf.DUMMYFUNCTION("""COMPUTED_VALUE"""),7.766915)</f>
        <v>7.766915</v>
      </c>
      <c r="D10117" s="7">
        <f>IFERROR(__xludf.DUMMYFUNCTION("""COMPUTED_VALUE"""),0.342105263157894)</f>
        <v>0.3421052632</v>
      </c>
    </row>
    <row r="10118">
      <c r="A10118" s="10" t="s">
        <v>11557</v>
      </c>
      <c r="B10118" s="7" t="str">
        <f>IFERROR(__xludf.DUMMYFUNCTION("SPLIT(A10118,"" "")"),"CN(C)Cc1ccc2ccc(N(C)C3CCCCC3N(C)C3=CCNC=C3)cc2n1")</f>
        <v>CN(C)Cc1ccc2ccc(N(C)C3CCCCC3N(C)C3=CCNC=C3)cc2n1</v>
      </c>
      <c r="C10118" s="7">
        <f>IFERROR(__xludf.DUMMYFUNCTION("""COMPUTED_VALUE"""),7.7669144)</f>
        <v>7.7669144</v>
      </c>
      <c r="D10118" s="7">
        <f>IFERROR(__xludf.DUMMYFUNCTION("""COMPUTED_VALUE"""),0.387096774193548)</f>
        <v>0.3870967742</v>
      </c>
    </row>
    <row r="10119">
      <c r="A10119" s="10" t="s">
        <v>11558</v>
      </c>
      <c r="B10119" s="7" t="str">
        <f>IFERROR(__xludf.DUMMYFUNCTION("SPLIT(A10119,"" "")"),"CC1CC(CN(Cc2ccccn2)Cc2cccc(C(C)(c3ccccn3)c3ccccn3)n2)C1")</f>
        <v>CC1CC(CN(Cc2ccccn2)Cc2cccc(C(C)(c3ccccn3)c3ccccn3)n2)C1</v>
      </c>
      <c r="C10119" s="7">
        <f>IFERROR(__xludf.DUMMYFUNCTION("""COMPUTED_VALUE"""),7.766913)</f>
        <v>7.766913</v>
      </c>
      <c r="D10119" s="7">
        <f>IFERROR(__xludf.DUMMYFUNCTION("""COMPUTED_VALUE"""),0.43859649122807)</f>
        <v>0.4385964912</v>
      </c>
    </row>
    <row r="10120">
      <c r="A10120" s="10" t="s">
        <v>11559</v>
      </c>
      <c r="B10120" s="7" t="str">
        <f>IFERROR(__xludf.DUMMYFUNCTION("SPLIT(A10120,"" "")"),"Cc1ccc(CN(Cc2ccccn2)C2CCCCC2N(C)c2ccc3nc(CF)ccc3c2)nc1")</f>
        <v>Cc1ccc(CN(Cc2ccccn2)C2CCCCC2N(C)c2ccc3nc(CF)ccc3c2)nc1</v>
      </c>
      <c r="C10120" s="7">
        <f>IFERROR(__xludf.DUMMYFUNCTION("""COMPUTED_VALUE"""),7.766912)</f>
        <v>7.766912</v>
      </c>
      <c r="D10120" s="7">
        <f>IFERROR(__xludf.DUMMYFUNCTION("""COMPUTED_VALUE"""),0.442622950819672)</f>
        <v>0.4426229508</v>
      </c>
    </row>
    <row r="10121">
      <c r="A10121" s="10" t="s">
        <v>11560</v>
      </c>
      <c r="B10121" s="7" t="str">
        <f>IFERROR(__xludf.DUMMYFUNCTION("SPLIT(A10121,"" "")"),"CC(C)(C)c1ccnc(CN(Cc2ccccn2)Cc2ccc(F)cn2)c1")</f>
        <v>CC(C)(C)c1ccnc(CN(Cc2ccccn2)Cc2ccc(F)cn2)c1</v>
      </c>
      <c r="C10121" s="7">
        <f>IFERROR(__xludf.DUMMYFUNCTION("""COMPUTED_VALUE"""),7.766911)</f>
        <v>7.766911</v>
      </c>
      <c r="D10121" s="7">
        <f>IFERROR(__xludf.DUMMYFUNCTION("""COMPUTED_VALUE"""),0.48780487804878)</f>
        <v>0.487804878</v>
      </c>
    </row>
    <row r="10122">
      <c r="A10122" s="10" t="s">
        <v>11561</v>
      </c>
      <c r="B10122" s="7" t="str">
        <f>IFERROR(__xludf.DUMMYFUNCTION("SPLIT(A10122,"" "")"),"CN(Cc1cccnc1-c1ccc2c(c1)OCCOCCOCCOCCOCCO2)c1cc(Cl)c(Cl)c(N(C)Cc2ccccn2)c1")</f>
        <v>CN(Cc1cccnc1-c1ccc2c(c1)OCCOCCOCCOCCOCCO2)c1cc(Cl)c(Cl)c(N(C)Cc2ccccn2)c1</v>
      </c>
      <c r="C10122" s="7">
        <f>IFERROR(__xludf.DUMMYFUNCTION("""COMPUTED_VALUE"""),7.7669096)</f>
        <v>7.7669096</v>
      </c>
      <c r="D10122" s="7">
        <f>IFERROR(__xludf.DUMMYFUNCTION("""COMPUTED_VALUE"""),0.428571428571428)</f>
        <v>0.4285714286</v>
      </c>
    </row>
    <row r="10123">
      <c r="A10123" s="10" t="s">
        <v>11562</v>
      </c>
      <c r="B10123" s="7" t="str">
        <f>IFERROR(__xludf.DUMMYFUNCTION("SPLIT(A10123,"" "")"),"CC(C)C1=CC(N(C)Cc2ncccc2C(C)(C)c2ccccn2)C=CN1")</f>
        <v>CC(C)C1=CC(N(C)Cc2ncccc2C(C)(C)c2ccccn2)C=CN1</v>
      </c>
      <c r="C10123" s="7">
        <f>IFERROR(__xludf.DUMMYFUNCTION("""COMPUTED_VALUE"""),7.766904)</f>
        <v>7.766904</v>
      </c>
      <c r="D10123" s="7">
        <f>IFERROR(__xludf.DUMMYFUNCTION("""COMPUTED_VALUE"""),0.265625)</f>
        <v>0.265625</v>
      </c>
    </row>
    <row r="10124">
      <c r="A10124" s="10" t="s">
        <v>11563</v>
      </c>
      <c r="B10124" s="7" t="str">
        <f>IFERROR(__xludf.DUMMYFUNCTION("SPLIT(A10124,"" "")"),"CC1=CC(C)(c2cc(CN(Cc3ccccn3)C3CCC(N(C)c4ccc5nccc(CN(C)C)c5c4)CC3)ccn2)CC(C)(C)C1C")</f>
        <v>CC1=CC(C)(c2cc(CN(Cc3ccccn3)C3CCC(N(C)c4ccc5nccc(CN(C)C)c5c4)CC3)ccn2)CC(C)(C)C1C</v>
      </c>
      <c r="C10124" s="7">
        <f>IFERROR(__xludf.DUMMYFUNCTION("""COMPUTED_VALUE"""),7.7669015)</f>
        <v>7.7669015</v>
      </c>
      <c r="D10124" s="7">
        <f>IFERROR(__xludf.DUMMYFUNCTION("""COMPUTED_VALUE"""),0.271604938271604)</f>
        <v>0.2716049383</v>
      </c>
    </row>
    <row r="10125">
      <c r="A10125" s="10" t="s">
        <v>11564</v>
      </c>
      <c r="B10125" s="7" t="str">
        <f>IFERROR(__xludf.DUMMYFUNCTION("SPLIT(A10125,"" "")"),"CN(Cc1ccc(F)nc1)Cc1ccc(C(C)(C)C)cn1")</f>
        <v>CN(Cc1ccc(F)nc1)Cc1ccc(C(C)(C)C)cn1</v>
      </c>
      <c r="C10125" s="7">
        <f>IFERROR(__xludf.DUMMYFUNCTION("""COMPUTED_VALUE"""),7.766893)</f>
        <v>7.766893</v>
      </c>
      <c r="D10125" s="7">
        <f>IFERROR(__xludf.DUMMYFUNCTION("""COMPUTED_VALUE"""),0.386363636363636)</f>
        <v>0.3863636364</v>
      </c>
    </row>
    <row r="10126">
      <c r="A10126" s="10" t="s">
        <v>11565</v>
      </c>
      <c r="B10126" s="7" t="str">
        <f>IFERROR(__xludf.DUMMYFUNCTION("SPLIT(A10126,"" "")"),"Cc1ccc(CN(C)C2CCC(N(C)c3ccc4nc(CF)ccc4c3)CC2)cn1")</f>
        <v>Cc1ccc(CN(C)C2CCC(N(C)c3ccc4nc(CF)ccc4c3)CC2)cn1</v>
      </c>
      <c r="C10126" s="7">
        <f>IFERROR(__xludf.DUMMYFUNCTION("""COMPUTED_VALUE"""),7.7668905)</f>
        <v>7.7668905</v>
      </c>
      <c r="D10126" s="7">
        <f>IFERROR(__xludf.DUMMYFUNCTION("""COMPUTED_VALUE"""),0.318181818181818)</f>
        <v>0.3181818182</v>
      </c>
    </row>
    <row r="10127">
      <c r="A10127" s="10" t="s">
        <v>11566</v>
      </c>
      <c r="B10127" s="7" t="str">
        <f>IFERROR(__xludf.DUMMYFUNCTION("SPLIT(A10127,"" "")"),"CC(C)(C)c1cccnc1CN(Cc1ccccn1)Cc1ccc(F)cn1")</f>
        <v>CC(C)(C)c1cccnc1CN(Cc1ccccn1)Cc1ccc(F)cn1</v>
      </c>
      <c r="C10127" s="7">
        <f>IFERROR(__xludf.DUMMYFUNCTION("""COMPUTED_VALUE"""),7.766886)</f>
        <v>7.766886</v>
      </c>
      <c r="D10127" s="7">
        <f>IFERROR(__xludf.DUMMYFUNCTION("""COMPUTED_VALUE"""),0.476190476190476)</f>
        <v>0.4761904762</v>
      </c>
    </row>
    <row r="10128">
      <c r="A10128" s="10" t="s">
        <v>11567</v>
      </c>
      <c r="B10128" s="7" t="str">
        <f>IFERROR(__xludf.DUMMYFUNCTION("SPLIT(A10128,"" "")"),"CN(c1cccc2cccnc12)C1CCCC(N(Cc2cccnc2)Cc2ccccn2)C1")</f>
        <v>CN(c1cccc2cccnc12)C1CCCC(N(Cc2cccnc2)Cc2ccccn2)C1</v>
      </c>
      <c r="C10128" s="7">
        <f>IFERROR(__xludf.DUMMYFUNCTION("""COMPUTED_VALUE"""),7.766879)</f>
        <v>7.766879</v>
      </c>
      <c r="D10128" s="7">
        <f>IFERROR(__xludf.DUMMYFUNCTION("""COMPUTED_VALUE"""),0.457627118644067)</f>
        <v>0.4576271186</v>
      </c>
    </row>
    <row r="10129">
      <c r="A10129" s="10" t="s">
        <v>11568</v>
      </c>
      <c r="B10129" s="7" t="str">
        <f>IFERROR(__xludf.DUMMYFUNCTION("SPLIT(A10129,"" "")"),"Cc1ccc(N)cc1CN(C)Cc1ncccc1C")</f>
        <v>Cc1ccc(N)cc1CN(C)Cc1ncccc1C</v>
      </c>
      <c r="C10129" s="7">
        <f>IFERROR(__xludf.DUMMYFUNCTION("""COMPUTED_VALUE"""),7.766878)</f>
        <v>7.766878</v>
      </c>
      <c r="D10129" s="7">
        <f>IFERROR(__xludf.DUMMYFUNCTION("""COMPUTED_VALUE"""),0.361702127659574)</f>
        <v>0.3617021277</v>
      </c>
    </row>
    <row r="10130">
      <c r="A10130" s="10" t="s">
        <v>11569</v>
      </c>
      <c r="B10130" s="7" t="str">
        <f>IFERROR(__xludf.DUMMYFUNCTION("SPLIT(A10130,"" "")"),"Cc1cnc(C2CCC2(C)C)c(CN(Cc2ccccn2)C2CCCCC2N(C)c2cccc3ccc(CN(C)C)nc23)c1")</f>
        <v>Cc1cnc(C2CCC2(C)C)c(CN(Cc2ccccn2)C2CCCCC2N(C)c2cccc3ccc(CN(C)C)nc23)c1</v>
      </c>
      <c r="C10130" s="7">
        <f>IFERROR(__xludf.DUMMYFUNCTION("""COMPUTED_VALUE"""),7.7668757)</f>
        <v>7.7668757</v>
      </c>
      <c r="D10130" s="7">
        <f>IFERROR(__xludf.DUMMYFUNCTION("""COMPUTED_VALUE"""),0.421052631578947)</f>
        <v>0.4210526316</v>
      </c>
    </row>
    <row r="10131">
      <c r="A10131" s="10" t="s">
        <v>11570</v>
      </c>
      <c r="B10131" s="7" t="str">
        <f>IFERROR(__xludf.DUMMYFUNCTION("SPLIT(A10131,"" "")"),"CN(Cc1cccc(F)n1)C1CCC(N(C)c2ccc3ncccc3c2)CC1")</f>
        <v>CN(Cc1cccc(F)n1)C1CCC(N(C)c2ccc3ncccc3c2)CC1</v>
      </c>
      <c r="C10131" s="7">
        <f>IFERROR(__xludf.DUMMYFUNCTION("""COMPUTED_VALUE"""),7.766873)</f>
        <v>7.766873</v>
      </c>
      <c r="D10131" s="7">
        <f>IFERROR(__xludf.DUMMYFUNCTION("""COMPUTED_VALUE"""),0.350877192982456)</f>
        <v>0.350877193</v>
      </c>
    </row>
    <row r="10132">
      <c r="A10132" s="10" t="s">
        <v>11571</v>
      </c>
      <c r="B10132" s="7" t="str">
        <f>IFERROR(__xludf.DUMMYFUNCTION("SPLIT(A10132,"" "")"),"CC1CC(c2cccc(CN(Cc3ccccn3)C3CCC(N(C)c4ccc5ncccc5c4)CC3)n2)C1")</f>
        <v>CC1CC(c2cccc(CN(Cc3ccccn3)C3CCC(N(C)c4ccc5ncccc5c4)CC3)n2)C1</v>
      </c>
      <c r="C10132" s="7">
        <f>IFERROR(__xludf.DUMMYFUNCTION("""COMPUTED_VALUE"""),7.7668667)</f>
        <v>7.7668667</v>
      </c>
      <c r="D10132" s="7">
        <f>IFERROR(__xludf.DUMMYFUNCTION("""COMPUTED_VALUE"""),0.359375)</f>
        <v>0.359375</v>
      </c>
    </row>
    <row r="10133">
      <c r="A10133" s="10" t="s">
        <v>11572</v>
      </c>
      <c r="B10133" s="7" t="str">
        <f>IFERROR(__xludf.DUMMYFUNCTION("SPLIT(A10133,"" "")"),"CNCc1cccc(C(C)(C)c2ccccn2)n1")</f>
        <v>CNCc1cccc(C(C)(C)c2ccccn2)n1</v>
      </c>
      <c r="C10133" s="7">
        <f>IFERROR(__xludf.DUMMYFUNCTION("""COMPUTED_VALUE"""),7.7668653)</f>
        <v>7.7668653</v>
      </c>
      <c r="D10133" s="7">
        <f>IFERROR(__xludf.DUMMYFUNCTION("""COMPUTED_VALUE"""),0.4)</f>
        <v>0.4</v>
      </c>
    </row>
    <row r="10134">
      <c r="A10134" s="10" t="s">
        <v>11573</v>
      </c>
      <c r="B10134" s="7" t="str">
        <f>IFERROR(__xludf.DUMMYFUNCTION("SPLIT(A10134,"" "")"),"Cc1nc(CN(C)C2CCC(N(Cc3ccc4ncccc4c3)Cc3ccccn3)CC2)c(C)c(C)c1C")</f>
        <v>Cc1nc(CN(C)C2CCC(N(Cc3ccc4ncccc4c3)Cc3ccccn3)CC2)c(C)c(C)c1C</v>
      </c>
      <c r="C10134" s="7">
        <f>IFERROR(__xludf.DUMMYFUNCTION("""COMPUTED_VALUE"""),7.7668633)</f>
        <v>7.7668633</v>
      </c>
      <c r="D10134" s="7">
        <f>IFERROR(__xludf.DUMMYFUNCTION("""COMPUTED_VALUE"""),0.365079365079365)</f>
        <v>0.3650793651</v>
      </c>
    </row>
    <row r="10135">
      <c r="A10135" s="10" t="s">
        <v>11574</v>
      </c>
      <c r="B10135" s="7" t="str">
        <f>IFERROR(__xludf.DUMMYFUNCTION("SPLIT(A10135,"" "")"),"CN(Cc1cccnn1)C1CCC(N(C)c2cccc3ncc(CF)cc23)CC1")</f>
        <v>CN(Cc1cccnn1)C1CCC(N(C)c2cccc3ncc(CF)cc23)CC1</v>
      </c>
      <c r="C10135" s="7">
        <f>IFERROR(__xludf.DUMMYFUNCTION("""COMPUTED_VALUE"""),7.766861)</f>
        <v>7.766861</v>
      </c>
      <c r="D10135" s="7">
        <f>IFERROR(__xludf.DUMMYFUNCTION("""COMPUTED_VALUE"""),0.368421052631578)</f>
        <v>0.3684210526</v>
      </c>
    </row>
    <row r="10136">
      <c r="A10136" s="10" t="s">
        <v>11575</v>
      </c>
      <c r="B10136" s="7" t="str">
        <f>IFERROR(__xludf.DUMMYFUNCTION("SPLIT(A10136,"" "")"),"CC(C)N(Cc1ccccn1)C1CCCC(N(C)c2ccc3nccc(CF)c3c2)C1")</f>
        <v>CC(C)N(Cc1ccccn1)C1CCCC(N(C)c2ccc3nccc(CF)c3c2)C1</v>
      </c>
      <c r="C10136" s="7">
        <f>IFERROR(__xludf.DUMMYFUNCTION("""COMPUTED_VALUE"""),7.7668567)</f>
        <v>7.7668567</v>
      </c>
      <c r="D10136" s="7">
        <f>IFERROR(__xludf.DUMMYFUNCTION("""COMPUTED_VALUE"""),0.365079365079365)</f>
        <v>0.3650793651</v>
      </c>
    </row>
    <row r="10137">
      <c r="A10137" s="10" t="s">
        <v>11576</v>
      </c>
      <c r="B10137" s="7" t="str">
        <f>IFERROR(__xludf.DUMMYFUNCTION("SPLIT(A10137,"" "")"),"CN1CCN(Cc2ccccn2)CCN(Cc2cc(N(C)C(C)(C)c3ccc(-c4cccc(N(C)C)c4)nc3)ccn2)CC1")</f>
        <v>CN1CCN(Cc2ccccn2)CCN(Cc2cc(N(C)C(C)(C)c3ccc(-c4cccc(N(C)C)c4)nc3)ccn2)CC1</v>
      </c>
      <c r="C10137" s="7">
        <f>IFERROR(__xludf.DUMMYFUNCTION("""COMPUTED_VALUE"""),7.7668514)</f>
        <v>7.7668514</v>
      </c>
      <c r="D10137" s="7">
        <f>IFERROR(__xludf.DUMMYFUNCTION("""COMPUTED_VALUE"""),0.459016393442622)</f>
        <v>0.4590163934</v>
      </c>
    </row>
    <row r="10138">
      <c r="A10138" s="10" t="s">
        <v>11577</v>
      </c>
      <c r="B10138" s="7" t="str">
        <f>IFERROR(__xludf.DUMMYFUNCTION("SPLIT(A10138,"" "")"),"Cc1cnccc1CN(C)C1CCCCC1N(C)c1cccc2nc(CF)ccc12")</f>
        <v>Cc1cnccc1CN(C)C1CCCCC1N(C)c1cccc2nc(CF)ccc12</v>
      </c>
      <c r="C10138" s="7">
        <f>IFERROR(__xludf.DUMMYFUNCTION("""COMPUTED_VALUE"""),7.7668505)</f>
        <v>7.7668505</v>
      </c>
      <c r="D10138" s="7">
        <f>IFERROR(__xludf.DUMMYFUNCTION("""COMPUTED_VALUE"""),0.483870967741935)</f>
        <v>0.4838709677</v>
      </c>
    </row>
    <row r="10139">
      <c r="A10139" s="10" t="s">
        <v>11578</v>
      </c>
      <c r="B10139" s="7" t="str">
        <f>IFERROR(__xludf.DUMMYFUNCTION("SPLIT(A10139,"" "")"),"Cc1ccnc(CN(Cc2ccccn2)C2CCCCC2N(C)c2ccc3nc(CF)ccc3c2)c1")</f>
        <v>Cc1ccnc(CN(Cc2ccccn2)C2CCCCC2N(C)c2ccc3nc(CF)ccc3c2)c1</v>
      </c>
      <c r="C10139" s="7">
        <f>IFERROR(__xludf.DUMMYFUNCTION("""COMPUTED_VALUE"""),7.7668495)</f>
        <v>7.7668495</v>
      </c>
      <c r="D10139" s="7">
        <f>IFERROR(__xludf.DUMMYFUNCTION("""COMPUTED_VALUE"""),0.426229508196721)</f>
        <v>0.4262295082</v>
      </c>
    </row>
    <row r="10140">
      <c r="A10140" s="10" t="s">
        <v>11579</v>
      </c>
      <c r="B10140" s="7" t="str">
        <f>IFERROR(__xludf.DUMMYFUNCTION("SPLIT(A10140,"" "")"),"CCNC1CCC(N(Cc2nc(C)c(C)c(C)c2C)Cc2nc(C)c(C)c(C)c2C)C(N(Cc2nc(C)c(C)c(C)c2C)Cc2nc(C)c(C)c(C)c2C)C1")</f>
        <v>CCNC1CCC(N(Cc2nc(C)c(C)c(C)c2C)Cc2nc(C)c(C)c(C)c2C)C(N(Cc2nc(C)c(C)c(C)c2C)Cc2nc(C)c(C)c(C)c2C)C1</v>
      </c>
      <c r="C10140" s="7">
        <f>IFERROR(__xludf.DUMMYFUNCTION("""COMPUTED_VALUE"""),7.7668424)</f>
        <v>7.7668424</v>
      </c>
      <c r="D10140" s="7">
        <f>IFERROR(__xludf.DUMMYFUNCTION("""COMPUTED_VALUE"""),0.210526315789473)</f>
        <v>0.2105263158</v>
      </c>
    </row>
    <row r="10141">
      <c r="A10141" s="10" t="s">
        <v>11580</v>
      </c>
      <c r="B10141" s="7" t="str">
        <f>IFERROR(__xludf.DUMMYFUNCTION("SPLIT(A10141,"" "")"),"CCNCc1cc(CN(Cc2ccccn2)C2CCC(N(C)c3ccc4nccc(C)c4c3)CC2)ccn1")</f>
        <v>CCNCc1cc(CN(Cc2ccccn2)C2CCC(N(C)c3ccc4nccc(C)c4c3)CC2)ccn1</v>
      </c>
      <c r="C10141" s="7">
        <f>IFERROR(__xludf.DUMMYFUNCTION("""COMPUTED_VALUE"""),7.7668386)</f>
        <v>7.7668386</v>
      </c>
      <c r="D10141" s="7">
        <f>IFERROR(__xludf.DUMMYFUNCTION("""COMPUTED_VALUE"""),0.323529411764705)</f>
        <v>0.3235294118</v>
      </c>
    </row>
    <row r="10142">
      <c r="A10142" s="10" t="s">
        <v>11581</v>
      </c>
      <c r="B10142" s="7" t="str">
        <f>IFERROR(__xludf.DUMMYFUNCTION("SPLIT(A10142,"" "")"),"CN(c1cccc2ncccc12)C1CCC(N(Cc2cccnc2)Cc2ccccn2)CC1")</f>
        <v>CN(c1cccc2ncccc12)C1CCC(N(Cc2cccnc2)Cc2ccccn2)CC1</v>
      </c>
      <c r="C10142" s="7">
        <f>IFERROR(__xludf.DUMMYFUNCTION("""COMPUTED_VALUE"""),7.766834)</f>
        <v>7.766834</v>
      </c>
      <c r="D10142" s="7">
        <f>IFERROR(__xludf.DUMMYFUNCTION("""COMPUTED_VALUE"""),0.366666666666666)</f>
        <v>0.3666666667</v>
      </c>
    </row>
    <row r="10143">
      <c r="A10143" s="10" t="s">
        <v>11582</v>
      </c>
      <c r="B10143" s="7" t="str">
        <f>IFERROR(__xludf.DUMMYFUNCTION("SPLIT(A10143,"" "")"),"Cc1cnc(CN(CCN(C)Cc2cnc(C)c(C)c2C)C(C)C)c(C)c1C")</f>
        <v>Cc1cnc(CN(CCN(C)Cc2cnc(C)c(C)c2C)C(C)C)c(C)c1C</v>
      </c>
      <c r="C10143" s="7">
        <f>IFERROR(__xludf.DUMMYFUNCTION("""COMPUTED_VALUE"""),7.766828)</f>
        <v>7.766828</v>
      </c>
      <c r="D10143" s="7">
        <f>IFERROR(__xludf.DUMMYFUNCTION("""COMPUTED_VALUE"""),0.36)</f>
        <v>0.36</v>
      </c>
    </row>
    <row r="10144">
      <c r="A10144" s="10" t="s">
        <v>11583</v>
      </c>
      <c r="B10144" s="7" t="str">
        <f>IFERROR(__xludf.DUMMYFUNCTION("SPLIT(A10144,"" "")"),"Cc1cnc(CN(Cc2ccccn2)C2CCC(N(C)Cc3cccc(-c4cccc(Cl)c4N)n3)CC2)c(C)c1")</f>
        <v>Cc1cnc(CN(Cc2ccccn2)C2CCC(N(C)Cc3cccc(-c4cccc(Cl)c4N)n3)CC2)c(C)c1</v>
      </c>
      <c r="C10144" s="7">
        <f>IFERROR(__xludf.DUMMYFUNCTION("""COMPUTED_VALUE"""),7.76682)</f>
        <v>7.76682</v>
      </c>
      <c r="D10144" s="7">
        <f>IFERROR(__xludf.DUMMYFUNCTION("""COMPUTED_VALUE"""),0.357142857142857)</f>
        <v>0.3571428571</v>
      </c>
    </row>
    <row r="10145">
      <c r="A10145" s="10" t="s">
        <v>11584</v>
      </c>
      <c r="B10145" s="7" t="str">
        <f>IFERROR(__xludf.DUMMYFUNCTION("SPLIT(A10145,"" "")"),"CCN(C)CC1=CCC(N(C)Cc2ncc(C)c(C)c2C)=CN1")</f>
        <v>CCN(C)CC1=CCC(N(C)Cc2ncc(C)c(C)c2C)=CN1</v>
      </c>
      <c r="C10145" s="7">
        <f>IFERROR(__xludf.DUMMYFUNCTION("""COMPUTED_VALUE"""),7.766819)</f>
        <v>7.766819</v>
      </c>
      <c r="D10145" s="7">
        <f>IFERROR(__xludf.DUMMYFUNCTION("""COMPUTED_VALUE"""),0.241935483870967)</f>
        <v>0.2419354839</v>
      </c>
    </row>
    <row r="10146">
      <c r="A10146" s="10" t="s">
        <v>11585</v>
      </c>
      <c r="B10146" s="7" t="str">
        <f>IFERROR(__xludf.DUMMYFUNCTION("SPLIT(A10146,"" "")"),"Cc1ccnc(CN(C)CCN(Cc2cc(C)c(C)c(C)n2)Cc2ncc(C)c(C)c2C)c1")</f>
        <v>Cc1ccnc(CN(C)CCN(Cc2cc(C)c(C)c(C)n2)Cc2ncc(C)c(C)c2C)c1</v>
      </c>
      <c r="C10146" s="7">
        <f>IFERROR(__xludf.DUMMYFUNCTION("""COMPUTED_VALUE"""),7.7668166)</f>
        <v>7.7668166</v>
      </c>
      <c r="D10146" s="7">
        <f>IFERROR(__xludf.DUMMYFUNCTION("""COMPUTED_VALUE"""),0.37037037037037)</f>
        <v>0.3703703704</v>
      </c>
    </row>
    <row r="10147">
      <c r="A10147" s="10" t="s">
        <v>11586</v>
      </c>
      <c r="B10147" s="7" t="str">
        <f>IFERROR(__xludf.DUMMYFUNCTION("SPLIT(A10147,"" "")"),"CN(c1cccc(CN(CF)Cc2ccccn2)n1)C(C)(C)c1ccccn1")</f>
        <v>CN(c1cccc(CN(CF)Cc2ccccn2)n1)C(C)(C)c1ccccn1</v>
      </c>
      <c r="C10147" s="7">
        <f>IFERROR(__xludf.DUMMYFUNCTION("""COMPUTED_VALUE"""),7.7668166)</f>
        <v>7.7668166</v>
      </c>
      <c r="D10147" s="7">
        <f>IFERROR(__xludf.DUMMYFUNCTION("""COMPUTED_VALUE"""),0.450980392156862)</f>
        <v>0.4509803922</v>
      </c>
    </row>
    <row r="10148">
      <c r="A10148" s="10" t="s">
        <v>11587</v>
      </c>
      <c r="B10148" s="7" t="str">
        <f>IFERROR(__xludf.DUMMYFUNCTION("SPLIT(A10148,"" "")"),"Cc1cc(C)c(C)c(CN(C)CCN(C)C)n1")</f>
        <v>Cc1cc(C)c(C)c(CN(C)CCN(C)C)n1</v>
      </c>
      <c r="C10148" s="7">
        <f>IFERROR(__xludf.DUMMYFUNCTION("""COMPUTED_VALUE"""),7.7668104)</f>
        <v>7.7668104</v>
      </c>
      <c r="D10148" s="7">
        <f>IFERROR(__xludf.DUMMYFUNCTION("""COMPUTED_VALUE"""),0.384615384615384)</f>
        <v>0.3846153846</v>
      </c>
    </row>
    <row r="10149">
      <c r="A10149" s="10" t="s">
        <v>11588</v>
      </c>
      <c r="B10149" s="7" t="str">
        <f>IFERROR(__xludf.DUMMYFUNCTION("SPLIT(A10149,"" "")"),"CN(Cc1cccnn1)C1CCCC(N(C)c2ccc3ncc(CF)cc3c2)C1")</f>
        <v>CN(Cc1cccnn1)C1CCCC(N(C)c2ccc3ncc(CF)cc3c2)C1</v>
      </c>
      <c r="C10149" s="7">
        <f>IFERROR(__xludf.DUMMYFUNCTION("""COMPUTED_VALUE"""),7.7668066)</f>
        <v>7.7668066</v>
      </c>
      <c r="D10149" s="7">
        <f>IFERROR(__xludf.DUMMYFUNCTION("""COMPUTED_VALUE"""),0.35)</f>
        <v>0.35</v>
      </c>
    </row>
    <row r="10150">
      <c r="A10150" s="10" t="s">
        <v>11589</v>
      </c>
      <c r="B10150" s="7" t="str">
        <f>IFERROR(__xludf.DUMMYFUNCTION("SPLIT(A10150,"" "")"),"Cc1ccc(CNCc2cc(C(C)(C)C)ccn2)c(C)c1")</f>
        <v>Cc1ccc(CNCc2cc(C(C)(C)C)ccn2)c(C)c1</v>
      </c>
      <c r="C10150" s="7">
        <f>IFERROR(__xludf.DUMMYFUNCTION("""COMPUTED_VALUE"""),7.7667966)</f>
        <v>7.7667966</v>
      </c>
      <c r="D10150" s="7">
        <f>IFERROR(__xludf.DUMMYFUNCTION("""COMPUTED_VALUE"""),0.288461538461538)</f>
        <v>0.2884615385</v>
      </c>
    </row>
    <row r="10151">
      <c r="A10151" s="10" t="s">
        <v>11590</v>
      </c>
      <c r="B10151" s="7" t="str">
        <f>IFERROR(__xludf.DUMMYFUNCTION("SPLIT(A10151,"" "")"),"Cc1cc(C)c(CN(C)C2CC(N(C)C)CC(N(Cc3nc(C)c(C)c(C)c3C)Cc3nc(C)c(C)c(C)c3C)C2)nc1C")</f>
        <v>Cc1cc(C)c(CN(C)C2CC(N(C)C)CC(N(Cc3nc(C)c(C)c(C)c3C)Cc3nc(C)c(C)c(C)c3C)C2)nc1C</v>
      </c>
      <c r="C10151" s="7">
        <f>IFERROR(__xludf.DUMMYFUNCTION("""COMPUTED_VALUE"""),7.7667885)</f>
        <v>7.7667885</v>
      </c>
      <c r="D10151" s="7">
        <f>IFERROR(__xludf.DUMMYFUNCTION("""COMPUTED_VALUE"""),0.216666666666666)</f>
        <v>0.2166666667</v>
      </c>
    </row>
    <row r="10152">
      <c r="A10152" s="10" t="s">
        <v>11591</v>
      </c>
      <c r="B10152" s="7" t="str">
        <f>IFERROR(__xludf.DUMMYFUNCTION("SPLIT(A10152,"" "")"),"CCN(Cc1ccccn1)Cc1cc(C(C)(C)c2ccccn2)ccn1")</f>
        <v>CCN(Cc1ccccn1)Cc1cc(C(C)(C)c2ccccn2)ccn1</v>
      </c>
      <c r="C10152" s="7">
        <f>IFERROR(__xludf.DUMMYFUNCTION("""COMPUTED_VALUE"""),7.766786)</f>
        <v>7.766786</v>
      </c>
      <c r="D10152" s="7">
        <f>IFERROR(__xludf.DUMMYFUNCTION("""COMPUTED_VALUE"""),0.478260869565217)</f>
        <v>0.4782608696</v>
      </c>
    </row>
    <row r="10153">
      <c r="A10153" s="10" t="s">
        <v>11592</v>
      </c>
      <c r="B10153" s="7" t="str">
        <f>IFERROR(__xludf.DUMMYFUNCTION("SPLIT(A10153,"" "")"),"FCNCc1cc(C(c2ccccc2)c2ccccn2)ccn1")</f>
        <v>FCNCc1cc(C(c2ccccc2)c2ccccn2)ccn1</v>
      </c>
      <c r="C10153" s="7">
        <f>IFERROR(__xludf.DUMMYFUNCTION("""COMPUTED_VALUE"""),7.7667785)</f>
        <v>7.7667785</v>
      </c>
      <c r="D10153" s="7">
        <f>IFERROR(__xludf.DUMMYFUNCTION("""COMPUTED_VALUE"""),0.386363636363636)</f>
        <v>0.3863636364</v>
      </c>
    </row>
    <row r="10154">
      <c r="A10154" s="10" t="s">
        <v>11593</v>
      </c>
      <c r="B10154" s="7" t="str">
        <f>IFERROR(__xludf.DUMMYFUNCTION("SPLIT(A10154,"" "")"),"COC(C)c1ncc(CN(Cc2ccccn2)Cc2ccccn2)cc1C")</f>
        <v>COC(C)c1ncc(CN(Cc2ccccn2)Cc2ccccn2)cc1C</v>
      </c>
      <c r="C10154" s="7">
        <f>IFERROR(__xludf.DUMMYFUNCTION("""COMPUTED_VALUE"""),7.7667704)</f>
        <v>7.7667704</v>
      </c>
      <c r="D10154" s="7">
        <f>IFERROR(__xludf.DUMMYFUNCTION("""COMPUTED_VALUE"""),0.476190476190476)</f>
        <v>0.4761904762</v>
      </c>
    </row>
    <row r="10155">
      <c r="A10155" s="10" t="s">
        <v>11594</v>
      </c>
      <c r="B10155" s="7" t="str">
        <f>IFERROR(__xludf.DUMMYFUNCTION("SPLIT(A10155,"" "")"),"CCNC(C)C1(C)N=COC1c1ncccc1C1=NC(C)(C)CO1")</f>
        <v>CCNC(C)C1(C)N=COC1c1ncccc1C1=NC(C)(C)CO1</v>
      </c>
      <c r="C10155" s="7">
        <f>IFERROR(__xludf.DUMMYFUNCTION("""COMPUTED_VALUE"""),7.7667575)</f>
        <v>7.7667575</v>
      </c>
      <c r="D10155" s="7">
        <f>IFERROR(__xludf.DUMMYFUNCTION("""COMPUTED_VALUE"""),0.322033898305084)</f>
        <v>0.3220338983</v>
      </c>
    </row>
    <row r="10156">
      <c r="A10156" s="10" t="s">
        <v>11595</v>
      </c>
      <c r="B10156" s="7" t="str">
        <f>IFERROR(__xludf.DUMMYFUNCTION("SPLIT(A10156,"" "")"),"CN(C)Cc1ccc2cc(N(C)C3CCCCC3N(Cc3ccccn3)Cc3cccc(CF)n3)ccc2n1")</f>
        <v>CN(C)Cc1ccc2cc(N(C)C3CCCCC3N(Cc3ccccn3)Cc3cccc(CF)n3)ccc2n1</v>
      </c>
      <c r="C10156" s="7">
        <f>IFERROR(__xludf.DUMMYFUNCTION("""COMPUTED_VALUE"""),7.766749)</f>
        <v>7.766749</v>
      </c>
      <c r="D10156" s="7">
        <f>IFERROR(__xludf.DUMMYFUNCTION("""COMPUTED_VALUE"""),0.453125)</f>
        <v>0.453125</v>
      </c>
    </row>
    <row r="10157">
      <c r="A10157" s="10" t="s">
        <v>11596</v>
      </c>
      <c r="B10157" s="7" t="str">
        <f>IFERROR(__xludf.DUMMYFUNCTION("SPLIT(A10157,"" "")"),"CN(C)Cc1ccc(C(C)(C)C)cn1")</f>
        <v>CN(C)Cc1ccc(C(C)(C)C)cn1</v>
      </c>
      <c r="C10157" s="7">
        <f>IFERROR(__xludf.DUMMYFUNCTION("""COMPUTED_VALUE"""),7.766746)</f>
        <v>7.766746</v>
      </c>
      <c r="D10157" s="7">
        <f>IFERROR(__xludf.DUMMYFUNCTION("""COMPUTED_VALUE"""),0.416666666666666)</f>
        <v>0.4166666667</v>
      </c>
    </row>
    <row r="10158">
      <c r="A10158" s="10" t="s">
        <v>11597</v>
      </c>
      <c r="B10158" s="7" t="str">
        <f>IFERROR(__xludf.DUMMYFUNCTION("SPLIT(A10158,"" "")"),"Cc1ccc(CN(C)CC2=CC(N(C)Cc3ncc(C)c(C)c3C)C=CN2)nc1")</f>
        <v>Cc1ccc(CN(C)CC2=CC(N(C)Cc3ncc(C)c(C)c3C)C=CN2)nc1</v>
      </c>
      <c r="C10158" s="7">
        <f>IFERROR(__xludf.DUMMYFUNCTION("""COMPUTED_VALUE"""),7.7667437)</f>
        <v>7.7667437</v>
      </c>
      <c r="D10158" s="7">
        <f>IFERROR(__xludf.DUMMYFUNCTION("""COMPUTED_VALUE"""),0.423076923076923)</f>
        <v>0.4230769231</v>
      </c>
    </row>
    <row r="10159">
      <c r="A10159" s="10" t="s">
        <v>11598</v>
      </c>
      <c r="B10159" s="7" t="str">
        <f>IFERROR(__xludf.DUMMYFUNCTION("SPLIT(A10159,"" "")"),"Cc1cnc(CN(C)C2=C(CN(C)C(C)C)NC=CC2)c(C)c1C")</f>
        <v>Cc1cnc(CN(C)C2=C(CN(C)C(C)C)NC=CC2)c(C)c1C</v>
      </c>
      <c r="C10159" s="7">
        <f>IFERROR(__xludf.DUMMYFUNCTION("""COMPUTED_VALUE"""),7.7667418)</f>
        <v>7.7667418</v>
      </c>
      <c r="D10159" s="7">
        <f>IFERROR(__xludf.DUMMYFUNCTION("""COMPUTED_VALUE"""),0.222222222222222)</f>
        <v>0.2222222222</v>
      </c>
    </row>
    <row r="10160">
      <c r="A10160" s="10" t="s">
        <v>11599</v>
      </c>
      <c r="B10160" s="7" t="str">
        <f>IFERROR(__xludf.DUMMYFUNCTION("SPLIT(A10160,"" "")"),"Cc1c(N)nc(CN(CN)Cc2ccccn2)c(C)c1C")</f>
        <v>Cc1c(N)nc(CN(CN)Cc2ccccn2)c(C)c1C</v>
      </c>
      <c r="C10160" s="7">
        <f>IFERROR(__xludf.DUMMYFUNCTION("""COMPUTED_VALUE"""),7.7667403)</f>
        <v>7.7667403</v>
      </c>
      <c r="D10160" s="7">
        <f>IFERROR(__xludf.DUMMYFUNCTION("""COMPUTED_VALUE"""),0.487179487179487)</f>
        <v>0.4871794872</v>
      </c>
    </row>
    <row r="10161">
      <c r="A10161" s="10" t="s">
        <v>11600</v>
      </c>
      <c r="B10161" s="7" t="str">
        <f>IFERROR(__xludf.DUMMYFUNCTION("SPLIT(A10161,"" "")"),"CC1=C(C)CC2(CCC(C)=C(C)C2c2ncccc2CN(Cc2ccccn2)C2CCC(N(C)c3ccc4nccc(CN(C)C)c4c3)CC2)C(C)C1")</f>
        <v>CC1=C(C)CC2(CCC(C)=C(C)C2c2ncccc2CN(Cc2ccccn2)C2CCC(N(C)c3ccc4nccc(CN(C)C)c4c3)CC2)C(C)C1</v>
      </c>
      <c r="C10161" s="7">
        <f>IFERROR(__xludf.DUMMYFUNCTION("""COMPUTED_VALUE"""),7.766731)</f>
        <v>7.766731</v>
      </c>
      <c r="D10161" s="7">
        <f>IFERROR(__xludf.DUMMYFUNCTION("""COMPUTED_VALUE"""),0.25287356321839)</f>
        <v>0.2528735632</v>
      </c>
    </row>
    <row r="10162">
      <c r="A10162" s="10" t="s">
        <v>11601</v>
      </c>
      <c r="B10162" s="7" t="str">
        <f>IFERROR(__xludf.DUMMYFUNCTION("SPLIT(A10162,"" "")"),"CN(Cc1cccc(-c2ccc3c(c2)OCCOCCOCCOCCOCCO3)n1)C1=CNC(CN(C)c2ccc3nc(CF)ccc3c2)=CC1")</f>
        <v>CN(Cc1cccc(-c2ccc3c(c2)OCCOCCOCCOCCOCCO3)n1)C1=CNC(CN(C)c2ccc3nc(CF)ccc3c2)=CC1</v>
      </c>
      <c r="C10162" s="7">
        <f>IFERROR(__xludf.DUMMYFUNCTION("""COMPUTED_VALUE"""),7.7667146)</f>
        <v>7.7667146</v>
      </c>
      <c r="D10162" s="7">
        <f>IFERROR(__xludf.DUMMYFUNCTION("""COMPUTED_VALUE"""),0.272727272727272)</f>
        <v>0.2727272727</v>
      </c>
    </row>
    <row r="10163">
      <c r="A10163" s="10" t="s">
        <v>11602</v>
      </c>
      <c r="B10163" s="7" t="str">
        <f>IFERROR(__xludf.DUMMYFUNCTION("SPLIT(A10163,"" "")"),"CC(C)N(C)Cc1cncc(N(C)Cc2ccccn2)c1")</f>
        <v>CC(C)N(C)Cc1cncc(N(C)Cc2ccccn2)c1</v>
      </c>
      <c r="C10163" s="7">
        <f>IFERROR(__xludf.DUMMYFUNCTION("""COMPUTED_VALUE"""),7.7667146)</f>
        <v>7.7667146</v>
      </c>
      <c r="D10163" s="7">
        <f>IFERROR(__xludf.DUMMYFUNCTION("""COMPUTED_VALUE"""),0.468085106382978)</f>
        <v>0.4680851064</v>
      </c>
    </row>
    <row r="10164">
      <c r="A10164" s="10" t="s">
        <v>11603</v>
      </c>
      <c r="B10164" s="7" t="str">
        <f>IFERROR(__xludf.DUMMYFUNCTION("SPLIT(A10164,"" "")"),"CCNCC1=CCC(N(C)Cc2ncc(C)c(C)c2C)=CN1")</f>
        <v>CCNCC1=CCC(N(C)Cc2ncc(C)c(C)c2C)=CN1</v>
      </c>
      <c r="C10164" s="7">
        <f>IFERROR(__xludf.DUMMYFUNCTION("""COMPUTED_VALUE"""),7.766712)</f>
        <v>7.766712</v>
      </c>
      <c r="D10164" s="7">
        <f>IFERROR(__xludf.DUMMYFUNCTION("""COMPUTED_VALUE"""),0.215384615384615)</f>
        <v>0.2153846154</v>
      </c>
    </row>
    <row r="10165">
      <c r="A10165" s="10" t="s">
        <v>11604</v>
      </c>
      <c r="B10165" s="7" t="str">
        <f>IFERROR(__xludf.DUMMYFUNCTION("SPLIT(A10165,"" "")"),"Cc1ccnc(CN(C)CCN(Cc2nc(C)cc(C)c2C)Cc2nc(C)cc(C)c2C)c1")</f>
        <v>Cc1ccnc(CN(C)CCN(Cc2nc(C)cc(C)c2C)Cc2nc(C)cc(C)c2C)c1</v>
      </c>
      <c r="C10165" s="7">
        <f>IFERROR(__xludf.DUMMYFUNCTION("""COMPUTED_VALUE"""),7.7667108)</f>
        <v>7.7667108</v>
      </c>
      <c r="D10165" s="7">
        <f>IFERROR(__xludf.DUMMYFUNCTION("""COMPUTED_VALUE"""),0.375)</f>
        <v>0.375</v>
      </c>
    </row>
    <row r="10166">
      <c r="A10166" s="10" t="s">
        <v>11605</v>
      </c>
      <c r="B10166" s="7" t="str">
        <f>IFERROR(__xludf.DUMMYFUNCTION("SPLIT(A10166,"" "")"),"CC1C=CC(C)C(C)(c2cc(CN(Cc3ccccn3)C3CCC(N(C)c4ccc5nccc(CN(C)C)c5c4)CC3)ccn2)C1")</f>
        <v>CC1C=CC(C)C(C)(c2cc(CN(Cc3ccccn3)C3CCC(N(C)c4ccc5nccc(CN(C)C)c5c4)CC3)ccn2)C1</v>
      </c>
      <c r="C10166" s="7">
        <f>IFERROR(__xludf.DUMMYFUNCTION("""COMPUTED_VALUE"""),7.766708)</f>
        <v>7.766708</v>
      </c>
      <c r="D10166" s="7">
        <f>IFERROR(__xludf.DUMMYFUNCTION("""COMPUTED_VALUE"""),0.278481012658227)</f>
        <v>0.2784810127</v>
      </c>
    </row>
    <row r="10167">
      <c r="A10167" s="10" t="s">
        <v>11606</v>
      </c>
      <c r="B10167" s="7" t="str">
        <f>IFERROR(__xludf.DUMMYFUNCTION("SPLIT(A10167,"" "")"),"CCNC1CCC(N(Cc2nc(C)c(C)c(C)c2C)Cc2nc(C)c(C)c(C)c2C)CC1N(Cc1nc(C)c(C)c(C)c1C)Cc1nc(C)c(C)c(C)c1C")</f>
        <v>CCNC1CCC(N(Cc2nc(C)c(C)c(C)c2C)Cc2nc(C)c(C)c(C)c2C)CC1N(Cc1nc(C)c(C)c(C)c1C)Cc1nc(C)c(C)c(C)c1C</v>
      </c>
      <c r="C10167" s="7">
        <f>IFERROR(__xludf.DUMMYFUNCTION("""COMPUTED_VALUE"""),7.7667)</f>
        <v>7.7667</v>
      </c>
      <c r="D10167" s="7">
        <f>IFERROR(__xludf.DUMMYFUNCTION("""COMPUTED_VALUE"""),0.203389830508474)</f>
        <v>0.2033898305</v>
      </c>
    </row>
    <row r="10168">
      <c r="A10168" s="10" t="s">
        <v>11607</v>
      </c>
      <c r="B10168" s="7" t="str">
        <f>IFERROR(__xludf.DUMMYFUNCTION("SPLIT(A10168,"" "")"),"Cc1ccc(CN(Cc2nc(C)c(C)c(C)c2C)C2CCC(N(C)Cc3cc(-c4ccccn4)ccn3)CC2)nc1")</f>
        <v>Cc1ccc(CN(Cc2nc(C)c(C)c(C)c2C)C2CCC(N(C)Cc3cc(-c4ccccn4)ccn3)CC2)nc1</v>
      </c>
      <c r="C10168" s="7">
        <f>IFERROR(__xludf.DUMMYFUNCTION("""COMPUTED_VALUE"""),7.766692)</f>
        <v>7.766692</v>
      </c>
      <c r="D10168" s="7">
        <f>IFERROR(__xludf.DUMMYFUNCTION("""COMPUTED_VALUE"""),0.373134328358209)</f>
        <v>0.3731343284</v>
      </c>
    </row>
    <row r="10169">
      <c r="A10169" s="10" t="s">
        <v>11608</v>
      </c>
      <c r="B10169" s="7" t="str">
        <f>IFERROR(__xludf.DUMMYFUNCTION("SPLIT(A10169,"" "")"),"CN(CN(Cc1ncccc1-c1cccc2c1OCCOCCOCCOCCOCCO2)C1CCC(N(C)c2ccc3c(CF)ccnc3c2)CC1)c1ccc2cccnc2c1")</f>
        <v>CN(CN(Cc1ncccc1-c1cccc2c1OCCOCCOCCOCCOCCO2)C1CCC(N(C)c2ccc3c(CF)ccnc3c2)CC1)c1ccc2cccnc2c1</v>
      </c>
      <c r="C10169" s="7">
        <f>IFERROR(__xludf.DUMMYFUNCTION("""COMPUTED_VALUE"""),7.766691)</f>
        <v>7.766691</v>
      </c>
      <c r="D10169" s="7">
        <f>IFERROR(__xludf.DUMMYFUNCTION("""COMPUTED_VALUE"""),0.21505376344086)</f>
        <v>0.2150537634</v>
      </c>
    </row>
    <row r="10170">
      <c r="A10170" s="10" t="s">
        <v>11609</v>
      </c>
      <c r="B10170" s="7" t="str">
        <f>IFERROR(__xludf.DUMMYFUNCTION("SPLIT(A10170,"" "")"),"CCCN(Cc1ccccn1)c1cc2c(cc1-c1cccc(CN(Cc3ccccn3)Cc3ncccc3-c3ccccc3N=Cc3ccccn3)n1)OCCOCCOCCOCCOCCO2")</f>
        <v>CCCN(Cc1ccccn1)c1cc2c(cc1-c1cccc(CN(Cc3ccccn3)Cc3ncccc3-c3ccccc3N=Cc3ccccn3)n1)OCCOCCOCCOCCOCCO2</v>
      </c>
      <c r="C10170" s="7">
        <f>IFERROR(__xludf.DUMMYFUNCTION("""COMPUTED_VALUE"""),7.76669)</f>
        <v>7.76669</v>
      </c>
      <c r="D10170" s="7">
        <f>IFERROR(__xludf.DUMMYFUNCTION("""COMPUTED_VALUE"""),0.32183908045977)</f>
        <v>0.3218390805</v>
      </c>
    </row>
    <row r="10171">
      <c r="A10171" s="10" t="s">
        <v>11610</v>
      </c>
      <c r="B10171" s="7" t="str">
        <f>IFERROR(__xludf.DUMMYFUNCTION("SPLIT(A10171,"" "")"),"Cc1cccnc1CN(C)C1=CNC(CN(Cc2ccccn2)CC(C)C)=CC1")</f>
        <v>Cc1cccnc1CN(C)C1=CNC(CN(Cc2ccccn2)CC(C)C)=CC1</v>
      </c>
      <c r="C10171" s="7">
        <f>IFERROR(__xludf.DUMMYFUNCTION("""COMPUTED_VALUE"""),7.7666807)</f>
        <v>7.7666807</v>
      </c>
      <c r="D10171" s="7">
        <f>IFERROR(__xludf.DUMMYFUNCTION("""COMPUTED_VALUE"""),0.435483870967741)</f>
        <v>0.435483871</v>
      </c>
    </row>
    <row r="10172">
      <c r="A10172" s="10" t="s">
        <v>11611</v>
      </c>
      <c r="B10172" s="7" t="str">
        <f>IFERROR(__xludf.DUMMYFUNCTION("SPLIT(A10172,"" "")"),"C1=CC(c2cccnn2)C=CN1")</f>
        <v>C1=CC(c2cccnn2)C=CN1</v>
      </c>
      <c r="C10172" s="7">
        <f>IFERROR(__xludf.DUMMYFUNCTION("""COMPUTED_VALUE"""),7.7666807)</f>
        <v>7.7666807</v>
      </c>
      <c r="D10172" s="7">
        <f>IFERROR(__xludf.DUMMYFUNCTION("""COMPUTED_VALUE"""),0.282051282051282)</f>
        <v>0.2820512821</v>
      </c>
    </row>
    <row r="10173">
      <c r="A10173" s="10" t="s">
        <v>11612</v>
      </c>
      <c r="B10173" s="7" t="str">
        <f>IFERROR(__xludf.DUMMYFUNCTION("SPLIT(A10173,"" "")"),"Cc1cnc2cccc(N(C)C3CCCCC3N(CC3=CCC=CN3)Cc3ccccn3)c2c1")</f>
        <v>Cc1cnc2cccc(N(C)C3CCCCC3N(CC3=CCC=CN3)Cc3ccccn3)c2c1</v>
      </c>
      <c r="C10173" s="7">
        <f>IFERROR(__xludf.DUMMYFUNCTION("""COMPUTED_VALUE"""),7.766664)</f>
        <v>7.766664</v>
      </c>
      <c r="D10173" s="7">
        <f>IFERROR(__xludf.DUMMYFUNCTION("""COMPUTED_VALUE"""),0.462686567164179)</f>
        <v>0.4626865672</v>
      </c>
    </row>
    <row r="10174">
      <c r="A10174" s="10" t="s">
        <v>11613</v>
      </c>
      <c r="B10174" s="7" t="str">
        <f>IFERROR(__xludf.DUMMYFUNCTION("SPLIT(A10174,"" "")"),"Cc1cnccc1CN(C)Cc1cccc(N(C)C(C)C)n1")</f>
        <v>Cc1cnccc1CN(C)Cc1cccc(N(C)C(C)C)n1</v>
      </c>
      <c r="C10174" s="7">
        <f>IFERROR(__xludf.DUMMYFUNCTION("""COMPUTED_VALUE"""),7.766662)</f>
        <v>7.766662</v>
      </c>
      <c r="D10174" s="7">
        <f>IFERROR(__xludf.DUMMYFUNCTION("""COMPUTED_VALUE"""),0.404255319148936)</f>
        <v>0.4042553191</v>
      </c>
    </row>
    <row r="10175">
      <c r="A10175" s="10" t="s">
        <v>11614</v>
      </c>
      <c r="B10175" s="7" t="str">
        <f>IFERROR(__xludf.DUMMYFUNCTION("SPLIT(A10175,"" "")"),"CC1=C(C)CCC(N(C)Cc2ccccn2)=C1")</f>
        <v>CC1=C(C)CCC(N(C)Cc2ccccn2)=C1</v>
      </c>
      <c r="C10175" s="7">
        <f>IFERROR(__xludf.DUMMYFUNCTION("""COMPUTED_VALUE"""),7.766661)</f>
        <v>7.766661</v>
      </c>
      <c r="D10175" s="7">
        <f>IFERROR(__xludf.DUMMYFUNCTION("""COMPUTED_VALUE"""),0.5)</f>
        <v>0.5</v>
      </c>
    </row>
    <row r="10176">
      <c r="A10176" s="10" t="s">
        <v>11615</v>
      </c>
      <c r="B10176" s="7" t="str">
        <f>IFERROR(__xludf.DUMMYFUNCTION("SPLIT(A10176,"" "")"),"Cc1cnc(CN(C)Cc2ccccn2)c(C)c1")</f>
        <v>Cc1cnc(CN(C)Cc2ccccn2)c(C)c1</v>
      </c>
      <c r="C10176" s="7">
        <f>IFERROR(__xludf.DUMMYFUNCTION("""COMPUTED_VALUE"""),7.766659)</f>
        <v>7.766659</v>
      </c>
      <c r="D10176" s="7">
        <f>IFERROR(__xludf.DUMMYFUNCTION("""COMPUTED_VALUE"""),0.5)</f>
        <v>0.5</v>
      </c>
    </row>
    <row r="10177">
      <c r="A10177" s="10" t="s">
        <v>11616</v>
      </c>
      <c r="B10177" s="7" t="str">
        <f>IFERROR(__xludf.DUMMYFUNCTION("SPLIT(A10177,"" "")"),"C1=C(CN(Cc2ccccn2)Cc2ccccn2)C=C(NCc2ccccn2)NC1")</f>
        <v>C1=C(CN(Cc2ccccn2)Cc2ccccn2)C=C(NCc2ccccn2)NC1</v>
      </c>
      <c r="C10177" s="7">
        <f>IFERROR(__xludf.DUMMYFUNCTION("""COMPUTED_VALUE"""),7.766659)</f>
        <v>7.766659</v>
      </c>
      <c r="D10177" s="7">
        <f>IFERROR(__xludf.DUMMYFUNCTION("""COMPUTED_VALUE"""),0.5)</f>
        <v>0.5</v>
      </c>
    </row>
    <row r="10178">
      <c r="A10178" s="10" t="s">
        <v>11617</v>
      </c>
      <c r="B10178" s="7" t="str">
        <f>IFERROR(__xludf.DUMMYFUNCTION("SPLIT(A10178,"" "")"),"Cc1cncc(CN(Cc2ccccn2)Cc2cc(C(C)(C)C)ccn2)c1")</f>
        <v>Cc1cncc(CN(Cc2ccccn2)Cc2cc(C(C)(C)C)ccn2)c1</v>
      </c>
      <c r="C10178" s="7">
        <f>IFERROR(__xludf.DUMMYFUNCTION("""COMPUTED_VALUE"""),7.7666583)</f>
        <v>7.7666583</v>
      </c>
      <c r="D10178" s="7">
        <f>IFERROR(__xludf.DUMMYFUNCTION("""COMPUTED_VALUE"""),0.454545454545454)</f>
        <v>0.4545454545</v>
      </c>
    </row>
    <row r="10179">
      <c r="A10179" s="10" t="s">
        <v>11618</v>
      </c>
      <c r="B10179" s="7" t="str">
        <f>IFERROR(__xludf.DUMMYFUNCTION("SPLIT(A10179,"" "")"),"CCN(CCN(C)Cc1cccc2ncccc12)Cc1ccccn1")</f>
        <v>CCN(CCN(C)Cc1cccc2ncccc12)Cc1ccccn1</v>
      </c>
      <c r="C10179" s="7">
        <f>IFERROR(__xludf.DUMMYFUNCTION("""COMPUTED_VALUE"""),7.766657)</f>
        <v>7.766657</v>
      </c>
      <c r="D10179" s="7">
        <f>IFERROR(__xludf.DUMMYFUNCTION("""COMPUTED_VALUE"""),0.5)</f>
        <v>0.5</v>
      </c>
    </row>
    <row r="10180">
      <c r="A10180" s="10" t="s">
        <v>11619</v>
      </c>
      <c r="B10180" s="7" t="str">
        <f>IFERROR(__xludf.DUMMYFUNCTION("SPLIT(A10180,"" "")"),"CC(C)C1=CC2(C=CN1)C=CC(c1cccc(CN(Cc3ccccn3)Cc3ccccn3)n1)C(c1cccc(CN(Cc3ccccn3)Cc3ccccn3)n1)C2(C)C")</f>
        <v>CC(C)C1=CC2(C=CN1)C=CC(c1cccc(CN(Cc3ccccn3)Cc3ccccn3)n1)C(c1cccc(CN(Cc3ccccn3)Cc3ccccn3)n1)C2(C)C</v>
      </c>
      <c r="C10180" s="7">
        <f>IFERROR(__xludf.DUMMYFUNCTION("""COMPUTED_VALUE"""),7.766651)</f>
        <v>7.766651</v>
      </c>
      <c r="D10180" s="7">
        <f>IFERROR(__xludf.DUMMYFUNCTION("""COMPUTED_VALUE"""),0.350877192982456)</f>
        <v>0.350877193</v>
      </c>
    </row>
    <row r="10181">
      <c r="A10181" s="10" t="s">
        <v>11620</v>
      </c>
      <c r="B10181" s="7" t="str">
        <f>IFERROR(__xludf.DUMMYFUNCTION("SPLIT(A10181,"" "")"),"Cc1cccnc1CN(C)Cc1cccnc1CN(C)C")</f>
        <v>Cc1cccnc1CN(C)Cc1cccnc1CN(C)C</v>
      </c>
      <c r="C10181" s="7">
        <f>IFERROR(__xludf.DUMMYFUNCTION("""COMPUTED_VALUE"""),7.766651)</f>
        <v>7.766651</v>
      </c>
      <c r="D10181" s="7">
        <f>IFERROR(__xludf.DUMMYFUNCTION("""COMPUTED_VALUE"""),0.41860465116279)</f>
        <v>0.4186046512</v>
      </c>
    </row>
    <row r="10182">
      <c r="A10182" s="10" t="s">
        <v>11621</v>
      </c>
      <c r="B10182" s="7" t="str">
        <f>IFERROR(__xludf.DUMMYFUNCTION("SPLIT(A10182,"" "")"),"CC(C)N(Cc1ccccn1)c1ccc(N)c(-c2cc(CN3CCN(C)CCN(C)CC3)ccn2)c1Cl")</f>
        <v>CC(C)N(Cc1ccccn1)c1ccc(N)c(-c2cc(CN3CCN(C)CCN(C)CC3)ccn2)c1Cl</v>
      </c>
      <c r="C10182" s="7">
        <f>IFERROR(__xludf.DUMMYFUNCTION("""COMPUTED_VALUE"""),7.7666492)</f>
        <v>7.7666492</v>
      </c>
      <c r="D10182" s="7">
        <f>IFERROR(__xludf.DUMMYFUNCTION("""COMPUTED_VALUE"""),0.419354838709677)</f>
        <v>0.4193548387</v>
      </c>
    </row>
    <row r="10183">
      <c r="A10183" s="10" t="s">
        <v>11622</v>
      </c>
      <c r="B10183" s="7" t="str">
        <f>IFERROR(__xludf.DUMMYFUNCTION("SPLIT(A10183,"" "")"),"CN(C)C1CCCC(N(C)c2ccc3c(CF)ccnc3c2)C1")</f>
        <v>CN(C)C1CCCC(N(C)c2ccc3c(CF)ccnc3c2)C1</v>
      </c>
      <c r="C10183" s="7">
        <f>IFERROR(__xludf.DUMMYFUNCTION("""COMPUTED_VALUE"""),7.7666426)</f>
        <v>7.7666426</v>
      </c>
      <c r="D10183" s="7">
        <f>IFERROR(__xludf.DUMMYFUNCTION("""COMPUTED_VALUE"""),0.253968253968253)</f>
        <v>0.253968254</v>
      </c>
    </row>
    <row r="10184">
      <c r="A10184" s="10" t="s">
        <v>11623</v>
      </c>
      <c r="B10184" s="7" t="str">
        <f>IFERROR(__xludf.DUMMYFUNCTION("SPLIT(A10184,"" "")"),"CC(C)C(C)N(C)Cc1ncccc1-c1cccc(N(C)C(C)C)c1")</f>
        <v>CC(C)C(C)N(C)Cc1ncccc1-c1cccc(N(C)C(C)C)c1</v>
      </c>
      <c r="C10184" s="7">
        <f>IFERROR(__xludf.DUMMYFUNCTION("""COMPUTED_VALUE"""),7.766642)</f>
        <v>7.766642</v>
      </c>
      <c r="D10184" s="7">
        <f>IFERROR(__xludf.DUMMYFUNCTION("""COMPUTED_VALUE"""),0.30188679245283)</f>
        <v>0.3018867925</v>
      </c>
    </row>
    <row r="10185">
      <c r="A10185" s="10" t="s">
        <v>11624</v>
      </c>
      <c r="B10185" s="7" t="str">
        <f>IFERROR(__xludf.DUMMYFUNCTION("SPLIT(A10185,"" "")"),"CCc1ccccc1CNCc1cc(C(C)(C)c2ccccn2)ccn1")</f>
        <v>CCc1ccccc1CNCc1cc(C(C)(C)c2ccccn2)ccn1</v>
      </c>
      <c r="C10185" s="7">
        <f>IFERROR(__xludf.DUMMYFUNCTION("""COMPUTED_VALUE"""),7.766641)</f>
        <v>7.766641</v>
      </c>
      <c r="D10185" s="7">
        <f>IFERROR(__xludf.DUMMYFUNCTION("""COMPUTED_VALUE"""),0.361702127659574)</f>
        <v>0.3617021277</v>
      </c>
    </row>
    <row r="10186">
      <c r="A10186" s="10" t="s">
        <v>11625</v>
      </c>
      <c r="B10186" s="7" t="str">
        <f>IFERROR(__xludf.DUMMYFUNCTION("SPLIT(A10186,"" "")"),"CC(C)c1cccc(CN(Cc2ccccn2)C2CCCCC2N(C)c2ccc3nc(CF)ccc3c2)n1")</f>
        <v>CC(C)c1cccc(CN(Cc2ccccn2)C2CCCCC2N(C)c2ccc3nc(CF)ccc3c2)n1</v>
      </c>
      <c r="C10186" s="7">
        <f>IFERROR(__xludf.DUMMYFUNCTION("""COMPUTED_VALUE"""),7.766639)</f>
        <v>7.766639</v>
      </c>
      <c r="D10186" s="7">
        <f>IFERROR(__xludf.DUMMYFUNCTION("""COMPUTED_VALUE"""),0.426470588235294)</f>
        <v>0.4264705882</v>
      </c>
    </row>
    <row r="10187">
      <c r="A10187" s="10" t="s">
        <v>11626</v>
      </c>
      <c r="B10187" s="7" t="str">
        <f>IFERROR(__xludf.DUMMYFUNCTION("SPLIT(A10187,"" "")"),"CNCc1cccc(CN(Cc2cccc(C)n2)Cc2ncccc2C)n1")</f>
        <v>CNCc1cccc(CN(Cc2cccc(C)n2)Cc2ncccc2C)n1</v>
      </c>
      <c r="C10187" s="7">
        <f>IFERROR(__xludf.DUMMYFUNCTION("""COMPUTED_VALUE"""),7.7666388)</f>
        <v>7.7666388</v>
      </c>
      <c r="D10187" s="7">
        <f>IFERROR(__xludf.DUMMYFUNCTION("""COMPUTED_VALUE"""),0.404255319148936)</f>
        <v>0.4042553191</v>
      </c>
    </row>
    <row r="10188">
      <c r="A10188" s="10" t="s">
        <v>11627</v>
      </c>
      <c r="B10188" s="7" t="str">
        <f>IFERROR(__xludf.DUMMYFUNCTION("SPLIT(A10188,"" "")"),"Cc1ccnc(CN(Cc2ccccn2)Cc2nc(C3CC(C)(C)C3)ccc2C)c1")</f>
        <v>Cc1ccnc(CN(Cc2ccccn2)Cc2nc(C3CC(C)(C)C3)ccc2C)c1</v>
      </c>
      <c r="C10188" s="7">
        <f>IFERROR(__xludf.DUMMYFUNCTION("""COMPUTED_VALUE"""),7.7666354)</f>
        <v>7.7666354</v>
      </c>
      <c r="D10188" s="7">
        <f>IFERROR(__xludf.DUMMYFUNCTION("""COMPUTED_VALUE"""),0.4)</f>
        <v>0.4</v>
      </c>
    </row>
    <row r="10189">
      <c r="A10189" s="10" t="s">
        <v>11628</v>
      </c>
      <c r="B10189" s="7" t="str">
        <f>IFERROR(__xludf.DUMMYFUNCTION("SPLIT(A10189,"" "")"),"CCNCc1ncccc1CN(Cc1ccccn1)C1CCC(N(C)c2cccc3nccc(C)c23)CC1")</f>
        <v>CCNCc1ncccc1CN(Cc1ccccn1)C1CCC(N(C)c2cccc3nccc(C)c23)CC1</v>
      </c>
      <c r="C10189" s="7">
        <f>IFERROR(__xludf.DUMMYFUNCTION("""COMPUTED_VALUE"""),7.7666345)</f>
        <v>7.7666345</v>
      </c>
      <c r="D10189" s="7">
        <f>IFERROR(__xludf.DUMMYFUNCTION("""COMPUTED_VALUE"""),0.314285714285714)</f>
        <v>0.3142857143</v>
      </c>
    </row>
    <row r="10190">
      <c r="A10190" s="10" t="s">
        <v>11629</v>
      </c>
      <c r="B10190" s="7" t="str">
        <f>IFERROR(__xludf.DUMMYFUNCTION("SPLIT(A10190,"" "")"),"Cc1cccc(CN(C)C2CCC(N(Cc3ccccn3)Cc3cccc(-c4cccc(N(C)C)c4)n3)CC2)n1")</f>
        <v>Cc1cccc(CN(C)C2CCC(N(Cc3ccccn3)Cc3cccc(-c4cccc(N(C)C)c4)n3)CC2)n1</v>
      </c>
      <c r="C10190" s="7">
        <f>IFERROR(__xludf.DUMMYFUNCTION("""COMPUTED_VALUE"""),7.766627)</f>
        <v>7.766627</v>
      </c>
      <c r="D10190" s="7">
        <f>IFERROR(__xludf.DUMMYFUNCTION("""COMPUTED_VALUE"""),0.446153846153846)</f>
        <v>0.4461538462</v>
      </c>
    </row>
    <row r="10191">
      <c r="A10191" s="10" t="s">
        <v>11630</v>
      </c>
      <c r="B10191" s="7" t="str">
        <f>IFERROR(__xludf.DUMMYFUNCTION("SPLIT(A10191,"" "")"),"Cc1cc(C)c(C)c(CN(C)CCN(Cc2nc(C)cc(C)c2C)C(C)C)n1")</f>
        <v>Cc1cc(C)c(C)c(CN(C)CCN(Cc2nc(C)cc(C)c2C)C(C)C)n1</v>
      </c>
      <c r="C10191" s="7">
        <f>IFERROR(__xludf.DUMMYFUNCTION("""COMPUTED_VALUE"""),7.766614)</f>
        <v>7.766614</v>
      </c>
      <c r="D10191" s="7">
        <f>IFERROR(__xludf.DUMMYFUNCTION("""COMPUTED_VALUE"""),0.390243902439024)</f>
        <v>0.3902439024</v>
      </c>
    </row>
    <row r="10192">
      <c r="A10192" s="10" t="s">
        <v>11631</v>
      </c>
      <c r="B10192" s="7" t="str">
        <f>IFERROR(__xludf.DUMMYFUNCTION("SPLIT(A10192,"" "")"),"Cc1cncc(CN(C)CC2=CC(N(C)Cc3ncc(C)c(C)c3C)C=CN2)c1")</f>
        <v>Cc1cncc(CN(C)CC2=CC(N(C)Cc3ncc(C)c(C)c3C)C=CN2)c1</v>
      </c>
      <c r="C10192" s="7">
        <f>IFERROR(__xludf.DUMMYFUNCTION("""COMPUTED_VALUE"""),7.7666078)</f>
        <v>7.7666078</v>
      </c>
      <c r="D10192" s="7">
        <f>IFERROR(__xludf.DUMMYFUNCTION("""COMPUTED_VALUE"""),0.287878787878787)</f>
        <v>0.2878787879</v>
      </c>
    </row>
    <row r="10193">
      <c r="A10193" s="10" t="s">
        <v>11632</v>
      </c>
      <c r="B10193" s="7" t="str">
        <f>IFERROR(__xludf.DUMMYFUNCTION("SPLIT(A10193,"" "")"),"CCN(Cc1ccccn1)Cc1cccc(N(C)C(C)(C)c2ccccn2)n1")</f>
        <v>CCN(Cc1ccccn1)Cc1cccc(N(C)C(C)(C)c2ccccn2)n1</v>
      </c>
      <c r="C10193" s="7">
        <f>IFERROR(__xludf.DUMMYFUNCTION("""COMPUTED_VALUE"""),7.766603)</f>
        <v>7.766603</v>
      </c>
      <c r="D10193" s="7">
        <f>IFERROR(__xludf.DUMMYFUNCTION("""COMPUTED_VALUE"""),0.448979591836734)</f>
        <v>0.4489795918</v>
      </c>
    </row>
    <row r="10194">
      <c r="A10194" s="10" t="s">
        <v>11633</v>
      </c>
      <c r="B10194" s="7" t="str">
        <f>IFERROR(__xludf.DUMMYFUNCTION("SPLIT(A10194,"" "")"),"CN(Cc1cccnn1)C1CCCC(N(C)c2cccc3ncccc23)C1")</f>
        <v>CN(Cc1cccnn1)C1CCCC(N(C)c2cccc3ncccc23)C1</v>
      </c>
      <c r="C10194" s="7">
        <f>IFERROR(__xludf.DUMMYFUNCTION("""COMPUTED_VALUE"""),7.766601)</f>
        <v>7.766601</v>
      </c>
      <c r="D10194" s="7">
        <f>IFERROR(__xludf.DUMMYFUNCTION("""COMPUTED_VALUE"""),0.377358490566037)</f>
        <v>0.3773584906</v>
      </c>
    </row>
    <row r="10195">
      <c r="A10195" s="10" t="s">
        <v>11634</v>
      </c>
      <c r="B10195" s="7" t="str">
        <f>IFERROR(__xludf.DUMMYFUNCTION("SPLIT(A10195,"" "")"),"Cc1cncc(CN(C)c2ccccc2-c2cccc(CN(Cc3ccccn3)Cc3ccc(-c4ccc5c(c4)OCCOCCOCCOCCOCCO5)cn3)n2)c1C")</f>
        <v>Cc1cncc(CN(C)c2ccccc2-c2cccc(CN(Cc3ccccn3)Cc3ccc(-c4ccc5c(c4)OCCOCCOCCOCCOCCO5)cn3)n2)c1C</v>
      </c>
      <c r="C10195" s="7">
        <f>IFERROR(__xludf.DUMMYFUNCTION("""COMPUTED_VALUE"""),7.7666)</f>
        <v>7.7666</v>
      </c>
      <c r="D10195" s="7">
        <f>IFERROR(__xludf.DUMMYFUNCTION("""COMPUTED_VALUE"""),0.349397590361445)</f>
        <v>0.3493975904</v>
      </c>
    </row>
    <row r="10196">
      <c r="A10196" s="10" t="s">
        <v>11635</v>
      </c>
      <c r="B10196" s="7" t="str">
        <f>IFERROR(__xludf.DUMMYFUNCTION("SPLIT(A10196,"" "")"),"Cc1cc(CN(C)C2CCCCC2N(C)c2cccc3nc(CF)ccc23)ccn1")</f>
        <v>Cc1cc(CN(C)C2CCCCC2N(C)c2cccc3nc(CF)ccc23)ccn1</v>
      </c>
      <c r="C10196" s="7">
        <f>IFERROR(__xludf.DUMMYFUNCTION("""COMPUTED_VALUE"""),7.7665834)</f>
        <v>7.7665834</v>
      </c>
      <c r="D10196" s="7">
        <f>IFERROR(__xludf.DUMMYFUNCTION("""COMPUTED_VALUE"""),0.483870967741935)</f>
        <v>0.4838709677</v>
      </c>
    </row>
    <row r="10197">
      <c r="A10197" s="10" t="s">
        <v>11636</v>
      </c>
      <c r="B10197" s="7" t="str">
        <f>IFERROR(__xludf.DUMMYFUNCTION("SPLIT(A10197,"" "")"),"Cc1cncc(CN(C)c2ccc3nc(CN(C)Cc4ccc(-c5ccc6c(c5)OCCOCCOCCOCCOCCO6)cn4)ccc3c2)c1")</f>
        <v>Cc1cncc(CN(C)c2ccc3nc(CN(C)Cc4ccc(-c5ccc6c(c5)OCCOCCOCCOCCOCCO6)cn4)ccc3c2)c1</v>
      </c>
      <c r="C10197" s="7">
        <f>IFERROR(__xludf.DUMMYFUNCTION("""COMPUTED_VALUE"""),7.7665815)</f>
        <v>7.7665815</v>
      </c>
      <c r="D10197" s="7">
        <f>IFERROR(__xludf.DUMMYFUNCTION("""COMPUTED_VALUE"""),0.394736842105263)</f>
        <v>0.3947368421</v>
      </c>
    </row>
    <row r="10198">
      <c r="A10198" s="10" t="s">
        <v>11637</v>
      </c>
      <c r="B10198" s="7" t="str">
        <f>IFERROR(__xludf.DUMMYFUNCTION("SPLIT(A10198,"" "")"),"CN(Cc1ccccn1)Cc1cccc(CSC2C=CC=CN2)n1")</f>
        <v>CN(Cc1ccccn1)Cc1cccc(CSC2C=CC=CN2)n1</v>
      </c>
      <c r="C10198" s="7">
        <f>IFERROR(__xludf.DUMMYFUNCTION("""COMPUTED_VALUE"""),7.766578)</f>
        <v>7.766578</v>
      </c>
      <c r="D10198" s="7">
        <f>IFERROR(__xludf.DUMMYFUNCTION("""COMPUTED_VALUE"""),0.490196078431372)</f>
        <v>0.4901960784</v>
      </c>
    </row>
    <row r="10199">
      <c r="A10199" s="10" t="s">
        <v>11638</v>
      </c>
      <c r="B10199" s="7" t="str">
        <f>IFERROR(__xludf.DUMMYFUNCTION("SPLIT(A10199,"" "")"),"CNCc1cccc(CN(Cc2ccc(N)cn2)Cc2cccc(C)n2)n1")</f>
        <v>CNCc1cccc(CN(Cc2ccc(N)cn2)Cc2cccc(C)n2)n1</v>
      </c>
      <c r="C10199" s="7">
        <f>IFERROR(__xludf.DUMMYFUNCTION("""COMPUTED_VALUE"""),7.7665777)</f>
        <v>7.7665777</v>
      </c>
      <c r="D10199" s="7">
        <f>IFERROR(__xludf.DUMMYFUNCTION("""COMPUTED_VALUE"""),0.404255319148936)</f>
        <v>0.4042553191</v>
      </c>
    </row>
    <row r="10200">
      <c r="A10200" s="10" t="s">
        <v>11639</v>
      </c>
      <c r="B10200" s="7" t="str">
        <f>IFERROR(__xludf.DUMMYFUNCTION("SPLIT(A10200,"" "")"),"CN(Cc1ccccn1)C1=C(C(C)(C)C)NC=CC1")</f>
        <v>CN(Cc1ccccn1)C1=C(C(C)(C)C)NC=CC1</v>
      </c>
      <c r="C10200" s="7">
        <f>IFERROR(__xludf.DUMMYFUNCTION("""COMPUTED_VALUE"""),7.7665777)</f>
        <v>7.7665777</v>
      </c>
      <c r="D10200" s="7">
        <f>IFERROR(__xludf.DUMMYFUNCTION("""COMPUTED_VALUE"""),0.442307692307692)</f>
        <v>0.4423076923</v>
      </c>
    </row>
    <row r="10201">
      <c r="A10201" s="10" t="s">
        <v>11640</v>
      </c>
      <c r="B10201" s="7" t="str">
        <f>IFERROR(__xludf.DUMMYFUNCTION("SPLIT(A10201,"" "")"),"Cc1cncc(CN(C)Cc2ccc3cccc(N(Cc4ccccn4)Cc4cccc(-c5ccc6c(c5)OCCOCCOCCOCCOCCO6)n4)c3n2)c1")</f>
        <v>Cc1cncc(CN(C)Cc2ccc3cccc(N(Cc4ccccn4)Cc4cccc(-c5ccc6c(c5)OCCOCCOCCOCCOCCO6)n4)c3n2)c1</v>
      </c>
      <c r="C10201" s="7">
        <f>IFERROR(__xludf.DUMMYFUNCTION("""COMPUTED_VALUE"""),7.766577)</f>
        <v>7.766577</v>
      </c>
      <c r="D10201" s="7">
        <f>IFERROR(__xludf.DUMMYFUNCTION("""COMPUTED_VALUE"""),0.373333333333333)</f>
        <v>0.3733333333</v>
      </c>
    </row>
    <row r="10202">
      <c r="A10202" s="10" t="s">
        <v>11641</v>
      </c>
      <c r="B10202" s="7" t="str">
        <f>IFERROR(__xludf.DUMMYFUNCTION("SPLIT(A10202,"" "")"),"CC(C)c1ncccc1CN(C)Cc1ncccc1N")</f>
        <v>CC(C)c1ncccc1CN(C)Cc1ncccc1N</v>
      </c>
      <c r="C10202" s="7">
        <f>IFERROR(__xludf.DUMMYFUNCTION("""COMPUTED_VALUE"""),7.766569)</f>
        <v>7.766569</v>
      </c>
      <c r="D10202" s="7">
        <f>IFERROR(__xludf.DUMMYFUNCTION("""COMPUTED_VALUE"""),0.391304347826087)</f>
        <v>0.3913043478</v>
      </c>
    </row>
    <row r="10203">
      <c r="A10203" s="10" t="s">
        <v>11642</v>
      </c>
      <c r="B10203" s="7" t="str">
        <f>IFERROR(__xludf.DUMMYFUNCTION("SPLIT(A10203,"" "")"),"CN(c1cccc2c(CF)ccnc12)C1CCCCC1N(Cc1ccccn1)Cc1ccccn1")</f>
        <v>CN(c1cccc2c(CF)ccnc12)C1CCCCC1N(Cc1ccccn1)Cc1ccccn1</v>
      </c>
      <c r="C10203" s="7">
        <f>IFERROR(__xludf.DUMMYFUNCTION("""COMPUTED_VALUE"""),7.7665668)</f>
        <v>7.7665668</v>
      </c>
      <c r="D10203" s="7">
        <f>IFERROR(__xludf.DUMMYFUNCTION("""COMPUTED_VALUE"""),0.482142857142857)</f>
        <v>0.4821428571</v>
      </c>
    </row>
    <row r="10204">
      <c r="A10204" s="10" t="s">
        <v>11643</v>
      </c>
      <c r="B10204" s="7" t="str">
        <f>IFERROR(__xludf.DUMMYFUNCTION("SPLIT(A10204,"" "")"),"CNc1cccc(CNCc2cccc(F)n2)n1")</f>
        <v>CNc1cccc(CNCc2cccc(F)n2)n1</v>
      </c>
      <c r="C10204" s="7">
        <f>IFERROR(__xludf.DUMMYFUNCTION("""COMPUTED_VALUE"""),7.7665644)</f>
        <v>7.7665644</v>
      </c>
      <c r="D10204" s="7">
        <f>IFERROR(__xludf.DUMMYFUNCTION("""COMPUTED_VALUE"""),0.395348837209302)</f>
        <v>0.3953488372</v>
      </c>
    </row>
    <row r="10205">
      <c r="A10205" s="10" t="s">
        <v>11644</v>
      </c>
      <c r="B10205" s="7" t="str">
        <f>IFERROR(__xludf.DUMMYFUNCTION("SPLIT(A10205,"" "")"),"Cc1cc(CN(C)CC2=C(N(C)c3ccc4cccnc4c3)CC=CN2)cnc1-c1ccc2c(c1)OCCOCCOCCOCCOCCO2")</f>
        <v>Cc1cc(CN(C)CC2=C(N(C)c3ccc4cccnc4c3)CC=CN2)cnc1-c1ccc2c(c1)OCCOCCOCCOCCOCCO2</v>
      </c>
      <c r="C10205" s="7">
        <f>IFERROR(__xludf.DUMMYFUNCTION("""COMPUTED_VALUE"""),7.7665544)</f>
        <v>7.7665544</v>
      </c>
      <c r="D10205" s="7">
        <f>IFERROR(__xludf.DUMMYFUNCTION("""COMPUTED_VALUE"""),0.258064516129032)</f>
        <v>0.2580645161</v>
      </c>
    </row>
    <row r="10206">
      <c r="A10206" s="10" t="s">
        <v>11645</v>
      </c>
      <c r="B10206" s="7" t="str">
        <f>IFERROR(__xludf.DUMMYFUNCTION("SPLIT(A10206,"" "")"),"Cc1ccc(CN(C)C2CCC(N(C)c3ccc4nc(CF)ccc4c3)CC2)nc1")</f>
        <v>Cc1ccc(CN(C)C2CCC(N(C)c3ccc4nc(CF)ccc4c3)CC2)nc1</v>
      </c>
      <c r="C10206" s="7">
        <f>IFERROR(__xludf.DUMMYFUNCTION("""COMPUTED_VALUE"""),7.7665524)</f>
        <v>7.7665524</v>
      </c>
      <c r="D10206" s="7">
        <f>IFERROR(__xludf.DUMMYFUNCTION("""COMPUTED_VALUE"""),0.462962962962962)</f>
        <v>0.462962963</v>
      </c>
    </row>
    <row r="10207">
      <c r="A10207" s="10" t="s">
        <v>11646</v>
      </c>
      <c r="B10207" s="7" t="str">
        <f>IFERROR(__xludf.DUMMYFUNCTION("SPLIT(A10207,"" "")"),"CN(c1cccc2nccc(CF)c12)C1CCCCC1N(Cc1ccccn1)Cc1ccccn1")</f>
        <v>CN(c1cccc2nccc(CF)c12)C1CCCCC1N(Cc1ccccn1)Cc1ccccn1</v>
      </c>
      <c r="C10207" s="7">
        <f>IFERROR(__xludf.DUMMYFUNCTION("""COMPUTED_VALUE"""),7.7665477)</f>
        <v>7.7665477</v>
      </c>
      <c r="D10207" s="7">
        <f>IFERROR(__xludf.DUMMYFUNCTION("""COMPUTED_VALUE"""),0.472727272727272)</f>
        <v>0.4727272727</v>
      </c>
    </row>
    <row r="10208">
      <c r="A10208" s="10" t="s">
        <v>11647</v>
      </c>
      <c r="B10208" s="7" t="str">
        <f>IFERROR(__xludf.DUMMYFUNCTION("SPLIT(A10208,"" "")"),"CC1=C(C)CC2(CC1)C(c1ccc(CN(Cc3ccccn3)Cc3ccccn3)c(CN(Cc3ccccn3)Cc3nc(C)c(C)c(C)c3C)n1)=CCC(C)(C)C21CCC(C)=C(C)C1C")</f>
        <v>CC1=C(C)CC2(CC1)C(c1ccc(CN(Cc3ccccn3)Cc3ccccn3)c(CN(Cc3ccccn3)Cc3nc(C)c(C)c(C)c3C)n1)=CCC(C)(C)C21CCC(C)=C(C)C1C</v>
      </c>
      <c r="C10208" s="7">
        <f>IFERROR(__xludf.DUMMYFUNCTION("""COMPUTED_VALUE"""),7.7665477)</f>
        <v>7.7665477</v>
      </c>
      <c r="D10208" s="7">
        <f>IFERROR(__xludf.DUMMYFUNCTION("""COMPUTED_VALUE"""),0.294117647058823)</f>
        <v>0.2941176471</v>
      </c>
    </row>
    <row r="10209">
      <c r="A10209" s="10" t="s">
        <v>11648</v>
      </c>
      <c r="B10209" s="7" t="str">
        <f>IFERROR(__xludf.DUMMYFUNCTION("SPLIT(A10209,"" "")"),"Cc1ccnc(CN(C)C2CCC(N(C)c3ccc4nc(CF)ccc4c3)CC2)c1")</f>
        <v>Cc1ccnc(CN(C)C2CCC(N(C)c3ccc4nc(CF)ccc4c3)CC2)c1</v>
      </c>
      <c r="C10209" s="7">
        <f>IFERROR(__xludf.DUMMYFUNCTION("""COMPUTED_VALUE"""),7.7665443)</f>
        <v>7.7665443</v>
      </c>
      <c r="D10209" s="7">
        <f>IFERROR(__xludf.DUMMYFUNCTION("""COMPUTED_VALUE"""),0.323076923076923)</f>
        <v>0.3230769231</v>
      </c>
    </row>
    <row r="10210">
      <c r="A10210" s="10" t="s">
        <v>11649</v>
      </c>
      <c r="B10210" s="7" t="str">
        <f>IFERROR(__xludf.DUMMYFUNCTION("SPLIT(A10210,"" "")"),"CC(C)NCc1cccc(CN(Cc2ccccn2)C2CCC(N(C)c3ccc4nccc(CF)c4c3)CC2)n1")</f>
        <v>CC(C)NCc1cccc(CN(Cc2ccccn2)C2CCC(N(C)c3ccc4nccc(CF)c4c3)CC2)n1</v>
      </c>
      <c r="C10210" s="7">
        <f>IFERROR(__xludf.DUMMYFUNCTION("""COMPUTED_VALUE"""),7.7665305)</f>
        <v>7.7665305</v>
      </c>
      <c r="D10210" s="7">
        <f>IFERROR(__xludf.DUMMYFUNCTION("""COMPUTED_VALUE"""),0.323943661971831)</f>
        <v>0.323943662</v>
      </c>
    </row>
    <row r="10211">
      <c r="A10211" s="10" t="s">
        <v>11650</v>
      </c>
      <c r="B10211" s="7" t="str">
        <f>IFERROR(__xludf.DUMMYFUNCTION("SPLIT(A10211,"" "")"),"Cc1cc(CN(C)CCN(C)C)nc(C)c1C")</f>
        <v>Cc1cc(CN(C)CCN(C)C)nc(C)c1C</v>
      </c>
      <c r="C10211" s="7">
        <f>IFERROR(__xludf.DUMMYFUNCTION("""COMPUTED_VALUE"""),7.7665286)</f>
        <v>7.7665286</v>
      </c>
      <c r="D10211" s="7">
        <f>IFERROR(__xludf.DUMMYFUNCTION("""COMPUTED_VALUE"""),0.421052631578947)</f>
        <v>0.4210526316</v>
      </c>
    </row>
    <row r="10212">
      <c r="A10212" s="10" t="s">
        <v>11651</v>
      </c>
      <c r="B10212" s="7" t="str">
        <f>IFERROR(__xludf.DUMMYFUNCTION("SPLIT(A10212,"" "")"),"CC1=C(C)CC(N(C)CC2=CCC(N(C)Cc3nc(C)c(C)c(C)c3C)=CN2)C(C)C1")</f>
        <v>CC1=C(C)CC(N(C)CC2=CCC(N(C)Cc3nc(C)c(C)c(C)c3C)=CN2)C(C)C1</v>
      </c>
      <c r="C10212" s="7">
        <f>IFERROR(__xludf.DUMMYFUNCTION("""COMPUTED_VALUE"""),7.766528)</f>
        <v>7.766528</v>
      </c>
      <c r="D10212" s="7">
        <f>IFERROR(__xludf.DUMMYFUNCTION("""COMPUTED_VALUE"""),0.23076923076923)</f>
        <v>0.2307692308</v>
      </c>
    </row>
    <row r="10213">
      <c r="A10213" s="10" t="s">
        <v>11652</v>
      </c>
      <c r="B10213" s="7" t="str">
        <f>IFERROR(__xludf.DUMMYFUNCTION("SPLIT(A10213,"" "")"),"Cc1ccnc(CN(Cc2ncc(C)c(C)c2C)C2CCC(N(C)Cc3cc(-c4ccccn4)ccn3)CC2)c1C")</f>
        <v>Cc1ccnc(CN(Cc2ncc(C)c(C)c2C)C2CCC(N(C)Cc3cc(-c4ccccn4)ccn3)CC2)c1C</v>
      </c>
      <c r="C10213" s="7">
        <f>IFERROR(__xludf.DUMMYFUNCTION("""COMPUTED_VALUE"""),7.7665257)</f>
        <v>7.7665257</v>
      </c>
      <c r="D10213" s="7">
        <f>IFERROR(__xludf.DUMMYFUNCTION("""COMPUTED_VALUE"""),0.365079365079365)</f>
        <v>0.3650793651</v>
      </c>
    </row>
    <row r="10214">
      <c r="A10214" s="10" t="s">
        <v>11653</v>
      </c>
      <c r="B10214" s="7" t="str">
        <f>IFERROR(__xludf.DUMMYFUNCTION("SPLIT(A10214,"" "")"),"CN(c1ccc2c3c(cnc2c1)CCCC3)C1CCC(N(Cc2cccc(F)n2)Cc2cccnc2F)CC1")</f>
        <v>CN(c1ccc2c3c(cnc2c1)CCCC3)C1CCC(N(Cc2cccc(F)n2)Cc2cccnc2F)CC1</v>
      </c>
      <c r="C10214" s="7">
        <f>IFERROR(__xludf.DUMMYFUNCTION("""COMPUTED_VALUE"""),7.7665234)</f>
        <v>7.7665234</v>
      </c>
      <c r="D10214" s="7">
        <f>IFERROR(__xludf.DUMMYFUNCTION("""COMPUTED_VALUE"""),0.264367816091954)</f>
        <v>0.2643678161</v>
      </c>
    </row>
    <row r="10215">
      <c r="A10215" s="10" t="s">
        <v>11654</v>
      </c>
      <c r="B10215" s="7" t="str">
        <f>IFERROR(__xludf.DUMMYFUNCTION("SPLIT(A10215,"" "")"),"CCN(Cc1cc(CN(Cc2ccccn2)Cc2cc(C)ccn2)ccn1)Cc1cc(C(C)(c2ccccn2)C(C)C)ccn1")</f>
        <v>CCN(Cc1cc(CN(Cc2ccccn2)Cc2cc(C)ccn2)ccn1)Cc1cc(C(C)(c2ccccn2)C(C)C)ccn1</v>
      </c>
      <c r="C10215" s="7">
        <f>IFERROR(__xludf.DUMMYFUNCTION("""COMPUTED_VALUE"""),7.766523)</f>
        <v>7.766523</v>
      </c>
      <c r="D10215" s="7">
        <f>IFERROR(__xludf.DUMMYFUNCTION("""COMPUTED_VALUE"""),0.377358490566037)</f>
        <v>0.3773584906</v>
      </c>
    </row>
    <row r="10216">
      <c r="A10216" s="10" t="s">
        <v>11655</v>
      </c>
      <c r="B10216" s="7" t="str">
        <f>IFERROR(__xludf.DUMMYFUNCTION("SPLIT(A10216,"" "")"),"CC(C)N(CC1=CCC=C(N(C)Cc2ncccc2-c2ccc3c(c2)OCCOCCOCCOCCOCCO3)N1)c1cccc2ncccc12")</f>
        <v>CC(C)N(CC1=CCC=C(N(C)Cc2ncccc2-c2ccc3c(c2)OCCOCCOCCOCCOCCO3)N1)c1cccc2ncccc12</v>
      </c>
      <c r="C10216" s="7">
        <f>IFERROR(__xludf.DUMMYFUNCTION("""COMPUTED_VALUE"""),7.766519)</f>
        <v>7.766519</v>
      </c>
      <c r="D10216" s="7">
        <f>IFERROR(__xludf.DUMMYFUNCTION("""COMPUTED_VALUE"""),0.25)</f>
        <v>0.25</v>
      </c>
    </row>
    <row r="10217">
      <c r="A10217" s="10" t="s">
        <v>11656</v>
      </c>
      <c r="B10217" s="7" t="str">
        <f>IFERROR(__xludf.DUMMYFUNCTION("SPLIT(A10217,"" "")"),"Cc1cncc(CN(C)c2ccc3nc(CN(Cc4ccccn4)Cc4ccc(-c5ccc6c(c5)OCCOCCOCCOCCOCCO6)cn4)ccc3c2)c1")</f>
        <v>Cc1cncc(CN(C)c2ccc3nc(CN(Cc4ccccn4)Cc4ccc(-c5ccc6c(c5)OCCOCCOCCOCCOCCO6)cn4)ccc3c2)c1</v>
      </c>
      <c r="C10217" s="7">
        <f>IFERROR(__xludf.DUMMYFUNCTION("""COMPUTED_VALUE"""),7.766519)</f>
        <v>7.766519</v>
      </c>
      <c r="D10217" s="7">
        <f>IFERROR(__xludf.DUMMYFUNCTION("""COMPUTED_VALUE"""),0.375)</f>
        <v>0.375</v>
      </c>
    </row>
    <row r="10218">
      <c r="A10218" s="10" t="s">
        <v>11657</v>
      </c>
      <c r="B10218" s="7" t="str">
        <f>IFERROR(__xludf.DUMMYFUNCTION("SPLIT(A10218,"" "")"),"Cc1ncccc1CN(C)Cc1cccc(N(C)C(C)C)n1")</f>
        <v>Cc1ncccc1CN(C)Cc1cccc(N(C)C(C)C)n1</v>
      </c>
      <c r="C10218" s="7">
        <f>IFERROR(__xludf.DUMMYFUNCTION("""COMPUTED_VALUE"""),7.766519)</f>
        <v>7.766519</v>
      </c>
      <c r="D10218" s="7">
        <f>IFERROR(__xludf.DUMMYFUNCTION("""COMPUTED_VALUE"""),0.4375)</f>
        <v>0.4375</v>
      </c>
    </row>
    <row r="10219">
      <c r="A10219" s="10" t="s">
        <v>11658</v>
      </c>
      <c r="B10219" s="7" t="str">
        <f>IFERROR(__xludf.DUMMYFUNCTION("SPLIT(A10219,"" "")"),"CNC1C(N(Cc2nc(C)c(C)cc2C)Cc2nc(C)c(C)c(C)c2C)CCCC1N(Cc1nc(C)c(C)c(C)c1C)Cc1nc(C)c(C)c(C)c1C")</f>
        <v>CNC1C(N(Cc2nc(C)c(C)cc2C)Cc2nc(C)c(C)c(C)c2C)CCCC1N(Cc1nc(C)c(C)c(C)c1C)Cc1nc(C)c(C)c(C)c1C</v>
      </c>
      <c r="C10219" s="7">
        <f>IFERROR(__xludf.DUMMYFUNCTION("""COMPUTED_VALUE"""),7.766515)</f>
        <v>7.766515</v>
      </c>
      <c r="D10219" s="7">
        <f>IFERROR(__xludf.DUMMYFUNCTION("""COMPUTED_VALUE"""),0.263157894736842)</f>
        <v>0.2631578947</v>
      </c>
    </row>
    <row r="10220">
      <c r="A10220" s="10" t="s">
        <v>11659</v>
      </c>
      <c r="B10220" s="7" t="str">
        <f>IFERROR(__xludf.DUMMYFUNCTION("SPLIT(A10220,"" "")"),"CN(Cc1cccc(C2CCC2(C)C)n1)Cc1ncccc1C1=NC(C)(C)CO1")</f>
        <v>CN(Cc1cccc(C2CCC2(C)C)n1)Cc1ncccc1C1=NC(C)(C)CO1</v>
      </c>
      <c r="C10220" s="7">
        <f>IFERROR(__xludf.DUMMYFUNCTION("""COMPUTED_VALUE"""),7.766513)</f>
        <v>7.766513</v>
      </c>
      <c r="D10220" s="7">
        <f>IFERROR(__xludf.DUMMYFUNCTION("""COMPUTED_VALUE"""),0.366666666666666)</f>
        <v>0.3666666667</v>
      </c>
    </row>
    <row r="10221">
      <c r="A10221" s="10" t="s">
        <v>11660</v>
      </c>
      <c r="B10221" s="7" t="str">
        <f>IFERROR(__xludf.DUMMYFUNCTION("SPLIT(A10221,"" "")"),"CN(c1ccc2ncccc2c1)C1CCCC(N(CC2=CCC=CN2)Cc2ccccn2)C1")</f>
        <v>CN(c1ccc2ncccc2c1)C1CCCC(N(CC2=CCC=CN2)Cc2ccccn2)C1</v>
      </c>
      <c r="C10221" s="7">
        <f>IFERROR(__xludf.DUMMYFUNCTION("""COMPUTED_VALUE"""),7.76651)</f>
        <v>7.76651</v>
      </c>
      <c r="D10221" s="7">
        <f>IFERROR(__xludf.DUMMYFUNCTION("""COMPUTED_VALUE"""),0.484375)</f>
        <v>0.484375</v>
      </c>
    </row>
    <row r="10222">
      <c r="A10222" s="10" t="s">
        <v>11661</v>
      </c>
      <c r="B10222" s="7" t="str">
        <f>IFERROR(__xludf.DUMMYFUNCTION("SPLIT(A10222,"" "")"),"CNCc1cccc(CN(Cc2ccccn2)Cc2ncc(C)cc2C)n1")</f>
        <v>CNCc1cccc(CN(Cc2ccccn2)Cc2ncc(C)cc2C)n1</v>
      </c>
      <c r="C10222" s="7">
        <f>IFERROR(__xludf.DUMMYFUNCTION("""COMPUTED_VALUE"""),7.7665067)</f>
        <v>7.7665067</v>
      </c>
      <c r="D10222" s="7">
        <f>IFERROR(__xludf.DUMMYFUNCTION("""COMPUTED_VALUE"""),0.444444444444444)</f>
        <v>0.4444444444</v>
      </c>
    </row>
    <row r="10223">
      <c r="A10223" s="10" t="s">
        <v>11662</v>
      </c>
      <c r="B10223" s="7" t="str">
        <f>IFERROR(__xludf.DUMMYFUNCTION("SPLIT(A10223,"" "")"),"CCCN(Cc1ccccn1)C1=CCC=C(CN(C)Cc2ncccc2C)N1")</f>
        <v>CCCN(Cc1ccccn1)C1=CCC=C(CN(C)Cc2ncccc2C)N1</v>
      </c>
      <c r="C10223" s="7">
        <f>IFERROR(__xludf.DUMMYFUNCTION("""COMPUTED_VALUE"""),7.7665024)</f>
        <v>7.7665024</v>
      </c>
      <c r="D10223" s="7">
        <f>IFERROR(__xludf.DUMMYFUNCTION("""COMPUTED_VALUE"""),0.359375)</f>
        <v>0.359375</v>
      </c>
    </row>
    <row r="10224">
      <c r="A10224" s="10" t="s">
        <v>11663</v>
      </c>
      <c r="B10224" s="7" t="str">
        <f>IFERROR(__xludf.DUMMYFUNCTION("SPLIT(A10224,"" "")"),"CN(Cc1ccccn1)C1=CNC=C(C(C)(C)C)C1")</f>
        <v>CN(Cc1ccccn1)C1=CNC=C(C(C)(C)C)C1</v>
      </c>
      <c r="C10224" s="7">
        <f>IFERROR(__xludf.DUMMYFUNCTION("""COMPUTED_VALUE"""),7.766496)</f>
        <v>7.766496</v>
      </c>
      <c r="D10224" s="7">
        <f>IFERROR(__xludf.DUMMYFUNCTION("""COMPUTED_VALUE"""),0.446808510638297)</f>
        <v>0.4468085106</v>
      </c>
    </row>
    <row r="10225">
      <c r="A10225" s="10" t="s">
        <v>11664</v>
      </c>
      <c r="B10225" s="7" t="str">
        <f>IFERROR(__xludf.DUMMYFUNCTION("SPLIT(A10225,"" "")"),"CCN(Cc1ccccn1)Cc1ncccc1N(C)C(C)(C)c1ccccn1")</f>
        <v>CCN(Cc1ccccn1)Cc1ncccc1N(C)C(C)(C)c1ccccn1</v>
      </c>
      <c r="C10225" s="7">
        <f>IFERROR(__xludf.DUMMYFUNCTION("""COMPUTED_VALUE"""),7.7664948)</f>
        <v>7.7664948</v>
      </c>
      <c r="D10225" s="7">
        <f>IFERROR(__xludf.DUMMYFUNCTION("""COMPUTED_VALUE"""),0.44)</f>
        <v>0.44</v>
      </c>
    </row>
    <row r="10226">
      <c r="A10226" s="10" t="s">
        <v>11665</v>
      </c>
      <c r="B10226" s="7" t="str">
        <f>IFERROR(__xludf.DUMMYFUNCTION("SPLIT(A10226,"" "")"),"Cc1ccc(CN(C)c2ccccc2-c2cccc(CN(Cc3cccc(-c4ccc5c(c4)OCCOCCOCCOCCOCCO5)n3)Cc3cccc(C(C)(C)C)n3)n2)nc1")</f>
        <v>Cc1ccc(CN(C)c2ccccc2-c2cccc(CN(Cc3cccc(-c4ccc5c(c4)OCCOCCOCCOCCOCCO5)n3)Cc3cccc(C(C)(C)C)n3)n2)nc1</v>
      </c>
      <c r="C10226" s="7">
        <f>IFERROR(__xludf.DUMMYFUNCTION("""COMPUTED_VALUE"""),7.7664924)</f>
        <v>7.7664924</v>
      </c>
      <c r="D10226" s="7">
        <f>IFERROR(__xludf.DUMMYFUNCTION("""COMPUTED_VALUE"""),0.3375)</f>
        <v>0.3375</v>
      </c>
    </row>
    <row r="10227">
      <c r="A10227" s="10" t="s">
        <v>11666</v>
      </c>
      <c r="B10227" s="7" t="str">
        <f>IFERROR(__xludf.DUMMYFUNCTION("SPLIT(A10227,"" "")"),"Cc1ncccc1CN(C)C1CCC(N(C)c2ccc3nc(CF)ccc3c2)CC1")</f>
        <v>Cc1ncccc1CN(C)C1CCC(N(C)c2ccc3nc(CF)ccc3c2)CC1</v>
      </c>
      <c r="C10227" s="7">
        <f>IFERROR(__xludf.DUMMYFUNCTION("""COMPUTED_VALUE"""),7.766484)</f>
        <v>7.766484</v>
      </c>
      <c r="D10227" s="7">
        <f>IFERROR(__xludf.DUMMYFUNCTION("""COMPUTED_VALUE"""),0.333333333333333)</f>
        <v>0.3333333333</v>
      </c>
    </row>
    <row r="10228">
      <c r="A10228" s="10" t="s">
        <v>11667</v>
      </c>
      <c r="B10228" s="7" t="str">
        <f>IFERROR(__xludf.DUMMYFUNCTION("SPLIT(A10228,"" "")"),"CCN(Cc1ccccn1)Cc1ccc2cc(N(C)C3CCC(N(Cc4ccccn4)Cc4ncccc4C)CC3)ccc2n1")</f>
        <v>CCN(Cc1ccccn1)Cc1ccc2cc(N(C)C3CCC(N(Cc4ccccn4)Cc4ncccc4C)CC3)ccc2n1</v>
      </c>
      <c r="C10228" s="7">
        <f>IFERROR(__xludf.DUMMYFUNCTION("""COMPUTED_VALUE"""),7.766483)</f>
        <v>7.766483</v>
      </c>
      <c r="D10228" s="7">
        <f>IFERROR(__xludf.DUMMYFUNCTION("""COMPUTED_VALUE"""),0.412698412698412)</f>
        <v>0.4126984127</v>
      </c>
    </row>
    <row r="10229">
      <c r="A10229" s="10" t="s">
        <v>11668</v>
      </c>
      <c r="B10229" s="7" t="str">
        <f>IFERROR(__xludf.DUMMYFUNCTION("SPLIT(A10229,"" "")"),"CN(C)Cc1nccc2cccc(N(C)Cc3cc(-c4cccc5c4OCCOCCOCCOCCOCCO5)ccn3)c12")</f>
        <v>CN(C)Cc1nccc2cccc(N(C)Cc3cc(-c4cccc5c4OCCOCCOCCOCCOCCO5)ccn3)c12</v>
      </c>
      <c r="C10229" s="7">
        <f>IFERROR(__xludf.DUMMYFUNCTION("""COMPUTED_VALUE"""),7.76648)</f>
        <v>7.76648</v>
      </c>
      <c r="D10229" s="7">
        <f>IFERROR(__xludf.DUMMYFUNCTION("""COMPUTED_VALUE"""),0.279411764705882)</f>
        <v>0.2794117647</v>
      </c>
    </row>
    <row r="10230">
      <c r="A10230" s="10" t="s">
        <v>11669</v>
      </c>
      <c r="B10230" s="7" t="str">
        <f>IFERROR(__xludf.DUMMYFUNCTION("SPLIT(A10230,"" "")"),"CNCc1ccc(CN(Cc2ccccn2)C2CCCC(N(C)c3cccc4nc(CF)ccc34)C2)cn1")</f>
        <v>CNCc1ccc(CN(Cc2ccccn2)C2CCCC(N(C)c3cccc4nc(CF)ccc34)C2)cn1</v>
      </c>
      <c r="C10230" s="7">
        <f>IFERROR(__xludf.DUMMYFUNCTION("""COMPUTED_VALUE"""),7.7664742)</f>
        <v>7.7664742</v>
      </c>
      <c r="D10230" s="7">
        <f>IFERROR(__xludf.DUMMYFUNCTION("""COMPUTED_VALUE"""),0.32051282051282)</f>
        <v>0.3205128205</v>
      </c>
    </row>
    <row r="10231">
      <c r="A10231" s="10" t="s">
        <v>11670</v>
      </c>
      <c r="B10231" s="7" t="str">
        <f>IFERROR(__xludf.DUMMYFUNCTION("SPLIT(A10231,"" "")"),"CNCc1ccc(CN(Cc2ccccn2)Cc2nccc(C)c2C)cn1")</f>
        <v>CNCc1ccc(CN(Cc2ccccn2)Cc2nccc(C)c2C)cn1</v>
      </c>
      <c r="C10231" s="7">
        <f>IFERROR(__xludf.DUMMYFUNCTION("""COMPUTED_VALUE"""),7.766457)</f>
        <v>7.766457</v>
      </c>
      <c r="D10231" s="7">
        <f>IFERROR(__xludf.DUMMYFUNCTION("""COMPUTED_VALUE"""),0.425531914893617)</f>
        <v>0.4255319149</v>
      </c>
    </row>
    <row r="10232">
      <c r="A10232" s="10" t="s">
        <v>11671</v>
      </c>
      <c r="B10232" s="7" t="str">
        <f>IFERROR(__xludf.DUMMYFUNCTION("SPLIT(A10232,"" "")"),"Cc1cc(CNCc2ccccn2)ccc1NCc1ccccn1")</f>
        <v>Cc1cc(CNCc2ccccn2)ccc1NCc1ccccn1</v>
      </c>
      <c r="C10232" s="7">
        <f>IFERROR(__xludf.DUMMYFUNCTION("""COMPUTED_VALUE"""),7.7664566)</f>
        <v>7.7664566</v>
      </c>
      <c r="D10232" s="7">
        <f>IFERROR(__xludf.DUMMYFUNCTION("""COMPUTED_VALUE"""),0.487179487179487)</f>
        <v>0.4871794872</v>
      </c>
    </row>
    <row r="10233">
      <c r="A10233" s="10" t="s">
        <v>11672</v>
      </c>
      <c r="B10233" s="7" t="str">
        <f>IFERROR(__xludf.DUMMYFUNCTION("SPLIT(A10233,"" "")"),"CNCc1cc(CN(Cc2cccc(C)n2)Cc2cccc(C(C)(C)C)n2)ccn1")</f>
        <v>CNCc1cc(CN(Cc2cccc(C)n2)Cc2cccc(C(C)(C)C)n2)ccn1</v>
      </c>
      <c r="C10233" s="7">
        <f>IFERROR(__xludf.DUMMYFUNCTION("""COMPUTED_VALUE"""),7.766456)</f>
        <v>7.766456</v>
      </c>
      <c r="D10233" s="7">
        <f>IFERROR(__xludf.DUMMYFUNCTION("""COMPUTED_VALUE"""),0.365384615384615)</f>
        <v>0.3653846154</v>
      </c>
    </row>
    <row r="10234">
      <c r="A10234" s="10" t="s">
        <v>11673</v>
      </c>
      <c r="B10234" s="7" t="str">
        <f>IFERROR(__xludf.DUMMYFUNCTION("SPLIT(A10234,"" "")"),"CNC1C(N(Cc2cc(C)c(C)c(C)n2)Cc2nc(C)c(C)c(C)c2C)CCCC1N(Cc1nc(C)c(C)c(C)c1C)Cc1nc(C)c(C)c(C)c1C")</f>
        <v>CNC1C(N(Cc2cc(C)c(C)c(C)n2)Cc2nc(C)c(C)c(C)c2C)CCCC1N(Cc1nc(C)c(C)c(C)c1C)Cc1nc(C)c(C)c(C)c1C</v>
      </c>
      <c r="C10234" s="7">
        <f>IFERROR(__xludf.DUMMYFUNCTION("""COMPUTED_VALUE"""),7.766448)</f>
        <v>7.766448</v>
      </c>
      <c r="D10234" s="7">
        <f>IFERROR(__xludf.DUMMYFUNCTION("""COMPUTED_VALUE"""),0.275862068965517)</f>
        <v>0.275862069</v>
      </c>
    </row>
    <row r="10235">
      <c r="A10235" s="10" t="s">
        <v>11674</v>
      </c>
      <c r="B10235" s="7" t="str">
        <f>IFERROR(__xludf.DUMMYFUNCTION("SPLIT(A10235,"" "")"),"Fc1ccccc1N(Cc1ccccn1)C1CCCCC1N(Cc1ccc2ncccc2c1)Cc1cccnc1F")</f>
        <v>Fc1ccccc1N(Cc1ccccn1)C1CCCCC1N(Cc1ccc2ncccc2c1)Cc1cccnc1F</v>
      </c>
      <c r="C10235" s="7">
        <f>IFERROR(__xludf.DUMMYFUNCTION("""COMPUTED_VALUE"""),7.7664447)</f>
        <v>7.7664447</v>
      </c>
      <c r="D10235" s="7">
        <f>IFERROR(__xludf.DUMMYFUNCTION("""COMPUTED_VALUE"""),0.369230769230769)</f>
        <v>0.3692307692</v>
      </c>
    </row>
    <row r="10236">
      <c r="A10236" s="10" t="s">
        <v>11675</v>
      </c>
      <c r="B10236" s="7" t="str">
        <f>IFERROR(__xludf.DUMMYFUNCTION("SPLIT(A10236,"" "")"),"CCN(Cc1ccccn1)C1=C(CN(C)Cc2cccc(C)n2)NC=CC1")</f>
        <v>CCN(Cc1ccccn1)C1=C(CN(C)Cc2cccc(C)n2)NC=CC1</v>
      </c>
      <c r="C10236" s="7">
        <f>IFERROR(__xludf.DUMMYFUNCTION("""COMPUTED_VALUE"""),7.7664347)</f>
        <v>7.7664347</v>
      </c>
      <c r="D10236" s="7">
        <f>IFERROR(__xludf.DUMMYFUNCTION("""COMPUTED_VALUE"""),0.43859649122807)</f>
        <v>0.4385964912</v>
      </c>
    </row>
    <row r="10237">
      <c r="A10237" s="10" t="s">
        <v>11676</v>
      </c>
      <c r="B10237" s="7" t="str">
        <f>IFERROR(__xludf.DUMMYFUNCTION("SPLIT(A10237,"" "")"),"CN(Cc1ccccn1)C1=C(CN(Cc2ccccn2)C(C)(C)C)NC=CC1")</f>
        <v>CN(Cc1ccccn1)C1=C(CN(Cc2ccccn2)C(C)(C)C)NC=CC1</v>
      </c>
      <c r="C10237" s="7">
        <f>IFERROR(__xludf.DUMMYFUNCTION("""COMPUTED_VALUE"""),7.7664332)</f>
        <v>7.7664332</v>
      </c>
      <c r="D10237" s="7">
        <f>IFERROR(__xludf.DUMMYFUNCTION("""COMPUTED_VALUE"""),0.410714285714285)</f>
        <v>0.4107142857</v>
      </c>
    </row>
    <row r="10238">
      <c r="A10238" s="10" t="s">
        <v>11677</v>
      </c>
      <c r="B10238" s="7" t="str">
        <f>IFERROR(__xludf.DUMMYFUNCTION("SPLIT(A10238,"" "")"),"COC(=O)C1CN(C)C(C(=O)NCc2ccccn2)C(c2ccccn2)C1c1ccccn1")</f>
        <v>COC(=O)C1CN(C)C(C(=O)NCc2ccccn2)C(c2ccccn2)C1c1ccccn1</v>
      </c>
      <c r="C10238" s="7">
        <f>IFERROR(__xludf.DUMMYFUNCTION("""COMPUTED_VALUE"""),7.766433)</f>
        <v>7.766433</v>
      </c>
      <c r="D10238" s="7">
        <f>IFERROR(__xludf.DUMMYFUNCTION("""COMPUTED_VALUE"""),0.352941176470588)</f>
        <v>0.3529411765</v>
      </c>
    </row>
    <row r="10239">
      <c r="A10239" s="10" t="s">
        <v>11678</v>
      </c>
      <c r="B10239" s="7" t="str">
        <f>IFERROR(__xludf.DUMMYFUNCTION("SPLIT(A10239,"" "")"),"Cc1ccc(CN(C)C2CCC(N(C)c3ccc4cccnc4c3)CC2)cn1")</f>
        <v>Cc1ccc(CN(C)C2CCC(N(C)c3ccc4cccnc4c3)CC2)cn1</v>
      </c>
      <c r="C10239" s="7">
        <f>IFERROR(__xludf.DUMMYFUNCTION("""COMPUTED_VALUE"""),7.7664266)</f>
        <v>7.7664266</v>
      </c>
      <c r="D10239" s="7">
        <f>IFERROR(__xludf.DUMMYFUNCTION("""COMPUTED_VALUE"""),0.295081967213114)</f>
        <v>0.2950819672</v>
      </c>
    </row>
    <row r="10240">
      <c r="A10240" s="10" t="s">
        <v>11679</v>
      </c>
      <c r="B10240" s="7" t="str">
        <f>IFERROR(__xludf.DUMMYFUNCTION("SPLIT(A10240,"" "")"),"CCNCc1cc(CN(Cc2ccccn2)C2CCC(N(C)c3ccc4c(C)ccnc4c3)CC2)ccn1")</f>
        <v>CCNCc1cc(CN(Cc2ccccn2)C2CCC(N(C)c3ccc4c(C)ccnc4c3)CC2)ccn1</v>
      </c>
      <c r="C10240" s="7">
        <f>IFERROR(__xludf.DUMMYFUNCTION("""COMPUTED_VALUE"""),7.766418)</f>
        <v>7.766418</v>
      </c>
      <c r="D10240" s="7">
        <f>IFERROR(__xludf.DUMMYFUNCTION("""COMPUTED_VALUE"""),0.323529411764705)</f>
        <v>0.3235294118</v>
      </c>
    </row>
    <row r="10241">
      <c r="A10241" s="10" t="s">
        <v>11680</v>
      </c>
      <c r="B10241" s="7" t="str">
        <f>IFERROR(__xludf.DUMMYFUNCTION("SPLIT(A10241,"" "")"),"CN(CCN(C)Cc1ncccc1C(C)(C)C)Cc1ncccc1C1=CCC=CN1")</f>
        <v>CN(CCN(C)Cc1ncccc1C(C)(C)C)Cc1ncccc1C1=CCC=CN1</v>
      </c>
      <c r="C10241" s="7">
        <f>IFERROR(__xludf.DUMMYFUNCTION("""COMPUTED_VALUE"""),7.7664075)</f>
        <v>7.7664075</v>
      </c>
      <c r="D10241" s="7">
        <f>IFERROR(__xludf.DUMMYFUNCTION("""COMPUTED_VALUE"""),0.344262295081967)</f>
        <v>0.3442622951</v>
      </c>
    </row>
    <row r="10242">
      <c r="A10242" s="10" t="s">
        <v>11681</v>
      </c>
      <c r="B10242" s="7" t="str">
        <f>IFERROR(__xludf.DUMMYFUNCTION("SPLIT(A10242,"" "")"),"CC1=NC(c2cccc(CNCc3ccccn3)c2)CO1")</f>
        <v>CC1=NC(c2cccc(CNCc3ccccn3)c2)CO1</v>
      </c>
      <c r="C10242" s="7">
        <f>IFERROR(__xludf.DUMMYFUNCTION("""COMPUTED_VALUE"""),7.766407)</f>
        <v>7.766407</v>
      </c>
      <c r="D10242" s="7">
        <f>IFERROR(__xludf.DUMMYFUNCTION("""COMPUTED_VALUE"""),0.395833333333333)</f>
        <v>0.3958333333</v>
      </c>
    </row>
    <row r="10243">
      <c r="A10243" s="10" t="s">
        <v>11682</v>
      </c>
      <c r="B10243" s="7" t="str">
        <f>IFERROR(__xludf.DUMMYFUNCTION("SPLIT(A10243,"" "")"),"CN(Cc1ncccc1-c1cccc2c1OCCOCCOCCOCCOCCO2)C1=CNC(CN(C)c2ccc3nc(CF)ccc3c2)=CC1")</f>
        <v>CN(Cc1ncccc1-c1cccc2c1OCCOCCOCCOCCOCCO2)C1=CNC(CN(C)c2ccc3nc(CF)ccc3c2)=CC1</v>
      </c>
      <c r="C10243" s="7">
        <f>IFERROR(__xludf.DUMMYFUNCTION("""COMPUTED_VALUE"""),7.7664065)</f>
        <v>7.7664065</v>
      </c>
      <c r="D10243" s="7">
        <f>IFERROR(__xludf.DUMMYFUNCTION("""COMPUTED_VALUE"""),0.241379310344827)</f>
        <v>0.2413793103</v>
      </c>
    </row>
    <row r="10244">
      <c r="A10244" s="10" t="s">
        <v>11683</v>
      </c>
      <c r="B10244" s="7" t="str">
        <f>IFERROR(__xludf.DUMMYFUNCTION("SPLIT(A10244,"" "")"),"CN(C)Cc1ccc2ccc(N(C)C3CCCC(N(C)C)C3)cc2n1")</f>
        <v>CN(C)Cc1ccc2ccc(N(C)C3CCCC(N(C)C)C3)cc2n1</v>
      </c>
      <c r="C10244" s="7">
        <f>IFERROR(__xludf.DUMMYFUNCTION("""COMPUTED_VALUE"""),7.7664046)</f>
        <v>7.7664046</v>
      </c>
      <c r="D10244" s="7">
        <f>IFERROR(__xludf.DUMMYFUNCTION("""COMPUTED_VALUE"""),0.319148936170212)</f>
        <v>0.3191489362</v>
      </c>
    </row>
    <row r="10245">
      <c r="A10245" s="10" t="s">
        <v>11684</v>
      </c>
      <c r="B10245" s="7" t="str">
        <f>IFERROR(__xludf.DUMMYFUNCTION("SPLIT(A10245,"" "")"),"Cc1cc(C)c(C)c(CN(C)CCN(C)Cc2ncc(C)c(C)c2C)n1")</f>
        <v>Cc1cc(C)c(C)c(CN(C)CCN(C)Cc2ncc(C)c(C)c2C)n1</v>
      </c>
      <c r="C10245" s="7">
        <f>IFERROR(__xludf.DUMMYFUNCTION("""COMPUTED_VALUE"""),7.7664037)</f>
        <v>7.7664037</v>
      </c>
      <c r="D10245" s="7">
        <f>IFERROR(__xludf.DUMMYFUNCTION("""COMPUTED_VALUE"""),0.372093023255813)</f>
        <v>0.3720930233</v>
      </c>
    </row>
    <row r="10246">
      <c r="A10246" s="10" t="s">
        <v>11685</v>
      </c>
      <c r="B10246" s="7" t="str">
        <f>IFERROR(__xludf.DUMMYFUNCTION("SPLIT(A10246,"" "")"),"CN(Cc1ccc(-c2ccccn2)cn1)C1CCC(N(C)Cc2cccc(C3=CCC=CN3)n2)CC1")</f>
        <v>CN(Cc1ccc(-c2ccccn2)cn1)C1CCC(N(C)Cc2cccc(C3=CCC=CN3)n2)CC1</v>
      </c>
      <c r="C10246" s="7">
        <f>IFERROR(__xludf.DUMMYFUNCTION("""COMPUTED_VALUE"""),7.766384)</f>
        <v>7.766384</v>
      </c>
      <c r="D10246" s="7">
        <f>IFERROR(__xludf.DUMMYFUNCTION("""COMPUTED_VALUE"""),0.403225806451612)</f>
        <v>0.4032258065</v>
      </c>
    </row>
    <row r="10247">
      <c r="A10247" s="10" t="s">
        <v>11686</v>
      </c>
      <c r="B10247" s="7" t="str">
        <f>IFERROR(__xludf.DUMMYFUNCTION("SPLIT(A10247,"" "")"),"CN(C)Cc1cc(C(C)(C)C)ccn1")</f>
        <v>CN(C)Cc1cc(C(C)(C)C)ccn1</v>
      </c>
      <c r="C10247" s="7">
        <f>IFERROR(__xludf.DUMMYFUNCTION("""COMPUTED_VALUE"""),7.7663736)</f>
        <v>7.7663736</v>
      </c>
      <c r="D10247" s="7">
        <f>IFERROR(__xludf.DUMMYFUNCTION("""COMPUTED_VALUE"""),0.35)</f>
        <v>0.35</v>
      </c>
    </row>
    <row r="10248">
      <c r="A10248" s="10" t="s">
        <v>11687</v>
      </c>
      <c r="B10248" s="7" t="str">
        <f>IFERROR(__xludf.DUMMYFUNCTION("SPLIT(A10248,"" "")"),"CCNCc1ncccc1C1=NC(C)(C)CO1")</f>
        <v>CCNCc1ncccc1C1=NC(C)(C)CO1</v>
      </c>
      <c r="C10248" s="7">
        <f>IFERROR(__xludf.DUMMYFUNCTION("""COMPUTED_VALUE"""),7.7663693)</f>
        <v>7.7663693</v>
      </c>
      <c r="D10248" s="7">
        <f>IFERROR(__xludf.DUMMYFUNCTION("""COMPUTED_VALUE"""),0.413043478260869)</f>
        <v>0.4130434783</v>
      </c>
    </row>
    <row r="10249">
      <c r="A10249" s="10" t="s">
        <v>11688</v>
      </c>
      <c r="B10249" s="7" t="str">
        <f>IFERROR(__xludf.DUMMYFUNCTION("SPLIT(A10249,"" "")"),"Cc1cccc(CN(C)CC2C=CNC=C2N(C)Cc2ccccn2)n1")</f>
        <v>Cc1cccc(CN(C)CC2C=CNC=C2N(C)Cc2ccccn2)n1</v>
      </c>
      <c r="C10249" s="7">
        <f>IFERROR(__xludf.DUMMYFUNCTION("""COMPUTED_VALUE"""),7.7663665)</f>
        <v>7.7663665</v>
      </c>
      <c r="D10249" s="7">
        <f>IFERROR(__xludf.DUMMYFUNCTION("""COMPUTED_VALUE"""),0.428571428571428)</f>
        <v>0.4285714286</v>
      </c>
    </row>
    <row r="10250">
      <c r="A10250" s="10" t="s">
        <v>11689</v>
      </c>
      <c r="B10250" s="7" t="str">
        <f>IFERROR(__xludf.DUMMYFUNCTION("SPLIT(A10250,"" "")"),"CCCN(CC1=CC(N(C)Cc2ccccn2)C=CN1)c1cc(C)cc(Cl)c1")</f>
        <v>CCCN(CC1=CC(N(C)Cc2ccccn2)C=CN1)c1cc(C)cc(Cl)c1</v>
      </c>
      <c r="C10250" s="7">
        <f>IFERROR(__xludf.DUMMYFUNCTION("""COMPUTED_VALUE"""),7.7663603)</f>
        <v>7.7663603</v>
      </c>
      <c r="D10250" s="7">
        <f>IFERROR(__xludf.DUMMYFUNCTION("""COMPUTED_VALUE"""),0.34375)</f>
        <v>0.34375</v>
      </c>
    </row>
    <row r="10251">
      <c r="A10251" s="10" t="s">
        <v>11690</v>
      </c>
      <c r="B10251" s="7" t="str">
        <f>IFERROR(__xludf.DUMMYFUNCTION("SPLIT(A10251,"" "")"),"CNCc1ncccc1C(C)(C)c1ccccn1")</f>
        <v>CNCc1ncccc1C(C)(C)c1ccccn1</v>
      </c>
      <c r="C10251" s="7">
        <f>IFERROR(__xludf.DUMMYFUNCTION("""COMPUTED_VALUE"""),7.7663527)</f>
        <v>7.7663527</v>
      </c>
      <c r="D10251" s="7">
        <f>IFERROR(__xludf.DUMMYFUNCTION("""COMPUTED_VALUE"""),0.361702127659574)</f>
        <v>0.3617021277</v>
      </c>
    </row>
    <row r="10252">
      <c r="A10252" s="10" t="s">
        <v>11691</v>
      </c>
      <c r="B10252" s="7" t="str">
        <f>IFERROR(__xludf.DUMMYFUNCTION("SPLIT(A10252,"" "")"),"Cc1cccnc1CN(C)Cc1ncccc1N(C)C(C)C")</f>
        <v>Cc1cccnc1CN(C)Cc1ncccc1N(C)C(C)C</v>
      </c>
      <c r="C10252" s="7">
        <f>IFERROR(__xludf.DUMMYFUNCTION("""COMPUTED_VALUE"""),7.766347)</f>
        <v>7.766347</v>
      </c>
      <c r="D10252" s="7">
        <f>IFERROR(__xludf.DUMMYFUNCTION("""COMPUTED_VALUE"""),0.386363636363636)</f>
        <v>0.3863636364</v>
      </c>
    </row>
    <row r="10253">
      <c r="A10253" s="10" t="s">
        <v>11692</v>
      </c>
      <c r="B10253" s="7" t="str">
        <f>IFERROR(__xludf.DUMMYFUNCTION("SPLIT(A10253,"" "")"),"Cc1cnc(CN(C)C(C)(C)c2cc(CN(Cc3ccccn3)C(C)(N)N(Cc3ccccn3)C(C)C)ccn2)c(C)c1")</f>
        <v>Cc1cnc(CN(C)C(C)(C)c2cc(CN(Cc3ccccn3)C(C)(N)N(Cc3ccccn3)C(C)C)ccn2)c(C)c1</v>
      </c>
      <c r="C10253" s="7">
        <f>IFERROR(__xludf.DUMMYFUNCTION("""COMPUTED_VALUE"""),7.7663465)</f>
        <v>7.7663465</v>
      </c>
      <c r="D10253" s="7">
        <f>IFERROR(__xludf.DUMMYFUNCTION("""COMPUTED_VALUE"""),0.318181818181818)</f>
        <v>0.3181818182</v>
      </c>
    </row>
    <row r="10254">
      <c r="A10254" s="10" t="s">
        <v>11693</v>
      </c>
      <c r="B10254" s="7" t="str">
        <f>IFERROR(__xludf.DUMMYFUNCTION("SPLIT(A10254,"" "")"),"Cc1cnc(CN(C)CC2=CC(N(C)Cc3ncccc3C)C=CN2)c(C)c1")</f>
        <v>Cc1cnc(CN(C)CC2=CC(N(C)Cc3ncccc3C)C=CN2)c(C)c1</v>
      </c>
      <c r="C10254" s="7">
        <f>IFERROR(__xludf.DUMMYFUNCTION("""COMPUTED_VALUE"""),7.766344)</f>
        <v>7.766344</v>
      </c>
      <c r="D10254" s="7">
        <f>IFERROR(__xludf.DUMMYFUNCTION("""COMPUTED_VALUE"""),0.292307692307692)</f>
        <v>0.2923076923</v>
      </c>
    </row>
    <row r="10255">
      <c r="A10255" s="10" t="s">
        <v>11694</v>
      </c>
      <c r="B10255" s="7" t="str">
        <f>IFERROR(__xludf.DUMMYFUNCTION("SPLIT(A10255,"" "")"),"CC1=CCC(C)C(C)C12CC(c1ncccc1CN(Cc1ccccn1)Cc1cc(C(C)(C)c3ccccn3)ccn1)=CC1(CC(C)=C(C)CC1C)C2(C)C")</f>
        <v>CC1=CCC(C)C(C)C12CC(c1ncccc1CN(Cc1ccccn1)Cc1cc(C(C)(C)c3ccccn3)ccn1)=CC1(CC(C)=C(C)CC1C)C2(C)C</v>
      </c>
      <c r="C10255" s="7">
        <f>IFERROR(__xludf.DUMMYFUNCTION("""COMPUTED_VALUE"""),7.7663374)</f>
        <v>7.7663374</v>
      </c>
      <c r="D10255" s="7">
        <f>IFERROR(__xludf.DUMMYFUNCTION("""COMPUTED_VALUE"""),0.267441860465116)</f>
        <v>0.2674418605</v>
      </c>
    </row>
    <row r="10256">
      <c r="A10256" s="10" t="s">
        <v>11695</v>
      </c>
      <c r="B10256" s="7" t="str">
        <f>IFERROR(__xludf.DUMMYFUNCTION("SPLIT(A10256,"" "")"),"CN(Cc1cccc(-c2ccc3c(c2)OCCOCCOCCOCCOCCO3)n1)C1=CNC(CN(C)c2ccc3ccc(CF)nc3c2)=CC1")</f>
        <v>CN(Cc1cccc(-c2ccc3c(c2)OCCOCCOCCOCCOCCO3)n1)C1=CNC(CN(C)c2ccc3ccc(CF)nc3c2)=CC1</v>
      </c>
      <c r="C10256" s="7">
        <f>IFERROR(__xludf.DUMMYFUNCTION("""COMPUTED_VALUE"""),7.766334)</f>
        <v>7.766334</v>
      </c>
      <c r="D10256" s="7">
        <f>IFERROR(__xludf.DUMMYFUNCTION("""COMPUTED_VALUE"""),0.275862068965517)</f>
        <v>0.275862069</v>
      </c>
    </row>
    <row r="10257">
      <c r="A10257" s="10" t="s">
        <v>11696</v>
      </c>
      <c r="B10257" s="7" t="str">
        <f>IFERROR(__xludf.DUMMYFUNCTION("SPLIT(A10257,"" "")"),"Cc1ccnc2ccc(N3CCN(C)CCN(C)CC3)cc12")</f>
        <v>Cc1ccnc2ccc(N3CCN(C)CCN(C)CC3)cc12</v>
      </c>
      <c r="C10257" s="7">
        <f>IFERROR(__xludf.DUMMYFUNCTION("""COMPUTED_VALUE"""),7.7663274)</f>
        <v>7.7663274</v>
      </c>
      <c r="D10257" s="7">
        <f>IFERROR(__xludf.DUMMYFUNCTION("""COMPUTED_VALUE"""),0.369565217391304)</f>
        <v>0.3695652174</v>
      </c>
    </row>
    <row r="10258">
      <c r="A10258" s="10" t="s">
        <v>11697</v>
      </c>
      <c r="B10258" s="7" t="str">
        <f>IFERROR(__xludf.DUMMYFUNCTION("SPLIT(A10258,"" "")"),"Cc1cncc(CN(C)Cc2cccc(N(C)C(C)C)n2)c1")</f>
        <v>Cc1cncc(CN(C)Cc2cccc(N(C)C(C)C)n2)c1</v>
      </c>
      <c r="C10258" s="7">
        <f>IFERROR(__xludf.DUMMYFUNCTION("""COMPUTED_VALUE"""),7.766326)</f>
        <v>7.766326</v>
      </c>
      <c r="D10258" s="7">
        <f>IFERROR(__xludf.DUMMYFUNCTION("""COMPUTED_VALUE"""),0.404255319148936)</f>
        <v>0.4042553191</v>
      </c>
    </row>
    <row r="10259">
      <c r="A10259" s="10" t="s">
        <v>11698</v>
      </c>
      <c r="B10259" s="7" t="str">
        <f>IFERROR(__xludf.DUMMYFUNCTION("SPLIT(A10259,"" "")"),"CN(C)Cc1cnc2cc(N(C)Cc3ncccc3-c3ccc4c(c3)OCCOCCOCCOCCOCCO4)ccc2c1")</f>
        <v>CN(C)Cc1cnc2cc(N(C)Cc3ncccc3-c3ccc4c(c3)OCCOCCOCCOCCOCCO4)ccc2c1</v>
      </c>
      <c r="C10259" s="7">
        <f>IFERROR(__xludf.DUMMYFUNCTION("""COMPUTED_VALUE"""),7.766322)</f>
        <v>7.766322</v>
      </c>
      <c r="D10259" s="7">
        <f>IFERROR(__xludf.DUMMYFUNCTION("""COMPUTED_VALUE"""),0.307692307692307)</f>
        <v>0.3076923077</v>
      </c>
    </row>
    <row r="10260">
      <c r="A10260" s="10" t="s">
        <v>11699</v>
      </c>
      <c r="B10260" s="7" t="str">
        <f>IFERROR(__xludf.DUMMYFUNCTION("SPLIT(A10260,"" "")"),"CC1C=CC(C)C(C)(c2cc(CN(Cc3ccccn3)C3CCCC(N(C)c4ccc5c(CN(C)C)ccnc5c4)C3)ccn2)C1")</f>
        <v>CC1C=CC(C)C(C)(c2cc(CN(Cc3ccccn3)C3CCCC(N(C)c4ccc5c(CN(C)C)ccnc5c4)C3)ccn2)C1</v>
      </c>
      <c r="C10260" s="7">
        <f>IFERROR(__xludf.DUMMYFUNCTION("""COMPUTED_VALUE"""),7.766321)</f>
        <v>7.766321</v>
      </c>
      <c r="D10260" s="7">
        <f>IFERROR(__xludf.DUMMYFUNCTION("""COMPUTED_VALUE"""),0.2875)</f>
        <v>0.2875</v>
      </c>
    </row>
    <row r="10261">
      <c r="A10261" s="10" t="s">
        <v>11700</v>
      </c>
      <c r="B10261" s="7" t="str">
        <f>IFERROR(__xludf.DUMMYFUNCTION("SPLIT(A10261,"" "")"),"CCNC(C)c1cc(CN(Cc2ccccn2)C2CCC(N(C)c3ccc4nccc(CF)c4c3)CC2)ccn1")</f>
        <v>CCNC(C)c1cc(CN(Cc2ccccn2)C2CCC(N(C)c3ccc4nccc(CF)c4c3)CC2)ccn1</v>
      </c>
      <c r="C10261" s="7">
        <f>IFERROR(__xludf.DUMMYFUNCTION("""COMPUTED_VALUE"""),7.7663193)</f>
        <v>7.7663193</v>
      </c>
      <c r="D10261" s="7">
        <f>IFERROR(__xludf.DUMMYFUNCTION("""COMPUTED_VALUE"""),0.289473684210526)</f>
        <v>0.2894736842</v>
      </c>
    </row>
    <row r="10262">
      <c r="A10262" s="10" t="s">
        <v>11701</v>
      </c>
      <c r="B10262" s="7" t="str">
        <f>IFERROR(__xludf.DUMMYFUNCTION("SPLIT(A10262,"" "")"),"CN(c1ccc2nc(CF)ccc2c1)C1CCCC(N(Cc2ccccn2)Cc2ccccn2)C1")</f>
        <v>CN(c1ccc2nc(CF)ccc2c1)C1CCCC(N(Cc2ccccn2)Cc2ccccn2)C1</v>
      </c>
      <c r="C10262" s="7">
        <f>IFERROR(__xludf.DUMMYFUNCTION("""COMPUTED_VALUE"""),7.7663183)</f>
        <v>7.7663183</v>
      </c>
      <c r="D10262" s="7">
        <f>IFERROR(__xludf.DUMMYFUNCTION("""COMPUTED_VALUE"""),0.396551724137931)</f>
        <v>0.3965517241</v>
      </c>
    </row>
    <row r="10263">
      <c r="A10263" s="10" t="s">
        <v>11702</v>
      </c>
      <c r="B10263" s="7" t="str">
        <f>IFERROR(__xludf.DUMMYFUNCTION("SPLIT(A10263,"" "")"),"CN(Cc1ccccn1)c1cc(CN(Cc2ccccn2)Cc2cccc(-c3ccc4c(c3)OCCOCCOCCOCCOCCO4)n2)c2cccnc2c1")</f>
        <v>CN(Cc1ccccn1)c1cc(CN(Cc2ccccn2)Cc2cccc(-c3ccc4c(c3)OCCOCCOCCOCCOCCO4)n2)c2cccnc2c1</v>
      </c>
      <c r="C10263" s="7">
        <f>IFERROR(__xludf.DUMMYFUNCTION("""COMPUTED_VALUE"""),7.766313)</f>
        <v>7.766313</v>
      </c>
      <c r="D10263" s="7">
        <f>IFERROR(__xludf.DUMMYFUNCTION("""COMPUTED_VALUE"""),0.430555555555555)</f>
        <v>0.4305555556</v>
      </c>
    </row>
    <row r="10264">
      <c r="A10264" s="10" t="s">
        <v>11703</v>
      </c>
      <c r="B10264" s="7" t="str">
        <f>IFERROR(__xludf.DUMMYFUNCTION("SPLIT(A10264,"" "")"),"CN(c1cccc2nc(CF)ccc12)C1CCCCC1N(Cc1ccccn1)Cc1cccc(F)n1")</f>
        <v>CN(c1cccc2nc(CF)ccc12)C1CCCCC1N(Cc1ccccn1)Cc1cccc(F)n1</v>
      </c>
      <c r="C10264" s="7">
        <f>IFERROR(__xludf.DUMMYFUNCTION("""COMPUTED_VALUE"""),7.7663097)</f>
        <v>7.7663097</v>
      </c>
      <c r="D10264" s="7">
        <f>IFERROR(__xludf.DUMMYFUNCTION("""COMPUTED_VALUE"""),0.46875)</f>
        <v>0.46875</v>
      </c>
    </row>
    <row r="10265">
      <c r="A10265" s="10" t="s">
        <v>11704</v>
      </c>
      <c r="B10265" s="7" t="str">
        <f>IFERROR(__xludf.DUMMYFUNCTION("SPLIT(A10265,"" "")"),"Cc1cccnc1CN(C)C1=CNC=CC1CN(C)Cc1ccccn1")</f>
        <v>Cc1cccnc1CN(C)C1=CNC=CC1CN(C)Cc1ccccn1</v>
      </c>
      <c r="C10265" s="7">
        <f>IFERROR(__xludf.DUMMYFUNCTION("""COMPUTED_VALUE"""),7.7663083)</f>
        <v>7.7663083</v>
      </c>
      <c r="D10265" s="7">
        <f>IFERROR(__xludf.DUMMYFUNCTION("""COMPUTED_VALUE"""),0.369230769230769)</f>
        <v>0.3692307692</v>
      </c>
    </row>
    <row r="10266">
      <c r="A10266" s="10" t="s">
        <v>11705</v>
      </c>
      <c r="B10266" s="7" t="str">
        <f>IFERROR(__xludf.DUMMYFUNCTION("SPLIT(A10266,"" "")"),"Cc1ccccc1CNCc1cccc(C(C)(C)c2ccccn2)n1")</f>
        <v>Cc1ccccc1CNCc1cccc(C(C)(C)c2ccccn2)n1</v>
      </c>
      <c r="C10266" s="7">
        <f>IFERROR(__xludf.DUMMYFUNCTION("""COMPUTED_VALUE"""),7.766307)</f>
        <v>7.766307</v>
      </c>
      <c r="D10266" s="7">
        <f>IFERROR(__xludf.DUMMYFUNCTION("""COMPUTED_VALUE"""),0.377777777777777)</f>
        <v>0.3777777778</v>
      </c>
    </row>
    <row r="10267">
      <c r="A10267" s="10" t="s">
        <v>11706</v>
      </c>
      <c r="B10267" s="7" t="str">
        <f>IFERROR(__xludf.DUMMYFUNCTION("SPLIT(A10267,"" "")"),"Cc1cncc(CN(Cc2ccccn2)Cc2ccc(C(C)(C)C)cn2)c1")</f>
        <v>Cc1cncc(CN(Cc2ccccn2)Cc2ccc(C(C)(C)C)cn2)c1</v>
      </c>
      <c r="C10267" s="7">
        <f>IFERROR(__xludf.DUMMYFUNCTION("""COMPUTED_VALUE"""),7.7663045)</f>
        <v>7.7663045</v>
      </c>
      <c r="D10267" s="7">
        <f>IFERROR(__xludf.DUMMYFUNCTION("""COMPUTED_VALUE"""),0.454545454545454)</f>
        <v>0.4545454545</v>
      </c>
    </row>
    <row r="10268">
      <c r="A10268" s="10" t="s">
        <v>11707</v>
      </c>
      <c r="B10268" s="7" t="str">
        <f>IFERROR(__xludf.DUMMYFUNCTION("SPLIT(A10268,"" "")"),"Cc1cc(C)c(C)c(CN(C)CC2=CC(N(C)Cc3cc(C)c(C)cn3)C=CN2)c1")</f>
        <v>Cc1cc(C)c(C)c(CN(C)CC2=CC(N(C)Cc3cc(C)c(C)cn3)C=CN2)c1</v>
      </c>
      <c r="C10268" s="7">
        <f>IFERROR(__xludf.DUMMYFUNCTION("""COMPUTED_VALUE"""),7.766299)</f>
        <v>7.766299</v>
      </c>
      <c r="D10268" s="7">
        <f>IFERROR(__xludf.DUMMYFUNCTION("""COMPUTED_VALUE"""),0.292307692307692)</f>
        <v>0.2923076923</v>
      </c>
    </row>
    <row r="10269">
      <c r="A10269" s="10" t="s">
        <v>11708</v>
      </c>
      <c r="B10269" s="7" t="str">
        <f>IFERROR(__xludf.DUMMYFUNCTION("SPLIT(A10269,"" "")"),"CN(Cc1cc(N(C)Cc2ccccn2)c2ncccc2c1)Cc1cc(-c2ccc3c(c2)OCCOCCOCCOCCOCCO3)ccn1")</f>
        <v>CN(Cc1cc(N(C)Cc2ccccn2)c2ncccc2c1)Cc1cc(-c2ccc3c(c2)OCCOCCOCCOCCOCCO3)ccn1</v>
      </c>
      <c r="C10269" s="7">
        <f>IFERROR(__xludf.DUMMYFUNCTION("""COMPUTED_VALUE"""),7.7662973)</f>
        <v>7.7662973</v>
      </c>
      <c r="D10269" s="7">
        <f>IFERROR(__xludf.DUMMYFUNCTION("""COMPUTED_VALUE"""),0.363636363636363)</f>
        <v>0.3636363636</v>
      </c>
    </row>
    <row r="10270">
      <c r="A10270" s="10" t="s">
        <v>11709</v>
      </c>
      <c r="B10270" s="7" t="str">
        <f>IFERROR(__xludf.DUMMYFUNCTION("SPLIT(A10270,"" "")"),"CNCc1ncccc1CN(C)C1CCCCC1N(C)c1ccc2c(C)ccnc2c1")</f>
        <v>CNCc1ncccc1CN(C)C1CCCCC1N(C)c1ccc2c(C)ccnc2c1</v>
      </c>
      <c r="C10270" s="7">
        <f>IFERROR(__xludf.DUMMYFUNCTION("""COMPUTED_VALUE"""),7.7662916)</f>
        <v>7.7662916</v>
      </c>
      <c r="D10270" s="7">
        <f>IFERROR(__xludf.DUMMYFUNCTION("""COMPUTED_VALUE"""),0.365079365079365)</f>
        <v>0.3650793651</v>
      </c>
    </row>
    <row r="10271">
      <c r="A10271" s="10" t="s">
        <v>11710</v>
      </c>
      <c r="B10271" s="7" t="str">
        <f>IFERROR(__xludf.DUMMYFUNCTION("SPLIT(A10271,"" "")"),"CNC1CCC(N(Cc2nc(C)c(C)c(C)c2C)Cc2nc(C)c(C)c(C)c2C)CC1N(Cc1ncc(C)cc1C)Cc1nc(C)c(C)c(C)c1C")</f>
        <v>CNC1CCC(N(Cc2nc(C)c(C)c(C)c2C)Cc2nc(C)c(C)c(C)c2C)CC1N(Cc1ncc(C)cc1C)Cc1nc(C)c(C)c(C)c1C</v>
      </c>
      <c r="C10271" s="7">
        <f>IFERROR(__xludf.DUMMYFUNCTION("""COMPUTED_VALUE"""),7.7662873)</f>
        <v>7.7662873</v>
      </c>
      <c r="D10271" s="7">
        <f>IFERROR(__xludf.DUMMYFUNCTION("""COMPUTED_VALUE"""),0.246153846153846)</f>
        <v>0.2461538462</v>
      </c>
    </row>
    <row r="10272">
      <c r="A10272" s="10" t="s">
        <v>11711</v>
      </c>
      <c r="B10272" s="7" t="str">
        <f>IFERROR(__xludf.DUMMYFUNCTION("SPLIT(A10272,"" "")"),"CCNc1nc(CN(Cc2ccccn2)Cc2cc(C)ccn2)cc(C)c1C")</f>
        <v>CCNc1nc(CN(Cc2ccccn2)Cc2cc(C)ccn2)cc(C)c1C</v>
      </c>
      <c r="C10272" s="7">
        <f>IFERROR(__xludf.DUMMYFUNCTION("""COMPUTED_VALUE"""),7.766286)</f>
        <v>7.766286</v>
      </c>
      <c r="D10272" s="7">
        <f>IFERROR(__xludf.DUMMYFUNCTION("""COMPUTED_VALUE"""),0.454545454545454)</f>
        <v>0.4545454545</v>
      </c>
    </row>
    <row r="10273">
      <c r="A10273" s="10" t="s">
        <v>11712</v>
      </c>
      <c r="B10273" s="7" t="str">
        <f>IFERROR(__xludf.DUMMYFUNCTION("SPLIT(A10273,"" "")"),"CCC1=NC(C2=C(C)CC(c3cccc(C4CC(C)C4)n3)C(c3cccc(CN(Cc4ccccn4)Cc4ccccn4)n3)C2C)CO1")</f>
        <v>CCC1=NC(C2=C(C)CC(c3cccc(C4CC(C)C4)n3)C(c3cccc(CN(Cc4ccccn4)Cc4ccccn4)n3)C2C)CO1</v>
      </c>
      <c r="C10273" s="7">
        <f>IFERROR(__xludf.DUMMYFUNCTION("""COMPUTED_VALUE"""),7.7662835)</f>
        <v>7.7662835</v>
      </c>
      <c r="D10273" s="7">
        <f>IFERROR(__xludf.DUMMYFUNCTION("""COMPUTED_VALUE"""),0.320987654320987)</f>
        <v>0.3209876543</v>
      </c>
    </row>
    <row r="10274">
      <c r="A10274" s="10" t="s">
        <v>11713</v>
      </c>
      <c r="B10274" s="7" t="str">
        <f>IFERROR(__xludf.DUMMYFUNCTION("SPLIT(A10274,"" "")"),"CC(N)C1=CCC(N(C)Cc2ccccn2)=CN1")</f>
        <v>CC(N)C1=CCC(N(C)Cc2ccccn2)=CN1</v>
      </c>
      <c r="C10274" s="7">
        <f>IFERROR(__xludf.DUMMYFUNCTION("""COMPUTED_VALUE"""),7.7662826)</f>
        <v>7.7662826</v>
      </c>
      <c r="D10274" s="7">
        <f>IFERROR(__xludf.DUMMYFUNCTION("""COMPUTED_VALUE"""),0.42)</f>
        <v>0.42</v>
      </c>
    </row>
    <row r="10275">
      <c r="A10275" s="10" t="s">
        <v>11714</v>
      </c>
      <c r="B10275" s="7" t="str">
        <f>IFERROR(__xludf.DUMMYFUNCTION("SPLIT(A10275,"" "")"),"CCN(Cc1ccccn1)Cc1cc(CN(Cc2ccccn2)Cc2cc(C)c(C)c(C)n2)ccn1")</f>
        <v>CCN(Cc1ccccn1)Cc1cc(CN(Cc2ccccn2)Cc2cc(C)c(C)c(C)n2)ccn1</v>
      </c>
      <c r="C10275" s="7">
        <f>IFERROR(__xludf.DUMMYFUNCTION("""COMPUTED_VALUE"""),7.7662807)</f>
        <v>7.7662807</v>
      </c>
      <c r="D10275" s="7">
        <f>IFERROR(__xludf.DUMMYFUNCTION("""COMPUTED_VALUE"""),0.465116279069767)</f>
        <v>0.4651162791</v>
      </c>
    </row>
    <row r="10276">
      <c r="A10276" s="10" t="s">
        <v>11715</v>
      </c>
      <c r="B10276" s="7" t="str">
        <f>IFERROR(__xludf.DUMMYFUNCTION("SPLIT(A10276,"" "")"),"CNC1C(N(Cc2nc(C)c(C)c(C)c2C)Cc2nc(C)c([SiH3])c([SiH3])c2C)CCCC1N(Cc1nc(C)c([SiH3])c([SiH3])c1C)Cc1nc(C)c([SiH3])c([SiH3])c1C")</f>
        <v>CNC1C(N(Cc2nc(C)c(C)c(C)c2C)Cc2nc(C)c([SiH3])c([SiH3])c2C)CCCC1N(Cc1nc(C)c([SiH3])c([SiH3])c1C)Cc1nc(C)c([SiH3])c([SiH3])c1C</v>
      </c>
      <c r="C10276" s="7">
        <f>IFERROR(__xludf.DUMMYFUNCTION("""COMPUTED_VALUE"""),7.766274)</f>
        <v>7.766274</v>
      </c>
      <c r="D10276" s="7">
        <f>IFERROR(__xludf.DUMMYFUNCTION("""COMPUTED_VALUE"""),0.241379310344827)</f>
        <v>0.2413793103</v>
      </c>
    </row>
    <row r="10277">
      <c r="A10277" s="10" t="s">
        <v>11716</v>
      </c>
      <c r="B10277" s="7" t="str">
        <f>IFERROR(__xludf.DUMMYFUNCTION("SPLIT(A10277,"" "")"),"FCNCc1ncccc1C(c1ccccc1)c1ccccn1")</f>
        <v>FCNCc1ncccc1C(c1ccccc1)c1ccccn1</v>
      </c>
      <c r="C10277" s="7">
        <f>IFERROR(__xludf.DUMMYFUNCTION("""COMPUTED_VALUE"""),7.7662735)</f>
        <v>7.7662735</v>
      </c>
      <c r="D10277" s="7">
        <f>IFERROR(__xludf.DUMMYFUNCTION("""COMPUTED_VALUE"""),0.309090909090909)</f>
        <v>0.3090909091</v>
      </c>
    </row>
    <row r="10278">
      <c r="A10278" s="10" t="s">
        <v>11717</v>
      </c>
      <c r="B10278" s="7" t="str">
        <f>IFERROR(__xludf.DUMMYFUNCTION("SPLIT(A10278,"" "")"),"CN(c1cccc2ncccc12)C1CCC(N(Cc2ccccn2)Cc2ccccn2)CC1")</f>
        <v>CN(c1cccc2ncccc12)C1CCC(N(Cc2ccccn2)Cc2ccccn2)CC1</v>
      </c>
      <c r="C10278" s="7">
        <f>IFERROR(__xludf.DUMMYFUNCTION("""COMPUTED_VALUE"""),7.7662725)</f>
        <v>7.7662725</v>
      </c>
      <c r="D10278" s="7">
        <f>IFERROR(__xludf.DUMMYFUNCTION("""COMPUTED_VALUE"""),0.431372549019607)</f>
        <v>0.431372549</v>
      </c>
    </row>
    <row r="10279">
      <c r="A10279" s="10" t="s">
        <v>11718</v>
      </c>
      <c r="B10279" s="7" t="str">
        <f>IFERROR(__xludf.DUMMYFUNCTION("SPLIT(A10279,"" "")"),"Cc1nc(CN(C)CCN(C)CCN(C)Cc2nc(C)c(C)c(C)c2C)c(C)c(C)c1C")</f>
        <v>Cc1nc(CN(C)CCN(C)CCN(C)Cc2nc(C)c(C)c(C)c2C)c(C)c(C)c1C</v>
      </c>
      <c r="C10279" s="7">
        <f>IFERROR(__xludf.DUMMYFUNCTION("""COMPUTED_VALUE"""),7.76627)</f>
        <v>7.76627</v>
      </c>
      <c r="D10279" s="7">
        <f>IFERROR(__xludf.DUMMYFUNCTION("""COMPUTED_VALUE"""),0.361111111111111)</f>
        <v>0.3611111111</v>
      </c>
    </row>
    <row r="10280">
      <c r="A10280" s="10" t="s">
        <v>11719</v>
      </c>
      <c r="B10280" s="7" t="str">
        <f>IFERROR(__xludf.DUMMYFUNCTION("SPLIT(A10280,"" "")"),"CN(Cc1ccc2c(n1)CCC2)C1CCCCC1N(C)c1ccc2nc(C3CC3)ccc2c1")</f>
        <v>CN(Cc1ccc2c(n1)CCC2)C1CCCCC1N(C)c1ccc2nc(C3CC3)ccc2c1</v>
      </c>
      <c r="C10280" s="7">
        <f>IFERROR(__xludf.DUMMYFUNCTION("""COMPUTED_VALUE"""),7.7662544)</f>
        <v>7.7662544</v>
      </c>
      <c r="D10280" s="7">
        <f>IFERROR(__xludf.DUMMYFUNCTION("""COMPUTED_VALUE"""),0.4)</f>
        <v>0.4</v>
      </c>
    </row>
    <row r="10281">
      <c r="A10281" s="10" t="s">
        <v>11720</v>
      </c>
      <c r="B10281" s="7" t="str">
        <f>IFERROR(__xludf.DUMMYFUNCTION("SPLIT(A10281,"" "")"),"CNC1C=CC=C(N(C)Cc2cccnn2)N1")</f>
        <v>CNC1C=CC=C(N(C)Cc2cccnn2)N1</v>
      </c>
      <c r="C10281" s="7">
        <f>IFERROR(__xludf.DUMMYFUNCTION("""COMPUTED_VALUE"""),7.7662535)</f>
        <v>7.7662535</v>
      </c>
      <c r="D10281" s="7">
        <f>IFERROR(__xludf.DUMMYFUNCTION("""COMPUTED_VALUE"""),0.434782608695652)</f>
        <v>0.4347826087</v>
      </c>
    </row>
    <row r="10282">
      <c r="A10282" s="10" t="s">
        <v>11721</v>
      </c>
      <c r="B10282" s="7" t="str">
        <f>IFERROR(__xludf.DUMMYFUNCTION("SPLIT(A10282,"" "")"),"CNCc1cc(C)c(C)c(C)n1")</f>
        <v>CNCc1cc(C)c(C)c(C)n1</v>
      </c>
      <c r="C10282" s="7">
        <f>IFERROR(__xludf.DUMMYFUNCTION("""COMPUTED_VALUE"""),7.766252)</f>
        <v>7.766252</v>
      </c>
      <c r="D10282" s="7">
        <f>IFERROR(__xludf.DUMMYFUNCTION("""COMPUTED_VALUE"""),0.204545454545454)</f>
        <v>0.2045454545</v>
      </c>
    </row>
    <row r="10283">
      <c r="A10283" s="10" t="s">
        <v>11722</v>
      </c>
      <c r="B10283" s="7" t="str">
        <f>IFERROR(__xludf.DUMMYFUNCTION("SPLIT(A10283,"" "")"),"Cc1cncc(CN(C)Cc2cccnc2N(C)C(C)C)c1")</f>
        <v>Cc1cncc(CN(C)Cc2cccnc2N(C)C(C)C)c1</v>
      </c>
      <c r="C10283" s="7">
        <f>IFERROR(__xludf.DUMMYFUNCTION("""COMPUTED_VALUE"""),7.7662516)</f>
        <v>7.7662516</v>
      </c>
      <c r="D10283" s="7">
        <f>IFERROR(__xludf.DUMMYFUNCTION("""COMPUTED_VALUE"""),0.365384615384615)</f>
        <v>0.3653846154</v>
      </c>
    </row>
    <row r="10284">
      <c r="A10284" s="10" t="s">
        <v>11723</v>
      </c>
      <c r="B10284" s="7" t="str">
        <f>IFERROR(__xludf.DUMMYFUNCTION("SPLIT(A10284,"" "")"),"CC(C)C(C)(c1cccnc1)c1cc(CN(Cc2ccccn2)Cc2ccccn2)ccn1")</f>
        <v>CC(C)C(C)(c1cccnc1)c1cc(CN(Cc2ccccn2)Cc2ccccn2)ccn1</v>
      </c>
      <c r="C10284" s="7">
        <f>IFERROR(__xludf.DUMMYFUNCTION("""COMPUTED_VALUE"""),7.7662477)</f>
        <v>7.7662477</v>
      </c>
      <c r="D10284" s="7">
        <f>IFERROR(__xludf.DUMMYFUNCTION("""COMPUTED_VALUE"""),0.416666666666666)</f>
        <v>0.4166666667</v>
      </c>
    </row>
    <row r="10285">
      <c r="A10285" s="10" t="s">
        <v>11724</v>
      </c>
      <c r="B10285" s="7" t="str">
        <f>IFERROR(__xludf.DUMMYFUNCTION("SPLIT(A10285,"" "")"),"Cc1cccnc1CN(Cc1ccccn1)C1CCCCC1N(C)c1ccc2nc(CF)ccc2c1")</f>
        <v>Cc1cccnc1CN(Cc1ccccn1)C1CCCCC1N(C)c1ccc2nc(CF)ccc2c1</v>
      </c>
      <c r="C10285" s="7">
        <f>IFERROR(__xludf.DUMMYFUNCTION("""COMPUTED_VALUE"""),7.7662477)</f>
        <v>7.7662477</v>
      </c>
      <c r="D10285" s="7">
        <f>IFERROR(__xludf.DUMMYFUNCTION("""COMPUTED_VALUE"""),0.412698412698412)</f>
        <v>0.4126984127</v>
      </c>
    </row>
    <row r="10286">
      <c r="A10286" s="10" t="s">
        <v>11725</v>
      </c>
      <c r="B10286" s="7" t="str">
        <f>IFERROR(__xludf.DUMMYFUNCTION("SPLIT(A10286,"" "")"),"CCN(CC1=CC(N(C)Cc2ccccn2)C=CN1)c1cc(C)ccc1C")</f>
        <v>CCN(CC1=CC(N(C)Cc2ccccn2)C=CN1)c1cc(C)ccc1C</v>
      </c>
      <c r="C10286" s="7">
        <f>IFERROR(__xludf.DUMMYFUNCTION("""COMPUTED_VALUE"""),7.7662477)</f>
        <v>7.7662477</v>
      </c>
      <c r="D10286" s="7">
        <f>IFERROR(__xludf.DUMMYFUNCTION("""COMPUTED_VALUE"""),0.360655737704918)</f>
        <v>0.3606557377</v>
      </c>
    </row>
    <row r="10287">
      <c r="A10287" s="10" t="s">
        <v>11726</v>
      </c>
      <c r="B10287" s="7" t="str">
        <f>IFERROR(__xludf.DUMMYFUNCTION("SPLIT(A10287,"" "")"),"CC1=CC(C)(C)C(c2cccc(CN(Cc3ccccn3)Cc3ccccn3)n2)C2=CNC(C(C)C)=CC12")</f>
        <v>CC1=CC(C)(C)C(c2cccc(CN(Cc3ccccn3)Cc3ccccn3)n2)C2=CNC(C(C)C)=CC12</v>
      </c>
      <c r="C10287" s="7">
        <f>IFERROR(__xludf.DUMMYFUNCTION("""COMPUTED_VALUE"""),7.7662396)</f>
        <v>7.7662396</v>
      </c>
      <c r="D10287" s="7">
        <f>IFERROR(__xludf.DUMMYFUNCTION("""COMPUTED_VALUE"""),0.350877192982456)</f>
        <v>0.350877193</v>
      </c>
    </row>
    <row r="10288">
      <c r="A10288" s="10" t="s">
        <v>11727</v>
      </c>
      <c r="B10288" s="7" t="str">
        <f>IFERROR(__xludf.DUMMYFUNCTION("SPLIT(A10288,"" "")"),"Cc1ccc(CNCc2ccc(C(C)(C)C)cn2)c(C)c1")</f>
        <v>Cc1ccc(CNCc2ccc(C(C)(C)C)cn2)c(C)c1</v>
      </c>
      <c r="C10288" s="7">
        <f>IFERROR(__xludf.DUMMYFUNCTION("""COMPUTED_VALUE"""),7.766239)</f>
        <v>7.766239</v>
      </c>
      <c r="D10288" s="7">
        <f>IFERROR(__xludf.DUMMYFUNCTION("""COMPUTED_VALUE"""),0.291666666666666)</f>
        <v>0.2916666667</v>
      </c>
    </row>
    <row r="10289">
      <c r="A10289" s="10" t="s">
        <v>11728</v>
      </c>
      <c r="B10289" s="7" t="str">
        <f>IFERROR(__xludf.DUMMYFUNCTION("SPLIT(A10289,"" "")"),"Cc1cc(N2CCN(C)CCN(C)CC2)cc2ncccc12")</f>
        <v>Cc1cc(N2CCN(C)CCN(C)CC2)cc2ncccc12</v>
      </c>
      <c r="C10289" s="7">
        <f>IFERROR(__xludf.DUMMYFUNCTION("""COMPUTED_VALUE"""),7.7662387)</f>
        <v>7.7662387</v>
      </c>
      <c r="D10289" s="7">
        <f>IFERROR(__xludf.DUMMYFUNCTION("""COMPUTED_VALUE"""),0.347826086956521)</f>
        <v>0.347826087</v>
      </c>
    </row>
    <row r="10290">
      <c r="A10290" s="10" t="s">
        <v>11729</v>
      </c>
      <c r="B10290" s="7" t="str">
        <f>IFERROR(__xludf.DUMMYFUNCTION("SPLIT(A10290,"" "")"),"CN1CCN(C)CC(C(C)(c2ccccc2)c2ccccn2)N(Cc2nc3ccccc3n2C)CC1")</f>
        <v>CN1CCN(C)CC(C(C)(c2ccccc2)c2ccccn2)N(Cc2nc3ccccc3n2C)CC1</v>
      </c>
      <c r="C10290" s="7">
        <f>IFERROR(__xludf.DUMMYFUNCTION("""COMPUTED_VALUE"""),7.766235)</f>
        <v>7.766235</v>
      </c>
      <c r="D10290" s="7">
        <f>IFERROR(__xludf.DUMMYFUNCTION("""COMPUTED_VALUE"""),0.491228070175438)</f>
        <v>0.4912280702</v>
      </c>
    </row>
    <row r="10291">
      <c r="A10291" s="10" t="s">
        <v>11730</v>
      </c>
      <c r="B10291" s="7" t="str">
        <f>IFERROR(__xludf.DUMMYFUNCTION("SPLIT(A10291,"" "")"),"CN(C)Cc1nccc2cc(N(C)Cc3ncccc3-c3cccc4c3OCCOCCOCCOCCOCCO4)ccc12")</f>
        <v>CN(C)Cc1nccc2cc(N(C)Cc3ncccc3-c3cccc4c3OCCOCCOCCOCCOCCO4)ccc12</v>
      </c>
      <c r="C10291" s="7">
        <f>IFERROR(__xludf.DUMMYFUNCTION("""COMPUTED_VALUE"""),7.766233)</f>
        <v>7.766233</v>
      </c>
      <c r="D10291" s="7">
        <f>IFERROR(__xludf.DUMMYFUNCTION("""COMPUTED_VALUE"""),0.238805970149253)</f>
        <v>0.2388059701</v>
      </c>
    </row>
    <row r="10292">
      <c r="A10292" s="10" t="s">
        <v>11731</v>
      </c>
      <c r="B10292" s="7" t="str">
        <f>IFERROR(__xludf.DUMMYFUNCTION("SPLIT(A10292,"" "")"),"CNC1NC=CC=C1N(C)Cc1cccc(F)n1")</f>
        <v>CNC1NC=CC=C1N(C)Cc1cccc(F)n1</v>
      </c>
      <c r="C10292" s="7">
        <f>IFERROR(__xludf.DUMMYFUNCTION("""COMPUTED_VALUE"""),7.7662325)</f>
        <v>7.7662325</v>
      </c>
      <c r="D10292" s="7">
        <f>IFERROR(__xludf.DUMMYFUNCTION("""COMPUTED_VALUE"""),0.35593220338983)</f>
        <v>0.3559322034</v>
      </c>
    </row>
    <row r="10293">
      <c r="A10293" s="10" t="s">
        <v>11732</v>
      </c>
      <c r="B10293" s="7" t="str">
        <f>IFERROR(__xludf.DUMMYFUNCTION("SPLIT(A10293,"" "")"),"COC(C)c1nc(CN(Cc2ccccn2)Cc2ccccn2)c(CN(Cc2ccccn2)C(C)C)c(C)c1C")</f>
        <v>COC(C)c1nc(CN(Cc2ccccn2)Cc2ccccn2)c(CN(Cc2ccccn2)C(C)C)c(C)c1C</v>
      </c>
      <c r="C10293" s="7">
        <f>IFERROR(__xludf.DUMMYFUNCTION("""COMPUTED_VALUE"""),7.76622)</f>
        <v>7.76622</v>
      </c>
      <c r="D10293" s="7">
        <f>IFERROR(__xludf.DUMMYFUNCTION("""COMPUTED_VALUE"""),0.470588235294117)</f>
        <v>0.4705882353</v>
      </c>
    </row>
    <row r="10294">
      <c r="A10294" s="10" t="s">
        <v>11733</v>
      </c>
      <c r="B10294" s="7" t="str">
        <f>IFERROR(__xludf.DUMMYFUNCTION("SPLIT(A10294,"" "")"),"CCOC(C)c1cccc(CN(Cc2ccccn2)C2CCCCC2N(C)c2ccc3nc(CN(C)C)ccc3c2)n1")</f>
        <v>CCOC(C)c1cccc(CN(Cc2ccccn2)C2CCCCC2N(C)c2ccc3nc(CN(C)C)ccc3c2)n1</v>
      </c>
      <c r="C10294" s="7">
        <f>IFERROR(__xludf.DUMMYFUNCTION("""COMPUTED_VALUE"""),7.7662153)</f>
        <v>7.7662153</v>
      </c>
      <c r="D10294" s="7">
        <f>IFERROR(__xludf.DUMMYFUNCTION("""COMPUTED_VALUE"""),0.38235294117647)</f>
        <v>0.3823529412</v>
      </c>
    </row>
    <row r="10295">
      <c r="A10295" s="10" t="s">
        <v>11734</v>
      </c>
      <c r="B10295" s="7" t="str">
        <f>IFERROR(__xludf.DUMMYFUNCTION("SPLIT(A10295,"" "")"),"CN(Cc1cccc(N)n1)C1CCCCC1N(C)c1cccc2ncc(CF)cc12")</f>
        <v>CN(Cc1cccc(N)n1)C1CCCCC1N(C)c1cccc2ncc(CF)cc12</v>
      </c>
      <c r="C10295" s="7">
        <f>IFERROR(__xludf.DUMMYFUNCTION("""COMPUTED_VALUE"""),7.7662153)</f>
        <v>7.7662153</v>
      </c>
      <c r="D10295" s="7">
        <f>IFERROR(__xludf.DUMMYFUNCTION("""COMPUTED_VALUE"""),0.433333333333333)</f>
        <v>0.4333333333</v>
      </c>
    </row>
    <row r="10296">
      <c r="A10296" s="10" t="s">
        <v>11735</v>
      </c>
      <c r="B10296" s="7" t="str">
        <f>IFERROR(__xludf.DUMMYFUNCTION("SPLIT(A10296,"" "")"),"Cc1ccccc1CN(C)C1CCC(N(C)c2ccc3nccc(CF)c3c2)CC1")</f>
        <v>Cc1ccccc1CN(C)C1CCC(N(C)c2ccc3nccc(CF)c3c2)CC1</v>
      </c>
      <c r="C10296" s="7">
        <f>IFERROR(__xludf.DUMMYFUNCTION("""COMPUTED_VALUE"""),7.766214)</f>
        <v>7.766214</v>
      </c>
      <c r="D10296" s="7">
        <f>IFERROR(__xludf.DUMMYFUNCTION("""COMPUTED_VALUE"""),0.269841269841269)</f>
        <v>0.2698412698</v>
      </c>
    </row>
    <row r="10297">
      <c r="A10297" s="10" t="s">
        <v>11736</v>
      </c>
      <c r="B10297" s="7" t="str">
        <f>IFERROR(__xludf.DUMMYFUNCTION("SPLIT(A10297,"" "")"),"CC(C)NCc1cc(CN(Cc2ccccn2)C2CCCC(N(C)c3ccc4c(CF)ccnc4c3)C2)ccn1")</f>
        <v>CC(C)NCc1cc(CN(Cc2ccccn2)C2CCCC(N(C)c3ccc4c(CF)ccnc4c3)C2)ccn1</v>
      </c>
      <c r="C10297" s="7">
        <f>IFERROR(__xludf.DUMMYFUNCTION("""COMPUTED_VALUE"""),7.7662067)</f>
        <v>7.7662067</v>
      </c>
      <c r="D10297" s="7">
        <f>IFERROR(__xludf.DUMMYFUNCTION("""COMPUTED_VALUE"""),0.319444444444444)</f>
        <v>0.3194444444</v>
      </c>
    </row>
    <row r="10298">
      <c r="A10298" s="10" t="s">
        <v>11737</v>
      </c>
      <c r="B10298" s="7" t="str">
        <f>IFERROR(__xludf.DUMMYFUNCTION("SPLIT(A10298,"" "")"),"CC(N)C(C)N(C)CCN(C)c1ccc2cccnc2c1")</f>
        <v>CC(N)C(C)N(C)CCN(C)c1ccc2cccnc2c1</v>
      </c>
      <c r="C10298" s="7">
        <f>IFERROR(__xludf.DUMMYFUNCTION("""COMPUTED_VALUE"""),7.7661996)</f>
        <v>7.7661996</v>
      </c>
      <c r="D10298" s="7">
        <f>IFERROR(__xludf.DUMMYFUNCTION("""COMPUTED_VALUE"""),0.36734693877551)</f>
        <v>0.3673469388</v>
      </c>
    </row>
    <row r="10299">
      <c r="A10299" s="10" t="s">
        <v>11738</v>
      </c>
      <c r="B10299" s="7" t="str">
        <f>IFERROR(__xludf.DUMMYFUNCTION("SPLIT(A10299,"" "")"),"Cc1ccnc(CN(Cc2ccccn2)C2CCCCC2N(C)c2ccc3c(CN(C)C(C)C)nccc3c2)c1C")</f>
        <v>Cc1ccnc(CN(Cc2ccccn2)C2CCCCC2N(C)c2ccc3c(CN(C)C(C)C)nccc3c2)c1C</v>
      </c>
      <c r="C10299" s="7">
        <f>IFERROR(__xludf.DUMMYFUNCTION("""COMPUTED_VALUE"""),7.7661986)</f>
        <v>7.7661986</v>
      </c>
      <c r="D10299" s="7">
        <f>IFERROR(__xludf.DUMMYFUNCTION("""COMPUTED_VALUE"""),0.393939393939393)</f>
        <v>0.3939393939</v>
      </c>
    </row>
    <row r="10300">
      <c r="A10300" s="10" t="s">
        <v>11739</v>
      </c>
      <c r="B10300" s="7" t="str">
        <f>IFERROR(__xludf.DUMMYFUNCTION("SPLIT(A10300,"" "")"),"Cc1ccnc(CN(C)C2CCC(N(C)c3ccc4cccnc4c3)CC2)c1")</f>
        <v>Cc1ccnc(CN(C)C2CCC(N(C)c3ccc4cccnc4c3)CC2)c1</v>
      </c>
      <c r="C10300" s="7">
        <f>IFERROR(__xludf.DUMMYFUNCTION("""COMPUTED_VALUE"""),7.7661986)</f>
        <v>7.7661986</v>
      </c>
      <c r="D10300" s="7">
        <f>IFERROR(__xludf.DUMMYFUNCTION("""COMPUTED_VALUE"""),0.350877192982456)</f>
        <v>0.350877193</v>
      </c>
    </row>
    <row r="10301">
      <c r="A10301" s="10" t="s">
        <v>11740</v>
      </c>
      <c r="B10301" s="7" t="str">
        <f>IFERROR(__xludf.DUMMYFUNCTION("SPLIT(A10301,"" "")"),"Cc1cc(N)c(CN(C)Cc2ccccn2)cc1C")</f>
        <v>Cc1cc(N)c(CN(C)Cc2ccccn2)cc1C</v>
      </c>
      <c r="C10301" s="7">
        <f>IFERROR(__xludf.DUMMYFUNCTION("""COMPUTED_VALUE"""),7.766198)</f>
        <v>7.766198</v>
      </c>
      <c r="D10301" s="7">
        <f>IFERROR(__xludf.DUMMYFUNCTION("""COMPUTED_VALUE"""),0.5)</f>
        <v>0.5</v>
      </c>
    </row>
    <row r="10302">
      <c r="A10302" s="10" t="s">
        <v>11741</v>
      </c>
      <c r="B10302" s="7" t="str">
        <f>IFERROR(__xludf.DUMMYFUNCTION("SPLIT(A10302,"" "")"),"CCCN(C)C1=C(CN(C)Cc2nc(C)c(C)c(C)c2C)CC=CN1")</f>
        <v>CCCN(C)C1=C(CN(C)Cc2nc(C)c(C)c(C)c2C)CC=CN1</v>
      </c>
      <c r="C10302" s="7">
        <f>IFERROR(__xludf.DUMMYFUNCTION("""COMPUTED_VALUE"""),7.7661977)</f>
        <v>7.7661977</v>
      </c>
      <c r="D10302" s="7">
        <f>IFERROR(__xludf.DUMMYFUNCTION("""COMPUTED_VALUE"""),0.210526315789473)</f>
        <v>0.2105263158</v>
      </c>
    </row>
    <row r="10303">
      <c r="A10303" s="10" t="s">
        <v>11742</v>
      </c>
      <c r="B10303" s="7" t="str">
        <f>IFERROR(__xludf.DUMMYFUNCTION("SPLIT(A10303,"" "")"),"CC1=C(C)CC2(C=CC3(C=CNC(C(C)C)=C3)C(c3cccc(CN(Cc4ccccn4)Cc4ccccn4)n3)C2c2cccc(CN(Cc3ccccn3)Cc3ccccn3)n2)C(C)C1")</f>
        <v>CC1=C(C)CC2(C=CC3(C=CNC(C(C)C)=C3)C(c3cccc(CN(Cc4ccccn4)Cc4ccccn4)n3)C2c2cccc(CN(Cc3ccccn3)Cc3ccccn3)n2)C(C)C1</v>
      </c>
      <c r="C10303" s="7">
        <f>IFERROR(__xludf.DUMMYFUNCTION("""COMPUTED_VALUE"""),7.766179)</f>
        <v>7.766179</v>
      </c>
      <c r="D10303" s="7">
        <f>IFERROR(__xludf.DUMMYFUNCTION("""COMPUTED_VALUE"""),0.31578947368421)</f>
        <v>0.3157894737</v>
      </c>
    </row>
    <row r="10304">
      <c r="A10304" s="10" t="s">
        <v>11743</v>
      </c>
      <c r="B10304" s="7" t="str">
        <f>IFERROR(__xludf.DUMMYFUNCTION("SPLIT(A10304,"" "")"),"CN(Cc1ccccn1)C1CCC(N(C)c2ccc3c(CF)ccnc3c2)CC1")</f>
        <v>CN(Cc1ccccn1)C1CCC(N(C)c2ccc3c(CF)ccnc3c2)CC1</v>
      </c>
      <c r="C10304" s="7">
        <f>IFERROR(__xludf.DUMMYFUNCTION("""COMPUTED_VALUE"""),7.7661715)</f>
        <v>7.7661715</v>
      </c>
      <c r="D10304" s="7">
        <f>IFERROR(__xludf.DUMMYFUNCTION("""COMPUTED_VALUE"""),0.436363636363636)</f>
        <v>0.4363636364</v>
      </c>
    </row>
    <row r="10305">
      <c r="A10305" s="10" t="s">
        <v>11744</v>
      </c>
      <c r="B10305" s="7" t="str">
        <f>IFERROR(__xludf.DUMMYFUNCTION("SPLIT(A10305,"" "")"),"Cc1cccnc1CN(C)Cc1cccc(C(C)(c2cccnc2)C(C)C)n1")</f>
        <v>Cc1cccnc1CN(C)Cc1cccc(C(C)(c2cccnc2)C(C)C)n1</v>
      </c>
      <c r="C10305" s="7">
        <f>IFERROR(__xludf.DUMMYFUNCTION("""COMPUTED_VALUE"""),7.766165)</f>
        <v>7.766165</v>
      </c>
      <c r="D10305" s="7">
        <f>IFERROR(__xludf.DUMMYFUNCTION("""COMPUTED_VALUE"""),0.35)</f>
        <v>0.35</v>
      </c>
    </row>
    <row r="10306">
      <c r="A10306" s="10" t="s">
        <v>11745</v>
      </c>
      <c r="B10306" s="7" t="str">
        <f>IFERROR(__xludf.DUMMYFUNCTION("SPLIT(A10306,"" "")"),"Cc1ccc(N(C)Cc2ccccn2)c(-c2ccc(CN(C)C3CCC(N(C)Cc4ccccn4)CC3)nc2)c1")</f>
        <v>Cc1ccc(N(C)Cc2ccccn2)c(-c2ccc(CN(C)C3CCC(N(C)Cc4ccccn4)CC3)nc2)c1</v>
      </c>
      <c r="C10306" s="7">
        <f>IFERROR(__xludf.DUMMYFUNCTION("""COMPUTED_VALUE"""),7.766164)</f>
        <v>7.766164</v>
      </c>
      <c r="D10306" s="7">
        <f>IFERROR(__xludf.DUMMYFUNCTION("""COMPUTED_VALUE"""),0.444444444444444)</f>
        <v>0.4444444444</v>
      </c>
    </row>
    <row r="10307">
      <c r="A10307" s="10" t="s">
        <v>11746</v>
      </c>
      <c r="B10307" s="7" t="str">
        <f>IFERROR(__xludf.DUMMYFUNCTION("SPLIT(A10307,"" "")"),"CN(c1cccc2ncc(CF)cc12)C1CCCCC1N(Cc1ccccn1)Cc1cccc(F)n1")</f>
        <v>CN(c1cccc2ncc(CF)cc12)C1CCCCC1N(Cc1ccccn1)Cc1cccc(F)n1</v>
      </c>
      <c r="C10307" s="7">
        <f>IFERROR(__xludf.DUMMYFUNCTION("""COMPUTED_VALUE"""),7.7661576)</f>
        <v>7.7661576</v>
      </c>
      <c r="D10307" s="7">
        <f>IFERROR(__xludf.DUMMYFUNCTION("""COMPUTED_VALUE"""),0.40625)</f>
        <v>0.40625</v>
      </c>
    </row>
    <row r="10308">
      <c r="A10308" s="10" t="s">
        <v>11747</v>
      </c>
      <c r="B10308" s="7" t="str">
        <f>IFERROR(__xludf.DUMMYFUNCTION("SPLIT(A10308,"" "")"),"COC(=O)C(C)NCc1nc(C)c(CN(Cc2ccccn2)Cc2ccccn2)cc1C")</f>
        <v>COC(=O)C(C)NCc1nc(C)c(CN(Cc2ccccn2)Cc2ccccn2)cc1C</v>
      </c>
      <c r="C10308" s="7">
        <f>IFERROR(__xludf.DUMMYFUNCTION("""COMPUTED_VALUE"""),7.766157)</f>
        <v>7.766157</v>
      </c>
      <c r="D10308" s="7">
        <f>IFERROR(__xludf.DUMMYFUNCTION("""COMPUTED_VALUE"""),0.393939393939393)</f>
        <v>0.3939393939</v>
      </c>
    </row>
    <row r="10309">
      <c r="A10309" s="10" t="s">
        <v>11748</v>
      </c>
      <c r="B10309" s="7" t="str">
        <f>IFERROR(__xludf.DUMMYFUNCTION("SPLIT(A10309,"" "")"),"CNCc1cc(CN(Cc2ccccn2)C2CCC(N(C)c3cccc4c(CF)ccnc34)CC2)ccn1")</f>
        <v>CNCc1cc(CN(Cc2ccccn2)C2CCC(N(C)c3cccc4c(CF)ccnc34)CC2)ccn1</v>
      </c>
      <c r="C10309" s="7">
        <f>IFERROR(__xludf.DUMMYFUNCTION("""COMPUTED_VALUE"""),7.766139)</f>
        <v>7.766139</v>
      </c>
      <c r="D10309" s="7">
        <f>IFERROR(__xludf.DUMMYFUNCTION("""COMPUTED_VALUE"""),0.318840579710144)</f>
        <v>0.3188405797</v>
      </c>
    </row>
    <row r="10310">
      <c r="A10310" s="10" t="s">
        <v>11749</v>
      </c>
      <c r="B10310" s="7" t="str">
        <f>IFERROR(__xludf.DUMMYFUNCTION("SPLIT(A10310,"" "")"),"CNCc1ccc(CN(C)C2=C(CN(C)Cc3ccccn3)NC=CC2)cn1")</f>
        <v>CNCc1ccc(CN(C)C2=C(CN(C)Cc3ccccn3)NC=CC2)cn1</v>
      </c>
      <c r="C10310" s="7">
        <f>IFERROR(__xludf.DUMMYFUNCTION("""COMPUTED_VALUE"""),7.7661357)</f>
        <v>7.7661357</v>
      </c>
      <c r="D10310" s="7">
        <f>IFERROR(__xludf.DUMMYFUNCTION("""COMPUTED_VALUE"""),0.349206349206349)</f>
        <v>0.3492063492</v>
      </c>
    </row>
    <row r="10311">
      <c r="A10311" s="10" t="s">
        <v>11750</v>
      </c>
      <c r="B10311" s="7" t="str">
        <f>IFERROR(__xludf.DUMMYFUNCTION("SPLIT(A10311,"" "")"),"CN(C)Cc1cnc2cccc(N(C)C3CCCC(N(Cc4ccc(C5CCC5(C)C)nc4)Cc4ccccn4)C3)c2c1")</f>
        <v>CN(C)Cc1cnc2cccc(N(C)C3CCCC(N(Cc4ccc(C5CCC5(C)C)nc4)Cc4ccccn4)C3)c2c1</v>
      </c>
      <c r="C10311" s="7">
        <f>IFERROR(__xludf.DUMMYFUNCTION("""COMPUTED_VALUE"""),7.766134)</f>
        <v>7.766134</v>
      </c>
      <c r="D10311" s="7">
        <f>IFERROR(__xludf.DUMMYFUNCTION("""COMPUTED_VALUE"""),0.302631578947368)</f>
        <v>0.3026315789</v>
      </c>
    </row>
    <row r="10312">
      <c r="A10312" s="10" t="s">
        <v>11751</v>
      </c>
      <c r="B10312" s="7" t="str">
        <f>IFERROR(__xludf.DUMMYFUNCTION("SPLIT(A10312,"" "")"),"Cc1ccc(CN(C)C2CCC(N(C)c3ccc4cc(CF)cnc4c3)CC2)nc1")</f>
        <v>Cc1ccc(CN(C)C2CCC(N(C)c3ccc4cc(CF)cnc4c3)CC2)nc1</v>
      </c>
      <c r="C10312" s="7">
        <f>IFERROR(__xludf.DUMMYFUNCTION("""COMPUTED_VALUE"""),7.7661314)</f>
        <v>7.7661314</v>
      </c>
      <c r="D10312" s="7">
        <f>IFERROR(__xludf.DUMMYFUNCTION("""COMPUTED_VALUE"""),0.446428571428571)</f>
        <v>0.4464285714</v>
      </c>
    </row>
    <row r="10313">
      <c r="A10313" s="10" t="s">
        <v>11752</v>
      </c>
      <c r="B10313" s="7" t="str">
        <f>IFERROR(__xludf.DUMMYFUNCTION("SPLIT(A10313,"" "")"),"CC1C=CC(N(C)Cc2ncccc2C(C)(C)C)c2cccnc21")</f>
        <v>CC1C=CC(N(C)Cc2ncccc2C(C)(C)C)c2cccnc21</v>
      </c>
      <c r="C10313" s="7">
        <f>IFERROR(__xludf.DUMMYFUNCTION("""COMPUTED_VALUE"""),7.76613)</f>
        <v>7.76613</v>
      </c>
      <c r="D10313" s="7">
        <f>IFERROR(__xludf.DUMMYFUNCTION("""COMPUTED_VALUE"""),0.267857142857142)</f>
        <v>0.2678571429</v>
      </c>
    </row>
    <row r="10314">
      <c r="A10314" s="10" t="s">
        <v>11753</v>
      </c>
      <c r="B10314" s="7" t="str">
        <f>IFERROR(__xludf.DUMMYFUNCTION("SPLIT(A10314,"" "")"),"CC1C=Cc2ccccc2C1N(C)Cc1ccccn1")</f>
        <v>CC1C=Cc2ccccc2C1N(C)Cc1ccccn1</v>
      </c>
      <c r="C10314" s="7">
        <f>IFERROR(__xludf.DUMMYFUNCTION("""COMPUTED_VALUE"""),7.766112)</f>
        <v>7.766112</v>
      </c>
      <c r="D10314" s="7">
        <f>IFERROR(__xludf.DUMMYFUNCTION("""COMPUTED_VALUE"""),0.478260869565217)</f>
        <v>0.4782608696</v>
      </c>
    </row>
    <row r="10315">
      <c r="A10315" s="10" t="s">
        <v>11754</v>
      </c>
      <c r="B10315" s="7" t="str">
        <f>IFERROR(__xludf.DUMMYFUNCTION("SPLIT(A10315,"" "")"),"Cc1ccc(CN(C)Cc2ccc3cc(N(C)Cc4cccc(-c5ccc6c(c5)OCCOCCOCCOCCOCCO6)n4)ccc3n2)nc1")</f>
        <v>Cc1ccc(CN(C)Cc2ccc3cc(N(C)Cc4cccc(-c5ccc6c(c5)OCCOCCOCCOCCOCCO6)n4)ccc3n2)nc1</v>
      </c>
      <c r="C10315" s="7">
        <f>IFERROR(__xludf.DUMMYFUNCTION("""COMPUTED_VALUE"""),7.766111)</f>
        <v>7.766111</v>
      </c>
      <c r="D10315" s="7">
        <f>IFERROR(__xludf.DUMMYFUNCTION("""COMPUTED_VALUE"""),0.359375)</f>
        <v>0.359375</v>
      </c>
    </row>
    <row r="10316">
      <c r="A10316" s="10" t="s">
        <v>11755</v>
      </c>
      <c r="B10316" s="7" t="str">
        <f>IFERROR(__xludf.DUMMYFUNCTION("SPLIT(A10316,"" "")"),"CN(c1ccc2nc(CF)ccc2c1)C1CCCCC1N(Cc1cccc(F)n1)Cc1cccnc1F")</f>
        <v>CN(c1ccc2nc(CF)ccc2c1)C1CCCCC1N(Cc1cccc(F)n1)Cc1cccnc1F</v>
      </c>
      <c r="C10316" s="7">
        <f>IFERROR(__xludf.DUMMYFUNCTION("""COMPUTED_VALUE"""),7.7661104)</f>
        <v>7.7661104</v>
      </c>
      <c r="D10316" s="7">
        <f>IFERROR(__xludf.DUMMYFUNCTION("""COMPUTED_VALUE"""),0.426470588235294)</f>
        <v>0.4264705882</v>
      </c>
    </row>
    <row r="10317">
      <c r="A10317" s="10" t="s">
        <v>11756</v>
      </c>
      <c r="B10317" s="7" t="str">
        <f>IFERROR(__xludf.DUMMYFUNCTION("SPLIT(A10317,"" "")"),"Cc1cnc(CN(Cc2ncccc2C(C)(C)C)C(C)C)c(C)c1")</f>
        <v>Cc1cnc(CN(Cc2ncccc2C(C)(C)C)C(C)C)c(C)c1</v>
      </c>
      <c r="C10317" s="7">
        <f>IFERROR(__xludf.DUMMYFUNCTION("""COMPUTED_VALUE"""),7.76611)</f>
        <v>7.76611</v>
      </c>
      <c r="D10317" s="7">
        <f>IFERROR(__xludf.DUMMYFUNCTION("""COMPUTED_VALUE"""),0.36)</f>
        <v>0.36</v>
      </c>
    </row>
    <row r="10318">
      <c r="A10318" s="10" t="s">
        <v>11757</v>
      </c>
      <c r="B10318" s="7" t="str">
        <f>IFERROR(__xludf.DUMMYFUNCTION("SPLIT(A10318,"" "")"),"CC(C)NCc1cc(C(C)(C)c2ccccn2)ccn1")</f>
        <v>CC(C)NCc1cc(C(C)(C)c2ccccn2)ccn1</v>
      </c>
      <c r="C10318" s="7">
        <f>IFERROR(__xludf.DUMMYFUNCTION("""COMPUTED_VALUE"""),7.7661076)</f>
        <v>7.7661076</v>
      </c>
      <c r="D10318" s="7">
        <f>IFERROR(__xludf.DUMMYFUNCTION("""COMPUTED_VALUE"""),0.333333333333333)</f>
        <v>0.3333333333</v>
      </c>
    </row>
    <row r="10319">
      <c r="A10319" s="10" t="s">
        <v>11758</v>
      </c>
      <c r="B10319" s="7" t="str">
        <f>IFERROR(__xludf.DUMMYFUNCTION("SPLIT(A10319,"" "")"),"CC1CC(c2cccc(CN(C)C3CCC(N(C)c4ccc5ccc(CN(C)C)nc5c4)CC3)n2)C1")</f>
        <v>CC1CC(c2cccc(CN(C)C3CCC(N(C)c4ccc5ccc(CN(C)C)nc5c4)CC3)n2)C1</v>
      </c>
      <c r="C10319" s="7">
        <f>IFERROR(__xludf.DUMMYFUNCTION("""COMPUTED_VALUE"""),7.7661057)</f>
        <v>7.7661057</v>
      </c>
      <c r="D10319" s="7">
        <f>IFERROR(__xludf.DUMMYFUNCTION("""COMPUTED_VALUE"""),0.32258064516129)</f>
        <v>0.3225806452</v>
      </c>
    </row>
    <row r="10320">
      <c r="A10320" s="10" t="s">
        <v>11759</v>
      </c>
      <c r="B10320" s="7" t="str">
        <f>IFERROR(__xludf.DUMMYFUNCTION("SPLIT(A10320,"" "")"),"CNc1ccccn1")</f>
        <v>CNc1ccccn1</v>
      </c>
      <c r="C10320" s="7">
        <f>IFERROR(__xludf.DUMMYFUNCTION("""COMPUTED_VALUE"""),7.766103)</f>
        <v>7.766103</v>
      </c>
      <c r="D10320" s="7">
        <f>IFERROR(__xludf.DUMMYFUNCTION("""COMPUTED_VALUE"""),0.366666666666666)</f>
        <v>0.3666666667</v>
      </c>
    </row>
    <row r="10321">
      <c r="A10321" s="10" t="s">
        <v>11760</v>
      </c>
      <c r="B10321" s="7" t="str">
        <f>IFERROR(__xludf.DUMMYFUNCTION("SPLIT(A10321,"" "")"),"Cc1cc(CN(Cc2ccccn2)Cc2ncccc2C(C)(C)C)ccn1")</f>
        <v>Cc1cc(CN(Cc2ccccn2)Cc2ncccc2C(C)(C)C)ccn1</v>
      </c>
      <c r="C10321" s="7">
        <f>IFERROR(__xludf.DUMMYFUNCTION("""COMPUTED_VALUE"""),7.7660985)</f>
        <v>7.7660985</v>
      </c>
      <c r="D10321" s="7">
        <f>IFERROR(__xludf.DUMMYFUNCTION("""COMPUTED_VALUE"""),0.454545454545454)</f>
        <v>0.4545454545</v>
      </c>
    </row>
    <row r="10322">
      <c r="A10322" s="10" t="s">
        <v>11761</v>
      </c>
      <c r="B10322" s="7" t="str">
        <f>IFERROR(__xludf.DUMMYFUNCTION("SPLIT(A10322,"" "")"),"CN(c1cccc2ncccc12)C1CCCC(N(Cc2cccnc2)Cc2ccccn2)C1")</f>
        <v>CN(c1cccc2ncccc12)C1CCCC(N(Cc2cccnc2)Cc2ccccn2)C1</v>
      </c>
      <c r="C10322" s="7">
        <f>IFERROR(__xludf.DUMMYFUNCTION("""COMPUTED_VALUE"""),7.7660966)</f>
        <v>7.7660966</v>
      </c>
      <c r="D10322" s="7">
        <f>IFERROR(__xludf.DUMMYFUNCTION("""COMPUTED_VALUE"""),0.370967741935483)</f>
        <v>0.3709677419</v>
      </c>
    </row>
    <row r="10323">
      <c r="A10323" s="10" t="s">
        <v>11762</v>
      </c>
      <c r="B10323" s="7" t="str">
        <f>IFERROR(__xludf.DUMMYFUNCTION("SPLIT(A10323,"" "")"),"Cc1cc(C)c(CN(C)CCN(C)Cc2nc(C)c(C)c(C)c2C)cn1")</f>
        <v>Cc1cc(C)c(CN(C)CCN(C)Cc2nc(C)c(C)c(C)c2C)cn1</v>
      </c>
      <c r="C10323" s="7">
        <f>IFERROR(__xludf.DUMMYFUNCTION("""COMPUTED_VALUE"""),7.766092)</f>
        <v>7.766092</v>
      </c>
      <c r="D10323" s="7">
        <f>IFERROR(__xludf.DUMMYFUNCTION("""COMPUTED_VALUE"""),0.32)</f>
        <v>0.32</v>
      </c>
    </row>
    <row r="10324">
      <c r="A10324" s="10" t="s">
        <v>11763</v>
      </c>
      <c r="B10324" s="7" t="str">
        <f>IFERROR(__xludf.DUMMYFUNCTION("SPLIT(A10324,"" "")"),"CC(C)NCC1=CCC=C(N(C)Cc2ccccn2)N1")</f>
        <v>CC(C)NCC1=CCC=C(N(C)Cc2ccccn2)N1</v>
      </c>
      <c r="C10324" s="7">
        <f>IFERROR(__xludf.DUMMYFUNCTION("""COMPUTED_VALUE"""),7.76609)</f>
        <v>7.76609</v>
      </c>
      <c r="D10324" s="7">
        <f>IFERROR(__xludf.DUMMYFUNCTION("""COMPUTED_VALUE"""),0.423076923076923)</f>
        <v>0.4230769231</v>
      </c>
    </row>
    <row r="10325">
      <c r="A10325" s="10" t="s">
        <v>11764</v>
      </c>
      <c r="B10325" s="7" t="str">
        <f>IFERROR(__xludf.DUMMYFUNCTION("SPLIT(A10325,"" "")"),"CN(C)Cc1cnc2cc(N(C)C3CCC(N(CC4=CCC=CN4)Cc4ccccn4)CC3)ccc2c1")</f>
        <v>CN(C)Cc1cnc2cc(N(C)C3CCC(N(CC4=CCC=CN4)Cc4ccccn4)CC3)ccc2c1</v>
      </c>
      <c r="C10325" s="7">
        <f>IFERROR(__xludf.DUMMYFUNCTION("""COMPUTED_VALUE"""),7.766084)</f>
        <v>7.766084</v>
      </c>
      <c r="D10325" s="7">
        <f>IFERROR(__xludf.DUMMYFUNCTION("""COMPUTED_VALUE"""),0.462686567164179)</f>
        <v>0.4626865672</v>
      </c>
    </row>
    <row r="10326">
      <c r="A10326" s="10" t="s">
        <v>11765</v>
      </c>
      <c r="B10326" s="7" t="str">
        <f>IFERROR(__xludf.DUMMYFUNCTION("SPLIT(A10326,"" "")"),"Cc1cccc(CN(C)C2CCCC(N(Cc3ccccn3)Cc3cccc(-c4cccc(N(C)C)c4)n3)C2)n1")</f>
        <v>Cc1cccc(CN(C)C2CCCC(N(Cc3ccccn3)Cc3cccc(-c4cccc(N(C)C)c4)n3)C2)n1</v>
      </c>
      <c r="C10326" s="7">
        <f>IFERROR(__xludf.DUMMYFUNCTION("""COMPUTED_VALUE"""),7.766078)</f>
        <v>7.766078</v>
      </c>
      <c r="D10326" s="7">
        <f>IFERROR(__xludf.DUMMYFUNCTION("""COMPUTED_VALUE"""),0.44776119402985)</f>
        <v>0.447761194</v>
      </c>
    </row>
    <row r="10327">
      <c r="A10327" s="10" t="s">
        <v>11766</v>
      </c>
      <c r="B10327" s="7" t="str">
        <f>IFERROR(__xludf.DUMMYFUNCTION("SPLIT(A10327,"" "")"),"Cc1cc(CN(C)Cc2cccc(N(C)C(C)C)n2)ccn1")</f>
        <v>Cc1cc(CN(C)Cc2cccc(N(C)C(C)C)n2)ccn1</v>
      </c>
      <c r="C10327" s="7">
        <f>IFERROR(__xludf.DUMMYFUNCTION("""COMPUTED_VALUE"""),7.766078)</f>
        <v>7.766078</v>
      </c>
      <c r="D10327" s="7">
        <f>IFERROR(__xludf.DUMMYFUNCTION("""COMPUTED_VALUE"""),0.434782608695652)</f>
        <v>0.4347826087</v>
      </c>
    </row>
    <row r="10328">
      <c r="A10328" s="10" t="s">
        <v>11767</v>
      </c>
      <c r="B10328" s="7" t="str">
        <f>IFERROR(__xludf.DUMMYFUNCTION("SPLIT(A10328,"" "")"),"Cc1cncc(CN(C)C2CCCCC2N(C)c2cccc3c(CF)ccnc23)c1")</f>
        <v>Cc1cncc(CN(C)C2CCCCC2N(C)c2cccc3c(CF)ccnc23)c1</v>
      </c>
      <c r="C10328" s="7">
        <f>IFERROR(__xludf.DUMMYFUNCTION("""COMPUTED_VALUE"""),7.7660737)</f>
        <v>7.7660737</v>
      </c>
      <c r="D10328" s="7">
        <f>IFERROR(__xludf.DUMMYFUNCTION("""COMPUTED_VALUE"""),0.419354838709677)</f>
        <v>0.4193548387</v>
      </c>
    </row>
    <row r="10329">
      <c r="A10329" s="10" t="s">
        <v>11768</v>
      </c>
      <c r="B10329" s="7" t="str">
        <f>IFERROR(__xludf.DUMMYFUNCTION("SPLIT(A10329,"" "")"),"CNCc1cc(CN(Cc2cc(C)ccn2)C2CCC(N(C)c3ccc4nc(CF)ccc4c3)CC2)ccn1")</f>
        <v>CNCc1cc(CN(Cc2cc(C)ccn2)C2CCC(N(C)c3ccc4nc(CF)ccc4c3)CC2)ccn1</v>
      </c>
      <c r="C10329" s="7">
        <f>IFERROR(__xludf.DUMMYFUNCTION("""COMPUTED_VALUE"""),7.7660737)</f>
        <v>7.7660737</v>
      </c>
      <c r="D10329" s="7">
        <f>IFERROR(__xludf.DUMMYFUNCTION("""COMPUTED_VALUE"""),0.276315789473684)</f>
        <v>0.2763157895</v>
      </c>
    </row>
    <row r="10330">
      <c r="A10330" s="10" t="s">
        <v>11769</v>
      </c>
      <c r="B10330" s="7" t="str">
        <f>IFERROR(__xludf.DUMMYFUNCTION("SPLIT(A10330,"" "")"),"Cc1cncc(CN(C)Cc2ccc(N)cn2)c1")</f>
        <v>Cc1cncc(CN(C)Cc2ccc(N)cn2)c1</v>
      </c>
      <c r="C10330" s="7">
        <f>IFERROR(__xludf.DUMMYFUNCTION("""COMPUTED_VALUE"""),7.766071)</f>
        <v>7.766071</v>
      </c>
      <c r="D10330" s="7">
        <f>IFERROR(__xludf.DUMMYFUNCTION("""COMPUTED_VALUE"""),0.452380952380952)</f>
        <v>0.4523809524</v>
      </c>
    </row>
    <row r="10331">
      <c r="A10331" s="10" t="s">
        <v>11770</v>
      </c>
      <c r="B10331" s="7" t="str">
        <f>IFERROR(__xludf.DUMMYFUNCTION("SPLIT(A10331,"" "")"),"Cc1ccc(CN(C)c2ccc3nc(CN(C)Cc4cccc(-c5ccc6c(c5)OCCOCCOCCOCCOCCO6)n4)ccc3c2)nc1")</f>
        <v>Cc1ccc(CN(C)c2ccc3nc(CN(C)Cc4cccc(-c5ccc6c(c5)OCCOCCOCCOCCOCCO6)n4)ccc3c2)nc1</v>
      </c>
      <c r="C10331" s="7">
        <f>IFERROR(__xludf.DUMMYFUNCTION("""COMPUTED_VALUE"""),7.76607)</f>
        <v>7.76607</v>
      </c>
      <c r="D10331" s="7">
        <f>IFERROR(__xludf.DUMMYFUNCTION("""COMPUTED_VALUE"""),0.359375)</f>
        <v>0.359375</v>
      </c>
    </row>
    <row r="10332">
      <c r="A10332" s="10" t="s">
        <v>11771</v>
      </c>
      <c r="B10332" s="7" t="str">
        <f>IFERROR(__xludf.DUMMYFUNCTION("SPLIT(A10332,"" "")"),"Cc1nc(CN(C)C2C=CNC(CN(C)Cc3ccccn3)=C2)c(C)c(C)c1C")</f>
        <v>Cc1nc(CN(C)C2C=CNC(CN(C)Cc3ccccn3)=C2)c(C)c(C)c1C</v>
      </c>
      <c r="C10332" s="7">
        <f>IFERROR(__xludf.DUMMYFUNCTION("""COMPUTED_VALUE"""),7.7660666)</f>
        <v>7.7660666</v>
      </c>
      <c r="D10332" s="7">
        <f>IFERROR(__xludf.DUMMYFUNCTION("""COMPUTED_VALUE"""),0.389830508474576)</f>
        <v>0.3898305085</v>
      </c>
    </row>
    <row r="10333">
      <c r="A10333" s="10" t="s">
        <v>11772</v>
      </c>
      <c r="B10333" s="7" t="str">
        <f>IFERROR(__xludf.DUMMYFUNCTION("SPLIT(A10333,"" "")"),"COC(C)c1cc(CNCc2cc(C(=O)C(C)N)ccn2)ccn1")</f>
        <v>COC(C)c1cc(CNCc2cc(C(=O)C(C)N)ccn2)ccn1</v>
      </c>
      <c r="C10333" s="7">
        <f>IFERROR(__xludf.DUMMYFUNCTION("""COMPUTED_VALUE"""),7.7660627)</f>
        <v>7.7660627</v>
      </c>
      <c r="D10333" s="7">
        <f>IFERROR(__xludf.DUMMYFUNCTION("""COMPUTED_VALUE"""),0.279411764705882)</f>
        <v>0.2794117647</v>
      </c>
    </row>
    <row r="10334">
      <c r="A10334" s="10" t="s">
        <v>11773</v>
      </c>
      <c r="B10334" s="7" t="str">
        <f>IFERROR(__xludf.DUMMYFUNCTION("SPLIT(A10334,"" "")"),"CN(C)Cc1nccc2cc(N(C)C3CCCCC3N(CC3=CCC=CN3)Cc3ccccn3)ccc12")</f>
        <v>CN(C)Cc1nccc2cc(N(C)C3CCCCC3N(CC3=CCC=CN3)Cc3ccccn3)ccc12</v>
      </c>
      <c r="C10334" s="7">
        <f>IFERROR(__xludf.DUMMYFUNCTION("""COMPUTED_VALUE"""),7.7660623)</f>
        <v>7.7660623</v>
      </c>
      <c r="D10334" s="7">
        <f>IFERROR(__xludf.DUMMYFUNCTION("""COMPUTED_VALUE"""),0.44927536231884)</f>
        <v>0.4492753623</v>
      </c>
    </row>
    <row r="10335">
      <c r="A10335" s="10" t="s">
        <v>11774</v>
      </c>
      <c r="B10335" s="7" t="str">
        <f>IFERROR(__xludf.DUMMYFUNCTION("SPLIT(A10335,"" "")"),"CCCN(CC1=CCC(N(C)Cc2nc(C)c(C)c(C)c2C)=CN1)Cc1ccccn1")</f>
        <v>CCCN(CC1=CCC(N(C)Cc2nc(C)c(C)c(C)c2C)=CN1)Cc1ccccn1</v>
      </c>
      <c r="C10335" s="7">
        <f>IFERROR(__xludf.DUMMYFUNCTION("""COMPUTED_VALUE"""),7.7660584)</f>
        <v>7.7660584</v>
      </c>
      <c r="D10335" s="7">
        <f>IFERROR(__xludf.DUMMYFUNCTION("""COMPUTED_VALUE"""),0.40625)</f>
        <v>0.40625</v>
      </c>
    </row>
    <row r="10336">
      <c r="A10336" s="10" t="s">
        <v>11775</v>
      </c>
      <c r="B10336" s="7" t="str">
        <f>IFERROR(__xludf.DUMMYFUNCTION("SPLIT(A10336,"" "")"),"CC1=CCC(C)(c2cccc(CN(Cc3ccccn3)C3CCCC(N(C)c4ccc5cc(CN(C)C)cnc5c4)C3)n2)C(C)C1")</f>
        <v>CC1=CCC(C)(c2cccc(CN(Cc3ccccn3)C3CCCC(N(C)c4ccc5cc(CN(C)C)cnc5c4)C3)n2)C(C)C1</v>
      </c>
      <c r="C10336" s="7">
        <f>IFERROR(__xludf.DUMMYFUNCTION("""COMPUTED_VALUE"""),7.7660546)</f>
        <v>7.7660546</v>
      </c>
      <c r="D10336" s="7">
        <f>IFERROR(__xludf.DUMMYFUNCTION("""COMPUTED_VALUE"""),0.2875)</f>
        <v>0.2875</v>
      </c>
    </row>
    <row r="10337">
      <c r="A10337" s="10" t="s">
        <v>11776</v>
      </c>
      <c r="B10337" s="7" t="str">
        <f>IFERROR(__xludf.DUMMYFUNCTION("SPLIT(A10337,"" "")"),"CNC1CCC(N(Cc2nc([SiH3])c(C)cc2C)Cc2nc([SiH3])c(C)c(C)c2C)CC1N(Cc1nc(C)c(C)c(C)c1C)Cc1nc(C)c([SiH3])c(C)c1C")</f>
        <v>CNC1CCC(N(Cc2nc([SiH3])c(C)cc2C)Cc2nc([SiH3])c(C)c(C)c2C)CC1N(Cc1nc(C)c(C)c(C)c1C)Cc1nc(C)c([SiH3])c(C)c1C</v>
      </c>
      <c r="C10337" s="7">
        <f>IFERROR(__xludf.DUMMYFUNCTION("""COMPUTED_VALUE"""),7.766052)</f>
        <v>7.766052</v>
      </c>
      <c r="D10337" s="7">
        <f>IFERROR(__xludf.DUMMYFUNCTION("""COMPUTED_VALUE"""),0.175675675675675)</f>
        <v>0.1756756757</v>
      </c>
    </row>
    <row r="10338">
      <c r="A10338" s="10" t="s">
        <v>11777</v>
      </c>
      <c r="B10338" s="7" t="str">
        <f>IFERROR(__xludf.DUMMYFUNCTION("SPLIT(A10338,"" "")"),"Fc1ccc(CN(Cc2ccc3ncccc3c2)C2CCCCC2N(Cc2ccccn2)c2ccccc2F)cn1")</f>
        <v>Fc1ccc(CN(Cc2ccc3ncccc3c2)C2CCCCC2N(Cc2ccccn2)c2ccccc2F)cn1</v>
      </c>
      <c r="C10338" s="7">
        <f>IFERROR(__xludf.DUMMYFUNCTION("""COMPUTED_VALUE"""),7.766047)</f>
        <v>7.766047</v>
      </c>
      <c r="D10338" s="7">
        <f>IFERROR(__xludf.DUMMYFUNCTION("""COMPUTED_VALUE"""),0.363636363636363)</f>
        <v>0.3636363636</v>
      </c>
    </row>
    <row r="10339">
      <c r="A10339" s="10" t="s">
        <v>11778</v>
      </c>
      <c r="B10339" s="7" t="str">
        <f>IFERROR(__xludf.DUMMYFUNCTION("SPLIT(A10339,"" "")"),"CC(C)c1ccc(CN(Cc2ccccn2)Cc2ccc(N)cn2)cn1")</f>
        <v>CC(C)c1ccc(CN(Cc2ccccn2)Cc2ccc(N)cn2)cn1</v>
      </c>
      <c r="C10339" s="7">
        <f>IFERROR(__xludf.DUMMYFUNCTION("""COMPUTED_VALUE"""),7.766047)</f>
        <v>7.766047</v>
      </c>
      <c r="D10339" s="7">
        <f>IFERROR(__xludf.DUMMYFUNCTION("""COMPUTED_VALUE"""),0.465116279069767)</f>
        <v>0.4651162791</v>
      </c>
    </row>
    <row r="10340">
      <c r="A10340" s="10" t="s">
        <v>11779</v>
      </c>
      <c r="B10340" s="7" t="str">
        <f>IFERROR(__xludf.DUMMYFUNCTION("SPLIT(A10340,"" "")"),"Cc1cc(CN(C)CC2=CC(N(C)Cc3ncc(C)c(C)c3C)C=CN2)ccn1")</f>
        <v>Cc1cc(CN(C)CC2=CC(N(C)Cc3ncc(C)c(C)c3C)C=CN2)ccn1</v>
      </c>
      <c r="C10340" s="7">
        <f>IFERROR(__xludf.DUMMYFUNCTION("""COMPUTED_VALUE"""),7.7660446)</f>
        <v>7.7660446</v>
      </c>
      <c r="D10340" s="7">
        <f>IFERROR(__xludf.DUMMYFUNCTION("""COMPUTED_VALUE"""),0.303030303030303)</f>
        <v>0.303030303</v>
      </c>
    </row>
    <row r="10341">
      <c r="A10341" s="10" t="s">
        <v>11780</v>
      </c>
      <c r="B10341" s="7" t="str">
        <f>IFERROR(__xludf.DUMMYFUNCTION("SPLIT(A10341,"" "")"),"CN(Cc1ccccn1)C1C=CNC(CN(Cc2ccccn2)Cc2ccon2)=C1")</f>
        <v>CN(Cc1ccccn1)C1C=CNC(CN(Cc2ccccn2)Cc2ccon2)=C1</v>
      </c>
      <c r="C10341" s="7">
        <f>IFERROR(__xludf.DUMMYFUNCTION("""COMPUTED_VALUE"""),7.766039)</f>
        <v>7.766039</v>
      </c>
      <c r="D10341" s="7">
        <f>IFERROR(__xludf.DUMMYFUNCTION("""COMPUTED_VALUE"""),0.448275862068965)</f>
        <v>0.4482758621</v>
      </c>
    </row>
    <row r="10342">
      <c r="A10342" s="10" t="s">
        <v>11781</v>
      </c>
      <c r="B10342" s="7" t="str">
        <f>IFERROR(__xludf.DUMMYFUNCTION("SPLIT(A10342,"" "")"),"Cc1cncc(CN(C)C2CCCCC2N(C)c2ccc3c(CF)ccnc3c2)c1")</f>
        <v>Cc1cncc(CN(C)C2CCCCC2N(C)c2ccc3c(CF)ccnc3c2)c1</v>
      </c>
      <c r="C10342" s="7">
        <f>IFERROR(__xludf.DUMMYFUNCTION("""COMPUTED_VALUE"""),7.7660375)</f>
        <v>7.7660375</v>
      </c>
      <c r="D10342" s="7">
        <f>IFERROR(__xludf.DUMMYFUNCTION("""COMPUTED_VALUE"""),0.370967741935483)</f>
        <v>0.3709677419</v>
      </c>
    </row>
    <row r="10343">
      <c r="A10343" s="10" t="s">
        <v>11782</v>
      </c>
      <c r="B10343" s="7" t="str">
        <f>IFERROR(__xludf.DUMMYFUNCTION("SPLIT(A10343,"" "")"),"CN(Cc1ccccn1)c1cc(-c2ccccn2)c(Cl)cc1N(C)c1cccc2c1OCCOCCOCCOCCOCCO2")</f>
        <v>CN(Cc1ccccn1)c1cc(-c2ccccn2)c(Cl)cc1N(C)c1cccc2c1OCCOCCOCCOCCOCCO2</v>
      </c>
      <c r="C10343" s="7">
        <f>IFERROR(__xludf.DUMMYFUNCTION("""COMPUTED_VALUE"""),7.766037)</f>
        <v>7.766037</v>
      </c>
      <c r="D10343" s="7">
        <f>IFERROR(__xludf.DUMMYFUNCTION("""COMPUTED_VALUE"""),0.482758620689655)</f>
        <v>0.4827586207</v>
      </c>
    </row>
    <row r="10344">
      <c r="A10344" s="10" t="s">
        <v>11783</v>
      </c>
      <c r="B10344" s="7" t="str">
        <f>IFERROR(__xludf.DUMMYFUNCTION("SPLIT(A10344,"" "")"),"C=CCN(C)CCN(C)Cc1ccc2ncccc2c1")</f>
        <v>C=CCN(C)CCN(C)Cc1ccc2ncccc2c1</v>
      </c>
      <c r="C10344" s="7">
        <f>IFERROR(__xludf.DUMMYFUNCTION("""COMPUTED_VALUE"""),7.766018)</f>
        <v>7.766018</v>
      </c>
      <c r="D10344" s="7">
        <f>IFERROR(__xludf.DUMMYFUNCTION("""COMPUTED_VALUE"""),0.416666666666666)</f>
        <v>0.4166666667</v>
      </c>
    </row>
    <row r="10345">
      <c r="A10345" s="10" t="s">
        <v>11784</v>
      </c>
      <c r="B10345" s="7" t="str">
        <f>IFERROR(__xludf.DUMMYFUNCTION("SPLIT(A10345,"" "")"),"Cc1ccc(CN(Cc2ccccn2)Cc2ccc3cccc(N(C)Cc4cccc(-c5ccc6c(c5)OCCOCCOCCOCCOCCO6)n4)c3n2)nc1")</f>
        <v>Cc1ccc(CN(Cc2ccccn2)Cc2ccc3cccc(N(C)Cc4cccc(-c5ccc6c(c5)OCCOCCOCCOCCOCCO6)n4)c3n2)nc1</v>
      </c>
      <c r="C10345" s="7">
        <f>IFERROR(__xludf.DUMMYFUNCTION("""COMPUTED_VALUE"""),7.7660165)</f>
        <v>7.7660165</v>
      </c>
      <c r="D10345" s="7">
        <f>IFERROR(__xludf.DUMMYFUNCTION("""COMPUTED_VALUE"""),0.426666666666666)</f>
        <v>0.4266666667</v>
      </c>
    </row>
    <row r="10346">
      <c r="A10346" s="10" t="s">
        <v>11785</v>
      </c>
      <c r="B10346" s="7" t="str">
        <f>IFERROR(__xludf.DUMMYFUNCTION("SPLIT(A10346,"" "")"),"CN(c1cccc2cccnc12)C1CCC(N(Cc2cccnc2)Cc2cccnn2)CC1")</f>
        <v>CN(c1cccc2cccnc12)C1CCC(N(Cc2cccnc2)Cc2cccnn2)CC1</v>
      </c>
      <c r="C10346" s="7">
        <f>IFERROR(__xludf.DUMMYFUNCTION("""COMPUTED_VALUE"""),7.766015)</f>
        <v>7.766015</v>
      </c>
      <c r="D10346" s="7">
        <f>IFERROR(__xludf.DUMMYFUNCTION("""COMPUTED_VALUE"""),0.440677966101694)</f>
        <v>0.4406779661</v>
      </c>
    </row>
    <row r="10347">
      <c r="A10347" s="10" t="s">
        <v>11786</v>
      </c>
      <c r="B10347" s="7" t="str">
        <f>IFERROR(__xludf.DUMMYFUNCTION("SPLIT(A10347,"" "")"),"CC(NCc1cccc(C2=NC(C)(C)CO2)n1)c1cccc(C2CCC2(C)C)n1")</f>
        <v>CC(NCc1cccc(C2=NC(C)(C)CO2)n1)c1cccc(C2CCC2(C)C)n1</v>
      </c>
      <c r="C10347" s="7">
        <f>IFERROR(__xludf.DUMMYFUNCTION("""COMPUTED_VALUE"""),7.7660136)</f>
        <v>7.7660136</v>
      </c>
      <c r="D10347" s="7">
        <f>IFERROR(__xludf.DUMMYFUNCTION("""COMPUTED_VALUE"""),0.454545454545454)</f>
        <v>0.4545454545</v>
      </c>
    </row>
    <row r="10348">
      <c r="A10348" s="10" t="s">
        <v>11787</v>
      </c>
      <c r="B10348" s="7" t="str">
        <f>IFERROR(__xludf.DUMMYFUNCTION("SPLIT(A10348,"" "")"),"CNCc1ncccc1CN(Cc1ccccn1)C1CCC(N(C)c2cccc3nccc(CF)c23)CC1")</f>
        <v>CNCc1ncccc1CN(Cc1ccccn1)C1CCC(N(C)c2cccc3nccc(CF)c23)CC1</v>
      </c>
      <c r="C10348" s="7">
        <f>IFERROR(__xludf.DUMMYFUNCTION("""COMPUTED_VALUE"""),7.766011)</f>
        <v>7.766011</v>
      </c>
      <c r="D10348" s="7">
        <f>IFERROR(__xludf.DUMMYFUNCTION("""COMPUTED_VALUE"""),0.314285714285714)</f>
        <v>0.3142857143</v>
      </c>
    </row>
    <row r="10349">
      <c r="A10349" s="10" t="s">
        <v>11788</v>
      </c>
      <c r="B10349" s="7" t="str">
        <f>IFERROR(__xludf.DUMMYFUNCTION("SPLIT(A10349,"" "")"),"Cc1ccnc(CN(C)C2CCC(N(C)c3ccc4ncc(CF)cc4c3)CC2)c1")</f>
        <v>Cc1ccnc(CN(C)C2CCC(N(C)c3ccc4ncc(CF)cc4c3)CC2)c1</v>
      </c>
      <c r="C10349" s="7">
        <f>IFERROR(__xludf.DUMMYFUNCTION("""COMPUTED_VALUE"""),7.7660055)</f>
        <v>7.7660055</v>
      </c>
      <c r="D10349" s="7">
        <f>IFERROR(__xludf.DUMMYFUNCTION("""COMPUTED_VALUE"""),0.296875)</f>
        <v>0.296875</v>
      </c>
    </row>
    <row r="10350">
      <c r="A10350" s="10" t="s">
        <v>11789</v>
      </c>
      <c r="B10350" s="7" t="str">
        <f>IFERROR(__xludf.DUMMYFUNCTION("SPLIT(A10350,"" "")"),"Cc1ccc(CN(C)Cc2ccc3cccc(N(C)Cc4cccc(-c5ccc6c(c5)OCCOCCOCCOCCOCCO6)n4)c3n2)nc1")</f>
        <v>Cc1ccc(CN(C)Cc2ccc3cccc(N(C)Cc4cccc(-c5ccc6c(c5)OCCOCCOCCOCCOCCO6)n4)c3n2)nc1</v>
      </c>
      <c r="C10350" s="7">
        <f>IFERROR(__xludf.DUMMYFUNCTION("""COMPUTED_VALUE"""),7.7660046)</f>
        <v>7.7660046</v>
      </c>
      <c r="D10350" s="7">
        <f>IFERROR(__xludf.DUMMYFUNCTION("""COMPUTED_VALUE"""),0.341772151898734)</f>
        <v>0.3417721519</v>
      </c>
    </row>
    <row r="10351">
      <c r="A10351" s="10" t="s">
        <v>11790</v>
      </c>
      <c r="B10351" s="7" t="str">
        <f>IFERROR(__xludf.DUMMYFUNCTION("SPLIT(A10351,"" "")"),"CN(Cc1ccccn1)C1CCC(N(C)c2ccc3nccc(CF)c3c2)CC1")</f>
        <v>CN(Cc1ccccn1)C1CCC(N(C)c2ccc3nccc(CF)c3c2)CC1</v>
      </c>
      <c r="C10351" s="7">
        <f>IFERROR(__xludf.DUMMYFUNCTION("""COMPUTED_VALUE"""),7.766001)</f>
        <v>7.766001</v>
      </c>
      <c r="D10351" s="7">
        <f>IFERROR(__xludf.DUMMYFUNCTION("""COMPUTED_VALUE"""),0.428571428571428)</f>
        <v>0.4285714286</v>
      </c>
    </row>
    <row r="10352">
      <c r="A10352" s="10" t="s">
        <v>11791</v>
      </c>
      <c r="B10352" s="7" t="str">
        <f>IFERROR(__xludf.DUMMYFUNCTION("SPLIT(A10352,"" "")"),"CC1=CC(C)CC=C1N(C)Cc1ccccn1")</f>
        <v>CC1=CC(C)CC=C1N(C)Cc1ccccn1</v>
      </c>
      <c r="C10352" s="7">
        <f>IFERROR(__xludf.DUMMYFUNCTION("""COMPUTED_VALUE"""),7.765999)</f>
        <v>7.765999</v>
      </c>
      <c r="D10352" s="7">
        <f>IFERROR(__xludf.DUMMYFUNCTION("""COMPUTED_VALUE"""),0.456521739130434)</f>
        <v>0.4565217391</v>
      </c>
    </row>
    <row r="10353">
      <c r="A10353" s="10" t="s">
        <v>11792</v>
      </c>
      <c r="B10353" s="7" t="str">
        <f>IFERROR(__xludf.DUMMYFUNCTION("SPLIT(A10353,"" "")"),"CN(C)Cc1ccc2ccc(N(C)C3CCCCC3N(C)Cc3cccc(F)n3)cc2n1")</f>
        <v>CN(C)Cc1ccc2ccc(N(C)C3CCCCC3N(C)Cc3cccc(F)n3)cc2n1</v>
      </c>
      <c r="C10353" s="7">
        <f>IFERROR(__xludf.DUMMYFUNCTION("""COMPUTED_VALUE"""),7.7659984)</f>
        <v>7.7659984</v>
      </c>
      <c r="D10353" s="7">
        <f>IFERROR(__xludf.DUMMYFUNCTION("""COMPUTED_VALUE"""),0.490566037735849)</f>
        <v>0.4905660377</v>
      </c>
    </row>
    <row r="10354">
      <c r="A10354" s="10" t="s">
        <v>11793</v>
      </c>
      <c r="B10354" s="7" t="str">
        <f>IFERROR(__xludf.DUMMYFUNCTION("SPLIT(A10354,"" "")"),"CC1C=CC(N(C)Cc2cccc(C(C)(C)C)n2)c2cccnc21")</f>
        <v>CC1C=CC(N(C)Cc2cccc(C(C)(C)C)n2)c2cccnc21</v>
      </c>
      <c r="C10354" s="7">
        <f>IFERROR(__xludf.DUMMYFUNCTION("""COMPUTED_VALUE"""),7.7659974)</f>
        <v>7.7659974</v>
      </c>
      <c r="D10354" s="7">
        <f>IFERROR(__xludf.DUMMYFUNCTION("""COMPUTED_VALUE"""),0.321428571428571)</f>
        <v>0.3214285714</v>
      </c>
    </row>
    <row r="10355">
      <c r="A10355" s="10" t="s">
        <v>11794</v>
      </c>
      <c r="B10355" s="7" t="str">
        <f>IFERROR(__xludf.DUMMYFUNCTION("SPLIT(A10355,"" "")"),"Cc1ccnc(CN(C)Cc2ccc3cccc(N(C)Cc4cc(-c5cccc6c5OCCOCCOCCOCCOCCO6)ccn4)c3n2)c1")</f>
        <v>Cc1ccnc(CN(C)Cc2ccc3cccc(N(C)Cc4cc(-c5cccc6c5OCCOCCOCCOCCOCCO6)ccn4)c3n2)c1</v>
      </c>
      <c r="C10355" s="7">
        <f>IFERROR(__xludf.DUMMYFUNCTION("""COMPUTED_VALUE"""),7.7659965)</f>
        <v>7.7659965</v>
      </c>
      <c r="D10355" s="7">
        <f>IFERROR(__xludf.DUMMYFUNCTION("""COMPUTED_VALUE"""),0.298701298701298)</f>
        <v>0.2987012987</v>
      </c>
    </row>
    <row r="10356">
      <c r="A10356" s="10" t="s">
        <v>11795</v>
      </c>
      <c r="B10356" s="7" t="str">
        <f>IFERROR(__xludf.DUMMYFUNCTION("SPLIT(A10356,"" "")"),"Cc1ccnc(CN(C)C2CCC(N(C)c3ccc4ccc(CF)nc4c3)CC2)c1")</f>
        <v>Cc1ccnc(CN(C)C2CCC(N(C)c3ccc4ccc(CF)nc4c3)CC2)c1</v>
      </c>
      <c r="C10356" s="7">
        <f>IFERROR(__xludf.DUMMYFUNCTION("""COMPUTED_VALUE"""),7.765996)</f>
        <v>7.765996</v>
      </c>
      <c r="D10356" s="7">
        <f>IFERROR(__xludf.DUMMYFUNCTION("""COMPUTED_VALUE"""),0.328125)</f>
        <v>0.328125</v>
      </c>
    </row>
    <row r="10357">
      <c r="A10357" s="10" t="s">
        <v>11796</v>
      </c>
      <c r="B10357" s="7" t="str">
        <f>IFERROR(__xludf.DUMMYFUNCTION("SPLIT(A10357,"" "")"),"Cc1ccc(CN(C)C2CCC(N(C)c3ccc4ccc(CF)nc4c3)CC2)nc1")</f>
        <v>Cc1ccc(CN(C)C2CCC(N(C)c3ccc4ccc(CF)nc4c3)CC2)nc1</v>
      </c>
      <c r="C10357" s="7">
        <f>IFERROR(__xludf.DUMMYFUNCTION("""COMPUTED_VALUE"""),7.765988)</f>
        <v>7.765988</v>
      </c>
      <c r="D10357" s="7">
        <f>IFERROR(__xludf.DUMMYFUNCTION("""COMPUTED_VALUE"""),0.471698113207547)</f>
        <v>0.4716981132</v>
      </c>
    </row>
    <row r="10358">
      <c r="A10358" s="10" t="s">
        <v>11797</v>
      </c>
      <c r="B10358" s="7" t="str">
        <f>IFERROR(__xludf.DUMMYFUNCTION("SPLIT(A10358,"" "")"),"CCN(Cc1ccccn1)C1=C(N(C)Cc2cccnn2)C(C)C(C)C=C1")</f>
        <v>CCN(Cc1ccccn1)C1=C(N(C)Cc2cccnn2)C(C)C(C)C=C1</v>
      </c>
      <c r="C10358" s="7">
        <f>IFERROR(__xludf.DUMMYFUNCTION("""COMPUTED_VALUE"""),7.7659736)</f>
        <v>7.7659736</v>
      </c>
      <c r="D10358" s="7">
        <f>IFERROR(__xludf.DUMMYFUNCTION("""COMPUTED_VALUE"""),0.470588235294117)</f>
        <v>0.4705882353</v>
      </c>
    </row>
    <row r="10359">
      <c r="A10359" s="10" t="s">
        <v>11798</v>
      </c>
      <c r="B10359" s="7" t="str">
        <f>IFERROR(__xludf.DUMMYFUNCTION("SPLIT(A10359,"" "")"),"CC1=CC(C)C(C)(c2cccc(CN(Cc3ccccn3)C3CCCC(N(C)c4ccc5c(CN(C)C)ccnc5c4)C3)n2)CC1")</f>
        <v>CC1=CC(C)C(C)(c2cccc(CN(Cc3ccccn3)C3CCCC(N(C)c4ccc5c(CN(C)C)ccnc5c4)C3)n2)CC1</v>
      </c>
      <c r="C10359" s="7">
        <f>IFERROR(__xludf.DUMMYFUNCTION("""COMPUTED_VALUE"""),7.765969)</f>
        <v>7.765969</v>
      </c>
      <c r="D10359" s="7">
        <f>IFERROR(__xludf.DUMMYFUNCTION("""COMPUTED_VALUE"""),0.2875)</f>
        <v>0.2875</v>
      </c>
    </row>
    <row r="10360">
      <c r="A10360" s="10" t="s">
        <v>11799</v>
      </c>
      <c r="B10360" s="7" t="str">
        <f>IFERROR(__xludf.DUMMYFUNCTION("SPLIT(A10360,"" "")"),"CCNCC1=C(N(C)Cc2nc(C)cc(C)c2C)CC=CN1")</f>
        <v>CCNCC1=C(N(C)Cc2nc(C)cc(C)c2C)CC=CN1</v>
      </c>
      <c r="C10360" s="7">
        <f>IFERROR(__xludf.DUMMYFUNCTION("""COMPUTED_VALUE"""),7.765969)</f>
        <v>7.765969</v>
      </c>
      <c r="D10360" s="7">
        <f>IFERROR(__xludf.DUMMYFUNCTION("""COMPUTED_VALUE"""),0.1875)</f>
        <v>0.1875</v>
      </c>
    </row>
    <row r="10361">
      <c r="A10361" s="10" t="s">
        <v>11800</v>
      </c>
      <c r="B10361" s="7" t="str">
        <f>IFERROR(__xludf.DUMMYFUNCTION("SPLIT(A10361,"" "")"),"CCN(Cc1ccccn1)C1=C(CN(C)Cc2ncccc2C)NC=CC1")</f>
        <v>CCN(Cc1ccccn1)C1=C(CN(C)Cc2ncccc2C)NC=CC1</v>
      </c>
      <c r="C10361" s="7">
        <f>IFERROR(__xludf.DUMMYFUNCTION("""COMPUTED_VALUE"""),7.7659683)</f>
        <v>7.7659683</v>
      </c>
      <c r="D10361" s="7">
        <f>IFERROR(__xludf.DUMMYFUNCTION("""COMPUTED_VALUE"""),0.365079365079365)</f>
        <v>0.3650793651</v>
      </c>
    </row>
    <row r="10362">
      <c r="A10362" s="10" t="s">
        <v>11801</v>
      </c>
      <c r="B10362" s="7" t="str">
        <f>IFERROR(__xludf.DUMMYFUNCTION("SPLIT(A10362,"" "")"),"Cc1cc(CN(C)Cc2cccc(N)n2)ccn1")</f>
        <v>Cc1cc(CN(C)Cc2cccc(N)n2)ccn1</v>
      </c>
      <c r="C10362" s="7">
        <f>IFERROR(__xludf.DUMMYFUNCTION("""COMPUTED_VALUE"""),7.7659607)</f>
        <v>7.7659607</v>
      </c>
      <c r="D10362" s="7">
        <f>IFERROR(__xludf.DUMMYFUNCTION("""COMPUTED_VALUE"""),0.441860465116279)</f>
        <v>0.4418604651</v>
      </c>
    </row>
    <row r="10363">
      <c r="A10363" s="10" t="s">
        <v>11802</v>
      </c>
      <c r="B10363" s="7" t="str">
        <f>IFERROR(__xludf.DUMMYFUNCTION("SPLIT(A10363,"" "")"),"CCOC(=O)C(C)NCc1cc(C)c(CN(Cc2ccccn2)Cc2cc(C)c(C)c(C)n2)cn1")</f>
        <v>CCOC(=O)C(C)NCc1cc(C)c(CN(Cc2ccccn2)Cc2cc(C)c(C)c(C)n2)cn1</v>
      </c>
      <c r="C10363" s="7">
        <f>IFERROR(__xludf.DUMMYFUNCTION("""COMPUTED_VALUE"""),7.7659564)</f>
        <v>7.7659564</v>
      </c>
      <c r="D10363" s="7">
        <f>IFERROR(__xludf.DUMMYFUNCTION("""COMPUTED_VALUE"""),0.338983050847457)</f>
        <v>0.3389830508</v>
      </c>
    </row>
    <row r="10364">
      <c r="A10364" s="10" t="s">
        <v>11803</v>
      </c>
      <c r="B10364" s="7" t="str">
        <f>IFERROR(__xludf.DUMMYFUNCTION("SPLIT(A10364,"" "")"),"Cc1cc(CN(C)C2CCCC(N(Cc3ccccn3)Cc3ccc(-c4cccc(N(C)C)c4)cn3)C2)ccn1")</f>
        <v>Cc1cc(CN(C)C2CCCC(N(Cc3ccccn3)Cc3ccc(-c4cccc(N(C)C)c4)cn3)C2)ccn1</v>
      </c>
      <c r="C10364" s="7">
        <f>IFERROR(__xludf.DUMMYFUNCTION("""COMPUTED_VALUE"""),7.765956)</f>
        <v>7.765956</v>
      </c>
      <c r="D10364" s="7">
        <f>IFERROR(__xludf.DUMMYFUNCTION("""COMPUTED_VALUE"""),0.35820895522388)</f>
        <v>0.3582089552</v>
      </c>
    </row>
    <row r="10365">
      <c r="A10365" s="10" t="s">
        <v>11804</v>
      </c>
      <c r="B10365" s="7" t="str">
        <f>IFERROR(__xludf.DUMMYFUNCTION("SPLIT(A10365,"" "")"),"Cc1ccc(NCc2ccccn2)c(CNCc2ccccn2)c1")</f>
        <v>Cc1ccc(NCc2ccccn2)c(CNCc2ccccn2)c1</v>
      </c>
      <c r="C10365" s="7">
        <f>IFERROR(__xludf.DUMMYFUNCTION("""COMPUTED_VALUE"""),7.765954)</f>
        <v>7.765954</v>
      </c>
      <c r="D10365" s="7">
        <f>IFERROR(__xludf.DUMMYFUNCTION("""COMPUTED_VALUE"""),0.487179487179487)</f>
        <v>0.4871794872</v>
      </c>
    </row>
    <row r="10366">
      <c r="A10366" s="10" t="s">
        <v>11805</v>
      </c>
      <c r="B10366" s="7" t="str">
        <f>IFERROR(__xludf.DUMMYFUNCTION("SPLIT(A10366,"" "")"),"Cc1ccc(CN(Cc2ccc(N(C)C)cn2)C2CCC(N(C)Cc3cc(C)c(C)c(C)n3)C(N(Cc3cc(C)ccn3)Cc3cc(C)c(C)c(C)n3)C2)nc1")</f>
        <v>Cc1ccc(CN(Cc2ccc(N(C)C)cn2)C2CCC(N(C)Cc3cc(C)c(C)c(C)n3)C(N(Cc3cc(C)ccn3)Cc3cc(C)c(C)c(C)n3)C2)nc1</v>
      </c>
      <c r="C10366" s="7">
        <f>IFERROR(__xludf.DUMMYFUNCTION("""COMPUTED_VALUE"""),7.765952)</f>
        <v>7.765952</v>
      </c>
      <c r="D10366" s="7">
        <f>IFERROR(__xludf.DUMMYFUNCTION("""COMPUTED_VALUE"""),0.424242424242424)</f>
        <v>0.4242424242</v>
      </c>
    </row>
    <row r="10367">
      <c r="A10367" s="10" t="s">
        <v>11806</v>
      </c>
      <c r="B10367" s="7" t="str">
        <f>IFERROR(__xludf.DUMMYFUNCTION("SPLIT(A10367,"" "")"),"CNC1CC(N(Cc2cc(C)ccn2)Cc2nc(C)c(C)c(C)c2C)CC(N(Cc2nc(C)c(C)c(C)c2C)Cc2nc(C)c(C)c(C)c2C)C1")</f>
        <v>CNC1CC(N(Cc2cc(C)ccn2)Cc2nc(C)c(C)c(C)c2C)CC(N(Cc2nc(C)c(C)c(C)c2C)Cc2nc(C)c(C)c(C)c2C)C1</v>
      </c>
      <c r="C10367" s="7">
        <f>IFERROR(__xludf.DUMMYFUNCTION("""COMPUTED_VALUE"""),7.765939)</f>
        <v>7.765939</v>
      </c>
      <c r="D10367" s="7">
        <f>IFERROR(__xludf.DUMMYFUNCTION("""COMPUTED_VALUE"""),0.305084745762711)</f>
        <v>0.3050847458</v>
      </c>
    </row>
    <row r="10368">
      <c r="A10368" s="10" t="s">
        <v>11807</v>
      </c>
      <c r="B10368" s="7" t="str">
        <f>IFERROR(__xludf.DUMMYFUNCTION("SPLIT(A10368,"" "")"),"Cc1ccc(CN(C)C2CCC(N(C)c3ccc4ncc(CF)cc4c3)CC2)nc1")</f>
        <v>Cc1ccc(CN(C)C2CCC(N(C)c3ccc4ncc(CF)cc4c3)CC2)nc1</v>
      </c>
      <c r="C10368" s="7">
        <f>IFERROR(__xludf.DUMMYFUNCTION("""COMPUTED_VALUE"""),7.765935)</f>
        <v>7.765935</v>
      </c>
      <c r="D10368" s="7">
        <f>IFERROR(__xludf.DUMMYFUNCTION("""COMPUTED_VALUE"""),0.43859649122807)</f>
        <v>0.4385964912</v>
      </c>
    </row>
    <row r="10369">
      <c r="A10369" s="10" t="s">
        <v>11808</v>
      </c>
      <c r="B10369" s="7" t="str">
        <f>IFERROR(__xludf.DUMMYFUNCTION("SPLIT(A10369,"" "")"),"CNCc1ncccc1CN(Cc1ccccn1)C1CCC(N(C)c2cccc3c(CF)ccnc23)CC1")</f>
        <v>CNCc1ncccc1CN(Cc1ccccn1)C1CCC(N(C)c2cccc3c(CF)ccnc23)CC1</v>
      </c>
      <c r="C10369" s="7">
        <f>IFERROR(__xludf.DUMMYFUNCTION("""COMPUTED_VALUE"""),7.7659326)</f>
        <v>7.7659326</v>
      </c>
      <c r="D10369" s="7">
        <f>IFERROR(__xludf.DUMMYFUNCTION("""COMPUTED_VALUE"""),0.314285714285714)</f>
        <v>0.3142857143</v>
      </c>
    </row>
    <row r="10370">
      <c r="A10370" s="10" t="s">
        <v>11809</v>
      </c>
      <c r="B10370" s="7" t="str">
        <f>IFERROR(__xludf.DUMMYFUNCTION("SPLIT(A10370,"" "")"),"CC(C)N(Cc1ccccn1)C1CCC(N(C)c2ccc3nc4c(cc3c2)CCC4)CC1")</f>
        <v>CC(C)N(Cc1ccccn1)C1CCC(N(C)c2ccc3nc4c(cc3c2)CCC4)CC1</v>
      </c>
      <c r="C10370" s="7">
        <f>IFERROR(__xludf.DUMMYFUNCTION("""COMPUTED_VALUE"""),7.7659316)</f>
        <v>7.7659316</v>
      </c>
      <c r="D10370" s="7">
        <f>IFERROR(__xludf.DUMMYFUNCTION("""COMPUTED_VALUE"""),0.370967741935483)</f>
        <v>0.3709677419</v>
      </c>
    </row>
    <row r="10371">
      <c r="A10371" s="10" t="s">
        <v>11810</v>
      </c>
      <c r="B10371" s="7" t="str">
        <f>IFERROR(__xludf.DUMMYFUNCTION("SPLIT(A10371,"" "")"),"CNCc1ccc2cccc(N(C)C3CCC(N(C)Cc4ccon4)CC3)c2n1")</f>
        <v>CNCc1ccc2cccc(N(C)C3CCC(N(C)Cc4ccon4)CC3)c2n1</v>
      </c>
      <c r="C10371" s="7">
        <f>IFERROR(__xludf.DUMMYFUNCTION("""COMPUTED_VALUE"""),7.7659307)</f>
        <v>7.7659307</v>
      </c>
      <c r="D10371" s="7">
        <f>IFERROR(__xludf.DUMMYFUNCTION("""COMPUTED_VALUE"""),0.419354838709677)</f>
        <v>0.4193548387</v>
      </c>
    </row>
    <row r="10372">
      <c r="A10372" s="10" t="s">
        <v>11811</v>
      </c>
      <c r="B10372" s="7" t="str">
        <f>IFERROR(__xludf.DUMMYFUNCTION("SPLIT(A10372,"" "")"),"Cc1cncc(CN(Cc2ccccn2)Cc2cccc(N(C)C(C)C)n2)c1")</f>
        <v>Cc1cncc(CN(Cc2ccccn2)Cc2cccc(N(C)C(C)C)n2)c1</v>
      </c>
      <c r="C10372" s="7">
        <f>IFERROR(__xludf.DUMMYFUNCTION("""COMPUTED_VALUE"""),7.76593)</f>
        <v>7.76593</v>
      </c>
      <c r="D10372" s="7">
        <f>IFERROR(__xludf.DUMMYFUNCTION("""COMPUTED_VALUE"""),0.418181818181818)</f>
        <v>0.4181818182</v>
      </c>
    </row>
    <row r="10373">
      <c r="A10373" s="10" t="s">
        <v>11812</v>
      </c>
      <c r="B10373" s="7" t="str">
        <f>IFERROR(__xludf.DUMMYFUNCTION("SPLIT(A10373,"" "")"),"CCNCc1cccc(CN(Cc2ccccn2)C2CCCC(N(C)c3ccc4c(C)ccnc4c3)C2)n1")</f>
        <v>CCNCc1cccc(CN(Cc2ccccn2)C2CCCC(N(C)c3ccc4c(C)ccnc4c3)C2)n1</v>
      </c>
      <c r="C10373" s="7">
        <f>IFERROR(__xludf.DUMMYFUNCTION("""COMPUTED_VALUE"""),7.765927)</f>
        <v>7.765927</v>
      </c>
      <c r="D10373" s="7">
        <f>IFERROR(__xludf.DUMMYFUNCTION("""COMPUTED_VALUE"""),0.328571428571428)</f>
        <v>0.3285714286</v>
      </c>
    </row>
    <row r="10374">
      <c r="A10374" s="10" t="s">
        <v>11813</v>
      </c>
      <c r="B10374" s="7" t="str">
        <f>IFERROR(__xludf.DUMMYFUNCTION("SPLIT(A10374,"" "")"),"Cc1ccc(C)c(CN(C)CC2=CC(N(C)Cc3nc(C)ccc3C)C=CN2)n1")</f>
        <v>Cc1ccc(C)c(CN(C)CC2=CC(N(C)Cc3nc(C)ccc3C)C=CN2)n1</v>
      </c>
      <c r="C10374" s="7">
        <f>IFERROR(__xludf.DUMMYFUNCTION("""COMPUTED_VALUE"""),7.7659245)</f>
        <v>7.7659245</v>
      </c>
      <c r="D10374" s="7">
        <f>IFERROR(__xludf.DUMMYFUNCTION("""COMPUTED_VALUE"""),0.339285714285714)</f>
        <v>0.3392857143</v>
      </c>
    </row>
    <row r="10375">
      <c r="A10375" s="10" t="s">
        <v>11814</v>
      </c>
      <c r="B10375" s="7" t="str">
        <f>IFERROR(__xludf.DUMMYFUNCTION("SPLIT(A10375,"" "")"),"CNCc1ncccc1CN(Cc1ncccc1C)Cc1ncccc1C")</f>
        <v>CNCc1ncccc1CN(Cc1ncccc1C)Cc1ncccc1C</v>
      </c>
      <c r="C10375" s="7">
        <f>IFERROR(__xludf.DUMMYFUNCTION("""COMPUTED_VALUE"""),7.7659163)</f>
        <v>7.7659163</v>
      </c>
      <c r="D10375" s="7">
        <f>IFERROR(__xludf.DUMMYFUNCTION("""COMPUTED_VALUE"""),0.317073170731707)</f>
        <v>0.3170731707</v>
      </c>
    </row>
    <row r="10376">
      <c r="A10376" s="10" t="s">
        <v>11815</v>
      </c>
      <c r="B10376" s="7" t="str">
        <f>IFERROR(__xludf.DUMMYFUNCTION("SPLIT(A10376,"" "")"),"Cc1ncccc1CN(C)C1CCC(N(C)c2ccc3ccc(CF)nc3c2)CC1")</f>
        <v>Cc1ncccc1CN(C)C1CCC(N(C)c2ccc3ccc(CF)nc3c2)CC1</v>
      </c>
      <c r="C10376" s="7">
        <f>IFERROR(__xludf.DUMMYFUNCTION("""COMPUTED_VALUE"""),7.765916)</f>
        <v>7.765916</v>
      </c>
      <c r="D10376" s="7">
        <f>IFERROR(__xludf.DUMMYFUNCTION("""COMPUTED_VALUE"""),0.338461538461538)</f>
        <v>0.3384615385</v>
      </c>
    </row>
    <row r="10377">
      <c r="A10377" s="10" t="s">
        <v>11816</v>
      </c>
      <c r="B10377" s="7" t="str">
        <f>IFERROR(__xludf.DUMMYFUNCTION("SPLIT(A10377,"" "")"),"Cc1cc(CN(Cc2ccccn2)C2CCCC(N(C)CCN(C)c3cccc4ncccc34)C2)nc(C)c1C")</f>
        <v>Cc1cc(CN(Cc2ccccn2)C2CCCC(N(C)CCN(C)c3cccc4ncccc34)C2)nc(C)c1C</v>
      </c>
      <c r="C10377" s="7">
        <f>IFERROR(__xludf.DUMMYFUNCTION("""COMPUTED_VALUE"""),7.7659135)</f>
        <v>7.7659135</v>
      </c>
      <c r="D10377" s="7">
        <f>IFERROR(__xludf.DUMMYFUNCTION("""COMPUTED_VALUE"""),0.347826086956521)</f>
        <v>0.347826087</v>
      </c>
    </row>
    <row r="10378">
      <c r="A10378" s="10" t="s">
        <v>11817</v>
      </c>
      <c r="B10378" s="7" t="str">
        <f>IFERROR(__xludf.DUMMYFUNCTION("SPLIT(A10378,"" "")"),"CC(C)C1=CC2C(=CN1)C=C(c1cccc(CN(Cc3ccccn3)Cc3ccccn3)n1)C(C)C2(C)C")</f>
        <v>CC(C)C1=CC2C(=CN1)C=C(c1cccc(CN(Cc3ccccn3)Cc3ccccn3)n1)C(C)C2(C)C</v>
      </c>
      <c r="C10378" s="7">
        <f>IFERROR(__xludf.DUMMYFUNCTION("""COMPUTED_VALUE"""),7.7659097)</f>
        <v>7.7659097</v>
      </c>
      <c r="D10378" s="7">
        <f>IFERROR(__xludf.DUMMYFUNCTION("""COMPUTED_VALUE"""),0.385714285714285)</f>
        <v>0.3857142857</v>
      </c>
    </row>
    <row r="10379">
      <c r="A10379" s="10" t="s">
        <v>11818</v>
      </c>
      <c r="B10379" s="7" t="str">
        <f>IFERROR(__xludf.DUMMYFUNCTION("SPLIT(A10379,"" "")"),"Cc1cnc(CN(C)Cc2ncccc2N(C)C(C)(C)C)cc1C")</f>
        <v>Cc1cnc(CN(C)Cc2ncccc2N(C)C(C)(C)C)cc1C</v>
      </c>
      <c r="C10379" s="7">
        <f>IFERROR(__xludf.DUMMYFUNCTION("""COMPUTED_VALUE"""),7.765909)</f>
        <v>7.765909</v>
      </c>
      <c r="D10379" s="7">
        <f>IFERROR(__xludf.DUMMYFUNCTION("""COMPUTED_VALUE"""),0.346938775510204)</f>
        <v>0.3469387755</v>
      </c>
    </row>
    <row r="10380">
      <c r="A10380" s="10" t="s">
        <v>11819</v>
      </c>
      <c r="B10380" s="7" t="str">
        <f>IFERROR(__xludf.DUMMYFUNCTION("SPLIT(A10380,"" "")"),"CC(C)N(C)Cc1ccc(N(C)Cc2ccccn2)cn1")</f>
        <v>CC(C)N(C)Cc1ccc(N(C)Cc2ccccn2)cn1</v>
      </c>
      <c r="C10380" s="7">
        <f>IFERROR(__xludf.DUMMYFUNCTION("""COMPUTED_VALUE"""),7.7659025)</f>
        <v>7.7659025</v>
      </c>
      <c r="D10380" s="7">
        <f>IFERROR(__xludf.DUMMYFUNCTION("""COMPUTED_VALUE"""),0.5)</f>
        <v>0.5</v>
      </c>
    </row>
    <row r="10381">
      <c r="A10381" s="10" t="s">
        <v>11820</v>
      </c>
      <c r="B10381" s="7" t="str">
        <f>IFERROR(__xludf.DUMMYFUNCTION("SPLIT(A10381,"" "")"),"Cc1cc(CN(C)C2C=CNC(CN(C)C)=C2)nc(C)c1C")</f>
        <v>Cc1cc(CN(C)C2C=CNC(CN(C)C)=C2)nc(C)c1C</v>
      </c>
      <c r="C10381" s="7">
        <f>IFERROR(__xludf.DUMMYFUNCTION("""COMPUTED_VALUE"""),7.765894)</f>
        <v>7.765894</v>
      </c>
      <c r="D10381" s="7">
        <f>IFERROR(__xludf.DUMMYFUNCTION("""COMPUTED_VALUE"""),0.31578947368421)</f>
        <v>0.3157894737</v>
      </c>
    </row>
    <row r="10382">
      <c r="A10382" s="10" t="s">
        <v>11821</v>
      </c>
      <c r="B10382" s="7" t="str">
        <f>IFERROR(__xludf.DUMMYFUNCTION("SPLIT(A10382,"" "")"),"CN(Cc1ncccc1-c1cccc2c1OCCOCCOCCOCCOCCO2)Cc1ccnc2cc(N(C)Cc3ccccn3)ccc12")</f>
        <v>CN(Cc1ncccc1-c1cccc2c1OCCOCCOCCOCCOCCO2)Cc1ccnc2cc(N(C)Cc3ccccn3)ccc12</v>
      </c>
      <c r="C10382" s="7">
        <f>IFERROR(__xludf.DUMMYFUNCTION("""COMPUTED_VALUE"""),7.765888)</f>
        <v>7.765888</v>
      </c>
      <c r="D10382" s="7">
        <f>IFERROR(__xludf.DUMMYFUNCTION("""COMPUTED_VALUE"""),0.309859154929577)</f>
        <v>0.3098591549</v>
      </c>
    </row>
    <row r="10383">
      <c r="A10383" s="10" t="s">
        <v>11822</v>
      </c>
      <c r="B10383" s="7" t="str">
        <f>IFERROR(__xludf.DUMMYFUNCTION("SPLIT(A10383,"" "")"),"CC1=NC(C(C)N(Cc2ccccn2)Cc2cc(C(C)(C)c3ccccn3)ccn2)CO1")</f>
        <v>CC1=NC(C(C)N(Cc2ccccn2)Cc2cc(C(C)(C)c3ccccn3)ccn2)CO1</v>
      </c>
      <c r="C10383" s="7">
        <f>IFERROR(__xludf.DUMMYFUNCTION("""COMPUTED_VALUE"""),7.7658825)</f>
        <v>7.7658825</v>
      </c>
      <c r="D10383" s="7">
        <f>IFERROR(__xludf.DUMMYFUNCTION("""COMPUTED_VALUE"""),0.372881355932203)</f>
        <v>0.3728813559</v>
      </c>
    </row>
    <row r="10384">
      <c r="A10384" s="10" t="s">
        <v>11823</v>
      </c>
      <c r="B10384" s="7" t="str">
        <f>IFERROR(__xludf.DUMMYFUNCTION("SPLIT(A10384,"" "")"),"CC(C)c1ccc(CN(Cc2ccccn2)Cc2cc(N)ccn2)cn1")</f>
        <v>CC(C)c1ccc(CN(Cc2ccccn2)Cc2cc(N)ccn2)cn1</v>
      </c>
      <c r="C10384" s="7">
        <f>IFERROR(__xludf.DUMMYFUNCTION("""COMPUTED_VALUE"""),7.765881)</f>
        <v>7.765881</v>
      </c>
      <c r="D10384" s="7">
        <f>IFERROR(__xludf.DUMMYFUNCTION("""COMPUTED_VALUE"""),0.454545454545454)</f>
        <v>0.4545454545</v>
      </c>
    </row>
    <row r="10385">
      <c r="A10385" s="10" t="s">
        <v>11824</v>
      </c>
      <c r="B10385" s="7" t="str">
        <f>IFERROR(__xludf.DUMMYFUNCTION("SPLIT(A10385,"" "")"),"CNC1CCCC(N(Cc2nc(C)c(C)c(C)c2C)Cc2nc(C)c(C)c(C)c2C)C1N(Cc1nc(C)c(C)c(C)c1C)Cc1nc(C)c([SiH3])c([SiH3])c1C")</f>
        <v>CNC1CCCC(N(Cc2nc(C)c(C)c(C)c2C)Cc2nc(C)c(C)c(C)c2C)C1N(Cc1nc(C)c(C)c(C)c1C)Cc1nc(C)c([SiH3])c([SiH3])c1C</v>
      </c>
      <c r="C10385" s="7">
        <f>IFERROR(__xludf.DUMMYFUNCTION("""COMPUTED_VALUE"""),7.7658753)</f>
        <v>7.7658753</v>
      </c>
      <c r="D10385" s="7">
        <f>IFERROR(__xludf.DUMMYFUNCTION("""COMPUTED_VALUE"""),0.229508196721311)</f>
        <v>0.2295081967</v>
      </c>
    </row>
    <row r="10386">
      <c r="A10386" s="10" t="s">
        <v>11825</v>
      </c>
      <c r="B10386" s="7" t="str">
        <f>IFERROR(__xludf.DUMMYFUNCTION("SPLIT(A10386,"" "")"),"Cc1cccnc1CN(C)C1CCCCC1N(C)c1cccc2nc(CF)ccc12")</f>
        <v>Cc1cccnc1CN(C)C1CCCCC1N(C)c1cccc2nc(CF)ccc12</v>
      </c>
      <c r="C10386" s="7">
        <f>IFERROR(__xludf.DUMMYFUNCTION("""COMPUTED_VALUE"""),7.7658744)</f>
        <v>7.7658744</v>
      </c>
      <c r="D10386" s="7">
        <f>IFERROR(__xludf.DUMMYFUNCTION("""COMPUTED_VALUE"""),0.491803278688524)</f>
        <v>0.4918032787</v>
      </c>
    </row>
    <row r="10387">
      <c r="A10387" s="10" t="s">
        <v>11826</v>
      </c>
      <c r="B10387" s="7" t="str">
        <f>IFERROR(__xludf.DUMMYFUNCTION("SPLIT(A10387,"" "")"),"Cc1ccc(CN(C)C2CCC(N(C)Cc3cc(-c4cccc(N(C)C)c4)ccn3)CC2)nc1C")</f>
        <v>Cc1ccc(CN(C)C2CCC(N(C)Cc3cc(-c4cccc(N(C)C)c4)ccn3)CC2)nc1C</v>
      </c>
      <c r="C10387" s="7">
        <f>IFERROR(__xludf.DUMMYFUNCTION("""COMPUTED_VALUE"""),7.765863)</f>
        <v>7.765863</v>
      </c>
      <c r="D10387" s="7">
        <f>IFERROR(__xludf.DUMMYFUNCTION("""COMPUTED_VALUE"""),0.338983050847457)</f>
        <v>0.3389830508</v>
      </c>
    </row>
    <row r="10388">
      <c r="A10388" s="10" t="s">
        <v>11827</v>
      </c>
      <c r="B10388" s="7" t="str">
        <f>IFERROR(__xludf.DUMMYFUNCTION("SPLIT(A10388,"" "")"),"Cc1ccnc(CN(C)C2=C(CNC(C)C)NC=CC2)c1")</f>
        <v>Cc1ccnc(CN(C)C2=C(CNC(C)C)NC=CC2)c1</v>
      </c>
      <c r="C10388" s="7">
        <f>IFERROR(__xludf.DUMMYFUNCTION("""COMPUTED_VALUE"""),7.76586)</f>
        <v>7.76586</v>
      </c>
      <c r="D10388" s="7">
        <f>IFERROR(__xludf.DUMMYFUNCTION("""COMPUTED_VALUE"""),0.310344827586206)</f>
        <v>0.3103448276</v>
      </c>
    </row>
    <row r="10389">
      <c r="A10389" s="10" t="s">
        <v>11828</v>
      </c>
      <c r="B10389" s="7" t="str">
        <f>IFERROR(__xludf.DUMMYFUNCTION("SPLIT(A10389,"" "")"),"Cc1cc(C)c(CN(C)CCN(C)C)nc1C")</f>
        <v>Cc1cc(C)c(CN(C)CCN(C)C)nc1C</v>
      </c>
      <c r="C10389" s="7">
        <f>IFERROR(__xludf.DUMMYFUNCTION("""COMPUTED_VALUE"""),7.7658596)</f>
        <v>7.7658596</v>
      </c>
      <c r="D10389" s="7">
        <f>IFERROR(__xludf.DUMMYFUNCTION("""COMPUTED_VALUE"""),0.358974358974359)</f>
        <v>0.358974359</v>
      </c>
    </row>
    <row r="10390">
      <c r="A10390" s="10" t="s">
        <v>11829</v>
      </c>
      <c r="B10390" s="7" t="str">
        <f>IFERROR(__xludf.DUMMYFUNCTION("SPLIT(A10390,"" "")"),"Cc1cncc(CN(C)C2CCCCC2N(C)c2ccc3nc(CN(C)C)ccc3c2)c1")</f>
        <v>Cc1cncc(CN(C)C2CCCCC2N(C)c2ccc3nc(CN(C)C)ccc3c2)c1</v>
      </c>
      <c r="C10390" s="7">
        <f>IFERROR(__xludf.DUMMYFUNCTION("""COMPUTED_VALUE"""),7.765858)</f>
        <v>7.765858</v>
      </c>
      <c r="D10390" s="7">
        <f>IFERROR(__xludf.DUMMYFUNCTION("""COMPUTED_VALUE"""),0.413793103448275)</f>
        <v>0.4137931034</v>
      </c>
    </row>
    <row r="10391">
      <c r="A10391" s="10" t="s">
        <v>11830</v>
      </c>
      <c r="B10391" s="7" t="str">
        <f>IFERROR(__xludf.DUMMYFUNCTION("SPLIT(A10391,"" "")"),"CC(C)C1=CC2(C=CN1)C=CC(C)(C)C(c1cccc(CN(Cc3ccccn3)Cc3ccccn3)n1)C2c1cccc(CN(Cc2ccccn2)Cc2ccccn2)n1")</f>
        <v>CC(C)C1=CC2(C=CN1)C=CC(C)(C)C(c1cccc(CN(Cc3ccccn3)Cc3ccccn3)n1)C2c1cccc(CN(Cc2ccccn2)Cc2ccccn2)n1</v>
      </c>
      <c r="C10391" s="7">
        <f>IFERROR(__xludf.DUMMYFUNCTION("""COMPUTED_VALUE"""),7.765857)</f>
        <v>7.765857</v>
      </c>
      <c r="D10391" s="7">
        <f>IFERROR(__xludf.DUMMYFUNCTION("""COMPUTED_VALUE"""),0.37037037037037)</f>
        <v>0.3703703704</v>
      </c>
    </row>
    <row r="10392">
      <c r="A10392" s="10" t="s">
        <v>11831</v>
      </c>
      <c r="B10392" s="7" t="str">
        <f>IFERROR(__xludf.DUMMYFUNCTION("SPLIT(A10392,"" "")"),"CC1(C)C=CCC(C)(c2cccc(CN(Cc3cccc(C4(C)CC(C)(C)C4)n3)Cc3cccc(C4(C)CC(C)(C)C4)n3)n2)C1")</f>
        <v>CC1(C)C=CCC(C)(c2cccc(CN(Cc3cccc(C4(C)CC(C)(C)C4)n3)Cc3cccc(C4(C)CC(C)(C)C4)n3)n2)C1</v>
      </c>
      <c r="C10392" s="7">
        <f>IFERROR(__xludf.DUMMYFUNCTION("""COMPUTED_VALUE"""),7.765853)</f>
        <v>7.765853</v>
      </c>
      <c r="D10392" s="7">
        <f>IFERROR(__xludf.DUMMYFUNCTION("""COMPUTED_VALUE"""),0.285714285714285)</f>
        <v>0.2857142857</v>
      </c>
    </row>
    <row r="10393">
      <c r="A10393" s="10" t="s">
        <v>11832</v>
      </c>
      <c r="B10393" s="7" t="str">
        <f>IFERROR(__xludf.DUMMYFUNCTION("SPLIT(A10393,"" "")"),"CN(Cc1cccnn1)C1CCC(N(C)c2cccc3nccc(CF)c23)CC1")</f>
        <v>CN(Cc1cccnn1)C1CCC(N(C)c2cccc3nccc(CF)c23)CC1</v>
      </c>
      <c r="C10393" s="7">
        <f>IFERROR(__xludf.DUMMYFUNCTION("""COMPUTED_VALUE"""),7.765846)</f>
        <v>7.765846</v>
      </c>
      <c r="D10393" s="7">
        <f>IFERROR(__xludf.DUMMYFUNCTION("""COMPUTED_VALUE"""),0.381818181818181)</f>
        <v>0.3818181818</v>
      </c>
    </row>
    <row r="10394">
      <c r="A10394" s="10" t="s">
        <v>11833</v>
      </c>
      <c r="B10394" s="7" t="str">
        <f>IFERROR(__xludf.DUMMYFUNCTION("SPLIT(A10394,"" "")"),"CC(C)N(C)Cc1ncccc1C(C)(C)N(C)c1cccnc1CN(Cc1ccccn1)Cc1ncccc1F")</f>
        <v>CC(C)N(C)Cc1ncccc1C(C)(C)N(C)c1cccnc1CN(Cc1ccccn1)Cc1ncccc1F</v>
      </c>
      <c r="C10394" s="7">
        <f>IFERROR(__xludf.DUMMYFUNCTION("""COMPUTED_VALUE"""),7.7658443)</f>
        <v>7.7658443</v>
      </c>
      <c r="D10394" s="7">
        <f>IFERROR(__xludf.DUMMYFUNCTION("""COMPUTED_VALUE"""),0.377358490566037)</f>
        <v>0.3773584906</v>
      </c>
    </row>
    <row r="10395">
      <c r="A10395" s="10" t="s">
        <v>11834</v>
      </c>
      <c r="B10395" s="7" t="str">
        <f>IFERROR(__xludf.DUMMYFUNCTION("SPLIT(A10395,"" "")"),"CN(C)Cc1cnc2cc(N(C)C3CCCCC3N(Cc3ccccn3)Cc3ncccc3CF)ccc2c1")</f>
        <v>CN(C)Cc1cnc2cc(N(C)C3CCCCC3N(Cc3ccccn3)Cc3ncccc3CF)ccc2c1</v>
      </c>
      <c r="C10395" s="7">
        <f>IFERROR(__xludf.DUMMYFUNCTION("""COMPUTED_VALUE"""),7.7658443)</f>
        <v>7.7658443</v>
      </c>
      <c r="D10395" s="7">
        <f>IFERROR(__xludf.DUMMYFUNCTION("""COMPUTED_VALUE"""),0.388059701492537)</f>
        <v>0.3880597015</v>
      </c>
    </row>
    <row r="10396">
      <c r="A10396" s="10" t="s">
        <v>11835</v>
      </c>
      <c r="B10396" s="7" t="str">
        <f>IFERROR(__xludf.DUMMYFUNCTION("SPLIT(A10396,"" "")"),"CC(C)N(C)c1cccc(CN(Cc2ccccn2)Cc2ccc(F)cn2)n1")</f>
        <v>CC(C)N(C)c1cccc(CN(Cc2ccccn2)Cc2ccc(F)cn2)n1</v>
      </c>
      <c r="C10396" s="7">
        <f>IFERROR(__xludf.DUMMYFUNCTION("""COMPUTED_VALUE"""),7.7658396)</f>
        <v>7.7658396</v>
      </c>
      <c r="D10396" s="7">
        <f>IFERROR(__xludf.DUMMYFUNCTION("""COMPUTED_VALUE"""),0.48)</f>
        <v>0.48</v>
      </c>
    </row>
    <row r="10397">
      <c r="A10397" s="10" t="s">
        <v>11836</v>
      </c>
      <c r="B10397" s="7" t="str">
        <f>IFERROR(__xludf.DUMMYFUNCTION("SPLIT(A10397,"" "")"),"CNC1NC=CC=C1N(C)C1CCC(N(C)c2ccc3c(CF)ccnc3c2)CC1")</f>
        <v>CNC1NC=CC=C1N(C)C1CCC(N(C)c2ccc3c(CF)ccnc3c2)CC1</v>
      </c>
      <c r="C10397" s="7">
        <f>IFERROR(__xludf.DUMMYFUNCTION("""COMPUTED_VALUE"""),7.7658386)</f>
        <v>7.7658386</v>
      </c>
      <c r="D10397" s="7">
        <f>IFERROR(__xludf.DUMMYFUNCTION("""COMPUTED_VALUE"""),0.202702702702702)</f>
        <v>0.2027027027</v>
      </c>
    </row>
    <row r="10398">
      <c r="A10398" s="10" t="s">
        <v>11837</v>
      </c>
      <c r="B10398" s="7" t="str">
        <f>IFERROR(__xludf.DUMMYFUNCTION("SPLIT(A10398,"" "")"),"CC(C)N(Cc1ccccn1)Cc1cccc(N(C)C2C=CC=CN2)n1")</f>
        <v>CC(C)N(Cc1ccccn1)Cc1cccc(N(C)C2C=CC=CN2)n1</v>
      </c>
      <c r="C10398" s="7">
        <f>IFERROR(__xludf.DUMMYFUNCTION("""COMPUTED_VALUE"""),7.765838)</f>
        <v>7.765838</v>
      </c>
      <c r="D10398" s="7">
        <f>IFERROR(__xludf.DUMMYFUNCTION("""COMPUTED_VALUE"""),0.470588235294117)</f>
        <v>0.4705882353</v>
      </c>
    </row>
    <row r="10399">
      <c r="A10399" s="10" t="s">
        <v>11838</v>
      </c>
      <c r="B10399" s="7" t="str">
        <f>IFERROR(__xludf.DUMMYFUNCTION("SPLIT(A10399,"" "")"),"CN(c1ccc2ccc(-c3ccc4c(c3)OCCOCCOCCOCCOCCO4)nc2c1)C1CCC(N(C)c2cccc3cccnc23)CC1")</f>
        <v>CN(c1ccc2ccc(-c3ccc4c(c3)OCCOCCOCCOCCOCCO4)nc2c1)C1CCC(N(C)c2cccc3cccnc23)CC1</v>
      </c>
      <c r="C10399" s="7">
        <f>IFERROR(__xludf.DUMMYFUNCTION("""COMPUTED_VALUE"""),7.765837)</f>
        <v>7.765837</v>
      </c>
      <c r="D10399" s="7">
        <f>IFERROR(__xludf.DUMMYFUNCTION("""COMPUTED_VALUE"""),0.4)</f>
        <v>0.4</v>
      </c>
    </row>
    <row r="10400">
      <c r="A10400" s="10" t="s">
        <v>11839</v>
      </c>
      <c r="B10400" s="7" t="str">
        <f>IFERROR(__xludf.DUMMYFUNCTION("SPLIT(A10400,"" "")"),"Cc1cc(C)c(CN(CCN(C)Cc2ncccc2C)Cc2nc(C)c(C)cc2C)nc1C")</f>
        <v>Cc1cc(C)c(CN(CCN(C)Cc2ncccc2C)Cc2nc(C)c(C)cc2C)nc1C</v>
      </c>
      <c r="C10400" s="7">
        <f>IFERROR(__xludf.DUMMYFUNCTION("""COMPUTED_VALUE"""),7.765833)</f>
        <v>7.765833</v>
      </c>
      <c r="D10400" s="7">
        <f>IFERROR(__xludf.DUMMYFUNCTION("""COMPUTED_VALUE"""),0.387755102040816)</f>
        <v>0.387755102</v>
      </c>
    </row>
    <row r="10401">
      <c r="A10401" s="10" t="s">
        <v>11840</v>
      </c>
      <c r="B10401" s="7" t="str">
        <f>IFERROR(__xludf.DUMMYFUNCTION("SPLIT(A10401,"" "")"),"Cc1nc(CN(C)C2CCCC(N(C)Cc3ccnc4cccc(C)c34)C2)c(C)c(C)c1C")</f>
        <v>Cc1nc(CN(C)C2CCCC(N(C)Cc3ccnc4cccc(C)c34)C2)c(C)c(C)c1C</v>
      </c>
      <c r="C10401" s="7">
        <f>IFERROR(__xludf.DUMMYFUNCTION("""COMPUTED_VALUE"""),7.765829)</f>
        <v>7.765829</v>
      </c>
      <c r="D10401" s="7">
        <f>IFERROR(__xludf.DUMMYFUNCTION("""COMPUTED_VALUE"""),0.285714285714285)</f>
        <v>0.2857142857</v>
      </c>
    </row>
    <row r="10402">
      <c r="A10402" s="10" t="s">
        <v>11841</v>
      </c>
      <c r="B10402" s="7" t="str">
        <f>IFERROR(__xludf.DUMMYFUNCTION("SPLIT(A10402,"" "")"),"Cc1cccnc1CN(C)C1C=CNC(CN(C)Cc2ncc(C)c(C)c2C)=C1")</f>
        <v>Cc1cccnc1CN(C)C1C=CNC(CN(C)Cc2ncc(C)c(C)c2C)=C1</v>
      </c>
      <c r="C10402" s="7">
        <f>IFERROR(__xludf.DUMMYFUNCTION("""COMPUTED_VALUE"""),7.765817)</f>
        <v>7.765817</v>
      </c>
      <c r="D10402" s="7">
        <f>IFERROR(__xludf.DUMMYFUNCTION("""COMPUTED_VALUE"""),0.292307692307692)</f>
        <v>0.2923076923</v>
      </c>
    </row>
    <row r="10403">
      <c r="A10403" s="10" t="s">
        <v>11842</v>
      </c>
      <c r="B10403" s="7" t="str">
        <f>IFERROR(__xludf.DUMMYFUNCTION("SPLIT(A10403,"" "")"),"Cc1ccnc(CN(C)CCN(Cc2nc(C)c(C)cc2C)Cc2nc(C)c(C)cc2C)c1")</f>
        <v>Cc1ccnc(CN(C)CCN(Cc2nc(C)c(C)cc2C)Cc2nc(C)c(C)cc2C)c1</v>
      </c>
      <c r="C10403" s="7">
        <f>IFERROR(__xludf.DUMMYFUNCTION("""COMPUTED_VALUE"""),7.7658043)</f>
        <v>7.7658043</v>
      </c>
      <c r="D10403" s="7">
        <f>IFERROR(__xludf.DUMMYFUNCTION("""COMPUTED_VALUE"""),0.382978723404255)</f>
        <v>0.3829787234</v>
      </c>
    </row>
    <row r="10404">
      <c r="A10404" s="10" t="s">
        <v>11843</v>
      </c>
      <c r="B10404" s="7" t="str">
        <f>IFERROR(__xludf.DUMMYFUNCTION("SPLIT(A10404,"" "")"),"CN(Cc1cccc(F)n1)c1c(N(C)C2CCC(N(C)Cc3ccccn3)CC2)ccc(Cl)c1Cl")</f>
        <v>CN(Cc1cccc(F)n1)c1c(N(C)C2CCC(N(C)Cc3ccccn3)CC2)ccc(Cl)c1Cl</v>
      </c>
      <c r="C10404" s="7">
        <f>IFERROR(__xludf.DUMMYFUNCTION("""COMPUTED_VALUE"""),7.765802)</f>
        <v>7.765802</v>
      </c>
      <c r="D10404" s="7">
        <f>IFERROR(__xludf.DUMMYFUNCTION("""COMPUTED_VALUE"""),0.423728813559322)</f>
        <v>0.4237288136</v>
      </c>
    </row>
    <row r="10405">
      <c r="A10405" s="10" t="s">
        <v>11844</v>
      </c>
      <c r="B10405" s="7" t="str">
        <f>IFERROR(__xludf.DUMMYFUNCTION("SPLIT(A10405,"" "")"),"CN(Cc1ccccn1)C1CCCC(N(C)c2cccc3c(CF)ccnc23)C1")</f>
        <v>CN(Cc1ccccn1)C1CCCC(N(C)c2cccc3c(CF)ccnc23)C1</v>
      </c>
      <c r="C10405" s="7">
        <f>IFERROR(__xludf.DUMMYFUNCTION("""COMPUTED_VALUE"""),7.7657976)</f>
        <v>7.7657976</v>
      </c>
      <c r="D10405" s="7">
        <f>IFERROR(__xludf.DUMMYFUNCTION("""COMPUTED_VALUE"""),0.43859649122807)</f>
        <v>0.4385964912</v>
      </c>
    </row>
    <row r="10406">
      <c r="A10406" s="10" t="s">
        <v>11845</v>
      </c>
      <c r="B10406" s="7" t="str">
        <f>IFERROR(__xludf.DUMMYFUNCTION("SPLIT(A10406,"" "")"),"Cc1cc(CN(C)C2CCCCC2N(C)c2cccc3nc(F)ccc23)ccn1")</f>
        <v>Cc1cc(CN(C)C2CCCCC2N(C)c2cccc3nc(F)ccc23)ccn1</v>
      </c>
      <c r="C10406" s="7">
        <f>IFERROR(__xludf.DUMMYFUNCTION("""COMPUTED_VALUE"""),7.765791)</f>
        <v>7.765791</v>
      </c>
      <c r="D10406" s="7">
        <f>IFERROR(__xludf.DUMMYFUNCTION("""COMPUTED_VALUE"""),0.4)</f>
        <v>0.4</v>
      </c>
    </row>
    <row r="10407">
      <c r="A10407" s="10" t="s">
        <v>11846</v>
      </c>
      <c r="B10407" s="7" t="str">
        <f>IFERROR(__xludf.DUMMYFUNCTION("SPLIT(A10407,"" "")"),"COC(=O)C(C)NCc1cc(C)c(CN(Cc2ccccn2)Cc2ccccn2)c(C)n1")</f>
        <v>COC(=O)C(C)NCc1cc(C)c(CN(Cc2ccccn2)Cc2ccccn2)c(C)n1</v>
      </c>
      <c r="C10407" s="7">
        <f>IFERROR(__xludf.DUMMYFUNCTION("""COMPUTED_VALUE"""),7.765787)</f>
        <v>7.765787</v>
      </c>
      <c r="D10407" s="7">
        <f>IFERROR(__xludf.DUMMYFUNCTION("""COMPUTED_VALUE"""),0.392156862745098)</f>
        <v>0.3921568627</v>
      </c>
    </row>
    <row r="10408">
      <c r="A10408" s="10" t="s">
        <v>11847</v>
      </c>
      <c r="B10408" s="7" t="str">
        <f>IFERROR(__xludf.DUMMYFUNCTION("SPLIT(A10408,"" "")"),"CN(Cc1ccc2c(n1)CCC2)C1CCCCC1N(C)c1ccc2c(CF)ccnc2c1")</f>
        <v>CN(Cc1ccc2c(n1)CCC2)C1CCCCC1N(C)c1ccc2c(CF)ccnc2c1</v>
      </c>
      <c r="C10408" s="7">
        <f>IFERROR(__xludf.DUMMYFUNCTION("""COMPUTED_VALUE"""),7.7657866)</f>
        <v>7.7657866</v>
      </c>
      <c r="D10408" s="7">
        <f>IFERROR(__xludf.DUMMYFUNCTION("""COMPUTED_VALUE"""),0.376811594202898)</f>
        <v>0.3768115942</v>
      </c>
    </row>
    <row r="10409">
      <c r="A10409" s="10" t="s">
        <v>11848</v>
      </c>
      <c r="B10409" s="7" t="str">
        <f>IFERROR(__xludf.DUMMYFUNCTION("SPLIT(A10409,"" "")"),"C#Cc1cncc(CN(Cc2ccccn2)C2CCCCC2N(C)c2cccc3c(CF)ccnc23)c1")</f>
        <v>C#Cc1cncc(CN(Cc2ccccn2)C2CCCCC2N(C)c2cccc3c(CF)ccnc23)c1</v>
      </c>
      <c r="C10409" s="7">
        <f>IFERROR(__xludf.DUMMYFUNCTION("""COMPUTED_VALUE"""),7.7657866)</f>
        <v>7.7657866</v>
      </c>
      <c r="D10409" s="7">
        <f>IFERROR(__xludf.DUMMYFUNCTION("""COMPUTED_VALUE"""),0.36986301369863)</f>
        <v>0.3698630137</v>
      </c>
    </row>
    <row r="10410">
      <c r="A10410" s="10" t="s">
        <v>11849</v>
      </c>
      <c r="B10410" s="7" t="str">
        <f>IFERROR(__xludf.DUMMYFUNCTION("SPLIT(A10410,"" "")"),"Cc1cc(C)c(C)c(CN(C)C2=C(CN(C)C(C)(C)C)NC=CC2)n1")</f>
        <v>Cc1cc(C)c(C)c(CN(C)C2=C(CN(C)C(C)(C)C)NC=CC2)n1</v>
      </c>
      <c r="C10410" s="7">
        <f>IFERROR(__xludf.DUMMYFUNCTION("""COMPUTED_VALUE"""),7.7657824)</f>
        <v>7.7657824</v>
      </c>
      <c r="D10410" s="7">
        <f>IFERROR(__xludf.DUMMYFUNCTION("""COMPUTED_VALUE"""),0.206896551724137)</f>
        <v>0.2068965517</v>
      </c>
    </row>
    <row r="10411">
      <c r="A10411" s="10" t="s">
        <v>11850</v>
      </c>
      <c r="B10411" s="7" t="str">
        <f>IFERROR(__xludf.DUMMYFUNCTION("SPLIT(A10411,"" "")"),"CNCc1cccc(CN(Cc2ccccn2)C2CCC(N(C)c3ccc4c(CF)ccnc4c3)CC2)n1")</f>
        <v>CNCc1cccc(CN(Cc2ccccn2)C2CCC(N(C)c3ccc4c(CF)ccnc4c3)CC2)n1</v>
      </c>
      <c r="C10411" s="7">
        <f>IFERROR(__xludf.DUMMYFUNCTION("""COMPUTED_VALUE"""),7.765782)</f>
        <v>7.765782</v>
      </c>
      <c r="D10411" s="7">
        <f>IFERROR(__xludf.DUMMYFUNCTION("""COMPUTED_VALUE"""),0.338235294117647)</f>
        <v>0.3382352941</v>
      </c>
    </row>
    <row r="10412">
      <c r="A10412" s="10" t="s">
        <v>11851</v>
      </c>
      <c r="B10412" s="7" t="str">
        <f>IFERROR(__xludf.DUMMYFUNCTION("SPLIT(A10412,"" "")"),"CNCC1=CCC(N(C)Cc2ccccn2)=CN1")</f>
        <v>CNCC1=CCC(N(C)Cc2ccccn2)=CN1</v>
      </c>
      <c r="C10412" s="7">
        <f>IFERROR(__xludf.DUMMYFUNCTION("""COMPUTED_VALUE"""),7.765778)</f>
        <v>7.765778</v>
      </c>
      <c r="D10412" s="7">
        <f>IFERROR(__xludf.DUMMYFUNCTION("""COMPUTED_VALUE"""),0.42)</f>
        <v>0.42</v>
      </c>
    </row>
    <row r="10413">
      <c r="A10413" s="10" t="s">
        <v>11852</v>
      </c>
      <c r="B10413" s="7" t="str">
        <f>IFERROR(__xludf.DUMMYFUNCTION("SPLIT(A10413,"" "")"),"Cc1ccc(N(C)CCN(C)Cc2ccccn2)c(C)c1")</f>
        <v>Cc1ccc(N(C)CCN(C)Cc2ccccn2)c(C)c1</v>
      </c>
      <c r="C10413" s="7">
        <f>IFERROR(__xludf.DUMMYFUNCTION("""COMPUTED_VALUE"""),7.7657766)</f>
        <v>7.7657766</v>
      </c>
      <c r="D10413" s="7">
        <f>IFERROR(__xludf.DUMMYFUNCTION("""COMPUTED_VALUE"""),0.488888888888888)</f>
        <v>0.4888888889</v>
      </c>
    </row>
    <row r="10414">
      <c r="A10414" s="10" t="s">
        <v>11853</v>
      </c>
      <c r="B10414" s="7" t="str">
        <f>IFERROR(__xludf.DUMMYFUNCTION("SPLIT(A10414,"" "")"),"Cc1cc(CN(C)C2CCCCC2N(Cc2cccc(-c3ccccn3)n2)Cc2nc(C)c(C)c(C)c2C)nc(C)c1C")</f>
        <v>Cc1cc(CN(C)C2CCCCC2N(Cc2cccc(-c3ccccn3)n2)Cc2nc(C)c(C)c(C)c2C)nc(C)c1C</v>
      </c>
      <c r="C10414" s="7">
        <f>IFERROR(__xludf.DUMMYFUNCTION("""COMPUTED_VALUE"""),7.7657723)</f>
        <v>7.7657723</v>
      </c>
      <c r="D10414" s="7">
        <f>IFERROR(__xludf.DUMMYFUNCTION("""COMPUTED_VALUE"""),0.459016393442622)</f>
        <v>0.4590163934</v>
      </c>
    </row>
    <row r="10415">
      <c r="A10415" s="10" t="s">
        <v>11854</v>
      </c>
      <c r="B10415" s="7" t="str">
        <f>IFERROR(__xludf.DUMMYFUNCTION("SPLIT(A10415,"" "")"),"CNCC1=C(N(C)Cc2ccccn2)CC=CN1")</f>
        <v>CNCC1=C(N(C)Cc2ccccn2)CC=CN1</v>
      </c>
      <c r="C10415" s="7">
        <f>IFERROR(__xludf.DUMMYFUNCTION("""COMPUTED_VALUE"""),7.765771)</f>
        <v>7.765771</v>
      </c>
      <c r="D10415" s="7">
        <f>IFERROR(__xludf.DUMMYFUNCTION("""COMPUTED_VALUE"""),0.425925925925925)</f>
        <v>0.4259259259</v>
      </c>
    </row>
    <row r="10416">
      <c r="A10416" s="10" t="s">
        <v>11855</v>
      </c>
      <c r="B10416" s="7" t="str">
        <f>IFERROR(__xludf.DUMMYFUNCTION("SPLIT(A10416,"" "")"),"CN1CCN(Cc2ccccn2)CCN(Cc2cc(N(C)Cc3cc(-c4ccc(Cl)cc4N)ccn3)ccn2)CC1")</f>
        <v>CN1CCN(Cc2ccccn2)CCN(Cc2cc(N(C)Cc3cc(-c4ccc(Cl)cc4N)ccn3)ccn2)CC1</v>
      </c>
      <c r="C10416" s="7">
        <f>IFERROR(__xludf.DUMMYFUNCTION("""COMPUTED_VALUE"""),7.765769)</f>
        <v>7.765769</v>
      </c>
      <c r="D10416" s="7">
        <f>IFERROR(__xludf.DUMMYFUNCTION("""COMPUTED_VALUE"""),0.47457627118644)</f>
        <v>0.4745762712</v>
      </c>
    </row>
    <row r="10417">
      <c r="A10417" s="10" t="s">
        <v>11856</v>
      </c>
      <c r="B10417" s="7" t="str">
        <f>IFERROR(__xludf.DUMMYFUNCTION("SPLIT(A10417,"" "")"),"CN(C)Cc1ccc2cc(N(Cc3ccccn3)Cc3ncccc3-c3ccc4c(c3)OCCOCCOCCOCCOCCO4)ccc2n1")</f>
        <v>CN(C)Cc1ccc2cc(N(Cc3ccccn3)Cc3ncccc3-c3ccc4c(c3)OCCOCCOCCOCCOCCO4)ccc2n1</v>
      </c>
      <c r="C10417" s="7">
        <f>IFERROR(__xludf.DUMMYFUNCTION("""COMPUTED_VALUE"""),7.765765)</f>
        <v>7.765765</v>
      </c>
      <c r="D10417" s="7">
        <f>IFERROR(__xludf.DUMMYFUNCTION("""COMPUTED_VALUE"""),0.347826086956521)</f>
        <v>0.347826087</v>
      </c>
    </row>
    <row r="10418">
      <c r="A10418" s="10" t="s">
        <v>11857</v>
      </c>
      <c r="B10418" s="7" t="str">
        <f>IFERROR(__xludf.DUMMYFUNCTION("SPLIT(A10418,"" "")"),"C1=CC(NCc2ccccn2)NC(NCc2ccccn2)=C1")</f>
        <v>C1=CC(NCc2ccccn2)NC(NCc2ccccn2)=C1</v>
      </c>
      <c r="C10418" s="7">
        <f>IFERROR(__xludf.DUMMYFUNCTION("""COMPUTED_VALUE"""),7.765754)</f>
        <v>7.765754</v>
      </c>
      <c r="D10418" s="7">
        <f>IFERROR(__xludf.DUMMYFUNCTION("""COMPUTED_VALUE"""),0.404761904761904)</f>
        <v>0.4047619048</v>
      </c>
    </row>
    <row r="10419">
      <c r="A10419" s="10" t="s">
        <v>11858</v>
      </c>
      <c r="B10419" s="7" t="str">
        <f>IFERROR(__xludf.DUMMYFUNCTION("SPLIT(A10419,"" "")"),"CN(Cc1ccc2c(n1)CCC2)C1CCCCC1N(C)c1ccc2nccc(CF)c2c1")</f>
        <v>CN(Cc1ccc2c(n1)CCC2)C1CCCCC1N(C)c1ccc2nccc(CF)c2c1</v>
      </c>
      <c r="C10419" s="7">
        <f>IFERROR(__xludf.DUMMYFUNCTION("""COMPUTED_VALUE"""),7.7657504)</f>
        <v>7.7657504</v>
      </c>
      <c r="D10419" s="7">
        <f>IFERROR(__xludf.DUMMYFUNCTION("""COMPUTED_VALUE"""),0.371428571428571)</f>
        <v>0.3714285714</v>
      </c>
    </row>
    <row r="10420">
      <c r="A10420" s="10" t="s">
        <v>11859</v>
      </c>
      <c r="B10420" s="7" t="str">
        <f>IFERROR(__xludf.DUMMYFUNCTION("SPLIT(A10420,"" "")"),"CC(C)C(C)(c1cccnc1)c1cccc(CN(Cc2ccccn2)Cc2cccc(C(C)(C)C)n2)n1")</f>
        <v>CC(C)C(C)(c1cccnc1)c1cccc(CN(Cc2ccccn2)Cc2cccc(C(C)(C)C)n2)n1</v>
      </c>
      <c r="C10420" s="7">
        <f>IFERROR(__xludf.DUMMYFUNCTION("""COMPUTED_VALUE"""),7.7657466)</f>
        <v>7.7657466</v>
      </c>
      <c r="D10420" s="7">
        <f>IFERROR(__xludf.DUMMYFUNCTION("""COMPUTED_VALUE"""),0.416666666666666)</f>
        <v>0.4166666667</v>
      </c>
    </row>
    <row r="10421">
      <c r="A10421" s="10" t="s">
        <v>11860</v>
      </c>
      <c r="B10421" s="7" t="str">
        <f>IFERROR(__xludf.DUMMYFUNCTION("SPLIT(A10421,"" "")"),"Cc1cncc(CN(C)C2CCCC(N(C)c3cccc4ncccc34)C2)c1")</f>
        <v>Cc1cncc(CN(C)C2CCCC(N(C)c3cccc4ncccc34)C2)c1</v>
      </c>
      <c r="C10421" s="7">
        <f>IFERROR(__xludf.DUMMYFUNCTION("""COMPUTED_VALUE"""),7.765746)</f>
        <v>7.765746</v>
      </c>
      <c r="D10421" s="7">
        <f>IFERROR(__xludf.DUMMYFUNCTION("""COMPUTED_VALUE"""),0.3125)</f>
        <v>0.3125</v>
      </c>
    </row>
    <row r="10422">
      <c r="A10422" s="10" t="s">
        <v>11861</v>
      </c>
      <c r="B10422" s="7" t="str">
        <f>IFERROR(__xludf.DUMMYFUNCTION("SPLIT(A10422,"" "")"),"Cc1cccnc1CN(C)C1=CNC(CNC(C)C)=CC1")</f>
        <v>Cc1cccnc1CN(C)C1=CNC(CNC(C)C)=CC1</v>
      </c>
      <c r="C10422" s="7">
        <f>IFERROR(__xludf.DUMMYFUNCTION("""COMPUTED_VALUE"""),7.765742)</f>
        <v>7.765742</v>
      </c>
      <c r="D10422" s="7">
        <f>IFERROR(__xludf.DUMMYFUNCTION("""COMPUTED_VALUE"""),0.254237288135593)</f>
        <v>0.2542372881</v>
      </c>
    </row>
    <row r="10423">
      <c r="A10423" s="10" t="s">
        <v>11862</v>
      </c>
      <c r="B10423" s="7" t="str">
        <f>IFERROR(__xludf.DUMMYFUNCTION("SPLIT(A10423,"" "")"),"CN(c1cccc2cccnc12)C1CCCC(N(CC2=CCC=CN2)Cc2ccccn2)C1")</f>
        <v>CN(c1cccc2cccnc12)C1CCCC(N(CC2=CCC=CN2)Cc2ccccn2)C1</v>
      </c>
      <c r="C10423" s="7">
        <f>IFERROR(__xludf.DUMMYFUNCTION("""COMPUTED_VALUE"""),7.7657404)</f>
        <v>7.7657404</v>
      </c>
      <c r="D10423" s="7">
        <f>IFERROR(__xludf.DUMMYFUNCTION("""COMPUTED_VALUE"""),0.492063492063492)</f>
        <v>0.4920634921</v>
      </c>
    </row>
    <row r="10424">
      <c r="A10424" s="10" t="s">
        <v>11863</v>
      </c>
      <c r="B10424" s="7" t="str">
        <f>IFERROR(__xludf.DUMMYFUNCTION("SPLIT(A10424,"" "")"),"CNCc1cc(CN(Cc2ccccn2)C2CCC(N(C)c3ccc4c(CF)ccnc4c3)CC2)ccn1")</f>
        <v>CNCc1cc(CN(Cc2ccccn2)C2CCC(N(C)c3ccc4c(CF)ccnc4c3)CC2)ccn1</v>
      </c>
      <c r="C10424" s="7">
        <f>IFERROR(__xludf.DUMMYFUNCTION("""COMPUTED_VALUE"""),7.7657385)</f>
        <v>7.7657385</v>
      </c>
      <c r="D10424" s="7">
        <f>IFERROR(__xludf.DUMMYFUNCTION("""COMPUTED_VALUE"""),0.323529411764705)</f>
        <v>0.3235294118</v>
      </c>
    </row>
    <row r="10425">
      <c r="A10425" s="10" t="s">
        <v>11864</v>
      </c>
      <c r="B10425" s="7" t="str">
        <f>IFERROR(__xludf.DUMMYFUNCTION("SPLIT(A10425,"" "")"),"Cc1cccnc1CN(C)C1=CNC(C(C)(C)C)=CC1")</f>
        <v>Cc1cccnc1CN(C)C1=CNC(C(C)(C)C)=CC1</v>
      </c>
      <c r="C10425" s="7">
        <f>IFERROR(__xludf.DUMMYFUNCTION("""COMPUTED_VALUE"""),7.765738)</f>
        <v>7.765738</v>
      </c>
      <c r="D10425" s="7">
        <f>IFERROR(__xludf.DUMMYFUNCTION("""COMPUTED_VALUE"""),0.277777777777777)</f>
        <v>0.2777777778</v>
      </c>
    </row>
    <row r="10426">
      <c r="A10426" s="10" t="s">
        <v>11865</v>
      </c>
      <c r="B10426" s="7" t="str">
        <f>IFERROR(__xludf.DUMMYFUNCTION("SPLIT(A10426,"" "")"),"CNCc1cccc(-c2cccc(CN(C)C3CCC(N(C)Cc4ccc5ncccc5c4)CC3)n2)c1")</f>
        <v>CNCc1cccc(-c2cccc(CN(C)C3CCC(N(C)Cc4ccc5ncccc5c4)CC3)n2)c1</v>
      </c>
      <c r="C10426" s="7">
        <f>IFERROR(__xludf.DUMMYFUNCTION("""COMPUTED_VALUE"""),7.7657323)</f>
        <v>7.7657323</v>
      </c>
      <c r="D10426" s="7">
        <f>IFERROR(__xludf.DUMMYFUNCTION("""COMPUTED_VALUE"""),0.352112676056338)</f>
        <v>0.3521126761</v>
      </c>
    </row>
    <row r="10427">
      <c r="A10427" s="10" t="s">
        <v>11866</v>
      </c>
      <c r="B10427" s="7" t="str">
        <f>IFERROR(__xludf.DUMMYFUNCTION("SPLIT(A10427,"" "")"),"Cc1cccc(CN(C)C2CCC(N(C)c3ccc4nc(CF)ccc4c3)CC2)n1")</f>
        <v>Cc1cccc(CN(C)C2CCC(N(C)c3ccc4nc(CF)ccc4c3)CC2)n1</v>
      </c>
      <c r="C10427" s="7">
        <f>IFERROR(__xludf.DUMMYFUNCTION("""COMPUTED_VALUE"""),7.765724)</f>
        <v>7.765724</v>
      </c>
      <c r="D10427" s="7">
        <f>IFERROR(__xludf.DUMMYFUNCTION("""COMPUTED_VALUE"""),0.462962962962962)</f>
        <v>0.462962963</v>
      </c>
    </row>
    <row r="10428">
      <c r="A10428" s="10" t="s">
        <v>11867</v>
      </c>
      <c r="B10428" s="7" t="str">
        <f>IFERROR(__xludf.DUMMYFUNCTION("SPLIT(A10428,"" "")"),"Cc1cccnc1CN(C)C1CCC(N(C)c2ccc3nc(CF)ccc3c2)CC1")</f>
        <v>Cc1cccnc1CN(C)C1CCC(N(C)c2ccc3nc(CF)ccc3c2)CC1</v>
      </c>
      <c r="C10428" s="7">
        <f>IFERROR(__xludf.DUMMYFUNCTION("""COMPUTED_VALUE"""),7.7657204)</f>
        <v>7.7657204</v>
      </c>
      <c r="D10428" s="7">
        <f>IFERROR(__xludf.DUMMYFUNCTION("""COMPUTED_VALUE"""),0.333333333333333)</f>
        <v>0.3333333333</v>
      </c>
    </row>
    <row r="10429">
      <c r="A10429" s="10" t="s">
        <v>11868</v>
      </c>
      <c r="B10429" s="7" t="str">
        <f>IFERROR(__xludf.DUMMYFUNCTION("SPLIT(A10429,"" "")"),"CC(C)c1cccc(CN(Cc2ccccn2)c2ccc3nc(CN(C)Cc4cccc(-c5ccc6c(c5)OCCOCCOCCOCCOCCO6)n4)ccc3c2)n1")</f>
        <v>CC(C)c1cccc(CN(Cc2ccccn2)c2ccc3nc(CN(C)Cc4cccc(-c5ccc6c(c5)OCCOCCOCCOCCOCCO6)n4)ccc3c2)n1</v>
      </c>
      <c r="C10429" s="7">
        <f>IFERROR(__xludf.DUMMYFUNCTION("""COMPUTED_VALUE"""),7.765719)</f>
        <v>7.765719</v>
      </c>
      <c r="D10429" s="7">
        <f>IFERROR(__xludf.DUMMYFUNCTION("""COMPUTED_VALUE"""),0.4)</f>
        <v>0.4</v>
      </c>
    </row>
    <row r="10430">
      <c r="A10430" s="10" t="s">
        <v>11869</v>
      </c>
      <c r="B10430" s="7" t="str">
        <f>IFERROR(__xludf.DUMMYFUNCTION("SPLIT(A10430,"" "")"),"CC1=C(N(C)Cc2ccccn2)CC(C)C(c2ccc(CN(C)Cc3ccccn3)cn2)C1(C)C")</f>
        <v>CC1=C(N(C)Cc2ccccn2)CC(C)C(c2ccc(CN(C)Cc3ccccn3)cn2)C1(C)C</v>
      </c>
      <c r="C10430" s="7">
        <f>IFERROR(__xludf.DUMMYFUNCTION("""COMPUTED_VALUE"""),7.765717)</f>
        <v>7.765717</v>
      </c>
      <c r="D10430" s="7">
        <f>IFERROR(__xludf.DUMMYFUNCTION("""COMPUTED_VALUE"""),0.383333333333333)</f>
        <v>0.3833333333</v>
      </c>
    </row>
    <row r="10431">
      <c r="A10431" s="10" t="s">
        <v>11870</v>
      </c>
      <c r="B10431" s="7" t="str">
        <f>IFERROR(__xludf.DUMMYFUNCTION("SPLIT(A10431,"" "")"),"CN(Cc1ccccn1)Cc1cccc(N(C)Cc2cccc(C3CCC3(C)C)n2)n1")</f>
        <v>CN(Cc1ccccn1)Cc1cccc(N(C)Cc2cccc(C3CCC3(C)C)n2)n1</v>
      </c>
      <c r="C10431" s="7">
        <f>IFERROR(__xludf.DUMMYFUNCTION("""COMPUTED_VALUE"""),7.765715)</f>
        <v>7.765715</v>
      </c>
      <c r="D10431" s="7">
        <f>IFERROR(__xludf.DUMMYFUNCTION("""COMPUTED_VALUE"""),0.490566037735849)</f>
        <v>0.4905660377</v>
      </c>
    </row>
    <row r="10432">
      <c r="A10432" s="10" t="s">
        <v>11871</v>
      </c>
      <c r="B10432" s="7" t="str">
        <f>IFERROR(__xludf.DUMMYFUNCTION("SPLIT(A10432,"" "")"),"Cc1cccnc1CN(C)C1CCCCC1N(C)c1cccc2ncc(CF)cc12")</f>
        <v>Cc1cccnc1CN(C)C1CCCCC1N(C)c1cccc2ncc(CF)cc12</v>
      </c>
      <c r="C10432" s="7">
        <f>IFERROR(__xludf.DUMMYFUNCTION("""COMPUTED_VALUE"""),7.7657084)</f>
        <v>7.7657084</v>
      </c>
      <c r="D10432" s="7">
        <f>IFERROR(__xludf.DUMMYFUNCTION("""COMPUTED_VALUE"""),0.403225806451612)</f>
        <v>0.4032258065</v>
      </c>
    </row>
    <row r="10433">
      <c r="A10433" s="10" t="s">
        <v>11872</v>
      </c>
      <c r="B10433" s="7" t="str">
        <f>IFERROR(__xludf.DUMMYFUNCTION("SPLIT(A10433,"" "")"),"CNC1CC(N(Cc2nc(C)c(C)c(C)c2C)Cc2nc(C)c(C)c(C)c2C)CCC1N(Cc1ncc(C)c(C)c1C)Cc1nc(C)c(C)c(C)c1C")</f>
        <v>CNC1CC(N(Cc2nc(C)c(C)c(C)c2C)Cc2nc(C)c(C)c(C)c2C)CCC1N(Cc1ncc(C)c(C)c1C)Cc1nc(C)c(C)c(C)c1C</v>
      </c>
      <c r="C10433" s="7">
        <f>IFERROR(__xludf.DUMMYFUNCTION("""COMPUTED_VALUE"""),7.7657013)</f>
        <v>7.7657013</v>
      </c>
      <c r="D10433" s="7">
        <f>IFERROR(__xludf.DUMMYFUNCTION("""COMPUTED_VALUE"""),0.238095238095238)</f>
        <v>0.2380952381</v>
      </c>
    </row>
    <row r="10434">
      <c r="A10434" s="10" t="s">
        <v>11873</v>
      </c>
      <c r="B10434" s="7" t="str">
        <f>IFERROR(__xludf.DUMMYFUNCTION("SPLIT(A10434,"" "")"),"Cc1c(C)c(C)c(N(Cc2ccccn2)C(C)(C)N(Cc2ccccn2)c2ccc(N=Cc3ccccn3)c3c2OCCOCCOCCOCCOCCO3)c(N=Cc2ccccn2)c1C")</f>
        <v>Cc1c(C)c(C)c(N(Cc2ccccn2)C(C)(C)N(Cc2ccccn2)c2ccc(N=Cc3ccccn3)c3c2OCCOCCOCCOCCOCCO3)c(N=Cc2ccccn2)c1C</v>
      </c>
      <c r="C10434" s="7">
        <f>IFERROR(__xludf.DUMMYFUNCTION("""COMPUTED_VALUE"""),7.7657003)</f>
        <v>7.7657003</v>
      </c>
      <c r="D10434" s="7">
        <f>IFERROR(__xludf.DUMMYFUNCTION("""COMPUTED_VALUE"""),0.319444444444444)</f>
        <v>0.3194444444</v>
      </c>
    </row>
    <row r="10435">
      <c r="A10435" s="10" t="s">
        <v>11874</v>
      </c>
      <c r="B10435" s="7" t="str">
        <f>IFERROR(__xludf.DUMMYFUNCTION("SPLIT(A10435,"" "")"),"Cc1cccc(CN(C)Cc2ccc3cccc(N(C)Cc4cccc(-c5ccc6c(c5)OCCOCCOCCOCCOCCO6)n4)c3n2)n1")</f>
        <v>Cc1cccc(CN(C)Cc2ccc3cccc(N(C)Cc4cccc(-c5ccc6c(c5)OCCOCCOCCOCCOCCO6)n4)c3n2)n1</v>
      </c>
      <c r="C10435" s="7">
        <f>IFERROR(__xludf.DUMMYFUNCTION("""COMPUTED_VALUE"""),7.765691)</f>
        <v>7.765691</v>
      </c>
      <c r="D10435" s="7">
        <f>IFERROR(__xludf.DUMMYFUNCTION("""COMPUTED_VALUE"""),0.360655737704918)</f>
        <v>0.3606557377</v>
      </c>
    </row>
    <row r="10436">
      <c r="A10436" s="10" t="s">
        <v>11875</v>
      </c>
      <c r="B10436" s="7" t="str">
        <f>IFERROR(__xludf.DUMMYFUNCTION("SPLIT(A10436,"" "")"),"CCN(Cc1ccccn1)Cc1ccc(C(C)(C)C)c(CN(C)Cc2nc(C)ccc2C)n1")</f>
        <v>CCN(Cc1ccccn1)Cc1ccc(C(C)(C)C)c(CN(C)Cc2nc(C)ccc2C)n1</v>
      </c>
      <c r="C10436" s="7">
        <f>IFERROR(__xludf.DUMMYFUNCTION("""COMPUTED_VALUE"""),7.765687)</f>
        <v>7.765687</v>
      </c>
      <c r="D10436" s="7">
        <f>IFERROR(__xludf.DUMMYFUNCTION("""COMPUTED_VALUE"""),0.396551724137931)</f>
        <v>0.3965517241</v>
      </c>
    </row>
    <row r="10437">
      <c r="A10437" s="10" t="s">
        <v>11876</v>
      </c>
      <c r="B10437" s="7" t="str">
        <f>IFERROR(__xludf.DUMMYFUNCTION("SPLIT(A10437,"" "")"),"Cc1cccc(CNCc2ncccc2C(C)(C)c2ccccn2)c1")</f>
        <v>Cc1cccc(CNCc2ncccc2C(C)(C)c2ccccn2)c1</v>
      </c>
      <c r="C10437" s="7">
        <f>IFERROR(__xludf.DUMMYFUNCTION("""COMPUTED_VALUE"""),7.7656865)</f>
        <v>7.7656865</v>
      </c>
      <c r="D10437" s="7">
        <f>IFERROR(__xludf.DUMMYFUNCTION("""COMPUTED_VALUE"""),0.311475409836065)</f>
        <v>0.3114754098</v>
      </c>
    </row>
    <row r="10438">
      <c r="A10438" s="10" t="s">
        <v>11877</v>
      </c>
      <c r="B10438" s="7" t="str">
        <f>IFERROR(__xludf.DUMMYFUNCTION("SPLIT(A10438,"" "")"),"CC(C)C(C)(c1ccccn1)c1ncccc1CN(Cc1ccccn1)Cc1ccccn1")</f>
        <v>CC(C)C(C)(c1ccccn1)c1ncccc1CN(Cc1ccccn1)Cc1ccccn1</v>
      </c>
      <c r="C10438" s="7">
        <f>IFERROR(__xludf.DUMMYFUNCTION("""COMPUTED_VALUE"""),7.7656846)</f>
        <v>7.7656846</v>
      </c>
      <c r="D10438" s="7">
        <f>IFERROR(__xludf.DUMMYFUNCTION("""COMPUTED_VALUE"""),0.48780487804878)</f>
        <v>0.487804878</v>
      </c>
    </row>
    <row r="10439">
      <c r="A10439" s="10" t="s">
        <v>11878</v>
      </c>
      <c r="B10439" s="7" t="str">
        <f>IFERROR(__xludf.DUMMYFUNCTION("SPLIT(A10439,"" "")"),"Cc1cnccc1CN(C)CC1=CC(N(C)Cc2cc(C)c(C)c(C)n2)C=CN1")</f>
        <v>Cc1cnccc1CN(C)CC1=CC(N(C)Cc2cc(C)c(C)c(C)n2)C=CN1</v>
      </c>
      <c r="C10439" s="7">
        <f>IFERROR(__xludf.DUMMYFUNCTION("""COMPUTED_VALUE"""),7.7656817)</f>
        <v>7.7656817</v>
      </c>
      <c r="D10439" s="7">
        <f>IFERROR(__xludf.DUMMYFUNCTION("""COMPUTED_VALUE"""),0.283582089552238)</f>
        <v>0.2835820896</v>
      </c>
    </row>
    <row r="10440">
      <c r="A10440" s="10" t="s">
        <v>11879</v>
      </c>
      <c r="B10440" s="7" t="str">
        <f>IFERROR(__xludf.DUMMYFUNCTION("SPLIT(A10440,"" "")"),"Cc1ccc(CN(C)CC2=CC(N(C)Cc3cc(C)c(C)c(C)n3)C=CN2)nc1")</f>
        <v>Cc1ccc(CN(C)CC2=CC(N(C)Cc3cc(C)c(C)c(C)n3)C=CN2)nc1</v>
      </c>
      <c r="C10440" s="7">
        <f>IFERROR(__xludf.DUMMYFUNCTION("""COMPUTED_VALUE"""),7.765681)</f>
        <v>7.765681</v>
      </c>
      <c r="D10440" s="7">
        <f>IFERROR(__xludf.DUMMYFUNCTION("""COMPUTED_VALUE"""),0.4)</f>
        <v>0.4</v>
      </c>
    </row>
    <row r="10441">
      <c r="A10441" s="10" t="s">
        <v>11880</v>
      </c>
      <c r="B10441" s="7" t="str">
        <f>IFERROR(__xludf.DUMMYFUNCTION("SPLIT(A10441,"" "")"),"CC1=CC(C)CCC1(C)c1ncccc1CN(Cc1ccccn1)C1CCCCC1N(C)c1ccc2nccc(CN(C)C)c2c1")</f>
        <v>CC1=CC(C)CCC1(C)c1ncccc1CN(Cc1ccccn1)C1CCCCC1N(C)c1ccc2nccc(CN(C)C)c2c1</v>
      </c>
      <c r="C10441" s="7">
        <f>IFERROR(__xludf.DUMMYFUNCTION("""COMPUTED_VALUE"""),7.7656794)</f>
        <v>7.7656794</v>
      </c>
      <c r="D10441" s="7">
        <f>IFERROR(__xludf.DUMMYFUNCTION("""COMPUTED_VALUE"""),0.342105263157894)</f>
        <v>0.3421052632</v>
      </c>
    </row>
    <row r="10442">
      <c r="A10442" s="10" t="s">
        <v>11881</v>
      </c>
      <c r="B10442" s="7" t="str">
        <f>IFERROR(__xludf.DUMMYFUNCTION("SPLIT(A10442,"" "")"),"Cc1ccc(CN(Cc2ccccn2)c2ccc3nc(CN(C)Cc4cccc(-c5ccc6c(c5)OCCOCCOCCOCCOCCO6)n4)ccc3c2)nc1")</f>
        <v>Cc1ccc(CN(Cc2ccccn2)c2ccc3nc(CN(C)Cc4cccc(-c5ccc6c(c5)OCCOCCOCCOCCOCCO6)n4)ccc3c2)nc1</v>
      </c>
      <c r="C10442" s="7">
        <f>IFERROR(__xludf.DUMMYFUNCTION("""COMPUTED_VALUE"""),7.7656784)</f>
        <v>7.7656784</v>
      </c>
      <c r="D10442" s="7">
        <f>IFERROR(__xludf.DUMMYFUNCTION("""COMPUTED_VALUE"""),0.405797101449275)</f>
        <v>0.4057971014</v>
      </c>
    </row>
    <row r="10443">
      <c r="A10443" s="10" t="s">
        <v>11882</v>
      </c>
      <c r="B10443" s="7" t="str">
        <f>IFERROR(__xludf.DUMMYFUNCTION("SPLIT(A10443,"" "")"),"Cc1cc(CN2CCN(C)CCN(Cc3cc(-c4ccc(N=Cc5ccccn5)cc4)ccn3)CC2)nc(C)c1C")</f>
        <v>Cc1cc(CN2CCN(C)CCN(Cc3cc(-c4ccc(N=Cc5ccccn5)cc4)ccn3)CC2)nc(C)c1C</v>
      </c>
      <c r="C10443" s="7">
        <f>IFERROR(__xludf.DUMMYFUNCTION("""COMPUTED_VALUE"""),7.765678)</f>
        <v>7.765678</v>
      </c>
      <c r="D10443" s="7">
        <f>IFERROR(__xludf.DUMMYFUNCTION("""COMPUTED_VALUE"""),0.426229508196721)</f>
        <v>0.4262295082</v>
      </c>
    </row>
    <row r="10444">
      <c r="A10444" s="10" t="s">
        <v>11883</v>
      </c>
      <c r="B10444" s="7" t="str">
        <f>IFERROR(__xludf.DUMMYFUNCTION("SPLIT(A10444,"" "")"),"Cc1ccnc(CN(C)CN(C)Cc2ncc(C)c(C)c2C)c1C")</f>
        <v>Cc1ccnc(CN(C)CN(C)Cc2ncc(C)c(C)c2C)c1C</v>
      </c>
      <c r="C10444" s="7">
        <f>IFERROR(__xludf.DUMMYFUNCTION("""COMPUTED_VALUE"""),7.765675)</f>
        <v>7.765675</v>
      </c>
      <c r="D10444" s="7">
        <f>IFERROR(__xludf.DUMMYFUNCTION("""COMPUTED_VALUE"""),0.325581395348837)</f>
        <v>0.3255813953</v>
      </c>
    </row>
    <row r="10445">
      <c r="A10445" s="10" t="s">
        <v>11884</v>
      </c>
      <c r="B10445" s="7" t="str">
        <f>IFERROR(__xludf.DUMMYFUNCTION("SPLIT(A10445,"" "")"),"Cc1ccc(C2CCC2(C)C)nc1CN(Cc1ccccn1)C1CCC(N(C)c2ccc3nccc(CF)c3c2)CC1")</f>
        <v>Cc1ccc(C2CCC2(C)C)nc1CN(Cc1ccccn1)C1CCC(N(C)c2ccc3nccc(CF)c3c2)CC1</v>
      </c>
      <c r="C10445" s="7">
        <f>IFERROR(__xludf.DUMMYFUNCTION("""COMPUTED_VALUE"""),7.7656746)</f>
        <v>7.7656746</v>
      </c>
      <c r="D10445" s="7">
        <f>IFERROR(__xludf.DUMMYFUNCTION("""COMPUTED_VALUE"""),0.278481012658227)</f>
        <v>0.2784810127</v>
      </c>
    </row>
    <row r="10446">
      <c r="A10446" s="10" t="s">
        <v>11885</v>
      </c>
      <c r="B10446" s="7" t="str">
        <f>IFERROR(__xludf.DUMMYFUNCTION("SPLIT(A10446,"" "")"),"Cc1cc(CNCCN(C)Cc2nc(C)c(C)c(C)c2C)nc(C)c1C")</f>
        <v>Cc1cc(CNCCN(C)Cc2nc(C)c(C)c(C)c2C)nc(C)c1C</v>
      </c>
      <c r="C10446" s="7">
        <f>IFERROR(__xludf.DUMMYFUNCTION("""COMPUTED_VALUE"""),7.76567)</f>
        <v>7.76567</v>
      </c>
      <c r="D10446" s="7">
        <f>IFERROR(__xludf.DUMMYFUNCTION("""COMPUTED_VALUE"""),0.28)</f>
        <v>0.28</v>
      </c>
    </row>
    <row r="10447">
      <c r="A10447" s="10" t="s">
        <v>11886</v>
      </c>
      <c r="B10447" s="7" t="str">
        <f>IFERROR(__xludf.DUMMYFUNCTION("SPLIT(A10447,"" "")"),"C=CCN(C)CC1=C(N(C)Cc2nc(C)c(C)c(C)c2C)CC=CN1")</f>
        <v>C=CCN(C)CC1=C(N(C)Cc2nc(C)c(C)c(C)c2C)CC=CN1</v>
      </c>
      <c r="C10447" s="7">
        <f>IFERROR(__xludf.DUMMYFUNCTION("""COMPUTED_VALUE"""),7.765665)</f>
        <v>7.765665</v>
      </c>
      <c r="D10447" s="7">
        <f>IFERROR(__xludf.DUMMYFUNCTION("""COMPUTED_VALUE"""),0.183333333333333)</f>
        <v>0.1833333333</v>
      </c>
    </row>
    <row r="10448">
      <c r="A10448" s="10" t="s">
        <v>11887</v>
      </c>
      <c r="B10448" s="7" t="str">
        <f>IFERROR(__xludf.DUMMYFUNCTION("SPLIT(A10448,"" "")"),"CCN(Cc1ccccn1)Cc1cc(N(C)C(C)(C)c2ccccn2)ccn1")</f>
        <v>CCN(Cc1ccccn1)Cc1cc(N(C)C(C)(C)c2ccccn2)ccn1</v>
      </c>
      <c r="C10448" s="7">
        <f>IFERROR(__xludf.DUMMYFUNCTION("""COMPUTED_VALUE"""),7.765663)</f>
        <v>7.765663</v>
      </c>
      <c r="D10448" s="7">
        <f>IFERROR(__xludf.DUMMYFUNCTION("""COMPUTED_VALUE"""),0.448979591836734)</f>
        <v>0.4489795918</v>
      </c>
    </row>
    <row r="10449">
      <c r="A10449" s="10" t="s">
        <v>11888</v>
      </c>
      <c r="B10449" s="7" t="str">
        <f>IFERROR(__xludf.DUMMYFUNCTION("SPLIT(A10449,"" "")"),"CC(C)C1=CC2(C=CN1)C=CC(C)c1cccnc12")</f>
        <v>CC(C)C1=CC2(C=CN1)C=CC(C)c1cccnc12</v>
      </c>
      <c r="C10449" s="7">
        <f>IFERROR(__xludf.DUMMYFUNCTION("""COMPUTED_VALUE"""),7.7656584)</f>
        <v>7.7656584</v>
      </c>
      <c r="D10449" s="7">
        <f>IFERROR(__xludf.DUMMYFUNCTION("""COMPUTED_VALUE"""),0.19298245614035)</f>
        <v>0.1929824561</v>
      </c>
    </row>
    <row r="10450">
      <c r="A10450" s="10" t="s">
        <v>11889</v>
      </c>
      <c r="B10450" s="7" t="str">
        <f>IFERROR(__xludf.DUMMYFUNCTION("SPLIT(A10450,"" "")"),"Cc1cncc(CN(C)C2CCC(N(Cc3ccc4ncccc4c3)Cc3nc(C)c(C)c(C)c3C)CC2)c1")</f>
        <v>Cc1cncc(CN(C)C2CCC(N(Cc3ccc4ncccc4c3)Cc3nc(C)c(C)c(C)c3C)CC2)c1</v>
      </c>
      <c r="C10450" s="7">
        <f>IFERROR(__xludf.DUMMYFUNCTION("""COMPUTED_VALUE"""),7.7656517)</f>
        <v>7.7656517</v>
      </c>
      <c r="D10450" s="7">
        <f>IFERROR(__xludf.DUMMYFUNCTION("""COMPUTED_VALUE"""),0.236111111111111)</f>
        <v>0.2361111111</v>
      </c>
    </row>
    <row r="10451">
      <c r="A10451" s="10" t="s">
        <v>11890</v>
      </c>
      <c r="B10451" s="7" t="str">
        <f>IFERROR(__xludf.DUMMYFUNCTION("SPLIT(A10451,"" "")"),"CC(C)N(C)CCNc1ccc2ncccc2c1")</f>
        <v>CC(C)N(C)CCNc1ccc2ncccc2c1</v>
      </c>
      <c r="C10451" s="7">
        <f>IFERROR(__xludf.DUMMYFUNCTION("""COMPUTED_VALUE"""),7.7656484)</f>
        <v>7.7656484</v>
      </c>
      <c r="D10451" s="7">
        <f>IFERROR(__xludf.DUMMYFUNCTION("""COMPUTED_VALUE"""),0.326530612244897)</f>
        <v>0.3265306122</v>
      </c>
    </row>
    <row r="10452">
      <c r="A10452" s="10" t="s">
        <v>11891</v>
      </c>
      <c r="B10452" s="7" t="str">
        <f>IFERROR(__xludf.DUMMYFUNCTION("SPLIT(A10452,"" "")"),"Cc1cncc(CN(C)Cc2cc(N)ccn2)c1")</f>
        <v>Cc1cncc(CN(C)Cc2cc(N)ccn2)c1</v>
      </c>
      <c r="C10452" s="7">
        <f>IFERROR(__xludf.DUMMYFUNCTION("""COMPUTED_VALUE"""),7.7656474)</f>
        <v>7.7656474</v>
      </c>
      <c r="D10452" s="7">
        <f>IFERROR(__xludf.DUMMYFUNCTION("""COMPUTED_VALUE"""),0.347826086956521)</f>
        <v>0.347826087</v>
      </c>
    </row>
    <row r="10453">
      <c r="A10453" s="10" t="s">
        <v>11892</v>
      </c>
      <c r="B10453" s="7" t="str">
        <f>IFERROR(__xludf.DUMMYFUNCTION("SPLIT(A10453,"" "")"),"CC(C)N(C)CCNc1ccc2cccnc2c1")</f>
        <v>CC(C)N(C)CCNc1ccc2cccnc2c1</v>
      </c>
      <c r="C10453" s="7">
        <f>IFERROR(__xludf.DUMMYFUNCTION("""COMPUTED_VALUE"""),7.7656426)</f>
        <v>7.7656426</v>
      </c>
      <c r="D10453" s="7">
        <f>IFERROR(__xludf.DUMMYFUNCTION("""COMPUTED_VALUE"""),0.326530612244897)</f>
        <v>0.3265306122</v>
      </c>
    </row>
    <row r="10454">
      <c r="A10454" s="10" t="s">
        <v>11893</v>
      </c>
      <c r="B10454" s="7" t="str">
        <f>IFERROR(__xludf.DUMMYFUNCTION("SPLIT(A10454,"" "")"),"CC(C)N(Cc1ccccn1)C1CCC(N(C)c2ccc3cc4c(nc3c2)CCC4)CC1")</f>
        <v>CC(C)N(Cc1ccccn1)C1CCC(N(C)c2ccc3cc4c(nc3c2)CCC4)CC1</v>
      </c>
      <c r="C10454" s="7">
        <f>IFERROR(__xludf.DUMMYFUNCTION("""COMPUTED_VALUE"""),7.7656345)</f>
        <v>7.7656345</v>
      </c>
      <c r="D10454" s="7">
        <f>IFERROR(__xludf.DUMMYFUNCTION("""COMPUTED_VALUE"""),0.377049180327868)</f>
        <v>0.3770491803</v>
      </c>
    </row>
    <row r="10455">
      <c r="A10455" s="10" t="s">
        <v>11894</v>
      </c>
      <c r="B10455" s="7" t="str">
        <f>IFERROR(__xludf.DUMMYFUNCTION("SPLIT(A10455,"" "")"),"Cc1cccnc1CN(C)Cc1cccc(N(C)C(C)C)n1")</f>
        <v>Cc1cccnc1CN(C)Cc1cccc(N(C)C(C)C)n1</v>
      </c>
      <c r="C10455" s="7">
        <f>IFERROR(__xludf.DUMMYFUNCTION("""COMPUTED_VALUE"""),7.765634)</f>
        <v>7.765634</v>
      </c>
      <c r="D10455" s="7">
        <f>IFERROR(__xludf.DUMMYFUNCTION("""COMPUTED_VALUE"""),0.42)</f>
        <v>0.42</v>
      </c>
    </row>
    <row r="10456">
      <c r="A10456" s="10" t="s">
        <v>11895</v>
      </c>
      <c r="B10456" s="7" t="str">
        <f>IFERROR(__xludf.DUMMYFUNCTION("SPLIT(A10456,"" "")"),"Cc1cc(C)c(C)c(CN(C)CC2=CCC(N(C)C(C)C)=CN2)n1")</f>
        <v>Cc1cc(C)c(C)c(CN(C)CC2=CCC(N(C)C(C)C)=CN2)n1</v>
      </c>
      <c r="C10456" s="7">
        <f>IFERROR(__xludf.DUMMYFUNCTION("""COMPUTED_VALUE"""),7.7656283)</f>
        <v>7.7656283</v>
      </c>
      <c r="D10456" s="7">
        <f>IFERROR(__xludf.DUMMYFUNCTION("""COMPUTED_VALUE"""),0.232142857142857)</f>
        <v>0.2321428571</v>
      </c>
    </row>
    <row r="10457">
      <c r="A10457" s="10" t="s">
        <v>11896</v>
      </c>
      <c r="B10457" s="7" t="str">
        <f>IFERROR(__xludf.DUMMYFUNCTION("SPLIT(A10457,"" "")"),"CN(Cc1ccccn1)C1=C(CN(C)C(C)(C)c2ccccn2)NC=CC1")</f>
        <v>CN(Cc1ccccn1)C1=C(CN(C)C(C)(C)c2ccccn2)NC=CC1</v>
      </c>
      <c r="C10457" s="7">
        <f>IFERROR(__xludf.DUMMYFUNCTION("""COMPUTED_VALUE"""),7.765628)</f>
        <v>7.765628</v>
      </c>
      <c r="D10457" s="7">
        <f>IFERROR(__xludf.DUMMYFUNCTION("""COMPUTED_VALUE"""),0.415094339622641)</f>
        <v>0.4150943396</v>
      </c>
    </row>
    <row r="10458">
      <c r="A10458" s="10" t="s">
        <v>11897</v>
      </c>
      <c r="B10458" s="7" t="str">
        <f>IFERROR(__xludf.DUMMYFUNCTION("SPLIT(A10458,"" "")"),"CC1=C(C)C(C)CC2(C1)CC1(CC(C)=C(C)C(C)C1)C(c1cc(CN(Cc3ccccn3)Cc3ccccn3)ccn1)C=C2c1cc(CN(Cc2ccccn2)Cc2ccccn2)ccn1")</f>
        <v>CC1=C(C)C(C)CC2(C1)CC1(CC(C)=C(C)C(C)C1)C(c1cc(CN(Cc3ccccn3)Cc3ccccn3)ccn1)C=C2c1cc(CN(Cc2ccccn2)Cc2ccccn2)ccn1</v>
      </c>
      <c r="C10458" s="7">
        <f>IFERROR(__xludf.DUMMYFUNCTION("""COMPUTED_VALUE"""),7.765624)</f>
        <v>7.765624</v>
      </c>
      <c r="D10458" s="7">
        <f>IFERROR(__xludf.DUMMYFUNCTION("""COMPUTED_VALUE"""),0.32258064516129)</f>
        <v>0.3225806452</v>
      </c>
    </row>
    <row r="10459">
      <c r="A10459" s="10" t="s">
        <v>11898</v>
      </c>
      <c r="B10459" s="7" t="str">
        <f>IFERROR(__xludf.DUMMYFUNCTION("SPLIT(A10459,"" "")"),"CC1=CCC(C)C=C1N(C)Cc1ccccn1")</f>
        <v>CC1=CCC(C)C=C1N(C)Cc1ccccn1</v>
      </c>
      <c r="C10459" s="7">
        <f>IFERROR(__xludf.DUMMYFUNCTION("""COMPUTED_VALUE"""),7.765621)</f>
        <v>7.765621</v>
      </c>
      <c r="D10459" s="7">
        <f>IFERROR(__xludf.DUMMYFUNCTION("""COMPUTED_VALUE"""),0.456521739130434)</f>
        <v>0.4565217391</v>
      </c>
    </row>
    <row r="10460">
      <c r="A10460" s="10" t="s">
        <v>11899</v>
      </c>
      <c r="B10460" s="7" t="str">
        <f>IFERROR(__xludf.DUMMYFUNCTION("SPLIT(A10460,"" "")"),"Cc1ccnc(CN(C)C2C=CNC(CN(C)Cc3nc(C)cc(C)c3C)=C2)c1")</f>
        <v>Cc1ccnc(CN(C)C2C=CNC(CN(C)Cc3nc(C)cc(C)c3C)=C2)c1</v>
      </c>
      <c r="C10460" s="7">
        <f>IFERROR(__xludf.DUMMYFUNCTION("""COMPUTED_VALUE"""),7.7656097)</f>
        <v>7.7656097</v>
      </c>
      <c r="D10460" s="7">
        <f>IFERROR(__xludf.DUMMYFUNCTION("""COMPUTED_VALUE"""),0.279411764705882)</f>
        <v>0.2794117647</v>
      </c>
    </row>
    <row r="10461">
      <c r="A10461" s="10" t="s">
        <v>11900</v>
      </c>
      <c r="B10461" s="7" t="str">
        <f>IFERROR(__xludf.DUMMYFUNCTION("SPLIT(A10461,"" "")"),"CNC1C=CC=C(N(C)Cc2ccccn2)N1")</f>
        <v>CNC1C=CC=C(N(C)Cc2ccccn2)N1</v>
      </c>
      <c r="C10461" s="7">
        <f>IFERROR(__xludf.DUMMYFUNCTION("""COMPUTED_VALUE"""),7.7656083)</f>
        <v>7.7656083</v>
      </c>
      <c r="D10461" s="7">
        <f>IFERROR(__xludf.DUMMYFUNCTION("""COMPUTED_VALUE"""),0.4375)</f>
        <v>0.4375</v>
      </c>
    </row>
    <row r="10462">
      <c r="A10462" s="10" t="s">
        <v>11901</v>
      </c>
      <c r="B10462" s="7" t="str">
        <f>IFERROR(__xludf.DUMMYFUNCTION("SPLIT(A10462,"" "")"),"CN(Cc1ncccc1F)C1CCCC(N(C)c2ccc3cccnc3c2)C1")</f>
        <v>CN(Cc1ncccc1F)C1CCCC(N(C)c2ccc3cccnc3c2)C1</v>
      </c>
      <c r="C10462" s="7">
        <f>IFERROR(__xludf.DUMMYFUNCTION("""COMPUTED_VALUE"""),7.7656083)</f>
        <v>7.7656083</v>
      </c>
      <c r="D10462" s="7">
        <f>IFERROR(__xludf.DUMMYFUNCTION("""COMPUTED_VALUE"""),0.306451612903225)</f>
        <v>0.3064516129</v>
      </c>
    </row>
    <row r="10463">
      <c r="A10463" s="10" t="s">
        <v>11902</v>
      </c>
      <c r="B10463" s="7" t="str">
        <f>IFERROR(__xludf.DUMMYFUNCTION("SPLIT(A10463,"" "")"),"Cc1ccc(CN(C)Cc2ccc(C(C)(C)C)cn2)cc1C")</f>
        <v>Cc1ccc(CN(C)Cc2ccc(C(C)(C)C)cn2)cc1C</v>
      </c>
      <c r="C10463" s="7">
        <f>IFERROR(__xludf.DUMMYFUNCTION("""COMPUTED_VALUE"""),7.765608)</f>
        <v>7.765608</v>
      </c>
      <c r="D10463" s="7">
        <f>IFERROR(__xludf.DUMMYFUNCTION("""COMPUTED_VALUE"""),0.409090909090909)</f>
        <v>0.4090909091</v>
      </c>
    </row>
    <row r="10464">
      <c r="A10464" s="10" t="s">
        <v>11903</v>
      </c>
      <c r="B10464" s="7" t="str">
        <f>IFERROR(__xludf.DUMMYFUNCTION("SPLIT(A10464,"" "")"),"CCC(=O)C(=O)C(C)C(=O)C(=O)C(C)C(=O)C(=O)C(C)C(=O)C(=O)C(C)C(=O)C(=O)C(C)C(=O)C(=O)C(C)C(=O)C(=O)C(C)C(=O)C(=O)C(C)C(=O)C(=O)C(C)C(=O)C(=O)C(C)C(=O)C(=O)C(=O)C(C)C(=O)c1cccnc1C1CCC1(C)C")</f>
        <v>CCC(=O)C(=O)C(C)C(=O)C(=O)C(C)C(=O)C(=O)C(C)C(=O)C(=O)C(C)C(=O)C(=O)C(C)C(=O)C(=O)C(C)C(=O)C(=O)C(C)C(=O)C(=O)C(C)C(=O)C(=O)C(C)C(=O)C(=O)C(C)C(=O)C(=O)C(=O)C(C)C(=O)c1cccnc1C1CCC1(C)C</v>
      </c>
      <c r="C10464" s="7">
        <f>IFERROR(__xludf.DUMMYFUNCTION("""COMPUTED_VALUE"""),7.765605)</f>
        <v>7.765605</v>
      </c>
      <c r="D10464" s="7">
        <f>IFERROR(__xludf.DUMMYFUNCTION("""COMPUTED_VALUE"""),0.213333333333333)</f>
        <v>0.2133333333</v>
      </c>
    </row>
    <row r="10465">
      <c r="A10465" s="10" t="s">
        <v>11904</v>
      </c>
      <c r="B10465" s="7" t="str">
        <f>IFERROR(__xludf.DUMMYFUNCTION("SPLIT(A10465,"" "")"),"Cc1cncc(CN(C)CC2=CC(N(C)Cc3cc(C)c(C)c(C)n3)C=CN2)c1")</f>
        <v>Cc1cncc(CN(C)CC2=CC(N(C)Cc3cc(C)c(C)c(C)n3)C=CN2)c1</v>
      </c>
      <c r="C10465" s="7">
        <f>IFERROR(__xludf.DUMMYFUNCTION("""COMPUTED_VALUE"""),7.7655983)</f>
        <v>7.7655983</v>
      </c>
      <c r="D10465" s="7">
        <f>IFERROR(__xludf.DUMMYFUNCTION("""COMPUTED_VALUE"""),0.283582089552238)</f>
        <v>0.2835820896</v>
      </c>
    </row>
    <row r="10466">
      <c r="A10466" s="10" t="s">
        <v>11905</v>
      </c>
      <c r="B10466" s="7" t="str">
        <f>IFERROR(__xludf.DUMMYFUNCTION("SPLIT(A10466,"" "")"),"CNCc1ncccc1CN(Cc1ccccn1)C1CCC(N(C)c2ccc3c(CF)ccnc3c2)CC1")</f>
        <v>CNCc1ncccc1CN(Cc1ccccn1)C1CCC(N(C)c2ccc3c(CF)ccnc3c2)CC1</v>
      </c>
      <c r="C10466" s="7">
        <f>IFERROR(__xludf.DUMMYFUNCTION("""COMPUTED_VALUE"""),7.765596)</f>
        <v>7.765596</v>
      </c>
      <c r="D10466" s="7">
        <f>IFERROR(__xludf.DUMMYFUNCTION("""COMPUTED_VALUE"""),0.314285714285714)</f>
        <v>0.3142857143</v>
      </c>
    </row>
    <row r="10467">
      <c r="A10467" s="10" t="s">
        <v>11906</v>
      </c>
      <c r="B10467" s="7" t="str">
        <f>IFERROR(__xludf.DUMMYFUNCTION("SPLIT(A10467,"" "")"),"Cc1cccnc1CN(C)Cc1cccc(N(C)C(C)(C)c2cccnc2CN(C)C(C)C)n1")</f>
        <v>Cc1cccnc1CN(C)Cc1cccc(N(C)C(C)(C)c2cccnc2CN(C)C(C)C)n1</v>
      </c>
      <c r="C10467" s="7">
        <f>IFERROR(__xludf.DUMMYFUNCTION("""COMPUTED_VALUE"""),7.765593)</f>
        <v>7.765593</v>
      </c>
      <c r="D10467" s="7">
        <f>IFERROR(__xludf.DUMMYFUNCTION("""COMPUTED_VALUE"""),0.35)</f>
        <v>0.35</v>
      </c>
    </row>
    <row r="10468">
      <c r="A10468" s="10" t="s">
        <v>11907</v>
      </c>
      <c r="B10468" s="7" t="str">
        <f>IFERROR(__xludf.DUMMYFUNCTION("SPLIT(A10468,"" "")"),"CC(N)C(C)(c1cccnc1)c1ncccc1CN(Cc1ccccn1)Cc1ccccn1")</f>
        <v>CC(N)C(C)(c1cccnc1)c1ncccc1CN(Cc1ccccn1)Cc1ccccn1</v>
      </c>
      <c r="C10468" s="7">
        <f>IFERROR(__xludf.DUMMYFUNCTION("""COMPUTED_VALUE"""),7.7655916)</f>
        <v>7.7655916</v>
      </c>
      <c r="D10468" s="7">
        <f>IFERROR(__xludf.DUMMYFUNCTION("""COMPUTED_VALUE"""),0.425531914893617)</f>
        <v>0.4255319149</v>
      </c>
    </row>
    <row r="10469">
      <c r="A10469" s="10" t="s">
        <v>11908</v>
      </c>
      <c r="B10469" s="7" t="str">
        <f>IFERROR(__xludf.DUMMYFUNCTION("SPLIT(A10469,"" "")"),"CNCc1cc(CN(C)C2CCC(N(C)c3ccc4c(C)ccnc4c3)CC2)ccn1")</f>
        <v>CNCc1cc(CN(C)C2CCC(N(C)c3ccc4c(C)ccnc4c3)CC2)ccn1</v>
      </c>
      <c r="C10469" s="7">
        <f>IFERROR(__xludf.DUMMYFUNCTION("""COMPUTED_VALUE"""),7.7655888)</f>
        <v>7.7655888</v>
      </c>
      <c r="D10469" s="7">
        <f>IFERROR(__xludf.DUMMYFUNCTION("""COMPUTED_VALUE"""),0.265625)</f>
        <v>0.265625</v>
      </c>
    </row>
    <row r="10470">
      <c r="A10470" s="10" t="s">
        <v>11909</v>
      </c>
      <c r="B10470" s="7" t="str">
        <f>IFERROR(__xludf.DUMMYFUNCTION("SPLIT(A10470,"" "")"),"CC(C)C1CN=C(c2cccnc2CN(C)Cc2ccccn2)O1")</f>
        <v>CC(C)C1CN=C(c2cccnc2CN(C)Cc2ccccn2)O1</v>
      </c>
      <c r="C10470" s="7">
        <f>IFERROR(__xludf.DUMMYFUNCTION("""COMPUTED_VALUE"""),7.76558)</f>
        <v>7.76558</v>
      </c>
      <c r="D10470" s="7">
        <f>IFERROR(__xludf.DUMMYFUNCTION("""COMPUTED_VALUE"""),0.415094339622641)</f>
        <v>0.4150943396</v>
      </c>
    </row>
    <row r="10471">
      <c r="A10471" s="10" t="s">
        <v>11910</v>
      </c>
      <c r="B10471" s="7" t="str">
        <f>IFERROR(__xludf.DUMMYFUNCTION("SPLIT(A10471,"" "")"),"Cc1ccc(C2CCC2(C)C)nc1CN(Cc1ccccn1)C1CCC(N(C)c2ccc3nc(CN(C)C)ccc3c2)CC1")</f>
        <v>Cc1ccc(C2CCC2(C)C)nc1CN(Cc1ccccn1)C1CCC(N(C)c2ccc3nc(CN(C)C)ccc3c2)CC1</v>
      </c>
      <c r="C10471" s="7">
        <f>IFERROR(__xludf.DUMMYFUNCTION("""COMPUTED_VALUE"""),7.765571)</f>
        <v>7.765571</v>
      </c>
      <c r="D10471" s="7">
        <f>IFERROR(__xludf.DUMMYFUNCTION("""COMPUTED_VALUE"""),0.328767123287671)</f>
        <v>0.3287671233</v>
      </c>
    </row>
    <row r="10472">
      <c r="A10472" s="10" t="s">
        <v>11911</v>
      </c>
      <c r="B10472" s="7" t="str">
        <f>IFERROR(__xludf.DUMMYFUNCTION("SPLIT(A10472,"" "")"),"CN(Cc1ccccn1)C1=CNC=C(CN(C)C(C)(C)c2ccccn2)C1")</f>
        <v>CN(Cc1ccccn1)C1=CNC=C(CN(C)C(C)(C)c2ccccn2)C1</v>
      </c>
      <c r="C10472" s="7">
        <f>IFERROR(__xludf.DUMMYFUNCTION("""COMPUTED_VALUE"""),7.765568)</f>
        <v>7.765568</v>
      </c>
      <c r="D10472" s="7">
        <f>IFERROR(__xludf.DUMMYFUNCTION("""COMPUTED_VALUE"""),0.415094339622641)</f>
        <v>0.4150943396</v>
      </c>
    </row>
    <row r="10473">
      <c r="A10473" s="10" t="s">
        <v>11912</v>
      </c>
      <c r="B10473" s="7" t="str">
        <f>IFERROR(__xludf.DUMMYFUNCTION("SPLIT(A10473,"" "")"),"CNCc1cccc(CN(Cc2ccccn2)C2CCC(N(C)c3ccc4nccc(CF)c4c3)CC2)n1")</f>
        <v>CNCc1cccc(CN(Cc2ccccn2)C2CCC(N(C)c3ccc4nccc(CF)c4c3)CC2)n1</v>
      </c>
      <c r="C10473" s="7">
        <f>IFERROR(__xludf.DUMMYFUNCTION("""COMPUTED_VALUE"""),7.7655673)</f>
        <v>7.7655673</v>
      </c>
      <c r="D10473" s="7">
        <f>IFERROR(__xludf.DUMMYFUNCTION("""COMPUTED_VALUE"""),0.333333333333333)</f>
        <v>0.3333333333</v>
      </c>
    </row>
    <row r="10474">
      <c r="A10474" s="10" t="s">
        <v>11913</v>
      </c>
      <c r="B10474" s="7" t="str">
        <f>IFERROR(__xludf.DUMMYFUNCTION("SPLIT(A10474,"" "")"),"CN(Cc1cccc(C(C)(C)C)n1)C1CCC(N(C)c2ccc3nc(CF)ccc3c2)CC1")</f>
        <v>CN(Cc1cccc(C(C)(C)C)n1)C1CCC(N(C)c2ccc3nc(CF)ccc3c2)CC1</v>
      </c>
      <c r="C10474" s="7">
        <f>IFERROR(__xludf.DUMMYFUNCTION("""COMPUTED_VALUE"""),7.7655597)</f>
        <v>7.7655597</v>
      </c>
      <c r="D10474" s="7">
        <f>IFERROR(__xludf.DUMMYFUNCTION("""COMPUTED_VALUE"""),0.353846153846153)</f>
        <v>0.3538461538</v>
      </c>
    </row>
    <row r="10475">
      <c r="A10475" s="10" t="s">
        <v>11914</v>
      </c>
      <c r="B10475" s="7" t="str">
        <f>IFERROR(__xludf.DUMMYFUNCTION("SPLIT(A10475,"" "")"),"CC(c1ccccn1)c1cccnn1")</f>
        <v>CC(c1ccccn1)c1cccnn1</v>
      </c>
      <c r="C10475" s="7">
        <f>IFERROR(__xludf.DUMMYFUNCTION("""COMPUTED_VALUE"""),7.765559)</f>
        <v>7.765559</v>
      </c>
      <c r="D10475" s="7">
        <f>IFERROR(__xludf.DUMMYFUNCTION("""COMPUTED_VALUE"""),0.394736842105263)</f>
        <v>0.3947368421</v>
      </c>
    </row>
    <row r="10476">
      <c r="A10476" s="10" t="s">
        <v>11915</v>
      </c>
      <c r="B10476" s="7" t="str">
        <f>IFERROR(__xludf.DUMMYFUNCTION("SPLIT(A10476,"" "")"),"CNCc1cc(CN(Cc2ccccn2)C2CCC(N(C)c3ccc4nccc(CF)c4c3)CC2)ccn1")</f>
        <v>CNCc1cc(CN(Cc2ccccn2)C2CCC(N(C)c3ccc4nccc(CF)c4c3)CC2)ccn1</v>
      </c>
      <c r="C10476" s="7">
        <f>IFERROR(__xludf.DUMMYFUNCTION("""COMPUTED_VALUE"""),7.7655554)</f>
        <v>7.7655554</v>
      </c>
      <c r="D10476" s="7">
        <f>IFERROR(__xludf.DUMMYFUNCTION("""COMPUTED_VALUE"""),0.318840579710144)</f>
        <v>0.3188405797</v>
      </c>
    </row>
    <row r="10477">
      <c r="A10477" s="10" t="s">
        <v>11916</v>
      </c>
      <c r="B10477" s="7" t="str">
        <f>IFERROR(__xludf.DUMMYFUNCTION("SPLIT(A10477,"" "")"),"CN(c1cccc2cccnc12)C1CCC(N(Cc2ccccn2)Cc2cccnn2)CC1")</f>
        <v>CN(c1cccc2cccnc12)C1CCC(N(Cc2ccccn2)Cc2cccnn2)CC1</v>
      </c>
      <c r="C10477" s="7">
        <f>IFERROR(__xludf.DUMMYFUNCTION("""COMPUTED_VALUE"""),7.765552)</f>
        <v>7.765552</v>
      </c>
      <c r="D10477" s="7">
        <f>IFERROR(__xludf.DUMMYFUNCTION("""COMPUTED_VALUE"""),0.481481481481481)</f>
        <v>0.4814814815</v>
      </c>
    </row>
    <row r="10478">
      <c r="A10478" s="10" t="s">
        <v>11917</v>
      </c>
      <c r="B10478" s="7" t="str">
        <f>IFERROR(__xludf.DUMMYFUNCTION("SPLIT(A10478,"" "")"),"Cc1cncc(CN(C)c2cc(Cl)cc(Cl)c2N(C)Cc2cc(-c3ccc4c(c3)OCCOCCOCCOCCOCCO4)ccn2)c1")</f>
        <v>Cc1cncc(CN(C)c2cc(Cl)cc(Cl)c2N(C)Cc2cc(-c3ccc4c(c3)OCCOCCOCCOCCOCCO4)ccn2)c1</v>
      </c>
      <c r="C10478" s="7">
        <f>IFERROR(__xludf.DUMMYFUNCTION("""COMPUTED_VALUE"""),7.7655516)</f>
        <v>7.7655516</v>
      </c>
      <c r="D10478" s="7">
        <f>IFERROR(__xludf.DUMMYFUNCTION("""COMPUTED_VALUE"""),0.320987654320987)</f>
        <v>0.3209876543</v>
      </c>
    </row>
    <row r="10479">
      <c r="A10479" s="10" t="s">
        <v>11918</v>
      </c>
      <c r="B10479" s="7" t="str">
        <f>IFERROR(__xludf.DUMMYFUNCTION("SPLIT(A10479,"" "")"),"Cc1cnc(CN(C)C2CCCC(N(C)Cc3cncc(-c4cccc(N(C)C)c4)c3)C2)c(C)c1C")</f>
        <v>Cc1cnc(CN(C)C2CCCC(N(C)Cc3cncc(-c4cccc(N(C)C)c4)c3)C2)c(C)c1C</v>
      </c>
      <c r="C10479" s="7">
        <f>IFERROR(__xludf.DUMMYFUNCTION("""COMPUTED_VALUE"""),7.7655454)</f>
        <v>7.7655454</v>
      </c>
      <c r="D10479" s="7">
        <f>IFERROR(__xludf.DUMMYFUNCTION("""COMPUTED_VALUE"""),0.26865671641791)</f>
        <v>0.2686567164</v>
      </c>
    </row>
    <row r="10480">
      <c r="A10480" s="10" t="s">
        <v>11919</v>
      </c>
      <c r="B10480" s="7" t="str">
        <f>IFERROR(__xludf.DUMMYFUNCTION("SPLIT(A10480,"" "")"),"Cc1cncc(CN(C)Cc2ccc(N(C)C(C)C)cn2)c1")</f>
        <v>Cc1cncc(CN(C)Cc2ccc(N(C)C(C)C)cn2)c1</v>
      </c>
      <c r="C10480" s="7">
        <f>IFERROR(__xludf.DUMMYFUNCTION("""COMPUTED_VALUE"""),7.765544)</f>
        <v>7.765544</v>
      </c>
      <c r="D10480" s="7">
        <f>IFERROR(__xludf.DUMMYFUNCTION("""COMPUTED_VALUE"""),0.444444444444444)</f>
        <v>0.4444444444</v>
      </c>
    </row>
    <row r="10481">
      <c r="A10481" s="10" t="s">
        <v>11920</v>
      </c>
      <c r="B10481" s="7" t="str">
        <f>IFERROR(__xludf.DUMMYFUNCTION("SPLIT(A10481,"" "")"),"CC1=CC(C)C(C)C(C)(c2cccc(CN(Cc3ccccn3)C3CCC(N(C)Cc4ncccc4-c4ccc5ncccc5c4)CC3)n2)C1")</f>
        <v>CC1=CC(C)C(C)C(C)(c2cccc(CN(Cc3ccccn3)C3CCC(N(C)Cc4ncccc4-c4ccc5ncccc5c4)CC3)n2)C1</v>
      </c>
      <c r="C10481" s="7">
        <f>IFERROR(__xludf.DUMMYFUNCTION("""COMPUTED_VALUE"""),7.765539)</f>
        <v>7.765539</v>
      </c>
      <c r="D10481" s="7">
        <f>IFERROR(__xludf.DUMMYFUNCTION("""COMPUTED_VALUE"""),0.2875)</f>
        <v>0.2875</v>
      </c>
    </row>
    <row r="10482">
      <c r="A10482" s="10" t="s">
        <v>11921</v>
      </c>
      <c r="B10482" s="7" t="str">
        <f>IFERROR(__xludf.DUMMYFUNCTION("SPLIT(A10482,"" "")"),"Cc1cnc(CN(C)C2=CNC(CN(Cc3ccccn3)CC(C)(C)C)=CC2)c(C)c1C")</f>
        <v>Cc1cnc(CN(C)C2=CNC(CN(Cc3ccccn3)CC(C)(C)C)=CC2)c(C)c1C</v>
      </c>
      <c r="C10482" s="7">
        <f>IFERROR(__xludf.DUMMYFUNCTION("""COMPUTED_VALUE"""),7.765537)</f>
        <v>7.765537</v>
      </c>
      <c r="D10482" s="7">
        <f>IFERROR(__xludf.DUMMYFUNCTION("""COMPUTED_VALUE"""),0.448275862068965)</f>
        <v>0.4482758621</v>
      </c>
    </row>
    <row r="10483">
      <c r="A10483" s="10" t="s">
        <v>11922</v>
      </c>
      <c r="B10483" s="7" t="str">
        <f>IFERROR(__xludf.DUMMYFUNCTION("SPLIT(A10483,"" "")"),"CN(Cc1cccc(-c2ccc3c(c2)OCCOCCOCCOCCOCCO3)n1)C1=C(CN(C)c2ccc3cccnc3c2)NC=CC1")</f>
        <v>CN(Cc1cccc(-c2ccc3c(c2)OCCOCCOCCOCCOCCO3)n1)C1=C(CN(C)c2ccc3cccnc3c2)NC=CC1</v>
      </c>
      <c r="C10483" s="7">
        <f>IFERROR(__xludf.DUMMYFUNCTION("""COMPUTED_VALUE"""),7.7655344)</f>
        <v>7.7655344</v>
      </c>
      <c r="D10483" s="7">
        <f>IFERROR(__xludf.DUMMYFUNCTION("""COMPUTED_VALUE"""),0.28235294117647)</f>
        <v>0.2823529412</v>
      </c>
    </row>
    <row r="10484">
      <c r="A10484" s="10" t="s">
        <v>11923</v>
      </c>
      <c r="B10484" s="7" t="str">
        <f>IFERROR(__xludf.DUMMYFUNCTION("SPLIT(A10484,"" "")"),"Cc1ccc(CN(Cc2cccc(C(C)(C)c3ccccn3)n2)C2CCC(N(C)Cc3cc(-c4ccccn4)ccn3)CC2)nc1")</f>
        <v>Cc1ccc(CN(Cc2cccc(C(C)(C)c3ccccn3)n2)C2CCC(N(C)Cc3cc(-c4ccccn4)ccn3)CC2)nc1</v>
      </c>
      <c r="C10484" s="7">
        <f>IFERROR(__xludf.DUMMYFUNCTION("""COMPUTED_VALUE"""),7.765532)</f>
        <v>7.765532</v>
      </c>
      <c r="D10484" s="7">
        <f>IFERROR(__xludf.DUMMYFUNCTION("""COMPUTED_VALUE"""),0.36231884057971)</f>
        <v>0.3623188406</v>
      </c>
    </row>
    <row r="10485">
      <c r="A10485" s="10" t="s">
        <v>11924</v>
      </c>
      <c r="B10485" s="7" t="str">
        <f>IFERROR(__xludf.DUMMYFUNCTION("SPLIT(A10485,"" "")"),"Cc1cc(C)c(CN(C)CCN(C)Cc2ncc(C)c(C)c2C)nc1C")</f>
        <v>Cc1cc(C)c(CN(C)CCN(C)Cc2ncc(C)c(C)c2C)nc1C</v>
      </c>
      <c r="C10485" s="7">
        <f>IFERROR(__xludf.DUMMYFUNCTION("""COMPUTED_VALUE"""),7.76553)</f>
        <v>7.76553</v>
      </c>
      <c r="D10485" s="7">
        <f>IFERROR(__xludf.DUMMYFUNCTION("""COMPUTED_VALUE"""),0.372093023255813)</f>
        <v>0.3720930233</v>
      </c>
    </row>
    <row r="10486">
      <c r="A10486" s="10" t="s">
        <v>11925</v>
      </c>
      <c r="B10486" s="7" t="str">
        <f>IFERROR(__xludf.DUMMYFUNCTION("SPLIT(A10486,"" "")"),"CNCc1cccc(CN(Cc2cccc(F)n2)C2CCC(N(C)c3cccc4nc(CF)ccc34)CC2)n1")</f>
        <v>CNCc1cccc(CN(Cc2cccc(F)n2)C2CCC(N(C)c3cccc4nc(CF)ccc34)CC2)n1</v>
      </c>
      <c r="C10486" s="7">
        <f>IFERROR(__xludf.DUMMYFUNCTION("""COMPUTED_VALUE"""),7.7655234)</f>
        <v>7.7655234</v>
      </c>
      <c r="D10486" s="7">
        <f>IFERROR(__xludf.DUMMYFUNCTION("""COMPUTED_VALUE"""),0.347826086956521)</f>
        <v>0.347826087</v>
      </c>
    </row>
    <row r="10487">
      <c r="A10487" s="10" t="s">
        <v>11926</v>
      </c>
      <c r="B10487" s="7" t="str">
        <f>IFERROR(__xludf.DUMMYFUNCTION("SPLIT(A10487,"" "")"),"Cc1ccc(C)c(CN(Cc2ccccn2)Cc2cc(C(C)(C)C)ccn2)c1")</f>
        <v>Cc1ccc(C)c(CN(Cc2ccccn2)Cc2cc(C(C)(C)C)ccn2)c1</v>
      </c>
      <c r="C10487" s="7">
        <f>IFERROR(__xludf.DUMMYFUNCTION("""COMPUTED_VALUE"""),7.7655215)</f>
        <v>7.7655215</v>
      </c>
      <c r="D10487" s="7">
        <f>IFERROR(__xludf.DUMMYFUNCTION("""COMPUTED_VALUE"""),0.476190476190476)</f>
        <v>0.4761904762</v>
      </c>
    </row>
    <row r="10488">
      <c r="A10488" s="10" t="s">
        <v>11927</v>
      </c>
      <c r="B10488" s="7" t="str">
        <f>IFERROR(__xludf.DUMMYFUNCTION("SPLIT(A10488,"" "")"),"CC1=C(C)C(C)C(N(C)Cc2cc(N)ccn2)C(c2ccc(CN(Cc3ccccn3)C3CCC(N(C)c4ccc5nccc(CF)c5c4)CC3)cn2)C1")</f>
        <v>CC1=C(C)C(C)C(N(C)Cc2cc(N)ccn2)C(c2ccc(CN(Cc3ccccn3)C3CCC(N(C)c4ccc5nccc(CF)c5c4)CC3)cn2)C1</v>
      </c>
      <c r="C10488" s="7">
        <f>IFERROR(__xludf.DUMMYFUNCTION("""COMPUTED_VALUE"""),7.765521)</f>
        <v>7.765521</v>
      </c>
      <c r="D10488" s="7">
        <f>IFERROR(__xludf.DUMMYFUNCTION("""COMPUTED_VALUE"""),0.272727272727272)</f>
        <v>0.2727272727</v>
      </c>
    </row>
    <row r="10489">
      <c r="A10489" s="10" t="s">
        <v>11928</v>
      </c>
      <c r="B10489" s="7" t="str">
        <f>IFERROR(__xludf.DUMMYFUNCTION("SPLIT(A10489,"" "")"),"CN(Cc1cccc(-c2ccc3c(c2)OCCOCCOCCOCCOCCO3)n1)C1=C(CN(C)c2ccc3ncccc3c2)NC=CC1")</f>
        <v>CN(Cc1cccc(-c2ccc3c(c2)OCCOCCOCCOCCOCCO3)n1)C1=C(CN(C)c2ccc3ncccc3c2)NC=CC1</v>
      </c>
      <c r="C10489" s="7">
        <f>IFERROR(__xludf.DUMMYFUNCTION("""COMPUTED_VALUE"""),7.7655196)</f>
        <v>7.7655196</v>
      </c>
      <c r="D10489" s="7">
        <f>IFERROR(__xludf.DUMMYFUNCTION("""COMPUTED_VALUE"""),0.285714285714285)</f>
        <v>0.2857142857</v>
      </c>
    </row>
    <row r="10490">
      <c r="A10490" s="10" t="s">
        <v>11929</v>
      </c>
      <c r="B10490" s="7" t="str">
        <f>IFERROR(__xludf.DUMMYFUNCTION("SPLIT(A10490,"" "")"),"CCN(Cc1ccccn1)Cc1nc(C)c(C)o1")</f>
        <v>CCN(Cc1ccccn1)Cc1nc(C)c(C)o1</v>
      </c>
      <c r="C10490" s="7">
        <f>IFERROR(__xludf.DUMMYFUNCTION("""COMPUTED_VALUE"""),7.765517)</f>
        <v>7.765517</v>
      </c>
      <c r="D10490" s="7">
        <f>IFERROR(__xludf.DUMMYFUNCTION("""COMPUTED_VALUE"""),0.5)</f>
        <v>0.5</v>
      </c>
    </row>
    <row r="10491">
      <c r="A10491" s="10" t="s">
        <v>11930</v>
      </c>
      <c r="B10491" s="7" t="str">
        <f>IFERROR(__xludf.DUMMYFUNCTION("SPLIT(A10491,"" "")"),"Cc1ccc(CN(C)Cc2ccc(CN(Cc3ccccn3)Cc3cccnc3F)nc2)nc1")</f>
        <v>Cc1ccc(CN(C)Cc2ccc(CN(Cc3ccccn3)Cc3cccnc3F)nc2)nc1</v>
      </c>
      <c r="C10491" s="7">
        <f>IFERROR(__xludf.DUMMYFUNCTION("""COMPUTED_VALUE"""),7.765512)</f>
        <v>7.765512</v>
      </c>
      <c r="D10491" s="7">
        <f>IFERROR(__xludf.DUMMYFUNCTION("""COMPUTED_VALUE"""),0.448979591836734)</f>
        <v>0.4489795918</v>
      </c>
    </row>
    <row r="10492">
      <c r="A10492" s="10" t="s">
        <v>11931</v>
      </c>
      <c r="B10492" s="7" t="str">
        <f>IFERROR(__xludf.DUMMYFUNCTION("SPLIT(A10492,"" "")"),"Cc1cccnc1CN(C)Cc1cc(C(C)(C)C)ccn1")</f>
        <v>Cc1cccnc1CN(C)Cc1cc(C(C)(C)C)ccn1</v>
      </c>
      <c r="C10492" s="7">
        <f>IFERROR(__xludf.DUMMYFUNCTION("""COMPUTED_VALUE"""),7.7655067)</f>
        <v>7.7655067</v>
      </c>
      <c r="D10492" s="7">
        <f>IFERROR(__xludf.DUMMYFUNCTION("""COMPUTED_VALUE"""),0.352941176470588)</f>
        <v>0.3529411765</v>
      </c>
    </row>
    <row r="10493">
      <c r="A10493" s="10" t="s">
        <v>11932</v>
      </c>
      <c r="B10493" s="7" t="str">
        <f>IFERROR(__xludf.DUMMYFUNCTION("SPLIT(A10493,"" "")"),"CC(NCc1ccccn1)c1ccc(CNc2cccc(CF)n2)nc1")</f>
        <v>CC(NCc1ccccn1)c1ccc(CNc2cccc(CF)n2)nc1</v>
      </c>
      <c r="C10493" s="7">
        <f>IFERROR(__xludf.DUMMYFUNCTION("""COMPUTED_VALUE"""),7.765506)</f>
        <v>7.765506</v>
      </c>
      <c r="D10493" s="7">
        <f>IFERROR(__xludf.DUMMYFUNCTION("""COMPUTED_VALUE"""),0.333333333333333)</f>
        <v>0.3333333333</v>
      </c>
    </row>
    <row r="10494">
      <c r="A10494" s="10" t="s">
        <v>11933</v>
      </c>
      <c r="B10494" s="7" t="str">
        <f>IFERROR(__xludf.DUMMYFUNCTION("SPLIT(A10494,"" "")"),"CC(C)(C)c1cccnc1CN(Cc1cccnc1F)Cc1ncccc1C(C)(C)C")</f>
        <v>CC(C)(C)c1cccnc1CN(Cc1cccnc1F)Cc1ncccc1C(C)(C)C</v>
      </c>
      <c r="C10494" s="7">
        <f>IFERROR(__xludf.DUMMYFUNCTION("""COMPUTED_VALUE"""),7.7655053)</f>
        <v>7.7655053</v>
      </c>
      <c r="D10494" s="7">
        <f>IFERROR(__xludf.DUMMYFUNCTION("""COMPUTED_VALUE"""),0.326086956521739)</f>
        <v>0.3260869565</v>
      </c>
    </row>
    <row r="10495">
      <c r="A10495" s="10" t="s">
        <v>11934</v>
      </c>
      <c r="B10495" s="7" t="str">
        <f>IFERROR(__xludf.DUMMYFUNCTION("SPLIT(A10495,"" "")"),"CN(Cc1cc(-c2ccc3c(c2)OCCOCCOCCOCCOCCO3)ccn1)c1ccc2nc(CN(C)C3CCCCC3N(C)c3ccc4nc(CF)ccc4c3)ccc2c1")</f>
        <v>CN(Cc1cc(-c2ccc3c(c2)OCCOCCOCCOCCOCCO3)ccn1)c1ccc2nc(CN(C)C3CCCCC3N(C)c3ccc4nc(CF)ccc4c3)ccc2c1</v>
      </c>
      <c r="C10495" s="7">
        <f>IFERROR(__xludf.DUMMYFUNCTION("""COMPUTED_VALUE"""),7.765502)</f>
        <v>7.765502</v>
      </c>
      <c r="D10495" s="7">
        <f>IFERROR(__xludf.DUMMYFUNCTION("""COMPUTED_VALUE"""),0.345238095238095)</f>
        <v>0.3452380952</v>
      </c>
    </row>
    <row r="10496">
      <c r="A10496" s="10" t="s">
        <v>11935</v>
      </c>
      <c r="B10496" s="7" t="str">
        <f>IFERROR(__xludf.DUMMYFUNCTION("SPLIT(A10496,"" "")"),"CN(c1cccc2ncccc12)C1CCCC(N(Cc2ccccn2)Cc2ccccn2)C1")</f>
        <v>CN(c1cccc2ncccc12)C1CCCC(N(Cc2ccccn2)Cc2ccccn2)C1</v>
      </c>
      <c r="C10496" s="7">
        <f>IFERROR(__xludf.DUMMYFUNCTION("""COMPUTED_VALUE"""),7.7654996)</f>
        <v>7.7654996</v>
      </c>
      <c r="D10496" s="7">
        <f>IFERROR(__xludf.DUMMYFUNCTION("""COMPUTED_VALUE"""),0.433962264150943)</f>
        <v>0.4339622642</v>
      </c>
    </row>
    <row r="10497">
      <c r="A10497" s="10" t="s">
        <v>11936</v>
      </c>
      <c r="B10497" s="7" t="str">
        <f>IFERROR(__xludf.DUMMYFUNCTION("SPLIT(A10497,"" "")"),"CC(C)c1cc(CN(Cc2ccccn2)C2CCCCC2N(C)c2ccc3nc(CF)ccc3c2)ccn1")</f>
        <v>CC(C)c1cc(CN(Cc2ccccn2)C2CCCCC2N(C)c2ccc3nc(CF)ccc3c2)ccn1</v>
      </c>
      <c r="C10497" s="7">
        <f>IFERROR(__xludf.DUMMYFUNCTION("""COMPUTED_VALUE"""),7.765499)</f>
        <v>7.765499</v>
      </c>
      <c r="D10497" s="7">
        <f>IFERROR(__xludf.DUMMYFUNCTION("""COMPUTED_VALUE"""),0.388888888888888)</f>
        <v>0.3888888889</v>
      </c>
    </row>
    <row r="10498">
      <c r="A10498" s="10" t="s">
        <v>11937</v>
      </c>
      <c r="B10498" s="7" t="str">
        <f>IFERROR(__xludf.DUMMYFUNCTION("SPLIT(A10498,"" "")"),"C1=CC(CSCc2ccccn2)C(SCc2ccccn2)=CN1")</f>
        <v>C1=CC(CSCc2ccccn2)C(SCc2ccccn2)=CN1</v>
      </c>
      <c r="C10498" s="7">
        <f>IFERROR(__xludf.DUMMYFUNCTION("""COMPUTED_VALUE"""),7.765496)</f>
        <v>7.765496</v>
      </c>
      <c r="D10498" s="7">
        <f>IFERROR(__xludf.DUMMYFUNCTION("""COMPUTED_VALUE"""),0.452380952380952)</f>
        <v>0.4523809524</v>
      </c>
    </row>
    <row r="10499">
      <c r="A10499" s="10" t="s">
        <v>11938</v>
      </c>
      <c r="B10499" s="7" t="str">
        <f>IFERROR(__xludf.DUMMYFUNCTION("SPLIT(A10499,"" "")"),"CN(Cc1cccnn1)C1CCCC(N(C)c2cccc3ncc(CF)cc23)C1")</f>
        <v>CN(Cc1cccnn1)C1CCCC(N(C)c2cccc3ncc(CF)cc23)C1</v>
      </c>
      <c r="C10499" s="7">
        <f>IFERROR(__xludf.DUMMYFUNCTION("""COMPUTED_VALUE"""),7.7654915)</f>
        <v>7.7654915</v>
      </c>
      <c r="D10499" s="7">
        <f>IFERROR(__xludf.DUMMYFUNCTION("""COMPUTED_VALUE"""),0.35)</f>
        <v>0.35</v>
      </c>
    </row>
    <row r="10500">
      <c r="A10500" s="10" t="s">
        <v>11939</v>
      </c>
      <c r="B10500" s="7" t="str">
        <f>IFERROR(__xludf.DUMMYFUNCTION("SPLIT(A10500,"" "")"),"CC1=CC(C)C(C)C(N(C)Cc2ccc(-c3ccccc3N(C)C)cn2)C1")</f>
        <v>CC1=CC(C)C(C)C(N(C)Cc2ccc(-c3ccccc3N(C)C)cn2)C1</v>
      </c>
      <c r="C10500" s="7">
        <f>IFERROR(__xludf.DUMMYFUNCTION("""COMPUTED_VALUE"""),7.7654757)</f>
        <v>7.7654757</v>
      </c>
      <c r="D10500" s="7">
        <f>IFERROR(__xludf.DUMMYFUNCTION("""COMPUTED_VALUE"""),0.385964912280701)</f>
        <v>0.3859649123</v>
      </c>
    </row>
    <row r="10501">
      <c r="A10501" s="10" t="s">
        <v>11940</v>
      </c>
      <c r="B10501" s="7" t="str">
        <f>IFERROR(__xludf.DUMMYFUNCTION("SPLIT(A10501,"" "")"),"CNCc1ccc2cccc(N(C)C3CCC(N(Cc4ccccn4)Cc4ncccc4C)CC3)c2n1")</f>
        <v>CNCc1ccc2cccc(N(C)C3CCC(N(Cc4ccccn4)Cc4ncccc4C)CC3)c2n1</v>
      </c>
      <c r="C10501" s="7">
        <f>IFERROR(__xludf.DUMMYFUNCTION("""COMPUTED_VALUE"""),7.765474)</f>
        <v>7.765474</v>
      </c>
      <c r="D10501" s="7">
        <f>IFERROR(__xludf.DUMMYFUNCTION("""COMPUTED_VALUE"""),0.371428571428571)</f>
        <v>0.3714285714</v>
      </c>
    </row>
    <row r="10502">
      <c r="A10502" s="10" t="s">
        <v>11941</v>
      </c>
      <c r="B10502" s="7" t="str">
        <f>IFERROR(__xludf.DUMMYFUNCTION("SPLIT(A10502,"" "")"),"CC(N)C(C)N(C)CCN(C)c1cccc2ncccc12")</f>
        <v>CC(N)C(C)N(C)CCN(C)c1cccc2ncccc12</v>
      </c>
      <c r="C10502" s="7">
        <f>IFERROR(__xludf.DUMMYFUNCTION("""COMPUTED_VALUE"""),7.7654653)</f>
        <v>7.7654653</v>
      </c>
      <c r="D10502" s="7">
        <f>IFERROR(__xludf.DUMMYFUNCTION("""COMPUTED_VALUE"""),0.466666666666666)</f>
        <v>0.4666666667</v>
      </c>
    </row>
    <row r="10503">
      <c r="A10503" s="10" t="s">
        <v>11942</v>
      </c>
      <c r="B10503" s="7" t="str">
        <f>IFERROR(__xludf.DUMMYFUNCTION("SPLIT(A10503,"" "")"),"CN(c1ccc2nc(CF)ccc2c1)C1CCC(N(Cc2ccccn2)Cc2cccc(C3CC(C)(C)C3)n2)CC1")</f>
        <v>CN(c1ccc2nc(CF)ccc2c1)C1CCC(N(Cc2ccccn2)Cc2cccc(C3CC(C)(C)C3)n2)CC1</v>
      </c>
      <c r="C10503" s="7">
        <f>IFERROR(__xludf.DUMMYFUNCTION("""COMPUTED_VALUE"""),7.765462)</f>
        <v>7.765462</v>
      </c>
      <c r="D10503" s="7">
        <f>IFERROR(__xludf.DUMMYFUNCTION("""COMPUTED_VALUE"""),0.352941176470588)</f>
        <v>0.3529411765</v>
      </c>
    </row>
    <row r="10504">
      <c r="A10504" s="10" t="s">
        <v>11943</v>
      </c>
      <c r="B10504" s="7" t="str">
        <f>IFERROR(__xludf.DUMMYFUNCTION("SPLIT(A10504,"" "")"),"Cc1cnc(CN(C)C(C)C)c(CN(C)c2ccccc2F)c1")</f>
        <v>Cc1cnc(CN(C)C(C)C)c(CN(C)c2ccccc2F)c1</v>
      </c>
      <c r="C10504" s="7">
        <f>IFERROR(__xludf.DUMMYFUNCTION("""COMPUTED_VALUE"""),7.7654514)</f>
        <v>7.7654514</v>
      </c>
      <c r="D10504" s="7">
        <f>IFERROR(__xludf.DUMMYFUNCTION("""COMPUTED_VALUE"""),0.29090909090909)</f>
        <v>0.2909090909</v>
      </c>
    </row>
    <row r="10505">
      <c r="A10505" s="10" t="s">
        <v>11944</v>
      </c>
      <c r="B10505" s="7" t="str">
        <f>IFERROR(__xludf.DUMMYFUNCTION("SPLIT(A10505,"" "")"),"CN(Cc1ccc(C2=CCC=CN2)cn1)C1CCC(N(C)Cc2ccc(-c3ccccn3)cn2)CC1")</f>
        <v>CN(Cc1ccc(C2=CCC=CN2)cn1)C1CCC(N(C)Cc2ccc(-c3ccccn3)cn2)CC1</v>
      </c>
      <c r="C10505" s="7">
        <f>IFERROR(__xludf.DUMMYFUNCTION("""COMPUTED_VALUE"""),7.765447)</f>
        <v>7.765447</v>
      </c>
      <c r="D10505" s="7">
        <f>IFERROR(__xludf.DUMMYFUNCTION("""COMPUTED_VALUE"""),0.40983606557377)</f>
        <v>0.4098360656</v>
      </c>
    </row>
    <row r="10506">
      <c r="A10506" s="10" t="s">
        <v>11945</v>
      </c>
      <c r="B10506" s="7" t="str">
        <f>IFERROR(__xludf.DUMMYFUNCTION("SPLIT(A10506,"" "")"),"CCNCc1cc(CN(Cc2ncccc2C)C2CCCC(N(C)c3ccc4nccc(CF)c4c3)C2)ccn1")</f>
        <v>CCNCc1cc(CN(Cc2ncccc2C)C2CCCC(N(C)c3ccc4nccc(CF)c4c3)C2)ccn1</v>
      </c>
      <c r="C10506" s="7">
        <f>IFERROR(__xludf.DUMMYFUNCTION("""COMPUTED_VALUE"""),7.765443)</f>
        <v>7.765443</v>
      </c>
      <c r="D10506" s="7">
        <f>IFERROR(__xludf.DUMMYFUNCTION("""COMPUTED_VALUE"""),0.234567901234567)</f>
        <v>0.2345679012</v>
      </c>
    </row>
    <row r="10507">
      <c r="A10507" s="10" t="s">
        <v>11946</v>
      </c>
      <c r="B10507" s="7" t="str">
        <f>IFERROR(__xludf.DUMMYFUNCTION("SPLIT(A10507,"" "")"),"Cc1ccnc(CN(C)Cc2cc(C(C)(C)C)ccn2)c1")</f>
        <v>Cc1ccnc(CN(C)Cc2cc(C(C)(C)C)ccn2)c1</v>
      </c>
      <c r="C10507" s="7">
        <f>IFERROR(__xludf.DUMMYFUNCTION("""COMPUTED_VALUE"""),7.765438)</f>
        <v>7.765438</v>
      </c>
      <c r="D10507" s="7">
        <f>IFERROR(__xludf.DUMMYFUNCTION("""COMPUTED_VALUE"""),0.409090909090909)</f>
        <v>0.4090909091</v>
      </c>
    </row>
    <row r="10508">
      <c r="A10508" s="10" t="s">
        <v>11947</v>
      </c>
      <c r="B10508" s="7" t="str">
        <f>IFERROR(__xludf.DUMMYFUNCTION("SPLIT(A10508,"" "")"),"Cc1ccc(C)c(CN(C)C2=CNC(CN(C)CC(C)C)=CC2)n1")</f>
        <v>Cc1ccc(C)c(CN(C)C2=CNC(CN(C)CC(C)C)=CC2)n1</v>
      </c>
      <c r="C10508" s="7">
        <f>IFERROR(__xludf.DUMMYFUNCTION("""COMPUTED_VALUE"""),7.765437)</f>
        <v>7.765437</v>
      </c>
      <c r="D10508" s="7">
        <f>IFERROR(__xludf.DUMMYFUNCTION("""COMPUTED_VALUE"""),0.25)</f>
        <v>0.25</v>
      </c>
    </row>
    <row r="10509">
      <c r="A10509" s="10" t="s">
        <v>11948</v>
      </c>
      <c r="B10509" s="7" t="str">
        <f>IFERROR(__xludf.DUMMYFUNCTION("SPLIT(A10509,"" "")"),"CCN(Cc1ncccc1C(C)(C)C)Cc1nc(C)c(C)c(C)c1C")</f>
        <v>CCN(Cc1ncccc1C(C)(C)C)Cc1nc(C)c(C)c(C)c1C</v>
      </c>
      <c r="C10509" s="7">
        <f>IFERROR(__xludf.DUMMYFUNCTION("""COMPUTED_VALUE"""),7.7654343)</f>
        <v>7.7654343</v>
      </c>
      <c r="D10509" s="7">
        <f>IFERROR(__xludf.DUMMYFUNCTION("""COMPUTED_VALUE"""),0.283018867924528)</f>
        <v>0.2830188679</v>
      </c>
    </row>
    <row r="10510">
      <c r="A10510" s="10" t="s">
        <v>11949</v>
      </c>
      <c r="B10510" s="7" t="str">
        <f>IFERROR(__xludf.DUMMYFUNCTION("SPLIT(A10510,"" "")"),"CC1=CC(C)C2(C=C(c3ccc(CN(Cc4ccccn4)Cc4ccccn4)cn3)C3(CC(C)C(C)=CC3C)C(c3ccc(CN(Cc4ccccn4)C4CCC(N(C)c5ccc6ncc(CF)cc6c5)CC4)cn3)C2)C(C)C1")</f>
        <v>CC1=CC(C)C2(C=C(c3ccc(CN(Cc4ccccn4)Cc4ccccn4)cn3)C3(CC(C)C(C)=CC3C)C(c3ccc(CN(Cc4ccccn4)C4CCC(N(C)c5ccc6ncc(CF)cc6c5)CC4)cn3)C2)C(C)C1</v>
      </c>
      <c r="C10510" s="7">
        <f>IFERROR(__xludf.DUMMYFUNCTION("""COMPUTED_VALUE"""),7.7654285)</f>
        <v>7.7654285</v>
      </c>
      <c r="D10510" s="7">
        <f>IFERROR(__xludf.DUMMYFUNCTION("""COMPUTED_VALUE"""),0.229357798165137)</f>
        <v>0.2293577982</v>
      </c>
    </row>
    <row r="10511">
      <c r="A10511" s="10" t="s">
        <v>11950</v>
      </c>
      <c r="B10511" s="7" t="str">
        <f>IFERROR(__xludf.DUMMYFUNCTION("SPLIT(A10511,"" "")"),"Cc1ccnc(CN(C)Cc2ccc3cc(N(C)Cc4cc(-c5ccc6c(c5)OCCOCCOCCOCCOCCO6)ccn4)ccc3n2)c1")</f>
        <v>Cc1ccnc(CN(C)Cc2ccc3cc(N(C)Cc4cc(-c5ccc6c(c5)OCCOCCOCCOCCOCCO6)ccn4)ccc3n2)c1</v>
      </c>
      <c r="C10511" s="7">
        <f>IFERROR(__xludf.DUMMYFUNCTION("""COMPUTED_VALUE"""),7.7654285)</f>
        <v>7.7654285</v>
      </c>
      <c r="D10511" s="7">
        <f>IFERROR(__xludf.DUMMYFUNCTION("""COMPUTED_VALUE"""),0.342105263157894)</f>
        <v>0.3421052632</v>
      </c>
    </row>
    <row r="10512">
      <c r="A10512" s="10" t="s">
        <v>11951</v>
      </c>
      <c r="B10512" s="7" t="str">
        <f>IFERROR(__xludf.DUMMYFUNCTION("SPLIT(A10512,"" "")"),"Cc1cnc(CN(C)Cc2cc(-c3cccc(N(C)Cc4cc(-c5cccc6c5OCCOCCOCCOCCOCCO6)ccn4)c3)ccn2)c(C)c1")</f>
        <v>Cc1cnc(CN(C)Cc2cc(-c3cccc(N(C)Cc4cc(-c5cccc6c5OCCOCCOCCOCCOCCO6)ccn4)c3)ccn2)c(C)c1</v>
      </c>
      <c r="C10512" s="7">
        <f>IFERROR(__xludf.DUMMYFUNCTION("""COMPUTED_VALUE"""),7.765425)</f>
        <v>7.765425</v>
      </c>
      <c r="D10512" s="7">
        <f>IFERROR(__xludf.DUMMYFUNCTION("""COMPUTED_VALUE"""),0.241379310344827)</f>
        <v>0.2413793103</v>
      </c>
    </row>
    <row r="10513">
      <c r="A10513" s="10" t="s">
        <v>11952</v>
      </c>
      <c r="B10513" s="7" t="str">
        <f>IFERROR(__xludf.DUMMYFUNCTION("SPLIT(A10513,"" "")"),"CNCc1ncccc1CN(Cc1ccccn1)C1CCC(N(C)c2ccc3nccc(CF)c3c2)CC1")</f>
        <v>CNCc1ncccc1CN(Cc1ccccn1)C1CCC(N(C)c2ccc3nccc(CF)c3c2)CC1</v>
      </c>
      <c r="C10513" s="7">
        <f>IFERROR(__xludf.DUMMYFUNCTION("""COMPUTED_VALUE"""),7.765418)</f>
        <v>7.765418</v>
      </c>
      <c r="D10513" s="7">
        <f>IFERROR(__xludf.DUMMYFUNCTION("""COMPUTED_VALUE"""),0.309859154929577)</f>
        <v>0.3098591549</v>
      </c>
    </row>
    <row r="10514">
      <c r="A10514" s="10" t="s">
        <v>11953</v>
      </c>
      <c r="B10514" s="7" t="str">
        <f>IFERROR(__xludf.DUMMYFUNCTION("SPLIT(A10514,"" "")"),"CN(Cc1cccnn1)C1=CC=CCN1")</f>
        <v>CN(Cc1cccnn1)C1=CC=CCN1</v>
      </c>
      <c r="C10514" s="7">
        <f>IFERROR(__xludf.DUMMYFUNCTION("""COMPUTED_VALUE"""),7.765415)</f>
        <v>7.765415</v>
      </c>
      <c r="D10514" s="7">
        <f>IFERROR(__xludf.DUMMYFUNCTION("""COMPUTED_VALUE"""),0.48780487804878)</f>
        <v>0.487804878</v>
      </c>
    </row>
    <row r="10515">
      <c r="A10515" s="10" t="s">
        <v>11954</v>
      </c>
      <c r="B10515" s="7" t="str">
        <f>IFERROR(__xludf.DUMMYFUNCTION("SPLIT(A10515,"" "")"),"CC1=C(c2ccccn2)CC(N(Cc2ccccn2)Cc2ccccn2)CC12C=CNC(C(C)C)=C2")</f>
        <v>CC1=C(c2ccccn2)CC(N(Cc2ccccn2)Cc2ccccn2)CC12C=CNC(C(C)C)=C2</v>
      </c>
      <c r="C10515" s="7">
        <f>IFERROR(__xludf.DUMMYFUNCTION("""COMPUTED_VALUE"""),7.7654123)</f>
        <v>7.7654123</v>
      </c>
      <c r="D10515" s="7">
        <f>IFERROR(__xludf.DUMMYFUNCTION("""COMPUTED_VALUE"""),0.318181818181818)</f>
        <v>0.3181818182</v>
      </c>
    </row>
    <row r="10516">
      <c r="A10516" s="10" t="s">
        <v>11955</v>
      </c>
      <c r="B10516" s="7" t="str">
        <f>IFERROR(__xludf.DUMMYFUNCTION("SPLIT(A10516,"" "")"),"Cc1ccc(CN(Cc2ccc(CN(Cc3ccccn3)Cc3ncccc3F)nc2)Cc2ccccn2)nc1")</f>
        <v>Cc1ccc(CN(Cc2ccc(CN(Cc3ccccn3)Cc3ncccc3F)nc2)Cc2ccccn2)nc1</v>
      </c>
      <c r="C10516" s="7">
        <f>IFERROR(__xludf.DUMMYFUNCTION("""COMPUTED_VALUE"""),7.765405)</f>
        <v>7.765405</v>
      </c>
      <c r="D10516" s="7">
        <f>IFERROR(__xludf.DUMMYFUNCTION("""COMPUTED_VALUE"""),0.454545454545454)</f>
        <v>0.4545454545</v>
      </c>
    </row>
    <row r="10517">
      <c r="A10517" s="10" t="s">
        <v>11956</v>
      </c>
      <c r="B10517" s="7" t="str">
        <f>IFERROR(__xludf.DUMMYFUNCTION("SPLIT(A10517,"" "")"),"CC(C)N(Cc1ccccn1)C1CCCC(N(C)c2cccc3ncc(CN(C)C)cc23)C1")</f>
        <v>CC(C)N(Cc1ccccn1)C1CCCC(N(C)c2cccc3ncc(CN(C)C)cc23)C1</v>
      </c>
      <c r="C10517" s="7">
        <f>IFERROR(__xludf.DUMMYFUNCTION("""COMPUTED_VALUE"""),7.7653966)</f>
        <v>7.7653966</v>
      </c>
      <c r="D10517" s="7">
        <f>IFERROR(__xludf.DUMMYFUNCTION("""COMPUTED_VALUE"""),0.365079365079365)</f>
        <v>0.3650793651</v>
      </c>
    </row>
    <row r="10518">
      <c r="A10518" s="10" t="s">
        <v>11957</v>
      </c>
      <c r="B10518" s="7" t="str">
        <f>IFERROR(__xludf.DUMMYFUNCTION("SPLIT(A10518,"" "")"),"Cc1cc(CNCc2ccccn2)cc(NCc2ccccn2)c1")</f>
        <v>Cc1cc(CNCc2ccccn2)cc(NCc2ccccn2)c1</v>
      </c>
      <c r="C10518" s="7">
        <f>IFERROR(__xludf.DUMMYFUNCTION("""COMPUTED_VALUE"""),7.7653913)</f>
        <v>7.7653913</v>
      </c>
      <c r="D10518" s="7">
        <f>IFERROR(__xludf.DUMMYFUNCTION("""COMPUTED_VALUE"""),0.487179487179487)</f>
        <v>0.4871794872</v>
      </c>
    </row>
    <row r="10519">
      <c r="A10519" s="10" t="s">
        <v>11958</v>
      </c>
      <c r="B10519" s="7" t="str">
        <f>IFERROR(__xludf.DUMMYFUNCTION("SPLIT(A10519,"" "")"),"CN(Cc1cc(-c2ccc3c(c2)OCCOCCOCCOCCOCCO3)ccn1)Cc1ccnc2ccc(N(C)Cc3ccccn3)cc12")</f>
        <v>CN(Cc1cc(-c2ccc3c(c2)OCCOCCOCCOCCOCCO3)ccn1)Cc1ccnc2ccc(N(C)Cc3ccccn3)cc12</v>
      </c>
      <c r="C10519" s="7">
        <f>IFERROR(__xludf.DUMMYFUNCTION("""COMPUTED_VALUE"""),7.76539)</f>
        <v>7.76539</v>
      </c>
      <c r="D10519" s="7">
        <f>IFERROR(__xludf.DUMMYFUNCTION("""COMPUTED_VALUE"""),0.323529411764705)</f>
        <v>0.3235294118</v>
      </c>
    </row>
    <row r="10520">
      <c r="A10520" s="10" t="s">
        <v>11959</v>
      </c>
      <c r="B10520" s="7" t="str">
        <f>IFERROR(__xludf.DUMMYFUNCTION("SPLIT(A10520,"" "")"),"CNCc1cccc(CN(C)C2=C(CN(C)Cc3ccccn3)NC=CC2)n1")</f>
        <v>CNCc1cccc(CN(C)C2=C(CN(C)Cc3ccccn3)NC=CC2)n1</v>
      </c>
      <c r="C10520" s="7">
        <f>IFERROR(__xludf.DUMMYFUNCTION("""COMPUTED_VALUE"""),7.765383)</f>
        <v>7.765383</v>
      </c>
      <c r="D10520" s="7">
        <f>IFERROR(__xludf.DUMMYFUNCTION("""COMPUTED_VALUE"""),0.43859649122807)</f>
        <v>0.4385964912</v>
      </c>
    </row>
    <row r="10521">
      <c r="A10521" s="10" t="s">
        <v>11960</v>
      </c>
      <c r="B10521" s="7" t="str">
        <f>IFERROR(__xludf.DUMMYFUNCTION("SPLIT(A10521,"" "")"),"Cc1cccnc1CN(C)C1=C(CN(Cc2cccnc2CF)C(C)C)NC=CC1")</f>
        <v>Cc1cccnc1CN(C)C1=C(CN(Cc2cccnc2CF)C(C)C)NC=CC1</v>
      </c>
      <c r="C10521" s="7">
        <f>IFERROR(__xludf.DUMMYFUNCTION("""COMPUTED_VALUE"""),7.7653775)</f>
        <v>7.7653775</v>
      </c>
      <c r="D10521" s="7">
        <f>IFERROR(__xludf.DUMMYFUNCTION("""COMPUTED_VALUE"""),0.269841269841269)</f>
        <v>0.2698412698</v>
      </c>
    </row>
    <row r="10522">
      <c r="A10522" s="10" t="s">
        <v>11961</v>
      </c>
      <c r="B10522" s="7" t="str">
        <f>IFERROR(__xludf.DUMMYFUNCTION("SPLIT(A10522,"" "")"),"Cc1ccnc2cc(N3CCN(C)CCN(C)CC3)ccc12")</f>
        <v>Cc1ccnc2cc(N3CCN(C)CCN(C)CC3)ccc12</v>
      </c>
      <c r="C10522" s="7">
        <f>IFERROR(__xludf.DUMMYFUNCTION("""COMPUTED_VALUE"""),7.765371)</f>
        <v>7.765371</v>
      </c>
      <c r="D10522" s="7">
        <f>IFERROR(__xludf.DUMMYFUNCTION("""COMPUTED_VALUE"""),0.369565217391304)</f>
        <v>0.3695652174</v>
      </c>
    </row>
    <row r="10523">
      <c r="A10523" s="10" t="s">
        <v>11962</v>
      </c>
      <c r="B10523" s="7" t="str">
        <f>IFERROR(__xludf.DUMMYFUNCTION("SPLIT(A10523,"" "")"),"CNCc1cc(CN(Cc2cccc(C)n2)C2CCC(N(C)c3ccc4nc(CF)ccc4c3)CC2)ccn1")</f>
        <v>CNCc1cc(CN(Cc2cccc(C)n2)C2CCC(N(C)c3ccc4nc(CF)ccc4c3)CC2)ccn1</v>
      </c>
      <c r="C10523" s="7">
        <f>IFERROR(__xludf.DUMMYFUNCTION("""COMPUTED_VALUE"""),7.765368)</f>
        <v>7.765368</v>
      </c>
      <c r="D10523" s="7">
        <f>IFERROR(__xludf.DUMMYFUNCTION("""COMPUTED_VALUE"""),0.333333333333333)</f>
        <v>0.3333333333</v>
      </c>
    </row>
    <row r="10524">
      <c r="A10524" s="10" t="s">
        <v>11963</v>
      </c>
      <c r="B10524" s="7" t="str">
        <f>IFERROR(__xludf.DUMMYFUNCTION("SPLIT(A10524,"" "")"),"CN(Cc1cc(C(C)(C)C)ccn1)Cc1cc(C(C)(C)C)ccn1")</f>
        <v>CN(Cc1cc(C(C)(C)C)ccn1)Cc1cc(C(C)(C)C)ccn1</v>
      </c>
      <c r="C10524" s="7">
        <f>IFERROR(__xludf.DUMMYFUNCTION("""COMPUTED_VALUE"""),7.765368)</f>
        <v>7.765368</v>
      </c>
      <c r="D10524" s="7">
        <f>IFERROR(__xludf.DUMMYFUNCTION("""COMPUTED_VALUE"""),0.38095238095238)</f>
        <v>0.380952381</v>
      </c>
    </row>
    <row r="10525">
      <c r="A10525" s="10" t="s">
        <v>11964</v>
      </c>
      <c r="B10525" s="7" t="str">
        <f>IFERROR(__xludf.DUMMYFUNCTION("SPLIT(A10525,"" "")"),"C1=CC(c2ccccn2)C=CN1")</f>
        <v>C1=CC(c2ccccn2)C=CN1</v>
      </c>
      <c r="C10525" s="7">
        <f>IFERROR(__xludf.DUMMYFUNCTION("""COMPUTED_VALUE"""),7.76536)</f>
        <v>7.76536</v>
      </c>
      <c r="D10525" s="7">
        <f>IFERROR(__xludf.DUMMYFUNCTION("""COMPUTED_VALUE"""),0.311111111111111)</f>
        <v>0.3111111111</v>
      </c>
    </row>
    <row r="10526">
      <c r="A10526" s="10" t="s">
        <v>11965</v>
      </c>
      <c r="B10526" s="7" t="str">
        <f>IFERROR(__xludf.DUMMYFUNCTION("SPLIT(A10526,"" "")"),"CNCc1cccc(CN(Cc2ncccc2C)C2CCC(N(C)c3ccc4nc(CF)ccc4c3)CC2)n1")</f>
        <v>CNCc1cccc(CN(Cc2ncccc2C)C2CCC(N(C)c3ccc4nc(CF)ccc4c3)CC2)n1</v>
      </c>
      <c r="C10526" s="7">
        <f>IFERROR(__xludf.DUMMYFUNCTION("""COMPUTED_VALUE"""),7.765356)</f>
        <v>7.765356</v>
      </c>
      <c r="D10526" s="7">
        <f>IFERROR(__xludf.DUMMYFUNCTION("""COMPUTED_VALUE"""),0.298701298701298)</f>
        <v>0.2987012987</v>
      </c>
    </row>
    <row r="10527">
      <c r="A10527" s="10" t="s">
        <v>11966</v>
      </c>
      <c r="B10527" s="7" t="str">
        <f>IFERROR(__xludf.DUMMYFUNCTION("SPLIT(A10527,"" "")"),"Cc1cc(N(Cc2cccnn2)C2CCCCC2)c(C)c(N(C)Cc2ccccn2)c1C")</f>
        <v>Cc1cc(N(Cc2cccnn2)C2CCCCC2)c(C)c(N(C)Cc2ccccn2)c1C</v>
      </c>
      <c r="C10527" s="7">
        <f>IFERROR(__xludf.DUMMYFUNCTION("""COMPUTED_VALUE"""),7.7653537)</f>
        <v>7.7653537</v>
      </c>
      <c r="D10527" s="7">
        <f>IFERROR(__xludf.DUMMYFUNCTION("""COMPUTED_VALUE"""),0.428571428571428)</f>
        <v>0.4285714286</v>
      </c>
    </row>
    <row r="10528">
      <c r="A10528" s="10" t="s">
        <v>11967</v>
      </c>
      <c r="B10528" s="7" t="str">
        <f>IFERROR(__xludf.DUMMYFUNCTION("SPLIT(A10528,"" "")"),"CNc1ccnc(CNCc2cccc(F)n2)c1")</f>
        <v>CNc1ccnc(CNCc2cccc(F)n2)c1</v>
      </c>
      <c r="C10528" s="7">
        <f>IFERROR(__xludf.DUMMYFUNCTION("""COMPUTED_VALUE"""),7.7653446)</f>
        <v>7.7653446</v>
      </c>
      <c r="D10528" s="7">
        <f>IFERROR(__xludf.DUMMYFUNCTION("""COMPUTED_VALUE"""),0.348837209302325)</f>
        <v>0.3488372093</v>
      </c>
    </row>
    <row r="10529">
      <c r="A10529" s="10" t="s">
        <v>11968</v>
      </c>
      <c r="B10529" s="7" t="str">
        <f>IFERROR(__xludf.DUMMYFUNCTION("SPLIT(A10529,"" "")"),"Cc1ccnc2cc(N(C)C3CCCC(N(C)Cc4cccnc4CNC(C)C)C3)ccc12")</f>
        <v>Cc1ccnc2cc(N(C)C3CCCC(N(C)Cc4cccnc4CNC(C)C)C3)ccc12</v>
      </c>
      <c r="C10529" s="7">
        <f>IFERROR(__xludf.DUMMYFUNCTION("""COMPUTED_VALUE"""),7.76534)</f>
        <v>7.76534</v>
      </c>
      <c r="D10529" s="7">
        <f>IFERROR(__xludf.DUMMYFUNCTION("""COMPUTED_VALUE"""),0.253521126760563)</f>
        <v>0.2535211268</v>
      </c>
    </row>
    <row r="10530">
      <c r="A10530" s="10" t="s">
        <v>11969</v>
      </c>
      <c r="B10530" s="7" t="str">
        <f>IFERROR(__xludf.DUMMYFUNCTION("SPLIT(A10530,"" "")"),"Cc1cnccc1CN(C)C1CCCCC1N(C)c1cccc2c(CF)ccnc12")</f>
        <v>Cc1cnccc1CN(C)C1CCCCC1N(C)c1cccc2c(CF)ccnc12</v>
      </c>
      <c r="C10530" s="7">
        <f>IFERROR(__xludf.DUMMYFUNCTION("""COMPUTED_VALUE"""),7.7653303)</f>
        <v>7.7653303</v>
      </c>
      <c r="D10530" s="7">
        <f>IFERROR(__xludf.DUMMYFUNCTION("""COMPUTED_VALUE"""),0.440677966101694)</f>
        <v>0.4406779661</v>
      </c>
    </row>
    <row r="10531">
      <c r="A10531" s="10" t="s">
        <v>11970</v>
      </c>
      <c r="B10531" s="7" t="str">
        <f>IFERROR(__xludf.DUMMYFUNCTION("SPLIT(A10531,"" "")"),"CNCc1cccc(CN(Cc2ccccn2)Cc2ncc(N)cc2C)n1")</f>
        <v>CNCc1cccc(CN(Cc2ccccn2)Cc2ncc(N)cc2C)n1</v>
      </c>
      <c r="C10531" s="7">
        <f>IFERROR(__xludf.DUMMYFUNCTION("""COMPUTED_VALUE"""),7.7653303)</f>
        <v>7.7653303</v>
      </c>
      <c r="D10531" s="7">
        <f>IFERROR(__xludf.DUMMYFUNCTION("""COMPUTED_VALUE"""),0.425531914893617)</f>
        <v>0.4255319149</v>
      </c>
    </row>
    <row r="10532">
      <c r="A10532" s="10" t="s">
        <v>11971</v>
      </c>
      <c r="B10532" s="7" t="str">
        <f>IFERROR(__xludf.DUMMYFUNCTION("SPLIT(A10532,"" "")"),"Cc1cc(CN(C)CCN(C)Cc2nc(C)c(C)c(C)c2C)cnc1C")</f>
        <v>Cc1cc(CN(C)CCN(C)Cc2nc(C)c(C)c(C)c2C)cnc1C</v>
      </c>
      <c r="C10532" s="7">
        <f>IFERROR(__xludf.DUMMYFUNCTION("""COMPUTED_VALUE"""),7.7653255)</f>
        <v>7.7653255</v>
      </c>
      <c r="D10532" s="7">
        <f>IFERROR(__xludf.DUMMYFUNCTION("""COMPUTED_VALUE"""),0.326086956521739)</f>
        <v>0.3260869565</v>
      </c>
    </row>
    <row r="10533">
      <c r="A10533" s="10" t="s">
        <v>11972</v>
      </c>
      <c r="B10533" s="7" t="str">
        <f>IFERROR(__xludf.DUMMYFUNCTION("SPLIT(A10533,"" "")"),"CC(C)C1=CC2C(=CN1)C=C(c1ccc(CN(Cc3ccccn3)Cc3ccccn3)cn1)C(C)C2(C)C")</f>
        <v>CC(C)C1=CC2C(=CN1)C=C(c1ccc(CN(Cc3ccccn3)Cc3ccccn3)cn1)C(C)C2(C)C</v>
      </c>
      <c r="C10533" s="7">
        <f>IFERROR(__xludf.DUMMYFUNCTION("""COMPUTED_VALUE"""),7.765324)</f>
        <v>7.765324</v>
      </c>
      <c r="D10533" s="7">
        <f>IFERROR(__xludf.DUMMYFUNCTION("""COMPUTED_VALUE"""),0.333333333333333)</f>
        <v>0.3333333333</v>
      </c>
    </row>
    <row r="10534">
      <c r="A10534" s="10" t="s">
        <v>11973</v>
      </c>
      <c r="B10534" s="7" t="str">
        <f>IFERROR(__xludf.DUMMYFUNCTION("SPLIT(A10534,"" "")"),"Cc1cc(CN(C)C2=C(CN(Cc3ccccn3)CC(C)(C)C)NC=CC2)nc(C)c1C")</f>
        <v>Cc1cc(CN(C)C2=C(CN(Cc3ccccn3)CC(C)(C)C)NC=CC2)nc(C)c1C</v>
      </c>
      <c r="C10534" s="7">
        <f>IFERROR(__xludf.DUMMYFUNCTION("""COMPUTED_VALUE"""),7.7653213)</f>
        <v>7.7653213</v>
      </c>
      <c r="D10534" s="7">
        <f>IFERROR(__xludf.DUMMYFUNCTION("""COMPUTED_VALUE"""),0.426229508196721)</f>
        <v>0.4262295082</v>
      </c>
    </row>
    <row r="10535">
      <c r="A10535" s="10" t="s">
        <v>11974</v>
      </c>
      <c r="B10535" s="7" t="str">
        <f>IFERROR(__xludf.DUMMYFUNCTION("SPLIT(A10535,"" "")"),"CN(Cc1ccc(-c2ccc3c(c2)OCCOCCOCCOCCOCCO3)cn1)C1=CCC(CN(C)c2ccc3cccnc3c2)=CN1")</f>
        <v>CN(Cc1ccc(-c2ccc3c(c2)OCCOCCOCCOCCOCCO3)cn1)C1=CCC(CN(C)c2ccc3cccnc3c2)=CN1</v>
      </c>
      <c r="C10535" s="7">
        <f>IFERROR(__xludf.DUMMYFUNCTION("""COMPUTED_VALUE"""),7.7653174)</f>
        <v>7.7653174</v>
      </c>
      <c r="D10535" s="7">
        <f>IFERROR(__xludf.DUMMYFUNCTION("""COMPUTED_VALUE"""),0.365853658536585)</f>
        <v>0.3658536585</v>
      </c>
    </row>
    <row r="10536">
      <c r="A10536" s="10" t="s">
        <v>11975</v>
      </c>
      <c r="B10536" s="7" t="str">
        <f>IFERROR(__xludf.DUMMYFUNCTION("SPLIT(A10536,"" "")"),"CNC1CCC(N(Cc2ncc(C)c(C)c2C)Cc2nc(C)c(C)c(C)c2C)CC1N(Cc1nc(C)c(C)c(C)c1C)Cc1nc(C)c(C)c(C)c1C")</f>
        <v>CNC1CCC(N(Cc2ncc(C)c(C)c2C)Cc2nc(C)c(C)c(C)c2C)CC1N(Cc1nc(C)c(C)c(C)c1C)Cc1nc(C)c(C)c(C)c1C</v>
      </c>
      <c r="C10536" s="7">
        <f>IFERROR(__xludf.DUMMYFUNCTION("""COMPUTED_VALUE"""),7.7653165)</f>
        <v>7.7653165</v>
      </c>
      <c r="D10536" s="7">
        <f>IFERROR(__xludf.DUMMYFUNCTION("""COMPUTED_VALUE"""),0.238095238095238)</f>
        <v>0.2380952381</v>
      </c>
    </row>
    <row r="10537">
      <c r="A10537" s="10" t="s">
        <v>11976</v>
      </c>
      <c r="B10537" s="7" t="str">
        <f>IFERROR(__xludf.DUMMYFUNCTION("SPLIT(A10537,"" "")"),"Cc1cccnc1CN(C)C1CCC(N(C)c2ccc3cc(CF)cnc3c2)CC1")</f>
        <v>Cc1cccnc1CN(C)C1CCC(N(C)c2ccc3cc(CF)cnc3c2)CC1</v>
      </c>
      <c r="C10537" s="7">
        <f>IFERROR(__xludf.DUMMYFUNCTION("""COMPUTED_VALUE"""),7.7653127)</f>
        <v>7.7653127</v>
      </c>
      <c r="D10537" s="7">
        <f>IFERROR(__xludf.DUMMYFUNCTION("""COMPUTED_VALUE"""),0.261538461538461)</f>
        <v>0.2615384615</v>
      </c>
    </row>
    <row r="10538">
      <c r="A10538" s="10" t="s">
        <v>11977</v>
      </c>
      <c r="B10538" s="7" t="str">
        <f>IFERROR(__xludf.DUMMYFUNCTION("SPLIT(A10538,"" "")"),"CC1(C)CC(c2cc(CN(Cc3ccccn3)Cc3ncccc3F)cc(CN(Cc3ccccn3)Cc3ccccn3)n2)C1")</f>
        <v>CC1(C)CC(c2cc(CN(Cc3ccccn3)Cc3ncccc3F)cc(CN(Cc3ccccn3)Cc3ccccn3)n2)C1</v>
      </c>
      <c r="C10538" s="7">
        <f>IFERROR(__xludf.DUMMYFUNCTION("""COMPUTED_VALUE"""),7.7653127)</f>
        <v>7.7653127</v>
      </c>
      <c r="D10538" s="7">
        <f>IFERROR(__xludf.DUMMYFUNCTION("""COMPUTED_VALUE"""),0.392156862745098)</f>
        <v>0.3921568627</v>
      </c>
    </row>
    <row r="10539">
      <c r="A10539" s="10" t="s">
        <v>11978</v>
      </c>
      <c r="B10539" s="7" t="str">
        <f>IFERROR(__xludf.DUMMYFUNCTION("SPLIT(A10539,"" "")"),"CN(c1ccc2ncccc2c1)C1CCCC(N(Cc2ccccn2)Cc2cccnn2)C1")</f>
        <v>CN(c1ccc2ncccc2c1)C1CCCC(N(Cc2ccccn2)Cc2cccnn2)C1</v>
      </c>
      <c r="C10539" s="7">
        <f>IFERROR(__xludf.DUMMYFUNCTION("""COMPUTED_VALUE"""),7.765309)</f>
        <v>7.765309</v>
      </c>
      <c r="D10539" s="7">
        <f>IFERROR(__xludf.DUMMYFUNCTION("""COMPUTED_VALUE"""),0.436363636363636)</f>
        <v>0.4363636364</v>
      </c>
    </row>
    <row r="10540">
      <c r="A10540" s="10" t="s">
        <v>11979</v>
      </c>
      <c r="B10540" s="7" t="str">
        <f>IFERROR(__xludf.DUMMYFUNCTION("SPLIT(A10540,"" "")"),"CC(C)N(CC1=CCC(N(C)Cc2ccccn2)=CN1)Cc1cccnc1")</f>
        <v>CC(C)N(CC1=CCC(N(C)Cc2ccccn2)=CN1)Cc1cccnc1</v>
      </c>
      <c r="C10540" s="7">
        <f>IFERROR(__xludf.DUMMYFUNCTION("""COMPUTED_VALUE"""),7.7653036)</f>
        <v>7.7653036</v>
      </c>
      <c r="D10540" s="7">
        <f>IFERROR(__xludf.DUMMYFUNCTION("""COMPUTED_VALUE"""),0.403508771929824)</f>
        <v>0.4035087719</v>
      </c>
    </row>
    <row r="10541">
      <c r="A10541" s="10" t="s">
        <v>11980</v>
      </c>
      <c r="B10541" s="7" t="str">
        <f>IFERROR(__xludf.DUMMYFUNCTION("SPLIT(A10541,"" "")"),"CN(Cc1cccc(C2=CCC=CN2)n1)Cc1cccc(C2CCC2(C)C)n1")</f>
        <v>CN(Cc1cccc(C2=CCC=CN2)n1)Cc1cccc(C2CCC2(C)C)n1</v>
      </c>
      <c r="C10541" s="7">
        <f>IFERROR(__xludf.DUMMYFUNCTION("""COMPUTED_VALUE"""),7.7652936)</f>
        <v>7.7652936</v>
      </c>
      <c r="D10541" s="7">
        <f>IFERROR(__xludf.DUMMYFUNCTION("""COMPUTED_VALUE"""),0.35)</f>
        <v>0.35</v>
      </c>
    </row>
    <row r="10542">
      <c r="A10542" s="10" t="s">
        <v>11981</v>
      </c>
      <c r="B10542" s="7" t="str">
        <f>IFERROR(__xludf.DUMMYFUNCTION("SPLIT(A10542,"" "")"),"Cc1ccc(CN(Cc2ccccn2)Cc2cccc(N(C)C(C)C)n2)nc1")</f>
        <v>Cc1ccc(CN(Cc2ccccn2)Cc2cccc(N(C)C(C)C)n2)nc1</v>
      </c>
      <c r="C10542" s="7">
        <f>IFERROR(__xludf.DUMMYFUNCTION("""COMPUTED_VALUE"""),7.765286)</f>
        <v>7.765286</v>
      </c>
      <c r="D10542" s="7">
        <f>IFERROR(__xludf.DUMMYFUNCTION("""COMPUTED_VALUE"""),0.489795918367346)</f>
        <v>0.4897959184</v>
      </c>
    </row>
    <row r="10543">
      <c r="A10543" s="10" t="s">
        <v>11982</v>
      </c>
      <c r="B10543" s="7" t="str">
        <f>IFERROR(__xludf.DUMMYFUNCTION("SPLIT(A10543,"" "")"),"Cc1ccnc(CN(C)C2C=CNC(CN(C)Cc3cc(C)c(C)c(C)n3)=C2)c1")</f>
        <v>Cc1ccnc(CN(C)C2C=CNC(CN(C)Cc3cc(C)c(C)c(C)n3)=C2)c1</v>
      </c>
      <c r="C10543" s="7">
        <f>IFERROR(__xludf.DUMMYFUNCTION("""COMPUTED_VALUE"""),7.7652855)</f>
        <v>7.7652855</v>
      </c>
      <c r="D10543" s="7">
        <f>IFERROR(__xludf.DUMMYFUNCTION("""COMPUTED_VALUE"""),0.283582089552238)</f>
        <v>0.2835820896</v>
      </c>
    </row>
    <row r="10544">
      <c r="A10544" s="10" t="s">
        <v>11983</v>
      </c>
      <c r="B10544" s="7" t="str">
        <f>IFERROR(__xludf.DUMMYFUNCTION("SPLIT(A10544,"" "")"),"CC1=CC(C)C(C)C2(C1)C(c1ncccc1CN(Cc1ccccn1)C1CCCCC1N(C)c1cccc3c(CN(C)C)ccnc13)=C(c1ccccn1)CCC21CC(C)(C)C=C(C)C1C")</f>
        <v>CC1=CC(C)C(C)C2(C1)C(c1ncccc1CN(Cc1ccccn1)C1CCCCC1N(C)c1cccc3c(CN(C)C)ccnc13)=C(c1ccccn1)CCC21CC(C)(C)C=C(C)C1C</v>
      </c>
      <c r="C10544" s="7">
        <f>IFERROR(__xludf.DUMMYFUNCTION("""COMPUTED_VALUE"""),7.765284)</f>
        <v>7.765284</v>
      </c>
      <c r="D10544" s="7">
        <f>IFERROR(__xludf.DUMMYFUNCTION("""COMPUTED_VALUE"""),0.277227722772277)</f>
        <v>0.2772277228</v>
      </c>
    </row>
    <row r="10545">
      <c r="A10545" s="10" t="s">
        <v>11984</v>
      </c>
      <c r="B10545" s="7" t="str">
        <f>IFERROR(__xludf.DUMMYFUNCTION("SPLIT(A10545,"" "")"),"Cc1ccnc(CN(C)CC2=CC(N(C)Cc3cc(C)c(C)c(C)n3)C=CN2)c1")</f>
        <v>Cc1ccnc(CN(C)CC2=CC(N(C)Cc3cc(C)c(C)c(C)n3)C=CN2)c1</v>
      </c>
      <c r="C10545" s="7">
        <f>IFERROR(__xludf.DUMMYFUNCTION("""COMPUTED_VALUE"""),7.7652817)</f>
        <v>7.7652817</v>
      </c>
      <c r="D10545" s="7">
        <f>IFERROR(__xludf.DUMMYFUNCTION("""COMPUTED_VALUE"""),0.283582089552238)</f>
        <v>0.2835820896</v>
      </c>
    </row>
    <row r="10546">
      <c r="A10546" s="10" t="s">
        <v>11985</v>
      </c>
      <c r="B10546" s="7" t="str">
        <f>IFERROR(__xludf.DUMMYFUNCTION("SPLIT(A10546,"" "")"),"CC(C)C(C)N(C)CCN(C)c1ccc2cccnc2c1")</f>
        <v>CC(C)C(C)N(C)CCN(C)c1ccc2cccnc2c1</v>
      </c>
      <c r="C10546" s="7">
        <f>IFERROR(__xludf.DUMMYFUNCTION("""COMPUTED_VALUE"""),7.765275)</f>
        <v>7.765275</v>
      </c>
      <c r="D10546" s="7">
        <f>IFERROR(__xludf.DUMMYFUNCTION("""COMPUTED_VALUE"""),0.382978723404255)</f>
        <v>0.3829787234</v>
      </c>
    </row>
    <row r="10547">
      <c r="A10547" s="10" t="s">
        <v>11986</v>
      </c>
      <c r="B10547" s="7" t="str">
        <f>IFERROR(__xludf.DUMMYFUNCTION("SPLIT(A10547,"" "")"),"C=C1C=CNC(CN(C)C2CCCCC2N(C)c2ccc3cccnc3c2)=C1")</f>
        <v>C=C1C=CNC(CN(C)C2CCCCC2N(C)c2ccc3cccnc3c2)=C1</v>
      </c>
      <c r="C10547" s="7">
        <f>IFERROR(__xludf.DUMMYFUNCTION("""COMPUTED_VALUE"""),7.76527)</f>
        <v>7.76527</v>
      </c>
      <c r="D10547" s="7">
        <f>IFERROR(__xludf.DUMMYFUNCTION("""COMPUTED_VALUE"""),0.387096774193548)</f>
        <v>0.3870967742</v>
      </c>
    </row>
    <row r="10548">
      <c r="A10548" s="10" t="s">
        <v>11987</v>
      </c>
      <c r="B10548" s="7" t="str">
        <f>IFERROR(__xludf.DUMMYFUNCTION("SPLIT(A10548,"" "")"),"Cc1cc(C)c(C)c(CN(C)C2=C(CN(C)C(C)C)NC=CC2)n1")</f>
        <v>Cc1cc(C)c(C)c(CN(C)C2=C(CN(C)C(C)C)NC=CC2)n1</v>
      </c>
      <c r="C10548" s="7">
        <f>IFERROR(__xludf.DUMMYFUNCTION("""COMPUTED_VALUE"""),7.7652693)</f>
        <v>7.7652693</v>
      </c>
      <c r="D10548" s="7">
        <f>IFERROR(__xludf.DUMMYFUNCTION("""COMPUTED_VALUE"""),0.203389830508474)</f>
        <v>0.2033898305</v>
      </c>
    </row>
    <row r="10549">
      <c r="A10549" s="10" t="s">
        <v>11988</v>
      </c>
      <c r="B10549" s="7" t="str">
        <f>IFERROR(__xludf.DUMMYFUNCTION("SPLIT(A10549,"" "")"),"CNCc1nccc2cccc(N(C)C3CCCCC3N(Cc3ccccn3)Cc3ncccc3C)c12")</f>
        <v>CNCc1nccc2cccc(N(C)C3CCCCC3N(Cc3ccccn3)Cc3ncccc3C)c12</v>
      </c>
      <c r="C10549" s="7">
        <f>IFERROR(__xludf.DUMMYFUNCTION("""COMPUTED_VALUE"""),7.765263)</f>
        <v>7.765263</v>
      </c>
      <c r="D10549" s="7">
        <f>IFERROR(__xludf.DUMMYFUNCTION("""COMPUTED_VALUE"""),0.415384615384615)</f>
        <v>0.4153846154</v>
      </c>
    </row>
    <row r="10550">
      <c r="A10550" s="10" t="s">
        <v>11989</v>
      </c>
      <c r="B10550" s="7" t="str">
        <f>IFERROR(__xludf.DUMMYFUNCTION("SPLIT(A10550,"" "")"),"Cc1cnc(CN(C)C2=CNC(CN(C)C(C)C)=CC2)c(C)c1C")</f>
        <v>Cc1cnc(CN(C)C2=CNC(CN(C)C(C)C)=CC2)c(C)c1C</v>
      </c>
      <c r="C10550" s="7">
        <f>IFERROR(__xludf.DUMMYFUNCTION("""COMPUTED_VALUE"""),7.7652583)</f>
        <v>7.7652583</v>
      </c>
      <c r="D10550" s="7">
        <f>IFERROR(__xludf.DUMMYFUNCTION("""COMPUTED_VALUE"""),0.21875)</f>
        <v>0.21875</v>
      </c>
    </row>
    <row r="10551">
      <c r="A10551" s="10" t="s">
        <v>11990</v>
      </c>
      <c r="B10551" s="7" t="str">
        <f>IFERROR(__xludf.DUMMYFUNCTION("SPLIT(A10551,"" "")"),"Cc1cccc(CN(C)C2CCC(N(C)c3ccc4cc(CF)cnc4c3)CC2)n1")</f>
        <v>Cc1cccc(CN(C)C2CCC(N(C)c3ccc4cc(CF)cnc4c3)CC2)n1</v>
      </c>
      <c r="C10551" s="7">
        <f>IFERROR(__xludf.DUMMYFUNCTION("""COMPUTED_VALUE"""),7.7652497)</f>
        <v>7.7652497</v>
      </c>
      <c r="D10551" s="7">
        <f>IFERROR(__xludf.DUMMYFUNCTION("""COMPUTED_VALUE"""),0.43859649122807)</f>
        <v>0.4385964912</v>
      </c>
    </row>
    <row r="10552">
      <c r="A10552" s="10" t="s">
        <v>11991</v>
      </c>
      <c r="B10552" s="7" t="str">
        <f>IFERROR(__xludf.DUMMYFUNCTION("SPLIT(A10552,"" "")"),"CNCc1cc(CN(Cc2ccccn2)Cc2ncc(C)c(C)c2C)ccn1")</f>
        <v>CNCc1cc(CN(Cc2ccccn2)Cc2ncc(C)c(C)c2C)ccn1</v>
      </c>
      <c r="C10552" s="7">
        <f>IFERROR(__xludf.DUMMYFUNCTION("""COMPUTED_VALUE"""),7.765248)</f>
        <v>7.765248</v>
      </c>
      <c r="D10552" s="7">
        <f>IFERROR(__xludf.DUMMYFUNCTION("""COMPUTED_VALUE"""),0.444444444444444)</f>
        <v>0.4444444444</v>
      </c>
    </row>
    <row r="10553">
      <c r="A10553" s="10" t="s">
        <v>11992</v>
      </c>
      <c r="B10553" s="7" t="str">
        <f>IFERROR(__xludf.DUMMYFUNCTION("SPLIT(A10553,"" "")"),"Cc1cnc(CN(C)C2CCC(N(Cc3ccccn3)Cc3cccc(-c4cccc(Cl)c4Cl)n3)CC2)c(C)c1")</f>
        <v>Cc1cnc(CN(C)C2CCC(N(Cc3ccccn3)Cc3cccc(-c4cccc(Cl)c4Cl)n3)CC2)c(C)c1</v>
      </c>
      <c r="C10553" s="7">
        <f>IFERROR(__xludf.DUMMYFUNCTION("""COMPUTED_VALUE"""),7.7652416)</f>
        <v>7.7652416</v>
      </c>
      <c r="D10553" s="7">
        <f>IFERROR(__xludf.DUMMYFUNCTION("""COMPUTED_VALUE"""),0.373134328358209)</f>
        <v>0.3731343284</v>
      </c>
    </row>
    <row r="10554">
      <c r="A10554" s="10" t="s">
        <v>11993</v>
      </c>
      <c r="B10554" s="7" t="str">
        <f>IFERROR(__xludf.DUMMYFUNCTION("SPLIT(A10554,"" "")"),"CN(C1=CCC=CN1)C1CCCCC1N(C)c1ccc2cc(CF)cnc2c1")</f>
        <v>CN(C1=CCC=CN1)C1CCCCC1N(C)c1ccc2cc(CF)cnc2c1</v>
      </c>
      <c r="C10554" s="7">
        <f>IFERROR(__xludf.DUMMYFUNCTION("""COMPUTED_VALUE"""),7.7652397)</f>
        <v>7.7652397</v>
      </c>
      <c r="D10554" s="7">
        <f>IFERROR(__xludf.DUMMYFUNCTION("""COMPUTED_VALUE"""),0.375)</f>
        <v>0.375</v>
      </c>
    </row>
    <row r="10555">
      <c r="A10555" s="10" t="s">
        <v>11994</v>
      </c>
      <c r="B10555" s="7" t="str">
        <f>IFERROR(__xludf.DUMMYFUNCTION("SPLIT(A10555,"" "")"),"CN(Cc1ccc2c(n1)CCC2)C1CCC(N(C)c2ccc3ncccc3c2)CC1")</f>
        <v>CN(Cc1ccc2c(n1)CCC2)C1CCC(N(C)c2ccc3ncccc3c2)CC1</v>
      </c>
      <c r="C10555" s="7">
        <f>IFERROR(__xludf.DUMMYFUNCTION("""COMPUTED_VALUE"""),7.765238)</f>
        <v>7.765238</v>
      </c>
      <c r="D10555" s="7">
        <f>IFERROR(__xludf.DUMMYFUNCTION("""COMPUTED_VALUE"""),0.348484848484848)</f>
        <v>0.3484848485</v>
      </c>
    </row>
    <row r="10556">
      <c r="A10556" s="10" t="s">
        <v>11995</v>
      </c>
      <c r="B10556" s="7" t="str">
        <f>IFERROR(__xludf.DUMMYFUNCTION("SPLIT(A10556,"" "")"),"CNCC1CCC(N(C)c2ccc3cccnc3c2)N1C")</f>
        <v>CNCC1CCC(N(C)c2ccc3cccnc3c2)N1C</v>
      </c>
      <c r="C10556" s="7">
        <f>IFERROR(__xludf.DUMMYFUNCTION("""COMPUTED_VALUE"""),7.765235)</f>
        <v>7.765235</v>
      </c>
      <c r="D10556" s="7">
        <f>IFERROR(__xludf.DUMMYFUNCTION("""COMPUTED_VALUE"""),0.322033898305084)</f>
        <v>0.3220338983</v>
      </c>
    </row>
    <row r="10557">
      <c r="A10557" s="10" t="s">
        <v>11996</v>
      </c>
      <c r="B10557" s="7" t="str">
        <f>IFERROR(__xludf.DUMMYFUNCTION("SPLIT(A10557,"" "")"),"Cc1cc(CN(C)Cc2ccc(N)cn2)ccn1")</f>
        <v>Cc1cc(CN(C)Cc2ccc(N)cn2)ccn1</v>
      </c>
      <c r="C10557" s="7">
        <f>IFERROR(__xludf.DUMMYFUNCTION("""COMPUTED_VALUE"""),7.7652345)</f>
        <v>7.7652345</v>
      </c>
      <c r="D10557" s="7">
        <f>IFERROR(__xludf.DUMMYFUNCTION("""COMPUTED_VALUE"""),0.41860465116279)</f>
        <v>0.4186046512</v>
      </c>
    </row>
    <row r="10558">
      <c r="A10558" s="10" t="s">
        <v>11997</v>
      </c>
      <c r="B10558" s="7" t="str">
        <f>IFERROR(__xludf.DUMMYFUNCTION("SPLIT(A10558,"" "")"),"Cc1ccnc(CN(C)C2C=CNC(CN(C)Cc3ccon3)=C2)c1C")</f>
        <v>Cc1ccnc(CN(C)C2C=CNC(CN(C)Cc3ccon3)=C2)c1C</v>
      </c>
      <c r="C10558" s="7">
        <f>IFERROR(__xludf.DUMMYFUNCTION("""COMPUTED_VALUE"""),7.7652297)</f>
        <v>7.7652297</v>
      </c>
      <c r="D10558" s="7">
        <f>IFERROR(__xludf.DUMMYFUNCTION("""COMPUTED_VALUE"""),0.388888888888888)</f>
        <v>0.3888888889</v>
      </c>
    </row>
    <row r="10559">
      <c r="A10559" s="10" t="s">
        <v>11998</v>
      </c>
      <c r="B10559" s="7" t="str">
        <f>IFERROR(__xludf.DUMMYFUNCTION("SPLIT(A10559,"" "")"),"Cc1cc(C)c(CN(C)CCN(Cc2ccccn2)C(C)N(Cc2ccccn2)C(C)(c2cccnc2)c2ccccn2)nc1C")</f>
        <v>Cc1cc(C)c(CN(C)CCN(Cc2ccccn2)C(C)N(Cc2ccccn2)C(C)(c2cccnc2)c2ccccn2)nc1C</v>
      </c>
      <c r="C10559" s="7">
        <f>IFERROR(__xludf.DUMMYFUNCTION("""COMPUTED_VALUE"""),7.7652264)</f>
        <v>7.7652264</v>
      </c>
      <c r="D10559" s="7">
        <f>IFERROR(__xludf.DUMMYFUNCTION("""COMPUTED_VALUE"""),0.369230769230769)</f>
        <v>0.3692307692</v>
      </c>
    </row>
    <row r="10560">
      <c r="A10560" s="10" t="s">
        <v>11999</v>
      </c>
      <c r="B10560" s="7" t="str">
        <f>IFERROR(__xludf.DUMMYFUNCTION("SPLIT(A10560,"" "")"),"CN(c1cccc2ncccc12)C1CCC(N(Cc2cccnc2)Cc2cccnn2)CC1")</f>
        <v>CN(c1cccc2ncccc12)C1CCC(N(Cc2cccnc2)Cc2cccnn2)CC1</v>
      </c>
      <c r="C10560" s="7">
        <f>IFERROR(__xludf.DUMMYFUNCTION("""COMPUTED_VALUE"""),7.7652254)</f>
        <v>7.7652254</v>
      </c>
      <c r="D10560" s="7">
        <f>IFERROR(__xludf.DUMMYFUNCTION("""COMPUTED_VALUE"""),0.338983050847457)</f>
        <v>0.3389830508</v>
      </c>
    </row>
    <row r="10561">
      <c r="A10561" s="10" t="s">
        <v>12000</v>
      </c>
      <c r="B10561" s="7" t="str">
        <f>IFERROR(__xludf.DUMMYFUNCTION("SPLIT(A10561,"" "")"),"Cc1ccnc(CN(C)Cc2cc(N)ccn2)c1")</f>
        <v>Cc1ccnc(CN(C)Cc2cc(N)ccn2)c1</v>
      </c>
      <c r="C10561" s="7">
        <f>IFERROR(__xludf.DUMMYFUNCTION("""COMPUTED_VALUE"""),7.7652254)</f>
        <v>7.7652254</v>
      </c>
      <c r="D10561" s="7">
        <f>IFERROR(__xludf.DUMMYFUNCTION("""COMPUTED_VALUE"""),0.428571428571428)</f>
        <v>0.4285714286</v>
      </c>
    </row>
    <row r="10562">
      <c r="A10562" s="10" t="s">
        <v>12001</v>
      </c>
      <c r="B10562" s="7" t="str">
        <f>IFERROR(__xludf.DUMMYFUNCTION("SPLIT(A10562,"" "")"),"Cc1c(-c2ccc3c(c2)OCCOCCOCCOCCOCCO3)ccnc1-c1cccc(NCc2cc(C(C)(C)c3ccccn3)ccn2)c1")</f>
        <v>Cc1c(-c2ccc3c(c2)OCCOCCOCCOCCOCCO3)ccnc1-c1cccc(NCc2cc(C(C)(C)c3ccccn3)ccn2)c1</v>
      </c>
      <c r="C10562" s="7">
        <f>IFERROR(__xludf.DUMMYFUNCTION("""COMPUTED_VALUE"""),7.7652197)</f>
        <v>7.7652197</v>
      </c>
      <c r="D10562" s="7">
        <f>IFERROR(__xludf.DUMMYFUNCTION("""COMPUTED_VALUE"""),0.290697674418604)</f>
        <v>0.2906976744</v>
      </c>
    </row>
    <row r="10563">
      <c r="A10563" s="10" t="s">
        <v>12002</v>
      </c>
      <c r="B10563" s="7" t="str">
        <f>IFERROR(__xludf.DUMMYFUNCTION("SPLIT(A10563,"" "")"),"Cc1cnc(CN(C)CCN(C)Cc2nc(C)c(C)c(C)c2C)c(C)c1")</f>
        <v>Cc1cnc(CN(C)CCN(C)Cc2nc(C)c(C)c(C)c2C)c(C)c1</v>
      </c>
      <c r="C10563" s="7">
        <f>IFERROR(__xludf.DUMMYFUNCTION("""COMPUTED_VALUE"""),7.7652144)</f>
        <v>7.7652144</v>
      </c>
      <c r="D10563" s="7">
        <f>IFERROR(__xludf.DUMMYFUNCTION("""COMPUTED_VALUE"""),0.395348837209302)</f>
        <v>0.3953488372</v>
      </c>
    </row>
    <row r="10564">
      <c r="A10564" s="10" t="s">
        <v>12003</v>
      </c>
      <c r="B10564" s="7" t="str">
        <f>IFERROR(__xludf.DUMMYFUNCTION("SPLIT(A10564,"" "")"),"CCN(C)CC1=CCC(N(C)Cc2cc(C)c(C)c(C)n2)=CN1")</f>
        <v>CCN(C)CC1=CCC(N(C)Cc2cc(C)c(C)c(C)n2)=CN1</v>
      </c>
      <c r="C10564" s="7">
        <f>IFERROR(__xludf.DUMMYFUNCTION("""COMPUTED_VALUE"""),7.765213)</f>
        <v>7.765213</v>
      </c>
      <c r="D10564" s="7">
        <f>IFERROR(__xludf.DUMMYFUNCTION("""COMPUTED_VALUE"""),0.214285714285714)</f>
        <v>0.2142857143</v>
      </c>
    </row>
    <row r="10565">
      <c r="A10565" s="10" t="s">
        <v>12004</v>
      </c>
      <c r="B10565" s="7" t="str">
        <f>IFERROR(__xludf.DUMMYFUNCTION("SPLIT(A10565,"" "")"),"Cc1cc(C)c(CN(C)C2=C(CN(Cc3ccccn3)CC(C)(C)C)NC=CC2)nc1C")</f>
        <v>Cc1cc(C)c(CN(C)C2=C(CN(Cc3ccccn3)CC(C)(C)C)NC=CC2)nc1C</v>
      </c>
      <c r="C10565" s="7">
        <f>IFERROR(__xludf.DUMMYFUNCTION("""COMPUTED_VALUE"""),7.765204)</f>
        <v>7.765204</v>
      </c>
      <c r="D10565" s="7">
        <f>IFERROR(__xludf.DUMMYFUNCTION("""COMPUTED_VALUE"""),0.426229508196721)</f>
        <v>0.4262295082</v>
      </c>
    </row>
    <row r="10566">
      <c r="A10566" s="10" t="s">
        <v>12005</v>
      </c>
      <c r="B10566" s="7" t="str">
        <f>IFERROR(__xludf.DUMMYFUNCTION("SPLIT(A10566,"" "")"),"CC(C)N(C)c1cc(Cl)ccc1N")</f>
        <v>CC(C)N(C)c1cc(Cl)ccc1N</v>
      </c>
      <c r="C10566" s="7">
        <f>IFERROR(__xludf.DUMMYFUNCTION("""COMPUTED_VALUE"""),7.765198)</f>
        <v>7.765198</v>
      </c>
      <c r="D10566" s="7">
        <f>IFERROR(__xludf.DUMMYFUNCTION("""COMPUTED_VALUE"""),0.232558139534883)</f>
        <v>0.2325581395</v>
      </c>
    </row>
    <row r="10567">
      <c r="A10567" s="10" t="s">
        <v>12006</v>
      </c>
      <c r="B10567" s="7" t="str">
        <f>IFERROR(__xludf.DUMMYFUNCTION("SPLIT(A10567,"" "")"),"CC(C)N(Cc1ncccc1C(C)(C)C)C1CCCC(N(C)c2cccc3nccc(CF)c23)C1")</f>
        <v>CC(C)N(Cc1ncccc1C(C)(C)C)C1CCCC(N(C)c2cccc3nccc(CF)c23)C1</v>
      </c>
      <c r="C10567" s="7">
        <f>IFERROR(__xludf.DUMMYFUNCTION("""COMPUTED_VALUE"""),7.765197)</f>
        <v>7.765197</v>
      </c>
      <c r="D10567" s="7">
        <f>IFERROR(__xludf.DUMMYFUNCTION("""COMPUTED_VALUE"""),0.273972602739726)</f>
        <v>0.2739726027</v>
      </c>
    </row>
    <row r="10568">
      <c r="A10568" s="10" t="s">
        <v>12007</v>
      </c>
      <c r="B10568" s="7" t="str">
        <f>IFERROR(__xludf.DUMMYFUNCTION("SPLIT(A10568,"" "")"),"CN(CC1=C(N(C)Cc2ccccn2)CC=CN1)CC(C)(C)c1ccccn1")</f>
        <v>CN(CC1=C(N(C)Cc2ccccn2)CC=CN1)CC(C)(C)c1ccccn1</v>
      </c>
      <c r="C10568" s="7">
        <f>IFERROR(__xludf.DUMMYFUNCTION("""COMPUTED_VALUE"""),7.765191)</f>
        <v>7.765191</v>
      </c>
      <c r="D10568" s="7">
        <f>IFERROR(__xludf.DUMMYFUNCTION("""COMPUTED_VALUE"""),0.4)</f>
        <v>0.4</v>
      </c>
    </row>
    <row r="10569">
      <c r="A10569" s="10" t="s">
        <v>12008</v>
      </c>
      <c r="B10569" s="7" t="str">
        <f>IFERROR(__xludf.DUMMYFUNCTION("SPLIT(A10569,"" "")"),"CNCc1cccc(CN(Cc2cccc(C)n2)C2CCC(N(C)c3ccc4nc(CF)ccc4c3)CC2)n1")</f>
        <v>CNCc1cccc(CN(Cc2cccc(C)n2)C2CCC(N(C)c3ccc4nc(CF)ccc4c3)CC2)n1</v>
      </c>
      <c r="C10569" s="7">
        <f>IFERROR(__xludf.DUMMYFUNCTION("""COMPUTED_VALUE"""),7.7651877)</f>
        <v>7.7651877</v>
      </c>
      <c r="D10569" s="7">
        <f>IFERROR(__xludf.DUMMYFUNCTION("""COMPUTED_VALUE"""),0.372881355932203)</f>
        <v>0.3728813559</v>
      </c>
    </row>
    <row r="10570">
      <c r="A10570" s="10" t="s">
        <v>12009</v>
      </c>
      <c r="B10570" s="7" t="str">
        <f>IFERROR(__xludf.DUMMYFUNCTION("SPLIT(A10570,"" "")"),"CC(C)N(Cc1ccccn1)Cc1ccc2cccc(N(C)C3CCC(N(C)Cc4ccon4)CC3)c2n1")</f>
        <v>CC(C)N(Cc1ccccn1)Cc1ccc2cccc(N(C)C3CCC(N(C)Cc4ccon4)CC3)c2n1</v>
      </c>
      <c r="C10570" s="7">
        <f>IFERROR(__xludf.DUMMYFUNCTION("""COMPUTED_VALUE"""),7.7651834)</f>
        <v>7.7651834</v>
      </c>
      <c r="D10570" s="7">
        <f>IFERROR(__xludf.DUMMYFUNCTION("""COMPUTED_VALUE"""),0.38095238095238)</f>
        <v>0.380952381</v>
      </c>
    </row>
    <row r="10571">
      <c r="A10571" s="10" t="s">
        <v>12010</v>
      </c>
      <c r="B10571" s="7" t="str">
        <f>IFERROR(__xludf.DUMMYFUNCTION("SPLIT(A10571,"" "")"),"Cc1cccc(CN(C)C2CCC(N(C)c3ccc4ccc(CF)nc4c3)CC2)n1")</f>
        <v>Cc1cccc(CN(C)C2CCC(N(C)c3ccc4ccc(CF)nc4c3)CC2)n1</v>
      </c>
      <c r="C10571" s="7">
        <f>IFERROR(__xludf.DUMMYFUNCTION("""COMPUTED_VALUE"""),7.7651706)</f>
        <v>7.7651706</v>
      </c>
      <c r="D10571" s="7">
        <f>IFERROR(__xludf.DUMMYFUNCTION("""COMPUTED_VALUE"""),0.471698113207547)</f>
        <v>0.4716981132</v>
      </c>
    </row>
    <row r="10572">
      <c r="A10572" s="10" t="s">
        <v>12011</v>
      </c>
      <c r="B10572" s="7" t="str">
        <f>IFERROR(__xludf.DUMMYFUNCTION("SPLIT(A10572,"" "")"),"CC(C)C(C)(c1cccnc1)N(Cc1ccccn1)Cc1cccc(N(C)C)n1")</f>
        <v>CC(C)C(C)(c1cccnc1)N(Cc1ccccn1)Cc1cccc(N(C)C)n1</v>
      </c>
      <c r="C10572" s="7">
        <f>IFERROR(__xludf.DUMMYFUNCTION("""COMPUTED_VALUE"""),7.7651668)</f>
        <v>7.7651668</v>
      </c>
      <c r="D10572" s="7">
        <f>IFERROR(__xludf.DUMMYFUNCTION("""COMPUTED_VALUE"""),0.388888888888888)</f>
        <v>0.3888888889</v>
      </c>
    </row>
    <row r="10573">
      <c r="A10573" s="10" t="s">
        <v>12012</v>
      </c>
      <c r="B10573" s="7" t="str">
        <f>IFERROR(__xludf.DUMMYFUNCTION("SPLIT(A10573,"" "")"),"Fc1ccc(CN(Cc2cccc(F)n2)Cc2cccnc2F)nc1")</f>
        <v>Fc1ccc(CN(Cc2cccc(F)n2)Cc2cccnc2F)nc1</v>
      </c>
      <c r="C10573" s="7">
        <f>IFERROR(__xludf.DUMMYFUNCTION("""COMPUTED_VALUE"""),7.7651644)</f>
        <v>7.7651644</v>
      </c>
      <c r="D10573" s="7">
        <f>IFERROR(__xludf.DUMMYFUNCTION("""COMPUTED_VALUE"""),0.416666666666666)</f>
        <v>0.4166666667</v>
      </c>
    </row>
    <row r="10574">
      <c r="A10574" s="10" t="s">
        <v>12013</v>
      </c>
      <c r="B10574" s="7" t="str">
        <f>IFERROR(__xludf.DUMMYFUNCTION("SPLIT(A10574,"" "")"),"CN(c1ccc2ccc(CF)nc2c1)C1CCC(N(Cc2ccccn2)Cc2cccc(C3CC(C)(C)C3)n2)CC1")</f>
        <v>CN(c1ccc2ccc(CF)nc2c1)C1CCC(N(Cc2ccccn2)Cc2cccc(C3CC(C)(C)C3)n2)CC1</v>
      </c>
      <c r="C10574" s="7">
        <f>IFERROR(__xludf.DUMMYFUNCTION("""COMPUTED_VALUE"""),7.7651615)</f>
        <v>7.7651615</v>
      </c>
      <c r="D10574" s="7">
        <f>IFERROR(__xludf.DUMMYFUNCTION("""COMPUTED_VALUE"""),0.35820895522388)</f>
        <v>0.3582089552</v>
      </c>
    </row>
    <row r="10575">
      <c r="A10575" s="10" t="s">
        <v>12014</v>
      </c>
      <c r="B10575" s="7" t="str">
        <f>IFERROR(__xludf.DUMMYFUNCTION("SPLIT(A10575,"" "")"),"CC(C)NCc1ccc(C(C)(C)c2ccccn2)cn1")</f>
        <v>CC(C)NCc1ccc(C(C)(C)c2ccccn2)cn1</v>
      </c>
      <c r="C10575" s="7">
        <f>IFERROR(__xludf.DUMMYFUNCTION("""COMPUTED_VALUE"""),7.765159)</f>
        <v>7.765159</v>
      </c>
      <c r="D10575" s="7">
        <f>IFERROR(__xludf.DUMMYFUNCTION("""COMPUTED_VALUE"""),0.333333333333333)</f>
        <v>0.3333333333</v>
      </c>
    </row>
    <row r="10576">
      <c r="A10576" s="10" t="s">
        <v>12015</v>
      </c>
      <c r="B10576" s="7" t="str">
        <f>IFERROR(__xludf.DUMMYFUNCTION("SPLIT(A10576,"" "")"),"Cc1ccccc1CN(C)C1CCCC(N(C)c2ccc3ccc(CN(C)C)nc3c2)C1")</f>
        <v>Cc1ccccc1CN(C)C1CCCC(N(C)c2ccc3ccc(CN(C)C)nc3c2)C1</v>
      </c>
      <c r="C10576" s="7">
        <f>IFERROR(__xludf.DUMMYFUNCTION("""COMPUTED_VALUE"""),7.765155)</f>
        <v>7.765155</v>
      </c>
      <c r="D10576" s="7">
        <f>IFERROR(__xludf.DUMMYFUNCTION("""COMPUTED_VALUE"""),0.311475409836065)</f>
        <v>0.3114754098</v>
      </c>
    </row>
    <row r="10577">
      <c r="A10577" s="10" t="s">
        <v>12016</v>
      </c>
      <c r="B10577" s="7" t="str">
        <f>IFERROR(__xludf.DUMMYFUNCTION("SPLIT(A10577,"" "")"),"Cc1ccc(CN(Cc2ccccn2)Cc2ncccc2CN(C)Cc2ncccc2C)cn1")</f>
        <v>Cc1ccc(CN(Cc2ccccn2)Cc2ncccc2CN(C)Cc2ncccc2C)cn1</v>
      </c>
      <c r="C10577" s="7">
        <f>IFERROR(__xludf.DUMMYFUNCTION("""COMPUTED_VALUE"""),7.765155)</f>
        <v>7.765155</v>
      </c>
      <c r="D10577" s="7">
        <f>IFERROR(__xludf.DUMMYFUNCTION("""COMPUTED_VALUE"""),0.416666666666666)</f>
        <v>0.4166666667</v>
      </c>
    </row>
    <row r="10578">
      <c r="A10578" s="10" t="s">
        <v>12017</v>
      </c>
      <c r="B10578" s="7" t="str">
        <f>IFERROR(__xludf.DUMMYFUNCTION("SPLIT(A10578,"" "")"),"Cc1ccc(N(C)C2CCCC(N(C)Cc3ccc4cccnc4c3)C2)cc1C")</f>
        <v>Cc1ccc(N(C)C2CCCC(N(C)Cc3ccc4cccnc4c3)C2)cc1C</v>
      </c>
      <c r="C10578" s="7">
        <f>IFERROR(__xludf.DUMMYFUNCTION("""COMPUTED_VALUE"""),7.765154)</f>
        <v>7.765154</v>
      </c>
      <c r="D10578" s="7">
        <f>IFERROR(__xludf.DUMMYFUNCTION("""COMPUTED_VALUE"""),0.301587301587301)</f>
        <v>0.3015873016</v>
      </c>
    </row>
    <row r="10579">
      <c r="A10579" s="10" t="s">
        <v>12018</v>
      </c>
      <c r="B10579" s="7" t="str">
        <f>IFERROR(__xludf.DUMMYFUNCTION("SPLIT(A10579,"" "")"),"CN(Cc1ccc(C(C)(C)C)cn1)Cc1ccc(C(C)(C)C)cn1")</f>
        <v>CN(Cc1ccc(C(C)(C)C)cn1)Cc1ccc(C(C)(C)C)cn1</v>
      </c>
      <c r="C10579" s="7">
        <f>IFERROR(__xludf.DUMMYFUNCTION("""COMPUTED_VALUE"""),7.7651515)</f>
        <v>7.7651515</v>
      </c>
      <c r="D10579" s="7">
        <f>IFERROR(__xludf.DUMMYFUNCTION("""COMPUTED_VALUE"""),0.5)</f>
        <v>0.5</v>
      </c>
    </row>
    <row r="10580">
      <c r="A10580" s="10" t="s">
        <v>12019</v>
      </c>
      <c r="B10580" s="7" t="str">
        <f>IFERROR(__xludf.DUMMYFUNCTION("SPLIT(A10580,"" "")"),"Cc1cccnc1CN(C)C1CCC(N(C)c2ccc3ccc(CF)nc3c2)CC1")</f>
        <v>Cc1cccnc1CN(C)C1CCC(N(C)c2ccc3ccc(CF)nc3c2)CC1</v>
      </c>
      <c r="C10580" s="7">
        <f>IFERROR(__xludf.DUMMYFUNCTION("""COMPUTED_VALUE"""),7.765146)</f>
        <v>7.765146</v>
      </c>
      <c r="D10580" s="7">
        <f>IFERROR(__xludf.DUMMYFUNCTION("""COMPUTED_VALUE"""),0.338461538461538)</f>
        <v>0.3384615385</v>
      </c>
    </row>
    <row r="10581">
      <c r="A10581" s="10" t="s">
        <v>12020</v>
      </c>
      <c r="B10581" s="7" t="str">
        <f>IFERROR(__xludf.DUMMYFUNCTION("SPLIT(A10581,"" "")"),"Cc1cncc(CN(C)Cc2ccc(N(C)C(C)C)nc2)c1")</f>
        <v>Cc1cncc(CN(C)Cc2ccc(N(C)C(C)C)nc2)c1</v>
      </c>
      <c r="C10581" s="7">
        <f>IFERROR(__xludf.DUMMYFUNCTION("""COMPUTED_VALUE"""),7.7651405)</f>
        <v>7.7651405</v>
      </c>
      <c r="D10581" s="7">
        <f>IFERROR(__xludf.DUMMYFUNCTION("""COMPUTED_VALUE"""),0.340425531914893)</f>
        <v>0.3404255319</v>
      </c>
    </row>
    <row r="10582">
      <c r="A10582" s="10" t="s">
        <v>12021</v>
      </c>
      <c r="B10582" s="7" t="str">
        <f>IFERROR(__xludf.DUMMYFUNCTION("SPLIT(A10582,"" "")"),"C1=CNC(N(Cc2ccccn2)Cc2ccccn2)C(NCc2ccccn2)=C1")</f>
        <v>C1=CNC(N(Cc2ccccn2)Cc2ccccn2)C(NCc2ccccn2)=C1</v>
      </c>
      <c r="C10582" s="7">
        <f>IFERROR(__xludf.DUMMYFUNCTION("""COMPUTED_VALUE"""),7.7651377)</f>
        <v>7.7651377</v>
      </c>
      <c r="D10582" s="7">
        <f>IFERROR(__xludf.DUMMYFUNCTION("""COMPUTED_VALUE"""),0.442307692307692)</f>
        <v>0.4423076923</v>
      </c>
    </row>
    <row r="10583">
      <c r="A10583" s="10" t="s">
        <v>12022</v>
      </c>
      <c r="B10583" s="7" t="str">
        <f>IFERROR(__xludf.DUMMYFUNCTION("SPLIT(A10583,"" "")"),"CCCN(C)CC1=CCC(N(C)Cc2nc(C)cc(C)c2C)=CN1")</f>
        <v>CCCN(C)CC1=CCC(N(C)Cc2nc(C)cc(C)c2C)=CN1</v>
      </c>
      <c r="C10583" s="7">
        <f>IFERROR(__xludf.DUMMYFUNCTION("""COMPUTED_VALUE"""),7.7651367)</f>
        <v>7.7651367</v>
      </c>
      <c r="D10583" s="7">
        <f>IFERROR(__xludf.DUMMYFUNCTION("""COMPUTED_VALUE"""),0.25)</f>
        <v>0.25</v>
      </c>
    </row>
    <row r="10584">
      <c r="A10584" s="10" t="s">
        <v>12023</v>
      </c>
      <c r="B10584" s="7" t="str">
        <f>IFERROR(__xludf.DUMMYFUNCTION("SPLIT(A10584,"" "")"),"CN(Cc1ccccc1)Cc1ccccc1N(C)Cc1cccnn1")</f>
        <v>CN(Cc1ccccc1)Cc1ccccc1N(C)Cc1cccnn1</v>
      </c>
      <c r="C10584" s="7">
        <f>IFERROR(__xludf.DUMMYFUNCTION("""COMPUTED_VALUE"""),7.765125)</f>
        <v>7.765125</v>
      </c>
      <c r="D10584" s="7">
        <f>IFERROR(__xludf.DUMMYFUNCTION("""COMPUTED_VALUE"""),0.5)</f>
        <v>0.5</v>
      </c>
    </row>
    <row r="10585">
      <c r="A10585" s="10" t="s">
        <v>12024</v>
      </c>
      <c r="B10585" s="7" t="str">
        <f>IFERROR(__xludf.DUMMYFUNCTION("SPLIT(A10585,"" "")"),"Cc1ccc(CN(C)CC2C=CNC=C2N(C)Cc2ncccc2C)nc1")</f>
        <v>Cc1ccc(CN(C)CC2C=CNC=C2N(C)Cc2ncccc2C)nc1</v>
      </c>
      <c r="C10585" s="7">
        <f>IFERROR(__xludf.DUMMYFUNCTION("""COMPUTED_VALUE"""),7.7651215)</f>
        <v>7.7651215</v>
      </c>
      <c r="D10585" s="7">
        <f>IFERROR(__xludf.DUMMYFUNCTION("""COMPUTED_VALUE"""),0.4)</f>
        <v>0.4</v>
      </c>
    </row>
    <row r="10586">
      <c r="A10586" s="10" t="s">
        <v>12025</v>
      </c>
      <c r="B10586" s="7" t="str">
        <f>IFERROR(__xludf.DUMMYFUNCTION("SPLIT(A10586,"" "")"),"CC(C)C(C)(c1cccnc1)c1cccc(CN(Cc2ccccn2)C2CCCCC2N(C)c2ccc3nc(CF)ccc3c2)n1")</f>
        <v>CC(C)C(C)(c1cccnc1)c1cccc(CN(Cc2ccccn2)C2CCCCC2N(C)c2ccc3nc(CF)ccc3c2)n1</v>
      </c>
      <c r="C10586" s="7">
        <f>IFERROR(__xludf.DUMMYFUNCTION("""COMPUTED_VALUE"""),7.7651196)</f>
        <v>7.7651196</v>
      </c>
      <c r="D10586" s="7">
        <f>IFERROR(__xludf.DUMMYFUNCTION("""COMPUTED_VALUE"""),0.358024691358024)</f>
        <v>0.3580246914</v>
      </c>
    </row>
    <row r="10587">
      <c r="A10587" s="10" t="s">
        <v>12026</v>
      </c>
      <c r="B10587" s="7" t="str">
        <f>IFERROR(__xludf.DUMMYFUNCTION("SPLIT(A10587,"" "")"),"CCCN(Cc1ccccn1)c1cc2cccnc2cc1N(C)Cc1cccc(-c2ccc3c(c2)OCCOCCOCCOCCOCCO3)n1")</f>
        <v>CCCN(Cc1ccccn1)c1cc2cccnc2cc1N(C)Cc1cccc(-c2ccc3c(c2)OCCOCCOCCOCCOCCO3)n1</v>
      </c>
      <c r="C10587" s="7">
        <f>IFERROR(__xludf.DUMMYFUNCTION("""COMPUTED_VALUE"""),7.765114)</f>
        <v>7.765114</v>
      </c>
      <c r="D10587" s="7">
        <f>IFERROR(__xludf.DUMMYFUNCTION("""COMPUTED_VALUE"""),0.358974358974359)</f>
        <v>0.358974359</v>
      </c>
    </row>
    <row r="10588">
      <c r="A10588" s="10" t="s">
        <v>12027</v>
      </c>
      <c r="B10588" s="7" t="str">
        <f>IFERROR(__xludf.DUMMYFUNCTION("SPLIT(A10588,"" "")"),"CC1=CC(C)C(C)C(N(C)Cc2cc(-c3ccccc3N(C)C)ccn2)C1")</f>
        <v>CC1=CC(C)C(C)C(N(C)Cc2cc(-c3ccccc3N(C)C)ccn2)C1</v>
      </c>
      <c r="C10588" s="7">
        <f>IFERROR(__xludf.DUMMYFUNCTION("""COMPUTED_VALUE"""),7.7651114)</f>
        <v>7.7651114</v>
      </c>
      <c r="D10588" s="7">
        <f>IFERROR(__xludf.DUMMYFUNCTION("""COMPUTED_VALUE"""),0.362068965517241)</f>
        <v>0.3620689655</v>
      </c>
    </row>
    <row r="10589">
      <c r="A10589" s="10" t="s">
        <v>12028</v>
      </c>
      <c r="B10589" s="7" t="str">
        <f>IFERROR(__xludf.DUMMYFUNCTION("SPLIT(A10589,"" "")"),"C1=CNC(Nc2ccccc2)C=C1")</f>
        <v>C1=CNC(Nc2ccccc2)C=C1</v>
      </c>
      <c r="C10589" s="7">
        <f>IFERROR(__xludf.DUMMYFUNCTION("""COMPUTED_VALUE"""),7.765109)</f>
        <v>7.765109</v>
      </c>
      <c r="D10589" s="7">
        <f>IFERROR(__xludf.DUMMYFUNCTION("""COMPUTED_VALUE"""),0.34090909090909)</f>
        <v>0.3409090909</v>
      </c>
    </row>
    <row r="10590">
      <c r="A10590" s="10" t="s">
        <v>12029</v>
      </c>
      <c r="B10590" s="7" t="str">
        <f>IFERROR(__xludf.DUMMYFUNCTION("SPLIT(A10590,"" "")"),"CCN(Cc1ccccn1)C1CCCC(N(C)c2cccc3nccc(CN(C)C)c23)C1")</f>
        <v>CCN(Cc1ccccn1)C1CCCC(N(C)c2cccc3nccc(CN(C)C)c23)C1</v>
      </c>
      <c r="C10590" s="7">
        <f>IFERROR(__xludf.DUMMYFUNCTION("""COMPUTED_VALUE"""),7.7651086)</f>
        <v>7.7651086</v>
      </c>
      <c r="D10590" s="7">
        <f>IFERROR(__xludf.DUMMYFUNCTION("""COMPUTED_VALUE"""),0.377049180327868)</f>
        <v>0.3770491803</v>
      </c>
    </row>
    <row r="10591">
      <c r="A10591" s="10" t="s">
        <v>12030</v>
      </c>
      <c r="B10591" s="7" t="str">
        <f>IFERROR(__xludf.DUMMYFUNCTION("SPLIT(A10591,"" "")"),"Cc1ncccc1CN(C)c1ccc2nc(CN(C)Cc3ncccc3-c3ccc4c(c3)OCCOCCOCCOCCOCCO4)ccc2c1")</f>
        <v>Cc1ncccc1CN(C)c1ccc2nc(CN(C)Cc3ncccc3-c3ccc4c(c3)OCCOCCOCCOCCOCCO4)ccc2c1</v>
      </c>
      <c r="C10591" s="7">
        <f>IFERROR(__xludf.DUMMYFUNCTION("""COMPUTED_VALUE"""),7.7650986)</f>
        <v>7.7650986</v>
      </c>
      <c r="D10591" s="7">
        <f>IFERROR(__xludf.DUMMYFUNCTION("""COMPUTED_VALUE"""),0.297619047619047)</f>
        <v>0.2976190476</v>
      </c>
    </row>
    <row r="10592">
      <c r="A10592" s="10" t="s">
        <v>12031</v>
      </c>
      <c r="B10592" s="7" t="str">
        <f>IFERROR(__xludf.DUMMYFUNCTION("SPLIT(A10592,"" "")"),"Cc1cc(C)c(C)c(CN(C)C2C=CNC(CN(C)Cc3ncccc3C)=C2)n1")</f>
        <v>Cc1cc(C)c(C)c(CN(C)C2C=CNC(CN(C)Cc3ncccc3C)=C2)n1</v>
      </c>
      <c r="C10592" s="7">
        <f>IFERROR(__xludf.DUMMYFUNCTION("""COMPUTED_VALUE"""),7.7650986)</f>
        <v>7.7650986</v>
      </c>
      <c r="D10592" s="7">
        <f>IFERROR(__xludf.DUMMYFUNCTION("""COMPUTED_VALUE"""),0.283582089552238)</f>
        <v>0.2835820896</v>
      </c>
    </row>
    <row r="10593">
      <c r="A10593" s="10" t="s">
        <v>12032</v>
      </c>
      <c r="B10593" s="7" t="str">
        <f>IFERROR(__xludf.DUMMYFUNCTION("SPLIT(A10593,"" "")"),"Cc1ccc(CN(Cc2ccccn2)Cc2ncccc2CN(C)Cc2cccc(C)n2)nc1")</f>
        <v>Cc1ccc(CN(Cc2ccccn2)Cc2ncccc2CN(C)Cc2cccc(C)n2)nc1</v>
      </c>
      <c r="C10593" s="7">
        <f>IFERROR(__xludf.DUMMYFUNCTION("""COMPUTED_VALUE"""),7.765098)</f>
        <v>7.765098</v>
      </c>
      <c r="D10593" s="7">
        <f>IFERROR(__xludf.DUMMYFUNCTION("""COMPUTED_VALUE"""),0.454545454545454)</f>
        <v>0.4545454545</v>
      </c>
    </row>
    <row r="10594">
      <c r="A10594" s="10" t="s">
        <v>12033</v>
      </c>
      <c r="B10594" s="7" t="str">
        <f>IFERROR(__xludf.DUMMYFUNCTION("SPLIT(A10594,"" "")"),"CN1CCN(C)CCN(Cc2cnccc2N(C)c2ccc3ccc(CF)nc3c2)CC1")</f>
        <v>CN1CCN(C)CCN(Cc2cnccc2N(C)c2ccc3ccc(CF)nc3c2)CC1</v>
      </c>
      <c r="C10594" s="7">
        <f>IFERROR(__xludf.DUMMYFUNCTION("""COMPUTED_VALUE"""),7.7650914)</f>
        <v>7.7650914</v>
      </c>
      <c r="D10594" s="7">
        <f>IFERROR(__xludf.DUMMYFUNCTION("""COMPUTED_VALUE"""),0.377049180327868)</f>
        <v>0.3770491803</v>
      </c>
    </row>
    <row r="10595">
      <c r="A10595" s="10" t="s">
        <v>12034</v>
      </c>
      <c r="B10595" s="7" t="str">
        <f>IFERROR(__xludf.DUMMYFUNCTION("SPLIT(A10595,"" "")"),"Cc1ccnc(CN(C)C2C=CNC(CN(C)Cc3nc(C)c(C)c(C)c3C)=C2)c1")</f>
        <v>Cc1ccnc(CN(C)C2C=CNC(CN(C)Cc3nc(C)c(C)c(C)c3C)=C2)c1</v>
      </c>
      <c r="C10595" s="7">
        <f>IFERROR(__xludf.DUMMYFUNCTION("""COMPUTED_VALUE"""),7.7650914)</f>
        <v>7.7650914</v>
      </c>
      <c r="D10595" s="7">
        <f>IFERROR(__xludf.DUMMYFUNCTION("""COMPUTED_VALUE"""),0.283582089552238)</f>
        <v>0.2835820896</v>
      </c>
    </row>
    <row r="10596">
      <c r="A10596" s="10" t="s">
        <v>12035</v>
      </c>
      <c r="B10596" s="7" t="str">
        <f>IFERROR(__xludf.DUMMYFUNCTION("SPLIT(A10596,"" "")"),"Cc1ccc(C)c(CN(C)C2=CCC=C(CN(C)C(C)C)N2)n1")</f>
        <v>Cc1ccc(C)c(CN(C)C2=CCC=C(CN(C)C(C)C)N2)n1</v>
      </c>
      <c r="C10596" s="7">
        <f>IFERROR(__xludf.DUMMYFUNCTION("""COMPUTED_VALUE"""),7.7650914)</f>
        <v>7.7650914</v>
      </c>
      <c r="D10596" s="7">
        <f>IFERROR(__xludf.DUMMYFUNCTION("""COMPUTED_VALUE"""),0.236363636363636)</f>
        <v>0.2363636364</v>
      </c>
    </row>
    <row r="10597">
      <c r="A10597" s="10" t="s">
        <v>12036</v>
      </c>
      <c r="B10597" s="7" t="str">
        <f>IFERROR(__xludf.DUMMYFUNCTION("SPLIT(A10597,"" "")"),"CC(C)N(Cc1ccccn1)C1CCC(N(C)c2ccc3c(CN(C)C)ccnc3c2)CC1")</f>
        <v>CC(C)N(Cc1ccccn1)C1CCC(N(C)c2ccc3c(CN(C)C)ccnc3c2)CC1</v>
      </c>
      <c r="C10597" s="7">
        <f>IFERROR(__xludf.DUMMYFUNCTION("""COMPUTED_VALUE"""),7.7650876)</f>
        <v>7.7650876</v>
      </c>
      <c r="D10597" s="7">
        <f>IFERROR(__xludf.DUMMYFUNCTION("""COMPUTED_VALUE"""),0.372881355932203)</f>
        <v>0.3728813559</v>
      </c>
    </row>
    <row r="10598">
      <c r="A10598" s="10" t="s">
        <v>12037</v>
      </c>
      <c r="B10598" s="7" t="str">
        <f>IFERROR(__xludf.DUMMYFUNCTION("SPLIT(A10598,"" "")"),"Cc1cc(CN(C)Cc2cc(N)ccn2)ccn1")</f>
        <v>Cc1cc(CN(C)Cc2cc(N)ccn2)ccn1</v>
      </c>
      <c r="C10598" s="7">
        <f>IFERROR(__xludf.DUMMYFUNCTION("""COMPUTED_VALUE"""),7.7650833)</f>
        <v>7.7650833</v>
      </c>
      <c r="D10598" s="7">
        <f>IFERROR(__xludf.DUMMYFUNCTION("""COMPUTED_VALUE"""),0.326530612244897)</f>
        <v>0.3265306122</v>
      </c>
    </row>
    <row r="10599">
      <c r="A10599" s="10" t="s">
        <v>12038</v>
      </c>
      <c r="B10599" s="7" t="str">
        <f>IFERROR(__xludf.DUMMYFUNCTION("SPLIT(A10599,"" "")"),"Cc1cc(CN(C)C2CCCCC2N(C)c2cccc3c(CF)ccnc23)ccn1")</f>
        <v>Cc1cc(CN(C)C2CCCCC2N(C)c2cccc3c(CF)ccnc23)ccn1</v>
      </c>
      <c r="C10599" s="7">
        <f>IFERROR(__xludf.DUMMYFUNCTION("""COMPUTED_VALUE"""),7.765083)</f>
        <v>7.765083</v>
      </c>
      <c r="D10599" s="7">
        <f>IFERROR(__xludf.DUMMYFUNCTION("""COMPUTED_VALUE"""),0.440677966101694)</f>
        <v>0.4406779661</v>
      </c>
    </row>
    <row r="10600">
      <c r="A10600" s="10" t="s">
        <v>12039</v>
      </c>
      <c r="B10600" s="7" t="str">
        <f>IFERROR(__xludf.DUMMYFUNCTION("SPLIT(A10600,"" "")"),"Cc1ccc2ncccc2c1CN(C)CCN(C)C(C)C")</f>
        <v>Cc1ccc2ncccc2c1CN(C)CCN(C)C(C)C</v>
      </c>
      <c r="C10600" s="7">
        <f>IFERROR(__xludf.DUMMYFUNCTION("""COMPUTED_VALUE"""),7.7650814)</f>
        <v>7.7650814</v>
      </c>
      <c r="D10600" s="7">
        <f>IFERROR(__xludf.DUMMYFUNCTION("""COMPUTED_VALUE"""),0.36)</f>
        <v>0.36</v>
      </c>
    </row>
    <row r="10601">
      <c r="A10601" s="10" t="s">
        <v>12040</v>
      </c>
      <c r="B10601" s="7" t="str">
        <f>IFERROR(__xludf.DUMMYFUNCTION("SPLIT(A10601,"" "")"),"Cc1ccc(CN(C)CC2=CC(N(C)Cc3nc(C)c(C)c(C)c3C)C=CN2)nc1")</f>
        <v>Cc1ccc(CN(C)CC2=CC(N(C)Cc3nc(C)c(C)c(C)c3C)C=CN2)nc1</v>
      </c>
      <c r="C10601" s="7">
        <f>IFERROR(__xludf.DUMMYFUNCTION("""COMPUTED_VALUE"""),7.7650795)</f>
        <v>7.7650795</v>
      </c>
      <c r="D10601" s="7">
        <f>IFERROR(__xludf.DUMMYFUNCTION("""COMPUTED_VALUE"""),0.407407407407407)</f>
        <v>0.4074074074</v>
      </c>
    </row>
    <row r="10602">
      <c r="A10602" s="10" t="s">
        <v>12041</v>
      </c>
      <c r="B10602" s="7" t="str">
        <f>IFERROR(__xludf.DUMMYFUNCTION("SPLIT(A10602,"" "")"),"Cc1ccc(CN(Cc2cccc(C)n2)Cc2cccc(CN(Cc3cccc(C)n3)C(C)C)n2)nc1")</f>
        <v>Cc1ccc(CN(Cc2cccc(C)n2)Cc2cccc(CN(Cc3cccc(C)n3)C(C)C)n2)nc1</v>
      </c>
      <c r="C10602" s="7">
        <f>IFERROR(__xludf.DUMMYFUNCTION("""COMPUTED_VALUE"""),7.765078)</f>
        <v>7.765078</v>
      </c>
      <c r="D10602" s="7">
        <f>IFERROR(__xludf.DUMMYFUNCTION("""COMPUTED_VALUE"""),0.422222222222222)</f>
        <v>0.4222222222</v>
      </c>
    </row>
    <row r="10603">
      <c r="A10603" s="10" t="s">
        <v>12042</v>
      </c>
      <c r="B10603" s="7" t="str">
        <f>IFERROR(__xludf.DUMMYFUNCTION("SPLIT(A10603,"" "")"),"Cc1ncccc1CN(C)C1CCCCC1N(C)c1cccc2c(CF)ccnc12")</f>
        <v>Cc1ncccc1CN(C)C1CCCCC1N(C)c1cccc2c(CF)ccnc12</v>
      </c>
      <c r="C10603" s="7">
        <f>IFERROR(__xludf.DUMMYFUNCTION("""COMPUTED_VALUE"""),7.7650747)</f>
        <v>7.7650747</v>
      </c>
      <c r="D10603" s="7">
        <f>IFERROR(__xludf.DUMMYFUNCTION("""COMPUTED_VALUE"""),0.5)</f>
        <v>0.5</v>
      </c>
    </row>
    <row r="10604">
      <c r="A10604" s="10" t="s">
        <v>12043</v>
      </c>
      <c r="B10604" s="7" t="str">
        <f>IFERROR(__xludf.DUMMYFUNCTION("SPLIT(A10604,"" "")"),"CNC1CCCC(N(Cc2nc(C)c(C)c(C)c2C)Cc2nc(C)c(C)c(C)c2C)C1N(Cc1nc(C)c(C)c(C)c1C)Cc1nc(C)c(C)c(C)c1C")</f>
        <v>CNC1CCCC(N(Cc2nc(C)c(C)c(C)c2C)Cc2nc(C)c(C)c(C)c2C)C1N(Cc1nc(C)c(C)c(C)c1C)Cc1nc(C)c(C)c(C)c1C</v>
      </c>
      <c r="C10604" s="7">
        <f>IFERROR(__xludf.DUMMYFUNCTION("""COMPUTED_VALUE"""),7.7650733)</f>
        <v>7.7650733</v>
      </c>
      <c r="D10604" s="7">
        <f>IFERROR(__xludf.DUMMYFUNCTION("""COMPUTED_VALUE"""),0.254545454545454)</f>
        <v>0.2545454545</v>
      </c>
    </row>
    <row r="10605">
      <c r="A10605" s="10" t="s">
        <v>12044</v>
      </c>
      <c r="B10605" s="7" t="str">
        <f>IFERROR(__xludf.DUMMYFUNCTION("SPLIT(A10605,"" "")"),"CCc1cccc(C2=NC(C(C)C)CO2)n1")</f>
        <v>CCc1cccc(C2=NC(C(C)C)CO2)n1</v>
      </c>
      <c r="C10605" s="7">
        <f>IFERROR(__xludf.DUMMYFUNCTION("""COMPUTED_VALUE"""),7.7650723)</f>
        <v>7.7650723</v>
      </c>
      <c r="D10605" s="7">
        <f>IFERROR(__xludf.DUMMYFUNCTION("""COMPUTED_VALUE"""),0.319148936170212)</f>
        <v>0.3191489362</v>
      </c>
    </row>
    <row r="10606">
      <c r="A10606" s="10" t="s">
        <v>12045</v>
      </c>
      <c r="B10606" s="7" t="str">
        <f>IFERROR(__xludf.DUMMYFUNCTION("SPLIT(A10606,"" "")"),"CC1N=COC1c1cc(CN(C)C)ccn1")</f>
        <v>CC1N=COC1c1cc(CN(C)C)ccn1</v>
      </c>
      <c r="C10606" s="7">
        <f>IFERROR(__xludf.DUMMYFUNCTION("""COMPUTED_VALUE"""),7.7650714)</f>
        <v>7.7650714</v>
      </c>
      <c r="D10606" s="7">
        <f>IFERROR(__xludf.DUMMYFUNCTION("""COMPUTED_VALUE"""),0.291666666666666)</f>
        <v>0.2916666667</v>
      </c>
    </row>
    <row r="10607">
      <c r="A10607" s="10" t="s">
        <v>12046</v>
      </c>
      <c r="B10607" s="7" t="str">
        <f>IFERROR(__xludf.DUMMYFUNCTION("SPLIT(A10607,"" "")"),"Cc1cnccc1CN(C)C1CCCCC1N(C)c1ccc2nccc(CF)c2c1")</f>
        <v>Cc1cnccc1CN(C)C1CCCCC1N(C)c1ccc2nccc(CF)c2c1</v>
      </c>
      <c r="C10607" s="7">
        <f>IFERROR(__xludf.DUMMYFUNCTION("""COMPUTED_VALUE"""),7.7650685)</f>
        <v>7.7650685</v>
      </c>
      <c r="D10607" s="7">
        <f>IFERROR(__xludf.DUMMYFUNCTION("""COMPUTED_VALUE"""),0.354838709677419)</f>
        <v>0.3548387097</v>
      </c>
    </row>
    <row r="10608">
      <c r="A10608" s="10" t="s">
        <v>12047</v>
      </c>
      <c r="B10608" s="7" t="str">
        <f>IFERROR(__xludf.DUMMYFUNCTION("SPLIT(A10608,"" "")"),"CNCc1ccc(CN(Cc2ccccn2)C2CCCC(N(C)c3cccc4c(CF)ccnc34)C2)cn1")</f>
        <v>CNCc1ccc(CN(Cc2ccccn2)C2CCCC(N(C)c3cccc4c(CF)ccnc34)C2)cn1</v>
      </c>
      <c r="C10608" s="7">
        <f>IFERROR(__xludf.DUMMYFUNCTION("""COMPUTED_VALUE"""),7.7650666)</f>
        <v>7.7650666</v>
      </c>
      <c r="D10608" s="7">
        <f>IFERROR(__xludf.DUMMYFUNCTION("""COMPUTED_VALUE"""),0.31081081081081)</f>
        <v>0.3108108108</v>
      </c>
    </row>
    <row r="10609">
      <c r="A10609" s="10" t="s">
        <v>12048</v>
      </c>
      <c r="B10609" s="7" t="str">
        <f>IFERROR(__xludf.DUMMYFUNCTION("SPLIT(A10609,"" "")"),"Cc1cccnc1CN(C)CC1=CC(N(C)Cc2cc(C)c(C)c(C)n2)C=CN1")</f>
        <v>Cc1cccnc1CN(C)CC1=CC(N(C)Cc2cc(C)c(C)c(C)n2)C=CN1</v>
      </c>
      <c r="C10609" s="7">
        <f>IFERROR(__xludf.DUMMYFUNCTION("""COMPUTED_VALUE"""),7.765065)</f>
        <v>7.765065</v>
      </c>
      <c r="D10609" s="7">
        <f>IFERROR(__xludf.DUMMYFUNCTION("""COMPUTED_VALUE"""),0.279411764705882)</f>
        <v>0.2794117647</v>
      </c>
    </row>
    <row r="10610">
      <c r="A10610" s="10" t="s">
        <v>12049</v>
      </c>
      <c r="B10610" s="7" t="str">
        <f>IFERROR(__xludf.DUMMYFUNCTION("SPLIT(A10610,"" "")"),"Cc1cc(C)c(C)c(CN(C)CCN(C)Cc2nc(C)cc(C)c2C)n1")</f>
        <v>Cc1cc(C)c(C)c(CN(C)CCN(C)Cc2nc(C)cc(C)c2C)n1</v>
      </c>
      <c r="C10610" s="7">
        <f>IFERROR(__xludf.DUMMYFUNCTION("""COMPUTED_VALUE"""),7.7650604)</f>
        <v>7.7650604</v>
      </c>
      <c r="D10610" s="7">
        <f>IFERROR(__xludf.DUMMYFUNCTION("""COMPUTED_VALUE"""),0.416666666666666)</f>
        <v>0.4166666667</v>
      </c>
    </row>
    <row r="10611">
      <c r="A10611" s="10" t="s">
        <v>12050</v>
      </c>
      <c r="B10611" s="7" t="str">
        <f>IFERROR(__xludf.DUMMYFUNCTION("SPLIT(A10611,"" "")"),"Cc1cc(CN(C)C2CCCCC2N(C)c2ccc3c(CF)ccnc3c2)ccn1")</f>
        <v>Cc1cc(CN(C)C2CCCCC2N(C)c2ccc3c(CF)ccnc3c2)ccn1</v>
      </c>
      <c r="C10611" s="7">
        <f>IFERROR(__xludf.DUMMYFUNCTION("""COMPUTED_VALUE"""),7.7650585)</f>
        <v>7.7650585</v>
      </c>
      <c r="D10611" s="7">
        <f>IFERROR(__xludf.DUMMYFUNCTION("""COMPUTED_VALUE"""),0.35)</f>
        <v>0.35</v>
      </c>
    </row>
    <row r="10612">
      <c r="A10612" s="10" t="s">
        <v>12051</v>
      </c>
      <c r="B10612" s="7" t="str">
        <f>IFERROR(__xludf.DUMMYFUNCTION("SPLIT(A10612,"" "")"),"Cc1ccc(CN(Cc2cnc3cccc(N(C)Cc4cccc(-c5ccc6c(c5)OCCOCCOCCOCCOCCO6)n4)c3c2)Cc2ccccn2)nc1")</f>
        <v>Cc1ccc(CN(Cc2cnc3cccc(N(C)Cc4cccc(-c5ccc6c(c5)OCCOCCOCCOCCOCCO6)n4)c3c2)Cc2ccccn2)nc1</v>
      </c>
      <c r="C10612" s="7">
        <f>IFERROR(__xludf.DUMMYFUNCTION("""COMPUTED_VALUE"""),7.765057)</f>
        <v>7.765057</v>
      </c>
      <c r="D10612" s="7">
        <f>IFERROR(__xludf.DUMMYFUNCTION("""COMPUTED_VALUE"""),0.382716049382716)</f>
        <v>0.3827160494</v>
      </c>
    </row>
    <row r="10613">
      <c r="A10613" s="10" t="s">
        <v>12052</v>
      </c>
      <c r="B10613" s="7" t="str">
        <f>IFERROR(__xludf.DUMMYFUNCTION("SPLIT(A10613,"" "")"),"CN(Cc1cccc(-c2ccc3c(c2)OCCOCCOCCOCCOCCO3)n1)C1=CCC=C(CN(C)c2ccc3nc(CF)ccc3c2)N1")</f>
        <v>CN(Cc1cccc(-c2ccc3c(c2)OCCOCCOCCOCCOCCO3)n1)C1=CCC=C(CN(C)c2ccc3nc(CF)ccc3c2)N1</v>
      </c>
      <c r="C10613" s="7">
        <f>IFERROR(__xludf.DUMMYFUNCTION("""COMPUTED_VALUE"""),7.765056)</f>
        <v>7.765056</v>
      </c>
      <c r="D10613" s="7">
        <f>IFERROR(__xludf.DUMMYFUNCTION("""COMPUTED_VALUE"""),0.272727272727272)</f>
        <v>0.2727272727</v>
      </c>
    </row>
    <row r="10614">
      <c r="A10614" s="10" t="s">
        <v>12053</v>
      </c>
      <c r="B10614" s="7" t="str">
        <f>IFERROR(__xludf.DUMMYFUNCTION("SPLIT(A10614,"" "")"),"Fc1cccc(CN(Cc2cccc(F)n2)Cc2cccnc2F)n1")</f>
        <v>Fc1cccc(CN(Cc2cccc(F)n2)Cc2cccnc2F)n1</v>
      </c>
      <c r="C10614" s="7">
        <f>IFERROR(__xludf.DUMMYFUNCTION("""COMPUTED_VALUE"""),7.765055)</f>
        <v>7.765055</v>
      </c>
      <c r="D10614" s="7">
        <f>IFERROR(__xludf.DUMMYFUNCTION("""COMPUTED_VALUE"""),0.452830188679245)</f>
        <v>0.4528301887</v>
      </c>
    </row>
    <row r="10615">
      <c r="A10615" s="10" t="s">
        <v>12054</v>
      </c>
      <c r="B10615" s="7" t="str">
        <f>IFERROR(__xludf.DUMMYFUNCTION("SPLIT(A10615,"" "")"),"CNC1C(N(Cc2nc(C)c(C)c(C)c2C)Cc2nc(C)c(C)c(C)c2C)CCCC1N(Cc1nc(C)c(C)c(C)c1C)Cc1nc(C)c(C)c(C)c1C")</f>
        <v>CNC1C(N(Cc2nc(C)c(C)c(C)c2C)Cc2nc(C)c(C)c(C)c2C)CCCC1N(Cc1nc(C)c(C)c(C)c1C)Cc1nc(C)c(C)c(C)c1C</v>
      </c>
      <c r="C10615" s="7">
        <f>IFERROR(__xludf.DUMMYFUNCTION("""COMPUTED_VALUE"""),7.765055)</f>
        <v>7.765055</v>
      </c>
      <c r="D10615" s="7">
        <f>IFERROR(__xludf.DUMMYFUNCTION("""COMPUTED_VALUE"""),0.274509803921568)</f>
        <v>0.2745098039</v>
      </c>
    </row>
    <row r="10616">
      <c r="A10616" s="10" t="s">
        <v>12055</v>
      </c>
      <c r="B10616" s="7" t="str">
        <f>IFERROR(__xludf.DUMMYFUNCTION("SPLIT(A10616,"" "")"),"Cc1cccc(CN(CC2=CC(N(C)Cc3ccccn3)C=CN2)Cc2ncccc2C)n1")</f>
        <v>Cc1cccc(CN(CC2=CC(N(C)Cc3ccccn3)C=CN2)Cc2ncccc2C)n1</v>
      </c>
      <c r="C10616" s="7">
        <f>IFERROR(__xludf.DUMMYFUNCTION("""COMPUTED_VALUE"""),7.765054)</f>
        <v>7.765054</v>
      </c>
      <c r="D10616" s="7">
        <f>IFERROR(__xludf.DUMMYFUNCTION("""COMPUTED_VALUE"""),0.4)</f>
        <v>0.4</v>
      </c>
    </row>
    <row r="10617">
      <c r="A10617" s="10" t="s">
        <v>12056</v>
      </c>
      <c r="B10617" s="7" t="str">
        <f>IFERROR(__xludf.DUMMYFUNCTION("SPLIT(A10617,"" "")"),"CC(C)C1=CC2C(=CN1)C=C(c1ncccc1CN(Cc1ccccn1)Cc1ccccn1)C(C)(C)C2C")</f>
        <v>CC(C)C1=CC2C(=CN1)C=C(c1ncccc1CN(Cc1ccccn1)Cc1ccccn1)C(C)(C)C2C</v>
      </c>
      <c r="C10617" s="7">
        <f>IFERROR(__xludf.DUMMYFUNCTION("""COMPUTED_VALUE"""),7.7650533)</f>
        <v>7.7650533</v>
      </c>
      <c r="D10617" s="7">
        <f>IFERROR(__xludf.DUMMYFUNCTION("""COMPUTED_VALUE"""),0.344827586206896)</f>
        <v>0.3448275862</v>
      </c>
    </row>
    <row r="10618">
      <c r="A10618" s="10" t="s">
        <v>12057</v>
      </c>
      <c r="B10618" s="7" t="str">
        <f>IFERROR(__xludf.DUMMYFUNCTION("SPLIT(A10618,"" "")"),"Cc1cncc(CN(C(C)C)C2CCC(N(C)c3ccc4c(CF)ccnc4c3)CC2)c1")</f>
        <v>Cc1cncc(CN(C(C)C)C2CCC(N(C)c3ccc4c(CF)ccnc4c3)CC2)c1</v>
      </c>
      <c r="C10618" s="7">
        <f>IFERROR(__xludf.DUMMYFUNCTION("""COMPUTED_VALUE"""),7.7650533)</f>
        <v>7.7650533</v>
      </c>
      <c r="D10618" s="7">
        <f>IFERROR(__xludf.DUMMYFUNCTION("""COMPUTED_VALUE"""),0.228571428571428)</f>
        <v>0.2285714286</v>
      </c>
    </row>
    <row r="10619">
      <c r="A10619" s="10" t="s">
        <v>12058</v>
      </c>
      <c r="B10619" s="7" t="str">
        <f>IFERROR(__xludf.DUMMYFUNCTION("SPLIT(A10619,"" "")"),"Cc1cccc(NCc2ccccn2)c1CNCc1ccccn1")</f>
        <v>Cc1cccc(NCc2ccccn2)c1CNCc1ccccn1</v>
      </c>
      <c r="C10619" s="7">
        <f>IFERROR(__xludf.DUMMYFUNCTION("""COMPUTED_VALUE"""),7.7650476)</f>
        <v>7.7650476</v>
      </c>
      <c r="D10619" s="7">
        <f>IFERROR(__xludf.DUMMYFUNCTION("""COMPUTED_VALUE"""),0.5)</f>
        <v>0.5</v>
      </c>
    </row>
    <row r="10620">
      <c r="A10620" s="10" t="s">
        <v>12059</v>
      </c>
      <c r="B10620" s="7" t="str">
        <f>IFERROR(__xludf.DUMMYFUNCTION("SPLIT(A10620,"" "")"),"Cc1cccnc1CN(C)C1CCC(N(C)c2ccc3ncc(CF)cc3c2)CC1")</f>
        <v>Cc1cccnc1CN(C)C1CCC(N(C)c2ccc3ncc(CF)cc3c2)CC1</v>
      </c>
      <c r="C10620" s="7">
        <f>IFERROR(__xludf.DUMMYFUNCTION("""COMPUTED_VALUE"""),7.7650456)</f>
        <v>7.7650456</v>
      </c>
      <c r="D10620" s="7">
        <f>IFERROR(__xludf.DUMMYFUNCTION("""COMPUTED_VALUE"""),0.257575757575757)</f>
        <v>0.2575757576</v>
      </c>
    </row>
    <row r="10621">
      <c r="A10621" s="10" t="s">
        <v>12060</v>
      </c>
      <c r="B10621" s="7" t="str">
        <f>IFERROR(__xludf.DUMMYFUNCTION("SPLIT(A10621,"" "")"),"Cc1ccc(CN(C)Cc2ccnc(C(C)(C)C)c2)cn1")</f>
        <v>Cc1ccc(CN(C)Cc2ccnc(C(C)(C)C)c2)cn1</v>
      </c>
      <c r="C10621" s="7">
        <f>IFERROR(__xludf.DUMMYFUNCTION("""COMPUTED_VALUE"""),7.765039)</f>
        <v>7.765039</v>
      </c>
      <c r="D10621" s="7">
        <f>IFERROR(__xludf.DUMMYFUNCTION("""COMPUTED_VALUE"""),0.297872340425531)</f>
        <v>0.2978723404</v>
      </c>
    </row>
    <row r="10622">
      <c r="A10622" s="10" t="s">
        <v>12061</v>
      </c>
      <c r="B10622" s="7" t="str">
        <f>IFERROR(__xludf.DUMMYFUNCTION("SPLIT(A10622,"" "")"),"Cc1cncc(CN(Cc2ccccn2)C2CCC(N(C)c3ccc4nc(CF)ccc4c3)CC2)c1")</f>
        <v>Cc1cncc(CN(Cc2ccccn2)C2CCC(N(C)c3ccc4nc(CF)ccc4c3)CC2)c1</v>
      </c>
      <c r="C10622" s="7">
        <f>IFERROR(__xludf.DUMMYFUNCTION("""COMPUTED_VALUE"""),7.7650385)</f>
        <v>7.7650385</v>
      </c>
      <c r="D10622" s="7">
        <f>IFERROR(__xludf.DUMMYFUNCTION("""COMPUTED_VALUE"""),0.343283582089552)</f>
        <v>0.3432835821</v>
      </c>
    </row>
    <row r="10623">
      <c r="A10623" s="10" t="s">
        <v>12062</v>
      </c>
      <c r="B10623" s="7" t="str">
        <f>IFERROR(__xludf.DUMMYFUNCTION("SPLIT(A10623,"" "")"),"CN1CCN(C)CCN(Cc2cnccc2N(C)c2ccc3cc(CF)cnc3c2)CC1")</f>
        <v>CN1CCN(C)CCN(Cc2cnccc2N(C)c2ccc3cc(CF)cnc3c2)CC1</v>
      </c>
      <c r="C10623" s="7">
        <f>IFERROR(__xludf.DUMMYFUNCTION("""COMPUTED_VALUE"""),7.7650385)</f>
        <v>7.7650385</v>
      </c>
      <c r="D10623" s="7">
        <f>IFERROR(__xludf.DUMMYFUNCTION("""COMPUTED_VALUE"""),0.365079365079365)</f>
        <v>0.3650793651</v>
      </c>
    </row>
    <row r="10624">
      <c r="A10624" s="10" t="s">
        <v>12063</v>
      </c>
      <c r="B10624" s="7" t="str">
        <f>IFERROR(__xludf.DUMMYFUNCTION("SPLIT(A10624,"" "")"),"CC(C)(c1cccc(CN(Cc2ccccn2)Cc2cccc(-c3cccc(N=Cc4ccccn4)c3)n2)n1)c1cccc(-c2ccc3c(c2)OCCOCCOCCOCCOCCO3)n1")</f>
        <v>CC(C)(c1cccc(CN(Cc2ccccn2)Cc2cccc(-c3cccc(N=Cc4ccccn4)c3)n2)n1)c1cccc(-c2ccc3c(c2)OCCOCCOCCOCCOCCO3)n1</v>
      </c>
      <c r="C10624" s="7">
        <f>IFERROR(__xludf.DUMMYFUNCTION("""COMPUTED_VALUE"""),7.765033)</f>
        <v>7.765033</v>
      </c>
      <c r="D10624" s="7">
        <f>IFERROR(__xludf.DUMMYFUNCTION("""COMPUTED_VALUE"""),0.41025641025641)</f>
        <v>0.4102564103</v>
      </c>
    </row>
    <row r="10625">
      <c r="A10625" s="10" t="s">
        <v>12064</v>
      </c>
      <c r="B10625" s="7" t="str">
        <f>IFERROR(__xludf.DUMMYFUNCTION("SPLIT(A10625,"" "")"),"Cc1cncc(CN(Cc2ccccn2)Cc2cccc(CN(Cc3ccccn3)Cc3cccc(C4C(Cl)CC4Cl)n3)n2)c1")</f>
        <v>Cc1cncc(CN(Cc2ccccn2)Cc2cccc(CN(Cc3ccccn3)Cc3cccc(C4C(Cl)CC4Cl)n3)n2)c1</v>
      </c>
      <c r="C10625" s="7">
        <f>IFERROR(__xludf.DUMMYFUNCTION("""COMPUTED_VALUE"""),7.765029)</f>
        <v>7.765029</v>
      </c>
      <c r="D10625" s="7">
        <f>IFERROR(__xludf.DUMMYFUNCTION("""COMPUTED_VALUE"""),0.393939393939393)</f>
        <v>0.3939393939</v>
      </c>
    </row>
    <row r="10626">
      <c r="A10626" s="10" t="s">
        <v>12065</v>
      </c>
      <c r="B10626" s="7" t="str">
        <f>IFERROR(__xludf.DUMMYFUNCTION("SPLIT(A10626,"" "")"),"Cc1ccccc1CNCc1ncccc1C(C)(C)c1ccccn1")</f>
        <v>Cc1ccccc1CNCc1ncccc1C(C)(C)c1ccccn1</v>
      </c>
      <c r="C10626" s="7">
        <f>IFERROR(__xludf.DUMMYFUNCTION("""COMPUTED_VALUE"""),7.765022)</f>
        <v>7.765022</v>
      </c>
      <c r="D10626" s="7">
        <f>IFERROR(__xludf.DUMMYFUNCTION("""COMPUTED_VALUE"""),0.314814814814814)</f>
        <v>0.3148148148</v>
      </c>
    </row>
    <row r="10627">
      <c r="A10627" s="10" t="s">
        <v>12066</v>
      </c>
      <c r="B10627" s="7" t="str">
        <f>IFERROR(__xludf.DUMMYFUNCTION("SPLIT(A10627,"" "")"),"CCOC(=O)C(=O)NCc1cccc(CN(Cc2ccccn2)Cc2ccccn2)n1")</f>
        <v>CCOC(=O)C(=O)NCc1cccc(CN(Cc2ccccn2)Cc2ccccn2)n1</v>
      </c>
      <c r="C10627" s="7">
        <f>IFERROR(__xludf.DUMMYFUNCTION("""COMPUTED_VALUE"""),7.765015)</f>
        <v>7.765015</v>
      </c>
      <c r="D10627" s="7">
        <f>IFERROR(__xludf.DUMMYFUNCTION("""COMPUTED_VALUE"""),0.454545454545454)</f>
        <v>0.4545454545</v>
      </c>
    </row>
    <row r="10628">
      <c r="A10628" s="10" t="s">
        <v>12067</v>
      </c>
      <c r="B10628" s="7" t="str">
        <f>IFERROR(__xludf.DUMMYFUNCTION("SPLIT(A10628,"" "")"),"C=C1C=CNC(CN(C)C2CCCCC2N(C)c2ccc3ncccc3c2)=C1")</f>
        <v>C=C1C=CNC(CN(C)C2CCCCC2N(C)c2ccc3ncccc3c2)=C1</v>
      </c>
      <c r="C10628" s="7">
        <f>IFERROR(__xludf.DUMMYFUNCTION("""COMPUTED_VALUE"""),7.765014)</f>
        <v>7.765014</v>
      </c>
      <c r="D10628" s="7">
        <f>IFERROR(__xludf.DUMMYFUNCTION("""COMPUTED_VALUE"""),0.393442622950819)</f>
        <v>0.393442623</v>
      </c>
    </row>
    <row r="10629">
      <c r="A10629" s="10" t="s">
        <v>12068</v>
      </c>
      <c r="B10629" s="7" t="str">
        <f>IFERROR(__xludf.DUMMYFUNCTION("SPLIT(A10629,"" "")"),"CCCN(Cc1ccccn1)c1cccc(C)c1CN(Cc1ccccn1)Cc1ncccc1C")</f>
        <v>CCCN(Cc1ccccn1)c1cccc(C)c1CN(Cc1ccccn1)Cc1ncccc1C</v>
      </c>
      <c r="C10629" s="7">
        <f>IFERROR(__xludf.DUMMYFUNCTION("""COMPUTED_VALUE"""),7.7650023)</f>
        <v>7.7650023</v>
      </c>
      <c r="D10629" s="7">
        <f>IFERROR(__xludf.DUMMYFUNCTION("""COMPUTED_VALUE"""),0.434782608695652)</f>
        <v>0.4347826087</v>
      </c>
    </row>
    <row r="10630">
      <c r="A10630" s="10" t="s">
        <v>12069</v>
      </c>
      <c r="B10630" s="7" t="str">
        <f>IFERROR(__xludf.DUMMYFUNCTION("SPLIT(A10630,"" "")"),"CN(Cc1cccc(-c2ccc3c(c2)OCCOCCOCCOCCOCCO3)n1)C1=CNC(CN(C)c2ccc3cccnc3c2)=CC1")</f>
        <v>CN(Cc1cccc(-c2ccc3c(c2)OCCOCCOCCOCCOCCO3)n1)C1=CNC(CN(C)c2ccc3cccnc3c2)=CC1</v>
      </c>
      <c r="C10630" s="7">
        <f>IFERROR(__xludf.DUMMYFUNCTION("""COMPUTED_VALUE"""),7.7650003)</f>
        <v>7.7650003</v>
      </c>
      <c r="D10630" s="7">
        <f>IFERROR(__xludf.DUMMYFUNCTION("""COMPUTED_VALUE"""),0.285714285714285)</f>
        <v>0.2857142857</v>
      </c>
    </row>
    <row r="10631">
      <c r="A10631" s="10" t="s">
        <v>12070</v>
      </c>
      <c r="B10631" s="7" t="str">
        <f>IFERROR(__xludf.DUMMYFUNCTION("SPLIT(A10631,"" "")"),"Cc1ccnc(CN(CCN(C)Cc2ccc3ncccc3c2)CC(C)C)c1")</f>
        <v>Cc1ccnc(CN(CCN(C)Cc2ccc3ncccc3c2)CC(C)C)c1</v>
      </c>
      <c r="C10631" s="7">
        <f>IFERROR(__xludf.DUMMYFUNCTION("""COMPUTED_VALUE"""),7.7649984)</f>
        <v>7.7649984</v>
      </c>
      <c r="D10631" s="7">
        <f>IFERROR(__xludf.DUMMYFUNCTION("""COMPUTED_VALUE"""),0.363636363636363)</f>
        <v>0.3636363636</v>
      </c>
    </row>
    <row r="10632">
      <c r="A10632" s="10" t="s">
        <v>12071</v>
      </c>
      <c r="B10632" s="7" t="str">
        <f>IFERROR(__xludf.DUMMYFUNCTION("SPLIT(A10632,"" "")"),"CN(Cc1cccnn1)C1CCC(N(C)c2ccc3c(CF)ccnc3c2)CC1")</f>
        <v>CN(Cc1cccnn1)C1CCC(N(C)c2ccc3c(CF)ccnc3c2)CC1</v>
      </c>
      <c r="C10632" s="7">
        <f>IFERROR(__xludf.DUMMYFUNCTION("""COMPUTED_VALUE"""),7.7649956)</f>
        <v>7.7649956</v>
      </c>
      <c r="D10632" s="7">
        <f>IFERROR(__xludf.DUMMYFUNCTION("""COMPUTED_VALUE"""),0.381818181818181)</f>
        <v>0.3818181818</v>
      </c>
    </row>
    <row r="10633">
      <c r="A10633" s="10" t="s">
        <v>12072</v>
      </c>
      <c r="B10633" s="7" t="str">
        <f>IFERROR(__xludf.DUMMYFUNCTION("SPLIT(A10633,"" "")"),"Cc1ccnc(CN(C)C2CCCC(N(C)c3ccc4ccc(CF)nc4c3)C2)c1")</f>
        <v>Cc1ccnc(CN(C)C2CCCC(N(C)c3ccc4ccc(CF)nc4c3)C2)c1</v>
      </c>
      <c r="C10633" s="7">
        <f>IFERROR(__xludf.DUMMYFUNCTION("""COMPUTED_VALUE"""),7.7649913)</f>
        <v>7.7649913</v>
      </c>
      <c r="D10633" s="7">
        <f>IFERROR(__xludf.DUMMYFUNCTION("""COMPUTED_VALUE"""),0.333333333333333)</f>
        <v>0.3333333333</v>
      </c>
    </row>
    <row r="10634">
      <c r="A10634" s="10" t="s">
        <v>12073</v>
      </c>
      <c r="B10634" s="7" t="str">
        <f>IFERROR(__xludf.DUMMYFUNCTION("SPLIT(A10634,"" "")"),"Cc1cccc(CN(C)CC2=CC(N(C)Cc3cc(C)c(C)c(C)n3)C=CN2)n1")</f>
        <v>Cc1cccc(CN(C)CC2=CC(N(C)Cc3cc(C)c(C)c(C)n3)C=CN2)n1</v>
      </c>
      <c r="C10634" s="7">
        <f>IFERROR(__xludf.DUMMYFUNCTION("""COMPUTED_VALUE"""),7.764989)</f>
        <v>7.764989</v>
      </c>
      <c r="D10634" s="7">
        <f>IFERROR(__xludf.DUMMYFUNCTION("""COMPUTED_VALUE"""),0.407407407407407)</f>
        <v>0.4074074074</v>
      </c>
    </row>
    <row r="10635">
      <c r="A10635" s="10" t="s">
        <v>12074</v>
      </c>
      <c r="B10635" s="7" t="str">
        <f>IFERROR(__xludf.DUMMYFUNCTION("SPLIT(A10635,"" "")"),"Cc1cc(C)c(CN(C)CCN(Cc2nc(C)c(C)cc2C)C(C)C)nc1C")</f>
        <v>Cc1cc(C)c(CN(C)CCN(Cc2nc(C)c(C)cc2C)C(C)C)nc1C</v>
      </c>
      <c r="C10635" s="7">
        <f>IFERROR(__xludf.DUMMYFUNCTION("""COMPUTED_VALUE"""),7.7649884)</f>
        <v>7.7649884</v>
      </c>
      <c r="D10635" s="7">
        <f>IFERROR(__xludf.DUMMYFUNCTION("""COMPUTED_VALUE"""),0.363636363636363)</f>
        <v>0.3636363636</v>
      </c>
    </row>
    <row r="10636">
      <c r="A10636" s="10" t="s">
        <v>12075</v>
      </c>
      <c r="B10636" s="7" t="str">
        <f>IFERROR(__xludf.DUMMYFUNCTION("SPLIT(A10636,"" "")"),"CC1=CC(C)C(C)(c2cc(CN(Cc3ccccn3)C3CCC(N(C)c4ccc5nccc(CN(C)C)c5c4)CC3)ccn2)CC1")</f>
        <v>CC1=CC(C)C(C)(c2cc(CN(Cc3ccccn3)C3CCC(N(C)c4ccc5nccc(CN(C)C)c5c4)CC3)ccn2)CC1</v>
      </c>
      <c r="C10636" s="7">
        <f>IFERROR(__xludf.DUMMYFUNCTION("""COMPUTED_VALUE"""),7.7649865)</f>
        <v>7.7649865</v>
      </c>
      <c r="D10636" s="7">
        <f>IFERROR(__xludf.DUMMYFUNCTION("""COMPUTED_VALUE"""),0.275)</f>
        <v>0.275</v>
      </c>
    </row>
    <row r="10637">
      <c r="A10637" s="10" t="s">
        <v>12076</v>
      </c>
      <c r="B10637" s="7" t="str">
        <f>IFERROR(__xludf.DUMMYFUNCTION("SPLIT(A10637,"" "")"),"CN(CC1=CCC=C(N(C)O)N1)Cc1ccccn1")</f>
        <v>CN(CC1=CCC=C(N(C)O)N1)Cc1ccccn1</v>
      </c>
      <c r="C10637" s="7">
        <f>IFERROR(__xludf.DUMMYFUNCTION("""COMPUTED_VALUE"""),7.764986)</f>
        <v>7.764986</v>
      </c>
      <c r="D10637" s="7">
        <f>IFERROR(__xludf.DUMMYFUNCTION("""COMPUTED_VALUE"""),0.448979591836734)</f>
        <v>0.4489795918</v>
      </c>
    </row>
    <row r="10638">
      <c r="A10638" s="10" t="s">
        <v>12077</v>
      </c>
      <c r="B10638" s="7" t="str">
        <f>IFERROR(__xludf.DUMMYFUNCTION("SPLIT(A10638,"" "")"),"Cc1nc(CN(C)C2CCC(N(C)c3ccc4nc(CN(C)C(C)C)ccc4c3)CC2)c(C)c(C)c1C")</f>
        <v>Cc1nc(CN(C)C2CCC(N(C)c3ccc4nc(CN(C)C(C)C)ccc4c3)CC2)c(C)c(C)c1C</v>
      </c>
      <c r="C10638" s="7">
        <f>IFERROR(__xludf.DUMMYFUNCTION("""COMPUTED_VALUE"""),7.7649827)</f>
        <v>7.7649827</v>
      </c>
      <c r="D10638" s="7">
        <f>IFERROR(__xludf.DUMMYFUNCTION("""COMPUTED_VALUE"""),0.257575757575757)</f>
        <v>0.2575757576</v>
      </c>
    </row>
    <row r="10639">
      <c r="A10639" s="10" t="s">
        <v>12078</v>
      </c>
      <c r="B10639" s="7" t="str">
        <f>IFERROR(__xludf.DUMMYFUNCTION("SPLIT(A10639,"" "")"),"CC(NCc1ccccn1)c1cccc(CNc2cccc(CF)n2)n1")</f>
        <v>CC(NCc1ccccn1)c1cccc(CNc2cccc(CF)n2)n1</v>
      </c>
      <c r="C10639" s="7">
        <f>IFERROR(__xludf.DUMMYFUNCTION("""COMPUTED_VALUE"""),7.7649813)</f>
        <v>7.7649813</v>
      </c>
      <c r="D10639" s="7">
        <f>IFERROR(__xludf.DUMMYFUNCTION("""COMPUTED_VALUE"""),0.346938775510204)</f>
        <v>0.3469387755</v>
      </c>
    </row>
    <row r="10640">
      <c r="A10640" s="10" t="s">
        <v>12079</v>
      </c>
      <c r="B10640" s="7" t="str">
        <f>IFERROR(__xludf.DUMMYFUNCTION("SPLIT(A10640,"" "")"),"CC(C)N(Cc1ccccn1)Cc1ccc2cc(N(C)C3CCC(N(C)Cc4ccon4)CC3)ccc2n1")</f>
        <v>CC(C)N(Cc1ccccn1)Cc1ccc2cc(N(C)C3CCC(N(C)Cc4ccon4)CC3)ccc2n1</v>
      </c>
      <c r="C10640" s="7">
        <f>IFERROR(__xludf.DUMMYFUNCTION("""COMPUTED_VALUE"""),7.764981)</f>
        <v>7.764981</v>
      </c>
      <c r="D10640" s="7">
        <f>IFERROR(__xludf.DUMMYFUNCTION("""COMPUTED_VALUE"""),0.403225806451612)</f>
        <v>0.4032258065</v>
      </c>
    </row>
    <row r="10641">
      <c r="A10641" s="10" t="s">
        <v>12080</v>
      </c>
      <c r="B10641" s="7" t="str">
        <f>IFERROR(__xludf.DUMMYFUNCTION("SPLIT(A10641,"" "")"),"CN(Cc1cccc(-c2ccc3c(c2)OCCOCCOCCOCCOCCO3)n1)C1=CNC(CN(C)c2ccc3ncccc3c2)=CC1")</f>
        <v>CN(Cc1cccc(-c2ccc3c(c2)OCCOCCOCCOCCOCCO3)n1)C1=CNC(CN(C)c2ccc3ncccc3c2)=CC1</v>
      </c>
      <c r="C10641" s="7">
        <f>IFERROR(__xludf.DUMMYFUNCTION("""COMPUTED_VALUE"""),7.7649794)</f>
        <v>7.7649794</v>
      </c>
      <c r="D10641" s="7">
        <f>IFERROR(__xludf.DUMMYFUNCTION("""COMPUTED_VALUE"""),0.289156626506024)</f>
        <v>0.2891566265</v>
      </c>
    </row>
    <row r="10642">
      <c r="A10642" s="10" t="s">
        <v>12081</v>
      </c>
      <c r="B10642" s="7" t="str">
        <f>IFERROR(__xludf.DUMMYFUNCTION("SPLIT(A10642,"" "")"),"Cc1ccc(CN(C)C2CCCC(N(C)c3ccc4ccc(CF)nc4c3)C2)nc1")</f>
        <v>Cc1ccc(CN(C)C2CCCC(N(C)c3ccc4ccc(CF)nc4c3)C2)nc1</v>
      </c>
      <c r="C10642" s="7">
        <f>IFERROR(__xludf.DUMMYFUNCTION("""COMPUTED_VALUE"""),7.7649775)</f>
        <v>7.7649775</v>
      </c>
      <c r="D10642" s="7">
        <f>IFERROR(__xludf.DUMMYFUNCTION("""COMPUTED_VALUE"""),0.472727272727272)</f>
        <v>0.4727272727</v>
      </c>
    </row>
    <row r="10643">
      <c r="A10643" s="10" t="s">
        <v>12082</v>
      </c>
      <c r="B10643" s="7" t="str">
        <f>IFERROR(__xludf.DUMMYFUNCTION("SPLIT(A10643,"" "")"),"Cc1cncc(CN(C)C2=CNC=CC2CN(Cc2ccccn2)Cc2ccccn2)c1")</f>
        <v>Cc1cncc(CN(C)C2=CNC=CC2CN(Cc2ccccn2)Cc2ccccn2)c1</v>
      </c>
      <c r="C10643" s="7">
        <f>IFERROR(__xludf.DUMMYFUNCTION("""COMPUTED_VALUE"""),7.764976)</f>
        <v>7.764976</v>
      </c>
      <c r="D10643" s="7">
        <f>IFERROR(__xludf.DUMMYFUNCTION("""COMPUTED_VALUE"""),0.375)</f>
        <v>0.375</v>
      </c>
    </row>
    <row r="10644">
      <c r="A10644" s="10" t="s">
        <v>12083</v>
      </c>
      <c r="B10644" s="7" t="str">
        <f>IFERROR(__xludf.DUMMYFUNCTION("SPLIT(A10644,"" "")"),"CN(Cc1cc(-c2ccc3c(c2)OCCOCCOCCOCCOCCO3)ccn1)C1=CNC=C(CN(C)c2ccc3ncccc3c2)C1")</f>
        <v>CN(Cc1cc(-c2ccc3c(c2)OCCOCCOCCOCCOCCO3)ccn1)C1=CNC=C(CN(C)c2ccc3ncccc3c2)C1</v>
      </c>
      <c r="C10644" s="7">
        <f>IFERROR(__xludf.DUMMYFUNCTION("""COMPUTED_VALUE"""),7.764973)</f>
        <v>7.764973</v>
      </c>
      <c r="D10644" s="7">
        <f>IFERROR(__xludf.DUMMYFUNCTION("""COMPUTED_VALUE"""),0.297619047619047)</f>
        <v>0.2976190476</v>
      </c>
    </row>
    <row r="10645">
      <c r="A10645" s="10" t="s">
        <v>12084</v>
      </c>
      <c r="B10645" s="7" t="str">
        <f>IFERROR(__xludf.DUMMYFUNCTION("SPLIT(A10645,"" "")"),"CN(Cc1cc(-c2ccc3c(c2)OCCOCCOCCOCCOCCO3)ccn1)C1=C(CN(C)c2ccc3ncccc3c2)NC=CC1")</f>
        <v>CN(Cc1cc(-c2ccc3c(c2)OCCOCCOCCOCCOCCO3)ccn1)C1=C(CN(C)c2ccc3ncccc3c2)NC=CC1</v>
      </c>
      <c r="C10645" s="7">
        <f>IFERROR(__xludf.DUMMYFUNCTION("""COMPUTED_VALUE"""),7.7649727)</f>
        <v>7.7649727</v>
      </c>
      <c r="D10645" s="7">
        <f>IFERROR(__xludf.DUMMYFUNCTION("""COMPUTED_VALUE"""),0.294117647058823)</f>
        <v>0.2941176471</v>
      </c>
    </row>
    <row r="10646">
      <c r="A10646" s="10" t="s">
        <v>12085</v>
      </c>
      <c r="B10646" s="7" t="str">
        <f>IFERROR(__xludf.DUMMYFUNCTION("SPLIT(A10646,"" "")"),"Cc1ccc(CN(C)CC2=CC(N(C)Cc3nc(C)c(C)cc3C)C=CN2)nc1")</f>
        <v>Cc1ccc(CN(C)CC2=CC(N(C)Cc3nc(C)c(C)cc3C)C=CN2)nc1</v>
      </c>
      <c r="C10646" s="7">
        <f>IFERROR(__xludf.DUMMYFUNCTION("""COMPUTED_VALUE"""),7.764971)</f>
        <v>7.764971</v>
      </c>
      <c r="D10646" s="7">
        <f>IFERROR(__xludf.DUMMYFUNCTION("""COMPUTED_VALUE"""),0.4)</f>
        <v>0.4</v>
      </c>
    </row>
    <row r="10647">
      <c r="A10647" s="10" t="s">
        <v>12086</v>
      </c>
      <c r="B10647" s="7" t="str">
        <f>IFERROR(__xludf.DUMMYFUNCTION("SPLIT(A10647,"" "")"),"CNCc1ncccc1CN(C)C1CCC(N(C)c2ccc3c(C)ccnc3c2)CC1")</f>
        <v>CNCc1ncccc1CN(C)C1CCC(N(C)c2ccc3c(C)ccnc3c2)CC1</v>
      </c>
      <c r="C10647" s="7">
        <f>IFERROR(__xludf.DUMMYFUNCTION("""COMPUTED_VALUE"""),7.7649665)</f>
        <v>7.7649665</v>
      </c>
      <c r="D10647" s="7">
        <f>IFERROR(__xludf.DUMMYFUNCTION("""COMPUTED_VALUE"""),0.253731343283582)</f>
        <v>0.2537313433</v>
      </c>
    </row>
    <row r="10648">
      <c r="A10648" s="10" t="s">
        <v>12087</v>
      </c>
      <c r="B10648" s="7" t="str">
        <f>IFERROR(__xludf.DUMMYFUNCTION("SPLIT(A10648,"" "")"),"Cc1ccnc(CN(C)C2CCCCC2N(C)c2ccc3c(CF)ccnc3c2)c1")</f>
        <v>Cc1ccnc(CN(C)C2CCCCC2N(C)c2ccc3c(CF)ccnc3c2)c1</v>
      </c>
      <c r="C10648" s="7">
        <f>IFERROR(__xludf.DUMMYFUNCTION("""COMPUTED_VALUE"""),7.764965)</f>
        <v>7.764965</v>
      </c>
      <c r="D10648" s="7">
        <f>IFERROR(__xludf.DUMMYFUNCTION("""COMPUTED_VALUE"""),0.421052631578947)</f>
        <v>0.4210526316</v>
      </c>
    </row>
    <row r="10649">
      <c r="A10649" s="10" t="s">
        <v>12088</v>
      </c>
      <c r="B10649" s="7" t="str">
        <f>IFERROR(__xludf.DUMMYFUNCTION("SPLIT(A10649,"" "")"),"Cc1cnc(CN(Cc2ccnc(F)c2)Cc2ccccn2)cc1C")</f>
        <v>Cc1cnc(CN(Cc2ccnc(F)c2)Cc2ccccn2)cc1C</v>
      </c>
      <c r="C10649" s="7">
        <f>IFERROR(__xludf.DUMMYFUNCTION("""COMPUTED_VALUE"""),7.76496)</f>
        <v>7.76496</v>
      </c>
      <c r="D10649" s="7">
        <f>IFERROR(__xludf.DUMMYFUNCTION("""COMPUTED_VALUE"""),0.48780487804878)</f>
        <v>0.487804878</v>
      </c>
    </row>
    <row r="10650">
      <c r="A10650" s="10" t="s">
        <v>12089</v>
      </c>
      <c r="B10650" s="7" t="str">
        <f>IFERROR(__xludf.DUMMYFUNCTION("SPLIT(A10650,"" "")"),"CN(Cc1cccc(F)n1)C1CCC(N(C)c2ccc3nccc(CF)c3c2)CC1")</f>
        <v>CN(Cc1cccc(F)n1)C1CCC(N(C)c2ccc3nccc(CF)c3c2)CC1</v>
      </c>
      <c r="C10650" s="7">
        <f>IFERROR(__xludf.DUMMYFUNCTION("""COMPUTED_VALUE"""),7.764952)</f>
        <v>7.764952</v>
      </c>
      <c r="D10650" s="7">
        <f>IFERROR(__xludf.DUMMYFUNCTION("""COMPUTED_VALUE"""),0.3125)</f>
        <v>0.3125</v>
      </c>
    </row>
    <row r="10651">
      <c r="A10651" s="10" t="s">
        <v>12090</v>
      </c>
      <c r="B10651" s="7" t="str">
        <f>IFERROR(__xludf.DUMMYFUNCTION("SPLIT(A10651,"" "")"),"CN(C)Cc1cnc2cc(N(C)C3CCC(N(C)Cc4cccnn4)CC3)ccc2c1")</f>
        <v>CN(C)Cc1cnc2cc(N(C)C3CCC(N(C)Cc4cccnn4)CC3)ccc2c1</v>
      </c>
      <c r="C10651" s="7">
        <f>IFERROR(__xludf.DUMMYFUNCTION("""COMPUTED_VALUE"""),7.764941)</f>
        <v>7.764941</v>
      </c>
      <c r="D10651" s="7">
        <f>IFERROR(__xludf.DUMMYFUNCTION("""COMPUTED_VALUE"""),0.357142857142857)</f>
        <v>0.3571428571</v>
      </c>
    </row>
    <row r="10652">
      <c r="A10652" s="10" t="s">
        <v>12091</v>
      </c>
      <c r="B10652" s="7" t="str">
        <f>IFERROR(__xludf.DUMMYFUNCTION("SPLIT(A10652,"" "")"),"CN(C)Cc1ccc2ccc(N(C)C3CCCC(N(C)Cc4ccccn4)C3)cc2n1")</f>
        <v>CN(C)Cc1ccc2ccc(N(C)C3CCCC(N(C)Cc4ccccn4)C3)cc2n1</v>
      </c>
      <c r="C10652" s="7">
        <f>IFERROR(__xludf.DUMMYFUNCTION("""COMPUTED_VALUE"""),7.76494)</f>
        <v>7.76494</v>
      </c>
      <c r="D10652" s="7">
        <f>IFERROR(__xludf.DUMMYFUNCTION("""COMPUTED_VALUE"""),0.462962962962962)</f>
        <v>0.462962963</v>
      </c>
    </row>
    <row r="10653">
      <c r="A10653" s="10" t="s">
        <v>12092</v>
      </c>
      <c r="B10653" s="7" t="str">
        <f>IFERROR(__xludf.DUMMYFUNCTION("SPLIT(A10653,"" "")"),"Cc1cnc(CN(C)CC2=CCC=C(N(C)C(C)C)N2)c(C)c1")</f>
        <v>Cc1cnc(CN(C)CC2=CCC=C(N(C)C(C)C)N2)c(C)c1</v>
      </c>
      <c r="C10653" s="7">
        <f>IFERROR(__xludf.DUMMYFUNCTION("""COMPUTED_VALUE"""),7.76494)</f>
        <v>7.76494</v>
      </c>
      <c r="D10653" s="7">
        <f>IFERROR(__xludf.DUMMYFUNCTION("""COMPUTED_VALUE"""),0.277777777777777)</f>
        <v>0.2777777778</v>
      </c>
    </row>
    <row r="10654">
      <c r="A10654" s="10" t="s">
        <v>12093</v>
      </c>
      <c r="B10654" s="7" t="str">
        <f>IFERROR(__xludf.DUMMYFUNCTION("SPLIT(A10654,"" "")"),"Cc1cc(CN(C)C2=CNC=CC2CN(C)Cc2ccccn2)cnc1C")</f>
        <v>Cc1cc(CN(C)C2=CNC=CC2CN(C)Cc2ccccn2)cnc1C</v>
      </c>
      <c r="C10654" s="7">
        <f>IFERROR(__xludf.DUMMYFUNCTION("""COMPUTED_VALUE"""),7.764939)</f>
        <v>7.764939</v>
      </c>
      <c r="D10654" s="7">
        <f>IFERROR(__xludf.DUMMYFUNCTION("""COMPUTED_VALUE"""),0.347826086956521)</f>
        <v>0.347826087</v>
      </c>
    </row>
    <row r="10655">
      <c r="A10655" s="10" t="s">
        <v>12094</v>
      </c>
      <c r="B10655" s="7" t="str">
        <f>IFERROR(__xludf.DUMMYFUNCTION("SPLIT(A10655,"" "")"),"Cc1cnccc1CN(C)C1CCC(N(C)c2cccc3nc(CF)ccc23)CC1")</f>
        <v>Cc1cnccc1CN(C)C1CCC(N(C)c2cccc3nc(CF)ccc23)CC1</v>
      </c>
      <c r="C10655" s="7">
        <f>IFERROR(__xludf.DUMMYFUNCTION("""COMPUTED_VALUE"""),7.764935)</f>
        <v>7.764935</v>
      </c>
      <c r="D10655" s="7">
        <f>IFERROR(__xludf.DUMMYFUNCTION("""COMPUTED_VALUE"""),0.363636363636363)</f>
        <v>0.3636363636</v>
      </c>
    </row>
    <row r="10656">
      <c r="A10656" s="10" t="s">
        <v>12095</v>
      </c>
      <c r="B10656" s="7" t="str">
        <f>IFERROR(__xludf.DUMMYFUNCTION("SPLIT(A10656,"" "")"),"Cc1ccc(CN(C)c2ccc3nc(CN(C)Cc4ncccc4-c4ccc5c(c4)OCCOCCOCCOCCOCCO5)ccc3c2)nc1")</f>
        <v>Cc1ccc(CN(C)c2ccc3nc(CN(C)Cc4ncccc4-c4ccc5c(c4)OCCOCCOCCOCCOCCO5)ccc3c2)nc1</v>
      </c>
      <c r="C10656" s="7">
        <f>IFERROR(__xludf.DUMMYFUNCTION("""COMPUTED_VALUE"""),7.7649345)</f>
        <v>7.7649345</v>
      </c>
      <c r="D10656" s="7">
        <f>IFERROR(__xludf.DUMMYFUNCTION("""COMPUTED_VALUE"""),0.338235294117647)</f>
        <v>0.3382352941</v>
      </c>
    </row>
    <row r="10657">
      <c r="A10657" s="10" t="s">
        <v>12096</v>
      </c>
      <c r="B10657" s="7" t="str">
        <f>IFERROR(__xludf.DUMMYFUNCTION("SPLIT(A10657,"" "")"),"CN(Cc1cccc(F)n1)C1CCCC(N(Cc2ccccn2)c2ccc3nc(CF)ccc3c2)C1N(C)Cc1ccccn1")</f>
        <v>CN(Cc1cccc(F)n1)C1CCCC(N(Cc2ccccn2)c2ccc3nc(CF)ccc3c2)C1N(C)Cc1ccccn1</v>
      </c>
      <c r="C10657" s="7">
        <f>IFERROR(__xludf.DUMMYFUNCTION("""COMPUTED_VALUE"""),7.764923)</f>
        <v>7.764923</v>
      </c>
      <c r="D10657" s="7">
        <f>IFERROR(__xludf.DUMMYFUNCTION("""COMPUTED_VALUE"""),0.444444444444444)</f>
        <v>0.4444444444</v>
      </c>
    </row>
    <row r="10658">
      <c r="A10658" s="10" t="s">
        <v>12097</v>
      </c>
      <c r="B10658" s="7" t="str">
        <f>IFERROR(__xludf.DUMMYFUNCTION("SPLIT(A10658,"" "")"),"Cc1cc(CN(C)C2=C(CN(C)C(C)C)NC=CC2)nc(C)c1C")</f>
        <v>Cc1cc(CN(C)C2=C(CN(C)C(C)C)NC=CC2)nc(C)c1C</v>
      </c>
      <c r="C10658" s="7">
        <f>IFERROR(__xludf.DUMMYFUNCTION("""COMPUTED_VALUE"""),7.7649226)</f>
        <v>7.7649226</v>
      </c>
      <c r="D10658" s="7">
        <f>IFERROR(__xludf.DUMMYFUNCTION("""COMPUTED_VALUE"""),0.196969696969696)</f>
        <v>0.196969697</v>
      </c>
    </row>
    <row r="10659">
      <c r="A10659" s="10" t="s">
        <v>12098</v>
      </c>
      <c r="B10659" s="7" t="str">
        <f>IFERROR(__xludf.DUMMYFUNCTION("SPLIT(A10659,"" "")"),"CN(Cc1ccccn1)C1CCCC(N(C)c2ccc3c(CF)ccnc3c2)C1")</f>
        <v>CN(Cc1ccccn1)C1CCCC(N(C)c2ccc3c(CF)ccnc3c2)C1</v>
      </c>
      <c r="C10659" s="7">
        <f>IFERROR(__xludf.DUMMYFUNCTION("""COMPUTED_VALUE"""),7.7649217)</f>
        <v>7.7649217</v>
      </c>
      <c r="D10659" s="7">
        <f>IFERROR(__xludf.DUMMYFUNCTION("""COMPUTED_VALUE"""),0.43859649122807)</f>
        <v>0.4385964912</v>
      </c>
    </row>
    <row r="10660">
      <c r="A10660" s="10" t="s">
        <v>12099</v>
      </c>
      <c r="B10660" s="7" t="str">
        <f>IFERROR(__xludf.DUMMYFUNCTION("SPLIT(A10660,"" "")"),"CCOC(C)c1ncc(CN(Cc2ccccn2)Cc2ccccn2)c(CN(Cc2ccccn2)Cc2ccccn2)c1C")</f>
        <v>CCOC(C)c1ncc(CN(Cc2ccccn2)Cc2ccccn2)c(CN(Cc2ccccn2)Cc2ccccn2)c1C</v>
      </c>
      <c r="C10660" s="7">
        <f>IFERROR(__xludf.DUMMYFUNCTION("""COMPUTED_VALUE"""),7.764921)</f>
        <v>7.764921</v>
      </c>
      <c r="D10660" s="7">
        <f>IFERROR(__xludf.DUMMYFUNCTION("""COMPUTED_VALUE"""),0.444444444444444)</f>
        <v>0.4444444444</v>
      </c>
    </row>
    <row r="10661">
      <c r="A10661" s="10" t="s">
        <v>12100</v>
      </c>
      <c r="B10661" s="7" t="str">
        <f>IFERROR(__xludf.DUMMYFUNCTION("SPLIT(A10661,"" "")"),"C=CCN(Cc1ccccn1)c1cc2ncccc2cc1N(Cc1ccccn1)Cc1cccc(-c2ccc3c(c2)OCCOCCOCCOCCOCCO3)n1")</f>
        <v>C=CCN(Cc1ccccn1)c1cc2ncccc2cc1N(Cc1ccccn1)Cc1cccc(-c2ccc3c(c2)OCCOCCOCCOCCOCCO3)n1</v>
      </c>
      <c r="C10661" s="7">
        <f>IFERROR(__xludf.DUMMYFUNCTION("""COMPUTED_VALUE"""),7.7649207)</f>
        <v>7.7649207</v>
      </c>
      <c r="D10661" s="7">
        <f>IFERROR(__xludf.DUMMYFUNCTION("""COMPUTED_VALUE"""),0.355263157894736)</f>
        <v>0.3552631579</v>
      </c>
    </row>
    <row r="10662">
      <c r="A10662" s="10" t="s">
        <v>12101</v>
      </c>
      <c r="B10662" s="7" t="str">
        <f>IFERROR(__xludf.DUMMYFUNCTION("SPLIT(A10662,"" "")"),"CCN(CCN(C)Cc1nc(C)c(C)c(C)c1C)Cc1nc(C)c(C)c(C)c1C")</f>
        <v>CCN(CCN(C)Cc1nc(C)c(C)c(C)c1C)Cc1nc(C)c(C)c(C)c1C</v>
      </c>
      <c r="C10662" s="7">
        <f>IFERROR(__xludf.DUMMYFUNCTION("""COMPUTED_VALUE"""),7.7649045)</f>
        <v>7.7649045</v>
      </c>
      <c r="D10662" s="7">
        <f>IFERROR(__xludf.DUMMYFUNCTION("""COMPUTED_VALUE"""),0.309523809523809)</f>
        <v>0.3095238095</v>
      </c>
    </row>
    <row r="10663">
      <c r="A10663" s="10" t="s">
        <v>12102</v>
      </c>
      <c r="B10663" s="7" t="str">
        <f>IFERROR(__xludf.DUMMYFUNCTION("SPLIT(A10663,"" "")"),"Cc1cc(C)nc(C(c2cc(-c3cccc(N(C)C(C)C)c3)ccn2)N2CCN(C)CCN(C)CC2)c1")</f>
        <v>Cc1cc(C)nc(C(c2cc(-c3cccc(N(C)C(C)C)c3)ccn2)N2CCN(C)CCN(C)CC2)c1</v>
      </c>
      <c r="C10663" s="7">
        <f>IFERROR(__xludf.DUMMYFUNCTION("""COMPUTED_VALUE"""),7.7648997)</f>
        <v>7.7648997</v>
      </c>
      <c r="D10663" s="7">
        <f>IFERROR(__xludf.DUMMYFUNCTION("""COMPUTED_VALUE"""),0.301587301587301)</f>
        <v>0.3015873016</v>
      </c>
    </row>
    <row r="10664">
      <c r="A10664" s="10" t="s">
        <v>12103</v>
      </c>
      <c r="B10664" s="7" t="str">
        <f>IFERROR(__xludf.DUMMYFUNCTION("SPLIT(A10664,"" "")"),"CN(Cc1ccccn1)C1CCC(N(C)c2ccc3nc4c(cc3c2)CCC4)CC1")</f>
        <v>CN(Cc1ccccn1)C1CCC(N(C)c2ccc3nc4c(cc3c2)CCC4)CC1</v>
      </c>
      <c r="C10664" s="7">
        <f>IFERROR(__xludf.DUMMYFUNCTION("""COMPUTED_VALUE"""),7.7648964)</f>
        <v>7.7648964</v>
      </c>
      <c r="D10664" s="7">
        <f>IFERROR(__xludf.DUMMYFUNCTION("""COMPUTED_VALUE"""),0.43859649122807)</f>
        <v>0.4385964912</v>
      </c>
    </row>
    <row r="10665">
      <c r="A10665" s="10" t="s">
        <v>12104</v>
      </c>
      <c r="B10665" s="7" t="str">
        <f>IFERROR(__xludf.DUMMYFUNCTION("SPLIT(A10665,"" "")"),"Cc1cc(CN(C)CC2=CC(N(C)Cc3cc(C)c(C)c(C)n3)C=CN2)ccn1")</f>
        <v>Cc1cc(CN(C)CC2=CC(N(C)Cc3cc(C)c(C)c(C)n3)C=CN2)ccn1</v>
      </c>
      <c r="C10665" s="7">
        <f>IFERROR(__xludf.DUMMYFUNCTION("""COMPUTED_VALUE"""),7.764895)</f>
        <v>7.764895</v>
      </c>
      <c r="D10665" s="7">
        <f>IFERROR(__xludf.DUMMYFUNCTION("""COMPUTED_VALUE"""),0.298507462686567)</f>
        <v>0.2985074627</v>
      </c>
    </row>
    <row r="10666">
      <c r="A10666" s="10" t="s">
        <v>12105</v>
      </c>
      <c r="B10666" s="7" t="str">
        <f>IFERROR(__xludf.DUMMYFUNCTION("SPLIT(A10666,"" "")"),"CN(Cc1ncccc1-c1ccc2c(c1)OCCOCCOCCOCCOCCO2)Cc1ccnc2ccc(N(C)Cc3ccccn3)cc12")</f>
        <v>CN(Cc1ncccc1-c1ccc2c(c1)OCCOCCOCCOCCOCCO2)Cc1ccnc2ccc(N(C)Cc3ccccn3)cc12</v>
      </c>
      <c r="C10666" s="7">
        <f>IFERROR(__xludf.DUMMYFUNCTION("""COMPUTED_VALUE"""),7.764893)</f>
        <v>7.764893</v>
      </c>
      <c r="D10666" s="7">
        <f>IFERROR(__xludf.DUMMYFUNCTION("""COMPUTED_VALUE"""),0.305555555555555)</f>
        <v>0.3055555556</v>
      </c>
    </row>
    <row r="10667">
      <c r="A10667" s="10" t="s">
        <v>12106</v>
      </c>
      <c r="B10667" s="7" t="str">
        <f>IFERROR(__xludf.DUMMYFUNCTION("SPLIT(A10667,"" "")"),"CN(Cc1cccnn1)C1=CCNC=C1")</f>
        <v>CN(Cc1cccnn1)C1=CCNC=C1</v>
      </c>
      <c r="C10667" s="7">
        <f>IFERROR(__xludf.DUMMYFUNCTION("""COMPUTED_VALUE"""),7.7648926)</f>
        <v>7.7648926</v>
      </c>
      <c r="D10667" s="7">
        <f>IFERROR(__xludf.DUMMYFUNCTION("""COMPUTED_VALUE"""),0.48780487804878)</f>
        <v>0.487804878</v>
      </c>
    </row>
    <row r="10668">
      <c r="A10668" s="10" t="s">
        <v>12107</v>
      </c>
      <c r="B10668" s="7" t="str">
        <f>IFERROR(__xludf.DUMMYFUNCTION("SPLIT(A10668,"" "")"),"CC(c1ccccn1)(c1ccccn1)c1cccnc1CN(CNCF)Cc1ccccn1")</f>
        <v>CC(c1ccccn1)(c1ccccn1)c1cccnc1CN(CNCF)Cc1ccccn1</v>
      </c>
      <c r="C10668" s="7">
        <f>IFERROR(__xludf.DUMMYFUNCTION("""COMPUTED_VALUE"""),7.7648907)</f>
        <v>7.7648907</v>
      </c>
      <c r="D10668" s="7">
        <f>IFERROR(__xludf.DUMMYFUNCTION("""COMPUTED_VALUE"""),0.415094339622641)</f>
        <v>0.4150943396</v>
      </c>
    </row>
    <row r="10669">
      <c r="A10669" s="10" t="s">
        <v>12108</v>
      </c>
      <c r="B10669" s="7" t="str">
        <f>IFERROR(__xludf.DUMMYFUNCTION("SPLIT(A10669,"" "")"),"CC(C)C1N=COC1c1ncccc1CN(Cc1ccccn1)Cc1cc(C(C)(C)C)ccn1")</f>
        <v>CC(C)C1N=COC1c1ncccc1CN(Cc1ccccn1)Cc1cc(C(C)(C)C)ccn1</v>
      </c>
      <c r="C10669" s="7">
        <f>IFERROR(__xludf.DUMMYFUNCTION("""COMPUTED_VALUE"""),7.7648897)</f>
        <v>7.7648897</v>
      </c>
      <c r="D10669" s="7">
        <f>IFERROR(__xludf.DUMMYFUNCTION("""COMPUTED_VALUE"""),0.377049180327868)</f>
        <v>0.3770491803</v>
      </c>
    </row>
    <row r="10670">
      <c r="A10670" s="10" t="s">
        <v>12109</v>
      </c>
      <c r="B10670" s="7" t="str">
        <f>IFERROR(__xludf.DUMMYFUNCTION("SPLIT(A10670,"" "")"),"Cc1cnc(CN(C)C2CCCCC2N(C)c2ccc3ccc(CF)nc3c2)cc1C")</f>
        <v>Cc1cnc(CN(C)C2CCCCC2N(C)c2ccc3ccc(CF)nc3c2)cc1C</v>
      </c>
      <c r="C10670" s="7">
        <f>IFERROR(__xludf.DUMMYFUNCTION("""COMPUTED_VALUE"""),7.764887)</f>
        <v>7.764887</v>
      </c>
      <c r="D10670" s="7">
        <f>IFERROR(__xludf.DUMMYFUNCTION("""COMPUTED_VALUE"""),0.5)</f>
        <v>0.5</v>
      </c>
    </row>
    <row r="10671">
      <c r="A10671" s="10" t="s">
        <v>12110</v>
      </c>
      <c r="B10671" s="7" t="str">
        <f>IFERROR(__xludf.DUMMYFUNCTION("SPLIT(A10671,"" "")"),"CC(C)N(Cc1cc(C(C)(C)C)ccn1)C1CCCC(N(C)c2cccc3nc(CF)ccc23)C1")</f>
        <v>CC(C)N(Cc1cc(C(C)(C)C)ccn1)C1CCCC(N(C)c2cccc3nc(CF)ccc23)C1</v>
      </c>
      <c r="C10671" s="7">
        <f>IFERROR(__xludf.DUMMYFUNCTION("""COMPUTED_VALUE"""),7.764885)</f>
        <v>7.764885</v>
      </c>
      <c r="D10671" s="7">
        <f>IFERROR(__xludf.DUMMYFUNCTION("""COMPUTED_VALUE"""),0.342465753424657)</f>
        <v>0.3424657534</v>
      </c>
    </row>
    <row r="10672">
      <c r="A10672" s="10" t="s">
        <v>12111</v>
      </c>
      <c r="B10672" s="7" t="str">
        <f>IFERROR(__xludf.DUMMYFUNCTION("SPLIT(A10672,"" "")"),"CN(c1cccc2cccnc12)C1CCCC(N(Cc2ccccn2)Cc2cccnn2)C1")</f>
        <v>CN(c1cccc2cccnc12)C1CCCC(N(Cc2ccccn2)Cc2cccnn2)C1</v>
      </c>
      <c r="C10672" s="7">
        <f>IFERROR(__xludf.DUMMYFUNCTION("""COMPUTED_VALUE"""),7.7648783)</f>
        <v>7.7648783</v>
      </c>
      <c r="D10672" s="7">
        <f>IFERROR(__xludf.DUMMYFUNCTION("""COMPUTED_VALUE"""),0.482142857142857)</f>
        <v>0.4821428571</v>
      </c>
    </row>
    <row r="10673">
      <c r="A10673" s="10" t="s">
        <v>12112</v>
      </c>
      <c r="B10673" s="7" t="str">
        <f>IFERROR(__xludf.DUMMYFUNCTION("SPLIT(A10673,"" "")"),"Cc1cccnc1CN(C)Cc1ccc(N(C)C(C)C)cn1")</f>
        <v>Cc1cccnc1CN(C)Cc1ccc(N(C)C(C)C)cn1</v>
      </c>
      <c r="C10673" s="7">
        <f>IFERROR(__xludf.DUMMYFUNCTION("""COMPUTED_VALUE"""),7.7648745)</f>
        <v>7.7648745</v>
      </c>
      <c r="D10673" s="7">
        <f>IFERROR(__xludf.DUMMYFUNCTION("""COMPUTED_VALUE"""),0.413043478260869)</f>
        <v>0.4130434783</v>
      </c>
    </row>
    <row r="10674">
      <c r="A10674" s="10" t="s">
        <v>12113</v>
      </c>
      <c r="B10674" s="7" t="str">
        <f>IFERROR(__xludf.DUMMYFUNCTION("SPLIT(A10674,"" "")"),"Cc1c(CN(C)Cc2ccccn2)cccc1NCc1ccccn1")</f>
        <v>Cc1c(CN(C)Cc2ccccn2)cccc1NCc1ccccn1</v>
      </c>
      <c r="C10674" s="7">
        <f>IFERROR(__xludf.DUMMYFUNCTION("""COMPUTED_VALUE"""),7.764874)</f>
        <v>7.764874</v>
      </c>
      <c r="D10674" s="7">
        <f>IFERROR(__xludf.DUMMYFUNCTION("""COMPUTED_VALUE"""),0.489361702127659)</f>
        <v>0.4893617021</v>
      </c>
    </row>
    <row r="10675">
      <c r="A10675" s="10" t="s">
        <v>12114</v>
      </c>
      <c r="B10675" s="7" t="str">
        <f>IFERROR(__xludf.DUMMYFUNCTION("SPLIT(A10675,"" "")"),"CNC1CCC(N(Cc2nc(C)c(C)c(C)c2C)Cc2nc(C)c(C)c(C)c2[SiH3])CC1N(Cc1nc(C)c([SiH3])c([SiH3])c1C)Cc1nc(C)c(C)c(C)c1[SiH3]")</f>
        <v>CNC1CCC(N(Cc2nc(C)c(C)c(C)c2C)Cc2nc(C)c(C)c(C)c2[SiH3])CC1N(Cc1nc(C)c([SiH3])c([SiH3])c1C)Cc1nc(C)c(C)c(C)c1[SiH3]</v>
      </c>
      <c r="C10675" s="7">
        <f>IFERROR(__xludf.DUMMYFUNCTION("""COMPUTED_VALUE"""),7.7648597)</f>
        <v>7.7648597</v>
      </c>
      <c r="D10675" s="7">
        <f>IFERROR(__xludf.DUMMYFUNCTION("""COMPUTED_VALUE"""),0.17910447761194)</f>
        <v>0.1791044776</v>
      </c>
    </row>
    <row r="10676">
      <c r="A10676" s="10" t="s">
        <v>12115</v>
      </c>
      <c r="B10676" s="7" t="str">
        <f>IFERROR(__xludf.DUMMYFUNCTION("SPLIT(A10676,"" "")"),"Cc1cncc(CN(C)Cc2cc(N(C)C(C)C)ccn2)c1")</f>
        <v>Cc1cncc(CN(C)Cc2cc(N(C)C(C)C)ccn2)c1</v>
      </c>
      <c r="C10676" s="7">
        <f>IFERROR(__xludf.DUMMYFUNCTION("""COMPUTED_VALUE"""),7.764857)</f>
        <v>7.764857</v>
      </c>
      <c r="D10676" s="7">
        <f>IFERROR(__xludf.DUMMYFUNCTION("""COMPUTED_VALUE"""),0.346938775510204)</f>
        <v>0.3469387755</v>
      </c>
    </row>
    <row r="10677">
      <c r="A10677" s="10" t="s">
        <v>12116</v>
      </c>
      <c r="B10677" s="7" t="str">
        <f>IFERROR(__xludf.DUMMYFUNCTION("SPLIT(A10677,"" "")"),"Cc1ccnc(CN(C)Cc2ccnc(CN(C)C)c2)c1")</f>
        <v>Cc1ccnc(CN(C)Cc2ccnc(CN(C)C)c2)c1</v>
      </c>
      <c r="C10677" s="7">
        <f>IFERROR(__xludf.DUMMYFUNCTION("""COMPUTED_VALUE"""),7.7648554)</f>
        <v>7.7648554</v>
      </c>
      <c r="D10677" s="7">
        <f>IFERROR(__xludf.DUMMYFUNCTION("""COMPUTED_VALUE"""),0.48780487804878)</f>
        <v>0.487804878</v>
      </c>
    </row>
    <row r="10678">
      <c r="A10678" s="10" t="s">
        <v>12117</v>
      </c>
      <c r="B10678" s="7" t="str">
        <f>IFERROR(__xludf.DUMMYFUNCTION("SPLIT(A10678,"" "")"),"CCCN(C)CC1=CCC(N(C)Cc2cc(C)c(C)c(C)n2)=CN1")</f>
        <v>CCCN(C)CC1=CCC(N(C)Cc2cc(C)c(C)c(C)n2)=CN1</v>
      </c>
      <c r="C10678" s="7">
        <f>IFERROR(__xludf.DUMMYFUNCTION("""COMPUTED_VALUE"""),7.7648554)</f>
        <v>7.7648554</v>
      </c>
      <c r="D10678" s="7">
        <f>IFERROR(__xludf.DUMMYFUNCTION("""COMPUTED_VALUE"""),0.25)</f>
        <v>0.25</v>
      </c>
    </row>
    <row r="10679">
      <c r="A10679" s="10" t="s">
        <v>12118</v>
      </c>
      <c r="B10679" s="7" t="str">
        <f>IFERROR(__xludf.DUMMYFUNCTION("SPLIT(A10679,"" "")"),"Cc1cncc(CN(C)CC2=CC(N(C)Cc3nc(C)c(C)cc3C)C=CN2)c1")</f>
        <v>Cc1cncc(CN(C)CC2=CC(N(C)Cc3nc(C)c(C)cc3C)C=CN2)c1</v>
      </c>
      <c r="C10679" s="7">
        <f>IFERROR(__xludf.DUMMYFUNCTION("""COMPUTED_VALUE"""),7.764855)</f>
        <v>7.764855</v>
      </c>
      <c r="D10679" s="7">
        <f>IFERROR(__xludf.DUMMYFUNCTION("""COMPUTED_VALUE"""),0.287878787878787)</f>
        <v>0.2878787879</v>
      </c>
    </row>
    <row r="10680">
      <c r="A10680" s="10" t="s">
        <v>12119</v>
      </c>
      <c r="B10680" s="7" t="str">
        <f>IFERROR(__xludf.DUMMYFUNCTION("SPLIT(A10680,"" "")"),"CNCc1ncccc1CN(Cc1ccccn1)Cc1ncc(C)c(C)c1C")</f>
        <v>CNCc1ncccc1CN(Cc1ccccn1)Cc1ncc(C)c(C)c1C</v>
      </c>
      <c r="C10680" s="7">
        <f>IFERROR(__xludf.DUMMYFUNCTION("""COMPUTED_VALUE"""),7.764853)</f>
        <v>7.764853</v>
      </c>
      <c r="D10680" s="7">
        <f>IFERROR(__xludf.DUMMYFUNCTION("""COMPUTED_VALUE"""),0.444444444444444)</f>
        <v>0.4444444444</v>
      </c>
    </row>
    <row r="10681">
      <c r="A10681" s="10" t="s">
        <v>12120</v>
      </c>
      <c r="B10681" s="7" t="str">
        <f>IFERROR(__xludf.DUMMYFUNCTION("SPLIT(A10681,"" "")"),"CC(=O)C(=O)C(=O)C(=O)C(=O)C(=O)C(=O)C(=O)C(=O)C(=O)C(=O)C(=O)C(=O)C(=O)C(=O)C(=O)C(=O)C(C)C(C)C(C)C(C)C(C)C(C)C(C)C(C)C(C)C(=O)C(=O)C(=O)C(C)C(=O)C(=O)C(=O)C(=O)CC(=O)c1cccc(C2CCC2(C)C)n1")</f>
        <v>CC(=O)C(=O)C(=O)C(=O)C(=O)C(=O)C(=O)C(=O)C(=O)C(=O)C(=O)C(=O)C(=O)C(=O)C(=O)C(=O)C(=O)C(C)C(C)C(C)C(C)C(C)C(C)C(C)C(C)C(C)C(=O)C(=O)C(=O)C(C)C(=O)C(=O)C(=O)C(=O)CC(=O)c1cccc(C2CCC2(C)C)n1</v>
      </c>
      <c r="C10681" s="7">
        <f>IFERROR(__xludf.DUMMYFUNCTION("""COMPUTED_VALUE"""),7.7648463)</f>
        <v>7.7648463</v>
      </c>
      <c r="D10681" s="7">
        <f>IFERROR(__xludf.DUMMYFUNCTION("""COMPUTED_VALUE"""),0.195121951219512)</f>
        <v>0.1951219512</v>
      </c>
    </row>
    <row r="10682">
      <c r="A10682" s="10" t="s">
        <v>12121</v>
      </c>
      <c r="B10682" s="7" t="str">
        <f>IFERROR(__xludf.DUMMYFUNCTION("SPLIT(A10682,"" "")"),"Cc1cnccc1CN(C)C1CCCCC1N(C)c1ccc2ccc(CN(C)C)nc2c1")</f>
        <v>Cc1cnccc1CN(C)C1CCCCC1N(C)c1ccc2ccc(CN(C)C)nc2c1</v>
      </c>
      <c r="C10682" s="7">
        <f>IFERROR(__xludf.DUMMYFUNCTION("""COMPUTED_VALUE"""),7.764846)</f>
        <v>7.764846</v>
      </c>
      <c r="D10682" s="7">
        <f>IFERROR(__xludf.DUMMYFUNCTION("""COMPUTED_VALUE"""),0.389830508474576)</f>
        <v>0.3898305085</v>
      </c>
    </row>
    <row r="10683">
      <c r="A10683" s="10" t="s">
        <v>12122</v>
      </c>
      <c r="B10683" s="7" t="str">
        <f>IFERROR(__xludf.DUMMYFUNCTION("SPLIT(A10683,"" "")"),"CN(CC1=C(N(C)Cc2ccccn2)CC=CN1)Cc1ccccc1")</f>
        <v>CN(CC1=C(N(C)Cc2ccccn2)CC=CN1)Cc1ccccc1</v>
      </c>
      <c r="C10683" s="7">
        <f>IFERROR(__xludf.DUMMYFUNCTION("""COMPUTED_VALUE"""),7.764846)</f>
        <v>7.764846</v>
      </c>
      <c r="D10683" s="7">
        <f>IFERROR(__xludf.DUMMYFUNCTION("""COMPUTED_VALUE"""),0.410714285714285)</f>
        <v>0.4107142857</v>
      </c>
    </row>
    <row r="10684">
      <c r="A10684" s="10" t="s">
        <v>12123</v>
      </c>
      <c r="B10684" s="7" t="str">
        <f>IFERROR(__xludf.DUMMYFUNCTION("SPLIT(A10684,"" "")"),"Cc1ccc(C)c(CN(C)C2CCCCC2N(C)c2ccc3nc(CF)ccc3c2)n1")</f>
        <v>Cc1ccc(C)c(CN(C)C2CCCCC2N(C)c2ccc3nc(CF)ccc3c2)n1</v>
      </c>
      <c r="C10684" s="7">
        <f>IFERROR(__xludf.DUMMYFUNCTION("""COMPUTED_VALUE"""),7.764845)</f>
        <v>7.764845</v>
      </c>
      <c r="D10684" s="7">
        <f>IFERROR(__xludf.DUMMYFUNCTION("""COMPUTED_VALUE"""),0.442622950819672)</f>
        <v>0.4426229508</v>
      </c>
    </row>
    <row r="10685">
      <c r="A10685" s="10" t="s">
        <v>12124</v>
      </c>
      <c r="B10685" s="7" t="str">
        <f>IFERROR(__xludf.DUMMYFUNCTION("SPLIT(A10685,"" "")"),"CCCN(Cc1ccccn1)c1cc(C)cc(C)c1CN(C)Cc1ccccn1")</f>
        <v>CCCN(Cc1ccccn1)c1cc(C)cc(C)c1CN(C)Cc1ccccn1</v>
      </c>
      <c r="C10685" s="7">
        <f>IFERROR(__xludf.DUMMYFUNCTION("""COMPUTED_VALUE"""),7.7648435)</f>
        <v>7.7648435</v>
      </c>
      <c r="D10685" s="7">
        <f>IFERROR(__xludf.DUMMYFUNCTION("""COMPUTED_VALUE"""),0.423076923076923)</f>
        <v>0.4230769231</v>
      </c>
    </row>
    <row r="10686">
      <c r="A10686" s="10" t="s">
        <v>12125</v>
      </c>
      <c r="B10686" s="7" t="str">
        <f>IFERROR(__xludf.DUMMYFUNCTION("SPLIT(A10686,"" "")"),"Cc1ccc(C)c(CN(C)CC2=CC(N(C)Cc3ncc(C)c(C)c3C)C=CN2)n1")</f>
        <v>Cc1ccc(C)c(CN(C)CC2=CC(N(C)Cc3ncc(C)c(C)c3C)C=CN2)n1</v>
      </c>
      <c r="C10686" s="7">
        <f>IFERROR(__xludf.DUMMYFUNCTION("""COMPUTED_VALUE"""),7.7648416)</f>
        <v>7.7648416</v>
      </c>
      <c r="D10686" s="7">
        <f>IFERROR(__xludf.DUMMYFUNCTION("""COMPUTED_VALUE"""),0.292307692307692)</f>
        <v>0.2923076923</v>
      </c>
    </row>
    <row r="10687">
      <c r="A10687" s="10" t="s">
        <v>12126</v>
      </c>
      <c r="B10687" s="7" t="str">
        <f>IFERROR(__xludf.DUMMYFUNCTION("SPLIT(A10687,"" "")"),"Cc1ccnc(CN(C)C2CCCCC2N(C)c2ccc3nccc(CF)c3c2)c1")</f>
        <v>Cc1ccnc(CN(C)C2CCCCC2N(C)c2ccc3nccc(CF)c3c2)c1</v>
      </c>
      <c r="C10687" s="7">
        <f>IFERROR(__xludf.DUMMYFUNCTION("""COMPUTED_VALUE"""),7.764835)</f>
        <v>7.764835</v>
      </c>
      <c r="D10687" s="7">
        <f>IFERROR(__xludf.DUMMYFUNCTION("""COMPUTED_VALUE"""),0.413793103448275)</f>
        <v>0.4137931034</v>
      </c>
    </row>
    <row r="10688">
      <c r="A10688" s="10" t="s">
        <v>12127</v>
      </c>
      <c r="B10688" s="7" t="str">
        <f>IFERROR(__xludf.DUMMYFUNCTION("SPLIT(A10688,"" "")"),"CNCc1ccc(CN(Cc2ccccn2)C2=CNC=C(C(C)(C)C)C2)cn1")</f>
        <v>CNCc1ccc(CN(Cc2ccccn2)C2=CNC=C(C(C)(C)C)C2)cn1</v>
      </c>
      <c r="C10688" s="7">
        <f>IFERROR(__xludf.DUMMYFUNCTION("""COMPUTED_VALUE"""),7.7648253)</f>
        <v>7.7648253</v>
      </c>
      <c r="D10688" s="7">
        <f>IFERROR(__xludf.DUMMYFUNCTION("""COMPUTED_VALUE"""),0.32258064516129)</f>
        <v>0.3225806452</v>
      </c>
    </row>
    <row r="10689">
      <c r="A10689" s="10" t="s">
        <v>12128</v>
      </c>
      <c r="B10689" s="7" t="str">
        <f>IFERROR(__xludf.DUMMYFUNCTION("SPLIT(A10689,"" "")"),"Cc1ncccc1CN(C)C1CCCCC1N(C)c1ccc2c(CF)ccnc2c1")</f>
        <v>Cc1ncccc1CN(C)C1CCCCC1N(C)c1ccc2c(CF)ccnc2c1</v>
      </c>
      <c r="C10689" s="7">
        <f>IFERROR(__xludf.DUMMYFUNCTION("""COMPUTED_VALUE"""),7.764819)</f>
        <v>7.764819</v>
      </c>
      <c r="D10689" s="7">
        <f>IFERROR(__xludf.DUMMYFUNCTION("""COMPUTED_VALUE"""),0.389830508474576)</f>
        <v>0.3898305085</v>
      </c>
    </row>
    <row r="10690">
      <c r="A10690" s="10" t="s">
        <v>12129</v>
      </c>
      <c r="B10690" s="7" t="str">
        <f>IFERROR(__xludf.DUMMYFUNCTION("SPLIT(A10690,"" "")"),"Cc1cccnc1CN(C)Cc1ccc2cccc(N(C)Cc3cc(-c4ccc5c(c4)OCCOCCOCCOCCOCCO5)ccn3)c2n1")</f>
        <v>Cc1cccnc1CN(C)Cc1ccc2cccc(N(C)Cc3cc(-c4ccc5c(c4)OCCOCCOCCOCCOCCO5)ccn3)c2n1</v>
      </c>
      <c r="C10690" s="7">
        <f>IFERROR(__xludf.DUMMYFUNCTION("""COMPUTED_VALUE"""),7.764809)</f>
        <v>7.764809</v>
      </c>
      <c r="D10690" s="7">
        <f>IFERROR(__xludf.DUMMYFUNCTION("""COMPUTED_VALUE"""),0.314285714285714)</f>
        <v>0.3142857143</v>
      </c>
    </row>
    <row r="10691">
      <c r="A10691" s="10" t="s">
        <v>12130</v>
      </c>
      <c r="B10691" s="7" t="str">
        <f>IFERROR(__xludf.DUMMYFUNCTION("SPLIT(A10691,"" "")"),"CCOC(=O)C(=O)C(C)c1ncccc1CN(Cc1ccccn1)Cc1ccccn1")</f>
        <v>CCOC(=O)C(=O)C(C)c1ncccc1CN(Cc1ccccn1)Cc1ccccn1</v>
      </c>
      <c r="C10691" s="7">
        <f>IFERROR(__xludf.DUMMYFUNCTION("""COMPUTED_VALUE"""),7.764807)</f>
        <v>7.764807</v>
      </c>
      <c r="D10691" s="7">
        <f>IFERROR(__xludf.DUMMYFUNCTION("""COMPUTED_VALUE"""),0.434782608695652)</f>
        <v>0.4347826087</v>
      </c>
    </row>
    <row r="10692">
      <c r="A10692" s="10" t="s">
        <v>12131</v>
      </c>
      <c r="B10692" s="7" t="str">
        <f>IFERROR(__xludf.DUMMYFUNCTION("SPLIT(A10692,"" "")"),"Cc1cccnc1CN(C)C1=C(CNC(C)C)NC=CC1")</f>
        <v>Cc1cccnc1CN(C)C1=C(CNC(C)C)NC=CC1</v>
      </c>
      <c r="C10692" s="7">
        <f>IFERROR(__xludf.DUMMYFUNCTION("""COMPUTED_VALUE"""),7.7648053)</f>
        <v>7.7648053</v>
      </c>
      <c r="D10692" s="7">
        <f>IFERROR(__xludf.DUMMYFUNCTION("""COMPUTED_VALUE"""),0.265625)</f>
        <v>0.265625</v>
      </c>
    </row>
    <row r="10693">
      <c r="A10693" s="10" t="s">
        <v>12132</v>
      </c>
      <c r="B10693" s="7" t="str">
        <f>IFERROR(__xludf.DUMMYFUNCTION("SPLIT(A10693,"" "")"),"Fc1ccc(CN(Cc2cccc(F)n2)Cc2cccc(F)n2)nc1")</f>
        <v>Fc1ccc(CN(Cc2cccc(F)n2)Cc2cccc(F)n2)nc1</v>
      </c>
      <c r="C10693" s="7">
        <f>IFERROR(__xludf.DUMMYFUNCTION("""COMPUTED_VALUE"""),7.7648025)</f>
        <v>7.7648025</v>
      </c>
      <c r="D10693" s="7">
        <f>IFERROR(__xludf.DUMMYFUNCTION("""COMPUTED_VALUE"""),0.4375)</f>
        <v>0.4375</v>
      </c>
    </row>
    <row r="10694">
      <c r="A10694" s="10" t="s">
        <v>12133</v>
      </c>
      <c r="B10694" s="7" t="str">
        <f>IFERROR(__xludf.DUMMYFUNCTION("SPLIT(A10694,"" "")"),"CN(c1ccc2nc(CF)ccc2c1)C1CCC(N(Cc2ccccn2)Cc2cccc(F)n2)CC1")</f>
        <v>CN(c1ccc2nc(CF)ccc2c1)C1CCC(N(Cc2ccccn2)Cc2cccc(F)n2)CC1</v>
      </c>
      <c r="C10694" s="7">
        <f>IFERROR(__xludf.DUMMYFUNCTION("""COMPUTED_VALUE"""),7.7648015)</f>
        <v>7.7648015</v>
      </c>
      <c r="D10694" s="7">
        <f>IFERROR(__xludf.DUMMYFUNCTION("""COMPUTED_VALUE"""),0.393442622950819)</f>
        <v>0.393442623</v>
      </c>
    </row>
    <row r="10695">
      <c r="A10695" s="10" t="s">
        <v>12134</v>
      </c>
      <c r="B10695" s="7" t="str">
        <f>IFERROR(__xludf.DUMMYFUNCTION("SPLIT(A10695,"" "")"),"CN(c1cccc2ncccc12)C1CCC(N(Cc2ccccn2)Cc2cccnn2)CC1")</f>
        <v>CN(c1cccc2ncccc12)C1CCC(N(Cc2ccccn2)Cc2cccnn2)CC1</v>
      </c>
      <c r="C10695" s="7">
        <f>IFERROR(__xludf.DUMMYFUNCTION("""COMPUTED_VALUE"""),7.764797)</f>
        <v>7.764797</v>
      </c>
      <c r="D10695" s="7">
        <f>IFERROR(__xludf.DUMMYFUNCTION("""COMPUTED_VALUE"""),0.461538461538461)</f>
        <v>0.4615384615</v>
      </c>
    </row>
    <row r="10696">
      <c r="A10696" s="10" t="s">
        <v>12135</v>
      </c>
      <c r="B10696" s="7" t="str">
        <f>IFERROR(__xludf.DUMMYFUNCTION("SPLIT(A10696,"" "")"),"CNCc1cccc(CN(Cc2ncccc2C)C2CCC(N(C)c3ccc4cc(CF)cnc4c3)CC2)n1")</f>
        <v>CNCc1cccc(CN(Cc2ncccc2C)C2CCC(N(C)c3ccc4cc(CF)cnc4c3)CC2)n1</v>
      </c>
      <c r="C10696" s="7">
        <f>IFERROR(__xludf.DUMMYFUNCTION("""COMPUTED_VALUE"""),7.764794)</f>
        <v>7.764794</v>
      </c>
      <c r="D10696" s="7">
        <f>IFERROR(__xludf.DUMMYFUNCTION("""COMPUTED_VALUE"""),0.246753246753246)</f>
        <v>0.2467532468</v>
      </c>
    </row>
    <row r="10697">
      <c r="A10697" s="10" t="s">
        <v>12136</v>
      </c>
      <c r="B10697" s="7" t="str">
        <f>IFERROR(__xludf.DUMMYFUNCTION("SPLIT(A10697,"" "")"),"CN(Cc1ccccn1)C1CCCC(N(C)c2ccc3nccc(CF)c3c2)C1")</f>
        <v>CN(Cc1ccccn1)C1CCCC(N(C)c2ccc3nccc(CF)c3c2)C1</v>
      </c>
      <c r="C10697" s="7">
        <f>IFERROR(__xludf.DUMMYFUNCTION("""COMPUTED_VALUE"""),7.7647934)</f>
        <v>7.7647934</v>
      </c>
      <c r="D10697" s="7">
        <f>IFERROR(__xludf.DUMMYFUNCTION("""COMPUTED_VALUE"""),0.43103448275862)</f>
        <v>0.4310344828</v>
      </c>
    </row>
    <row r="10698">
      <c r="A10698" s="10" t="s">
        <v>12137</v>
      </c>
      <c r="B10698" s="7" t="str">
        <f>IFERROR(__xludf.DUMMYFUNCTION("SPLIT(A10698,"" "")"),"Cc1cncc(CN(C)C2CCC(N(Cc3ccccn3)Cc3ncccc3-c3c(Cl)cccc3Cl)CC2)c1C")</f>
        <v>Cc1cncc(CN(C)C2CCC(N(Cc3ccccn3)Cc3ncccc3-c3c(Cl)cccc3Cl)CC2)c1C</v>
      </c>
      <c r="C10698" s="7">
        <f>IFERROR(__xludf.DUMMYFUNCTION("""COMPUTED_VALUE"""),7.7647867)</f>
        <v>7.7647867</v>
      </c>
      <c r="D10698" s="7">
        <f>IFERROR(__xludf.DUMMYFUNCTION("""COMPUTED_VALUE"""),0.343283582089552)</f>
        <v>0.3432835821</v>
      </c>
    </row>
    <row r="10699">
      <c r="A10699" s="10" t="s">
        <v>12138</v>
      </c>
      <c r="B10699" s="7" t="str">
        <f>IFERROR(__xludf.DUMMYFUNCTION("SPLIT(A10699,"" "")"),"CN(Cc1ccccn1)C1C=C(NCc2ccccn2)C=CN1")</f>
        <v>CN(Cc1ccccn1)C1C=C(NCc2ccccn2)C=CN1</v>
      </c>
      <c r="C10699" s="7">
        <f>IFERROR(__xludf.DUMMYFUNCTION("""COMPUTED_VALUE"""),7.7647834)</f>
        <v>7.7647834</v>
      </c>
      <c r="D10699" s="7">
        <f>IFERROR(__xludf.DUMMYFUNCTION("""COMPUTED_VALUE"""),0.448979591836734)</f>
        <v>0.4489795918</v>
      </c>
    </row>
    <row r="10700">
      <c r="A10700" s="10" t="s">
        <v>12139</v>
      </c>
      <c r="B10700" s="7" t="str">
        <f>IFERROR(__xludf.DUMMYFUNCTION("SPLIT(A10700,"" "")"),"Cc1ccc(CN(CC2=CCC(N(C)c3cccc4ccc(CF)nc34)=CN2)C2CCCCC2N(C)Cc2ccccn2)nc1")</f>
        <v>Cc1ccc(CN(CC2=CCC(N(C)c3cccc4ccc(CF)nc34)=CN2)C2CCCCC2N(C)Cc2ccccn2)nc1</v>
      </c>
      <c r="C10700" s="7">
        <f>IFERROR(__xludf.DUMMYFUNCTION("""COMPUTED_VALUE"""),7.7647815)</f>
        <v>7.7647815</v>
      </c>
      <c r="D10700" s="7">
        <f>IFERROR(__xludf.DUMMYFUNCTION("""COMPUTED_VALUE"""),0.453333333333333)</f>
        <v>0.4533333333</v>
      </c>
    </row>
    <row r="10701">
      <c r="A10701" s="10" t="s">
        <v>12140</v>
      </c>
      <c r="B10701" s="7" t="str">
        <f>IFERROR(__xludf.DUMMYFUNCTION("SPLIT(A10701,"" "")"),"Cc1cnc(CN(Cc2ccccn2)Cc2cccnc2CNC(C)C)c(C)c1C")</f>
        <v>Cc1cnc(CN(Cc2ccccn2)Cc2cccnc2CNC(C)C)c(C)c1C</v>
      </c>
      <c r="C10701" s="7">
        <f>IFERROR(__xludf.DUMMYFUNCTION("""COMPUTED_VALUE"""),7.7647805)</f>
        <v>7.7647805</v>
      </c>
      <c r="D10701" s="7">
        <f>IFERROR(__xludf.DUMMYFUNCTION("""COMPUTED_VALUE"""),0.416666666666666)</f>
        <v>0.4166666667</v>
      </c>
    </row>
    <row r="10702">
      <c r="A10702" s="10" t="s">
        <v>12141</v>
      </c>
      <c r="B10702" s="7" t="str">
        <f>IFERROR(__xludf.DUMMYFUNCTION("SPLIT(A10702,"" "")"),"Cc1ccc(CN(C)Cc2cc(N)ccn2)c(C)c1")</f>
        <v>Cc1ccc(CN(C)Cc2cc(N)ccn2)c(C)c1</v>
      </c>
      <c r="C10702" s="7">
        <f>IFERROR(__xludf.DUMMYFUNCTION("""COMPUTED_VALUE"""),7.764776)</f>
        <v>7.764776</v>
      </c>
      <c r="D10702" s="7">
        <f>IFERROR(__xludf.DUMMYFUNCTION("""COMPUTED_VALUE"""),0.355555555555555)</f>
        <v>0.3555555556</v>
      </c>
    </row>
    <row r="10703">
      <c r="A10703" s="10" t="s">
        <v>12142</v>
      </c>
      <c r="B10703" s="7" t="str">
        <f>IFERROR(__xludf.DUMMYFUNCTION("SPLIT(A10703,"" "")"),"CN(Cc1ccc(Cl)cn1)C1CCCCC1N(C)c1ccc2ccc(CF)nc2c1")</f>
        <v>CN(Cc1ccc(Cl)cn1)C1CCCCC1N(C)c1ccc2ccc(CF)nc2c1</v>
      </c>
      <c r="C10703" s="7">
        <f>IFERROR(__xludf.DUMMYFUNCTION("""COMPUTED_VALUE"""),7.7647758)</f>
        <v>7.7647758</v>
      </c>
      <c r="D10703" s="7">
        <f>IFERROR(__xludf.DUMMYFUNCTION("""COMPUTED_VALUE"""),0.472727272727272)</f>
        <v>0.4727272727</v>
      </c>
    </row>
    <row r="10704">
      <c r="A10704" s="10" t="s">
        <v>12143</v>
      </c>
      <c r="B10704" s="7" t="str">
        <f>IFERROR(__xludf.DUMMYFUNCTION("SPLIT(A10704,"" "")"),"CN(Cc1cccnn1)C1CCC(N(C)c2ccc3nccc(CF)c3c2)CC1")</f>
        <v>CN(Cc1cccnn1)C1CCC(N(C)c2ccc3nccc(CF)c3c2)CC1</v>
      </c>
      <c r="C10704" s="7">
        <f>IFERROR(__xludf.DUMMYFUNCTION("""COMPUTED_VALUE"""),7.7647753)</f>
        <v>7.7647753</v>
      </c>
      <c r="D10704" s="7">
        <f>IFERROR(__xludf.DUMMYFUNCTION("""COMPUTED_VALUE"""),0.375)</f>
        <v>0.375</v>
      </c>
    </row>
    <row r="10705">
      <c r="A10705" s="10" t="s">
        <v>12144</v>
      </c>
      <c r="B10705" s="7" t="str">
        <f>IFERROR(__xludf.DUMMYFUNCTION("SPLIT(A10705,"" "")"),"Cc1nccc(CN(C)C2=CNC=CC2CN(C)Cc2cccnn2)c1C")</f>
        <v>Cc1nccc(CN(C)C2=CNC=CC2CN(C)Cc2cccnn2)c1C</v>
      </c>
      <c r="C10705" s="7">
        <f>IFERROR(__xludf.DUMMYFUNCTION("""COMPUTED_VALUE"""),7.7647743)</f>
        <v>7.7647743</v>
      </c>
      <c r="D10705" s="7">
        <f>IFERROR(__xludf.DUMMYFUNCTION("""COMPUTED_VALUE"""),0.392857142857142)</f>
        <v>0.3928571429</v>
      </c>
    </row>
    <row r="10706">
      <c r="A10706" s="10" t="s">
        <v>12145</v>
      </c>
      <c r="B10706" s="7" t="str">
        <f>IFERROR(__xludf.DUMMYFUNCTION("SPLIT(A10706,"" "")"),"CCN(CC1=CCC(N(C)Cc2cccc(C)n2)=CN1)Cc1ccccn1")</f>
        <v>CCN(CC1=CCC(N(C)Cc2cccc(C)n2)=CN1)Cc1ccccn1</v>
      </c>
      <c r="C10706" s="7">
        <f>IFERROR(__xludf.DUMMYFUNCTION("""COMPUTED_VALUE"""),7.764764)</f>
        <v>7.764764</v>
      </c>
      <c r="D10706" s="7">
        <f>IFERROR(__xludf.DUMMYFUNCTION("""COMPUTED_VALUE"""),0.440677966101694)</f>
        <v>0.4406779661</v>
      </c>
    </row>
    <row r="10707">
      <c r="A10707" s="10" t="s">
        <v>12146</v>
      </c>
      <c r="B10707" s="7" t="str">
        <f>IFERROR(__xludf.DUMMYFUNCTION("SPLIT(A10707,"" "")"),"CC1C=CC(N(C)Cc2cc(C(C)(C)C)ccn2)c2cccnc21")</f>
        <v>CC1C=CC(N(C)Cc2cc(C(C)(C)C)ccn2)c2cccnc21</v>
      </c>
      <c r="C10707" s="7">
        <f>IFERROR(__xludf.DUMMYFUNCTION("""COMPUTED_VALUE"""),7.7647524)</f>
        <v>7.7647524</v>
      </c>
      <c r="D10707" s="7">
        <f>IFERROR(__xludf.DUMMYFUNCTION("""COMPUTED_VALUE"""),0.321428571428571)</f>
        <v>0.3214285714</v>
      </c>
    </row>
    <row r="10708">
      <c r="A10708" s="10" t="s">
        <v>12147</v>
      </c>
      <c r="B10708" s="7" t="str">
        <f>IFERROR(__xludf.DUMMYFUNCTION("SPLIT(A10708,"" "")"),"CN(C)Cc1nccc2cc(N(C)Cc3ncccc3-c3ccc4c(c3)OCCOCCOCCOCCOCCO4)ccc12")</f>
        <v>CN(C)Cc1nccc2cc(N(C)Cc3ncccc3-c3ccc4c(c3)OCCOCCOCCOCCOCCO4)ccc12</v>
      </c>
      <c r="C10708" s="7">
        <f>IFERROR(__xludf.DUMMYFUNCTION("""COMPUTED_VALUE"""),7.7647486)</f>
        <v>7.7647486</v>
      </c>
      <c r="D10708" s="7">
        <f>IFERROR(__xludf.DUMMYFUNCTION("""COMPUTED_VALUE"""),0.298701298701298)</f>
        <v>0.2987012987</v>
      </c>
    </row>
    <row r="10709">
      <c r="A10709" s="10" t="s">
        <v>12148</v>
      </c>
      <c r="B10709" s="7" t="str">
        <f>IFERROR(__xludf.DUMMYFUNCTION("SPLIT(A10709,"" "")"),"CN(Cc1ncccc1-c1ccc2c(c1)OCCOCCOCCOCCOCCO2)C1=C(CN(C)c2ccc3cccnc3c2)NC=CC1")</f>
        <v>CN(Cc1ncccc1-c1ccc2c(c1)OCCOCCOCCOCCOCCO2)C1=C(CN(C)c2ccc3cccnc3c2)NC=CC1</v>
      </c>
      <c r="C10709" s="7">
        <f>IFERROR(__xludf.DUMMYFUNCTION("""COMPUTED_VALUE"""),7.764747)</f>
        <v>7.764747</v>
      </c>
      <c r="D10709" s="7">
        <f>IFERROR(__xludf.DUMMYFUNCTION("""COMPUTED_VALUE"""),0.261363636363636)</f>
        <v>0.2613636364</v>
      </c>
    </row>
    <row r="10710">
      <c r="A10710" s="10" t="s">
        <v>12149</v>
      </c>
      <c r="B10710" s="7" t="str">
        <f>IFERROR(__xludf.DUMMYFUNCTION("SPLIT(A10710,"" "")"),"CC(C)C1=CC(N(C)Cc2ccc(C(C)(C)c3ccccn3)cn2)C=CN1")</f>
        <v>CC(C)C1=CC(N(C)Cc2ccc(C(C)(C)c3ccccn3)cn2)C=CN1</v>
      </c>
      <c r="C10710" s="7">
        <f>IFERROR(__xludf.DUMMYFUNCTION("""COMPUTED_VALUE"""),7.7647457)</f>
        <v>7.7647457</v>
      </c>
      <c r="D10710" s="7">
        <f>IFERROR(__xludf.DUMMYFUNCTION("""COMPUTED_VALUE"""),0.317460317460317)</f>
        <v>0.3174603175</v>
      </c>
    </row>
    <row r="10711">
      <c r="A10711" s="10" t="s">
        <v>12150</v>
      </c>
      <c r="B10711" s="7" t="str">
        <f>IFERROR(__xludf.DUMMYFUNCTION("SPLIT(A10711,"" "")"),"CCN(Cc1cc(C)ccn1)C1CCC(N(C)c2ccc3nccc(CF)c3c2)CC1")</f>
        <v>CCN(Cc1cc(C)ccn1)C1CCC(N(C)c2ccc3nccc(CF)c3c2)CC1</v>
      </c>
      <c r="C10711" s="7">
        <f>IFERROR(__xludf.DUMMYFUNCTION("""COMPUTED_VALUE"""),7.7647457)</f>
        <v>7.7647457</v>
      </c>
      <c r="D10711" s="7">
        <f>IFERROR(__xludf.DUMMYFUNCTION("""COMPUTED_VALUE"""),0.276923076923076)</f>
        <v>0.2769230769</v>
      </c>
    </row>
    <row r="10712">
      <c r="A10712" s="10" t="s">
        <v>12151</v>
      </c>
      <c r="B10712" s="7" t="str">
        <f>IFERROR(__xludf.DUMMYFUNCTION("SPLIT(A10712,"" "")"),"CN(C1=CCC=CN1)C1=CCC=C(CN(C)C(C)(C)c2ccccn2)N1")</f>
        <v>CN(C1=CCC=CN1)C1=CCC=C(CN(C)C(C)(C)c2ccccn2)N1</v>
      </c>
      <c r="C10712" s="7">
        <f>IFERROR(__xludf.DUMMYFUNCTION("""COMPUTED_VALUE"""),7.764744)</f>
        <v>7.764744</v>
      </c>
      <c r="D10712" s="7">
        <f>IFERROR(__xludf.DUMMYFUNCTION("""COMPUTED_VALUE"""),0.423728813559322)</f>
        <v>0.4237288136</v>
      </c>
    </row>
    <row r="10713">
      <c r="A10713" s="10" t="s">
        <v>12152</v>
      </c>
      <c r="B10713" s="7" t="str">
        <f>IFERROR(__xludf.DUMMYFUNCTION("SPLIT(A10713,"" "")"),"CN(Cc1ccccn1)C1=CC(CN(Cc2ccccn2)Cc2ccccn2)C=CN1")</f>
        <v>CN(Cc1ccccn1)C1=CC(CN(Cc2ccccn2)Cc2ccccn2)C=CN1</v>
      </c>
      <c r="C10713" s="7">
        <f>IFERROR(__xludf.DUMMYFUNCTION("""COMPUTED_VALUE"""),7.764743)</f>
        <v>7.764743</v>
      </c>
      <c r="D10713" s="7">
        <f>IFERROR(__xludf.DUMMYFUNCTION("""COMPUTED_VALUE"""),0.461538461538461)</f>
        <v>0.4615384615</v>
      </c>
    </row>
    <row r="10714">
      <c r="A10714" s="10" t="s">
        <v>12153</v>
      </c>
      <c r="B10714" s="7" t="str">
        <f>IFERROR(__xludf.DUMMYFUNCTION("SPLIT(A10714,"" "")"),"CC(C)N(C)c1cccnc1CN(Cc1ccccn1)Cc1ncccc1F")</f>
        <v>CC(C)N(C)c1cccnc1CN(Cc1ccccn1)Cc1ncccc1F</v>
      </c>
      <c r="C10714" s="7">
        <f>IFERROR(__xludf.DUMMYFUNCTION("""COMPUTED_VALUE"""),7.764741)</f>
        <v>7.764741</v>
      </c>
      <c r="D10714" s="7">
        <f>IFERROR(__xludf.DUMMYFUNCTION("""COMPUTED_VALUE"""),0.5)</f>
        <v>0.5</v>
      </c>
    </row>
    <row r="10715">
      <c r="A10715" s="10" t="s">
        <v>12154</v>
      </c>
      <c r="B10715" s="7" t="str">
        <f>IFERROR(__xludf.DUMMYFUNCTION("SPLIT(A10715,"" "")"),"CC(C)N(Cc1ccccn1)Cc1ncccc1N(C)C1C=CC=CN1")</f>
        <v>CC(C)N(Cc1ccccn1)Cc1ncccc1N(C)C1C=CC=CN1</v>
      </c>
      <c r="C10715" s="7">
        <f>IFERROR(__xludf.DUMMYFUNCTION("""COMPUTED_VALUE"""),7.7647405)</f>
        <v>7.7647405</v>
      </c>
      <c r="D10715" s="7">
        <f>IFERROR(__xludf.DUMMYFUNCTION("""COMPUTED_VALUE"""),0.470588235294117)</f>
        <v>0.4705882353</v>
      </c>
    </row>
    <row r="10716">
      <c r="A10716" s="10" t="s">
        <v>12155</v>
      </c>
      <c r="B10716" s="7" t="str">
        <f>IFERROR(__xludf.DUMMYFUNCTION("SPLIT(A10716,"" "")"),"CN(Cc1cccc(-c2ccc3ncccc3c2)n1)C1CCC(N(C)Cc2cccc(C3CCC3(C)C)n2)CC1")</f>
        <v>CN(Cc1cccc(-c2ccc3ncccc3c2)n1)C1CCC(N(C)Cc2cccc(C3CCC3(C)C)n2)CC1</v>
      </c>
      <c r="C10716" s="7">
        <f>IFERROR(__xludf.DUMMYFUNCTION("""COMPUTED_VALUE"""),7.764735)</f>
        <v>7.764735</v>
      </c>
      <c r="D10716" s="7">
        <f>IFERROR(__xludf.DUMMYFUNCTION("""COMPUTED_VALUE"""),0.338028169014084)</f>
        <v>0.338028169</v>
      </c>
    </row>
    <row r="10717">
      <c r="A10717" s="10" t="s">
        <v>12156</v>
      </c>
      <c r="B10717" s="7" t="str">
        <f>IFERROR(__xludf.DUMMYFUNCTION("SPLIT(A10717,"" "")"),"CC1=C(C)C(C)C(C)(c2ncccc2CN(Cc2ccccn2)C2CCC(N(C)c3ccc4nccc(C)c4c3)CC2)CC1")</f>
        <v>CC1=C(C)C(C)C(C)(c2ncccc2CN(Cc2ccccn2)C2CCC(N(C)c3ccc4nccc(C)c4c3)CC2)CC1</v>
      </c>
      <c r="C10717" s="7">
        <f>IFERROR(__xludf.DUMMYFUNCTION("""COMPUTED_VALUE"""),7.7647276)</f>
        <v>7.7647276</v>
      </c>
      <c r="D10717" s="7">
        <f>IFERROR(__xludf.DUMMYFUNCTION("""COMPUTED_VALUE"""),0.285714285714285)</f>
        <v>0.2857142857</v>
      </c>
    </row>
    <row r="10718">
      <c r="A10718" s="10" t="s">
        <v>12157</v>
      </c>
      <c r="B10718" s="7" t="str">
        <f>IFERROR(__xludf.DUMMYFUNCTION("SPLIT(A10718,"" "")"),"Cc1nc(CN(C(C)C)C(C)(N)N(Cc2ccccn2)Cc2ccccn2)c(C)c(C)c1C")</f>
        <v>Cc1nc(CN(C(C)C)C(C)(N)N(Cc2ccccn2)Cc2ccccn2)c(C)c(C)c1C</v>
      </c>
      <c r="C10718" s="7">
        <f>IFERROR(__xludf.DUMMYFUNCTION("""COMPUTED_VALUE"""),7.7647195)</f>
        <v>7.7647195</v>
      </c>
      <c r="D10718" s="7">
        <f>IFERROR(__xludf.DUMMYFUNCTION("""COMPUTED_VALUE"""),0.44)</f>
        <v>0.44</v>
      </c>
    </row>
    <row r="10719">
      <c r="A10719" s="10" t="s">
        <v>12158</v>
      </c>
      <c r="B10719" s="7" t="str">
        <f>IFERROR(__xludf.DUMMYFUNCTION("SPLIT(A10719,"" "")"),"CN(Cc1ncccc1-c1cccc2c1OCCOCCOCCOCCOCCO2)C1=C(CN(C)c2ccc3ncccc3c2)CC=CN1")</f>
        <v>CN(Cc1ncccc1-c1cccc2c1OCCOCCOCCOCCOCCO2)C1=C(CN(C)c2ccc3ncccc3c2)CC=CN1</v>
      </c>
      <c r="C10719" s="7">
        <f>IFERROR(__xludf.DUMMYFUNCTION("""COMPUTED_VALUE"""),7.764719)</f>
        <v>7.764719</v>
      </c>
      <c r="D10719" s="7">
        <f>IFERROR(__xludf.DUMMYFUNCTION("""COMPUTED_VALUE"""),0.233766233766233)</f>
        <v>0.2337662338</v>
      </c>
    </row>
    <row r="10720">
      <c r="A10720" s="10" t="s">
        <v>12159</v>
      </c>
      <c r="B10720" s="7" t="str">
        <f>IFERROR(__xludf.DUMMYFUNCTION("SPLIT(A10720,"" "")"),"C=CCN(C)CC1=CCC=C(N(C)Cc2cccc(C)n2)N1")</f>
        <v>C=CCN(C)CC1=CCC=C(N(C)Cc2cccc(C)n2)N1</v>
      </c>
      <c r="C10720" s="7">
        <f>IFERROR(__xludf.DUMMYFUNCTION("""COMPUTED_VALUE"""),7.7647157)</f>
        <v>7.7647157</v>
      </c>
      <c r="D10720" s="7">
        <f>IFERROR(__xludf.DUMMYFUNCTION("""COMPUTED_VALUE"""),0.42)</f>
        <v>0.42</v>
      </c>
    </row>
    <row r="10721">
      <c r="A10721" s="10" t="s">
        <v>12160</v>
      </c>
      <c r="B10721" s="7" t="str">
        <f>IFERROR(__xludf.DUMMYFUNCTION("SPLIT(A10721,"" "")"),"CN(C1=CCC=CN1)C1CCCCC1N(C)c1ccc2ccc(CF)nc2c1")</f>
        <v>CN(C1=CCC=CN1)C1CCCCC1N(C)c1ccc2ccc(CF)nc2c1</v>
      </c>
      <c r="C10721" s="7">
        <f>IFERROR(__xludf.DUMMYFUNCTION("""COMPUTED_VALUE"""),7.7647142)</f>
        <v>7.7647142</v>
      </c>
      <c r="D10721" s="7">
        <f>IFERROR(__xludf.DUMMYFUNCTION("""COMPUTED_VALUE"""),0.46551724137931)</f>
        <v>0.4655172414</v>
      </c>
    </row>
    <row r="10722">
      <c r="A10722" s="10" t="s">
        <v>12161</v>
      </c>
      <c r="B10722" s="7" t="str">
        <f>IFERROR(__xludf.DUMMYFUNCTION("SPLIT(A10722,"" "")"),"CC1=C(c2ccc3c(c2)OCCOCCOCCOCCOCCO3)C(c2ccc3cccnc3c2N(C)C)CC=C1c1ccccc1")</f>
        <v>CC1=C(c2ccc3c(c2)OCCOCCOCCOCCOCCO3)C(c2ccc3cccnc3c2N(C)C)CC=C1c1ccccc1</v>
      </c>
      <c r="C10722" s="7">
        <f>IFERROR(__xludf.DUMMYFUNCTION("""COMPUTED_VALUE"""),7.764712)</f>
        <v>7.764712</v>
      </c>
      <c r="D10722" s="7">
        <f>IFERROR(__xludf.DUMMYFUNCTION("""COMPUTED_VALUE"""),0.277108433734939)</f>
        <v>0.2771084337</v>
      </c>
    </row>
    <row r="10723">
      <c r="A10723" s="10" t="s">
        <v>12162</v>
      </c>
      <c r="B10723" s="7" t="str">
        <f>IFERROR(__xludf.DUMMYFUNCTION("SPLIT(A10723,"" "")"),"Cc1cnc(CN(C)C2=CNC(CN(Cc3ccccn3)CC(C)(C)C)=CC2)c(C)c1")</f>
        <v>Cc1cnc(CN(C)C2=CNC(CN(Cc3ccccn3)CC(C)(C)C)=CC2)c(C)c1</v>
      </c>
      <c r="C10723" s="7">
        <f>IFERROR(__xludf.DUMMYFUNCTION("""COMPUTED_VALUE"""),7.764706)</f>
        <v>7.764706</v>
      </c>
      <c r="D10723" s="7">
        <f>IFERROR(__xludf.DUMMYFUNCTION("""COMPUTED_VALUE"""),0.433333333333333)</f>
        <v>0.4333333333</v>
      </c>
    </row>
    <row r="10724">
      <c r="A10724" s="10" t="s">
        <v>12163</v>
      </c>
      <c r="B10724" s="7" t="str">
        <f>IFERROR(__xludf.DUMMYFUNCTION("SPLIT(A10724,"" "")"),"Cc1cnc(CN(C)C2C=CNC(CN(Cc3ncc(C)c(C)c3C)C(C)C)=C2)c(C)c1C")</f>
        <v>Cc1cnc(CN(C)C2C=CNC(CN(Cc3ncc(C)c(C)c3C)C(C)C)=C2)c(C)c1C</v>
      </c>
      <c r="C10724" s="7">
        <f>IFERROR(__xludf.DUMMYFUNCTION("""COMPUTED_VALUE"""),7.7647023)</f>
        <v>7.7647023</v>
      </c>
      <c r="D10724" s="7">
        <f>IFERROR(__xludf.DUMMYFUNCTION("""COMPUTED_VALUE"""),0.295081967213114)</f>
        <v>0.2950819672</v>
      </c>
    </row>
    <row r="10725">
      <c r="A10725" s="10" t="s">
        <v>12164</v>
      </c>
      <c r="B10725" s="7" t="str">
        <f>IFERROR(__xludf.DUMMYFUNCTION("SPLIT(A10725,"" "")"),"CC1C=CC(C)C(CN(Cc2ccccn2)Cc2cccc(-c3cccc(N=Cc4ccccn4)c3)n2)C1C")</f>
        <v>CC1C=CC(C)C(CN(Cc2ccccn2)Cc2cccc(-c3cccc(N=Cc4ccccn4)c3)n2)C1C</v>
      </c>
      <c r="C10725" s="7">
        <f>IFERROR(__xludf.DUMMYFUNCTION("""COMPUTED_VALUE"""),7.7646995)</f>
        <v>7.7646995</v>
      </c>
      <c r="D10725" s="7">
        <f>IFERROR(__xludf.DUMMYFUNCTION("""COMPUTED_VALUE"""),0.477611940298507)</f>
        <v>0.4776119403</v>
      </c>
    </row>
    <row r="10726">
      <c r="A10726" s="10" t="s">
        <v>12165</v>
      </c>
      <c r="B10726" s="7" t="str">
        <f>IFERROR(__xludf.DUMMYFUNCTION("SPLIT(A10726,"" "")"),"CN(Cc1ncccc1-c1ccc2c(c1)OCCOCCOCCOCCOCCO2)C1=C(CN(C)c2ccc3ncccc3c2)NC=CC1")</f>
        <v>CN(Cc1ncccc1-c1ccc2c(c1)OCCOCCOCCOCCOCCO2)C1=C(CN(C)c2ccc3ncccc3c2)NC=CC1</v>
      </c>
      <c r="C10726" s="7">
        <f>IFERROR(__xludf.DUMMYFUNCTION("""COMPUTED_VALUE"""),7.7646947)</f>
        <v>7.7646947</v>
      </c>
      <c r="D10726" s="7">
        <f>IFERROR(__xludf.DUMMYFUNCTION("""COMPUTED_VALUE"""),0.264367816091954)</f>
        <v>0.2643678161</v>
      </c>
    </row>
    <row r="10727">
      <c r="A10727" s="10" t="s">
        <v>12166</v>
      </c>
      <c r="B10727" s="7" t="str">
        <f>IFERROR(__xludf.DUMMYFUNCTION("SPLIT(A10727,"" "")"),"CN(C)Cc1ccnc2ccc(N(C)C3CCCCC3N(C)Cc3cccnn3)cc12")</f>
        <v>CN(C)Cc1ccnc2ccc(N(C)C3CCCCC3N(C)Cc3cccnn3)cc12</v>
      </c>
      <c r="C10727" s="7">
        <f>IFERROR(__xludf.DUMMYFUNCTION("""COMPUTED_VALUE"""),7.764694)</f>
        <v>7.764694</v>
      </c>
      <c r="D10727" s="7">
        <f>IFERROR(__xludf.DUMMYFUNCTION("""COMPUTED_VALUE"""),0.43103448275862)</f>
        <v>0.4310344828</v>
      </c>
    </row>
    <row r="10728">
      <c r="A10728" s="10" t="s">
        <v>12167</v>
      </c>
      <c r="B10728" s="7" t="str">
        <f>IFERROR(__xludf.DUMMYFUNCTION("SPLIT(A10728,"" "")"),"CNCc1cccc(CN(Cc2ccccn2)Cc2ncc(C)c(C)c2C)n1")</f>
        <v>CNCc1cccc(CN(Cc2ccccn2)Cc2ncc(C)c(C)c2C)n1</v>
      </c>
      <c r="C10728" s="7">
        <f>IFERROR(__xludf.DUMMYFUNCTION("""COMPUTED_VALUE"""),7.7646823)</f>
        <v>7.7646823</v>
      </c>
      <c r="D10728" s="7">
        <f>IFERROR(__xludf.DUMMYFUNCTION("""COMPUTED_VALUE"""),0.465116279069767)</f>
        <v>0.4651162791</v>
      </c>
    </row>
    <row r="10729">
      <c r="A10729" s="10" t="s">
        <v>12168</v>
      </c>
      <c r="B10729" s="7" t="str">
        <f>IFERROR(__xludf.DUMMYFUNCTION("SPLIT(A10729,"" "")"),"CC(C)N(Cc1ccccn1)C1CCC(N(C)c2cccc3nc4c(cc23)CCC4)CC1")</f>
        <v>CC(C)N(Cc1ccccn1)C1CCC(N(C)c2cccc3nc4c(cc23)CCC4)CC1</v>
      </c>
      <c r="C10729" s="7">
        <f>IFERROR(__xludf.DUMMYFUNCTION("""COMPUTED_VALUE"""),7.7646627)</f>
        <v>7.7646627</v>
      </c>
      <c r="D10729" s="7">
        <f>IFERROR(__xludf.DUMMYFUNCTION("""COMPUTED_VALUE"""),0.38235294117647)</f>
        <v>0.3823529412</v>
      </c>
    </row>
    <row r="10730">
      <c r="A10730" s="10" t="s">
        <v>12169</v>
      </c>
      <c r="B10730" s="7" t="str">
        <f>IFERROR(__xludf.DUMMYFUNCTION("SPLIT(A10730,"" "")"),"CC(N)C(C)(c1cccnc1)c1cccc(CN(Cc2ccccn2)C2CCCCC2N(C)c2ccc3ccc(CF)nc3c2)n1")</f>
        <v>CC(N)C(C)(c1cccnc1)c1cccc(CN(Cc2ccccn2)C2CCCCC2N(C)c2ccc3ccc(CF)nc3c2)n1</v>
      </c>
      <c r="C10730" s="7">
        <f>IFERROR(__xludf.DUMMYFUNCTION("""COMPUTED_VALUE"""),7.7646594)</f>
        <v>7.7646594</v>
      </c>
      <c r="D10730" s="7">
        <f>IFERROR(__xludf.DUMMYFUNCTION("""COMPUTED_VALUE"""),0.353658536585365)</f>
        <v>0.3536585366</v>
      </c>
    </row>
    <row r="10731">
      <c r="A10731" s="10" t="s">
        <v>12170</v>
      </c>
      <c r="B10731" s="7" t="str">
        <f>IFERROR(__xludf.DUMMYFUNCTION("SPLIT(A10731,"" "")"),"CNCc1cc(CN(Cc2cccc(F)n2)Cc2ncc(C)c(C)c2C)ccn1")</f>
        <v>CNCc1cc(CN(Cc2cccc(F)n2)Cc2ncc(C)c(C)c2C)ccn1</v>
      </c>
      <c r="C10731" s="7">
        <f>IFERROR(__xludf.DUMMYFUNCTION("""COMPUTED_VALUE"""),7.7646575)</f>
        <v>7.7646575</v>
      </c>
      <c r="D10731" s="7">
        <f>IFERROR(__xludf.DUMMYFUNCTION("""COMPUTED_VALUE"""),0.352112676056338)</f>
        <v>0.3521126761</v>
      </c>
    </row>
    <row r="10732">
      <c r="A10732" s="10" t="s">
        <v>12171</v>
      </c>
      <c r="B10732" s="7" t="str">
        <f>IFERROR(__xludf.DUMMYFUNCTION("SPLIT(A10732,"" "")"),"Cc1ccc([SiH3])nc1CN(Cc1ccnc(CN(C)C(C)C)c1)Cc1ncc(C)c(C)c1C")</f>
        <v>Cc1ccc([SiH3])nc1CN(Cc1ccnc(CN(C)C(C)C)c1)Cc1ncc(C)c(C)c1C</v>
      </c>
      <c r="C10732" s="7">
        <f>IFERROR(__xludf.DUMMYFUNCTION("""COMPUTED_VALUE"""),7.7646537)</f>
        <v>7.7646537</v>
      </c>
      <c r="D10732" s="7">
        <f>IFERROR(__xludf.DUMMYFUNCTION("""COMPUTED_VALUE"""),0.262295081967213)</f>
        <v>0.262295082</v>
      </c>
    </row>
    <row r="10733">
      <c r="A10733" s="10" t="s">
        <v>12172</v>
      </c>
      <c r="B10733" s="7" t="str">
        <f>IFERROR(__xludf.DUMMYFUNCTION("SPLIT(A10733,"" "")"),"Cc1cncc(CN(C)C2=CNC(CN(Cc3ccccn3)C(C)C)=CC2)c1")</f>
        <v>Cc1cncc(CN(C)C2=CNC(CN(Cc3ccccn3)C(C)C)=CC2)c1</v>
      </c>
      <c r="C10733" s="7">
        <f>IFERROR(__xludf.DUMMYFUNCTION("""COMPUTED_VALUE"""),7.7646513)</f>
        <v>7.7646513</v>
      </c>
      <c r="D10733" s="7">
        <f>IFERROR(__xludf.DUMMYFUNCTION("""COMPUTED_VALUE"""),0.406779661016949)</f>
        <v>0.406779661</v>
      </c>
    </row>
    <row r="10734">
      <c r="A10734" s="10" t="s">
        <v>12173</v>
      </c>
      <c r="B10734" s="7" t="str">
        <f>IFERROR(__xludf.DUMMYFUNCTION("SPLIT(A10734,"" "")"),"Cc1cccc(CN(C)C2CCCC(N(C)c3ccc4nc(CF)ccc4c3)C2)n1")</f>
        <v>Cc1cccc(CN(C)C2CCCC(N(C)c3ccc4nc(CF)ccc4c3)C2)n1</v>
      </c>
      <c r="C10734" s="7">
        <f>IFERROR(__xludf.DUMMYFUNCTION("""COMPUTED_VALUE"""),7.764643)</f>
        <v>7.764643</v>
      </c>
      <c r="D10734" s="7">
        <f>IFERROR(__xludf.DUMMYFUNCTION("""COMPUTED_VALUE"""),0.464285714285714)</f>
        <v>0.4642857143</v>
      </c>
    </row>
    <row r="10735">
      <c r="A10735" s="10" t="s">
        <v>12174</v>
      </c>
      <c r="B10735" s="7" t="str">
        <f>IFERROR(__xludf.DUMMYFUNCTION("SPLIT(A10735,"" "")"),"CN(Cc1cc(C(C)(C)C)ccn1)C1CCC(N(C)c2ccc3nc(CF)ccc3c2)CC1")</f>
        <v>CN(Cc1cc(C(C)(C)C)ccn1)C1CCC(N(C)c2ccc3nc(CF)ccc3c2)CC1</v>
      </c>
      <c r="C10735" s="7">
        <f>IFERROR(__xludf.DUMMYFUNCTION("""COMPUTED_VALUE"""),7.764638)</f>
        <v>7.764638</v>
      </c>
      <c r="D10735" s="7">
        <f>IFERROR(__xludf.DUMMYFUNCTION("""COMPUTED_VALUE"""),0.308823529411764)</f>
        <v>0.3088235294</v>
      </c>
    </row>
    <row r="10736">
      <c r="A10736" s="10" t="s">
        <v>12175</v>
      </c>
      <c r="B10736" s="7" t="str">
        <f>IFERROR(__xludf.DUMMYFUNCTION("SPLIT(A10736,"" "")"),"Cc1cccnc1CN(C)C1CCCC(N(C)c2ccc3nc(CF)ccc3c2)C1")</f>
        <v>Cc1cccnc1CN(C)C1CCCC(N(C)c2ccc3nc(CF)ccc3c2)C1</v>
      </c>
      <c r="C10736" s="7">
        <f>IFERROR(__xludf.DUMMYFUNCTION("""COMPUTED_VALUE"""),7.7646327)</f>
        <v>7.7646327</v>
      </c>
      <c r="D10736" s="7">
        <f>IFERROR(__xludf.DUMMYFUNCTION("""COMPUTED_VALUE"""),0.338235294117647)</f>
        <v>0.3382352941</v>
      </c>
    </row>
    <row r="10737">
      <c r="A10737" s="10" t="s">
        <v>12176</v>
      </c>
      <c r="B10737" s="7" t="str">
        <f>IFERROR(__xludf.DUMMYFUNCTION("SPLIT(A10737,"" "")"),"Cc1cncc(CN(C)CC2=CC(N(C)Cc3nc(C)c(C)c(C)c3C)C=CN2)c1")</f>
        <v>Cc1cncc(CN(C)CC2=CC(N(C)Cc3nc(C)c(C)c(C)c3C)C=CN2)c1</v>
      </c>
      <c r="C10737" s="7">
        <f>IFERROR(__xludf.DUMMYFUNCTION("""COMPUTED_VALUE"""),7.764632)</f>
        <v>7.764632</v>
      </c>
      <c r="D10737" s="7">
        <f>IFERROR(__xludf.DUMMYFUNCTION("""COMPUTED_VALUE"""),0.287878787878787)</f>
        <v>0.2878787879</v>
      </c>
    </row>
    <row r="10738">
      <c r="A10738" s="10" t="s">
        <v>12177</v>
      </c>
      <c r="B10738" s="7" t="str">
        <f>IFERROR(__xludf.DUMMYFUNCTION("SPLIT(A10738,"" "")"),"CCN(CC1=C(N(C)Cc2ncccc2C)CC=CN1)Cc1ccccn1")</f>
        <v>CCN(CC1=C(N(C)Cc2ncccc2C)CC=CN1)Cc1ccccn1</v>
      </c>
      <c r="C10738" s="7">
        <f>IFERROR(__xludf.DUMMYFUNCTION("""COMPUTED_VALUE"""),7.7646246)</f>
        <v>7.7646246</v>
      </c>
      <c r="D10738" s="7">
        <f>IFERROR(__xludf.DUMMYFUNCTION("""COMPUTED_VALUE"""),0.40983606557377)</f>
        <v>0.4098360656</v>
      </c>
    </row>
    <row r="10739">
      <c r="A10739" s="10" t="s">
        <v>12178</v>
      </c>
      <c r="B10739" s="7" t="str">
        <f>IFERROR(__xludf.DUMMYFUNCTION("SPLIT(A10739,"" "")"),"CC(C)C(C)(c1ccccn1)c1cc(CN(Cc2ccccn2)Cc2ccccn2)ccn1")</f>
        <v>CC(C)C(C)(c1ccccn1)c1cc(CN(Cc2ccccn2)Cc2ccccn2)ccn1</v>
      </c>
      <c r="C10739" s="7">
        <f>IFERROR(__xludf.DUMMYFUNCTION("""COMPUTED_VALUE"""),7.7646246)</f>
        <v>7.7646246</v>
      </c>
      <c r="D10739" s="7">
        <f>IFERROR(__xludf.DUMMYFUNCTION("""COMPUTED_VALUE"""),0.48780487804878)</f>
        <v>0.487804878</v>
      </c>
    </row>
    <row r="10740">
      <c r="A10740" s="10" t="s">
        <v>12179</v>
      </c>
      <c r="B10740" s="7" t="str">
        <f>IFERROR(__xludf.DUMMYFUNCTION("SPLIT(A10740,"" "")"),"CN(c1cccc2ncccc12)C1CCC(N(Cc2ccccn2)C(C)(C)c2ccccn2)CC1")</f>
        <v>CN(c1cccc2ncccc12)C1CCC(N(Cc2ccccn2)C(C)(C)c2ccccn2)CC1</v>
      </c>
      <c r="C10740" s="7">
        <f>IFERROR(__xludf.DUMMYFUNCTION("""COMPUTED_VALUE"""),7.7646213)</f>
        <v>7.7646213</v>
      </c>
      <c r="D10740" s="7">
        <f>IFERROR(__xludf.DUMMYFUNCTION("""COMPUTED_VALUE"""),0.372881355932203)</f>
        <v>0.3728813559</v>
      </c>
    </row>
    <row r="10741">
      <c r="A10741" s="10" t="s">
        <v>12180</v>
      </c>
      <c r="B10741" s="7" t="str">
        <f>IFERROR(__xludf.DUMMYFUNCTION("SPLIT(A10741,"" "")"),"CC(C)(C1=CC(N(Cc2ccccn2)Cc2ccccn2)C=CN1)c1ccccn1")</f>
        <v>CC(C)(C1=CC(N(Cc2ccccn2)Cc2ccccn2)C=CN1)c1ccccn1</v>
      </c>
      <c r="C10741" s="7">
        <f>IFERROR(__xludf.DUMMYFUNCTION("""COMPUTED_VALUE"""),7.7646203)</f>
        <v>7.7646203</v>
      </c>
      <c r="D10741" s="7">
        <f>IFERROR(__xludf.DUMMYFUNCTION("""COMPUTED_VALUE"""),0.384615384615384)</f>
        <v>0.3846153846</v>
      </c>
    </row>
    <row r="10742">
      <c r="A10742" s="10" t="s">
        <v>12181</v>
      </c>
      <c r="B10742" s="7" t="str">
        <f>IFERROR(__xludf.DUMMYFUNCTION("SPLIT(A10742,"" "")"),"CC(N)C(C)(c1cccnc1)c1ncccc1CN(C)Cc1ccc(N)cn1")</f>
        <v>CC(N)C(C)(c1cccnc1)c1ncccc1CN(C)Cc1ccc(N)cn1</v>
      </c>
      <c r="C10742" s="7">
        <f>IFERROR(__xludf.DUMMYFUNCTION("""COMPUTED_VALUE"""),7.7646136)</f>
        <v>7.7646136</v>
      </c>
      <c r="D10742" s="7">
        <f>IFERROR(__xludf.DUMMYFUNCTION("""COMPUTED_VALUE"""),0.290322580645161)</f>
        <v>0.2903225806</v>
      </c>
    </row>
    <row r="10743">
      <c r="A10743" s="10" t="s">
        <v>12182</v>
      </c>
      <c r="B10743" s="7" t="str">
        <f>IFERROR(__xludf.DUMMYFUNCTION("SPLIT(A10743,"" "")"),"Cc1cnc(CN(C)C2CCC(N(Cc3ccccn3)Cc3cccc(-c4cccc(N(C)C)c4)n3)CC2)c(C)c1")</f>
        <v>Cc1cnc(CN(C)C2CCC(N(Cc3ccccn3)Cc3cccc(-c4cccc(N(C)C)c4)n3)CC2)c(C)c1</v>
      </c>
      <c r="C10743" s="7">
        <f>IFERROR(__xludf.DUMMYFUNCTION("""COMPUTED_VALUE"""),7.7646127)</f>
        <v>7.7646127</v>
      </c>
      <c r="D10743" s="7">
        <f>IFERROR(__xludf.DUMMYFUNCTION("""COMPUTED_VALUE"""),0.408450704225352)</f>
        <v>0.4084507042</v>
      </c>
    </row>
    <row r="10744">
      <c r="A10744" s="10" t="s">
        <v>12183</v>
      </c>
      <c r="B10744" s="7" t="str">
        <f>IFERROR(__xludf.DUMMYFUNCTION("SPLIT(A10744,"" "")"),"CC(C)C1=CC2C(=CN1)C=C(c1cc(CN(Cc3ccccn3)Cc3ccccn3)ccn1)C(C)C2(C)C")</f>
        <v>CC(C)C1=CC2C(=CN1)C=C(c1cc(CN(Cc3ccccn3)Cc3ccccn3)ccn1)C(C)C2(C)C</v>
      </c>
      <c r="C10744" s="7">
        <f>IFERROR(__xludf.DUMMYFUNCTION("""COMPUTED_VALUE"""),7.7646117)</f>
        <v>7.7646117</v>
      </c>
      <c r="D10744" s="7">
        <f>IFERROR(__xludf.DUMMYFUNCTION("""COMPUTED_VALUE"""),0.333333333333333)</f>
        <v>0.3333333333</v>
      </c>
    </row>
    <row r="10745">
      <c r="A10745" s="10" t="s">
        <v>12184</v>
      </c>
      <c r="B10745" s="7" t="str">
        <f>IFERROR(__xludf.DUMMYFUNCTION("SPLIT(A10745,"" "")"),"Cc1cncc(CN(C)Cc2nc(C)ccc2C)c1")</f>
        <v>Cc1cncc(CN(C)Cc2nc(C)ccc2C)c1</v>
      </c>
      <c r="C10745" s="7">
        <f>IFERROR(__xludf.DUMMYFUNCTION("""COMPUTED_VALUE"""),7.764594)</f>
        <v>7.764594</v>
      </c>
      <c r="D10745" s="7">
        <f>IFERROR(__xludf.DUMMYFUNCTION("""COMPUTED_VALUE"""),0.304347826086956)</f>
        <v>0.3043478261</v>
      </c>
    </row>
    <row r="10746">
      <c r="A10746" s="10" t="s">
        <v>12185</v>
      </c>
      <c r="B10746" s="7" t="str">
        <f>IFERROR(__xludf.DUMMYFUNCTION("SPLIT(A10746,"" "")"),"CC1=CCCC(N(C)Cc2ncccc2-c2cccc(N(C)C)c2)C1C")</f>
        <v>CC1=CCCC(N(C)Cc2ncccc2-c2cccc(N(C)C)c2)C1C</v>
      </c>
      <c r="C10746" s="7">
        <f>IFERROR(__xludf.DUMMYFUNCTION("""COMPUTED_VALUE"""),7.764592)</f>
        <v>7.764592</v>
      </c>
      <c r="D10746" s="7">
        <f>IFERROR(__xludf.DUMMYFUNCTION("""COMPUTED_VALUE"""),0.316666666666666)</f>
        <v>0.3166666667</v>
      </c>
    </row>
    <row r="10747">
      <c r="A10747" s="10" t="s">
        <v>12186</v>
      </c>
      <c r="B10747" s="7" t="str">
        <f>IFERROR(__xludf.DUMMYFUNCTION("SPLIT(A10747,"" "")"),"CC1=C(C)C(C)C2(CC1)CC(c1ncccc1CN(Cc1ccccn1)Cc1ccccn1)C1(C=C2c2ncccc2CN(Cc2ccccn2)Cc2ccccn2)CC(C)CC(C)=C1C")</f>
        <v>CC1=C(C)C(C)C2(CC1)CC(c1ncccc1CN(Cc1ccccn1)Cc1ccccn1)C1(C=C2c2ncccc2CN(Cc2ccccn2)Cc2ccccn2)CC(C)CC(C)=C1C</v>
      </c>
      <c r="C10747" s="7">
        <f>IFERROR(__xludf.DUMMYFUNCTION("""COMPUTED_VALUE"""),7.764586)</f>
        <v>7.764586</v>
      </c>
      <c r="D10747" s="7">
        <f>IFERROR(__xludf.DUMMYFUNCTION("""COMPUTED_VALUE"""),0.294117647058823)</f>
        <v>0.2941176471</v>
      </c>
    </row>
    <row r="10748">
      <c r="A10748" s="10" t="s">
        <v>12187</v>
      </c>
      <c r="B10748" s="7" t="str">
        <f>IFERROR(__xludf.DUMMYFUNCTION("SPLIT(A10748,"" "")"),"Cc1cccnc1CN(C)Cc1ccc2cccc(N(C)Cc3ncccc3-c3ccc4c(c3)OCCOCCOCCOCCOCCO4)c2n1")</f>
        <v>Cc1cccnc1CN(C)Cc1ccc2cccc(N(C)Cc3ncccc3-c3ccc4c(c3)OCCOCCOCCOCCOCCO4)c2n1</v>
      </c>
      <c r="C10748" s="7">
        <f>IFERROR(__xludf.DUMMYFUNCTION("""COMPUTED_VALUE"""),7.7645845)</f>
        <v>7.7645845</v>
      </c>
      <c r="D10748" s="7">
        <f>IFERROR(__xludf.DUMMYFUNCTION("""COMPUTED_VALUE"""),0.318840579710144)</f>
        <v>0.3188405797</v>
      </c>
    </row>
    <row r="10749">
      <c r="A10749" s="10" t="s">
        <v>12188</v>
      </c>
      <c r="B10749" s="7" t="str">
        <f>IFERROR(__xludf.DUMMYFUNCTION("SPLIT(A10749,"" "")"),"Cc1cccc(NCc2ccccn2)c1")</f>
        <v>Cc1cccc(NCc2ccccn2)c1</v>
      </c>
      <c r="C10749" s="7">
        <f>IFERROR(__xludf.DUMMYFUNCTION("""COMPUTED_VALUE"""),7.7645845)</f>
        <v>7.7645845</v>
      </c>
      <c r="D10749" s="7">
        <f>IFERROR(__xludf.DUMMYFUNCTION("""COMPUTED_VALUE"""),0.472222222222222)</f>
        <v>0.4722222222</v>
      </c>
    </row>
    <row r="10750">
      <c r="A10750" s="10" t="s">
        <v>12189</v>
      </c>
      <c r="B10750" s="7" t="str">
        <f>IFERROR(__xludf.DUMMYFUNCTION("SPLIT(A10750,"" "")"),"Cc1ncccc1CN(C)C1CCCCC1N(C)c1ccc2ccc(CN(C)C)nc2c1")</f>
        <v>Cc1ncccc1CN(C)C1CCCCC1N(C)c1ccc2ccc(CN(C)C)nc2c1</v>
      </c>
      <c r="C10750" s="7">
        <f>IFERROR(__xludf.DUMMYFUNCTION("""COMPUTED_VALUE"""),7.7645836)</f>
        <v>7.7645836</v>
      </c>
      <c r="D10750" s="7">
        <f>IFERROR(__xludf.DUMMYFUNCTION("""COMPUTED_VALUE"""),0.421052631578947)</f>
        <v>0.4210526316</v>
      </c>
    </row>
    <row r="10751">
      <c r="A10751" s="10" t="s">
        <v>12190</v>
      </c>
      <c r="B10751" s="7" t="str">
        <f>IFERROR(__xludf.DUMMYFUNCTION("SPLIT(A10751,"" "")"),"Cc1cnc(CN(C)CC2=CCC(N(C)C3C=CC=CN3)=CN2)c(C)c1")</f>
        <v>Cc1cnc(CN(C)CC2=CCC(N(C)C3C=CC=CN3)=CN2)c(C)c1</v>
      </c>
      <c r="C10751" s="7">
        <f>IFERROR(__xludf.DUMMYFUNCTION("""COMPUTED_VALUE"""),7.764575)</f>
        <v>7.764575</v>
      </c>
      <c r="D10751" s="7">
        <f>IFERROR(__xludf.DUMMYFUNCTION("""COMPUTED_VALUE"""),0.222222222222222)</f>
        <v>0.2222222222</v>
      </c>
    </row>
    <row r="10752">
      <c r="A10752" s="10" t="s">
        <v>12191</v>
      </c>
      <c r="B10752" s="7" t="str">
        <f>IFERROR(__xludf.DUMMYFUNCTION("SPLIT(A10752,"" "")"),"Cc1cncc(CN(Cc2ccccn2)C2CCC(N(C)c3ccc4ccc(CF)nc4c3)CC2)c1")</f>
        <v>Cc1cncc(CN(Cc2ccccn2)C2CCC(N(C)c3ccc4ccc(CF)nc4c3)CC2)c1</v>
      </c>
      <c r="C10752" s="7">
        <f>IFERROR(__xludf.DUMMYFUNCTION("""COMPUTED_VALUE"""),7.764571)</f>
        <v>7.764571</v>
      </c>
      <c r="D10752" s="7">
        <f>IFERROR(__xludf.DUMMYFUNCTION("""COMPUTED_VALUE"""),0.348484848484848)</f>
        <v>0.3484848485</v>
      </c>
    </row>
    <row r="10753">
      <c r="A10753" s="10" t="s">
        <v>12192</v>
      </c>
      <c r="B10753" s="7" t="str">
        <f>IFERROR(__xludf.DUMMYFUNCTION("SPLIT(A10753,"" "")"),"CCNCc1ccc(CN(C)C2CCCC(N(C)Cc3cccc(-c4cccc5ncccc45)n3)C2)cn1")</f>
        <v>CCNCc1ccc(CN(C)C2CCCC(N(C)Cc3cccc(-c4cccc5ncccc45)n3)C2)cn1</v>
      </c>
      <c r="C10753" s="7">
        <f>IFERROR(__xludf.DUMMYFUNCTION("""COMPUTED_VALUE"""),7.7645707)</f>
        <v>7.7645707</v>
      </c>
      <c r="D10753" s="7">
        <f>IFERROR(__xludf.DUMMYFUNCTION("""COMPUTED_VALUE"""),0.295774647887323)</f>
        <v>0.2957746479</v>
      </c>
    </row>
    <row r="10754">
      <c r="A10754" s="10" t="s">
        <v>12193</v>
      </c>
      <c r="B10754" s="7" t="str">
        <f>IFERROR(__xludf.DUMMYFUNCTION("SPLIT(A10754,"" "")"),"CNCc1cccc(C2=NCC(C)(C)O2)n1")</f>
        <v>CNCc1cccc(C2=NCC(C)(C)O2)n1</v>
      </c>
      <c r="C10754" s="7">
        <f>IFERROR(__xludf.DUMMYFUNCTION("""COMPUTED_VALUE"""),7.7645617)</f>
        <v>7.7645617</v>
      </c>
      <c r="D10754" s="7">
        <f>IFERROR(__xludf.DUMMYFUNCTION("""COMPUTED_VALUE"""),0.347826086956521)</f>
        <v>0.347826087</v>
      </c>
    </row>
    <row r="10755">
      <c r="A10755" s="10" t="s">
        <v>12194</v>
      </c>
      <c r="B10755" s="7" t="str">
        <f>IFERROR(__xludf.DUMMYFUNCTION("SPLIT(A10755,"" "")"),"CNCc1ncccc1CN(C)Cc1nc(C)c(C)cc1C")</f>
        <v>CNCc1ncccc1CN(C)Cc1nc(C)c(C)cc1C</v>
      </c>
      <c r="C10755" s="7">
        <f>IFERROR(__xludf.DUMMYFUNCTION("""COMPUTED_VALUE"""),7.764561)</f>
        <v>7.764561</v>
      </c>
      <c r="D10755" s="7">
        <f>IFERROR(__xludf.DUMMYFUNCTION("""COMPUTED_VALUE"""),0.38)</f>
        <v>0.38</v>
      </c>
    </row>
    <row r="10756">
      <c r="A10756" s="10" t="s">
        <v>12195</v>
      </c>
      <c r="B10756" s="7" t="str">
        <f>IFERROR(__xludf.DUMMYFUNCTION("SPLIT(A10756,"" "")"),"CCNCC1=C(N(C)Cc2nc(C)c(C)cc2C)CC=CN1")</f>
        <v>CCNCC1=C(N(C)Cc2nc(C)c(C)cc2C)CC=CN1</v>
      </c>
      <c r="C10756" s="7">
        <f>IFERROR(__xludf.DUMMYFUNCTION("""COMPUTED_VALUE"""),7.764554)</f>
        <v>7.764554</v>
      </c>
      <c r="D10756" s="7">
        <f>IFERROR(__xludf.DUMMYFUNCTION("""COMPUTED_VALUE"""),0.17910447761194)</f>
        <v>0.1791044776</v>
      </c>
    </row>
    <row r="10757">
      <c r="A10757" s="10" t="s">
        <v>12196</v>
      </c>
      <c r="B10757" s="7" t="str">
        <f>IFERROR(__xludf.DUMMYFUNCTION("SPLIT(A10757,"" "")"),"CN(Cc1cccnn1)C1CCCC(N(C)c2cccc3nccc(CF)c23)C1")</f>
        <v>CN(Cc1cccnn1)C1CCCC(N(C)c2cccc3nccc(CF)c23)C1</v>
      </c>
      <c r="C10757" s="7">
        <f>IFERROR(__xludf.DUMMYFUNCTION("""COMPUTED_VALUE"""),7.7645497)</f>
        <v>7.7645497</v>
      </c>
      <c r="D10757" s="7">
        <f>IFERROR(__xludf.DUMMYFUNCTION("""COMPUTED_VALUE"""),0.362068965517241)</f>
        <v>0.3620689655</v>
      </c>
    </row>
    <row r="10758">
      <c r="A10758" s="10" t="s">
        <v>12197</v>
      </c>
      <c r="B10758" s="7" t="str">
        <f>IFERROR(__xludf.DUMMYFUNCTION("SPLIT(A10758,"" "")"),"Cc1cccnc1CN(C)Cc1cncc(N(C)C(C)C)c1")</f>
        <v>Cc1cccnc1CN(C)Cc1cncc(N(C)C(C)C)c1</v>
      </c>
      <c r="C10758" s="7">
        <f>IFERROR(__xludf.DUMMYFUNCTION("""COMPUTED_VALUE"""),7.7645497)</f>
        <v>7.7645497</v>
      </c>
      <c r="D10758" s="7">
        <f>IFERROR(__xludf.DUMMYFUNCTION("""COMPUTED_VALUE"""),0.30188679245283)</f>
        <v>0.3018867925</v>
      </c>
    </row>
    <row r="10759">
      <c r="A10759" s="10" t="s">
        <v>12198</v>
      </c>
      <c r="B10759" s="7" t="str">
        <f>IFERROR(__xludf.DUMMYFUNCTION("SPLIT(A10759,"" "")"),"Cc1cccnc1CN(C)CC1=CC(N(C)Cc2nc(C)c(C)c(C)c2C)C=CN1")</f>
        <v>Cc1cccnc1CN(C)CC1=CC(N(C)Cc2nc(C)c(C)c(C)c2C)C=CN1</v>
      </c>
      <c r="C10759" s="7">
        <f>IFERROR(__xludf.DUMMYFUNCTION("""COMPUTED_VALUE"""),7.764547)</f>
        <v>7.764547</v>
      </c>
      <c r="D10759" s="7">
        <f>IFERROR(__xludf.DUMMYFUNCTION("""COMPUTED_VALUE"""),0.287878787878787)</f>
        <v>0.2878787879</v>
      </c>
    </row>
    <row r="10760">
      <c r="A10760" s="10" t="s">
        <v>12199</v>
      </c>
      <c r="B10760" s="7" t="str">
        <f>IFERROR(__xludf.DUMMYFUNCTION("SPLIT(A10760,"" "")"),"CC(C)N(Cc1cc(C(C)(C)C)ccn1)C1CCC(N(C)c2ccc3c(CF)ccnc3c2)CC1")</f>
        <v>CC(C)N(Cc1cc(C(C)(C)C)ccn1)C1CCC(N(C)c2ccc3c(CF)ccnc3c2)CC1</v>
      </c>
      <c r="C10760" s="7">
        <f>IFERROR(__xludf.DUMMYFUNCTION("""COMPUTED_VALUE"""),7.76454)</f>
        <v>7.76454</v>
      </c>
      <c r="D10760" s="7">
        <f>IFERROR(__xludf.DUMMYFUNCTION("""COMPUTED_VALUE"""),0.231884057971014)</f>
        <v>0.231884058</v>
      </c>
    </row>
    <row r="10761">
      <c r="A10761" s="10" t="s">
        <v>12200</v>
      </c>
      <c r="B10761" s="7" t="str">
        <f>IFERROR(__xludf.DUMMYFUNCTION("SPLIT(A10761,"" "")"),"Fc1ccc(CN(Cc2cccc(F)n2)Cc2cccc(F)n2)cn1")</f>
        <v>Fc1ccc(CN(Cc2cccc(F)n2)Cc2cccc(F)n2)cn1</v>
      </c>
      <c r="C10761" s="7">
        <f>IFERROR(__xludf.DUMMYFUNCTION("""COMPUTED_VALUE"""),7.764517)</f>
        <v>7.764517</v>
      </c>
      <c r="D10761" s="7">
        <f>IFERROR(__xludf.DUMMYFUNCTION("""COMPUTED_VALUE"""),0.428571428571428)</f>
        <v>0.4285714286</v>
      </c>
    </row>
    <row r="10762">
      <c r="A10762" s="10" t="s">
        <v>12201</v>
      </c>
      <c r="B10762" s="7" t="str">
        <f>IFERROR(__xludf.DUMMYFUNCTION("SPLIT(A10762,"" "")"),"Cc1cccnc1CN(C)Cc1cc(N(C)C(C)C)ccn1")</f>
        <v>Cc1cccnc1CN(C)Cc1cc(N(C)C(C)C)ccn1</v>
      </c>
      <c r="C10762" s="7">
        <f>IFERROR(__xludf.DUMMYFUNCTION("""COMPUTED_VALUE"""),7.764515)</f>
        <v>7.764515</v>
      </c>
      <c r="D10762" s="7">
        <f>IFERROR(__xludf.DUMMYFUNCTION("""COMPUTED_VALUE"""),0.36734693877551)</f>
        <v>0.3673469388</v>
      </c>
    </row>
    <row r="10763">
      <c r="A10763" s="10" t="s">
        <v>12202</v>
      </c>
      <c r="B10763" s="7" t="str">
        <f>IFERROR(__xludf.DUMMYFUNCTION("SPLIT(A10763,"" "")"),"CC1=CCCC(CN(Cc2ccccn2)Cc2cccc(-c3cccc(N=Cc4ccccn4)c3)n2)C1C")</f>
        <v>CC1=CCCC(CN(Cc2ccccn2)Cc2cccc(-c3cccc(N=Cc4ccccn4)c3)n2)C1C</v>
      </c>
      <c r="C10763" s="7">
        <f>IFERROR(__xludf.DUMMYFUNCTION("""COMPUTED_VALUE"""),7.764515)</f>
        <v>7.764515</v>
      </c>
      <c r="D10763" s="7">
        <f>IFERROR(__xludf.DUMMYFUNCTION("""COMPUTED_VALUE"""),0.444444444444444)</f>
        <v>0.4444444444</v>
      </c>
    </row>
    <row r="10764">
      <c r="A10764" s="10" t="s">
        <v>12203</v>
      </c>
      <c r="B10764" s="7" t="str">
        <f>IFERROR(__xludf.DUMMYFUNCTION("SPLIT(A10764,"" "")"),"Cc1ccnc(CN(C)Cc2cc(C)c(C)cn2)c1")</f>
        <v>Cc1ccnc(CN(C)Cc2cc(C)c(C)cn2)c1</v>
      </c>
      <c r="C10764" s="7">
        <f>IFERROR(__xludf.DUMMYFUNCTION("""COMPUTED_VALUE"""),7.7645135)</f>
        <v>7.7645135</v>
      </c>
      <c r="D10764" s="7">
        <f>IFERROR(__xludf.DUMMYFUNCTION("""COMPUTED_VALUE"""),0.473684210526315)</f>
        <v>0.4736842105</v>
      </c>
    </row>
    <row r="10765">
      <c r="A10765" s="10" t="s">
        <v>12204</v>
      </c>
      <c r="B10765" s="7" t="str">
        <f>IFERROR(__xludf.DUMMYFUNCTION("SPLIT(A10765,"" "")"),"CN(Cc1cccc(-c2ccc(Cl)c(Cl)c2)n1)C1CCCCC1N(Cc1ccccn1)Cc1cccc(C(C)(C)c2ccccn2)n1")</f>
        <v>CN(Cc1cccc(-c2ccc(Cl)c(Cl)c2)n1)C1CCCCC1N(Cc1ccccn1)Cc1cccc(C(C)(C)c2ccccn2)n1</v>
      </c>
      <c r="C10765" s="7">
        <f>IFERROR(__xludf.DUMMYFUNCTION("""COMPUTED_VALUE"""),7.7645073)</f>
        <v>7.7645073</v>
      </c>
      <c r="D10765" s="7">
        <f>IFERROR(__xludf.DUMMYFUNCTION("""COMPUTED_VALUE"""),0.483870967741935)</f>
        <v>0.4838709677</v>
      </c>
    </row>
    <row r="10766">
      <c r="A10766" s="10" t="s">
        <v>12205</v>
      </c>
      <c r="B10766" s="7" t="str">
        <f>IFERROR(__xludf.DUMMYFUNCTION("SPLIT(A10766,"" "")"),"CC(C)N(C)Cc1cc(N(C)C2CCC(N(C)c3ccc4nc(CF)ccc4c3)CC2)ccn1")</f>
        <v>CC(C)N(C)Cc1cc(N(C)C2CCC(N(C)c3ccc4nc(CF)ccc4c3)CC2)ccn1</v>
      </c>
      <c r="C10766" s="7">
        <f>IFERROR(__xludf.DUMMYFUNCTION("""COMPUTED_VALUE"""),7.7645044)</f>
        <v>7.7645044</v>
      </c>
      <c r="D10766" s="7">
        <f>IFERROR(__xludf.DUMMYFUNCTION("""COMPUTED_VALUE"""),0.323076923076923)</f>
        <v>0.3230769231</v>
      </c>
    </row>
    <row r="10767">
      <c r="A10767" s="10" t="s">
        <v>12206</v>
      </c>
      <c r="B10767" s="7" t="str">
        <f>IFERROR(__xludf.DUMMYFUNCTION("SPLIT(A10767,"" "")"),"Cc1cc(C(C)(C)C)cnc1CN(C)Cc1ccccn1")</f>
        <v>Cc1cc(C(C)(C)C)cnc1CN(C)Cc1ccccn1</v>
      </c>
      <c r="C10767" s="7">
        <f>IFERROR(__xludf.DUMMYFUNCTION("""COMPUTED_VALUE"""),7.764501)</f>
        <v>7.764501</v>
      </c>
      <c r="D10767" s="7">
        <f>IFERROR(__xludf.DUMMYFUNCTION("""COMPUTED_VALUE"""),0.468085106382978)</f>
        <v>0.4680851064</v>
      </c>
    </row>
    <row r="10768">
      <c r="A10768" s="10" t="s">
        <v>12207</v>
      </c>
      <c r="B10768" s="7" t="str">
        <f>IFERROR(__xludf.DUMMYFUNCTION("SPLIT(A10768,"" "")"),"CC(C)[Si](c1ccc(CN(Cc2ncccc2C(C)(C)C)Cc2ncccc2C2(C)CC(C)(C)C2)nc1)(C(C)C)C(C)C")</f>
        <v>CC(C)[Si](c1ccc(CN(Cc2ncccc2C(C)(C)C)Cc2ncccc2C2(C)CC(C)(C)C2)nc1)(C(C)C)C(C)C</v>
      </c>
      <c r="C10768" s="7">
        <f>IFERROR(__xludf.DUMMYFUNCTION("""COMPUTED_VALUE"""),7.7644944)</f>
        <v>7.7644944</v>
      </c>
      <c r="D10768" s="7">
        <f>IFERROR(__xludf.DUMMYFUNCTION("""COMPUTED_VALUE"""),0.49090909090909)</f>
        <v>0.4909090909</v>
      </c>
    </row>
    <row r="10769">
      <c r="A10769" s="10" t="s">
        <v>12208</v>
      </c>
      <c r="B10769" s="7" t="str">
        <f>IFERROR(__xludf.DUMMYFUNCTION("SPLIT(A10769,"" "")"),"CNCc1nccc2cccc(N(C)C3CCCCC3N(C)Cc3ccon3)c12")</f>
        <v>CNCc1nccc2cccc(N(C)C3CCCCC3N(C)Cc3ccon3)c12</v>
      </c>
      <c r="C10769" s="7">
        <f>IFERROR(__xludf.DUMMYFUNCTION("""COMPUTED_VALUE"""),7.764494)</f>
        <v>7.764494</v>
      </c>
      <c r="D10769" s="7">
        <f>IFERROR(__xludf.DUMMYFUNCTION("""COMPUTED_VALUE"""),0.403225806451612)</f>
        <v>0.4032258065</v>
      </c>
    </row>
    <row r="10770">
      <c r="A10770" s="10" t="s">
        <v>12209</v>
      </c>
      <c r="B10770" s="7" t="str">
        <f>IFERROR(__xludf.DUMMYFUNCTION("SPLIT(A10770,"" "")"),"Cc1ccc(CN(Cc2ccccn2)C(C)(N)c2ccccn2)nc1")</f>
        <v>Cc1ccc(CN(Cc2ccccn2)C(C)(N)c2ccccn2)nc1</v>
      </c>
      <c r="C10770" s="7">
        <f>IFERROR(__xludf.DUMMYFUNCTION("""COMPUTED_VALUE"""),7.7644854)</f>
        <v>7.7644854</v>
      </c>
      <c r="D10770" s="7">
        <f>IFERROR(__xludf.DUMMYFUNCTION("""COMPUTED_VALUE"""),0.422222222222222)</f>
        <v>0.4222222222</v>
      </c>
    </row>
    <row r="10771">
      <c r="A10771" s="10" t="s">
        <v>12210</v>
      </c>
      <c r="B10771" s="7" t="str">
        <f>IFERROR(__xludf.DUMMYFUNCTION("SPLIT(A10771,"" "")"),"CCN(Cc1cc(C)ccn1)C1CCCC(N(C)c2ccc3c(CF)ccnc3c2)C1")</f>
        <v>CCN(Cc1cc(C)ccn1)C1CCCC(N(C)c2ccc3c(CF)ccnc3c2)C1</v>
      </c>
      <c r="C10771" s="7">
        <f>IFERROR(__xludf.DUMMYFUNCTION("""COMPUTED_VALUE"""),7.764484)</f>
        <v>7.764484</v>
      </c>
      <c r="D10771" s="7">
        <f>IFERROR(__xludf.DUMMYFUNCTION("""COMPUTED_VALUE"""),0.26865671641791)</f>
        <v>0.2686567164</v>
      </c>
    </row>
    <row r="10772">
      <c r="A10772" s="10" t="s">
        <v>12211</v>
      </c>
      <c r="B10772" s="7" t="str">
        <f>IFERROR(__xludf.DUMMYFUNCTION("SPLIT(A10772,"" "")"),"CC1=NC(c2cccc(CN(C)Cc3ccccn3)c2)CO1")</f>
        <v>CC1=NC(c2cccc(CN(C)Cc3ccccn3)c2)CO1</v>
      </c>
      <c r="C10772" s="7">
        <f>IFERROR(__xludf.DUMMYFUNCTION("""COMPUTED_VALUE"""),7.764483)</f>
        <v>7.764483</v>
      </c>
      <c r="D10772" s="7">
        <f>IFERROR(__xludf.DUMMYFUNCTION("""COMPUTED_VALUE"""),0.425925925925925)</f>
        <v>0.4259259259</v>
      </c>
    </row>
    <row r="10773">
      <c r="A10773" s="10" t="s">
        <v>12212</v>
      </c>
      <c r="B10773" s="7" t="str">
        <f>IFERROR(__xludf.DUMMYFUNCTION("SPLIT(A10773,"" "")"),"CN(Cc1ccc(-c2ccc3c(c2)OCCOCCOCCOCCOCCO3)cn1)C1=CNC(CN(C)c2ccc3cccnc3c2)=CC1")</f>
        <v>CN(Cc1ccc(-c2ccc3c(c2)OCCOCCOCCOCCOCCO3)cn1)C1=CNC(CN(C)c2ccc3cccnc3c2)=CC1</v>
      </c>
      <c r="C10773" s="7">
        <f>IFERROR(__xludf.DUMMYFUNCTION("""COMPUTED_VALUE"""),7.764482)</f>
        <v>7.764482</v>
      </c>
      <c r="D10773" s="7">
        <f>IFERROR(__xludf.DUMMYFUNCTION("""COMPUTED_VALUE"""),0.37037037037037)</f>
        <v>0.3703703704</v>
      </c>
    </row>
    <row r="10774">
      <c r="A10774" s="10" t="s">
        <v>12213</v>
      </c>
      <c r="B10774" s="7" t="str">
        <f>IFERROR(__xludf.DUMMYFUNCTION("SPLIT(A10774,"" "")"),"CC(C)(C)c1cccnc1CN(Cc1ccc(F)cn1)Cc1ncccc1F")</f>
        <v>CC(C)(C)c1cccnc1CN(Cc1ccc(F)cn1)Cc1ncccc1F</v>
      </c>
      <c r="C10774" s="7">
        <f>IFERROR(__xludf.DUMMYFUNCTION("""COMPUTED_VALUE"""),7.764482)</f>
        <v>7.764482</v>
      </c>
      <c r="D10774" s="7">
        <f>IFERROR(__xludf.DUMMYFUNCTION("""COMPUTED_VALUE"""),0.347826086956521)</f>
        <v>0.347826087</v>
      </c>
    </row>
    <row r="10775">
      <c r="A10775" s="10" t="s">
        <v>12214</v>
      </c>
      <c r="B10775" s="7" t="str">
        <f>IFERROR(__xludf.DUMMYFUNCTION("SPLIT(A10775,"" "")"),"CCCN(Cc1ccccn1)c1ccc(CN(C)Cc2ccccn2)c(C)c1C")</f>
        <v>CCCN(Cc1ccccn1)c1ccc(CN(C)Cc2ccccn2)c(C)c1C</v>
      </c>
      <c r="C10775" s="7">
        <f>IFERROR(__xludf.DUMMYFUNCTION("""COMPUTED_VALUE"""),7.764481)</f>
        <v>7.764481</v>
      </c>
      <c r="D10775" s="7">
        <f>IFERROR(__xludf.DUMMYFUNCTION("""COMPUTED_VALUE"""),0.44)</f>
        <v>0.44</v>
      </c>
    </row>
    <row r="10776">
      <c r="A10776" s="10" t="s">
        <v>12215</v>
      </c>
      <c r="B10776" s="7" t="str">
        <f>IFERROR(__xludf.DUMMYFUNCTION("SPLIT(A10776,"" "")"),"CC(C)N(Cc1cc(C(C)(C)C)ccn1)C1CCC(N(C)c2ccc3nccc(CF)c3c2)CC1")</f>
        <v>CC(C)N(Cc1cc(C(C)(C)C)ccn1)C1CCC(N(C)c2ccc3nccc(CF)c3c2)CC1</v>
      </c>
      <c r="C10776" s="7">
        <f>IFERROR(__xludf.DUMMYFUNCTION("""COMPUTED_VALUE"""),7.764473)</f>
        <v>7.764473</v>
      </c>
      <c r="D10776" s="7">
        <f>IFERROR(__xludf.DUMMYFUNCTION("""COMPUTED_VALUE"""),0.228571428571428)</f>
        <v>0.2285714286</v>
      </c>
    </row>
    <row r="10777">
      <c r="A10777" s="10" t="s">
        <v>12216</v>
      </c>
      <c r="B10777" s="7" t="str">
        <f>IFERROR(__xludf.DUMMYFUNCTION("SPLIT(A10777,"" "")"),"COC(=O)C1CC(c2ccccn2)C(c2ccccn2)N(C)C1C(=O)NCc1ccccn1")</f>
        <v>COC(=O)C1CC(c2ccccn2)C(c2ccccn2)N(C)C1C(=O)NCc1ccccn1</v>
      </c>
      <c r="C10777" s="7">
        <f>IFERROR(__xludf.DUMMYFUNCTION("""COMPUTED_VALUE"""),7.7644715)</f>
        <v>7.7644715</v>
      </c>
      <c r="D10777" s="7">
        <f>IFERROR(__xludf.DUMMYFUNCTION("""COMPUTED_VALUE"""),0.36231884057971)</f>
        <v>0.3623188406</v>
      </c>
    </row>
    <row r="10778">
      <c r="A10778" s="10" t="s">
        <v>12217</v>
      </c>
      <c r="B10778" s="7" t="str">
        <f>IFERROR(__xludf.DUMMYFUNCTION("SPLIT(A10778,"" "")"),"Cc1cccc(CN(C)CC2=CC(N(C)Cc3nc(C)c(C)c(C)c3C)C=CN2)n1")</f>
        <v>Cc1cccc(CN(C)CC2=CC(N(C)Cc3nc(C)c(C)c(C)c3C)C=CN2)n1</v>
      </c>
      <c r="C10778" s="7">
        <f>IFERROR(__xludf.DUMMYFUNCTION("""COMPUTED_VALUE"""),7.76447)</f>
        <v>7.76447</v>
      </c>
      <c r="D10778" s="7">
        <f>IFERROR(__xludf.DUMMYFUNCTION("""COMPUTED_VALUE"""),0.415094339622641)</f>
        <v>0.4150943396</v>
      </c>
    </row>
    <row r="10779">
      <c r="A10779" s="10" t="s">
        <v>12218</v>
      </c>
      <c r="B10779" s="7" t="str">
        <f>IFERROR(__xludf.DUMMYFUNCTION("SPLIT(A10779,"" "")"),"Cc1cnc(CN(Cc2ncc(C)c(C)c2C)C2CCC(N(C)Cc3ncccc3-c3ccccn3)CC2)c(C)c1C")</f>
        <v>Cc1cnc(CN(Cc2ncc(C)c(C)c2C)C2CCC(N(C)Cc3ncccc3-c3ccccn3)CC2)c(C)c1C</v>
      </c>
      <c r="C10779" s="7">
        <f>IFERROR(__xludf.DUMMYFUNCTION("""COMPUTED_VALUE"""),7.7644687)</f>
        <v>7.7644687</v>
      </c>
      <c r="D10779" s="7">
        <f>IFERROR(__xludf.DUMMYFUNCTION("""COMPUTED_VALUE"""),0.338983050847457)</f>
        <v>0.3389830508</v>
      </c>
    </row>
    <row r="10780">
      <c r="A10780" s="10" t="s">
        <v>12219</v>
      </c>
      <c r="B10780" s="7" t="str">
        <f>IFERROR(__xludf.DUMMYFUNCTION("SPLIT(A10780,"" "")"),"Cc1ccccc1CN(C)C1CCCCC1N(C)c1ccc2c(C)ccnc2c1")</f>
        <v>Cc1ccccc1CN(C)C1CCCCC1N(C)c1ccc2c(C)ccnc2c1</v>
      </c>
      <c r="C10780" s="7">
        <f>IFERROR(__xludf.DUMMYFUNCTION("""COMPUTED_VALUE"""),7.7644687)</f>
        <v>7.7644687</v>
      </c>
      <c r="D10780" s="7">
        <f>IFERROR(__xludf.DUMMYFUNCTION("""COMPUTED_VALUE"""),0.418181818181818)</f>
        <v>0.4181818182</v>
      </c>
    </row>
    <row r="10781">
      <c r="A10781" s="10" t="s">
        <v>12220</v>
      </c>
      <c r="B10781" s="7" t="str">
        <f>IFERROR(__xludf.DUMMYFUNCTION("SPLIT(A10781,"" "")"),"Cc1cnccc1N(C)C1=CNC(CN(C)C(C)C)=CC1")</f>
        <v>Cc1cnccc1N(C)C1=CNC(CN(C)C(C)C)=CC1</v>
      </c>
      <c r="C10781" s="7">
        <f>IFERROR(__xludf.DUMMYFUNCTION("""COMPUTED_VALUE"""),7.7644606)</f>
        <v>7.7644606</v>
      </c>
      <c r="D10781" s="7">
        <f>IFERROR(__xludf.DUMMYFUNCTION("""COMPUTED_VALUE"""),0.238095238095238)</f>
        <v>0.2380952381</v>
      </c>
    </row>
    <row r="10782">
      <c r="A10782" s="10" t="s">
        <v>12221</v>
      </c>
      <c r="B10782" s="7" t="str">
        <f>IFERROR(__xludf.DUMMYFUNCTION("SPLIT(A10782,"" "")"),"CNCc1cc(CN(C)C2CCCC(N(C)c3ccc4c(C)ccnc4c3)C2)ccn1")</f>
        <v>CNCc1cc(CN(C)C2CCCC(N(C)c3ccc4c(C)ccnc4c3)C2)ccn1</v>
      </c>
      <c r="C10782" s="7">
        <f>IFERROR(__xludf.DUMMYFUNCTION("""COMPUTED_VALUE"""),7.7644515)</f>
        <v>7.7644515</v>
      </c>
      <c r="D10782" s="7">
        <f>IFERROR(__xludf.DUMMYFUNCTION("""COMPUTED_VALUE"""),0.272727272727272)</f>
        <v>0.2727272727</v>
      </c>
    </row>
    <row r="10783">
      <c r="A10783" s="10" t="s">
        <v>12222</v>
      </c>
      <c r="B10783" s="7" t="str">
        <f>IFERROR(__xludf.DUMMYFUNCTION("SPLIT(A10783,"" "")"),"CCNCC1=CCC=C(N(C)Cc2nccc(C)c2C)N1")</f>
        <v>CCNCC1=CCC=C(N(C)Cc2nccc(C)c2C)N1</v>
      </c>
      <c r="C10783" s="7">
        <f>IFERROR(__xludf.DUMMYFUNCTION("""COMPUTED_VALUE"""),7.764449)</f>
        <v>7.764449</v>
      </c>
      <c r="D10783" s="7">
        <f>IFERROR(__xludf.DUMMYFUNCTION("""COMPUTED_VALUE"""),0.234375)</f>
        <v>0.234375</v>
      </c>
    </row>
    <row r="10784">
      <c r="A10784" s="10" t="s">
        <v>12223</v>
      </c>
      <c r="B10784" s="7" t="str">
        <f>IFERROR(__xludf.DUMMYFUNCTION("SPLIT(A10784,"" "")"),"CNC1CCC(N(C)Cc2ncccc2C)CC1N(C)c1ccc2nccc(CF)c2c1")</f>
        <v>CNC1CCC(N(C)Cc2ncccc2C)CC1N(C)c1ccc2nccc(CF)c2c1</v>
      </c>
      <c r="C10784" s="7">
        <f>IFERROR(__xludf.DUMMYFUNCTION("""COMPUTED_VALUE"""),7.764445)</f>
        <v>7.764445</v>
      </c>
      <c r="D10784" s="7">
        <f>IFERROR(__xludf.DUMMYFUNCTION("""COMPUTED_VALUE"""),0.243243243243243)</f>
        <v>0.2432432432</v>
      </c>
    </row>
    <row r="10785">
      <c r="A10785" s="10" t="s">
        <v>12224</v>
      </c>
      <c r="B10785" s="7" t="str">
        <f>IFERROR(__xludf.DUMMYFUNCTION("SPLIT(A10785,"" "")"),"Cc1cncc(CN(Cc2ccccn2)C2CCC(N(C)c3ccc4cc(CF)cnc4c3)CC2)c1")</f>
        <v>Cc1cncc(CN(Cc2ccccn2)C2CCC(N(C)c3ccc4cc(CF)cnc4c3)CC2)c1</v>
      </c>
      <c r="C10785" s="7">
        <f>IFERROR(__xludf.DUMMYFUNCTION("""COMPUTED_VALUE"""),7.764435)</f>
        <v>7.764435</v>
      </c>
      <c r="D10785" s="7">
        <f>IFERROR(__xludf.DUMMYFUNCTION("""COMPUTED_VALUE"""),0.323529411764705)</f>
        <v>0.3235294118</v>
      </c>
    </row>
    <row r="10786">
      <c r="A10786" s="10" t="s">
        <v>12225</v>
      </c>
      <c r="B10786" s="7" t="str">
        <f>IFERROR(__xludf.DUMMYFUNCTION("SPLIT(A10786,"" "")"),"Cc1cccc(CN(Cc2ccc([SiH3])cn2)Cc2cccc(CN(Cc3cccc(C)n3)C(C)C)n2)n1")</f>
        <v>Cc1cccc(CN(Cc2ccc([SiH3])cn2)Cc2cccc(CN(Cc3cccc(C)n3)C(C)C)n2)n1</v>
      </c>
      <c r="C10786" s="7">
        <f>IFERROR(__xludf.DUMMYFUNCTION("""COMPUTED_VALUE"""),7.764432)</f>
        <v>7.764432</v>
      </c>
      <c r="D10786" s="7">
        <f>IFERROR(__xludf.DUMMYFUNCTION("""COMPUTED_VALUE"""),0.404255319148936)</f>
        <v>0.4042553191</v>
      </c>
    </row>
    <row r="10787">
      <c r="A10787" s="10" t="s">
        <v>12226</v>
      </c>
      <c r="B10787" s="7" t="str">
        <f>IFERROR(__xludf.DUMMYFUNCTION("SPLIT(A10787,"" "")"),"CN(C)Cc1cnc2cc(N(C)C3CCCCC3N(Cc3ccccn3)Cc3cccnn3)ccc2c1")</f>
        <v>CN(C)Cc1cnc2cc(N(C)C3CCCCC3N(Cc3ccccn3)Cc3cccnn3)ccc2c1</v>
      </c>
      <c r="C10787" s="7">
        <f>IFERROR(__xludf.DUMMYFUNCTION("""COMPUTED_VALUE"""),7.7644267)</f>
        <v>7.7644267</v>
      </c>
      <c r="D10787" s="7">
        <f>IFERROR(__xludf.DUMMYFUNCTION("""COMPUTED_VALUE"""),0.419354838709677)</f>
        <v>0.4193548387</v>
      </c>
    </row>
    <row r="10788">
      <c r="A10788" s="10" t="s">
        <v>12227</v>
      </c>
      <c r="B10788" s="7" t="str">
        <f>IFERROR(__xludf.DUMMYFUNCTION("SPLIT(A10788,"" "")"),"Cc1cc(C)c(CN(C)C2=C(CN(C)C(C)(C)C)NC=CC2)nc1C")</f>
        <v>Cc1cc(C)c(CN(C)C2=C(CN(C)C(C)(C)C)NC=CC2)nc1C</v>
      </c>
      <c r="C10788" s="7">
        <f>IFERROR(__xludf.DUMMYFUNCTION("""COMPUTED_VALUE"""),7.764424)</f>
        <v>7.764424</v>
      </c>
      <c r="D10788" s="7">
        <f>IFERROR(__xludf.DUMMYFUNCTION("""COMPUTED_VALUE"""),0.189655172413793)</f>
        <v>0.1896551724</v>
      </c>
    </row>
    <row r="10789">
      <c r="A10789" s="10" t="s">
        <v>12228</v>
      </c>
      <c r="B10789" s="7" t="str">
        <f>IFERROR(__xludf.DUMMYFUNCTION("SPLIT(A10789,"" "")"),"CCCN(Cc1ccccn1)Cc1cc(C)c(CN(C)Cc2nc(C)c(C)c(C)c2C)c(C)n1")</f>
        <v>CCCN(Cc1ccccn1)Cc1cc(C)c(CN(C)Cc2nc(C)c(C)c(C)c2C)c(C)n1</v>
      </c>
      <c r="C10789" s="7">
        <f>IFERROR(__xludf.DUMMYFUNCTION("""COMPUTED_VALUE"""),7.764414)</f>
        <v>7.764414</v>
      </c>
      <c r="D10789" s="7">
        <f>IFERROR(__xludf.DUMMYFUNCTION("""COMPUTED_VALUE"""),0.418181818181818)</f>
        <v>0.4181818182</v>
      </c>
    </row>
    <row r="10790">
      <c r="A10790" s="10" t="s">
        <v>12229</v>
      </c>
      <c r="B10790" s="7" t="str">
        <f>IFERROR(__xludf.DUMMYFUNCTION("SPLIT(A10790,"" "")"),"C=CCN(C)CC1=CCC=C(N(C)Cc2ncccc2C)N1")</f>
        <v>C=CCN(C)CC1=CCC=C(N(C)Cc2ncccc2C)N1</v>
      </c>
      <c r="C10790" s="7">
        <f>IFERROR(__xludf.DUMMYFUNCTION("""COMPUTED_VALUE"""),7.764412)</f>
        <v>7.764412</v>
      </c>
      <c r="D10790" s="7">
        <f>IFERROR(__xludf.DUMMYFUNCTION("""COMPUTED_VALUE"""),0.261538461538461)</f>
        <v>0.2615384615</v>
      </c>
    </row>
    <row r="10791">
      <c r="A10791" s="10" t="s">
        <v>12230</v>
      </c>
      <c r="B10791" s="7" t="str">
        <f>IFERROR(__xludf.DUMMYFUNCTION("SPLIT(A10791,"" "")"),"CN(Cc1ccccn1)C1=CNC(CN(C)C(C)(C)c2ccccn2)=CC1")</f>
        <v>CN(Cc1ccccn1)C1=CNC(CN(C)C(C)(C)c2ccccn2)=CC1</v>
      </c>
      <c r="C10791" s="7">
        <f>IFERROR(__xludf.DUMMYFUNCTION("""COMPUTED_VALUE"""),7.7644105)</f>
        <v>7.7644105</v>
      </c>
      <c r="D10791" s="7">
        <f>IFERROR(__xludf.DUMMYFUNCTION("""COMPUTED_VALUE"""),0.407407407407407)</f>
        <v>0.4074074074</v>
      </c>
    </row>
    <row r="10792">
      <c r="A10792" s="10" t="s">
        <v>12231</v>
      </c>
      <c r="B10792" s="7" t="str">
        <f>IFERROR(__xludf.DUMMYFUNCTION("SPLIT(A10792,"" "")"),"CC(C)C(C)(c1cccnc1)c1ncccc1CN(Cc1ccccn1)Cc1ncccc1C(C)(C)C")</f>
        <v>CC(C)C(C)(c1cccnc1)c1ncccc1CN(Cc1ccccn1)Cc1ncccc1C(C)(C)C</v>
      </c>
      <c r="C10792" s="7">
        <f>IFERROR(__xludf.DUMMYFUNCTION("""COMPUTED_VALUE"""),7.76441)</f>
        <v>7.76441</v>
      </c>
      <c r="D10792" s="7">
        <f>IFERROR(__xludf.DUMMYFUNCTION("""COMPUTED_VALUE"""),0.37037037037037)</f>
        <v>0.3703703704</v>
      </c>
    </row>
    <row r="10793">
      <c r="A10793" s="10" t="s">
        <v>12232</v>
      </c>
      <c r="B10793" s="7" t="str">
        <f>IFERROR(__xludf.DUMMYFUNCTION("SPLIT(A10793,"" "")"),"CC(C)(c1ccccn1)c1cccnc1CN(Cc1ccccn1)Cc1ccc(CN(Cc2ccccn2)Cc2ccccn2)c(C2CCC2(C)C)n1")</f>
        <v>CC(C)(c1ccccn1)c1cccnc1CN(Cc1ccccn1)Cc1ccc(CN(Cc2ccccn2)Cc2ccccn2)c(C2CCC2(C)C)n1</v>
      </c>
      <c r="C10793" s="7">
        <f>IFERROR(__xludf.DUMMYFUNCTION("""COMPUTED_VALUE"""),7.764407)</f>
        <v>7.764407</v>
      </c>
      <c r="D10793" s="7">
        <f>IFERROR(__xludf.DUMMYFUNCTION("""COMPUTED_VALUE"""),0.348484848484848)</f>
        <v>0.3484848485</v>
      </c>
    </row>
    <row r="10794">
      <c r="A10794" s="10" t="s">
        <v>12233</v>
      </c>
      <c r="B10794" s="7" t="str">
        <f>IFERROR(__xludf.DUMMYFUNCTION("SPLIT(A10794,"" "")"),"CN(CN)c1cncc(CN(Cc2ccccn2)Cc2ccccn2)c1")</f>
        <v>CN(CN)c1cncc(CN(Cc2ccccn2)Cc2ccccn2)c1</v>
      </c>
      <c r="C10794" s="7">
        <f>IFERROR(__xludf.DUMMYFUNCTION("""COMPUTED_VALUE"""),7.764405)</f>
        <v>7.764405</v>
      </c>
      <c r="D10794" s="7">
        <f>IFERROR(__xludf.DUMMYFUNCTION("""COMPUTED_VALUE"""),0.5)</f>
        <v>0.5</v>
      </c>
    </row>
    <row r="10795">
      <c r="A10795" s="10" t="s">
        <v>12234</v>
      </c>
      <c r="B10795" s="7" t="str">
        <f>IFERROR(__xludf.DUMMYFUNCTION("SPLIT(A10795,"" "")"),"CN(c1ccc2nc(-c3ccccn3)ccc2c1)C1CCC(N(Cc2ccccn2)Cc2cccc(-c3cc(N(C)C(C)(C)c4ccccn4)cc4c3OCCOCCOCCOCCOCCO4)n2)CC1")</f>
        <v>CN(c1ccc2nc(-c3ccccn3)ccc2c1)C1CCC(N(Cc2ccccn2)Cc2cccc(-c3cc(N(C)C(C)(C)c4ccccn4)cc4c3OCCOCCOCCOCCOCCO4)n2)CC1</v>
      </c>
      <c r="C10795" s="7">
        <f>IFERROR(__xludf.DUMMYFUNCTION("""COMPUTED_VALUE"""),7.7644005)</f>
        <v>7.7644005</v>
      </c>
      <c r="D10795" s="7">
        <f>IFERROR(__xludf.DUMMYFUNCTION("""COMPUTED_VALUE"""),0.341463414634146)</f>
        <v>0.3414634146</v>
      </c>
    </row>
    <row r="10796">
      <c r="A10796" s="10" t="s">
        <v>12235</v>
      </c>
      <c r="B10796" s="7" t="str">
        <f>IFERROR(__xludf.DUMMYFUNCTION("SPLIT(A10796,"" "")"),"CNCc1ncccc1CN(C)Cc1cc(C)c(C)c(C)n1")</f>
        <v>CNCc1ncccc1CN(C)Cc1cc(C)c(C)c(C)n1</v>
      </c>
      <c r="C10796" s="7">
        <f>IFERROR(__xludf.DUMMYFUNCTION("""COMPUTED_VALUE"""),7.7644)</f>
        <v>7.7644</v>
      </c>
      <c r="D10796" s="7">
        <f>IFERROR(__xludf.DUMMYFUNCTION("""COMPUTED_VALUE"""),0.358490566037735)</f>
        <v>0.358490566</v>
      </c>
    </row>
    <row r="10797">
      <c r="A10797" s="10" t="s">
        <v>12236</v>
      </c>
      <c r="B10797" s="7" t="str">
        <f>IFERROR(__xludf.DUMMYFUNCTION("SPLIT(A10797,"" "")"),"Cc1cccc(CN(C)CC2=CC(N(C)Cc3nc(C)c(C)cc3C)C=CN2)n1")</f>
        <v>Cc1cccc(CN(C)CC2=CC(N(C)Cc3nc(C)c(C)cc3C)C=CN2)n1</v>
      </c>
      <c r="C10797" s="7">
        <f>IFERROR(__xludf.DUMMYFUNCTION("""COMPUTED_VALUE"""),7.7644)</f>
        <v>7.7644</v>
      </c>
      <c r="D10797" s="7">
        <f>IFERROR(__xludf.DUMMYFUNCTION("""COMPUTED_VALUE"""),0.407407407407407)</f>
        <v>0.4074074074</v>
      </c>
    </row>
    <row r="10798">
      <c r="A10798" s="10" t="s">
        <v>12237</v>
      </c>
      <c r="B10798" s="7" t="str">
        <f>IFERROR(__xludf.DUMMYFUNCTION("SPLIT(A10798,"" "")"),"Cc1ccc(CN(C)C2CCCC(N(Cc3ccccn3)c3ccc4nc(CF)ccc4c3)C2N(C)Cc2ccccn2)nc1")</f>
        <v>Cc1ccc(CN(C)C2CCCC(N(Cc3ccccn3)c3ccc4nc(CF)ccc4c3)C2N(C)Cc2ccccn2)nc1</v>
      </c>
      <c r="C10798" s="7">
        <f>IFERROR(__xludf.DUMMYFUNCTION("""COMPUTED_VALUE"""),7.7643986)</f>
        <v>7.7643986</v>
      </c>
      <c r="D10798" s="7">
        <f>IFERROR(__xludf.DUMMYFUNCTION("""COMPUTED_VALUE"""),0.46031746031746)</f>
        <v>0.4603174603</v>
      </c>
    </row>
    <row r="10799">
      <c r="A10799" s="10" t="s">
        <v>12238</v>
      </c>
      <c r="B10799" s="7" t="str">
        <f>IFERROR(__xludf.DUMMYFUNCTION("SPLIT(A10799,"" "")"),"CN(Cc1cc(-c2ccc3c(c2)OCCOCCOCCOCCOCCO3)ccn1)C1=CNC(CN(C)c2ccc3ncccc3c2)=CC1")</f>
        <v>CN(Cc1cc(-c2ccc3c(c2)OCCOCCOCCOCCOCCO3)ccn1)C1=CNC(CN(C)c2ccc3ncccc3c2)=CC1</v>
      </c>
      <c r="C10799" s="7">
        <f>IFERROR(__xludf.DUMMYFUNCTION("""COMPUTED_VALUE"""),7.764398)</f>
        <v>7.764398</v>
      </c>
      <c r="D10799" s="7">
        <f>IFERROR(__xludf.DUMMYFUNCTION("""COMPUTED_VALUE"""),0.297619047619047)</f>
        <v>0.2976190476</v>
      </c>
    </row>
    <row r="10800">
      <c r="A10800" s="10" t="s">
        <v>12239</v>
      </c>
      <c r="B10800" s="7" t="str">
        <f>IFERROR(__xludf.DUMMYFUNCTION("SPLIT(A10800,"" "")"),"CCNC1C(N(C)Cc2ncccc2C)CCCC1N(Cc1ncccc1C)c1ccc2nccc(CF)c2c1")</f>
        <v>CCNC1C(N(C)Cc2ncccc2C)CCCC1N(Cc1ncccc1C)c1ccc2nccc(CF)c2c1</v>
      </c>
      <c r="C10800" s="7">
        <f>IFERROR(__xludf.DUMMYFUNCTION("""COMPUTED_VALUE"""),7.7643976)</f>
        <v>7.7643976</v>
      </c>
      <c r="D10800" s="7">
        <f>IFERROR(__xludf.DUMMYFUNCTION("""COMPUTED_VALUE"""),0.291666666666666)</f>
        <v>0.2916666667</v>
      </c>
    </row>
    <row r="10801">
      <c r="A10801" s="10" t="s">
        <v>12240</v>
      </c>
      <c r="B10801" s="7" t="str">
        <f>IFERROR(__xludf.DUMMYFUNCTION("SPLIT(A10801,"" "")"),"Cc1ccc(CN(Cc2ccccn2)C2CCC(N(C)c3ccc4nc(CF)ccc4c3)CC2)nc1")</f>
        <v>Cc1ccc(CN(Cc2ccccn2)C2CCC(N(C)c3ccc4nc(CF)ccc4c3)CC2)nc1</v>
      </c>
      <c r="C10801" s="7">
        <f>IFERROR(__xludf.DUMMYFUNCTION("""COMPUTED_VALUE"""),7.7643814)</f>
        <v>7.7643814</v>
      </c>
      <c r="D10801" s="7">
        <f>IFERROR(__xludf.DUMMYFUNCTION("""COMPUTED_VALUE"""),0.379310344827586)</f>
        <v>0.3793103448</v>
      </c>
    </row>
    <row r="10802">
      <c r="A10802" s="10" t="s">
        <v>12241</v>
      </c>
      <c r="B10802" s="7" t="str">
        <f>IFERROR(__xludf.DUMMYFUNCTION("SPLIT(A10802,"" "")"),"Cc1cc(C)c(CN(C)C2C=CNC(CN(C)Cc3ncccc3C)=C2)nc1C")</f>
        <v>Cc1cc(C)c(CN(C)C2C=CNC(CN(C)Cc3ncccc3C)=C2)nc1C</v>
      </c>
      <c r="C10802" s="7">
        <f>IFERROR(__xludf.DUMMYFUNCTION("""COMPUTED_VALUE"""),7.764381)</f>
        <v>7.764381</v>
      </c>
      <c r="D10802" s="7">
        <f>IFERROR(__xludf.DUMMYFUNCTION("""COMPUTED_VALUE"""),0.287878787878787)</f>
        <v>0.2878787879</v>
      </c>
    </row>
    <row r="10803">
      <c r="A10803" s="10" t="s">
        <v>12242</v>
      </c>
      <c r="B10803" s="7" t="str">
        <f>IFERROR(__xludf.DUMMYFUNCTION("SPLIT(A10803,"" "")"),"Cc1ccc(C(C)(C)CN(C)Cc2ccccn2)cc1NCc1ccccn1")</f>
        <v>Cc1ccc(C(C)(C)CN(C)Cc2ccccn2)cc1NCc1ccccn1</v>
      </c>
      <c r="C10803" s="7">
        <f>IFERROR(__xludf.DUMMYFUNCTION("""COMPUTED_VALUE"""),7.7643805)</f>
        <v>7.7643805</v>
      </c>
      <c r="D10803" s="7">
        <f>IFERROR(__xludf.DUMMYFUNCTION("""COMPUTED_VALUE"""),0.396226415094339)</f>
        <v>0.3962264151</v>
      </c>
    </row>
    <row r="10804">
      <c r="A10804" s="10" t="s">
        <v>12243</v>
      </c>
      <c r="B10804" s="7" t="str">
        <f>IFERROR(__xludf.DUMMYFUNCTION("SPLIT(A10804,"" "")"),"Cc1cc(NCc2ccccn2)ccc1CNCc1ccccn1")</f>
        <v>Cc1cc(NCc2ccccn2)ccc1CNCc1ccccn1</v>
      </c>
      <c r="C10804" s="7">
        <f>IFERROR(__xludf.DUMMYFUNCTION("""COMPUTED_VALUE"""),7.76438)</f>
        <v>7.76438</v>
      </c>
      <c r="D10804" s="7">
        <f>IFERROR(__xludf.DUMMYFUNCTION("""COMPUTED_VALUE"""),0.487179487179487)</f>
        <v>0.4871794872</v>
      </c>
    </row>
    <row r="10805">
      <c r="A10805" s="10" t="s">
        <v>12244</v>
      </c>
      <c r="B10805" s="7" t="str">
        <f>IFERROR(__xludf.DUMMYFUNCTION("SPLIT(A10805,"" "")"),"CN(Cc1cccnn1)C1CCCC(N(C)c2cccc3c(CF)ccnc23)C1")</f>
        <v>CN(Cc1cccnn1)C1CCCC(N(C)c2cccc3c(CF)ccnc23)C1</v>
      </c>
      <c r="C10805" s="7">
        <f>IFERROR(__xludf.DUMMYFUNCTION("""COMPUTED_VALUE"""),7.764377)</f>
        <v>7.764377</v>
      </c>
      <c r="D10805" s="7">
        <f>IFERROR(__xludf.DUMMYFUNCTION("""COMPUTED_VALUE"""),0.362068965517241)</f>
        <v>0.3620689655</v>
      </c>
    </row>
    <row r="10806">
      <c r="A10806" s="10" t="s">
        <v>12245</v>
      </c>
      <c r="B10806" s="7" t="str">
        <f>IFERROR(__xludf.DUMMYFUNCTION("SPLIT(A10806,"" "")"),"CN1CCN(C)CCN(Cc2cncc(N(C)c3ccc4cccnc4c3)c2)CC1")</f>
        <v>CN1CCN(C)CCN(Cc2cncc(N(C)c3ccc4cccnc4c3)c2)CC1</v>
      </c>
      <c r="C10806" s="7">
        <f>IFERROR(__xludf.DUMMYFUNCTION("""COMPUTED_VALUE"""),7.7643704)</f>
        <v>7.7643704</v>
      </c>
      <c r="D10806" s="7">
        <f>IFERROR(__xludf.DUMMYFUNCTION("""COMPUTED_VALUE"""),0.389830508474576)</f>
        <v>0.3898305085</v>
      </c>
    </row>
    <row r="10807">
      <c r="A10807" s="10" t="s">
        <v>12246</v>
      </c>
      <c r="B10807" s="7" t="str">
        <f>IFERROR(__xludf.DUMMYFUNCTION("SPLIT(A10807,"" "")"),"CN1CCN(C)CCN(Cc2cncc(N(C)c3cccc4ncc(CF)cc34)c2)CC1")</f>
        <v>CN1CCN(C)CCN(Cc2cncc(N(C)c3cccc4ncc(CF)cc34)c2)CC1</v>
      </c>
      <c r="C10807" s="7">
        <f>IFERROR(__xludf.DUMMYFUNCTION("""COMPUTED_VALUE"""),7.764365)</f>
        <v>7.764365</v>
      </c>
      <c r="D10807" s="7">
        <f>IFERROR(__xludf.DUMMYFUNCTION("""COMPUTED_VALUE"""),0.34375)</f>
        <v>0.34375</v>
      </c>
    </row>
    <row r="10808">
      <c r="A10808" s="10" t="s">
        <v>12247</v>
      </c>
      <c r="B10808" s="7" t="str">
        <f>IFERROR(__xludf.DUMMYFUNCTION("SPLIT(A10808,"" "")"),"Cc1ccc(CN(C)C2=CNC(C(C)N)=CC2)nc1")</f>
        <v>Cc1ccc(CN(C)C2=CNC(C(C)N)=CC2)nc1</v>
      </c>
      <c r="C10808" s="7">
        <f>IFERROR(__xludf.DUMMYFUNCTION("""COMPUTED_VALUE"""),7.7643604)</f>
        <v>7.7643604</v>
      </c>
      <c r="D10808" s="7">
        <f>IFERROR(__xludf.DUMMYFUNCTION("""COMPUTED_VALUE"""),0.416666666666666)</f>
        <v>0.4166666667</v>
      </c>
    </row>
    <row r="10809">
      <c r="A10809" s="10" t="s">
        <v>12248</v>
      </c>
      <c r="B10809" s="7" t="str">
        <f>IFERROR(__xludf.DUMMYFUNCTION("SPLIT(A10809,"" "")"),"CNCc1cc(CN(Cc2ccccn2)Cc2cc(C)c(C)c(C)n2)ccn1")</f>
        <v>CNCc1cc(CN(Cc2ccccn2)Cc2cc(C)c(C)c(C)n2)ccn1</v>
      </c>
      <c r="C10809" s="7">
        <f>IFERROR(__xludf.DUMMYFUNCTION("""COMPUTED_VALUE"""),7.7643514)</f>
        <v>7.7643514</v>
      </c>
      <c r="D10809" s="7">
        <f>IFERROR(__xludf.DUMMYFUNCTION("""COMPUTED_VALUE"""),0.444444444444444)</f>
        <v>0.4444444444</v>
      </c>
    </row>
    <row r="10810">
      <c r="A10810" s="10" t="s">
        <v>12249</v>
      </c>
      <c r="B10810" s="7" t="str">
        <f>IFERROR(__xludf.DUMMYFUNCTION("SPLIT(A10810,"" "")"),"Cc1cccnc1CN(C)c1ccc2nc(CN(C)Cc3ncccc3-c3ccc4c(c3)OCCOCCOCCOCCOCCO4)ccc2c1")</f>
        <v>Cc1cccnc1CN(C)c1ccc2nc(CN(C)Cc3ncccc3-c3ccc4c(c3)OCCOCCOCCOCCOCCO4)ccc2c1</v>
      </c>
      <c r="C10810" s="7">
        <f>IFERROR(__xludf.DUMMYFUNCTION("""COMPUTED_VALUE"""),7.7643495)</f>
        <v>7.7643495</v>
      </c>
      <c r="D10810" s="7">
        <f>IFERROR(__xludf.DUMMYFUNCTION("""COMPUTED_VALUE"""),0.304878048780487)</f>
        <v>0.3048780488</v>
      </c>
    </row>
    <row r="10811">
      <c r="A10811" s="10" t="s">
        <v>12250</v>
      </c>
      <c r="B10811" s="7" t="str">
        <f>IFERROR(__xludf.DUMMYFUNCTION("SPLIT(A10811,"" "")"),"CNCc1cc(CN(Cc2ccccn2)Cc2nc(C)c(C)cc2C)ccn1")</f>
        <v>CNCc1cc(CN(Cc2ccccn2)Cc2nc(C)c(C)cc2C)ccn1</v>
      </c>
      <c r="C10811" s="7">
        <f>IFERROR(__xludf.DUMMYFUNCTION("""COMPUTED_VALUE"""),7.764347)</f>
        <v>7.764347</v>
      </c>
      <c r="D10811" s="7">
        <f>IFERROR(__xludf.DUMMYFUNCTION("""COMPUTED_VALUE"""),0.444444444444444)</f>
        <v>0.4444444444</v>
      </c>
    </row>
    <row r="10812">
      <c r="A10812" s="10" t="s">
        <v>12251</v>
      </c>
      <c r="B10812" s="7" t="str">
        <f>IFERROR(__xludf.DUMMYFUNCTION("SPLIT(A10812,"" "")"),"CC(C)C(C)(c1ccccn1)c1cccc(CN(Cc2ccccn2)Cc2cccc(C(C)(C)C)n2)n1")</f>
        <v>CC(C)C(C)(c1ccccn1)c1cccc(CN(Cc2ccccn2)Cc2cccc(C(C)(C)C)n2)n1</v>
      </c>
      <c r="C10812" s="7">
        <f>IFERROR(__xludf.DUMMYFUNCTION("""COMPUTED_VALUE"""),7.76434)</f>
        <v>7.76434</v>
      </c>
      <c r="D10812" s="7">
        <f>IFERROR(__xludf.DUMMYFUNCTION("""COMPUTED_VALUE"""),0.48780487804878)</f>
        <v>0.487804878</v>
      </c>
    </row>
    <row r="10813">
      <c r="A10813" s="10" t="s">
        <v>12252</v>
      </c>
      <c r="B10813" s="7" t="str">
        <f>IFERROR(__xludf.DUMMYFUNCTION("SPLIT(A10813,"" "")"),"Cc1ccc(CN(Cc2ccccn2)Cc2ccc(N(C)C(C)C)cn2)nc1")</f>
        <v>Cc1ccc(CN(Cc2ccccn2)Cc2ccc(N(C)C(C)C)cn2)nc1</v>
      </c>
      <c r="C10813" s="7">
        <f>IFERROR(__xludf.DUMMYFUNCTION("""COMPUTED_VALUE"""),7.764337)</f>
        <v>7.764337</v>
      </c>
      <c r="D10813" s="7">
        <f>IFERROR(__xludf.DUMMYFUNCTION("""COMPUTED_VALUE"""),0.5)</f>
        <v>0.5</v>
      </c>
    </row>
    <row r="10814">
      <c r="A10814" s="10" t="s">
        <v>12253</v>
      </c>
      <c r="B10814" s="7" t="str">
        <f>IFERROR(__xludf.DUMMYFUNCTION("SPLIT(A10814,"" "")"),"Cc1cccnc1CN(C)CC1=CC(N(C)C(c2ccccc2)c2ccccn2)C=CN1")</f>
        <v>Cc1cccnc1CN(C)CC1=CC(N(C)C(c2ccccc2)c2ccccn2)C=CN1</v>
      </c>
      <c r="C10814" s="7">
        <f>IFERROR(__xludf.DUMMYFUNCTION("""COMPUTED_VALUE"""),7.764334)</f>
        <v>7.764334</v>
      </c>
      <c r="D10814" s="7">
        <f>IFERROR(__xludf.DUMMYFUNCTION("""COMPUTED_VALUE"""),0.419354838709677)</f>
        <v>0.4193548387</v>
      </c>
    </row>
    <row r="10815">
      <c r="A10815" s="10" t="s">
        <v>12254</v>
      </c>
      <c r="B10815" s="7" t="str">
        <f>IFERROR(__xludf.DUMMYFUNCTION("SPLIT(A10815,"" "")"),"CNCc1cccc(CN(C)C2=CNC(CN(C)Cc3ccccn3)=CC2)n1")</f>
        <v>CNCc1cccc(CN(C)C2=CNC(CN(C)Cc3ccccn3)=CC2)n1</v>
      </c>
      <c r="C10815" s="7">
        <f>IFERROR(__xludf.DUMMYFUNCTION("""COMPUTED_VALUE"""),7.7643313)</f>
        <v>7.7643313</v>
      </c>
      <c r="D10815" s="7">
        <f>IFERROR(__xludf.DUMMYFUNCTION("""COMPUTED_VALUE"""),0.446428571428571)</f>
        <v>0.4464285714</v>
      </c>
    </row>
    <row r="10816">
      <c r="A10816" s="10" t="s">
        <v>12255</v>
      </c>
      <c r="B10816" s="7" t="str">
        <f>IFERROR(__xludf.DUMMYFUNCTION("SPLIT(A10816,"" "")"),"Cc1cccc(CN(C)Cc2ccccn2)c1NCc1ccccn1")</f>
        <v>Cc1cccc(CN(C)Cc2ccccn2)c1NCc1ccccn1</v>
      </c>
      <c r="C10816" s="7">
        <f>IFERROR(__xludf.DUMMYFUNCTION("""COMPUTED_VALUE"""),7.76433)</f>
        <v>7.76433</v>
      </c>
      <c r="D10816" s="7">
        <f>IFERROR(__xludf.DUMMYFUNCTION("""COMPUTED_VALUE"""),0.489361702127659)</f>
        <v>0.4893617021</v>
      </c>
    </row>
    <row r="10817">
      <c r="A10817" s="10" t="s">
        <v>12256</v>
      </c>
      <c r="B10817" s="7" t="str">
        <f>IFERROR(__xludf.DUMMYFUNCTION("SPLIT(A10817,"" "")"),"CC(C)C1=CC2(C=CN1)C=CC(C)(C)C(c1cccc(CN(Cc3ccccn3)Cc3ccccn3)n1)C2c1cccc(CN(Cc2ccccn2)C2CCC(N(C)c3ccc4nc(CF)ccc4c3)CC2)n1")</f>
        <v>CC(C)C1=CC2(C=CN1)C=CC(C)(C)C(c1cccc(CN(Cc3ccccn3)Cc3ccccn3)n1)C2c1cccc(CN(Cc2ccccn2)C2CCC(N(C)c3ccc4nc(CF)ccc4c3)CC2)n1</v>
      </c>
      <c r="C10817" s="7">
        <f>IFERROR(__xludf.DUMMYFUNCTION("""COMPUTED_VALUE"""),7.7643256)</f>
        <v>7.7643256</v>
      </c>
      <c r="D10817" s="7">
        <f>IFERROR(__xludf.DUMMYFUNCTION("""COMPUTED_VALUE"""),0.317647058823529)</f>
        <v>0.3176470588</v>
      </c>
    </row>
    <row r="10818">
      <c r="A10818" s="10" t="s">
        <v>12257</v>
      </c>
      <c r="B10818" s="7" t="str">
        <f>IFERROR(__xludf.DUMMYFUNCTION("SPLIT(A10818,"" "")"),"Cc1cc(C)c(C)c(CN(C)CCN(C)Cc2nc(C)c(C)cc2C)n1")</f>
        <v>Cc1cc(C)c(C)c(CN(C)CCN(C)Cc2nc(C)c(C)cc2C)n1</v>
      </c>
      <c r="C10818" s="7">
        <f>IFERROR(__xludf.DUMMYFUNCTION("""COMPUTED_VALUE"""),7.764325)</f>
        <v>7.764325</v>
      </c>
      <c r="D10818" s="7">
        <f>IFERROR(__xludf.DUMMYFUNCTION("""COMPUTED_VALUE"""),0.348837209302325)</f>
        <v>0.3488372093</v>
      </c>
    </row>
    <row r="10819">
      <c r="A10819" s="10" t="s">
        <v>12258</v>
      </c>
      <c r="B10819" s="7" t="str">
        <f>IFERROR(__xludf.DUMMYFUNCTION("SPLIT(A10819,"" "")"),"CN(C)Cc1ccc2cc(N(C)C3CCCC(N(C)Cc4cccnn4)C3)ccc2n1")</f>
        <v>CN(C)Cc1ccc2cc(N(C)C3CCCC(N(C)Cc4cccnn4)C3)ccc2n1</v>
      </c>
      <c r="C10819" s="7">
        <f>IFERROR(__xludf.DUMMYFUNCTION("""COMPUTED_VALUE"""),7.764319)</f>
        <v>7.764319</v>
      </c>
      <c r="D10819" s="7">
        <f>IFERROR(__xludf.DUMMYFUNCTION("""COMPUTED_VALUE"""),0.381818181818181)</f>
        <v>0.3818181818</v>
      </c>
    </row>
    <row r="10820">
      <c r="A10820" s="10" t="s">
        <v>12259</v>
      </c>
      <c r="B10820" s="7" t="str">
        <f>IFERROR(__xludf.DUMMYFUNCTION("SPLIT(A10820,"" "")"),"CC1=CC(C)C2(CC1)C(c1ccc(CNCc3ccccn3)cn1)=C(C)CC1(C(C)=C(C)C(c3cc(CN(Cc4ccccn4)Cc4ccccn4)ccn3)C(C)C13C(C)C=C(C)CC3C)C21CCC(C)=CC1C")</f>
        <v>CC1=CC(C)C2(CC1)C(c1ccc(CNCc3ccccn3)cn1)=C(C)CC1(C(C)=C(C)C(c3cc(CN(Cc4ccccn4)Cc4ccccn4)ccn3)C(C)C13C(C)C=C(C)CC3C)C21CCC(C)=CC1C</v>
      </c>
      <c r="C10820" s="7">
        <f>IFERROR(__xludf.DUMMYFUNCTION("""COMPUTED_VALUE"""),7.7643137)</f>
        <v>7.7643137</v>
      </c>
      <c r="D10820" s="7">
        <f>IFERROR(__xludf.DUMMYFUNCTION("""COMPUTED_VALUE"""),0.233009708737864)</f>
        <v>0.2330097087</v>
      </c>
    </row>
    <row r="10821">
      <c r="A10821" s="10" t="s">
        <v>12260</v>
      </c>
      <c r="B10821" s="7" t="str">
        <f>IFERROR(__xludf.DUMMYFUNCTION("SPLIT(A10821,"" "")"),"Cc1ccc(CN(C)C2CCC(N(C)c3cccc4nc(CF)ccc34)CC2)nc1")</f>
        <v>Cc1ccc(CN(C)C2CCC(N(C)c3cccc4nc(CF)ccc34)CC2)nc1</v>
      </c>
      <c r="C10821" s="7">
        <f>IFERROR(__xludf.DUMMYFUNCTION("""COMPUTED_VALUE"""),7.7643065)</f>
        <v>7.7643065</v>
      </c>
      <c r="D10821" s="7">
        <f>IFERROR(__xludf.DUMMYFUNCTION("""COMPUTED_VALUE"""),0.446428571428571)</f>
        <v>0.4464285714</v>
      </c>
    </row>
    <row r="10822">
      <c r="A10822" s="10" t="s">
        <v>12261</v>
      </c>
      <c r="B10822" s="7" t="str">
        <f>IFERROR(__xludf.DUMMYFUNCTION("SPLIT(A10822,"" "")"),"Cc1cnc(CN(C)Cc2ncccc2N)cc1C")</f>
        <v>Cc1cnc(CN(C)Cc2ncccc2N)cc1C</v>
      </c>
      <c r="C10822" s="7">
        <f>IFERROR(__xludf.DUMMYFUNCTION("""COMPUTED_VALUE"""),7.764306)</f>
        <v>7.764306</v>
      </c>
      <c r="D10822" s="7">
        <f>IFERROR(__xludf.DUMMYFUNCTION("""COMPUTED_VALUE"""),0.377777777777777)</f>
        <v>0.3777777778</v>
      </c>
    </row>
    <row r="10823">
      <c r="A10823" s="10" t="s">
        <v>12262</v>
      </c>
      <c r="B10823" s="7" t="str">
        <f>IFERROR(__xludf.DUMMYFUNCTION("SPLIT(A10823,"" "")"),"CC(C)N(Cc1ccccn1)c1cc(-c2cc(CN(Cc3ccccn3)Cc3ccc(-c4ccc5c(c4)OCCOCCOCCOCCOCCO5)cn3)ccn2)c(N)cc1Cl")</f>
        <v>CC(C)N(Cc1ccccn1)c1cc(-c2cc(CN(Cc3ccccn3)Cc3ccc(-c4ccc5c(c4)OCCOCCOCCOCCOCCO5)cn3)ccn2)c(N)cc1Cl</v>
      </c>
      <c r="C10823" s="7">
        <f>IFERROR(__xludf.DUMMYFUNCTION("""COMPUTED_VALUE"""),7.764304)</f>
        <v>7.764304</v>
      </c>
      <c r="D10823" s="7">
        <f>IFERROR(__xludf.DUMMYFUNCTION("""COMPUTED_VALUE"""),0.34090909090909)</f>
        <v>0.3409090909</v>
      </c>
    </row>
    <row r="10824">
      <c r="A10824" s="10" t="s">
        <v>12263</v>
      </c>
      <c r="B10824" s="7" t="str">
        <f>IFERROR(__xludf.DUMMYFUNCTION("SPLIT(A10824,"" "")"),"CC(C)(c1ccccn1)c1ccccn1")</f>
        <v>CC(C)(c1ccccn1)c1ccccn1</v>
      </c>
      <c r="C10824" s="7">
        <f>IFERROR(__xludf.DUMMYFUNCTION("""COMPUTED_VALUE"""),7.7643037)</f>
        <v>7.7643037</v>
      </c>
      <c r="D10824" s="7">
        <f>IFERROR(__xludf.DUMMYFUNCTION("""COMPUTED_VALUE"""),0.470588235294117)</f>
        <v>0.4705882353</v>
      </c>
    </row>
    <row r="10825">
      <c r="A10825" s="10" t="s">
        <v>12264</v>
      </c>
      <c r="B10825" s="7" t="str">
        <f>IFERROR(__xludf.DUMMYFUNCTION("SPLIT(A10825,"" "")"),"Cc1ccnc(CN(C)C2=CCC=C(CN(C)C(C)C)N2)c1C")</f>
        <v>Cc1ccnc(CN(C)C2=CCC=C(CN(C)C(C)C)N2)c1C</v>
      </c>
      <c r="C10825" s="7">
        <f>IFERROR(__xludf.DUMMYFUNCTION("""COMPUTED_VALUE"""),7.764302)</f>
        <v>7.764302</v>
      </c>
      <c r="D10825" s="7">
        <f>IFERROR(__xludf.DUMMYFUNCTION("""COMPUTED_VALUE"""),0.234375)</f>
        <v>0.234375</v>
      </c>
    </row>
    <row r="10826">
      <c r="A10826" s="10" t="s">
        <v>12265</v>
      </c>
      <c r="B10826" s="7" t="str">
        <f>IFERROR(__xludf.DUMMYFUNCTION("SPLIT(A10826,"" "")"),"Cc1nc(CN(C)C2=CNC(CN(Cc3ccccn3)CC(C)(C)C)=CC2)c(C)c(C)c1C")</f>
        <v>Cc1nc(CN(C)C2=CNC(CN(Cc3ccccn3)CC(C)(C)C)=CC2)c(C)c(C)c1C</v>
      </c>
      <c r="C10826" s="7">
        <f>IFERROR(__xludf.DUMMYFUNCTION("""COMPUTED_VALUE"""),7.764299)</f>
        <v>7.764299</v>
      </c>
      <c r="D10826" s="7">
        <f>IFERROR(__xludf.DUMMYFUNCTION("""COMPUTED_VALUE"""),0.448275862068965)</f>
        <v>0.4482758621</v>
      </c>
    </row>
    <row r="10827">
      <c r="A10827" s="10" t="s">
        <v>12266</v>
      </c>
      <c r="B10827" s="7" t="str">
        <f>IFERROR(__xludf.DUMMYFUNCTION("SPLIT(A10827,"" "")"),"Cc1ccnc(CN(C)C2CCCCC2N(C)c2ccc3ccc(CF)nc3c2)c1C")</f>
        <v>Cc1ccnc(CN(C)C2CCCCC2N(C)c2ccc3ccc(CF)nc3c2)c1C</v>
      </c>
      <c r="C10827" s="7">
        <f>IFERROR(__xludf.DUMMYFUNCTION("""COMPUTED_VALUE"""),7.7642927)</f>
        <v>7.7642927</v>
      </c>
      <c r="D10827" s="7">
        <f>IFERROR(__xludf.DUMMYFUNCTION("""COMPUTED_VALUE"""),0.435483870967741)</f>
        <v>0.435483871</v>
      </c>
    </row>
    <row r="10828">
      <c r="A10828" s="10" t="s">
        <v>12267</v>
      </c>
      <c r="B10828" s="7" t="str">
        <f>IFERROR(__xludf.DUMMYFUNCTION("SPLIT(A10828,"" "")"),"CC1=CCC(C)C(N(C)Cc2ccccn2)=C1CN(C)Cc1ccccn1")</f>
        <v>CC1=CCC(C)C(N(C)Cc2ccccn2)=C1CN(C)Cc1ccccn1</v>
      </c>
      <c r="C10828" s="7">
        <f>IFERROR(__xludf.DUMMYFUNCTION("""COMPUTED_VALUE"""),7.7642875)</f>
        <v>7.7642875</v>
      </c>
      <c r="D10828" s="7">
        <f>IFERROR(__xludf.DUMMYFUNCTION("""COMPUTED_VALUE"""),0.46)</f>
        <v>0.46</v>
      </c>
    </row>
    <row r="10829">
      <c r="A10829" s="10" t="s">
        <v>12268</v>
      </c>
      <c r="B10829" s="7" t="str">
        <f>IFERROR(__xludf.DUMMYFUNCTION("SPLIT(A10829,"" "")"),"Cc1cccnc1CN(C)C1CCCCC1N(C)c1cccc2c(CF)ccnc12")</f>
        <v>Cc1cccnc1CN(C)C1CCCCC1N(C)c1cccc2c(CF)ccnc12</v>
      </c>
      <c r="C10829" s="7">
        <f>IFERROR(__xludf.DUMMYFUNCTION("""COMPUTED_VALUE"""),7.7642765)</f>
        <v>7.7642765</v>
      </c>
      <c r="D10829" s="7">
        <f>IFERROR(__xludf.DUMMYFUNCTION("""COMPUTED_VALUE"""),0.491228070175438)</f>
        <v>0.4912280702</v>
      </c>
    </row>
    <row r="10830">
      <c r="A10830" s="10" t="s">
        <v>12269</v>
      </c>
      <c r="B10830" s="7" t="str">
        <f>IFERROR(__xludf.DUMMYFUNCTION("SPLIT(A10830,"" "")"),"COC1(C)N=COC1c1ccc(CN(Cc2ccccn2)Cc2ncccc2C(C)(C)C)cn1")</f>
        <v>COC1(C)N=COC1c1ccc(CN(Cc2ccccn2)Cc2ncccc2C(C)(C)C)cn1</v>
      </c>
      <c r="C10830" s="7">
        <f>IFERROR(__xludf.DUMMYFUNCTION("""COMPUTED_VALUE"""),7.764271)</f>
        <v>7.764271</v>
      </c>
      <c r="D10830" s="7">
        <f>IFERROR(__xludf.DUMMYFUNCTION("""COMPUTED_VALUE"""),0.327868852459016)</f>
        <v>0.3278688525</v>
      </c>
    </row>
    <row r="10831">
      <c r="A10831" s="10" t="s">
        <v>12270</v>
      </c>
      <c r="B10831" s="7" t="str">
        <f>IFERROR(__xludf.DUMMYFUNCTION("SPLIT(A10831,"" "")"),"CC(C)[Si](c1cccc(CN(C)Cc2ccc([SiH3])c([SiH3])n2)n1)(C(C)C)C(C)C")</f>
        <v>CC(C)[Si](c1cccc(CN(C)Cc2ccc([SiH3])c([SiH3])n2)n1)(C(C)C)C(C)C</v>
      </c>
      <c r="C10831" s="7">
        <f>IFERROR(__xludf.DUMMYFUNCTION("""COMPUTED_VALUE"""),7.7642655)</f>
        <v>7.7642655</v>
      </c>
      <c r="D10831" s="7">
        <f>IFERROR(__xludf.DUMMYFUNCTION("""COMPUTED_VALUE"""),0.377777777777777)</f>
        <v>0.3777777778</v>
      </c>
    </row>
    <row r="10832">
      <c r="A10832" s="10" t="s">
        <v>12271</v>
      </c>
      <c r="B10832" s="7" t="str">
        <f>IFERROR(__xludf.DUMMYFUNCTION("SPLIT(A10832,"" "")"),"CC(N)C1=CCC(N(C)Cc2ncccc2C(C)(C)C)=CN1")</f>
        <v>CC(N)C1=CCC(N(C)Cc2ncccc2C(C)(C)C)=CN1</v>
      </c>
      <c r="C10832" s="7">
        <f>IFERROR(__xludf.DUMMYFUNCTION("""COMPUTED_VALUE"""),7.7642617)</f>
        <v>7.7642617</v>
      </c>
      <c r="D10832" s="7">
        <f>IFERROR(__xludf.DUMMYFUNCTION("""COMPUTED_VALUE"""),0.254237288135593)</f>
        <v>0.2542372881</v>
      </c>
    </row>
    <row r="10833">
      <c r="A10833" s="10" t="s">
        <v>12272</v>
      </c>
      <c r="B10833" s="7" t="str">
        <f>IFERROR(__xludf.DUMMYFUNCTION("SPLIT(A10833,"" "")"),"Cc1ccc(N(C)Cc2ccccn2)cc1-c1ccc(CN(C)C2CCCC(N(C)Cc3ccccn3)C2)cn1")</f>
        <v>Cc1ccc(N(C)Cc2ccccn2)cc1-c1ccc(CN(C)C2CCCC(N(C)Cc3ccccn3)C2)cn1</v>
      </c>
      <c r="C10833" s="7">
        <f>IFERROR(__xludf.DUMMYFUNCTION("""COMPUTED_VALUE"""),7.764261)</f>
        <v>7.764261</v>
      </c>
      <c r="D10833" s="7">
        <f>IFERROR(__xludf.DUMMYFUNCTION("""COMPUTED_VALUE"""),0.416666666666666)</f>
        <v>0.4166666667</v>
      </c>
    </row>
    <row r="10834">
      <c r="A10834" s="10" t="s">
        <v>12273</v>
      </c>
      <c r="B10834" s="7" t="str">
        <f>IFERROR(__xludf.DUMMYFUNCTION("SPLIT(A10834,"" "")"),"Cc1cncc(CN(C)C2CCCC(N(C)c3cccc4nc(CF)ccc34)C2)c1")</f>
        <v>Cc1cncc(CN(C)C2CCCC(N(C)c3cccc4nc(CF)ccc34)C2)c1</v>
      </c>
      <c r="C10834" s="7">
        <f>IFERROR(__xludf.DUMMYFUNCTION("""COMPUTED_VALUE"""),7.7642546)</f>
        <v>7.7642546</v>
      </c>
      <c r="D10834" s="7">
        <f>IFERROR(__xludf.DUMMYFUNCTION("""COMPUTED_VALUE"""),0.367647058823529)</f>
        <v>0.3676470588</v>
      </c>
    </row>
    <row r="10835">
      <c r="A10835" s="10" t="s">
        <v>12274</v>
      </c>
      <c r="B10835" s="7" t="str">
        <f>IFERROR(__xludf.DUMMYFUNCTION("SPLIT(A10835,"" "")"),"CC(C)N(CCN(C)Cc1cccc2ncccc12)Cc1cccnc1")</f>
        <v>CC(C)N(CCN(C)Cc1cccc2ncccc12)Cc1cccnc1</v>
      </c>
      <c r="C10835" s="7">
        <f>IFERROR(__xludf.DUMMYFUNCTION("""COMPUTED_VALUE"""),7.764253)</f>
        <v>7.764253</v>
      </c>
      <c r="D10835" s="7">
        <f>IFERROR(__xludf.DUMMYFUNCTION("""COMPUTED_VALUE"""),0.423076923076923)</f>
        <v>0.4230769231</v>
      </c>
    </row>
    <row r="10836">
      <c r="A10836" s="10" t="s">
        <v>12275</v>
      </c>
      <c r="B10836" s="7" t="str">
        <f>IFERROR(__xludf.DUMMYFUNCTION("SPLIT(A10836,"" "")"),"Cc1cnc(CN(C)Cc2cccnc2CNCc2ccccn2)c(C)c1C")</f>
        <v>Cc1cnc(CN(C)Cc2cccnc2CNCc2ccccn2)c(C)c1C</v>
      </c>
      <c r="C10836" s="7">
        <f>IFERROR(__xludf.DUMMYFUNCTION("""COMPUTED_VALUE"""),7.7642508)</f>
        <v>7.7642508</v>
      </c>
      <c r="D10836" s="7">
        <f>IFERROR(__xludf.DUMMYFUNCTION("""COMPUTED_VALUE"""),0.387755102040816)</f>
        <v>0.387755102</v>
      </c>
    </row>
    <row r="10837">
      <c r="A10837" s="10" t="s">
        <v>12276</v>
      </c>
      <c r="B10837" s="7" t="str">
        <f>IFERROR(__xludf.DUMMYFUNCTION("SPLIT(A10837,"" "")"),"Cc1cccnc1CN(Cc1ccccn1)C1CCCC(N(C)c2ccc3ncccc3c2)C1N(C)Cc1ccccn1")</f>
        <v>Cc1cccnc1CN(Cc1ccccn1)C1CCCC(N(C)c2ccc3ncccc3c2)C1N(C)Cc1ccccn1</v>
      </c>
      <c r="C10837" s="7">
        <f>IFERROR(__xludf.DUMMYFUNCTION("""COMPUTED_VALUE"""),7.7642503)</f>
        <v>7.7642503</v>
      </c>
      <c r="D10837" s="7">
        <f>IFERROR(__xludf.DUMMYFUNCTION("""COMPUTED_VALUE"""),0.442622950819672)</f>
        <v>0.4426229508</v>
      </c>
    </row>
    <row r="10838">
      <c r="A10838" s="10" t="s">
        <v>12277</v>
      </c>
      <c r="B10838" s="7" t="str">
        <f>IFERROR(__xludf.DUMMYFUNCTION("SPLIT(A10838,"" "")"),"Cc1nc(CN(CCN(Cc2ccccn2)C(C)(N)N(CCN(Cc2nc(C)c(C)c(C)c2C)Cc2nc(C)c(C)c(C)c2C)Cc2ccccn2)Cc2nc(C)c(C)c(C)c2C)c(C)c(C)c1C")</f>
        <v>Cc1nc(CN(CCN(Cc2ccccn2)C(C)(N)N(CCN(Cc2nc(C)c(C)c(C)c2C)Cc2nc(C)c(C)c(C)c2C)Cc2ccccn2)Cc2nc(C)c(C)c(C)c2C)c(C)c(C)c1C</v>
      </c>
      <c r="C10838" s="7">
        <f>IFERROR(__xludf.DUMMYFUNCTION("""COMPUTED_VALUE"""),7.7642503)</f>
        <v>7.7642503</v>
      </c>
      <c r="D10838" s="7">
        <f>IFERROR(__xludf.DUMMYFUNCTION("""COMPUTED_VALUE"""),0.46)</f>
        <v>0.46</v>
      </c>
    </row>
    <row r="10839">
      <c r="A10839" s="10" t="s">
        <v>12278</v>
      </c>
      <c r="B10839" s="7" t="str">
        <f>IFERROR(__xludf.DUMMYFUNCTION("SPLIT(A10839,"" "")"),"CN(Cc1ccccn1)Cc1ccc(CF)nc1NCc1ccccn1")</f>
        <v>CN(Cc1ccccn1)Cc1ccc(CF)nc1NCc1ccccn1</v>
      </c>
      <c r="C10839" s="7">
        <f>IFERROR(__xludf.DUMMYFUNCTION("""COMPUTED_VALUE"""),7.7642493)</f>
        <v>7.7642493</v>
      </c>
      <c r="D10839" s="7">
        <f>IFERROR(__xludf.DUMMYFUNCTION("""COMPUTED_VALUE"""),0.46938775510204)</f>
        <v>0.4693877551</v>
      </c>
    </row>
    <row r="10840">
      <c r="A10840" s="10" t="s">
        <v>12279</v>
      </c>
      <c r="B10840" s="7" t="str">
        <f>IFERROR(__xludf.DUMMYFUNCTION("SPLIT(A10840,"" "")"),"COC(C)c1cc(C)c(CN(Cc2ccccn2)Cc2cc(C(C)(C)C)ccn2)cn1")</f>
        <v>COC(C)c1cc(C)c(CN(Cc2ccccn2)Cc2cc(C(C)(C)C)ccn2)cn1</v>
      </c>
      <c r="C10840" s="7">
        <f>IFERROR(__xludf.DUMMYFUNCTION("""COMPUTED_VALUE"""),7.7642474)</f>
        <v>7.7642474</v>
      </c>
      <c r="D10840" s="7">
        <f>IFERROR(__xludf.DUMMYFUNCTION("""COMPUTED_VALUE"""),0.384615384615384)</f>
        <v>0.3846153846</v>
      </c>
    </row>
    <row r="10841">
      <c r="A10841" s="10" t="s">
        <v>12280</v>
      </c>
      <c r="B10841" s="7" t="str">
        <f>IFERROR(__xludf.DUMMYFUNCTION("SPLIT(A10841,"" "")"),"Cc1cccnc1CN(C)C1CCCCC1N(C)c1ccc2nc(CN(C)C)ccc2c1")</f>
        <v>Cc1cccnc1CN(C)C1CCCCC1N(C)c1ccc2nc(CN(C)C)ccc2c1</v>
      </c>
      <c r="C10841" s="7">
        <f>IFERROR(__xludf.DUMMYFUNCTION("""COMPUTED_VALUE"""),7.7642403)</f>
        <v>7.7642403</v>
      </c>
      <c r="D10841" s="7">
        <f>IFERROR(__xludf.DUMMYFUNCTION("""COMPUTED_VALUE"""),0.413793103448275)</f>
        <v>0.4137931034</v>
      </c>
    </row>
    <row r="10842">
      <c r="A10842" s="10" t="s">
        <v>12281</v>
      </c>
      <c r="B10842" s="7" t="str">
        <f>IFERROR(__xludf.DUMMYFUNCTION("SPLIT(A10842,"" "")"),"Cc1ccc(CN(C)Cc2ccccn2)c(NCc2ccccn2)c1")</f>
        <v>Cc1ccc(CN(C)Cc2ccccn2)c(NCc2ccccn2)c1</v>
      </c>
      <c r="C10842" s="7">
        <f>IFERROR(__xludf.DUMMYFUNCTION("""COMPUTED_VALUE"""),7.7642384)</f>
        <v>7.7642384</v>
      </c>
      <c r="D10842" s="7">
        <f>IFERROR(__xludf.DUMMYFUNCTION("""COMPUTED_VALUE"""),0.448979591836734)</f>
        <v>0.4489795918</v>
      </c>
    </row>
    <row r="10843">
      <c r="A10843" s="10" t="s">
        <v>12282</v>
      </c>
      <c r="B10843" s="7" t="str">
        <f>IFERROR(__xludf.DUMMYFUNCTION("SPLIT(A10843,"" "")"),"CN(c1cccc2cccnc12)C1CCC(N(Cc2ccccn2)Cc2cccc(F)n2)CC1")</f>
        <v>CN(c1cccc2cccnc12)C1CCC(N(Cc2ccccn2)Cc2cccc(F)n2)CC1</v>
      </c>
      <c r="C10843" s="7">
        <f>IFERROR(__xludf.DUMMYFUNCTION("""COMPUTED_VALUE"""),7.7642317)</f>
        <v>7.7642317</v>
      </c>
      <c r="D10843" s="7">
        <f>IFERROR(__xludf.DUMMYFUNCTION("""COMPUTED_VALUE"""),0.472727272727272)</f>
        <v>0.4727272727</v>
      </c>
    </row>
    <row r="10844">
      <c r="A10844" s="10" t="s">
        <v>12283</v>
      </c>
      <c r="B10844" s="7" t="str">
        <f>IFERROR(__xludf.DUMMYFUNCTION("SPLIT(A10844,"" "")"),"Cc1ccnc(CN(C)C2=C(CN(Cc3ccccn3)C(C)C)NC=CC2)c1")</f>
        <v>Cc1ccnc(CN(C)C2=C(CN(Cc3ccccn3)C(C)C)NC=CC2)c1</v>
      </c>
      <c r="C10844" s="7">
        <f>IFERROR(__xludf.DUMMYFUNCTION("""COMPUTED_VALUE"""),7.764223)</f>
        <v>7.764223</v>
      </c>
      <c r="D10844" s="7">
        <f>IFERROR(__xludf.DUMMYFUNCTION("""COMPUTED_VALUE"""),0.444444444444444)</f>
        <v>0.4444444444</v>
      </c>
    </row>
    <row r="10845">
      <c r="A10845" s="10" t="s">
        <v>12284</v>
      </c>
      <c r="B10845" s="7" t="str">
        <f>IFERROR(__xludf.DUMMYFUNCTION("SPLIT(A10845,"" "")"),"CC1=CC(C)CC2(C1)C(C)=C(C)C(C(C)(C)CN(Cc1ccccn1)c1ccc3cccnc3c1)C(C)C2N(C)Cc1ccccn1")</f>
        <v>CC1=CC(C)CC2(C1)C(C)=C(C)C(C(C)(C)CN(Cc1ccccn1)c1ccc3cccnc3c1)C(C)C2N(C)Cc1ccccn1</v>
      </c>
      <c r="C10845" s="7">
        <f>IFERROR(__xludf.DUMMYFUNCTION("""COMPUTED_VALUE"""),7.76422)</f>
        <v>7.76422</v>
      </c>
      <c r="D10845" s="7">
        <f>IFERROR(__xludf.DUMMYFUNCTION("""COMPUTED_VALUE"""),0.294871794871794)</f>
        <v>0.2948717949</v>
      </c>
    </row>
    <row r="10846">
      <c r="A10846" s="10" t="s">
        <v>12285</v>
      </c>
      <c r="B10846" s="7" t="str">
        <f>IFERROR(__xludf.DUMMYFUNCTION("SPLIT(A10846,"" "")"),"FCc1cnc2c(N(Cc3ccccn3)C3CCCCC3N(Cc3ccccn3)Cc3cccnc3F)cccc2c1")</f>
        <v>FCc1cnc2c(N(Cc3ccccn3)C3CCCCC3N(Cc3ccccn3)Cc3cccnc3F)cccc2c1</v>
      </c>
      <c r="C10846" s="7">
        <f>IFERROR(__xludf.DUMMYFUNCTION("""COMPUTED_VALUE"""),7.7642183)</f>
        <v>7.7642183</v>
      </c>
      <c r="D10846" s="7">
        <f>IFERROR(__xludf.DUMMYFUNCTION("""COMPUTED_VALUE"""),0.363636363636363)</f>
        <v>0.3636363636</v>
      </c>
    </row>
    <row r="10847">
      <c r="A10847" s="10" t="s">
        <v>12286</v>
      </c>
      <c r="B10847" s="7" t="str">
        <f>IFERROR(__xludf.DUMMYFUNCTION("SPLIT(A10847,"" "")"),"CNCc1ncccc1N(C)C(C)(C)c1ccccn1")</f>
        <v>CNCc1ncccc1N(C)C(C)(C)c1ccccn1</v>
      </c>
      <c r="C10847" s="7">
        <f>IFERROR(__xludf.DUMMYFUNCTION("""COMPUTED_VALUE"""),7.764212)</f>
        <v>7.764212</v>
      </c>
      <c r="D10847" s="7">
        <f>IFERROR(__xludf.DUMMYFUNCTION("""COMPUTED_VALUE"""),0.333333333333333)</f>
        <v>0.3333333333</v>
      </c>
    </row>
    <row r="10848">
      <c r="A10848" s="10" t="s">
        <v>12287</v>
      </c>
      <c r="B10848" s="7" t="str">
        <f>IFERROR(__xludf.DUMMYFUNCTION("SPLIT(A10848,"" "")"),"CNc1cc(Cl)c(-c2cc(CN(C)C3CCC(N(C)Cc4ccccn4)CC3)ccn2)cc1Cl")</f>
        <v>CNc1cc(Cl)c(-c2cc(CN(C)C3CCC(N(C)Cc4ccccn4)CC3)ccn2)cc1Cl</v>
      </c>
      <c r="C10848" s="7">
        <f>IFERROR(__xludf.DUMMYFUNCTION("""COMPUTED_VALUE"""),7.7642074)</f>
        <v>7.7642074</v>
      </c>
      <c r="D10848" s="7">
        <f>IFERROR(__xludf.DUMMYFUNCTION("""COMPUTED_VALUE"""),0.406779661016949)</f>
        <v>0.406779661</v>
      </c>
    </row>
    <row r="10849">
      <c r="A10849" s="10" t="s">
        <v>12288</v>
      </c>
      <c r="B10849" s="7" t="str">
        <f>IFERROR(__xludf.DUMMYFUNCTION("SPLIT(A10849,"" "")"),"Cc1cc(C)c(CN(C)C2C=CNC(CN(C)C)=C2)nc1C")</f>
        <v>Cc1cc(C)c(CN(C)C2C=CNC(CN(C)C)=C2)nc1C</v>
      </c>
      <c r="C10849" s="7">
        <f>IFERROR(__xludf.DUMMYFUNCTION("""COMPUTED_VALUE"""),7.7642064)</f>
        <v>7.7642064</v>
      </c>
      <c r="D10849" s="7">
        <f>IFERROR(__xludf.DUMMYFUNCTION("""COMPUTED_VALUE"""),0.321428571428571)</f>
        <v>0.3214285714</v>
      </c>
    </row>
    <row r="10850">
      <c r="A10850" s="10" t="s">
        <v>12289</v>
      </c>
      <c r="B10850" s="7" t="str">
        <f>IFERROR(__xludf.DUMMYFUNCTION("SPLIT(A10850,"" "")"),"Cc1cccc(CN(CC2=CC(N(C)Cc3cccc(C)n3)C=CN2)Cc2ncccc2C)n1")</f>
        <v>Cc1cccc(CN(CC2=CC(N(C)Cc3cccc(C)n3)C=CN2)Cc2ncccc2C)n1</v>
      </c>
      <c r="C10850" s="7">
        <f>IFERROR(__xludf.DUMMYFUNCTION("""COMPUTED_VALUE"""),7.7642035)</f>
        <v>7.7642035</v>
      </c>
      <c r="D10850" s="7">
        <f>IFERROR(__xludf.DUMMYFUNCTION("""COMPUTED_VALUE"""),0.383333333333333)</f>
        <v>0.3833333333</v>
      </c>
    </row>
    <row r="10851">
      <c r="A10851" s="10" t="s">
        <v>12290</v>
      </c>
      <c r="B10851" s="7" t="str">
        <f>IFERROR(__xludf.DUMMYFUNCTION("SPLIT(A10851,"" "")"),"CN(c1cccnc1CN(Cc1ccccn1)Cc1ncccc1F)C(C)(C)c1cccnc1CNCF")</f>
        <v>CN(c1cccnc1CN(Cc1ccccn1)Cc1ncccc1F)C(C)(C)c1cccnc1CNCF</v>
      </c>
      <c r="C10851" s="7">
        <f>IFERROR(__xludf.DUMMYFUNCTION("""COMPUTED_VALUE"""),7.7641983)</f>
        <v>7.7641983</v>
      </c>
      <c r="D10851" s="7">
        <f>IFERROR(__xludf.DUMMYFUNCTION("""COMPUTED_VALUE"""),0.37037037037037)</f>
        <v>0.3703703704</v>
      </c>
    </row>
    <row r="10852">
      <c r="A10852" s="10" t="s">
        <v>12291</v>
      </c>
      <c r="B10852" s="7" t="str">
        <f>IFERROR(__xludf.DUMMYFUNCTION("SPLIT(A10852,"" "")"),"CNc1cccc(CN(C)C2CCCCC2N(C)c2ccc3ccc(CF)nc3c2)n1")</f>
        <v>CNc1cccc(CN(C)C2CCCCC2N(C)c2ccc3ccc(CF)nc3c2)n1</v>
      </c>
      <c r="C10852" s="7">
        <f>IFERROR(__xludf.DUMMYFUNCTION("""COMPUTED_VALUE"""),7.7641954)</f>
        <v>7.7641954</v>
      </c>
      <c r="D10852" s="7">
        <f>IFERROR(__xludf.DUMMYFUNCTION("""COMPUTED_VALUE"""),0.491525423728813)</f>
        <v>0.4915254237</v>
      </c>
    </row>
    <row r="10853">
      <c r="A10853" s="10" t="s">
        <v>12292</v>
      </c>
      <c r="B10853" s="7" t="str">
        <f>IFERROR(__xludf.DUMMYFUNCTION("SPLIT(A10853,"" "")"),"CN(c1ccc2ncccc2c1)C1CCC(N(Cc2ccccn2)Cc2cccc(F)n2)CC1")</f>
        <v>CN(c1ccc2ncccc2c1)C1CCC(N(Cc2ccccn2)Cc2cccc(F)n2)CC1</v>
      </c>
      <c r="C10853" s="7">
        <f>IFERROR(__xludf.DUMMYFUNCTION("""COMPUTED_VALUE"""),7.764191)</f>
        <v>7.764191</v>
      </c>
      <c r="D10853" s="7">
        <f>IFERROR(__xludf.DUMMYFUNCTION("""COMPUTED_VALUE"""),0.391304347826087)</f>
        <v>0.3913043478</v>
      </c>
    </row>
    <row r="10854">
      <c r="A10854" s="10" t="s">
        <v>12293</v>
      </c>
      <c r="B10854" s="7" t="str">
        <f>IFERROR(__xludf.DUMMYFUNCTION("SPLIT(A10854,"" "")"),"Cc1cncc(CN(C)CN(Cc2cccnn2)C2CCCC(N(C)c3ccc4nccc(C)c4c3)C2)c1")</f>
        <v>Cc1cncc(CN(C)CN(Cc2cccnn2)C2CCCC(N(C)c3ccc4nccc(C)c4c3)C2)c1</v>
      </c>
      <c r="C10854" s="7">
        <f>IFERROR(__xludf.DUMMYFUNCTION("""COMPUTED_VALUE"""),7.7641892)</f>
        <v>7.7641892</v>
      </c>
      <c r="D10854" s="7">
        <f>IFERROR(__xludf.DUMMYFUNCTION("""COMPUTED_VALUE"""),0.295774647887323)</f>
        <v>0.2957746479</v>
      </c>
    </row>
    <row r="10855">
      <c r="A10855" s="10" t="s">
        <v>12294</v>
      </c>
      <c r="B10855" s="7" t="str">
        <f>IFERROR(__xludf.DUMMYFUNCTION("SPLIT(A10855,"" "")"),"CN(c1cccc2ncccc12)C1CCCC(N(Cc2ccccn2)Cc2cccnn2)C1")</f>
        <v>CN(c1cccc2ncccc12)C1CCCC(N(Cc2ccccn2)Cc2cccnn2)C1</v>
      </c>
      <c r="C10855" s="7">
        <f>IFERROR(__xludf.DUMMYFUNCTION("""COMPUTED_VALUE"""),7.764184)</f>
        <v>7.764184</v>
      </c>
      <c r="D10855" s="7">
        <f>IFERROR(__xludf.DUMMYFUNCTION("""COMPUTED_VALUE"""),0.436363636363636)</f>
        <v>0.4363636364</v>
      </c>
    </row>
    <row r="10856">
      <c r="A10856" s="10" t="s">
        <v>12295</v>
      </c>
      <c r="B10856" s="7" t="str">
        <f>IFERROR(__xludf.DUMMYFUNCTION("SPLIT(A10856,"" "")"),"Cc1cc(CN(Cc2cc(C)c(C)c(C)n2)C2CCC(N(C)Cc3cccc(-c4ccccn4)n3)CC2)nc(C)c1C")</f>
        <v>Cc1cc(CN(Cc2cc(C)c(C)c(C)n2)C2CCC(N(C)Cc3cccc(-c4ccccn4)n3)CC2)nc(C)c1C</v>
      </c>
      <c r="C10856" s="7">
        <f>IFERROR(__xludf.DUMMYFUNCTION("""COMPUTED_VALUE"""),7.764175)</f>
        <v>7.764175</v>
      </c>
      <c r="D10856" s="7">
        <f>IFERROR(__xludf.DUMMYFUNCTION("""COMPUTED_VALUE"""),0.472727272727272)</f>
        <v>0.4727272727</v>
      </c>
    </row>
    <row r="10857">
      <c r="A10857" s="10" t="s">
        <v>12296</v>
      </c>
      <c r="B10857" s="7" t="str">
        <f>IFERROR(__xludf.DUMMYFUNCTION("SPLIT(A10857,"" "")"),"CN(Cc1cccc(-c2ccc3c(c2)OCCOCCOCCOCCOCCO3)n1)c1cccc2c1NC(c1ccccn1)=CC2")</f>
        <v>CN(Cc1cccc(-c2ccc3c(c2)OCCOCCOCCOCCOCCO3)n1)c1cccc2c1NC(c1ccccn1)=CC2</v>
      </c>
      <c r="C10857" s="7">
        <f>IFERROR(__xludf.DUMMYFUNCTION("""COMPUTED_VALUE"""),7.7641745)</f>
        <v>7.7641745</v>
      </c>
      <c r="D10857" s="7">
        <f>IFERROR(__xludf.DUMMYFUNCTION("""COMPUTED_VALUE"""),0.357142857142857)</f>
        <v>0.3571428571</v>
      </c>
    </row>
    <row r="10858">
      <c r="A10858" s="10" t="s">
        <v>12297</v>
      </c>
      <c r="B10858" s="7" t="str">
        <f>IFERROR(__xludf.DUMMYFUNCTION("SPLIT(A10858,"" "")"),"CN(C1=CC=CCN1)C1CCCC(N(C)c2cccc3nc(CF)ccc23)C1")</f>
        <v>CN(C1=CC=CCN1)C1CCCC(N(C)c2cccc3nc(CF)ccc23)C1</v>
      </c>
      <c r="C10858" s="7">
        <f>IFERROR(__xludf.DUMMYFUNCTION("""COMPUTED_VALUE"""),7.7641654)</f>
        <v>7.7641654</v>
      </c>
      <c r="D10858" s="7">
        <f>IFERROR(__xludf.DUMMYFUNCTION("""COMPUTED_VALUE"""),0.384615384615384)</f>
        <v>0.3846153846</v>
      </c>
    </row>
    <row r="10859">
      <c r="A10859" s="10" t="s">
        <v>12298</v>
      </c>
      <c r="B10859" s="7" t="str">
        <f>IFERROR(__xludf.DUMMYFUNCTION("SPLIT(A10859,"" "")"),"Cc1cccc(NCc2ccccn2)c1CN(C)Cc1ccccn1")</f>
        <v>Cc1cccc(NCc2ccccn2)c1CN(C)Cc1ccccn1</v>
      </c>
      <c r="C10859" s="7">
        <f>IFERROR(__xludf.DUMMYFUNCTION("""COMPUTED_VALUE"""),7.7641616)</f>
        <v>7.7641616</v>
      </c>
      <c r="D10859" s="7">
        <f>IFERROR(__xludf.DUMMYFUNCTION("""COMPUTED_VALUE"""),0.489361702127659)</f>
        <v>0.4893617021</v>
      </c>
    </row>
    <row r="10860">
      <c r="A10860" s="10" t="s">
        <v>12299</v>
      </c>
      <c r="B10860" s="7" t="str">
        <f>IFERROR(__xludf.DUMMYFUNCTION("SPLIT(A10860,"" "")"),"Cc1cccnc1CN(C)C1=CNC(CN(C)CC2=CCC=CN2)=CC1")</f>
        <v>Cc1cccnc1CN(C)C1=CNC(CN(C)CC2=CCC=CN2)=CC1</v>
      </c>
      <c r="C10860" s="7">
        <f>IFERROR(__xludf.DUMMYFUNCTION("""COMPUTED_VALUE"""),7.7641616)</f>
        <v>7.7641616</v>
      </c>
      <c r="D10860" s="7">
        <f>IFERROR(__xludf.DUMMYFUNCTION("""COMPUTED_VALUE"""),0.423728813559322)</f>
        <v>0.4237288136</v>
      </c>
    </row>
    <row r="10861">
      <c r="A10861" s="10" t="s">
        <v>12300</v>
      </c>
      <c r="B10861" s="7" t="str">
        <f>IFERROR(__xludf.DUMMYFUNCTION("SPLIT(A10861,"" "")"),"CNC1CCC(N(Cc2nc(C)c(C)c(C)c2C)Cc2nc(C)c(C)c(C)c2C)C(N(Cc2nc(C)c(C)c(C)c2C)Cc2nc(C)c(C)c(C)c2C)C1")</f>
        <v>CNC1CCC(N(Cc2nc(C)c(C)c(C)c2C)Cc2nc(C)c(C)c(C)c2C)C(N(Cc2nc(C)c(C)c(C)c2C)Cc2nc(C)c(C)c(C)c2C)C1</v>
      </c>
      <c r="C10861" s="7">
        <f>IFERROR(__xludf.DUMMYFUNCTION("""COMPUTED_VALUE"""),7.764157)</f>
        <v>7.764157</v>
      </c>
      <c r="D10861" s="7">
        <f>IFERROR(__xludf.DUMMYFUNCTION("""COMPUTED_VALUE"""),0.218181818181818)</f>
        <v>0.2181818182</v>
      </c>
    </row>
    <row r="10862">
      <c r="A10862" s="10" t="s">
        <v>12301</v>
      </c>
      <c r="B10862" s="7" t="str">
        <f>IFERROR(__xludf.DUMMYFUNCTION("SPLIT(A10862,"" "")"),"Cc1cncc(CN(C)C2CCC(N(C)c3ccc4c(CF)ccnc4c3)CC2)c1")</f>
        <v>Cc1cncc(CN(C)C2CCC(N(C)c3ccc4c(CF)ccnc4c3)CC2)c1</v>
      </c>
      <c r="C10862" s="7">
        <f>IFERROR(__xludf.DUMMYFUNCTION("""COMPUTED_VALUE"""),7.7641444)</f>
        <v>7.7641444</v>
      </c>
      <c r="D10862" s="7">
        <f>IFERROR(__xludf.DUMMYFUNCTION("""COMPUTED_VALUE"""),0.257575757575757)</f>
        <v>0.2575757576</v>
      </c>
    </row>
    <row r="10863">
      <c r="A10863" s="10" t="s">
        <v>12302</v>
      </c>
      <c r="B10863" s="7" t="str">
        <f>IFERROR(__xludf.DUMMYFUNCTION("SPLIT(A10863,"" "")"),"CN(Cc1ncccc1N)Cc1ncccc1N")</f>
        <v>CN(Cc1ncccc1N)Cc1ncccc1N</v>
      </c>
      <c r="C10863" s="7">
        <f>IFERROR(__xludf.DUMMYFUNCTION("""COMPUTED_VALUE"""),7.7641406)</f>
        <v>7.7641406</v>
      </c>
      <c r="D10863" s="7">
        <f>IFERROR(__xludf.DUMMYFUNCTION("""COMPUTED_VALUE"""),0.384615384615384)</f>
        <v>0.3846153846</v>
      </c>
    </row>
    <row r="10864">
      <c r="A10864" s="10" t="s">
        <v>12303</v>
      </c>
      <c r="B10864" s="7" t="str">
        <f>IFERROR(__xludf.DUMMYFUNCTION("SPLIT(A10864,"" "")"),"CCOC(C)CN(Cc1ccccn1)Cc1cccc(C(C)(c2ccccn2)c2ccccn2)n1")</f>
        <v>CCOC(C)CN(Cc1ccccn1)Cc1cccc(C(C)(c2ccccn2)c2ccccn2)n1</v>
      </c>
      <c r="C10864" s="7">
        <f>IFERROR(__xludf.DUMMYFUNCTION("""COMPUTED_VALUE"""),7.7641406)</f>
        <v>7.7641406</v>
      </c>
      <c r="D10864" s="7">
        <f>IFERROR(__xludf.DUMMYFUNCTION("""COMPUTED_VALUE"""),0.43103448275862)</f>
        <v>0.4310344828</v>
      </c>
    </row>
    <row r="10865">
      <c r="A10865" s="10" t="s">
        <v>12304</v>
      </c>
      <c r="B10865" s="7" t="str">
        <f>IFERROR(__xludf.DUMMYFUNCTION("SPLIT(A10865,"" "")"),"CC(C)C(C)(c1cccnc1)c1ncccc1CN(Cc1ccccn1)Cc1cc(C(C)(C)C)ccn1")</f>
        <v>CC(C)C(C)(c1cccnc1)c1ncccc1CN(Cc1ccccn1)Cc1cc(C(C)(C)C)ccn1</v>
      </c>
      <c r="C10865" s="7">
        <f>IFERROR(__xludf.DUMMYFUNCTION("""COMPUTED_VALUE"""),7.7641344)</f>
        <v>7.7641344</v>
      </c>
      <c r="D10865" s="7">
        <f>IFERROR(__xludf.DUMMYFUNCTION("""COMPUTED_VALUE"""),0.377358490566037)</f>
        <v>0.3773584906</v>
      </c>
    </row>
    <row r="10866">
      <c r="A10866" s="10" t="s">
        <v>12305</v>
      </c>
      <c r="B10866" s="7" t="str">
        <f>IFERROR(__xludf.DUMMYFUNCTION("SPLIT(A10866,"" "")"),"Cc1cnc(CN(Cc2ccccn2)Cc2ncccc2C)c(CN(C)Cc2ccccn2)c1")</f>
        <v>Cc1cnc(CN(Cc2ccccn2)Cc2ncccc2C)c(CN(C)Cc2ccccn2)c1</v>
      </c>
      <c r="C10866" s="7">
        <f>IFERROR(__xludf.DUMMYFUNCTION("""COMPUTED_VALUE"""),7.7641325)</f>
        <v>7.7641325</v>
      </c>
      <c r="D10866" s="7">
        <f>IFERROR(__xludf.DUMMYFUNCTION("""COMPUTED_VALUE"""),0.444444444444444)</f>
        <v>0.4444444444</v>
      </c>
    </row>
    <row r="10867">
      <c r="A10867" s="10" t="s">
        <v>12306</v>
      </c>
      <c r="B10867" s="7" t="str">
        <f>IFERROR(__xludf.DUMMYFUNCTION("SPLIT(A10867,"" "")"),"CNCc1cc(CNCc2cc(C(C)(C)c3ccccn3)ccn2)ccn1")</f>
        <v>CNCc1cc(CNCc2cc(C(C)(C)c3ccccn3)ccn2)ccn1</v>
      </c>
      <c r="C10867" s="7">
        <f>IFERROR(__xludf.DUMMYFUNCTION("""COMPUTED_VALUE"""),7.7641215)</f>
        <v>7.7641215</v>
      </c>
      <c r="D10867" s="7">
        <f>IFERROR(__xludf.DUMMYFUNCTION("""COMPUTED_VALUE"""),0.361702127659574)</f>
        <v>0.3617021277</v>
      </c>
    </row>
    <row r="10868">
      <c r="A10868" s="10" t="s">
        <v>12307</v>
      </c>
      <c r="B10868" s="7" t="str">
        <f>IFERROR(__xludf.DUMMYFUNCTION("SPLIT(A10868,"" "")"),"Cc1ccnc(CN(C)Cc2nc(C)ccc2C)c1")</f>
        <v>Cc1ccnc(CN(C)Cc2nc(C)ccc2C)c1</v>
      </c>
      <c r="C10868" s="7">
        <f>IFERROR(__xludf.DUMMYFUNCTION("""COMPUTED_VALUE"""),7.76412)</f>
        <v>7.76412</v>
      </c>
      <c r="D10868" s="7">
        <f>IFERROR(__xludf.DUMMYFUNCTION("""COMPUTED_VALUE"""),0.382978723404255)</f>
        <v>0.3829787234</v>
      </c>
    </row>
    <row r="10869">
      <c r="A10869" s="10" t="s">
        <v>12308</v>
      </c>
      <c r="B10869" s="7" t="str">
        <f>IFERROR(__xludf.DUMMYFUNCTION("SPLIT(A10869,"" "")"),"CN1CCN(C)CCN(Cc2cnccc2N(C)c2ccc3cccnc3c2)CC1")</f>
        <v>CN1CCN(C)CCN(Cc2cnccc2N(C)c2ccc3cccnc3c2)CC1</v>
      </c>
      <c r="C10869" s="7">
        <f>IFERROR(__xludf.DUMMYFUNCTION("""COMPUTED_VALUE"""),7.7641115)</f>
        <v>7.7641115</v>
      </c>
      <c r="D10869" s="7">
        <f>IFERROR(__xludf.DUMMYFUNCTION("""COMPUTED_VALUE"""),0.4)</f>
        <v>0.4</v>
      </c>
    </row>
    <row r="10870">
      <c r="A10870" s="10" t="s">
        <v>12309</v>
      </c>
      <c r="B10870" s="7" t="str">
        <f>IFERROR(__xludf.DUMMYFUNCTION("SPLIT(A10870,"" "")"),"CN1CCN(C)CCN(Cc2cncc(-c3ccc4cccnc4c3)c2)CC1")</f>
        <v>CN1CCN(C)CCN(Cc2cncc(-c3ccc4cccnc4c3)c2)CC1</v>
      </c>
      <c r="C10870" s="7">
        <f>IFERROR(__xludf.DUMMYFUNCTION("""COMPUTED_VALUE"""),7.764105)</f>
        <v>7.764105</v>
      </c>
      <c r="D10870" s="7">
        <f>IFERROR(__xludf.DUMMYFUNCTION("""COMPUTED_VALUE"""),0.411764705882352)</f>
        <v>0.4117647059</v>
      </c>
    </row>
    <row r="10871">
      <c r="A10871" s="10" t="s">
        <v>12310</v>
      </c>
      <c r="B10871" s="7" t="str">
        <f>IFERROR(__xludf.DUMMYFUNCTION("SPLIT(A10871,"" "")"),"Cc1cccnc1CN(C)C1CCCC(N(C)c2ccc3ccc(CF)nc3c2)C1")</f>
        <v>Cc1cccnc1CN(C)C1CCCC(N(C)c2ccc3ccc(CF)nc3c2)C1</v>
      </c>
      <c r="C10871" s="7">
        <f>IFERROR(__xludf.DUMMYFUNCTION("""COMPUTED_VALUE"""),7.764103)</f>
        <v>7.764103</v>
      </c>
      <c r="D10871" s="7">
        <f>IFERROR(__xludf.DUMMYFUNCTION("""COMPUTED_VALUE"""),0.343283582089552)</f>
        <v>0.3432835821</v>
      </c>
    </row>
    <row r="10872">
      <c r="A10872" s="10" t="s">
        <v>12311</v>
      </c>
      <c r="B10872" s="7" t="str">
        <f>IFERROR(__xludf.DUMMYFUNCTION("SPLIT(A10872,"" "")"),"Cc1cc(C)c(C)c(CN(Cc2ccccn2)Cc2cccc(CNC(C)C)n2)n1")</f>
        <v>Cc1cc(C)c(C)c(CN(Cc2ccccn2)Cc2cccc(CNC(C)C)n2)n1</v>
      </c>
      <c r="C10872" s="7">
        <f>IFERROR(__xludf.DUMMYFUNCTION("""COMPUTED_VALUE"""),7.764096)</f>
        <v>7.764096</v>
      </c>
      <c r="D10872" s="7">
        <f>IFERROR(__xludf.DUMMYFUNCTION("""COMPUTED_VALUE"""),0.416666666666666)</f>
        <v>0.4166666667</v>
      </c>
    </row>
    <row r="10873">
      <c r="A10873" s="10" t="s">
        <v>12312</v>
      </c>
      <c r="B10873" s="7" t="str">
        <f>IFERROR(__xludf.DUMMYFUNCTION("SPLIT(A10873,"" "")"),"Cc1cccc(CNCc2cc(C(C)(C)c3ccccn3)ccn2)c1")</f>
        <v>Cc1cccc(CNCc2cc(C(C)(C)c3ccccn3)ccn2)c1</v>
      </c>
      <c r="C10873" s="7">
        <f>IFERROR(__xludf.DUMMYFUNCTION("""COMPUTED_VALUE"""),7.764094)</f>
        <v>7.764094</v>
      </c>
      <c r="D10873" s="7">
        <f>IFERROR(__xludf.DUMMYFUNCTION("""COMPUTED_VALUE"""),0.346938775510204)</f>
        <v>0.3469387755</v>
      </c>
    </row>
    <row r="10874">
      <c r="A10874" s="10" t="s">
        <v>12313</v>
      </c>
      <c r="B10874" s="7" t="str">
        <f>IFERROR(__xludf.DUMMYFUNCTION("SPLIT(A10874,"" "")"),"CCOC(C)c1cccc(CN(Cc2ccccn2)C2CCC(N(C)c3ccc4nc(CN(C)C)ccc4c3)CC2)n1")</f>
        <v>CCOC(C)c1cccc(CN(Cc2ccccn2)C2CCC(N(C)c3ccc4nc(CN(C)C)ccc4c3)CC2)n1</v>
      </c>
      <c r="C10874" s="7">
        <f>IFERROR(__xludf.DUMMYFUNCTION("""COMPUTED_VALUE"""),7.7640896)</f>
        <v>7.7640896</v>
      </c>
      <c r="D10874" s="7">
        <f>IFERROR(__xludf.DUMMYFUNCTION("""COMPUTED_VALUE"""),0.352941176470588)</f>
        <v>0.3529411765</v>
      </c>
    </row>
    <row r="10875">
      <c r="A10875" s="10" t="s">
        <v>12314</v>
      </c>
      <c r="B10875" s="7" t="str">
        <f>IFERROR(__xludf.DUMMYFUNCTION("SPLIT(A10875,"" "")"),"CNC1C(NCc2cc(C)c(C)cn2)C(N(Cc2nc(C)c(C)c(C)c2C)Cc2nc(C)c(C)c(C)c2C)CCC1N(Cc1nc(C)c(C)c(C)c1C)Cc1nc(C)c(C)c(C)c1C")</f>
        <v>CNC1C(NCc2cc(C)c(C)cn2)C(N(Cc2nc(C)c(C)c(C)c2C)Cc2nc(C)c(C)c(C)c2C)CCC1N(Cc1nc(C)c(C)c(C)c1C)Cc1nc(C)c(C)c(C)c1C</v>
      </c>
      <c r="C10875" s="7">
        <f>IFERROR(__xludf.DUMMYFUNCTION("""COMPUTED_VALUE"""),7.764081)</f>
        <v>7.764081</v>
      </c>
      <c r="D10875" s="7">
        <f>IFERROR(__xludf.DUMMYFUNCTION("""COMPUTED_VALUE"""),0.269841269841269)</f>
        <v>0.2698412698</v>
      </c>
    </row>
    <row r="10876">
      <c r="A10876" s="10" t="s">
        <v>12315</v>
      </c>
      <c r="B10876" s="7" t="str">
        <f>IFERROR(__xludf.DUMMYFUNCTION("SPLIT(A10876,"" "")"),"Cc1cncc(CN(C)C2=CNC(CN(C)C(C)(C)c3ccccn3)=CC2)c1")</f>
        <v>Cc1cncc(CN(C)C2=CNC(CN(C)C(C)(C)c3ccccn3)=CC2)c1</v>
      </c>
      <c r="C10876" s="7">
        <f>IFERROR(__xludf.DUMMYFUNCTION("""COMPUTED_VALUE"""),7.7640796)</f>
        <v>7.7640796</v>
      </c>
      <c r="D10876" s="7">
        <f>IFERROR(__xludf.DUMMYFUNCTION("""COMPUTED_VALUE"""),0.272727272727272)</f>
        <v>0.2727272727</v>
      </c>
    </row>
    <row r="10877">
      <c r="A10877" s="10" t="s">
        <v>12316</v>
      </c>
      <c r="B10877" s="7" t="str">
        <f>IFERROR(__xludf.DUMMYFUNCTION("SPLIT(A10877,"" "")"),"CC(C)c1cccc(CN(Cc2ccccn2)C2CCC(N(C)c3ccc4nc(CF)ccc4c3)CC2)n1")</f>
        <v>CC(C)c1cccc(CN(Cc2ccccn2)C2CCC(N(C)c3ccc4nc(CF)ccc4c3)CC2)n1</v>
      </c>
      <c r="C10877" s="7">
        <f>IFERROR(__xludf.DUMMYFUNCTION("""COMPUTED_VALUE"""),7.7640767)</f>
        <v>7.7640767</v>
      </c>
      <c r="D10877" s="7">
        <f>IFERROR(__xludf.DUMMYFUNCTION("""COMPUTED_VALUE"""),0.375)</f>
        <v>0.375</v>
      </c>
    </row>
    <row r="10878">
      <c r="A10878" s="10" t="s">
        <v>12317</v>
      </c>
      <c r="B10878" s="7" t="str">
        <f>IFERROR(__xludf.DUMMYFUNCTION("SPLIT(A10878,"" "")"),"CCN(Cc1ccccn1)C1=CNC(CN(Cc2ccccn2)C(C)(C)c2ccccn2)=CC1")</f>
        <v>CCN(Cc1ccccn1)C1=CNC(CN(Cc2ccccn2)C(C)(C)c2ccccn2)=CC1</v>
      </c>
      <c r="C10878" s="7">
        <f>IFERROR(__xludf.DUMMYFUNCTION("""COMPUTED_VALUE"""),7.7640753)</f>
        <v>7.7640753</v>
      </c>
      <c r="D10878" s="7">
        <f>IFERROR(__xludf.DUMMYFUNCTION("""COMPUTED_VALUE"""),0.370967741935483)</f>
        <v>0.3709677419</v>
      </c>
    </row>
    <row r="10879">
      <c r="A10879" s="10" t="s">
        <v>12318</v>
      </c>
      <c r="B10879" s="7" t="str">
        <f>IFERROR(__xludf.DUMMYFUNCTION("SPLIT(A10879,"" "")"),"Cc1cncc(CN(C)c2ccc3nc(CN(C)Cc4cc(-c5ccc6c(c5)OCCOCCOCCOCCOCCO6)ccn4)ccc3c2)c1C")</f>
        <v>Cc1cncc(CN(C)c2ccc3nc(CN(C)Cc4cc(-c5ccc6c(c5)OCCOCCOCCOCCOCCO6)ccn4)ccc3c2)c1C</v>
      </c>
      <c r="C10879" s="7">
        <f>IFERROR(__xludf.DUMMYFUNCTION("""COMPUTED_VALUE"""),7.764072)</f>
        <v>7.764072</v>
      </c>
      <c r="D10879" s="7">
        <f>IFERROR(__xludf.DUMMYFUNCTION("""COMPUTED_VALUE"""),0.329268292682926)</f>
        <v>0.3292682927</v>
      </c>
    </row>
    <row r="10880">
      <c r="A10880" s="10" t="s">
        <v>12319</v>
      </c>
      <c r="B10880" s="7" t="str">
        <f>IFERROR(__xludf.DUMMYFUNCTION("SPLIT(A10880,"" "")"),"Cc1cncc(CN(C)c2ccc(CN(C)C(C)C)cn2)c1")</f>
        <v>Cc1cncc(CN(C)c2ccc(CN(C)C(C)C)cn2)c1</v>
      </c>
      <c r="C10880" s="7">
        <f>IFERROR(__xludf.DUMMYFUNCTION("""COMPUTED_VALUE"""),7.7640676)</f>
        <v>7.7640676</v>
      </c>
      <c r="D10880" s="7">
        <f>IFERROR(__xludf.DUMMYFUNCTION("""COMPUTED_VALUE"""),0.28)</f>
        <v>0.28</v>
      </c>
    </row>
    <row r="10881">
      <c r="A10881" s="10" t="s">
        <v>12320</v>
      </c>
      <c r="B10881" s="7" t="str">
        <f>IFERROR(__xludf.DUMMYFUNCTION("SPLIT(A10881,"" "")"),"CNCC1=C(N(C)Cc2ccc(C)cn2)CC=CN1")</f>
        <v>CNCC1=C(N(C)Cc2ccc(C)cn2)CC=CN1</v>
      </c>
      <c r="C10881" s="7">
        <f>IFERROR(__xludf.DUMMYFUNCTION("""COMPUTED_VALUE"""),7.7640634)</f>
        <v>7.7640634</v>
      </c>
      <c r="D10881" s="7">
        <f>IFERROR(__xludf.DUMMYFUNCTION("""COMPUTED_VALUE"""),0.416666666666666)</f>
        <v>0.4166666667</v>
      </c>
    </row>
    <row r="10882">
      <c r="A10882" s="10" t="s">
        <v>12321</v>
      </c>
      <c r="B10882" s="7" t="str">
        <f>IFERROR(__xludf.DUMMYFUNCTION("SPLIT(A10882,"" "")"),"Cc1cncc(CN(C)CCN(C)c2cc(C)ccc2C)c1")</f>
        <v>Cc1cncc(CN(C)CCN(C)c2cc(C)ccc2C)c1</v>
      </c>
      <c r="C10882" s="7">
        <f>IFERROR(__xludf.DUMMYFUNCTION("""COMPUTED_VALUE"""),7.7640595)</f>
        <v>7.7640595</v>
      </c>
      <c r="D10882" s="7">
        <f>IFERROR(__xludf.DUMMYFUNCTION("""COMPUTED_VALUE"""),0.409090909090909)</f>
        <v>0.4090909091</v>
      </c>
    </row>
    <row r="10883">
      <c r="A10883" s="10" t="s">
        <v>12322</v>
      </c>
      <c r="B10883" s="7" t="str">
        <f>IFERROR(__xludf.DUMMYFUNCTION("SPLIT(A10883,"" "")"),"Cc1ccnc(CN(Cc2ccccn2)Cc2ccc(F)cn2)c1C")</f>
        <v>Cc1ccnc(CN(Cc2ccccn2)Cc2ccc(F)cn2)c1C</v>
      </c>
      <c r="C10883" s="7">
        <f>IFERROR(__xludf.DUMMYFUNCTION("""COMPUTED_VALUE"""),7.7640586)</f>
        <v>7.7640586</v>
      </c>
      <c r="D10883" s="7">
        <f>IFERROR(__xludf.DUMMYFUNCTION("""COMPUTED_VALUE"""),0.48780487804878)</f>
        <v>0.487804878</v>
      </c>
    </row>
    <row r="10884">
      <c r="A10884" s="10" t="s">
        <v>12323</v>
      </c>
      <c r="B10884" s="7" t="str">
        <f>IFERROR(__xludf.DUMMYFUNCTION("SPLIT(A10884,"" "")"),"CNCc1ncccc1C1=NCC(C)(C)O1")</f>
        <v>CNCc1ncccc1C1=NCC(C)(C)O1</v>
      </c>
      <c r="C10884" s="7">
        <f>IFERROR(__xludf.DUMMYFUNCTION("""COMPUTED_VALUE"""),7.764049)</f>
        <v>7.764049</v>
      </c>
      <c r="D10884" s="7">
        <f>IFERROR(__xludf.DUMMYFUNCTION("""COMPUTED_VALUE"""),0.23076923076923)</f>
        <v>0.2307692308</v>
      </c>
    </row>
    <row r="10885">
      <c r="A10885" s="10" t="s">
        <v>12324</v>
      </c>
      <c r="B10885" s="7" t="str">
        <f>IFERROR(__xludf.DUMMYFUNCTION("SPLIT(A10885,"" "")"),"CNCN(Cc1ccccn1)Cc1nccc2cc(N(C)C3CCC(N(C)Cc4nc(C)c(C)cc4C)CC3)ccc12")</f>
        <v>CNCN(Cc1ccccn1)Cc1nccc2cc(N(C)C3CCC(N(C)Cc4nc(C)c(C)cc4C)CC3)ccc12</v>
      </c>
      <c r="C10885" s="7">
        <f>IFERROR(__xludf.DUMMYFUNCTION("""COMPUTED_VALUE"""),7.764044)</f>
        <v>7.764044</v>
      </c>
      <c r="D10885" s="7">
        <f>IFERROR(__xludf.DUMMYFUNCTION("""COMPUTED_VALUE"""),0.323943661971831)</f>
        <v>0.323943662</v>
      </c>
    </row>
    <row r="10886">
      <c r="A10886" s="10" t="s">
        <v>12325</v>
      </c>
      <c r="B10886" s="7" t="str">
        <f>IFERROR(__xludf.DUMMYFUNCTION("SPLIT(A10886,"" "")"),"Cc1cc(C)c(CN(Cc2nc(C)c(C)cc2C)C2CCC(N(C)Cc3ncccc3-c3ccccn3)CC2)nc1C")</f>
        <v>Cc1cc(C)c(CN(Cc2nc(C)c(C)cc2C)C2CCC(N(C)Cc3ncccc3-c3ccccn3)CC2)nc1C</v>
      </c>
      <c r="C10886" s="7">
        <f>IFERROR(__xludf.DUMMYFUNCTION("""COMPUTED_VALUE"""),7.7640414)</f>
        <v>7.7640414</v>
      </c>
      <c r="D10886" s="7">
        <f>IFERROR(__xludf.DUMMYFUNCTION("""COMPUTED_VALUE"""),0.311475409836065)</f>
        <v>0.3114754098</v>
      </c>
    </row>
    <row r="10887">
      <c r="A10887" s="10" t="s">
        <v>12326</v>
      </c>
      <c r="B10887" s="7" t="str">
        <f>IFERROR(__xludf.DUMMYFUNCTION("SPLIT(A10887,"" "")"),"CNCc1cccc(CN(Cc2ccccn2)Cc2cc(C)c(C)c(C)n2)n1")</f>
        <v>CNCc1cccc(CN(Cc2ccccn2)Cc2cc(C)c(C)c(C)n2)n1</v>
      </c>
      <c r="C10887" s="7">
        <f>IFERROR(__xludf.DUMMYFUNCTION("""COMPUTED_VALUE"""),7.76404)</f>
        <v>7.76404</v>
      </c>
      <c r="D10887" s="7">
        <f>IFERROR(__xludf.DUMMYFUNCTION("""COMPUTED_VALUE"""),0.465116279069767)</f>
        <v>0.4651162791</v>
      </c>
    </row>
    <row r="10888">
      <c r="A10888" s="10" t="s">
        <v>12327</v>
      </c>
      <c r="B10888" s="7" t="str">
        <f>IFERROR(__xludf.DUMMYFUNCTION("SPLIT(A10888,"" "")"),"CN(C)Cc1cnc2cc(N(C)C3CCCC(N(C)Cc4cccnn4)C3)ccc2c1")</f>
        <v>CN(C)Cc1cnc2cc(N(C)C3CCCC(N(C)Cc4cccnn4)C3)ccc2c1</v>
      </c>
      <c r="C10888" s="7">
        <f>IFERROR(__xludf.DUMMYFUNCTION("""COMPUTED_VALUE"""),7.7640266)</f>
        <v>7.7640266</v>
      </c>
      <c r="D10888" s="7">
        <f>IFERROR(__xludf.DUMMYFUNCTION("""COMPUTED_VALUE"""),0.338983050847457)</f>
        <v>0.3389830508</v>
      </c>
    </row>
    <row r="10889">
      <c r="A10889" s="10" t="s">
        <v>12328</v>
      </c>
      <c r="B10889" s="7" t="str">
        <f>IFERROR(__xludf.DUMMYFUNCTION("SPLIT(A10889,"" "")"),"Cc1ccnc(CN(Cc2cc(C)c(C)cn2)Cc2cccc(F)n2)c1")</f>
        <v>Cc1ccnc(CN(Cc2cc(C)c(C)cn2)Cc2cccc(F)n2)c1</v>
      </c>
      <c r="C10889" s="7">
        <f>IFERROR(__xludf.DUMMYFUNCTION("""COMPUTED_VALUE"""),7.764022)</f>
        <v>7.764022</v>
      </c>
      <c r="D10889" s="7">
        <f>IFERROR(__xludf.DUMMYFUNCTION("""COMPUTED_VALUE"""),0.40983606557377)</f>
        <v>0.4098360656</v>
      </c>
    </row>
    <row r="10890">
      <c r="A10890" s="10" t="s">
        <v>12329</v>
      </c>
      <c r="B10890" s="7" t="str">
        <f>IFERROR(__xludf.DUMMYFUNCTION("SPLIT(A10890,"" "")"),"CN(Cc1cccc(-c2ccc3c(c2)OCCOCCOCCOCCOCCO3)n1)c1ccc2ccc(CN(C)C3CCC(N(C)c4ccc5ncccc5c4)CC3)nc2c1")</f>
        <v>CN(Cc1cccc(-c2ccc3c(c2)OCCOCCOCCOCCOCCO3)n1)c1ccc2ccc(CN(C)C3CCC(N(C)c4ccc5ncccc5c4)CC3)nc2c1</v>
      </c>
      <c r="C10890" s="7">
        <f>IFERROR(__xludf.DUMMYFUNCTION("""COMPUTED_VALUE"""),7.7640166)</f>
        <v>7.7640166</v>
      </c>
      <c r="D10890" s="7">
        <f>IFERROR(__xludf.DUMMYFUNCTION("""COMPUTED_VALUE"""),0.310344827586206)</f>
        <v>0.3103448276</v>
      </c>
    </row>
    <row r="10891">
      <c r="A10891" s="10" t="s">
        <v>12330</v>
      </c>
      <c r="B10891" s="7" t="str">
        <f>IFERROR(__xludf.DUMMYFUNCTION("SPLIT(A10891,"" "")"),"CNCc1ncccc1CN(Cc1ccccn1)Cc1nc(C)cc(C)c1C")</f>
        <v>CNCc1ncccc1CN(Cc1ccccn1)Cc1nc(C)cc(C)c1C</v>
      </c>
      <c r="C10891" s="7">
        <f>IFERROR(__xludf.DUMMYFUNCTION("""COMPUTED_VALUE"""),7.7640147)</f>
        <v>7.7640147</v>
      </c>
      <c r="D10891" s="7">
        <f>IFERROR(__xludf.DUMMYFUNCTION("""COMPUTED_VALUE"""),0.416666666666666)</f>
        <v>0.4166666667</v>
      </c>
    </row>
    <row r="10892">
      <c r="A10892" s="10" t="s">
        <v>12331</v>
      </c>
      <c r="B10892" s="7" t="str">
        <f>IFERROR(__xludf.DUMMYFUNCTION("SPLIT(A10892,"" "")"),"Cc1cccnc1CN(C)C1CCCCC1N(C)c1ccc2c(CF)ccnc2c1")</f>
        <v>Cc1cccnc1CN(C)C1CCCCC1N(C)c1ccc2c(CF)ccnc2c1</v>
      </c>
      <c r="C10892" s="7">
        <f>IFERROR(__xludf.DUMMYFUNCTION("""COMPUTED_VALUE"""),7.764008)</f>
        <v>7.764008</v>
      </c>
      <c r="D10892" s="7">
        <f>IFERROR(__xludf.DUMMYFUNCTION("""COMPUTED_VALUE"""),0.383333333333333)</f>
        <v>0.3833333333</v>
      </c>
    </row>
    <row r="10893">
      <c r="A10893" s="10" t="s">
        <v>12332</v>
      </c>
      <c r="B10893" s="7" t="str">
        <f>IFERROR(__xludf.DUMMYFUNCTION("SPLIT(A10893,"" "")"),"Cc1cc(C)c(C)c(CN(C)C2C=CNC(CN(C)Cc3cc(C)c(C)cn3)=C2)n1")</f>
        <v>Cc1cc(C)c(C)c(CN(C)C2C=CNC(CN(C)Cc3cc(C)c(C)cn3)=C2)n1</v>
      </c>
      <c r="C10893" s="7">
        <f>IFERROR(__xludf.DUMMYFUNCTION("""COMPUTED_VALUE"""),7.7639947)</f>
        <v>7.7639947</v>
      </c>
      <c r="D10893" s="7">
        <f>IFERROR(__xludf.DUMMYFUNCTION("""COMPUTED_VALUE"""),0.287878787878787)</f>
        <v>0.2878787879</v>
      </c>
    </row>
    <row r="10894">
      <c r="A10894" s="10" t="s">
        <v>12333</v>
      </c>
      <c r="B10894" s="7" t="str">
        <f>IFERROR(__xludf.DUMMYFUNCTION("SPLIT(A10894,"" "")"),"Cc1cncc(N(C)CCN(C)Cc2ccccn2)c1C")</f>
        <v>Cc1cncc(N(C)CCN(C)Cc2ccccn2)c1C</v>
      </c>
      <c r="C10894" s="7">
        <f>IFERROR(__xludf.DUMMYFUNCTION("""COMPUTED_VALUE"""),7.7639937)</f>
        <v>7.7639937</v>
      </c>
      <c r="D10894" s="7">
        <f>IFERROR(__xludf.DUMMYFUNCTION("""COMPUTED_VALUE"""),0.446808510638297)</f>
        <v>0.4468085106</v>
      </c>
    </row>
    <row r="10895">
      <c r="A10895" s="10" t="s">
        <v>12334</v>
      </c>
      <c r="B10895" s="7" t="str">
        <f>IFERROR(__xludf.DUMMYFUNCTION("SPLIT(A10895,"" "")"),"CC1=CC(C)CCC1(C)c1ncccc1CN(Cc1ccccn1)C1CCC(N(C)c2ccc3nccc(CN(C)C)c3c2)CC1")</f>
        <v>CC1=CC(C)CCC1(C)c1ncccc1CN(Cc1ccccn1)C1CCC(N(C)c2ccc3nccc(CN(C)C)c3c2)CC1</v>
      </c>
      <c r="C10895" s="7">
        <f>IFERROR(__xludf.DUMMYFUNCTION("""COMPUTED_VALUE"""),7.7639937)</f>
        <v>7.7639937</v>
      </c>
      <c r="D10895" s="7">
        <f>IFERROR(__xludf.DUMMYFUNCTION("""COMPUTED_VALUE"""),0.282051282051282)</f>
        <v>0.2820512821</v>
      </c>
    </row>
    <row r="10896">
      <c r="A10896" s="10" t="s">
        <v>12335</v>
      </c>
      <c r="B10896" s="7" t="str">
        <f>IFERROR(__xludf.DUMMYFUNCTION("SPLIT(A10896,"" "")"),"Cc1cc(CN(Cc2ccccn2)C2CCC(N(C)c3ccc4nc(CF)ccc4c3)CC2)ccn1")</f>
        <v>Cc1cc(CN(Cc2ccccn2)C2CCC(N(C)c3ccc4nc(CF)ccc4c3)CC2)ccn1</v>
      </c>
      <c r="C10896" s="7">
        <f>IFERROR(__xludf.DUMMYFUNCTION("""COMPUTED_VALUE"""),7.763983)</f>
        <v>7.763983</v>
      </c>
      <c r="D10896" s="7">
        <f>IFERROR(__xludf.DUMMYFUNCTION("""COMPUTED_VALUE"""),0.353846153846153)</f>
        <v>0.3538461538</v>
      </c>
    </row>
    <row r="10897">
      <c r="A10897" s="10" t="s">
        <v>12336</v>
      </c>
      <c r="B10897" s="7" t="str">
        <f>IFERROR(__xludf.DUMMYFUNCTION("SPLIT(A10897,"" "")"),"CNCc1cc(CN(C)Cc2nc(C)c(C)cc2C)ccn1")</f>
        <v>CNCc1cc(CN(C)Cc2nc(C)c(C)cc2C)ccn1</v>
      </c>
      <c r="C10897" s="7">
        <f>IFERROR(__xludf.DUMMYFUNCTION("""COMPUTED_VALUE"""),7.7639823)</f>
        <v>7.7639823</v>
      </c>
      <c r="D10897" s="7">
        <f>IFERROR(__xludf.DUMMYFUNCTION("""COMPUTED_VALUE"""),0.296296296296296)</f>
        <v>0.2962962963</v>
      </c>
    </row>
    <row r="10898">
      <c r="A10898" s="10" t="s">
        <v>12337</v>
      </c>
      <c r="B10898" s="7" t="str">
        <f>IFERROR(__xludf.DUMMYFUNCTION("SPLIT(A10898,"" "")"),"Cc1cc(C(C)(C)N(C)Cc2ccccn2)ccc1NCc1ccccn1")</f>
        <v>Cc1cc(C(C)(C)N(C)Cc2ccccn2)ccc1NCc1ccccn1</v>
      </c>
      <c r="C10898" s="7">
        <f>IFERROR(__xludf.DUMMYFUNCTION("""COMPUTED_VALUE"""),7.7639775)</f>
        <v>7.7639775</v>
      </c>
      <c r="D10898" s="7">
        <f>IFERROR(__xludf.DUMMYFUNCTION("""COMPUTED_VALUE"""),0.392156862745098)</f>
        <v>0.3921568627</v>
      </c>
    </row>
    <row r="10899">
      <c r="A10899" s="10" t="s">
        <v>12338</v>
      </c>
      <c r="B10899" s="7" t="str">
        <f>IFERROR(__xludf.DUMMYFUNCTION("SPLIT(A10899,"" "")"),"CC(C)c1ncccc1CN(C)C1CCCCC1N(C)c1ccc2cc(CN(C)C)cnc2c1")</f>
        <v>CC(C)c1ncccc1CN(C)C1CCCCC1N(C)c1ccc2cc(CN(C)C)cnc2c1</v>
      </c>
      <c r="C10899" s="7">
        <f>IFERROR(__xludf.DUMMYFUNCTION("""COMPUTED_VALUE"""),7.7639737)</f>
        <v>7.7639737</v>
      </c>
      <c r="D10899" s="7">
        <f>IFERROR(__xludf.DUMMYFUNCTION("""COMPUTED_VALUE"""),0.370967741935483)</f>
        <v>0.3709677419</v>
      </c>
    </row>
    <row r="10900">
      <c r="A10900" s="10" t="s">
        <v>12339</v>
      </c>
      <c r="B10900" s="7" t="str">
        <f>IFERROR(__xludf.DUMMYFUNCTION("SPLIT(A10900,"" "")"),"COC1(C)N=COC1c1ncccc1CN(Cc1ccccn1)Cc1cc(C(C)(C)C)ccn1")</f>
        <v>COC1(C)N=COC1c1ncccc1CN(Cc1ccccn1)Cc1cc(C(C)(C)C)ccn1</v>
      </c>
      <c r="C10900" s="7">
        <f>IFERROR(__xludf.DUMMYFUNCTION("""COMPUTED_VALUE"""),7.763971)</f>
        <v>7.763971</v>
      </c>
      <c r="D10900" s="7">
        <f>IFERROR(__xludf.DUMMYFUNCTION("""COMPUTED_VALUE"""),0.344827586206896)</f>
        <v>0.3448275862</v>
      </c>
    </row>
    <row r="10901">
      <c r="A10901" s="10" t="s">
        <v>12340</v>
      </c>
      <c r="B10901" s="7" t="str">
        <f>IFERROR(__xludf.DUMMYFUNCTION("SPLIT(A10901,"" "")"),"CN(C)Cc1nccc2cc(N(C)C3CCCCC3N(Cc3ccccn3)Cc3ccccn3)ccc12")</f>
        <v>CN(C)Cc1nccc2cc(N(C)C3CCCCC3N(Cc3ccccn3)Cc3ccccn3)ccc12</v>
      </c>
      <c r="C10901" s="7">
        <f>IFERROR(__xludf.DUMMYFUNCTION("""COMPUTED_VALUE"""),7.76397)</f>
        <v>7.76397</v>
      </c>
      <c r="D10901" s="7">
        <f>IFERROR(__xludf.DUMMYFUNCTION("""COMPUTED_VALUE"""),0.472727272727272)</f>
        <v>0.4727272727</v>
      </c>
    </row>
    <row r="10902">
      <c r="A10902" s="10" t="s">
        <v>12341</v>
      </c>
      <c r="B10902" s="7" t="str">
        <f>IFERROR(__xludf.DUMMYFUNCTION("SPLIT(A10902,"" "")"),"CN1CCN(Cc2cc(C(C)(C)c3ccccn3)ccn2)CCN(Cc2cccc(C(C)(C)c3cccc(C(C)(C)c4cccc(C5=NC(C)(C)CO5)n4)n3)n2)CC1")</f>
        <v>CN1CCN(Cc2cc(C(C)(C)c3ccccn3)ccn2)CCN(Cc2cccc(C(C)(C)c3cccc(C(C)(C)c4cccc(C5=NC(C)(C)CO5)n4)n3)n2)CC1</v>
      </c>
      <c r="C10902" s="7">
        <f>IFERROR(__xludf.DUMMYFUNCTION("""COMPUTED_VALUE"""),7.763967)</f>
        <v>7.763967</v>
      </c>
      <c r="D10902" s="7">
        <f>IFERROR(__xludf.DUMMYFUNCTION("""COMPUTED_VALUE"""),0.402985074626865)</f>
        <v>0.4029850746</v>
      </c>
    </row>
    <row r="10903">
      <c r="A10903" s="10" t="s">
        <v>12342</v>
      </c>
      <c r="B10903" s="7" t="str">
        <f>IFERROR(__xludf.DUMMYFUNCTION("SPLIT(A10903,"" "")"),"Cc1ccc(CN(Cc2ccccn2)Cc2cccnc2C(C)(c2cccnc2)C(C)C)nc1")</f>
        <v>Cc1ccc(CN(Cc2ccccn2)Cc2cccnc2C(C)(c2cccnc2)C(C)C)nc1</v>
      </c>
      <c r="C10903" s="7">
        <f>IFERROR(__xludf.DUMMYFUNCTION("""COMPUTED_VALUE"""),7.76395)</f>
        <v>7.76395</v>
      </c>
      <c r="D10903" s="7">
        <f>IFERROR(__xludf.DUMMYFUNCTION("""COMPUTED_VALUE"""),0.384615384615384)</f>
        <v>0.3846153846</v>
      </c>
    </row>
    <row r="10904">
      <c r="A10904" s="10" t="s">
        <v>12343</v>
      </c>
      <c r="B10904" s="7" t="str">
        <f>IFERROR(__xludf.DUMMYFUNCTION("SPLIT(A10904,"" "")"),"Cc1cccnc1CN(C)c1ccc(-c2cccc(CN(Cc3cccc(-c4ccc5c(c4)OCCOCCOCCOCCOCCO5)n3)Cc3cccc(C(C)(c4ccccn4)C(C)C)n3)n2)cc1")</f>
        <v>Cc1cccnc1CN(C)c1ccc(-c2cccc(CN(Cc3cccc(-c4ccc5c(c4)OCCOCCOCCOCCOCCO5)n3)Cc3cccc(C(C)(c4ccccn4)C(C)C)n3)n2)cc1</v>
      </c>
      <c r="C10904" s="7">
        <f>IFERROR(__xludf.DUMMYFUNCTION("""COMPUTED_VALUE"""),7.763947)</f>
        <v>7.763947</v>
      </c>
      <c r="D10904" s="7">
        <f>IFERROR(__xludf.DUMMYFUNCTION("""COMPUTED_VALUE"""),0.341176470588235)</f>
        <v>0.3411764706</v>
      </c>
    </row>
    <row r="10905">
      <c r="A10905" s="10" t="s">
        <v>12344</v>
      </c>
      <c r="B10905" s="7" t="str">
        <f>IFERROR(__xludf.DUMMYFUNCTION("SPLIT(A10905,"" "")"),"CCN(Cc1ccccn1)Cc1cc(CN(C)Cc2ncc(C)cc2C)c(C(C)(C)C)cn1")</f>
        <v>CCN(Cc1ccccn1)Cc1cc(CN(C)Cc2ncc(C)cc2C)c(C(C)(C)C)cn1</v>
      </c>
      <c r="C10905" s="7">
        <f>IFERROR(__xludf.DUMMYFUNCTION("""COMPUTED_VALUE"""),7.763946)</f>
        <v>7.763946</v>
      </c>
      <c r="D10905" s="7">
        <f>IFERROR(__xludf.DUMMYFUNCTION("""COMPUTED_VALUE"""),0.366666666666666)</f>
        <v>0.3666666667</v>
      </c>
    </row>
    <row r="10906">
      <c r="A10906" s="10" t="s">
        <v>12345</v>
      </c>
      <c r="B10906" s="7" t="str">
        <f>IFERROR(__xludf.DUMMYFUNCTION("SPLIT(A10906,"" "")"),"CC1=C(c2ncccc2CN(Cc2ccccn2)C2CCCCC2N(C)c2ccc3nc(CF)ccc3c2)C2(C=CNC(C(C)C)=C2)C(C)(C)CC1")</f>
        <v>CC1=C(c2ncccc2CN(Cc2ccccn2)C2CCCCC2N(C)c2ccc3nc(CF)ccc3c2)C2(C=CNC(C(C)C)=C2)C(C)(C)CC1</v>
      </c>
      <c r="C10906" s="7">
        <f>IFERROR(__xludf.DUMMYFUNCTION("""COMPUTED_VALUE"""),7.7639446)</f>
        <v>7.7639446</v>
      </c>
      <c r="D10906" s="7">
        <f>IFERROR(__xludf.DUMMYFUNCTION("""COMPUTED_VALUE"""),0.288659793814432)</f>
        <v>0.2886597938</v>
      </c>
    </row>
    <row r="10907">
      <c r="A10907" s="10" t="s">
        <v>12346</v>
      </c>
      <c r="B10907" s="7" t="str">
        <f>IFERROR(__xludf.DUMMYFUNCTION("SPLIT(A10907,"" "")"),"CNC1NC=CC=C1N(C)Cc1ccc(C)cn1")</f>
        <v>CNC1NC=CC=C1N(C)Cc1ccc(C)cn1</v>
      </c>
      <c r="C10907" s="7">
        <f>IFERROR(__xludf.DUMMYFUNCTION("""COMPUTED_VALUE"""),7.763943)</f>
        <v>7.763943</v>
      </c>
      <c r="D10907" s="7">
        <f>IFERROR(__xludf.DUMMYFUNCTION("""COMPUTED_VALUE"""),0.44)</f>
        <v>0.44</v>
      </c>
    </row>
    <row r="10908">
      <c r="A10908" s="10" t="s">
        <v>12347</v>
      </c>
      <c r="B10908" s="7" t="str">
        <f>IFERROR(__xludf.DUMMYFUNCTION("SPLIT(A10908,"" "")"),"Cc1cc(CN(C)CCN(C)Cc2cc(C)c(C)c(C)n2)nc(C)c1C")</f>
        <v>Cc1cc(CN(C)CCN(C)Cc2cc(C)c(C)c(C)n2)nc(C)c1C</v>
      </c>
      <c r="C10908" s="7">
        <f>IFERROR(__xludf.DUMMYFUNCTION("""COMPUTED_VALUE"""),7.7639318)</f>
        <v>7.7639318</v>
      </c>
      <c r="D10908" s="7">
        <f>IFERROR(__xludf.DUMMYFUNCTION("""COMPUTED_VALUE"""),0.457142857142857)</f>
        <v>0.4571428571</v>
      </c>
    </row>
    <row r="10909">
      <c r="A10909" s="10" t="s">
        <v>12348</v>
      </c>
      <c r="B10909" s="7" t="str">
        <f>IFERROR(__xludf.DUMMYFUNCTION("SPLIT(A10909,"" "")"),"CCNc1cccc(CN(Cc2ccccn2)Cc2ncc(C)c(C)c2C)n1")</f>
        <v>CCNc1cccc(CN(Cc2ccccn2)Cc2ncc(C)c(C)c2C)n1</v>
      </c>
      <c r="C10909" s="7">
        <f>IFERROR(__xludf.DUMMYFUNCTION("""COMPUTED_VALUE"""),7.763928)</f>
        <v>7.763928</v>
      </c>
      <c r="D10909" s="7">
        <f>IFERROR(__xludf.DUMMYFUNCTION("""COMPUTED_VALUE"""),0.454545454545454)</f>
        <v>0.4545454545</v>
      </c>
    </row>
    <row r="10910">
      <c r="A10910" s="10" t="s">
        <v>12349</v>
      </c>
      <c r="B10910" s="7" t="str">
        <f>IFERROR(__xludf.DUMMYFUNCTION("SPLIT(A10910,"" "")"),"CC(C)NCc1ccc(CN(Cc2ccccn2)C2CCCC(N(C)c3cccc4nc(CN(C)C)ccc34)C2)cn1")</f>
        <v>CC(C)NCc1ccc(CN(Cc2ccccn2)C2CCCC(N(C)c3cccc4nc(CN(C)C)ccc34)C2)cn1</v>
      </c>
      <c r="C10910" s="7">
        <f>IFERROR(__xludf.DUMMYFUNCTION("""COMPUTED_VALUE"""),7.7639275)</f>
        <v>7.7639275</v>
      </c>
      <c r="D10910" s="7">
        <f>IFERROR(__xludf.DUMMYFUNCTION("""COMPUTED_VALUE"""),0.31081081081081)</f>
        <v>0.3108108108</v>
      </c>
    </row>
    <row r="10911">
      <c r="A10911" s="10" t="s">
        <v>12350</v>
      </c>
      <c r="B10911" s="7" t="str">
        <f>IFERROR(__xludf.DUMMYFUNCTION("SPLIT(A10911,"" "")"),"CC(NCc1ccccn1)c1cccnc1CNc1cccnc1CF")</f>
        <v>CC(NCc1ccccn1)c1cccnc1CNc1cccnc1CF</v>
      </c>
      <c r="C10911" s="7">
        <f>IFERROR(__xludf.DUMMYFUNCTION("""COMPUTED_VALUE"""),7.763926)</f>
        <v>7.763926</v>
      </c>
      <c r="D10911" s="7">
        <f>IFERROR(__xludf.DUMMYFUNCTION("""COMPUTED_VALUE"""),0.354166666666666)</f>
        <v>0.3541666667</v>
      </c>
    </row>
    <row r="10912">
      <c r="A10912" s="10" t="s">
        <v>12351</v>
      </c>
      <c r="B10912" s="7" t="str">
        <f>IFERROR(__xludf.DUMMYFUNCTION("SPLIT(A10912,"" "")"),"Cc1cc(CN(C)C2CCCCC2N(C)c2ccc3cccnc3c2)cnc1C")</f>
        <v>Cc1cc(CN(C)C2CCCCC2N(C)c2ccc3cccnc3c2)cnc1C</v>
      </c>
      <c r="C10912" s="7">
        <f>IFERROR(__xludf.DUMMYFUNCTION("""COMPUTED_VALUE"""),7.763926)</f>
        <v>7.763926</v>
      </c>
      <c r="D10912" s="7">
        <f>IFERROR(__xludf.DUMMYFUNCTION("""COMPUTED_VALUE"""),0.406779661016949)</f>
        <v>0.406779661</v>
      </c>
    </row>
    <row r="10913">
      <c r="A10913" s="10" t="s">
        <v>12352</v>
      </c>
      <c r="B10913" s="7" t="str">
        <f>IFERROR(__xludf.DUMMYFUNCTION("SPLIT(A10913,"" "")"),"Cc1cccnc1CN(C)C1CCC(N(C)c2cccc3nc(CF)ccc23)CC1")</f>
        <v>Cc1cccnc1CN(C)C1CCC(N(C)c2cccc3nc(CF)ccc23)CC1</v>
      </c>
      <c r="C10913" s="7">
        <f>IFERROR(__xludf.DUMMYFUNCTION("""COMPUTED_VALUE"""),7.763922)</f>
        <v>7.763922</v>
      </c>
      <c r="D10913" s="7">
        <f>IFERROR(__xludf.DUMMYFUNCTION("""COMPUTED_VALUE"""),0.369230769230769)</f>
        <v>0.3692307692</v>
      </c>
    </row>
    <row r="10914">
      <c r="A10914" s="10" t="s">
        <v>12353</v>
      </c>
      <c r="B10914" s="7" t="str">
        <f>IFERROR(__xludf.DUMMYFUNCTION("SPLIT(A10914,"" "")"),"Cc1cc(CN(C)Cc2cc(C)c(C)cn2)ccn1")</f>
        <v>Cc1cc(CN(C)Cc2cc(C)c(C)cn2)ccn1</v>
      </c>
      <c r="C10914" s="7">
        <f>IFERROR(__xludf.DUMMYFUNCTION("""COMPUTED_VALUE"""),7.7639184)</f>
        <v>7.7639184</v>
      </c>
      <c r="D10914" s="7">
        <f>IFERROR(__xludf.DUMMYFUNCTION("""COMPUTED_VALUE"""),0.404761904761904)</f>
        <v>0.4047619048</v>
      </c>
    </row>
    <row r="10915">
      <c r="A10915" s="10" t="s">
        <v>12354</v>
      </c>
      <c r="B10915" s="7" t="str">
        <f>IFERROR(__xludf.DUMMYFUNCTION("SPLIT(A10915,"" "")"),"CC1=NC(c2ccccc2CNCc2ccccn2)CO1")</f>
        <v>CC1=NC(c2ccccc2CNCc2ccccn2)CO1</v>
      </c>
      <c r="C10915" s="7">
        <f>IFERROR(__xludf.DUMMYFUNCTION("""COMPUTED_VALUE"""),7.763918)</f>
        <v>7.763918</v>
      </c>
      <c r="D10915" s="7">
        <f>IFERROR(__xludf.DUMMYFUNCTION("""COMPUTED_VALUE"""),0.422222222222222)</f>
        <v>0.4222222222</v>
      </c>
    </row>
    <row r="10916">
      <c r="A10916" s="10" t="s">
        <v>12355</v>
      </c>
      <c r="B10916" s="7" t="str">
        <f>IFERROR(__xludf.DUMMYFUNCTION("SPLIT(A10916,"" "")"),"Cc1ccc(CN(Cc2ccccn2)C2CCC(N(C)c3ccc4ccc(CF)nc4c3)CC2)nc1")</f>
        <v>Cc1ccc(CN(Cc2ccccn2)C2CCC(N(C)c3ccc4ccc(CF)nc4c3)CC2)nc1</v>
      </c>
      <c r="C10916" s="7">
        <f>IFERROR(__xludf.DUMMYFUNCTION("""COMPUTED_VALUE"""),7.7639165)</f>
        <v>7.7639165</v>
      </c>
      <c r="D10916" s="7">
        <f>IFERROR(__xludf.DUMMYFUNCTION("""COMPUTED_VALUE"""),0.377049180327868)</f>
        <v>0.3770491803</v>
      </c>
    </row>
    <row r="10917">
      <c r="A10917" s="10" t="s">
        <v>12356</v>
      </c>
      <c r="B10917" s="7" t="str">
        <f>IFERROR(__xludf.DUMMYFUNCTION("SPLIT(A10917,"" "")"),"Cc1ccc(NCc2ccccn2)c(CN(C)Cc2ccccn2)c1")</f>
        <v>Cc1ccc(NCc2ccccn2)c(CN(C)Cc2ccccn2)c1</v>
      </c>
      <c r="C10917" s="7">
        <f>IFERROR(__xludf.DUMMYFUNCTION("""COMPUTED_VALUE"""),7.7639165)</f>
        <v>7.7639165</v>
      </c>
      <c r="D10917" s="7">
        <f>IFERROR(__xludf.DUMMYFUNCTION("""COMPUTED_VALUE"""),0.458333333333333)</f>
        <v>0.4583333333</v>
      </c>
    </row>
    <row r="10918">
      <c r="A10918" s="10" t="s">
        <v>12357</v>
      </c>
      <c r="B10918" s="7" t="str">
        <f>IFERROR(__xludf.DUMMYFUNCTION("SPLIT(A10918,"" "")"),"CCOC(=O)C(=O)NCc1ncccc1CN(Cc1ccccn1)Cc1ccccn1")</f>
        <v>CCOC(=O)C(=O)NCc1ncccc1CN(Cc1ccccn1)Cc1ccccn1</v>
      </c>
      <c r="C10918" s="7">
        <f>IFERROR(__xludf.DUMMYFUNCTION("""COMPUTED_VALUE"""),7.763915)</f>
        <v>7.763915</v>
      </c>
      <c r="D10918" s="7">
        <f>IFERROR(__xludf.DUMMYFUNCTION("""COMPUTED_VALUE"""),0.425531914893617)</f>
        <v>0.4255319149</v>
      </c>
    </row>
    <row r="10919">
      <c r="A10919" s="10" t="s">
        <v>12358</v>
      </c>
      <c r="B10919" s="7" t="str">
        <f>IFERROR(__xludf.DUMMYFUNCTION("SPLIT(A10919,"" "")"),"CC1=CC(C)C2(C=C(c3ccc(CN(Cc4ccccn4)C4CCCCC4N(C)c4ccc5ccc(CN(C)C)nc5c4)cn3)C3(CC(C)=CC(C)(C)C3)CC2c2cccc(CN(Cc3ccccn3)Cc3ccccn3)n2)C(C)C1")</f>
        <v>CC1=CC(C)C2(C=C(c3ccc(CN(Cc4ccccn4)C4CCCCC4N(C)c4ccc5ccc(CN(C)C)nc5c4)cn3)C3(CC(C)=CC(C)(C)C3)CC2c2cccc(CN(Cc3ccccn3)Cc3ccccn3)n2)C(C)C1</v>
      </c>
      <c r="C10919" s="7">
        <f>IFERROR(__xludf.DUMMYFUNCTION("""COMPUTED_VALUE"""),7.763914)</f>
        <v>7.763914</v>
      </c>
      <c r="D10919" s="7">
        <f>IFERROR(__xludf.DUMMYFUNCTION("""COMPUTED_VALUE"""),0.267326732673267)</f>
        <v>0.2673267327</v>
      </c>
    </row>
    <row r="10920">
      <c r="A10920" s="10" t="s">
        <v>12359</v>
      </c>
      <c r="B10920" s="7" t="str">
        <f>IFERROR(__xludf.DUMMYFUNCTION("SPLIT(A10920,"" "")"),"Cc1cc(C)c(C)c(CN(C)C2C=CNC(CN(C)Cc3ccc(C)c(C)c3C)=C2)n1")</f>
        <v>Cc1cc(C)c(C)c(CN(C)C2C=CNC(CN(C)Cc3ccc(C)c(C)c3C)=C2)n1</v>
      </c>
      <c r="C10920" s="7">
        <f>IFERROR(__xludf.DUMMYFUNCTION("""COMPUTED_VALUE"""),7.7639093)</f>
        <v>7.7639093</v>
      </c>
      <c r="D10920" s="7">
        <f>IFERROR(__xludf.DUMMYFUNCTION("""COMPUTED_VALUE"""),0.292307692307692)</f>
        <v>0.2923076923</v>
      </c>
    </row>
    <row r="10921">
      <c r="A10921" s="10" t="s">
        <v>12360</v>
      </c>
      <c r="B10921" s="7" t="str">
        <f>IFERROR(__xludf.DUMMYFUNCTION("SPLIT(A10921,"" "")"),"CC(C)N(Cc1ccccn1)Cc1cc(N(C)C2C=CC=CN2)ccn1")</f>
        <v>CC(C)N(Cc1ccccn1)Cc1cc(N(C)C2C=CC=CN2)ccn1</v>
      </c>
      <c r="C10921" s="7">
        <f>IFERROR(__xludf.DUMMYFUNCTION("""COMPUTED_VALUE"""),7.7639055)</f>
        <v>7.7639055</v>
      </c>
      <c r="D10921" s="7">
        <f>IFERROR(__xludf.DUMMYFUNCTION("""COMPUTED_VALUE"""),0.470588235294117)</f>
        <v>0.4705882353</v>
      </c>
    </row>
    <row r="10922">
      <c r="A10922" s="10" t="s">
        <v>12361</v>
      </c>
      <c r="B10922" s="7" t="str">
        <f>IFERROR(__xludf.DUMMYFUNCTION("SPLIT(A10922,"" "")"),"CC(C)C1=CCC=C(N(C)Cc2ccccn2)N1")</f>
        <v>CC(C)C1=CCC=C(N(C)Cc2ccccn2)N1</v>
      </c>
      <c r="C10922" s="7">
        <f>IFERROR(__xludf.DUMMYFUNCTION("""COMPUTED_VALUE"""),7.7639046)</f>
        <v>7.7639046</v>
      </c>
      <c r="D10922" s="7">
        <f>IFERROR(__xludf.DUMMYFUNCTION("""COMPUTED_VALUE"""),0.446808510638297)</f>
        <v>0.4468085106</v>
      </c>
    </row>
    <row r="10923">
      <c r="A10923" s="10" t="s">
        <v>12362</v>
      </c>
      <c r="B10923" s="7" t="str">
        <f>IFERROR(__xludf.DUMMYFUNCTION("SPLIT(A10923,"" "")"),"CN(Cc1ccc2c(n1)CCC2)C1CCC(N(C)c2ccc3nccc(CF)c3c2)CC1")</f>
        <v>CN(Cc1ccc2c(n1)CCC2)C1CCC(N(C)c2ccc3nccc(CF)c3c2)CC1</v>
      </c>
      <c r="C10923" s="7">
        <f>IFERROR(__xludf.DUMMYFUNCTION("""COMPUTED_VALUE"""),7.7639017)</f>
        <v>7.7639017</v>
      </c>
      <c r="D10923" s="7">
        <f>IFERROR(__xludf.DUMMYFUNCTION("""COMPUTED_VALUE"""),0.283783783783783)</f>
        <v>0.2837837838</v>
      </c>
    </row>
    <row r="10924">
      <c r="A10924" s="10" t="s">
        <v>12363</v>
      </c>
      <c r="B10924" s="7" t="str">
        <f>IFERROR(__xludf.DUMMYFUNCTION("SPLIT(A10924,"" "")"),"Cc1ccc(C(C)(C)c2ncccc2CN(Cc2ccccn2)C2CCCCC2)c2ncccc12")</f>
        <v>Cc1ccc(C(C)(C)c2ncccc2CN(Cc2ccccn2)C2CCCCC2)c2ncccc12</v>
      </c>
      <c r="C10924" s="7">
        <f>IFERROR(__xludf.DUMMYFUNCTION("""COMPUTED_VALUE"""),7.7639003)</f>
        <v>7.7639003</v>
      </c>
      <c r="D10924" s="7">
        <f>IFERROR(__xludf.DUMMYFUNCTION("""COMPUTED_VALUE"""),0.370967741935483)</f>
        <v>0.3709677419</v>
      </c>
    </row>
    <row r="10925">
      <c r="A10925" s="10" t="s">
        <v>12364</v>
      </c>
      <c r="B10925" s="7" t="str">
        <f>IFERROR(__xludf.DUMMYFUNCTION("SPLIT(A10925,"" "")"),"CN(Cc1ccon1)C1CCCCC1N(C)c1ccc2ncc(CF)cc2c1")</f>
        <v>CN(Cc1ccon1)C1CCCCC1N(C)c1ccc2ncc(CF)cc2c1</v>
      </c>
      <c r="C10925" s="7">
        <f>IFERROR(__xludf.DUMMYFUNCTION("""COMPUTED_VALUE"""),7.7638974)</f>
        <v>7.7638974</v>
      </c>
      <c r="D10925" s="7">
        <f>IFERROR(__xludf.DUMMYFUNCTION("""COMPUTED_VALUE"""),0.370967741935483)</f>
        <v>0.3709677419</v>
      </c>
    </row>
    <row r="10926">
      <c r="A10926" s="10" t="s">
        <v>12365</v>
      </c>
      <c r="B10926" s="7" t="str">
        <f>IFERROR(__xludf.DUMMYFUNCTION("SPLIT(A10926,"" "")"),"CC(C)C1N=COC1c1cc(CN(Cc2ccccn2)Cc2cc(C(C)(C)C)ccn2)ccn1")</f>
        <v>CC(C)C1N=COC1c1cc(CN(Cc2ccccn2)Cc2cc(C(C)(C)C)ccn2)ccn1</v>
      </c>
      <c r="C10926" s="7">
        <f>IFERROR(__xludf.DUMMYFUNCTION("""COMPUTED_VALUE"""),7.7638965)</f>
        <v>7.7638965</v>
      </c>
      <c r="D10926" s="7">
        <f>IFERROR(__xludf.DUMMYFUNCTION("""COMPUTED_VALUE"""),0.377049180327868)</f>
        <v>0.3770491803</v>
      </c>
    </row>
    <row r="10927">
      <c r="A10927" s="10" t="s">
        <v>12366</v>
      </c>
      <c r="B10927" s="7" t="str">
        <f>IFERROR(__xludf.DUMMYFUNCTION("SPLIT(A10927,"" "")"),"Cc1cccnc1CN(C)Cc1nccc2cc(N(C)Cc3ncccc3-c3cccc4c3OCCOCCOCCOCCOCCO4)ccc12")</f>
        <v>Cc1cccnc1CN(C)Cc1nccc2cc(N(C)Cc3ncccc3-c3cccc4c3OCCOCCOCCOCCOCCO4)ccc12</v>
      </c>
      <c r="C10927" s="7">
        <f>IFERROR(__xludf.DUMMYFUNCTION("""COMPUTED_VALUE"""),7.763896)</f>
        <v>7.763896</v>
      </c>
      <c r="D10927" s="7">
        <f>IFERROR(__xludf.DUMMYFUNCTION("""COMPUTED_VALUE"""),0.232876712328767)</f>
        <v>0.2328767123</v>
      </c>
    </row>
    <row r="10928">
      <c r="A10928" s="10" t="s">
        <v>12367</v>
      </c>
      <c r="B10928" s="7" t="str">
        <f>IFERROR(__xludf.DUMMYFUNCTION("SPLIT(A10928,"" "")"),"Cc1cccc(CN(C)C2=CNC(CN(C)C(C)(C)c3cccnc3)=CC2)n1")</f>
        <v>Cc1cccc(CN(C)C2=CNC(CN(C)C(C)(C)c3cccnc3)=CC2)n1</v>
      </c>
      <c r="C10928" s="7">
        <f>IFERROR(__xludf.DUMMYFUNCTION("""COMPUTED_VALUE"""),7.763894)</f>
        <v>7.763894</v>
      </c>
      <c r="D10928" s="7">
        <f>IFERROR(__xludf.DUMMYFUNCTION("""COMPUTED_VALUE"""),0.344827586206896)</f>
        <v>0.3448275862</v>
      </c>
    </row>
    <row r="10929">
      <c r="A10929" s="10" t="s">
        <v>12368</v>
      </c>
      <c r="B10929" s="7" t="str">
        <f>IFERROR(__xludf.DUMMYFUNCTION("SPLIT(A10929,"" "")"),"CC1C=C(CN(C)Cc2cccc(-c3cccc(N=Cc4ccccn4)c3)n2)CC(C)C1C")</f>
        <v>CC1C=C(CN(C)Cc2cccc(-c3cccc(N=Cc4ccccn4)c3)n2)CC(C)C1C</v>
      </c>
      <c r="C10929" s="7">
        <f>IFERROR(__xludf.DUMMYFUNCTION("""COMPUTED_VALUE"""),7.7638903)</f>
        <v>7.7638903</v>
      </c>
      <c r="D10929" s="7">
        <f>IFERROR(__xludf.DUMMYFUNCTION("""COMPUTED_VALUE"""),0.393939393939393)</f>
        <v>0.3939393939</v>
      </c>
    </row>
    <row r="10930">
      <c r="A10930" s="10" t="s">
        <v>12369</v>
      </c>
      <c r="B10930" s="7" t="str">
        <f>IFERROR(__xludf.DUMMYFUNCTION("SPLIT(A10930,"" "")"),"Cc1ccc(-c2cccc(CN(C)C3CCC(N(C)Cc4ccccn4)C(N(Cc4nc(C)c(C)c(C)c4C)Cc4nc(C)c(C)c(C)c4C)C3)n2)cc1")</f>
        <v>Cc1ccc(-c2cccc(CN(C)C3CCC(N(C)Cc4ccccn4)C(N(Cc4nc(C)c(C)c(C)c4C)Cc4nc(C)c(C)c(C)c4C)C3)n2)cc1</v>
      </c>
      <c r="C10930" s="7">
        <f>IFERROR(__xludf.DUMMYFUNCTION("""COMPUTED_VALUE"""),7.7638874)</f>
        <v>7.7638874</v>
      </c>
      <c r="D10930" s="7">
        <f>IFERROR(__xludf.DUMMYFUNCTION("""COMPUTED_VALUE"""),0.421875)</f>
        <v>0.421875</v>
      </c>
    </row>
    <row r="10931">
      <c r="A10931" s="10" t="s">
        <v>12370</v>
      </c>
      <c r="B10931" s="7" t="str">
        <f>IFERROR(__xludf.DUMMYFUNCTION("SPLIT(A10931,"" "")"),"CN(Cc1ccc2c(c1)OCCOCCOCCOCCOCCO2)Cc1ccc2cc(N(C)c3ccc4ncccc4c3)ccc2n1")</f>
        <v>CN(Cc1ccc2c(c1)OCCOCCOCCOCCOCCO2)Cc1ccc2cc(N(C)c3ccc4ncccc4c3)ccc2n1</v>
      </c>
      <c r="C10931" s="7">
        <f>IFERROR(__xludf.DUMMYFUNCTION("""COMPUTED_VALUE"""),7.7638855)</f>
        <v>7.7638855</v>
      </c>
      <c r="D10931" s="7">
        <f>IFERROR(__xludf.DUMMYFUNCTION("""COMPUTED_VALUE"""),0.3125)</f>
        <v>0.3125</v>
      </c>
    </row>
    <row r="10932">
      <c r="A10932" s="10" t="s">
        <v>12371</v>
      </c>
      <c r="B10932" s="7" t="str">
        <f>IFERROR(__xludf.DUMMYFUNCTION("SPLIT(A10932,"" "")"),"Cc1nc(CN(C)CC2=C(N(C)C(C)C)CC=CN2)c(C)c(C)c1C")</f>
        <v>Cc1nc(CN(C)CC2=C(N(C)C(C)C)CC=CN2)c(C)c(C)c1C</v>
      </c>
      <c r="C10932" s="7">
        <f>IFERROR(__xludf.DUMMYFUNCTION("""COMPUTED_VALUE"""),7.763877)</f>
        <v>7.763877</v>
      </c>
      <c r="D10932" s="7">
        <f>IFERROR(__xludf.DUMMYFUNCTION("""COMPUTED_VALUE"""),0.218181818181818)</f>
        <v>0.2181818182</v>
      </c>
    </row>
    <row r="10933">
      <c r="A10933" s="10" t="s">
        <v>12372</v>
      </c>
      <c r="B10933" s="7" t="str">
        <f>IFERROR(__xludf.DUMMYFUNCTION("SPLIT(A10933,"" "")"),"Cc1ccc(CN(C)CC2C=CNC=C2N(C)Cc2cnc(C)c(C)c2)nc1")</f>
        <v>Cc1ccc(CN(C)CC2C=CNC=C2N(C)Cc2cnc(C)c(C)c2)nc1</v>
      </c>
      <c r="C10933" s="7">
        <f>IFERROR(__xludf.DUMMYFUNCTION("""COMPUTED_VALUE"""),7.763876)</f>
        <v>7.763876</v>
      </c>
      <c r="D10933" s="7">
        <f>IFERROR(__xludf.DUMMYFUNCTION("""COMPUTED_VALUE"""),0.4)</f>
        <v>0.4</v>
      </c>
    </row>
    <row r="10934">
      <c r="A10934" s="10" t="s">
        <v>12373</v>
      </c>
      <c r="B10934" s="7" t="str">
        <f>IFERROR(__xludf.DUMMYFUNCTION("SPLIT(A10934,"" "")"),"CNCc1ncccc1CN(Cc1ccccn1)Cc1cc(C)c(C)c(C)n1")</f>
        <v>CNCc1ncccc1CN(Cc1ccccn1)Cc1cc(C)c(C)c(C)n1</v>
      </c>
      <c r="C10934" s="7">
        <f>IFERROR(__xludf.DUMMYFUNCTION("""COMPUTED_VALUE"""),7.763872)</f>
        <v>7.763872</v>
      </c>
      <c r="D10934" s="7">
        <f>IFERROR(__xludf.DUMMYFUNCTION("""COMPUTED_VALUE"""),0.425531914893617)</f>
        <v>0.4255319149</v>
      </c>
    </row>
    <row r="10935">
      <c r="A10935" s="10" t="s">
        <v>12374</v>
      </c>
      <c r="B10935" s="7" t="str">
        <f>IFERROR(__xludf.DUMMYFUNCTION("SPLIT(A10935,"" "")"),"Fc1cccc(CN(Cc2cccc(F)n2)Cc2ncccc2F)n1")</f>
        <v>Fc1cccc(CN(Cc2cccc(F)n2)Cc2ncccc2F)n1</v>
      </c>
      <c r="C10935" s="7">
        <f>IFERROR(__xludf.DUMMYFUNCTION("""COMPUTED_VALUE"""),7.76387)</f>
        <v>7.76387</v>
      </c>
      <c r="D10935" s="7">
        <f>IFERROR(__xludf.DUMMYFUNCTION("""COMPUTED_VALUE"""),0.444444444444444)</f>
        <v>0.4444444444</v>
      </c>
    </row>
    <row r="10936">
      <c r="A10936" s="10" t="s">
        <v>12375</v>
      </c>
      <c r="B10936" s="7" t="str">
        <f>IFERROR(__xludf.DUMMYFUNCTION("SPLIT(A10936,"" "")"),"Cc1ccnc2cc(N(C)C3CCC(N(Cc4ccnc(CNC(C)C)c4)Cc4ccccn4)CC3)ccc12")</f>
        <v>Cc1ccnc2cc(N(C)C3CCC(N(Cc4ccnc(CNC(C)C)c4)Cc4ccccn4)CC3)ccc12</v>
      </c>
      <c r="C10936" s="7">
        <f>IFERROR(__xludf.DUMMYFUNCTION("""COMPUTED_VALUE"""),7.7638683)</f>
        <v>7.7638683</v>
      </c>
      <c r="D10936" s="7">
        <f>IFERROR(__xludf.DUMMYFUNCTION("""COMPUTED_VALUE"""),0.338235294117647)</f>
        <v>0.3382352941</v>
      </c>
    </row>
    <row r="10937">
      <c r="A10937" s="10" t="s">
        <v>12376</v>
      </c>
      <c r="B10937" s="7" t="str">
        <f>IFERROR(__xludf.DUMMYFUNCTION("SPLIT(A10937,"" "")"),"CN(C)Cc1cnc2cccc(N(C)C3CCCCC3N(Cc3ccccn3)Cc3cccnn3)c2c1")</f>
        <v>CN(C)Cc1cnc2cccc(N(C)C3CCCCC3N(Cc3ccccn3)Cc3cccnn3)c2c1</v>
      </c>
      <c r="C10937" s="7">
        <f>IFERROR(__xludf.DUMMYFUNCTION("""COMPUTED_VALUE"""),7.763865)</f>
        <v>7.763865</v>
      </c>
      <c r="D10937" s="7">
        <f>IFERROR(__xludf.DUMMYFUNCTION("""COMPUTED_VALUE"""),0.412698412698412)</f>
        <v>0.4126984127</v>
      </c>
    </row>
    <row r="10938">
      <c r="A10938" s="10" t="s">
        <v>12377</v>
      </c>
      <c r="B10938" s="7" t="str">
        <f>IFERROR(__xludf.DUMMYFUNCTION("SPLIT(A10938,"" "")"),"CNCc1cccc(CN(Cc2ccccn2)Cc2nc(C)c(C)cc2C)n1")</f>
        <v>CNCc1cccc(CN(Cc2ccccn2)Cc2nc(C)c(C)cc2C)n1</v>
      </c>
      <c r="C10938" s="7">
        <f>IFERROR(__xludf.DUMMYFUNCTION("""COMPUTED_VALUE"""),7.7638636)</f>
        <v>7.7638636</v>
      </c>
      <c r="D10938" s="7">
        <f>IFERROR(__xludf.DUMMYFUNCTION("""COMPUTED_VALUE"""),0.465116279069767)</f>
        <v>0.4651162791</v>
      </c>
    </row>
    <row r="10939">
      <c r="A10939" s="10" t="s">
        <v>12378</v>
      </c>
      <c r="B10939" s="7" t="str">
        <f>IFERROR(__xludf.DUMMYFUNCTION("SPLIT(A10939,"" "")"),"CC(C)N1CCCC1CN(C)c1ccc2cccnc2c1")</f>
        <v>CC(C)N1CCCC1CN(C)c1ccc2cccnc2c1</v>
      </c>
      <c r="C10939" s="7">
        <f>IFERROR(__xludf.DUMMYFUNCTION("""COMPUTED_VALUE"""),7.763863)</f>
        <v>7.763863</v>
      </c>
      <c r="D10939" s="7">
        <f>IFERROR(__xludf.DUMMYFUNCTION("""COMPUTED_VALUE"""),0.34375)</f>
        <v>0.34375</v>
      </c>
    </row>
    <row r="10940">
      <c r="A10940" s="10" t="s">
        <v>12379</v>
      </c>
      <c r="B10940" s="7" t="str">
        <f>IFERROR(__xludf.DUMMYFUNCTION("SPLIT(A10940,"" "")"),"Cc1ccnc(CN(Cc2ccc(F)nc2)Cc2ccccn2)c1C")</f>
        <v>Cc1ccnc(CN(Cc2ccc(F)nc2)Cc2ccccn2)c1C</v>
      </c>
      <c r="C10940" s="7">
        <f>IFERROR(__xludf.DUMMYFUNCTION("""COMPUTED_VALUE"""),7.763861)</f>
        <v>7.763861</v>
      </c>
      <c r="D10940" s="7">
        <f>IFERROR(__xludf.DUMMYFUNCTION("""COMPUTED_VALUE"""),0.454545454545454)</f>
        <v>0.4545454545</v>
      </c>
    </row>
    <row r="10941">
      <c r="A10941" s="10" t="s">
        <v>12380</v>
      </c>
      <c r="B10941" s="7" t="str">
        <f>IFERROR(__xludf.DUMMYFUNCTION("SPLIT(A10941,"" "")"),"Cc1ccc2ccc(N(C)C3CCCC(N(C)Cc4ccccn4)C3)cc2n1")</f>
        <v>Cc1ccc2ccc(N(C)C3CCCC(N(C)Cc4ccccn4)C3)cc2n1</v>
      </c>
      <c r="C10941" s="7">
        <f>IFERROR(__xludf.DUMMYFUNCTION("""COMPUTED_VALUE"""),7.76386)</f>
        <v>7.76386</v>
      </c>
      <c r="D10941" s="7">
        <f>IFERROR(__xludf.DUMMYFUNCTION("""COMPUTED_VALUE"""),0.462962962962962)</f>
        <v>0.462962963</v>
      </c>
    </row>
    <row r="10942">
      <c r="A10942" s="10" t="s">
        <v>12381</v>
      </c>
      <c r="B10942" s="7" t="str">
        <f>IFERROR(__xludf.DUMMYFUNCTION("SPLIT(A10942,"" "")"),"Cc1cccnc1CN(Cc1ccccn1)C1CCC(N(C)c2ccc3nc(CF)ccc3c2)CC1")</f>
        <v>Cc1cccnc1CN(Cc1ccccn1)C1CCC(N(C)c2ccc3nc(CF)ccc3c2)CC1</v>
      </c>
      <c r="C10942" s="7">
        <f>IFERROR(__xludf.DUMMYFUNCTION("""COMPUTED_VALUE"""),7.7638583)</f>
        <v>7.7638583</v>
      </c>
      <c r="D10942" s="7">
        <f>IFERROR(__xludf.DUMMYFUNCTION("""COMPUTED_VALUE"""),0.359375)</f>
        <v>0.359375</v>
      </c>
    </row>
    <row r="10943">
      <c r="A10943" s="10" t="s">
        <v>12382</v>
      </c>
      <c r="B10943" s="7" t="str">
        <f>IFERROR(__xludf.DUMMYFUNCTION("SPLIT(A10943,"" "")"),"Cc1cccc(CN(C)CCN(Cc2ccccn2)C(C)(C)c2cnccc2CN(Cc2ccccn2)Cc2nc(C)c(C)c(C)c2C)n1")</f>
        <v>Cc1cccc(CN(C)CCN(Cc2ccccn2)C(C)(C)c2cnccc2CN(Cc2ccccn2)Cc2nc(C)c(C)c(C)c2C)n1</v>
      </c>
      <c r="C10943" s="7">
        <f>IFERROR(__xludf.DUMMYFUNCTION("""COMPUTED_VALUE"""),7.763856)</f>
        <v>7.763856</v>
      </c>
      <c r="D10943" s="7">
        <f>IFERROR(__xludf.DUMMYFUNCTION("""COMPUTED_VALUE"""),0.390625)</f>
        <v>0.390625</v>
      </c>
    </row>
    <row r="10944">
      <c r="A10944" s="10" t="s">
        <v>12383</v>
      </c>
      <c r="B10944" s="7" t="str">
        <f>IFERROR(__xludf.DUMMYFUNCTION("SPLIT(A10944,"" "")"),"Cc1cc(CN(CC2=CC(N(C)Cc3ccccn3)C=CN2)Cc2ccccn2)nc(C)c1C")</f>
        <v>Cc1cc(CN(CC2=CC(N(C)Cc3ccccn3)C=CN2)Cc2ccccn2)nc(C)c1C</v>
      </c>
      <c r="C10944" s="7">
        <f>IFERROR(__xludf.DUMMYFUNCTION("""COMPUTED_VALUE"""),7.7638526)</f>
        <v>7.7638526</v>
      </c>
      <c r="D10944" s="7">
        <f>IFERROR(__xludf.DUMMYFUNCTION("""COMPUTED_VALUE"""),0.426229508196721)</f>
        <v>0.4262295082</v>
      </c>
    </row>
    <row r="10945">
      <c r="A10945" s="10" t="s">
        <v>12384</v>
      </c>
      <c r="B10945" s="7" t="str">
        <f>IFERROR(__xludf.DUMMYFUNCTION("SPLIT(A10945,"" "")"),"CNCc1ccc2cccc(N(C)C3CCC(N(Cc4cccc(F)n4)Cc4ncccc4C)CC3)c2n1")</f>
        <v>CNCc1ccc2cccc(N(C)C3CCC(N(Cc4cccc(F)n4)Cc4ncccc4C)CC3)c2n1</v>
      </c>
      <c r="C10945" s="7">
        <f>IFERROR(__xludf.DUMMYFUNCTION("""COMPUTED_VALUE"""),7.763846)</f>
        <v>7.763846</v>
      </c>
      <c r="D10945" s="7">
        <f>IFERROR(__xludf.DUMMYFUNCTION("""COMPUTED_VALUE"""),0.375)</f>
        <v>0.375</v>
      </c>
    </row>
    <row r="10946">
      <c r="A10946" s="10" t="s">
        <v>12385</v>
      </c>
      <c r="B10946" s="7" t="str">
        <f>IFERROR(__xludf.DUMMYFUNCTION("SPLIT(A10946,"" "")"),"CN(Cc1cc(-c2ccc3ncccc3c2)ccn1)Cc1ncccc1-c1ccc2c(c1)OCCOCCOCCOCCOCCO2")</f>
        <v>CN(Cc1cc(-c2ccc3ncccc3c2)ccn1)Cc1ncccc1-c1ccc2c(c1)OCCOCCOCCOCCOCCO2</v>
      </c>
      <c r="C10946" s="7">
        <f>IFERROR(__xludf.DUMMYFUNCTION("""COMPUTED_VALUE"""),7.763844)</f>
        <v>7.763844</v>
      </c>
      <c r="D10946" s="7">
        <f>IFERROR(__xludf.DUMMYFUNCTION("""COMPUTED_VALUE"""),0.328947368421052)</f>
        <v>0.3289473684</v>
      </c>
    </row>
    <row r="10947">
      <c r="A10947" s="10" t="s">
        <v>12386</v>
      </c>
      <c r="B10947" s="7" t="str">
        <f>IFERROR(__xludf.DUMMYFUNCTION("SPLIT(A10947,"" "")"),"Cc1ccnc(CN(C)Cc2cccnc2F)c1N")</f>
        <v>Cc1ccnc(CN(C)Cc2cccnc2F)c1N</v>
      </c>
      <c r="C10947" s="7">
        <f>IFERROR(__xludf.DUMMYFUNCTION("""COMPUTED_VALUE"""),7.763843)</f>
        <v>7.763843</v>
      </c>
      <c r="D10947" s="7">
        <f>IFERROR(__xludf.DUMMYFUNCTION("""COMPUTED_VALUE"""),0.382978723404255)</f>
        <v>0.3829787234</v>
      </c>
    </row>
    <row r="10948">
      <c r="A10948" s="10" t="s">
        <v>12387</v>
      </c>
      <c r="B10948" s="7" t="str">
        <f>IFERROR(__xludf.DUMMYFUNCTION("SPLIT(A10948,"" "")"),"Cc1c(NCc2ccccn2)cccc1C(C)(C)N(C)Cc1ccccn1")</f>
        <v>Cc1c(NCc2ccccn2)cccc1C(C)(C)N(C)Cc1ccccn1</v>
      </c>
      <c r="C10948" s="7">
        <f>IFERROR(__xludf.DUMMYFUNCTION("""COMPUTED_VALUE"""),7.763843)</f>
        <v>7.763843</v>
      </c>
      <c r="D10948" s="7">
        <f>IFERROR(__xludf.DUMMYFUNCTION("""COMPUTED_VALUE"""),0.392156862745098)</f>
        <v>0.3921568627</v>
      </c>
    </row>
    <row r="10949">
      <c r="A10949" s="10" t="s">
        <v>12388</v>
      </c>
      <c r="B10949" s="7" t="str">
        <f>IFERROR(__xludf.DUMMYFUNCTION("SPLIT(A10949,"" "")"),"CC1(C)N=COC1c1ncccc1CN(Cc1ccccn1)Cc1ccccn1")</f>
        <v>CC1(C)N=COC1c1ncccc1CN(Cc1ccccn1)Cc1ccccn1</v>
      </c>
      <c r="C10949" s="7">
        <f>IFERROR(__xludf.DUMMYFUNCTION("""COMPUTED_VALUE"""),7.763841)</f>
        <v>7.763841</v>
      </c>
      <c r="D10949" s="7">
        <f>IFERROR(__xludf.DUMMYFUNCTION("""COMPUTED_VALUE"""),0.465116279069767)</f>
        <v>0.4651162791</v>
      </c>
    </row>
    <row r="10950">
      <c r="A10950" s="10" t="s">
        <v>12389</v>
      </c>
      <c r="B10950" s="7" t="str">
        <f>IFERROR(__xludf.DUMMYFUNCTION("SPLIT(A10950,"" "")"),"CC(C)N1CCCC1CN(C)c1ccc2ncccc2c1")</f>
        <v>CC(C)N1CCCC1CN(C)c1ccc2ncccc2c1</v>
      </c>
      <c r="C10950" s="7">
        <f>IFERROR(__xludf.DUMMYFUNCTION("""COMPUTED_VALUE"""),7.763841)</f>
        <v>7.763841</v>
      </c>
      <c r="D10950" s="7">
        <f>IFERROR(__xludf.DUMMYFUNCTION("""COMPUTED_VALUE"""),0.349206349206349)</f>
        <v>0.3492063492</v>
      </c>
    </row>
    <row r="10951">
      <c r="A10951" s="10" t="s">
        <v>12390</v>
      </c>
      <c r="B10951" s="7" t="str">
        <f>IFERROR(__xludf.DUMMYFUNCTION("SPLIT(A10951,"" "")"),"Cc1ccc(NCc2ccccn2)cc1CN(C)Cc1ccccn1")</f>
        <v>Cc1ccc(NCc2ccccn2)cc1CN(C)Cc1ccccn1</v>
      </c>
      <c r="C10951" s="7">
        <f>IFERROR(__xludf.DUMMYFUNCTION("""COMPUTED_VALUE"""),7.763837)</f>
        <v>7.763837</v>
      </c>
      <c r="D10951" s="7">
        <f>IFERROR(__xludf.DUMMYFUNCTION("""COMPUTED_VALUE"""),0.458333333333333)</f>
        <v>0.4583333333</v>
      </c>
    </row>
    <row r="10952">
      <c r="A10952" s="10" t="s">
        <v>12391</v>
      </c>
      <c r="B10952" s="7" t="str">
        <f>IFERROR(__xludf.DUMMYFUNCTION("SPLIT(A10952,"" "")"),"FCc1ccc(NCc2ccccn2)cn1")</f>
        <v>FCc1ccc(NCc2ccccn2)cn1</v>
      </c>
      <c r="C10952" s="7">
        <f>IFERROR(__xludf.DUMMYFUNCTION("""COMPUTED_VALUE"""),7.763835)</f>
        <v>7.763835</v>
      </c>
      <c r="D10952" s="7">
        <f>IFERROR(__xludf.DUMMYFUNCTION("""COMPUTED_VALUE"""),0.459459459459459)</f>
        <v>0.4594594595</v>
      </c>
    </row>
    <row r="10953">
      <c r="A10953" s="10" t="s">
        <v>12392</v>
      </c>
      <c r="B10953" s="7" t="str">
        <f>IFERROR(__xludf.DUMMYFUNCTION("SPLIT(A10953,"" "")"),"Cc1ccc(CN(C)Cc2ccccn2)cc1NCc1ccccn1")</f>
        <v>Cc1ccc(CN(C)Cc2ccccn2)cc1NCc1ccccn1</v>
      </c>
      <c r="C10953" s="7">
        <f>IFERROR(__xludf.DUMMYFUNCTION("""COMPUTED_VALUE"""),7.763833)</f>
        <v>7.763833</v>
      </c>
      <c r="D10953" s="7">
        <f>IFERROR(__xludf.DUMMYFUNCTION("""COMPUTED_VALUE"""),0.448979591836734)</f>
        <v>0.4489795918</v>
      </c>
    </row>
    <row r="10954">
      <c r="A10954" s="10" t="s">
        <v>12393</v>
      </c>
      <c r="B10954" s="7" t="str">
        <f>IFERROR(__xludf.DUMMYFUNCTION("SPLIT(A10954,"" "")"),"Cc1cnc(CN(C)C2C=CNC(CN(C)Cc3cc(C)c(C)c(C)n3)=C2)cc1C")</f>
        <v>Cc1cnc(CN(C)C2C=CNC(CN(C)Cc3cc(C)c(C)c(C)n3)=C2)cc1C</v>
      </c>
      <c r="C10954" s="7">
        <f>IFERROR(__xludf.DUMMYFUNCTION("""COMPUTED_VALUE"""),7.763829)</f>
        <v>7.763829</v>
      </c>
      <c r="D10954" s="7">
        <f>IFERROR(__xludf.DUMMYFUNCTION("""COMPUTED_VALUE"""),0.296875)</f>
        <v>0.296875</v>
      </c>
    </row>
    <row r="10955">
      <c r="A10955" s="10" t="s">
        <v>12394</v>
      </c>
      <c r="B10955" s="7" t="str">
        <f>IFERROR(__xludf.DUMMYFUNCTION("SPLIT(A10955,"" "")"),"CCNc1nccc(C)c1CN(Cc1ccc(C)cn1)Cc1ncccc1C")</f>
        <v>CCNc1nccc(C)c1CN(Cc1ccc(C)cn1)Cc1ncccc1C</v>
      </c>
      <c r="C10955" s="7">
        <f>IFERROR(__xludf.DUMMYFUNCTION("""COMPUTED_VALUE"""),7.7638254)</f>
        <v>7.7638254</v>
      </c>
      <c r="D10955" s="7">
        <f>IFERROR(__xludf.DUMMYFUNCTION("""COMPUTED_VALUE"""),0.358490566037735)</f>
        <v>0.358490566</v>
      </c>
    </row>
    <row r="10956">
      <c r="A10956" s="10" t="s">
        <v>12395</v>
      </c>
      <c r="B10956" s="7" t="str">
        <f>IFERROR(__xludf.DUMMYFUNCTION("SPLIT(A10956,"" "")"),"Cc1ccc(CN(Cc2ccccn2)c2cc(Cl)c(N(C)Cc3cccc(-c4ccc5c(c4)OCCOCCOCCOCCOCCO5)n3)cc2Cl)nc1")</f>
        <v>Cc1ccc(CN(Cc2ccccn2)c2cc(Cl)c(N(C)Cc3cccc(-c4ccc5c(c4)OCCOCCOCCOCCOCCO5)n3)cc2Cl)nc1</v>
      </c>
      <c r="C10956" s="7">
        <f>IFERROR(__xludf.DUMMYFUNCTION("""COMPUTED_VALUE"""),7.763818)</f>
        <v>7.763818</v>
      </c>
      <c r="D10956" s="7">
        <f>IFERROR(__xludf.DUMMYFUNCTION("""COMPUTED_VALUE"""),0.402985074626865)</f>
        <v>0.4029850746</v>
      </c>
    </row>
    <row r="10957">
      <c r="A10957" s="10" t="s">
        <v>12396</v>
      </c>
      <c r="B10957" s="7" t="str">
        <f>IFERROR(__xludf.DUMMYFUNCTION("SPLIT(A10957,"" "")"),"Cc1cccc(CN(C)C2CCC(N(C)c3cccc4nc(CF)ccc34)CC2)n1")</f>
        <v>Cc1cccc(CN(C)C2CCC(N(C)c3cccc4nc(CF)ccc34)CC2)n1</v>
      </c>
      <c r="C10957" s="7">
        <f>IFERROR(__xludf.DUMMYFUNCTION("""COMPUTED_VALUE"""),7.763818)</f>
        <v>7.763818</v>
      </c>
      <c r="D10957" s="7">
        <f>IFERROR(__xludf.DUMMYFUNCTION("""COMPUTED_VALUE"""),0.462962962962962)</f>
        <v>0.462962963</v>
      </c>
    </row>
    <row r="10958">
      <c r="A10958" s="10" t="s">
        <v>12397</v>
      </c>
      <c r="B10958" s="7" t="str">
        <f>IFERROR(__xludf.DUMMYFUNCTION("SPLIT(A10958,"" "")"),"CN(C)Cc1cnc2ccc(N(C)C3CCCC(N(C)Cc4cccnn4)C3)cc2c1")</f>
        <v>CN(C)Cc1cnc2ccc(N(C)C3CCCC(N(C)Cc4cccnn4)C3)cc2c1</v>
      </c>
      <c r="C10958" s="7">
        <f>IFERROR(__xludf.DUMMYFUNCTION("""COMPUTED_VALUE"""),7.763818)</f>
        <v>7.763818</v>
      </c>
      <c r="D10958" s="7">
        <f>IFERROR(__xludf.DUMMYFUNCTION("""COMPUTED_VALUE"""),0.333333333333333)</f>
        <v>0.3333333333</v>
      </c>
    </row>
    <row r="10959">
      <c r="A10959" s="10" t="s">
        <v>12398</v>
      </c>
      <c r="B10959" s="7" t="str">
        <f>IFERROR(__xludf.DUMMYFUNCTION("SPLIT(A10959,"" "")"),"C#Cc1ccccc1NCc1ccccn1")</f>
        <v>C#Cc1ccccc1NCc1ccccn1</v>
      </c>
      <c r="C10959" s="7">
        <f>IFERROR(__xludf.DUMMYFUNCTION("""COMPUTED_VALUE"""),7.763816)</f>
        <v>7.763816</v>
      </c>
      <c r="D10959" s="7">
        <f>IFERROR(__xludf.DUMMYFUNCTION("""COMPUTED_VALUE"""),0.472222222222222)</f>
        <v>0.4722222222</v>
      </c>
    </row>
    <row r="10960">
      <c r="A10960" s="10" t="s">
        <v>12399</v>
      </c>
      <c r="B10960" s="7" t="str">
        <f>IFERROR(__xludf.DUMMYFUNCTION("SPLIT(A10960,"" "")"),"Cc1ccccc1CN(C)Cc1cccc(C(C)(C)c2ccccn2)n1")</f>
        <v>Cc1ccccc1CN(C)Cc1cccc(C(C)(C)c2ccccn2)n1</v>
      </c>
      <c r="C10960" s="7">
        <f>IFERROR(__xludf.DUMMYFUNCTION("""COMPUTED_VALUE"""),7.76381)</f>
        <v>7.76381</v>
      </c>
      <c r="D10960" s="7">
        <f>IFERROR(__xludf.DUMMYFUNCTION("""COMPUTED_VALUE"""),0.46938775510204)</f>
        <v>0.4693877551</v>
      </c>
    </row>
    <row r="10961">
      <c r="A10961" s="10" t="s">
        <v>12400</v>
      </c>
      <c r="B10961" s="7" t="str">
        <f>IFERROR(__xludf.DUMMYFUNCTION("SPLIT(A10961,"" "")"),"Cc1c(C)c(C)c(N(C)CCN(C)C(C)(C)c2ccccn2)c(C)c1C")</f>
        <v>Cc1c(C)c(C)c(N(C)CCN(C)C(C)(C)c2ccccn2)c(C)c1C</v>
      </c>
      <c r="C10961" s="7">
        <f>IFERROR(__xludf.DUMMYFUNCTION("""COMPUTED_VALUE"""),7.7638035)</f>
        <v>7.7638035</v>
      </c>
      <c r="D10961" s="7">
        <f>IFERROR(__xludf.DUMMYFUNCTION("""COMPUTED_VALUE"""),0.346938775510204)</f>
        <v>0.3469387755</v>
      </c>
    </row>
    <row r="10962">
      <c r="A10962" s="10" t="s">
        <v>12401</v>
      </c>
      <c r="B10962" s="7" t="str">
        <f>IFERROR(__xludf.DUMMYFUNCTION("SPLIT(A10962,"" "")"),"CCCN(Cc1ccccn1)C1=CCC=C(CN(Cc2ccccn2)Cc2ncccc2C)N1")</f>
        <v>CCCN(Cc1ccccn1)C1=CCC=C(CN(Cc2ccccn2)Cc2ncccc2C)N1</v>
      </c>
      <c r="C10962" s="7">
        <f>IFERROR(__xludf.DUMMYFUNCTION("""COMPUTED_VALUE"""),7.7638035)</f>
        <v>7.7638035</v>
      </c>
      <c r="D10962" s="7">
        <f>IFERROR(__xludf.DUMMYFUNCTION("""COMPUTED_VALUE"""),0.45)</f>
        <v>0.45</v>
      </c>
    </row>
    <row r="10963">
      <c r="A10963" s="10" t="s">
        <v>12402</v>
      </c>
      <c r="B10963" s="7" t="str">
        <f>IFERROR(__xludf.DUMMYFUNCTION("SPLIT(A10963,"" "")"),"Cc1cncc(CN(Cc2ccccn2)C2CCCC(N(C)c3ccc4cc(CF)cnc4c3)C2)c1")</f>
        <v>Cc1cncc(CN(Cc2ccccn2)C2CCCC(N(C)c3ccc4cc(CF)cnc4c3)C2)c1</v>
      </c>
      <c r="C10963" s="7">
        <f>IFERROR(__xludf.DUMMYFUNCTION("""COMPUTED_VALUE"""),7.7638016)</f>
        <v>7.7638016</v>
      </c>
      <c r="D10963" s="7">
        <f>IFERROR(__xludf.DUMMYFUNCTION("""COMPUTED_VALUE"""),0.328571428571428)</f>
        <v>0.3285714286</v>
      </c>
    </row>
    <row r="10964">
      <c r="A10964" s="10" t="s">
        <v>12403</v>
      </c>
      <c r="B10964" s="7" t="str">
        <f>IFERROR(__xludf.DUMMYFUNCTION("SPLIT(A10964,"" "")"),"CC1C=CC(N(C)Cc2ccc(C(C)(C)C)cn2)c2ncccc21")</f>
        <v>CC1C=CC(N(C)Cc2ccc(C(C)(C)C)cn2)c2ncccc21</v>
      </c>
      <c r="C10964" s="7">
        <f>IFERROR(__xludf.DUMMYFUNCTION("""COMPUTED_VALUE"""),7.7638)</f>
        <v>7.7638</v>
      </c>
      <c r="D10964" s="7">
        <f>IFERROR(__xludf.DUMMYFUNCTION("""COMPUTED_VALUE"""),0.321428571428571)</f>
        <v>0.3214285714</v>
      </c>
    </row>
    <row r="10965">
      <c r="A10965" s="10" t="s">
        <v>12404</v>
      </c>
      <c r="B10965" s="7" t="str">
        <f>IFERROR(__xludf.DUMMYFUNCTION("SPLIT(A10965,"" "")"),"Cc1ccnc(CN(Cc2ccccn2)Cc2cccnc2F)c1C")</f>
        <v>Cc1ccnc(CN(Cc2ccccn2)Cc2cccnc2F)c1C</v>
      </c>
      <c r="C10965" s="7">
        <f>IFERROR(__xludf.DUMMYFUNCTION("""COMPUTED_VALUE"""),7.763798)</f>
        <v>7.763798</v>
      </c>
      <c r="D10965" s="7">
        <f>IFERROR(__xludf.DUMMYFUNCTION("""COMPUTED_VALUE"""),0.48780487804878)</f>
        <v>0.487804878</v>
      </c>
    </row>
    <row r="10966">
      <c r="A10966" s="10" t="s">
        <v>12405</v>
      </c>
      <c r="B10966" s="7" t="str">
        <f>IFERROR(__xludf.DUMMYFUNCTION("SPLIT(A10966,"" "")"),"CCCN(C)CC1=CCC(N(C)Cc2nc(C)c(C)cc2C)=CN1")</f>
        <v>CCCN(C)CC1=CCC(N(C)Cc2nc(C)c(C)cc2C)=CN1</v>
      </c>
      <c r="C10966" s="7">
        <f>IFERROR(__xludf.DUMMYFUNCTION("""COMPUTED_VALUE"""),7.7637978)</f>
        <v>7.7637978</v>
      </c>
      <c r="D10966" s="7">
        <f>IFERROR(__xludf.DUMMYFUNCTION("""COMPUTED_VALUE"""),0.232142857142857)</f>
        <v>0.2321428571</v>
      </c>
    </row>
    <row r="10967">
      <c r="A10967" s="10" t="s">
        <v>12406</v>
      </c>
      <c r="B10967" s="7" t="str">
        <f>IFERROR(__xludf.DUMMYFUNCTION("SPLIT(A10967,"" "")"),"CNCc1ncccc1CN(Cc1ccccn1)Cc1nc(C)c(C)cc1C")</f>
        <v>CNCc1ncccc1CN(Cc1ccccn1)Cc1nc(C)c(C)cc1C</v>
      </c>
      <c r="C10967" s="7">
        <f>IFERROR(__xludf.DUMMYFUNCTION("""COMPUTED_VALUE"""),7.7637944)</f>
        <v>7.7637944</v>
      </c>
      <c r="D10967" s="7">
        <f>IFERROR(__xludf.DUMMYFUNCTION("""COMPUTED_VALUE"""),0.434782608695652)</f>
        <v>0.4347826087</v>
      </c>
    </row>
    <row r="10968">
      <c r="A10968" s="10" t="s">
        <v>12407</v>
      </c>
      <c r="B10968" s="7" t="str">
        <f>IFERROR(__xludf.DUMMYFUNCTION("SPLIT(A10968,"" "")"),"Cc1ccc(CN=Cc2ccccn2)cc1")</f>
        <v>Cc1ccc(CN=Cc2ccccn2)cc1</v>
      </c>
      <c r="C10968" s="7">
        <f>IFERROR(__xludf.DUMMYFUNCTION("""COMPUTED_VALUE"""),7.763787)</f>
        <v>7.763787</v>
      </c>
      <c r="D10968" s="7">
        <f>IFERROR(__xludf.DUMMYFUNCTION("""COMPUTED_VALUE"""),0.441860465116279)</f>
        <v>0.4418604651</v>
      </c>
    </row>
    <row r="10969">
      <c r="A10969" s="10" t="s">
        <v>12408</v>
      </c>
      <c r="B10969" s="7" t="str">
        <f>IFERROR(__xludf.DUMMYFUNCTION("SPLIT(A10969,"" "")"),"CN(Cc1ccon1)C1CCCCC1N(C)c1ccc2cccnc2c1")</f>
        <v>CN(Cc1ccon1)C1CCCCC1N(C)c1ccc2cccnc2c1</v>
      </c>
      <c r="C10969" s="7">
        <f>IFERROR(__xludf.DUMMYFUNCTION("""COMPUTED_VALUE"""),7.7637854)</f>
        <v>7.7637854</v>
      </c>
      <c r="D10969" s="7">
        <f>IFERROR(__xludf.DUMMYFUNCTION("""COMPUTED_VALUE"""),0.454545454545454)</f>
        <v>0.4545454545</v>
      </c>
    </row>
    <row r="10970">
      <c r="A10970" s="10" t="s">
        <v>12409</v>
      </c>
      <c r="B10970" s="7" t="str">
        <f>IFERROR(__xludf.DUMMYFUNCTION("SPLIT(A10970,"" "")"),"CNCc1ccc(CN(C)Cc2nc(C)c(C)cc2C)cn1")</f>
        <v>CNCc1ccc(CN(C)Cc2nc(C)c(C)cc2C)cn1</v>
      </c>
      <c r="C10970" s="7">
        <f>IFERROR(__xludf.DUMMYFUNCTION("""COMPUTED_VALUE"""),7.7637844)</f>
        <v>7.7637844</v>
      </c>
      <c r="D10970" s="7">
        <f>IFERROR(__xludf.DUMMYFUNCTION("""COMPUTED_VALUE"""),0.326530612244897)</f>
        <v>0.3265306122</v>
      </c>
    </row>
    <row r="10971">
      <c r="A10971" s="10" t="s">
        <v>12410</v>
      </c>
      <c r="B10971" s="7" t="str">
        <f>IFERROR(__xludf.DUMMYFUNCTION("SPLIT(A10971,"" "")"),"Cc1cccnc1CN(C)C1CCCCC1N(C)c1ccc2ccc(CN(C)C)nc2c1")</f>
        <v>Cc1cccnc1CN(C)C1CCCCC1N(C)c1ccc2ccc(CN(C)C)nc2c1</v>
      </c>
      <c r="C10971" s="7">
        <f>IFERROR(__xludf.DUMMYFUNCTION("""COMPUTED_VALUE"""),7.7637796)</f>
        <v>7.7637796</v>
      </c>
      <c r="D10971" s="7">
        <f>IFERROR(__xludf.DUMMYFUNCTION("""COMPUTED_VALUE"""),0.421052631578947)</f>
        <v>0.4210526316</v>
      </c>
    </row>
    <row r="10972">
      <c r="A10972" s="10" t="s">
        <v>12411</v>
      </c>
      <c r="B10972" s="7" t="str">
        <f>IFERROR(__xludf.DUMMYFUNCTION("SPLIT(A10972,"" "")"),"Cc1cc(CN(C)C2=CNC(CN(C)C(C)C)=CC2)nc(C)c1C")</f>
        <v>Cc1cc(CN(C)C2=CNC(CN(C)C(C)C)=CC2)nc(C)c1C</v>
      </c>
      <c r="C10972" s="7">
        <f>IFERROR(__xludf.DUMMYFUNCTION("""COMPUTED_VALUE"""),7.763762)</f>
        <v>7.763762</v>
      </c>
      <c r="D10972" s="7">
        <f>IFERROR(__xludf.DUMMYFUNCTION("""COMPUTED_VALUE"""),0.196969696969696)</f>
        <v>0.196969697</v>
      </c>
    </row>
    <row r="10973">
      <c r="A10973" s="10" t="s">
        <v>12412</v>
      </c>
      <c r="B10973" s="7" t="str">
        <f>IFERROR(__xludf.DUMMYFUNCTION("SPLIT(A10973,"" "")"),"Cc1cc(C)c(CN(C)CCN(C)Cc2cc(C)c(C)c(C)n2)nc1C")</f>
        <v>Cc1cc(C)c(CN(C)CCN(C)Cc2cc(C)c(C)c(C)n2)nc1C</v>
      </c>
      <c r="C10973" s="7">
        <f>IFERROR(__xludf.DUMMYFUNCTION("""COMPUTED_VALUE"""),7.7637615)</f>
        <v>7.7637615</v>
      </c>
      <c r="D10973" s="7">
        <f>IFERROR(__xludf.DUMMYFUNCTION("""COMPUTED_VALUE"""),0.372093023255813)</f>
        <v>0.3720930233</v>
      </c>
    </row>
    <row r="10974">
      <c r="A10974" s="10" t="s">
        <v>12413</v>
      </c>
      <c r="B10974" s="7" t="str">
        <f>IFERROR(__xludf.DUMMYFUNCTION("SPLIT(A10974,"" "")"),"CNCc1cc(CN(C)Cc2cc(C)c(C)c(C)n2)ccn1")</f>
        <v>CNCc1cc(CN(C)Cc2cc(C)c(C)c(C)n2)ccn1</v>
      </c>
      <c r="C10974" s="7">
        <f>IFERROR(__xludf.DUMMYFUNCTION("""COMPUTED_VALUE"""),7.763749)</f>
        <v>7.763749</v>
      </c>
      <c r="D10974" s="7">
        <f>IFERROR(__xludf.DUMMYFUNCTION("""COMPUTED_VALUE"""),0.314814814814814)</f>
        <v>0.3148148148</v>
      </c>
    </row>
    <row r="10975">
      <c r="A10975" s="10" t="s">
        <v>12414</v>
      </c>
      <c r="B10975" s="7" t="str">
        <f>IFERROR(__xludf.DUMMYFUNCTION("SPLIT(A10975,"" "")"),"CNCC1=CCC(N(C)Cc2ccc(C)cn2)=CN1")</f>
        <v>CNCC1=CCC(N(C)Cc2ccc(C)cn2)=CN1</v>
      </c>
      <c r="C10975" s="7">
        <f>IFERROR(__xludf.DUMMYFUNCTION("""COMPUTED_VALUE"""),7.7637486)</f>
        <v>7.7637486</v>
      </c>
      <c r="D10975" s="7">
        <f>IFERROR(__xludf.DUMMYFUNCTION("""COMPUTED_VALUE"""),0.416666666666666)</f>
        <v>0.4166666667</v>
      </c>
    </row>
    <row r="10976">
      <c r="A10976" s="10" t="s">
        <v>12415</v>
      </c>
      <c r="B10976" s="7" t="str">
        <f>IFERROR(__xludf.DUMMYFUNCTION("SPLIT(A10976,"" "")"),"Cc1ccnc(CN(Cc2ccccn2)Cc2cccc(F)n2)c1C")</f>
        <v>Cc1ccnc(CN(Cc2ccccn2)Cc2cccc(F)n2)c1C</v>
      </c>
      <c r="C10976" s="7">
        <f>IFERROR(__xludf.DUMMYFUNCTION("""COMPUTED_VALUE"""),7.7637343)</f>
        <v>7.7637343</v>
      </c>
      <c r="D10976" s="7">
        <f>IFERROR(__xludf.DUMMYFUNCTION("""COMPUTED_VALUE"""),0.48780487804878)</f>
        <v>0.487804878</v>
      </c>
    </row>
    <row r="10977">
      <c r="A10977" s="10" t="s">
        <v>12416</v>
      </c>
      <c r="B10977" s="7" t="str">
        <f>IFERROR(__xludf.DUMMYFUNCTION("SPLIT(A10977,"" "")"),"Cc1cc(C)c(C)c(CN(C)C2=CNC(CN(C)C(C)C)=CC2)n1")</f>
        <v>Cc1cc(C)c(C)c(CN(C)C2=CNC(CN(C)C(C)C)=CC2)n1</v>
      </c>
      <c r="C10977" s="7">
        <f>IFERROR(__xludf.DUMMYFUNCTION("""COMPUTED_VALUE"""),7.763733)</f>
        <v>7.763733</v>
      </c>
      <c r="D10977" s="7">
        <f>IFERROR(__xludf.DUMMYFUNCTION("""COMPUTED_VALUE"""),0.203389830508474)</f>
        <v>0.2033898305</v>
      </c>
    </row>
    <row r="10978">
      <c r="A10978" s="10" t="s">
        <v>12417</v>
      </c>
      <c r="B10978" s="7" t="str">
        <f>IFERROR(__xludf.DUMMYFUNCTION("SPLIT(A10978,"" "")"),"CC1=CC(C)CC=C1N(C)Cc1cc(C(C)(C)C)ccn1")</f>
        <v>CC1=CC(C)CC=C1N(C)Cc1cc(C(C)(C)C)ccn1</v>
      </c>
      <c r="C10978" s="7">
        <f>IFERROR(__xludf.DUMMYFUNCTION("""COMPUTED_VALUE"""),7.7637296)</f>
        <v>7.7637296</v>
      </c>
      <c r="D10978" s="7">
        <f>IFERROR(__xludf.DUMMYFUNCTION("""COMPUTED_VALUE"""),0.285714285714285)</f>
        <v>0.2857142857</v>
      </c>
    </row>
    <row r="10979">
      <c r="A10979" s="10" t="s">
        <v>12418</v>
      </c>
      <c r="B10979" s="7" t="str">
        <f>IFERROR(__xludf.DUMMYFUNCTION("SPLIT(A10979,"" "")"),"CC(C)N(C)Cc1cc(N(C)C2CCCC(N(C)c3ccc4cccnc4c3)C2)ccn1")</f>
        <v>CC(C)N(C)Cc1cc(N(C)C2CCCC(N(C)c3ccc4cccnc4c3)C2)ccn1</v>
      </c>
      <c r="C10979" s="7">
        <f>IFERROR(__xludf.DUMMYFUNCTION("""COMPUTED_VALUE"""),7.763728)</f>
        <v>7.763728</v>
      </c>
      <c r="D10979" s="7">
        <f>IFERROR(__xludf.DUMMYFUNCTION("""COMPUTED_VALUE"""),0.3125)</f>
        <v>0.3125</v>
      </c>
    </row>
    <row r="10980">
      <c r="A10980" s="10" t="s">
        <v>12419</v>
      </c>
      <c r="B10980" s="7" t="str">
        <f>IFERROR(__xludf.DUMMYFUNCTION("SPLIT(A10980,"" "")"),"CCOC(=O)C1CN(C)C(c2ncccc2CN(Cc2ccccn2)Cc2ccccn2)C(c2ccccn2)C1c1ccccn1")</f>
        <v>CCOC(=O)C1CN(C)C(c2ncccc2CN(Cc2ccccn2)Cc2ccccn2)C(c2ccccn2)C1c1ccccn1</v>
      </c>
      <c r="C10980" s="7">
        <f>IFERROR(__xludf.DUMMYFUNCTION("""COMPUTED_VALUE"""),7.7637277)</f>
        <v>7.7637277</v>
      </c>
      <c r="D10980" s="7">
        <f>IFERROR(__xludf.DUMMYFUNCTION("""COMPUTED_VALUE"""),0.338983050847457)</f>
        <v>0.3389830508</v>
      </c>
    </row>
    <row r="10981">
      <c r="A10981" s="10" t="s">
        <v>12420</v>
      </c>
      <c r="B10981" s="7" t="str">
        <f>IFERROR(__xludf.DUMMYFUNCTION("SPLIT(A10981,"" "")"),"Cc1cnc(C2CCC2(C)C)c(CN(Cc2ncccc2C(C)(C)C)Cc2ncccc2C(C)(C)c2ccccn2)c1")</f>
        <v>Cc1cnc(C2CCC2(C)C)c(CN(Cc2ncccc2C(C)(C)C)Cc2ncccc2C(C)(C)c2ccccn2)c1</v>
      </c>
      <c r="C10981" s="7">
        <f>IFERROR(__xludf.DUMMYFUNCTION("""COMPUTED_VALUE"""),7.7637224)</f>
        <v>7.7637224</v>
      </c>
      <c r="D10981" s="7">
        <f>IFERROR(__xludf.DUMMYFUNCTION("""COMPUTED_VALUE"""),0.236111111111111)</f>
        <v>0.2361111111</v>
      </c>
    </row>
    <row r="10982">
      <c r="A10982" s="10" t="s">
        <v>12421</v>
      </c>
      <c r="B10982" s="7" t="str">
        <f>IFERROR(__xludf.DUMMYFUNCTION("SPLIT(A10982,"" "")"),"CC1=CC(C)CC(C)C1(C)c1ccc(CN(Cc2ccccn2)C2CCC(N(C)c3ccc4nccc(CN(C)C)c4c3)CC2)cn1")</f>
        <v>CC1=CC(C)CC(C)C1(C)c1ccc(CN(Cc2ccccn2)C2CCC(N(C)c3ccc4nccc(CN(C)C)c4c3)CC2)cn1</v>
      </c>
      <c r="C10982" s="7">
        <f>IFERROR(__xludf.DUMMYFUNCTION("""COMPUTED_VALUE"""),7.763721)</f>
        <v>7.763721</v>
      </c>
      <c r="D10982" s="7">
        <f>IFERROR(__xludf.DUMMYFUNCTION("""COMPUTED_VALUE"""),0.265060240963855)</f>
        <v>0.265060241</v>
      </c>
    </row>
    <row r="10983">
      <c r="A10983" s="10" t="s">
        <v>12422</v>
      </c>
      <c r="B10983" s="7" t="str">
        <f>IFERROR(__xludf.DUMMYFUNCTION("SPLIT(A10983,"" "")"),"CCOC(=O)c1cccc(CNCc2cccc(C(C)NCc3ccccn3)n2)n1")</f>
        <v>CCOC(=O)c1cccc(CNCc2cccc(C(C)NCc3ccccn3)n2)n1</v>
      </c>
      <c r="C10983" s="7">
        <f>IFERROR(__xludf.DUMMYFUNCTION("""COMPUTED_VALUE"""),7.763719)</f>
        <v>7.763719</v>
      </c>
      <c r="D10983" s="7">
        <f>IFERROR(__xludf.DUMMYFUNCTION("""COMPUTED_VALUE"""),0.358490566037735)</f>
        <v>0.358490566</v>
      </c>
    </row>
    <row r="10984">
      <c r="A10984" s="10" t="s">
        <v>12423</v>
      </c>
      <c r="B10984" s="7" t="str">
        <f>IFERROR(__xludf.DUMMYFUNCTION("SPLIT(A10984,"" "")"),"Cc1cc(C)c(CN(C)C2=C(CN(C)C(C)C)NC=CC2)nc1C")</f>
        <v>Cc1cc(C)c(CN(C)C2=C(CN(C)C(C)C)NC=CC2)nc1C</v>
      </c>
      <c r="C10984" s="7">
        <f>IFERROR(__xludf.DUMMYFUNCTION("""COMPUTED_VALUE"""),7.7637095)</f>
        <v>7.7637095</v>
      </c>
      <c r="D10984" s="7">
        <f>IFERROR(__xludf.DUMMYFUNCTION("""COMPUTED_VALUE"""),0.181818181818181)</f>
        <v>0.1818181818</v>
      </c>
    </row>
    <row r="10985">
      <c r="A10985" s="10" t="s">
        <v>12424</v>
      </c>
      <c r="B10985" s="7" t="str">
        <f>IFERROR(__xludf.DUMMYFUNCTION("SPLIT(A10985,"" "")"),"CN(c1ccc2cccnc2c1)C1CCCC(N(C)c2cccc3nccc(-c4ccc5c(c4)OCCOCCOCCOCCOCCO5)c23)C1")</f>
        <v>CN(c1ccc2cccnc2c1)C1CCCC(N(C)c2cccc3nccc(-c4ccc5c(c4)OCCOCCOCCOCCOCCO5)c23)C1</v>
      </c>
      <c r="C10985" s="7">
        <f>IFERROR(__xludf.DUMMYFUNCTION("""COMPUTED_VALUE"""),7.7637076)</f>
        <v>7.7637076</v>
      </c>
      <c r="D10985" s="7">
        <f>IFERROR(__xludf.DUMMYFUNCTION("""COMPUTED_VALUE"""),0.304878048780487)</f>
        <v>0.3048780488</v>
      </c>
    </row>
    <row r="10986">
      <c r="A10986" s="10" t="s">
        <v>12425</v>
      </c>
      <c r="B10986" s="7" t="str">
        <f>IFERROR(__xludf.DUMMYFUNCTION("SPLIT(A10986,"" "")"),"Cc1cccc(CN(Cc2ccccn2)C2CCC(N(C)c3ccc4nc(CF)ccc4c3)CC2)n1")</f>
        <v>Cc1cccc(CN(Cc2ccccn2)C2CCC(N(C)c3ccc4nc(CF)ccc4c3)CC2)n1</v>
      </c>
      <c r="C10986" s="7">
        <f>IFERROR(__xludf.DUMMYFUNCTION("""COMPUTED_VALUE"""),7.763707)</f>
        <v>7.763707</v>
      </c>
      <c r="D10986" s="7">
        <f>IFERROR(__xludf.DUMMYFUNCTION("""COMPUTED_VALUE"""),0.393442622950819)</f>
        <v>0.393442623</v>
      </c>
    </row>
    <row r="10987">
      <c r="A10987" s="10" t="s">
        <v>12426</v>
      </c>
      <c r="B10987" s="7" t="str">
        <f>IFERROR(__xludf.DUMMYFUNCTION("SPLIT(A10987,"" "")"),"CNCc1ccc(CN(C)C2=CNC(CN(C)Cc3ccc(C)cn3)=CC2)cn1")</f>
        <v>CNCc1ccc(CN(C)C2=CNC(CN(C)Cc3ccc(C)cn3)=CC2)cn1</v>
      </c>
      <c r="C10987" s="7">
        <f>IFERROR(__xludf.DUMMYFUNCTION("""COMPUTED_VALUE"""),7.763703)</f>
        <v>7.763703</v>
      </c>
      <c r="D10987" s="7">
        <f>IFERROR(__xludf.DUMMYFUNCTION("""COMPUTED_VALUE"""),0.4)</f>
        <v>0.4</v>
      </c>
    </row>
    <row r="10988">
      <c r="A10988" s="10" t="s">
        <v>12427</v>
      </c>
      <c r="B10988" s="7" t="str">
        <f>IFERROR(__xludf.DUMMYFUNCTION("SPLIT(A10988,"" "")"),"Cc1ccc(CN(C)CC2=CC(N(C)Cc3cc(C)c(C)c(C)n3)C=CN2)nc1C")</f>
        <v>Cc1ccc(CN(C)CC2=CC(N(C)Cc3cc(C)c(C)c(C)n3)C=CN2)nc1C</v>
      </c>
      <c r="C10988" s="7">
        <f>IFERROR(__xludf.DUMMYFUNCTION("""COMPUTED_VALUE"""),7.7636924)</f>
        <v>7.7636924</v>
      </c>
      <c r="D10988" s="7">
        <f>IFERROR(__xludf.DUMMYFUNCTION("""COMPUTED_VALUE"""),0.301587301587301)</f>
        <v>0.3015873016</v>
      </c>
    </row>
    <row r="10989">
      <c r="A10989" s="10" t="s">
        <v>12428</v>
      </c>
      <c r="B10989" s="7" t="str">
        <f>IFERROR(__xludf.DUMMYFUNCTION("SPLIT(A10989,"" "")"),"CN1CCN(C)CCN(Cc2cncc(-c3ccc4ncccc4c3)c2)CC1")</f>
        <v>CN1CCN(C)CCN(Cc2cncc(-c3ccc4ncccc4c3)c2)CC1</v>
      </c>
      <c r="C10989" s="7">
        <f>IFERROR(__xludf.DUMMYFUNCTION("""COMPUTED_VALUE"""),7.7636905)</f>
        <v>7.7636905</v>
      </c>
      <c r="D10989" s="7">
        <f>IFERROR(__xludf.DUMMYFUNCTION("""COMPUTED_VALUE"""),0.411764705882352)</f>
        <v>0.4117647059</v>
      </c>
    </row>
    <row r="10990">
      <c r="A10990" s="10" t="s">
        <v>12429</v>
      </c>
      <c r="B10990" s="7" t="str">
        <f>IFERROR(__xludf.DUMMYFUNCTION("SPLIT(A10990,"" "")"),"CNCc1cccc(CN(C)Cc2cc(C)c(C)c(C)n2)n1")</f>
        <v>CNCc1cccc(CN(C)Cc2cc(C)c(C)c(C)n2)n1</v>
      </c>
      <c r="C10990" s="7">
        <f>IFERROR(__xludf.DUMMYFUNCTION("""COMPUTED_VALUE"""),7.763688)</f>
        <v>7.763688</v>
      </c>
      <c r="D10990" s="7">
        <f>IFERROR(__xludf.DUMMYFUNCTION("""COMPUTED_VALUE"""),0.409090909090909)</f>
        <v>0.4090909091</v>
      </c>
    </row>
    <row r="10991">
      <c r="A10991" s="10" t="s">
        <v>12430</v>
      </c>
      <c r="B10991" s="7" t="str">
        <f>IFERROR(__xludf.DUMMYFUNCTION("SPLIT(A10991,"" "")"),"Cc1ccc(C)c(CN(C)Cc2cc(C(C)(C)C)ccn2)c1C")</f>
        <v>Cc1ccc(C)c(CN(C)Cc2cc(C(C)(C)C)ccn2)c1C</v>
      </c>
      <c r="C10991" s="7">
        <f>IFERROR(__xludf.DUMMYFUNCTION("""COMPUTED_VALUE"""),7.7636857)</f>
        <v>7.7636857</v>
      </c>
      <c r="D10991" s="7">
        <f>IFERROR(__xludf.DUMMYFUNCTION("""COMPUTED_VALUE"""),0.307692307692307)</f>
        <v>0.3076923077</v>
      </c>
    </row>
    <row r="10992">
      <c r="A10992" s="10" t="s">
        <v>12431</v>
      </c>
      <c r="B10992" s="7" t="str">
        <f>IFERROR(__xludf.DUMMYFUNCTION("SPLIT(A10992,"" "")"),"Cc1cc(C)c2cccc(N3CCN(C)CCN(C)CC3)c2n1")</f>
        <v>Cc1cc(C)c2cccc(N3CCN(C)CCN(C)CC3)c2n1</v>
      </c>
      <c r="C10992" s="7">
        <f>IFERROR(__xludf.DUMMYFUNCTION("""COMPUTED_VALUE"""),7.763685)</f>
        <v>7.763685</v>
      </c>
      <c r="D10992" s="7">
        <f>IFERROR(__xludf.DUMMYFUNCTION("""COMPUTED_VALUE"""),0.435897435897435)</f>
        <v>0.4358974359</v>
      </c>
    </row>
    <row r="10993">
      <c r="A10993" s="10" t="s">
        <v>12432</v>
      </c>
      <c r="B10993" s="7" t="str">
        <f>IFERROR(__xludf.DUMMYFUNCTION("SPLIT(A10993,"" "")"),"CCN(Cc1cc(C(C)(C)C)ccn1)Cc1nc(C)c(C)c(C)c1C")</f>
        <v>CCN(Cc1cc(C(C)(C)C)ccn1)Cc1nc(C)c(C)c(C)c1C</v>
      </c>
      <c r="C10993" s="7">
        <f>IFERROR(__xludf.DUMMYFUNCTION("""COMPUTED_VALUE"""),7.7636833)</f>
        <v>7.7636833</v>
      </c>
      <c r="D10993" s="7">
        <f>IFERROR(__xludf.DUMMYFUNCTION("""COMPUTED_VALUE"""),0.296296296296296)</f>
        <v>0.2962962963</v>
      </c>
    </row>
    <row r="10994">
      <c r="A10994" s="10" t="s">
        <v>12433</v>
      </c>
      <c r="B10994" s="7" t="str">
        <f>IFERROR(__xludf.DUMMYFUNCTION("SPLIT(A10994,"" "")"),"CC1=C(C)C(C)CC2(CCC3(CCC(C)=C(C)C3C)C(c3cc(CN(Cc4ccccn4)Cc4ccccn4)ccn3)=C2c2cc(CN(Cc3ccccn3)Cc3ccccn3)ccn2)C1")</f>
        <v>CC1=C(C)C(C)CC2(CCC3(CCC(C)=C(C)C3C)C(c3cc(CN(Cc4ccccn4)Cc4ccccn4)ccn3)=C2c2cc(CN(Cc3ccccn3)Cc3ccccn3)ccn2)C1</v>
      </c>
      <c r="C10994" s="7">
        <f>IFERROR(__xludf.DUMMYFUNCTION("""COMPUTED_VALUE"""),7.763682)</f>
        <v>7.763682</v>
      </c>
      <c r="D10994" s="7">
        <f>IFERROR(__xludf.DUMMYFUNCTION("""COMPUTED_VALUE"""),0.317460317460317)</f>
        <v>0.3174603175</v>
      </c>
    </row>
    <row r="10995">
      <c r="A10995" s="10" t="s">
        <v>12434</v>
      </c>
      <c r="B10995" s="7" t="str">
        <f>IFERROR(__xludf.DUMMYFUNCTION("SPLIT(A10995,"" "")"),"COC(=O)C(=O)C(=O)C(C)NCc1cc(CN(Cc2ccccn2)Cc2ccccn2)ccn1")</f>
        <v>COC(=O)C(=O)C(=O)C(C)NCc1cc(CN(Cc2ccccn2)Cc2ccccn2)ccn1</v>
      </c>
      <c r="C10995" s="7">
        <f>IFERROR(__xludf.DUMMYFUNCTION("""COMPUTED_VALUE"""),7.763677)</f>
        <v>7.763677</v>
      </c>
      <c r="D10995" s="7">
        <f>IFERROR(__xludf.DUMMYFUNCTION("""COMPUTED_VALUE"""),0.408163265306122)</f>
        <v>0.4081632653</v>
      </c>
    </row>
    <row r="10996">
      <c r="A10996" s="10" t="s">
        <v>12435</v>
      </c>
      <c r="B10996" s="7" t="str">
        <f>IFERROR(__xludf.DUMMYFUNCTION("SPLIT(A10996,"" "")"),"CC(C)c1cccc(CN(Cc2ccccn2)C2CCC(N(C)c3ccc4ccc(CF)nc4c3)CC2)n1")</f>
        <v>CC(C)c1cccc(CN(Cc2ccccn2)C2CCC(N(C)c3ccc4ccc(CF)nc4c3)CC2)n1</v>
      </c>
      <c r="C10996" s="7">
        <f>IFERROR(__xludf.DUMMYFUNCTION("""COMPUTED_VALUE"""),7.7636747)</f>
        <v>7.7636747</v>
      </c>
      <c r="D10996" s="7">
        <f>IFERROR(__xludf.DUMMYFUNCTION("""COMPUTED_VALUE"""),0.38095238095238)</f>
        <v>0.380952381</v>
      </c>
    </row>
    <row r="10997">
      <c r="A10997" s="10" t="s">
        <v>12436</v>
      </c>
      <c r="B10997" s="7" t="str">
        <f>IFERROR(__xludf.DUMMYFUNCTION("SPLIT(A10997,"" "")"),"CNCC1=C(N(C)Cc2cc(C)ccn2)CC=CN1")</f>
        <v>CNCC1=C(N(C)Cc2cc(C)ccn2)CC=CN1</v>
      </c>
      <c r="C10997" s="7">
        <f>IFERROR(__xludf.DUMMYFUNCTION("""COMPUTED_VALUE"""),7.763668)</f>
        <v>7.763668</v>
      </c>
      <c r="D10997" s="7">
        <f>IFERROR(__xludf.DUMMYFUNCTION("""COMPUTED_VALUE"""),0.321428571428571)</f>
        <v>0.3214285714</v>
      </c>
    </row>
    <row r="10998">
      <c r="A10998" s="10" t="s">
        <v>12437</v>
      </c>
      <c r="B10998" s="7" t="str">
        <f>IFERROR(__xludf.DUMMYFUNCTION("SPLIT(A10998,"" "")"),"Cc1cncc(CN(C)C2CCC(N(C)c3ccc4ncc(CN(C)C)cc4c3)CC2)c1")</f>
        <v>Cc1cncc(CN(C)C2CCC(N(C)c3ccc4ncc(CN(C)C)cc4c3)CC2)c1</v>
      </c>
      <c r="C10998" s="7">
        <f>IFERROR(__xludf.DUMMYFUNCTION("""COMPUTED_VALUE"""),7.7636666)</f>
        <v>7.7636666</v>
      </c>
      <c r="D10998" s="7">
        <f>IFERROR(__xludf.DUMMYFUNCTION("""COMPUTED_VALUE"""),0.269841269841269)</f>
        <v>0.2698412698</v>
      </c>
    </row>
    <row r="10999">
      <c r="A10999" s="10" t="s">
        <v>12438</v>
      </c>
      <c r="B10999" s="7" t="str">
        <f>IFERROR(__xludf.DUMMYFUNCTION("SPLIT(A10999,"" "")"),"Cc1cc(N)cnc1CN(Cc1ccc(C2CC(C)(C)C2)nc1)Cc1ccccn1")</f>
        <v>Cc1cc(N)cnc1CN(Cc1ccc(C2CC(C)(C)C2)nc1)Cc1ccccn1</v>
      </c>
      <c r="C10999" s="7">
        <f>IFERROR(__xludf.DUMMYFUNCTION("""COMPUTED_VALUE"""),7.7636657)</f>
        <v>7.7636657</v>
      </c>
      <c r="D10999" s="7">
        <f>IFERROR(__xludf.DUMMYFUNCTION("""COMPUTED_VALUE"""),0.363636363636363)</f>
        <v>0.3636363636</v>
      </c>
    </row>
    <row r="11000">
      <c r="A11000" s="10" t="s">
        <v>12439</v>
      </c>
      <c r="B11000" s="7" t="str">
        <f>IFERROR(__xludf.DUMMYFUNCTION("SPLIT(A11000,"" "")"),"CNCc1nc(C)cc(C)c1C")</f>
        <v>CNCc1nc(C)cc(C)c1C</v>
      </c>
      <c r="C11000" s="7">
        <f>IFERROR(__xludf.DUMMYFUNCTION("""COMPUTED_VALUE"""),7.763664)</f>
        <v>7.763664</v>
      </c>
      <c r="D11000" s="7">
        <f>IFERROR(__xludf.DUMMYFUNCTION("""COMPUTED_VALUE"""),0.232558139534883)</f>
        <v>0.2325581395</v>
      </c>
    </row>
    <row r="11001">
      <c r="A11001" s="10" t="s">
        <v>12440</v>
      </c>
      <c r="B11001" s="7" t="str">
        <f>IFERROR(__xludf.DUMMYFUNCTION("SPLIT(A11001,"" "")"),"Cc1cnc(CN(C)CC2=CCC(N(C)C)=CN2)cc1C")</f>
        <v>Cc1cnc(CN(C)CC2=CCC(N(C)C)=CN2)cc1C</v>
      </c>
      <c r="C11001" s="7">
        <f>IFERROR(__xludf.DUMMYFUNCTION("""COMPUTED_VALUE"""),7.763663)</f>
        <v>7.763663</v>
      </c>
      <c r="D11001" s="7">
        <f>IFERROR(__xludf.DUMMYFUNCTION("""COMPUTED_VALUE"""),0.326530612244897)</f>
        <v>0.3265306122</v>
      </c>
    </row>
    <row r="11002">
      <c r="A11002" s="10" t="s">
        <v>12441</v>
      </c>
      <c r="B11002" s="7" t="str">
        <f>IFERROR(__xludf.DUMMYFUNCTION("SPLIT(A11002,"" "")"),"CNCc1cc(CN(Cc2ccccn2)C(C)(N)c2ccon2)ccn1")</f>
        <v>CNCc1cc(CN(Cc2ccccn2)C(C)(N)c2ccon2)ccn1</v>
      </c>
      <c r="C11002" s="7">
        <f>IFERROR(__xludf.DUMMYFUNCTION("""COMPUTED_VALUE"""),7.763651)</f>
        <v>7.763651</v>
      </c>
      <c r="D11002" s="7">
        <f>IFERROR(__xludf.DUMMYFUNCTION("""COMPUTED_VALUE"""),0.344827586206896)</f>
        <v>0.3448275862</v>
      </c>
    </row>
    <row r="11003">
      <c r="A11003" s="10" t="s">
        <v>12442</v>
      </c>
      <c r="B11003" s="7" t="str">
        <f>IFERROR(__xludf.DUMMYFUNCTION("SPLIT(A11003,"" "")"),"Cc1cnccc1CN(C)C1CCC(N(C)c2cccc3nccc(CF)c23)CC1")</f>
        <v>Cc1cnccc1CN(C)C1CCC(N(C)c2cccc3nccc(CF)c23)CC1</v>
      </c>
      <c r="C11003" s="7">
        <f>IFERROR(__xludf.DUMMYFUNCTION("""COMPUTED_VALUE"""),7.763649)</f>
        <v>7.763649</v>
      </c>
      <c r="D11003" s="7">
        <f>IFERROR(__xludf.DUMMYFUNCTION("""COMPUTED_VALUE"""),0.275362318840579)</f>
        <v>0.2753623188</v>
      </c>
    </row>
    <row r="11004">
      <c r="A11004" s="10" t="s">
        <v>12443</v>
      </c>
      <c r="B11004" s="7" t="str">
        <f>IFERROR(__xludf.DUMMYFUNCTION("SPLIT(A11004,"" "")"),"CC1=C(NCc2ccccn2)C(C)(C)CC(c2ccc(CN(Cc3ccccn3)Cc3ccccn3)cn2)C12C=CNC(C(C)C)=C2")</f>
        <v>CC1=C(NCc2ccccn2)C(C)(C)CC(c2ccc(CN(Cc3ccccn3)Cc3ccccn3)cn2)C12C=CNC(C(C)C)=C2</v>
      </c>
      <c r="C11004" s="7">
        <f>IFERROR(__xludf.DUMMYFUNCTION("""COMPUTED_VALUE"""),7.7636466)</f>
        <v>7.7636466</v>
      </c>
      <c r="D11004" s="7">
        <f>IFERROR(__xludf.DUMMYFUNCTION("""COMPUTED_VALUE"""),0.3)</f>
        <v>0.3</v>
      </c>
    </row>
    <row r="11005">
      <c r="A11005" s="10" t="s">
        <v>12444</v>
      </c>
      <c r="B11005" s="7" t="str">
        <f>IFERROR(__xludf.DUMMYFUNCTION("SPLIT(A11005,"" "")"),"Cc1cc(C)c(CN(C)C2C=CNC(CN(Cc3ccccn3)Cc3ccccn3)=C2)nc1C")</f>
        <v>Cc1cc(C)c(CN(C)C2C=CNC(CN(Cc3ccccn3)Cc3ccccn3)=C2)nc1C</v>
      </c>
      <c r="C11005" s="7">
        <f>IFERROR(__xludf.DUMMYFUNCTION("""COMPUTED_VALUE"""),7.763646)</f>
        <v>7.763646</v>
      </c>
      <c r="D11005" s="7">
        <f>IFERROR(__xludf.DUMMYFUNCTION("""COMPUTED_VALUE"""),0.426229508196721)</f>
        <v>0.4262295082</v>
      </c>
    </row>
    <row r="11006">
      <c r="A11006" s="10" t="s">
        <v>12445</v>
      </c>
      <c r="B11006" s="7" t="str">
        <f>IFERROR(__xludf.DUMMYFUNCTION("SPLIT(A11006,"" "")"),"CN(Cc1cccnn1)C1CCCC(N(C)c2ccc3c(CF)ccnc3c2)C1")</f>
        <v>CN(Cc1cccnn1)C1CCCC(N(C)c2ccc3c(CF)ccnc3c2)C1</v>
      </c>
      <c r="C11006" s="7">
        <f>IFERROR(__xludf.DUMMYFUNCTION("""COMPUTED_VALUE"""),7.7636437)</f>
        <v>7.7636437</v>
      </c>
      <c r="D11006" s="7">
        <f>IFERROR(__xludf.DUMMYFUNCTION("""COMPUTED_VALUE"""),0.362068965517241)</f>
        <v>0.3620689655</v>
      </c>
    </row>
    <row r="11007">
      <c r="A11007" s="10" t="s">
        <v>12446</v>
      </c>
      <c r="B11007" s="7" t="str">
        <f>IFERROR(__xludf.DUMMYFUNCTION("SPLIT(A11007,"" "")"),"CCNCc1cccc(N=Cc2ccccn2)c1")</f>
        <v>CCNCc1cccc(N=Cc2ccccn2)c1</v>
      </c>
      <c r="C11007" s="7">
        <f>IFERROR(__xludf.DUMMYFUNCTION("""COMPUTED_VALUE"""),7.7636423)</f>
        <v>7.7636423</v>
      </c>
      <c r="D11007" s="7">
        <f>IFERROR(__xludf.DUMMYFUNCTION("""COMPUTED_VALUE"""),0.428571428571428)</f>
        <v>0.4285714286</v>
      </c>
    </row>
    <row r="11008">
      <c r="A11008" s="10" t="s">
        <v>12447</v>
      </c>
      <c r="B11008" s="7" t="str">
        <f>IFERROR(__xludf.DUMMYFUNCTION("SPLIT(A11008,"" "")"),"C=CCN(C)CC1=CCC(N(C)Cc2nc(C)c(C)c(C)c2C)=CN1")</f>
        <v>C=CCN(C)CC1=CCC(N(C)Cc2nc(C)c(C)c(C)c2C)=CN1</v>
      </c>
      <c r="C11008" s="7">
        <f>IFERROR(__xludf.DUMMYFUNCTION("""COMPUTED_VALUE"""),7.763642)</f>
        <v>7.763642</v>
      </c>
      <c r="D11008" s="7">
        <f>IFERROR(__xludf.DUMMYFUNCTION("""COMPUTED_VALUE"""),0.186440677966101)</f>
        <v>0.186440678</v>
      </c>
    </row>
    <row r="11009">
      <c r="A11009" s="10" t="s">
        <v>12448</v>
      </c>
      <c r="B11009" s="7" t="str">
        <f>IFERROR(__xludf.DUMMYFUNCTION("SPLIT(A11009,"" "")"),"CC1=C(N(C)Cc2ncccc2C(C)(C)c2ccccn2)CC(C)C(C)C1")</f>
        <v>CC1=C(N(C)Cc2ncccc2C(C)(C)c2ccccn2)CC(C)C(C)C1</v>
      </c>
      <c r="C11009" s="7">
        <f>IFERROR(__xludf.DUMMYFUNCTION("""COMPUTED_VALUE"""),7.763633)</f>
        <v>7.763633</v>
      </c>
      <c r="D11009" s="7">
        <f>IFERROR(__xludf.DUMMYFUNCTION("""COMPUTED_VALUE"""),0.293103448275862)</f>
        <v>0.2931034483</v>
      </c>
    </row>
    <row r="11010">
      <c r="A11010" s="10" t="s">
        <v>12449</v>
      </c>
      <c r="B11010" s="7" t="str">
        <f>IFERROR(__xludf.DUMMYFUNCTION("SPLIT(A11010,"" "")"),"CCN(Cc1ccccn1)c1cc(C)ccc1CN(C)Cc1ccccn1")</f>
        <v>CCN(Cc1ccccn1)c1cc(C)ccc1CN(C)Cc1ccccn1</v>
      </c>
      <c r="C11010" s="7">
        <f>IFERROR(__xludf.DUMMYFUNCTION("""COMPUTED_VALUE"""),7.7636304)</f>
        <v>7.7636304</v>
      </c>
      <c r="D11010" s="7">
        <f>IFERROR(__xludf.DUMMYFUNCTION("""COMPUTED_VALUE"""),0.468085106382978)</f>
        <v>0.4680851064</v>
      </c>
    </row>
    <row r="11011">
      <c r="A11011" s="10" t="s">
        <v>12450</v>
      </c>
      <c r="B11011" s="7" t="str">
        <f>IFERROR(__xludf.DUMMYFUNCTION("SPLIT(A11011,"" "")"),"CNCc1ccc(CN(C)Cc2cc(C)c(C)c(C)n2)cn1")</f>
        <v>CNCc1ccc(CN(C)Cc2cc(C)c(C)c(C)n2)cn1</v>
      </c>
      <c r="C11011" s="7">
        <f>IFERROR(__xludf.DUMMYFUNCTION("""COMPUTED_VALUE"""),7.763627)</f>
        <v>7.763627</v>
      </c>
      <c r="D11011" s="7">
        <f>IFERROR(__xludf.DUMMYFUNCTION("""COMPUTED_VALUE"""),0.346938775510204)</f>
        <v>0.3469387755</v>
      </c>
    </row>
    <row r="11012">
      <c r="A11012" s="10" t="s">
        <v>12451</v>
      </c>
      <c r="B11012" s="7" t="str">
        <f>IFERROR(__xludf.DUMMYFUNCTION("SPLIT(A11012,"" "")"),"CNCc1ncccc1CN(C)Cc1nc(C)c(C)c(C)c1C")</f>
        <v>CNCc1ncccc1CN(C)Cc1nc(C)c(C)c(C)c1C</v>
      </c>
      <c r="C11012" s="7">
        <f>IFERROR(__xludf.DUMMYFUNCTION("""COMPUTED_VALUE"""),7.7636247)</f>
        <v>7.7636247</v>
      </c>
      <c r="D11012" s="7">
        <f>IFERROR(__xludf.DUMMYFUNCTION("""COMPUTED_VALUE"""),0.38)</f>
        <v>0.38</v>
      </c>
    </row>
    <row r="11013">
      <c r="A11013" s="10" t="s">
        <v>12452</v>
      </c>
      <c r="B11013" s="7" t="str">
        <f>IFERROR(__xludf.DUMMYFUNCTION("SPLIT(A11013,"" "")"),"CCN(C)CCN(C)c1c(C)c(C)c(C)c(C)c1C")</f>
        <v>CCN(C)CCN(C)c1c(C)c(C)c(C)c(C)c1C</v>
      </c>
      <c r="C11013" s="7">
        <f>IFERROR(__xludf.DUMMYFUNCTION("""COMPUTED_VALUE"""),7.763624)</f>
        <v>7.763624</v>
      </c>
      <c r="D11013" s="7">
        <f>IFERROR(__xludf.DUMMYFUNCTION("""COMPUTED_VALUE"""),0.243243243243243)</f>
        <v>0.2432432432</v>
      </c>
    </row>
    <row r="11014">
      <c r="A11014" s="10" t="s">
        <v>12453</v>
      </c>
      <c r="B11014" s="7" t="str">
        <f>IFERROR(__xludf.DUMMYFUNCTION("SPLIT(A11014,"" "")"),"Cc1ccc(CN(Cc2ccccn2)C2CCCC(N(C)c3ccc4nc(CF)ccc4c3)C2)nc1")</f>
        <v>Cc1ccc(CN(Cc2ccccn2)C2CCCC(N(C)c3ccc4nc(CF)ccc4c3)C2)nc1</v>
      </c>
      <c r="C11014" s="7">
        <f>IFERROR(__xludf.DUMMYFUNCTION("""COMPUTED_VALUE"""),7.7636237)</f>
        <v>7.7636237</v>
      </c>
      <c r="D11014" s="7">
        <f>IFERROR(__xludf.DUMMYFUNCTION("""COMPUTED_VALUE"""),0.369230769230769)</f>
        <v>0.3692307692</v>
      </c>
    </row>
    <row r="11015">
      <c r="A11015" s="10" t="s">
        <v>12454</v>
      </c>
      <c r="B11015" s="7" t="str">
        <f>IFERROR(__xludf.DUMMYFUNCTION("SPLIT(A11015,"" "")"),"C#CCN(Cc1ccccn1)Cc1ncccc1C(C)(c1ccccn1)c1ccccn1")</f>
        <v>C#CCN(Cc1ccccn1)Cc1ncccc1C(C)(c1ccccn1)c1ccccn1</v>
      </c>
      <c r="C11015" s="7">
        <f>IFERROR(__xludf.DUMMYFUNCTION("""COMPUTED_VALUE"""),7.7636204)</f>
        <v>7.7636204</v>
      </c>
      <c r="D11015" s="7">
        <f>IFERROR(__xludf.DUMMYFUNCTION("""COMPUTED_VALUE"""),0.44)</f>
        <v>0.44</v>
      </c>
    </row>
    <row r="11016">
      <c r="A11016" s="10" t="s">
        <v>12455</v>
      </c>
      <c r="B11016" s="7" t="str">
        <f>IFERROR(__xludf.DUMMYFUNCTION("SPLIT(A11016,"" "")"),"CC1(C)CC(c2cc(CN(Cc3ccccn3)Cc3cccc(C(C)(C)C)n3)cc(CN(Cc3ccccn3)Cc3ccccn3)n2)C1")</f>
        <v>CC1(C)CC(c2cc(CN(Cc3ccccn3)Cc3cccc(C(C)(C)C)n3)cc(CN(Cc3ccccn3)Cc3ccccn3)n2)C1</v>
      </c>
      <c r="C11016" s="7">
        <f>IFERROR(__xludf.DUMMYFUNCTION("""COMPUTED_VALUE"""),7.7636123)</f>
        <v>7.7636123</v>
      </c>
      <c r="D11016" s="7">
        <f>IFERROR(__xludf.DUMMYFUNCTION("""COMPUTED_VALUE"""),0.4)</f>
        <v>0.4</v>
      </c>
    </row>
    <row r="11017">
      <c r="A11017" s="10" t="s">
        <v>12456</v>
      </c>
      <c r="B11017" s="7" t="str">
        <f>IFERROR(__xludf.DUMMYFUNCTION("SPLIT(A11017,"" "")"),"Cc1c(C)c(C)c(N(C)CCN(C)C(C)(C)c2cccnn2)c(C)c1C")</f>
        <v>Cc1c(C)c(C)c(N(C)CCN(C)C(C)(C)c2cccnn2)c(C)c1C</v>
      </c>
      <c r="C11017" s="7">
        <f>IFERROR(__xludf.DUMMYFUNCTION("""COMPUTED_VALUE"""),7.763603)</f>
        <v>7.763603</v>
      </c>
      <c r="D11017" s="7">
        <f>IFERROR(__xludf.DUMMYFUNCTION("""COMPUTED_VALUE"""),0.386363636363636)</f>
        <v>0.3863636364</v>
      </c>
    </row>
    <row r="11018">
      <c r="A11018" s="10" t="s">
        <v>12457</v>
      </c>
      <c r="B11018" s="7" t="str">
        <f>IFERROR(__xludf.DUMMYFUNCTION("SPLIT(A11018,"" "")"),"CNCc1ncccc1CN(Cc1ccccn1)C(C)(N)c1ccon1")</f>
        <v>CNCc1ncccc1CN(Cc1ccccn1)C(C)(N)c1ccon1</v>
      </c>
      <c r="C11018" s="7">
        <f>IFERROR(__xludf.DUMMYFUNCTION("""COMPUTED_VALUE"""),7.763601)</f>
        <v>7.763601</v>
      </c>
      <c r="D11018" s="7">
        <f>IFERROR(__xludf.DUMMYFUNCTION("""COMPUTED_VALUE"""),0.333333333333333)</f>
        <v>0.3333333333</v>
      </c>
    </row>
    <row r="11019">
      <c r="A11019" s="10" t="s">
        <v>12458</v>
      </c>
      <c r="B11019" s="7" t="str">
        <f>IFERROR(__xludf.DUMMYFUNCTION("SPLIT(A11019,"" "")"),"CN(Cc1ccon1)C1CCCCC1N(C)c1ccc2ncccc2c1")</f>
        <v>CN(Cc1ccon1)C1CCCCC1N(C)c1ccc2ncccc2c1</v>
      </c>
      <c r="C11019" s="7">
        <f>IFERROR(__xludf.DUMMYFUNCTION("""COMPUTED_VALUE"""),7.7635975)</f>
        <v>7.7635975</v>
      </c>
      <c r="D11019" s="7">
        <f>IFERROR(__xludf.DUMMYFUNCTION("""COMPUTED_VALUE"""),0.462962962962962)</f>
        <v>0.462962963</v>
      </c>
    </row>
    <row r="11020">
      <c r="A11020" s="10" t="s">
        <v>12459</v>
      </c>
      <c r="B11020" s="7" t="str">
        <f>IFERROR(__xludf.DUMMYFUNCTION("SPLIT(A11020,"" "")"),"Cc1cccc(CN(Cc2cccc(CN(Cc3ncccc3C)C(C)C)n2)Cc2ncccc2C)n1")</f>
        <v>Cc1cccc(CN(Cc2cccc(CN(Cc3ncccc3C)C(C)C)n2)Cc2ncccc2C)n1</v>
      </c>
      <c r="C11020" s="7">
        <f>IFERROR(__xludf.DUMMYFUNCTION("""COMPUTED_VALUE"""),7.7635956)</f>
        <v>7.7635956</v>
      </c>
      <c r="D11020" s="7">
        <f>IFERROR(__xludf.DUMMYFUNCTION("""COMPUTED_VALUE"""),0.416666666666666)</f>
        <v>0.4166666667</v>
      </c>
    </row>
    <row r="11021">
      <c r="A11021" s="10" t="s">
        <v>12460</v>
      </c>
      <c r="B11021" s="7" t="str">
        <f>IFERROR(__xludf.DUMMYFUNCTION("SPLIT(A11021,"" "")"),"CN1CCN(C)CCN(Cc2cncc(-c3cccc4cccnc34)c2)CC1")</f>
        <v>CN1CCN(C)CCN(Cc2cncc(-c3cccc4cccnc34)c2)CC1</v>
      </c>
      <c r="C11021" s="7">
        <f>IFERROR(__xludf.DUMMYFUNCTION("""COMPUTED_VALUE"""),7.7635875)</f>
        <v>7.7635875</v>
      </c>
      <c r="D11021" s="7">
        <f>IFERROR(__xludf.DUMMYFUNCTION("""COMPUTED_VALUE"""),0.411764705882352)</f>
        <v>0.4117647059</v>
      </c>
    </row>
    <row r="11022">
      <c r="A11022" s="10" t="s">
        <v>12461</v>
      </c>
      <c r="B11022" s="7" t="str">
        <f>IFERROR(__xludf.DUMMYFUNCTION("SPLIT(A11022,"" "")"),"CNC1CC(N(Cc2nc(C)c(C)c(C)c2C)Cc2nc(C)c(C)c(C)c2C)CCC1N(Cc1nc(C)c(C)c(C)c1C)Cc1nc(C)c(C)c(C)c1C")</f>
        <v>CNC1CC(N(Cc2nc(C)c(C)c(C)c2C)Cc2nc(C)c(C)c(C)c2C)CCC1N(Cc1nc(C)c(C)c(C)c1C)Cc1nc(C)c(C)c(C)c1C</v>
      </c>
      <c r="C11022" s="7">
        <f>IFERROR(__xludf.DUMMYFUNCTION("""COMPUTED_VALUE"""),7.7635827)</f>
        <v>7.7635827</v>
      </c>
      <c r="D11022" s="7">
        <f>IFERROR(__xludf.DUMMYFUNCTION("""COMPUTED_VALUE"""),0.210526315789473)</f>
        <v>0.2105263158</v>
      </c>
    </row>
    <row r="11023">
      <c r="A11023" s="10" t="s">
        <v>12462</v>
      </c>
      <c r="B11023" s="7" t="str">
        <f>IFERROR(__xludf.DUMMYFUNCTION("SPLIT(A11023,"" "")"),"Cc1ccccc1CNCc1cc(C(C)(C)c2ccccn2)ccn1")</f>
        <v>Cc1ccccc1CNCc1cc(C(C)(C)c2ccccn2)ccn1</v>
      </c>
      <c r="C11023" s="7">
        <f>IFERROR(__xludf.DUMMYFUNCTION("""COMPUTED_VALUE"""),7.763578)</f>
        <v>7.763578</v>
      </c>
      <c r="D11023" s="7">
        <f>IFERROR(__xludf.DUMMYFUNCTION("""COMPUTED_VALUE"""),0.361702127659574)</f>
        <v>0.3617021277</v>
      </c>
    </row>
    <row r="11024">
      <c r="A11024" s="10" t="s">
        <v>12463</v>
      </c>
      <c r="B11024" s="7" t="str">
        <f>IFERROR(__xludf.DUMMYFUNCTION("SPLIT(A11024,"" "")"),"CN(Cc1ncccc1F)C1CCCCC1N(C)c1cccnc1-c1cccc(Cl)n1")</f>
        <v>CN(Cc1ncccc1F)C1CCCCC1N(C)c1cccnc1-c1cccc(Cl)n1</v>
      </c>
      <c r="C11024" s="7">
        <f>IFERROR(__xludf.DUMMYFUNCTION("""COMPUTED_VALUE"""),7.763576)</f>
        <v>7.763576</v>
      </c>
      <c r="D11024" s="7">
        <f>IFERROR(__xludf.DUMMYFUNCTION("""COMPUTED_VALUE"""),0.440677966101694)</f>
        <v>0.4406779661</v>
      </c>
    </row>
    <row r="11025">
      <c r="A11025" s="10" t="s">
        <v>12464</v>
      </c>
      <c r="B11025" s="7" t="str">
        <f>IFERROR(__xludf.DUMMYFUNCTION("SPLIT(A11025,"" "")"),"Cc1ccnc2cccc(N(C)C3CCCC(N(Cc4ccccn4)Cc4cccc(CNC(C)C)n4)C3)c12")</f>
        <v>Cc1ccnc2cccc(N(C)C3CCCC(N(Cc4ccccn4)Cc4cccc(CNC(C)C)n4)C3)c12</v>
      </c>
      <c r="C11025" s="7">
        <f>IFERROR(__xludf.DUMMYFUNCTION("""COMPUTED_VALUE"""),7.763572)</f>
        <v>7.763572</v>
      </c>
      <c r="D11025" s="7">
        <f>IFERROR(__xludf.DUMMYFUNCTION("""COMPUTED_VALUE"""),0.343283582089552)</f>
        <v>0.3432835821</v>
      </c>
    </row>
    <row r="11026">
      <c r="A11026" s="10" t="s">
        <v>12465</v>
      </c>
      <c r="B11026" s="7" t="str">
        <f>IFERROR(__xludf.DUMMYFUNCTION("SPLIT(A11026,"" "")"),"FCc1cccc(NCc2ccccn2)n1")</f>
        <v>FCc1cccc(NCc2ccccn2)n1</v>
      </c>
      <c r="C11026" s="7">
        <f>IFERROR(__xludf.DUMMYFUNCTION("""COMPUTED_VALUE"""),7.7635674)</f>
        <v>7.7635674</v>
      </c>
      <c r="D11026" s="7">
        <f>IFERROR(__xludf.DUMMYFUNCTION("""COMPUTED_VALUE"""),0.472222222222222)</f>
        <v>0.4722222222</v>
      </c>
    </row>
    <row r="11027">
      <c r="A11027" s="10" t="s">
        <v>12466</v>
      </c>
      <c r="B11027" s="7" t="str">
        <f>IFERROR(__xludf.DUMMYFUNCTION("SPLIT(A11027,"" "")"),"CN(c1ccc2ncccc2c1)C1C2CCC1C(N(Cc1ccccn1)Cc1ccccn1)C2")</f>
        <v>CN(c1ccc2ncccc2c1)C1C2CCC1C(N(Cc1ccccn1)Cc1ccccn1)C2</v>
      </c>
      <c r="C11027" s="7">
        <f>IFERROR(__xludf.DUMMYFUNCTION("""COMPUTED_VALUE"""),7.763566)</f>
        <v>7.763566</v>
      </c>
      <c r="D11027" s="7">
        <f>IFERROR(__xludf.DUMMYFUNCTION("""COMPUTED_VALUE"""),0.403508771929824)</f>
        <v>0.4035087719</v>
      </c>
    </row>
    <row r="11028">
      <c r="A11028" s="10" t="s">
        <v>12467</v>
      </c>
      <c r="B11028" s="7" t="str">
        <f>IFERROR(__xludf.DUMMYFUNCTION("SPLIT(A11028,"" "")"),"Cc1cccc(CNCc2ccc(C(C)(C)c3ccccn3)cn2)c1")</f>
        <v>Cc1cccc(CNCc2ccc(C(C)(C)c3ccccn3)cn2)c1</v>
      </c>
      <c r="C11028" s="7">
        <f>IFERROR(__xludf.DUMMYFUNCTION("""COMPUTED_VALUE"""),7.763561)</f>
        <v>7.763561</v>
      </c>
      <c r="D11028" s="7">
        <f>IFERROR(__xludf.DUMMYFUNCTION("""COMPUTED_VALUE"""),0.34)</f>
        <v>0.34</v>
      </c>
    </row>
    <row r="11029">
      <c r="A11029" s="10" t="s">
        <v>12468</v>
      </c>
      <c r="B11029" s="7" t="str">
        <f>IFERROR(__xludf.DUMMYFUNCTION("SPLIT(A11029,"" "")"),"CN(Cc1ccon1)C1CCc2ccccc21")</f>
        <v>CN(Cc1ccon1)C1CCc2ccccc21</v>
      </c>
      <c r="C11029" s="7">
        <f>IFERROR(__xludf.DUMMYFUNCTION("""COMPUTED_VALUE"""),7.76356)</f>
        <v>7.76356</v>
      </c>
      <c r="D11029" s="7">
        <f>IFERROR(__xludf.DUMMYFUNCTION("""COMPUTED_VALUE"""),0.476190476190476)</f>
        <v>0.4761904762</v>
      </c>
    </row>
    <row r="11030">
      <c r="A11030" s="10" t="s">
        <v>12469</v>
      </c>
      <c r="B11030" s="7" t="str">
        <f>IFERROR(__xludf.DUMMYFUNCTION("SPLIT(A11030,"" "")"),"CN(Cc1ncccc1-c1ccc2c(c1)OCCOCCOCCOCCOCCO2)Cc1ncccc1-c1ncccc1-c1ccccn1")</f>
        <v>CN(Cc1ncccc1-c1ccc2c(c1)OCCOCCOCCOCCOCCO2)Cc1ncccc1-c1ncccc1-c1ccccn1</v>
      </c>
      <c r="C11030" s="7">
        <f>IFERROR(__xludf.DUMMYFUNCTION("""COMPUTED_VALUE"""),7.763559)</f>
        <v>7.763559</v>
      </c>
      <c r="D11030" s="7">
        <f>IFERROR(__xludf.DUMMYFUNCTION("""COMPUTED_VALUE"""),0.317460317460317)</f>
        <v>0.3174603175</v>
      </c>
    </row>
    <row r="11031">
      <c r="A11031" s="10" t="s">
        <v>12470</v>
      </c>
      <c r="B11031" s="7" t="str">
        <f>IFERROR(__xludf.DUMMYFUNCTION("SPLIT(A11031,"" "")"),"FCc1ncccc1NCc1ccccn1")</f>
        <v>FCc1ncccc1NCc1ccccn1</v>
      </c>
      <c r="C11031" s="7">
        <f>IFERROR(__xludf.DUMMYFUNCTION("""COMPUTED_VALUE"""),7.7635584)</f>
        <v>7.7635584</v>
      </c>
      <c r="D11031" s="7">
        <f>IFERROR(__xludf.DUMMYFUNCTION("""COMPUTED_VALUE"""),0.472222222222222)</f>
        <v>0.4722222222</v>
      </c>
    </row>
    <row r="11032">
      <c r="A11032" s="10" t="s">
        <v>12471</v>
      </c>
      <c r="B11032" s="7" t="str">
        <f>IFERROR(__xludf.DUMMYFUNCTION("SPLIT(A11032,"" "")"),"CNCN(Cc1nc(C)c(C)c(C)c1C)C(C)C")</f>
        <v>CNCN(Cc1nc(C)c(C)c(C)c1C)C(C)C</v>
      </c>
      <c r="C11032" s="7">
        <f>IFERROR(__xludf.DUMMYFUNCTION("""COMPUTED_VALUE"""),7.7635565)</f>
        <v>7.7635565</v>
      </c>
      <c r="D11032" s="7">
        <f>IFERROR(__xludf.DUMMYFUNCTION("""COMPUTED_VALUE"""),0.272727272727272)</f>
        <v>0.2727272727</v>
      </c>
    </row>
    <row r="11033">
      <c r="A11033" s="10" t="s">
        <v>12472</v>
      </c>
      <c r="B11033" s="7" t="str">
        <f>IFERROR(__xludf.DUMMYFUNCTION("SPLIT(A11033,"" "")"),"CC(N)C(C)(c1cccnc1)c1ccc(CN(Cc2ccccn2)C2CCCCC2N(C)c2cccc3nc(CF)ccc23)cn1")</f>
        <v>CC(N)C(C)(c1cccnc1)c1ccc(CN(Cc2ccccn2)C2CCCCC2N(C)c2cccc3nc(CF)ccc23)cn1</v>
      </c>
      <c r="C11033" s="7">
        <f>IFERROR(__xludf.DUMMYFUNCTION("""COMPUTED_VALUE"""),7.7635555)</f>
        <v>7.7635555</v>
      </c>
      <c r="D11033" s="7">
        <f>IFERROR(__xludf.DUMMYFUNCTION("""COMPUTED_VALUE"""),0.348837209302325)</f>
        <v>0.3488372093</v>
      </c>
    </row>
    <row r="11034">
      <c r="A11034" s="10" t="s">
        <v>12473</v>
      </c>
      <c r="B11034" s="7" t="str">
        <f>IFERROR(__xludf.DUMMYFUNCTION("SPLIT(A11034,"" "")"),"Cc1cc(C)c(CN(C)CCN(C)Cc2nc(C)c(C)cc2C)nc1C")</f>
        <v>Cc1cc(C)c(CN(C)CCN(C)Cc2nc(C)c(C)cc2C)nc1C</v>
      </c>
      <c r="C11034" s="7">
        <f>IFERROR(__xludf.DUMMYFUNCTION("""COMPUTED_VALUE"""),7.763544)</f>
        <v>7.763544</v>
      </c>
      <c r="D11034" s="7">
        <f>IFERROR(__xludf.DUMMYFUNCTION("""COMPUTED_VALUE"""),0.388888888888888)</f>
        <v>0.3888888889</v>
      </c>
    </row>
    <row r="11035">
      <c r="A11035" s="10" t="s">
        <v>12474</v>
      </c>
      <c r="B11035" s="7" t="str">
        <f>IFERROR(__xludf.DUMMYFUNCTION("SPLIT(A11035,"" "")"),"CN(Cc1ccccn1)C1=CC=CNC1")</f>
        <v>CN(Cc1ccccn1)C1=CC=CNC1</v>
      </c>
      <c r="C11035" s="7">
        <f>IFERROR(__xludf.DUMMYFUNCTION("""COMPUTED_VALUE"""),7.7635436)</f>
        <v>7.7635436</v>
      </c>
      <c r="D11035" s="7">
        <f>IFERROR(__xludf.DUMMYFUNCTION("""COMPUTED_VALUE"""),0.477272727272727)</f>
        <v>0.4772727273</v>
      </c>
    </row>
    <row r="11036">
      <c r="A11036" s="10" t="s">
        <v>12475</v>
      </c>
      <c r="B11036" s="7" t="str">
        <f>IFERROR(__xludf.DUMMYFUNCTION("SPLIT(A11036,"" "")"),"Cc1cncc(N(C)CCN(C)C)c1")</f>
        <v>Cc1cncc(N(C)CCN(C)C)c1</v>
      </c>
      <c r="C11036" s="7">
        <f>IFERROR(__xludf.DUMMYFUNCTION("""COMPUTED_VALUE"""),7.763539)</f>
        <v>7.763539</v>
      </c>
      <c r="D11036" s="7">
        <f>IFERROR(__xludf.DUMMYFUNCTION("""COMPUTED_VALUE"""),0.275)</f>
        <v>0.275</v>
      </c>
    </row>
    <row r="11037">
      <c r="A11037" s="10" t="s">
        <v>12476</v>
      </c>
      <c r="B11037" s="7" t="str">
        <f>IFERROR(__xludf.DUMMYFUNCTION("SPLIT(A11037,"" "")"),"Cc1cc(C)c(CN(C)CC2=CCC=CN2)c(N)c1")</f>
        <v>Cc1cc(C)c(CN(C)CC2=CCC=CN2)c(N)c1</v>
      </c>
      <c r="C11037" s="7">
        <f>IFERROR(__xludf.DUMMYFUNCTION("""COMPUTED_VALUE"""),7.763538)</f>
        <v>7.763538</v>
      </c>
      <c r="D11037" s="7">
        <f>IFERROR(__xludf.DUMMYFUNCTION("""COMPUTED_VALUE"""),0.345454545454545)</f>
        <v>0.3454545455</v>
      </c>
    </row>
    <row r="11038">
      <c r="A11038" s="10" t="s">
        <v>12477</v>
      </c>
      <c r="B11038" s="7" t="str">
        <f>IFERROR(__xludf.DUMMYFUNCTION("SPLIT(A11038,"" "")"),"CN(c1ccc2cc(CF)cnc2c1)C1CCC(N(C)C(c2ccccc2)c2ccccn2)CC1")</f>
        <v>CN(c1ccc2cc(CF)cnc2c1)C1CCC(N(C)C(c2ccccc2)c2ccccn2)CC1</v>
      </c>
      <c r="C11038" s="7">
        <f>IFERROR(__xludf.DUMMYFUNCTION("""COMPUTED_VALUE"""),7.763537)</f>
        <v>7.763537</v>
      </c>
      <c r="D11038" s="7">
        <f>IFERROR(__xludf.DUMMYFUNCTION("""COMPUTED_VALUE"""),0.459016393442622)</f>
        <v>0.4590163934</v>
      </c>
    </row>
    <row r="11039">
      <c r="A11039" s="10" t="s">
        <v>12478</v>
      </c>
      <c r="B11039" s="7" t="str">
        <f>IFERROR(__xludf.DUMMYFUNCTION("SPLIT(A11039,"" "")"),"CC1=C(C)C(C)C(C)(c2cc(CN(Cc3ccccn3)C3CCC(N(C)c4ccc5nccc(C)c5c4)CC3)ccn2)CC1")</f>
        <v>CC1=C(C)C(C)C(C)(c2cc(CN(Cc3ccccn3)C3CCC(N(C)c4ccc5nccc(C)c5c4)CC3)ccn2)CC1</v>
      </c>
      <c r="C11039" s="7">
        <f>IFERROR(__xludf.DUMMYFUNCTION("""COMPUTED_VALUE"""),7.7635264)</f>
        <v>7.7635264</v>
      </c>
      <c r="D11039" s="7">
        <f>IFERROR(__xludf.DUMMYFUNCTION("""COMPUTED_VALUE"""),0.282051282051282)</f>
        <v>0.2820512821</v>
      </c>
    </row>
    <row r="11040">
      <c r="A11040" s="10" t="s">
        <v>12479</v>
      </c>
      <c r="B11040" s="7" t="str">
        <f>IFERROR(__xludf.DUMMYFUNCTION("SPLIT(A11040,"" "")"),"CN(C)Cc1ccc2cccc(N(C)C3CCCCC3N(Cc3ncccc3-c3cccc4c3OCCOCCOCCOCCOCCO4)c3ccc4ncccc4c3)c2n1")</f>
        <v>CN(C)Cc1ccc2cccc(N(C)C3CCCCC3N(Cc3ncccc3-c3cccc4c3OCCOCCOCCOCCOCCO4)c3ccc4ncccc4c3)c2n1</v>
      </c>
      <c r="C11040" s="7">
        <f>IFERROR(__xludf.DUMMYFUNCTION("""COMPUTED_VALUE"""),7.7635207)</f>
        <v>7.7635207</v>
      </c>
      <c r="D11040" s="7">
        <f>IFERROR(__xludf.DUMMYFUNCTION("""COMPUTED_VALUE"""),0.4)</f>
        <v>0.4</v>
      </c>
    </row>
    <row r="11041">
      <c r="A11041" s="10" t="s">
        <v>12480</v>
      </c>
      <c r="B11041" s="7" t="str">
        <f>IFERROR(__xludf.DUMMYFUNCTION("SPLIT(A11041,"" "")"),"CNC1NC=CC=C1N(C)Cc1cc(C)ccn1")</f>
        <v>CNC1NC=CC=C1N(C)Cc1cc(C)ccn1</v>
      </c>
      <c r="C11041" s="7">
        <f>IFERROR(__xludf.DUMMYFUNCTION("""COMPUTED_VALUE"""),7.7635164)</f>
        <v>7.7635164</v>
      </c>
      <c r="D11041" s="7">
        <f>IFERROR(__xludf.DUMMYFUNCTION("""COMPUTED_VALUE"""),0.309090909090909)</f>
        <v>0.3090909091</v>
      </c>
    </row>
    <row r="11042">
      <c r="A11042" s="10" t="s">
        <v>12481</v>
      </c>
      <c r="B11042" s="7" t="str">
        <f>IFERROR(__xludf.DUMMYFUNCTION("SPLIT(A11042,"" "")"),"Cc1cccc(N(C)Cc2ccccn2)c1-c1ccc(CN(Cc2cccnn2)C2CCCCC2)cn1")</f>
        <v>Cc1cccc(N(C)Cc2ccccn2)c1-c1ccc(CN(Cc2cccnn2)C2CCCCC2)cn1</v>
      </c>
      <c r="C11042" s="7">
        <f>IFERROR(__xludf.DUMMYFUNCTION("""COMPUTED_VALUE"""),7.7635145)</f>
        <v>7.7635145</v>
      </c>
      <c r="D11042" s="7">
        <f>IFERROR(__xludf.DUMMYFUNCTION("""COMPUTED_VALUE"""),0.38095238095238)</f>
        <v>0.380952381</v>
      </c>
    </row>
    <row r="11043">
      <c r="A11043" s="10" t="s">
        <v>12482</v>
      </c>
      <c r="B11043" s="7" t="str">
        <f>IFERROR(__xludf.DUMMYFUNCTION("SPLIT(A11043,"" "")"),"CCN(CCN(C)C(C)C)c1ccc2ncccc2c1")</f>
        <v>CCN(CCN(C)C(C)C)c1ccc2ncccc2c1</v>
      </c>
      <c r="C11043" s="7">
        <f>IFERROR(__xludf.DUMMYFUNCTION("""COMPUTED_VALUE"""),7.7635083)</f>
        <v>7.7635083</v>
      </c>
      <c r="D11043" s="7">
        <f>IFERROR(__xludf.DUMMYFUNCTION("""COMPUTED_VALUE"""),0.326530612244897)</f>
        <v>0.3265306122</v>
      </c>
    </row>
    <row r="11044">
      <c r="A11044" s="10" t="s">
        <v>12483</v>
      </c>
      <c r="B11044" s="7" t="str">
        <f>IFERROR(__xludf.DUMMYFUNCTION("SPLIT(A11044,"" "")"),"CN(C)Cc1cccnc1CN(Cc1ccccn1)Cc1ccon1")</f>
        <v>CN(C)Cc1cccnc1CN(Cc1ccccn1)Cc1ccon1</v>
      </c>
      <c r="C11044" s="7">
        <f>IFERROR(__xludf.DUMMYFUNCTION("""COMPUTED_VALUE"""),7.763507)</f>
        <v>7.763507</v>
      </c>
      <c r="D11044" s="7">
        <f>IFERROR(__xludf.DUMMYFUNCTION("""COMPUTED_VALUE"""),0.476190476190476)</f>
        <v>0.4761904762</v>
      </c>
    </row>
    <row r="11045">
      <c r="A11045" s="10" t="s">
        <v>12484</v>
      </c>
      <c r="B11045" s="7" t="str">
        <f>IFERROR(__xludf.DUMMYFUNCTION("SPLIT(A11045,"" "")"),"CC1(C)N=COC1c1ccc(CN(Cc2ccccn2)Cc2ccccn2)cn1")</f>
        <v>CC1(C)N=COC1c1ccc(CN(Cc2ccccn2)Cc2ccccn2)cn1</v>
      </c>
      <c r="C11045" s="7">
        <f>IFERROR(__xludf.DUMMYFUNCTION("""COMPUTED_VALUE"""),7.7634945)</f>
        <v>7.7634945</v>
      </c>
      <c r="D11045" s="7">
        <f>IFERROR(__xludf.DUMMYFUNCTION("""COMPUTED_VALUE"""),0.444444444444444)</f>
        <v>0.4444444444</v>
      </c>
    </row>
    <row r="11046">
      <c r="A11046" s="10" t="s">
        <v>12485</v>
      </c>
      <c r="B11046" s="7" t="str">
        <f>IFERROR(__xludf.DUMMYFUNCTION("SPLIT(A11046,"" "")"),"CNCc1cc(C(C)(C)c2ccccn2)ccn1")</f>
        <v>CNCc1cc(C(C)(C)c2ccccn2)ccn1</v>
      </c>
      <c r="C11046" s="7">
        <f>IFERROR(__xludf.DUMMYFUNCTION("""COMPUTED_VALUE"""),7.763485)</f>
        <v>7.763485</v>
      </c>
      <c r="D11046" s="7">
        <f>IFERROR(__xludf.DUMMYFUNCTION("""COMPUTED_VALUE"""),0.357142857142857)</f>
        <v>0.3571428571</v>
      </c>
    </row>
    <row r="11047">
      <c r="A11047" s="10" t="s">
        <v>12486</v>
      </c>
      <c r="B11047" s="7" t="str">
        <f>IFERROR(__xludf.DUMMYFUNCTION("SPLIT(A11047,"" "")"),"CNC1C(N(C)Cc2nc(C)c(C)c(C)c2C)CCC(N(C)Cc2nc(C)c(C)c(C)c2C)C1N(Cc1nc(C)c(C)c(C)c1C)Cc1nc(C)c(C)c(C)c1C")</f>
        <v>CNC1C(N(C)Cc2nc(C)c(C)c(C)c2C)CCC(N(C)Cc2nc(C)c(C)c(C)c2C)C1N(Cc1nc(C)c(C)c(C)c1C)Cc1nc(C)c(C)c(C)c1C</v>
      </c>
      <c r="C11047" s="7">
        <f>IFERROR(__xludf.DUMMYFUNCTION("""COMPUTED_VALUE"""),7.76348)</f>
        <v>7.76348</v>
      </c>
      <c r="D11047" s="7">
        <f>IFERROR(__xludf.DUMMYFUNCTION("""COMPUTED_VALUE"""),0.272727272727272)</f>
        <v>0.2727272727</v>
      </c>
    </row>
    <row r="11048">
      <c r="A11048" s="10" t="s">
        <v>12487</v>
      </c>
      <c r="B11048" s="7" t="str">
        <f>IFERROR(__xludf.DUMMYFUNCTION("SPLIT(A11048,"" "")"),"CN(Cc1cccnn1)C1CCCC(N(C)c2ccc3nccc(CF)c3c2)C1")</f>
        <v>CN(Cc1cccnn1)C1CCCC(N(C)c2ccc3nccc(CF)c3c2)C1</v>
      </c>
      <c r="C11048" s="7">
        <f>IFERROR(__xludf.DUMMYFUNCTION("""COMPUTED_VALUE"""),7.7634797)</f>
        <v>7.7634797</v>
      </c>
      <c r="D11048" s="7">
        <f>IFERROR(__xludf.DUMMYFUNCTION("""COMPUTED_VALUE"""),0.35593220338983)</f>
        <v>0.3559322034</v>
      </c>
    </row>
    <row r="11049">
      <c r="A11049" s="10" t="s">
        <v>12488</v>
      </c>
      <c r="B11049" s="7" t="str">
        <f>IFERROR(__xludf.DUMMYFUNCTION("SPLIT(A11049,"" "")"),"Cc1cnc(CN(C)C2CCCCC2N(C)c2ccc3ccc(CF)nc3c2)c(C)c1")</f>
        <v>Cc1cnc(CN(C)C2CCCCC2N(C)c2ccc3ccc(CF)nc3c2)c(C)c1</v>
      </c>
      <c r="C11049" s="7">
        <f>IFERROR(__xludf.DUMMYFUNCTION("""COMPUTED_VALUE"""),7.7634754)</f>
        <v>7.7634754</v>
      </c>
      <c r="D11049" s="7">
        <f>IFERROR(__xludf.DUMMYFUNCTION("""COMPUTED_VALUE"""),0.456140350877192)</f>
        <v>0.4561403509</v>
      </c>
    </row>
    <row r="11050">
      <c r="A11050" s="10" t="s">
        <v>12489</v>
      </c>
      <c r="B11050" s="7" t="str">
        <f>IFERROR(__xludf.DUMMYFUNCTION("SPLIT(A11050,"" "")"),"Cc1ccc(CN(C)C2=CNC=CC2CN(Cc2ccccn2)Cc2ccccn2)nc1")</f>
        <v>Cc1ccc(CN(C)C2=CNC=CC2CN(Cc2ccccn2)Cc2ccccn2)nc1</v>
      </c>
      <c r="C11050" s="7">
        <f>IFERROR(__xludf.DUMMYFUNCTION("""COMPUTED_VALUE"""),7.7634745)</f>
        <v>7.7634745</v>
      </c>
      <c r="D11050" s="7">
        <f>IFERROR(__xludf.DUMMYFUNCTION("""COMPUTED_VALUE"""),0.4)</f>
        <v>0.4</v>
      </c>
    </row>
    <row r="11051">
      <c r="A11051" s="10" t="s">
        <v>12490</v>
      </c>
      <c r="B11051" s="7" t="str">
        <f>IFERROR(__xludf.DUMMYFUNCTION("SPLIT(A11051,"" "")"),"CNC1C(N(Cc2nc(C)c(C)c(C)c2C)Cc2nc(C)c(C)c(C)c2C)CCC(NCc2cc(C)c(C)cn2)C1N(Cc1nc(C)c(C)c(C)c1C)Cc1nc(C)c(C)c(C)c1C")</f>
        <v>CNC1C(N(Cc2nc(C)c(C)c(C)c2C)Cc2nc(C)c(C)c(C)c2C)CCC(NCc2cc(C)c(C)cn2)C1N(Cc1nc(C)c(C)c(C)c1C)Cc1nc(C)c(C)c(C)c1C</v>
      </c>
      <c r="C11051" s="7">
        <f>IFERROR(__xludf.DUMMYFUNCTION("""COMPUTED_VALUE"""),7.76347)</f>
        <v>7.76347</v>
      </c>
      <c r="D11051" s="7">
        <f>IFERROR(__xludf.DUMMYFUNCTION("""COMPUTED_VALUE"""),0.25)</f>
        <v>0.25</v>
      </c>
    </row>
    <row r="11052">
      <c r="A11052" s="10" t="s">
        <v>12491</v>
      </c>
      <c r="B11052" s="7" t="str">
        <f>IFERROR(__xludf.DUMMYFUNCTION("SPLIT(A11052,"" "")"),"CCN(CCN(C)CC(C)(C)C)c1ccc2ncccc2c1")</f>
        <v>CCN(CCN(C)CC(C)(C)C)c1ccc2ncccc2c1</v>
      </c>
      <c r="C11052" s="7">
        <f>IFERROR(__xludf.DUMMYFUNCTION("""COMPUTED_VALUE"""),7.7634673)</f>
        <v>7.7634673</v>
      </c>
      <c r="D11052" s="7">
        <f>IFERROR(__xludf.DUMMYFUNCTION("""COMPUTED_VALUE"""),0.352941176470588)</f>
        <v>0.3529411765</v>
      </c>
    </row>
    <row r="11053">
      <c r="A11053" s="10" t="s">
        <v>12492</v>
      </c>
      <c r="B11053" s="7" t="str">
        <f>IFERROR(__xludf.DUMMYFUNCTION("SPLIT(A11053,"" "")"),"Cc1cc(CN(Cc2cc(C)c(C)c(C)n2)C2CCC(N(C)Cc3cc(-c4ccccn4)ccn3)CC2)nc(C)c1C")</f>
        <v>Cc1cc(CN(Cc2cc(C)c(C)c(C)n2)C2CCC(N(C)Cc3cc(-c4ccccn4)ccn3)CC2)nc(C)c1C</v>
      </c>
      <c r="C11053" s="7">
        <f>IFERROR(__xludf.DUMMYFUNCTION("""COMPUTED_VALUE"""),7.763465)</f>
        <v>7.763465</v>
      </c>
      <c r="D11053" s="7">
        <f>IFERROR(__xludf.DUMMYFUNCTION("""COMPUTED_VALUE"""),0.366666666666666)</f>
        <v>0.3666666667</v>
      </c>
    </row>
    <row r="11054">
      <c r="A11054" s="10" t="s">
        <v>12493</v>
      </c>
      <c r="B11054" s="7" t="str">
        <f>IFERROR(__xludf.DUMMYFUNCTION("SPLIT(A11054,"" "")"),"Cc1ccc(N(C)Cc2ccccn2)c(-c2cccc(CN(CC3=CCC=CN3)C3CCCC(N(C)Cc4ccccn4)C3)n2)c1")</f>
        <v>Cc1ccc(N(C)Cc2ccccn2)c(-c2cccc(CN(CC3=CCC=CN3)C3CCCC(N(C)Cc4ccccn4)C3)n2)c1</v>
      </c>
      <c r="C11054" s="7">
        <f>IFERROR(__xludf.DUMMYFUNCTION("""COMPUTED_VALUE"""),7.763464)</f>
        <v>7.763464</v>
      </c>
      <c r="D11054" s="7">
        <f>IFERROR(__xludf.DUMMYFUNCTION("""COMPUTED_VALUE"""),0.418918918918918)</f>
        <v>0.4189189189</v>
      </c>
    </row>
    <row r="11055">
      <c r="A11055" s="10" t="s">
        <v>12494</v>
      </c>
      <c r="B11055" s="7" t="str">
        <f>IFERROR(__xludf.DUMMYFUNCTION("SPLIT(A11055,"" "")"),"CCN(CC1=CCC(N(C)Cc2ncccc2C)=CN1)Cc1cncc(C)c1")</f>
        <v>CCN(CC1=CCC(N(C)Cc2ncccc2C)=CN1)Cc1cncc(C)c1</v>
      </c>
      <c r="C11055" s="7">
        <f>IFERROR(__xludf.DUMMYFUNCTION("""COMPUTED_VALUE"""),7.763457)</f>
        <v>7.763457</v>
      </c>
      <c r="D11055" s="7">
        <f>IFERROR(__xludf.DUMMYFUNCTION("""COMPUTED_VALUE"""),0.263888888888888)</f>
        <v>0.2638888889</v>
      </c>
    </row>
    <row r="11056">
      <c r="A11056" s="10" t="s">
        <v>12495</v>
      </c>
      <c r="B11056" s="7" t="str">
        <f>IFERROR(__xludf.DUMMYFUNCTION("SPLIT(A11056,"" "")"),"CCN(Cc1ccccn1)c1cccc(-c2ccccn2)c1-c1cccc(CN(Cc2ccccn2)Cc2cccc(-c3ccc4c(c3)OCCOCCOCCOCCOCCO4)n2)n1")</f>
        <v>CCN(Cc1ccccn1)c1cccc(-c2ccccn2)c1-c1cccc(CN(Cc2ccccn2)Cc2cccc(-c3ccc4c(c3)OCCOCCOCCOCCOCCO4)n2)n1</v>
      </c>
      <c r="C11056" s="7">
        <f>IFERROR(__xludf.DUMMYFUNCTION("""COMPUTED_VALUE"""),7.7634516)</f>
        <v>7.7634516</v>
      </c>
      <c r="D11056" s="7">
        <f>IFERROR(__xludf.DUMMYFUNCTION("""COMPUTED_VALUE"""),0.442857142857142)</f>
        <v>0.4428571429</v>
      </c>
    </row>
    <row r="11057">
      <c r="A11057" s="10" t="s">
        <v>12496</v>
      </c>
      <c r="B11057" s="7" t="str">
        <f>IFERROR(__xludf.DUMMYFUNCTION("SPLIT(A11057,"" "")"),"CC1(c2cccc(C3=CCC=CN3)n2)CCC1")</f>
        <v>CC1(c2cccc(C3=CCC=CN3)n2)CCC1</v>
      </c>
      <c r="C11057" s="7">
        <f>IFERROR(__xludf.DUMMYFUNCTION("""COMPUTED_VALUE"""),7.763443)</f>
        <v>7.763443</v>
      </c>
      <c r="D11057" s="7">
        <f>IFERROR(__xludf.DUMMYFUNCTION("""COMPUTED_VALUE"""),0.263157894736842)</f>
        <v>0.2631578947</v>
      </c>
    </row>
    <row r="11058">
      <c r="A11058" s="10" t="s">
        <v>12497</v>
      </c>
      <c r="B11058" s="7" t="str">
        <f>IFERROR(__xludf.DUMMYFUNCTION("SPLIT(A11058,"" "")"),"Cc1nc(CN(C)C2=CCC=C(CN(C)C(C)C(C)C)N2)c(C)c(C)c1C")</f>
        <v>Cc1nc(CN(C)C2=CCC=C(CN(C)C(C)C(C)C)N2)c(C)c(C)c1C</v>
      </c>
      <c r="C11058" s="7">
        <f>IFERROR(__xludf.DUMMYFUNCTION("""COMPUTED_VALUE"""),7.763434)</f>
        <v>7.763434</v>
      </c>
      <c r="D11058" s="7">
        <f>IFERROR(__xludf.DUMMYFUNCTION("""COMPUTED_VALUE"""),0.17910447761194)</f>
        <v>0.1791044776</v>
      </c>
    </row>
    <row r="11059">
      <c r="A11059" s="10" t="s">
        <v>12498</v>
      </c>
      <c r="B11059" s="7" t="str">
        <f>IFERROR(__xludf.DUMMYFUNCTION("SPLIT(A11059,"" "")"),"CNC1CC(N(Cc2nc(C)c(C)cc2C)Cc2nc(C)c(C)cc2C)CC(N(Cc2nc(C)c(C)cc2C)Cc2nc(C)c(C)c(C)c2C)C1")</f>
        <v>CNC1CC(N(Cc2nc(C)c(C)cc2C)Cc2nc(C)c(C)cc2C)CC(N(Cc2nc(C)c(C)cc2C)Cc2nc(C)c(C)c(C)c2C)C1</v>
      </c>
      <c r="C11059" s="7">
        <f>IFERROR(__xludf.DUMMYFUNCTION("""COMPUTED_VALUE"""),7.7634325)</f>
        <v>7.7634325</v>
      </c>
      <c r="D11059" s="7">
        <f>IFERROR(__xludf.DUMMYFUNCTION("""COMPUTED_VALUE"""),0.183333333333333)</f>
        <v>0.1833333333</v>
      </c>
    </row>
    <row r="11060">
      <c r="A11060" s="10" t="s">
        <v>12499</v>
      </c>
      <c r="B11060" s="7" t="str">
        <f>IFERROR(__xludf.DUMMYFUNCTION("SPLIT(A11060,"" "")"),"CCN(Cc1ccccn1)C1=C(CN(Cc2ccccn2)Cc2cccc(C)n2)NC=CC1")</f>
        <v>CCN(Cc1ccccn1)C1=C(CN(Cc2ccccn2)Cc2cccc(C)n2)NC=CC1</v>
      </c>
      <c r="C11060" s="7">
        <f>IFERROR(__xludf.DUMMYFUNCTION("""COMPUTED_VALUE"""),7.763422)</f>
        <v>7.763422</v>
      </c>
      <c r="D11060" s="7">
        <f>IFERROR(__xludf.DUMMYFUNCTION("""COMPUTED_VALUE"""),0.440677966101694)</f>
        <v>0.4406779661</v>
      </c>
    </row>
    <row r="11061">
      <c r="A11061" s="10" t="s">
        <v>12500</v>
      </c>
      <c r="B11061" s="7" t="str">
        <f>IFERROR(__xludf.DUMMYFUNCTION("SPLIT(A11061,"" "")"),"CC1=CC2(C(c3cc(CN(Cc4ccccn4)Cc4ccccn4)ccn3)=C(c3cc(CN(Cc4ccccn4)Cc4ccccn4)ccn3)CCC23CCC(C)=C(C)C3C)C(C)CC1C")</f>
        <v>CC1=CC2(C(c3cc(CN(Cc4ccccn4)Cc4ccccn4)ccn3)=C(c3cc(CN(Cc4ccccn4)Cc4ccccn4)ccn3)CCC23CCC(C)=C(C)C3C)C(C)CC1C</v>
      </c>
      <c r="C11061" s="7">
        <f>IFERROR(__xludf.DUMMYFUNCTION("""COMPUTED_VALUE"""),7.763422)</f>
        <v>7.763422</v>
      </c>
      <c r="D11061" s="7">
        <f>IFERROR(__xludf.DUMMYFUNCTION("""COMPUTED_VALUE"""),0.308641975308641)</f>
        <v>0.3086419753</v>
      </c>
    </row>
    <row r="11062">
      <c r="A11062" s="10" t="s">
        <v>12501</v>
      </c>
      <c r="B11062" s="7" t="str">
        <f>IFERROR(__xludf.DUMMYFUNCTION("SPLIT(A11062,"" "")"),"CN(Cc1cccc(-c2cccc(N(C)C)c2)n1)Cc1ncccc1N(C)Cc1cccc(-c2ccc3c(c2)OCCOCCOCCOCCOCCO3)n1")</f>
        <v>CN(Cc1cccc(-c2cccc(N(C)C)c2)n1)Cc1ncccc1N(C)Cc1cccc(-c2ccc3c(c2)OCCOCCOCCOCCOCCO3)n1</v>
      </c>
      <c r="C11062" s="7">
        <f>IFERROR(__xludf.DUMMYFUNCTION("""COMPUTED_VALUE"""),7.76342)</f>
        <v>7.76342</v>
      </c>
      <c r="D11062" s="7">
        <f>IFERROR(__xludf.DUMMYFUNCTION("""COMPUTED_VALUE"""),0.352941176470588)</f>
        <v>0.3529411765</v>
      </c>
    </row>
    <row r="11063">
      <c r="A11063" s="10" t="s">
        <v>12502</v>
      </c>
      <c r="B11063" s="7" t="str">
        <f>IFERROR(__xludf.DUMMYFUNCTION("SPLIT(A11063,"" "")"),"CNCc1ccc(CN(Cc2cccc(C)n2)Cc2nccc(C)c2C)cn1")</f>
        <v>CNCc1ccc(CN(Cc2cccc(C)n2)Cc2nccc(C)c2C)cn1</v>
      </c>
      <c r="C11063" s="7">
        <f>IFERROR(__xludf.DUMMYFUNCTION("""COMPUTED_VALUE"""),7.763418)</f>
        <v>7.763418</v>
      </c>
      <c r="D11063" s="7">
        <f>IFERROR(__xludf.DUMMYFUNCTION("""COMPUTED_VALUE"""),0.345454545454545)</f>
        <v>0.3454545455</v>
      </c>
    </row>
    <row r="11064">
      <c r="A11064" s="10" t="s">
        <v>12503</v>
      </c>
      <c r="B11064" s="7" t="str">
        <f>IFERROR(__xludf.DUMMYFUNCTION("SPLIT(A11064,"" "")"),"Cc1ncccc1CN(C)C1CCCC(N(C)c2cccc3nc(CF)ccc23)C1")</f>
        <v>Cc1ncccc1CN(C)C1CCCC(N(C)c2cccc3nc(CF)ccc23)C1</v>
      </c>
      <c r="C11064" s="7">
        <f>IFERROR(__xludf.DUMMYFUNCTION("""COMPUTED_VALUE"""),7.763408)</f>
        <v>7.763408</v>
      </c>
      <c r="D11064" s="7">
        <f>IFERROR(__xludf.DUMMYFUNCTION("""COMPUTED_VALUE"""),0.373134328358209)</f>
        <v>0.3731343284</v>
      </c>
    </row>
    <row r="11065">
      <c r="A11065" s="10" t="s">
        <v>12504</v>
      </c>
      <c r="B11065" s="7" t="str">
        <f>IFERROR(__xludf.DUMMYFUNCTION("SPLIT(A11065,"" "")"),"Cc1cnccc1CN(C)C1CCC(N(C)c2ccc3nccc(CF)c3c2)CC1")</f>
        <v>Cc1cnccc1CN(C)C1CCC(N(C)c2ccc3nccc(CF)c3c2)CC1</v>
      </c>
      <c r="C11065" s="7">
        <f>IFERROR(__xludf.DUMMYFUNCTION("""COMPUTED_VALUE"""),7.763406)</f>
        <v>7.763406</v>
      </c>
      <c r="D11065" s="7">
        <f>IFERROR(__xludf.DUMMYFUNCTION("""COMPUTED_VALUE"""),0.242424242424242)</f>
        <v>0.2424242424</v>
      </c>
    </row>
    <row r="11066">
      <c r="A11066" s="10" t="s">
        <v>12505</v>
      </c>
      <c r="B11066" s="7" t="str">
        <f>IFERROR(__xludf.DUMMYFUNCTION("SPLIT(A11066,"" "")"),"CN(c1cccc2nc(CF)ccc12)C1CCC(N(Cc2ccccn2)Cc2ccc(F)cn2)CC1")</f>
        <v>CN(c1cccc2nc(CF)ccc12)C1CCC(N(Cc2ccccn2)Cc2ccc(F)cn2)CC1</v>
      </c>
      <c r="C11066" s="7">
        <f>IFERROR(__xludf.DUMMYFUNCTION("""COMPUTED_VALUE"""),7.763404)</f>
        <v>7.763404</v>
      </c>
      <c r="D11066" s="7">
        <f>IFERROR(__xludf.DUMMYFUNCTION("""COMPUTED_VALUE"""),0.347826086956521)</f>
        <v>0.347826087</v>
      </c>
    </row>
    <row r="11067">
      <c r="A11067" s="10" t="s">
        <v>12506</v>
      </c>
      <c r="B11067" s="7" t="str">
        <f>IFERROR(__xludf.DUMMYFUNCTION("SPLIT(A11067,"" "")"),"Cc1cccc(CN(C)CC2C=CNC(N(C)Cc3ccccn3)=C2)n1")</f>
        <v>Cc1cccc(CN(C)CC2C=CNC(N(C)Cc3ccccn3)=C2)n1</v>
      </c>
      <c r="C11067" s="7">
        <f>IFERROR(__xludf.DUMMYFUNCTION("""COMPUTED_VALUE"""),7.7634025)</f>
        <v>7.7634025</v>
      </c>
      <c r="D11067" s="7">
        <f>IFERROR(__xludf.DUMMYFUNCTION("""COMPUTED_VALUE"""),0.428571428571428)</f>
        <v>0.4285714286</v>
      </c>
    </row>
    <row r="11068">
      <c r="A11068" s="10" t="s">
        <v>12507</v>
      </c>
      <c r="B11068" s="7" t="str">
        <f>IFERROR(__xludf.DUMMYFUNCTION("SPLIT(A11068,"" "")"),"Cc1ccc(C2CCC2)nc1CN(C)C1CCC(N(C)Cc2cccc(-c3ccc4ncccc4c3)n2)CC1")</f>
        <v>Cc1ccc(C2CCC2)nc1CN(C)C1CCC(N(C)Cc2cccc(-c3ccc4ncccc4c3)n2)CC1</v>
      </c>
      <c r="C11068" s="7">
        <f>IFERROR(__xludf.DUMMYFUNCTION("""COMPUTED_VALUE"""),7.763397)</f>
        <v>7.763397</v>
      </c>
      <c r="D11068" s="7">
        <f>IFERROR(__xludf.DUMMYFUNCTION("""COMPUTED_VALUE"""),0.328358208955223)</f>
        <v>0.328358209</v>
      </c>
    </row>
    <row r="11069">
      <c r="A11069" s="10" t="s">
        <v>12508</v>
      </c>
      <c r="B11069" s="7" t="str">
        <f>IFERROR(__xludf.DUMMYFUNCTION("SPLIT(A11069,"" "")"),"CNCc1ccc(CN(Cc2ccccn2)Cc2cc(C)c(C)c(C)n2)cn1")</f>
        <v>CNCc1ccc(CN(Cc2ccccn2)Cc2cc(C)c(C)c(C)n2)cn1</v>
      </c>
      <c r="C11069" s="7">
        <f>IFERROR(__xludf.DUMMYFUNCTION("""COMPUTED_VALUE"""),7.7633953)</f>
        <v>7.7633953</v>
      </c>
      <c r="D11069" s="7">
        <f>IFERROR(__xludf.DUMMYFUNCTION("""COMPUTED_VALUE"""),0.416666666666666)</f>
        <v>0.4166666667</v>
      </c>
    </row>
    <row r="11070">
      <c r="A11070" s="10" t="s">
        <v>12509</v>
      </c>
      <c r="B11070" s="7" t="str">
        <f>IFERROR(__xludf.DUMMYFUNCTION("SPLIT(A11070,"" "")"),"Cc1cccc(CN(C)Cc2cccc(C(C)(C)c3ccccn3)n2)c1")</f>
        <v>Cc1cccc(CN(C)Cc2cccc(C(C)(C)c3ccccn3)n2)c1</v>
      </c>
      <c r="C11070" s="7">
        <f>IFERROR(__xludf.DUMMYFUNCTION("""COMPUTED_VALUE"""),7.763395)</f>
        <v>7.763395</v>
      </c>
      <c r="D11070" s="7">
        <f>IFERROR(__xludf.DUMMYFUNCTION("""COMPUTED_VALUE"""),0.450980392156862)</f>
        <v>0.4509803922</v>
      </c>
    </row>
    <row r="11071">
      <c r="A11071" s="10" t="s">
        <v>12510</v>
      </c>
      <c r="B11071" s="7" t="str">
        <f>IFERROR(__xludf.DUMMYFUNCTION("SPLIT(A11071,"" "")"),"Cc1cnc(CN(C)CC2C=CNC=C2N(C)Cc2ccccn2)c(C)c1")</f>
        <v>Cc1cnc(CN(C)CC2C=CNC=C2N(C)Cc2ccccn2)c(C)c1</v>
      </c>
      <c r="C11071" s="7">
        <f>IFERROR(__xludf.DUMMYFUNCTION("""COMPUTED_VALUE"""),7.7633944)</f>
        <v>7.7633944</v>
      </c>
      <c r="D11071" s="7">
        <f>IFERROR(__xludf.DUMMYFUNCTION("""COMPUTED_VALUE"""),0.366666666666666)</f>
        <v>0.3666666667</v>
      </c>
    </row>
    <row r="11072">
      <c r="A11072" s="10" t="s">
        <v>12511</v>
      </c>
      <c r="B11072" s="7" t="str">
        <f>IFERROR(__xludf.DUMMYFUNCTION("SPLIT(A11072,"" "")"),"COC1(C)N=COC1c1ncccc1CN(Cc1ccccn1)Cc1ccccn1")</f>
        <v>COC1(C)N=COC1c1ncccc1CN(Cc1ccccn1)Cc1ccccn1</v>
      </c>
      <c r="C11072" s="7">
        <f>IFERROR(__xludf.DUMMYFUNCTION("""COMPUTED_VALUE"""),7.7633934)</f>
        <v>7.7633934</v>
      </c>
      <c r="D11072" s="7">
        <f>IFERROR(__xludf.DUMMYFUNCTION("""COMPUTED_VALUE"""),0.425531914893617)</f>
        <v>0.4255319149</v>
      </c>
    </row>
    <row r="11073">
      <c r="A11073" s="10" t="s">
        <v>12512</v>
      </c>
      <c r="B11073" s="7" t="str">
        <f>IFERROR(__xludf.DUMMYFUNCTION("SPLIT(A11073,"" "")"),"Cc1cnc(C)c(CN(C)Cc2ncccc2C(C)(C)C)c1")</f>
        <v>Cc1cnc(C)c(CN(C)Cc2ncccc2C(C)(C)C)c1</v>
      </c>
      <c r="C11073" s="7">
        <f>IFERROR(__xludf.DUMMYFUNCTION("""COMPUTED_VALUE"""),7.763392)</f>
        <v>7.763392</v>
      </c>
      <c r="D11073" s="7">
        <f>IFERROR(__xludf.DUMMYFUNCTION("""COMPUTED_VALUE"""),0.326923076923076)</f>
        <v>0.3269230769</v>
      </c>
    </row>
    <row r="11074">
      <c r="A11074" s="10" t="s">
        <v>12513</v>
      </c>
      <c r="B11074" s="7" t="str">
        <f>IFERROR(__xludf.DUMMYFUNCTION("SPLIT(A11074,"" "")"),"Cc1cccc(CN(C)C2=C(CN(Cc3ccccn3)C(C)C)NC=CC2)n1")</f>
        <v>Cc1cccc(CN(C)C2=C(CN(Cc3ccccn3)C(C)C)NC=CC2)n1</v>
      </c>
      <c r="C11074" s="7">
        <f>IFERROR(__xludf.DUMMYFUNCTION("""COMPUTED_VALUE"""),7.7633886)</f>
        <v>7.7633886</v>
      </c>
      <c r="D11074" s="7">
        <f>IFERROR(__xludf.DUMMYFUNCTION("""COMPUTED_VALUE"""),0.444444444444444)</f>
        <v>0.4444444444</v>
      </c>
    </row>
    <row r="11075">
      <c r="A11075" s="10" t="s">
        <v>12514</v>
      </c>
      <c r="B11075" s="7" t="str">
        <f>IFERROR(__xludf.DUMMYFUNCTION("SPLIT(A11075,"" "")"),"CNCc1cc(CN(Cc2cc(C)ccn2)Cc2ncc(C)c(C)c2C)ccn1")</f>
        <v>CNCc1cc(CN(Cc2cc(C)ccn2)Cc2ncc(C)c(C)c2C)ccn1</v>
      </c>
      <c r="C11075" s="7">
        <f>IFERROR(__xludf.DUMMYFUNCTION("""COMPUTED_VALUE"""),7.7633796)</f>
        <v>7.7633796</v>
      </c>
      <c r="D11075" s="7">
        <f>IFERROR(__xludf.DUMMYFUNCTION("""COMPUTED_VALUE"""),0.31578947368421)</f>
        <v>0.3157894737</v>
      </c>
    </row>
    <row r="11076">
      <c r="A11076" s="10" t="s">
        <v>12515</v>
      </c>
      <c r="B11076" s="7" t="str">
        <f>IFERROR(__xludf.DUMMYFUNCTION("SPLIT(A11076,"" "")"),"CC(C)c1cccc(CN(Cc2ccccn2)C2CCC(N(C)c3ccc4cc(CF)cnc4c3)CC2)n1")</f>
        <v>CC(C)c1cccc(CN(Cc2ccccn2)C2CCC(N(C)c3ccc4cc(CF)cnc4c3)CC2)n1</v>
      </c>
      <c r="C11076" s="7">
        <f>IFERROR(__xludf.DUMMYFUNCTION("""COMPUTED_VALUE"""),7.7633767)</f>
        <v>7.7633767</v>
      </c>
      <c r="D11076" s="7">
        <f>IFERROR(__xludf.DUMMYFUNCTION("""COMPUTED_VALUE"""),0.338235294117647)</f>
        <v>0.3382352941</v>
      </c>
    </row>
    <row r="11077">
      <c r="A11077" s="10" t="s">
        <v>12516</v>
      </c>
      <c r="B11077" s="7" t="str">
        <f>IFERROR(__xludf.DUMMYFUNCTION("SPLIT(A11077,"" "")"),"CC(C)C(C)(c1cccnc1)c1cc(CN(Cc2ccccn2)Cc2cc(C(C)(C)C)ccn2)ccn1")</f>
        <v>CC(C)C(C)(c1cccnc1)c1cc(CN(Cc2ccccn2)Cc2cc(C(C)(C)C)ccn2)ccn1</v>
      </c>
      <c r="C11077" s="7">
        <f>IFERROR(__xludf.DUMMYFUNCTION("""COMPUTED_VALUE"""),7.763375)</f>
        <v>7.763375</v>
      </c>
      <c r="D11077" s="7">
        <f>IFERROR(__xludf.DUMMYFUNCTION("""COMPUTED_VALUE"""),0.37037037037037)</f>
        <v>0.3703703704</v>
      </c>
    </row>
    <row r="11078">
      <c r="A11078" s="10" t="s">
        <v>12517</v>
      </c>
      <c r="B11078" s="7" t="str">
        <f>IFERROR(__xludf.DUMMYFUNCTION("SPLIT(A11078,"" "")"),"CNC1NC=CC=C1N(C)Cc1cccc(C)n1")</f>
        <v>CNC1NC=CC=C1N(C)Cc1cccc(C)n1</v>
      </c>
      <c r="C11078" s="7">
        <f>IFERROR(__xludf.DUMMYFUNCTION("""COMPUTED_VALUE"""),7.7633743)</f>
        <v>7.7633743</v>
      </c>
      <c r="D11078" s="7">
        <f>IFERROR(__xludf.DUMMYFUNCTION("""COMPUTED_VALUE"""),0.44)</f>
        <v>0.44</v>
      </c>
    </row>
    <row r="11079">
      <c r="A11079" s="10" t="s">
        <v>12518</v>
      </c>
      <c r="B11079" s="7" t="str">
        <f>IFERROR(__xludf.DUMMYFUNCTION("SPLIT(A11079,"" "")"),"Cc1ncccc1CN(C)C1CCC(N(C)c2cccc3nccc(CF)c23)CC1")</f>
        <v>Cc1ncccc1CN(C)C1CCC(N(C)c2cccc3nccc(CF)c23)CC1</v>
      </c>
      <c r="C11079" s="7">
        <f>IFERROR(__xludf.DUMMYFUNCTION("""COMPUTED_VALUE"""),7.76337)</f>
        <v>7.76337</v>
      </c>
      <c r="D11079" s="7">
        <f>IFERROR(__xludf.DUMMYFUNCTION("""COMPUTED_VALUE"""),0.301587301587301)</f>
        <v>0.3015873016</v>
      </c>
    </row>
    <row r="11080">
      <c r="A11080" s="10" t="s">
        <v>12519</v>
      </c>
      <c r="B11080" s="7" t="str">
        <f>IFERROR(__xludf.DUMMYFUNCTION("SPLIT(A11080,"" "")"),"CNCc1ccc(CN(Cc2ccccn2)Cc2nc(C)c(C)cc2C)cn1")</f>
        <v>CNCc1ccc(CN(Cc2ccccn2)Cc2nc(C)c(C)cc2C)cn1</v>
      </c>
      <c r="C11080" s="7">
        <f>IFERROR(__xludf.DUMMYFUNCTION("""COMPUTED_VALUE"""),7.7633586)</f>
        <v>7.7633586</v>
      </c>
      <c r="D11080" s="7">
        <f>IFERROR(__xludf.DUMMYFUNCTION("""COMPUTED_VALUE"""),0.416666666666666)</f>
        <v>0.4166666667</v>
      </c>
    </row>
    <row r="11081">
      <c r="A11081" s="10" t="s">
        <v>12520</v>
      </c>
      <c r="B11081" s="7" t="str">
        <f>IFERROR(__xludf.DUMMYFUNCTION("SPLIT(A11081,"" "")"),"Cc1ccc(CN(C)Cc2ncccc2N)nc1C")</f>
        <v>Cc1ccc(CN(C)Cc2ncccc2N)nc1C</v>
      </c>
      <c r="C11081" s="7">
        <f>IFERROR(__xludf.DUMMYFUNCTION("""COMPUTED_VALUE"""),7.763351)</f>
        <v>7.763351</v>
      </c>
      <c r="D11081" s="7">
        <f>IFERROR(__xludf.DUMMYFUNCTION("""COMPUTED_VALUE"""),0.387755102040816)</f>
        <v>0.387755102</v>
      </c>
    </row>
    <row r="11082">
      <c r="A11082" s="10" t="s">
        <v>12521</v>
      </c>
      <c r="B11082" s="7" t="str">
        <f>IFERROR(__xludf.DUMMYFUNCTION("SPLIT(A11082,"" "")"),"CNCc1nc(CN(C)C2CCC(N(C)c3ccc4ccc(CF)nc4c3)CC2)c(C)c(C)c1C")</f>
        <v>CNCc1nc(CN(C)C2CCC(N(C)c3ccc4ccc(CF)nc4c3)CC2)c(C)c(C)c1C</v>
      </c>
      <c r="C11082" s="7">
        <f>IFERROR(__xludf.DUMMYFUNCTION("""COMPUTED_VALUE"""),7.763348)</f>
        <v>7.763348</v>
      </c>
      <c r="D11082" s="7">
        <f>IFERROR(__xludf.DUMMYFUNCTION("""COMPUTED_VALUE"""),0.308823529411764)</f>
        <v>0.3088235294</v>
      </c>
    </row>
    <row r="11083">
      <c r="A11083" s="10" t="s">
        <v>12522</v>
      </c>
      <c r="B11083" s="7" t="str">
        <f>IFERROR(__xludf.DUMMYFUNCTION("SPLIT(A11083,"" "")"),"CN1CCN(C)CCN(Cc2ncccc2N(C)c2cccc3ncccc23)CC1")</f>
        <v>CN1CCN(C)CCN(Cc2ncccc2N(C)c2cccc3ncccc23)CC1</v>
      </c>
      <c r="C11083" s="7">
        <f>IFERROR(__xludf.DUMMYFUNCTION("""COMPUTED_VALUE"""),7.763348)</f>
        <v>7.763348</v>
      </c>
      <c r="D11083" s="7">
        <f>IFERROR(__xludf.DUMMYFUNCTION("""COMPUTED_VALUE"""),0.428571428571428)</f>
        <v>0.4285714286</v>
      </c>
    </row>
    <row r="11084">
      <c r="A11084" s="10" t="s">
        <v>12523</v>
      </c>
      <c r="B11084" s="7" t="str">
        <f>IFERROR(__xludf.DUMMYFUNCTION("SPLIT(A11084,"" "")"),"Cc1cc(CN(Cc2cccnc2)Cc2ccccn2)nc(C)c1C")</f>
        <v>Cc1cc(CN(Cc2cccnc2)Cc2ccccn2)nc(C)c1C</v>
      </c>
      <c r="C11084" s="7">
        <f>IFERROR(__xludf.DUMMYFUNCTION("""COMPUTED_VALUE"""),7.7633467)</f>
        <v>7.7633467</v>
      </c>
      <c r="D11084" s="7">
        <f>IFERROR(__xludf.DUMMYFUNCTION("""COMPUTED_VALUE"""),0.465116279069767)</f>
        <v>0.4651162791</v>
      </c>
    </row>
    <row r="11085">
      <c r="A11085" s="10" t="s">
        <v>12524</v>
      </c>
      <c r="B11085" s="7" t="str">
        <f>IFERROR(__xludf.DUMMYFUNCTION("SPLIT(A11085,"" "")"),"Cc1ccc(CN(C)c2ccc3nc(CN(C)Cc4cc(-c5ccc6c(c5)OCCOCCOCCOCCOCCO6)ccn4)ccc3c2)nc1C")</f>
        <v>Cc1ccc(CN(C)c2ccc3nc(CN(C)Cc4cc(-c5ccc6c(c5)OCCOCCOCCOCCOCCO6)ccn4)ccc3c2)nc1C</v>
      </c>
      <c r="C11085" s="7">
        <f>IFERROR(__xludf.DUMMYFUNCTION("""COMPUTED_VALUE"""),7.763346)</f>
        <v>7.763346</v>
      </c>
      <c r="D11085" s="7">
        <f>IFERROR(__xludf.DUMMYFUNCTION("""COMPUTED_VALUE"""),0.333333333333333)</f>
        <v>0.3333333333</v>
      </c>
    </row>
    <row r="11086">
      <c r="A11086" s="10" t="s">
        <v>12525</v>
      </c>
      <c r="B11086" s="7" t="str">
        <f>IFERROR(__xludf.DUMMYFUNCTION("SPLIT(A11086,"" "")"),"CN(Cc1ccc(-c2cccc3c2OCCOCCOCCOCCOCCO3)cn1)C1=CCC=C(CN(C)c2ccc3ncccc3c2)N1")</f>
        <v>CN(Cc1ccc(-c2cccc3c2OCCOCCOCCOCCOCCO3)cn1)C1=CCC=C(CN(C)c2ccc3ncccc3c2)N1</v>
      </c>
      <c r="C11086" s="7">
        <f>IFERROR(__xludf.DUMMYFUNCTION("""COMPUTED_VALUE"""),7.763342)</f>
        <v>7.763342</v>
      </c>
      <c r="D11086" s="7">
        <f>IFERROR(__xludf.DUMMYFUNCTION("""COMPUTED_VALUE"""),0.266666666666666)</f>
        <v>0.2666666667</v>
      </c>
    </row>
    <row r="11087">
      <c r="A11087" s="10" t="s">
        <v>12526</v>
      </c>
      <c r="B11087" s="7" t="str">
        <f>IFERROR(__xludf.DUMMYFUNCTION("SPLIT(A11087,"" "")"),"Cc1cccc(CN(C)C2CCCC(N(C)c3cccc4cc(CF)cnc34)C2)n1")</f>
        <v>Cc1cccc(CN(C)C2CCCC(N(C)c3cccc4cc(CF)cnc34)C2)n1</v>
      </c>
      <c r="C11087" s="7">
        <f>IFERROR(__xludf.DUMMYFUNCTION("""COMPUTED_VALUE"""),7.763335)</f>
        <v>7.763335</v>
      </c>
      <c r="D11087" s="7">
        <f>IFERROR(__xludf.DUMMYFUNCTION("""COMPUTED_VALUE"""),0.440677966101694)</f>
        <v>0.4406779661</v>
      </c>
    </row>
    <row r="11088">
      <c r="A11088" s="10" t="s">
        <v>12527</v>
      </c>
      <c r="B11088" s="7" t="str">
        <f>IFERROR(__xludf.DUMMYFUNCTION("SPLIT(A11088,"" "")"),"Cc1ccnc(CN(C)C2=CNC(CN(Cc3ccccn3)C(C)C)=CC2)c1")</f>
        <v>Cc1ccnc(CN(C)C2=CNC(CN(Cc3ccccn3)C(C)C)=CC2)c1</v>
      </c>
      <c r="C11088" s="7">
        <f>IFERROR(__xludf.DUMMYFUNCTION("""COMPUTED_VALUE"""),7.763335)</f>
        <v>7.763335</v>
      </c>
      <c r="D11088" s="7">
        <f>IFERROR(__xludf.DUMMYFUNCTION("""COMPUTED_VALUE"""),0.436363636363636)</f>
        <v>0.4363636364</v>
      </c>
    </row>
    <row r="11089">
      <c r="A11089" s="10" t="s">
        <v>12528</v>
      </c>
      <c r="B11089" s="7" t="str">
        <f>IFERROR(__xludf.DUMMYFUNCTION("SPLIT(A11089,"" "")"),"CCCN(CC1=CCC=C(N(C)Cc2nc(C)c(C)c(C)c2C)N1)Cc1ccccn1")</f>
        <v>CCCN(CC1=CCC=C(N(C)Cc2nc(C)c(C)c(C)c2C)N1)Cc1ccccn1</v>
      </c>
      <c r="C11089" s="7">
        <f>IFERROR(__xludf.DUMMYFUNCTION("""COMPUTED_VALUE"""),7.763323)</f>
        <v>7.763323</v>
      </c>
      <c r="D11089" s="7">
        <f>IFERROR(__xludf.DUMMYFUNCTION("""COMPUTED_VALUE"""),0.40625)</f>
        <v>0.40625</v>
      </c>
    </row>
    <row r="11090">
      <c r="A11090" s="10" t="s">
        <v>12529</v>
      </c>
      <c r="B11090" s="7" t="str">
        <f>IFERROR(__xludf.DUMMYFUNCTION("SPLIT(A11090,"" "")"),"CN(Cc1cccc(-c2ccc3c(c2)OCCOCCOCCOCCOCCO3)n1)C1=CCC=C(CN(C)c2ccc3cccnc3c2)N1")</f>
        <v>CN(Cc1cccc(-c2ccc3c(c2)OCCOCCOCCOCCOCCO3)n1)C1=CCC=C(CN(C)c2ccc3cccnc3c2)N1</v>
      </c>
      <c r="C11090" s="7">
        <f>IFERROR(__xludf.DUMMYFUNCTION("""COMPUTED_VALUE"""),7.763318)</f>
        <v>7.763318</v>
      </c>
      <c r="D11090" s="7">
        <f>IFERROR(__xludf.DUMMYFUNCTION("""COMPUTED_VALUE"""),0.285714285714285)</f>
        <v>0.2857142857</v>
      </c>
    </row>
    <row r="11091">
      <c r="A11091" s="10" t="s">
        <v>12530</v>
      </c>
      <c r="B11091" s="7" t="str">
        <f>IFERROR(__xludf.DUMMYFUNCTION("SPLIT(A11091,"" "")"),"Cc1cc(CN(C)C2=CNC(CN(C)C(C)(C)C)=CC2)nc(C)c1C")</f>
        <v>Cc1cc(CN(C)C2=CNC(CN(C)C(C)(C)C)=CC2)nc(C)c1C</v>
      </c>
      <c r="C11091" s="7">
        <f>IFERROR(__xludf.DUMMYFUNCTION("""COMPUTED_VALUE"""),7.763315)</f>
        <v>7.763315</v>
      </c>
      <c r="D11091" s="7">
        <f>IFERROR(__xludf.DUMMYFUNCTION("""COMPUTED_VALUE"""),0.196969696969696)</f>
        <v>0.196969697</v>
      </c>
    </row>
    <row r="11092">
      <c r="A11092" s="10" t="s">
        <v>12531</v>
      </c>
      <c r="B11092" s="7" t="str">
        <f>IFERROR(__xludf.DUMMYFUNCTION("SPLIT(A11092,"" "")"),"CNCc1cccc(CN(C)C2=C(CN(C)Cc3cccc(C)n3)NC=CC2)n1")</f>
        <v>CNCc1cccc(CN(C)C2=C(CN(C)Cc3cccc(C)n3)NC=CC2)n1</v>
      </c>
      <c r="C11092" s="7">
        <f>IFERROR(__xludf.DUMMYFUNCTION("""COMPUTED_VALUE"""),7.7633123)</f>
        <v>7.7633123</v>
      </c>
      <c r="D11092" s="7">
        <f>IFERROR(__xludf.DUMMYFUNCTION("""COMPUTED_VALUE"""),0.423076923076923)</f>
        <v>0.4230769231</v>
      </c>
    </row>
    <row r="11093">
      <c r="A11093" s="10" t="s">
        <v>12532</v>
      </c>
      <c r="B11093" s="7" t="str">
        <f>IFERROR(__xludf.DUMMYFUNCTION("SPLIT(A11093,"" "")"),"CN(c1ccc2nc(CF)ccc2c1)C1CCC(N(Cc2cccc(F)n2)Cc2cccc(F)n2)CC1")</f>
        <v>CN(c1ccc2nc(CF)ccc2c1)C1CCC(N(Cc2cccc(F)n2)Cc2cccc(F)n2)CC1</v>
      </c>
      <c r="C11093" s="7">
        <f>IFERROR(__xludf.DUMMYFUNCTION("""COMPUTED_VALUE"""),7.7633114)</f>
        <v>7.7633114</v>
      </c>
      <c r="D11093" s="7">
        <f>IFERROR(__xludf.DUMMYFUNCTION("""COMPUTED_VALUE"""),0.370967741935483)</f>
        <v>0.3709677419</v>
      </c>
    </row>
    <row r="11094">
      <c r="A11094" s="10" t="s">
        <v>12533</v>
      </c>
      <c r="B11094" s="7" t="str">
        <f>IFERROR(__xludf.DUMMYFUNCTION("SPLIT(A11094,"" "")"),"Cc1ccnc2cccc(N(C)C3CCCC(N(Cc4ccc(CNC(C)C)nc4)Cc4ccccn4)C3)c12")</f>
        <v>Cc1ccnc2cccc(N(C)C3CCCC(N(Cc4ccc(CNC(C)C)nc4)Cc4ccccn4)C3)c12</v>
      </c>
      <c r="C11094" s="7">
        <f>IFERROR(__xludf.DUMMYFUNCTION("""COMPUTED_VALUE"""),7.763303)</f>
        <v>7.763303</v>
      </c>
      <c r="D11094" s="7">
        <f>IFERROR(__xludf.DUMMYFUNCTION("""COMPUTED_VALUE"""),0.319444444444444)</f>
        <v>0.3194444444</v>
      </c>
    </row>
    <row r="11095">
      <c r="A11095" s="10" t="s">
        <v>12534</v>
      </c>
      <c r="B11095" s="7" t="str">
        <f>IFERROR(__xludf.DUMMYFUNCTION("SPLIT(A11095,"" "")"),"CN(c1ccc2nccc(CF)c2c1)C1CCC(N(Cc2ccccn2)Cc2ccccn2)CC1")</f>
        <v>CN(c1ccc2nccc(CF)c2c1)C1CCC(N(Cc2ccccn2)Cc2ccccn2)CC1</v>
      </c>
      <c r="C11095" s="7">
        <f>IFERROR(__xludf.DUMMYFUNCTION("""COMPUTED_VALUE"""),7.7633014)</f>
        <v>7.7633014</v>
      </c>
      <c r="D11095" s="7">
        <f>IFERROR(__xludf.DUMMYFUNCTION("""COMPUTED_VALUE"""),0.379310344827586)</f>
        <v>0.3793103448</v>
      </c>
    </row>
    <row r="11096">
      <c r="A11096" s="10" t="s">
        <v>12535</v>
      </c>
      <c r="B11096" s="7" t="str">
        <f>IFERROR(__xludf.DUMMYFUNCTION("SPLIT(A11096,"" "")"),"CN(Cc1ccon1)C1CCCCC1N(C)c1cccc2ncccc12")</f>
        <v>CN(Cc1ccon1)C1CCCCC1N(C)c1cccc2ncccc12</v>
      </c>
      <c r="C11096" s="7">
        <f>IFERROR(__xludf.DUMMYFUNCTION("""COMPUTED_VALUE"""),7.763301)</f>
        <v>7.763301</v>
      </c>
      <c r="D11096" s="7">
        <f>IFERROR(__xludf.DUMMYFUNCTION("""COMPUTED_VALUE"""),0.462962962962962)</f>
        <v>0.462962963</v>
      </c>
    </row>
    <row r="11097">
      <c r="A11097" s="10" t="s">
        <v>12536</v>
      </c>
      <c r="B11097" s="7" t="str">
        <f>IFERROR(__xludf.DUMMYFUNCTION("SPLIT(A11097,"" "")"),"CN(C)Cc1cnc2cccc(N(C)C3CCCCC3N(Cc3ccccn3)Cc3cnccc3F)c2c1")</f>
        <v>CN(C)Cc1cnc2cccc(N(C)C3CCCCC3N(Cc3ccccn3)Cc3cnccc3F)c2c1</v>
      </c>
      <c r="C11097" s="7">
        <f>IFERROR(__xludf.DUMMYFUNCTION("""COMPUTED_VALUE"""),7.763301)</f>
        <v>7.763301</v>
      </c>
      <c r="D11097" s="7">
        <f>IFERROR(__xludf.DUMMYFUNCTION("""COMPUTED_VALUE"""),0.38235294117647)</f>
        <v>0.3823529412</v>
      </c>
    </row>
    <row r="11098">
      <c r="A11098" s="10" t="s">
        <v>12537</v>
      </c>
      <c r="B11098" s="7" t="str">
        <f>IFERROR(__xludf.DUMMYFUNCTION("SPLIT(A11098,"" "")"),"Cc1ccc(CN(C)Cc2cc(C(C)(C)C)ccn2)c(C)c1C")</f>
        <v>Cc1ccc(CN(C)Cc2cc(C(C)(C)C)ccn2)c(C)c1C</v>
      </c>
      <c r="C11098" s="7">
        <f>IFERROR(__xludf.DUMMYFUNCTION("""COMPUTED_VALUE"""),7.7633)</f>
        <v>7.7633</v>
      </c>
      <c r="D11098" s="7">
        <f>IFERROR(__xludf.DUMMYFUNCTION("""COMPUTED_VALUE"""),0.307692307692307)</f>
        <v>0.3076923077</v>
      </c>
    </row>
    <row r="11099">
      <c r="A11099" s="10" t="s">
        <v>12538</v>
      </c>
      <c r="B11099" s="7" t="str">
        <f>IFERROR(__xludf.DUMMYFUNCTION("SPLIT(A11099,"" "")"),"Cc1ccc(C)c(CN(Cc2cccc(NCF)n2)Cc2nc(C)ccc2C)n1")</f>
        <v>Cc1ccc(C)c(CN(Cc2cccc(NCF)n2)Cc2nc(C)ccc2C)n1</v>
      </c>
      <c r="C11099" s="7">
        <f>IFERROR(__xludf.DUMMYFUNCTION("""COMPUTED_VALUE"""),7.763294)</f>
        <v>7.763294</v>
      </c>
      <c r="D11099" s="7">
        <f>IFERROR(__xludf.DUMMYFUNCTION("""COMPUTED_VALUE"""),0.4)</f>
        <v>0.4</v>
      </c>
    </row>
    <row r="11100">
      <c r="A11100" s="10" t="s">
        <v>12539</v>
      </c>
      <c r="B11100" s="7" t="str">
        <f>IFERROR(__xludf.DUMMYFUNCTION("SPLIT(A11100,"" "")"),"Cc1ccc(CN(C)C2CCC(N(C)Cc3ccccn3)CC2N(c2ccc3ncccc3c2)C2C=CC=CN2)nc1")</f>
        <v>Cc1ccc(CN(C)C2CCC(N(C)Cc3ccccn3)CC2N(c2ccc3ncccc3c2)C2C=CC=CN2)nc1</v>
      </c>
      <c r="C11100" s="7">
        <f>IFERROR(__xludf.DUMMYFUNCTION("""COMPUTED_VALUE"""),7.763292)</f>
        <v>7.763292</v>
      </c>
      <c r="D11100" s="7">
        <f>IFERROR(__xludf.DUMMYFUNCTION("""COMPUTED_VALUE"""),0.388888888888888)</f>
        <v>0.3888888889</v>
      </c>
    </row>
    <row r="11101">
      <c r="A11101" s="10" t="s">
        <v>12540</v>
      </c>
      <c r="B11101" s="7" t="str">
        <f>IFERROR(__xludf.DUMMYFUNCTION("SPLIT(A11101,"" "")"),"CNCC1=CCC(N(C)Cc2cc(C)ccn2)=CN1")</f>
        <v>CNCC1=CCC(N(C)Cc2cc(C)ccn2)=CN1</v>
      </c>
      <c r="C11101" s="7">
        <f>IFERROR(__xludf.DUMMYFUNCTION("""COMPUTED_VALUE"""),7.763291)</f>
        <v>7.763291</v>
      </c>
      <c r="D11101" s="7">
        <f>IFERROR(__xludf.DUMMYFUNCTION("""COMPUTED_VALUE"""),0.321428571428571)</f>
        <v>0.3214285714</v>
      </c>
    </row>
    <row r="11102">
      <c r="A11102" s="10" t="s">
        <v>12541</v>
      </c>
      <c r="B11102" s="7" t="str">
        <f>IFERROR(__xludf.DUMMYFUNCTION("SPLIT(A11102,"" "")"),"Cc1ccc(CN(Cc2cc(C)ccn2)Cc2ncccc2C(C)(C)C)nc1")</f>
        <v>Cc1ccc(CN(Cc2cc(C)ccn2)Cc2ncccc2C(C)(C)C)nc1</v>
      </c>
      <c r="C11102" s="7">
        <f>IFERROR(__xludf.DUMMYFUNCTION("""COMPUTED_VALUE"""),7.76329)</f>
        <v>7.76329</v>
      </c>
      <c r="D11102" s="7">
        <f>IFERROR(__xludf.DUMMYFUNCTION("""COMPUTED_VALUE"""),0.38)</f>
        <v>0.38</v>
      </c>
    </row>
    <row r="11103">
      <c r="A11103" s="10" t="s">
        <v>12542</v>
      </c>
      <c r="B11103" s="7" t="str">
        <f>IFERROR(__xludf.DUMMYFUNCTION("SPLIT(A11103,"" "")"),"CN(Cc1ccccn1)C1=CC=CCN1")</f>
        <v>CN(Cc1ccccn1)C1=CC=CCN1</v>
      </c>
      <c r="C11103" s="7">
        <f>IFERROR(__xludf.DUMMYFUNCTION("""COMPUTED_VALUE"""),7.763288)</f>
        <v>7.763288</v>
      </c>
      <c r="D11103" s="7">
        <f>IFERROR(__xludf.DUMMYFUNCTION("""COMPUTED_VALUE"""),0.488372093023255)</f>
        <v>0.488372093</v>
      </c>
    </row>
    <row r="11104">
      <c r="A11104" s="10" t="s">
        <v>12543</v>
      </c>
      <c r="B11104" s="7" t="str">
        <f>IFERROR(__xludf.DUMMYFUNCTION("SPLIT(A11104,"" "")"),"CCOC(=O)C1C(c2ccccn2)C(c2ncccc2CN(Cc2ccccn2)Cc2ncccc2C)C(CN(C)Cc2ccccn2)N(C)C1c1ccccn1")</f>
        <v>CCOC(=O)C1C(c2ccccn2)C(c2ncccc2CN(Cc2ccccn2)Cc2ncccc2C)C(CN(C)Cc2ccccn2)N(C)C1c1ccccn1</v>
      </c>
      <c r="C11104" s="7">
        <f>IFERROR(__xludf.DUMMYFUNCTION("""COMPUTED_VALUE"""),7.7632837)</f>
        <v>7.7632837</v>
      </c>
      <c r="D11104" s="7">
        <f>IFERROR(__xludf.DUMMYFUNCTION("""COMPUTED_VALUE"""),0.28735632183908)</f>
        <v>0.2873563218</v>
      </c>
    </row>
    <row r="11105">
      <c r="A11105" s="10" t="s">
        <v>12544</v>
      </c>
      <c r="B11105" s="7" t="str">
        <f>IFERROR(__xludf.DUMMYFUNCTION("SPLIT(A11105,"" "")"),"Cc1cc(CN(Cc2ccccn2)C2CCCCC2N(C)c2cccc3ccc(C)nc23)ccn1")</f>
        <v>Cc1cc(CN(Cc2ccccn2)C2CCCCC2N(C)c2cccc3ccc(C)nc23)ccn1</v>
      </c>
      <c r="C11105" s="7">
        <f>IFERROR(__xludf.DUMMYFUNCTION("""COMPUTED_VALUE"""),7.7632775)</f>
        <v>7.7632775</v>
      </c>
      <c r="D11105" s="7">
        <f>IFERROR(__xludf.DUMMYFUNCTION("""COMPUTED_VALUE"""),0.483333333333333)</f>
        <v>0.4833333333</v>
      </c>
    </row>
    <row r="11106">
      <c r="A11106" s="10" t="s">
        <v>12545</v>
      </c>
      <c r="B11106" s="7" t="str">
        <f>IFERROR(__xludf.DUMMYFUNCTION("SPLIT(A11106,"" "")"),"Cc1ccc(CN(Cc2ccccn2)C2=CNC(C(C)(C)C)=CC2)nc1")</f>
        <v>Cc1ccc(CN(Cc2ccccn2)C2=CNC(C(C)(C)C)=CC2)nc1</v>
      </c>
      <c r="C11106" s="7">
        <f>IFERROR(__xludf.DUMMYFUNCTION("""COMPUTED_VALUE"""),7.763274)</f>
        <v>7.763274</v>
      </c>
      <c r="D11106" s="7">
        <f>IFERROR(__xludf.DUMMYFUNCTION("""COMPUTED_VALUE"""),0.381818181818181)</f>
        <v>0.3818181818</v>
      </c>
    </row>
    <row r="11107">
      <c r="A11107" s="10" t="s">
        <v>12546</v>
      </c>
      <c r="B11107" s="7" t="str">
        <f>IFERROR(__xludf.DUMMYFUNCTION("SPLIT(A11107,"" "")"),"Fc1ccnc(CN(Cc2ccc3ncccc3c2)C2CCC(N(Cc3ccccn3)c3ccccc3F)CC2)c1")</f>
        <v>Fc1ccnc(CN(Cc2ccc3ncccc3c2)C2CCC(N(Cc3ccccn3)c3ccccc3F)CC2)c1</v>
      </c>
      <c r="C11107" s="7">
        <f>IFERROR(__xludf.DUMMYFUNCTION("""COMPUTED_VALUE"""),7.7632732)</f>
        <v>7.7632732</v>
      </c>
      <c r="D11107" s="7">
        <f>IFERROR(__xludf.DUMMYFUNCTION("""COMPUTED_VALUE"""),0.298507462686567)</f>
        <v>0.2985074627</v>
      </c>
    </row>
    <row r="11108">
      <c r="A11108" s="10" t="s">
        <v>12547</v>
      </c>
      <c r="B11108" s="7" t="str">
        <f>IFERROR(__xludf.DUMMYFUNCTION("SPLIT(A11108,"" "")"),"CN(Cc1cccc(-c2ccc3c(c2)OCCOCCOCCOCCOCCO3)n1)C1=CCC=C(CN(C)c2ccc3ncccc3c2)N1")</f>
        <v>CN(Cc1cccc(-c2ccc3c(c2)OCCOCCOCCOCCOCCO3)n1)C1=CCC=C(CN(C)c2ccc3ncccc3c2)N1</v>
      </c>
      <c r="C11108" s="7">
        <f>IFERROR(__xludf.DUMMYFUNCTION("""COMPUTED_VALUE"""),7.763271)</f>
        <v>7.763271</v>
      </c>
      <c r="D11108" s="7">
        <f>IFERROR(__xludf.DUMMYFUNCTION("""COMPUTED_VALUE"""),0.289156626506024)</f>
        <v>0.2891566265</v>
      </c>
    </row>
    <row r="11109">
      <c r="A11109" s="10" t="s">
        <v>12548</v>
      </c>
      <c r="B11109" s="7" t="str">
        <f>IFERROR(__xludf.DUMMYFUNCTION("SPLIT(A11109,"" "")"),"CCN(C)CC1=CCC=C(N(C)Cc2ncc(C)cc2C)N1")</f>
        <v>CCN(C)CC1=CCC=C(N(C)Cc2ncc(C)cc2C)N1</v>
      </c>
      <c r="C11109" s="7">
        <f>IFERROR(__xludf.DUMMYFUNCTION("""COMPUTED_VALUE"""),7.76327)</f>
        <v>7.76327</v>
      </c>
      <c r="D11109" s="7">
        <f>IFERROR(__xludf.DUMMYFUNCTION("""COMPUTED_VALUE"""),0.259259259259259)</f>
        <v>0.2592592593</v>
      </c>
    </row>
    <row r="11110">
      <c r="A11110" s="10" t="s">
        <v>12549</v>
      </c>
      <c r="B11110" s="7" t="str">
        <f>IFERROR(__xludf.DUMMYFUNCTION("SPLIT(A11110,"" "")"),"Cc1ccc(CN(C)C2=CNC=CC2CN(C)Cc2ncc(C)c(C)c2C)cn1")</f>
        <v>Cc1ccc(CN(C)C2=CNC=CC2CN(C)Cc2ncc(C)c(C)c2C)cn1</v>
      </c>
      <c r="C11110" s="7">
        <f>IFERROR(__xludf.DUMMYFUNCTION("""COMPUTED_VALUE"""),7.7632613)</f>
        <v>7.7632613</v>
      </c>
      <c r="D11110" s="7">
        <f>IFERROR(__xludf.DUMMYFUNCTION("""COMPUTED_VALUE"""),0.225806451612903)</f>
        <v>0.2258064516</v>
      </c>
    </row>
    <row r="11111">
      <c r="A11111" s="10" t="s">
        <v>12550</v>
      </c>
      <c r="B11111" s="7" t="str">
        <f>IFERROR(__xludf.DUMMYFUNCTION("SPLIT(A11111,"" "")"),"Cc1cc(CN(C)C2CCCC(N(C)c3cccc4nc(CF)ccc34)C2)ccn1")</f>
        <v>Cc1cc(CN(C)C2CCCC(N(C)c3cccc4nc(CF)ccc34)C2)ccn1</v>
      </c>
      <c r="C11111" s="7">
        <f>IFERROR(__xludf.DUMMYFUNCTION("""COMPUTED_VALUE"""),7.7632613)</f>
        <v>7.7632613</v>
      </c>
      <c r="D11111" s="7">
        <f>IFERROR(__xludf.DUMMYFUNCTION("""COMPUTED_VALUE"""),0.367647058823529)</f>
        <v>0.3676470588</v>
      </c>
    </row>
    <row r="11112">
      <c r="A11112" s="10" t="s">
        <v>12551</v>
      </c>
      <c r="B11112" s="7" t="str">
        <f>IFERROR(__xludf.DUMMYFUNCTION("SPLIT(A11112,"" "")"),"CNC1CCC(N(Cc2nc(C)c(C)c(C)c2C)Cc2nc(C)c(C)c(C)c2C)CC1N(Cc1nc(C)c(C)c(C)c1C)Cc1nc(C)c(C)c(C)c1C")</f>
        <v>CNC1CCC(N(Cc2nc(C)c(C)c(C)c2C)Cc2nc(C)c(C)c(C)c2C)CC1N(Cc1nc(C)c(C)c(C)c1C)Cc1nc(C)c(C)c(C)c1C</v>
      </c>
      <c r="C11112" s="7">
        <f>IFERROR(__xludf.DUMMYFUNCTION("""COMPUTED_VALUE"""),7.7632556)</f>
        <v>7.7632556</v>
      </c>
      <c r="D11112" s="7">
        <f>IFERROR(__xludf.DUMMYFUNCTION("""COMPUTED_VALUE"""),0.210526315789473)</f>
        <v>0.2105263158</v>
      </c>
    </row>
    <row r="11113">
      <c r="A11113" s="10" t="s">
        <v>12552</v>
      </c>
      <c r="B11113" s="7" t="str">
        <f>IFERROR(__xludf.DUMMYFUNCTION("SPLIT(A11113,"" "")"),"CN(c1cccc2cccnc12)C1CCCC(N(Cc2ccccn2)Cc2ncccc2F)C1")</f>
        <v>CN(c1cccc2cccnc12)C1CCCC(N(Cc2ccccn2)Cc2ncccc2F)C1</v>
      </c>
      <c r="C11113" s="7">
        <f>IFERROR(__xludf.DUMMYFUNCTION("""COMPUTED_VALUE"""),7.763237)</f>
        <v>7.763237</v>
      </c>
      <c r="D11113" s="7">
        <f>IFERROR(__xludf.DUMMYFUNCTION("""COMPUTED_VALUE"""),0.457627118644067)</f>
        <v>0.4576271186</v>
      </c>
    </row>
    <row r="11114">
      <c r="A11114" s="10" t="s">
        <v>12553</v>
      </c>
      <c r="B11114" s="7" t="str">
        <f>IFERROR(__xludf.DUMMYFUNCTION("SPLIT(A11114,"" "")"),"CC(C)NCc1ncccc1N(C)C")</f>
        <v>CC(C)NCc1ncccc1N(C)C</v>
      </c>
      <c r="C11114" s="7">
        <f>IFERROR(__xludf.DUMMYFUNCTION("""COMPUTED_VALUE"""),7.763222)</f>
        <v>7.763222</v>
      </c>
      <c r="D11114" s="7">
        <f>IFERROR(__xludf.DUMMYFUNCTION("""COMPUTED_VALUE"""),0.357142857142857)</f>
        <v>0.3571428571</v>
      </c>
    </row>
    <row r="11115">
      <c r="A11115" s="10" t="s">
        <v>12554</v>
      </c>
      <c r="B11115" s="7" t="str">
        <f>IFERROR(__xludf.DUMMYFUNCTION("SPLIT(A11115,"" "")"),"Cc1cccc(CN(C)C2=CNC(C(C)N)=CC2)n1")</f>
        <v>Cc1cccc(CN(C)C2=CNC(C(C)N)=CC2)n1</v>
      </c>
      <c r="C11115" s="7">
        <f>IFERROR(__xludf.DUMMYFUNCTION("""COMPUTED_VALUE"""),7.7632217)</f>
        <v>7.7632217</v>
      </c>
      <c r="D11115" s="7">
        <f>IFERROR(__xludf.DUMMYFUNCTION("""COMPUTED_VALUE"""),0.425531914893617)</f>
        <v>0.4255319149</v>
      </c>
    </row>
    <row r="11116">
      <c r="A11116" s="10" t="s">
        <v>12555</v>
      </c>
      <c r="B11116" s="7" t="str">
        <f>IFERROR(__xludf.DUMMYFUNCTION("SPLIT(A11116,"" "")"),"CNCc1nc(CN(Cc2ccccn2)Cc2ncccc2C)c(C)cc1C")</f>
        <v>CNCc1nc(CN(Cc2ccccn2)Cc2ncccc2C)c(C)cc1C</v>
      </c>
      <c r="C11116" s="7">
        <f>IFERROR(__xludf.DUMMYFUNCTION("""COMPUTED_VALUE"""),7.7632217)</f>
        <v>7.7632217</v>
      </c>
      <c r="D11116" s="7">
        <f>IFERROR(__xludf.DUMMYFUNCTION("""COMPUTED_VALUE"""),0.465116279069767)</f>
        <v>0.4651162791</v>
      </c>
    </row>
    <row r="11117">
      <c r="A11117" s="10" t="s">
        <v>12556</v>
      </c>
      <c r="B11117" s="7" t="str">
        <f>IFERROR(__xludf.DUMMYFUNCTION("SPLIT(A11117,"" "")"),"CN(Cc1ccccn1)CC(C)(C)c1ccc(N(C)Cc2ccccn2)cc1")</f>
        <v>CN(Cc1ccccn1)CC(C)(C)c1ccc(N(C)Cc2ccccn2)cc1</v>
      </c>
      <c r="C11117" s="7">
        <f>IFERROR(__xludf.DUMMYFUNCTION("""COMPUTED_VALUE"""),7.763219)</f>
        <v>7.763219</v>
      </c>
      <c r="D11117" s="7">
        <f>IFERROR(__xludf.DUMMYFUNCTION("""COMPUTED_VALUE"""),0.466666666666666)</f>
        <v>0.4666666667</v>
      </c>
    </row>
    <row r="11118">
      <c r="A11118" s="10" t="s">
        <v>12557</v>
      </c>
      <c r="B11118" s="7" t="str">
        <f>IFERROR(__xludf.DUMMYFUNCTION("SPLIT(A11118,"" "")"),"Cc1ccc(CN(Cc2cccc(C)n2)Cc2cccc(C(C)C)n2)nc1")</f>
        <v>Cc1ccc(CN(Cc2cccc(C)n2)Cc2cccc(C(C)C)n2)nc1</v>
      </c>
      <c r="C11118" s="7">
        <f>IFERROR(__xludf.DUMMYFUNCTION("""COMPUTED_VALUE"""),7.7632174)</f>
        <v>7.7632174</v>
      </c>
      <c r="D11118" s="7">
        <f>IFERROR(__xludf.DUMMYFUNCTION("""COMPUTED_VALUE"""),0.431818181818181)</f>
        <v>0.4318181818</v>
      </c>
    </row>
    <row r="11119">
      <c r="A11119" s="10" t="s">
        <v>12558</v>
      </c>
      <c r="B11119" s="7" t="str">
        <f>IFERROR(__xludf.DUMMYFUNCTION("SPLIT(A11119,"" "")"),"Cc1cncc(CN(C)C2CCCC(N(C)CC3=CCC(N(C)c4cccc5ncccc45)=CN3)C2)c1")</f>
        <v>Cc1cncc(CN(C)C2CCCC(N(C)CC3=CCC(N(C)c4cccc5ncccc45)=CN3)C2)c1</v>
      </c>
      <c r="C11119" s="7">
        <f>IFERROR(__xludf.DUMMYFUNCTION("""COMPUTED_VALUE"""),7.7632065)</f>
        <v>7.7632065</v>
      </c>
      <c r="D11119" s="7">
        <f>IFERROR(__xludf.DUMMYFUNCTION("""COMPUTED_VALUE"""),0.28)</f>
        <v>0.28</v>
      </c>
    </row>
    <row r="11120">
      <c r="A11120" s="10" t="s">
        <v>12559</v>
      </c>
      <c r="B11120" s="7" t="str">
        <f>IFERROR(__xludf.DUMMYFUNCTION("SPLIT(A11120,"" "")"),"Cc1ncccc1CN(C)C1CCCC(N(C)c2cccc3ncc(CF)cc23)C1")</f>
        <v>Cc1ncccc1CN(C)C1CCCC(N(C)c2cccc3ncc(CF)cc23)C1</v>
      </c>
      <c r="C11120" s="7">
        <f>IFERROR(__xludf.DUMMYFUNCTION("""COMPUTED_VALUE"""),7.763206)</f>
        <v>7.763206</v>
      </c>
      <c r="D11120" s="7">
        <f>IFERROR(__xludf.DUMMYFUNCTION("""COMPUTED_VALUE"""),0.294117647058823)</f>
        <v>0.2941176471</v>
      </c>
    </row>
    <row r="11121">
      <c r="A11121" s="10" t="s">
        <v>12560</v>
      </c>
      <c r="B11121" s="7" t="str">
        <f>IFERROR(__xludf.DUMMYFUNCTION("SPLIT(A11121,"" "")"),"Cc1cc(CN(C)Cc2ccccn2)ccc1NCc1ccccn1")</f>
        <v>Cc1cc(CN(C)Cc2ccccn2)ccc1NCc1ccccn1</v>
      </c>
      <c r="C11121" s="7">
        <f>IFERROR(__xludf.DUMMYFUNCTION("""COMPUTED_VALUE"""),7.7632017)</f>
        <v>7.7632017</v>
      </c>
      <c r="D11121" s="7">
        <f>IFERROR(__xludf.DUMMYFUNCTION("""COMPUTED_VALUE"""),0.448979591836734)</f>
        <v>0.4489795918</v>
      </c>
    </row>
    <row r="11122">
      <c r="A11122" s="10" t="s">
        <v>12561</v>
      </c>
      <c r="B11122" s="7" t="str">
        <f>IFERROR(__xludf.DUMMYFUNCTION("SPLIT(A11122,"" "")"),"Cc1cc(C2CC(C)(C)C2)nc(CN(Cc2ccccn2)Cc2cccc(C(C)(C)C)n2)c1C")</f>
        <v>Cc1cc(C2CC(C)(C)C2)nc(CN(Cc2ccccn2)Cc2cccc(C(C)(C)C)n2)c1C</v>
      </c>
      <c r="C11122" s="7">
        <f>IFERROR(__xludf.DUMMYFUNCTION("""COMPUTED_VALUE"""),7.7632)</f>
        <v>7.7632</v>
      </c>
      <c r="D11122" s="7">
        <f>IFERROR(__xludf.DUMMYFUNCTION("""COMPUTED_VALUE"""),0.376811594202898)</f>
        <v>0.3768115942</v>
      </c>
    </row>
    <row r="11123">
      <c r="A11123" s="10" t="s">
        <v>12562</v>
      </c>
      <c r="B11123" s="7" t="str">
        <f>IFERROR(__xludf.DUMMYFUNCTION("SPLIT(A11123,"" "")"),"Cc1cc(CN(C)C2CCC(N(C)c3ccc4c(CF)ccnc4c3)CC2)ccn1")</f>
        <v>Cc1cc(CN(C)C2CCC(N(C)c3ccc4c(CF)ccnc4c3)CC2)ccn1</v>
      </c>
      <c r="C11123" s="7">
        <f>IFERROR(__xludf.DUMMYFUNCTION("""COMPUTED_VALUE"""),7.763199)</f>
        <v>7.763199</v>
      </c>
      <c r="D11123" s="7">
        <f>IFERROR(__xludf.DUMMYFUNCTION("""COMPUTED_VALUE"""),0.234375)</f>
        <v>0.234375</v>
      </c>
    </row>
    <row r="11124">
      <c r="A11124" s="10" t="s">
        <v>12563</v>
      </c>
      <c r="B11124" s="7" t="str">
        <f>IFERROR(__xludf.DUMMYFUNCTION("SPLIT(A11124,"" "")"),"Cc1ccc(CN(C)C2=CNC(CN(Cc3ccccn3)C(C)C)=CC2)nc1")</f>
        <v>Cc1ccc(CN(C)C2=CNC(CN(Cc3ccccn3)C(C)C)=CC2)nc1</v>
      </c>
      <c r="C11124" s="7">
        <f>IFERROR(__xludf.DUMMYFUNCTION("""COMPUTED_VALUE"""),7.7631907)</f>
        <v>7.7631907</v>
      </c>
      <c r="D11124" s="7">
        <f>IFERROR(__xludf.DUMMYFUNCTION("""COMPUTED_VALUE"""),0.436363636363636)</f>
        <v>0.4363636364</v>
      </c>
    </row>
    <row r="11125">
      <c r="A11125" s="10" t="s">
        <v>12564</v>
      </c>
      <c r="B11125" s="7" t="str">
        <f>IFERROR(__xludf.DUMMYFUNCTION("SPLIT(A11125,"" "")"),"Cc1nc(CN(C)C2CCCCC2N(Cc2cc([SiH3])c([SiH3])cn2)Cc2nc3ccccc3n2C)c(C)c(C)c1C")</f>
        <v>Cc1nc(CN(C)C2CCCCC2N(Cc2cc([SiH3])c([SiH3])cn2)Cc2nc3ccccc3n2C)c(C)c(C)c1C</v>
      </c>
      <c r="C11125" s="7">
        <f>IFERROR(__xludf.DUMMYFUNCTION("""COMPUTED_VALUE"""),7.7631893)</f>
        <v>7.7631893</v>
      </c>
      <c r="D11125" s="7">
        <f>IFERROR(__xludf.DUMMYFUNCTION("""COMPUTED_VALUE"""),0.366197183098591)</f>
        <v>0.3661971831</v>
      </c>
    </row>
    <row r="11126">
      <c r="A11126" s="10" t="s">
        <v>12565</v>
      </c>
      <c r="B11126" s="7" t="str">
        <f>IFERROR(__xludf.DUMMYFUNCTION("SPLIT(A11126,"" "")"),"Cc1cc(CN(C)C2=CNC(CN(C)C3C=CNC(C(C)C)=C3)=CC2)nc(C)c1C")</f>
        <v>Cc1cc(CN(C)C2=CNC(CN(C)C3C=CNC(C(C)C)=C3)=CC2)nc(C)c1C</v>
      </c>
      <c r="C11126" s="7">
        <f>IFERROR(__xludf.DUMMYFUNCTION("""COMPUTED_VALUE"""),7.7631874)</f>
        <v>7.7631874</v>
      </c>
      <c r="D11126" s="7">
        <f>IFERROR(__xludf.DUMMYFUNCTION("""COMPUTED_VALUE"""),0.236111111111111)</f>
        <v>0.2361111111</v>
      </c>
    </row>
    <row r="11127">
      <c r="A11127" s="10" t="s">
        <v>12566</v>
      </c>
      <c r="B11127" s="7" t="str">
        <f>IFERROR(__xludf.DUMMYFUNCTION("SPLIT(A11127,"" "")"),"Cc1ccnc(CN(C)C2CCCC(N(C)c3cccc4nc(CF)ccc34)C2)c1")</f>
        <v>Cc1ccnc(CN(C)C2CCCC(N(C)c3cccc4nc(CF)ccc34)C2)c1</v>
      </c>
      <c r="C11127" s="7">
        <f>IFERROR(__xludf.DUMMYFUNCTION("""COMPUTED_VALUE"""),7.7631836)</f>
        <v>7.7631836</v>
      </c>
      <c r="D11127" s="7">
        <f>IFERROR(__xludf.DUMMYFUNCTION("""COMPUTED_VALUE"""),0.373134328358209)</f>
        <v>0.3731343284</v>
      </c>
    </row>
    <row r="11128">
      <c r="A11128" s="10" t="s">
        <v>12567</v>
      </c>
      <c r="B11128" s="7" t="str">
        <f>IFERROR(__xludf.DUMMYFUNCTION("SPLIT(A11128,"" "")"),"CNC1CC(N(Cc2nc(C)c(C)c(C)c2C)Cc2nc(C)c(C)c(C)c2C)C(N(C)Cc2cc(C)ccn2)CC1N(Cc1nc(C)c(C)c(C)c1C)Cc1nc(C)c(C)c(C)c1C")</f>
        <v>CNC1CC(N(Cc2nc(C)c(C)c(C)c2C)Cc2nc(C)c(C)c(C)c2C)C(N(C)Cc2cc(C)ccn2)CC1N(Cc1nc(C)c(C)c(C)c1C)Cc1nc(C)c(C)c(C)c1C</v>
      </c>
      <c r="C11128" s="7">
        <f>IFERROR(__xludf.DUMMYFUNCTION("""COMPUTED_VALUE"""),7.76318)</f>
        <v>7.76318</v>
      </c>
      <c r="D11128" s="7">
        <f>IFERROR(__xludf.DUMMYFUNCTION("""COMPUTED_VALUE"""),0.301587301587301)</f>
        <v>0.3015873016</v>
      </c>
    </row>
    <row r="11129">
      <c r="A11129" s="10" t="s">
        <v>12568</v>
      </c>
      <c r="B11129" s="7" t="str">
        <f>IFERROR(__xludf.DUMMYFUNCTION("SPLIT(A11129,"" "")"),"CNc1ccnc(CNCc2cccc(C)n2)c1")</f>
        <v>CNc1ccnc(CNCc2cccc(C)n2)c1</v>
      </c>
      <c r="C11129" s="7">
        <f>IFERROR(__xludf.DUMMYFUNCTION("""COMPUTED_VALUE"""),7.7631793)</f>
        <v>7.7631793</v>
      </c>
      <c r="D11129" s="7">
        <f>IFERROR(__xludf.DUMMYFUNCTION("""COMPUTED_VALUE"""),0.363636363636363)</f>
        <v>0.3636363636</v>
      </c>
    </row>
    <row r="11130">
      <c r="A11130" s="10" t="s">
        <v>12569</v>
      </c>
      <c r="B11130" s="7" t="str">
        <f>IFERROR(__xludf.DUMMYFUNCTION("SPLIT(A11130,"" "")"),"CC1=C(c2ccc(CN(C)Cc3ccccn3)cn2)C2(C=CNC(C(C)C)=C2)CC(C)C1")</f>
        <v>CC1=C(c2ccc(CN(C)Cc3ccccn3)cn2)C2(C=CNC(C(C)C)=C2)CC(C)C1</v>
      </c>
      <c r="C11130" s="7">
        <f>IFERROR(__xludf.DUMMYFUNCTION("""COMPUTED_VALUE"""),7.763178)</f>
        <v>7.763178</v>
      </c>
      <c r="D11130" s="7">
        <f>IFERROR(__xludf.DUMMYFUNCTION("""COMPUTED_VALUE"""),0.319444444444444)</f>
        <v>0.3194444444</v>
      </c>
    </row>
    <row r="11131">
      <c r="A11131" s="10" t="s">
        <v>12570</v>
      </c>
      <c r="B11131" s="7" t="str">
        <f>IFERROR(__xludf.DUMMYFUNCTION("SPLIT(A11131,"" "")"),"CC(C)c1cccc(CN(Cc2ccccn2)C2CCCCC2N(C)c2ccc3nc(CN(C)C)ccc3c2)n1")</f>
        <v>CC(C)c1cccc(CN(Cc2ccccn2)C2CCCCC2N(C)c2ccc3nc(CN(C)C)ccc3c2)n1</v>
      </c>
      <c r="C11131" s="7">
        <f>IFERROR(__xludf.DUMMYFUNCTION("""COMPUTED_VALUE"""),7.763177)</f>
        <v>7.763177</v>
      </c>
      <c r="D11131" s="7">
        <f>IFERROR(__xludf.DUMMYFUNCTION("""COMPUTED_VALUE"""),0.419354838709677)</f>
        <v>0.4193548387</v>
      </c>
    </row>
    <row r="11132">
      <c r="A11132" s="10" t="s">
        <v>12571</v>
      </c>
      <c r="B11132" s="7" t="str">
        <f>IFERROR(__xludf.DUMMYFUNCTION("SPLIT(A11132,"" "")"),"CCNCc1cc(CN(Cc2cc(C(C)(C)c3ccccn3)ccn2)Cc2ncccc2C)ccn1")</f>
        <v>CCNCc1cc(CN(Cc2cc(C(C)(C)c3ccccn3)ccn2)Cc2ncccc2C)ccn1</v>
      </c>
      <c r="C11132" s="7">
        <f>IFERROR(__xludf.DUMMYFUNCTION("""COMPUTED_VALUE"""),7.763176)</f>
        <v>7.763176</v>
      </c>
      <c r="D11132" s="7">
        <f>IFERROR(__xludf.DUMMYFUNCTION("""COMPUTED_VALUE"""),0.310344827586206)</f>
        <v>0.3103448276</v>
      </c>
    </row>
    <row r="11133">
      <c r="A11133" s="10" t="s">
        <v>12572</v>
      </c>
      <c r="B11133" s="7" t="str">
        <f>IFERROR(__xludf.DUMMYFUNCTION("SPLIT(A11133,"" "")"),"CN(c1ccc2nc(CF)ccc2c1)C1CCCCC1N(Cc1ccccn1)Cc1ccon1")</f>
        <v>CN(c1ccc2nc(CF)ccc2c1)C1CCCCC1N(Cc1ccccn1)Cc1ccon1</v>
      </c>
      <c r="C11133" s="7">
        <f>IFERROR(__xludf.DUMMYFUNCTION("""COMPUTED_VALUE"""),7.763169)</f>
        <v>7.763169</v>
      </c>
      <c r="D11133" s="7">
        <f>IFERROR(__xludf.DUMMYFUNCTION("""COMPUTED_VALUE"""),0.412698412698412)</f>
        <v>0.4126984127</v>
      </c>
    </row>
    <row r="11134">
      <c r="A11134" s="10" t="s">
        <v>12573</v>
      </c>
      <c r="B11134" s="7" t="str">
        <f>IFERROR(__xludf.DUMMYFUNCTION("SPLIT(A11134,"" "")"),"Cc1ccnc(CN(Cc2cccc(F)n2)Cc2cccnc2F)c1C")</f>
        <v>Cc1ccnc(CN(Cc2cccc(F)n2)Cc2cccnc2F)c1C</v>
      </c>
      <c r="C11134" s="7">
        <f>IFERROR(__xludf.DUMMYFUNCTION("""COMPUTED_VALUE"""),7.7631655)</f>
        <v>7.7631655</v>
      </c>
      <c r="D11134" s="7">
        <f>IFERROR(__xludf.DUMMYFUNCTION("""COMPUTED_VALUE"""),0.369230769230769)</f>
        <v>0.3692307692</v>
      </c>
    </row>
    <row r="11135">
      <c r="A11135" s="10" t="s">
        <v>12574</v>
      </c>
      <c r="B11135" s="7" t="str">
        <f>IFERROR(__xludf.DUMMYFUNCTION("SPLIT(A11135,"" "")"),"Cc1ccc(CN(Cc2ccccn2)C2CCCC(N(C)c3ccc4ccc(CF)nc4c3)C2)nc1")</f>
        <v>Cc1ccc(CN(Cc2ccccn2)C2CCCC(N(C)c3ccc4ccc(CF)nc4c3)C2)nc1</v>
      </c>
      <c r="C11135" s="7">
        <f>IFERROR(__xludf.DUMMYFUNCTION("""COMPUTED_VALUE"""),7.7631555)</f>
        <v>7.7631555</v>
      </c>
      <c r="D11135" s="7">
        <f>IFERROR(__xludf.DUMMYFUNCTION("""COMPUTED_VALUE"""),0.375)</f>
        <v>0.375</v>
      </c>
    </row>
    <row r="11136">
      <c r="A11136" s="10" t="s">
        <v>12575</v>
      </c>
      <c r="B11136" s="7" t="str">
        <f>IFERROR(__xludf.DUMMYFUNCTION("SPLIT(A11136,"" "")"),"Cc1c(CN(C)Cc2cccnn2)cccc1NCc1ccccn1")</f>
        <v>Cc1c(CN(C)Cc2cccnn2)cccc1NCc1ccccn1</v>
      </c>
      <c r="C11136" s="7">
        <f>IFERROR(__xludf.DUMMYFUNCTION("""COMPUTED_VALUE"""),7.763155)</f>
        <v>7.763155</v>
      </c>
      <c r="D11136" s="7">
        <f>IFERROR(__xludf.DUMMYFUNCTION("""COMPUTED_VALUE"""),0.46938775510204)</f>
        <v>0.4693877551</v>
      </c>
    </row>
    <row r="11137">
      <c r="A11137" s="10" t="s">
        <v>12576</v>
      </c>
      <c r="B11137" s="7" t="str">
        <f>IFERROR(__xludf.DUMMYFUNCTION("SPLIT(A11137,"" "")"),"CCOC(=O)C1CC(c2ccccn2)C(c2cccc(CN(Cc3ccccn3)Cc3ccccn3)n2)N(C)C1c1ccccn1")</f>
        <v>CCOC(=O)C1CC(c2ccccn2)C(c2cccc(CN(Cc3ccccn3)Cc3ccccn3)n2)N(C)C1c1ccccn1</v>
      </c>
      <c r="C11137" s="7">
        <f>IFERROR(__xludf.DUMMYFUNCTION("""COMPUTED_VALUE"""),7.7631536)</f>
        <v>7.7631536</v>
      </c>
      <c r="D11137" s="7">
        <f>IFERROR(__xludf.DUMMYFUNCTION("""COMPUTED_VALUE"""),0.366197183098591)</f>
        <v>0.3661971831</v>
      </c>
    </row>
    <row r="11138">
      <c r="A11138" s="10" t="s">
        <v>12577</v>
      </c>
      <c r="B11138" s="7" t="str">
        <f>IFERROR(__xludf.DUMMYFUNCTION("SPLIT(A11138,"" "")"),"Cc1ccc(CN(C)C2CCCC(N(C)Cc3ccccn3)C2N(Cc2ccccn2)c2cccc3nc(CF)ccc23)nc1")</f>
        <v>Cc1ccc(CN(C)C2CCCC(N(C)Cc3ccccn3)C2N(Cc2ccccn2)c2cccc3nc(CF)ccc23)nc1</v>
      </c>
      <c r="C11138" s="7">
        <f>IFERROR(__xludf.DUMMYFUNCTION("""COMPUTED_VALUE"""),7.7631536)</f>
        <v>7.7631536</v>
      </c>
      <c r="D11138" s="7">
        <f>IFERROR(__xludf.DUMMYFUNCTION("""COMPUTED_VALUE"""),0.46774193548387)</f>
        <v>0.4677419355</v>
      </c>
    </row>
    <row r="11139">
      <c r="A11139" s="10" t="s">
        <v>12578</v>
      </c>
      <c r="B11139" s="7" t="str">
        <f>IFERROR(__xludf.DUMMYFUNCTION("SPLIT(A11139,"" "")"),"Cc1cccnc1CN(Cc1ccccn1)C1CC(N(C)c2ccc3ncccc3c2)CCC1N(C)Cc1ccccn1")</f>
        <v>Cc1cccnc1CN(Cc1ccccn1)C1CC(N(C)c2ccc3ncccc3c2)CCC1N(C)Cc1ccccn1</v>
      </c>
      <c r="C11139" s="7">
        <f>IFERROR(__xludf.DUMMYFUNCTION("""COMPUTED_VALUE"""),7.7631507)</f>
        <v>7.7631507</v>
      </c>
      <c r="D11139" s="7">
        <f>IFERROR(__xludf.DUMMYFUNCTION("""COMPUTED_VALUE"""),0.435483870967741)</f>
        <v>0.435483871</v>
      </c>
    </row>
    <row r="11140">
      <c r="A11140" s="10" t="s">
        <v>12579</v>
      </c>
      <c r="B11140" s="7" t="str">
        <f>IFERROR(__xludf.DUMMYFUNCTION("SPLIT(A11140,"" "")"),"Cc1cc(C)c(CN(C)Cc2ncccc2C)cn1")</f>
        <v>Cc1cc(C)c(CN(C)Cc2ncccc2C)cn1</v>
      </c>
      <c r="C11140" s="7">
        <f>IFERROR(__xludf.DUMMYFUNCTION("""COMPUTED_VALUE"""),7.763149)</f>
        <v>7.763149</v>
      </c>
      <c r="D11140" s="7">
        <f>IFERROR(__xludf.DUMMYFUNCTION("""COMPUTED_VALUE"""),0.361702127659574)</f>
        <v>0.3617021277</v>
      </c>
    </row>
    <row r="11141">
      <c r="A11141" s="10" t="s">
        <v>12580</v>
      </c>
      <c r="B11141" s="7" t="str">
        <f>IFERROR(__xludf.DUMMYFUNCTION("SPLIT(A11141,"" "")"),"Cc1cccc(CN(Cc2ccccn2)Cc2cccc(CN(Cc3cc(C(C)(C)c4ccccn4)ccn3)Cc3cccc(C4CC(N)C4C)n3)n2)n1")</f>
        <v>Cc1cccc(CN(Cc2ccccn2)Cc2cccc(CN(Cc3cc(C(C)(C)c4ccccn4)ccn3)Cc3cccc(C4CC(N)C4C)n3)n2)n1</v>
      </c>
      <c r="C11141" s="7">
        <f>IFERROR(__xludf.DUMMYFUNCTION("""COMPUTED_VALUE"""),7.7631464)</f>
        <v>7.7631464</v>
      </c>
      <c r="D11141" s="7">
        <f>IFERROR(__xludf.DUMMYFUNCTION("""COMPUTED_VALUE"""),0.342105263157894)</f>
        <v>0.3421052632</v>
      </c>
    </row>
    <row r="11142">
      <c r="A11142" s="10" t="s">
        <v>12581</v>
      </c>
      <c r="B11142" s="7" t="str">
        <f>IFERROR(__xludf.DUMMYFUNCTION("SPLIT(A11142,"" "")"),"CN(O)C1=C(CN(C)C2=CCC=CN2)NC=CC1")</f>
        <v>CN(O)C1=C(CN(C)C2=CCC=CN2)NC=CC1</v>
      </c>
      <c r="C11142" s="7">
        <f>IFERROR(__xludf.DUMMYFUNCTION("""COMPUTED_VALUE"""),7.763146)</f>
        <v>7.763146</v>
      </c>
      <c r="D11142" s="7">
        <f>IFERROR(__xludf.DUMMYFUNCTION("""COMPUTED_VALUE"""),0.267857142857142)</f>
        <v>0.2678571429</v>
      </c>
    </row>
    <row r="11143">
      <c r="A11143" s="10" t="s">
        <v>12582</v>
      </c>
      <c r="B11143" s="7" t="str">
        <f>IFERROR(__xludf.DUMMYFUNCTION("SPLIT(A11143,"" "")"),"CN1CCN(C)CCN(Cc2cccnc2N(C)c2cccc3ncccc23)CC1")</f>
        <v>CN1CCN(C)CCN(Cc2cccnc2N(C)c2cccc3ncccc23)CC1</v>
      </c>
      <c r="C11143" s="7">
        <f>IFERROR(__xludf.DUMMYFUNCTION("""COMPUTED_VALUE"""),7.76314)</f>
        <v>7.76314</v>
      </c>
      <c r="D11143" s="7">
        <f>IFERROR(__xludf.DUMMYFUNCTION("""COMPUTED_VALUE"""),0.411764705882352)</f>
        <v>0.4117647059</v>
      </c>
    </row>
    <row r="11144">
      <c r="A11144" s="10" t="s">
        <v>12583</v>
      </c>
      <c r="B11144" s="7" t="str">
        <f>IFERROR(__xludf.DUMMYFUNCTION("SPLIT(A11144,"" "")"),"Cc1cnccc1CN(C)C1CCC(N(C)c2ccc3cc(CN(C)C)cnc3c2)CC1")</f>
        <v>Cc1cnccc1CN(C)C1CCC(N(C)c2ccc3cc(CN(C)C)cnc3c2)CC1</v>
      </c>
      <c r="C11144" s="7">
        <f>IFERROR(__xludf.DUMMYFUNCTION("""COMPUTED_VALUE"""),7.76314)</f>
        <v>7.76314</v>
      </c>
      <c r="D11144" s="7">
        <f>IFERROR(__xludf.DUMMYFUNCTION("""COMPUTED_VALUE"""),0.242424242424242)</f>
        <v>0.2424242424</v>
      </c>
    </row>
    <row r="11145">
      <c r="A11145" s="10" t="s">
        <v>12584</v>
      </c>
      <c r="B11145" s="7" t="str">
        <f>IFERROR(__xludf.DUMMYFUNCTION("SPLIT(A11145,"" "")"),"Cc1ccnc(C)c1CN(C)C1CCCCC1N(C)c1ccc2cccnc2c1")</f>
        <v>Cc1ccnc(C)c1CN(C)C1CCCCC1N(C)c1ccc2cccnc2c1</v>
      </c>
      <c r="C11145" s="7">
        <f>IFERROR(__xludf.DUMMYFUNCTION("""COMPUTED_VALUE"""),7.7631364)</f>
        <v>7.7631364</v>
      </c>
      <c r="D11145" s="7">
        <f>IFERROR(__xludf.DUMMYFUNCTION("""COMPUTED_VALUE"""),0.413793103448275)</f>
        <v>0.4137931034</v>
      </c>
    </row>
    <row r="11146">
      <c r="A11146" s="10" t="s">
        <v>12585</v>
      </c>
      <c r="B11146" s="7" t="str">
        <f>IFERROR(__xludf.DUMMYFUNCTION("SPLIT(A11146,"" "")"),"CC(C)N(Cc1ccccn1)C1=C(CN(Cc2ccccn2)Cc2cccc(F)n2)NC=CC1")</f>
        <v>CC(C)N(Cc1ccccn1)C1=C(CN(Cc2ccccn2)Cc2cccc(F)n2)NC=CC1</v>
      </c>
      <c r="C11146" s="7">
        <f>IFERROR(__xludf.DUMMYFUNCTION("""COMPUTED_VALUE"""),7.763135)</f>
        <v>7.763135</v>
      </c>
      <c r="D11146" s="7">
        <f>IFERROR(__xludf.DUMMYFUNCTION("""COMPUTED_VALUE"""),0.433333333333333)</f>
        <v>0.4333333333</v>
      </c>
    </row>
    <row r="11147">
      <c r="A11147" s="10" t="s">
        <v>12586</v>
      </c>
      <c r="B11147" s="7" t="str">
        <f>IFERROR(__xludf.DUMMYFUNCTION("SPLIT(A11147,"" "")"),"Cc1cccnc1CN(Cc1ccccn1)C1CCC(N(C)c2cccc3cccnc23)CC1")</f>
        <v>Cc1cccnc1CN(Cc1ccccn1)C1CCC(N(C)c2cccc3cccnc23)CC1</v>
      </c>
      <c r="C11147" s="7">
        <f>IFERROR(__xludf.DUMMYFUNCTION("""COMPUTED_VALUE"""),7.763134)</f>
        <v>7.763134</v>
      </c>
      <c r="D11147" s="7">
        <f>IFERROR(__xludf.DUMMYFUNCTION("""COMPUTED_VALUE"""),0.464285714285714)</f>
        <v>0.4642857143</v>
      </c>
    </row>
    <row r="11148">
      <c r="A11148" s="10" t="s">
        <v>12587</v>
      </c>
      <c r="B11148" s="7" t="str">
        <f>IFERROR(__xludf.DUMMYFUNCTION("SPLIT(A11148,"" "")"),"CN(Cc1ccc2c(n1)CCC2)C1CCCCC1N(C)c1ccc2nc3c(cc2c1)CCC3")</f>
        <v>CN(Cc1ccc2c(n1)CCC2)C1CCCCC1N(C)c1ccc2nc3c(cc2c1)CCC3</v>
      </c>
      <c r="C11148" s="7">
        <f>IFERROR(__xludf.DUMMYFUNCTION("""COMPUTED_VALUE"""),7.763128)</f>
        <v>7.763128</v>
      </c>
      <c r="D11148" s="7">
        <f>IFERROR(__xludf.DUMMYFUNCTION("""COMPUTED_VALUE"""),0.47457627118644)</f>
        <v>0.4745762712</v>
      </c>
    </row>
    <row r="11149">
      <c r="A11149" s="10" t="s">
        <v>12588</v>
      </c>
      <c r="B11149" s="7" t="str">
        <f>IFERROR(__xludf.DUMMYFUNCTION("SPLIT(A11149,"" "")"),"Cc1ccc(CN(C)Cc2ncc(C)c(C)c2C)cc1")</f>
        <v>Cc1ccc(CN(C)Cc2ncc(C)c(C)c2C)cc1</v>
      </c>
      <c r="C11149" s="7">
        <f>IFERROR(__xludf.DUMMYFUNCTION("""COMPUTED_VALUE"""),7.763126)</f>
        <v>7.763126</v>
      </c>
      <c r="D11149" s="7">
        <f>IFERROR(__xludf.DUMMYFUNCTION("""COMPUTED_VALUE"""),0.4)</f>
        <v>0.4</v>
      </c>
    </row>
    <row r="11150">
      <c r="A11150" s="10" t="s">
        <v>12589</v>
      </c>
      <c r="B11150" s="7" t="str">
        <f>IFERROR(__xludf.DUMMYFUNCTION("SPLIT(A11150,"" "")"),"Cc1ccnc(CN(Cc2ccc(F)cn2)Cc2ncccc2F)c1C")</f>
        <v>Cc1ccnc(CN(Cc2ccc(F)cn2)Cc2ncccc2F)c1C</v>
      </c>
      <c r="C11150" s="7">
        <f>IFERROR(__xludf.DUMMYFUNCTION("""COMPUTED_VALUE"""),7.7631254)</f>
        <v>7.7631254</v>
      </c>
      <c r="D11150" s="7">
        <f>IFERROR(__xludf.DUMMYFUNCTION("""COMPUTED_VALUE"""),0.347826086956521)</f>
        <v>0.347826087</v>
      </c>
    </row>
    <row r="11151">
      <c r="A11151" s="10" t="s">
        <v>12590</v>
      </c>
      <c r="B11151" s="7" t="str">
        <f>IFERROR(__xludf.DUMMYFUNCTION("SPLIT(A11151,"" "")"),"Cc1cnc(CN(C)C2=CNC=CC2CN(C)Cc2ccccn2)c(C)c1")</f>
        <v>Cc1cnc(CN(C)C2=CNC=CC2CN(C)Cc2ccccn2)c(C)c1</v>
      </c>
      <c r="C11151" s="7">
        <f>IFERROR(__xludf.DUMMYFUNCTION("""COMPUTED_VALUE"""),7.7631173)</f>
        <v>7.7631173</v>
      </c>
      <c r="D11151" s="7">
        <f>IFERROR(__xludf.DUMMYFUNCTION("""COMPUTED_VALUE"""),0.347826086956521)</f>
        <v>0.347826087</v>
      </c>
    </row>
    <row r="11152">
      <c r="A11152" s="10" t="s">
        <v>12591</v>
      </c>
      <c r="B11152" s="7" t="str">
        <f>IFERROR(__xludf.DUMMYFUNCTION("SPLIT(A11152,"" "")"),"Cc1ccc(CN(C)CC2=CC(N(C)Cc3nc(C)c(C)cc3C)C=CN2)nc1C")</f>
        <v>Cc1ccc(CN(C)CC2=CC(N(C)Cc3nc(C)c(C)cc3C)C=CN2)nc1C</v>
      </c>
      <c r="C11152" s="7">
        <f>IFERROR(__xludf.DUMMYFUNCTION("""COMPUTED_VALUE"""),7.7631154)</f>
        <v>7.7631154</v>
      </c>
      <c r="D11152" s="7">
        <f>IFERROR(__xludf.DUMMYFUNCTION("""COMPUTED_VALUE"""),0.301587301587301)</f>
        <v>0.3015873016</v>
      </c>
    </row>
    <row r="11153">
      <c r="A11153" s="10" t="s">
        <v>12592</v>
      </c>
      <c r="B11153" s="7" t="str">
        <f>IFERROR(__xludf.DUMMYFUNCTION("SPLIT(A11153,"" "")"),"CNCC1=C(N(C)Cc2cccc(C)n2)CC=CN1")</f>
        <v>CNCC1=C(N(C)Cc2cccc(C)n2)CC=CN1</v>
      </c>
      <c r="C11153" s="7">
        <f>IFERROR(__xludf.DUMMYFUNCTION("""COMPUTED_VALUE"""),7.7631073)</f>
        <v>7.7631073</v>
      </c>
      <c r="D11153" s="7">
        <f>IFERROR(__xludf.DUMMYFUNCTION("""COMPUTED_VALUE"""),0.416666666666666)</f>
        <v>0.4166666667</v>
      </c>
    </row>
    <row r="11154">
      <c r="A11154" s="10" t="s">
        <v>12593</v>
      </c>
      <c r="B11154" s="7" t="str">
        <f>IFERROR(__xludf.DUMMYFUNCTION("SPLIT(A11154,"" "")"),"Cc1ccc(CN(Cc2ccc(C(C)(c3cccnc3)C(C)N)nc2)Cc2ccccn2)nc1")</f>
        <v>Cc1ccc(CN(Cc2ccc(C(C)(c3cccnc3)C(C)N)nc2)Cc2ccccn2)nc1</v>
      </c>
      <c r="C11154" s="7">
        <f>IFERROR(__xludf.DUMMYFUNCTION("""COMPUTED_VALUE"""),7.7631063)</f>
        <v>7.7631063</v>
      </c>
      <c r="D11154" s="7">
        <f>IFERROR(__xludf.DUMMYFUNCTION("""COMPUTED_VALUE"""),0.357142857142857)</f>
        <v>0.3571428571</v>
      </c>
    </row>
    <row r="11155">
      <c r="A11155" s="10" t="s">
        <v>12594</v>
      </c>
      <c r="B11155" s="7" t="str">
        <f>IFERROR(__xludf.DUMMYFUNCTION("SPLIT(A11155,"" "")"),"CN(Cc1ccccn1)c1cccc(C(C)(C)CN(Cc2ccccn2)Cc2ccccn2)c1")</f>
        <v>CN(Cc1ccccn1)c1cccc(C(C)(C)CN(Cc2ccccn2)Cc2ccccn2)c1</v>
      </c>
      <c r="C11155" s="7">
        <f>IFERROR(__xludf.DUMMYFUNCTION("""COMPUTED_VALUE"""),7.7631035)</f>
        <v>7.7631035</v>
      </c>
      <c r="D11155" s="7">
        <f>IFERROR(__xludf.DUMMYFUNCTION("""COMPUTED_VALUE"""),0.5)</f>
        <v>0.5</v>
      </c>
    </row>
    <row r="11156">
      <c r="A11156" s="10" t="s">
        <v>12595</v>
      </c>
      <c r="B11156" s="7" t="str">
        <f>IFERROR(__xludf.DUMMYFUNCTION("SPLIT(A11156,"" "")"),"CC(C)c1cccc(CN(Cc2ccccn2)C2CCC(N(C)c3ccc4ncc(CF)cc4c3)CC2)n1")</f>
        <v>CC(C)c1cccc(CN(Cc2ccccn2)C2CCC(N(C)c3ccc4ncc(CF)cc4c3)CC2)n1</v>
      </c>
      <c r="C11156" s="7">
        <f>IFERROR(__xludf.DUMMYFUNCTION("""COMPUTED_VALUE"""),7.7631006)</f>
        <v>7.7631006</v>
      </c>
      <c r="D11156" s="7">
        <f>IFERROR(__xludf.DUMMYFUNCTION("""COMPUTED_VALUE"""),0.333333333333333)</f>
        <v>0.3333333333</v>
      </c>
    </row>
    <row r="11157">
      <c r="A11157" s="10" t="s">
        <v>12596</v>
      </c>
      <c r="B11157" s="7" t="str">
        <f>IFERROR(__xludf.DUMMYFUNCTION("SPLIT(A11157,"" "")"),"CCN(Cc1ccccn1)Cc1ccc2cccc(N(Cc3ccccn3)C3CCC(N(C)Cc4ccon4)CC3)c2n1")</f>
        <v>CCN(Cc1ccccn1)Cc1ccc2cccc(N(Cc3ccccn3)C3CCC(N(C)Cc4ccon4)CC3)c2n1</v>
      </c>
      <c r="C11157" s="7">
        <f>IFERROR(__xludf.DUMMYFUNCTION("""COMPUTED_VALUE"""),7.7630997)</f>
        <v>7.7630997</v>
      </c>
      <c r="D11157" s="7">
        <f>IFERROR(__xludf.DUMMYFUNCTION("""COMPUTED_VALUE"""),0.363636363636363)</f>
        <v>0.3636363636</v>
      </c>
    </row>
    <row r="11158">
      <c r="A11158" s="10" t="s">
        <v>12597</v>
      </c>
      <c r="B11158" s="7" t="str">
        <f>IFERROR(__xludf.DUMMYFUNCTION("SPLIT(A11158,"" "")"),"Cc1cc(CN(C)Cc2cc(N)c(C)cn2)ccn1")</f>
        <v>Cc1cc(CN(C)Cc2cc(N)c(C)cn2)ccn1</v>
      </c>
      <c r="C11158" s="7">
        <f>IFERROR(__xludf.DUMMYFUNCTION("""COMPUTED_VALUE"""),7.7630916)</f>
        <v>7.7630916</v>
      </c>
      <c r="D11158" s="7">
        <f>IFERROR(__xludf.DUMMYFUNCTION("""COMPUTED_VALUE"""),0.377777777777777)</f>
        <v>0.3777777778</v>
      </c>
    </row>
    <row r="11159">
      <c r="A11159" s="10" t="s">
        <v>12598</v>
      </c>
      <c r="B11159" s="7" t="str">
        <f>IFERROR(__xludf.DUMMYFUNCTION("SPLIT(A11159,"" "")"),"Cc1ccnc(CN(C)Cc2cccnc2C)c1C")</f>
        <v>Cc1ccnc(CN(C)Cc2cccnc2C)c1C</v>
      </c>
      <c r="C11159" s="7">
        <f>IFERROR(__xludf.DUMMYFUNCTION("""COMPUTED_VALUE"""),7.763085)</f>
        <v>7.763085</v>
      </c>
      <c r="D11159" s="7">
        <f>IFERROR(__xludf.DUMMYFUNCTION("""COMPUTED_VALUE"""),0.4)</f>
        <v>0.4</v>
      </c>
    </row>
    <row r="11160">
      <c r="A11160" s="10" t="s">
        <v>12599</v>
      </c>
      <c r="B11160" s="7" t="str">
        <f>IFERROR(__xludf.DUMMYFUNCTION("SPLIT(A11160,"" "")"),"CN(C)Cc1ccnc2cc(N(C)C3CCC(N(C)Cc4ccccn4)CC3)ccc12")</f>
        <v>CN(C)Cc1ccnc2cc(N(C)C3CCC(N(C)Cc4ccccn4)CC3)ccc12</v>
      </c>
      <c r="C11160" s="7">
        <f>IFERROR(__xludf.DUMMYFUNCTION("""COMPUTED_VALUE"""),7.763084)</f>
        <v>7.763084</v>
      </c>
      <c r="D11160" s="7">
        <f>IFERROR(__xludf.DUMMYFUNCTION("""COMPUTED_VALUE"""),0.444444444444444)</f>
        <v>0.4444444444</v>
      </c>
    </row>
    <row r="11161">
      <c r="A11161" s="10" t="s">
        <v>12600</v>
      </c>
      <c r="B11161" s="7" t="str">
        <f>IFERROR(__xludf.DUMMYFUNCTION("SPLIT(A11161,"" "")"),"Cc1ccccc1CNCc1ccc(C(C)(C)c2ccccn2)cn1")</f>
        <v>Cc1ccccc1CNCc1ccc(C(C)(C)c2ccccn2)cn1</v>
      </c>
      <c r="C11161" s="7">
        <f>IFERROR(__xludf.DUMMYFUNCTION("""COMPUTED_VALUE"""),7.763083)</f>
        <v>7.763083</v>
      </c>
      <c r="D11161" s="7">
        <f>IFERROR(__xludf.DUMMYFUNCTION("""COMPUTED_VALUE"""),0.361702127659574)</f>
        <v>0.3617021277</v>
      </c>
    </row>
    <row r="11162">
      <c r="A11162" s="10" t="s">
        <v>12601</v>
      </c>
      <c r="B11162" s="7" t="str">
        <f>IFERROR(__xludf.DUMMYFUNCTION("SPLIT(A11162,"" "")"),"Cc1cc(CN(C)C2CCC(N(C)c3ccc4nccc(CF)c4c3)CC2)ccn1")</f>
        <v>Cc1cc(CN(C)C2CCC(N(C)c3ccc4nccc(CF)c4c3)CC2)ccn1</v>
      </c>
      <c r="C11162" s="7">
        <f>IFERROR(__xludf.DUMMYFUNCTION("""COMPUTED_VALUE"""),7.7630796)</f>
        <v>7.7630796</v>
      </c>
      <c r="D11162" s="7">
        <f>IFERROR(__xludf.DUMMYFUNCTION("""COMPUTED_VALUE"""),0.23076923076923)</f>
        <v>0.2307692308</v>
      </c>
    </row>
    <row r="11163">
      <c r="A11163" s="10" t="s">
        <v>12602</v>
      </c>
      <c r="B11163" s="7" t="str">
        <f>IFERROR(__xludf.DUMMYFUNCTION("SPLIT(A11163,"" "")"),"CNC1C(N(C)Cc2cc(C)ccn2)CCCC1N(Cc1ncccc1C)c1ccc2nc(CF)ccc2c1")</f>
        <v>CNC1C(N(C)Cc2cc(C)ccn2)CCCC1N(Cc1ncccc1C)c1ccc2nc(CF)ccc2c1</v>
      </c>
      <c r="C11163" s="7">
        <f>IFERROR(__xludf.DUMMYFUNCTION("""COMPUTED_VALUE"""),7.763076)</f>
        <v>7.763076</v>
      </c>
      <c r="D11163" s="7">
        <f>IFERROR(__xludf.DUMMYFUNCTION("""COMPUTED_VALUE"""),0.328767123287671)</f>
        <v>0.3287671233</v>
      </c>
    </row>
    <row r="11164">
      <c r="A11164" s="10" t="s">
        <v>12603</v>
      </c>
      <c r="B11164" s="7" t="str">
        <f>IFERROR(__xludf.DUMMYFUNCTION("SPLIT(A11164,"" "")"),"Cc1cnc(CN(C)C2C=CNC(CN(C)Cc3cnc(C)c(C)c3)=C2)c(C)c1")</f>
        <v>Cc1cnc(CN(C)C2C=CNC(CN(C)Cc3cnc(C)c(C)c3)=C2)c(C)c1</v>
      </c>
      <c r="C11164" s="7">
        <f>IFERROR(__xludf.DUMMYFUNCTION("""COMPUTED_VALUE"""),7.763074)</f>
        <v>7.763074</v>
      </c>
      <c r="D11164" s="7">
        <f>IFERROR(__xludf.DUMMYFUNCTION("""COMPUTED_VALUE"""),0.292307692307692)</f>
        <v>0.2923076923</v>
      </c>
    </row>
    <row r="11165">
      <c r="A11165" s="10" t="s">
        <v>12604</v>
      </c>
      <c r="B11165" s="7" t="str">
        <f>IFERROR(__xludf.DUMMYFUNCTION("SPLIT(A11165,"" "")"),"CN(Cc1ccccn1)c1cccc(CN(C)C(C)(C)c2cccnc2)c1")</f>
        <v>CN(Cc1ccccn1)c1cccc(CN(C)C(C)(C)c2cccnc2)c1</v>
      </c>
      <c r="C11165" s="7">
        <f>IFERROR(__xludf.DUMMYFUNCTION("""COMPUTED_VALUE"""),7.76307)</f>
        <v>7.76307</v>
      </c>
      <c r="D11165" s="7">
        <f>IFERROR(__xludf.DUMMYFUNCTION("""COMPUTED_VALUE"""),0.415094339622641)</f>
        <v>0.4150943396</v>
      </c>
    </row>
    <row r="11166">
      <c r="A11166" s="10" t="s">
        <v>12605</v>
      </c>
      <c r="B11166" s="7" t="str">
        <f>IFERROR(__xludf.DUMMYFUNCTION("SPLIT(A11166,"" "")"),"Cc1ccc2c(CN(C)CCN(C)C(C)C)ccnc2c1")</f>
        <v>Cc1ccc2c(CN(C)CCN(C)C(C)C)ccnc2c1</v>
      </c>
      <c r="C11166" s="7">
        <f>IFERROR(__xludf.DUMMYFUNCTION("""COMPUTED_VALUE"""),7.7630672)</f>
        <v>7.7630672</v>
      </c>
      <c r="D11166" s="7">
        <f>IFERROR(__xludf.DUMMYFUNCTION("""COMPUTED_VALUE"""),0.369565217391304)</f>
        <v>0.3695652174</v>
      </c>
    </row>
    <row r="11167">
      <c r="A11167" s="10" t="s">
        <v>12606</v>
      </c>
      <c r="B11167" s="7" t="str">
        <f>IFERROR(__xludf.DUMMYFUNCTION("SPLIT(A11167,"" "")"),"Cc1ncccc1CN(C)C1CCC(N(Cc2ccccn2)c2ccc3nc(CF)ccc3c2)CC1")</f>
        <v>Cc1ncccc1CN(C)C1CCC(N(Cc2ccccn2)c2ccc3nc(CF)ccc3c2)CC1</v>
      </c>
      <c r="C11167" s="7">
        <f>IFERROR(__xludf.DUMMYFUNCTION("""COMPUTED_VALUE"""),7.7630644)</f>
        <v>7.7630644</v>
      </c>
      <c r="D11167" s="7">
        <f>IFERROR(__xludf.DUMMYFUNCTION("""COMPUTED_VALUE"""),0.359375)</f>
        <v>0.359375</v>
      </c>
    </row>
    <row r="11168">
      <c r="A11168" s="10" t="s">
        <v>12607</v>
      </c>
      <c r="B11168" s="7" t="str">
        <f>IFERROR(__xludf.DUMMYFUNCTION("SPLIT(A11168,"" "")"),"Cc1ccc(CN(Cc2ccccn2)C2CCCCC2N(C)c2ccc3nc(CN(C)C)ccc3c2)nc1")</f>
        <v>Cc1ccc(CN(Cc2ccccn2)C2CCCCC2N(C)c2ccc3nc(CN(C)C)ccc3c2)nc1</v>
      </c>
      <c r="C11168" s="7">
        <f>IFERROR(__xludf.DUMMYFUNCTION("""COMPUTED_VALUE"""),7.7630625)</f>
        <v>7.7630625</v>
      </c>
      <c r="D11168" s="7">
        <f>IFERROR(__xludf.DUMMYFUNCTION("""COMPUTED_VALUE"""),0.45)</f>
        <v>0.45</v>
      </c>
    </row>
    <row r="11169">
      <c r="A11169" s="10" t="s">
        <v>12608</v>
      </c>
      <c r="B11169" s="7" t="str">
        <f>IFERROR(__xludf.DUMMYFUNCTION("SPLIT(A11169,"" "")"),"Cc1cc(C)nc(CN(C)C2C=CNC(CN(C)Cc3cnc(C)c(C)c3)=C2)c1")</f>
        <v>Cc1cc(C)nc(CN(C)C2C=CNC(CN(C)Cc3cnc(C)c(C)c3)=C2)c1</v>
      </c>
      <c r="C11169" s="7">
        <f>IFERROR(__xludf.DUMMYFUNCTION("""COMPUTED_VALUE"""),7.76306)</f>
        <v>7.76306</v>
      </c>
      <c r="D11169" s="7">
        <f>IFERROR(__xludf.DUMMYFUNCTION("""COMPUTED_VALUE"""),0.283582089552238)</f>
        <v>0.2835820896</v>
      </c>
    </row>
    <row r="11170">
      <c r="A11170" s="10" t="s">
        <v>12609</v>
      </c>
      <c r="B11170" s="7" t="str">
        <f>IFERROR(__xludf.DUMMYFUNCTION("SPLIT(A11170,"" "")"),"CCN(Cc1ccccn1)Cc1cc(C)c(CN(Cc2ccccn2)Cc2nccc(C)c2C)c(C)n1")</f>
        <v>CCN(Cc1ccccn1)Cc1cc(C)c(CN(Cc2ccccn2)Cc2nccc(C)c2C)c(C)n1</v>
      </c>
      <c r="C11170" s="7">
        <f>IFERROR(__xludf.DUMMYFUNCTION("""COMPUTED_VALUE"""),7.763058)</f>
        <v>7.763058</v>
      </c>
      <c r="D11170" s="7">
        <f>IFERROR(__xludf.DUMMYFUNCTION("""COMPUTED_VALUE"""),0.425531914893617)</f>
        <v>0.4255319149</v>
      </c>
    </row>
    <row r="11171">
      <c r="A11171" s="10" t="s">
        <v>12610</v>
      </c>
      <c r="B11171" s="7" t="str">
        <f>IFERROR(__xludf.DUMMYFUNCTION("SPLIT(A11171,"" "")"),"CCNc1cc(CN(Cc2ccccn2)C2CCCC(N(C)c3ccc4c(CF)ccnc4c3)C2)ccn1")</f>
        <v>CCNc1cc(CN(Cc2ccccn2)C2CCCC(N(C)c3ccc4c(CF)ccnc4c3)C2)ccn1</v>
      </c>
      <c r="C11171" s="7">
        <f>IFERROR(__xludf.DUMMYFUNCTION("""COMPUTED_VALUE"""),7.763056)</f>
        <v>7.763056</v>
      </c>
      <c r="D11171" s="7">
        <f>IFERROR(__xludf.DUMMYFUNCTION("""COMPUTED_VALUE"""),0.315068493150684)</f>
        <v>0.3150684932</v>
      </c>
    </row>
    <row r="11172">
      <c r="A11172" s="10" t="s">
        <v>12611</v>
      </c>
      <c r="B11172" s="7" t="str">
        <f>IFERROR(__xludf.DUMMYFUNCTION("SPLIT(A11172,"" "")"),"CCN(Cc1ccccn1)c1ccc(-c2cc(CN(Cc3ccccn3)C3CCC(N(C)Cc4nc(C)c(C)cc4C)CC3)ccn2)cc1")</f>
        <v>CCN(Cc1ccccn1)c1ccc(-c2cc(CN(Cc3ccccn3)C3CCC(N(C)Cc4nc(C)c(C)cc4C)CC3)ccn2)cc1</v>
      </c>
      <c r="C11172" s="7">
        <f>IFERROR(__xludf.DUMMYFUNCTION("""COMPUTED_VALUE"""),7.7630477)</f>
        <v>7.7630477</v>
      </c>
      <c r="D11172" s="7">
        <f>IFERROR(__xludf.DUMMYFUNCTION("""COMPUTED_VALUE"""),0.323943661971831)</f>
        <v>0.323943662</v>
      </c>
    </row>
    <row r="11173">
      <c r="A11173" s="10" t="s">
        <v>12612</v>
      </c>
      <c r="B11173" s="7" t="str">
        <f>IFERROR(__xludf.DUMMYFUNCTION("SPLIT(A11173,"" "")"),"CC(N)N(CC1=CCC(N(C)Cc2ccccn2)=CN1)Cc1ccccn1")</f>
        <v>CC(N)N(CC1=CCC(N(C)Cc2ccccn2)=CN1)Cc1ccccn1</v>
      </c>
      <c r="C11173" s="7">
        <f>IFERROR(__xludf.DUMMYFUNCTION("""COMPUTED_VALUE"""),7.763047)</f>
        <v>7.763047</v>
      </c>
      <c r="D11173" s="7">
        <f>IFERROR(__xludf.DUMMYFUNCTION("""COMPUTED_VALUE"""),0.431372549019607)</f>
        <v>0.431372549</v>
      </c>
    </row>
    <row r="11174">
      <c r="A11174" s="10" t="s">
        <v>12613</v>
      </c>
      <c r="B11174" s="7" t="str">
        <f>IFERROR(__xludf.DUMMYFUNCTION("SPLIT(A11174,"" "")"),"C1=CNC(NCc2ccccn2)C(SCc2ccccn2)=C1")</f>
        <v>C1=CNC(NCc2ccccn2)C(SCc2ccccn2)=C1</v>
      </c>
      <c r="C11174" s="7">
        <f>IFERROR(__xludf.DUMMYFUNCTION("""COMPUTED_VALUE"""),7.7630405)</f>
        <v>7.7630405</v>
      </c>
      <c r="D11174" s="7">
        <f>IFERROR(__xludf.DUMMYFUNCTION("""COMPUTED_VALUE"""),0.377777777777777)</f>
        <v>0.3777777778</v>
      </c>
    </row>
    <row r="11175">
      <c r="A11175" s="10" t="s">
        <v>12614</v>
      </c>
      <c r="B11175" s="7" t="str">
        <f>IFERROR(__xludf.DUMMYFUNCTION("SPLIT(A11175,"" "")"),"CNCc1cc(CN(Cc2cc(C(C)(c3ccccn3)C(C)C)ccn2)Cc2cc(C)c(C)cn2)ccn1")</f>
        <v>CNCc1cc(CN(Cc2cc(C(C)(c3ccccn3)C(C)C)ccn2)Cc2cc(C)c(C)cn2)ccn1</v>
      </c>
      <c r="C11175" s="7">
        <f>IFERROR(__xludf.DUMMYFUNCTION("""COMPUTED_VALUE"""),7.763035)</f>
        <v>7.763035</v>
      </c>
      <c r="D11175" s="7">
        <f>IFERROR(__xludf.DUMMYFUNCTION("""COMPUTED_VALUE"""),0.327586206896551)</f>
        <v>0.3275862069</v>
      </c>
    </row>
    <row r="11176">
      <c r="A11176" s="10" t="s">
        <v>12615</v>
      </c>
      <c r="B11176" s="7" t="str">
        <f>IFERROR(__xludf.DUMMYFUNCTION("SPLIT(A11176,"" "")"),"Cc1cnc(CN(C)c2ccccc2-c2cccc(CN(Cc3ccccn3)C(C)(N)c3ccc(-c4ccc5c(c4)OCCOCCOCCOCCOCCO5)cn3)n2)c(C)c1")</f>
        <v>Cc1cnc(CN(C)c2ccccc2-c2cccc(CN(Cc3ccccn3)C(C)(N)c3ccc(-c4ccc5c(c4)OCCOCCOCCOCCOCCO5)cn3)n2)c(C)c1</v>
      </c>
      <c r="C11176" s="7">
        <f>IFERROR(__xludf.DUMMYFUNCTION("""COMPUTED_VALUE"""),7.7630258)</f>
        <v>7.7630258</v>
      </c>
      <c r="D11176" s="7">
        <f>IFERROR(__xludf.DUMMYFUNCTION("""COMPUTED_VALUE"""),0.297872340425531)</f>
        <v>0.2978723404</v>
      </c>
    </row>
    <row r="11177">
      <c r="A11177" s="10" t="s">
        <v>12616</v>
      </c>
      <c r="B11177" s="7" t="str">
        <f>IFERROR(__xludf.DUMMYFUNCTION("SPLIT(A11177,"" "")"),"Cc1ccnc(CN(C)C2CCC(N(C)c3cccc4c(CF)ccnc34)CC2)c1")</f>
        <v>Cc1ccnc(CN(C)C2CCC(N(C)c3cccc4c(CF)ccnc34)CC2)c1</v>
      </c>
      <c r="C11177" s="7">
        <f>IFERROR(__xludf.DUMMYFUNCTION("""COMPUTED_VALUE"""),7.7630243)</f>
        <v>7.7630243</v>
      </c>
      <c r="D11177" s="7">
        <f>IFERROR(__xludf.DUMMYFUNCTION("""COMPUTED_VALUE"""),0.333333333333333)</f>
        <v>0.3333333333</v>
      </c>
    </row>
    <row r="11178">
      <c r="A11178" s="10" t="s">
        <v>12617</v>
      </c>
      <c r="B11178" s="7" t="str">
        <f>IFERROR(__xludf.DUMMYFUNCTION("SPLIT(A11178,"" "")"),"CNCc1cc(C2=NCC(C)(C)O2)ccn1")</f>
        <v>CNCc1cc(C2=NCC(C)(C)O2)ccn1</v>
      </c>
      <c r="C11178" s="7">
        <f>IFERROR(__xludf.DUMMYFUNCTION("""COMPUTED_VALUE"""),7.763024)</f>
        <v>7.763024</v>
      </c>
      <c r="D11178" s="7">
        <f>IFERROR(__xludf.DUMMYFUNCTION("""COMPUTED_VALUE"""),0.245614035087719)</f>
        <v>0.2456140351</v>
      </c>
    </row>
    <row r="11179">
      <c r="A11179" s="10" t="s">
        <v>12618</v>
      </c>
      <c r="B11179" s="7" t="str">
        <f>IFERROR(__xludf.DUMMYFUNCTION("SPLIT(A11179,"" "")"),"CN(CCN(C)C(C)(C)c1ccccn1)Cc1cccc2ncccc12")</f>
        <v>CN(CCN(C)C(C)(C)c1ccccn1)Cc1cccc2ncccc12</v>
      </c>
      <c r="C11179" s="7">
        <f>IFERROR(__xludf.DUMMYFUNCTION("""COMPUTED_VALUE"""),7.7630234)</f>
        <v>7.7630234</v>
      </c>
      <c r="D11179" s="7">
        <f>IFERROR(__xludf.DUMMYFUNCTION("""COMPUTED_VALUE"""),0.458333333333333)</f>
        <v>0.4583333333</v>
      </c>
    </row>
    <row r="11180">
      <c r="A11180" s="10" t="s">
        <v>12619</v>
      </c>
      <c r="B11180" s="7" t="str">
        <f>IFERROR(__xludf.DUMMYFUNCTION("SPLIT(A11180,"" "")"),"CC(N)C(C)N(C)CCN(C)c1cccc2nccc(CF)c12")</f>
        <v>CC(N)C(C)N(C)CCN(C)c1cccc2nccc(CF)c12</v>
      </c>
      <c r="C11180" s="7">
        <f>IFERROR(__xludf.DUMMYFUNCTION("""COMPUTED_VALUE"""),7.7630205)</f>
        <v>7.7630205</v>
      </c>
      <c r="D11180" s="7">
        <f>IFERROR(__xludf.DUMMYFUNCTION("""COMPUTED_VALUE"""),0.339622641509433)</f>
        <v>0.3396226415</v>
      </c>
    </row>
    <row r="11181">
      <c r="A11181" s="10" t="s">
        <v>12620</v>
      </c>
      <c r="B11181" s="7" t="str">
        <f>IFERROR(__xludf.DUMMYFUNCTION("SPLIT(A11181,"" "")"),"Cc1ccnc(CN(C)C2CCC(N(C)c3ccc4c(CF)ccnc4c3)CC2)c1")</f>
        <v>Cc1ccnc(CN(C)C2CCC(N(C)c3ccc4c(CF)ccnc4c3)CC2)c1</v>
      </c>
      <c r="C11181" s="7">
        <f>IFERROR(__xludf.DUMMYFUNCTION("""COMPUTED_VALUE"""),7.7630115)</f>
        <v>7.7630115</v>
      </c>
      <c r="D11181" s="7">
        <f>IFERROR(__xludf.DUMMYFUNCTION("""COMPUTED_VALUE"""),0.295081967213114)</f>
        <v>0.2950819672</v>
      </c>
    </row>
    <row r="11182">
      <c r="A11182" s="10" t="s">
        <v>12621</v>
      </c>
      <c r="B11182" s="7" t="str">
        <f>IFERROR(__xludf.DUMMYFUNCTION("SPLIT(A11182,"" "")"),"CC1(C)N=COC1c1cc(CN(Cc2ccccn2)Cc2ccccn2)ccn1")</f>
        <v>CC1(C)N=COC1c1cc(CN(Cc2ccccn2)Cc2ccccn2)ccn1</v>
      </c>
      <c r="C11182" s="7">
        <f>IFERROR(__xludf.DUMMYFUNCTION("""COMPUTED_VALUE"""),7.7630105)</f>
        <v>7.7630105</v>
      </c>
      <c r="D11182" s="7">
        <f>IFERROR(__xludf.DUMMYFUNCTION("""COMPUTED_VALUE"""),0.444444444444444)</f>
        <v>0.4444444444</v>
      </c>
    </row>
    <row r="11183">
      <c r="A11183" s="10" t="s">
        <v>12622</v>
      </c>
      <c r="B11183" s="7" t="str">
        <f>IFERROR(__xludf.DUMMYFUNCTION("SPLIT(A11183,"" "")"),"CC(C)C(C)(c1cccnc1)N(Cc1ccccn1)Cc1ccc(N(C)C)cn1")</f>
        <v>CC(C)C(C)(c1cccnc1)N(Cc1ccccn1)Cc1ccc(N(C)C)cn1</v>
      </c>
      <c r="C11183" s="7">
        <f>IFERROR(__xludf.DUMMYFUNCTION("""COMPUTED_VALUE"""),7.7630105)</f>
        <v>7.7630105</v>
      </c>
      <c r="D11183" s="7">
        <f>IFERROR(__xludf.DUMMYFUNCTION("""COMPUTED_VALUE"""),0.396226415094339)</f>
        <v>0.3962264151</v>
      </c>
    </row>
    <row r="11184">
      <c r="A11184" s="10" t="s">
        <v>12623</v>
      </c>
      <c r="B11184" s="7" t="str">
        <f>IFERROR(__xludf.DUMMYFUNCTION("SPLIT(A11184,"" "")"),"Cc1cccc(C(C)(C)c2ncccc2CN(Cc2ccccn2)Cc2ccccn2)c1")</f>
        <v>Cc1cccc(C(C)(C)c2ncccc2CN(Cc2ccccn2)Cc2ccccn2)c1</v>
      </c>
      <c r="C11184" s="7">
        <f>IFERROR(__xludf.DUMMYFUNCTION("""COMPUTED_VALUE"""),7.763007)</f>
        <v>7.763007</v>
      </c>
      <c r="D11184" s="7">
        <f>IFERROR(__xludf.DUMMYFUNCTION("""COMPUTED_VALUE"""),0.465116279069767)</f>
        <v>0.4651162791</v>
      </c>
    </row>
    <row r="11185">
      <c r="A11185" s="10" t="s">
        <v>12624</v>
      </c>
      <c r="B11185" s="7" t="str">
        <f>IFERROR(__xludf.DUMMYFUNCTION("SPLIT(A11185,"" "")"),"Cc1cnc(CN(C)C2CCC(N(Cc3ccnc(-c4ccccc4N(Cc4ccccn4)C(C)C)c3)Cc3ccccn3)CC2)c(C)c1C")</f>
        <v>Cc1cnc(CN(C)C2CCC(N(Cc3ccnc(-c4ccccc4N(Cc4ccccn4)C(C)C)c3)Cc3ccccn3)CC2)c(C)c1C</v>
      </c>
      <c r="C11185" s="7">
        <f>IFERROR(__xludf.DUMMYFUNCTION("""COMPUTED_VALUE"""),7.7629952)</f>
        <v>7.7629952</v>
      </c>
      <c r="D11185" s="7">
        <f>IFERROR(__xludf.DUMMYFUNCTION("""COMPUTED_VALUE"""),0.319444444444444)</f>
        <v>0.3194444444</v>
      </c>
    </row>
    <row r="11186">
      <c r="A11186" s="10" t="s">
        <v>12625</v>
      </c>
      <c r="B11186" s="7" t="str">
        <f>IFERROR(__xludf.DUMMYFUNCTION("SPLIT(A11186,"" "")"),"Cc1ccnc(CN(C)Cc2ncccc2N)c1C")</f>
        <v>Cc1ccnc(CN(C)Cc2ncccc2N)c1C</v>
      </c>
      <c r="C11186" s="7">
        <f>IFERROR(__xludf.DUMMYFUNCTION("""COMPUTED_VALUE"""),7.762988)</f>
        <v>7.762988</v>
      </c>
      <c r="D11186" s="7">
        <f>IFERROR(__xludf.DUMMYFUNCTION("""COMPUTED_VALUE"""),0.319148936170212)</f>
        <v>0.3191489362</v>
      </c>
    </row>
    <row r="11187">
      <c r="A11187" s="10" t="s">
        <v>12626</v>
      </c>
      <c r="B11187" s="7" t="str">
        <f>IFERROR(__xludf.DUMMYFUNCTION("SPLIT(A11187,"" "")"),"CC(C)(c1cccc(CN(Cc2ccccn2)c2ccc3ncccc3c2)n1)c1cccc(-c2ccc3c(c2)OCCOCCOCCOCCOCCO3)n1")</f>
        <v>CC(C)(c1cccc(CN(Cc2ccccn2)c2ccc3ncccc3c2)n1)c1cccc(-c2ccc3c(c2)OCCOCCOCCOCCOCCO3)n1</v>
      </c>
      <c r="C11187" s="7">
        <f>IFERROR(__xludf.DUMMYFUNCTION("""COMPUTED_VALUE"""),7.76298)</f>
        <v>7.76298</v>
      </c>
      <c r="D11187" s="7">
        <f>IFERROR(__xludf.DUMMYFUNCTION("""COMPUTED_VALUE"""),0.35064935064935)</f>
        <v>0.3506493506</v>
      </c>
    </row>
    <row r="11188">
      <c r="A11188" s="10" t="s">
        <v>12627</v>
      </c>
      <c r="B11188" s="7" t="str">
        <f>IFERROR(__xludf.DUMMYFUNCTION("SPLIT(A11188,"" "")"),"Cc1ccc(C)c(CN(C)CC2=CC(N(C)Cc3nc(C)c(C)c(C)c3C)C=CN2)c1C")</f>
        <v>Cc1ccc(C)c(CN(C)CC2=CC(N(C)Cc3nc(C)c(C)c(C)c3C)C=CN2)c1C</v>
      </c>
      <c r="C11188" s="7">
        <f>IFERROR(__xludf.DUMMYFUNCTION("""COMPUTED_VALUE"""),7.7629776)</f>
        <v>7.7629776</v>
      </c>
      <c r="D11188" s="7">
        <f>IFERROR(__xludf.DUMMYFUNCTION("""COMPUTED_VALUE"""),0.306451612903225)</f>
        <v>0.3064516129</v>
      </c>
    </row>
    <row r="11189">
      <c r="A11189" s="10" t="s">
        <v>12628</v>
      </c>
      <c r="B11189" s="7" t="str">
        <f>IFERROR(__xludf.DUMMYFUNCTION("SPLIT(A11189,"" "")"),"Cc1cccnc1CN(C)Cc1c(C)ccc(C)c1C")</f>
        <v>Cc1cccnc1CN(C)Cc1c(C)ccc(C)c1C</v>
      </c>
      <c r="C11189" s="7">
        <f>IFERROR(__xludf.DUMMYFUNCTION("""COMPUTED_VALUE"""),7.762977)</f>
        <v>7.762977</v>
      </c>
      <c r="D11189" s="7">
        <f>IFERROR(__xludf.DUMMYFUNCTION("""COMPUTED_VALUE"""),0.326086956521739)</f>
        <v>0.3260869565</v>
      </c>
    </row>
    <row r="11190">
      <c r="A11190" s="10" t="s">
        <v>12629</v>
      </c>
      <c r="B11190" s="7" t="str">
        <f>IFERROR(__xludf.DUMMYFUNCTION("SPLIT(A11190,"" "")"),"C1=CC(NCc2ccccn2)NC(SCc2ccccn2)=C1")</f>
        <v>C1=CC(NCc2ccccn2)NC(SCc2ccccn2)=C1</v>
      </c>
      <c r="C11190" s="7">
        <f>IFERROR(__xludf.DUMMYFUNCTION("""COMPUTED_VALUE"""),7.7629766)</f>
        <v>7.7629766</v>
      </c>
      <c r="D11190" s="7">
        <f>IFERROR(__xludf.DUMMYFUNCTION("""COMPUTED_VALUE"""),0.377777777777777)</f>
        <v>0.3777777778</v>
      </c>
    </row>
    <row r="11191">
      <c r="A11191" s="10" t="s">
        <v>12630</v>
      </c>
      <c r="B11191" s="7" t="str">
        <f>IFERROR(__xludf.DUMMYFUNCTION("SPLIT(A11191,"" "")"),"CC(C)(C)c1cccnc1CN(Cc1ccccn1)Cc1cccnc1C1OC=NC1(C)C")</f>
        <v>CC(C)(C)c1cccnc1CN(Cc1ccccn1)Cc1cccnc1C1OC=NC1(C)C</v>
      </c>
      <c r="C11191" s="7">
        <f>IFERROR(__xludf.DUMMYFUNCTION("""COMPUTED_VALUE"""),7.762961)</f>
        <v>7.762961</v>
      </c>
      <c r="D11191" s="7">
        <f>IFERROR(__xludf.DUMMYFUNCTION("""COMPUTED_VALUE"""),0.37037037037037)</f>
        <v>0.3703703704</v>
      </c>
    </row>
    <row r="11192">
      <c r="A11192" s="10" t="s">
        <v>12631</v>
      </c>
      <c r="B11192" s="7" t="str">
        <f>IFERROR(__xludf.DUMMYFUNCTION("SPLIT(A11192,"" "")"),"CNc1cncc(CN(Cc2ccccn2)C2CCCCC2N(C)c2cccc3cc(CF)cnc23)c1")</f>
        <v>CNc1cncc(CN(Cc2ccccn2)C2CCCCC2N(C)c2cccc3cc(CF)cnc23)c1</v>
      </c>
      <c r="C11192" s="7">
        <f>IFERROR(__xludf.DUMMYFUNCTION("""COMPUTED_VALUE"""),7.7629585)</f>
        <v>7.7629585</v>
      </c>
      <c r="D11192" s="7">
        <f>IFERROR(__xludf.DUMMYFUNCTION("""COMPUTED_VALUE"""),0.426470588235294)</f>
        <v>0.4264705882</v>
      </c>
    </row>
    <row r="11193">
      <c r="A11193" s="10" t="s">
        <v>12632</v>
      </c>
      <c r="B11193" s="7" t="str">
        <f>IFERROR(__xludf.DUMMYFUNCTION("SPLIT(A11193,"" "")"),"CC(C)N(C)CC1=CCC(N(C)C(c2ccccn2)c2ccccn2)=CN1")</f>
        <v>CC(C)N(C)CC1=CCC(N(C)C(c2ccccn2)c2ccccn2)=CN1</v>
      </c>
      <c r="C11193" s="7">
        <f>IFERROR(__xludf.DUMMYFUNCTION("""COMPUTED_VALUE"""),7.7629523)</f>
        <v>7.7629523</v>
      </c>
      <c r="D11193" s="7">
        <f>IFERROR(__xludf.DUMMYFUNCTION("""COMPUTED_VALUE"""),0.344827586206896)</f>
        <v>0.3448275862</v>
      </c>
    </row>
    <row r="11194">
      <c r="A11194" s="10" t="s">
        <v>12633</v>
      </c>
      <c r="B11194" s="7" t="str">
        <f>IFERROR(__xludf.DUMMYFUNCTION("SPLIT(A11194,"" "")"),"Cc1cncc(CN(C)C2CCCC(N(C)c3ccc4c(CF)ccnc4c3)C2)c1")</f>
        <v>Cc1cncc(CN(C)C2CCCC(N(C)c3ccc4c(CF)ccnc4c3)C2)c1</v>
      </c>
      <c r="C11194" s="7">
        <f>IFERROR(__xludf.DUMMYFUNCTION("""COMPUTED_VALUE"""),7.7629523)</f>
        <v>7.7629523</v>
      </c>
      <c r="D11194" s="7">
        <f>IFERROR(__xludf.DUMMYFUNCTION("""COMPUTED_VALUE"""),0.264705882352941)</f>
        <v>0.2647058824</v>
      </c>
    </row>
    <row r="11195">
      <c r="A11195" s="10" t="s">
        <v>12634</v>
      </c>
      <c r="B11195" s="7" t="str">
        <f>IFERROR(__xludf.DUMMYFUNCTION("SPLIT(A11195,"" "")"),"Cc1ccc(CN(Cc2ncccc2C)C2CCCCC2N(C)c2ccc3nc(CF)ccc3c2)nc1")</f>
        <v>Cc1ccc(CN(Cc2ncccc2C)C2CCCCC2N(C)c2ccc3nc(CF)ccc3c2)nc1</v>
      </c>
      <c r="C11195" s="7">
        <f>IFERROR(__xludf.DUMMYFUNCTION("""COMPUTED_VALUE"""),7.7629514)</f>
        <v>7.7629514</v>
      </c>
      <c r="D11195" s="7">
        <f>IFERROR(__xludf.DUMMYFUNCTION("""COMPUTED_VALUE"""),0.415384615384615)</f>
        <v>0.4153846154</v>
      </c>
    </row>
    <row r="11196">
      <c r="A11196" s="10" t="s">
        <v>12635</v>
      </c>
      <c r="B11196" s="7" t="str">
        <f>IFERROR(__xludf.DUMMYFUNCTION("SPLIT(A11196,"" "")"),"Cc1cncc(CN(C)C2CCC(N(C)Cc3ccccn3)CC2N(c2ccc3nc(C)ccc3c2)C2C=CC=CN2)c1")</f>
        <v>Cc1cncc(CN(C)C2CCC(N(C)Cc3ccccn3)CC2N(c2ccc3nc(C)ccc3c2)C2C=CC=CN2)c1</v>
      </c>
      <c r="C11196" s="7">
        <f>IFERROR(__xludf.DUMMYFUNCTION("""COMPUTED_VALUE"""),7.7629495)</f>
        <v>7.7629495</v>
      </c>
      <c r="D11196" s="7">
        <f>IFERROR(__xludf.DUMMYFUNCTION("""COMPUTED_VALUE"""),0.346153846153846)</f>
        <v>0.3461538462</v>
      </c>
    </row>
    <row r="11197">
      <c r="A11197" s="10" t="s">
        <v>12636</v>
      </c>
      <c r="B11197" s="7" t="str">
        <f>IFERROR(__xludf.DUMMYFUNCTION("SPLIT(A11197,"" "")"),"Cc1cncc(CN(C)C2CCCCC2N(C)c2ccc3c(CN(C)C)ccnc3c2)c1")</f>
        <v>Cc1cncc(CN(C)C2CCCCC2N(C)c2ccc3c(CN(C)C)ccnc3c2)c1</v>
      </c>
      <c r="C11197" s="7">
        <f>IFERROR(__xludf.DUMMYFUNCTION("""COMPUTED_VALUE"""),7.762943)</f>
        <v>7.762943</v>
      </c>
      <c r="D11197" s="7">
        <f>IFERROR(__xludf.DUMMYFUNCTION("""COMPUTED_VALUE"""),0.377049180327868)</f>
        <v>0.3770491803</v>
      </c>
    </row>
    <row r="11198">
      <c r="A11198" s="10" t="s">
        <v>12637</v>
      </c>
      <c r="B11198" s="7" t="str">
        <f>IFERROR(__xludf.DUMMYFUNCTION("SPLIT(A11198,"" "")"),"CNCc1ccc2cc(N(C)C3CCC(N(Cc4ccccn4)Cc4ccon4)CC3)ccc2n1")</f>
        <v>CNCc1ccc2cc(N(C)C3CCC(N(Cc4ccccn4)Cc4ccon4)CC3)ccc2n1</v>
      </c>
      <c r="C11198" s="7">
        <f>IFERROR(__xludf.DUMMYFUNCTION("""COMPUTED_VALUE"""),7.762941)</f>
        <v>7.762941</v>
      </c>
      <c r="D11198" s="7">
        <f>IFERROR(__xludf.DUMMYFUNCTION("""COMPUTED_VALUE"""),0.348484848484848)</f>
        <v>0.3484848485</v>
      </c>
    </row>
    <row r="11199">
      <c r="A11199" s="10" t="s">
        <v>12638</v>
      </c>
      <c r="B11199" s="7" t="str">
        <f>IFERROR(__xludf.DUMMYFUNCTION("SPLIT(A11199,"" "")"),"Cc1ccc(CN(Cc2ccccn2)C2CCCCC2N(C)c2ccc3nc(CF)ccc3c2)nc1C")</f>
        <v>Cc1ccc(CN(Cc2ccccn2)C2CCCCC2N(C)c2ccc3nc(CF)ccc3c2)nc1C</v>
      </c>
      <c r="C11199" s="7">
        <f>IFERROR(__xludf.DUMMYFUNCTION("""COMPUTED_VALUE"""),7.7629385)</f>
        <v>7.7629385</v>
      </c>
      <c r="D11199" s="7">
        <f>IFERROR(__xludf.DUMMYFUNCTION("""COMPUTED_VALUE"""),0.419354838709677)</f>
        <v>0.4193548387</v>
      </c>
    </row>
    <row r="11200">
      <c r="A11200" s="10" t="s">
        <v>12639</v>
      </c>
      <c r="B11200" s="7" t="str">
        <f>IFERROR(__xludf.DUMMYFUNCTION("SPLIT(A11200,"" "")"),"CNCc1cc(CN(Cc2cc(C)ccn2)C2CCC(N(C)c3ccc4nccc(CF)c4c3)CC2)ccn1")</f>
        <v>CNCc1cc(CN(Cc2cc(C)ccn2)C2CCC(N(C)c3ccc4nccc(CF)c4c3)CC2)ccn1</v>
      </c>
      <c r="C11200" s="7">
        <f>IFERROR(__xludf.DUMMYFUNCTION("""COMPUTED_VALUE"""),7.7629375)</f>
        <v>7.7629375</v>
      </c>
      <c r="D11200" s="7">
        <f>IFERROR(__xludf.DUMMYFUNCTION("""COMPUTED_VALUE"""),0.263888888888888)</f>
        <v>0.2638888889</v>
      </c>
    </row>
    <row r="11201">
      <c r="A11201" s="10" t="s">
        <v>12640</v>
      </c>
      <c r="B11201" s="7" t="str">
        <f>IFERROR(__xludf.DUMMYFUNCTION("SPLIT(A11201,"" "")"),"Cc1cc(CN(C)C(C)C)cnc1CN(C)c1ccccc1F")</f>
        <v>Cc1cc(CN(C)C(C)C)cnc1CN(C)c1ccccc1F</v>
      </c>
      <c r="C11201" s="7">
        <f>IFERROR(__xludf.DUMMYFUNCTION("""COMPUTED_VALUE"""),7.7629356)</f>
        <v>7.7629356</v>
      </c>
      <c r="D11201" s="7">
        <f>IFERROR(__xludf.DUMMYFUNCTION("""COMPUTED_VALUE"""),0.29090909090909)</f>
        <v>0.2909090909</v>
      </c>
    </row>
    <row r="11202">
      <c r="A11202" s="10" t="s">
        <v>12641</v>
      </c>
      <c r="B11202" s="7" t="str">
        <f>IFERROR(__xludf.DUMMYFUNCTION("SPLIT(A11202,"" "")"),"Cc1cccnc1CN(Cc1ccccn1)c1cccc2nc(CN3CCN(C)CCN(C)CC3)ccc12")</f>
        <v>Cc1cccnc1CN(Cc1ccccn1)c1cccc2nc(CN3CCN(C)CCN(C)CC3)ccc12</v>
      </c>
      <c r="C11202" s="7">
        <f>IFERROR(__xludf.DUMMYFUNCTION("""COMPUTED_VALUE"""),7.762935)</f>
        <v>7.762935</v>
      </c>
      <c r="D11202" s="7">
        <f>IFERROR(__xludf.DUMMYFUNCTION("""COMPUTED_VALUE"""),0.473684210526315)</f>
        <v>0.4736842105</v>
      </c>
    </row>
    <row r="11203">
      <c r="A11203" s="10" t="s">
        <v>12642</v>
      </c>
      <c r="B11203" s="7" t="str">
        <f>IFERROR(__xludf.DUMMYFUNCTION("SPLIT(A11203,"" "")"),"Cc1ccc(CN(C)C2CCC(N(C)c3ccc4c(CF)ccnc4c3)CC2)nc1")</f>
        <v>Cc1ccc(CN(C)C2CCC(N(C)c3ccc4c(CF)ccnc4c3)CC2)nc1</v>
      </c>
      <c r="C11203" s="7">
        <f>IFERROR(__xludf.DUMMYFUNCTION("""COMPUTED_VALUE"""),7.7629347)</f>
        <v>7.7629347</v>
      </c>
      <c r="D11203" s="7">
        <f>IFERROR(__xludf.DUMMYFUNCTION("""COMPUTED_VALUE"""),0.43859649122807)</f>
        <v>0.4385964912</v>
      </c>
    </row>
    <row r="11204">
      <c r="A11204" s="10" t="s">
        <v>12643</v>
      </c>
      <c r="B11204" s="7" t="str">
        <f>IFERROR(__xludf.DUMMYFUNCTION("SPLIT(A11204,"" "")"),"Cc1cncc(CN(C)Cc2ncc(C)cc2C)c1")</f>
        <v>Cc1cncc(CN(C)Cc2ncc(C)cc2C)c1</v>
      </c>
      <c r="C11204" s="7">
        <f>IFERROR(__xludf.DUMMYFUNCTION("""COMPUTED_VALUE"""),7.7629337)</f>
        <v>7.7629337</v>
      </c>
      <c r="D11204" s="7">
        <f>IFERROR(__xludf.DUMMYFUNCTION("""COMPUTED_VALUE"""),0.325581395348837)</f>
        <v>0.3255813953</v>
      </c>
    </row>
    <row r="11205">
      <c r="A11205" s="10" t="s">
        <v>12644</v>
      </c>
      <c r="B11205" s="7" t="str">
        <f>IFERROR(__xludf.DUMMYFUNCTION("SPLIT(A11205,"" "")"),"Cc1cccc(CN(Cc2ccccn2)C2CCC(N(C)c3cccc4cc(CF)cnc34)CC2)n1")</f>
        <v>Cc1cccc(CN(Cc2ccccn2)C2CCC(N(C)c3cccc4cc(CF)cnc34)CC2)n1</v>
      </c>
      <c r="C11205" s="7">
        <f>IFERROR(__xludf.DUMMYFUNCTION("""COMPUTED_VALUE"""),7.7629247)</f>
        <v>7.7629247</v>
      </c>
      <c r="D11205" s="7">
        <f>IFERROR(__xludf.DUMMYFUNCTION("""COMPUTED_VALUE"""),0.353846153846153)</f>
        <v>0.3538461538</v>
      </c>
    </row>
    <row r="11206">
      <c r="A11206" s="10" t="s">
        <v>12645</v>
      </c>
      <c r="B11206" s="7" t="str">
        <f>IFERROR(__xludf.DUMMYFUNCTION("SPLIT(A11206,"" "")"),"CNCc1nc(C)c(N)cc1C")</f>
        <v>CNCc1nc(C)c(N)cc1C</v>
      </c>
      <c r="C11206" s="7">
        <f>IFERROR(__xludf.DUMMYFUNCTION("""COMPUTED_VALUE"""),7.762924)</f>
        <v>7.762924</v>
      </c>
      <c r="D11206" s="7">
        <f>IFERROR(__xludf.DUMMYFUNCTION("""COMPUTED_VALUE"""),0.186046511627906)</f>
        <v>0.1860465116</v>
      </c>
    </row>
    <row r="11207">
      <c r="A11207" s="10" t="s">
        <v>12646</v>
      </c>
      <c r="B11207" s="7" t="str">
        <f>IFERROR(__xludf.DUMMYFUNCTION("SPLIT(A11207,"" "")"),"CN1CCN(C)CCN(Cc2ccc(-c3ccc4cccnc4c3)nc2)CC1")</f>
        <v>CN1CCN(C)CCN(Cc2ccc(-c3ccc4cccnc4c3)nc2)CC1</v>
      </c>
      <c r="C11207" s="7">
        <f>IFERROR(__xludf.DUMMYFUNCTION("""COMPUTED_VALUE"""),7.7629232)</f>
        <v>7.7629232</v>
      </c>
      <c r="D11207" s="7">
        <f>IFERROR(__xludf.DUMMYFUNCTION("""COMPUTED_VALUE"""),0.411764705882352)</f>
        <v>0.4117647059</v>
      </c>
    </row>
    <row r="11208">
      <c r="A11208" s="10" t="s">
        <v>12647</v>
      </c>
      <c r="B11208" s="7" t="str">
        <f>IFERROR(__xludf.DUMMYFUNCTION("SPLIT(A11208,"" "")"),"CC(C)[Si](c1ccc(CN(Cc2cccc(C3=NC(C)(C)CO3)n2)CC(C)(C)C)nc1)(C(C)C)C(C)C")</f>
        <v>CC(C)[Si](c1ccc(CN(Cc2cccc(C3=NC(C)(C)CO3)n2)CC(C)(C)C)nc1)(C(C)C)C(C)C</v>
      </c>
      <c r="C11208" s="7">
        <f>IFERROR(__xludf.DUMMYFUNCTION("""COMPUTED_VALUE"""),7.762922)</f>
        <v>7.762922</v>
      </c>
      <c r="D11208" s="7">
        <f>IFERROR(__xludf.DUMMYFUNCTION("""COMPUTED_VALUE"""),0.456140350877192)</f>
        <v>0.4561403509</v>
      </c>
    </row>
    <row r="11209">
      <c r="A11209" s="10" t="s">
        <v>12648</v>
      </c>
      <c r="B11209" s="7" t="str">
        <f>IFERROR(__xludf.DUMMYFUNCTION("SPLIT(A11209,"" "")"),"CNCc1nccc2cccc(N(C)C3CCC(N(Cc4ccccn4)Cc4ncccc4C)CC3)c12")</f>
        <v>CNCc1nccc2cccc(N(C)C3CCC(N(Cc4ccccn4)Cc4ncccc4C)CC3)c12</v>
      </c>
      <c r="C11209" s="7">
        <f>IFERROR(__xludf.DUMMYFUNCTION("""COMPUTED_VALUE"""),7.7629123)</f>
        <v>7.7629123</v>
      </c>
      <c r="D11209" s="7">
        <f>IFERROR(__xludf.DUMMYFUNCTION("""COMPUTED_VALUE"""),0.333333333333333)</f>
        <v>0.3333333333</v>
      </c>
    </row>
    <row r="11210">
      <c r="A11210" s="10" t="s">
        <v>12649</v>
      </c>
      <c r="B11210" s="7" t="str">
        <f>IFERROR(__xludf.DUMMYFUNCTION("SPLIT(A11210,"" "")"),"Cc1cc(NCc2ccccn2)ccc1CN(C)Cc1ccccn1")</f>
        <v>Cc1cc(NCc2ccccn2)ccc1CN(C)Cc1ccccn1</v>
      </c>
      <c r="C11210" s="7">
        <f>IFERROR(__xludf.DUMMYFUNCTION("""COMPUTED_VALUE"""),7.762896)</f>
        <v>7.762896</v>
      </c>
      <c r="D11210" s="7">
        <f>IFERROR(__xludf.DUMMYFUNCTION("""COMPUTED_VALUE"""),0.448979591836734)</f>
        <v>0.4489795918</v>
      </c>
    </row>
    <row r="11211">
      <c r="A11211" s="10" t="s">
        <v>12650</v>
      </c>
      <c r="B11211" s="7" t="str">
        <f>IFERROR(__xludf.DUMMYFUNCTION("SPLIT(A11211,"" "")"),"Cc1ccnc(CN(C)C2CCC(N(C)c3ccc4nccc(CF)c4c3)CC2)c1")</f>
        <v>Cc1ccnc(CN(C)C2CCC(N(C)c3ccc4nccc(CF)c4c3)CC2)c1</v>
      </c>
      <c r="C11211" s="7">
        <f>IFERROR(__xludf.DUMMYFUNCTION("""COMPUTED_VALUE"""),7.7628956)</f>
        <v>7.7628956</v>
      </c>
      <c r="D11211" s="7">
        <f>IFERROR(__xludf.DUMMYFUNCTION("""COMPUTED_VALUE"""),0.290322580645161)</f>
        <v>0.2903225806</v>
      </c>
    </row>
    <row r="11212">
      <c r="A11212" s="10" t="s">
        <v>12651</v>
      </c>
      <c r="B11212" s="7" t="str">
        <f>IFERROR(__xludf.DUMMYFUNCTION("SPLIT(A11212,"" "")"),"CNCc1cc(CN(Cc2ccccn2)C2CCC(N(C)c3cccc4c(C)ccnc34)CC2)ccn1")</f>
        <v>CNCc1cc(CN(Cc2ccccn2)C2CCC(N(C)c3cccc4c(C)ccnc34)CC2)ccn1</v>
      </c>
      <c r="C11212" s="7">
        <f>IFERROR(__xludf.DUMMYFUNCTION("""COMPUTED_VALUE"""),7.762894)</f>
        <v>7.762894</v>
      </c>
      <c r="D11212" s="7">
        <f>IFERROR(__xludf.DUMMYFUNCTION("""COMPUTED_VALUE"""),0.333333333333333)</f>
        <v>0.3333333333</v>
      </c>
    </row>
    <row r="11213">
      <c r="A11213" s="10" t="s">
        <v>12652</v>
      </c>
      <c r="B11213" s="7" t="str">
        <f>IFERROR(__xludf.DUMMYFUNCTION("SPLIT(A11213,"" "")"),"CNC1CCC(N(Cc2nc(C)c(C)c(C)c2C)Cc2nc(C)c(C)c(C)c2C)C(NCc2ncc(C)cc2C)C1N(Cc1nc(C)c(C)c(C)c1C)Cc1nc(C)c(C)c(C)c1C")</f>
        <v>CNC1CCC(N(Cc2nc(C)c(C)c(C)c2C)Cc2nc(C)c(C)c(C)c2C)C(NCc2ncc(C)cc2C)C1N(Cc1nc(C)c(C)c(C)c1C)Cc1nc(C)c(C)c(C)c1C</v>
      </c>
      <c r="C11213" s="7">
        <f>IFERROR(__xludf.DUMMYFUNCTION("""COMPUTED_VALUE"""),7.7628913)</f>
        <v>7.7628913</v>
      </c>
      <c r="D11213" s="7">
        <f>IFERROR(__xludf.DUMMYFUNCTION("""COMPUTED_VALUE"""),0.231884057971014)</f>
        <v>0.231884058</v>
      </c>
    </row>
    <row r="11214">
      <c r="A11214" s="10" t="s">
        <v>12653</v>
      </c>
      <c r="B11214" s="7" t="str">
        <f>IFERROR(__xludf.DUMMYFUNCTION("SPLIT(A11214,"" "")"),"Cc1nc(CN(C)C2CCC(N(Cc3nc(C)c(C)c(C)c3C)Cc3nc(C)c(C)c(C)c3C)C(N(C)Cc3nc(C)c(C)c(C)c3C)C2)c(C)c(C)c1C")</f>
        <v>Cc1nc(CN(C)C2CCC(N(Cc3nc(C)c(C)c(C)c3C)Cc3nc(C)c(C)c(C)c3C)C(N(C)Cc3nc(C)c(C)c(C)c3C)C2)c(C)c(C)c1C</v>
      </c>
      <c r="C11214" s="7">
        <f>IFERROR(__xludf.DUMMYFUNCTION("""COMPUTED_VALUE"""),7.7628903)</f>
        <v>7.7628903</v>
      </c>
      <c r="D11214" s="7">
        <f>IFERROR(__xludf.DUMMYFUNCTION("""COMPUTED_VALUE"""),0.283018867924528)</f>
        <v>0.2830188679</v>
      </c>
    </row>
    <row r="11215">
      <c r="A11215" s="10" t="s">
        <v>12654</v>
      </c>
      <c r="B11215" s="7" t="str">
        <f>IFERROR(__xludf.DUMMYFUNCTION("SPLIT(A11215,"" "")"),"Cc1cnc(CN(C)CC2C=CNC=C2N(C)Cc2ccccn2)c(C)c1C")</f>
        <v>Cc1cnc(CN(C)CC2C=CNC=C2N(C)Cc2ccccn2)c(C)c1C</v>
      </c>
      <c r="C11215" s="7">
        <f>IFERROR(__xludf.DUMMYFUNCTION("""COMPUTED_VALUE"""),7.762882)</f>
        <v>7.762882</v>
      </c>
      <c r="D11215" s="7">
        <f>IFERROR(__xludf.DUMMYFUNCTION("""COMPUTED_VALUE"""),0.35593220338983)</f>
        <v>0.3559322034</v>
      </c>
    </row>
    <row r="11216">
      <c r="A11216" s="10" t="s">
        <v>12655</v>
      </c>
      <c r="B11216" s="7" t="str">
        <f>IFERROR(__xludf.DUMMYFUNCTION("SPLIT(A11216,"" "")"),"Cc1ccnc2cccc(N(C)CCN(C)C(C)(C)C(C)N)c12")</f>
        <v>Cc1ccnc2cccc(N(C)CCN(C)C(C)(C)C(C)N)c12</v>
      </c>
      <c r="C11216" s="7">
        <f>IFERROR(__xludf.DUMMYFUNCTION("""COMPUTED_VALUE"""),7.762882)</f>
        <v>7.762882</v>
      </c>
      <c r="D11216" s="7">
        <f>IFERROR(__xludf.DUMMYFUNCTION("""COMPUTED_VALUE"""),0.346153846153846)</f>
        <v>0.3461538462</v>
      </c>
    </row>
    <row r="11217">
      <c r="A11217" s="10" t="s">
        <v>12656</v>
      </c>
      <c r="B11217" s="7" t="str">
        <f>IFERROR(__xludf.DUMMYFUNCTION("SPLIT(A11217,"" "")"),"CC(C)c1ncccc1CN(Cc1ccccn1)C1CCCCC1N(C)c1ccc2c(CF)ccnc2c1")</f>
        <v>CC(C)c1ncccc1CN(Cc1ccccn1)C1CCCCC1N(C)c1ccc2c(CF)ccnc2c1</v>
      </c>
      <c r="C11217" s="7">
        <f>IFERROR(__xludf.DUMMYFUNCTION("""COMPUTED_VALUE"""),7.7628813)</f>
        <v>7.7628813</v>
      </c>
      <c r="D11217" s="7">
        <f>IFERROR(__xludf.DUMMYFUNCTION("""COMPUTED_VALUE"""),0.4)</f>
        <v>0.4</v>
      </c>
    </row>
    <row r="11218">
      <c r="A11218" s="10" t="s">
        <v>12657</v>
      </c>
      <c r="B11218" s="7" t="str">
        <f>IFERROR(__xludf.DUMMYFUNCTION("SPLIT(A11218,"" "")"),"Cc1ccc(C)c(CN(C)c2ccc3nc(CN(C)Cc4ncccc4-c4ccc5c(c4)OCCOCCOCCOCCOCCO5)ccc3c2)n1")</f>
        <v>Cc1ccc(C)c(CN(C)c2ccc3nc(CN(C)Cc4ncccc4-c4ccc5c(c4)OCCOCCOCCOCCOCCO5)ccc3c2)n1</v>
      </c>
      <c r="C11218" s="7">
        <f>IFERROR(__xludf.DUMMYFUNCTION("""COMPUTED_VALUE"""),7.7628784)</f>
        <v>7.7628784</v>
      </c>
      <c r="D11218" s="7">
        <f>IFERROR(__xludf.DUMMYFUNCTION("""COMPUTED_VALUE"""),0.290697674418604)</f>
        <v>0.2906976744</v>
      </c>
    </row>
    <row r="11219">
      <c r="A11219" s="10" t="s">
        <v>12658</v>
      </c>
      <c r="B11219" s="7" t="str">
        <f>IFERROR(__xludf.DUMMYFUNCTION("SPLIT(A11219,"" "")"),"Cc1ncccc1CN(C)C1CCC(N(C)c2ccc3nccc(CF)c3c2)CC1")</f>
        <v>Cc1ncccc1CN(C)C1CCC(N(C)c2ccc3nccc(CF)c3c2)CC1</v>
      </c>
      <c r="C11219" s="7">
        <f>IFERROR(__xludf.DUMMYFUNCTION("""COMPUTED_VALUE"""),7.7628746)</f>
        <v>7.7628746</v>
      </c>
      <c r="D11219" s="7">
        <f>IFERROR(__xludf.DUMMYFUNCTION("""COMPUTED_VALUE"""),0.265625)</f>
        <v>0.265625</v>
      </c>
    </row>
    <row r="11220">
      <c r="A11220" s="10" t="s">
        <v>12659</v>
      </c>
      <c r="B11220" s="7" t="str">
        <f>IFERROR(__xludf.DUMMYFUNCTION("SPLIT(A11220,"" "")"),"COC(=O)C(=O)C(C)c1cccc(CN(C)Cc2ccccn2)n1")</f>
        <v>COC(=O)C(=O)C(C)c1cccc(CN(C)Cc2ccccn2)n1</v>
      </c>
      <c r="C11220" s="7">
        <f>IFERROR(__xludf.DUMMYFUNCTION("""COMPUTED_VALUE"""),7.762873)</f>
        <v>7.762873</v>
      </c>
      <c r="D11220" s="7">
        <f>IFERROR(__xludf.DUMMYFUNCTION("""COMPUTED_VALUE"""),0.5)</f>
        <v>0.5</v>
      </c>
    </row>
    <row r="11221">
      <c r="A11221" s="10" t="s">
        <v>12660</v>
      </c>
      <c r="B11221" s="7" t="str">
        <f>IFERROR(__xludf.DUMMYFUNCTION("SPLIT(A11221,"" "")"),"CN(C)Cc1ccc2c(N(C)C3CCCCC3N(Cc3ccccn3)Cc3cccc(F)n3)cccc2n1")</f>
        <v>CN(C)Cc1ccc2c(N(C)C3CCCCC3N(Cc3ccccn3)Cc3cccc(F)n3)cccc2n1</v>
      </c>
      <c r="C11221" s="7">
        <f>IFERROR(__xludf.DUMMYFUNCTION("""COMPUTED_VALUE"""),7.762863)</f>
        <v>7.762863</v>
      </c>
      <c r="D11221" s="7">
        <f>IFERROR(__xludf.DUMMYFUNCTION("""COMPUTED_VALUE"""),0.433333333333333)</f>
        <v>0.4333333333</v>
      </c>
    </row>
    <row r="11222">
      <c r="A11222" s="10" t="s">
        <v>12661</v>
      </c>
      <c r="B11222" s="7" t="str">
        <f>IFERROR(__xludf.DUMMYFUNCTION("SPLIT(A11222,"" "")"),"Cc1cc(NCc2ccccn2)ccc1C(C)(C)N(C)C1CCCCC1N(C)c1ccc2cccnc2c1")</f>
        <v>Cc1cc(NCc2ccccn2)ccc1C(C)(C)N(C)C1CCCCC1N(C)c1ccc2cccnc2c1</v>
      </c>
      <c r="C11222" s="7">
        <f>IFERROR(__xludf.DUMMYFUNCTION("""COMPUTED_VALUE"""),7.762858)</f>
        <v>7.762858</v>
      </c>
      <c r="D11222" s="7">
        <f>IFERROR(__xludf.DUMMYFUNCTION("""COMPUTED_VALUE"""),0.352941176470588)</f>
        <v>0.3529411765</v>
      </c>
    </row>
    <row r="11223">
      <c r="A11223" s="10" t="s">
        <v>12662</v>
      </c>
      <c r="B11223" s="7" t="str">
        <f>IFERROR(__xludf.DUMMYFUNCTION("SPLIT(A11223,"" "")"),"Cc1ccc(CN(C)c2ccc(CN(C)C(C)C)cn2)nc1")</f>
        <v>Cc1ccc(CN(C)c2ccc(CN(C)C(C)C)cn2)nc1</v>
      </c>
      <c r="C11223" s="7">
        <f>IFERROR(__xludf.DUMMYFUNCTION("""COMPUTED_VALUE"""),7.762848)</f>
        <v>7.762848</v>
      </c>
      <c r="D11223" s="7">
        <f>IFERROR(__xludf.DUMMYFUNCTION("""COMPUTED_VALUE"""),0.476190476190476)</f>
        <v>0.4761904762</v>
      </c>
    </row>
    <row r="11224">
      <c r="A11224" s="10" t="s">
        <v>12663</v>
      </c>
      <c r="B11224" s="7" t="str">
        <f>IFERROR(__xludf.DUMMYFUNCTION("SPLIT(A11224,"" "")"),"CC1C=CC(C)C(N(C)Cc2cccc(-c3ccccc3N(C)C)n2)C1")</f>
        <v>CC1C=CC(C)C(N(C)Cc2cccc(-c3ccccc3N(C)C)n2)C1</v>
      </c>
      <c r="C11224" s="7">
        <f>IFERROR(__xludf.DUMMYFUNCTION("""COMPUTED_VALUE"""),7.7628427)</f>
        <v>7.7628427</v>
      </c>
      <c r="D11224" s="7">
        <f>IFERROR(__xludf.DUMMYFUNCTION("""COMPUTED_VALUE"""),0.381818181818181)</f>
        <v>0.3818181818</v>
      </c>
    </row>
    <row r="11225">
      <c r="A11225" s="10" t="s">
        <v>12664</v>
      </c>
      <c r="B11225" s="7" t="str">
        <f>IFERROR(__xludf.DUMMYFUNCTION("SPLIT(A11225,"" "")"),"CC(C)c1cc(CN(Cc2ccccn2)C2CCC(N(C)c3ccc4nc(CF)ccc4c3)CC2)ccn1")</f>
        <v>CC(C)c1cc(CN(Cc2ccccn2)C2CCC(N(C)c3ccc4nc(CF)ccc4c3)CC2)ccn1</v>
      </c>
      <c r="C11225" s="7">
        <f>IFERROR(__xludf.DUMMYFUNCTION("""COMPUTED_VALUE"""),7.7628374)</f>
        <v>7.7628374</v>
      </c>
      <c r="D11225" s="7">
        <f>IFERROR(__xludf.DUMMYFUNCTION("""COMPUTED_VALUE"""),0.338235294117647)</f>
        <v>0.3382352941</v>
      </c>
    </row>
    <row r="11226">
      <c r="A11226" s="10" t="s">
        <v>12665</v>
      </c>
      <c r="B11226" s="7" t="str">
        <f>IFERROR(__xludf.DUMMYFUNCTION("SPLIT(A11226,"" "")"),"CNCc1cc(CN(Cc2cc(C)ccn2)Cc2cc(C)c(C)c(C)n2)ccn1")</f>
        <v>CNCc1cc(CN(Cc2cc(C)ccn2)Cc2cc(C)c(C)c(C)n2)ccn1</v>
      </c>
      <c r="C11226" s="7">
        <f>IFERROR(__xludf.DUMMYFUNCTION("""COMPUTED_VALUE"""),7.7628365)</f>
        <v>7.7628365</v>
      </c>
      <c r="D11226" s="7">
        <f>IFERROR(__xludf.DUMMYFUNCTION("""COMPUTED_VALUE"""),0.321428571428571)</f>
        <v>0.3214285714</v>
      </c>
    </row>
    <row r="11227">
      <c r="A11227" s="10" t="s">
        <v>12666</v>
      </c>
      <c r="B11227" s="7" t="str">
        <f>IFERROR(__xludf.DUMMYFUNCTION("SPLIT(A11227,"" "")"),"Cc1cccc(CN(C)Cc2cccnc2CN(C)Cc2ccc(C)c(C)n2)n1")</f>
        <v>Cc1cccc(CN(C)Cc2cccnc2CN(C)Cc2ccc(C)c(C)n2)n1</v>
      </c>
      <c r="C11227" s="7">
        <f>IFERROR(__xludf.DUMMYFUNCTION("""COMPUTED_VALUE"""),7.7628336)</f>
        <v>7.7628336</v>
      </c>
      <c r="D11227" s="7">
        <f>IFERROR(__xludf.DUMMYFUNCTION("""COMPUTED_VALUE"""),0.488888888888888)</f>
        <v>0.4888888889</v>
      </c>
    </row>
    <row r="11228">
      <c r="A11228" s="10" t="s">
        <v>12667</v>
      </c>
      <c r="B11228" s="7" t="str">
        <f>IFERROR(__xludf.DUMMYFUNCTION("SPLIT(A11228,"" "")"),"CCOC(C)c1nc(CN(Cc2ccccn2)Cc2ncccc2C(C)(C)C)c(C)c(C)c1C")</f>
        <v>CCOC(C)c1nc(CN(Cc2ccccn2)Cc2ncccc2C(C)(C)C)c(C)c(C)c1C</v>
      </c>
      <c r="C11228" s="7">
        <f>IFERROR(__xludf.DUMMYFUNCTION("""COMPUTED_VALUE"""),7.762829)</f>
        <v>7.762829</v>
      </c>
      <c r="D11228" s="7">
        <f>IFERROR(__xludf.DUMMYFUNCTION("""COMPUTED_VALUE"""),0.377358490566037)</f>
        <v>0.3773584906</v>
      </c>
    </row>
    <row r="11229">
      <c r="A11229" s="10" t="s">
        <v>12668</v>
      </c>
      <c r="B11229" s="7" t="str">
        <f>IFERROR(__xludf.DUMMYFUNCTION("SPLIT(A11229,"" "")"),"CNCc1nc(CN(Cc2ccccn2)C2CCCCC2N(C)c2ccc3cccnc3c2)c(C)c(C)c1C")</f>
        <v>CNCc1nc(CN(Cc2ccccn2)C2CCCCC2N(C)c2ccc3cccnc3c2)c(C)c(C)c1C</v>
      </c>
      <c r="C11229" s="7">
        <f>IFERROR(__xludf.DUMMYFUNCTION("""COMPUTED_VALUE"""),7.7628284)</f>
        <v>7.7628284</v>
      </c>
      <c r="D11229" s="7">
        <f>IFERROR(__xludf.DUMMYFUNCTION("""COMPUTED_VALUE"""),0.4)</f>
        <v>0.4</v>
      </c>
    </row>
    <row r="11230">
      <c r="A11230" s="10" t="s">
        <v>12669</v>
      </c>
      <c r="B11230" s="7" t="str">
        <f>IFERROR(__xludf.DUMMYFUNCTION("SPLIT(A11230,"" "")"),"CN1CCN(C)CCN(C2NC=CC=C2N(C)C2=C(N(C)c3ccc4cccnc4c3)CC=CN2)CC1")</f>
        <v>CN1CCN(C)CCN(C2NC=CC=C2N(C)C2=C(N(C)c3ccc4cccnc4c3)CC=CN2)CC1</v>
      </c>
      <c r="C11230" s="7">
        <f>IFERROR(__xludf.DUMMYFUNCTION("""COMPUTED_VALUE"""),7.762827)</f>
        <v>7.762827</v>
      </c>
      <c r="D11230" s="7">
        <f>IFERROR(__xludf.DUMMYFUNCTION("""COMPUTED_VALUE"""),0.23076923076923)</f>
        <v>0.2307692308</v>
      </c>
    </row>
    <row r="11231">
      <c r="A11231" s="10" t="s">
        <v>12670</v>
      </c>
      <c r="B11231" s="7" t="str">
        <f>IFERROR(__xludf.DUMMYFUNCTION("SPLIT(A11231,"" "")"),"Cc1ccc(C)c(CN(C)C2CCC(N(C)c3ccc4nc(CF)ccc4c3)CC2)n1")</f>
        <v>Cc1ccc(C)c(CN(C)C2CCC(N(C)c3ccc4nc(CF)ccc4c3)CC2)n1</v>
      </c>
      <c r="C11231" s="7">
        <f>IFERROR(__xludf.DUMMYFUNCTION("""COMPUTED_VALUE"""),7.7628236)</f>
        <v>7.7628236</v>
      </c>
      <c r="D11231" s="7">
        <f>IFERROR(__xludf.DUMMYFUNCTION("""COMPUTED_VALUE"""),0.323076923076923)</f>
        <v>0.3230769231</v>
      </c>
    </row>
    <row r="11232">
      <c r="A11232" s="10" t="s">
        <v>12671</v>
      </c>
      <c r="B11232" s="7" t="str">
        <f>IFERROR(__xludf.DUMMYFUNCTION("SPLIT(A11232,"" "")"),"Cc1cc(CN(Cc2ccccn2)Cc2cccc(C3CC(C)(C)C3)n2)nc(C)c1C")</f>
        <v>Cc1cc(CN(Cc2ccccn2)Cc2cccc(C3CC(C)(C)C3)n2)nc(C)c1C</v>
      </c>
      <c r="C11232" s="7">
        <f>IFERROR(__xludf.DUMMYFUNCTION("""COMPUTED_VALUE"""),7.7628217)</f>
        <v>7.7628217</v>
      </c>
      <c r="D11232" s="7">
        <f>IFERROR(__xludf.DUMMYFUNCTION("""COMPUTED_VALUE"""),0.412698412698412)</f>
        <v>0.4126984127</v>
      </c>
    </row>
    <row r="11233">
      <c r="A11233" s="10" t="s">
        <v>12672</v>
      </c>
      <c r="B11233" s="7" t="str">
        <f>IFERROR(__xludf.DUMMYFUNCTION("SPLIT(A11233,"" "")"),"Cc1cccc(CN(Cc2ccccn2)C2CCC(N(C)c3cccc4cccnc34)CC2)n1")</f>
        <v>Cc1cccc(CN(Cc2ccccn2)C2CCC(N(C)c3cccc4cccnc34)CC2)n1</v>
      </c>
      <c r="C11233" s="7">
        <f>IFERROR(__xludf.DUMMYFUNCTION("""COMPUTED_VALUE"""),7.7628193)</f>
        <v>7.7628193</v>
      </c>
      <c r="D11233" s="7">
        <f>IFERROR(__xludf.DUMMYFUNCTION("""COMPUTED_VALUE"""),0.481481481481481)</f>
        <v>0.4814814815</v>
      </c>
    </row>
    <row r="11234">
      <c r="A11234" s="10" t="s">
        <v>12673</v>
      </c>
      <c r="B11234" s="7" t="str">
        <f>IFERROR(__xludf.DUMMYFUNCTION("SPLIT(A11234,"" "")"),"Cc1c(C)c(C)c(N(C)CCN(C)C(C)C)c(C)c1C")</f>
        <v>Cc1c(C)c(C)c(N(C)CCN(C)C(C)C)c(C)c1C</v>
      </c>
      <c r="C11234" s="7">
        <f>IFERROR(__xludf.DUMMYFUNCTION("""COMPUTED_VALUE"""),7.762819)</f>
        <v>7.762819</v>
      </c>
      <c r="D11234" s="7">
        <f>IFERROR(__xludf.DUMMYFUNCTION("""COMPUTED_VALUE"""),0.195121951219512)</f>
        <v>0.1951219512</v>
      </c>
    </row>
    <row r="11235">
      <c r="A11235" s="10" t="s">
        <v>12674</v>
      </c>
      <c r="B11235" s="7" t="str">
        <f>IFERROR(__xludf.DUMMYFUNCTION("SPLIT(A11235,"" "")"),"CN(Cc1ccon1)C1CCC(N(C)c2ccc3nc(CF)ccc3c2)CC1")</f>
        <v>CN(Cc1ccon1)C1CCC(N(C)c2ccc3nc(CF)ccc3c2)CC1</v>
      </c>
      <c r="C11235" s="7">
        <f>IFERROR(__xludf.DUMMYFUNCTION("""COMPUTED_VALUE"""),7.7628183)</f>
        <v>7.7628183</v>
      </c>
      <c r="D11235" s="7">
        <f>IFERROR(__xludf.DUMMYFUNCTION("""COMPUTED_VALUE"""),0.411764705882352)</f>
        <v>0.4117647059</v>
      </c>
    </row>
    <row r="11236">
      <c r="A11236" s="10" t="s">
        <v>12675</v>
      </c>
      <c r="B11236" s="7" t="str">
        <f>IFERROR(__xludf.DUMMYFUNCTION("SPLIT(A11236,"" "")"),"CCC(C)N(C)CC1=CCC=C(N(C)Cc2nc(C)c(C)c(C)c2C)N1")</f>
        <v>CCC(C)N(C)CC1=CCC=C(N(C)Cc2nc(C)c(C)c(C)c2C)N1</v>
      </c>
      <c r="C11236" s="7">
        <f>IFERROR(__xludf.DUMMYFUNCTION("""COMPUTED_VALUE"""),7.762815)</f>
        <v>7.762815</v>
      </c>
      <c r="D11236" s="7">
        <f>IFERROR(__xludf.DUMMYFUNCTION("""COMPUTED_VALUE"""),0.176470588235294)</f>
        <v>0.1764705882</v>
      </c>
    </row>
    <row r="11237">
      <c r="A11237" s="10" t="s">
        <v>12676</v>
      </c>
      <c r="B11237" s="7" t="str">
        <f>IFERROR(__xludf.DUMMYFUNCTION("SPLIT(A11237,"" "")"),"Cc1cccnc1CN(Cc1ncccc1C(C)(C)N(Cc1ccc([SiH3])cn1)Cc1ncccc1C)C(C)C")</f>
        <v>Cc1cccnc1CN(Cc1ncccc1C(C)(C)N(Cc1ccc([SiH3])cn1)Cc1ncccc1C)C(C)C</v>
      </c>
      <c r="C11237" s="7">
        <f>IFERROR(__xludf.DUMMYFUNCTION("""COMPUTED_VALUE"""),7.762815)</f>
        <v>7.762815</v>
      </c>
      <c r="D11237" s="7">
        <f>IFERROR(__xludf.DUMMYFUNCTION("""COMPUTED_VALUE"""),0.333333333333333)</f>
        <v>0.3333333333</v>
      </c>
    </row>
    <row r="11238">
      <c r="A11238" s="10" t="s">
        <v>12677</v>
      </c>
      <c r="B11238" s="7" t="str">
        <f>IFERROR(__xludf.DUMMYFUNCTION("SPLIT(A11238,"" "")"),"Cc1ccncc1CN(Cc1cccnc1)C1CCCCC1N(C)c1cccc2c(CN(C)C)cncc12")</f>
        <v>Cc1ccncc1CN(Cc1cccnc1)C1CCCCC1N(C)c1cccc2c(CN(C)C)cncc12</v>
      </c>
      <c r="C11238" s="7">
        <f>IFERROR(__xludf.DUMMYFUNCTION("""COMPUTED_VALUE"""),7.7628117)</f>
        <v>7.7628117</v>
      </c>
      <c r="D11238" s="7">
        <f>IFERROR(__xludf.DUMMYFUNCTION("""COMPUTED_VALUE"""),0.348484848484848)</f>
        <v>0.3484848485</v>
      </c>
    </row>
    <row r="11239">
      <c r="A11239" s="10" t="s">
        <v>12678</v>
      </c>
      <c r="B11239" s="7" t="str">
        <f>IFERROR(__xludf.DUMMYFUNCTION("SPLIT(A11239,"" "")"),"Cc1ccc(CN(C)C2CCC(N(C)c3ccc4nccc(CF)c4c3)CC2)nc1")</f>
        <v>Cc1ccc(CN(C)C2CCC(N(C)c3ccc4nccc(CF)c4c3)CC2)nc1</v>
      </c>
      <c r="C11239" s="7">
        <f>IFERROR(__xludf.DUMMYFUNCTION("""COMPUTED_VALUE"""),7.762811)</f>
        <v>7.762811</v>
      </c>
      <c r="D11239" s="7">
        <f>IFERROR(__xludf.DUMMYFUNCTION("""COMPUTED_VALUE"""),0.43103448275862)</f>
        <v>0.4310344828</v>
      </c>
    </row>
    <row r="11240">
      <c r="A11240" s="10" t="s">
        <v>12679</v>
      </c>
      <c r="B11240" s="7" t="str">
        <f>IFERROR(__xludf.DUMMYFUNCTION("SPLIT(A11240,"" "")"),"Cc1cc(CN(C)Cc2nccc(C)c2C)ccn1")</f>
        <v>Cc1cc(CN(C)Cc2nccc(C)c2C)ccn1</v>
      </c>
      <c r="C11240" s="7">
        <f>IFERROR(__xludf.DUMMYFUNCTION("""COMPUTED_VALUE"""),7.762811)</f>
        <v>7.762811</v>
      </c>
      <c r="D11240" s="7">
        <f>IFERROR(__xludf.DUMMYFUNCTION("""COMPUTED_VALUE"""),0.260869565217391)</f>
        <v>0.2608695652</v>
      </c>
    </row>
    <row r="11241">
      <c r="A11241" s="10" t="s">
        <v>12680</v>
      </c>
      <c r="B11241" s="7" t="str">
        <f>IFERROR(__xludf.DUMMYFUNCTION("SPLIT(A11241,"" "")"),"CN(Cc1ccc(-c2ccc3c(c2)OCCOCCOCCOCCOCCO3)cn1)C1=CCC=C(CN(C)c2ccc3ncccc3c2)N1")</f>
        <v>CN(Cc1ccc(-c2ccc3c(c2)OCCOCCOCCOCCOCCO3)cn1)C1=CCC=C(CN(C)c2ccc3ncccc3c2)N1</v>
      </c>
      <c r="C11241" s="7">
        <f>IFERROR(__xludf.DUMMYFUNCTION("""COMPUTED_VALUE"""),7.7628098)</f>
        <v>7.7628098</v>
      </c>
      <c r="D11241" s="7">
        <f>IFERROR(__xludf.DUMMYFUNCTION("""COMPUTED_VALUE"""),0.375)</f>
        <v>0.375</v>
      </c>
    </row>
    <row r="11242">
      <c r="A11242" s="10" t="s">
        <v>12681</v>
      </c>
      <c r="B11242" s="7" t="str">
        <f>IFERROR(__xludf.DUMMYFUNCTION("SPLIT(A11242,"" "")"),"Cc1cc(C)c(C)c(CN(C)CC2=CC(N(C)Cc3cc(C)c(C)c(C)n3)C=CN2)c1")</f>
        <v>Cc1cc(C)c(C)c(CN(C)CC2=CC(N(C)Cc3cc(C)c(C)c(C)n3)C=CN2)c1</v>
      </c>
      <c r="C11242" s="7">
        <f>IFERROR(__xludf.DUMMYFUNCTION("""COMPUTED_VALUE"""),7.762808)</f>
        <v>7.762808</v>
      </c>
      <c r="D11242" s="7">
        <f>IFERROR(__xludf.DUMMYFUNCTION("""COMPUTED_VALUE"""),0.296875)</f>
        <v>0.296875</v>
      </c>
    </row>
    <row r="11243">
      <c r="A11243" s="10" t="s">
        <v>12682</v>
      </c>
      <c r="B11243" s="7" t="str">
        <f>IFERROR(__xludf.DUMMYFUNCTION("SPLIT(A11243,"" "")"),"CC(C)N(C)C1=C(N(C)Cc2ccccn2)CC=CN1")</f>
        <v>CC(C)N(C)C1=C(N(C)Cc2ccccn2)CC=CN1</v>
      </c>
      <c r="C11243" s="7">
        <f>IFERROR(__xludf.DUMMYFUNCTION("""COMPUTED_VALUE"""),7.762806)</f>
        <v>7.762806</v>
      </c>
      <c r="D11243" s="7">
        <f>IFERROR(__xludf.DUMMYFUNCTION("""COMPUTED_VALUE"""),0.478260869565217)</f>
        <v>0.4782608696</v>
      </c>
    </row>
    <row r="11244">
      <c r="A11244" s="10" t="s">
        <v>12683</v>
      </c>
      <c r="B11244" s="7" t="str">
        <f>IFERROR(__xludf.DUMMYFUNCTION("SPLIT(A11244,"" "")"),"Cc1cnccc1CN(Cc1ccccn1)C1CCC(N(C)c2cccc3nc(CF)ccc23)CC1")</f>
        <v>Cc1cnccc1CN(Cc1ccccn1)C1CCC(N(C)c2cccc3nc(CF)ccc23)CC1</v>
      </c>
      <c r="C11244" s="7">
        <f>IFERROR(__xludf.DUMMYFUNCTION("""COMPUTED_VALUE"""),7.762806)</f>
        <v>7.762806</v>
      </c>
      <c r="D11244" s="7">
        <f>IFERROR(__xludf.DUMMYFUNCTION("""COMPUTED_VALUE"""),0.324324324324324)</f>
        <v>0.3243243243</v>
      </c>
    </row>
    <row r="11245">
      <c r="A11245" s="10" t="s">
        <v>12684</v>
      </c>
      <c r="B11245" s="7" t="str">
        <f>IFERROR(__xludf.DUMMYFUNCTION("SPLIT(A11245,"" "")"),"CNCc1cc(CN(Cc2cc(C)ccn2)Cc2nc(C)c(C)cc2C)ccn1")</f>
        <v>CNCc1cc(CN(Cc2cc(C)ccn2)Cc2nc(C)c(C)cc2C)ccn1</v>
      </c>
      <c r="C11245" s="7">
        <f>IFERROR(__xludf.DUMMYFUNCTION("""COMPUTED_VALUE"""),7.7628026)</f>
        <v>7.7628026</v>
      </c>
      <c r="D11245" s="7">
        <f>IFERROR(__xludf.DUMMYFUNCTION("""COMPUTED_VALUE"""),0.321428571428571)</f>
        <v>0.3214285714</v>
      </c>
    </row>
    <row r="11246">
      <c r="A11246" s="10" t="s">
        <v>12685</v>
      </c>
      <c r="B11246" s="7" t="str">
        <f>IFERROR(__xludf.DUMMYFUNCTION("SPLIT(A11246,"" "")"),"CC(C)N(Cc1cc(-c2ccc3c(c2)OCCOCCOCCOCCOCCO3)ccn1)Cc1ccc2ccc3cccnc3c2n1")</f>
        <v>CC(C)N(Cc1cc(-c2ccc3c(c2)OCCOCCOCCOCCOCCO3)ccn1)Cc1ccc2ccc3cccnc3c2n1</v>
      </c>
      <c r="C11246" s="7">
        <f>IFERROR(__xludf.DUMMYFUNCTION("""COMPUTED_VALUE"""),7.7628016)</f>
        <v>7.7628016</v>
      </c>
      <c r="D11246" s="7">
        <f>IFERROR(__xludf.DUMMYFUNCTION("""COMPUTED_VALUE"""),0.356164383561643)</f>
        <v>0.3561643836</v>
      </c>
    </row>
    <row r="11247">
      <c r="A11247" s="10" t="s">
        <v>12686</v>
      </c>
      <c r="B11247" s="7" t="str">
        <f>IFERROR(__xludf.DUMMYFUNCTION("SPLIT(A11247,"" "")"),"Cc1c(C)c(C)c(N(C)C2CCCCC2N(C)Cc2ccc3cccnc3c2)c(C)c1C")</f>
        <v>Cc1c(C)c(C)c(N(C)C2CCCCC2N(C)Cc2ccc3cccnc3c2)c(C)c1C</v>
      </c>
      <c r="C11247" s="7">
        <f>IFERROR(__xludf.DUMMYFUNCTION("""COMPUTED_VALUE"""),7.762795)</f>
        <v>7.762795</v>
      </c>
      <c r="D11247" s="7">
        <f>IFERROR(__xludf.DUMMYFUNCTION("""COMPUTED_VALUE"""),0.433962264150943)</f>
        <v>0.4339622642</v>
      </c>
    </row>
    <row r="11248">
      <c r="A11248" s="10" t="s">
        <v>12687</v>
      </c>
      <c r="B11248" s="7" t="str">
        <f>IFERROR(__xludf.DUMMYFUNCTION("SPLIT(A11248,"" "")"),"Cc1cc(CN(Cc2nc(C)c(C)c(C)c2C)C2CCCC(N(C)Cc3cccc(-c4ccccn4)n3)C2)nc(C)c1C")</f>
        <v>Cc1cc(CN(Cc2nc(C)c(C)c(C)c2C)C2CCCC(N(C)Cc3cccc(-c4ccccn4)n3)C2)nc(C)c1C</v>
      </c>
      <c r="C11248" s="7">
        <f>IFERROR(__xludf.DUMMYFUNCTION("""COMPUTED_VALUE"""),7.762795)</f>
        <v>7.762795</v>
      </c>
      <c r="D11248" s="7">
        <f>IFERROR(__xludf.DUMMYFUNCTION("""COMPUTED_VALUE"""),0.4)</f>
        <v>0.4</v>
      </c>
    </row>
    <row r="11249">
      <c r="A11249" s="10" t="s">
        <v>12688</v>
      </c>
      <c r="B11249" s="7" t="str">
        <f>IFERROR(__xludf.DUMMYFUNCTION("SPLIT(A11249,"" "")"),"CN(c1cccc2nc(CF)ccc12)C1CCCC(N(Cc2ccccn2)Cc2ccc(F)cn2)C1")</f>
        <v>CN(c1cccc2nc(CF)ccc12)C1CCCC(N(Cc2ccccn2)Cc2ccc(F)cn2)C1</v>
      </c>
      <c r="C11249" s="7">
        <f>IFERROR(__xludf.DUMMYFUNCTION("""COMPUTED_VALUE"""),7.762795)</f>
        <v>7.762795</v>
      </c>
      <c r="D11249" s="7">
        <f>IFERROR(__xludf.DUMMYFUNCTION("""COMPUTED_VALUE"""),0.352112676056338)</f>
        <v>0.3521126761</v>
      </c>
    </row>
    <row r="11250">
      <c r="A11250" s="10" t="s">
        <v>12689</v>
      </c>
      <c r="B11250" s="7" t="str">
        <f>IFERROR(__xludf.DUMMYFUNCTION("SPLIT(A11250,"" "")"),"CN(Cc1ccc2c(n1)CCC2)C1CCCCC1N(C)c1ccc2cc3c(nc2c1)CCC3")</f>
        <v>CN(Cc1ccc2c(n1)CCC2)C1CCCCC1N(C)c1ccc2cc3c(nc2c1)CCC3</v>
      </c>
      <c r="C11250" s="7">
        <f>IFERROR(__xludf.DUMMYFUNCTION("""COMPUTED_VALUE"""),7.7627935)</f>
        <v>7.7627935</v>
      </c>
      <c r="D11250" s="7">
        <f>IFERROR(__xludf.DUMMYFUNCTION("""COMPUTED_VALUE"""),0.482758620689655)</f>
        <v>0.4827586207</v>
      </c>
    </row>
    <row r="11251">
      <c r="A11251" s="10" t="s">
        <v>12690</v>
      </c>
      <c r="B11251" s="7" t="str">
        <f>IFERROR(__xludf.DUMMYFUNCTION("SPLIT(A11251,"" "")"),"Cc1cc(C)nc(CN(C)C2CCCCC2N(C)c2cccc3nc(CF)ccc23)c1")</f>
        <v>Cc1cc(C)nc(CN(C)C2CCCCC2N(C)c2cccc3nc(CF)ccc23)c1</v>
      </c>
      <c r="C11251" s="7">
        <f>IFERROR(__xludf.DUMMYFUNCTION("""COMPUTED_VALUE"""),7.76279)</f>
        <v>7.76279</v>
      </c>
      <c r="D11251" s="7">
        <f>IFERROR(__xludf.DUMMYFUNCTION("""COMPUTED_VALUE"""),0.5)</f>
        <v>0.5</v>
      </c>
    </row>
    <row r="11252">
      <c r="A11252" s="10" t="s">
        <v>12691</v>
      </c>
      <c r="B11252" s="7" t="str">
        <f>IFERROR(__xludf.DUMMYFUNCTION("SPLIT(A11252,"" "")"),"Cc1cnc(CN(C)C2CCC(N(C)c3ccc4ccc(CF)nc4c3)CC2)cc1C")</f>
        <v>Cc1cnc(CN(C)C2CCC(N(C)c3ccc4ccc(CF)nc4c3)CC2)cc1C</v>
      </c>
      <c r="C11252" s="7">
        <f>IFERROR(__xludf.DUMMYFUNCTION("""COMPUTED_VALUE"""),7.7627892)</f>
        <v>7.7627892</v>
      </c>
      <c r="D11252" s="7">
        <f>IFERROR(__xludf.DUMMYFUNCTION("""COMPUTED_VALUE"""),0.362068965517241)</f>
        <v>0.3620689655</v>
      </c>
    </row>
    <row r="11253">
      <c r="A11253" s="10" t="s">
        <v>12692</v>
      </c>
      <c r="B11253" s="7" t="str">
        <f>IFERROR(__xludf.DUMMYFUNCTION("SPLIT(A11253,"" "")"),"CC1=CCC(C)C(C)(N(Cc2ccccn2)Cc2cccc(-c3cccc(N(C)C)c3)n2)C1C")</f>
        <v>CC1=CCC(C)C(C)(N(Cc2ccccn2)Cc2cccc(-c3cccc(N(C)C)c3)n2)C1C</v>
      </c>
      <c r="C11253" s="7">
        <f>IFERROR(__xludf.DUMMYFUNCTION("""COMPUTED_VALUE"""),7.762788)</f>
        <v>7.762788</v>
      </c>
      <c r="D11253" s="7">
        <f>IFERROR(__xludf.DUMMYFUNCTION("""COMPUTED_VALUE"""),0.426470588235294)</f>
        <v>0.4264705882</v>
      </c>
    </row>
    <row r="11254">
      <c r="A11254" s="10" t="s">
        <v>12693</v>
      </c>
      <c r="B11254" s="7" t="str">
        <f>IFERROR(__xludf.DUMMYFUNCTION("SPLIT(A11254,"" "")"),"Cc1nc(CN(C)C2C=CNC(CN(C)Cc3ccc(N)c(C)c3C)=C2)c(C)c(C)c1C")</f>
        <v>Cc1nc(CN(C)C2C=CNC(CN(C)Cc3ccc(N)c(C)c3C)=C2)c(C)c(C)c1C</v>
      </c>
      <c r="C11254" s="7">
        <f>IFERROR(__xludf.DUMMYFUNCTION("""COMPUTED_VALUE"""),7.762784)</f>
        <v>7.762784</v>
      </c>
      <c r="D11254" s="7">
        <f>IFERROR(__xludf.DUMMYFUNCTION("""COMPUTED_VALUE"""),0.287878787878787)</f>
        <v>0.2878787879</v>
      </c>
    </row>
    <row r="11255">
      <c r="A11255" s="10" t="s">
        <v>12694</v>
      </c>
      <c r="B11255" s="7" t="str">
        <f>IFERROR(__xludf.DUMMYFUNCTION("SPLIT(A11255,"" "")"),"CN(C1=CCC=CN1)C1CCC(N(C)c2ccc3cc(CF)cnc3c2)CC1")</f>
        <v>CN(C1=CCC=CN1)C1CCC(N(C)c2ccc3cc(CF)cnc3c2)CC1</v>
      </c>
      <c r="C11255" s="7">
        <f>IFERROR(__xludf.DUMMYFUNCTION("""COMPUTED_VALUE"""),7.762783)</f>
        <v>7.762783</v>
      </c>
      <c r="D11255" s="7">
        <f>IFERROR(__xludf.DUMMYFUNCTION("""COMPUTED_VALUE"""),0.264705882352941)</f>
        <v>0.2647058824</v>
      </c>
    </row>
    <row r="11256">
      <c r="A11256" s="10" t="s">
        <v>12695</v>
      </c>
      <c r="B11256" s="7" t="str">
        <f>IFERROR(__xludf.DUMMYFUNCTION("SPLIT(A11256,"" "")"),"Cc1cnc(CN(C)CC2=CC(N(C)Cc3nc(C)c(C)c(C)c3C)C=CN2)cc1C")</f>
        <v>Cc1cnc(CN(C)CC2=CC(N(C)Cc3nc(C)c(C)c(C)c3C)C=CN2)cc1C</v>
      </c>
      <c r="C11256" s="7">
        <f>IFERROR(__xludf.DUMMYFUNCTION("""COMPUTED_VALUE"""),7.762781)</f>
        <v>7.762781</v>
      </c>
      <c r="D11256" s="7">
        <f>IFERROR(__xludf.DUMMYFUNCTION("""COMPUTED_VALUE"""),0.287878787878787)</f>
        <v>0.2878787879</v>
      </c>
    </row>
    <row r="11257">
      <c r="A11257" s="10" t="s">
        <v>12696</v>
      </c>
      <c r="B11257" s="7" t="str">
        <f>IFERROR(__xludf.DUMMYFUNCTION("SPLIT(A11257,"" "")"),"Cc1ccc(C)c(N(C)CCN(Cc2ccccn2)C(C)(N)c2ccccc2)c1C")</f>
        <v>Cc1ccc(C)c(N(C)CCN(Cc2ccccn2)C(C)(N)c2ccccc2)c1C</v>
      </c>
      <c r="C11257" s="7">
        <f>IFERROR(__xludf.DUMMYFUNCTION("""COMPUTED_VALUE"""),7.762779)</f>
        <v>7.762779</v>
      </c>
      <c r="D11257" s="7">
        <f>IFERROR(__xludf.DUMMYFUNCTION("""COMPUTED_VALUE"""),0.388888888888888)</f>
        <v>0.3888888889</v>
      </c>
    </row>
    <row r="11258">
      <c r="A11258" s="10" t="s">
        <v>12697</v>
      </c>
      <c r="B11258" s="7" t="str">
        <f>IFERROR(__xludf.DUMMYFUNCTION("SPLIT(A11258,"" "")"),"CN(C)Cc1cnc2cccc(N(C)C3CCCC(N(C)Cc4cccnn4)C3)c2c1")</f>
        <v>CN(C)Cc1cnc2cccc(N(C)C3CCCC(N(C)Cc4cccnn4)C3)c2c1</v>
      </c>
      <c r="C11258" s="7">
        <f>IFERROR(__xludf.DUMMYFUNCTION("""COMPUTED_VALUE"""),7.7627773)</f>
        <v>7.7627773</v>
      </c>
      <c r="D11258" s="7">
        <f>IFERROR(__xludf.DUMMYFUNCTION("""COMPUTED_VALUE"""),0.333333333333333)</f>
        <v>0.3333333333</v>
      </c>
    </row>
    <row r="11259">
      <c r="A11259" s="10" t="s">
        <v>12698</v>
      </c>
      <c r="B11259" s="7" t="str">
        <f>IFERROR(__xludf.DUMMYFUNCTION("SPLIT(A11259,"" "")"),"CC(N)c1ccc(CN(Cc2ccccn2)C2CCC(N(C)c3ccc4ccc(CF)nc4c3)CC2)cn1")</f>
        <v>CC(N)c1ccc(CN(Cc2ccccn2)C2CCC(N(C)c3ccc4ccc(CF)nc4c3)CC2)cn1</v>
      </c>
      <c r="C11259" s="7">
        <f>IFERROR(__xludf.DUMMYFUNCTION("""COMPUTED_VALUE"""),7.762773)</f>
        <v>7.762773</v>
      </c>
      <c r="D11259" s="7">
        <f>IFERROR(__xludf.DUMMYFUNCTION("""COMPUTED_VALUE"""),0.328571428571428)</f>
        <v>0.3285714286</v>
      </c>
    </row>
    <row r="11260">
      <c r="A11260" s="10" t="s">
        <v>12699</v>
      </c>
      <c r="B11260" s="7" t="str">
        <f>IFERROR(__xludf.DUMMYFUNCTION("SPLIT(A11260,"" "")"),"Cc1ccccc1CN(C)Cc1ncccc1C(C)(C)c1ccccn1")</f>
        <v>Cc1ccccc1CN(C)Cc1ncccc1C(C)(C)c1ccccn1</v>
      </c>
      <c r="C11260" s="7">
        <f>IFERROR(__xludf.DUMMYFUNCTION("""COMPUTED_VALUE"""),7.7627645)</f>
        <v>7.7627645</v>
      </c>
      <c r="D11260" s="7">
        <f>IFERROR(__xludf.DUMMYFUNCTION("""COMPUTED_VALUE"""),0.346153846153846)</f>
        <v>0.3461538462</v>
      </c>
    </row>
    <row r="11261">
      <c r="A11261" s="10" t="s">
        <v>12700</v>
      </c>
      <c r="B11261" s="7" t="str">
        <f>IFERROR(__xludf.DUMMYFUNCTION("SPLIT(A11261,"" "")"),"CC(N)c1cc(CN(Cc2ccccn2)C2CCC(N(C)c3ccc4nc(CF)ccc4c3)CC2)ccn1")</f>
        <v>CC(N)c1cc(CN(Cc2ccccn2)C2CCC(N(C)c3ccc4nc(CF)ccc4c3)CC2)ccn1</v>
      </c>
      <c r="C11261" s="7">
        <f>IFERROR(__xludf.DUMMYFUNCTION("""COMPUTED_VALUE"""),7.762762)</f>
        <v>7.762762</v>
      </c>
      <c r="D11261" s="7">
        <f>IFERROR(__xludf.DUMMYFUNCTION("""COMPUTED_VALUE"""),0.328571428571428)</f>
        <v>0.3285714286</v>
      </c>
    </row>
    <row r="11262">
      <c r="A11262" s="10" t="s">
        <v>12701</v>
      </c>
      <c r="B11262" s="7" t="str">
        <f>IFERROR(__xludf.DUMMYFUNCTION("SPLIT(A11262,"" "")"),"C=C1C=CNC(CN(C)Cc2ccccn2)=C1")</f>
        <v>C=C1C=CNC(CN(C)Cc2ccccn2)=C1</v>
      </c>
      <c r="C11262" s="7">
        <f>IFERROR(__xludf.DUMMYFUNCTION("""COMPUTED_VALUE"""),7.7627583)</f>
        <v>7.7627583</v>
      </c>
      <c r="D11262" s="7">
        <f>IFERROR(__xludf.DUMMYFUNCTION("""COMPUTED_VALUE"""),0.468085106382978)</f>
        <v>0.4680851064</v>
      </c>
    </row>
    <row r="11263">
      <c r="A11263" s="10" t="s">
        <v>12702</v>
      </c>
      <c r="B11263" s="7" t="str">
        <f>IFERROR(__xludf.DUMMYFUNCTION("SPLIT(A11263,"" "")"),"Cc1cncc(CN(C)Cc2cc(C(C)(C)C)ccn2)c1C")</f>
        <v>Cc1cncc(CN(C)Cc2cc(C(C)(C)C)ccn2)c1C</v>
      </c>
      <c r="C11263" s="7">
        <f>IFERROR(__xludf.DUMMYFUNCTION("""COMPUTED_VALUE"""),7.762745)</f>
        <v>7.762745</v>
      </c>
      <c r="D11263" s="7">
        <f>IFERROR(__xludf.DUMMYFUNCTION("""COMPUTED_VALUE"""),0.3)</f>
        <v>0.3</v>
      </c>
    </row>
    <row r="11264">
      <c r="A11264" s="10" t="s">
        <v>12703</v>
      </c>
      <c r="B11264" s="7" t="str">
        <f>IFERROR(__xludf.DUMMYFUNCTION("SPLIT(A11264,"" "")"),"CC(C)C(C)(c1cccnc1)N(Cc1ccccn1)Cc1cc(N(C)C)ccn1")</f>
        <v>CC(C)C(C)(c1cccnc1)N(Cc1ccccn1)Cc1cc(N(C)C)ccn1</v>
      </c>
      <c r="C11264" s="7">
        <f>IFERROR(__xludf.DUMMYFUNCTION("""COMPUTED_VALUE"""),7.7627425)</f>
        <v>7.7627425</v>
      </c>
      <c r="D11264" s="7">
        <f>IFERROR(__xludf.DUMMYFUNCTION("""COMPUTED_VALUE"""),0.388888888888888)</f>
        <v>0.3888888889</v>
      </c>
    </row>
    <row r="11265">
      <c r="A11265" s="10" t="s">
        <v>12704</v>
      </c>
      <c r="B11265" s="7" t="str">
        <f>IFERROR(__xludf.DUMMYFUNCTION("SPLIT(A11265,"" "")"),"Cc1cccnc1CN(C)C1=CNC(C(C)C)=CC1")</f>
        <v>Cc1cccnc1CN(C)C1=CNC(C(C)C)=CC1</v>
      </c>
      <c r="C11265" s="7">
        <f>IFERROR(__xludf.DUMMYFUNCTION("""COMPUTED_VALUE"""),7.7627387)</f>
        <v>7.7627387</v>
      </c>
      <c r="D11265" s="7">
        <f>IFERROR(__xludf.DUMMYFUNCTION("""COMPUTED_VALUE"""),0.277777777777777)</f>
        <v>0.2777777778</v>
      </c>
    </row>
    <row r="11266">
      <c r="A11266" s="10" t="s">
        <v>12705</v>
      </c>
      <c r="B11266" s="7" t="str">
        <f>IFERROR(__xludf.DUMMYFUNCTION("SPLIT(A11266,"" "")"),"Cc1cccnc1CN(C)C1=CNC=C(CN(C)C(C)(C)c2ccccn2)C1")</f>
        <v>Cc1cccnc1CN(C)C1=CNC=C(CN(C)C(C)(C)c2ccccn2)C1</v>
      </c>
      <c r="C11266" s="7">
        <f>IFERROR(__xludf.DUMMYFUNCTION("""COMPUTED_VALUE"""),7.7627354)</f>
        <v>7.7627354</v>
      </c>
      <c r="D11266" s="7">
        <f>IFERROR(__xludf.DUMMYFUNCTION("""COMPUTED_VALUE"""),0.274193548387096)</f>
        <v>0.2741935484</v>
      </c>
    </row>
    <row r="11267">
      <c r="A11267" s="10" t="s">
        <v>12706</v>
      </c>
      <c r="B11267" s="7" t="str">
        <f>IFERROR(__xludf.DUMMYFUNCTION("SPLIT(A11267,"" "")"),"CCN(Cc1ccccn1)Cc1ncc(C(C)(C)C)cc1CN(Cc1ccccn1)Cc1ncc(C)cc1C")</f>
        <v>CCN(Cc1ccccn1)Cc1ncc(C(C)(C)C)cc1CN(Cc1ccccn1)Cc1ncc(C)cc1C</v>
      </c>
      <c r="C11267" s="7">
        <f>IFERROR(__xludf.DUMMYFUNCTION("""COMPUTED_VALUE"""),7.762731)</f>
        <v>7.762731</v>
      </c>
      <c r="D11267" s="7">
        <f>IFERROR(__xludf.DUMMYFUNCTION("""COMPUTED_VALUE"""),0.408163265306122)</f>
        <v>0.4081632653</v>
      </c>
    </row>
    <row r="11268">
      <c r="A11268" s="10" t="s">
        <v>12707</v>
      </c>
      <c r="B11268" s="7" t="str">
        <f>IFERROR(__xludf.DUMMYFUNCTION("SPLIT(A11268,"" "")"),"Cc1ccnc(CN(Cc2ccc(CNC(C)C)nc2)C2CCCC(N(C)c3ccc4nccc(CF)c4c3)C2)c1")</f>
        <v>Cc1ccnc(CN(Cc2ccc(CNC(C)C)nc2)C2CCCC(N(C)c3ccc4nccc(CF)c4c3)C2)c1</v>
      </c>
      <c r="C11268" s="7">
        <f>IFERROR(__xludf.DUMMYFUNCTION("""COMPUTED_VALUE"""),7.7627254)</f>
        <v>7.7627254</v>
      </c>
      <c r="D11268" s="7">
        <f>IFERROR(__xludf.DUMMYFUNCTION("""COMPUTED_VALUE"""),0.246913580246913)</f>
        <v>0.2469135802</v>
      </c>
    </row>
    <row r="11269">
      <c r="A11269" s="10" t="s">
        <v>12708</v>
      </c>
      <c r="B11269" s="7" t="str">
        <f>IFERROR(__xludf.DUMMYFUNCTION("SPLIT(A11269,"" "")"),"Cc1cccc(CN(C)Cc2ncccc2C(C)(C)c2ccccn2)c1")</f>
        <v>Cc1cccc(CN(C)Cc2ncccc2C(C)(C)c2ccccn2)c1</v>
      </c>
      <c r="C11269" s="7">
        <f>IFERROR(__xludf.DUMMYFUNCTION("""COMPUTED_VALUE"""),7.762723)</f>
        <v>7.762723</v>
      </c>
      <c r="D11269" s="7">
        <f>IFERROR(__xludf.DUMMYFUNCTION("""COMPUTED_VALUE"""),0.31578947368421)</f>
        <v>0.3157894737</v>
      </c>
    </row>
    <row r="11270">
      <c r="A11270" s="10" t="s">
        <v>12709</v>
      </c>
      <c r="B11270" s="7" t="str">
        <f>IFERROR(__xludf.DUMMYFUNCTION("SPLIT(A11270,"" "")"),"CN(C)Cc1cnc2cccc(N(C)C3CCCCC3N(Cc3ccccn3)C(C)(C)c3ccccn3)c2c1")</f>
        <v>CN(C)Cc1cnc2cccc(N(C)C3CCCCC3N(Cc3ccccn3)C(C)(C)c3ccccn3)c2c1</v>
      </c>
      <c r="C11270" s="7">
        <f>IFERROR(__xludf.DUMMYFUNCTION("""COMPUTED_VALUE"""),7.7627196)</f>
        <v>7.7627196</v>
      </c>
      <c r="D11270" s="7">
        <f>IFERROR(__xludf.DUMMYFUNCTION("""COMPUTED_VALUE"""),0.40625)</f>
        <v>0.40625</v>
      </c>
    </row>
    <row r="11271">
      <c r="A11271" s="10" t="s">
        <v>12710</v>
      </c>
      <c r="B11271" s="7" t="str">
        <f>IFERROR(__xludf.DUMMYFUNCTION("SPLIT(A11271,"" "")"),"CCC(C)C(=O)C(=O)C(=O)C(C)C(=O)C(=O)C(=O)C(=O)C(=O)C(C)C(C)C(C)C(=O)C(=O)C(=O)C(C)C(=O)C(=O)C(=O)C(C)C(=O)C(=O)C(=O)C(C)C(=O)C(=O)C(=O)C(C)C(=O)C(=O)C(=O)C(=O)C(C)C(=O)c1cccnc1C1CCC1(C)C")</f>
        <v>CCC(C)C(=O)C(=O)C(=O)C(C)C(=O)C(=O)C(=O)C(=O)C(=O)C(C)C(C)C(C)C(=O)C(=O)C(=O)C(C)C(=O)C(=O)C(=O)C(C)C(=O)C(=O)C(=O)C(C)C(=O)C(=O)C(=O)C(C)C(=O)C(=O)C(=O)C(=O)C(C)C(=O)c1cccnc1C1CCC1(C)C</v>
      </c>
      <c r="C11271" s="7">
        <f>IFERROR(__xludf.DUMMYFUNCTION("""COMPUTED_VALUE"""),7.762717)</f>
        <v>7.762717</v>
      </c>
      <c r="D11271" s="7">
        <f>IFERROR(__xludf.DUMMYFUNCTION("""COMPUTED_VALUE"""),0.2)</f>
        <v>0.2</v>
      </c>
    </row>
    <row r="11272">
      <c r="A11272" s="10" t="s">
        <v>12711</v>
      </c>
      <c r="B11272" s="7" t="str">
        <f>IFERROR(__xludf.DUMMYFUNCTION("SPLIT(A11272,"" "")"),"CC(C)c1cccc(CNCc2ncccc2C(C)(C)c2ccccn2)n1")</f>
        <v>CC(C)c1cccc(CNCc2ncccc2C(C)(C)c2ccccn2)n1</v>
      </c>
      <c r="C11272" s="7">
        <f>IFERROR(__xludf.DUMMYFUNCTION("""COMPUTED_VALUE"""),7.7627163)</f>
        <v>7.7627163</v>
      </c>
      <c r="D11272" s="7">
        <f>IFERROR(__xludf.DUMMYFUNCTION("""COMPUTED_VALUE"""),0.333333333333333)</f>
        <v>0.3333333333</v>
      </c>
    </row>
    <row r="11273">
      <c r="A11273" s="10" t="s">
        <v>12712</v>
      </c>
      <c r="B11273" s="7" t="str">
        <f>IFERROR(__xludf.DUMMYFUNCTION("SPLIT(A11273,"" "")"),"Cc1cccnc1CN(C)C1=CNC(C(C)N)=CC1")</f>
        <v>Cc1cccnc1CN(C)C1=CNC(C(C)N)=CC1</v>
      </c>
      <c r="C11273" s="7">
        <f>IFERROR(__xludf.DUMMYFUNCTION("""COMPUTED_VALUE"""),7.762715)</f>
        <v>7.762715</v>
      </c>
      <c r="D11273" s="7">
        <f>IFERROR(__xludf.DUMMYFUNCTION("""COMPUTED_VALUE"""),0.267857142857142)</f>
        <v>0.2678571429</v>
      </c>
    </row>
    <row r="11274">
      <c r="A11274" s="10" t="s">
        <v>12713</v>
      </c>
      <c r="B11274" s="7" t="str">
        <f>IFERROR(__xludf.DUMMYFUNCTION("SPLIT(A11274,"" "")"),"Cc1cccnc1CN(C)C1CCCC(N(C)c2cccc3nc(CF)ccc23)C1")</f>
        <v>Cc1cccnc1CN(C)C1CCCC(N(C)c2cccc3nc(CF)ccc23)C1</v>
      </c>
      <c r="C11274" s="7">
        <f>IFERROR(__xludf.DUMMYFUNCTION("""COMPUTED_VALUE"""),7.7627125)</f>
        <v>7.7627125</v>
      </c>
      <c r="D11274" s="7">
        <f>IFERROR(__xludf.DUMMYFUNCTION("""COMPUTED_VALUE"""),0.373134328358209)</f>
        <v>0.3731343284</v>
      </c>
    </row>
    <row r="11275">
      <c r="A11275" s="10" t="s">
        <v>12714</v>
      </c>
      <c r="B11275" s="7" t="str">
        <f>IFERROR(__xludf.DUMMYFUNCTION("SPLIT(A11275,"" "")"),"CNCc1ccc2cccc(N(C)C3CCC(N(Cc4ccccn4)Cc4nc(C)ccc4C)CC3)c2n1")</f>
        <v>CNCc1ccc2cccc(N(C)C3CCC(N(Cc4ccccn4)Cc4nc(C)ccc4C)CC3)c2n1</v>
      </c>
      <c r="C11275" s="7">
        <f>IFERROR(__xludf.DUMMYFUNCTION("""COMPUTED_VALUE"""),7.7627096)</f>
        <v>7.7627096</v>
      </c>
      <c r="D11275" s="7">
        <f>IFERROR(__xludf.DUMMYFUNCTION("""COMPUTED_VALUE"""),0.361111111111111)</f>
        <v>0.3611111111</v>
      </c>
    </row>
    <row r="11276">
      <c r="A11276" s="10" t="s">
        <v>12715</v>
      </c>
      <c r="B11276" s="7" t="str">
        <f>IFERROR(__xludf.DUMMYFUNCTION("SPLIT(A11276,"" "")"),"CNCCN(Cc1ccccn1)c1cc(C)c(C)cc1C")</f>
        <v>CNCCN(Cc1ccccn1)c1cc(C)c(C)cc1C</v>
      </c>
      <c r="C11276" s="7">
        <f>IFERROR(__xludf.DUMMYFUNCTION("""COMPUTED_VALUE"""),7.7627063)</f>
        <v>7.7627063</v>
      </c>
      <c r="D11276" s="7">
        <f>IFERROR(__xludf.DUMMYFUNCTION("""COMPUTED_VALUE"""),0.444444444444444)</f>
        <v>0.4444444444</v>
      </c>
    </row>
    <row r="11277">
      <c r="A11277" s="10" t="s">
        <v>12716</v>
      </c>
      <c r="B11277" s="7" t="str">
        <f>IFERROR(__xludf.DUMMYFUNCTION("SPLIT(A11277,"" "")"),"CNCCN(Cc1nc(C)c(C)c(C)c1C)Cc1nc(C)c(C)c(C)c1C")</f>
        <v>CNCCN(Cc1nc(C)c(C)c(C)c1C)Cc1nc(C)c(C)c(C)c1C</v>
      </c>
      <c r="C11277" s="7">
        <f>IFERROR(__xludf.DUMMYFUNCTION("""COMPUTED_VALUE"""),7.7627063)</f>
        <v>7.7627063</v>
      </c>
      <c r="D11277" s="7">
        <f>IFERROR(__xludf.DUMMYFUNCTION("""COMPUTED_VALUE"""),0.204545454545454)</f>
        <v>0.2045454545</v>
      </c>
    </row>
    <row r="11278">
      <c r="A11278" s="10" t="s">
        <v>12717</v>
      </c>
      <c r="B11278" s="7" t="str">
        <f>IFERROR(__xludf.DUMMYFUNCTION("SPLIT(A11278,"" "")"),"CC(C)N(C)Cc1ncccc1N(C)C1CCCC(N(C)c2cccc3nc(CF)ccc23)C1")</f>
        <v>CC(C)N(C)Cc1ncccc1N(C)C1CCCC(N(C)c2cccc3nc(CF)ccc23)C1</v>
      </c>
      <c r="C11278" s="7">
        <f>IFERROR(__xludf.DUMMYFUNCTION("""COMPUTED_VALUE"""),7.762702)</f>
        <v>7.762702</v>
      </c>
      <c r="D11278" s="7">
        <f>IFERROR(__xludf.DUMMYFUNCTION("""COMPUTED_VALUE"""),0.373134328358209)</f>
        <v>0.3731343284</v>
      </c>
    </row>
    <row r="11279">
      <c r="A11279" s="10" t="s">
        <v>12718</v>
      </c>
      <c r="B11279" s="7" t="str">
        <f>IFERROR(__xludf.DUMMYFUNCTION("SPLIT(A11279,"" "")"),"CN(Cc1cc(-c2ccc3c(c2)OCCOCCOCCOCCOCCO3)ccn1)C1=CCC=C(CN(C)c2ccc3ncccc3c2)N1")</f>
        <v>CN(Cc1cc(-c2ccc3c(c2)OCCOCCOCCOCCOCCO3)ccn1)C1=CCC=C(CN(C)c2ccc3ncccc3c2)N1</v>
      </c>
      <c r="C11279" s="7">
        <f>IFERROR(__xludf.DUMMYFUNCTION("""COMPUTED_VALUE"""),7.7627015)</f>
        <v>7.7627015</v>
      </c>
      <c r="D11279" s="7">
        <f>IFERROR(__xludf.DUMMYFUNCTION("""COMPUTED_VALUE"""),0.297619047619047)</f>
        <v>0.2976190476</v>
      </c>
    </row>
    <row r="11280">
      <c r="A11280" s="10" t="s">
        <v>12719</v>
      </c>
      <c r="B11280" s="7" t="str">
        <f>IFERROR(__xludf.DUMMYFUNCTION("SPLIT(A11280,"" "")"),"Cc1ccc(N(C)Cc2cccc(-c3ccc4c(c3)OCCOCCOCCOCCOCCO4)n2)cc1-c1cccc(CN(Cc2ccccn2)C2CCC(N(C)c3ccc4ncccc4c3)CC2)n1")</f>
        <v>Cc1ccc(N(C)Cc2cccc(-c3ccc4c(c3)OCCOCCOCCOCCOCCO4)n2)cc1-c1cccc(CN(Cc2ccccn2)C2CCC(N(C)c3ccc4ncccc4c3)CC2)n1</v>
      </c>
      <c r="C11280" s="7">
        <f>IFERROR(__xludf.DUMMYFUNCTION("""COMPUTED_VALUE"""),7.7626925)</f>
        <v>7.7626925</v>
      </c>
      <c r="D11280" s="7">
        <f>IFERROR(__xludf.DUMMYFUNCTION("""COMPUTED_VALUE"""),0.314606741573033)</f>
        <v>0.3146067416</v>
      </c>
    </row>
    <row r="11281">
      <c r="A11281" s="10" t="s">
        <v>12720</v>
      </c>
      <c r="B11281" s="7" t="str">
        <f>IFERROR(__xludf.DUMMYFUNCTION("SPLIT(A11281,"" "")"),"Cc1cccnc1CN(C)C1=C(CN(Cc2ccccn2)C(C)C)NC=CC1")</f>
        <v>Cc1cccnc1CN(C)C1=C(CN(Cc2ccccn2)C(C)C)NC=CC1</v>
      </c>
      <c r="C11281" s="7">
        <f>IFERROR(__xludf.DUMMYFUNCTION("""COMPUTED_VALUE"""),7.7626925)</f>
        <v>7.7626925</v>
      </c>
      <c r="D11281" s="7">
        <f>IFERROR(__xludf.DUMMYFUNCTION("""COMPUTED_VALUE"""),0.444444444444444)</f>
        <v>0.4444444444</v>
      </c>
    </row>
    <row r="11282">
      <c r="A11282" s="10" t="s">
        <v>12721</v>
      </c>
      <c r="B11282" s="7" t="str">
        <f>IFERROR(__xludf.DUMMYFUNCTION("SPLIT(A11282,"" "")"),"CN(c1cccc2ncc(CF)cc12)C1CCCC(N(Cc2ccccn2)Cc2ccc(F)cn2)C1")</f>
        <v>CN(c1cccc2ncc(CF)cc12)C1CCCC(N(Cc2ccccn2)Cc2ccc(F)cn2)C1</v>
      </c>
      <c r="C11282" s="7">
        <f>IFERROR(__xludf.DUMMYFUNCTION("""COMPUTED_VALUE"""),7.762688)</f>
        <v>7.762688</v>
      </c>
      <c r="D11282" s="7">
        <f>IFERROR(__xludf.DUMMYFUNCTION("""COMPUTED_VALUE"""),0.338235294117647)</f>
        <v>0.3382352941</v>
      </c>
    </row>
    <row r="11283">
      <c r="A11283" s="10" t="s">
        <v>12722</v>
      </c>
      <c r="B11283" s="7" t="str">
        <f>IFERROR(__xludf.DUMMYFUNCTION("SPLIT(A11283,"" "")"),"CNCc1ncccc1N(C)O")</f>
        <v>CNCc1ncccc1N(C)O</v>
      </c>
      <c r="C11283" s="7">
        <f>IFERROR(__xludf.DUMMYFUNCTION("""COMPUTED_VALUE"""),7.762688)</f>
        <v>7.762688</v>
      </c>
      <c r="D11283" s="7">
        <f>IFERROR(__xludf.DUMMYFUNCTION("""COMPUTED_VALUE"""),0.365853658536585)</f>
        <v>0.3658536585</v>
      </c>
    </row>
    <row r="11284">
      <c r="A11284" s="10" t="s">
        <v>12723</v>
      </c>
      <c r="B11284" s="7" t="str">
        <f>IFERROR(__xludf.DUMMYFUNCTION("SPLIT(A11284,"" "")"),"Cc1ccc(CN(Cc2ccccn2)C2CCC(N(C)c3cccc4ncccc34)CC2)nc1")</f>
        <v>Cc1ccc(CN(Cc2ccccn2)C2CCC(N(C)c3cccc4ncccc34)CC2)nc1</v>
      </c>
      <c r="C11284" s="7">
        <f>IFERROR(__xludf.DUMMYFUNCTION("""COMPUTED_VALUE"""),7.762679)</f>
        <v>7.762679</v>
      </c>
      <c r="D11284" s="7">
        <f>IFERROR(__xludf.DUMMYFUNCTION("""COMPUTED_VALUE"""),0.389830508474576)</f>
        <v>0.3898305085</v>
      </c>
    </row>
    <row r="11285">
      <c r="A11285" s="10" t="s">
        <v>12724</v>
      </c>
      <c r="B11285" s="7" t="str">
        <f>IFERROR(__xludf.DUMMYFUNCTION("SPLIT(A11285,"" "")"),"CN1CCN(C)CCN(Cc2cncc(-c3cccc4ncccc34)c2)CC1")</f>
        <v>CN1CCN(C)CCN(Cc2cncc(-c3cccc4ncccc34)c2)CC1</v>
      </c>
      <c r="C11285" s="7">
        <f>IFERROR(__xludf.DUMMYFUNCTION("""COMPUTED_VALUE"""),7.7626734)</f>
        <v>7.7626734</v>
      </c>
      <c r="D11285" s="7">
        <f>IFERROR(__xludf.DUMMYFUNCTION("""COMPUTED_VALUE"""),0.403846153846153)</f>
        <v>0.4038461538</v>
      </c>
    </row>
    <row r="11286">
      <c r="A11286" s="10" t="s">
        <v>12725</v>
      </c>
      <c r="B11286" s="7" t="str">
        <f>IFERROR(__xludf.DUMMYFUNCTION("SPLIT(A11286,"" "")"),"CNCc1nc(CN(C)C2CCCCC2N(C)c2ccc3nccc(CF)c3c2)c(C)c(C)c1C")</f>
        <v>CNCc1nc(CN(C)C2CCCCC2N(C)c2ccc3nccc(CF)c3c2)c(C)c(C)c1C</v>
      </c>
      <c r="C11286" s="7">
        <f>IFERROR(__xludf.DUMMYFUNCTION("""COMPUTED_VALUE"""),7.7626686)</f>
        <v>7.7626686</v>
      </c>
      <c r="D11286" s="7">
        <f>IFERROR(__xludf.DUMMYFUNCTION("""COMPUTED_VALUE"""),0.308823529411764)</f>
        <v>0.3088235294</v>
      </c>
    </row>
    <row r="11287">
      <c r="A11287" s="10" t="s">
        <v>12726</v>
      </c>
      <c r="B11287" s="7" t="str">
        <f>IFERROR(__xludf.DUMMYFUNCTION("SPLIT(A11287,"" "")"),"CCN(Cc1ccccn1)c1ccc(-c2ccccn2)cc1-c1cccc(CN(Cc2ccccn2)Cc2cccc(-c3ccc4c(c3)OCCOCCOCCOCCOCCO4)n2)n1")</f>
        <v>CCN(Cc1ccccn1)c1ccc(-c2ccccn2)cc1-c1cccc(CN(Cc2ccccn2)Cc2cccc(-c3ccc4c(c3)OCCOCCOCCOCCOCCO4)n2)n1</v>
      </c>
      <c r="C11287" s="7">
        <f>IFERROR(__xludf.DUMMYFUNCTION("""COMPUTED_VALUE"""),7.7626653)</f>
        <v>7.7626653</v>
      </c>
      <c r="D11287" s="7">
        <f>IFERROR(__xludf.DUMMYFUNCTION("""COMPUTED_VALUE"""),0.442857142857142)</f>
        <v>0.4428571429</v>
      </c>
    </row>
    <row r="11288">
      <c r="A11288" s="10" t="s">
        <v>12727</v>
      </c>
      <c r="B11288" s="7" t="str">
        <f>IFERROR(__xludf.DUMMYFUNCTION("SPLIT(A11288,"" "")"),"CNCc1ncccc1CN(Cc1cc(C)ccn1)C1CCC(N(C)c2ccc3nccc(CF)c3c2)CC1")</f>
        <v>CNCc1ncccc1CN(Cc1cc(C)ccn1)C1CCC(N(C)c2ccc3nccc(CF)c3c2)CC1</v>
      </c>
      <c r="C11288" s="7">
        <f>IFERROR(__xludf.DUMMYFUNCTION("""COMPUTED_VALUE"""),7.7626586)</f>
        <v>7.7626586</v>
      </c>
      <c r="D11288" s="7">
        <f>IFERROR(__xludf.DUMMYFUNCTION("""COMPUTED_VALUE"""),0.233766233766233)</f>
        <v>0.2337662338</v>
      </c>
    </row>
    <row r="11289">
      <c r="A11289" s="10" t="s">
        <v>12728</v>
      </c>
      <c r="B11289" s="7" t="str">
        <f>IFERROR(__xludf.DUMMYFUNCTION("SPLIT(A11289,"" "")"),"CN1CCN(C)CCN(C(C)(C)c2ccc(CN(C)c3ccc4cccnc4c3)nc2)CC1")</f>
        <v>CN1CCN(C)CCN(C(C)(C)c2ccc(CN(C)c3ccc4cccnc4c3)nc2)CC1</v>
      </c>
      <c r="C11289" s="7">
        <f>IFERROR(__xludf.DUMMYFUNCTION("""COMPUTED_VALUE"""),7.7626543)</f>
        <v>7.7626543</v>
      </c>
      <c r="D11289" s="7">
        <f>IFERROR(__xludf.DUMMYFUNCTION("""COMPUTED_VALUE"""),0.327868852459016)</f>
        <v>0.3278688525</v>
      </c>
    </row>
    <row r="11290">
      <c r="A11290" s="10" t="s">
        <v>12729</v>
      </c>
      <c r="B11290" s="7" t="str">
        <f>IFERROR(__xludf.DUMMYFUNCTION("SPLIT(A11290,"" "")"),"Cc1cnc(C)c(CN(C)Cc2ncccc2N)c1")</f>
        <v>Cc1cnc(C)c(CN(C)Cc2ncccc2N)c1</v>
      </c>
      <c r="C11290" s="7">
        <f>IFERROR(__xludf.DUMMYFUNCTION("""COMPUTED_VALUE"""),7.762654)</f>
        <v>7.762654</v>
      </c>
      <c r="D11290" s="7">
        <f>IFERROR(__xludf.DUMMYFUNCTION("""COMPUTED_VALUE"""),0.34)</f>
        <v>0.34</v>
      </c>
    </row>
    <row r="11291">
      <c r="A11291" s="10" t="s">
        <v>12730</v>
      </c>
      <c r="B11291" s="7" t="str">
        <f>IFERROR(__xludf.DUMMYFUNCTION("SPLIT(A11291,"" "")"),"Cc1cc(-c2ncccc2CN(Cc2ccccn2)C2CCCCC2)cc(N(Cc2ccccn2)Cc2ccccn2)c1C")</f>
        <v>Cc1cc(-c2ncccc2CN(Cc2ccccn2)C2CCCCC2)cc(N(Cc2ccccn2)Cc2ccccn2)c1C</v>
      </c>
      <c r="C11291" s="7">
        <f>IFERROR(__xludf.DUMMYFUNCTION("""COMPUTED_VALUE"""),7.7626476)</f>
        <v>7.7626476</v>
      </c>
      <c r="D11291" s="7">
        <f>IFERROR(__xludf.DUMMYFUNCTION("""COMPUTED_VALUE"""),0.383333333333333)</f>
        <v>0.3833333333</v>
      </c>
    </row>
    <row r="11292">
      <c r="A11292" s="10" t="s">
        <v>12731</v>
      </c>
      <c r="B11292" s="7" t="str">
        <f>IFERROR(__xludf.DUMMYFUNCTION("SPLIT(A11292,"" "")"),"CC(C1=CCC(N(C)Cc2ccccn2)=CN1)c1ccccc1")</f>
        <v>CC(C1=CCC(N(C)Cc2ccccn2)=CN1)c1ccccc1</v>
      </c>
      <c r="C11292" s="7">
        <f>IFERROR(__xludf.DUMMYFUNCTION("""COMPUTED_VALUE"""),7.7626443)</f>
        <v>7.7626443</v>
      </c>
      <c r="D11292" s="7">
        <f>IFERROR(__xludf.DUMMYFUNCTION("""COMPUTED_VALUE"""),0.403846153846153)</f>
        <v>0.4038461538</v>
      </c>
    </row>
    <row r="11293">
      <c r="A11293" s="10" t="s">
        <v>12732</v>
      </c>
      <c r="B11293" s="7" t="str">
        <f>IFERROR(__xludf.DUMMYFUNCTION("SPLIT(A11293,"" "")"),"CNCC1=CCC(N(C)Cc2cccc(C)n2)=CN1")</f>
        <v>CNCC1=CCC(N(C)Cc2cccc(C)n2)=CN1</v>
      </c>
      <c r="C11293" s="7">
        <f>IFERROR(__xludf.DUMMYFUNCTION("""COMPUTED_VALUE"""),7.762642)</f>
        <v>7.762642</v>
      </c>
      <c r="D11293" s="7">
        <f>IFERROR(__xludf.DUMMYFUNCTION("""COMPUTED_VALUE"""),0.425531914893617)</f>
        <v>0.4255319149</v>
      </c>
    </row>
    <row r="11294">
      <c r="A11294" s="10" t="s">
        <v>12733</v>
      </c>
      <c r="B11294" s="7" t="str">
        <f>IFERROR(__xludf.DUMMYFUNCTION("SPLIT(A11294,"" "")"),"Cc1cc2c(c(CN(C)Cc3ccccn3)c1)C(C)C(C)C=C2")</f>
        <v>Cc1cc2c(c(CN(C)Cc3ccccn3)c1)C(C)C(C)C=C2</v>
      </c>
      <c r="C11294" s="7">
        <f>IFERROR(__xludf.DUMMYFUNCTION("""COMPUTED_VALUE"""),7.7626405)</f>
        <v>7.7626405</v>
      </c>
      <c r="D11294" s="7">
        <f>IFERROR(__xludf.DUMMYFUNCTION("""COMPUTED_VALUE"""),0.407407407407407)</f>
        <v>0.4074074074</v>
      </c>
    </row>
    <row r="11295">
      <c r="A11295" s="10" t="s">
        <v>12734</v>
      </c>
      <c r="B11295" s="7" t="str">
        <f>IFERROR(__xludf.DUMMYFUNCTION("SPLIT(A11295,"" "")"),"Cc1cnc(CN(C)CC2=CC(N(C)Cc3ncc(C)c(C)c3C)C=CN2)c(C)c1C")</f>
        <v>Cc1cnc(CN(C)CC2=CC(N(C)Cc3ncc(C)c(C)c3C)C=CN2)c(C)c1C</v>
      </c>
      <c r="C11295" s="7">
        <f>IFERROR(__xludf.DUMMYFUNCTION("""COMPUTED_VALUE"""),7.762637)</f>
        <v>7.762637</v>
      </c>
      <c r="D11295" s="7">
        <f>IFERROR(__xludf.DUMMYFUNCTION("""COMPUTED_VALUE"""),0.339285714285714)</f>
        <v>0.3392857143</v>
      </c>
    </row>
    <row r="11296">
      <c r="A11296" s="10" t="s">
        <v>12735</v>
      </c>
      <c r="B11296" s="7" t="str">
        <f>IFERROR(__xludf.DUMMYFUNCTION("SPLIT(A11296,"" "")"),"CNCc1nc(CN(Cc2ccccn2)C2CCCCC2N(C)c2cccc3ncc(CF)cc23)c(C)cc1C")</f>
        <v>CNCc1nc(CN(Cc2ccccn2)C2CCCCC2N(C)c2cccc3ncc(CF)cc23)c(C)cc1C</v>
      </c>
      <c r="C11296" s="7">
        <f>IFERROR(__xludf.DUMMYFUNCTION("""COMPUTED_VALUE"""),7.762636)</f>
        <v>7.762636</v>
      </c>
      <c r="D11296" s="7">
        <f>IFERROR(__xludf.DUMMYFUNCTION("""COMPUTED_VALUE"""),0.356164383561643)</f>
        <v>0.3561643836</v>
      </c>
    </row>
    <row r="11297">
      <c r="A11297" s="10" t="s">
        <v>12736</v>
      </c>
      <c r="B11297" s="7" t="str">
        <f>IFERROR(__xludf.DUMMYFUNCTION("SPLIT(A11297,"" "")"),"CCN(Cc1ccc2c(n1)CCC2)C1CCCC(N(C)c2ccc3nc4c(cc3c2)CCC4)C1")</f>
        <v>CCN(Cc1ccc2c(n1)CCC2)C1CCCC(N(C)c2ccc3nc4c(cc3c2)CCC4)C1</v>
      </c>
      <c r="C11297" s="7">
        <f>IFERROR(__xludf.DUMMYFUNCTION("""COMPUTED_VALUE"""),7.762631)</f>
        <v>7.762631</v>
      </c>
      <c r="D11297" s="7">
        <f>IFERROR(__xludf.DUMMYFUNCTION("""COMPUTED_VALUE"""),0.338235294117647)</f>
        <v>0.3382352941</v>
      </c>
    </row>
    <row r="11298">
      <c r="A11298" s="10" t="s">
        <v>12737</v>
      </c>
      <c r="B11298" s="7" t="str">
        <f>IFERROR(__xludf.DUMMYFUNCTION("SPLIT(A11298,"" "")"),"Cc1ccccc1NCc1ncccc1C(C)(C)C")</f>
        <v>Cc1ccccc1NCc1ncccc1C(C)(C)C</v>
      </c>
      <c r="C11298" s="7">
        <f>IFERROR(__xludf.DUMMYFUNCTION("""COMPUTED_VALUE"""),7.762631)</f>
        <v>7.762631</v>
      </c>
      <c r="D11298" s="7">
        <f>IFERROR(__xludf.DUMMYFUNCTION("""COMPUTED_VALUE"""),0.272727272727272)</f>
        <v>0.2727272727</v>
      </c>
    </row>
    <row r="11299">
      <c r="A11299" s="10" t="s">
        <v>12738</v>
      </c>
      <c r="B11299" s="7" t="str">
        <f>IFERROR(__xludf.DUMMYFUNCTION("SPLIT(A11299,"" "")"),"CNCc1nccc2cc(N(C)C3CCCCC3N(Cc3ccccn3)Cc3ccon3)ccc12")</f>
        <v>CNCc1nccc2cc(N(C)C3CCCCC3N(Cc3ccccn3)Cc3ccon3)ccc12</v>
      </c>
      <c r="C11299" s="7">
        <f>IFERROR(__xludf.DUMMYFUNCTION("""COMPUTED_VALUE"""),7.762631)</f>
        <v>7.762631</v>
      </c>
      <c r="D11299" s="7">
        <f>IFERROR(__xludf.DUMMYFUNCTION("""COMPUTED_VALUE"""),0.393939393939393)</f>
        <v>0.3939393939</v>
      </c>
    </row>
    <row r="11300">
      <c r="A11300" s="10" t="s">
        <v>12739</v>
      </c>
      <c r="B11300" s="7" t="str">
        <f>IFERROR(__xludf.DUMMYFUNCTION("SPLIT(A11300,"" "")"),"Cc1cc(CN(C)Cc2nccc(C)c2N)ccn1")</f>
        <v>Cc1cc(CN(C)Cc2nccc(C)c2N)ccn1</v>
      </c>
      <c r="C11300" s="7">
        <f>IFERROR(__xludf.DUMMYFUNCTION("""COMPUTED_VALUE"""),7.7626286)</f>
        <v>7.7626286</v>
      </c>
      <c r="D11300" s="7">
        <f>IFERROR(__xludf.DUMMYFUNCTION("""COMPUTED_VALUE"""),0.25)</f>
        <v>0.25</v>
      </c>
    </row>
    <row r="11301">
      <c r="A11301" s="10" t="s">
        <v>12740</v>
      </c>
      <c r="B11301" s="7" t="str">
        <f>IFERROR(__xludf.DUMMYFUNCTION("SPLIT(A11301,"" "")"),"Cc1cc(NCc2ccccn2)ccc1C(C)(C)N(C)C1CCCCC1N(C)c1cccc2ncccc12")</f>
        <v>Cc1cc(NCc2ccccn2)ccc1C(C)(C)N(C)C1CCCCC1N(C)c1cccc2ncccc12</v>
      </c>
      <c r="C11301" s="7">
        <f>IFERROR(__xludf.DUMMYFUNCTION("""COMPUTED_VALUE"""),7.7626276)</f>
        <v>7.7626276</v>
      </c>
      <c r="D11301" s="7">
        <f>IFERROR(__xludf.DUMMYFUNCTION("""COMPUTED_VALUE"""),0.357142857142857)</f>
        <v>0.3571428571</v>
      </c>
    </row>
    <row r="11302">
      <c r="A11302" s="10" t="s">
        <v>12741</v>
      </c>
      <c r="B11302" s="7" t="str">
        <f>IFERROR(__xludf.DUMMYFUNCTION("SPLIT(A11302,"" "")"),"CC(C)C(C)(c1cccnc1)c1cccc(CN(Cc2ccccn2)C2CCC(N(C)c3ccc4cc(CF)cnc4c3)CC2)n1")</f>
        <v>CC(C)C(C)(c1cccnc1)c1cccc(CN(Cc2ccccn2)C2CCC(N(C)c3ccc4cc(CF)cnc4c3)CC2)n1</v>
      </c>
      <c r="C11302" s="7">
        <f>IFERROR(__xludf.DUMMYFUNCTION("""COMPUTED_VALUE"""),7.762624)</f>
        <v>7.762624</v>
      </c>
      <c r="D11302" s="7">
        <f>IFERROR(__xludf.DUMMYFUNCTION("""COMPUTED_VALUE"""),0.2875)</f>
        <v>0.2875</v>
      </c>
    </row>
    <row r="11303">
      <c r="A11303" s="10" t="s">
        <v>12742</v>
      </c>
      <c r="B11303" s="7" t="str">
        <f>IFERROR(__xludf.DUMMYFUNCTION("SPLIT(A11303,"" "")"),"CNC1C=C(N(C)Cc2ccccn2)C=CN1")</f>
        <v>CNC1C=C(N(C)Cc2ccccn2)C=CN1</v>
      </c>
      <c r="C11303" s="7">
        <f>IFERROR(__xludf.DUMMYFUNCTION("""COMPUTED_VALUE"""),7.7626133)</f>
        <v>7.7626133</v>
      </c>
      <c r="D11303" s="7">
        <f>IFERROR(__xludf.DUMMYFUNCTION("""COMPUTED_VALUE"""),0.446808510638297)</f>
        <v>0.4468085106</v>
      </c>
    </row>
    <row r="11304">
      <c r="A11304" s="10" t="s">
        <v>12743</v>
      </c>
      <c r="B11304" s="7" t="str">
        <f>IFERROR(__xludf.DUMMYFUNCTION("SPLIT(A11304,"" "")"),"CC(C)C1(C)COC(c2ncccc2CN(Cc2ccccn2)Cc2ccccn2)=N1")</f>
        <v>CC(C)C1(C)COC(c2ncccc2CN(Cc2ccccn2)Cc2ccccn2)=N1</v>
      </c>
      <c r="C11304" s="7">
        <f>IFERROR(__xludf.DUMMYFUNCTION("""COMPUTED_VALUE"""),7.7626066)</f>
        <v>7.7626066</v>
      </c>
      <c r="D11304" s="7">
        <f>IFERROR(__xludf.DUMMYFUNCTION("""COMPUTED_VALUE"""),0.434782608695652)</f>
        <v>0.4347826087</v>
      </c>
    </row>
    <row r="11305">
      <c r="A11305" s="10" t="s">
        <v>12744</v>
      </c>
      <c r="B11305" s="7" t="str">
        <f>IFERROR(__xludf.DUMMYFUNCTION("SPLIT(A11305,"" "")"),"Cc1cc(CN(Cc2ccccn2)C2C=CC=CN2)nc(C)c1C")</f>
        <v>Cc1cc(CN(Cc2ccccn2)C2C=CC=CN2)nc(C)c1C</v>
      </c>
      <c r="C11305" s="7">
        <f>IFERROR(__xludf.DUMMYFUNCTION("""COMPUTED_VALUE"""),7.762582)</f>
        <v>7.762582</v>
      </c>
      <c r="D11305" s="7">
        <f>IFERROR(__xludf.DUMMYFUNCTION("""COMPUTED_VALUE"""),0.472727272727272)</f>
        <v>0.4727272727</v>
      </c>
    </row>
    <row r="11306">
      <c r="A11306" s="10" t="s">
        <v>12745</v>
      </c>
      <c r="B11306" s="7" t="str">
        <f>IFERROR(__xludf.DUMMYFUNCTION("SPLIT(A11306,"" "")"),"CNCc1cccc(N(C)C)n1")</f>
        <v>CNCc1cccc(N(C)C)n1</v>
      </c>
      <c r="C11306" s="7">
        <f>IFERROR(__xludf.DUMMYFUNCTION("""COMPUTED_VALUE"""),7.762576)</f>
        <v>7.762576</v>
      </c>
      <c r="D11306" s="7">
        <f>IFERROR(__xludf.DUMMYFUNCTION("""COMPUTED_VALUE"""),0.342105263157894)</f>
        <v>0.3421052632</v>
      </c>
    </row>
    <row r="11307">
      <c r="A11307" s="10" t="s">
        <v>12746</v>
      </c>
      <c r="B11307" s="7" t="str">
        <f>IFERROR(__xludf.DUMMYFUNCTION("SPLIT(A11307,"" "")"),"Cc1cccc(C(C)(C)c2cc(CN(Cc3ccccn3)Cc3ccccn3)ccn2)c1")</f>
        <v>Cc1cccc(C(C)(C)c2cc(CN(Cc3ccccn3)Cc3ccccn3)ccn2)c1</v>
      </c>
      <c r="C11307" s="7">
        <f>IFERROR(__xludf.DUMMYFUNCTION("""COMPUTED_VALUE"""),7.7625756)</f>
        <v>7.7625756</v>
      </c>
      <c r="D11307" s="7">
        <f>IFERROR(__xludf.DUMMYFUNCTION("""COMPUTED_VALUE"""),0.454545454545454)</f>
        <v>0.4545454545</v>
      </c>
    </row>
    <row r="11308">
      <c r="A11308" s="10" t="s">
        <v>12747</v>
      </c>
      <c r="B11308" s="7" t="str">
        <f>IFERROR(__xludf.DUMMYFUNCTION("SPLIT(A11308,"" "")"),"CC(C)C1COC(c2cccc(C(C)(C)C)n2)=N1")</f>
        <v>CC(C)C1COC(c2cccc(C(C)(C)C)n2)=N1</v>
      </c>
      <c r="C11308" s="7">
        <f>IFERROR(__xludf.DUMMYFUNCTION("""COMPUTED_VALUE"""),7.7625713)</f>
        <v>7.7625713</v>
      </c>
      <c r="D11308" s="7">
        <f>IFERROR(__xludf.DUMMYFUNCTION("""COMPUTED_VALUE"""),0.319148936170212)</f>
        <v>0.3191489362</v>
      </c>
    </row>
    <row r="11309">
      <c r="A11309" s="10" t="s">
        <v>12748</v>
      </c>
      <c r="B11309" s="7" t="str">
        <f>IFERROR(__xludf.DUMMYFUNCTION("SPLIT(A11309,"" "")"),"CN(Cc1cccnn1)C1=CNC=CC1")</f>
        <v>CN(Cc1cccnn1)C1=CNC=CC1</v>
      </c>
      <c r="C11309" s="7">
        <f>IFERROR(__xludf.DUMMYFUNCTION("""COMPUTED_VALUE"""),7.7625704)</f>
        <v>7.7625704</v>
      </c>
      <c r="D11309" s="7">
        <f>IFERROR(__xludf.DUMMYFUNCTION("""COMPUTED_VALUE"""),0.476190476190476)</f>
        <v>0.4761904762</v>
      </c>
    </row>
    <row r="11310">
      <c r="A11310" s="10" t="s">
        <v>12749</v>
      </c>
      <c r="B11310" s="7" t="str">
        <f>IFERROR(__xludf.DUMMYFUNCTION("SPLIT(A11310,"" "")"),"Cc1cccnc1CN(Cc1ccc(C2C3(C=CNC(C(C)C)=C3)C=CC(c3cc(CN(Cc4ccccn4)Cc4ccccn4)ccn3)C2(C)C)nc1)Cc1ccccn1")</f>
        <v>Cc1cccnc1CN(Cc1ccc(C2C3(C=CNC(C(C)C)=C3)C=CC(c3cc(CN(Cc4ccccn4)Cc4ccccn4)ccn3)C2(C)C)nc1)Cc1ccccn1</v>
      </c>
      <c r="C11310" s="7">
        <f>IFERROR(__xludf.DUMMYFUNCTION("""COMPUTED_VALUE"""),7.762569)</f>
        <v>7.762569</v>
      </c>
      <c r="D11310" s="7">
        <f>IFERROR(__xludf.DUMMYFUNCTION("""COMPUTED_VALUE"""),0.275)</f>
        <v>0.275</v>
      </c>
    </row>
    <row r="11311">
      <c r="A11311" s="10" t="s">
        <v>12750</v>
      </c>
      <c r="B11311" s="7" t="str">
        <f>IFERROR(__xludf.DUMMYFUNCTION("SPLIT(A11311,"" "")"),"CN(c1ccc2ncccc2c1)C1C2CCC1(N(C)C)CC2")</f>
        <v>CN(c1ccc2ncccc2c1)C1C2CCC1(N(C)C)CC2</v>
      </c>
      <c r="C11311" s="7">
        <f>IFERROR(__xludf.DUMMYFUNCTION("""COMPUTED_VALUE"""),7.762568)</f>
        <v>7.762568</v>
      </c>
      <c r="D11311" s="7">
        <f>IFERROR(__xludf.DUMMYFUNCTION("""COMPUTED_VALUE"""),0.351851851851851)</f>
        <v>0.3518518519</v>
      </c>
    </row>
    <row r="11312">
      <c r="A11312" s="10" t="s">
        <v>12751</v>
      </c>
      <c r="B11312" s="7" t="str">
        <f>IFERROR(__xludf.DUMMYFUNCTION("SPLIT(A11312,"" "")"),"Cc1ccc(C)c(CN(C)CC2=CC(N(C)Cc3nc(C)c(C)c(C)c3C)C=CN2)n1")</f>
        <v>Cc1ccc(C)c(CN(C)CC2=CC(N(C)Cc3nc(C)c(C)c(C)c3C)C=CN2)n1</v>
      </c>
      <c r="C11312" s="7">
        <f>IFERROR(__xludf.DUMMYFUNCTION("""COMPUTED_VALUE"""),7.762563)</f>
        <v>7.762563</v>
      </c>
      <c r="D11312" s="7">
        <f>IFERROR(__xludf.DUMMYFUNCTION("""COMPUTED_VALUE"""),0.296875)</f>
        <v>0.296875</v>
      </c>
    </row>
    <row r="11313">
      <c r="A11313" s="10" t="s">
        <v>12752</v>
      </c>
      <c r="B11313" s="7" t="str">
        <f>IFERROR(__xludf.DUMMYFUNCTION("SPLIT(A11313,"" "")"),"CC1(C)CC(c2cccc(CN(Cc3ccccn3)Cc3cccc(C(C)(C)c4ccccn4)n3)n2)C1")</f>
        <v>CC1(C)CC(c2cccc(CN(Cc3ccccn3)Cc3cccc(C(C)(C)c4ccccn4)n3)n2)C1</v>
      </c>
      <c r="C11313" s="7">
        <f>IFERROR(__xludf.DUMMYFUNCTION("""COMPUTED_VALUE"""),7.7625623)</f>
        <v>7.7625623</v>
      </c>
      <c r="D11313" s="7">
        <f>IFERROR(__xludf.DUMMYFUNCTION("""COMPUTED_VALUE"""),0.416666666666666)</f>
        <v>0.4166666667</v>
      </c>
    </row>
    <row r="11314">
      <c r="A11314" s="10" t="s">
        <v>12753</v>
      </c>
      <c r="B11314" s="7" t="str">
        <f>IFERROR(__xludf.DUMMYFUNCTION("SPLIT(A11314,"" "")"),"CCN(Cc1ccccn1)C1=C(CN(C)Cc2cc(C)c(C)c(C)n2)NC=CC1")</f>
        <v>CCN(Cc1ccccn1)C1=C(CN(C)Cc2cc(C)c(C)c(C)n2)NC=CC1</v>
      </c>
      <c r="C11314" s="7">
        <f>IFERROR(__xludf.DUMMYFUNCTION("""COMPUTED_VALUE"""),7.7625623)</f>
        <v>7.7625623</v>
      </c>
      <c r="D11314" s="7">
        <f>IFERROR(__xludf.DUMMYFUNCTION("""COMPUTED_VALUE"""),0.365079365079365)</f>
        <v>0.3650793651</v>
      </c>
    </row>
    <row r="11315">
      <c r="A11315" s="10" t="s">
        <v>12754</v>
      </c>
      <c r="B11315" s="7" t="str">
        <f>IFERROR(__xludf.DUMMYFUNCTION("SPLIT(A11315,"" "")"),"CNCc1cc(CN(Cc2ccccn2)C2CCC(N(C)c3ccc4nccc(C)c4c3)CC2)ccn1")</f>
        <v>CNCc1cc(CN(Cc2ccccn2)C2CCC(N(C)c3ccc4nccc(C)c4c3)CC2)ccn1</v>
      </c>
      <c r="C11315" s="7">
        <f>IFERROR(__xludf.DUMMYFUNCTION("""COMPUTED_VALUE"""),7.7625604)</f>
        <v>7.7625604</v>
      </c>
      <c r="D11315" s="7">
        <f>IFERROR(__xludf.DUMMYFUNCTION("""COMPUTED_VALUE"""),0.333333333333333)</f>
        <v>0.3333333333</v>
      </c>
    </row>
    <row r="11316">
      <c r="A11316" s="10" t="s">
        <v>12755</v>
      </c>
      <c r="B11316" s="7" t="str">
        <f>IFERROR(__xludf.DUMMYFUNCTION("SPLIT(A11316,"" "")"),"Cc1cc(C)c(C)c(CN(C)C2C=CNC(CN(C)Cc3cnc(C)c(C)c3)=C2)n1")</f>
        <v>Cc1cc(C)c(C)c(CN(C)C2C=CNC(CN(C)Cc3cnc(C)c(C)c3)=C2)n1</v>
      </c>
      <c r="C11316" s="7">
        <f>IFERROR(__xludf.DUMMYFUNCTION("""COMPUTED_VALUE"""),7.7625446)</f>
        <v>7.7625446</v>
      </c>
      <c r="D11316" s="7">
        <f>IFERROR(__xludf.DUMMYFUNCTION("""COMPUTED_VALUE"""),0.283582089552238)</f>
        <v>0.2835820896</v>
      </c>
    </row>
    <row r="11317">
      <c r="A11317" s="10" t="s">
        <v>12756</v>
      </c>
      <c r="B11317" s="7" t="str">
        <f>IFERROR(__xludf.DUMMYFUNCTION("SPLIT(A11317,"" "")"),"CNC1C(N(C)Cc2ncccc2C)CCCC1N(Cc1ncccc1C)c1ccc2nc(CF)ccc2c1")</f>
        <v>CNC1C(N(C)Cc2ncccc2C)CCCC1N(Cc1ncccc1C)c1ccc2nc(CF)ccc2c1</v>
      </c>
      <c r="C11317" s="7">
        <f>IFERROR(__xludf.DUMMYFUNCTION("""COMPUTED_VALUE"""),7.762544)</f>
        <v>7.762544</v>
      </c>
      <c r="D11317" s="7">
        <f>IFERROR(__xludf.DUMMYFUNCTION("""COMPUTED_VALUE"""),0.328767123287671)</f>
        <v>0.3287671233</v>
      </c>
    </row>
    <row r="11318">
      <c r="A11318" s="10" t="s">
        <v>12757</v>
      </c>
      <c r="B11318" s="7" t="str">
        <f>IFERROR(__xludf.DUMMYFUNCTION("SPLIT(A11318,"" "")"),"CC(C)(NCc1ccccn1)c1ncccc1NCc1ccccn1")</f>
        <v>CC(C)(NCc1ccccn1)c1ncccc1NCc1ccccn1</v>
      </c>
      <c r="C11318" s="7">
        <f>IFERROR(__xludf.DUMMYFUNCTION("""COMPUTED_VALUE"""),7.7625413)</f>
        <v>7.7625413</v>
      </c>
      <c r="D11318" s="7">
        <f>IFERROR(__xludf.DUMMYFUNCTION("""COMPUTED_VALUE"""),0.425)</f>
        <v>0.425</v>
      </c>
    </row>
    <row r="11319">
      <c r="A11319" s="10" t="s">
        <v>12758</v>
      </c>
      <c r="B11319" s="7" t="str">
        <f>IFERROR(__xludf.DUMMYFUNCTION("SPLIT(A11319,"" "")"),"CN(C1=CCC=CN1)C1CCCCC1N(C)c1ccc2cccnc2c1")</f>
        <v>CN(C1=CCC=CN1)C1CCCCC1N(C)c1ccc2cccnc2c1</v>
      </c>
      <c r="C11319" s="7">
        <f>IFERROR(__xludf.DUMMYFUNCTION("""COMPUTED_VALUE"""),7.7625294)</f>
        <v>7.7625294</v>
      </c>
      <c r="D11319" s="7">
        <f>IFERROR(__xludf.DUMMYFUNCTION("""COMPUTED_VALUE"""),0.428571428571428)</f>
        <v>0.4285714286</v>
      </c>
    </row>
    <row r="11320">
      <c r="A11320" s="10" t="s">
        <v>12759</v>
      </c>
      <c r="B11320" s="7" t="str">
        <f>IFERROR(__xludf.DUMMYFUNCTION("SPLIT(A11320,"" "")"),"CC(C)(CNCc1ccccn1)c1cccc(N=Cc2ccccn2)c1")</f>
        <v>CC(C)(CNCc1ccccn1)c1cccc(N=Cc2ccccn2)c1</v>
      </c>
      <c r="C11320" s="7">
        <f>IFERROR(__xludf.DUMMYFUNCTION("""COMPUTED_VALUE"""),7.762529)</f>
        <v>7.762529</v>
      </c>
      <c r="D11320" s="7">
        <f>IFERROR(__xludf.DUMMYFUNCTION("""COMPUTED_VALUE"""),0.387755102040816)</f>
        <v>0.387755102</v>
      </c>
    </row>
    <row r="11321">
      <c r="A11321" s="10" t="s">
        <v>12760</v>
      </c>
      <c r="B11321" s="7" t="str">
        <f>IFERROR(__xludf.DUMMYFUNCTION("SPLIT(A11321,"" "")"),"CCCN(Cc1ccccn1)Cc1ncccc1C(C)(C)c1ncccc1CN(Cc1ncccc1C)Cc1ncccc1C(C)(C)C")</f>
        <v>CCCN(Cc1ccccn1)Cc1ncccc1C(C)(C)c1ncccc1CN(Cc1ncccc1C)Cc1ncccc1C(C)(C)C</v>
      </c>
      <c r="C11321" s="7">
        <f>IFERROR(__xludf.DUMMYFUNCTION("""COMPUTED_VALUE"""),7.762526)</f>
        <v>7.762526</v>
      </c>
      <c r="D11321" s="7">
        <f>IFERROR(__xludf.DUMMYFUNCTION("""COMPUTED_VALUE"""),0.383333333333333)</f>
        <v>0.3833333333</v>
      </c>
    </row>
    <row r="11322">
      <c r="A11322" s="10" t="s">
        <v>12761</v>
      </c>
      <c r="B11322" s="7" t="str">
        <f>IFERROR(__xludf.DUMMYFUNCTION("SPLIT(A11322,"" "")"),"CCN(Cc1ccccn1)C1=C(CN(C)Cc2nc(C)c(C)cc2C)NC=CC1")</f>
        <v>CCN(Cc1ccccn1)C1=C(CN(C)Cc2nc(C)c(C)cc2C)NC=CC1</v>
      </c>
      <c r="C11322" s="7">
        <f>IFERROR(__xludf.DUMMYFUNCTION("""COMPUTED_VALUE"""),7.762521)</f>
        <v>7.762521</v>
      </c>
      <c r="D11322" s="7">
        <f>IFERROR(__xludf.DUMMYFUNCTION("""COMPUTED_VALUE"""),0.34375)</f>
        <v>0.34375</v>
      </c>
    </row>
    <row r="11323">
      <c r="A11323" s="10" t="s">
        <v>12762</v>
      </c>
      <c r="B11323" s="7" t="str">
        <f>IFERROR(__xludf.DUMMYFUNCTION("SPLIT(A11323,"" "")"),"Cc1cnc(CN(C)Cc2ncccc2C)c(C)c1")</f>
        <v>Cc1cnc(CN(C)Cc2ncccc2C)c(C)c1</v>
      </c>
      <c r="C11323" s="7">
        <f>IFERROR(__xludf.DUMMYFUNCTION("""COMPUTED_VALUE"""),7.7625184)</f>
        <v>7.7625184</v>
      </c>
      <c r="D11323" s="7">
        <f>IFERROR(__xludf.DUMMYFUNCTION("""COMPUTED_VALUE"""),0.357142857142857)</f>
        <v>0.3571428571</v>
      </c>
    </row>
    <row r="11324">
      <c r="A11324" s="10" t="s">
        <v>12763</v>
      </c>
      <c r="B11324" s="7" t="str">
        <f>IFERROR(__xludf.DUMMYFUNCTION("SPLIT(A11324,"" "")"),"Cc1ccc(CN(C)Cc2cccnn2)cc1NCc1ccccn1")</f>
        <v>Cc1ccc(CN(C)Cc2cccnn2)cc1NCc1ccccn1</v>
      </c>
      <c r="C11324" s="7">
        <f>IFERROR(__xludf.DUMMYFUNCTION("""COMPUTED_VALUE"""),7.7625117)</f>
        <v>7.7625117</v>
      </c>
      <c r="D11324" s="7">
        <f>IFERROR(__xludf.DUMMYFUNCTION("""COMPUTED_VALUE"""),0.46)</f>
        <v>0.46</v>
      </c>
    </row>
    <row r="11325">
      <c r="A11325" s="10" t="s">
        <v>12764</v>
      </c>
      <c r="B11325" s="7" t="str">
        <f>IFERROR(__xludf.DUMMYFUNCTION("SPLIT(A11325,"" "")"),"Cc1cnc(CN(C)C2CCCCC2N(C)c2cccc3ncc(CF)cc23)c(C)c1")</f>
        <v>Cc1cnc(CN(C)C2CCCCC2N(C)c2cccc3ncc(CF)cc23)c(C)c1</v>
      </c>
      <c r="C11325" s="7">
        <f>IFERROR(__xludf.DUMMYFUNCTION("""COMPUTED_VALUE"""),7.7625084)</f>
        <v>7.7625084</v>
      </c>
      <c r="D11325" s="7">
        <f>IFERROR(__xludf.DUMMYFUNCTION("""COMPUTED_VALUE"""),0.387096774193548)</f>
        <v>0.3870967742</v>
      </c>
    </row>
    <row r="11326">
      <c r="A11326" s="10" t="s">
        <v>12765</v>
      </c>
      <c r="B11326" s="7" t="str">
        <f>IFERROR(__xludf.DUMMYFUNCTION("SPLIT(A11326,"" "")"),"CC(C)N(C)Cc1cncc(N(C)Cc2ncccc2C(C)(C)C)c1")</f>
        <v>CC(C)N(C)Cc1cncc(N(C)Cc2ncccc2C(C)(C)C)c1</v>
      </c>
      <c r="C11326" s="7">
        <f>IFERROR(__xludf.DUMMYFUNCTION("""COMPUTED_VALUE"""),7.7625074)</f>
        <v>7.7625074</v>
      </c>
      <c r="D11326" s="7">
        <f>IFERROR(__xludf.DUMMYFUNCTION("""COMPUTED_VALUE"""),0.263157894736842)</f>
        <v>0.2631578947</v>
      </c>
    </row>
    <row r="11327">
      <c r="A11327" s="10" t="s">
        <v>12766</v>
      </c>
      <c r="B11327" s="7" t="str">
        <f>IFERROR(__xludf.DUMMYFUNCTION("SPLIT(A11327,"" "")"),"Cc1cccc(CN(C)C2=CNC(CN(Cc3ccccn3)C(C)C)=CC2)n1")</f>
        <v>Cc1cccc(CN(C)C2=CNC(CN(Cc3ccccn3)C(C)C)=CC2)n1</v>
      </c>
      <c r="C11327" s="7">
        <f>IFERROR(__xludf.DUMMYFUNCTION("""COMPUTED_VALUE"""),7.762507)</f>
        <v>7.762507</v>
      </c>
      <c r="D11327" s="7">
        <f>IFERROR(__xludf.DUMMYFUNCTION("""COMPUTED_VALUE"""),0.444444444444444)</f>
        <v>0.4444444444</v>
      </c>
    </row>
    <row r="11328">
      <c r="A11328" s="10" t="s">
        <v>12767</v>
      </c>
      <c r="B11328" s="7" t="str">
        <f>IFERROR(__xludf.DUMMYFUNCTION("SPLIT(A11328,"" "")"),"Cc1nc(CN(Cc2nc(C)c(C)c(C)c2C)C2CCC(N(C)Cc3ccc(-c4ccccn4)cn3)CC2)c(C)c(C)c1C")</f>
        <v>Cc1nc(CN(Cc2nc(C)c(C)c(C)c2C)C2CCC(N(C)Cc3ccc(-c4ccccn4)cn3)CC2)c(C)c(C)c1C</v>
      </c>
      <c r="C11328" s="7">
        <f>IFERROR(__xludf.DUMMYFUNCTION("""COMPUTED_VALUE"""),7.7624993)</f>
        <v>7.7624993</v>
      </c>
      <c r="D11328" s="7">
        <f>IFERROR(__xludf.DUMMYFUNCTION("""COMPUTED_VALUE"""),0.366666666666666)</f>
        <v>0.3666666667</v>
      </c>
    </row>
    <row r="11329">
      <c r="A11329" s="10" t="s">
        <v>12768</v>
      </c>
      <c r="B11329" s="7" t="str">
        <f>IFERROR(__xludf.DUMMYFUNCTION("SPLIT(A11329,"" "")"),"CN(C)c1cccc(CN(Cc2ccccn2)CC(C)(C)c2ccccn2)n1")</f>
        <v>CN(C)c1cccc(CN(Cc2ccccn2)CC(C)(C)c2ccccn2)n1</v>
      </c>
      <c r="C11329" s="7">
        <f>IFERROR(__xludf.DUMMYFUNCTION("""COMPUTED_VALUE"""),7.7624984)</f>
        <v>7.7624984</v>
      </c>
      <c r="D11329" s="7">
        <f>IFERROR(__xludf.DUMMYFUNCTION("""COMPUTED_VALUE"""),0.489361702127659)</f>
        <v>0.4893617021</v>
      </c>
    </row>
    <row r="11330">
      <c r="A11330" s="10" t="s">
        <v>12769</v>
      </c>
      <c r="B11330" s="7" t="str">
        <f>IFERROR(__xludf.DUMMYFUNCTION("SPLIT(A11330,"" "")"),"C1=CC(NCc2ccccn2)=CC(N(Cc2ccccn2)Cc2ccccn2)N1")</f>
        <v>C1=CC(NCc2ccccn2)=CC(N(Cc2ccccn2)Cc2ccccn2)N1</v>
      </c>
      <c r="C11330" s="7">
        <f>IFERROR(__xludf.DUMMYFUNCTION("""COMPUTED_VALUE"""),7.762495)</f>
        <v>7.762495</v>
      </c>
      <c r="D11330" s="7">
        <f>IFERROR(__xludf.DUMMYFUNCTION("""COMPUTED_VALUE"""),0.41860465116279)</f>
        <v>0.4186046512</v>
      </c>
    </row>
    <row r="11331">
      <c r="A11331" s="10" t="s">
        <v>12770</v>
      </c>
      <c r="B11331" s="7" t="str">
        <f>IFERROR(__xludf.DUMMYFUNCTION("SPLIT(A11331,"" "")"),"Cc1ncccc1CN(C)C1CCCCC1N(C)c1cccc2nccc(CN(C)C)c12")</f>
        <v>Cc1ncccc1CN(C)C1CCCCC1N(C)c1cccc2nccc(CN(C)C)c12</v>
      </c>
      <c r="C11331" s="7">
        <f>IFERROR(__xludf.DUMMYFUNCTION("""COMPUTED_VALUE"""),7.7624936)</f>
        <v>7.7624936</v>
      </c>
      <c r="D11331" s="7">
        <f>IFERROR(__xludf.DUMMYFUNCTION("""COMPUTED_VALUE"""),0.43103448275862)</f>
        <v>0.4310344828</v>
      </c>
    </row>
    <row r="11332">
      <c r="A11332" s="10" t="s">
        <v>12771</v>
      </c>
      <c r="B11332" s="7" t="str">
        <f>IFERROR(__xludf.DUMMYFUNCTION("SPLIT(A11332,"" "")"),"CN(C)Cc1cnc2ccc(N(C)C3CCC(N(Cc4ccccn4)Cc4cccc(C5CC(C)(C)C5)n4)CC3)cc2c1")</f>
        <v>CN(C)Cc1cnc2ccc(N(C)C3CCC(N(Cc4ccccn4)Cc4cccc(C5CC(C)(C)C5)n4)CC3)cc2c1</v>
      </c>
      <c r="C11332" s="7">
        <f>IFERROR(__xludf.DUMMYFUNCTION("""COMPUTED_VALUE"""),7.762491)</f>
        <v>7.762491</v>
      </c>
      <c r="D11332" s="7">
        <f>IFERROR(__xludf.DUMMYFUNCTION("""COMPUTED_VALUE"""),0.319444444444444)</f>
        <v>0.3194444444</v>
      </c>
    </row>
    <row r="11333">
      <c r="A11333" s="10" t="s">
        <v>12772</v>
      </c>
      <c r="B11333" s="7" t="str">
        <f>IFERROR(__xludf.DUMMYFUNCTION("SPLIT(A11333,"" "")"),"Cc1cnc(CN(C)c2cccnc2CN(CNCF)Cc2ccccn2)c(C)c1C")</f>
        <v>Cc1cnc(CN(C)c2cccnc2CN(CNCF)Cc2ccccn2)c(C)c1C</v>
      </c>
      <c r="C11333" s="7">
        <f>IFERROR(__xludf.DUMMYFUNCTION("""COMPUTED_VALUE"""),7.7624907)</f>
        <v>7.7624907</v>
      </c>
      <c r="D11333" s="7">
        <f>IFERROR(__xludf.DUMMYFUNCTION("""COMPUTED_VALUE"""),0.379310344827586)</f>
        <v>0.3793103448</v>
      </c>
    </row>
    <row r="11334">
      <c r="A11334" s="10" t="s">
        <v>12773</v>
      </c>
      <c r="B11334" s="7" t="str">
        <f>IFERROR(__xludf.DUMMYFUNCTION("SPLIT(A11334,"" "")"),"CCOC(C)c1cccc(CN(Cc2ccccn2)Cc2cccc(C(C)(C)c3ccccn3)n2)n1")</f>
        <v>CCOC(C)c1cccc(CN(Cc2ccccn2)Cc2cccc(C(C)(C)c3ccccn3)n2)n1</v>
      </c>
      <c r="C11334" s="7">
        <f>IFERROR(__xludf.DUMMYFUNCTION("""COMPUTED_VALUE"""),7.7624874)</f>
        <v>7.7624874</v>
      </c>
      <c r="D11334" s="7">
        <f>IFERROR(__xludf.DUMMYFUNCTION("""COMPUTED_VALUE"""),0.416666666666666)</f>
        <v>0.4166666667</v>
      </c>
    </row>
    <row r="11335">
      <c r="A11335" s="10" t="s">
        <v>12774</v>
      </c>
      <c r="B11335" s="7" t="str">
        <f>IFERROR(__xludf.DUMMYFUNCTION("SPLIT(A11335,"" "")"),"CN(c1ccc2ncccc2c1)C1c2cccnc2CC1N(Cc1ccccn1)Cc1ncccc1-c1ccc2c(c1)OCCOCCOCCOCCOCCO2")</f>
        <v>CN(c1ccc2ncccc2c1)C1c2cccnc2CC1N(Cc1ccccn1)Cc1ncccc1-c1ccc2c(c1)OCCOCCOCCOCCOCCO2</v>
      </c>
      <c r="C11335" s="7">
        <f>IFERROR(__xludf.DUMMYFUNCTION("""COMPUTED_VALUE"""),7.762487)</f>
        <v>7.762487</v>
      </c>
      <c r="D11335" s="7">
        <f>IFERROR(__xludf.DUMMYFUNCTION("""COMPUTED_VALUE"""),0.271739130434782)</f>
        <v>0.2717391304</v>
      </c>
    </row>
    <row r="11336">
      <c r="A11336" s="10" t="s">
        <v>12775</v>
      </c>
      <c r="B11336" s="7" t="str">
        <f>IFERROR(__xludf.DUMMYFUNCTION("SPLIT(A11336,"" "")"),"CC(C)N(Cc1ccc([Si](C(C)C)(C(C)C)C(C)C)cn1)Cc1cc(C(C)(C)c2ccccn2)ccn1")</f>
        <v>CC(C)N(Cc1ccc([Si](C(C)C)(C(C)C)C(C)C)cn1)Cc1cc(C(C)(C)c2ccccn2)ccn1</v>
      </c>
      <c r="C11336" s="7">
        <f>IFERROR(__xludf.DUMMYFUNCTION("""COMPUTED_VALUE"""),7.762483)</f>
        <v>7.762483</v>
      </c>
      <c r="D11336" s="7">
        <f>IFERROR(__xludf.DUMMYFUNCTION("""COMPUTED_VALUE"""),0.452830188679245)</f>
        <v>0.4528301887</v>
      </c>
    </row>
    <row r="11337">
      <c r="A11337" s="10" t="s">
        <v>12776</v>
      </c>
      <c r="B11337" s="7" t="str">
        <f>IFERROR(__xludf.DUMMYFUNCTION("SPLIT(A11337,"" "")"),"CNCc1cc(CN(C)Cc2nc(C)c(C)c(C)c2C)ccn1")</f>
        <v>CNCc1cc(CN(C)Cc2nc(C)c(C)c(C)c2C)ccn1</v>
      </c>
      <c r="C11337" s="7">
        <f>IFERROR(__xludf.DUMMYFUNCTION("""COMPUTED_VALUE"""),7.762478)</f>
        <v>7.762478</v>
      </c>
      <c r="D11337" s="7">
        <f>IFERROR(__xludf.DUMMYFUNCTION("""COMPUTED_VALUE"""),0.29090909090909)</f>
        <v>0.2909090909</v>
      </c>
    </row>
    <row r="11338">
      <c r="A11338" s="10" t="s">
        <v>12777</v>
      </c>
      <c r="B11338" s="7" t="str">
        <f>IFERROR(__xludf.DUMMYFUNCTION("SPLIT(A11338,"" "")"),"CN(Cc1ccccn1)C1=CC=CNC1NCc1ccccn1")</f>
        <v>CN(Cc1ccccn1)C1=CC=CNC1NCc1ccccn1</v>
      </c>
      <c r="C11338" s="7">
        <f>IFERROR(__xludf.DUMMYFUNCTION("""COMPUTED_VALUE"""),7.7624774)</f>
        <v>7.7624774</v>
      </c>
      <c r="D11338" s="7">
        <f>IFERROR(__xludf.DUMMYFUNCTION("""COMPUTED_VALUE"""),0.425925925925925)</f>
        <v>0.4259259259</v>
      </c>
    </row>
    <row r="11339">
      <c r="A11339" s="10" t="s">
        <v>12778</v>
      </c>
      <c r="B11339" s="7" t="str">
        <f>IFERROR(__xludf.DUMMYFUNCTION("SPLIT(A11339,"" "")"),"CC(N)C(C)(c1cccnc1)c1cccc(CN(Cc2ccccn2)C2CCC(N(C)c3ccc4cc(CF)cnc4c3)CC2)n1")</f>
        <v>CC(N)C(C)(c1cccnc1)c1cccc(CN(Cc2ccccn2)C2CCC(N(C)c3ccc4cc(CF)cnc4c3)CC2)n1</v>
      </c>
      <c r="C11339" s="7">
        <f>IFERROR(__xludf.DUMMYFUNCTION("""COMPUTED_VALUE"""),7.7624755)</f>
        <v>7.7624755</v>
      </c>
      <c r="D11339" s="7">
        <f>IFERROR(__xludf.DUMMYFUNCTION("""COMPUTED_VALUE"""),0.280487804878048)</f>
        <v>0.2804878049</v>
      </c>
    </row>
    <row r="11340">
      <c r="A11340" s="10" t="s">
        <v>12779</v>
      </c>
      <c r="B11340" s="7" t="str">
        <f>IFERROR(__xludf.DUMMYFUNCTION("SPLIT(A11340,"" "")"),"CCCN(C)Cc1nc(C)c(C)o1")</f>
        <v>CCCN(C)Cc1nc(C)c(C)o1</v>
      </c>
      <c r="C11340" s="7">
        <f>IFERROR(__xludf.DUMMYFUNCTION("""COMPUTED_VALUE"""),7.7624736)</f>
        <v>7.7624736</v>
      </c>
      <c r="D11340" s="7">
        <f>IFERROR(__xludf.DUMMYFUNCTION("""COMPUTED_VALUE"""),0.3)</f>
        <v>0.3</v>
      </c>
    </row>
    <row r="11341">
      <c r="A11341" s="10" t="s">
        <v>12780</v>
      </c>
      <c r="B11341" s="7" t="str">
        <f>IFERROR(__xludf.DUMMYFUNCTION("SPLIT(A11341,"" "")"),"Cc1ccnc(CN(C)CC2=CCC=C(N(C)C)N2)c1")</f>
        <v>Cc1ccnc(CN(C)CC2=CCC=C(N(C)C)N2)c1</v>
      </c>
      <c r="C11341" s="7">
        <f>IFERROR(__xludf.DUMMYFUNCTION("""COMPUTED_VALUE"""),7.762471)</f>
        <v>7.762471</v>
      </c>
      <c r="D11341" s="7">
        <f>IFERROR(__xludf.DUMMYFUNCTION("""COMPUTED_VALUE"""),0.372549019607843)</f>
        <v>0.3725490196</v>
      </c>
    </row>
    <row r="11342">
      <c r="A11342" s="10" t="s">
        <v>12781</v>
      </c>
      <c r="B11342" s="7" t="str">
        <f>IFERROR(__xludf.DUMMYFUNCTION("SPLIT(A11342,"" "")"),"Cc1cccnc1CN(C)C1CCCC(N(C)c2cccc3ncc(CF)cc23)C1")</f>
        <v>Cc1cccnc1CN(C)C1CCCC(N(C)c2cccc3ncc(CF)cc23)C1</v>
      </c>
      <c r="C11342" s="7">
        <f>IFERROR(__xludf.DUMMYFUNCTION("""COMPUTED_VALUE"""),7.7624702)</f>
        <v>7.7624702</v>
      </c>
      <c r="D11342" s="7">
        <f>IFERROR(__xludf.DUMMYFUNCTION("""COMPUTED_VALUE"""),0.294117647058823)</f>
        <v>0.2941176471</v>
      </c>
    </row>
    <row r="11343">
      <c r="A11343" s="10" t="s">
        <v>12782</v>
      </c>
      <c r="B11343" s="7" t="str">
        <f>IFERROR(__xludf.DUMMYFUNCTION("SPLIT(A11343,"" "")"),"CCN(Cc1ccccn1)Cc1cccc(N(C)C2CCCCC2N(C)c2cccc3ncccc23)n1")</f>
        <v>CCN(Cc1ccccn1)Cc1cccc(N(C)C2CCCCC2N(C)c2cccc3ncccc23)n1</v>
      </c>
      <c r="C11343" s="7">
        <f>IFERROR(__xludf.DUMMYFUNCTION("""COMPUTED_VALUE"""),7.762466)</f>
        <v>7.762466</v>
      </c>
      <c r="D11343" s="7">
        <f>IFERROR(__xludf.DUMMYFUNCTION("""COMPUTED_VALUE"""),0.448275862068965)</f>
        <v>0.4482758621</v>
      </c>
    </row>
    <row r="11344">
      <c r="A11344" s="10" t="s">
        <v>12783</v>
      </c>
      <c r="B11344" s="7" t="str">
        <f>IFERROR(__xludf.DUMMYFUNCTION("SPLIT(A11344,"" "")"),"CN(Cc1ccc(Cl)cn1)C1=CNC(C(C)(C)C)=CC1")</f>
        <v>CN(Cc1ccc(Cl)cn1)C1=CNC(C(C)(C)C)=CC1</v>
      </c>
      <c r="C11344" s="7">
        <f>IFERROR(__xludf.DUMMYFUNCTION("""COMPUTED_VALUE"""),7.7624545)</f>
        <v>7.7624545</v>
      </c>
      <c r="D11344" s="7">
        <f>IFERROR(__xludf.DUMMYFUNCTION("""COMPUTED_VALUE"""),0.29090909090909)</f>
        <v>0.2909090909</v>
      </c>
    </row>
    <row r="11345">
      <c r="A11345" s="10" t="s">
        <v>12784</v>
      </c>
      <c r="B11345" s="7" t="str">
        <f>IFERROR(__xludf.DUMMYFUNCTION("SPLIT(A11345,"" "")"),"CNCc1ncccc1CN(C)C1CCCCC1N(C)Cc1ncccc1-c1cccc2ncccc12")</f>
        <v>CNCc1ncccc1CN(C)C1CCCCC1N(C)Cc1ncccc1-c1cccc2ncccc12</v>
      </c>
      <c r="C11345" s="7">
        <f>IFERROR(__xludf.DUMMYFUNCTION("""COMPUTED_VALUE"""),7.7624536)</f>
        <v>7.7624536</v>
      </c>
      <c r="D11345" s="7">
        <f>IFERROR(__xludf.DUMMYFUNCTION("""COMPUTED_VALUE"""),0.396551724137931)</f>
        <v>0.3965517241</v>
      </c>
    </row>
    <row r="11346">
      <c r="A11346" s="10" t="s">
        <v>12785</v>
      </c>
      <c r="B11346" s="7" t="str">
        <f>IFERROR(__xludf.DUMMYFUNCTION("SPLIT(A11346,"" "")"),"Cc1ccccc1CN(C)Cc1cc(C)c(C)c(C)n1")</f>
        <v>Cc1ccccc1CN(C)Cc1cc(C)c(C)c(C)n1</v>
      </c>
      <c r="C11346" s="7">
        <f>IFERROR(__xludf.DUMMYFUNCTION("""COMPUTED_VALUE"""),7.7624516)</f>
        <v>7.7624516</v>
      </c>
      <c r="D11346" s="7">
        <f>IFERROR(__xludf.DUMMYFUNCTION("""COMPUTED_VALUE"""),0.348837209302325)</f>
        <v>0.3488372093</v>
      </c>
    </row>
    <row r="11347">
      <c r="A11347" s="10" t="s">
        <v>12786</v>
      </c>
      <c r="B11347" s="7" t="str">
        <f>IFERROR(__xludf.DUMMYFUNCTION("SPLIT(A11347,"" "")"),"CCNCc1ccc2ccc(N(C)C3CCC(N(Cc4ccccn4)c4ccccc4F)CC3)cc2n1")</f>
        <v>CCNCc1ccc2ccc(N(C)C3CCC(N(Cc4ccccn4)c4ccccc4F)CC3)cc2n1</v>
      </c>
      <c r="C11347" s="7">
        <f>IFERROR(__xludf.DUMMYFUNCTION("""COMPUTED_VALUE"""),7.762451)</f>
        <v>7.762451</v>
      </c>
      <c r="D11347" s="7">
        <f>IFERROR(__xludf.DUMMYFUNCTION("""COMPUTED_VALUE"""),0.348484848484848)</f>
        <v>0.3484848485</v>
      </c>
    </row>
    <row r="11348">
      <c r="A11348" s="10" t="s">
        <v>12787</v>
      </c>
      <c r="B11348" s="7" t="str">
        <f>IFERROR(__xludf.DUMMYFUNCTION("SPLIT(A11348,"" "")"),"CN1CCN(C)CCN(Cc2ccc(-c3ccc4ncccc4c3)nc2)CC1")</f>
        <v>CN1CCN(C)CCN(Cc2ccc(-c3ccc4ncccc4c3)nc2)CC1</v>
      </c>
      <c r="C11348" s="7">
        <f>IFERROR(__xludf.DUMMYFUNCTION("""COMPUTED_VALUE"""),7.762444)</f>
        <v>7.762444</v>
      </c>
      <c r="D11348" s="7">
        <f>IFERROR(__xludf.DUMMYFUNCTION("""COMPUTED_VALUE"""),0.411764705882352)</f>
        <v>0.4117647059</v>
      </c>
    </row>
    <row r="11349">
      <c r="A11349" s="10" t="s">
        <v>12788</v>
      </c>
      <c r="B11349" s="7" t="str">
        <f>IFERROR(__xludf.DUMMYFUNCTION("SPLIT(A11349,"" "")"),"CCCN(C)CC1=CCC(N(C)Cc2nc(C)c(C)c(C)c2C)=CN1")</f>
        <v>CCCN(C)CC1=CCC(N(C)Cc2nc(C)c(C)c(C)c2C)=CN1</v>
      </c>
      <c r="C11349" s="7">
        <f>IFERROR(__xludf.DUMMYFUNCTION("""COMPUTED_VALUE"""),7.76244)</f>
        <v>7.76244</v>
      </c>
      <c r="D11349" s="7">
        <f>IFERROR(__xludf.DUMMYFUNCTION("""COMPUTED_VALUE"""),0.236363636363636)</f>
        <v>0.2363636364</v>
      </c>
    </row>
    <row r="11350">
      <c r="A11350" s="10" t="s">
        <v>12789</v>
      </c>
      <c r="B11350" s="7" t="str">
        <f>IFERROR(__xludf.DUMMYFUNCTION("SPLIT(A11350,"" "")"),"CCCN(CC1=CCC=C(N(C)Cc2nc(C)cc(C)c2C)N1)Cc1ccccn1")</f>
        <v>CCCN(CC1=CCC=C(N(C)Cc2nc(C)cc(C)c2C)N1)Cc1ccccn1</v>
      </c>
      <c r="C11350" s="7">
        <f>IFERROR(__xludf.DUMMYFUNCTION("""COMPUTED_VALUE"""),7.7624397)</f>
        <v>7.7624397</v>
      </c>
      <c r="D11350" s="7">
        <f>IFERROR(__xludf.DUMMYFUNCTION("""COMPUTED_VALUE"""),0.393939393939393)</f>
        <v>0.3939393939</v>
      </c>
    </row>
    <row r="11351">
      <c r="A11351" s="10" t="s">
        <v>12790</v>
      </c>
      <c r="B11351" s="7" t="str">
        <f>IFERROR(__xludf.DUMMYFUNCTION("SPLIT(A11351,"" "")"),"Cc1cc(CN(C)CC2=CC(N(C)Cc3cc(C)c(C)c(C)n3)C=CN2)cnc1C")</f>
        <v>Cc1cc(CN(C)CC2=CC(N(C)Cc3cc(C)c(C)c(C)n3)C=CN2)cnc1C</v>
      </c>
      <c r="C11351" s="7">
        <f>IFERROR(__xludf.DUMMYFUNCTION("""COMPUTED_VALUE"""),7.7624393)</f>
        <v>7.7624393</v>
      </c>
      <c r="D11351" s="7">
        <f>IFERROR(__xludf.DUMMYFUNCTION("""COMPUTED_VALUE"""),0.287878787878787)</f>
        <v>0.2878787879</v>
      </c>
    </row>
    <row r="11352">
      <c r="A11352" s="10" t="s">
        <v>12791</v>
      </c>
      <c r="B11352" s="7" t="str">
        <f>IFERROR(__xludf.DUMMYFUNCTION("SPLIT(A11352,"" "")"),"CN(C)c1cccc(-c2cccc(CN(Cc3cccc(C4=NC(C)(C)CO4)n3)Cc3cccc(-c4ccc5c(c4)OCCOCCOCCOCCOCCO5)n3)n2)c1")</f>
        <v>CN(C)c1cccc(-c2cccc(CN(Cc3cccc(C4=NC(C)(C)CO4)n3)Cc3cccc(-c4ccc5c(c4)OCCOCCOCCOCCOCCO5)n3)n2)c1</v>
      </c>
      <c r="C11352" s="7">
        <f>IFERROR(__xludf.DUMMYFUNCTION("""COMPUTED_VALUE"""),7.762436)</f>
        <v>7.762436</v>
      </c>
      <c r="D11352" s="7">
        <f>IFERROR(__xludf.DUMMYFUNCTION("""COMPUTED_VALUE"""),0.416666666666666)</f>
        <v>0.4166666667</v>
      </c>
    </row>
    <row r="11353">
      <c r="A11353" s="10" t="s">
        <v>12792</v>
      </c>
      <c r="B11353" s="7" t="str">
        <f>IFERROR(__xludf.DUMMYFUNCTION("SPLIT(A11353,"" "")"),"CCN(CCN(C)CC(C)(C)C)c1cccc2ncccc12")</f>
        <v>CCN(CCN(C)CC(C)(C)C)c1cccc2ncccc12</v>
      </c>
      <c r="C11353" s="7">
        <f>IFERROR(__xludf.DUMMYFUNCTION("""COMPUTED_VALUE"""),7.7624207)</f>
        <v>7.7624207</v>
      </c>
      <c r="D11353" s="7">
        <f>IFERROR(__xludf.DUMMYFUNCTION("""COMPUTED_VALUE"""),0.34)</f>
        <v>0.34</v>
      </c>
    </row>
    <row r="11354">
      <c r="A11354" s="10" t="s">
        <v>12793</v>
      </c>
      <c r="B11354" s="7" t="str">
        <f>IFERROR(__xludf.DUMMYFUNCTION("SPLIT(A11354,"" "")"),"Cc1cnc(CN(C)C2CCCCC2N(C)c2cccc3nc(CF)ccc23)c(C)c1")</f>
        <v>Cc1cnc(CN(C)C2CCCCC2N(C)c2cccc3nc(CF)ccc23)c(C)c1</v>
      </c>
      <c r="C11354" s="7">
        <f>IFERROR(__xludf.DUMMYFUNCTION("""COMPUTED_VALUE"""),7.7624197)</f>
        <v>7.7624197</v>
      </c>
      <c r="D11354" s="7">
        <f>IFERROR(__xludf.DUMMYFUNCTION("""COMPUTED_VALUE"""),0.476190476190476)</f>
        <v>0.4761904762</v>
      </c>
    </row>
    <row r="11355">
      <c r="A11355" s="10" t="s">
        <v>12794</v>
      </c>
      <c r="B11355" s="7" t="str">
        <f>IFERROR(__xludf.DUMMYFUNCTION("SPLIT(A11355,"" "")"),"Cc1cccc(CN(C)C2CCCC(N(C)c3cccc4nc(CF)ccc34)C2)n1")</f>
        <v>Cc1cccc(CN(C)C2CCCC(N(C)c3cccc4nc(CF)ccc34)C2)n1</v>
      </c>
      <c r="C11355" s="7">
        <f>IFERROR(__xludf.DUMMYFUNCTION("""COMPUTED_VALUE"""),7.7624183)</f>
        <v>7.7624183</v>
      </c>
      <c r="D11355" s="7">
        <f>IFERROR(__xludf.DUMMYFUNCTION("""COMPUTED_VALUE"""),0.464285714285714)</f>
        <v>0.4642857143</v>
      </c>
    </row>
    <row r="11356">
      <c r="A11356" s="10" t="s">
        <v>12795</v>
      </c>
      <c r="B11356" s="7" t="str">
        <f>IFERROR(__xludf.DUMMYFUNCTION("SPLIT(A11356,"" "")"),"CC(C)C1(C)COC(c2cccc(CN(Cc3ccccn3)Cc3ccccn3)n2)=N1")</f>
        <v>CC(C)C1(C)COC(c2cccc(CN(Cc3ccccn3)Cc3ccccn3)n2)=N1</v>
      </c>
      <c r="C11356" s="7">
        <f>IFERROR(__xludf.DUMMYFUNCTION("""COMPUTED_VALUE"""),7.7624173)</f>
        <v>7.7624173</v>
      </c>
      <c r="D11356" s="7">
        <f>IFERROR(__xludf.DUMMYFUNCTION("""COMPUTED_VALUE"""),0.457627118644067)</f>
        <v>0.4576271186</v>
      </c>
    </row>
    <row r="11357">
      <c r="A11357" s="10" t="s">
        <v>12796</v>
      </c>
      <c r="B11357" s="7" t="str">
        <f>IFERROR(__xludf.DUMMYFUNCTION("SPLIT(A11357,"" "")"),"CN1CCN(C)CCN(Cc2cncc(N(C)c3ccc4c(CF)ccnc4c3)c2)CC1")</f>
        <v>CN1CCN(C)CCN(Cc2cncc(N(C)c3ccc4c(CF)ccnc4c3)c2)CC1</v>
      </c>
      <c r="C11357" s="7">
        <f>IFERROR(__xludf.DUMMYFUNCTION("""COMPUTED_VALUE"""),7.7624154)</f>
        <v>7.7624154</v>
      </c>
      <c r="D11357" s="7">
        <f>IFERROR(__xludf.DUMMYFUNCTION("""COMPUTED_VALUE"""),0.393442622950819)</f>
        <v>0.393442623</v>
      </c>
    </row>
    <row r="11358">
      <c r="A11358" s="10" t="s">
        <v>12797</v>
      </c>
      <c r="B11358" s="7" t="str">
        <f>IFERROR(__xludf.DUMMYFUNCTION("SPLIT(A11358,"" "")"),"CNC1NC=CC=C1N(C)Cc1ncccc1C")</f>
        <v>CNC1NC=CC=C1N(C)Cc1ncccc1C</v>
      </c>
      <c r="C11358" s="7">
        <f>IFERROR(__xludf.DUMMYFUNCTION("""COMPUTED_VALUE"""),7.762411)</f>
        <v>7.762411</v>
      </c>
      <c r="D11358" s="7">
        <f>IFERROR(__xludf.DUMMYFUNCTION("""COMPUTED_VALUE"""),0.283333333333333)</f>
        <v>0.2833333333</v>
      </c>
    </row>
    <row r="11359">
      <c r="A11359" s="10" t="s">
        <v>12798</v>
      </c>
      <c r="B11359" s="7" t="str">
        <f>IFERROR(__xludf.DUMMYFUNCTION("SPLIT(A11359,"" "")"),"Cc1cccnc1CN(C)C1CCC(N(C)c2cccc3c(CF)ccnc23)CC1")</f>
        <v>Cc1cccnc1CN(C)C1CCC(N(C)c2cccc3c(CF)ccnc23)CC1</v>
      </c>
      <c r="C11359" s="7">
        <f>IFERROR(__xludf.DUMMYFUNCTION("""COMPUTED_VALUE"""),7.7624097)</f>
        <v>7.7624097</v>
      </c>
      <c r="D11359" s="7">
        <f>IFERROR(__xludf.DUMMYFUNCTION("""COMPUTED_VALUE"""),0.360655737704918)</f>
        <v>0.3606557377</v>
      </c>
    </row>
    <row r="11360">
      <c r="A11360" s="10" t="s">
        <v>12799</v>
      </c>
      <c r="B11360" s="7" t="str">
        <f>IFERROR(__xludf.DUMMYFUNCTION("SPLIT(A11360,"" "")"),"Cc1cnc(CN(C)C2=CCC=C(CN(C)CC(C)(C)C)N2)c(C)c1")</f>
        <v>Cc1cnc(CN(C)C2=CCC=C(CN(C)CC(C)(C)C)N2)c(C)c1</v>
      </c>
      <c r="C11360" s="7">
        <f>IFERROR(__xludf.DUMMYFUNCTION("""COMPUTED_VALUE"""),7.7624035)</f>
        <v>7.7624035</v>
      </c>
      <c r="D11360" s="7">
        <f>IFERROR(__xludf.DUMMYFUNCTION("""COMPUTED_VALUE"""),0.25)</f>
        <v>0.25</v>
      </c>
    </row>
    <row r="11361">
      <c r="A11361" s="10" t="s">
        <v>12800</v>
      </c>
      <c r="B11361" s="7" t="str">
        <f>IFERROR(__xludf.DUMMYFUNCTION("SPLIT(A11361,"" "")"),"Cc1cnc(CN(C)CCN(C)Cc2nc(C)c(C)c(C)c2C)c(C)c1C")</f>
        <v>Cc1cnc(CN(C)CCN(C)Cc2nc(C)c(C)c(C)c2C)c(C)c1C</v>
      </c>
      <c r="C11361" s="7">
        <f>IFERROR(__xludf.DUMMYFUNCTION("""COMPUTED_VALUE"""),7.7624025)</f>
        <v>7.7624025</v>
      </c>
      <c r="D11361" s="7">
        <f>IFERROR(__xludf.DUMMYFUNCTION("""COMPUTED_VALUE"""),0.390243902439024)</f>
        <v>0.3902439024</v>
      </c>
    </row>
    <row r="11362">
      <c r="A11362" s="10" t="s">
        <v>12801</v>
      </c>
      <c r="B11362" s="7" t="str">
        <f>IFERROR(__xludf.DUMMYFUNCTION("SPLIT(A11362,"" "")"),"Cc1cccc(CN(C)C2=CNC(CN(C)C(C)(C)c3ccccn3)=CC2)n1")</f>
        <v>Cc1cccc(CN(C)C2=CNC(CN(C)C(C)(C)c3ccccn3)=CC2)n1</v>
      </c>
      <c r="C11362" s="7">
        <f>IFERROR(__xludf.DUMMYFUNCTION("""COMPUTED_VALUE"""),7.762399)</f>
        <v>7.762399</v>
      </c>
      <c r="D11362" s="7">
        <f>IFERROR(__xludf.DUMMYFUNCTION("""COMPUTED_VALUE"""),0.375)</f>
        <v>0.375</v>
      </c>
    </row>
    <row r="11363">
      <c r="A11363" s="10" t="s">
        <v>12802</v>
      </c>
      <c r="B11363" s="7" t="str">
        <f>IFERROR(__xludf.DUMMYFUNCTION("SPLIT(A11363,"" "")"),"Cc1cccc(CN(C)C2CCC(N(C)c3cccc4nccc(CF)c34)CC2)n1")</f>
        <v>Cc1cccc(CN(C)C2CCC(N(C)c3cccc4nccc(CF)c34)CC2)n1</v>
      </c>
      <c r="C11363" s="7">
        <f>IFERROR(__xludf.DUMMYFUNCTION("""COMPUTED_VALUE"""),7.7623963)</f>
        <v>7.7623963</v>
      </c>
      <c r="D11363" s="7">
        <f>IFERROR(__xludf.DUMMYFUNCTION("""COMPUTED_VALUE"""),0.43859649122807)</f>
        <v>0.4385964912</v>
      </c>
    </row>
    <row r="11364">
      <c r="A11364" s="10" t="s">
        <v>12803</v>
      </c>
      <c r="B11364" s="7" t="str">
        <f>IFERROR(__xludf.DUMMYFUNCTION("SPLIT(A11364,"" "")"),"CN1CCN(C)CCN(Cc2cnccc2-c2ccc3cccnc3c2)CC1")</f>
        <v>CN1CCN(C)CCN(Cc2cnccc2-c2ccc3cccnc3c2)CC1</v>
      </c>
      <c r="C11364" s="7">
        <f>IFERROR(__xludf.DUMMYFUNCTION("""COMPUTED_VALUE"""),7.7623897)</f>
        <v>7.7623897</v>
      </c>
      <c r="D11364" s="7">
        <f>IFERROR(__xludf.DUMMYFUNCTION("""COMPUTED_VALUE"""),0.403846153846153)</f>
        <v>0.4038461538</v>
      </c>
    </row>
    <row r="11365">
      <c r="A11365" s="10" t="s">
        <v>12804</v>
      </c>
      <c r="B11365" s="7" t="str">
        <f>IFERROR(__xludf.DUMMYFUNCTION("SPLIT(A11365,"" "")"),"Cc1ccnc(CN(CC2=C(N(CF)Cc3ccccn3)CC=CN2)Cc2ccccn2)c1C")</f>
        <v>Cc1ccnc(CN(CC2=C(N(CF)Cc3ccccn3)CC=CN2)Cc2ccccn2)c1C</v>
      </c>
      <c r="C11365" s="7">
        <f>IFERROR(__xludf.DUMMYFUNCTION("""COMPUTED_VALUE"""),7.762389)</f>
        <v>7.762389</v>
      </c>
      <c r="D11365" s="7">
        <f>IFERROR(__xludf.DUMMYFUNCTION("""COMPUTED_VALUE"""),0.412698412698412)</f>
        <v>0.4126984127</v>
      </c>
    </row>
    <row r="11366">
      <c r="A11366" s="10" t="s">
        <v>12805</v>
      </c>
      <c r="B11366" s="7" t="str">
        <f>IFERROR(__xludf.DUMMYFUNCTION("SPLIT(A11366,"" "")"),"CCN(C)CC1=CCC(N(C)Cc2nc(C)c(C)c(C)c2C)=CN1")</f>
        <v>CCN(C)CC1=CCC(N(C)Cc2nc(C)c(C)c(C)c2C)=CN1</v>
      </c>
      <c r="C11366" s="7">
        <f>IFERROR(__xludf.DUMMYFUNCTION("""COMPUTED_VALUE"""),7.7623887)</f>
        <v>7.7623887</v>
      </c>
      <c r="D11366" s="7">
        <f>IFERROR(__xludf.DUMMYFUNCTION("""COMPUTED_VALUE"""),0.2)</f>
        <v>0.2</v>
      </c>
    </row>
    <row r="11367">
      <c r="A11367" s="10" t="s">
        <v>12806</v>
      </c>
      <c r="B11367" s="7" t="str">
        <f>IFERROR(__xludf.DUMMYFUNCTION("SPLIT(A11367,"" "")"),"CC(C)(C)c1ccnc(CN(Cc2ccccn2)Cc2cccnc2C2OC=NC2(C)C)c1")</f>
        <v>CC(C)(C)c1ccnc(CN(Cc2ccccn2)Cc2cccnc2C2OC=NC2(C)C)c1</v>
      </c>
      <c r="C11367" s="7">
        <f>IFERROR(__xludf.DUMMYFUNCTION("""COMPUTED_VALUE"""),7.7623887)</f>
        <v>7.7623887</v>
      </c>
      <c r="D11367" s="7">
        <f>IFERROR(__xludf.DUMMYFUNCTION("""COMPUTED_VALUE"""),0.37037037037037)</f>
        <v>0.3703703704</v>
      </c>
    </row>
    <row r="11368">
      <c r="A11368" s="10" t="s">
        <v>12807</v>
      </c>
      <c r="B11368" s="7" t="str">
        <f>IFERROR(__xludf.DUMMYFUNCTION("SPLIT(A11368,"" "")"),"CNCC1=C(N(C)Cc2ncccc2C)CC=CN1")</f>
        <v>CNCC1=C(N(C)Cc2ncccc2C)CC=CN1</v>
      </c>
      <c r="C11368" s="7">
        <f>IFERROR(__xludf.DUMMYFUNCTION("""COMPUTED_VALUE"""),7.7623878)</f>
        <v>7.7623878</v>
      </c>
      <c r="D11368" s="7">
        <f>IFERROR(__xludf.DUMMYFUNCTION("""COMPUTED_VALUE"""),0.274193548387096)</f>
        <v>0.2741935484</v>
      </c>
    </row>
    <row r="11369">
      <c r="A11369" s="10" t="s">
        <v>12808</v>
      </c>
      <c r="B11369" s="7" t="str">
        <f>IFERROR(__xludf.DUMMYFUNCTION("SPLIT(A11369,"" "")"),"Cc1ccccc1N(Cc1ccccc1)Cc1ccccn1")</f>
        <v>Cc1ccccc1N(Cc1ccccc1)Cc1ccccn1</v>
      </c>
      <c r="C11369" s="7">
        <f>IFERROR(__xludf.DUMMYFUNCTION("""COMPUTED_VALUE"""),7.7623873)</f>
        <v>7.7623873</v>
      </c>
      <c r="D11369" s="7">
        <f>IFERROR(__xludf.DUMMYFUNCTION("""COMPUTED_VALUE"""),0.472222222222222)</f>
        <v>0.4722222222</v>
      </c>
    </row>
    <row r="11370">
      <c r="A11370" s="10" t="s">
        <v>12809</v>
      </c>
      <c r="B11370" s="7" t="str">
        <f>IFERROR(__xludf.DUMMYFUNCTION("SPLIT(A11370,"" "")"),"CN(Cc1ccon1)C1CCC(N(C)c2ccc3cc(CF)cnc3c2)CC1")</f>
        <v>CN(Cc1ccon1)C1CCC(N(C)c2ccc3cc(CF)cnc3c2)CC1</v>
      </c>
      <c r="C11370" s="7">
        <f>IFERROR(__xludf.DUMMYFUNCTION("""COMPUTED_VALUE"""),7.7623863)</f>
        <v>7.7623863</v>
      </c>
      <c r="D11370" s="7">
        <f>IFERROR(__xludf.DUMMYFUNCTION("""COMPUTED_VALUE"""),0.363636363636363)</f>
        <v>0.3636363636</v>
      </c>
    </row>
    <row r="11371">
      <c r="A11371" s="10" t="s">
        <v>12810</v>
      </c>
      <c r="B11371" s="7" t="str">
        <f>IFERROR(__xludf.DUMMYFUNCTION("SPLIT(A11371,"" "")"),"Cc1cccnc1CN(C)CN(Cc1ncccc1C)Cc1nc(C)c(C)c(C)c1C")</f>
        <v>Cc1cccnc1CN(C)CN(Cc1ncccc1C)Cc1nc(C)c(C)c(C)c1C</v>
      </c>
      <c r="C11371" s="7">
        <f>IFERROR(__xludf.DUMMYFUNCTION("""COMPUTED_VALUE"""),7.762377)</f>
        <v>7.762377</v>
      </c>
      <c r="D11371" s="7">
        <f>IFERROR(__xludf.DUMMYFUNCTION("""COMPUTED_VALUE"""),0.313725490196078)</f>
        <v>0.3137254902</v>
      </c>
    </row>
    <row r="11372">
      <c r="A11372" s="10" t="s">
        <v>12811</v>
      </c>
      <c r="B11372" s="7" t="str">
        <f>IFERROR(__xludf.DUMMYFUNCTION("SPLIT(A11372,"" "")"),"Cc1ccc(CN(Cc2ccnc(C(C)(c3cccnc3)C(C)N)c2)Cc2ccccn2)nc1")</f>
        <v>Cc1ccc(CN(Cc2ccnc(C(C)(c3cccnc3)C(C)N)c2)Cc2ccccn2)nc1</v>
      </c>
      <c r="C11372" s="7">
        <f>IFERROR(__xludf.DUMMYFUNCTION("""COMPUTED_VALUE"""),7.762373)</f>
        <v>7.762373</v>
      </c>
      <c r="D11372" s="7">
        <f>IFERROR(__xludf.DUMMYFUNCTION("""COMPUTED_VALUE"""),0.350877192982456)</f>
        <v>0.350877193</v>
      </c>
    </row>
    <row r="11373">
      <c r="A11373" s="10" t="s">
        <v>12812</v>
      </c>
      <c r="B11373" s="7" t="str">
        <f>IFERROR(__xludf.DUMMYFUNCTION("SPLIT(A11373,"" "")"),"CN(Cc1ncccc1-c1ccc2c(c1)OCCOCCOCCOCCOCCO2)C1=CCC=C(CN(C)c2ccc3ncccc3c2)N1")</f>
        <v>CN(Cc1ncccc1-c1ccc2c(c1)OCCOCCOCCOCCOCCO2)C1=CCC=C(CN(C)c2ccc3ncccc3c2)N1</v>
      </c>
      <c r="C11373" s="7">
        <f>IFERROR(__xludf.DUMMYFUNCTION("""COMPUTED_VALUE"""),7.762371)</f>
        <v>7.762371</v>
      </c>
      <c r="D11373" s="7">
        <f>IFERROR(__xludf.DUMMYFUNCTION("""COMPUTED_VALUE"""),0.267441860465116)</f>
        <v>0.2674418605</v>
      </c>
    </row>
    <row r="11374">
      <c r="A11374" s="10" t="s">
        <v>12813</v>
      </c>
      <c r="B11374" s="7" t="str">
        <f>IFERROR(__xludf.DUMMYFUNCTION("SPLIT(A11374,"" "")"),"CCN(Cc1ccccn1)C1=CCC=C(CN(Cc2ccccn2)Cc2cccc(F)n2)N1")</f>
        <v>CCN(Cc1ccccn1)C1=CCC=C(CN(Cc2ccccn2)Cc2cccc(F)n2)N1</v>
      </c>
      <c r="C11374" s="7">
        <f>IFERROR(__xludf.DUMMYFUNCTION("""COMPUTED_VALUE"""),7.762363)</f>
        <v>7.762363</v>
      </c>
      <c r="D11374" s="7">
        <f>IFERROR(__xludf.DUMMYFUNCTION("""COMPUTED_VALUE"""),0.46551724137931)</f>
        <v>0.4655172414</v>
      </c>
    </row>
    <row r="11375">
      <c r="A11375" s="10" t="s">
        <v>12814</v>
      </c>
      <c r="B11375" s="7" t="str">
        <f>IFERROR(__xludf.DUMMYFUNCTION("SPLIT(A11375,"" "")"),"Cc1cc(CN(Cc2ccccn2)Cc2ccc(N)cn2)cnc1C")</f>
        <v>Cc1cc(CN(Cc2ccccn2)Cc2ccc(N)cn2)cnc1C</v>
      </c>
      <c r="C11375" s="7">
        <f>IFERROR(__xludf.DUMMYFUNCTION("""COMPUTED_VALUE"""),7.7623625)</f>
        <v>7.7623625</v>
      </c>
      <c r="D11375" s="7">
        <f>IFERROR(__xludf.DUMMYFUNCTION("""COMPUTED_VALUE"""),0.476190476190476)</f>
        <v>0.4761904762</v>
      </c>
    </row>
    <row r="11376">
      <c r="A11376" s="10" t="s">
        <v>12815</v>
      </c>
      <c r="B11376" s="7" t="str">
        <f>IFERROR(__xludf.DUMMYFUNCTION("SPLIT(A11376,"" "")"),"CC(c1ccccc1)(c1ccccc1)c1ccccn1")</f>
        <v>CC(c1ccccc1)(c1ccccc1)c1ccccn1</v>
      </c>
      <c r="C11376" s="7">
        <f>IFERROR(__xludf.DUMMYFUNCTION("""COMPUTED_VALUE"""),7.7623615)</f>
        <v>7.7623615</v>
      </c>
      <c r="D11376" s="7">
        <f>IFERROR(__xludf.DUMMYFUNCTION("""COMPUTED_VALUE"""),0.5)</f>
        <v>0.5</v>
      </c>
    </row>
    <row r="11377">
      <c r="A11377" s="10" t="s">
        <v>12816</v>
      </c>
      <c r="B11377" s="7" t="str">
        <f>IFERROR(__xludf.DUMMYFUNCTION("SPLIT(A11377,"" "")"),"Cc1ccc(CN(Cc2ccccn2)C(C)(N)N(Cc2ccccn2)C(C)(C)C)c(N(C)Cc2ccccn2)c1")</f>
        <v>Cc1ccc(CN(Cc2ccccn2)C(C)(N)N(Cc2ccccn2)C(C)(C)C)c(N(C)Cc2ccccn2)c1</v>
      </c>
      <c r="C11377" s="7">
        <f>IFERROR(__xludf.DUMMYFUNCTION("""COMPUTED_VALUE"""),7.762357)</f>
        <v>7.762357</v>
      </c>
      <c r="D11377" s="7">
        <f>IFERROR(__xludf.DUMMYFUNCTION("""COMPUTED_VALUE"""),0.48076923076923)</f>
        <v>0.4807692308</v>
      </c>
    </row>
    <row r="11378">
      <c r="A11378" s="10" t="s">
        <v>12817</v>
      </c>
      <c r="B11378" s="7" t="str">
        <f>IFERROR(__xludf.DUMMYFUNCTION("SPLIT(A11378,"" "")"),"COC(=O)C1C(c2ccccn2)C(c2cccc(CN(Cc3ccccn3)Cc3ccccn3)n2)CN(C)C1c1ccccn1")</f>
        <v>COC(=O)C1C(c2ccccn2)C(c2cccc(CN(Cc3ccccn3)Cc3ccccn3)n2)CN(C)C1c1ccccn1</v>
      </c>
      <c r="C11378" s="7">
        <f>IFERROR(__xludf.DUMMYFUNCTION("""COMPUTED_VALUE"""),7.7623544)</f>
        <v>7.7623544</v>
      </c>
      <c r="D11378" s="7">
        <f>IFERROR(__xludf.DUMMYFUNCTION("""COMPUTED_VALUE"""),0.411764705882352)</f>
        <v>0.4117647059</v>
      </c>
    </row>
    <row r="11379">
      <c r="A11379" s="10" t="s">
        <v>12818</v>
      </c>
      <c r="B11379" s="7" t="str">
        <f>IFERROR(__xludf.DUMMYFUNCTION("SPLIT(A11379,"" "")"),"CN(Cc1ccccn1)C1=CCNC=C1")</f>
        <v>CN(Cc1ccccn1)C1=CCNC=C1</v>
      </c>
      <c r="C11379" s="7">
        <f>IFERROR(__xludf.DUMMYFUNCTION("""COMPUTED_VALUE"""),7.762354)</f>
        <v>7.762354</v>
      </c>
      <c r="D11379" s="7">
        <f>IFERROR(__xludf.DUMMYFUNCTION("""COMPUTED_VALUE"""),0.488372093023255)</f>
        <v>0.488372093</v>
      </c>
    </row>
    <row r="11380">
      <c r="A11380" s="10" t="s">
        <v>12819</v>
      </c>
      <c r="B11380" s="7" t="str">
        <f>IFERROR(__xludf.DUMMYFUNCTION("SPLIT(A11380,"" "")"),"Cc1cncc(CN(C)Cc2nc(N(C)C(C)C)ccc2C)c1")</f>
        <v>Cc1cncc(CN(C)Cc2nc(N(C)C(C)C)ccc2C)c1</v>
      </c>
      <c r="C11380" s="7">
        <f>IFERROR(__xludf.DUMMYFUNCTION("""COMPUTED_VALUE"""),7.7623534)</f>
        <v>7.7623534</v>
      </c>
      <c r="D11380" s="7">
        <f>IFERROR(__xludf.DUMMYFUNCTION("""COMPUTED_VALUE"""),0.269230769230769)</f>
        <v>0.2692307692</v>
      </c>
    </row>
    <row r="11381">
      <c r="A11381" s="10" t="s">
        <v>12820</v>
      </c>
      <c r="B11381" s="7" t="str">
        <f>IFERROR(__xludf.DUMMYFUNCTION("SPLIT(A11381,"" "")"),"CNC1C(N(C)Cc2cc(C)ccn2)CC(N(Cc2nc(C)c(C)c(C)c2C)Cc2nc(C)c(C)c(C)c2C)CC1N(Cc1nc(C)c(C)c(C)c1C)Cc1nc(C)c(C)c(C)c1C")</f>
        <v>CNC1C(N(C)Cc2cc(C)ccn2)CC(N(Cc2nc(C)c(C)c(C)c2C)Cc2nc(C)c(C)c(C)c2C)CC1N(Cc1nc(C)c(C)c(C)c1C)Cc1nc(C)c(C)c(C)c1C</v>
      </c>
      <c r="C11381" s="7">
        <f>IFERROR(__xludf.DUMMYFUNCTION("""COMPUTED_VALUE"""),7.7623096)</f>
        <v>7.7623096</v>
      </c>
      <c r="D11381" s="7">
        <f>IFERROR(__xludf.DUMMYFUNCTION("""COMPUTED_VALUE"""),0.296875)</f>
        <v>0.296875</v>
      </c>
    </row>
    <row r="11382">
      <c r="A11382" s="10" t="s">
        <v>12821</v>
      </c>
      <c r="B11382" s="7" t="str">
        <f>IFERROR(__xludf.DUMMYFUNCTION("SPLIT(A11382,"" "")"),"CNCc1nc(CN(Cc2ccccn2)C2CCCCC2N(C)c2cccc3ncccc23)c(C)c(C)c1C")</f>
        <v>CNCc1nc(CN(Cc2ccccn2)C2CCCCC2N(C)c2cccc3ncccc23)c(C)c(C)c1C</v>
      </c>
      <c r="C11382" s="7">
        <f>IFERROR(__xludf.DUMMYFUNCTION("""COMPUTED_VALUE"""),7.762307)</f>
        <v>7.762307</v>
      </c>
      <c r="D11382" s="7">
        <f>IFERROR(__xludf.DUMMYFUNCTION("""COMPUTED_VALUE"""),0.4)</f>
        <v>0.4</v>
      </c>
    </row>
    <row r="11383">
      <c r="A11383" s="10" t="s">
        <v>12822</v>
      </c>
      <c r="B11383" s="7" t="str">
        <f>IFERROR(__xludf.DUMMYFUNCTION("SPLIT(A11383,"" "")"),"CNCc1ncccc1CN(Cc1ccccn1)C1CCC(N(C)c2ccc3nccc(C)c3c2)CC1")</f>
        <v>CNCc1ncccc1CN(Cc1ccccn1)C1CCC(N(C)c2ccc3nccc(C)c3c2)CC1</v>
      </c>
      <c r="C11383" s="7">
        <f>IFERROR(__xludf.DUMMYFUNCTION("""COMPUTED_VALUE"""),7.7623057)</f>
        <v>7.7623057</v>
      </c>
      <c r="D11383" s="7">
        <f>IFERROR(__xludf.DUMMYFUNCTION("""COMPUTED_VALUE"""),0.318840579710144)</f>
        <v>0.3188405797</v>
      </c>
    </row>
    <row r="11384">
      <c r="A11384" s="10" t="s">
        <v>12823</v>
      </c>
      <c r="B11384" s="7" t="str">
        <f>IFERROR(__xludf.DUMMYFUNCTION("SPLIT(A11384,"" "")"),"CN(Cc1ccc(Cl)cn1)Cc1cccc(F)n1")</f>
        <v>CN(Cc1ccc(Cl)cn1)Cc1cccc(F)n1</v>
      </c>
      <c r="C11384" s="7">
        <f>IFERROR(__xludf.DUMMYFUNCTION("""COMPUTED_VALUE"""),7.762305)</f>
        <v>7.762305</v>
      </c>
      <c r="D11384" s="7">
        <f>IFERROR(__xludf.DUMMYFUNCTION("""COMPUTED_VALUE"""),0.444444444444444)</f>
        <v>0.4444444444</v>
      </c>
    </row>
    <row r="11385">
      <c r="A11385" s="10" t="s">
        <v>12824</v>
      </c>
      <c r="B11385" s="7" t="str">
        <f>IFERROR(__xludf.DUMMYFUNCTION("SPLIT(A11385,"" "")"),"Cc1cccnc1CN(C)Cc1nccc(C)c1C")</f>
        <v>Cc1cccnc1CN(C)Cc1nccc(C)c1C</v>
      </c>
      <c r="C11385" s="7">
        <f>IFERROR(__xludf.DUMMYFUNCTION("""COMPUTED_VALUE"""),7.762292)</f>
        <v>7.762292</v>
      </c>
      <c r="D11385" s="7">
        <f>IFERROR(__xludf.DUMMYFUNCTION("""COMPUTED_VALUE"""),0.34090909090909)</f>
        <v>0.3409090909</v>
      </c>
    </row>
    <row r="11386">
      <c r="A11386" s="10" t="s">
        <v>12825</v>
      </c>
      <c r="B11386" s="7" t="str">
        <f>IFERROR(__xludf.DUMMYFUNCTION("SPLIT(A11386,"" "")"),"CNCc1cc(CN(Cc2ncccc2C)C2CCC(N(C)c3ccc4nccc(CF)c4c3)CC2)ccn1")</f>
        <v>CNCc1cc(CN(Cc2ncccc2C)C2CCC(N(C)c3ccc4nccc(CF)c4c3)CC2)ccn1</v>
      </c>
      <c r="C11386" s="7">
        <f>IFERROR(__xludf.DUMMYFUNCTION("""COMPUTED_VALUE"""),7.762291)</f>
        <v>7.762291</v>
      </c>
      <c r="D11386" s="7">
        <f>IFERROR(__xludf.DUMMYFUNCTION("""COMPUTED_VALUE"""),0.233766233766233)</f>
        <v>0.2337662338</v>
      </c>
    </row>
    <row r="11387">
      <c r="A11387" s="10" t="s">
        <v>12826</v>
      </c>
      <c r="B11387" s="7" t="str">
        <f>IFERROR(__xludf.DUMMYFUNCTION("SPLIT(A11387,"" "")"),"Cc1cccnc1CN(C)C1CCC(N(C)c2ccc3c(CF)ccnc3c2)CC1")</f>
        <v>Cc1cccnc1CN(C)C1CCC(N(C)c2ccc3c(CF)ccnc3c2)CC1</v>
      </c>
      <c r="C11387" s="7">
        <f>IFERROR(__xludf.DUMMYFUNCTION("""COMPUTED_VALUE"""),7.76229)</f>
        <v>7.76229</v>
      </c>
      <c r="D11387" s="7">
        <f>IFERROR(__xludf.DUMMYFUNCTION("""COMPUTED_VALUE"""),0.265625)</f>
        <v>0.265625</v>
      </c>
    </row>
    <row r="11388">
      <c r="A11388" s="10" t="s">
        <v>12827</v>
      </c>
      <c r="B11388" s="7" t="str">
        <f>IFERROR(__xludf.DUMMYFUNCTION("SPLIT(A11388,"" "")"),"CN(C)CC1=C(N(C)Cc2ccccn2)CC=CN1")</f>
        <v>CN(C)CC1=C(N(C)Cc2ccccn2)CC=CN1</v>
      </c>
      <c r="C11388" s="7">
        <f>IFERROR(__xludf.DUMMYFUNCTION("""COMPUTED_VALUE"""),7.7622876)</f>
        <v>7.7622876</v>
      </c>
      <c r="D11388" s="7">
        <f>IFERROR(__xludf.DUMMYFUNCTION("""COMPUTED_VALUE"""),0.450980392156862)</f>
        <v>0.4509803922</v>
      </c>
    </row>
    <row r="11389">
      <c r="A11389" s="10" t="s">
        <v>12828</v>
      </c>
      <c r="B11389" s="7" t="str">
        <f>IFERROR(__xludf.DUMMYFUNCTION("SPLIT(A11389,"" "")"),"CNCc1cc(CN(Cc2ccccn2)C2CCC(N(C)c3cccc4nccc(C)c34)CC2)ccn1")</f>
        <v>CNCc1cc(CN(Cc2ccccn2)C2CCC(N(C)c3cccc4nccc(C)c34)CC2)ccn1</v>
      </c>
      <c r="C11389" s="7">
        <f>IFERROR(__xludf.DUMMYFUNCTION("""COMPUTED_VALUE"""),7.762282)</f>
        <v>7.762282</v>
      </c>
      <c r="D11389" s="7">
        <f>IFERROR(__xludf.DUMMYFUNCTION("""COMPUTED_VALUE"""),0.333333333333333)</f>
        <v>0.3333333333</v>
      </c>
    </row>
    <row r="11390">
      <c r="A11390" s="10" t="s">
        <v>12829</v>
      </c>
      <c r="B11390" s="7" t="str">
        <f>IFERROR(__xludf.DUMMYFUNCTION("SPLIT(A11390,"" "")"),"CCN(Cc1ccccn1)c1cccnc1CN(Cc1ccccn1)Cc1cccnc1F")</f>
        <v>CCN(Cc1ccccn1)c1cccnc1CN(Cc1ccccn1)Cc1cccnc1F</v>
      </c>
      <c r="C11390" s="7">
        <f>IFERROR(__xludf.DUMMYFUNCTION("""COMPUTED_VALUE"""),7.7622705)</f>
        <v>7.7622705</v>
      </c>
      <c r="D11390" s="7">
        <f>IFERROR(__xludf.DUMMYFUNCTION("""COMPUTED_VALUE"""),0.465116279069767)</f>
        <v>0.4651162791</v>
      </c>
    </row>
    <row r="11391">
      <c r="A11391" s="10" t="s">
        <v>12830</v>
      </c>
      <c r="B11391" s="7" t="str">
        <f>IFERROR(__xludf.DUMMYFUNCTION("SPLIT(A11391,"" "")"),"Cc1cnc(CN(C)C2=CCC=C(CN(C)C(C)C)N2)c(C)c1")</f>
        <v>Cc1cnc(CN(C)C2=CCC=C(CN(C)C(C)C)N2)c(C)c1</v>
      </c>
      <c r="C11391" s="7">
        <f>IFERROR(__xludf.DUMMYFUNCTION("""COMPUTED_VALUE"""),7.762269)</f>
        <v>7.762269</v>
      </c>
      <c r="D11391" s="7">
        <f>IFERROR(__xludf.DUMMYFUNCTION("""COMPUTED_VALUE"""),0.232142857142857)</f>
        <v>0.2321428571</v>
      </c>
    </row>
    <row r="11392">
      <c r="A11392" s="10" t="s">
        <v>12831</v>
      </c>
      <c r="B11392" s="7" t="str">
        <f>IFERROR(__xludf.DUMMYFUNCTION("SPLIT(A11392,"" "")"),"CCNC1NC=CC=C1N(Cc1ccccn1)Cc1ncccc1C")</f>
        <v>CCNC1NC=CC=C1N(Cc1ccccn1)Cc1ncccc1C</v>
      </c>
      <c r="C11392" s="7">
        <f>IFERROR(__xludf.DUMMYFUNCTION("""COMPUTED_VALUE"""),7.762263)</f>
        <v>7.762263</v>
      </c>
      <c r="D11392" s="7">
        <f>IFERROR(__xludf.DUMMYFUNCTION("""COMPUTED_VALUE"""),0.370967741935483)</f>
        <v>0.3709677419</v>
      </c>
    </row>
    <row r="11393">
      <c r="A11393" s="10" t="s">
        <v>12832</v>
      </c>
      <c r="B11393" s="7" t="str">
        <f>IFERROR(__xludf.DUMMYFUNCTION("SPLIT(A11393,"" "")"),"Cc1ccc(CN(Cc2ncccc2C)Cc2ncccc2CN(C)Cc2ncccc2C)nc1")</f>
        <v>Cc1ccc(CN(Cc2ncccc2C)Cc2ncccc2CN(C)Cc2ncccc2C)nc1</v>
      </c>
      <c r="C11393" s="7">
        <f>IFERROR(__xludf.DUMMYFUNCTION("""COMPUTED_VALUE"""),7.762259)</f>
        <v>7.762259</v>
      </c>
      <c r="D11393" s="7">
        <f>IFERROR(__xludf.DUMMYFUNCTION("""COMPUTED_VALUE"""),0.456521739130434)</f>
        <v>0.4565217391</v>
      </c>
    </row>
    <row r="11394">
      <c r="A11394" s="10" t="s">
        <v>12833</v>
      </c>
      <c r="B11394" s="7" t="str">
        <f>IFERROR(__xludf.DUMMYFUNCTION("SPLIT(A11394,"" "")"),"Cc1ccnc(CN(C)C2CCCCC2N(C)c2ccc3c(CN(C)C)ccnc3c2)c1")</f>
        <v>Cc1ccnc(CN(C)C2CCCCC2N(C)c2ccc3c(CN(C)C)ccnc3c2)c1</v>
      </c>
      <c r="C11394" s="7">
        <f>IFERROR(__xludf.DUMMYFUNCTION("""COMPUTED_VALUE"""),7.7622557)</f>
        <v>7.7622557</v>
      </c>
      <c r="D11394" s="7">
        <f>IFERROR(__xludf.DUMMYFUNCTION("""COMPUTED_VALUE"""),0.428571428571428)</f>
        <v>0.4285714286</v>
      </c>
    </row>
    <row r="11395">
      <c r="A11395" s="10" t="s">
        <v>12834</v>
      </c>
      <c r="B11395" s="7" t="str">
        <f>IFERROR(__xludf.DUMMYFUNCTION("SPLIT(A11395,"" "")"),"CC(C)C1=NC(c2cccc(CN(Cc3ccccn3)Cc3ccccn3)n2)CO1")</f>
        <v>CC(C)C1=NC(c2cccc(CN(Cc3ccccn3)Cc3ccccn3)n2)CO1</v>
      </c>
      <c r="C11395" s="7">
        <f>IFERROR(__xludf.DUMMYFUNCTION("""COMPUTED_VALUE"""),7.7622538)</f>
        <v>7.7622538</v>
      </c>
      <c r="D11395" s="7">
        <f>IFERROR(__xludf.DUMMYFUNCTION("""COMPUTED_VALUE"""),0.444444444444444)</f>
        <v>0.4444444444</v>
      </c>
    </row>
    <row r="11396">
      <c r="A11396" s="10" t="s">
        <v>12835</v>
      </c>
      <c r="B11396" s="7" t="str">
        <f>IFERROR(__xludf.DUMMYFUNCTION("SPLIT(A11396,"" "")"),"Cc1ccc(CN(C)Cc2ncccc2C(C)(C)c2ccccn2)cc1")</f>
        <v>Cc1ccc(CN(C)Cc2ncccc2C(C)(C)c2ccccn2)cc1</v>
      </c>
      <c r="C11396" s="7">
        <f>IFERROR(__xludf.DUMMYFUNCTION("""COMPUTED_VALUE"""),7.762253)</f>
        <v>7.762253</v>
      </c>
      <c r="D11396" s="7">
        <f>IFERROR(__xludf.DUMMYFUNCTION("""COMPUTED_VALUE"""),0.327868852459016)</f>
        <v>0.3278688525</v>
      </c>
    </row>
    <row r="11397">
      <c r="A11397" s="10" t="s">
        <v>12836</v>
      </c>
      <c r="B11397" s="7" t="str">
        <f>IFERROR(__xludf.DUMMYFUNCTION("SPLIT(A11397,"" "")"),"Cc1cnc(CN(C)C2CCCCC2N(C)c2ccc3c(CF)ccnc3c2)cc1C")</f>
        <v>Cc1cnc(CN(C)C2CCCCC2N(C)c2ccc3c(CF)ccnc3c2)cc1C</v>
      </c>
      <c r="C11397" s="7">
        <f>IFERROR(__xludf.DUMMYFUNCTION("""COMPUTED_VALUE"""),7.7622504)</f>
        <v>7.7622504</v>
      </c>
      <c r="D11397" s="7">
        <f>IFERROR(__xludf.DUMMYFUNCTION("""COMPUTED_VALUE"""),0.448275862068965)</f>
        <v>0.4482758621</v>
      </c>
    </row>
    <row r="11398">
      <c r="A11398" s="10" t="s">
        <v>12837</v>
      </c>
      <c r="B11398" s="7" t="str">
        <f>IFERROR(__xludf.DUMMYFUNCTION("SPLIT(A11398,"" "")"),"Cc1cc(CN(C)Cc2ncccc2N)cnc1C")</f>
        <v>Cc1cc(CN(C)Cc2ncccc2N)cnc1C</v>
      </c>
      <c r="C11398" s="7">
        <f>IFERROR(__xludf.DUMMYFUNCTION("""COMPUTED_VALUE"""),7.762245)</f>
        <v>7.762245</v>
      </c>
      <c r="D11398" s="7">
        <f>IFERROR(__xludf.DUMMYFUNCTION("""COMPUTED_VALUE"""),0.288461538461538)</f>
        <v>0.2884615385</v>
      </c>
    </row>
    <row r="11399">
      <c r="A11399" s="10" t="s">
        <v>12838</v>
      </c>
      <c r="B11399" s="7" t="str">
        <f>IFERROR(__xludf.DUMMYFUNCTION("SPLIT(A11399,"" "")"),"Cc1cc(C)nc(CN(C)C2CCC(N(C)c3ccc4nc(CF)ccc4c3)CC2)c1")</f>
        <v>Cc1cc(C)nc(CN(C)C2CCC(N(C)c3ccc4nc(CF)ccc4c3)CC2)c1</v>
      </c>
      <c r="C11399" s="7">
        <f>IFERROR(__xludf.DUMMYFUNCTION("""COMPUTED_VALUE"""),7.7622433)</f>
        <v>7.7622433</v>
      </c>
      <c r="D11399" s="7">
        <f>IFERROR(__xludf.DUMMYFUNCTION("""COMPUTED_VALUE"""),0.328125)</f>
        <v>0.328125</v>
      </c>
    </row>
    <row r="11400">
      <c r="A11400" s="10" t="s">
        <v>12839</v>
      </c>
      <c r="B11400" s="7" t="str">
        <f>IFERROR(__xludf.DUMMYFUNCTION("SPLIT(A11400,"" "")"),"Cc1cncc(CN(Cc2ccccn2)Cc2cc(C)c(C)c(C)n2)c1")</f>
        <v>Cc1cncc(CN(Cc2ccccn2)Cc2cc(C)c(C)c(C)n2)c1</v>
      </c>
      <c r="C11400" s="7">
        <f>IFERROR(__xludf.DUMMYFUNCTION("""COMPUTED_VALUE"""),7.7622404)</f>
        <v>7.7622404</v>
      </c>
      <c r="D11400" s="7">
        <f>IFERROR(__xludf.DUMMYFUNCTION("""COMPUTED_VALUE"""),0.454545454545454)</f>
        <v>0.4545454545</v>
      </c>
    </row>
    <row r="11401">
      <c r="A11401" s="10" t="s">
        <v>12840</v>
      </c>
      <c r="B11401" s="7" t="str">
        <f>IFERROR(__xludf.DUMMYFUNCTION("SPLIT(A11401,"" "")"),"Cc1cc(C)nc(CN(C)CC2=CC(N(C)Cc3cc(C)cc(C)n3)C=CN2)c1")</f>
        <v>Cc1cc(C)nc(CN(C)CC2=CC(N(C)Cc3cc(C)cc(C)n3)C=CN2)c1</v>
      </c>
      <c r="C11401" s="7">
        <f>IFERROR(__xludf.DUMMYFUNCTION("""COMPUTED_VALUE"""),7.762236)</f>
        <v>7.762236</v>
      </c>
      <c r="D11401" s="7">
        <f>IFERROR(__xludf.DUMMYFUNCTION("""COMPUTED_VALUE"""),0.339285714285714)</f>
        <v>0.3392857143</v>
      </c>
    </row>
    <row r="11402">
      <c r="A11402" s="10" t="s">
        <v>12841</v>
      </c>
      <c r="B11402" s="7" t="str">
        <f>IFERROR(__xludf.DUMMYFUNCTION("SPLIT(A11402,"" "")"),"Cc1ccc(CN(C)C2CCC(N(C)c3cccc4cc(CN(C)C)cnc34)CC2)nc1")</f>
        <v>Cc1ccc(CN(C)C2CCC(N(C)c3cccc4cc(CN(C)C)cnc34)CC2)nc1</v>
      </c>
      <c r="C11402" s="7">
        <f>IFERROR(__xludf.DUMMYFUNCTION("""COMPUTED_VALUE"""),7.7622333)</f>
        <v>7.7622333</v>
      </c>
      <c r="D11402" s="7">
        <f>IFERROR(__xludf.DUMMYFUNCTION("""COMPUTED_VALUE"""),0.43859649122807)</f>
        <v>0.4385964912</v>
      </c>
    </row>
    <row r="11403">
      <c r="A11403" s="10" t="s">
        <v>12842</v>
      </c>
      <c r="B11403" s="7" t="str">
        <f>IFERROR(__xludf.DUMMYFUNCTION("SPLIT(A11403,"" "")"),"CNCc1cc(C)c(C)c(CN(Cc2ncccc2C)Cc2ncccc2C)n1")</f>
        <v>CNCc1cc(C)c(C)c(CN(Cc2ncccc2C)Cc2ncccc2C)n1</v>
      </c>
      <c r="C11403" s="7">
        <f>IFERROR(__xludf.DUMMYFUNCTION("""COMPUTED_VALUE"""),7.7622323)</f>
        <v>7.7622323</v>
      </c>
      <c r="D11403" s="7">
        <f>IFERROR(__xludf.DUMMYFUNCTION("""COMPUTED_VALUE"""),0.311111111111111)</f>
        <v>0.3111111111</v>
      </c>
    </row>
    <row r="11404">
      <c r="A11404" s="10" t="s">
        <v>12843</v>
      </c>
      <c r="B11404" s="7" t="str">
        <f>IFERROR(__xludf.DUMMYFUNCTION("SPLIT(A11404,"" "")"),"CCNc1cc(-c2ccc(C(C)(C(C)C)C(C)C)cn2)ccn1")</f>
        <v>CCNc1cc(-c2ccc(C(C)(C(C)C)C(C)C)cn2)ccn1</v>
      </c>
      <c r="C11404" s="7">
        <f>IFERROR(__xludf.DUMMYFUNCTION("""COMPUTED_VALUE"""),7.762229)</f>
        <v>7.762229</v>
      </c>
      <c r="D11404" s="7">
        <f>IFERROR(__xludf.DUMMYFUNCTION("""COMPUTED_VALUE"""),0.305084745762711)</f>
        <v>0.3050847458</v>
      </c>
    </row>
    <row r="11405">
      <c r="A11405" s="10" t="s">
        <v>12844</v>
      </c>
      <c r="B11405" s="7" t="str">
        <f>IFERROR(__xludf.DUMMYFUNCTION("SPLIT(A11405,"" "")"),"Cc1cc(CN(C)Cc2ccccn2)cc(NCc2ccccn2)c1")</f>
        <v>Cc1cc(CN(C)Cc2ccccn2)cc(NCc2ccccn2)c1</v>
      </c>
      <c r="C11405" s="7">
        <f>IFERROR(__xludf.DUMMYFUNCTION("""COMPUTED_VALUE"""),7.762224)</f>
        <v>7.762224</v>
      </c>
      <c r="D11405" s="7">
        <f>IFERROR(__xludf.DUMMYFUNCTION("""COMPUTED_VALUE"""),0.479166666666666)</f>
        <v>0.4791666667</v>
      </c>
    </row>
    <row r="11406">
      <c r="A11406" s="10" t="s">
        <v>12845</v>
      </c>
      <c r="B11406" s="7" t="str">
        <f>IFERROR(__xludf.DUMMYFUNCTION("SPLIT(A11406,"" "")"),"CC(C)N(C)Cc1cc(N(O)C2CCC(N(C)c3ccc4cc(CF)cnc4c3)CC2)ccn1")</f>
        <v>CC(C)N(C)Cc1cc(N(O)C2CCC(N(C)c3ccc4cc(CF)cnc4c3)CC2)ccn1</v>
      </c>
      <c r="C11406" s="7">
        <f>IFERROR(__xludf.DUMMYFUNCTION("""COMPUTED_VALUE"""),7.76222)</f>
        <v>7.76222</v>
      </c>
      <c r="D11406" s="7">
        <f>IFERROR(__xludf.DUMMYFUNCTION("""COMPUTED_VALUE"""),0.263888888888888)</f>
        <v>0.2638888889</v>
      </c>
    </row>
    <row r="11407">
      <c r="A11407" s="10" t="s">
        <v>12846</v>
      </c>
      <c r="B11407" s="7" t="str">
        <f>IFERROR(__xludf.DUMMYFUNCTION("SPLIT(A11407,"" "")"),"CC(C)N(C)CCNc1ccc2nccc(CF)c2c1")</f>
        <v>CC(C)N(C)CCNc1ccc2nccc(CF)c2c1</v>
      </c>
      <c r="C11407" s="7">
        <f>IFERROR(__xludf.DUMMYFUNCTION("""COMPUTED_VALUE"""),7.762217)</f>
        <v>7.762217</v>
      </c>
      <c r="D11407" s="7">
        <f>IFERROR(__xludf.DUMMYFUNCTION("""COMPUTED_VALUE"""),0.236363636363636)</f>
        <v>0.2363636364</v>
      </c>
    </row>
    <row r="11408">
      <c r="A11408" s="10" t="s">
        <v>12847</v>
      </c>
      <c r="B11408" s="7" t="str">
        <f>IFERROR(__xludf.DUMMYFUNCTION("SPLIT(A11408,"" "")"),"Cc1cccc(N(C)C2C=CC=CN2)c1")</f>
        <v>Cc1cccc(N(C)C2C=CC=CN2)c1</v>
      </c>
      <c r="C11408" s="7">
        <f>IFERROR(__xludf.DUMMYFUNCTION("""COMPUTED_VALUE"""),7.762214)</f>
        <v>7.762214</v>
      </c>
      <c r="D11408" s="7">
        <f>IFERROR(__xludf.DUMMYFUNCTION("""COMPUTED_VALUE"""),0.264150943396226)</f>
        <v>0.2641509434</v>
      </c>
    </row>
    <row r="11409">
      <c r="A11409" s="10" t="s">
        <v>12848</v>
      </c>
      <c r="B11409" s="7" t="str">
        <f>IFERROR(__xludf.DUMMYFUNCTION("SPLIT(A11409,"" "")"),"Cc1cccnc1CN(C)c1cccnc1CN(C)C(C)C")</f>
        <v>Cc1cccnc1CN(C)c1cccnc1CN(C)C(C)C</v>
      </c>
      <c r="C11409" s="7">
        <f>IFERROR(__xludf.DUMMYFUNCTION("""COMPUTED_VALUE"""),7.7622113)</f>
        <v>7.7622113</v>
      </c>
      <c r="D11409" s="7">
        <f>IFERROR(__xludf.DUMMYFUNCTION("""COMPUTED_VALUE"""),0.361702127659574)</f>
        <v>0.3617021277</v>
      </c>
    </row>
    <row r="11410">
      <c r="A11410" s="10" t="s">
        <v>12849</v>
      </c>
      <c r="B11410" s="7" t="str">
        <f>IFERROR(__xludf.DUMMYFUNCTION("SPLIT(A11410,"" "")"),"C=CCN(C)CCN(Cc1cncc(CN(Cc2ccccn2)Cc2cccc(-c3cc(Cl)ccc3N)n2)c1)Cc1ccccn1")</f>
        <v>C=CCN(C)CCN(Cc1cncc(CN(Cc2ccccn2)Cc2cccc(-c3cc(Cl)ccc3N)n2)c1)Cc1ccccn1</v>
      </c>
      <c r="C11410" s="7">
        <f>IFERROR(__xludf.DUMMYFUNCTION("""COMPUTED_VALUE"""),7.7622104)</f>
        <v>7.7622104</v>
      </c>
      <c r="D11410" s="7">
        <f>IFERROR(__xludf.DUMMYFUNCTION("""COMPUTED_VALUE"""),0.424657534246575)</f>
        <v>0.4246575342</v>
      </c>
    </row>
    <row r="11411">
      <c r="A11411" s="10" t="s">
        <v>12850</v>
      </c>
      <c r="B11411" s="7" t="str">
        <f>IFERROR(__xludf.DUMMYFUNCTION("SPLIT(A11411,"" "")"),"Cc1cnc(C)c(CN(C)Cc2cccc(N)n2)c1")</f>
        <v>Cc1cnc(C)c(CN(C)Cc2cccc(N)n2)c1</v>
      </c>
      <c r="C11411" s="7">
        <f>IFERROR(__xludf.DUMMYFUNCTION("""COMPUTED_VALUE"""),7.762209)</f>
        <v>7.762209</v>
      </c>
      <c r="D11411" s="7">
        <f>IFERROR(__xludf.DUMMYFUNCTION("""COMPUTED_VALUE"""),0.4)</f>
        <v>0.4</v>
      </c>
    </row>
    <row r="11412">
      <c r="A11412" s="10" t="s">
        <v>12851</v>
      </c>
      <c r="B11412" s="7" t="str">
        <f>IFERROR(__xludf.DUMMYFUNCTION("SPLIT(A11412,"" "")"),"Fc1cccc(CN(Cc2ccc3ncccc3c2)C2CCCC(N(Cc3ccccn3)c3ccccc3F)C2)n1")</f>
        <v>Fc1cccc(CN(Cc2ccc3ncccc3c2)C2CCCC(N(Cc3ccccn3)c3ccccc3F)C2)n1</v>
      </c>
      <c r="C11412" s="7">
        <f>IFERROR(__xludf.DUMMYFUNCTION("""COMPUTED_VALUE"""),7.7622075)</f>
        <v>7.7622075</v>
      </c>
      <c r="D11412" s="7">
        <f>IFERROR(__xludf.DUMMYFUNCTION("""COMPUTED_VALUE"""),0.341772151898734)</f>
        <v>0.3417721519</v>
      </c>
    </row>
    <row r="11413">
      <c r="A11413" s="10" t="s">
        <v>12852</v>
      </c>
      <c r="B11413" s="7" t="str">
        <f>IFERROR(__xludf.DUMMYFUNCTION("SPLIT(A11413,"" "")"),"CN(Cc1cccc(CF)n1)Cc1cccc(N(C)C(C)(C)c2cccnc2)n1")</f>
        <v>CN(Cc1cccc(CF)n1)Cc1cccc(N(C)C(C)(C)c2cccnc2)n1</v>
      </c>
      <c r="C11413" s="7">
        <f>IFERROR(__xludf.DUMMYFUNCTION("""COMPUTED_VALUE"""),7.762207)</f>
        <v>7.762207</v>
      </c>
      <c r="D11413" s="7">
        <f>IFERROR(__xludf.DUMMYFUNCTION("""COMPUTED_VALUE"""),0.345454545454545)</f>
        <v>0.3454545455</v>
      </c>
    </row>
    <row r="11414">
      <c r="A11414" s="10" t="s">
        <v>12853</v>
      </c>
      <c r="B11414" s="7" t="str">
        <f>IFERROR(__xludf.DUMMYFUNCTION("SPLIT(A11414,"" "")"),"CC(C)(NCc1ccccn1)c1cc(NCc2ccccn2)ccn1")</f>
        <v>CC(C)(NCc1ccccn1)c1cc(NCc2ccccn2)ccn1</v>
      </c>
      <c r="C11414" s="7">
        <f>IFERROR(__xludf.DUMMYFUNCTION("""COMPUTED_VALUE"""),7.762206)</f>
        <v>7.762206</v>
      </c>
      <c r="D11414" s="7">
        <f>IFERROR(__xludf.DUMMYFUNCTION("""COMPUTED_VALUE"""),0.404761904761904)</f>
        <v>0.4047619048</v>
      </c>
    </row>
    <row r="11415">
      <c r="A11415" s="10" t="s">
        <v>12854</v>
      </c>
      <c r="B11415" s="7" t="str">
        <f>IFERROR(__xludf.DUMMYFUNCTION("SPLIT(A11415,"" "")"),"CN(c1ccc2ncccc2c1)C1CCCCC1N(Cc1ccccn1)C1=CC=CNC1NCc1ccccn1")</f>
        <v>CN(c1ccc2ncccc2c1)C1CCCCC1N(Cc1ccccn1)C1=CC=CNC1NCc1ccccn1</v>
      </c>
      <c r="C11415" s="7">
        <f>IFERROR(__xludf.DUMMYFUNCTION("""COMPUTED_VALUE"""),7.7621984)</f>
        <v>7.7621984</v>
      </c>
      <c r="D11415" s="7">
        <f>IFERROR(__xludf.DUMMYFUNCTION("""COMPUTED_VALUE"""),0.38235294117647)</f>
        <v>0.3823529412</v>
      </c>
    </row>
    <row r="11416">
      <c r="A11416" s="10" t="s">
        <v>12855</v>
      </c>
      <c r="B11416" s="7" t="str">
        <f>IFERROR(__xludf.DUMMYFUNCTION("SPLIT(A11416,"" "")"),"Cc1cc(C)c(CN(C)C2=CNC(CN(C)C(C)C)=CC2)nc1C")</f>
        <v>Cc1cc(C)c(CN(C)C2=CNC(CN(C)C(C)C)=CC2)nc1C</v>
      </c>
      <c r="C11416" s="7">
        <f>IFERROR(__xludf.DUMMYFUNCTION("""COMPUTED_VALUE"""),7.762188)</f>
        <v>7.762188</v>
      </c>
      <c r="D11416" s="7">
        <f>IFERROR(__xludf.DUMMYFUNCTION("""COMPUTED_VALUE"""),0.181818181818181)</f>
        <v>0.1818181818</v>
      </c>
    </row>
    <row r="11417">
      <c r="A11417" s="10" t="s">
        <v>12856</v>
      </c>
      <c r="B11417" s="7" t="str">
        <f>IFERROR(__xludf.DUMMYFUNCTION("SPLIT(A11417,"" "")"),"Cc1cnc(CN(Cc2ccccn2)Cc2cccnc2F)c(C)c1C")</f>
        <v>Cc1cnc(CN(Cc2ccccn2)Cc2cccnc2F)c(C)c1C</v>
      </c>
      <c r="C11417" s="7">
        <f>IFERROR(__xludf.DUMMYFUNCTION("""COMPUTED_VALUE"""),7.7621846)</f>
        <v>7.7621846</v>
      </c>
      <c r="D11417" s="7">
        <f>IFERROR(__xludf.DUMMYFUNCTION("""COMPUTED_VALUE"""),0.48780487804878)</f>
        <v>0.487804878</v>
      </c>
    </row>
    <row r="11418">
      <c r="A11418" s="10" t="s">
        <v>12857</v>
      </c>
      <c r="B11418" s="7" t="str">
        <f>IFERROR(__xludf.DUMMYFUNCTION("SPLIT(A11418,"" "")"),"Cc1ccnc(C2CCC2(C)C)c1C(=O)C(C)NCc1ncccc1CNCc1cc(C(C)(c2ccccn2)C(C)C)c(C)c(C)n1")</f>
        <v>Cc1ccnc(C2CCC2(C)C)c1C(=O)C(C)NCc1ncccc1CNCc1cc(C(C)(c2ccccn2)C(C)C)c(C)c(C)n1</v>
      </c>
      <c r="C11418" s="7">
        <f>IFERROR(__xludf.DUMMYFUNCTION("""COMPUTED_VALUE"""),7.762172)</f>
        <v>7.762172</v>
      </c>
      <c r="D11418" s="7">
        <f>IFERROR(__xludf.DUMMYFUNCTION("""COMPUTED_VALUE"""),0.191919191919191)</f>
        <v>0.1919191919</v>
      </c>
    </row>
    <row r="11419">
      <c r="A11419" s="10" t="s">
        <v>12858</v>
      </c>
      <c r="B11419" s="7" t="str">
        <f>IFERROR(__xludf.DUMMYFUNCTION("SPLIT(A11419,"" "")"),"Cc1cc(CN(C)CC2=CC(N(C)Cc3ccccn3)C=CN2)cc(NCc2ccccn2)c1")</f>
        <v>Cc1cc(CN(C)CC2=CC(N(C)Cc3ccccn3)C=CN2)cc(NCc2ccccn2)c1</v>
      </c>
      <c r="C11419" s="7">
        <f>IFERROR(__xludf.DUMMYFUNCTION("""COMPUTED_VALUE"""),7.762164)</f>
        <v>7.762164</v>
      </c>
      <c r="D11419" s="7">
        <f>IFERROR(__xludf.DUMMYFUNCTION("""COMPUTED_VALUE"""),0.338461538461538)</f>
        <v>0.3384615385</v>
      </c>
    </row>
    <row r="11420">
      <c r="A11420" s="10" t="s">
        <v>12859</v>
      </c>
      <c r="B11420" s="7" t="str">
        <f>IFERROR(__xludf.DUMMYFUNCTION("SPLIT(A11420,"" "")"),"Cc1nc(CN(C)C2=C(CN(C)C(C)C)NC=CC2)c(C)c(C)c1C")</f>
        <v>Cc1nc(CN(C)C2=C(CN(C)C(C)C)NC=CC2)c(C)c(C)c1C</v>
      </c>
      <c r="C11420" s="7">
        <f>IFERROR(__xludf.DUMMYFUNCTION("""COMPUTED_VALUE"""),7.7621617)</f>
        <v>7.7621617</v>
      </c>
      <c r="D11420" s="7">
        <f>IFERROR(__xludf.DUMMYFUNCTION("""COMPUTED_VALUE"""),0.189655172413793)</f>
        <v>0.1896551724</v>
      </c>
    </row>
    <row r="11421">
      <c r="A11421" s="10" t="s">
        <v>12860</v>
      </c>
      <c r="B11421" s="7" t="str">
        <f>IFERROR(__xludf.DUMMYFUNCTION("SPLIT(A11421,"" "")"),"CC1=CC(C)C(C)C(C)(N(Cc2ccccn2)Cc2cccc(-c3cccc(N(C)C)c3)n2)C1")</f>
        <v>CC1=CC(C)C(C)C(C)(N(Cc2ccccn2)Cc2cccc(-c3cccc(N(C)C)c3)n2)C1</v>
      </c>
      <c r="C11421" s="7">
        <f>IFERROR(__xludf.DUMMYFUNCTION("""COMPUTED_VALUE"""),7.76216)</f>
        <v>7.76216</v>
      </c>
      <c r="D11421" s="7">
        <f>IFERROR(__xludf.DUMMYFUNCTION("""COMPUTED_VALUE"""),0.426470588235294)</f>
        <v>0.4264705882</v>
      </c>
    </row>
    <row r="11422">
      <c r="A11422" s="10" t="s">
        <v>12861</v>
      </c>
      <c r="B11422" s="7" t="str">
        <f>IFERROR(__xludf.DUMMYFUNCTION("SPLIT(A11422,"" "")"),"Cc1cccnc1CN(C)C1=C(C(C)(C)C)NC=CC1")</f>
        <v>Cc1cccnc1CN(C)C1=C(C(C)(C)C)NC=CC1</v>
      </c>
      <c r="C11422" s="7">
        <f>IFERROR(__xludf.DUMMYFUNCTION("""COMPUTED_VALUE"""),7.76216)</f>
        <v>7.76216</v>
      </c>
      <c r="D11422" s="7">
        <f>IFERROR(__xludf.DUMMYFUNCTION("""COMPUTED_VALUE"""),0.283333333333333)</f>
        <v>0.2833333333</v>
      </c>
    </row>
    <row r="11423">
      <c r="A11423" s="10" t="s">
        <v>12862</v>
      </c>
      <c r="B11423" s="7" t="str">
        <f>IFERROR(__xludf.DUMMYFUNCTION("SPLIT(A11423,"" "")"),"CC(C)NCCNCc1cccc2cccnc12")</f>
        <v>CC(C)NCCNCc1cccc2cccnc12</v>
      </c>
      <c r="C11423" s="7">
        <f>IFERROR(__xludf.DUMMYFUNCTION("""COMPUTED_VALUE"""),7.7621584)</f>
        <v>7.7621584</v>
      </c>
      <c r="D11423" s="7">
        <f>IFERROR(__xludf.DUMMYFUNCTION("""COMPUTED_VALUE"""),0.454545454545454)</f>
        <v>0.4545454545</v>
      </c>
    </row>
    <row r="11424">
      <c r="A11424" s="10" t="s">
        <v>12863</v>
      </c>
      <c r="B11424" s="7" t="str">
        <f>IFERROR(__xludf.DUMMYFUNCTION("SPLIT(A11424,"" "")"),"Cc1cccnc1CN(C)C1CCC(N(C)c2ccc3nccc(CF)c3c2)CC1")</f>
        <v>Cc1cccnc1CN(C)C1CCC(N(C)c2ccc3nccc(CF)c3c2)CC1</v>
      </c>
      <c r="C11424" s="7">
        <f>IFERROR(__xludf.DUMMYFUNCTION("""COMPUTED_VALUE"""),7.762156)</f>
        <v>7.762156</v>
      </c>
      <c r="D11424" s="7">
        <f>IFERROR(__xludf.DUMMYFUNCTION("""COMPUTED_VALUE"""),0.261538461538461)</f>
        <v>0.2615384615</v>
      </c>
    </row>
    <row r="11425">
      <c r="A11425" s="10" t="s">
        <v>12864</v>
      </c>
      <c r="B11425" s="7" t="str">
        <f>IFERROR(__xludf.DUMMYFUNCTION("SPLIT(A11425,"" "")"),"Cc1ccc(CN(Cc2cccc(F)n2)Cc2cccc(CN(Cc3cccc(F)n3)C3CCCCC3N(C)c3ccc4nc(CF)ccc4c3)n2)nc1")</f>
        <v>Cc1ccc(CN(Cc2cccc(F)n2)Cc2cccc(CN(Cc3cccc(F)n3)C3CCCCC3N(C)c3ccc4nc(CF)ccc4c3)n2)nc1</v>
      </c>
      <c r="C11425" s="7">
        <f>IFERROR(__xludf.DUMMYFUNCTION("""COMPUTED_VALUE"""),7.762153)</f>
        <v>7.762153</v>
      </c>
      <c r="D11425" s="7">
        <f>IFERROR(__xludf.DUMMYFUNCTION("""COMPUTED_VALUE"""),0.408450704225352)</f>
        <v>0.4084507042</v>
      </c>
    </row>
    <row r="11426">
      <c r="A11426" s="10" t="s">
        <v>12865</v>
      </c>
      <c r="B11426" s="7" t="str">
        <f>IFERROR(__xludf.DUMMYFUNCTION("SPLIT(A11426,"" "")"),"CN1CCN(C)CCN(Cc2cccnc2-c2ccc3cccnc3c2)CC1")</f>
        <v>CN1CCN(C)CCN(Cc2cccnc2-c2ccc3cccnc3c2)CC1</v>
      </c>
      <c r="C11426" s="7">
        <f>IFERROR(__xludf.DUMMYFUNCTION("""COMPUTED_VALUE"""),7.7621527)</f>
        <v>7.7621527</v>
      </c>
      <c r="D11426" s="7">
        <f>IFERROR(__xludf.DUMMYFUNCTION("""COMPUTED_VALUE"""),0.4375)</f>
        <v>0.4375</v>
      </c>
    </row>
    <row r="11427">
      <c r="A11427" s="10" t="s">
        <v>12866</v>
      </c>
      <c r="B11427" s="7" t="str">
        <f>IFERROR(__xludf.DUMMYFUNCTION("SPLIT(A11427,"" "")"),"CC(C)(C)c1cccc(CNCc2cccc(C(C)(C)c3ccccn3)n2)n1")</f>
        <v>CC(C)(C)c1cccc(CNCc2cccc(C(C)(C)c3ccccn3)n2)n1</v>
      </c>
      <c r="C11427" s="7">
        <f>IFERROR(__xludf.DUMMYFUNCTION("""COMPUTED_VALUE"""),7.7621517)</f>
        <v>7.7621517</v>
      </c>
      <c r="D11427" s="7">
        <f>IFERROR(__xludf.DUMMYFUNCTION("""COMPUTED_VALUE"""),0.425)</f>
        <v>0.425</v>
      </c>
    </row>
    <row r="11428">
      <c r="A11428" s="10" t="s">
        <v>12867</v>
      </c>
      <c r="B11428" s="7" t="str">
        <f>IFERROR(__xludf.DUMMYFUNCTION("SPLIT(A11428,"" "")"),"CNCc1cc(CN(Cc2ccccn2)C2CCC(N(C)c3ccc4c(C)ccnc4c3)CC2)ccn1")</f>
        <v>CNCc1cc(CN(Cc2ccccn2)C2CCC(N(C)c3ccc4c(C)ccnc4c3)CC2)ccn1</v>
      </c>
      <c r="C11428" s="7">
        <f>IFERROR(__xludf.DUMMYFUNCTION("""COMPUTED_VALUE"""),7.7621503)</f>
        <v>7.7621503</v>
      </c>
      <c r="D11428" s="7">
        <f>IFERROR(__xludf.DUMMYFUNCTION("""COMPUTED_VALUE"""),0.333333333333333)</f>
        <v>0.3333333333</v>
      </c>
    </row>
    <row r="11429">
      <c r="A11429" s="10" t="s">
        <v>12868</v>
      </c>
      <c r="B11429" s="7" t="str">
        <f>IFERROR(__xludf.DUMMYFUNCTION("SPLIT(A11429,"" "")"),"Cc1cccnc1CN(C)C1=CNC(CN(Cc2ccccn2)C(C)C)=CC1")</f>
        <v>Cc1cccnc1CN(C)C1=CNC(CN(Cc2ccccn2)C(C)C)=CC1</v>
      </c>
      <c r="C11429" s="7">
        <f>IFERROR(__xludf.DUMMYFUNCTION("""COMPUTED_VALUE"""),7.762148)</f>
        <v>7.762148</v>
      </c>
      <c r="D11429" s="7">
        <f>IFERROR(__xludf.DUMMYFUNCTION("""COMPUTED_VALUE"""),0.436363636363636)</f>
        <v>0.4363636364</v>
      </c>
    </row>
    <row r="11430">
      <c r="A11430" s="10" t="s">
        <v>12869</v>
      </c>
      <c r="B11430" s="7" t="str">
        <f>IFERROR(__xludf.DUMMYFUNCTION("SPLIT(A11430,"" "")"),"Cc1cc(CN(C)Cc2cccnc2CN(C)Cc2ccccn2)nc(C)c1C")</f>
        <v>Cc1cc(CN(C)Cc2cccnc2CN(C)Cc2ccccn2)nc(C)c1C</v>
      </c>
      <c r="C11430" s="7">
        <f>IFERROR(__xludf.DUMMYFUNCTION("""COMPUTED_VALUE"""),7.762142)</f>
        <v>7.762142</v>
      </c>
      <c r="D11430" s="7">
        <f>IFERROR(__xludf.DUMMYFUNCTION("""COMPUTED_VALUE"""),0.450980392156862)</f>
        <v>0.4509803922</v>
      </c>
    </row>
    <row r="11431">
      <c r="A11431" s="10" t="s">
        <v>12870</v>
      </c>
      <c r="B11431" s="7" t="str">
        <f>IFERROR(__xludf.DUMMYFUNCTION("SPLIT(A11431,"" "")"),"CCN(CCNc1ccc2ncccc2c1)Cc1ccccn1")</f>
        <v>CCN(CCNc1ccc2ncccc2c1)Cc1ccccn1</v>
      </c>
      <c r="C11431" s="7">
        <f>IFERROR(__xludf.DUMMYFUNCTION("""COMPUTED_VALUE"""),7.7621403)</f>
        <v>7.7621403</v>
      </c>
      <c r="D11431" s="7">
        <f>IFERROR(__xludf.DUMMYFUNCTION("""COMPUTED_VALUE"""),0.450980392156862)</f>
        <v>0.4509803922</v>
      </c>
    </row>
    <row r="11432">
      <c r="A11432" s="10" t="s">
        <v>12871</v>
      </c>
      <c r="B11432" s="7" t="str">
        <f>IFERROR(__xludf.DUMMYFUNCTION("SPLIT(A11432,"" "")"),"CC(C)N(Cc1cccc(N(C)C)n1)Cc1cccnc1F")</f>
        <v>CC(C)N(Cc1cccc(N(C)C)n1)Cc1cccnc1F</v>
      </c>
      <c r="C11432" s="7">
        <f>IFERROR(__xludf.DUMMYFUNCTION("""COMPUTED_VALUE"""),7.7621293)</f>
        <v>7.7621293</v>
      </c>
      <c r="D11432" s="7">
        <f>IFERROR(__xludf.DUMMYFUNCTION("""COMPUTED_VALUE"""),0.425531914893617)</f>
        <v>0.4255319149</v>
      </c>
    </row>
    <row r="11433">
      <c r="A11433" s="10" t="s">
        <v>12872</v>
      </c>
      <c r="B11433" s="7" t="str">
        <f>IFERROR(__xludf.DUMMYFUNCTION("SPLIT(A11433,"" "")"),"Cc1cc(CN(C)C2CCCCC2N(C)c2ccc3c(CN(C)C)ccnc3c2)ccn1")</f>
        <v>Cc1cc(CN(C)C2CCCCC2N(C)c2ccc3c(CN(C)C)ccnc3c2)ccn1</v>
      </c>
      <c r="C11433" s="7">
        <f>IFERROR(__xludf.DUMMYFUNCTION("""COMPUTED_VALUE"""),7.7621264)</f>
        <v>7.7621264</v>
      </c>
      <c r="D11433" s="7">
        <f>IFERROR(__xludf.DUMMYFUNCTION("""COMPUTED_VALUE"""),0.35593220338983)</f>
        <v>0.3559322034</v>
      </c>
    </row>
    <row r="11434">
      <c r="A11434" s="10" t="s">
        <v>12873</v>
      </c>
      <c r="B11434" s="7" t="str">
        <f>IFERROR(__xludf.DUMMYFUNCTION("SPLIT(A11434,"" "")"),"CN(Cc1ccc(N)cn1)C1=C(CN(C)C(C)(C)c2ccccn2)NC=CC1")</f>
        <v>CN(Cc1ccc(N)cn1)C1=C(CN(C)C(C)(C)c2ccccn2)NC=CC1</v>
      </c>
      <c r="C11434" s="7">
        <f>IFERROR(__xludf.DUMMYFUNCTION("""COMPUTED_VALUE"""),7.762121)</f>
        <v>7.762121</v>
      </c>
      <c r="D11434" s="7">
        <f>IFERROR(__xludf.DUMMYFUNCTION("""COMPUTED_VALUE"""),0.32258064516129)</f>
        <v>0.3225806452</v>
      </c>
    </row>
    <row r="11435">
      <c r="A11435" s="10" t="s">
        <v>12874</v>
      </c>
      <c r="B11435" s="7" t="str">
        <f>IFERROR(__xludf.DUMMYFUNCTION("SPLIT(A11435,"" "")"),"CNc1cc(Cl)c(-c2cc(CN(C)C3CCC(N(C)Cc4nc(C)ccc4C)CC3)ccn2)cc1C")</f>
        <v>CNc1cc(Cl)c(-c2cc(CN(C)C3CCC(N(C)Cc4nc(C)ccc4C)CC3)ccn2)cc1C</v>
      </c>
      <c r="C11435" s="7">
        <f>IFERROR(__xludf.DUMMYFUNCTION("""COMPUTED_VALUE"""),7.762121)</f>
        <v>7.762121</v>
      </c>
      <c r="D11435" s="7">
        <f>IFERROR(__xludf.DUMMYFUNCTION("""COMPUTED_VALUE"""),0.242857142857142)</f>
        <v>0.2428571429</v>
      </c>
    </row>
    <row r="11436">
      <c r="A11436" s="10" t="s">
        <v>12875</v>
      </c>
      <c r="B11436" s="7" t="str">
        <f>IFERROR(__xludf.DUMMYFUNCTION("SPLIT(A11436,"" "")"),"CN(Cc1ccon1)C1CCC(N(C)c2ccc3ncc(CF)cc3c2)CC1")</f>
        <v>CN(Cc1ccon1)C1CCC(N(C)c2ccc3ncc(CF)cc3c2)CC1</v>
      </c>
      <c r="C11436" s="7">
        <f>IFERROR(__xludf.DUMMYFUNCTION("""COMPUTED_VALUE"""),7.7621202)</f>
        <v>7.7621202</v>
      </c>
      <c r="D11436" s="7">
        <f>IFERROR(__xludf.DUMMYFUNCTION("""COMPUTED_VALUE"""),0.357142857142857)</f>
        <v>0.3571428571</v>
      </c>
    </row>
    <row r="11437">
      <c r="A11437" s="10" t="s">
        <v>12876</v>
      </c>
      <c r="B11437" s="7" t="str">
        <f>IFERROR(__xludf.DUMMYFUNCTION("SPLIT(A11437,"" "")"),"Cc1cnc(CN(C)CC2=CC(N(C)Cc3cc(C)c(C)c(C)n3)C=CN2)c(C)c1")</f>
        <v>Cc1cnc(CN(C)CC2=CC(N(C)Cc3cc(C)c(C)c(C)n3)C=CN2)c(C)c1</v>
      </c>
      <c r="C11437" s="7">
        <f>IFERROR(__xludf.DUMMYFUNCTION("""COMPUTED_VALUE"""),7.76212)</f>
        <v>7.76212</v>
      </c>
      <c r="D11437" s="7">
        <f>IFERROR(__xludf.DUMMYFUNCTION("""COMPUTED_VALUE"""),0.283582089552238)</f>
        <v>0.2835820896</v>
      </c>
    </row>
    <row r="11438">
      <c r="A11438" s="10" t="s">
        <v>12877</v>
      </c>
      <c r="B11438" s="7" t="str">
        <f>IFERROR(__xludf.DUMMYFUNCTION("SPLIT(A11438,"" "")"),"Cc1cnc(CN(C)C2CCCCC2N(C)c2ccc3nccc(CF)c3c2)cc1C")</f>
        <v>Cc1cnc(CN(C)C2CCCCC2N(C)c2ccc3nccc(CF)c3c2)cc1C</v>
      </c>
      <c r="C11438" s="7">
        <f>IFERROR(__xludf.DUMMYFUNCTION("""COMPUTED_VALUE"""),7.762117)</f>
        <v>7.762117</v>
      </c>
      <c r="D11438" s="7">
        <f>IFERROR(__xludf.DUMMYFUNCTION("""COMPUTED_VALUE"""),0.440677966101694)</f>
        <v>0.4406779661</v>
      </c>
    </row>
    <row r="11439">
      <c r="A11439" s="10" t="s">
        <v>12878</v>
      </c>
      <c r="B11439" s="7" t="str">
        <f>IFERROR(__xludf.DUMMYFUNCTION("SPLIT(A11439,"" "")"),"Cc1cc2cccnc2c(C)c1CN(C)CCN(C)C(C)(C)C")</f>
        <v>Cc1cc2cccnc2c(C)c1CN(C)CCN(C)C(C)(C)C</v>
      </c>
      <c r="C11439" s="7">
        <f>IFERROR(__xludf.DUMMYFUNCTION("""COMPUTED_VALUE"""),7.762116)</f>
        <v>7.762116</v>
      </c>
      <c r="D11439" s="7">
        <f>IFERROR(__xludf.DUMMYFUNCTION("""COMPUTED_VALUE"""),0.458333333333333)</f>
        <v>0.4583333333</v>
      </c>
    </row>
    <row r="11440">
      <c r="A11440" s="10" t="s">
        <v>12879</v>
      </c>
      <c r="B11440" s="7" t="str">
        <f>IFERROR(__xludf.DUMMYFUNCTION("SPLIT(A11440,"" "")"),"Cc1ccccc1N(C)CC1=CCC(N(C)C(C)C)=CN1")</f>
        <v>Cc1ccccc1N(C)CC1=CCC(N(C)C(C)C)=CN1</v>
      </c>
      <c r="C11440" s="7">
        <f>IFERROR(__xludf.DUMMYFUNCTION("""COMPUTED_VALUE"""),7.7621145)</f>
        <v>7.7621145</v>
      </c>
      <c r="D11440" s="7">
        <f>IFERROR(__xludf.DUMMYFUNCTION("""COMPUTED_VALUE"""),0.24074074074074)</f>
        <v>0.2407407407</v>
      </c>
    </row>
    <row r="11441">
      <c r="A11441" s="10" t="s">
        <v>12880</v>
      </c>
      <c r="B11441" s="7" t="str">
        <f>IFERROR(__xludf.DUMMYFUNCTION("SPLIT(A11441,"" "")"),"CN1CCN(C)CCN(Cc2ccc(-c3cccc4cccnc34)nc2)CC1")</f>
        <v>CN1CCN(C)CCN(Cc2ccc(-c3cccc4cccnc34)nc2)CC1</v>
      </c>
      <c r="C11441" s="7">
        <f>IFERROR(__xludf.DUMMYFUNCTION("""COMPUTED_VALUE"""),7.7621098)</f>
        <v>7.7621098</v>
      </c>
      <c r="D11441" s="7">
        <f>IFERROR(__xludf.DUMMYFUNCTION("""COMPUTED_VALUE"""),0.428571428571428)</f>
        <v>0.4285714286</v>
      </c>
    </row>
    <row r="11442">
      <c r="A11442" s="10" t="s">
        <v>12881</v>
      </c>
      <c r="B11442" s="7" t="str">
        <f>IFERROR(__xludf.DUMMYFUNCTION("SPLIT(A11442,"" "")"),"CC1=CC(C)(C)CC2(C(c3ncccc3CN(Cc3ccccn3)Cc3ccccn3)=CC3(CC(C)=C(C)CC3C)C(C)(C)C2c2ccc(CN(Cc3ccccn3)Cc3ccccn3)cn2)C12C(C)C=CCC2C")</f>
        <v>CC1=CC(C)(C)CC2(C(c3ncccc3CN(Cc3ccccn3)Cc3ccccn3)=CC3(CC(C)=C(C)CC3C)C(C)(C)C2c2ccc(CN(Cc3ccccn3)Cc3ccccn3)cn2)C12C(C)C=CCC2C</v>
      </c>
      <c r="C11442" s="7">
        <f>IFERROR(__xludf.DUMMYFUNCTION("""COMPUTED_VALUE"""),7.762107)</f>
        <v>7.762107</v>
      </c>
      <c r="D11442" s="7">
        <f>IFERROR(__xludf.DUMMYFUNCTION("""COMPUTED_VALUE"""),0.242424242424242)</f>
        <v>0.2424242424</v>
      </c>
    </row>
    <row r="11443">
      <c r="A11443" s="10" t="s">
        <v>12882</v>
      </c>
      <c r="B11443" s="7" t="str">
        <f>IFERROR(__xludf.DUMMYFUNCTION("SPLIT(A11443,"" "")"),"Cc1cccnc1CN(C)C1CCC(N(C)c2ccc3nc(CN(C)C)ccc3c2)CC1")</f>
        <v>Cc1cccnc1CN(C)C1CCC(N(C)c2ccc3nc(CN(C)C)ccc3c2)CC1</v>
      </c>
      <c r="C11443" s="7">
        <f>IFERROR(__xludf.DUMMYFUNCTION("""COMPUTED_VALUE"""),7.7620893)</f>
        <v>7.7620893</v>
      </c>
      <c r="D11443" s="7">
        <f>IFERROR(__xludf.DUMMYFUNCTION("""COMPUTED_VALUE"""),0.311475409836065)</f>
        <v>0.3114754098</v>
      </c>
    </row>
    <row r="11444">
      <c r="A11444" s="10" t="s">
        <v>12883</v>
      </c>
      <c r="B11444" s="7" t="str">
        <f>IFERROR(__xludf.DUMMYFUNCTION("SPLIT(A11444,"" "")"),"CNCc1ccc(C2=NCC(C)(C)O2)cn1")</f>
        <v>CNCc1ccc(C2=NCC(C)(C)O2)cn1</v>
      </c>
      <c r="C11444" s="7">
        <f>IFERROR(__xludf.DUMMYFUNCTION("""COMPUTED_VALUE"""),7.7620687)</f>
        <v>7.7620687</v>
      </c>
      <c r="D11444" s="7">
        <f>IFERROR(__xludf.DUMMYFUNCTION("""COMPUTED_VALUE"""),0.244897959183673)</f>
        <v>0.2448979592</v>
      </c>
    </row>
    <row r="11445">
      <c r="A11445" s="10" t="s">
        <v>12884</v>
      </c>
      <c r="B11445" s="7" t="str">
        <f>IFERROR(__xludf.DUMMYFUNCTION("SPLIT(A11445,"" "")"),"CNc1ccnc(CNCc2ncccc2C)c1")</f>
        <v>CNc1ccnc(CNCc2ncccc2C)c1</v>
      </c>
      <c r="C11445" s="7">
        <f>IFERROR(__xludf.DUMMYFUNCTION("""COMPUTED_VALUE"""),7.7620645)</f>
        <v>7.7620645</v>
      </c>
      <c r="D11445" s="7">
        <f>IFERROR(__xludf.DUMMYFUNCTION("""COMPUTED_VALUE"""),0.348837209302325)</f>
        <v>0.3488372093</v>
      </c>
    </row>
    <row r="11446">
      <c r="A11446" s="10" t="s">
        <v>12885</v>
      </c>
      <c r="B11446" s="7" t="str">
        <f>IFERROR(__xludf.DUMMYFUNCTION("SPLIT(A11446,"" "")"),"Cc1cccnc1CN(Cc1ccnc(C(C)(c2cccnc2)C(C)C)c1)Cc1ccccn1")</f>
        <v>Cc1cccnc1CN(Cc1ccnc(C(C)(c2cccnc2)C(C)C)c1)Cc1ccccn1</v>
      </c>
      <c r="C11446" s="7">
        <f>IFERROR(__xludf.DUMMYFUNCTION("""COMPUTED_VALUE"""),7.762061)</f>
        <v>7.762061</v>
      </c>
      <c r="D11446" s="7">
        <f>IFERROR(__xludf.DUMMYFUNCTION("""COMPUTED_VALUE"""),0.357142857142857)</f>
        <v>0.3571428571</v>
      </c>
    </row>
    <row r="11447">
      <c r="A11447" s="10" t="s">
        <v>12886</v>
      </c>
      <c r="B11447" s="7" t="str">
        <f>IFERROR(__xludf.DUMMYFUNCTION("SPLIT(A11447,"" "")"),"Cc1cccc(CN(C)C2CCC(N(C)c3ccc4nccc(CF)c4c3)CC2)n1")</f>
        <v>Cc1cccc(CN(C)C2CCC(N(C)c3ccc4nccc(CF)c4c3)CC2)n1</v>
      </c>
      <c r="C11447" s="7">
        <f>IFERROR(__xludf.DUMMYFUNCTION("""COMPUTED_VALUE"""),7.7620597)</f>
        <v>7.7620597</v>
      </c>
      <c r="D11447" s="7">
        <f>IFERROR(__xludf.DUMMYFUNCTION("""COMPUTED_VALUE"""),0.423728813559322)</f>
        <v>0.4237288136</v>
      </c>
    </row>
    <row r="11448">
      <c r="A11448" s="10" t="s">
        <v>12887</v>
      </c>
      <c r="B11448" s="7" t="str">
        <f>IFERROR(__xludf.DUMMYFUNCTION("SPLIT(A11448,"" "")"),"Cc1ccnc(CN(C)c2cncc(CN(C)C(C)C)c2)c1")</f>
        <v>Cc1ccnc(CN(C)c2cncc(CN(C)C(C)C)c2)c1</v>
      </c>
      <c r="C11448" s="7">
        <f>IFERROR(__xludf.DUMMYFUNCTION("""COMPUTED_VALUE"""),7.762043)</f>
        <v>7.762043</v>
      </c>
      <c r="D11448" s="7">
        <f>IFERROR(__xludf.DUMMYFUNCTION("""COMPUTED_VALUE"""),0.314814814814814)</f>
        <v>0.3148148148</v>
      </c>
    </row>
    <row r="11449">
      <c r="A11449" s="10" t="s">
        <v>12888</v>
      </c>
      <c r="B11449" s="7" t="str">
        <f>IFERROR(__xludf.DUMMYFUNCTION("SPLIT(A11449,"" "")"),"Cc1cccnc1CN(Cc1ncccc1C(C)(C)N(Cc1ncccc1C)Cc1ncccc1C)C(C)C")</f>
        <v>Cc1cccnc1CN(Cc1ncccc1C(C)(C)N(Cc1ncccc1C)Cc1ncccc1C)C(C)C</v>
      </c>
      <c r="C11449" s="7">
        <f>IFERROR(__xludf.DUMMYFUNCTION("""COMPUTED_VALUE"""),7.762041)</f>
        <v>7.762041</v>
      </c>
      <c r="D11449" s="7">
        <f>IFERROR(__xludf.DUMMYFUNCTION("""COMPUTED_VALUE"""),0.382978723404255)</f>
        <v>0.3829787234</v>
      </c>
    </row>
    <row r="11450">
      <c r="A11450" s="10" t="s">
        <v>12889</v>
      </c>
      <c r="B11450" s="7" t="str">
        <f>IFERROR(__xludf.DUMMYFUNCTION("SPLIT(A11450,"" "")"),"CCN(CC1=CCC(N(C)Cc2ncc(C)c(C)c2C)=CN1)Cc1ccccn1")</f>
        <v>CCN(CC1=CCC(N(C)Cc2ncc(C)c(C)c2C)=CN1)Cc1ccccn1</v>
      </c>
      <c r="C11450" s="7">
        <f>IFERROR(__xludf.DUMMYFUNCTION("""COMPUTED_VALUE"""),7.7620335)</f>
        <v>7.7620335</v>
      </c>
      <c r="D11450" s="7">
        <f>IFERROR(__xludf.DUMMYFUNCTION("""COMPUTED_VALUE"""),0.419354838709677)</f>
        <v>0.4193548387</v>
      </c>
    </row>
    <row r="11451">
      <c r="A11451" s="10" t="s">
        <v>12890</v>
      </c>
      <c r="B11451" s="7" t="str">
        <f>IFERROR(__xludf.DUMMYFUNCTION("SPLIT(A11451,"" "")"),"Cc1cccnc1CN(Cc1cc(C(C)(C)C)ccn1)c1ccc2nc(CN(C)Cc3cc(-c4ccc5c(c4)OCCOCCOCCOCCOCCO5)ccn3)ccc2c1")</f>
        <v>Cc1cccnc1CN(Cc1cc(C(C)(C)C)ccn1)c1ccc2nc(CN(C)Cc3cc(-c4ccc5c(c4)OCCOCCOCCOCCOCCO5)ccn3)ccc2c1</v>
      </c>
      <c r="C11451" s="7">
        <f>IFERROR(__xludf.DUMMYFUNCTION("""COMPUTED_VALUE"""),7.762033)</f>
        <v>7.762033</v>
      </c>
      <c r="D11451" s="7">
        <f>IFERROR(__xludf.DUMMYFUNCTION("""COMPUTED_VALUE"""),0.310344827586206)</f>
        <v>0.3103448276</v>
      </c>
    </row>
    <row r="11452">
      <c r="A11452" s="10" t="s">
        <v>12891</v>
      </c>
      <c r="B11452" s="7" t="str">
        <f>IFERROR(__xludf.DUMMYFUNCTION("SPLIT(A11452,"" "")"),"Cc1cc(NCc2ccccn2)ccc1-c1ccc(CN(C)C2CCCC(N(C)Cc3cc(C)c(C)c(C)n3)C2)cn1")</f>
        <v>Cc1cc(NCc2ccccn2)ccc1-c1ccc(CN(C)C2CCCC(N(C)Cc3cc(C)c(C)c(C)n3)C2)cn1</v>
      </c>
      <c r="C11452" s="7">
        <f>IFERROR(__xludf.DUMMYFUNCTION("""COMPUTED_VALUE"""),7.7620173)</f>
        <v>7.7620173</v>
      </c>
      <c r="D11452" s="7">
        <f>IFERROR(__xludf.DUMMYFUNCTION("""COMPUTED_VALUE"""),0.333333333333333)</f>
        <v>0.3333333333</v>
      </c>
    </row>
    <row r="11453">
      <c r="A11453" s="10" t="s">
        <v>12892</v>
      </c>
      <c r="B11453" s="7" t="str">
        <f>IFERROR(__xludf.DUMMYFUNCTION("SPLIT(A11453,"" "")"),"Cc1c(CN(C)C2CCCCC2N(C)c2ccc3cccnc3c2)cccc1NCc1ccccn1")</f>
        <v>Cc1c(CN(C)C2CCCCC2N(C)c2ccc3cccnc3c2)cccc1NCc1ccccn1</v>
      </c>
      <c r="C11453" s="7">
        <f>IFERROR(__xludf.DUMMYFUNCTION("""COMPUTED_VALUE"""),7.7620063)</f>
        <v>7.7620063</v>
      </c>
      <c r="D11453" s="7">
        <f>IFERROR(__xludf.DUMMYFUNCTION("""COMPUTED_VALUE"""),0.444444444444444)</f>
        <v>0.4444444444</v>
      </c>
    </row>
    <row r="11454">
      <c r="A11454" s="10" t="s">
        <v>12893</v>
      </c>
      <c r="B11454" s="7" t="str">
        <f>IFERROR(__xludf.DUMMYFUNCTION("SPLIT(A11454,"" "")"),"Cc1cc(CN(C)C2CCCC(N(C)c3ccc4c(CF)ccnc4c3)C2)ccn1")</f>
        <v>Cc1cc(CN(C)C2CCCC(N(C)c3ccc4c(CF)ccnc4c3)C2)ccn1</v>
      </c>
      <c r="C11454" s="7">
        <f>IFERROR(__xludf.DUMMYFUNCTION("""COMPUTED_VALUE"""),7.7620063)</f>
        <v>7.7620063</v>
      </c>
      <c r="D11454" s="7">
        <f>IFERROR(__xludf.DUMMYFUNCTION("""COMPUTED_VALUE"""),0.242424242424242)</f>
        <v>0.2424242424</v>
      </c>
    </row>
    <row r="11455">
      <c r="A11455" s="10" t="s">
        <v>12894</v>
      </c>
      <c r="B11455" s="7" t="str">
        <f>IFERROR(__xludf.DUMMYFUNCTION("SPLIT(A11455,"" "")"),"Cc1cc(C)c(CN(C)Cc2ncccc2N)cn1")</f>
        <v>Cc1cc(C)c(CN(C)Cc2ncccc2N)cn1</v>
      </c>
      <c r="C11455" s="7">
        <f>IFERROR(__xludf.DUMMYFUNCTION("""COMPUTED_VALUE"""),7.7620025)</f>
        <v>7.7620025</v>
      </c>
      <c r="D11455" s="7">
        <f>IFERROR(__xludf.DUMMYFUNCTION("""COMPUTED_VALUE"""),0.34)</f>
        <v>0.34</v>
      </c>
    </row>
    <row r="11456">
      <c r="A11456" s="10" t="s">
        <v>12895</v>
      </c>
      <c r="B11456" s="7" t="str">
        <f>IFERROR(__xludf.DUMMYFUNCTION("SPLIT(A11456,"" "")"),"Cc1cc(C)nc(CN(C)Cc2ncccc2C)c1")</f>
        <v>Cc1cc(C)nc(CN(C)Cc2ncccc2C)c1</v>
      </c>
      <c r="C11456" s="7">
        <f>IFERROR(__xludf.DUMMYFUNCTION("""COMPUTED_VALUE"""),7.7619987)</f>
        <v>7.7619987</v>
      </c>
      <c r="D11456" s="7">
        <f>IFERROR(__xludf.DUMMYFUNCTION("""COMPUTED_VALUE"""),0.386363636363636)</f>
        <v>0.3863636364</v>
      </c>
    </row>
    <row r="11457">
      <c r="A11457" s="10" t="s">
        <v>12896</v>
      </c>
      <c r="B11457" s="7" t="str">
        <f>IFERROR(__xludf.DUMMYFUNCTION("SPLIT(A11457,"" "")"),"COC(=O)C1CN(C)C(c2cccc(CN(Cc3ccccn3)Cc3ccccn3)n2)C(c2ccccn2)C1c1ccccn1")</f>
        <v>COC(=O)C1CN(C)C(c2cccc(CN(Cc3ccccn3)Cc3ccccn3)n2)C(c2ccccn2)C1c1ccccn1</v>
      </c>
      <c r="C11457" s="7">
        <f>IFERROR(__xludf.DUMMYFUNCTION("""COMPUTED_VALUE"""),7.761992)</f>
        <v>7.761992</v>
      </c>
      <c r="D11457" s="7">
        <f>IFERROR(__xludf.DUMMYFUNCTION("""COMPUTED_VALUE"""),0.424242424242424)</f>
        <v>0.4242424242</v>
      </c>
    </row>
    <row r="11458">
      <c r="A11458" s="10" t="s">
        <v>12897</v>
      </c>
      <c r="B11458" s="7" t="str">
        <f>IFERROR(__xludf.DUMMYFUNCTION("SPLIT(A11458,"" "")"),"Cc1c(N(C)Cc2cc(-c3ccc4c(c3)OCCOCCOCCOCCOCCO4)ccn2)cc2cccnc2c1C")</f>
        <v>Cc1c(N(C)Cc2cc(-c3ccc4c(c3)OCCOCCOCCOCCOCCO4)ccn2)cc2cccnc2c1C</v>
      </c>
      <c r="C11458" s="7">
        <f>IFERROR(__xludf.DUMMYFUNCTION("""COMPUTED_VALUE"""),7.7619905)</f>
        <v>7.7619905</v>
      </c>
      <c r="D11458" s="7">
        <f>IFERROR(__xludf.DUMMYFUNCTION("""COMPUTED_VALUE"""),0.342465753424657)</f>
        <v>0.3424657534</v>
      </c>
    </row>
    <row r="11459">
      <c r="A11459" s="10" t="s">
        <v>12898</v>
      </c>
      <c r="B11459" s="7" t="str">
        <f>IFERROR(__xludf.DUMMYFUNCTION("SPLIT(A11459,"" "")"),"Cc1cccnc1CN(C)C1=CNC(CN(C)C(C)(C)c2ccccn2)=CC1")</f>
        <v>Cc1cccnc1CN(C)C1=CNC(CN(C)C(C)(C)c2ccccn2)=CC1</v>
      </c>
      <c r="C11459" s="7">
        <f>IFERROR(__xludf.DUMMYFUNCTION("""COMPUTED_VALUE"""),7.761986)</f>
        <v>7.761986</v>
      </c>
      <c r="D11459" s="7">
        <f>IFERROR(__xludf.DUMMYFUNCTION("""COMPUTED_VALUE"""),0.283582089552238)</f>
        <v>0.2835820896</v>
      </c>
    </row>
    <row r="11460">
      <c r="A11460" s="10" t="s">
        <v>12899</v>
      </c>
      <c r="B11460" s="7" t="str">
        <f>IFERROR(__xludf.DUMMYFUNCTION("SPLIT(A11460,"" "")"),"CN(Cc1ccc(-c2ccc3c(c2)OCCOCCOCCOCCOCCO3)cn1)C1=CCC(N(C)c2ccc3cccnc3c2)=CN1")</f>
        <v>CN(Cc1ccc(-c2ccc3c(c2)OCCOCCOCCOCCOCCO3)cn1)C1=CCC(N(C)c2ccc3cccnc3c2)=CN1</v>
      </c>
      <c r="C11460" s="7">
        <f>IFERROR(__xludf.DUMMYFUNCTION("""COMPUTED_VALUE"""),7.761985)</f>
        <v>7.761985</v>
      </c>
      <c r="D11460" s="7">
        <f>IFERROR(__xludf.DUMMYFUNCTION("""COMPUTED_VALUE"""),0.37037037037037)</f>
        <v>0.3703703704</v>
      </c>
    </row>
    <row r="11461">
      <c r="A11461" s="10" t="s">
        <v>12900</v>
      </c>
      <c r="B11461" s="7" t="str">
        <f>IFERROR(__xludf.DUMMYFUNCTION("SPLIT(A11461,"" "")"),"CN1CCN(C)CCN(Cc2ccc(-c3cccc4ncccc34)nc2)CC1")</f>
        <v>CN1CCN(C)CCN(Cc2ccc(-c3cccc4ncccc34)nc2)CC1</v>
      </c>
      <c r="C11461" s="7">
        <f>IFERROR(__xludf.DUMMYFUNCTION("""COMPUTED_VALUE"""),7.761977)</f>
        <v>7.761977</v>
      </c>
      <c r="D11461" s="7">
        <f>IFERROR(__xludf.DUMMYFUNCTION("""COMPUTED_VALUE"""),0.42)</f>
        <v>0.42</v>
      </c>
    </row>
    <row r="11462">
      <c r="A11462" s="10" t="s">
        <v>12901</v>
      </c>
      <c r="B11462" s="7" t="str">
        <f>IFERROR(__xludf.DUMMYFUNCTION("SPLIT(A11462,"" "")"),"CC1=CC(C)C2(C(c3cc(CN(Cc4ccccn4)Cc4ccccn4)ccn3)=CC(c3ncccc3CN(Cc3ccccn3)Cc3ccccn3)CC23CC(C)=C(C)CC3C)C(C)C1")</f>
        <v>CC1=CC(C)C2(C(c3cc(CN(Cc4ccccn4)Cc4ccccn4)ccn3)=CC(c3ncccc3CN(Cc3ccccn3)Cc3ccccn3)CC23CC(C)=C(C)CC3C)C(C)C1</v>
      </c>
      <c r="C11462" s="7">
        <f>IFERROR(__xludf.DUMMYFUNCTION("""COMPUTED_VALUE"""),7.761968)</f>
        <v>7.761968</v>
      </c>
      <c r="D11462" s="7">
        <f>IFERROR(__xludf.DUMMYFUNCTION("""COMPUTED_VALUE"""),0.285714285714285)</f>
        <v>0.2857142857</v>
      </c>
    </row>
    <row r="11463">
      <c r="A11463" s="10" t="s">
        <v>12902</v>
      </c>
      <c r="B11463" s="7" t="str">
        <f>IFERROR(__xludf.DUMMYFUNCTION("SPLIT(A11463,"" "")"),"CNC1C=CC=C(N(C)Cc2cc(C)ccn2)N1")</f>
        <v>CNC1C=CC=C(N(C)Cc2cc(C)ccn2)N1</v>
      </c>
      <c r="C11463" s="7">
        <f>IFERROR(__xludf.DUMMYFUNCTION("""COMPUTED_VALUE"""),7.7619624)</f>
        <v>7.7619624</v>
      </c>
      <c r="D11463" s="7">
        <f>IFERROR(__xludf.DUMMYFUNCTION("""COMPUTED_VALUE"""),0.309090909090909)</f>
        <v>0.3090909091</v>
      </c>
    </row>
    <row r="11464">
      <c r="A11464" s="10" t="s">
        <v>12903</v>
      </c>
      <c r="B11464" s="7" t="str">
        <f>IFERROR(__xludf.DUMMYFUNCTION("SPLIT(A11464,"" "")"),"Cc1ccc(CN(C)C2C=CC=C(NCc3ccccn3)N2)nc1")</f>
        <v>Cc1ccc(CN(C)C2C=CC=C(NCc3ccccn3)N2)nc1</v>
      </c>
      <c r="C11464" s="7">
        <f>IFERROR(__xludf.DUMMYFUNCTION("""COMPUTED_VALUE"""),7.761962)</f>
        <v>7.761962</v>
      </c>
      <c r="D11464" s="7">
        <f>IFERROR(__xludf.DUMMYFUNCTION("""COMPUTED_VALUE"""),0.396551724137931)</f>
        <v>0.3965517241</v>
      </c>
    </row>
    <row r="11465">
      <c r="A11465" s="10" t="s">
        <v>12904</v>
      </c>
      <c r="B11465" s="7" t="str">
        <f>IFERROR(__xludf.DUMMYFUNCTION("SPLIT(A11465,"" "")"),"Cc1cc(CN(Cc2ccccn2)Cc2cccnc2F)nc(C)c1C")</f>
        <v>Cc1cc(CN(Cc2ccccn2)Cc2cccnc2F)nc(C)c1C</v>
      </c>
      <c r="C11465" s="7">
        <f>IFERROR(__xludf.DUMMYFUNCTION("""COMPUTED_VALUE"""),7.761962)</f>
        <v>7.761962</v>
      </c>
      <c r="D11465" s="7">
        <f>IFERROR(__xludf.DUMMYFUNCTION("""COMPUTED_VALUE"""),0.476190476190476)</f>
        <v>0.4761904762</v>
      </c>
    </row>
    <row r="11466">
      <c r="A11466" s="10" t="s">
        <v>12905</v>
      </c>
      <c r="B11466" s="7" t="str">
        <f>IFERROR(__xludf.DUMMYFUNCTION("SPLIT(A11466,"" "")"),"Cc1cccc(CN(C)C2=C(CN(Cc3cccc(C)n3)C(C)C)NC=CC2)n1")</f>
        <v>Cc1cccc(CN(C)C2=C(CN(Cc3cccc(C)n3)C(C)C)NC=CC2)n1</v>
      </c>
      <c r="C11466" s="7">
        <f>IFERROR(__xludf.DUMMYFUNCTION("""COMPUTED_VALUE"""),7.7619557)</f>
        <v>7.7619557</v>
      </c>
      <c r="D11466" s="7">
        <f>IFERROR(__xludf.DUMMYFUNCTION("""COMPUTED_VALUE"""),0.408163265306122)</f>
        <v>0.4081632653</v>
      </c>
    </row>
    <row r="11467">
      <c r="A11467" s="10" t="s">
        <v>12906</v>
      </c>
      <c r="B11467" s="7" t="str">
        <f>IFERROR(__xludf.DUMMYFUNCTION("SPLIT(A11467,"" "")"),"Cc1cc(CN(C)C2CCC(N(Cc3ccccn3)c3ccc4ncccc4c3)CC2)ccn1")</f>
        <v>Cc1cc(CN(C)C2CCC(N(Cc3ccccn3)c3ccc4ncccc4c3)CC2)ccn1</v>
      </c>
      <c r="C11467" s="7">
        <f>IFERROR(__xludf.DUMMYFUNCTION("""COMPUTED_VALUE"""),7.7619553)</f>
        <v>7.7619553</v>
      </c>
      <c r="D11467" s="7">
        <f>IFERROR(__xludf.DUMMYFUNCTION("""COMPUTED_VALUE"""),0.383333333333333)</f>
        <v>0.3833333333</v>
      </c>
    </row>
    <row r="11468">
      <c r="A11468" s="10" t="s">
        <v>12907</v>
      </c>
      <c r="B11468" s="7" t="str">
        <f>IFERROR(__xludf.DUMMYFUNCTION("SPLIT(A11468,"" "")"),"CN(CC1=C(N(C)C2=CCC=CN2)NC=CC1)Cc1ccccn1")</f>
        <v>CN(CC1=C(N(C)C2=CCC=CN2)NC=CC1)Cc1ccccn1</v>
      </c>
      <c r="C11468" s="7">
        <f>IFERROR(__xludf.DUMMYFUNCTION("""COMPUTED_VALUE"""),7.7619543)</f>
        <v>7.7619543</v>
      </c>
      <c r="D11468" s="7">
        <f>IFERROR(__xludf.DUMMYFUNCTION("""COMPUTED_VALUE"""),0.49090909090909)</f>
        <v>0.4909090909</v>
      </c>
    </row>
    <row r="11469">
      <c r="A11469" s="10" t="s">
        <v>12908</v>
      </c>
      <c r="B11469" s="7" t="str">
        <f>IFERROR(__xludf.DUMMYFUNCTION("SPLIT(A11469,"" "")"),"Cc1ncccc1CN(C)C1CCCC(N(C)c2cccc3c(CF)ccnc23)C1")</f>
        <v>Cc1ncccc1CN(C)C1CCCC(N(C)c2cccc3c(CF)ccnc23)C1</v>
      </c>
      <c r="C11469" s="7">
        <f>IFERROR(__xludf.DUMMYFUNCTION("""COMPUTED_VALUE"""),7.7619476)</f>
        <v>7.7619476</v>
      </c>
      <c r="D11469" s="7">
        <f>IFERROR(__xludf.DUMMYFUNCTION("""COMPUTED_VALUE"""),0.370967741935483)</f>
        <v>0.3709677419</v>
      </c>
    </row>
    <row r="11470">
      <c r="A11470" s="10" t="s">
        <v>12909</v>
      </c>
      <c r="B11470" s="7" t="str">
        <f>IFERROR(__xludf.DUMMYFUNCTION("SPLIT(A11470,"" "")"),"Cc1cc(C)c(CN(C)CC2=CC(N(C)Cc3cc(C)c(C)c(C)n3)C=CN2)cc1C")</f>
        <v>Cc1cc(C)c(CN(C)CC2=CC(N(C)Cc3cc(C)c(C)c(C)n3)C=CN2)cc1C</v>
      </c>
      <c r="C11470" s="7">
        <f>IFERROR(__xludf.DUMMYFUNCTION("""COMPUTED_VALUE"""),7.7619467)</f>
        <v>7.7619467</v>
      </c>
      <c r="D11470" s="7">
        <f>IFERROR(__xludf.DUMMYFUNCTION("""COMPUTED_VALUE"""),0.301587301587301)</f>
        <v>0.3015873016</v>
      </c>
    </row>
    <row r="11471">
      <c r="A11471" s="10" t="s">
        <v>12910</v>
      </c>
      <c r="B11471" s="7" t="str">
        <f>IFERROR(__xludf.DUMMYFUNCTION("SPLIT(A11471,"" "")"),"CCCN(C)C1=CCC=C(CN(C)Cc2nc(C)c(C)c(C)c2C)N1")</f>
        <v>CCCN(C)C1=CCC=C(CN(C)Cc2nc(C)c(C)c(C)c2C)N1</v>
      </c>
      <c r="C11471" s="7">
        <f>IFERROR(__xludf.DUMMYFUNCTION("""COMPUTED_VALUE"""),7.761941)</f>
        <v>7.761941</v>
      </c>
      <c r="D11471" s="7">
        <f>IFERROR(__xludf.DUMMYFUNCTION("""COMPUTED_VALUE"""),0.214285714285714)</f>
        <v>0.2142857143</v>
      </c>
    </row>
    <row r="11472">
      <c r="A11472" s="10" t="s">
        <v>12911</v>
      </c>
      <c r="B11472" s="7" t="str">
        <f>IFERROR(__xludf.DUMMYFUNCTION("SPLIT(A11472,"" "")"),"Cc1ccc(C)c(CN(Cc2ccccn2)Cc2cccnc2C(C)(C)C)n1")</f>
        <v>Cc1ccc(C)c(CN(Cc2ccccn2)Cc2cccnc2C(C)(C)C)n1</v>
      </c>
      <c r="C11472" s="7">
        <f>IFERROR(__xludf.DUMMYFUNCTION("""COMPUTED_VALUE"""),7.76194)</f>
        <v>7.76194</v>
      </c>
      <c r="D11472" s="7">
        <f>IFERROR(__xludf.DUMMYFUNCTION("""COMPUTED_VALUE"""),0.444444444444444)</f>
        <v>0.4444444444</v>
      </c>
    </row>
    <row r="11473">
      <c r="A11473" s="10" t="s">
        <v>12912</v>
      </c>
      <c r="B11473" s="7" t="str">
        <f>IFERROR(__xludf.DUMMYFUNCTION("SPLIT(A11473,"" "")"),"Cc1cccc(CN(Cc2ccccn2)C2CCCC(N(C)c3ccc4cccnc4c3)C2)n1")</f>
        <v>Cc1cccc(CN(Cc2ccccn2)C2CCCC(N(C)c3ccc4cccnc4c3)C2)n1</v>
      </c>
      <c r="C11473" s="7">
        <f>IFERROR(__xludf.DUMMYFUNCTION("""COMPUTED_VALUE"""),7.76194)</f>
        <v>7.76194</v>
      </c>
      <c r="D11473" s="7">
        <f>IFERROR(__xludf.DUMMYFUNCTION("""COMPUTED_VALUE"""),0.4)</f>
        <v>0.4</v>
      </c>
    </row>
    <row r="11474">
      <c r="A11474" s="10" t="s">
        <v>12913</v>
      </c>
      <c r="B11474" s="7" t="str">
        <f>IFERROR(__xludf.DUMMYFUNCTION("SPLIT(A11474,"" "")"),"CC(C)N(Cc1ccc2ccc3cccnc3c2n1)Cc1ncccc1-c1ccc2c(c1)OCCOCCOCCOCCOCCO2")</f>
        <v>CC(C)N(Cc1ccc2ccc3cccnc3c2n1)Cc1ncccc1-c1ccc2c(c1)OCCOCCOCCOCCOCCO2</v>
      </c>
      <c r="C11474" s="7">
        <f>IFERROR(__xludf.DUMMYFUNCTION("""COMPUTED_VALUE"""),7.7619376)</f>
        <v>7.7619376</v>
      </c>
      <c r="D11474" s="7">
        <f>IFERROR(__xludf.DUMMYFUNCTION("""COMPUTED_VALUE"""),0.337837837837837)</f>
        <v>0.3378378378</v>
      </c>
    </row>
    <row r="11475">
      <c r="A11475" s="10" t="s">
        <v>12914</v>
      </c>
      <c r="B11475" s="7" t="str">
        <f>IFERROR(__xludf.DUMMYFUNCTION("SPLIT(A11475,"" "")"),"CC1=CC(C)CC(N(C)Cc2ccccn2)=C1CN(C)Cc1ccccn1")</f>
        <v>CC1=CC(C)CC(N(C)Cc2ccccn2)=C1CN(C)Cc1ccccn1</v>
      </c>
      <c r="C11475" s="7">
        <f>IFERROR(__xludf.DUMMYFUNCTION("""COMPUTED_VALUE"""),7.761937)</f>
        <v>7.761937</v>
      </c>
      <c r="D11475" s="7">
        <f>IFERROR(__xludf.DUMMYFUNCTION("""COMPUTED_VALUE"""),0.46)</f>
        <v>0.46</v>
      </c>
    </row>
    <row r="11476">
      <c r="A11476" s="10" t="s">
        <v>12915</v>
      </c>
      <c r="B11476" s="7" t="str">
        <f>IFERROR(__xludf.DUMMYFUNCTION("SPLIT(A11476,"" "")"),"Cc1cc(C)c(CN(C)C2=CCC=C(CN(C)CF)N2)nc1C")</f>
        <v>Cc1cc(C)c(CN(C)C2=CCC=C(CN(C)CF)N2)nc1C</v>
      </c>
      <c r="C11476" s="7">
        <f>IFERROR(__xludf.DUMMYFUNCTION("""COMPUTED_VALUE"""),7.7619367)</f>
        <v>7.7619367</v>
      </c>
      <c r="D11476" s="7">
        <f>IFERROR(__xludf.DUMMYFUNCTION("""COMPUTED_VALUE"""),0.214285714285714)</f>
        <v>0.2142857143</v>
      </c>
    </row>
    <row r="11477">
      <c r="A11477" s="10" t="s">
        <v>12916</v>
      </c>
      <c r="B11477" s="7" t="str">
        <f>IFERROR(__xludf.DUMMYFUNCTION("SPLIT(A11477,"" "")"),"Cc1cncc(CN(C)C2=C(CN(C)C(C)(C)c3cccnc3C)NC=CC2)c1")</f>
        <v>Cc1cncc(CN(C)C2=C(CN(C)C(C)(C)c3cccnc3C)NC=CC2)c1</v>
      </c>
      <c r="C11477" s="7">
        <f>IFERROR(__xludf.DUMMYFUNCTION("""COMPUTED_VALUE"""),7.761932)</f>
        <v>7.761932</v>
      </c>
      <c r="D11477" s="7">
        <f>IFERROR(__xludf.DUMMYFUNCTION("""COMPUTED_VALUE"""),0.229729729729729)</f>
        <v>0.2297297297</v>
      </c>
    </row>
    <row r="11478">
      <c r="A11478" s="10" t="s">
        <v>12917</v>
      </c>
      <c r="B11478" s="7" t="str">
        <f>IFERROR(__xludf.DUMMYFUNCTION("SPLIT(A11478,"" "")"),"Cc1ccnc(CN(C)C2CCCC(N(C)c3ccc4c(CF)ccnc4c3)C2)c1")</f>
        <v>Cc1ccnc(CN(C)C2CCCC(N(C)c3ccc4c(CF)ccnc4c3)C2)c1</v>
      </c>
      <c r="C11478" s="7">
        <f>IFERROR(__xludf.DUMMYFUNCTION("""COMPUTED_VALUE"""),7.761929)</f>
        <v>7.761929</v>
      </c>
      <c r="D11478" s="7">
        <f>IFERROR(__xludf.DUMMYFUNCTION("""COMPUTED_VALUE"""),0.301587301587301)</f>
        <v>0.3015873016</v>
      </c>
    </row>
    <row r="11479">
      <c r="A11479" s="10" t="s">
        <v>12918</v>
      </c>
      <c r="B11479" s="7" t="str">
        <f>IFERROR(__xludf.DUMMYFUNCTION("SPLIT(A11479,"" "")"),"CC(N)C(C)(c1cccnc1)c1ncccc1CN(Cc1ccccn1)C1CCC(N(C)c2ccc3cc(CF)cnc3c2)CC1")</f>
        <v>CC(N)C(C)(c1cccnc1)c1ncccc1CN(Cc1ccccn1)C1CCC(N(C)c2ccc3cc(CF)cnc3c2)CC1</v>
      </c>
      <c r="C11479" s="7">
        <f>IFERROR(__xludf.DUMMYFUNCTION("""COMPUTED_VALUE"""),7.7619276)</f>
        <v>7.7619276</v>
      </c>
      <c r="D11479" s="7">
        <f>IFERROR(__xludf.DUMMYFUNCTION("""COMPUTED_VALUE"""),0.265060240963855)</f>
        <v>0.265060241</v>
      </c>
    </row>
    <row r="11480">
      <c r="A11480" s="10" t="s">
        <v>12919</v>
      </c>
      <c r="B11480" s="7" t="str">
        <f>IFERROR(__xludf.DUMMYFUNCTION("SPLIT(A11480,"" "")"),"CN(C)Cc1ccnc2cccc(N(C)C3CCCC(N(C)Cc4cccnn4)C3)c12")</f>
        <v>CN(C)Cc1ccnc2cccc(N(C)C3CCCC(N(C)Cc4cccnn4)C3)c12</v>
      </c>
      <c r="C11480" s="7">
        <f>IFERROR(__xludf.DUMMYFUNCTION("""COMPUTED_VALUE"""),7.7619243)</f>
        <v>7.7619243</v>
      </c>
      <c r="D11480" s="7">
        <f>IFERROR(__xludf.DUMMYFUNCTION("""COMPUTED_VALUE"""),0.344827586206896)</f>
        <v>0.3448275862</v>
      </c>
    </row>
    <row r="11481">
      <c r="A11481" s="10" t="s">
        <v>12920</v>
      </c>
      <c r="B11481" s="7" t="str">
        <f>IFERROR(__xludf.DUMMYFUNCTION("SPLIT(A11481,"" "")"),"CCN(Cc1ccccn1)Cc1ccc2cccc(N(C)C3CCC(N(C)Cc4nc(C)c(C)c(C)c4C)CC3)c2n1")</f>
        <v>CCN(Cc1ccccn1)Cc1ccc2cccc(N(C)C3CCC(N(C)Cc4nc(C)c(C)c(C)c4C)CC3)c2n1</v>
      </c>
      <c r="C11481" s="7">
        <f>IFERROR(__xludf.DUMMYFUNCTION("""COMPUTED_VALUE"""),7.761917)</f>
        <v>7.761917</v>
      </c>
      <c r="D11481" s="7">
        <f>IFERROR(__xludf.DUMMYFUNCTION("""COMPUTED_VALUE"""),0.366197183098591)</f>
        <v>0.3661971831</v>
      </c>
    </row>
    <row r="11482">
      <c r="A11482" s="10" t="s">
        <v>12921</v>
      </c>
      <c r="B11482" s="7" t="str">
        <f>IFERROR(__xludf.DUMMYFUNCTION("SPLIT(A11482,"" "")"),"CNCC1=CCC(N(C)Cc2ncccc2C)=CN1")</f>
        <v>CNCC1=CCC(N(C)Cc2ncccc2C)=CN1</v>
      </c>
      <c r="C11482" s="7">
        <f>IFERROR(__xludf.DUMMYFUNCTION("""COMPUTED_VALUE"""),7.7619166)</f>
        <v>7.7619166</v>
      </c>
      <c r="D11482" s="7">
        <f>IFERROR(__xludf.DUMMYFUNCTION("""COMPUTED_VALUE"""),0.267857142857142)</f>
        <v>0.2678571429</v>
      </c>
    </row>
    <row r="11483">
      <c r="A11483" s="10" t="s">
        <v>12922</v>
      </c>
      <c r="B11483" s="7" t="str">
        <f>IFERROR(__xludf.DUMMYFUNCTION("SPLIT(A11483,"" "")"),"CCN(CC1=C(N(C)Cc2cc(C)c(C)c(C)n2)CC=CN1)Cc1ccccn1")</f>
        <v>CCN(CC1=C(N(C)Cc2cc(C)c(C)c(C)n2)CC=CN1)Cc1ccccn1</v>
      </c>
      <c r="C11483" s="7">
        <f>IFERROR(__xludf.DUMMYFUNCTION("""COMPUTED_VALUE"""),7.7619157)</f>
        <v>7.7619157</v>
      </c>
      <c r="D11483" s="7">
        <f>IFERROR(__xludf.DUMMYFUNCTION("""COMPUTED_VALUE"""),0.384615384615384)</f>
        <v>0.3846153846</v>
      </c>
    </row>
    <row r="11484">
      <c r="A11484" s="10" t="s">
        <v>12923</v>
      </c>
      <c r="B11484" s="7" t="str">
        <f>IFERROR(__xludf.DUMMYFUNCTION("SPLIT(A11484,"" "")"),"CNC1C(NCc2cc(C)c(C)c(C)n2)C(N(Cc2nc(C)c(C)c(C)c2C)Cc2nc(C)c(C)c(C)c2C)CCC1N(Cc1nc(C)c(C)c(C)c1C)Cc1nc(C)c(C)c(C)c1C")</f>
        <v>CNC1C(NCc2cc(C)c(C)c(C)n2)C(N(Cc2nc(C)c(C)c(C)c2C)Cc2nc(C)c(C)c(C)c2C)CCC1N(Cc1nc(C)c(C)c(C)c1C)Cc1nc(C)c(C)c(C)c1C</v>
      </c>
      <c r="C11484" s="7">
        <f>IFERROR(__xludf.DUMMYFUNCTION("""COMPUTED_VALUE"""),7.7619133)</f>
        <v>7.7619133</v>
      </c>
      <c r="D11484" s="7">
        <f>IFERROR(__xludf.DUMMYFUNCTION("""COMPUTED_VALUE"""),0.222222222222222)</f>
        <v>0.2222222222</v>
      </c>
    </row>
    <row r="11485">
      <c r="A11485" s="10" t="s">
        <v>12924</v>
      </c>
      <c r="B11485" s="7" t="str">
        <f>IFERROR(__xludf.DUMMYFUNCTION("SPLIT(A11485,"" "")"),"Cc1cccnc1CN(C)Cc1cccnc1C1OC=NC1C")</f>
        <v>Cc1cccnc1CN(C)Cc1cccnc1C1OC=NC1C</v>
      </c>
      <c r="C11485" s="7">
        <f>IFERROR(__xludf.DUMMYFUNCTION("""COMPUTED_VALUE"""),7.7619085)</f>
        <v>7.7619085</v>
      </c>
      <c r="D11485" s="7">
        <f>IFERROR(__xludf.DUMMYFUNCTION("""COMPUTED_VALUE"""),0.358490566037735)</f>
        <v>0.358490566</v>
      </c>
    </row>
    <row r="11486">
      <c r="A11486" s="10" t="s">
        <v>12925</v>
      </c>
      <c r="B11486" s="7" t="str">
        <f>IFERROR(__xludf.DUMMYFUNCTION("SPLIT(A11486,"" "")"),"Cc1ccnc(CN(C)C2CCCC(N(C)c3cccc4c(CF)ccnc34)C2)c1")</f>
        <v>Cc1ccnc(CN(C)C2CCCC(N(C)c3cccc4c(CF)ccnc34)C2)c1</v>
      </c>
      <c r="C11486" s="7">
        <f>IFERROR(__xludf.DUMMYFUNCTION("""COMPUTED_VALUE"""),7.761905)</f>
        <v>7.761905</v>
      </c>
      <c r="D11486" s="7">
        <f>IFERROR(__xludf.DUMMYFUNCTION("""COMPUTED_VALUE"""),0.338235294117647)</f>
        <v>0.3382352941</v>
      </c>
    </row>
    <row r="11487">
      <c r="A11487" s="10" t="s">
        <v>12926</v>
      </c>
      <c r="B11487" s="7" t="str">
        <f>IFERROR(__xludf.DUMMYFUNCTION("SPLIT(A11487,"" "")"),"Cc1cc(CN(C)C2CCCC(N(C)c3cccc4cccnc34)C2)c(C)cn1")</f>
        <v>Cc1cc(CN(C)C2CCCC(N(C)c3cccc4cccnc34)C2)c(C)cn1</v>
      </c>
      <c r="C11487" s="7">
        <f>IFERROR(__xludf.DUMMYFUNCTION("""COMPUTED_VALUE"""),7.7618995)</f>
        <v>7.7618995</v>
      </c>
      <c r="D11487" s="7">
        <f>IFERROR(__xludf.DUMMYFUNCTION("""COMPUTED_VALUE"""),0.482142857142857)</f>
        <v>0.4821428571</v>
      </c>
    </row>
    <row r="11488">
      <c r="A11488" s="10" t="s">
        <v>12927</v>
      </c>
      <c r="B11488" s="7" t="str">
        <f>IFERROR(__xludf.DUMMYFUNCTION("SPLIT(A11488,"" "")"),"CCOC(C)c1cccc(CN(Cc2ccccn2)C2CCC(N(C)c3ccc4nccc(CN(C)C)c4c3)CC2)n1")</f>
        <v>CCOC(C)c1cccc(CN(Cc2ccccn2)C2CCC(N(C)c3ccc4nccc(CN(C)C)c4c3)CC2)n1</v>
      </c>
      <c r="C11488" s="7">
        <f>IFERROR(__xludf.DUMMYFUNCTION("""COMPUTED_VALUE"""),7.761898)</f>
        <v>7.761898</v>
      </c>
      <c r="D11488" s="7">
        <f>IFERROR(__xludf.DUMMYFUNCTION("""COMPUTED_VALUE"""),0.297297297297297)</f>
        <v>0.2972972973</v>
      </c>
    </row>
    <row r="11489">
      <c r="A11489" s="10" t="s">
        <v>12928</v>
      </c>
      <c r="B11489" s="7" t="str">
        <f>IFERROR(__xludf.DUMMYFUNCTION("SPLIT(A11489,"" "")"),"CC(N)C(C)(c1cccnc1)c1cccc(CN(Cc2ccccn2)C2CCC(N(C)c3cccc4nc(CF)ccc34)CC2)n1")</f>
        <v>CC(N)C(C)(c1cccnc1)c1cccc(CN(Cc2ccccn2)C2CCC(N(C)c3cccc4nc(CF)ccc34)CC2)n1</v>
      </c>
      <c r="C11489" s="7">
        <f>IFERROR(__xludf.DUMMYFUNCTION("""COMPUTED_VALUE"""),7.761898)</f>
        <v>7.761898</v>
      </c>
      <c r="D11489" s="7">
        <f>IFERROR(__xludf.DUMMYFUNCTION("""COMPUTED_VALUE"""),0.2875)</f>
        <v>0.2875</v>
      </c>
    </row>
    <row r="11490">
      <c r="A11490" s="10" t="s">
        <v>12929</v>
      </c>
      <c r="B11490" s="7" t="str">
        <f>IFERROR(__xludf.DUMMYFUNCTION("SPLIT(A11490,"" "")"),"Cc1cccnc1CN(C)C1CCC(N(C)Cc2ccccn2)C(N(Cc2ccccn2)c2ccc3nc(CF)ccc3c2)C1")</f>
        <v>Cc1cccnc1CN(C)C1CCC(N(C)Cc2ccccn2)C(N(Cc2ccccn2)c2ccc3nc(CF)ccc3c2)C1</v>
      </c>
      <c r="C11490" s="7">
        <f>IFERROR(__xludf.DUMMYFUNCTION("""COMPUTED_VALUE"""),7.7618923)</f>
        <v>7.7618923</v>
      </c>
      <c r="D11490" s="7">
        <f>IFERROR(__xludf.DUMMYFUNCTION("""COMPUTED_VALUE"""),0.402985074626865)</f>
        <v>0.4029850746</v>
      </c>
    </row>
    <row r="11491">
      <c r="A11491" s="10" t="s">
        <v>12930</v>
      </c>
      <c r="B11491" s="7" t="str">
        <f>IFERROR(__xludf.DUMMYFUNCTION("SPLIT(A11491,"" "")"),"CCN(Cc1ccc([Si](C(C)C)(C(C)C)C(C)C)cn1)Cc1cccc(C2=NC(C)(C)CO2)n1")</f>
        <v>CCN(Cc1ccc([Si](C(C)C)(C(C)C)C(C)C)cn1)Cc1cccc(C2=NC(C)(C)CO2)n1</v>
      </c>
      <c r="C11491" s="7">
        <f>IFERROR(__xludf.DUMMYFUNCTION("""COMPUTED_VALUE"""),7.76189)</f>
        <v>7.76189</v>
      </c>
      <c r="D11491" s="7">
        <f>IFERROR(__xludf.DUMMYFUNCTION("""COMPUTED_VALUE"""),0.481481481481481)</f>
        <v>0.4814814815</v>
      </c>
    </row>
    <row r="11492">
      <c r="A11492" s="10" t="s">
        <v>12931</v>
      </c>
      <c r="B11492" s="7" t="str">
        <f>IFERROR(__xludf.DUMMYFUNCTION("SPLIT(A11492,"" "")"),"CC(C)C(c1ccccc1)c1cccc(NC2C=CC=CN2)n1")</f>
        <v>CC(C)C(c1ccccc1)c1cccc(NC2C=CC=CN2)n1</v>
      </c>
      <c r="C11492" s="7">
        <f>IFERROR(__xludf.DUMMYFUNCTION("""COMPUTED_VALUE"""),7.7618885)</f>
        <v>7.7618885</v>
      </c>
      <c r="D11492" s="7">
        <f>IFERROR(__xludf.DUMMYFUNCTION("""COMPUTED_VALUE"""),0.241935483870967)</f>
        <v>0.2419354839</v>
      </c>
    </row>
    <row r="11493">
      <c r="A11493" s="10" t="s">
        <v>12932</v>
      </c>
      <c r="B11493" s="7" t="str">
        <f>IFERROR(__xludf.DUMMYFUNCTION("SPLIT(A11493,"" "")"),"Cc1ccc(CN(Cc2ccccn2)C2CCCC(N(C)c3cccc4ncccc34)C2)nc1")</f>
        <v>Cc1ccc(CN(Cc2ccccn2)C2CCCC(N(C)c3cccc4ncccc34)C2)nc1</v>
      </c>
      <c r="C11493" s="7">
        <f>IFERROR(__xludf.DUMMYFUNCTION("""COMPUTED_VALUE"""),7.761888)</f>
        <v>7.761888</v>
      </c>
      <c r="D11493" s="7">
        <f>IFERROR(__xludf.DUMMYFUNCTION("""COMPUTED_VALUE"""),0.393442622950819)</f>
        <v>0.393442623</v>
      </c>
    </row>
    <row r="11494">
      <c r="A11494" s="10" t="s">
        <v>12933</v>
      </c>
      <c r="B11494" s="7" t="str">
        <f>IFERROR(__xludf.DUMMYFUNCTION("SPLIT(A11494,"" "")"),"Cc1cncc(CN(C)c2ccc3nccc(CN(C)Cc4cc(-c5ccc6c(c5)OCCOCCOCCOCCOCCO6)ccn4)c3c2)c1C")</f>
        <v>Cc1cncc(CN(C)c2ccc3nccc(CN(C)Cc4cc(-c5ccc6c(c5)OCCOCCOCCOCCOCCO6)ccn4)c3c2)c1C</v>
      </c>
      <c r="C11494" s="7">
        <f>IFERROR(__xludf.DUMMYFUNCTION("""COMPUTED_VALUE"""),7.7618847)</f>
        <v>7.7618847</v>
      </c>
      <c r="D11494" s="7">
        <f>IFERROR(__xludf.DUMMYFUNCTION("""COMPUTED_VALUE"""),0.309523809523809)</f>
        <v>0.3095238095</v>
      </c>
    </row>
    <row r="11495">
      <c r="A11495" s="10" t="s">
        <v>12934</v>
      </c>
      <c r="B11495" s="7" t="str">
        <f>IFERROR(__xludf.DUMMYFUNCTION("SPLIT(A11495,"" "")"),"CNCc1ncccc1CN(Cc1ccccn1)C1CCC(N(C)c2ccc3c(C)ccnc3c2)CC1")</f>
        <v>CNCc1ncccc1CN(Cc1ccccn1)C1CCC(N(C)c2ccc3c(C)ccnc3c2)CC1</v>
      </c>
      <c r="C11495" s="7">
        <f>IFERROR(__xludf.DUMMYFUNCTION("""COMPUTED_VALUE"""),7.761879)</f>
        <v>7.761879</v>
      </c>
      <c r="D11495" s="7">
        <f>IFERROR(__xludf.DUMMYFUNCTION("""COMPUTED_VALUE"""),0.318840579710144)</f>
        <v>0.3188405797</v>
      </c>
    </row>
    <row r="11496">
      <c r="A11496" s="10" t="s">
        <v>12935</v>
      </c>
      <c r="B11496" s="7" t="str">
        <f>IFERROR(__xludf.DUMMYFUNCTION("SPLIT(A11496,"" "")"),"Cc1cccc(CN(C)Cc2ccc(CN(C)Cc3ncccc3C)c(C)n2)n1")</f>
        <v>Cc1cccc(CN(C)Cc2ccc(CN(C)Cc3ncccc3C)c(C)n2)n1</v>
      </c>
      <c r="C11496" s="7">
        <f>IFERROR(__xludf.DUMMYFUNCTION("""COMPUTED_VALUE"""),7.761873)</f>
        <v>7.761873</v>
      </c>
      <c r="D11496" s="7">
        <f>IFERROR(__xludf.DUMMYFUNCTION("""COMPUTED_VALUE"""),0.488888888888888)</f>
        <v>0.4888888889</v>
      </c>
    </row>
    <row r="11497">
      <c r="A11497" s="10" t="s">
        <v>12936</v>
      </c>
      <c r="B11497" s="7" t="str">
        <f>IFERROR(__xludf.DUMMYFUNCTION("SPLIT(A11497,"" "")"),"CNc1ccc(CN(Cc2ccccn2)Cc2cccc(C)n2)nc1")</f>
        <v>CNc1ccc(CN(Cc2ccccn2)Cc2cccc(C)n2)nc1</v>
      </c>
      <c r="C11497" s="7">
        <f>IFERROR(__xludf.DUMMYFUNCTION("""COMPUTED_VALUE"""),7.76187)</f>
        <v>7.76187</v>
      </c>
      <c r="D11497" s="7">
        <f>IFERROR(__xludf.DUMMYFUNCTION("""COMPUTED_VALUE"""),0.5)</f>
        <v>0.5</v>
      </c>
    </row>
    <row r="11498">
      <c r="A11498" s="10" t="s">
        <v>12937</v>
      </c>
      <c r="B11498" s="7" t="str">
        <f>IFERROR(__xludf.DUMMYFUNCTION("SPLIT(A11498,"" "")"),"CC(C)C(C)(c1ccccn1)c1cc(CN(Cc2ccccn2)Cc2cc(C(C)(C)C)ccn2)ccn1")</f>
        <v>CC(C)C(C)(c1ccccn1)c1cc(CN(Cc2ccccn2)Cc2cc(C(C)(C)C)ccn2)ccn1</v>
      </c>
      <c r="C11498" s="7">
        <f>IFERROR(__xludf.DUMMYFUNCTION("""COMPUTED_VALUE"""),7.761868)</f>
        <v>7.761868</v>
      </c>
      <c r="D11498" s="7">
        <f>IFERROR(__xludf.DUMMYFUNCTION("""COMPUTED_VALUE"""),0.416666666666666)</f>
        <v>0.4166666667</v>
      </c>
    </row>
    <row r="11499">
      <c r="A11499" s="10" t="s">
        <v>12938</v>
      </c>
      <c r="B11499" s="7" t="str">
        <f>IFERROR(__xludf.DUMMYFUNCTION("SPLIT(A11499,"" "")"),"CNC1C=CC(N(C)Cc2ccccn2)=CN1")</f>
        <v>CNC1C=CC(N(C)Cc2ccccn2)=CN1</v>
      </c>
      <c r="C11499" s="7">
        <f>IFERROR(__xludf.DUMMYFUNCTION("""COMPUTED_VALUE"""),7.761867)</f>
        <v>7.761867</v>
      </c>
      <c r="D11499" s="7">
        <f>IFERROR(__xludf.DUMMYFUNCTION("""COMPUTED_VALUE"""),0.446808510638297)</f>
        <v>0.4468085106</v>
      </c>
    </row>
    <row r="11500">
      <c r="A11500" s="10" t="s">
        <v>12939</v>
      </c>
      <c r="B11500" s="7" t="str">
        <f>IFERROR(__xludf.DUMMYFUNCTION("SPLIT(A11500,"" "")"),"CN(C)Cc1ccc2cc(N(C)C3CCC(N(Cc4ccccn4)C(C)(C)c4ccccn4)CC3)ccc2n1")</f>
        <v>CN(C)Cc1ccc2cc(N(C)C3CCC(N(Cc4ccccn4)C(C)(C)c4ccccn4)CC3)ccc2n1</v>
      </c>
      <c r="C11500" s="7">
        <f>IFERROR(__xludf.DUMMYFUNCTION("""COMPUTED_VALUE"""),7.7618666)</f>
        <v>7.7618666</v>
      </c>
      <c r="D11500" s="7">
        <f>IFERROR(__xludf.DUMMYFUNCTION("""COMPUTED_VALUE"""),0.393442622950819)</f>
        <v>0.393442623</v>
      </c>
    </row>
    <row r="11501">
      <c r="A11501" s="10" t="s">
        <v>12940</v>
      </c>
      <c r="B11501" s="7" t="str">
        <f>IFERROR(__xludf.DUMMYFUNCTION("SPLIT(A11501,"" "")"),"Cc1cccnc1CN(Cc1ncccc1C)Cc1ncccc1C(C)(C)C")</f>
        <v>Cc1cccnc1CN(Cc1ncccc1C)Cc1ncccc1C(C)(C)C</v>
      </c>
      <c r="C11501" s="7">
        <f>IFERROR(__xludf.DUMMYFUNCTION("""COMPUTED_VALUE"""),7.7618546)</f>
        <v>7.7618546</v>
      </c>
      <c r="D11501" s="7">
        <f>IFERROR(__xludf.DUMMYFUNCTION("""COMPUTED_VALUE"""),0.342105263157894)</f>
        <v>0.3421052632</v>
      </c>
    </row>
    <row r="11502">
      <c r="A11502" s="10" t="s">
        <v>12941</v>
      </c>
      <c r="B11502" s="7" t="str">
        <f>IFERROR(__xludf.DUMMYFUNCTION("SPLIT(A11502,"" "")"),"Cc1cnc(CN(C)C2CCC(N(C)c3cccc4cccnc34)CC2)c(C)c1")</f>
        <v>Cc1cnc(CN(C)C2CCC(N(C)c3cccc4cccnc34)CC2)c(C)c1</v>
      </c>
      <c r="C11502" s="7">
        <f>IFERROR(__xludf.DUMMYFUNCTION("""COMPUTED_VALUE"""),7.761853)</f>
        <v>7.761853</v>
      </c>
      <c r="D11502" s="7">
        <f>IFERROR(__xludf.DUMMYFUNCTION("""COMPUTED_VALUE"""),0.481481481481481)</f>
        <v>0.4814814815</v>
      </c>
    </row>
    <row r="11503">
      <c r="A11503" s="10" t="s">
        <v>12942</v>
      </c>
      <c r="B11503" s="7" t="str">
        <f>IFERROR(__xludf.DUMMYFUNCTION("SPLIT(A11503,"" "")"),"Cc1cccnc1CN(Cc1ccccc1N(C)C)C(C)C")</f>
        <v>Cc1cccnc1CN(Cc1ccccc1N(C)C)C(C)C</v>
      </c>
      <c r="C11503" s="7">
        <f>IFERROR(__xludf.DUMMYFUNCTION("""COMPUTED_VALUE"""),7.7618504)</f>
        <v>7.7618504</v>
      </c>
      <c r="D11503" s="7">
        <f>IFERROR(__xludf.DUMMYFUNCTION("""COMPUTED_VALUE"""),0.413043478260869)</f>
        <v>0.4130434783</v>
      </c>
    </row>
    <row r="11504">
      <c r="A11504" s="10" t="s">
        <v>12943</v>
      </c>
      <c r="B11504" s="7" t="str">
        <f>IFERROR(__xludf.DUMMYFUNCTION("SPLIT(A11504,"" "")"),"CN1CCN(C)CCN(Cc2cnccc2-c2ccc3ncccc3c2)CC1")</f>
        <v>CN1CCN(C)CCN(Cc2cnccc2-c2ccc3ncccc3c2)CC1</v>
      </c>
      <c r="C11504" s="7">
        <f>IFERROR(__xludf.DUMMYFUNCTION("""COMPUTED_VALUE"""),7.761849)</f>
        <v>7.761849</v>
      </c>
      <c r="D11504" s="7">
        <f>IFERROR(__xludf.DUMMYFUNCTION("""COMPUTED_VALUE"""),0.403846153846153)</f>
        <v>0.4038461538</v>
      </c>
    </row>
    <row r="11505">
      <c r="A11505" s="10" t="s">
        <v>12944</v>
      </c>
      <c r="B11505" s="7" t="str">
        <f>IFERROR(__xludf.DUMMYFUNCTION("SPLIT(A11505,"" "")"),"Cc1cc(C)c(CN(C)CC2=CC(N(C)Cc3nc(C)c(C)c(C)c3C)C=CN2)cn1")</f>
        <v>Cc1cc(C)c(CN(C)CC2=CC(N(C)Cc3nc(C)c(C)c(C)c3C)C=CN2)cn1</v>
      </c>
      <c r="C11505" s="7">
        <f>IFERROR(__xludf.DUMMYFUNCTION("""COMPUTED_VALUE"""),7.7618446)</f>
        <v>7.7618446</v>
      </c>
      <c r="D11505" s="7">
        <f>IFERROR(__xludf.DUMMYFUNCTION("""COMPUTED_VALUE"""),0.283582089552238)</f>
        <v>0.2835820896</v>
      </c>
    </row>
    <row r="11506">
      <c r="A11506" s="10" t="s">
        <v>12945</v>
      </c>
      <c r="B11506" s="7" t="str">
        <f>IFERROR(__xludf.DUMMYFUNCTION("SPLIT(A11506,"" "")"),"CC(C)C(C)N(CCN(Cc1ccccn1)c1ccc2cccnc2c1)Cc1ccccn1")</f>
        <v>CC(C)C(C)N(CCN(Cc1ccccn1)c1ccc2cccnc2c1)Cc1ccccn1</v>
      </c>
      <c r="C11506" s="7">
        <f>IFERROR(__xludf.DUMMYFUNCTION("""COMPUTED_VALUE"""),7.7618437)</f>
        <v>7.7618437</v>
      </c>
      <c r="D11506" s="7">
        <f>IFERROR(__xludf.DUMMYFUNCTION("""COMPUTED_VALUE"""),0.489795918367346)</f>
        <v>0.4897959184</v>
      </c>
    </row>
    <row r="11507">
      <c r="A11507" s="10" t="s">
        <v>12946</v>
      </c>
      <c r="B11507" s="7" t="str">
        <f>IFERROR(__xludf.DUMMYFUNCTION("SPLIT(A11507,"" "")"),"CCCN(CC1=CCC=C(N(C)Cc2cc(C)c(C)c(C)n2)N1)Cc1ccccn1")</f>
        <v>CCCN(CC1=CCC=C(N(C)Cc2cc(C)c(C)c(C)n2)N1)Cc1ccccn1</v>
      </c>
      <c r="C11507" s="7">
        <f>IFERROR(__xludf.DUMMYFUNCTION("""COMPUTED_VALUE"""),7.7618365)</f>
        <v>7.7618365</v>
      </c>
      <c r="D11507" s="7">
        <f>IFERROR(__xludf.DUMMYFUNCTION("""COMPUTED_VALUE"""),0.4)</f>
        <v>0.4</v>
      </c>
    </row>
    <row r="11508">
      <c r="A11508" s="10" t="s">
        <v>12947</v>
      </c>
      <c r="B11508" s="7" t="str">
        <f>IFERROR(__xludf.DUMMYFUNCTION("SPLIT(A11508,"" "")"),"Cc1cccnc1CN(C)C1CCC(N(C)c2ccc3cc(CN(C)C)cnc3c2)CC1")</f>
        <v>Cc1cccnc1CN(C)C1CCC(N(C)c2ccc3cc(CN(C)C)cnc3c2)CC1</v>
      </c>
      <c r="C11508" s="7">
        <f>IFERROR(__xludf.DUMMYFUNCTION("""COMPUTED_VALUE"""),7.761825)</f>
        <v>7.761825</v>
      </c>
      <c r="D11508" s="7">
        <f>IFERROR(__xludf.DUMMYFUNCTION("""COMPUTED_VALUE"""),0.265625)</f>
        <v>0.265625</v>
      </c>
    </row>
    <row r="11509">
      <c r="A11509" s="10" t="s">
        <v>12948</v>
      </c>
      <c r="B11509" s="7" t="str">
        <f>IFERROR(__xludf.DUMMYFUNCTION("SPLIT(A11509,"" "")"),"C1=CNC=C(SCc2ccccn2)C1")</f>
        <v>C1=CNC=C(SCc2ccccn2)C1</v>
      </c>
      <c r="C11509" s="7">
        <f>IFERROR(__xludf.DUMMYFUNCTION("""COMPUTED_VALUE"""),7.7618227)</f>
        <v>7.7618227</v>
      </c>
      <c r="D11509" s="7">
        <f>IFERROR(__xludf.DUMMYFUNCTION("""COMPUTED_VALUE"""),0.435897435897435)</f>
        <v>0.4358974359</v>
      </c>
    </row>
    <row r="11510">
      <c r="A11510" s="10" t="s">
        <v>12949</v>
      </c>
      <c r="B11510" s="7" t="str">
        <f>IFERROR(__xludf.DUMMYFUNCTION("SPLIT(A11510,"" "")"),"C=C1C=CNC(CN(C)C2CCC(N(C)c3ccc4cccnc4c3)CC2)=C1")</f>
        <v>C=C1C=CNC(CN(C)C2CCC(N(C)c3ccc4cccnc4c3)CC2)=C1</v>
      </c>
      <c r="C11510" s="7">
        <f>IFERROR(__xludf.DUMMYFUNCTION("""COMPUTED_VALUE"""),7.7618213)</f>
        <v>7.7618213</v>
      </c>
      <c r="D11510" s="7">
        <f>IFERROR(__xludf.DUMMYFUNCTION("""COMPUTED_VALUE"""),0.296875)</f>
        <v>0.296875</v>
      </c>
    </row>
    <row r="11511">
      <c r="A11511" s="10" t="s">
        <v>12950</v>
      </c>
      <c r="B11511" s="7" t="str">
        <f>IFERROR(__xludf.DUMMYFUNCTION("SPLIT(A11511,"" "")"),"CC(C)(C)c1ccnc(CN(Cc2cccnc2C2OC=NC2(C)C)Cc2ncccc2C(C)(C)C)c1")</f>
        <v>CC(C)(C)c1ccnc(CN(Cc2cccnc2C2OC=NC2(C)C)Cc2ncccc2C(C)(C)C)c1</v>
      </c>
      <c r="C11511" s="7">
        <f>IFERROR(__xludf.DUMMYFUNCTION("""COMPUTED_VALUE"""),7.761819)</f>
        <v>7.761819</v>
      </c>
      <c r="D11511" s="7">
        <f>IFERROR(__xludf.DUMMYFUNCTION("""COMPUTED_VALUE"""),0.260869565217391)</f>
        <v>0.2608695652</v>
      </c>
    </row>
    <row r="11512">
      <c r="A11512" s="10" t="s">
        <v>12951</v>
      </c>
      <c r="B11512" s="7" t="str">
        <f>IFERROR(__xludf.DUMMYFUNCTION("SPLIT(A11512,"" "")"),"Cc1cccnc1CN(C)C1CCCCC1N(C)c1cccc2nccc(CN(C)C)c12")</f>
        <v>Cc1cccnc1CN(C)C1CCCCC1N(C)c1cccc2nccc(CN(C)C)c12</v>
      </c>
      <c r="C11512" s="7">
        <f>IFERROR(__xludf.DUMMYFUNCTION("""COMPUTED_VALUE"""),7.7618155)</f>
        <v>7.7618155</v>
      </c>
      <c r="D11512" s="7">
        <f>IFERROR(__xludf.DUMMYFUNCTION("""COMPUTED_VALUE"""),0.423728813559322)</f>
        <v>0.4237288136</v>
      </c>
    </row>
    <row r="11513">
      <c r="A11513" s="10" t="s">
        <v>12952</v>
      </c>
      <c r="B11513" s="7" t="str">
        <f>IFERROR(__xludf.DUMMYFUNCTION("SPLIT(A11513,"" "")"),"CC(C)C1=CC2(C=CN1)C(c1ccccn1)=CCC(c1cccc(CN(Cc3ccccn3)Cc3ccccn3)n1)C2(C)C")</f>
        <v>CC(C)C1=CC2(C=CN1)C(c1ccccn1)=CCC(c1cccc(CN(Cc3ccccn3)Cc3ccccn3)n1)C2(C)C</v>
      </c>
      <c r="C11513" s="7">
        <f>IFERROR(__xludf.DUMMYFUNCTION("""COMPUTED_VALUE"""),7.761801)</f>
        <v>7.761801</v>
      </c>
      <c r="D11513" s="7">
        <f>IFERROR(__xludf.DUMMYFUNCTION("""COMPUTED_VALUE"""),0.35820895522388)</f>
        <v>0.3582089552</v>
      </c>
    </row>
    <row r="11514">
      <c r="A11514" s="10" t="s">
        <v>12953</v>
      </c>
      <c r="B11514" s="7" t="str">
        <f>IFERROR(__xludf.DUMMYFUNCTION("SPLIT(A11514,"" "")"),"Cc1cc(N(Cc2cccnn2)C2CCCCC2)c2ncccc2c1")</f>
        <v>Cc1cc(N(Cc2cccnn2)C2CCCCC2)c2ncccc2c1</v>
      </c>
      <c r="C11514" s="7">
        <f>IFERROR(__xludf.DUMMYFUNCTION("""COMPUTED_VALUE"""),7.7617965)</f>
        <v>7.7617965</v>
      </c>
      <c r="D11514" s="7">
        <f>IFERROR(__xludf.DUMMYFUNCTION("""COMPUTED_VALUE"""),0.385964912280701)</f>
        <v>0.3859649123</v>
      </c>
    </row>
    <row r="11515">
      <c r="A11515" s="10" t="s">
        <v>12954</v>
      </c>
      <c r="B11515" s="7" t="str">
        <f>IFERROR(__xludf.DUMMYFUNCTION("SPLIT(A11515,"" "")"),"Cc1cncc(CN(C)Cc2cccc(N(C)C(C)(C)c3cccnc3CN(Cc3ccccn3)C(C)C)n2)c1")</f>
        <v>Cc1cncc(CN(C)Cc2cccc(N(C)C(C)(C)c3cccnc3CN(Cc3ccccn3)C(C)C)n2)c1</v>
      </c>
      <c r="C11515" s="7">
        <f>IFERROR(__xludf.DUMMYFUNCTION("""COMPUTED_VALUE"""),7.761796)</f>
        <v>7.761796</v>
      </c>
      <c r="D11515" s="7">
        <f>IFERROR(__xludf.DUMMYFUNCTION("""COMPUTED_VALUE"""),0.375)</f>
        <v>0.375</v>
      </c>
    </row>
    <row r="11516">
      <c r="A11516" s="10" t="s">
        <v>12955</v>
      </c>
      <c r="B11516" s="7" t="str">
        <f>IFERROR(__xludf.DUMMYFUNCTION("SPLIT(A11516,"" "")"),"Cc1ncccc1CN(C)C1CCCC(N(C)c2ccc3c(CF)ccnc3c2)C1")</f>
        <v>Cc1ncccc1CN(C)C1CCCC(N(C)c2ccc3c(CF)ccnc3c2)C1</v>
      </c>
      <c r="C11516" s="7">
        <f>IFERROR(__xludf.DUMMYFUNCTION("""COMPUTED_VALUE"""),7.761796)</f>
        <v>7.761796</v>
      </c>
      <c r="D11516" s="7">
        <f>IFERROR(__xludf.DUMMYFUNCTION("""COMPUTED_VALUE"""),0.276923076923076)</f>
        <v>0.2769230769</v>
      </c>
    </row>
    <row r="11517">
      <c r="A11517" s="10" t="s">
        <v>12956</v>
      </c>
      <c r="B11517" s="7" t="str">
        <f>IFERROR(__xludf.DUMMYFUNCTION("SPLIT(A11517,"" "")"),"CN1CCN(C)CCN(Cc2cnccc2-c2cccc3ncccc23)CC1")</f>
        <v>CN1CCN(C)CCN(Cc2cnccc2-c2cccc3ncccc23)CC1</v>
      </c>
      <c r="C11517" s="7">
        <f>IFERROR(__xludf.DUMMYFUNCTION("""COMPUTED_VALUE"""),7.761796)</f>
        <v>7.761796</v>
      </c>
      <c r="D11517" s="7">
        <f>IFERROR(__xludf.DUMMYFUNCTION("""COMPUTED_VALUE"""),0.42)</f>
        <v>0.42</v>
      </c>
    </row>
    <row r="11518">
      <c r="A11518" s="10" t="s">
        <v>12957</v>
      </c>
      <c r="B11518" s="7" t="str">
        <f>IFERROR(__xludf.DUMMYFUNCTION("SPLIT(A11518,"" "")"),"Cc1ccnc(CN(C)Cc2cc(C)cc(C)n2)c1")</f>
        <v>Cc1ccnc(CN(C)Cc2cc(C)cc(C)n2)c1</v>
      </c>
      <c r="C11518" s="7">
        <f>IFERROR(__xludf.DUMMYFUNCTION("""COMPUTED_VALUE"""),7.7617917)</f>
        <v>7.7617917</v>
      </c>
      <c r="D11518" s="7">
        <f>IFERROR(__xludf.DUMMYFUNCTION("""COMPUTED_VALUE"""),0.41860465116279)</f>
        <v>0.4186046512</v>
      </c>
    </row>
    <row r="11519">
      <c r="A11519" s="10" t="s">
        <v>12958</v>
      </c>
      <c r="B11519" s="7" t="str">
        <f>IFERROR(__xludf.DUMMYFUNCTION("SPLIT(A11519,"" "")"),"Cc1cccnc1CN(Cc1ccccn1)C1CCCCC1N(C)c1cccc2cncc(CN(C)C)c12")</f>
        <v>Cc1cccnc1CN(Cc1ccccn1)C1CCCCC1N(C)c1cccc2cncc(CN(C)C)c12</v>
      </c>
      <c r="C11519" s="7">
        <f>IFERROR(__xludf.DUMMYFUNCTION("""COMPUTED_VALUE"""),7.7617574)</f>
        <v>7.7617574</v>
      </c>
      <c r="D11519" s="7">
        <f>IFERROR(__xludf.DUMMYFUNCTION("""COMPUTED_VALUE"""),0.409090909090909)</f>
        <v>0.4090909091</v>
      </c>
    </row>
    <row r="11520">
      <c r="A11520" s="10" t="s">
        <v>12959</v>
      </c>
      <c r="B11520" s="7" t="str">
        <f>IFERROR(__xludf.DUMMYFUNCTION("SPLIT(A11520,"" "")"),"Cc1cc(CN(C)CCN(C)Cc2nc(C)n(C)c2C)nc(C)c1C")</f>
        <v>Cc1cc(CN(C)CCN(C)Cc2nc(C)n(C)c2C)nc(C)c1C</v>
      </c>
      <c r="C11520" s="7">
        <f>IFERROR(__xludf.DUMMYFUNCTION("""COMPUTED_VALUE"""),7.7617555)</f>
        <v>7.7617555</v>
      </c>
      <c r="D11520" s="7">
        <f>IFERROR(__xludf.DUMMYFUNCTION("""COMPUTED_VALUE"""),0.340425531914893)</f>
        <v>0.3404255319</v>
      </c>
    </row>
    <row r="11521">
      <c r="A11521" s="10" t="s">
        <v>12960</v>
      </c>
      <c r="B11521" s="7" t="str">
        <f>IFERROR(__xludf.DUMMYFUNCTION("SPLIT(A11521,"" "")"),"CNCc1cc(CN(Cc2ccccn2)Cc2nc(C)c(C)c(C)c2C)ccn1")</f>
        <v>CNCc1cc(CN(Cc2ccccn2)Cc2nc(C)c(C)c(C)c2C)ccn1</v>
      </c>
      <c r="C11521" s="7">
        <f>IFERROR(__xludf.DUMMYFUNCTION("""COMPUTED_VALUE"""),7.7617483)</f>
        <v>7.7617483</v>
      </c>
      <c r="D11521" s="7">
        <f>IFERROR(__xludf.DUMMYFUNCTION("""COMPUTED_VALUE"""),0.434782608695652)</f>
        <v>0.4347826087</v>
      </c>
    </row>
    <row r="11522">
      <c r="A11522" s="10" t="s">
        <v>12961</v>
      </c>
      <c r="B11522" s="7" t="str">
        <f>IFERROR(__xludf.DUMMYFUNCTION("SPLIT(A11522,"" "")"),"Cc1cc(CN(C)C2C=CNC(CN(C)Cc3ncc(C)c(C)c3C)=C2)nc(C)c1C")</f>
        <v>Cc1cc(CN(C)C2C=CNC(CN(C)Cc3ncc(C)c(C)c3C)=C2)nc(C)c1C</v>
      </c>
      <c r="C11522" s="7">
        <f>IFERROR(__xludf.DUMMYFUNCTION("""COMPUTED_VALUE"""),7.7617426)</f>
        <v>7.7617426</v>
      </c>
      <c r="D11522" s="7">
        <f>IFERROR(__xludf.DUMMYFUNCTION("""COMPUTED_VALUE"""),0.287878787878787)</f>
        <v>0.2878787879</v>
      </c>
    </row>
    <row r="11523">
      <c r="A11523" s="10" t="s">
        <v>12962</v>
      </c>
      <c r="B11523" s="7" t="str">
        <f>IFERROR(__xludf.DUMMYFUNCTION("SPLIT(A11523,"" "")"),"Cc1ccccc1CN(C)CCN(C)Cc1ccc2cccnc2c1")</f>
        <v>Cc1ccccc1CN(C)CCN(C)Cc1ccc2cccnc2c1</v>
      </c>
      <c r="C11523" s="7">
        <f>IFERROR(__xludf.DUMMYFUNCTION("""COMPUTED_VALUE"""),7.761732)</f>
        <v>7.761732</v>
      </c>
      <c r="D11523" s="7">
        <f>IFERROR(__xludf.DUMMYFUNCTION("""COMPUTED_VALUE"""),0.5)</f>
        <v>0.5</v>
      </c>
    </row>
    <row r="11524">
      <c r="A11524" s="10" t="s">
        <v>12963</v>
      </c>
      <c r="B11524" s="7" t="str">
        <f>IFERROR(__xludf.DUMMYFUNCTION("SPLIT(A11524,"" "")"),"CN1CCN(C)CCN(Cc2cccnc2-c2cccc3ncccc23)CC1")</f>
        <v>CN1CCN(C)CCN(Cc2cccnc2-c2cccc3ncccc23)CC1</v>
      </c>
      <c r="C11524" s="7">
        <f>IFERROR(__xludf.DUMMYFUNCTION("""COMPUTED_VALUE"""),7.761732)</f>
        <v>7.761732</v>
      </c>
      <c r="D11524" s="7">
        <f>IFERROR(__xludf.DUMMYFUNCTION("""COMPUTED_VALUE"""),0.446808510638297)</f>
        <v>0.4468085106</v>
      </c>
    </row>
    <row r="11525">
      <c r="A11525" s="10" t="s">
        <v>12964</v>
      </c>
      <c r="B11525" s="7" t="str">
        <f>IFERROR(__xludf.DUMMYFUNCTION("SPLIT(A11525,"" "")"),"Cc1nc(CN(Cc2ccc(N)cn2)CN(C)C)c(C)c(C)c1C")</f>
        <v>Cc1nc(CN(Cc2ccc(N)cn2)CN(C)C)c(C)c(C)c1C</v>
      </c>
      <c r="C11525" s="7">
        <f>IFERROR(__xludf.DUMMYFUNCTION("""COMPUTED_VALUE"""),7.761731)</f>
        <v>7.761731</v>
      </c>
      <c r="D11525" s="7">
        <f>IFERROR(__xludf.DUMMYFUNCTION("""COMPUTED_VALUE"""),0.354166666666666)</f>
        <v>0.3541666667</v>
      </c>
    </row>
    <row r="11526">
      <c r="A11526" s="10" t="s">
        <v>12965</v>
      </c>
      <c r="B11526" s="7" t="str">
        <f>IFERROR(__xludf.DUMMYFUNCTION("SPLIT(A11526,"" "")"),"Cc1ccnc(C)c1CN(C)Cc1ncccc1N")</f>
        <v>Cc1ccnc(C)c1CN(C)Cc1ncccc1N</v>
      </c>
      <c r="C11526" s="7">
        <f>IFERROR(__xludf.DUMMYFUNCTION("""COMPUTED_VALUE"""),7.7617273)</f>
        <v>7.7617273</v>
      </c>
      <c r="D11526" s="7">
        <f>IFERROR(__xludf.DUMMYFUNCTION("""COMPUTED_VALUE"""),0.3)</f>
        <v>0.3</v>
      </c>
    </row>
    <row r="11527">
      <c r="A11527" s="10" t="s">
        <v>12966</v>
      </c>
      <c r="B11527" s="7" t="str">
        <f>IFERROR(__xludf.DUMMYFUNCTION("SPLIT(A11527,"" "")"),"CN1CCN(C)CCN(Cc2ccnc(-c3ccc4cccnc4c3)c2)CC1")</f>
        <v>CN1CCN(C)CCN(Cc2ccnc(-c3ccc4cccnc4c3)c2)CC1</v>
      </c>
      <c r="C11527" s="7">
        <f>IFERROR(__xludf.DUMMYFUNCTION("""COMPUTED_VALUE"""),7.761725)</f>
        <v>7.761725</v>
      </c>
      <c r="D11527" s="7">
        <f>IFERROR(__xludf.DUMMYFUNCTION("""COMPUTED_VALUE"""),0.42)</f>
        <v>0.42</v>
      </c>
    </row>
    <row r="11528">
      <c r="A11528" s="10" t="s">
        <v>12967</v>
      </c>
      <c r="B11528" s="7" t="str">
        <f>IFERROR(__xludf.DUMMYFUNCTION("SPLIT(A11528,"" "")"),"CC(C1=C(N(C)Cc2ccccn2)CC=CN1)c1ccccc1")</f>
        <v>CC(C1=C(N(C)Cc2ccccn2)CC=CN1)c1ccccc1</v>
      </c>
      <c r="C11528" s="7">
        <f>IFERROR(__xludf.DUMMYFUNCTION("""COMPUTED_VALUE"""),7.761719)</f>
        <v>7.761719</v>
      </c>
      <c r="D11528" s="7">
        <f>IFERROR(__xludf.DUMMYFUNCTION("""COMPUTED_VALUE"""),0.418181818181818)</f>
        <v>0.4181818182</v>
      </c>
    </row>
    <row r="11529">
      <c r="A11529" s="10" t="s">
        <v>12968</v>
      </c>
      <c r="B11529" s="7" t="str">
        <f>IFERROR(__xludf.DUMMYFUNCTION("SPLIT(A11529,"" "")"),"CC(C)N(CC1=CCC=C(N(C)Cc2ccccn2)N1)Cc1cccnc1")</f>
        <v>CC(C)N(CC1=CCC=C(N(C)Cc2ccccn2)N1)Cc1cccnc1</v>
      </c>
      <c r="C11529" s="7">
        <f>IFERROR(__xludf.DUMMYFUNCTION("""COMPUTED_VALUE"""),7.7617164)</f>
        <v>7.7617164</v>
      </c>
      <c r="D11529" s="7">
        <f>IFERROR(__xludf.DUMMYFUNCTION("""COMPUTED_VALUE"""),0.410714285714285)</f>
        <v>0.4107142857</v>
      </c>
    </row>
    <row r="11530">
      <c r="A11530" s="10" t="s">
        <v>12969</v>
      </c>
      <c r="B11530" s="7" t="str">
        <f>IFERROR(__xludf.DUMMYFUNCTION("SPLIT(A11530,"" "")"),"CCN(CC1=CCC(N(C)Cc2nc(C)c(C)c(C)c2C)=CN1)Cc1ccccn1")</f>
        <v>CCN(CC1=CCC(N(C)Cc2nc(C)c(C)c(C)c2C)=CN1)Cc1ccccn1</v>
      </c>
      <c r="C11530" s="7">
        <f>IFERROR(__xludf.DUMMYFUNCTION("""COMPUTED_VALUE"""),7.7617073)</f>
        <v>7.7617073</v>
      </c>
      <c r="D11530" s="7">
        <f>IFERROR(__xludf.DUMMYFUNCTION("""COMPUTED_VALUE"""),0.419354838709677)</f>
        <v>0.4193548387</v>
      </c>
    </row>
    <row r="11531">
      <c r="A11531" s="10" t="s">
        <v>12970</v>
      </c>
      <c r="B11531" s="7" t="str">
        <f>IFERROR(__xludf.DUMMYFUNCTION("SPLIT(A11531,"" "")"),"Cc1cccc(N2CCN(C)CCN(Cc3ccc(-c4cccc(N=Cc5ccccn5)c4)cn3)CC2)c1")</f>
        <v>Cc1cccc(N2CCN(C)CCN(Cc3ccc(-c4cccc(N=Cc5ccccn5)c4)cn3)CC2)c1</v>
      </c>
      <c r="C11531" s="7">
        <f>IFERROR(__xludf.DUMMYFUNCTION("""COMPUTED_VALUE"""),7.761705)</f>
        <v>7.761705</v>
      </c>
      <c r="D11531" s="7">
        <f>IFERROR(__xludf.DUMMYFUNCTION("""COMPUTED_VALUE"""),0.40625)</f>
        <v>0.40625</v>
      </c>
    </row>
    <row r="11532">
      <c r="A11532" s="10" t="s">
        <v>12971</v>
      </c>
      <c r="B11532" s="7" t="str">
        <f>IFERROR(__xludf.DUMMYFUNCTION("SPLIT(A11532,"" "")"),"CC(N)C1=CCC=C(N(C)Cc2ccccn2)N1")</f>
        <v>CC(N)C1=CCC=C(N(C)Cc2ccccn2)N1</v>
      </c>
      <c r="C11532" s="7">
        <f>IFERROR(__xludf.DUMMYFUNCTION("""COMPUTED_VALUE"""),7.7616987)</f>
        <v>7.7616987</v>
      </c>
      <c r="D11532" s="7">
        <f>IFERROR(__xludf.DUMMYFUNCTION("""COMPUTED_VALUE"""),0.428571428571428)</f>
        <v>0.4285714286</v>
      </c>
    </row>
    <row r="11533">
      <c r="A11533" s="10" t="s">
        <v>12972</v>
      </c>
      <c r="B11533" s="7" t="str">
        <f>IFERROR(__xludf.DUMMYFUNCTION("SPLIT(A11533,"" "")"),"Cc1ncccc1CN(C)C1CCCC(N(Cc2ccccn2)c2cccc3cccnc23)C1")</f>
        <v>Cc1ncccc1CN(C)C1CCCC(N(Cc2ccccn2)c2cccc3cccnc23)C1</v>
      </c>
      <c r="C11533" s="7">
        <f>IFERROR(__xludf.DUMMYFUNCTION("""COMPUTED_VALUE"""),7.7616906)</f>
        <v>7.7616906</v>
      </c>
      <c r="D11533" s="7">
        <f>IFERROR(__xludf.DUMMYFUNCTION("""COMPUTED_VALUE"""),0.416666666666666)</f>
        <v>0.4166666667</v>
      </c>
    </row>
    <row r="11534">
      <c r="A11534" s="10" t="s">
        <v>12973</v>
      </c>
      <c r="B11534" s="7" t="str">
        <f>IFERROR(__xludf.DUMMYFUNCTION("SPLIT(A11534,"" "")"),"CC1C=CC(C)C(N(C)Cc2ccc(-c3cccc(N(C)C)c3)cn2)C1")</f>
        <v>CC1C=CC(C)C(N(C)Cc2ccc(-c3cccc(N(C)C)c3)cn2)C1</v>
      </c>
      <c r="C11534" s="7">
        <f>IFERROR(__xludf.DUMMYFUNCTION("""COMPUTED_VALUE"""),7.7616854)</f>
        <v>7.7616854</v>
      </c>
      <c r="D11534" s="7">
        <f>IFERROR(__xludf.DUMMYFUNCTION("""COMPUTED_VALUE"""),0.368421052631578)</f>
        <v>0.3684210526</v>
      </c>
    </row>
    <row r="11535">
      <c r="A11535" s="10" t="s">
        <v>12974</v>
      </c>
      <c r="B11535" s="7" t="str">
        <f>IFERROR(__xludf.DUMMYFUNCTION("SPLIT(A11535,"" "")"),"CNc1ccc(CN(Cc2ccccn2)Cc2ncccc2F)nc1")</f>
        <v>CNc1ccc(CN(Cc2ccccn2)Cc2ncccc2F)nc1</v>
      </c>
      <c r="C11535" s="7">
        <f>IFERROR(__xludf.DUMMYFUNCTION("""COMPUTED_VALUE"""),7.76168)</f>
        <v>7.76168</v>
      </c>
      <c r="D11535" s="7">
        <f>IFERROR(__xludf.DUMMYFUNCTION("""COMPUTED_VALUE"""),0.476190476190476)</f>
        <v>0.4761904762</v>
      </c>
    </row>
    <row r="11536">
      <c r="A11536" s="10" t="s">
        <v>12975</v>
      </c>
      <c r="B11536" s="7" t="str">
        <f>IFERROR(__xludf.DUMMYFUNCTION("SPLIT(A11536,"" "")"),"CC1=CC(C)C(N(C)CCN(C)c2ccc3c(C)ccnc3c2)CC1C")</f>
        <v>CC1=CC(C)C(N(C)CCN(C)c2ccc3c(C)ccnc3c2)CC1C</v>
      </c>
      <c r="C11536" s="7">
        <f>IFERROR(__xludf.DUMMYFUNCTION("""COMPUTED_VALUE"""),7.76168)</f>
        <v>7.76168</v>
      </c>
      <c r="D11536" s="7">
        <f>IFERROR(__xludf.DUMMYFUNCTION("""COMPUTED_VALUE"""),0.21875)</f>
        <v>0.21875</v>
      </c>
    </row>
    <row r="11537">
      <c r="A11537" s="10" t="s">
        <v>12976</v>
      </c>
      <c r="B11537" s="7" t="str">
        <f>IFERROR(__xludf.DUMMYFUNCTION("SPLIT(A11537,"" "")"),"Cc1cccc(N(Cc2ccccc2)Cc2ccccn2)c1")</f>
        <v>Cc1cccc(N(Cc2ccccc2)Cc2ccccn2)c1</v>
      </c>
      <c r="C11537" s="7">
        <f>IFERROR(__xludf.DUMMYFUNCTION("""COMPUTED_VALUE"""),7.761655)</f>
        <v>7.761655</v>
      </c>
      <c r="D11537" s="7">
        <f>IFERROR(__xludf.DUMMYFUNCTION("""COMPUTED_VALUE"""),0.435897435897435)</f>
        <v>0.4358974359</v>
      </c>
    </row>
    <row r="11538">
      <c r="A11538" s="10" t="s">
        <v>12977</v>
      </c>
      <c r="B11538" s="7" t="str">
        <f>IFERROR(__xludf.DUMMYFUNCTION("SPLIT(A11538,"" "")"),"CN1CCN(C)CCN(Cc2cccnc2-c2ccc3ncccc3c2)CC1")</f>
        <v>CN1CCN(C)CCN(Cc2cccnc2-c2ccc3ncccc3c2)CC1</v>
      </c>
      <c r="C11538" s="7">
        <f>IFERROR(__xludf.DUMMYFUNCTION("""COMPUTED_VALUE"""),7.761644)</f>
        <v>7.761644</v>
      </c>
      <c r="D11538" s="7">
        <f>IFERROR(__xludf.DUMMYFUNCTION("""COMPUTED_VALUE"""),0.4375)</f>
        <v>0.4375</v>
      </c>
    </row>
    <row r="11539">
      <c r="A11539" s="10" t="s">
        <v>12978</v>
      </c>
      <c r="B11539" s="7" t="str">
        <f>IFERROR(__xludf.DUMMYFUNCTION("SPLIT(A11539,"" "")"),"CNC1CCC(N(Cc2nc(C)c(C)c(C)c2C)Cc2nc(C)c(C)c(C)c2C)C(NCc2nc(C)c(C)cc2C)C1N(Cc1nc(C)c(C)c(C)c1C)Cc1nc(C)c([SiH3])c(C)c1C")</f>
        <v>CNC1CCC(N(Cc2nc(C)c(C)c(C)c2C)Cc2nc(C)c(C)c(C)c2C)C(NCc2nc(C)c(C)cc2C)C1N(Cc1nc(C)c(C)c(C)c1C)Cc1nc(C)c([SiH3])c(C)c1C</v>
      </c>
      <c r="C11539" s="7">
        <f>IFERROR(__xludf.DUMMYFUNCTION("""COMPUTED_VALUE"""),7.761642)</f>
        <v>7.761642</v>
      </c>
      <c r="D11539" s="7">
        <f>IFERROR(__xludf.DUMMYFUNCTION("""COMPUTED_VALUE"""),0.178082191780821)</f>
        <v>0.1780821918</v>
      </c>
    </row>
    <row r="11540">
      <c r="A11540" s="10" t="s">
        <v>12979</v>
      </c>
      <c r="B11540" s="7" t="str">
        <f>IFERROR(__xludf.DUMMYFUNCTION("SPLIT(A11540,"" "")"),"Cc1cnc(CN(C)C2CCCCC2N(C)c2cccc3ncccc23)c(C)c1C")</f>
        <v>Cc1cnc(CN(C)C2CCCCC2N(C)c2cccc3ncccc23)c(C)c1C</v>
      </c>
      <c r="C11540" s="7">
        <f>IFERROR(__xludf.DUMMYFUNCTION("""COMPUTED_VALUE"""),7.761641)</f>
        <v>7.761641</v>
      </c>
      <c r="D11540" s="7">
        <f>IFERROR(__xludf.DUMMYFUNCTION("""COMPUTED_VALUE"""),0.43859649122807)</f>
        <v>0.4385964912</v>
      </c>
    </row>
    <row r="11541">
      <c r="A11541" s="10" t="s">
        <v>12980</v>
      </c>
      <c r="B11541" s="7" t="str">
        <f>IFERROR(__xludf.DUMMYFUNCTION("SPLIT(A11541,"" "")"),"CNC1C(N(Cc2nc(C)c(C)c(C)c2C)Cc2nc(C)c(C)c(C)c2C)CCC(NCc2ncc(C)c(C)c2C)C1N(Cc1nc(C)c(C)c(C)c1C)Cc1nc(C)c(C)c(C)c1C")</f>
        <v>CNC1C(N(Cc2nc(C)c(C)c(C)c2C)Cc2nc(C)c(C)c(C)c2C)CCC(NCc2ncc(C)c(C)c2C)C1N(Cc1nc(C)c(C)c(C)c1C)Cc1nc(C)c(C)c(C)c1C</v>
      </c>
      <c r="C11541" s="7">
        <f>IFERROR(__xludf.DUMMYFUNCTION("""COMPUTED_VALUE"""),7.761635)</f>
        <v>7.761635</v>
      </c>
      <c r="D11541" s="7">
        <f>IFERROR(__xludf.DUMMYFUNCTION("""COMPUTED_VALUE"""),0.223880597014925)</f>
        <v>0.223880597</v>
      </c>
    </row>
    <row r="11542">
      <c r="A11542" s="10" t="s">
        <v>12981</v>
      </c>
      <c r="B11542" s="7" t="str">
        <f>IFERROR(__xludf.DUMMYFUNCTION("SPLIT(A11542,"" "")"),"Cc1cncc(CN(Cc2ccccn2)C2CCC(N(C)c3cccc4nccc(CF)c34)CC2)c1")</f>
        <v>Cc1cncc(CN(Cc2ccccn2)C2CCC(N(C)c3cccc4nccc(CF)c34)CC2)c1</v>
      </c>
      <c r="C11542" s="7">
        <f>IFERROR(__xludf.DUMMYFUNCTION("""COMPUTED_VALUE"""),7.76163)</f>
        <v>7.76163</v>
      </c>
      <c r="D11542" s="7">
        <f>IFERROR(__xludf.DUMMYFUNCTION("""COMPUTED_VALUE"""),0.314285714285714)</f>
        <v>0.3142857143</v>
      </c>
    </row>
    <row r="11543">
      <c r="A11543" s="10" t="s">
        <v>12982</v>
      </c>
      <c r="B11543" s="7" t="str">
        <f>IFERROR(__xludf.DUMMYFUNCTION("SPLIT(A11543,"" "")"),"Cc1cc(C)c(C)c(CN(C)CCN(C)Cc2nc(C)c(C)c(C)c2C)n1")</f>
        <v>Cc1cc(C)c(C)c(CN(C)CCN(C)Cc2nc(C)c(C)c(C)c2C)n1</v>
      </c>
      <c r="C11543" s="7">
        <f>IFERROR(__xludf.DUMMYFUNCTION("""COMPUTED_VALUE"""),7.7616296)</f>
        <v>7.7616296</v>
      </c>
      <c r="D11543" s="7">
        <f>IFERROR(__xludf.DUMMYFUNCTION("""COMPUTED_VALUE"""),0.357142857142857)</f>
        <v>0.3571428571</v>
      </c>
    </row>
    <row r="11544">
      <c r="A11544" s="10" t="s">
        <v>12983</v>
      </c>
      <c r="B11544" s="7" t="str">
        <f>IFERROR(__xludf.DUMMYFUNCTION("SPLIT(A11544,"" "")"),"C1=CC(SCc2ccccn2)=CC(NCc2ccccn2)N1")</f>
        <v>C1=CC(SCc2ccccn2)=CC(NCc2ccccn2)N1</v>
      </c>
      <c r="C11544" s="7">
        <f>IFERROR(__xludf.DUMMYFUNCTION("""COMPUTED_VALUE"""),7.7616224)</f>
        <v>7.7616224</v>
      </c>
      <c r="D11544" s="7">
        <f>IFERROR(__xludf.DUMMYFUNCTION("""COMPUTED_VALUE"""),0.377777777777777)</f>
        <v>0.3777777778</v>
      </c>
    </row>
    <row r="11545">
      <c r="A11545" s="10" t="s">
        <v>12984</v>
      </c>
      <c r="B11545" s="7" t="str">
        <f>IFERROR(__xludf.DUMMYFUNCTION("SPLIT(A11545,"" "")"),"CC1=C(C)CC2(C=C(c3ncccc3CN(Cc3ccccn3)Cc3ccccn3)C3(CC(C)=C(C)CC3C)C(c3ncccc3CN(Cc3ccccn3)Cc3ccccn3)C2)C(C)C1")</f>
        <v>CC1=C(C)CC2(C=C(c3ncccc3CN(Cc3ccccn3)Cc3ccccn3)C3(CC(C)=C(C)CC3C)C(c3ncccc3CN(Cc3ccccn3)Cc3ccccn3)C2)C(C)C1</v>
      </c>
      <c r="C11545" s="7">
        <f>IFERROR(__xludf.DUMMYFUNCTION("""COMPUTED_VALUE"""),7.761622)</f>
        <v>7.761622</v>
      </c>
      <c r="D11545" s="7">
        <f>IFERROR(__xludf.DUMMYFUNCTION("""COMPUTED_VALUE"""),0.327868852459016)</f>
        <v>0.3278688525</v>
      </c>
    </row>
    <row r="11546">
      <c r="A11546" s="10" t="s">
        <v>12985</v>
      </c>
      <c r="B11546" s="7" t="str">
        <f>IFERROR(__xludf.DUMMYFUNCTION("SPLIT(A11546,"" "")"),"CCCNCC1=CCC(C)C(C)C1c1cccc(CN(Cc2ccccn2)Cc2cccc(-c3cccc(N=Cc4ccccn4)c3)n2)n1")</f>
        <v>CCCNCC1=CCC(C)C(C)C1c1cccc(CN(Cc2ccccn2)Cc2cccc(-c3cccc(N=Cc4ccccn4)c3)n2)n1</v>
      </c>
      <c r="C11546" s="7">
        <f>IFERROR(__xludf.DUMMYFUNCTION("""COMPUTED_VALUE"""),7.761617)</f>
        <v>7.761617</v>
      </c>
      <c r="D11546" s="7">
        <f>IFERROR(__xludf.DUMMYFUNCTION("""COMPUTED_VALUE"""),0.390243902439024)</f>
        <v>0.3902439024</v>
      </c>
    </row>
    <row r="11547">
      <c r="A11547" s="10" t="s">
        <v>12986</v>
      </c>
      <c r="B11547" s="7" t="str">
        <f>IFERROR(__xludf.DUMMYFUNCTION("SPLIT(A11547,"" "")"),"COC(=O)C1C(c2ccccn2)C(c2ccccn2)CN(C)C1c1ncccc1CN(Cc1ccccn1)Cc1ccccn1")</f>
        <v>COC(=O)C1C(c2ccccn2)C(c2ccccn2)CN(C)C1c1ncccc1CN(Cc1ccccn1)Cc1ccccn1</v>
      </c>
      <c r="C11547" s="7">
        <f>IFERROR(__xludf.DUMMYFUNCTION("""COMPUTED_VALUE"""),7.7616043)</f>
        <v>7.7616043</v>
      </c>
      <c r="D11547" s="7">
        <f>IFERROR(__xludf.DUMMYFUNCTION("""COMPUTED_VALUE"""),0.338983050847457)</f>
        <v>0.3389830508</v>
      </c>
    </row>
    <row r="11548">
      <c r="A11548" s="10" t="s">
        <v>12987</v>
      </c>
      <c r="B11548" s="7" t="str">
        <f>IFERROR(__xludf.DUMMYFUNCTION("SPLIT(A11548,"" "")"),"Cc1cccnc1CN(C)C1CCC(N(C)c2ccc3ncc(CN(C)C)cc3c2)CC1")</f>
        <v>Cc1cccnc1CN(C)C1CCC(N(C)c2ccc3ncc(CN(C)C)cc3c2)CC1</v>
      </c>
      <c r="C11548" s="7">
        <f>IFERROR(__xludf.DUMMYFUNCTION("""COMPUTED_VALUE"""),7.761603)</f>
        <v>7.761603</v>
      </c>
      <c r="D11548" s="7">
        <f>IFERROR(__xludf.DUMMYFUNCTION("""COMPUTED_VALUE"""),0.261538461538461)</f>
        <v>0.2615384615</v>
      </c>
    </row>
    <row r="11549">
      <c r="A11549" s="10" t="s">
        <v>12988</v>
      </c>
      <c r="B11549" s="7" t="str">
        <f>IFERROR(__xludf.DUMMYFUNCTION("SPLIT(A11549,"" "")"),"CNc1cccc(CNCc2ccc(N)cn2)n1")</f>
        <v>CNc1cccc(CNCc2ccc(N)cn2)n1</v>
      </c>
      <c r="C11549" s="7">
        <f>IFERROR(__xludf.DUMMYFUNCTION("""COMPUTED_VALUE"""),7.7616014)</f>
        <v>7.7616014</v>
      </c>
      <c r="D11549" s="7">
        <f>IFERROR(__xludf.DUMMYFUNCTION("""COMPUTED_VALUE"""),0.325581395348837)</f>
        <v>0.3255813953</v>
      </c>
    </row>
    <row r="11550">
      <c r="A11550" s="10" t="s">
        <v>12989</v>
      </c>
      <c r="B11550" s="7" t="str">
        <f>IFERROR(__xludf.DUMMYFUNCTION("SPLIT(A11550,"" "")"),"Cc1cccnc1CN(C)C1=CCC=C(CN(C(C)C)C(C)C)N1")</f>
        <v>Cc1cccnc1CN(C)C1=CCC=C(CN(C(C)C)C(C)C)N1</v>
      </c>
      <c r="C11550" s="7">
        <f>IFERROR(__xludf.DUMMYFUNCTION("""COMPUTED_VALUE"""),7.7615986)</f>
        <v>7.7615986</v>
      </c>
      <c r="D11550" s="7">
        <f>IFERROR(__xludf.DUMMYFUNCTION("""COMPUTED_VALUE"""),0.274193548387096)</f>
        <v>0.2741935484</v>
      </c>
    </row>
    <row r="11551">
      <c r="A11551" s="10" t="s">
        <v>12990</v>
      </c>
      <c r="B11551" s="7" t="str">
        <f>IFERROR(__xludf.DUMMYFUNCTION("SPLIT(A11551,"" "")"),"CNc1ccc(CN(Cc2cccc(C)n2)C2CCC(N(C)Cc3nc(C)c(C)c(C)c3C)CC2)nc1-c1ccccn1")</f>
        <v>CNc1ccc(CN(Cc2cccc(C)n2)C2CCC(N(C)Cc3nc(C)c(C)c(C)c3C)CC2)nc1-c1ccccn1</v>
      </c>
      <c r="C11551" s="7">
        <f>IFERROR(__xludf.DUMMYFUNCTION("""COMPUTED_VALUE"""),7.7615795)</f>
        <v>7.7615795</v>
      </c>
      <c r="D11551" s="7">
        <f>IFERROR(__xludf.DUMMYFUNCTION("""COMPUTED_VALUE"""),0.347826086956521)</f>
        <v>0.347826087</v>
      </c>
    </row>
    <row r="11552">
      <c r="A11552" s="10" t="s">
        <v>12991</v>
      </c>
      <c r="B11552" s="7" t="str">
        <f>IFERROR(__xludf.DUMMYFUNCTION("SPLIT(A11552,"" "")"),"Cc1cncc(CN(C)Cc2cc(N(C)C(C)C)ccn2)c1C")</f>
        <v>Cc1cncc(CN(C)Cc2cc(N(C)C(C)C)ccn2)c1C</v>
      </c>
      <c r="C11552" s="7">
        <f>IFERROR(__xludf.DUMMYFUNCTION("""COMPUTED_VALUE"""),7.7615776)</f>
        <v>7.7615776</v>
      </c>
      <c r="D11552" s="7">
        <f>IFERROR(__xludf.DUMMYFUNCTION("""COMPUTED_VALUE"""),0.313725490196078)</f>
        <v>0.3137254902</v>
      </c>
    </row>
    <row r="11553">
      <c r="A11553" s="10" t="s">
        <v>12992</v>
      </c>
      <c r="B11553" s="7" t="str">
        <f>IFERROR(__xludf.DUMMYFUNCTION("SPLIT(A11553,"" "")"),"CN(C)Cc1cnc2ccc(N(C)C3CCCCC3N(Cc3ccccn3)Cc3cccc(C(C)(C)C)n3)cc2c1")</f>
        <v>CN(C)Cc1cnc2ccc(N(C)C3CCCCC3N(Cc3ccccn3)Cc3cccc(C(C)(C)C)n3)cc2c1</v>
      </c>
      <c r="C11553" s="7">
        <f>IFERROR(__xludf.DUMMYFUNCTION("""COMPUTED_VALUE"""),7.7615743)</f>
        <v>7.7615743</v>
      </c>
      <c r="D11553" s="7">
        <f>IFERROR(__xludf.DUMMYFUNCTION("""COMPUTED_VALUE"""),0.393939393939393)</f>
        <v>0.3939393939</v>
      </c>
    </row>
    <row r="11554">
      <c r="A11554" s="10" t="s">
        <v>12993</v>
      </c>
      <c r="B11554" s="7" t="str">
        <f>IFERROR(__xludf.DUMMYFUNCTION("SPLIT(A11554,"" "")"),"CNCc1ncccc1CN(Cc1ccccn1)Cc1nc(C)c(C)c(C)c1C")</f>
        <v>CNCc1ncccc1CN(Cc1ccccn1)Cc1nc(C)c(C)c(C)c1C</v>
      </c>
      <c r="C11554" s="7">
        <f>IFERROR(__xludf.DUMMYFUNCTION("""COMPUTED_VALUE"""),7.761573)</f>
        <v>7.761573</v>
      </c>
      <c r="D11554" s="7">
        <f>IFERROR(__xludf.DUMMYFUNCTION("""COMPUTED_VALUE"""),0.434782608695652)</f>
        <v>0.4347826087</v>
      </c>
    </row>
    <row r="11555">
      <c r="A11555" s="10" t="s">
        <v>12994</v>
      </c>
      <c r="B11555" s="7" t="str">
        <f>IFERROR(__xludf.DUMMYFUNCTION("SPLIT(A11555,"" "")"),"CN1CCN(C)CCN(Cc2cncc(N(O)c3ccc4ncccc4c3)c2)CC1")</f>
        <v>CN1CCN(C)CCN(Cc2cncc(N(O)c3ccc4ncccc4c3)c2)CC1</v>
      </c>
      <c r="C11555" s="7">
        <f>IFERROR(__xludf.DUMMYFUNCTION("""COMPUTED_VALUE"""),7.7615695)</f>
        <v>7.7615695</v>
      </c>
      <c r="D11555" s="7">
        <f>IFERROR(__xludf.DUMMYFUNCTION("""COMPUTED_VALUE"""),0.421052631578947)</f>
        <v>0.4210526316</v>
      </c>
    </row>
    <row r="11556">
      <c r="A11556" s="10" t="s">
        <v>12995</v>
      </c>
      <c r="B11556" s="7" t="str">
        <f>IFERROR(__xludf.DUMMYFUNCTION("SPLIT(A11556,"" "")"),"Cc1ccc(C2=NC(C(C)N=Cc3ccccn3)CO2)c(C2CCC2(C)C)n1")</f>
        <v>Cc1ccc(C2=NC(C(C)N=Cc3ccccn3)CO2)c(C2CCC2(C)C)n1</v>
      </c>
      <c r="C11556" s="7">
        <f>IFERROR(__xludf.DUMMYFUNCTION("""COMPUTED_VALUE"""),7.761569)</f>
        <v>7.761569</v>
      </c>
      <c r="D11556" s="7">
        <f>IFERROR(__xludf.DUMMYFUNCTION("""COMPUTED_VALUE"""),0.303030303030303)</f>
        <v>0.303030303</v>
      </c>
    </row>
    <row r="11557">
      <c r="A11557" s="10" t="s">
        <v>12996</v>
      </c>
      <c r="B11557" s="7" t="str">
        <f>IFERROR(__xludf.DUMMYFUNCTION("SPLIT(A11557,"" "")"),"CC(C)C1=NC(c2ncccc2CN(Cc2ccccn2)Cc2ccccn2)CO1")</f>
        <v>CC(C)C1=NC(c2ncccc2CN(Cc2ccccn2)Cc2ccccn2)CO1</v>
      </c>
      <c r="C11557" s="7">
        <f>IFERROR(__xludf.DUMMYFUNCTION("""COMPUTED_VALUE"""),7.761568)</f>
        <v>7.761568</v>
      </c>
      <c r="D11557" s="7">
        <f>IFERROR(__xludf.DUMMYFUNCTION("""COMPUTED_VALUE"""),0.434782608695652)</f>
        <v>0.4347826087</v>
      </c>
    </row>
    <row r="11558">
      <c r="A11558" s="10" t="s">
        <v>12997</v>
      </c>
      <c r="B11558" s="7" t="str">
        <f>IFERROR(__xludf.DUMMYFUNCTION("SPLIT(A11558,"" "")"),"CNC1C(NCc2nc(C)c(C)cc2C)C(N(Cc2nc(C)c(C)c(C)c2C)Cc2nc(C)c(C)c(C)c2C)CCC1N(Cc1nc(C)c(C)c(C)c1C)Cc1nc(C)c(C)c(C)c1C")</f>
        <v>CNC1C(NCc2nc(C)c(C)cc2C)C(N(Cc2nc(C)c(C)c(C)c2C)Cc2nc(C)c(C)c(C)c2C)CCC1N(Cc1nc(C)c(C)c(C)c1C)Cc1nc(C)c(C)c(C)c1C</v>
      </c>
      <c r="C11558" s="7">
        <f>IFERROR(__xludf.DUMMYFUNCTION("""COMPUTED_VALUE"""),7.7615643)</f>
        <v>7.7615643</v>
      </c>
      <c r="D11558" s="7">
        <f>IFERROR(__xludf.DUMMYFUNCTION("""COMPUTED_VALUE"""),0.209677419354838)</f>
        <v>0.2096774194</v>
      </c>
    </row>
    <row r="11559">
      <c r="A11559" s="10" t="s">
        <v>12998</v>
      </c>
      <c r="B11559" s="7" t="str">
        <f>IFERROR(__xludf.DUMMYFUNCTION("SPLIT(A11559,"" "")"),"CN(c1ccc2nc(CF)ccc2c1)C1CCC(N(Cc2ccnc(C(C)(C)C)c2)Cc2ccccn2)CC1")</f>
        <v>CN(c1ccc2nc(CF)ccc2c1)C1CCC(N(Cc2ccnc(C(C)(C)C)c2)Cc2ccccn2)CC1</v>
      </c>
      <c r="C11559" s="7">
        <f>IFERROR(__xludf.DUMMYFUNCTION("""COMPUTED_VALUE"""),7.7615643)</f>
        <v>7.7615643</v>
      </c>
      <c r="D11559" s="7">
        <f>IFERROR(__xludf.DUMMYFUNCTION("""COMPUTED_VALUE"""),0.338235294117647)</f>
        <v>0.3382352941</v>
      </c>
    </row>
    <row r="11560">
      <c r="A11560" s="10" t="s">
        <v>12999</v>
      </c>
      <c r="B11560" s="7" t="str">
        <f>IFERROR(__xludf.DUMMYFUNCTION("SPLIT(A11560,"" "")"),"CCN(Cc1ccccn1)c1cccnc1CN(Cc1ccccn1)Cc1ncccc1F")</f>
        <v>CCN(Cc1ccccn1)c1cccnc1CN(Cc1ccccn1)Cc1ncccc1F</v>
      </c>
      <c r="C11560" s="7">
        <f>IFERROR(__xludf.DUMMYFUNCTION("""COMPUTED_VALUE"""),7.7615495)</f>
        <v>7.7615495</v>
      </c>
      <c r="D11560" s="7">
        <f>IFERROR(__xludf.DUMMYFUNCTION("""COMPUTED_VALUE"""),0.48780487804878)</f>
        <v>0.487804878</v>
      </c>
    </row>
    <row r="11561">
      <c r="A11561" s="10" t="s">
        <v>13000</v>
      </c>
      <c r="B11561" s="7" t="str">
        <f>IFERROR(__xludf.DUMMYFUNCTION("SPLIT(A11561,"" "")"),"COC(=O)C1C(c2ccccn2)C(c2ccc(CN(Cc3ccccn3)Cc3ccccn3)cn2)CN(C)C1c1ccccn1")</f>
        <v>COC(=O)C1C(c2ccccn2)C(c2ccc(CN(Cc3ccccn3)Cc3ccccn3)cn2)CN(C)C1c1ccccn1</v>
      </c>
      <c r="C11561" s="7">
        <f>IFERROR(__xludf.DUMMYFUNCTION("""COMPUTED_VALUE"""),7.7615385)</f>
        <v>7.7615385</v>
      </c>
      <c r="D11561" s="7">
        <f>IFERROR(__xludf.DUMMYFUNCTION("""COMPUTED_VALUE"""),0.333333333333333)</f>
        <v>0.3333333333</v>
      </c>
    </row>
    <row r="11562">
      <c r="A11562" s="10" t="s">
        <v>13001</v>
      </c>
      <c r="B11562" s="7" t="str">
        <f>IFERROR(__xludf.DUMMYFUNCTION("SPLIT(A11562,"" "")"),"CNc1ccc(CN(Cc2ccccn2)Cc2ncccc2C)nc1")</f>
        <v>CNc1ccc(CN(Cc2ccccn2)Cc2ncccc2C)nc1</v>
      </c>
      <c r="C11562" s="7">
        <f>IFERROR(__xludf.DUMMYFUNCTION("""COMPUTED_VALUE"""),7.7615347)</f>
        <v>7.7615347</v>
      </c>
      <c r="D11562" s="7">
        <f>IFERROR(__xludf.DUMMYFUNCTION("""COMPUTED_VALUE"""),0.48780487804878)</f>
        <v>0.487804878</v>
      </c>
    </row>
    <row r="11563">
      <c r="A11563" s="10" t="s">
        <v>13002</v>
      </c>
      <c r="B11563" s="7" t="str">
        <f>IFERROR(__xludf.DUMMYFUNCTION("SPLIT(A11563,"" "")"),"CCN(Cc1cc(CN(Cc2cc(C)ccn2)Cc2cc(C)c(C)cn2)ccn1)Cc1cc(C)c(C)c(C)n1")</f>
        <v>CCN(Cc1cc(CN(Cc2cc(C)ccn2)Cc2cc(C)c(C)cn2)ccn1)Cc1cc(C)c(C)c(C)n1</v>
      </c>
      <c r="C11563" s="7">
        <f>IFERROR(__xludf.DUMMYFUNCTION("""COMPUTED_VALUE"""),7.7615347)</f>
        <v>7.7615347</v>
      </c>
      <c r="D11563" s="7">
        <f>IFERROR(__xludf.DUMMYFUNCTION("""COMPUTED_VALUE"""),0.310344827586206)</f>
        <v>0.3103448276</v>
      </c>
    </row>
    <row r="11564">
      <c r="A11564" s="10" t="s">
        <v>13003</v>
      </c>
      <c r="B11564" s="7" t="str">
        <f>IFERROR(__xludf.DUMMYFUNCTION("SPLIT(A11564,"" "")"),"Cc1ccnc(CN(Cc2ccnc(CN(C)C)c2)Cc2ccccn2)c1C")</f>
        <v>Cc1ccnc(CN(Cc2ccnc(CN(C)C)c2)Cc2ccccn2)c1C</v>
      </c>
      <c r="C11564" s="7">
        <f>IFERROR(__xludf.DUMMYFUNCTION("""COMPUTED_VALUE"""),7.761529)</f>
        <v>7.761529</v>
      </c>
      <c r="D11564" s="7">
        <f>IFERROR(__xludf.DUMMYFUNCTION("""COMPUTED_VALUE"""),0.476190476190476)</f>
        <v>0.4761904762</v>
      </c>
    </row>
    <row r="11565">
      <c r="A11565" s="10" t="s">
        <v>13004</v>
      </c>
      <c r="B11565" s="7" t="str">
        <f>IFERROR(__xludf.DUMMYFUNCTION("SPLIT(A11565,"" "")"),"CC(C)(C)c1ccc(CN(Cc2ccccn2)Cc2cccnc2C2OC=NC2(C)C)nc1")</f>
        <v>CC(C)(C)c1ccc(CN(Cc2ccccn2)Cc2cccnc2C2OC=NC2(C)C)nc1</v>
      </c>
      <c r="C11565" s="7">
        <f>IFERROR(__xludf.DUMMYFUNCTION("""COMPUTED_VALUE"""),7.7615204)</f>
        <v>7.7615204</v>
      </c>
      <c r="D11565" s="7">
        <f>IFERROR(__xludf.DUMMYFUNCTION("""COMPUTED_VALUE"""),0.37037037037037)</f>
        <v>0.3703703704</v>
      </c>
    </row>
    <row r="11566">
      <c r="A11566" s="10" t="s">
        <v>13005</v>
      </c>
      <c r="B11566" s="7" t="str">
        <f>IFERROR(__xludf.DUMMYFUNCTION("SPLIT(A11566,"" "")"),"COC(=O)C1C(c2ccccn2)C(c2cc(CN(Cc3ccccn3)Cc3ccccn3)ccn2)CN(C)C1c1ccccn1")</f>
        <v>COC(=O)C1C(c2ccccn2)C(c2cc(CN(Cc3ccccn3)Cc3ccccn3)ccn2)CN(C)C1c1ccccn1</v>
      </c>
      <c r="C11566" s="7">
        <f>IFERROR(__xludf.DUMMYFUNCTION("""COMPUTED_VALUE"""),7.7615175)</f>
        <v>7.7615175</v>
      </c>
      <c r="D11566" s="7">
        <f>IFERROR(__xludf.DUMMYFUNCTION("""COMPUTED_VALUE"""),0.344827586206896)</f>
        <v>0.3448275862</v>
      </c>
    </row>
    <row r="11567">
      <c r="A11567" s="10" t="s">
        <v>13006</v>
      </c>
      <c r="B11567" s="7" t="str">
        <f>IFERROR(__xludf.DUMMYFUNCTION("SPLIT(A11567,"" "")"),"CCN(Cc1ccccn1)Cc1ccc2cccc(N(C)Cc3cccc(N(C)Cc4ncccc4-c4ccc5c(c4)OCCOCCOCCOCCOCCO5)n3)c2n1")</f>
        <v>CCN(Cc1ccccn1)Cc1ccc2cccc(N(C)Cc3cccc(N(C)Cc4ncccc4-c4ccc5c(c4)OCCOCCOCCOCCOCCO5)n3)c2n1</v>
      </c>
      <c r="C11567" s="7">
        <f>IFERROR(__xludf.DUMMYFUNCTION("""COMPUTED_VALUE"""),7.7615047)</f>
        <v>7.7615047</v>
      </c>
      <c r="D11567" s="7">
        <f>IFERROR(__xludf.DUMMYFUNCTION("""COMPUTED_VALUE"""),0.311688311688311)</f>
        <v>0.3116883117</v>
      </c>
    </row>
    <row r="11568">
      <c r="A11568" s="10" t="s">
        <v>13007</v>
      </c>
      <c r="B11568" s="7" t="str">
        <f>IFERROR(__xludf.DUMMYFUNCTION("SPLIT(A11568,"" "")"),"CN(C1=CCC=CN1)C1CCCC(N(C)c2ccc3ccc(CF)nc3c2)C1")</f>
        <v>CN(C1=CCC=CN1)C1CCCC(N(C)c2ccc3ccc(CF)nc3c2)C1</v>
      </c>
      <c r="C11568" s="7">
        <f>IFERROR(__xludf.DUMMYFUNCTION("""COMPUTED_VALUE"""),7.7615027)</f>
        <v>7.7615027</v>
      </c>
      <c r="D11568" s="7">
        <f>IFERROR(__xludf.DUMMYFUNCTION("""COMPUTED_VALUE"""),0.34375)</f>
        <v>0.34375</v>
      </c>
    </row>
    <row r="11569">
      <c r="A11569" s="10" t="s">
        <v>13008</v>
      </c>
      <c r="B11569" s="7" t="str">
        <f>IFERROR(__xludf.DUMMYFUNCTION("SPLIT(A11569,"" "")"),"CCN(Cc1cccc(CN(Cc2ccc([SiH3])cn2)Cc2cccc(C)n2)n1)Cc1nc(C)c(C)c(C)c1C")</f>
        <v>CCN(Cc1cccc(CN(Cc2ccc([SiH3])cn2)Cc2cccc(C)n2)n1)Cc1nc(C)c(C)c(C)c1C</v>
      </c>
      <c r="C11569" s="7">
        <f>IFERROR(__xludf.DUMMYFUNCTION("""COMPUTED_VALUE"""),7.7615023)</f>
        <v>7.7615023</v>
      </c>
      <c r="D11569" s="7">
        <f>IFERROR(__xludf.DUMMYFUNCTION("""COMPUTED_VALUE"""),0.351851851851851)</f>
        <v>0.3518518519</v>
      </c>
    </row>
    <row r="11570">
      <c r="A11570" s="10" t="s">
        <v>13009</v>
      </c>
      <c r="B11570" s="7" t="str">
        <f>IFERROR(__xludf.DUMMYFUNCTION("SPLIT(A11570,"" "")"),"Cc1cnc(CN(C)CC2=CC(N(C)Cc3nc(C)c(C)cc3C)C=CN2)c(C)c1")</f>
        <v>Cc1cnc(CN(C)CC2=CC(N(C)Cc3nc(C)c(C)cc3C)C=CN2)c(C)c1</v>
      </c>
      <c r="C11570" s="7">
        <f>IFERROR(__xludf.DUMMYFUNCTION("""COMPUTED_VALUE"""),7.761495)</f>
        <v>7.761495</v>
      </c>
      <c r="D11570" s="7">
        <f>IFERROR(__xludf.DUMMYFUNCTION("""COMPUTED_VALUE"""),0.296875)</f>
        <v>0.296875</v>
      </c>
    </row>
    <row r="11571">
      <c r="A11571" s="10" t="s">
        <v>13010</v>
      </c>
      <c r="B11571" s="7" t="str">
        <f>IFERROR(__xludf.DUMMYFUNCTION("SPLIT(A11571,"" "")"),"Cc1cc(NCc2ccccn2)ccc1C(C)(C)N(C)Cc1ccccn1")</f>
        <v>Cc1cc(NCc2ccccn2)ccc1C(C)(C)N(C)Cc1ccccn1</v>
      </c>
      <c r="C11571" s="7">
        <f>IFERROR(__xludf.DUMMYFUNCTION("""COMPUTED_VALUE"""),7.76149)</f>
        <v>7.76149</v>
      </c>
      <c r="D11571" s="7">
        <f>IFERROR(__xludf.DUMMYFUNCTION("""COMPUTED_VALUE"""),0.384615384615384)</f>
        <v>0.3846153846</v>
      </c>
    </row>
    <row r="11572">
      <c r="A11572" s="10" t="s">
        <v>13011</v>
      </c>
      <c r="B11572" s="7" t="str">
        <f>IFERROR(__xludf.DUMMYFUNCTION("SPLIT(A11572,"" "")"),"Cc1ccnc(CN(C)C2CCCCC2N(C)c2ccc3c(CF)ccnc3c2)c1C")</f>
        <v>Cc1ccnc(CN(C)C2CCCCC2N(C)c2ccc3c(CF)ccnc3c2)c1C</v>
      </c>
      <c r="C11572" s="7">
        <f>IFERROR(__xludf.DUMMYFUNCTION("""COMPUTED_VALUE"""),7.7614875)</f>
        <v>7.7614875</v>
      </c>
      <c r="D11572" s="7">
        <f>IFERROR(__xludf.DUMMYFUNCTION("""COMPUTED_VALUE"""),0.344262295081967)</f>
        <v>0.3442622951</v>
      </c>
    </row>
    <row r="11573">
      <c r="A11573" s="10" t="s">
        <v>13012</v>
      </c>
      <c r="B11573" s="7" t="str">
        <f>IFERROR(__xludf.DUMMYFUNCTION("SPLIT(A11573,"" "")"),"CN(C1=CCC=CN1)C1CCCCC1N(C)c1cccc2ncccc12")</f>
        <v>CN(C1=CCC=CN1)C1CCCCC1N(C)c1cccc2ncccc12</v>
      </c>
      <c r="C11573" s="7">
        <f>IFERROR(__xludf.DUMMYFUNCTION("""COMPUTED_VALUE"""),7.7614865)</f>
        <v>7.7614865</v>
      </c>
      <c r="D11573" s="7">
        <f>IFERROR(__xludf.DUMMYFUNCTION("""COMPUTED_VALUE"""),0.462962962962962)</f>
        <v>0.462962963</v>
      </c>
    </row>
    <row r="11574">
      <c r="A11574" s="10" t="s">
        <v>13013</v>
      </c>
      <c r="B11574" s="7" t="str">
        <f>IFERROR(__xludf.DUMMYFUNCTION("SPLIT(A11574,"" "")"),"CN(C)Cc1nccc2cc(N(C)C3CCCC(N(Cc4ccccn4)Cc4cccc(CF)n4)C3)ccc12")</f>
        <v>CN(C)Cc1nccc2cc(N(C)C3CCCC(N(Cc4ccccn4)Cc4cccc(CF)n4)C3)ccc12</v>
      </c>
      <c r="C11574" s="7">
        <f>IFERROR(__xludf.DUMMYFUNCTION("""COMPUTED_VALUE"""),7.7614837)</f>
        <v>7.7614837</v>
      </c>
      <c r="D11574" s="7">
        <f>IFERROR(__xludf.DUMMYFUNCTION("""COMPUTED_VALUE"""),0.343283582089552)</f>
        <v>0.3432835821</v>
      </c>
    </row>
    <row r="11575">
      <c r="A11575" s="10" t="s">
        <v>13014</v>
      </c>
      <c r="B11575" s="7" t="str">
        <f>IFERROR(__xludf.DUMMYFUNCTION("SPLIT(A11575,"" "")"),"CN(Cc1ccc2c(n1)CCC2)C1CCC(N(C)c2ccc3nc4c(cc3c2)CCC4)CC1")</f>
        <v>CN(Cc1ccc2c(n1)CCC2)C1CCC(N(C)c2ccc3nc4c(cc3c2)CCC4)CC1</v>
      </c>
      <c r="C11575" s="7">
        <f>IFERROR(__xludf.DUMMYFUNCTION("""COMPUTED_VALUE"""),7.7614813)</f>
        <v>7.7614813</v>
      </c>
      <c r="D11575" s="7">
        <f>IFERROR(__xludf.DUMMYFUNCTION("""COMPUTED_VALUE"""),0.365079365079365)</f>
        <v>0.3650793651</v>
      </c>
    </row>
    <row r="11576">
      <c r="A11576" s="10" t="s">
        <v>13015</v>
      </c>
      <c r="B11576" s="7" t="str">
        <f>IFERROR(__xludf.DUMMYFUNCTION("SPLIT(A11576,"" "")"),"CNCc1nc(C)c(C)cc1C")</f>
        <v>CNCc1nc(C)c(C)cc1C</v>
      </c>
      <c r="C11576" s="7">
        <f>IFERROR(__xludf.DUMMYFUNCTION("""COMPUTED_VALUE"""),7.76148)</f>
        <v>7.76148</v>
      </c>
      <c r="D11576" s="7">
        <f>IFERROR(__xludf.DUMMYFUNCTION("""COMPUTED_VALUE"""),0.186046511627906)</f>
        <v>0.1860465116</v>
      </c>
    </row>
    <row r="11577">
      <c r="A11577" s="10" t="s">
        <v>13016</v>
      </c>
      <c r="B11577" s="7" t="str">
        <f>IFERROR(__xludf.DUMMYFUNCTION("SPLIT(A11577,"" "")"),"Cc1cc(C)c(CN(C)Cc2cccc(N(C)C(C)C)n2)cn1")</f>
        <v>Cc1cc(C)c(CN(C)Cc2cccc(N(C)C(C)C)n2)cn1</v>
      </c>
      <c r="C11577" s="7">
        <f>IFERROR(__xludf.DUMMYFUNCTION("""COMPUTED_VALUE"""),7.7614794)</f>
        <v>7.7614794</v>
      </c>
      <c r="D11577" s="7">
        <f>IFERROR(__xludf.DUMMYFUNCTION("""COMPUTED_VALUE"""),0.425531914893617)</f>
        <v>0.4255319149</v>
      </c>
    </row>
    <row r="11578">
      <c r="A11578" s="10" t="s">
        <v>13017</v>
      </c>
      <c r="B11578" s="7" t="str">
        <f>IFERROR(__xludf.DUMMYFUNCTION("SPLIT(A11578,"" "")"),"Cc1cc(C)c(C)c(CN(C)CC2=CC(N(C)Cc3nc(C)c(C)c(C)c3C)C=CN2)c1")</f>
        <v>Cc1cc(C)c(C)c(CN(C)CC2=CC(N(C)Cc3nc(C)c(C)c(C)c3C)C=CN2)c1</v>
      </c>
      <c r="C11578" s="7">
        <f>IFERROR(__xludf.DUMMYFUNCTION("""COMPUTED_VALUE"""),7.7614765)</f>
        <v>7.7614765</v>
      </c>
      <c r="D11578" s="7">
        <f>IFERROR(__xludf.DUMMYFUNCTION("""COMPUTED_VALUE"""),0.292307692307692)</f>
        <v>0.2923076923</v>
      </c>
    </row>
    <row r="11579">
      <c r="A11579" s="10" t="s">
        <v>13018</v>
      </c>
      <c r="B11579" s="7" t="str">
        <f>IFERROR(__xludf.DUMMYFUNCTION("SPLIT(A11579,"" "")"),"CN1CCN(C)CCN(Cc2ncccc2-c2ccc3cccnc3c2)CC1")</f>
        <v>CN1CCN(C)CCN(Cc2ncccc2-c2ccc3cccnc3c2)CC1</v>
      </c>
      <c r="C11579" s="7">
        <f>IFERROR(__xludf.DUMMYFUNCTION("""COMPUTED_VALUE"""),7.761474)</f>
        <v>7.761474</v>
      </c>
      <c r="D11579" s="7">
        <f>IFERROR(__xludf.DUMMYFUNCTION("""COMPUTED_VALUE"""),0.4375)</f>
        <v>0.4375</v>
      </c>
    </row>
    <row r="11580">
      <c r="A11580" s="10" t="s">
        <v>13019</v>
      </c>
      <c r="B11580" s="7" t="str">
        <f>IFERROR(__xludf.DUMMYFUNCTION("SPLIT(A11580,"" "")"),"Cc1ccc(NCc2ccccn2)c(CNCc2ccccn2)c1C")</f>
        <v>Cc1ccc(NCc2ccccn2)c(CNCc2ccccn2)c1C</v>
      </c>
      <c r="C11580" s="7">
        <f>IFERROR(__xludf.DUMMYFUNCTION("""COMPUTED_VALUE"""),7.761472)</f>
        <v>7.761472</v>
      </c>
      <c r="D11580" s="7">
        <f>IFERROR(__xludf.DUMMYFUNCTION("""COMPUTED_VALUE"""),0.487179487179487)</f>
        <v>0.4871794872</v>
      </c>
    </row>
    <row r="11581">
      <c r="A11581" s="10" t="s">
        <v>13020</v>
      </c>
      <c r="B11581" s="7" t="str">
        <f>IFERROR(__xludf.DUMMYFUNCTION("SPLIT(A11581,"" "")"),"Cc1ccc(C)c(CN(C)C2CCCC(N(C)c3ccc4ccc(CF)nc4c3)C2)n1")</f>
        <v>Cc1ccc(C)c(CN(C)C2CCCC(N(C)c3ccc4ccc(CF)nc4c3)C2)n1</v>
      </c>
      <c r="C11581" s="7">
        <f>IFERROR(__xludf.DUMMYFUNCTION("""COMPUTED_VALUE"""),7.761469)</f>
        <v>7.761469</v>
      </c>
      <c r="D11581" s="7">
        <f>IFERROR(__xludf.DUMMYFUNCTION("""COMPUTED_VALUE"""),0.333333333333333)</f>
        <v>0.3333333333</v>
      </c>
    </row>
    <row r="11582">
      <c r="A11582" s="10" t="s">
        <v>13021</v>
      </c>
      <c r="B11582" s="7" t="str">
        <f>IFERROR(__xludf.DUMMYFUNCTION("SPLIT(A11582,"" "")"),"Cc1cccnc1CN(C)C1CCCC(N(C)c2cccc3nccc(CF)c23)C1")</f>
        <v>Cc1cccnc1CN(C)C1CCCC(N(C)c2cccc3nccc(CF)c23)C1</v>
      </c>
      <c r="C11582" s="7">
        <f>IFERROR(__xludf.DUMMYFUNCTION("""COMPUTED_VALUE"""),7.761462)</f>
        <v>7.761462</v>
      </c>
      <c r="D11582" s="7">
        <f>IFERROR(__xludf.DUMMYFUNCTION("""COMPUTED_VALUE"""),0.303030303030303)</f>
        <v>0.303030303</v>
      </c>
    </row>
    <row r="11583">
      <c r="A11583" s="10" t="s">
        <v>13022</v>
      </c>
      <c r="B11583" s="7" t="str">
        <f>IFERROR(__xludf.DUMMYFUNCTION("SPLIT(A11583,"" "")"),"CC(C)C1=CC2(C=CN1)C(c1ncccc1CN(Cc1ccccn1)Cc1ccccn1)=CC(C)(C)CC2c1ncccc1CN(Cc1ccccn1)C(C)C")</f>
        <v>CC(C)C1=CC2(C=CN1)C(c1ncccc1CN(Cc1ccccn1)Cc1ccccn1)=CC(C)(C)CC2c1ncccc1CN(Cc1ccccn1)C(C)C</v>
      </c>
      <c r="C11583" s="7">
        <f>IFERROR(__xludf.DUMMYFUNCTION("""COMPUTED_VALUE"""),7.7614613)</f>
        <v>7.7614613</v>
      </c>
      <c r="D11583" s="7">
        <f>IFERROR(__xludf.DUMMYFUNCTION("""COMPUTED_VALUE"""),0.333333333333333)</f>
        <v>0.3333333333</v>
      </c>
    </row>
    <row r="11584">
      <c r="A11584" s="10" t="s">
        <v>13023</v>
      </c>
      <c r="B11584" s="7" t="str">
        <f>IFERROR(__xludf.DUMMYFUNCTION("SPLIT(A11584,"" "")"),"Cc1cnc(CN(C)C2C=CNC(CN(C)Cc3nc(C)c(C)cc3C)=C2)c(C)c1")</f>
        <v>Cc1cnc(CN(C)C2C=CNC(CN(C)Cc3nc(C)c(C)cc3C)=C2)c(C)c1</v>
      </c>
      <c r="C11584" s="7">
        <f>IFERROR(__xludf.DUMMYFUNCTION("""COMPUTED_VALUE"""),7.761457)</f>
        <v>7.761457</v>
      </c>
      <c r="D11584" s="7">
        <f>IFERROR(__xludf.DUMMYFUNCTION("""COMPUTED_VALUE"""),0.296875)</f>
        <v>0.296875</v>
      </c>
    </row>
    <row r="11585">
      <c r="A11585" s="10" t="s">
        <v>13024</v>
      </c>
      <c r="B11585" s="7" t="str">
        <f>IFERROR(__xludf.DUMMYFUNCTION("SPLIT(A11585,"" "")"),"Cc1ncccc1CN(C)C1CCCC(N(C)c2ccc3ccc(CN(C)C)nc3c2)C1")</f>
        <v>Cc1ncccc1CN(C)C1CCCC(N(C)c2ccc3ccc(CN(C)C)nc3c2)C1</v>
      </c>
      <c r="C11585" s="7">
        <f>IFERROR(__xludf.DUMMYFUNCTION("""COMPUTED_VALUE"""),7.761457)</f>
        <v>7.761457</v>
      </c>
      <c r="D11585" s="7">
        <f>IFERROR(__xludf.DUMMYFUNCTION("""COMPUTED_VALUE"""),0.301587301587301)</f>
        <v>0.3015873016</v>
      </c>
    </row>
    <row r="11586">
      <c r="A11586" s="10" t="s">
        <v>13025</v>
      </c>
      <c r="B11586" s="7" t="str">
        <f>IFERROR(__xludf.DUMMYFUNCTION("SPLIT(A11586,"" "")"),"CCN(CC1=CCC(N(C)Cc2nc(C)cc(C)c2C)=CN1)Cc1ccccn1")</f>
        <v>CCN(CC1=CCC(N(C)Cc2nc(C)cc(C)c2C)=CN1)Cc1ccccn1</v>
      </c>
      <c r="C11586" s="7">
        <f>IFERROR(__xludf.DUMMYFUNCTION("""COMPUTED_VALUE"""),7.7614565)</f>
        <v>7.7614565</v>
      </c>
      <c r="D11586" s="7">
        <f>IFERROR(__xludf.DUMMYFUNCTION("""COMPUTED_VALUE"""),0.40625)</f>
        <v>0.40625</v>
      </c>
    </row>
    <row r="11587">
      <c r="A11587" s="10" t="s">
        <v>13026</v>
      </c>
      <c r="B11587" s="7" t="str">
        <f>IFERROR(__xludf.DUMMYFUNCTION("SPLIT(A11587,"" "")"),"Cc1cc(CN(C)C2CCCCC2N(C)c2ccc3cccnc3c2)ccc1NCc1ccccn1")</f>
        <v>Cc1cc(CN(C)C2CCCCC2N(C)c2ccc3cccnc3c2)ccc1NCc1ccccn1</v>
      </c>
      <c r="C11587" s="7">
        <f>IFERROR(__xludf.DUMMYFUNCTION("""COMPUTED_VALUE"""),7.761456)</f>
        <v>7.761456</v>
      </c>
      <c r="D11587" s="7">
        <f>IFERROR(__xludf.DUMMYFUNCTION("""COMPUTED_VALUE"""),0.444444444444444)</f>
        <v>0.4444444444</v>
      </c>
    </row>
    <row r="11588">
      <c r="A11588" s="10" t="s">
        <v>13027</v>
      </c>
      <c r="B11588" s="7" t="str">
        <f>IFERROR(__xludf.DUMMYFUNCTION("SPLIT(A11588,"" "")"),"Cc1cc(CN(C)C2CCCCC2N(C)c2ccc3ccc(CF)nc3c2)c(C)nc1C")</f>
        <v>Cc1cc(CN(C)C2CCCCC2N(C)c2ccc3ccc(CF)nc3c2)c(C)nc1C</v>
      </c>
      <c r="C11588" s="7">
        <f>IFERROR(__xludf.DUMMYFUNCTION("""COMPUTED_VALUE"""),7.761453)</f>
        <v>7.761453</v>
      </c>
      <c r="D11588" s="7">
        <f>IFERROR(__xludf.DUMMYFUNCTION("""COMPUTED_VALUE"""),0.457627118644067)</f>
        <v>0.4576271186</v>
      </c>
    </row>
    <row r="11589">
      <c r="A11589" s="10" t="s">
        <v>13028</v>
      </c>
      <c r="B11589" s="7" t="str">
        <f>IFERROR(__xludf.DUMMYFUNCTION("SPLIT(A11589,"" "")"),"CC(C)c1ncccc1CN(Cc1ccccn1)C1CCCCC1N(C)c1cccc2ncc(CN(C)C)cc12")</f>
        <v>CC(C)c1ncccc1CN(Cc1ccccn1)C1CCCCC1N(C)c1cccc2ncc(CN(C)C)cc12</v>
      </c>
      <c r="C11589" s="7">
        <f>IFERROR(__xludf.DUMMYFUNCTION("""COMPUTED_VALUE"""),7.7614484)</f>
        <v>7.7614484</v>
      </c>
      <c r="D11589" s="7">
        <f>IFERROR(__xludf.DUMMYFUNCTION("""COMPUTED_VALUE"""),0.388059701492537)</f>
        <v>0.3880597015</v>
      </c>
    </row>
    <row r="11590">
      <c r="A11590" s="10" t="s">
        <v>13029</v>
      </c>
      <c r="B11590" s="7" t="str">
        <f>IFERROR(__xludf.DUMMYFUNCTION("SPLIT(A11590,"" "")"),"Cc1ccccc1CN(C)CCN(C)Cc1ccc2ncccc2c1")</f>
        <v>Cc1ccccc1CN(C)CCN(C)Cc1ccc2ncccc2c1</v>
      </c>
      <c r="C11590" s="7">
        <f>IFERROR(__xludf.DUMMYFUNCTION("""COMPUTED_VALUE"""),7.761447)</f>
        <v>7.761447</v>
      </c>
      <c r="D11590" s="7">
        <f>IFERROR(__xludf.DUMMYFUNCTION("""COMPUTED_VALUE"""),0.5)</f>
        <v>0.5</v>
      </c>
    </row>
    <row r="11591">
      <c r="A11591" s="10" t="s">
        <v>13030</v>
      </c>
      <c r="B11591" s="7" t="str">
        <f>IFERROR(__xludf.DUMMYFUNCTION("SPLIT(A11591,"" "")"),"COCc1cc(C2=NC(c3cc(CN4CCN(C)CCN(Cc5cc(C(C)(c6ccccn6)c6ccccn6)ccn5)CC4)ccn3)CO2)ccn1")</f>
        <v>COCc1cc(C2=NC(c3cc(CN4CCN(C)CCN(Cc5cc(C(C)(c6ccccn6)c6ccccn6)ccn5)CC4)ccn3)CO2)ccn1</v>
      </c>
      <c r="C11591" s="7">
        <f>IFERROR(__xludf.DUMMYFUNCTION("""COMPUTED_VALUE"""),7.761447)</f>
        <v>7.761447</v>
      </c>
      <c r="D11591" s="7">
        <f>IFERROR(__xludf.DUMMYFUNCTION("""COMPUTED_VALUE"""),0.351351351351351)</f>
        <v>0.3513513514</v>
      </c>
    </row>
    <row r="11592">
      <c r="A11592" s="10" t="s">
        <v>13031</v>
      </c>
      <c r="B11592" s="7" t="str">
        <f>IFERROR(__xludf.DUMMYFUNCTION("SPLIT(A11592,"" "")"),"Cc1cccnc1CN(Cc1cccnc1F)Cc1nccc(C)c1C")</f>
        <v>Cc1cccnc1CN(Cc1cccnc1F)Cc1nccc(C)c1C</v>
      </c>
      <c r="C11592" s="7">
        <f>IFERROR(__xludf.DUMMYFUNCTION("""COMPUTED_VALUE"""),7.7614446)</f>
        <v>7.7614446</v>
      </c>
      <c r="D11592" s="7">
        <f>IFERROR(__xludf.DUMMYFUNCTION("""COMPUTED_VALUE"""),0.306122448979591)</f>
        <v>0.306122449</v>
      </c>
    </row>
    <row r="11593">
      <c r="A11593" s="10" t="s">
        <v>13032</v>
      </c>
      <c r="B11593" s="7" t="str">
        <f>IFERROR(__xludf.DUMMYFUNCTION("SPLIT(A11593,"" "")"),"Cc1cnc(CN(C)Cc2ccc(N(C)C(C)C)cn2)cc1C")</f>
        <v>Cc1cnc(CN(C)Cc2ccc(N(C)C(C)C)cn2)cc1C</v>
      </c>
      <c r="C11593" s="7">
        <f>IFERROR(__xludf.DUMMYFUNCTION("""COMPUTED_VALUE"""),7.7614436)</f>
        <v>7.7614436</v>
      </c>
      <c r="D11593" s="7">
        <f>IFERROR(__xludf.DUMMYFUNCTION("""COMPUTED_VALUE"""),0.463414634146341)</f>
        <v>0.4634146341</v>
      </c>
    </row>
    <row r="11594">
      <c r="A11594" s="10" t="s">
        <v>13033</v>
      </c>
      <c r="B11594" s="7" t="str">
        <f>IFERROR(__xludf.DUMMYFUNCTION("SPLIT(A11594,"" "")"),"CC1=CC(C)C2(CC1C)C(c1ccc(CN(Cc3ccccn3)Cc3ccc(-c4cccc(N(C)C)c4)cn3)cn1)C(c1cc(CN(Cc3ccccn3)Cc3ccccn3)ccn1)C=CC21C(C)C=CC(C)C1C")</f>
        <v>CC1=CC(C)C2(CC1C)C(c1ccc(CN(Cc3ccccn3)Cc3ccc(-c4cccc(N(C)C)c4)cn3)cn1)C(c1cc(CN(Cc3ccccn3)Cc3ccccn3)ccn1)C=CC21C(C)C=CC(C)C1C</v>
      </c>
      <c r="C11594" s="7">
        <f>IFERROR(__xludf.DUMMYFUNCTION("""COMPUTED_VALUE"""),7.7614374)</f>
        <v>7.7614374</v>
      </c>
      <c r="D11594" s="7">
        <f>IFERROR(__xludf.DUMMYFUNCTION("""COMPUTED_VALUE"""),0.257425742574257)</f>
        <v>0.2574257426</v>
      </c>
    </row>
    <row r="11595">
      <c r="A11595" s="10" t="s">
        <v>13034</v>
      </c>
      <c r="B11595" s="7" t="str">
        <f>IFERROR(__xludf.DUMMYFUNCTION("SPLIT(A11595,"" "")"),"Cc1ccnc(CN(Cc2ccccn2)Cc2cccnc2CN(C)C)c1C")</f>
        <v>Cc1ccnc(CN(Cc2ccccn2)Cc2cccnc2CN(C)C)c1C</v>
      </c>
      <c r="C11595" s="7">
        <f>IFERROR(__xludf.DUMMYFUNCTION("""COMPUTED_VALUE"""),7.7614365)</f>
        <v>7.7614365</v>
      </c>
      <c r="D11595" s="7">
        <f>IFERROR(__xludf.DUMMYFUNCTION("""COMPUTED_VALUE"""),0.476190476190476)</f>
        <v>0.4761904762</v>
      </c>
    </row>
    <row r="11596">
      <c r="A11596" s="10" t="s">
        <v>13035</v>
      </c>
      <c r="B11596" s="7" t="str">
        <f>IFERROR(__xludf.DUMMYFUNCTION("SPLIT(A11596,"" "")"),"CC(C)(C)c1ccnc(CN(Cc2ccnc(C3OC=NC3(C)C)c2)Cc2ccccn2)c1")</f>
        <v>CC(C)(C)c1ccnc(CN(Cc2ccnc(C3OC=NC3(C)C)c2)Cc2ccccn2)c1</v>
      </c>
      <c r="C11596" s="7">
        <f>IFERROR(__xludf.DUMMYFUNCTION("""COMPUTED_VALUE"""),7.7614326)</f>
        <v>7.7614326</v>
      </c>
      <c r="D11596" s="7">
        <f>IFERROR(__xludf.DUMMYFUNCTION("""COMPUTED_VALUE"""),0.37037037037037)</f>
        <v>0.3703703704</v>
      </c>
    </row>
    <row r="11597">
      <c r="A11597" s="10" t="s">
        <v>13036</v>
      </c>
      <c r="B11597" s="7" t="str">
        <f>IFERROR(__xludf.DUMMYFUNCTION("SPLIT(A11597,"" "")"),"Cc1cc(C)nc(CN(C)Cc2ccnc(C)c2)c1")</f>
        <v>Cc1cc(C)nc(CN(C)Cc2ccnc(C)c2)c1</v>
      </c>
      <c r="C11597" s="7">
        <f>IFERROR(__xludf.DUMMYFUNCTION("""COMPUTED_VALUE"""),7.7614317)</f>
        <v>7.7614317</v>
      </c>
      <c r="D11597" s="7">
        <f>IFERROR(__xludf.DUMMYFUNCTION("""COMPUTED_VALUE"""),0.4)</f>
        <v>0.4</v>
      </c>
    </row>
    <row r="11598">
      <c r="A11598" s="10" t="s">
        <v>13037</v>
      </c>
      <c r="B11598" s="7" t="str">
        <f>IFERROR(__xludf.DUMMYFUNCTION("SPLIT(A11598,"" "")"),"CN(CCCN(C)c1cccc2nccc(CF)c12)CC(C)(C)C")</f>
        <v>CN(CCCN(C)c1cccc2nccc(CF)c12)CC(C)(C)C</v>
      </c>
      <c r="C11598" s="7">
        <f>IFERROR(__xludf.DUMMYFUNCTION("""COMPUTED_VALUE"""),7.7614307)</f>
        <v>7.7614307</v>
      </c>
      <c r="D11598" s="7">
        <f>IFERROR(__xludf.DUMMYFUNCTION("""COMPUTED_VALUE"""),0.377358490566037)</f>
        <v>0.3773584906</v>
      </c>
    </row>
    <row r="11599">
      <c r="A11599" s="10" t="s">
        <v>13038</v>
      </c>
      <c r="B11599" s="7" t="str">
        <f>IFERROR(__xludf.DUMMYFUNCTION("SPLIT(A11599,"" "")"),"COC(=O)C1CN(C)C(c2cc(CN(Cc3ccccn3)Cc3ccccn3)ccn2)C(c2ccccn2)C1c1ccccn1")</f>
        <v>COC(=O)C1CN(C)C(c2cc(CN(Cc3ccccn3)Cc3ccccn3)ccn2)C(c2ccccn2)C1c1ccccn1</v>
      </c>
      <c r="C11599" s="7">
        <f>IFERROR(__xludf.DUMMYFUNCTION("""COMPUTED_VALUE"""),7.7614284)</f>
        <v>7.7614284</v>
      </c>
      <c r="D11599" s="7">
        <f>IFERROR(__xludf.DUMMYFUNCTION("""COMPUTED_VALUE"""),0.357142857142857)</f>
        <v>0.3571428571</v>
      </c>
    </row>
    <row r="11600">
      <c r="A11600" s="10" t="s">
        <v>13039</v>
      </c>
      <c r="B11600" s="7" t="str">
        <f>IFERROR(__xludf.DUMMYFUNCTION("SPLIT(A11600,"" "")"),"Cc1cnc(CN(Cc2cccnc2F)Cc2ncccc2C)c(C)c1")</f>
        <v>Cc1cnc(CN(Cc2cccnc2F)Cc2ncccc2C)c(C)c1</v>
      </c>
      <c r="C11600" s="7">
        <f>IFERROR(__xludf.DUMMYFUNCTION("""COMPUTED_VALUE"""),7.7614183)</f>
        <v>7.7614183</v>
      </c>
      <c r="D11600" s="7">
        <f>IFERROR(__xludf.DUMMYFUNCTION("""COMPUTED_VALUE"""),0.294117647058823)</f>
        <v>0.2941176471</v>
      </c>
    </row>
    <row r="11601">
      <c r="A11601" s="10" t="s">
        <v>13040</v>
      </c>
      <c r="B11601" s="7" t="str">
        <f>IFERROR(__xludf.DUMMYFUNCTION("SPLIT(A11601,"" "")"),"Cc1cc(C)c(C)c(CN(C)C2CCCCC2N(C)c2ccc3cccnc3c2)n1")</f>
        <v>Cc1cc(C)c(C)c(CN(C)C2CCCCC2N(C)c2ccc3cccnc3c2)n1</v>
      </c>
      <c r="C11601" s="7">
        <f>IFERROR(__xludf.DUMMYFUNCTION("""COMPUTED_VALUE"""),7.7614164)</f>
        <v>7.7614164</v>
      </c>
      <c r="D11601" s="7">
        <f>IFERROR(__xludf.DUMMYFUNCTION("""COMPUTED_VALUE"""),0.406779661016949)</f>
        <v>0.406779661</v>
      </c>
    </row>
    <row r="11602">
      <c r="A11602" s="10" t="s">
        <v>13041</v>
      </c>
      <c r="B11602" s="7" t="str">
        <f>IFERROR(__xludf.DUMMYFUNCTION("SPLIT(A11602,"" "")"),"Cc1cccc(C)c1CN(C)C1CCCCC1N(C)c1ccc2nccc(C)c2c1")</f>
        <v>Cc1cccc(C)c1CN(C)C1CCCCC1N(C)c1ccc2nccc(C)c2c1</v>
      </c>
      <c r="C11602" s="7">
        <f>IFERROR(__xludf.DUMMYFUNCTION("""COMPUTED_VALUE"""),7.761416)</f>
        <v>7.761416</v>
      </c>
      <c r="D11602" s="7">
        <f>IFERROR(__xludf.DUMMYFUNCTION("""COMPUTED_VALUE"""),0.4)</f>
        <v>0.4</v>
      </c>
    </row>
    <row r="11603">
      <c r="A11603" s="10" t="s">
        <v>13042</v>
      </c>
      <c r="B11603" s="7" t="str">
        <f>IFERROR(__xludf.DUMMYFUNCTION("SPLIT(A11603,"" "")"),"CNC1C(N(Cc2nc(C)c(C)c(C)c2C)Cc2nc(C)c(C)c(C)c2C)CCC(NCc2nc(C)cc(C)c2C)C1N(Cc1nc(C)c(C)c(C)c1C)Cc1nc(C)c(C)c(C)c1C")</f>
        <v>CNC1C(N(Cc2nc(C)c(C)c(C)c2C)Cc2nc(C)c(C)c(C)c2C)CCC(NCc2nc(C)cc(C)c2C)C1N(Cc1nc(C)c(C)c(C)c1C)Cc1nc(C)c(C)c(C)c1C</v>
      </c>
      <c r="C11603" s="7">
        <f>IFERROR(__xludf.DUMMYFUNCTION("""COMPUTED_VALUE"""),7.761415)</f>
        <v>7.761415</v>
      </c>
      <c r="D11603" s="7">
        <f>IFERROR(__xludf.DUMMYFUNCTION("""COMPUTED_VALUE"""),0.202898550724637)</f>
        <v>0.2028985507</v>
      </c>
    </row>
    <row r="11604">
      <c r="A11604" s="10" t="s">
        <v>13043</v>
      </c>
      <c r="B11604" s="7" t="str">
        <f>IFERROR(__xludf.DUMMYFUNCTION("SPLIT(A11604,"" "")"),"CN(Cc1ccon1)C1CCC(N(C)c2ccc3cccnc3c2)CC1")</f>
        <v>CN(Cc1ccon1)C1CCC(N(C)c2ccc3cccnc3c2)CC1</v>
      </c>
      <c r="C11604" s="7">
        <f>IFERROR(__xludf.DUMMYFUNCTION("""COMPUTED_VALUE"""),7.7614136)</f>
        <v>7.7614136</v>
      </c>
      <c r="D11604" s="7">
        <f>IFERROR(__xludf.DUMMYFUNCTION("""COMPUTED_VALUE"""),0.358490566037735)</f>
        <v>0.358490566</v>
      </c>
    </row>
    <row r="11605">
      <c r="A11605" s="10" t="s">
        <v>13044</v>
      </c>
      <c r="B11605" s="7" t="str">
        <f>IFERROR(__xludf.DUMMYFUNCTION("SPLIT(A11605,"" "")"),"CNC1CCC(NCc2ncc(C)c(C)c2C)C(N(Cc2nc(C)c(C)c(C)c2C)Cc2nc(C)c(C)c(C)c2C)C1N(Cc1nc(C)c(C)c(C)c1C)Cc1nc(C)c(C)c(C)c1C")</f>
        <v>CNC1CCC(NCc2ncc(C)c(C)c2C)C(N(Cc2nc(C)c(C)c(C)c2C)Cc2nc(C)c(C)c(C)c2C)C1N(Cc1nc(C)c(C)c(C)c1C)Cc1nc(C)c(C)c(C)c1C</v>
      </c>
      <c r="C11605" s="7">
        <f>IFERROR(__xludf.DUMMYFUNCTION("""COMPUTED_VALUE"""),7.761413)</f>
        <v>7.761413</v>
      </c>
      <c r="D11605" s="7">
        <f>IFERROR(__xludf.DUMMYFUNCTION("""COMPUTED_VALUE"""),0.222222222222222)</f>
        <v>0.2222222222</v>
      </c>
    </row>
    <row r="11606">
      <c r="A11606" s="10" t="s">
        <v>13045</v>
      </c>
      <c r="B11606" s="7" t="str">
        <f>IFERROR(__xludf.DUMMYFUNCTION("SPLIT(A11606,"" "")"),"CN(C)Cc1ccnc2cc(N(C)C3CCCC(N(C)Cc4cccnn4)C3)ccc12")</f>
        <v>CN(C)Cc1ccnc2cc(N(C)C3CCCC(N(C)Cc4cccnn4)C3)ccc12</v>
      </c>
      <c r="C11606" s="7">
        <f>IFERROR(__xludf.DUMMYFUNCTION("""COMPUTED_VALUE"""),7.7614098)</f>
        <v>7.7614098</v>
      </c>
      <c r="D11606" s="7">
        <f>IFERROR(__xludf.DUMMYFUNCTION("""COMPUTED_VALUE"""),0.344827586206896)</f>
        <v>0.3448275862</v>
      </c>
    </row>
    <row r="11607">
      <c r="A11607" s="10" t="s">
        <v>13046</v>
      </c>
      <c r="B11607" s="7" t="str">
        <f>IFERROR(__xludf.DUMMYFUNCTION("SPLIT(A11607,"" "")"),"Cc1cccnc1CN(C)C1CCCCC1N(C)c1ccc2c(CN(C)C)ccnc2c1")</f>
        <v>Cc1cccnc1CN(C)C1CCCCC1N(C)c1ccc2c(CN(C)C)ccnc2c1</v>
      </c>
      <c r="C11607" s="7">
        <f>IFERROR(__xludf.DUMMYFUNCTION("""COMPUTED_VALUE"""),7.7614083)</f>
        <v>7.7614083</v>
      </c>
      <c r="D11607" s="7">
        <f>IFERROR(__xludf.DUMMYFUNCTION("""COMPUTED_VALUE"""),0.389830508474576)</f>
        <v>0.3898305085</v>
      </c>
    </row>
    <row r="11608">
      <c r="A11608" s="10" t="s">
        <v>13047</v>
      </c>
      <c r="B11608" s="7" t="str">
        <f>IFERROR(__xludf.DUMMYFUNCTION("SPLIT(A11608,"" "")"),"COC(=O)C(C)NCc1nccc(CN(Cc2ccccn2)Cc2ncc(C)c(C)c2C)c1C")</f>
        <v>COC(=O)C(C)NCc1nccc(CN(Cc2ccccn2)Cc2ncc(C)c(C)c2C)c1C</v>
      </c>
      <c r="C11608" s="7">
        <f>IFERROR(__xludf.DUMMYFUNCTION("""COMPUTED_VALUE"""),7.7613983)</f>
        <v>7.7613983</v>
      </c>
      <c r="D11608" s="7">
        <f>IFERROR(__xludf.DUMMYFUNCTION("""COMPUTED_VALUE"""),0.350877192982456)</f>
        <v>0.350877193</v>
      </c>
    </row>
    <row r="11609">
      <c r="A11609" s="10" t="s">
        <v>13048</v>
      </c>
      <c r="B11609" s="7" t="str">
        <f>IFERROR(__xludf.DUMMYFUNCTION("SPLIT(A11609,"" "")"),"Cc1cncc(CN(C)Cc2cccc(-c3cccc(N(C)C4CCC(N(Cc5cccc(C)n5)Cc5nccc(C)c5C)CC4)c3)n2)c1")</f>
        <v>Cc1cncc(CN(C)Cc2cccc(-c3cccc(N(C)C4CCC(N(Cc5cccc(C)n5)Cc5nccc(C)c5C)CC4)c3)n2)c1</v>
      </c>
      <c r="C11609" s="7">
        <f>IFERROR(__xludf.DUMMYFUNCTION("""COMPUTED_VALUE"""),7.7613883)</f>
        <v>7.7613883</v>
      </c>
      <c r="D11609" s="7">
        <f>IFERROR(__xludf.DUMMYFUNCTION("""COMPUTED_VALUE"""),0.305555555555555)</f>
        <v>0.3055555556</v>
      </c>
    </row>
    <row r="11610">
      <c r="A11610" s="10" t="s">
        <v>13049</v>
      </c>
      <c r="B11610" s="7" t="str">
        <f>IFERROR(__xludf.DUMMYFUNCTION("SPLIT(A11610,"" "")"),"CNCN(Cc1ncc(C)c(C)c1C)Cc1nc(C)c(C)c(C)c1C")</f>
        <v>CNCN(Cc1ncc(C)c(C)c1C)Cc1nc(C)c(C)c(C)c1C</v>
      </c>
      <c r="C11610" s="7">
        <f>IFERROR(__xludf.DUMMYFUNCTION("""COMPUTED_VALUE"""),7.7613883)</f>
        <v>7.7613883</v>
      </c>
      <c r="D11610" s="7">
        <f>IFERROR(__xludf.DUMMYFUNCTION("""COMPUTED_VALUE"""),0.232142857142857)</f>
        <v>0.2321428571</v>
      </c>
    </row>
    <row r="11611">
      <c r="A11611" s="10" t="s">
        <v>13050</v>
      </c>
      <c r="B11611" s="7" t="str">
        <f>IFERROR(__xludf.DUMMYFUNCTION("SPLIT(A11611,"" "")"),"CNCc1ncc(CN(Cc2ccccn2)C2CCC(N(C)c3cccc4nccc(CF)c34)CC2)cc1C")</f>
        <v>CNCc1ncc(CN(Cc2ccccn2)C2CCC(N(C)c3cccc4nccc(CF)c34)CC2)cc1C</v>
      </c>
      <c r="C11611" s="7">
        <f>IFERROR(__xludf.DUMMYFUNCTION("""COMPUTED_VALUE"""),7.7613807)</f>
        <v>7.7613807</v>
      </c>
      <c r="D11611" s="7">
        <f>IFERROR(__xludf.DUMMYFUNCTION("""COMPUTED_VALUE"""),0.289473684210526)</f>
        <v>0.2894736842</v>
      </c>
    </row>
    <row r="11612">
      <c r="A11612" s="10" t="s">
        <v>13051</v>
      </c>
      <c r="B11612" s="7" t="str">
        <f>IFERROR(__xludf.DUMMYFUNCTION("SPLIT(A11612,"" "")"),"CC(C)C1=CC2(C=CN1)C=CC(c1cccc(CN(Cc3ccccn3)Cc3cccc(-c4ccc5c(c4)OCCOCCOCCOCCOCCO5)n3)n1)C(c1cccc(CN(Cc3ccccn3)C3CCC(N(C)c4ccc5nc(-c6ccc7ncccc7c6)ccc5c4)CC3)n1)C2(C)C")</f>
        <v>CC(C)C1=CC2(C=CN1)C=CC(c1cccc(CN(Cc3ccccn3)Cc3cccc(-c4ccc5c(c4)OCCOCCOCCOCCOCCO5)n3)n1)C(c1cccc(CN(Cc3ccccn3)C3CCC(N(C)c4ccc5nc(-c6ccc7ncccc7c6)ccc5c4)CC3)n1)C2(C)C</v>
      </c>
      <c r="C11612" s="7">
        <f>IFERROR(__xludf.DUMMYFUNCTION("""COMPUTED_VALUE"""),7.7613792)</f>
        <v>7.7613792</v>
      </c>
      <c r="D11612" s="7">
        <f>IFERROR(__xludf.DUMMYFUNCTION("""COMPUTED_VALUE"""),0.279279279279279)</f>
        <v>0.2792792793</v>
      </c>
    </row>
    <row r="11613">
      <c r="A11613" s="10" t="s">
        <v>13052</v>
      </c>
      <c r="B11613" s="7" t="str">
        <f>IFERROR(__xludf.DUMMYFUNCTION("SPLIT(A11613,"" "")"),"Cc1ccc2ccc(N(C)C3CCC(N(Cc4ccccn4)Cc4cccc(F)n4)CC3)cc2n1")</f>
        <v>Cc1ccc2ccc(N(C)C3CCC(N(Cc4ccccn4)Cc4cccc(F)n4)CC3)cc2n1</v>
      </c>
      <c r="C11613" s="7">
        <f>IFERROR(__xludf.DUMMYFUNCTION("""COMPUTED_VALUE"""),7.761379)</f>
        <v>7.761379</v>
      </c>
      <c r="D11613" s="7">
        <f>IFERROR(__xludf.DUMMYFUNCTION("""COMPUTED_VALUE"""),0.377049180327868)</f>
        <v>0.3770491803</v>
      </c>
    </row>
    <row r="11614">
      <c r="A11614" s="10" t="s">
        <v>13053</v>
      </c>
      <c r="B11614" s="7" t="str">
        <f>IFERROR(__xludf.DUMMYFUNCTION("SPLIT(A11614,"" "")"),"Cc1cccnc1CN(C)C1=C(C(C)N)NC=CC1")</f>
        <v>Cc1cccnc1CN(C)C1=C(C(C)N)NC=CC1</v>
      </c>
      <c r="C11614" s="7">
        <f>IFERROR(__xludf.DUMMYFUNCTION("""COMPUTED_VALUE"""),7.7613764)</f>
        <v>7.7613764</v>
      </c>
      <c r="D11614" s="7">
        <f>IFERROR(__xludf.DUMMYFUNCTION("""COMPUTED_VALUE"""),0.278688524590163)</f>
        <v>0.2786885246</v>
      </c>
    </row>
    <row r="11615">
      <c r="A11615" s="10" t="s">
        <v>13054</v>
      </c>
      <c r="B11615" s="7" t="str">
        <f>IFERROR(__xludf.DUMMYFUNCTION("SPLIT(A11615,"" "")"),"CC(N)C1=CCC(N(C)Cc2ncccc2N)=CN1")</f>
        <v>CC(N)C1=CCC(N(C)Cc2ncccc2N)=CN1</v>
      </c>
      <c r="C11615" s="7">
        <f>IFERROR(__xludf.DUMMYFUNCTION("""COMPUTED_VALUE"""),7.7613745)</f>
        <v>7.7613745</v>
      </c>
      <c r="D11615" s="7">
        <f>IFERROR(__xludf.DUMMYFUNCTION("""COMPUTED_VALUE"""),0.267857142857142)</f>
        <v>0.2678571429</v>
      </c>
    </row>
    <row r="11616">
      <c r="A11616" s="10" t="s">
        <v>13055</v>
      </c>
      <c r="B11616" s="7" t="str">
        <f>IFERROR(__xludf.DUMMYFUNCTION("SPLIT(A11616,"" "")"),"CN(CC1=CCC(N(Cc2ccc(F)nc2)Cc2ccccn2)=CN1)C(C)(C)c1ccccn1")</f>
        <v>CN(CC1=CCC(N(Cc2ccc(F)nc2)Cc2ccccn2)=CN1)C(C)(C)c1ccccn1</v>
      </c>
      <c r="C11616" s="7">
        <f>IFERROR(__xludf.DUMMYFUNCTION("""COMPUTED_VALUE"""),7.7613716)</f>
        <v>7.7613716</v>
      </c>
      <c r="D11616" s="7">
        <f>IFERROR(__xludf.DUMMYFUNCTION("""COMPUTED_VALUE"""),0.328571428571428)</f>
        <v>0.3285714286</v>
      </c>
    </row>
    <row r="11617">
      <c r="A11617" s="10" t="s">
        <v>13056</v>
      </c>
      <c r="B11617" s="7" t="str">
        <f>IFERROR(__xludf.DUMMYFUNCTION("SPLIT(A11617,"" "")"),"CCNc1cc(C(C)(C)c2ccccn2)ccn1")</f>
        <v>CCNc1cc(C(C)(C)c2ccccn2)ccn1</v>
      </c>
      <c r="C11617" s="7">
        <f>IFERROR(__xludf.DUMMYFUNCTION("""COMPUTED_VALUE"""),7.7613544)</f>
        <v>7.7613544</v>
      </c>
      <c r="D11617" s="7">
        <f>IFERROR(__xludf.DUMMYFUNCTION("""COMPUTED_VALUE"""),0.5)</f>
        <v>0.5</v>
      </c>
    </row>
    <row r="11618">
      <c r="A11618" s="10" t="s">
        <v>13057</v>
      </c>
      <c r="B11618" s="7" t="str">
        <f>IFERROR(__xludf.DUMMYFUNCTION("SPLIT(A11618,"" "")"),"CN1CCN(C)CCN(Cc2ncccc2-c2cccc3cccnc23)CC1")</f>
        <v>CN1CCN(C)CCN(Cc2ncccc2-c2cccc3cccnc23)CC1</v>
      </c>
      <c r="C11618" s="7">
        <f>IFERROR(__xludf.DUMMYFUNCTION("""COMPUTED_VALUE"""),7.761352)</f>
        <v>7.761352</v>
      </c>
      <c r="D11618" s="7">
        <f>IFERROR(__xludf.DUMMYFUNCTION("""COMPUTED_VALUE"""),0.477272727272727)</f>
        <v>0.4772727273</v>
      </c>
    </row>
    <row r="11619">
      <c r="A11619" s="10" t="s">
        <v>13058</v>
      </c>
      <c r="B11619" s="7" t="str">
        <f>IFERROR(__xludf.DUMMYFUNCTION("SPLIT(A11619,"" "")"),"CNC1C(N(Cc2nc(C)c(C)c(C)c2C)Cc2nc(C)c(C)c(C)c2C)CCC(NCc2cc(C)c(C)c(C)n2)C1N(Cc1nc(C)c(C)c(C)c1C)Cc1nc(C)c(C)c(C)c1C")</f>
        <v>CNC1C(N(Cc2nc(C)c(C)c(C)c2C)Cc2nc(C)c(C)c(C)c2C)CCC(NCc2cc(C)c(C)c(C)n2)C1N(Cc1nc(C)c(C)c(C)c1C)Cc1nc(C)c(C)c(C)c1C</v>
      </c>
      <c r="C11619" s="7">
        <f>IFERROR(__xludf.DUMMYFUNCTION("""COMPUTED_VALUE"""),7.7613506)</f>
        <v>7.7613506</v>
      </c>
      <c r="D11619" s="7">
        <f>IFERROR(__xludf.DUMMYFUNCTION("""COMPUTED_VALUE"""),0.205882352941176)</f>
        <v>0.2058823529</v>
      </c>
    </row>
    <row r="11620">
      <c r="A11620" s="10" t="s">
        <v>13059</v>
      </c>
      <c r="B11620" s="7" t="str">
        <f>IFERROR(__xludf.DUMMYFUNCTION("SPLIT(A11620,"" "")"),"Cc1cccc(CN(C)CCN(C)Cc2ccc3ncccc3c2)c1")</f>
        <v>Cc1cccc(CN(C)CCN(C)Cc2ccc3ncccc3c2)c1</v>
      </c>
      <c r="C11620" s="7">
        <f>IFERROR(__xludf.DUMMYFUNCTION("""COMPUTED_VALUE"""),7.761349)</f>
        <v>7.761349</v>
      </c>
      <c r="D11620" s="7">
        <f>IFERROR(__xludf.DUMMYFUNCTION("""COMPUTED_VALUE"""),0.456521739130434)</f>
        <v>0.4565217391</v>
      </c>
    </row>
    <row r="11621">
      <c r="A11621" s="10" t="s">
        <v>13060</v>
      </c>
      <c r="B11621" s="7" t="str">
        <f>IFERROR(__xludf.DUMMYFUNCTION("SPLIT(A11621,"" "")"),"CC(C)(C)c1ccnc(CN(Cc2ccnc(C(C)(C)C)c2)Cc2cc(C(C)(C)C)ccn2)c1")</f>
        <v>CC(C)(C)c1ccnc(CN(Cc2ccnc(C(C)(C)C)c2)Cc2cc(C(C)(C)C)ccn2)c1</v>
      </c>
      <c r="C11621" s="7">
        <f>IFERROR(__xludf.DUMMYFUNCTION("""COMPUTED_VALUE"""),7.7613435)</f>
        <v>7.7613435</v>
      </c>
      <c r="D11621" s="7">
        <f>IFERROR(__xludf.DUMMYFUNCTION("""COMPUTED_VALUE"""),0.341463414634146)</f>
        <v>0.3414634146</v>
      </c>
    </row>
    <row r="11622">
      <c r="A11622" s="10" t="s">
        <v>13061</v>
      </c>
      <c r="B11622" s="7" t="str">
        <f>IFERROR(__xludf.DUMMYFUNCTION("SPLIT(A11622,"" "")"),"CC(C)C(C)N(C)Cc1cccc(-c2ccc(Cl)c(N)c2)n1")</f>
        <v>CC(C)C(C)N(C)Cc1cccc(-c2ccc(Cl)c(N)c2)n1</v>
      </c>
      <c r="C11622" s="7">
        <f>IFERROR(__xludf.DUMMYFUNCTION("""COMPUTED_VALUE"""),7.761343)</f>
        <v>7.761343</v>
      </c>
      <c r="D11622" s="7">
        <f>IFERROR(__xludf.DUMMYFUNCTION("""COMPUTED_VALUE"""),0.344262295081967)</f>
        <v>0.3442622951</v>
      </c>
    </row>
    <row r="11623">
      <c r="A11623" s="10" t="s">
        <v>13062</v>
      </c>
      <c r="B11623" s="7" t="str">
        <f>IFERROR(__xludf.DUMMYFUNCTION("SPLIT(A11623,"" "")"),"CN(Cc1cccnn1)C1=CC=CNC1N(C)Cc1cccnn1")</f>
        <v>CN(Cc1cccnn1)C1=CC=CNC1N(C)Cc1cccnn1</v>
      </c>
      <c r="C11623" s="7">
        <f>IFERROR(__xludf.DUMMYFUNCTION("""COMPUTED_VALUE"""),7.7613387)</f>
        <v>7.7613387</v>
      </c>
      <c r="D11623" s="7">
        <f>IFERROR(__xludf.DUMMYFUNCTION("""COMPUTED_VALUE"""),0.444444444444444)</f>
        <v>0.4444444444</v>
      </c>
    </row>
    <row r="11624">
      <c r="A11624" s="10" t="s">
        <v>13063</v>
      </c>
      <c r="B11624" s="7" t="str">
        <f>IFERROR(__xludf.DUMMYFUNCTION("SPLIT(A11624,"" "")"),"C1=CNC(NCc2ccccn2)C(N(Cc2ccccn2)Cc2ccccn2)=C1")</f>
        <v>C1=CNC(NCc2ccccn2)C(N(Cc2ccccn2)Cc2ccccn2)=C1</v>
      </c>
      <c r="C11624" s="7">
        <f>IFERROR(__xludf.DUMMYFUNCTION("""COMPUTED_VALUE"""),7.7613306)</f>
        <v>7.7613306</v>
      </c>
      <c r="D11624" s="7">
        <f>IFERROR(__xludf.DUMMYFUNCTION("""COMPUTED_VALUE"""),0.442307692307692)</f>
        <v>0.4423076923</v>
      </c>
    </row>
    <row r="11625">
      <c r="A11625" s="10" t="s">
        <v>13064</v>
      </c>
      <c r="B11625" s="7" t="str">
        <f>IFERROR(__xludf.DUMMYFUNCTION("SPLIT(A11625,"" "")"),"Cc1cnc(CN(C)Cc2cc(C(C)(C)C)ccn2)cc1C")</f>
        <v>Cc1cnc(CN(C)Cc2cc(C(C)(C)C)ccn2)cc1C</v>
      </c>
      <c r="C11625" s="7">
        <f>IFERROR(__xludf.DUMMYFUNCTION("""COMPUTED_VALUE"""),7.76133)</f>
        <v>7.76133</v>
      </c>
      <c r="D11625" s="7">
        <f>IFERROR(__xludf.DUMMYFUNCTION("""COMPUTED_VALUE"""),0.395348837209302)</f>
        <v>0.3953488372</v>
      </c>
    </row>
    <row r="11626">
      <c r="A11626" s="10" t="s">
        <v>13065</v>
      </c>
      <c r="B11626" s="7" t="str">
        <f>IFERROR(__xludf.DUMMYFUNCTION("SPLIT(A11626,"" "")"),"Cc1cccc(CN(C)c2ccc(CN(C)C(C)(C)C)nc2)n1")</f>
        <v>Cc1cccc(CN(C)c2ccc(CN(C)C(C)(C)C)nc2)n1</v>
      </c>
      <c r="C11626" s="7">
        <f>IFERROR(__xludf.DUMMYFUNCTION("""COMPUTED_VALUE"""),7.761329)</f>
        <v>7.761329</v>
      </c>
      <c r="D11626" s="7">
        <f>IFERROR(__xludf.DUMMYFUNCTION("""COMPUTED_VALUE"""),0.465116279069767)</f>
        <v>0.4651162791</v>
      </c>
    </row>
    <row r="11627">
      <c r="A11627" s="10" t="s">
        <v>13066</v>
      </c>
      <c r="B11627" s="7" t="str">
        <f>IFERROR(__xludf.DUMMYFUNCTION("SPLIT(A11627,"" "")"),"Cc1cncc(CN(C)C2CCCC(N(C)c3cccc4ncc(CN(C)C)cc34)C2)c1")</f>
        <v>Cc1cncc(CN(C)C2CCCC(N(C)c3cccc4ncc(CN(C)C)cc34)C2)c1</v>
      </c>
      <c r="C11627" s="7">
        <f>IFERROR(__xludf.DUMMYFUNCTION("""COMPUTED_VALUE"""),7.761324)</f>
        <v>7.761324</v>
      </c>
      <c r="D11627" s="7">
        <f>IFERROR(__xludf.DUMMYFUNCTION("""COMPUTED_VALUE"""),0.272727272727272)</f>
        <v>0.2727272727</v>
      </c>
    </row>
    <row r="11628">
      <c r="A11628" s="10" t="s">
        <v>13067</v>
      </c>
      <c r="B11628" s="7" t="str">
        <f>IFERROR(__xludf.DUMMYFUNCTION("SPLIT(A11628,"" "")"),"CN(CC1=C(N(C)Cc2cccnn2)CC=CN1)Cc1ccccn1")</f>
        <v>CN(CC1=C(N(C)Cc2cccnn2)CC=CN1)Cc1ccccn1</v>
      </c>
      <c r="C11628" s="7">
        <f>IFERROR(__xludf.DUMMYFUNCTION("""COMPUTED_VALUE"""),7.7613225)</f>
        <v>7.7613225</v>
      </c>
      <c r="D11628" s="7">
        <f>IFERROR(__xludf.DUMMYFUNCTION("""COMPUTED_VALUE"""),0.48)</f>
        <v>0.48</v>
      </c>
    </row>
    <row r="11629">
      <c r="A11629" s="10" t="s">
        <v>13068</v>
      </c>
      <c r="B11629" s="7" t="str">
        <f>IFERROR(__xludf.DUMMYFUNCTION("SPLIT(A11629,"" "")"),"Cc1cc(C)c(CN(C)Cc2cccc(N)n2)cn1")</f>
        <v>Cc1cc(C)c(CN(C)Cc2cccc(N)n2)cn1</v>
      </c>
      <c r="C11629" s="7">
        <f>IFERROR(__xludf.DUMMYFUNCTION("""COMPUTED_VALUE"""),7.761316)</f>
        <v>7.761316</v>
      </c>
      <c r="D11629" s="7">
        <f>IFERROR(__xludf.DUMMYFUNCTION("""COMPUTED_VALUE"""),0.431818181818181)</f>
        <v>0.4318181818</v>
      </c>
    </row>
    <row r="11630">
      <c r="A11630" s="10" t="s">
        <v>13069</v>
      </c>
      <c r="B11630" s="7" t="str">
        <f>IFERROR(__xludf.DUMMYFUNCTION("SPLIT(A11630,"" "")"),"CNC1C(NCc2cc(C)c([SiH3])c([SiH3])n2)CC(N(Cc2nc(C)c(C)c(C)c2[SiH3])Cc2nc(C)c(C)c(C)c2[SiH3])CC1N(Cc1nc(C)c([SiH3])c([SiH3])c1C)Cc1nc(C)c(C)c(C)c1[SiH3]")</f>
        <v>CNC1C(NCc2cc(C)c([SiH3])c([SiH3])n2)CC(N(Cc2nc(C)c(C)c(C)c2[SiH3])Cc2nc(C)c(C)c(C)c2[SiH3])CC1N(Cc1nc(C)c([SiH3])c([SiH3])c1C)Cc1nc(C)c(C)c(C)c1[SiH3]</v>
      </c>
      <c r="C11630" s="7">
        <f>IFERROR(__xludf.DUMMYFUNCTION("""COMPUTED_VALUE"""),7.761311)</f>
        <v>7.761311</v>
      </c>
      <c r="D11630" s="7">
        <f>IFERROR(__xludf.DUMMYFUNCTION("""COMPUTED_VALUE"""),0.166666666666666)</f>
        <v>0.1666666667</v>
      </c>
    </row>
    <row r="11631">
      <c r="A11631" s="10" t="s">
        <v>13070</v>
      </c>
      <c r="B11631" s="7" t="str">
        <f>IFERROR(__xludf.DUMMYFUNCTION("SPLIT(A11631,"" "")"),"CN(c1cccc2nccc(CF)c12)C1CCC(N(Cc2ccnc(F)c2)Cc2ccccn2)CC1")</f>
        <v>CN(c1cccc2nccc(CF)c12)C1CCC(N(Cc2ccnc(F)c2)Cc2ccccn2)CC1</v>
      </c>
      <c r="C11631" s="7">
        <f>IFERROR(__xludf.DUMMYFUNCTION("""COMPUTED_VALUE"""),7.76131)</f>
        <v>7.76131</v>
      </c>
      <c r="D11631" s="7">
        <f>IFERROR(__xludf.DUMMYFUNCTION("""COMPUTED_VALUE"""),0.328358208955223)</f>
        <v>0.328358209</v>
      </c>
    </row>
    <row r="11632">
      <c r="A11632" s="10" t="s">
        <v>13071</v>
      </c>
      <c r="B11632" s="7" t="str">
        <f>IFERROR(__xludf.DUMMYFUNCTION("SPLIT(A11632,"" "")"),"CCN(Cc1ccccn1)C1=CCC=C(CN(C)Cc2cccc(C)n2)N1")</f>
        <v>CCN(Cc1ccccn1)C1=CCC=C(CN(C)Cc2cccc(C)n2)N1</v>
      </c>
      <c r="C11632" s="7">
        <f>IFERROR(__xludf.DUMMYFUNCTION("""COMPUTED_VALUE"""),7.761308)</f>
        <v>7.761308</v>
      </c>
      <c r="D11632" s="7">
        <f>IFERROR(__xludf.DUMMYFUNCTION("""COMPUTED_VALUE"""),0.446428571428571)</f>
        <v>0.4464285714</v>
      </c>
    </row>
    <row r="11633">
      <c r="A11633" s="10" t="s">
        <v>13072</v>
      </c>
      <c r="B11633" s="7" t="str">
        <f>IFERROR(__xludf.DUMMYFUNCTION("SPLIT(A11633,"" "")"),"Cc1cncc(CN(Cc2ccccn2)C2CCC(N(C)c3ccc4ccc(CF)nc4c3)CC2)c1C")</f>
        <v>Cc1cncc(CN(Cc2ccccn2)C2CCC(N(C)c3ccc4ccc(CF)nc4c3)CC2)c1C</v>
      </c>
      <c r="C11633" s="7">
        <f>IFERROR(__xludf.DUMMYFUNCTION("""COMPUTED_VALUE"""),7.761307)</f>
        <v>7.761307</v>
      </c>
      <c r="D11633" s="7">
        <f>IFERROR(__xludf.DUMMYFUNCTION("""COMPUTED_VALUE"""),0.343283582089552)</f>
        <v>0.3432835821</v>
      </c>
    </row>
    <row r="11634">
      <c r="A11634" s="10" t="s">
        <v>13073</v>
      </c>
      <c r="B11634" s="7" t="str">
        <f>IFERROR(__xludf.DUMMYFUNCTION("SPLIT(A11634,"" "")"),"CNC1CCC(N(Cc2nc(C)c(C)c(C)c2C)Cc2nc(C)c(C)c(C)c2C)C(NCc2nc(C)c(C)cc2C)C1N(Cc1nc(C)c(C)c(C)c1C)Cc1nc(C)c(C)c(C)c1C")</f>
        <v>CNC1CCC(N(Cc2nc(C)c(C)c(C)c2C)Cc2nc(C)c(C)c(C)c2C)C(NCc2nc(C)c(C)cc2C)C1N(Cc1nc(C)c(C)c(C)c1C)Cc1nc(C)c(C)c(C)c1C</v>
      </c>
      <c r="C11634" s="7">
        <f>IFERROR(__xludf.DUMMYFUNCTION("""COMPUTED_VALUE"""),7.761305)</f>
        <v>7.761305</v>
      </c>
      <c r="D11634" s="7">
        <f>IFERROR(__xludf.DUMMYFUNCTION("""COMPUTED_VALUE"""),0.194029850746268)</f>
        <v>0.1940298507</v>
      </c>
    </row>
    <row r="11635">
      <c r="A11635" s="10" t="s">
        <v>13074</v>
      </c>
      <c r="B11635" s="7" t="str">
        <f>IFERROR(__xludf.DUMMYFUNCTION("SPLIT(A11635,"" "")"),"Cc1ccnc(CN(Cc2nc3ccccc3n2C2CN=CC=C2CN(Cc2cc(C)ccn2)C2CCCCC2N(C)c2ccc3nc(CF)ccc3c2)CC2CCCN2Cc2cc(C)ccn2)c1")</f>
        <v>Cc1ccnc(CN(Cc2nc3ccccc3n2C2CN=CC=C2CN(Cc2cc(C)ccn2)C2CCCCC2N(C)c2ccc3nc(CF)ccc3c2)CC2CCCN2Cc2cc(C)ccn2)c1</v>
      </c>
      <c r="C11635" s="7">
        <f>IFERROR(__xludf.DUMMYFUNCTION("""COMPUTED_VALUE"""),7.7613006)</f>
        <v>7.7613006</v>
      </c>
      <c r="D11635" s="7">
        <f>IFERROR(__xludf.DUMMYFUNCTION("""COMPUTED_VALUE"""),0.317757009345794)</f>
        <v>0.3177570093</v>
      </c>
    </row>
    <row r="11636">
      <c r="A11636" s="10" t="s">
        <v>13075</v>
      </c>
      <c r="B11636" s="7" t="str">
        <f>IFERROR(__xludf.DUMMYFUNCTION("SPLIT(A11636,"" "")"),"CNC1CC(N(Cc2nc(C)c(C)cc2C)Cc2nc(C)c(C)c(C)c2C)CC(N(Cc2nc(C)c(C)c(C)c2C)Cc2nc(C)c(C)c(C)c2C)C1")</f>
        <v>CNC1CC(N(Cc2nc(C)c(C)cc2C)Cc2nc(C)c(C)c(C)c2C)CC(N(Cc2nc(C)c(C)c(C)c2C)Cc2nc(C)c(C)c(C)c2C)C1</v>
      </c>
      <c r="C11636" s="7">
        <f>IFERROR(__xludf.DUMMYFUNCTION("""COMPUTED_VALUE"""),7.761293)</f>
        <v>7.761293</v>
      </c>
      <c r="D11636" s="7">
        <f>IFERROR(__xludf.DUMMYFUNCTION("""COMPUTED_VALUE"""),0.183333333333333)</f>
        <v>0.1833333333</v>
      </c>
    </row>
    <row r="11637">
      <c r="A11637" s="10" t="s">
        <v>13076</v>
      </c>
      <c r="B11637" s="7" t="str">
        <f>IFERROR(__xludf.DUMMYFUNCTION("SPLIT(A11637,"" "")"),"CNc1cccc(CN(Cc2ccccn2)C2CCCCC2N(C)c2cccc3nc(CF)ccc23)n1")</f>
        <v>CNc1cccc(CN(Cc2ccccn2)C2CCCCC2N(C)c2cccc3nc(CF)ccc23)n1</v>
      </c>
      <c r="C11637" s="7">
        <f>IFERROR(__xludf.DUMMYFUNCTION("""COMPUTED_VALUE"""),7.7612886)</f>
        <v>7.7612886</v>
      </c>
      <c r="D11637" s="7">
        <f>IFERROR(__xludf.DUMMYFUNCTION("""COMPUTED_VALUE"""),0.454545454545454)</f>
        <v>0.4545454545</v>
      </c>
    </row>
    <row r="11638">
      <c r="A11638" s="10" t="s">
        <v>13077</v>
      </c>
      <c r="B11638" s="7" t="str">
        <f>IFERROR(__xludf.DUMMYFUNCTION("SPLIT(A11638,"" "")"),"Cc1cnc(CN(Cc2ccccn2)Cc2cccnc2CN(C)C)c(C)c1")</f>
        <v>Cc1cnc(CN(Cc2ccccn2)Cc2cccnc2CN(C)C)c(C)c1</v>
      </c>
      <c r="C11638" s="7">
        <f>IFERROR(__xludf.DUMMYFUNCTION("""COMPUTED_VALUE"""),7.7612877)</f>
        <v>7.7612877</v>
      </c>
      <c r="D11638" s="7">
        <f>IFERROR(__xludf.DUMMYFUNCTION("""COMPUTED_VALUE"""),0.444444444444444)</f>
        <v>0.4444444444</v>
      </c>
    </row>
    <row r="11639">
      <c r="A11639" s="10" t="s">
        <v>13078</v>
      </c>
      <c r="B11639" s="7" t="str">
        <f>IFERROR(__xludf.DUMMYFUNCTION("SPLIT(A11639,"" "")"),"CC1=CC2(CC(C)C1)C(C)=CC(c1cc(CN(Cc3ccccn3)Cc3cc(-c4ccccc4N(C)C)ccn3)ccn1)CC21CC(C)=CC(C)C1C")</f>
        <v>CC1=CC2(CC(C)C1)C(C)=CC(c1cc(CN(Cc3ccccn3)Cc3cc(-c4ccccc4N(C)C)ccn3)ccn1)CC21CC(C)=CC(C)C1C</v>
      </c>
      <c r="C11639" s="7">
        <f>IFERROR(__xludf.DUMMYFUNCTION("""COMPUTED_VALUE"""),7.7612796)</f>
        <v>7.7612796</v>
      </c>
      <c r="D11639" s="7">
        <f>IFERROR(__xludf.DUMMYFUNCTION("""COMPUTED_VALUE"""),0.261904761904761)</f>
        <v>0.2619047619</v>
      </c>
    </row>
    <row r="11640">
      <c r="A11640" s="10" t="s">
        <v>13079</v>
      </c>
      <c r="B11640" s="7" t="str">
        <f>IFERROR(__xludf.DUMMYFUNCTION("SPLIT(A11640,"" "")"),"CC(C)(c1ccccc1)c1cccc(NCc2ccccn2)c1")</f>
        <v>CC(C)(c1ccccc1)c1cccc(NCc2ccccn2)c1</v>
      </c>
      <c r="C11640" s="7">
        <f>IFERROR(__xludf.DUMMYFUNCTION("""COMPUTED_VALUE"""),7.7612777)</f>
        <v>7.7612777</v>
      </c>
      <c r="D11640" s="7">
        <f>IFERROR(__xludf.DUMMYFUNCTION("""COMPUTED_VALUE"""),0.414634146341463)</f>
        <v>0.4146341463</v>
      </c>
    </row>
    <row r="11641">
      <c r="A11641" s="10" t="s">
        <v>13080</v>
      </c>
      <c r="B11641" s="7" t="str">
        <f>IFERROR(__xludf.DUMMYFUNCTION("SPLIT(A11641,"" "")"),"FCc1cc(NCc2ccccn2)ccn1")</f>
        <v>FCc1cc(NCc2ccccn2)ccn1</v>
      </c>
      <c r="C11641" s="7">
        <f>IFERROR(__xludf.DUMMYFUNCTION("""COMPUTED_VALUE"""),7.7612724)</f>
        <v>7.7612724</v>
      </c>
      <c r="D11641" s="7">
        <f>IFERROR(__xludf.DUMMYFUNCTION("""COMPUTED_VALUE"""),0.472222222222222)</f>
        <v>0.4722222222</v>
      </c>
    </row>
    <row r="11642">
      <c r="A11642" s="10" t="s">
        <v>13081</v>
      </c>
      <c r="B11642" s="7" t="str">
        <f>IFERROR(__xludf.DUMMYFUNCTION("SPLIT(A11642,"" "")"),"COC(=O)C1CN(C)C(c2ccc(CN(Cc3ccccn3)Cc3ccccn3)cn2)C(c2ccccn2)C1c1ccccn1")</f>
        <v>COC(=O)C1CN(C)C(c2ccc(CN(Cc3ccccn3)Cc3ccccn3)cn2)C(c2ccccn2)C1c1ccccn1</v>
      </c>
      <c r="C11642" s="7">
        <f>IFERROR(__xludf.DUMMYFUNCTION("""COMPUTED_VALUE"""),7.7612715)</f>
        <v>7.7612715</v>
      </c>
      <c r="D11642" s="7">
        <f>IFERROR(__xludf.DUMMYFUNCTION("""COMPUTED_VALUE"""),0.344827586206896)</f>
        <v>0.3448275862</v>
      </c>
    </row>
    <row r="11643">
      <c r="A11643" s="10" t="s">
        <v>13082</v>
      </c>
      <c r="B11643" s="7" t="str">
        <f>IFERROR(__xludf.DUMMYFUNCTION("SPLIT(A11643,"" "")"),"CC(C)C(C)N(C)Cc1cccc(-c2cc(N)ccc2Cl)n1")</f>
        <v>CC(C)C(C)N(C)Cc1cccc(-c2cc(N)ccc2Cl)n1</v>
      </c>
      <c r="C11643" s="7">
        <f>IFERROR(__xludf.DUMMYFUNCTION("""COMPUTED_VALUE"""),7.7612705)</f>
        <v>7.7612705</v>
      </c>
      <c r="D11643" s="7">
        <f>IFERROR(__xludf.DUMMYFUNCTION("""COMPUTED_VALUE"""),0.327272727272727)</f>
        <v>0.3272727273</v>
      </c>
    </row>
    <row r="11644">
      <c r="A11644" s="10" t="s">
        <v>13083</v>
      </c>
      <c r="B11644" s="7" t="str">
        <f>IFERROR(__xludf.DUMMYFUNCTION("SPLIT(A11644,"" "")"),"CN(C)CC1=CCC(N(C)Cc2cccnn2)=CN1")</f>
        <v>CN(C)CC1=CCC(N(C)Cc2cccnn2)=CN1</v>
      </c>
      <c r="C11644" s="7">
        <f>IFERROR(__xludf.DUMMYFUNCTION("""COMPUTED_VALUE"""),7.761268)</f>
        <v>7.761268</v>
      </c>
      <c r="D11644" s="7">
        <f>IFERROR(__xludf.DUMMYFUNCTION("""COMPUTED_VALUE"""),0.444444444444444)</f>
        <v>0.4444444444</v>
      </c>
    </row>
    <row r="11645">
      <c r="A11645" s="10" t="s">
        <v>13084</v>
      </c>
      <c r="B11645" s="7" t="str">
        <f>IFERROR(__xludf.DUMMYFUNCTION("SPLIT(A11645,"" "")"),"Cc1cc(C)c(CN(C)C2CCCC(N(C)c3ccc4ccc(CF)nc4c3)C2)cn1")</f>
        <v>Cc1cc(C)c(CN(C)C2CCCC(N(C)c3ccc4ccc(CF)nc4c3)C2)cn1</v>
      </c>
      <c r="C11645" s="7">
        <f>IFERROR(__xludf.DUMMYFUNCTION("""COMPUTED_VALUE"""),7.761268)</f>
        <v>7.761268</v>
      </c>
      <c r="D11645" s="7">
        <f>IFERROR(__xludf.DUMMYFUNCTION("""COMPUTED_VALUE"""),0.323529411764705)</f>
        <v>0.3235294118</v>
      </c>
    </row>
    <row r="11646">
      <c r="A11646" s="10" t="s">
        <v>13085</v>
      </c>
      <c r="B11646" s="7" t="str">
        <f>IFERROR(__xludf.DUMMYFUNCTION("SPLIT(A11646,"" "")"),"Cc1cccc(CN(C)c2ccnc(CN(C)C(C)C)c2)n1")</f>
        <v>Cc1cccc(CN(C)c2ccnc(CN(C)C(C)C)c2)n1</v>
      </c>
      <c r="C11646" s="7">
        <f>IFERROR(__xludf.DUMMYFUNCTION("""COMPUTED_VALUE"""),7.7612677)</f>
        <v>7.7612677</v>
      </c>
      <c r="D11646" s="7">
        <f>IFERROR(__xludf.DUMMYFUNCTION("""COMPUTED_VALUE"""),0.444444444444444)</f>
        <v>0.4444444444</v>
      </c>
    </row>
    <row r="11647">
      <c r="A11647" s="10" t="s">
        <v>13086</v>
      </c>
      <c r="B11647" s="7" t="str">
        <f>IFERROR(__xludf.DUMMYFUNCTION("SPLIT(A11647,"" "")"),"Cc1cccc(C(C)(C)C)c1NCc1ccccn1")</f>
        <v>Cc1cccc(C(C)(C)C)c1NCc1ccccn1</v>
      </c>
      <c r="C11647" s="7">
        <f>IFERROR(__xludf.DUMMYFUNCTION("""COMPUTED_VALUE"""),7.761264)</f>
        <v>7.761264</v>
      </c>
      <c r="D11647" s="7">
        <f>IFERROR(__xludf.DUMMYFUNCTION("""COMPUTED_VALUE"""),0.425)</f>
        <v>0.425</v>
      </c>
    </row>
    <row r="11648">
      <c r="A11648" s="10" t="s">
        <v>13087</v>
      </c>
      <c r="B11648" s="7" t="str">
        <f>IFERROR(__xludf.DUMMYFUNCTION("SPLIT(A11648,"" "")"),"CCCN(Cc1ccccn1)Cc1ncccc1C(C)(c1ccccn1)c1ccccn1")</f>
        <v>CCCN(Cc1ccccn1)Cc1ncccc1C(C)(c1ccccn1)c1ccccn1</v>
      </c>
      <c r="C11648" s="7">
        <f>IFERROR(__xludf.DUMMYFUNCTION("""COMPUTED_VALUE"""),7.7612586)</f>
        <v>7.7612586</v>
      </c>
      <c r="D11648" s="7">
        <f>IFERROR(__xludf.DUMMYFUNCTION("""COMPUTED_VALUE"""),0.479166666666666)</f>
        <v>0.4791666667</v>
      </c>
    </row>
    <row r="11649">
      <c r="A11649" s="10" t="s">
        <v>13088</v>
      </c>
      <c r="B11649" s="7" t="str">
        <f>IFERROR(__xludf.DUMMYFUNCTION("SPLIT(A11649,"" "")"),"CC(C)c1cccc(CN(Cc2ccccn2)C2CCC(N(C)c3ccc4nc(CN(C)C)ccc4c3)CC2)n1")</f>
        <v>CC(C)c1cccc(CN(Cc2ccccn2)C2CCC(N(C)c3ccc4nc(CN(C)C)ccc4c3)CC2)n1</v>
      </c>
      <c r="C11649" s="7">
        <f>IFERROR(__xludf.DUMMYFUNCTION("""COMPUTED_VALUE"""),7.7612576)</f>
        <v>7.7612576</v>
      </c>
      <c r="D11649" s="7">
        <f>IFERROR(__xludf.DUMMYFUNCTION("""COMPUTED_VALUE"""),0.387096774193548)</f>
        <v>0.3870967742</v>
      </c>
    </row>
    <row r="11650">
      <c r="A11650" s="10" t="s">
        <v>13089</v>
      </c>
      <c r="B11650" s="7" t="str">
        <f>IFERROR(__xludf.DUMMYFUNCTION("SPLIT(A11650,"" "")"),"CNC1C(NCc2cc(C)c(C)c(C)n2)CCC(N(Cc2nc(C)c(C)c(C)c2C)Cc2nc(C)c(C)c(C)c2C)C1N(Cc1nc(C)c(C)c(C)c1C)Cc1nc(C)c(C)c(C)c1C")</f>
        <v>CNC1C(NCc2cc(C)c(C)c(C)n2)CCC(N(Cc2nc(C)c(C)c(C)c2C)Cc2nc(C)c(C)c(C)c2C)C1N(Cc1nc(C)c(C)c(C)c1C)Cc1nc(C)c(C)c(C)c1C</v>
      </c>
      <c r="C11650" s="7">
        <f>IFERROR(__xludf.DUMMYFUNCTION("""COMPUTED_VALUE"""),7.761257)</f>
        <v>7.761257</v>
      </c>
      <c r="D11650" s="7">
        <f>IFERROR(__xludf.DUMMYFUNCTION("""COMPUTED_VALUE"""),0.205882352941176)</f>
        <v>0.2058823529</v>
      </c>
    </row>
    <row r="11651">
      <c r="A11651" s="10" t="s">
        <v>13090</v>
      </c>
      <c r="B11651" s="7" t="str">
        <f>IFERROR(__xludf.DUMMYFUNCTION("SPLIT(A11651,"" "")"),"COC(=O)C1CN(C)C(c2ncccc2CN(Cc2ccccn2)Cc2ccccn2)C(c2ccccn2)C1c1ccccn1")</f>
        <v>COC(=O)C1CN(C)C(c2ncccc2CN(Cc2ccccn2)Cc2ccccn2)C(c2ccccn2)C1c1ccccn1</v>
      </c>
      <c r="C11651" s="7">
        <f>IFERROR(__xludf.DUMMYFUNCTION("""COMPUTED_VALUE"""),7.761257)</f>
        <v>7.761257</v>
      </c>
      <c r="D11651" s="7">
        <f>IFERROR(__xludf.DUMMYFUNCTION("""COMPUTED_VALUE"""),0.350877192982456)</f>
        <v>0.350877193</v>
      </c>
    </row>
    <row r="11652">
      <c r="A11652" s="10" t="s">
        <v>13091</v>
      </c>
      <c r="B11652" s="7" t="str">
        <f>IFERROR(__xludf.DUMMYFUNCTION("SPLIT(A11652,"" "")"),"CCN(Cc1ccccn1)c1ncccc1CN(Cc1ccccn1)Cc1ncccc1F")</f>
        <v>CCN(Cc1ccccn1)c1ncccc1CN(Cc1ccccn1)Cc1ncccc1F</v>
      </c>
      <c r="C11652" s="7">
        <f>IFERROR(__xludf.DUMMYFUNCTION("""COMPUTED_VALUE"""),7.761257)</f>
        <v>7.761257</v>
      </c>
      <c r="D11652" s="7">
        <f>IFERROR(__xludf.DUMMYFUNCTION("""COMPUTED_VALUE"""),0.454545454545454)</f>
        <v>0.4545454545</v>
      </c>
    </row>
    <row r="11653">
      <c r="A11653" s="10" t="s">
        <v>13092</v>
      </c>
      <c r="B11653" s="7" t="str">
        <f>IFERROR(__xludf.DUMMYFUNCTION("SPLIT(A11653,"" "")"),"CN(Cc1ccccn1)C1=CNC=C(CNCc2ccccn2)C1")</f>
        <v>CN(Cc1ccccn1)C1=CNC=C(CNCc2ccccn2)C1</v>
      </c>
      <c r="C11653" s="7">
        <f>IFERROR(__xludf.DUMMYFUNCTION("""COMPUTED_VALUE"""),7.7612543)</f>
        <v>7.7612543</v>
      </c>
      <c r="D11653" s="7">
        <f>IFERROR(__xludf.DUMMYFUNCTION("""COMPUTED_VALUE"""),0.431818181818181)</f>
        <v>0.4318181818</v>
      </c>
    </row>
    <row r="11654">
      <c r="A11654" s="10" t="s">
        <v>13093</v>
      </c>
      <c r="B11654" s="7" t="str">
        <f>IFERROR(__xludf.DUMMYFUNCTION("SPLIT(A11654,"" "")"),"CCNCc1cc(CN(Cc2cc(C)ccn2)C2CCC(N(C)Cc3ncccc3-c3ccc4ncccc4c3)CC2)ccn1")</f>
        <v>CCNCc1cc(CN(Cc2cc(C)ccn2)C2CCC(N(C)Cc3ncccc3-c3ccc4ncccc4c3)CC2)ccn1</v>
      </c>
      <c r="C11654" s="7">
        <f>IFERROR(__xludf.DUMMYFUNCTION("""COMPUTED_VALUE"""),7.761254)</f>
        <v>7.761254</v>
      </c>
      <c r="D11654" s="7">
        <f>IFERROR(__xludf.DUMMYFUNCTION("""COMPUTED_VALUE"""),0.243589743589743)</f>
        <v>0.2435897436</v>
      </c>
    </row>
    <row r="11655">
      <c r="A11655" s="10" t="s">
        <v>13094</v>
      </c>
      <c r="B11655" s="7" t="str">
        <f>IFERROR(__xludf.DUMMYFUNCTION("SPLIT(A11655,"" "")"),"CN(c1ccccc1F)C1CCC(N(C)c2cccc3nc4c(cc23)CCCC4)CC1")</f>
        <v>CN(c1ccccc1F)C1CCC(N(C)c2cccc3nc4c(cc23)CCCC4)CC1</v>
      </c>
      <c r="C11655" s="7">
        <f>IFERROR(__xludf.DUMMYFUNCTION("""COMPUTED_VALUE"""),7.761251)</f>
        <v>7.761251</v>
      </c>
      <c r="D11655" s="7">
        <f>IFERROR(__xludf.DUMMYFUNCTION("""COMPUTED_VALUE"""),0.456140350877192)</f>
        <v>0.4561403509</v>
      </c>
    </row>
    <row r="11656">
      <c r="A11656" s="10" t="s">
        <v>13095</v>
      </c>
      <c r="B11656" s="7" t="str">
        <f>IFERROR(__xludf.DUMMYFUNCTION("SPLIT(A11656,"" "")"),"Cc1cnc(C)c(CN(Cc2ccccn2)C2CCC(N(C)c3ccc4nc(CF)ccc4c3)CC2)c1")</f>
        <v>Cc1cnc(C)c(CN(Cc2ccccn2)C2CCC(N(C)c3ccc4nc(CF)ccc4c3)CC2)c1</v>
      </c>
      <c r="C11656" s="7">
        <f>IFERROR(__xludf.DUMMYFUNCTION("""COMPUTED_VALUE"""),7.7612495)</f>
        <v>7.7612495</v>
      </c>
      <c r="D11656" s="7">
        <f>IFERROR(__xludf.DUMMYFUNCTION("""COMPUTED_VALUE"""),0.343283582089552)</f>
        <v>0.3432835821</v>
      </c>
    </row>
    <row r="11657">
      <c r="A11657" s="10" t="s">
        <v>13096</v>
      </c>
      <c r="B11657" s="7" t="str">
        <f>IFERROR(__xludf.DUMMYFUNCTION("SPLIT(A11657,"" "")"),"Cc1cnc(CN(C)Cc2ncccc2N(C)C(C)C)c(C)c1")</f>
        <v>Cc1cnc(CN(C)Cc2ncccc2N(C)C(C)C)c(C)c1</v>
      </c>
      <c r="C11657" s="7">
        <f>IFERROR(__xludf.DUMMYFUNCTION("""COMPUTED_VALUE"""),7.7612495)</f>
        <v>7.7612495</v>
      </c>
      <c r="D11657" s="7">
        <f>IFERROR(__xludf.DUMMYFUNCTION("""COMPUTED_VALUE"""),0.34)</f>
        <v>0.34</v>
      </c>
    </row>
    <row r="11658">
      <c r="A11658" s="10" t="s">
        <v>13097</v>
      </c>
      <c r="B11658" s="7" t="str">
        <f>IFERROR(__xludf.DUMMYFUNCTION("SPLIT(A11658,"" "")"),"CNC1C(NCc2ccc(C)c(C)n2)CC(N(Cc2nc(C)c(C)c(C)c2C)Cc2nc(C)c(C)c(C)c2C)CC1N(Cc1nc(C)c(C)c(C)c1C)Cc1nc(C)c(C)c(C)c1C")</f>
        <v>CNC1C(NCc2ccc(C)c(C)n2)CC(N(Cc2nc(C)c(C)c(C)c2C)Cc2nc(C)c(C)c(C)c2C)CC1N(Cc1nc(C)c(C)c(C)c1C)Cc1nc(C)c(C)c(C)c1C</v>
      </c>
      <c r="C11658" s="7">
        <f>IFERROR(__xludf.DUMMYFUNCTION("""COMPUTED_VALUE"""),7.7612457)</f>
        <v>7.7612457</v>
      </c>
      <c r="D11658" s="7">
        <f>IFERROR(__xludf.DUMMYFUNCTION("""COMPUTED_VALUE"""),0.205882352941176)</f>
        <v>0.2058823529</v>
      </c>
    </row>
    <row r="11659">
      <c r="A11659" s="10" t="s">
        <v>13098</v>
      </c>
      <c r="B11659" s="7" t="str">
        <f>IFERROR(__xludf.DUMMYFUNCTION("SPLIT(A11659,"" "")"),"CCCN(C)Cc1cccc(C(C)(c2ccccn2)c2ccccn2)n1")</f>
        <v>CCCN(C)Cc1cccc(C(C)(c2ccccn2)c2ccccn2)n1</v>
      </c>
      <c r="C11659" s="7">
        <f>IFERROR(__xludf.DUMMYFUNCTION("""COMPUTED_VALUE"""),7.761237)</f>
        <v>7.761237</v>
      </c>
      <c r="D11659" s="7">
        <f>IFERROR(__xludf.DUMMYFUNCTION("""COMPUTED_VALUE"""),0.5)</f>
        <v>0.5</v>
      </c>
    </row>
    <row r="11660">
      <c r="A11660" s="10" t="s">
        <v>13099</v>
      </c>
      <c r="B11660" s="7" t="str">
        <f>IFERROR(__xludf.DUMMYFUNCTION("SPLIT(A11660,"" "")"),"CC(C)N(Cc1ccccn1)Cc1ccnc(C2CCC2(C)C)c1CN(Cc1ccccn1)Cc1cccc(C(C)(c2ccccn2)c2ccccn2)n1")</f>
        <v>CC(C)N(Cc1ccccn1)Cc1ccnc(C2CCC2(C)C)c1CN(Cc1ccccn1)Cc1cccc(C(C)(c2ccccn2)c2ccccn2)n1</v>
      </c>
      <c r="C11660" s="7">
        <f>IFERROR(__xludf.DUMMYFUNCTION("""COMPUTED_VALUE"""),7.7612367)</f>
        <v>7.7612367</v>
      </c>
      <c r="D11660" s="7">
        <f>IFERROR(__xludf.DUMMYFUNCTION("""COMPUTED_VALUE"""),0.35820895522388)</f>
        <v>0.3582089552</v>
      </c>
    </row>
    <row r="11661">
      <c r="A11661" s="10" t="s">
        <v>13100</v>
      </c>
      <c r="B11661" s="7" t="str">
        <f>IFERROR(__xludf.DUMMYFUNCTION("SPLIT(A11661,"" "")"),"Cc1cc(CN(C)c2ccc3nccc(CN(C)Cc4cc(-c5ccc6c(c5)OCCOCCOCCOCCOCCO6)ccn4)c3c2)cnc1C")</f>
        <v>Cc1cc(CN(C)c2ccc3nccc(CN(C)Cc4cc(-c5ccc6c(c5)OCCOCCOCCOCCOCCO6)ccn4)c3c2)cnc1C</v>
      </c>
      <c r="C11661" s="7">
        <f>IFERROR(__xludf.DUMMYFUNCTION("""COMPUTED_VALUE"""),7.761231)</f>
        <v>7.761231</v>
      </c>
      <c r="D11661" s="7">
        <f>IFERROR(__xludf.DUMMYFUNCTION("""COMPUTED_VALUE"""),0.309523809523809)</f>
        <v>0.3095238095</v>
      </c>
    </row>
    <row r="11662">
      <c r="A11662" s="10" t="s">
        <v>13101</v>
      </c>
      <c r="B11662" s="7" t="str">
        <f>IFERROR(__xludf.DUMMYFUNCTION("SPLIT(A11662,"" "")"),"CN(Cc1ccon1)C1CCC(N(C)c2ccc3ncccc3c2)CC1")</f>
        <v>CN(Cc1ccon1)C1CCC(N(C)c2ccc3ncccc3c2)CC1</v>
      </c>
      <c r="C11662" s="7">
        <f>IFERROR(__xludf.DUMMYFUNCTION("""COMPUTED_VALUE"""),7.7612305)</f>
        <v>7.7612305</v>
      </c>
      <c r="D11662" s="7">
        <f>IFERROR(__xludf.DUMMYFUNCTION("""COMPUTED_VALUE"""),0.365384615384615)</f>
        <v>0.3653846154</v>
      </c>
    </row>
    <row r="11663">
      <c r="A11663" s="10" t="s">
        <v>13102</v>
      </c>
      <c r="B11663" s="7" t="str">
        <f>IFERROR(__xludf.DUMMYFUNCTION("SPLIT(A11663,"" "")"),"CNC1C(N(C)Cc2nc(C)c(C)c(C)c2C)CC(NCc2ccccn2)C(N(Cc2nc(C)c(C)c(C)c2C)Cc2nc(C)c(C)c(C)c2C)C1N(Cc1nc(C)c(C)c(C)c1C)Cc1nc(C)c(C)c(C)c1C")</f>
        <v>CNC1C(N(C)Cc2nc(C)c(C)c(C)c2C)CC(NCc2ccccn2)C(N(Cc2nc(C)c(C)c(C)c2C)Cc2nc(C)c(C)c(C)c2C)C1N(Cc1nc(C)c(C)c(C)c1C)Cc1nc(C)c(C)c(C)c1C</v>
      </c>
      <c r="C11663" s="7">
        <f>IFERROR(__xludf.DUMMYFUNCTION("""COMPUTED_VALUE"""),7.7612305)</f>
        <v>7.7612305</v>
      </c>
      <c r="D11663" s="7">
        <f>IFERROR(__xludf.DUMMYFUNCTION("""COMPUTED_VALUE"""),0.359375)</f>
        <v>0.359375</v>
      </c>
    </row>
    <row r="11664">
      <c r="A11664" s="10" t="s">
        <v>13103</v>
      </c>
      <c r="B11664" s="7" t="str">
        <f>IFERROR(__xludf.DUMMYFUNCTION("SPLIT(A11664,"" "")"),"Cc1cnc(CN(Cc2ccc(C(C)(C)C)cn2)C(C)C)c(C)c1C")</f>
        <v>Cc1cnc(CN(Cc2ccc(C(C)(C)C)cn2)C(C)C)c(C)c1C</v>
      </c>
      <c r="C11664" s="7">
        <f>IFERROR(__xludf.DUMMYFUNCTION("""COMPUTED_VALUE"""),7.761228)</f>
        <v>7.761228</v>
      </c>
      <c r="D11664" s="7">
        <f>IFERROR(__xludf.DUMMYFUNCTION("""COMPUTED_VALUE"""),0.354166666666666)</f>
        <v>0.3541666667</v>
      </c>
    </row>
    <row r="11665">
      <c r="A11665" s="10" t="s">
        <v>13104</v>
      </c>
      <c r="B11665" s="7" t="str">
        <f>IFERROR(__xludf.DUMMYFUNCTION("SPLIT(A11665,"" "")"),"CCN(Cc1ccccn1)C1=C(C(C)(C)C)CC(C)(C)C=C1c1ccccc1C(C)C")</f>
        <v>CCN(Cc1ccccn1)C1=C(C(C)(C)C)CC(C)(C)C=C1c1ccccc1C(C)C</v>
      </c>
      <c r="C11665" s="7">
        <f>IFERROR(__xludf.DUMMYFUNCTION("""COMPUTED_VALUE"""),7.761225)</f>
        <v>7.761225</v>
      </c>
      <c r="D11665" s="7">
        <f>IFERROR(__xludf.DUMMYFUNCTION("""COMPUTED_VALUE"""),0.333333333333333)</f>
        <v>0.3333333333</v>
      </c>
    </row>
    <row r="11666">
      <c r="A11666" s="10" t="s">
        <v>13105</v>
      </c>
      <c r="B11666" s="7" t="str">
        <f>IFERROR(__xludf.DUMMYFUNCTION("SPLIT(A11666,"" "")"),"CC(C)C(C)CN(CCN(C)c1ccc2ncc(CN(C)C)cc2c1)Cc1ccccn1")</f>
        <v>CC(C)C(C)CN(CCN(C)c1ccc2ncc(CN(C)C)cc2c1)Cc1ccccn1</v>
      </c>
      <c r="C11666" s="7">
        <f>IFERROR(__xludf.DUMMYFUNCTION("""COMPUTED_VALUE"""),7.7612224)</f>
        <v>7.7612224</v>
      </c>
      <c r="D11666" s="7">
        <f>IFERROR(__xludf.DUMMYFUNCTION("""COMPUTED_VALUE"""),0.421052631578947)</f>
        <v>0.4210526316</v>
      </c>
    </row>
    <row r="11667">
      <c r="A11667" s="10" t="s">
        <v>13106</v>
      </c>
      <c r="B11667" s="7" t="str">
        <f>IFERROR(__xludf.DUMMYFUNCTION("SPLIT(A11667,"" "")"),"CN(Cc1cccc(N)n1)C1=CNC(CN(C)C(C)(C)c2ccccn2)=CC1")</f>
        <v>CN(Cc1cccc(N)n1)C1=CNC(CN(C)C(C)(C)c2ccccn2)=CC1</v>
      </c>
      <c r="C11667" s="7">
        <f>IFERROR(__xludf.DUMMYFUNCTION("""COMPUTED_VALUE"""),7.761219)</f>
        <v>7.761219</v>
      </c>
      <c r="D11667" s="7">
        <f>IFERROR(__xludf.DUMMYFUNCTION("""COMPUTED_VALUE"""),0.333333333333333)</f>
        <v>0.3333333333</v>
      </c>
    </row>
    <row r="11668">
      <c r="A11668" s="10" t="s">
        <v>13107</v>
      </c>
      <c r="B11668" s="7" t="str">
        <f>IFERROR(__xludf.DUMMYFUNCTION("SPLIT(A11668,"" "")"),"CC(C)c1cccc(C2=NC(C(C)C)CO2)n1")</f>
        <v>CC(C)c1cccc(C2=NC(C(C)C)CO2)n1</v>
      </c>
      <c r="C11668" s="7">
        <f>IFERROR(__xludf.DUMMYFUNCTION("""COMPUTED_VALUE"""),7.7612143)</f>
        <v>7.7612143</v>
      </c>
      <c r="D11668" s="7">
        <f>IFERROR(__xludf.DUMMYFUNCTION("""COMPUTED_VALUE"""),0.333333333333333)</f>
        <v>0.3333333333</v>
      </c>
    </row>
    <row r="11669">
      <c r="A11669" s="10" t="s">
        <v>13108</v>
      </c>
      <c r="B11669" s="7" t="str">
        <f>IFERROR(__xludf.DUMMYFUNCTION("SPLIT(A11669,"" "")"),"CNC1C(N(Cc2ccccn2)Cc2ncccc2C)CCCC1N(Cc1ncccc1C)c1ccc2nc(CF)ccc2c1")</f>
        <v>CNC1C(N(Cc2ccccn2)Cc2ncccc2C)CCCC1N(Cc1ncccc1C)c1ccc2nc(CF)ccc2c1</v>
      </c>
      <c r="C11669" s="7">
        <f>IFERROR(__xludf.DUMMYFUNCTION("""COMPUTED_VALUE"""),7.7612114)</f>
        <v>7.7612114</v>
      </c>
      <c r="D11669" s="7">
        <f>IFERROR(__xludf.DUMMYFUNCTION("""COMPUTED_VALUE"""),0.342857142857142)</f>
        <v>0.3428571429</v>
      </c>
    </row>
    <row r="11670">
      <c r="A11670" s="10" t="s">
        <v>13109</v>
      </c>
      <c r="B11670" s="7" t="str">
        <f>IFERROR(__xludf.DUMMYFUNCTION("SPLIT(A11670,"" "")"),"Cc1cccnc1CN(C)C1CCCC(N(C)c2cccc3c(CF)ccnc23)C1")</f>
        <v>Cc1cccnc1CN(C)C1CCCC(N(C)c2cccc3c(CF)ccnc23)C1</v>
      </c>
      <c r="C11670" s="7">
        <f>IFERROR(__xludf.DUMMYFUNCTION("""COMPUTED_VALUE"""),7.761211)</f>
        <v>7.761211</v>
      </c>
      <c r="D11670" s="7">
        <f>IFERROR(__xludf.DUMMYFUNCTION("""COMPUTED_VALUE"""),0.365079365079365)</f>
        <v>0.3650793651</v>
      </c>
    </row>
    <row r="11671">
      <c r="A11671" s="10" t="s">
        <v>13110</v>
      </c>
      <c r="B11671" s="7" t="str">
        <f>IFERROR(__xludf.DUMMYFUNCTION("SPLIT(A11671,"" "")"),"C=Cc1ccc(CN(Cc2ccccn2)Cc2cccc(C(C)(C)C)n2)nc1")</f>
        <v>C=Cc1ccc(CN(Cc2ccccn2)Cc2cccc(C(C)(C)C)n2)nc1</v>
      </c>
      <c r="C11671" s="7">
        <f>IFERROR(__xludf.DUMMYFUNCTION("""COMPUTED_VALUE"""),7.7612104)</f>
        <v>7.7612104</v>
      </c>
      <c r="D11671" s="7">
        <f>IFERROR(__xludf.DUMMYFUNCTION("""COMPUTED_VALUE"""),0.490566037735849)</f>
        <v>0.4905660377</v>
      </c>
    </row>
    <row r="11672">
      <c r="A11672" s="10" t="s">
        <v>13111</v>
      </c>
      <c r="B11672" s="7" t="str">
        <f>IFERROR(__xludf.DUMMYFUNCTION("SPLIT(A11672,"" "")"),"CC(C)N(C)Cc1ncccc1N(C)C1CCCC(N(C)c2ccc3c(CF)ccnc3c2)C1")</f>
        <v>CC(C)N(C)Cc1ncccc1N(C)C1CCCC(N(C)c2ccc3c(CF)ccnc3c2)C1</v>
      </c>
      <c r="C11672" s="7">
        <f>IFERROR(__xludf.DUMMYFUNCTION("""COMPUTED_VALUE"""),7.7612085)</f>
        <v>7.7612085</v>
      </c>
      <c r="D11672" s="7">
        <f>IFERROR(__xludf.DUMMYFUNCTION("""COMPUTED_VALUE"""),0.28169014084507)</f>
        <v>0.2816901408</v>
      </c>
    </row>
    <row r="11673">
      <c r="A11673" s="10" t="s">
        <v>13112</v>
      </c>
      <c r="B11673" s="7" t="str">
        <f>IFERROR(__xludf.DUMMYFUNCTION("SPLIT(A11673,"" "")"),"Cc1cc(C)c(CN(Cc2ccccn2)Cc2nc(C)ccc2C)cn1")</f>
        <v>Cc1cc(C)c(CN(Cc2ccccn2)Cc2nc(C)ccc2C)cn1</v>
      </c>
      <c r="C11673" s="7">
        <f>IFERROR(__xludf.DUMMYFUNCTION("""COMPUTED_VALUE"""),7.761199)</f>
        <v>7.761199</v>
      </c>
      <c r="D11673" s="7">
        <f>IFERROR(__xludf.DUMMYFUNCTION("""COMPUTED_VALUE"""),0.465116279069767)</f>
        <v>0.4651162791</v>
      </c>
    </row>
    <row r="11674">
      <c r="A11674" s="10" t="s">
        <v>13113</v>
      </c>
      <c r="B11674" s="7" t="str">
        <f>IFERROR(__xludf.DUMMYFUNCTION("SPLIT(A11674,"" "")"),"Cc1cc(C)c(CN(C)C2CCCCC2N(C)c2ccc3nccc(CF)c3c2)cn1")</f>
        <v>Cc1cc(C)c(CN(C)C2CCCCC2N(C)c2ccc3nccc(CF)c3c2)cn1</v>
      </c>
      <c r="C11674" s="7">
        <f>IFERROR(__xludf.DUMMYFUNCTION("""COMPUTED_VALUE"""),7.761198)</f>
        <v>7.761198</v>
      </c>
      <c r="D11674" s="7">
        <f>IFERROR(__xludf.DUMMYFUNCTION("""COMPUTED_VALUE"""),0.349206349206349)</f>
        <v>0.3492063492</v>
      </c>
    </row>
    <row r="11675">
      <c r="A11675" s="10" t="s">
        <v>13114</v>
      </c>
      <c r="B11675" s="7" t="str">
        <f>IFERROR(__xludf.DUMMYFUNCTION("SPLIT(A11675,"" "")"),"Cc1ccnc(CN(Cc2ccnc(CN(Cc3cc(C)c(C)c(C)n3)C(C)C)c2)Cc2cc(C)ccn2)c1")</f>
        <v>Cc1ccnc(CN(Cc2ccnc(CN(Cc3cc(C)c(C)c(C)n3)C(C)C)c2)Cc2cc(C)ccn2)c1</v>
      </c>
      <c r="C11675" s="7">
        <f>IFERROR(__xludf.DUMMYFUNCTION("""COMPUTED_VALUE"""),7.761191)</f>
        <v>7.761191</v>
      </c>
      <c r="D11675" s="7">
        <f>IFERROR(__xludf.DUMMYFUNCTION("""COMPUTED_VALUE"""),0.339622641509433)</f>
        <v>0.3396226415</v>
      </c>
    </row>
    <row r="11676">
      <c r="A11676" s="10" t="s">
        <v>13115</v>
      </c>
      <c r="B11676" s="7" t="str">
        <f>IFERROR(__xludf.DUMMYFUNCTION("SPLIT(A11676,"" "")"),"CNCC1=C(N(C)Cc2nc(C)ccc2C)CC=CN1")</f>
        <v>CNCC1=C(N(C)Cc2nc(C)ccc2C)CC=CN1</v>
      </c>
      <c r="C11676" s="7">
        <f>IFERROR(__xludf.DUMMYFUNCTION("""COMPUTED_VALUE"""),7.7611904)</f>
        <v>7.7611904</v>
      </c>
      <c r="D11676" s="7">
        <f>IFERROR(__xludf.DUMMYFUNCTION("""COMPUTED_VALUE"""),0.236363636363636)</f>
        <v>0.2363636364</v>
      </c>
    </row>
    <row r="11677">
      <c r="A11677" s="10" t="s">
        <v>13116</v>
      </c>
      <c r="B11677" s="7" t="str">
        <f>IFERROR(__xludf.DUMMYFUNCTION("SPLIT(A11677,"" "")"),"CC1OC(c2cccc(C3CCC3(C)C)n2)=NC1C(C)(C)c1ccccn1")</f>
        <v>CC1OC(c2cccc(C3CCC3(C)C)n2)=NC1C(C)(C)c1ccccn1</v>
      </c>
      <c r="C11677" s="7">
        <f>IFERROR(__xludf.DUMMYFUNCTION("""COMPUTED_VALUE"""),7.7611885)</f>
        <v>7.7611885</v>
      </c>
      <c r="D11677" s="7">
        <f>IFERROR(__xludf.DUMMYFUNCTION("""COMPUTED_VALUE"""),0.294117647058823)</f>
        <v>0.2941176471</v>
      </c>
    </row>
    <row r="11678">
      <c r="A11678" s="10" t="s">
        <v>13117</v>
      </c>
      <c r="B11678" s="7" t="str">
        <f>IFERROR(__xludf.DUMMYFUNCTION("SPLIT(A11678,"" "")"),"CC(C)C1=CC2(C=CN1)C(c1cccc(CN(Cc3ccccn3)Cc3ccccn3)n1)=CCC(C)(C)C2c1cccc(CN(Cc2ccccn2)Cc2ccccn2)n1")</f>
        <v>CC(C)C1=CC2(C=CN1)C(c1cccc(CN(Cc3ccccn3)Cc3ccccn3)n1)=CCC(C)(C)C2c1cccc(CN(Cc2ccccn2)Cc2ccccn2)n1</v>
      </c>
      <c r="C11678" s="7">
        <f>IFERROR(__xludf.DUMMYFUNCTION("""COMPUTED_VALUE"""),7.761186)</f>
        <v>7.761186</v>
      </c>
      <c r="D11678" s="7">
        <f>IFERROR(__xludf.DUMMYFUNCTION("""COMPUTED_VALUE"""),0.36986301369863)</f>
        <v>0.3698630137</v>
      </c>
    </row>
    <row r="11679">
      <c r="A11679" s="10" t="s">
        <v>13118</v>
      </c>
      <c r="B11679" s="7" t="str">
        <f>IFERROR(__xludf.DUMMYFUNCTION("SPLIT(A11679,"" "")"),"CNC1CCC(NCc2nc(C)cc(C)c2C)C(N(Cc2nc(C)c(C)c(C)c2C)Cc2nc(C)c(C)c(C)c2C)C1N(Cc1nc(C)c(C)c(C)c1C)Cc1nc(C)c(C)c(C)c1C")</f>
        <v>CNC1CCC(NCc2nc(C)cc(C)c2C)C(N(Cc2nc(C)c(C)c(C)c2C)Cc2nc(C)c(C)c(C)c2C)C1N(Cc1nc(C)c(C)c(C)c1C)Cc1nc(C)c(C)c(C)c1C</v>
      </c>
      <c r="C11679" s="7">
        <f>IFERROR(__xludf.DUMMYFUNCTION("""COMPUTED_VALUE"""),7.761183)</f>
        <v>7.761183</v>
      </c>
      <c r="D11679" s="7">
        <f>IFERROR(__xludf.DUMMYFUNCTION("""COMPUTED_VALUE"""),0.2)</f>
        <v>0.2</v>
      </c>
    </row>
    <row r="11680">
      <c r="A11680" s="10" t="s">
        <v>13119</v>
      </c>
      <c r="B11680" s="7" t="str">
        <f>IFERROR(__xludf.DUMMYFUNCTION("SPLIT(A11680,"" "")"),"Cc1ccnc(CN(Cc2cccnc2F)Cc2ncccc2C(C)(C)C)c1C")</f>
        <v>Cc1ccnc(CN(Cc2cccnc2F)Cc2ncccc2C(C)(C)C)c1C</v>
      </c>
      <c r="C11680" s="7">
        <f>IFERROR(__xludf.DUMMYFUNCTION("""COMPUTED_VALUE"""),7.761183)</f>
        <v>7.761183</v>
      </c>
      <c r="D11680" s="7">
        <f>IFERROR(__xludf.DUMMYFUNCTION("""COMPUTED_VALUE"""),0.277777777777777)</f>
        <v>0.2777777778</v>
      </c>
    </row>
    <row r="11681">
      <c r="A11681" s="10" t="s">
        <v>13120</v>
      </c>
      <c r="B11681" s="7" t="str">
        <f>IFERROR(__xludf.DUMMYFUNCTION("SPLIT(A11681,"" "")"),"Cc1cnc(C)c(C)c1CN(C)Cc1ccc2cccc(N(C)Cc3cccc(-c4ccc5c(c4)OCCOCCOCCOCCOCCO5)n3)c2n1")</f>
        <v>Cc1cnc(C)c(C)c1CN(C)Cc1ccc2cccc(N(C)Cc3cccc(-c4ccc5c(c4)OCCOCCOCCOCCOCCO5)n3)c2n1</v>
      </c>
      <c r="C11681" s="7">
        <f>IFERROR(__xludf.DUMMYFUNCTION("""COMPUTED_VALUE"""),7.761182)</f>
        <v>7.761182</v>
      </c>
      <c r="D11681" s="7">
        <f>IFERROR(__xludf.DUMMYFUNCTION("""COMPUTED_VALUE"""),0.306666666666666)</f>
        <v>0.3066666667</v>
      </c>
    </row>
    <row r="11682">
      <c r="A11682" s="10" t="s">
        <v>13121</v>
      </c>
      <c r="B11682" s="7" t="str">
        <f>IFERROR(__xludf.DUMMYFUNCTION("SPLIT(A11682,"" "")"),"CC(C)C1=CC2(C=CN1)C=CC(c1cccc(CN(Cc3ccccn3)Cc3ccccn3)n1)C(c1cccc(CN(Cc3ccccn3)Cc3ccccn3)n1)C2c1ccccn1")</f>
        <v>CC(C)C1=CC2(C=CN1)C=CC(c1cccc(CN(Cc3ccccn3)Cc3ccccn3)n1)C(c1cccc(CN(Cc3ccccn3)Cc3ccccn3)n1)C2c1ccccn1</v>
      </c>
      <c r="C11682" s="7">
        <f>IFERROR(__xludf.DUMMYFUNCTION("""COMPUTED_VALUE"""),7.7611794)</f>
        <v>7.7611794</v>
      </c>
      <c r="D11682" s="7">
        <f>IFERROR(__xludf.DUMMYFUNCTION("""COMPUTED_VALUE"""),0.344827586206896)</f>
        <v>0.3448275862</v>
      </c>
    </row>
    <row r="11683">
      <c r="A11683" s="10" t="s">
        <v>13122</v>
      </c>
      <c r="B11683" s="7" t="str">
        <f>IFERROR(__xludf.DUMMYFUNCTION("SPLIT(A11683,"" "")"),"CC1=CC2=CNC(C(C)C)=CC2C(C)(C)C1c1ncccc1CN(Cc1ccccn1)Cc1ccccn1")</f>
        <v>CC1=CC2=CNC(C(C)C)=CC2C(C)(C)C1c1ncccc1CN(Cc1ccccn1)Cc1ccccn1</v>
      </c>
      <c r="C11683" s="7">
        <f>IFERROR(__xludf.DUMMYFUNCTION("""COMPUTED_VALUE"""),7.7611775)</f>
        <v>7.7611775</v>
      </c>
      <c r="D11683" s="7">
        <f>IFERROR(__xludf.DUMMYFUNCTION("""COMPUTED_VALUE"""),0.344827586206896)</f>
        <v>0.3448275862</v>
      </c>
    </row>
    <row r="11684">
      <c r="A11684" s="10" t="s">
        <v>13123</v>
      </c>
      <c r="B11684" s="7" t="str">
        <f>IFERROR(__xludf.DUMMYFUNCTION("SPLIT(A11684,"" "")"),"CC(c1ccccc1)c1cccc(CNC2NC=CC=C2N(Cc2ccccn2)Cc2ccccn2)n1")</f>
        <v>CC(c1ccccc1)c1cccc(CNC2NC=CC=C2N(Cc2ccccn2)Cc2ccccn2)n1</v>
      </c>
      <c r="C11684" s="7">
        <f>IFERROR(__xludf.DUMMYFUNCTION("""COMPUTED_VALUE"""),7.7611685)</f>
        <v>7.7611685</v>
      </c>
      <c r="D11684" s="7">
        <f>IFERROR(__xludf.DUMMYFUNCTION("""COMPUTED_VALUE"""),0.344262295081967)</f>
        <v>0.3442622951</v>
      </c>
    </row>
    <row r="11685">
      <c r="A11685" s="10" t="s">
        <v>13124</v>
      </c>
      <c r="B11685" s="7" t="str">
        <f>IFERROR(__xludf.DUMMYFUNCTION("SPLIT(A11685,"" "")"),"Cc1cc(N)c(C)c(CN(C)Cc2ccccn2)c1C")</f>
        <v>Cc1cc(N)c(C)c(CN(C)Cc2ccccn2)c1C</v>
      </c>
      <c r="C11685" s="7">
        <f>IFERROR(__xludf.DUMMYFUNCTION("""COMPUTED_VALUE"""),7.7611647)</f>
        <v>7.7611647</v>
      </c>
      <c r="D11685" s="7">
        <f>IFERROR(__xludf.DUMMYFUNCTION("""COMPUTED_VALUE"""),0.478260869565217)</f>
        <v>0.4782608696</v>
      </c>
    </row>
    <row r="11686">
      <c r="A11686" s="10" t="s">
        <v>13125</v>
      </c>
      <c r="B11686" s="7" t="str">
        <f>IFERROR(__xludf.DUMMYFUNCTION("SPLIT(A11686,"" "")"),"CC(C)C1=CC2(C=CN1)C(c1cc(CN(Cc3ccccn3)Cc3ccccn3)ccn1)=CC(C)(C)CC2c1ccc(CN(Cc2ccccn2)C(C)C)cn1")</f>
        <v>CC(C)C1=CC2(C=CN1)C(c1cc(CN(Cc3ccccn3)Cc3ccccn3)ccn1)=CC(C)(C)CC2c1ccc(CN(Cc2ccccn2)C(C)C)cn1</v>
      </c>
      <c r="C11686" s="7">
        <f>IFERROR(__xludf.DUMMYFUNCTION("""COMPUTED_VALUE"""),7.7611604)</f>
        <v>7.7611604</v>
      </c>
      <c r="D11686" s="7">
        <f>IFERROR(__xludf.DUMMYFUNCTION("""COMPUTED_VALUE"""),0.31578947368421)</f>
        <v>0.3157894737</v>
      </c>
    </row>
    <row r="11687">
      <c r="A11687" s="10" t="s">
        <v>13126</v>
      </c>
      <c r="B11687" s="7" t="str">
        <f>IFERROR(__xludf.DUMMYFUNCTION("SPLIT(A11687,"" "")"),"CC(C)N(C)C1=CCC=C(N(C)Cc2ccccn2)N1")</f>
        <v>CC(C)N(C)C1=CCC=C(N(C)Cc2ccccn2)N1</v>
      </c>
      <c r="C11687" s="7">
        <f>IFERROR(__xludf.DUMMYFUNCTION("""COMPUTED_VALUE"""),7.761158)</f>
        <v>7.761158</v>
      </c>
      <c r="D11687" s="7">
        <f>IFERROR(__xludf.DUMMYFUNCTION("""COMPUTED_VALUE"""),0.5)</f>
        <v>0.5</v>
      </c>
    </row>
    <row r="11688">
      <c r="A11688" s="10" t="s">
        <v>13127</v>
      </c>
      <c r="B11688" s="7" t="str">
        <f>IFERROR(__xludf.DUMMYFUNCTION("SPLIT(A11688,"" "")"),"C=CCN(C)CC1=C(N(C)C(c2ccccc2)c2ccccn2)CC=CN1")</f>
        <v>C=CCN(C)CC1=C(N(C)C(c2ccccc2)c2ccccn2)CC=CN1</v>
      </c>
      <c r="C11688" s="7">
        <f>IFERROR(__xludf.DUMMYFUNCTION("""COMPUTED_VALUE"""),7.761157)</f>
        <v>7.761157</v>
      </c>
      <c r="D11688" s="7">
        <f>IFERROR(__xludf.DUMMYFUNCTION("""COMPUTED_VALUE"""),0.387096774193548)</f>
        <v>0.3870967742</v>
      </c>
    </row>
    <row r="11689">
      <c r="A11689" s="10" t="s">
        <v>13128</v>
      </c>
      <c r="B11689" s="7" t="str">
        <f>IFERROR(__xludf.DUMMYFUNCTION("SPLIT(A11689,"" "")"),"Cc1cccnc1CN(C)C1CCCC(N(Cc2ccccn2)c2ccc3nc(CF)ccc3c2)C1")</f>
        <v>Cc1cccnc1CN(C)C1CCCC(N(Cc2ccccn2)c2ccc3nc(CF)ccc3c2)C1</v>
      </c>
      <c r="C11689" s="7">
        <f>IFERROR(__xludf.DUMMYFUNCTION("""COMPUTED_VALUE"""),7.761153)</f>
        <v>7.761153</v>
      </c>
      <c r="D11689" s="7">
        <f>IFERROR(__xludf.DUMMYFUNCTION("""COMPUTED_VALUE"""),0.363636363636363)</f>
        <v>0.3636363636</v>
      </c>
    </row>
    <row r="11690">
      <c r="A11690" s="10" t="s">
        <v>13129</v>
      </c>
      <c r="B11690" s="7" t="str">
        <f>IFERROR(__xludf.DUMMYFUNCTION("SPLIT(A11690,"" "")"),"CN(Cc1ccc2c(n1)CCC2)C1CCC(N(C)c2ccc3cc4c(nc3c2)CCC4)CC1")</f>
        <v>CN(Cc1ccc2c(n1)CCC2)C1CCC(N(C)c2ccc3cc4c(nc3c2)CCC4)CC1</v>
      </c>
      <c r="C11690" s="7">
        <f>IFERROR(__xludf.DUMMYFUNCTION("""COMPUTED_VALUE"""),7.761146)</f>
        <v>7.761146</v>
      </c>
      <c r="D11690" s="7">
        <f>IFERROR(__xludf.DUMMYFUNCTION("""COMPUTED_VALUE"""),0.370967741935483)</f>
        <v>0.3709677419</v>
      </c>
    </row>
    <row r="11691">
      <c r="A11691" s="10" t="s">
        <v>13130</v>
      </c>
      <c r="B11691" s="7" t="str">
        <f>IFERROR(__xludf.DUMMYFUNCTION("SPLIT(A11691,"" "")"),"CNC1CCC(NCc2cc(C)c(C)c(C)n2)C(N(Cc2nc(C)c(C)c(C)c2C)Cc2nc(C)c(C)c(C)c2C)C1N(Cc1nc(C)c(C)c(C)c1C)Cc1nc(C)c(C)c(C)c1C")</f>
        <v>CNC1CCC(NCc2cc(C)c(C)c(C)n2)C(N(Cc2nc(C)c(C)c(C)c2C)Cc2nc(C)c(C)c(C)c2C)C1N(Cc1nc(C)c(C)c(C)c1C)Cc1nc(C)c(C)c(C)c1C</v>
      </c>
      <c r="C11691" s="7">
        <f>IFERROR(__xludf.DUMMYFUNCTION("""COMPUTED_VALUE"""),7.761138)</f>
        <v>7.761138</v>
      </c>
      <c r="D11691" s="7">
        <f>IFERROR(__xludf.DUMMYFUNCTION("""COMPUTED_VALUE"""),0.203125)</f>
        <v>0.203125</v>
      </c>
    </row>
    <row r="11692">
      <c r="A11692" s="10" t="s">
        <v>13131</v>
      </c>
      <c r="B11692" s="7" t="str">
        <f>IFERROR(__xludf.DUMMYFUNCTION("SPLIT(A11692,"" "")"),"Cc1ccc(CN(Cc2ccccn2)C2CCC(N(C)c3ccc4c(CF)ccnc4c3)CC2)nc1")</f>
        <v>Cc1ccc(CN(Cc2ccccn2)C2CCC(N(C)c3ccc4c(CF)ccnc4c3)CC2)nc1</v>
      </c>
      <c r="C11692" s="7">
        <f>IFERROR(__xludf.DUMMYFUNCTION("""COMPUTED_VALUE"""),7.7611322)</f>
        <v>7.7611322</v>
      </c>
      <c r="D11692" s="7">
        <f>IFERROR(__xludf.DUMMYFUNCTION("""COMPUTED_VALUE"""),0.353846153846153)</f>
        <v>0.3538461538</v>
      </c>
    </row>
    <row r="11693">
      <c r="A11693" s="10" t="s">
        <v>13132</v>
      </c>
      <c r="B11693" s="7" t="str">
        <f>IFERROR(__xludf.DUMMYFUNCTION("SPLIT(A11693,"" "")"),"CCCNCc1ccc(C)c(N(C)Cc2ccccn2)c1C")</f>
        <v>CCCNCc1ccc(C)c(N(C)Cc2ccccn2)c1C</v>
      </c>
      <c r="C11693" s="7">
        <f>IFERROR(__xludf.DUMMYFUNCTION("""COMPUTED_VALUE"""),7.7611246)</f>
        <v>7.7611246</v>
      </c>
      <c r="D11693" s="7">
        <f>IFERROR(__xludf.DUMMYFUNCTION("""COMPUTED_VALUE"""),0.413043478260869)</f>
        <v>0.4130434783</v>
      </c>
    </row>
    <row r="11694">
      <c r="A11694" s="10" t="s">
        <v>13133</v>
      </c>
      <c r="B11694" s="7" t="str">
        <f>IFERROR(__xludf.DUMMYFUNCTION("SPLIT(A11694,"" "")"),"Cc1cc(C)c(CN(Cc2ccccn2)Cc2cc(CN(Cc3ccccn3)Cc3ccccn3)cnc2C2CC(C)(C)C2)nc1C")</f>
        <v>Cc1cc(C)c(CN(Cc2ccccn2)Cc2cc(CN(Cc3ccccn3)Cc3ccccn3)cnc2C2CC(C)(C)C2)nc1C</v>
      </c>
      <c r="C11694" s="7">
        <f>IFERROR(__xludf.DUMMYFUNCTION("""COMPUTED_VALUE"""),7.7611227)</f>
        <v>7.7611227</v>
      </c>
      <c r="D11694" s="7">
        <f>IFERROR(__xludf.DUMMYFUNCTION("""COMPUTED_VALUE"""),0.357142857142857)</f>
        <v>0.3571428571</v>
      </c>
    </row>
    <row r="11695">
      <c r="A11695" s="10" t="s">
        <v>13134</v>
      </c>
      <c r="B11695" s="7" t="str">
        <f>IFERROR(__xludf.DUMMYFUNCTION("SPLIT(A11695,"" "")"),"CN(C)Cc1ncccc1N(C)C1C=CC=CN1")</f>
        <v>CN(C)Cc1ncccc1N(C)C1C=CC=CN1</v>
      </c>
      <c r="C11695" s="7">
        <f>IFERROR(__xludf.DUMMYFUNCTION("""COMPUTED_VALUE"""),7.761111)</f>
        <v>7.761111</v>
      </c>
      <c r="D11695" s="7">
        <f>IFERROR(__xludf.DUMMYFUNCTION("""COMPUTED_VALUE"""),0.377358490566037)</f>
        <v>0.3773584906</v>
      </c>
    </row>
    <row r="11696">
      <c r="A11696" s="10" t="s">
        <v>13135</v>
      </c>
      <c r="B11696" s="7" t="str">
        <f>IFERROR(__xludf.DUMMYFUNCTION("SPLIT(A11696,"" "")"),"Cc1cccnc1CN(C)C1CCCC(N(C)c2ccc3c(CF)ccnc3c2)C1")</f>
        <v>Cc1cccnc1CN(C)C1CCCC(N(C)c2ccc3c(CF)ccnc3c2)C1</v>
      </c>
      <c r="C11696" s="7">
        <f>IFERROR(__xludf.DUMMYFUNCTION("""COMPUTED_VALUE"""),7.7611094)</f>
        <v>7.7611094</v>
      </c>
      <c r="D11696" s="7">
        <f>IFERROR(__xludf.DUMMYFUNCTION("""COMPUTED_VALUE"""),0.272727272727272)</f>
        <v>0.2727272727</v>
      </c>
    </row>
    <row r="11697">
      <c r="A11697" s="10" t="s">
        <v>13136</v>
      </c>
      <c r="B11697" s="7" t="str">
        <f>IFERROR(__xludf.DUMMYFUNCTION("SPLIT(A11697,"" "")"),"CN(C1=CCC=CN1)C1CCCCC1N(C)c1ccc2nccc(CF)c2c1")</f>
        <v>CN(C1=CCC=CN1)C1CCCCC1N(C)c1ccc2nccc(CF)c2c1</v>
      </c>
      <c r="C11697" s="7">
        <f>IFERROR(__xludf.DUMMYFUNCTION("""COMPUTED_VALUE"""),7.761109)</f>
        <v>7.761109</v>
      </c>
      <c r="D11697" s="7">
        <f>IFERROR(__xludf.DUMMYFUNCTION("""COMPUTED_VALUE"""),0.323529411764705)</f>
        <v>0.3235294118</v>
      </c>
    </row>
    <row r="11698">
      <c r="A11698" s="10" t="s">
        <v>13137</v>
      </c>
      <c r="B11698" s="7" t="str">
        <f>IFERROR(__xludf.DUMMYFUNCTION("SPLIT(A11698,"" "")"),"Cc1ccnc(CN(C)Cc2cncc(CN(C)C)c2)c1C")</f>
        <v>Cc1ccnc(CN(C)Cc2cncc(CN(C)C)c2)c1C</v>
      </c>
      <c r="C11698" s="7">
        <f>IFERROR(__xludf.DUMMYFUNCTION("""COMPUTED_VALUE"""),7.7610974)</f>
        <v>7.7610974</v>
      </c>
      <c r="D11698" s="7">
        <f>IFERROR(__xludf.DUMMYFUNCTION("""COMPUTED_VALUE"""),0.270833333333333)</f>
        <v>0.2708333333</v>
      </c>
    </row>
    <row r="11699">
      <c r="A11699" s="10" t="s">
        <v>13138</v>
      </c>
      <c r="B11699" s="7" t="str">
        <f>IFERROR(__xludf.DUMMYFUNCTION("SPLIT(A11699,"" "")"),"CC1=C(N(C)Cc2ccccn2)CCC(C)C1c1cccc(CN(Cc2ccccn2)C2CCC(N(C)c3ccc4ncccc4c3)CC2)n1")</f>
        <v>CC1=C(N(C)Cc2ccccn2)CCC(C)C1c1cccc(CN(Cc2ccccn2)C2CCC(N(C)c3ccc4ncccc4c3)CC2)n1</v>
      </c>
      <c r="C11699" s="7">
        <f>IFERROR(__xludf.DUMMYFUNCTION("""COMPUTED_VALUE"""),7.761085)</f>
        <v>7.761085</v>
      </c>
      <c r="D11699" s="7">
        <f>IFERROR(__xludf.DUMMYFUNCTION("""COMPUTED_VALUE"""),0.315068493150684)</f>
        <v>0.3150684932</v>
      </c>
    </row>
    <row r="11700">
      <c r="A11700" s="10" t="s">
        <v>13139</v>
      </c>
      <c r="B11700" s="7" t="str">
        <f>IFERROR(__xludf.DUMMYFUNCTION("SPLIT(A11700,"" "")"),"Cc1cncc(CN(C)C2=C(CN(C)Cc3ccccn3)NC=CC2)c1")</f>
        <v>Cc1cncc(CN(C)C2=C(CN(C)Cc3ccccn3)NC=CC2)c1</v>
      </c>
      <c r="C11700" s="7">
        <f>IFERROR(__xludf.DUMMYFUNCTION("""COMPUTED_VALUE"""),7.7610765)</f>
        <v>7.7610765</v>
      </c>
      <c r="D11700" s="7">
        <f>IFERROR(__xludf.DUMMYFUNCTION("""COMPUTED_VALUE"""),0.360655737704918)</f>
        <v>0.3606557377</v>
      </c>
    </row>
    <row r="11701">
      <c r="A11701" s="10" t="s">
        <v>13140</v>
      </c>
      <c r="B11701" s="7" t="str">
        <f>IFERROR(__xludf.DUMMYFUNCTION("SPLIT(A11701,"" "")"),"CCN(CC1=CCC(N(C)Cc2ncccc2C)=CN1)Cc1ncc(C)c(C)c1C")</f>
        <v>CCN(CC1=CCC(N(C)Cc2ncccc2C)=CN1)Cc1ncc(C)c(C)c1C</v>
      </c>
      <c r="C11701" s="7">
        <f>IFERROR(__xludf.DUMMYFUNCTION("""COMPUTED_VALUE"""),7.7610755)</f>
        <v>7.7610755</v>
      </c>
      <c r="D11701" s="7">
        <f>IFERROR(__xludf.DUMMYFUNCTION("""COMPUTED_VALUE"""),0.294117647058823)</f>
        <v>0.2941176471</v>
      </c>
    </row>
    <row r="11702">
      <c r="A11702" s="10" t="s">
        <v>13141</v>
      </c>
      <c r="B11702" s="7" t="str">
        <f>IFERROR(__xludf.DUMMYFUNCTION("SPLIT(A11702,"" "")"),"CN(C)c1cccc(-c2cccc(CN(Cc3cccc(-c4ccc5c(c4)OCCOCCOCCOCCOCCO5)n3)Cc3ccc4ccccc4n3)n2)c1")</f>
        <v>CN(C)c1cccc(-c2cccc(CN(Cc3cccc(-c4ccc5c(c4)OCCOCCOCCOCCOCCO5)n3)Cc3ccc4ccccc4n3)n2)c1</v>
      </c>
      <c r="C11702" s="7">
        <f>IFERROR(__xludf.DUMMYFUNCTION("""COMPUTED_VALUE"""),7.761073)</f>
        <v>7.761073</v>
      </c>
      <c r="D11702" s="7">
        <f>IFERROR(__xludf.DUMMYFUNCTION("""COMPUTED_VALUE"""),0.410714285714285)</f>
        <v>0.4107142857</v>
      </c>
    </row>
    <row r="11703">
      <c r="A11703" s="10" t="s">
        <v>13142</v>
      </c>
      <c r="B11703" s="7" t="str">
        <f>IFERROR(__xludf.DUMMYFUNCTION("SPLIT(A11703,"" "")"),"CCN(Cc1ccccn1)Cc1ccc2cccc(N(C)CC3=CC(C)C(C)CC3C)c2n1")</f>
        <v>CCN(Cc1ccccn1)Cc1ccc2cccc(N(C)CC3=CC(C)C(C)CC3C)c2n1</v>
      </c>
      <c r="C11703" s="7">
        <f>IFERROR(__xludf.DUMMYFUNCTION("""COMPUTED_VALUE"""),7.761066)</f>
        <v>7.761066</v>
      </c>
      <c r="D11703" s="7">
        <f>IFERROR(__xludf.DUMMYFUNCTION("""COMPUTED_VALUE"""),0.393442622950819)</f>
        <v>0.393442623</v>
      </c>
    </row>
    <row r="11704">
      <c r="A11704" s="10" t="s">
        <v>13143</v>
      </c>
      <c r="B11704" s="7" t="str">
        <f>IFERROR(__xludf.DUMMYFUNCTION("SPLIT(A11704,"" "")"),"CCN(CC1=CCC=C(N(C)Cc2ncccc2C)N1)Cc1ccccn1")</f>
        <v>CCN(CC1=CCC=C(N(C)Cc2ncccc2C)N1)Cc1ccccn1</v>
      </c>
      <c r="C11704" s="7">
        <f>IFERROR(__xludf.DUMMYFUNCTION("""COMPUTED_VALUE"""),7.7610645)</f>
        <v>7.7610645</v>
      </c>
      <c r="D11704" s="7">
        <f>IFERROR(__xludf.DUMMYFUNCTION("""COMPUTED_VALUE"""),0.440677966101694)</f>
        <v>0.4406779661</v>
      </c>
    </row>
    <row r="11705">
      <c r="A11705" s="10" t="s">
        <v>13144</v>
      </c>
      <c r="B11705" s="7" t="str">
        <f>IFERROR(__xludf.DUMMYFUNCTION("SPLIT(A11705,"" "")"),"CC(C)C(C)N(C)CCN(C)c1ccc2nc(CN(C)C)ccc2c1")</f>
        <v>CC(C)C(C)N(C)CCN(C)c1ccc2nc(CN(C)C)ccc2c1</v>
      </c>
      <c r="C11705" s="7">
        <f>IFERROR(__xludf.DUMMYFUNCTION("""COMPUTED_VALUE"""),7.7610574)</f>
        <v>7.7610574</v>
      </c>
      <c r="D11705" s="7">
        <f>IFERROR(__xludf.DUMMYFUNCTION("""COMPUTED_VALUE"""),0.326086956521739)</f>
        <v>0.3260869565</v>
      </c>
    </row>
    <row r="11706">
      <c r="A11706" s="10" t="s">
        <v>13145</v>
      </c>
      <c r="B11706" s="7" t="str">
        <f>IFERROR(__xludf.DUMMYFUNCTION("SPLIT(A11706,"" "")"),"CCOC(C)c1cccc(CN(Cc2ccccn2)Cc2cc(C(C)(C)c3ccccn3)ccn2)n1")</f>
        <v>CCOC(C)c1cccc(CN(Cc2ccccn2)Cc2cc(C(C)(C)c3ccccn3)ccn2)n1</v>
      </c>
      <c r="C11706" s="7">
        <f>IFERROR(__xludf.DUMMYFUNCTION("""COMPUTED_VALUE"""),7.7610564)</f>
        <v>7.7610564</v>
      </c>
      <c r="D11706" s="7">
        <f>IFERROR(__xludf.DUMMYFUNCTION("""COMPUTED_VALUE"""),0.388059701492537)</f>
        <v>0.3880597015</v>
      </c>
    </row>
    <row r="11707">
      <c r="A11707" s="10" t="s">
        <v>13146</v>
      </c>
      <c r="B11707" s="7" t="str">
        <f>IFERROR(__xludf.DUMMYFUNCTION("SPLIT(A11707,"" "")"),"Cc1cnc(CN(C)CC2=CC(N(C)Cc3nc(C)c(C)c(C)c3C)C=CN2)c(C)c1")</f>
        <v>Cc1cnc(CN(C)CC2=CC(N(C)Cc3nc(C)c(C)c(C)c3C)C=CN2)c(C)c1</v>
      </c>
      <c r="C11707" s="7">
        <f>IFERROR(__xludf.DUMMYFUNCTION("""COMPUTED_VALUE"""),7.761052)</f>
        <v>7.761052</v>
      </c>
      <c r="D11707" s="7">
        <f>IFERROR(__xludf.DUMMYFUNCTION("""COMPUTED_VALUE"""),0.287878787878787)</f>
        <v>0.2878787879</v>
      </c>
    </row>
    <row r="11708">
      <c r="A11708" s="10" t="s">
        <v>13147</v>
      </c>
      <c r="B11708" s="7" t="str">
        <f>IFERROR(__xludf.DUMMYFUNCTION("SPLIT(A11708,"" "")"),"CN(c1ccc2nc(C3C=CC=CN3)ccc2c1)C1CCCCC1N(Cc1ccccn1)Cc1cccc(C(C)(C)C)n1")</f>
        <v>CN(c1ccc2nc(C3C=CC=CN3)ccc2c1)C1CCCCC1N(Cc1ccccn1)Cc1cccc(C(C)(C)C)n1</v>
      </c>
      <c r="C11708" s="7">
        <f>IFERROR(__xludf.DUMMYFUNCTION("""COMPUTED_VALUE"""),7.7610483)</f>
        <v>7.7610483</v>
      </c>
      <c r="D11708" s="7">
        <f>IFERROR(__xludf.DUMMYFUNCTION("""COMPUTED_VALUE"""),0.356164383561643)</f>
        <v>0.3561643836</v>
      </c>
    </row>
    <row r="11709">
      <c r="A11709" s="10" t="s">
        <v>13148</v>
      </c>
      <c r="B11709" s="7" t="str">
        <f>IFERROR(__xludf.DUMMYFUNCTION("SPLIT(A11709,"" "")"),"Cc1nc(CN(C)C2CCCC(N(Cc3ccccn3)Cc3cccnc3-c3cccc(N(Cc4ccccn4)C(C)C)c3)C2)c(C)c(C)c1C")</f>
        <v>Cc1nc(CN(C)C2CCCC(N(Cc3ccccn3)Cc3cccnc3-c3cccc(N(Cc4ccccn4)C(C)C)c3)C2)c(C)c(C)c1C</v>
      </c>
      <c r="C11709" s="7">
        <f>IFERROR(__xludf.DUMMYFUNCTION("""COMPUTED_VALUE"""),7.761044)</f>
        <v>7.761044</v>
      </c>
      <c r="D11709" s="7">
        <f>IFERROR(__xludf.DUMMYFUNCTION("""COMPUTED_VALUE"""),0.31578947368421)</f>
        <v>0.3157894737</v>
      </c>
    </row>
    <row r="11710">
      <c r="A11710" s="10" t="s">
        <v>13149</v>
      </c>
      <c r="B11710" s="7" t="str">
        <f>IFERROR(__xludf.DUMMYFUNCTION("SPLIT(A11710,"" "")"),"CN(c1cccc(CN(Cc2ccccn2)C2C=CC=CN2)n1)C(C)(C)c1cccnc1")</f>
        <v>CN(c1cccc(CN(Cc2ccccn2)C2C=CC=CN2)n1)C(C)(C)c1cccnc1</v>
      </c>
      <c r="C11710" s="7">
        <f>IFERROR(__xludf.DUMMYFUNCTION("""COMPUTED_VALUE"""),7.761036)</f>
        <v>7.761036</v>
      </c>
      <c r="D11710" s="7">
        <f>IFERROR(__xludf.DUMMYFUNCTION("""COMPUTED_VALUE"""),0.393939393939393)</f>
        <v>0.3939393939</v>
      </c>
    </row>
    <row r="11711">
      <c r="A11711" s="10" t="s">
        <v>13150</v>
      </c>
      <c r="B11711" s="7" t="str">
        <f>IFERROR(__xludf.DUMMYFUNCTION("SPLIT(A11711,"" "")"),"Cc1ccc(CN(Cc2ccccn2)C2CCC(N(C)c3cccc4ccc(CF)nc34)CC2)nc1C")</f>
        <v>Cc1ccc(CN(Cc2ccccn2)C2CCC(N(C)c3cccc4ccc(CF)nc34)CC2)nc1C</v>
      </c>
      <c r="C11711" s="7">
        <f>IFERROR(__xludf.DUMMYFUNCTION("""COMPUTED_VALUE"""),7.761031)</f>
        <v>7.761031</v>
      </c>
      <c r="D11711" s="7">
        <f>IFERROR(__xludf.DUMMYFUNCTION("""COMPUTED_VALUE"""),0.5)</f>
        <v>0.5</v>
      </c>
    </row>
    <row r="11712">
      <c r="A11712" s="10" t="s">
        <v>13151</v>
      </c>
      <c r="B11712" s="7" t="str">
        <f>IFERROR(__xludf.DUMMYFUNCTION("SPLIT(A11712,"" "")"),"CCN(CC1=CCC(N(C)Cc2cc(C)ccn2)=CN1)Cc1cc(C)c(C)c(C)n1")</f>
        <v>CCN(CC1=CCC(N(C)Cc2cc(C)ccn2)=CN1)Cc1cc(C)c(C)c(C)n1</v>
      </c>
      <c r="C11712" s="7">
        <f>IFERROR(__xludf.DUMMYFUNCTION("""COMPUTED_VALUE"""),7.7610297)</f>
        <v>7.7610297</v>
      </c>
      <c r="D11712" s="7">
        <f>IFERROR(__xludf.DUMMYFUNCTION("""COMPUTED_VALUE"""),0.289855072463768)</f>
        <v>0.2898550725</v>
      </c>
    </row>
    <row r="11713">
      <c r="A11713" s="10" t="s">
        <v>13152</v>
      </c>
      <c r="B11713" s="7" t="str">
        <f>IFERROR(__xludf.DUMMYFUNCTION("SPLIT(A11713,"" "")"),"CNC1C(N(Cc2nc(C)c(C)c(C)c2C)Cc2nc(C)c(C)c(C)c2C)CCC(NCc2nc(C)c(C)cc2C)C1N(Cc1nc(C)c(C)c(C)c1C)Cc1nc(C)c(C)c(C)c1C")</f>
        <v>CNC1C(N(Cc2nc(C)c(C)c(C)c2C)Cc2nc(C)c(C)c(C)c2C)CCC(NCc2nc(C)c(C)cc2C)C1N(Cc1nc(C)c(C)c(C)c1C)Cc1nc(C)c(C)c(C)c1C</v>
      </c>
      <c r="C11713" s="7">
        <f>IFERROR(__xludf.DUMMYFUNCTION("""COMPUTED_VALUE"""),7.7610245)</f>
        <v>7.7610245</v>
      </c>
      <c r="D11713" s="7">
        <f>IFERROR(__xludf.DUMMYFUNCTION("""COMPUTED_VALUE"""),0.194029850746268)</f>
        <v>0.1940298507</v>
      </c>
    </row>
    <row r="11714">
      <c r="A11714" s="10" t="s">
        <v>13153</v>
      </c>
      <c r="B11714" s="7" t="str">
        <f>IFERROR(__xludf.DUMMYFUNCTION("SPLIT(A11714,"" "")"),"Cc1ccnc(CN(C)C2=C(CN(Cc3ccccn3)C(C)C)NC=CC2)c1C")</f>
        <v>Cc1ccnc(CN(C)C2=C(CN(Cc3ccccn3)C(C)C)NC=CC2)c1C</v>
      </c>
      <c r="C11714" s="7">
        <f>IFERROR(__xludf.DUMMYFUNCTION("""COMPUTED_VALUE"""),7.76102)</f>
        <v>7.76102</v>
      </c>
      <c r="D11714" s="7">
        <f>IFERROR(__xludf.DUMMYFUNCTION("""COMPUTED_VALUE"""),0.428571428571428)</f>
        <v>0.4285714286</v>
      </c>
    </row>
    <row r="11715">
      <c r="A11715" s="10" t="s">
        <v>13154</v>
      </c>
      <c r="B11715" s="7" t="str">
        <f>IFERROR(__xludf.DUMMYFUNCTION("SPLIT(A11715,"" "")"),"CN1CCN(C)CCN(Cc2cnccc2N(O)c2ccc3cccnc3c2)CC1")</f>
        <v>CN1CCN(C)CCN(Cc2cnccc2N(O)c2ccc3cccnc3c2)CC1</v>
      </c>
      <c r="C11715" s="7">
        <f>IFERROR(__xludf.DUMMYFUNCTION("""COMPUTED_VALUE"""),7.76102)</f>
        <v>7.76102</v>
      </c>
      <c r="D11715" s="7">
        <f>IFERROR(__xludf.DUMMYFUNCTION("""COMPUTED_VALUE"""),0.4)</f>
        <v>0.4</v>
      </c>
    </row>
    <row r="11716">
      <c r="A11716" s="10" t="s">
        <v>13155</v>
      </c>
      <c r="B11716" s="7" t="str">
        <f>IFERROR(__xludf.DUMMYFUNCTION("SPLIT(A11716,"" "")"),"CC(C)N(C)Cc1ccc(N(C)C2CCCC(N(C)c3cccc4nccc(CF)c34)C2)cn1")</f>
        <v>CC(C)N(C)Cc1ccc(N(C)C2CCCC(N(C)c3cccc4nccc(CF)c34)C2)cn1</v>
      </c>
      <c r="C11716" s="7">
        <f>IFERROR(__xludf.DUMMYFUNCTION("""COMPUTED_VALUE"""),7.761016)</f>
        <v>7.761016</v>
      </c>
      <c r="D11716" s="7">
        <f>IFERROR(__xludf.DUMMYFUNCTION("""COMPUTED_VALUE"""),0.305555555555555)</f>
        <v>0.3055555556</v>
      </c>
    </row>
    <row r="11717">
      <c r="A11717" s="10" t="s">
        <v>13156</v>
      </c>
      <c r="B11717" s="7" t="str">
        <f>IFERROR(__xludf.DUMMYFUNCTION("SPLIT(A11717,"" "")"),"Cc1cc(CN(C)C2CCCCC2N(C)c2ccc3ncccc3c2)nc(C)c1C")</f>
        <v>Cc1cc(CN(C)C2CCCCC2N(C)c2ccc3ncccc3c2)nc(C)c1C</v>
      </c>
      <c r="C11717" s="7">
        <f>IFERROR(__xludf.DUMMYFUNCTION("""COMPUTED_VALUE"""),7.761016)</f>
        <v>7.761016</v>
      </c>
      <c r="D11717" s="7">
        <f>IFERROR(__xludf.DUMMYFUNCTION("""COMPUTED_VALUE"""),0.454545454545454)</f>
        <v>0.4545454545</v>
      </c>
    </row>
    <row r="11718">
      <c r="A11718" s="10" t="s">
        <v>13157</v>
      </c>
      <c r="B11718" s="7" t="str">
        <f>IFERROR(__xludf.DUMMYFUNCTION("SPLIT(A11718,"" "")"),"CN(CC1C(N(C)Cc2ccccn2)CCN1C)c1ccc2cccnc2c1")</f>
        <v>CN(CC1C(N(C)Cc2ccccn2)CCN1C)c1ccc2cccnc2c1</v>
      </c>
      <c r="C11718" s="7">
        <f>IFERROR(__xludf.DUMMYFUNCTION("""COMPUTED_VALUE"""),7.761014)</f>
        <v>7.761014</v>
      </c>
      <c r="D11718" s="7">
        <f>IFERROR(__xludf.DUMMYFUNCTION("""COMPUTED_VALUE"""),0.456140350877192)</f>
        <v>0.4561403509</v>
      </c>
    </row>
    <row r="11719">
      <c r="A11719" s="10" t="s">
        <v>13158</v>
      </c>
      <c r="B11719" s="7" t="str">
        <f>IFERROR(__xludf.DUMMYFUNCTION("SPLIT(A11719,"" "")"),"Cc1cnc(CN(C)Cc2ncccc2C(C)(C)C)c(C)c1C")</f>
        <v>Cc1cnc(CN(C)Cc2ncccc2C(C)(C)C)c(C)c1C</v>
      </c>
      <c r="C11719" s="7">
        <f>IFERROR(__xludf.DUMMYFUNCTION("""COMPUTED_VALUE"""),7.7610087)</f>
        <v>7.7610087</v>
      </c>
      <c r="D11719" s="7">
        <f>IFERROR(__xludf.DUMMYFUNCTION("""COMPUTED_VALUE"""),0.307692307692307)</f>
        <v>0.3076923077</v>
      </c>
    </row>
    <row r="11720">
      <c r="A11720" s="10" t="s">
        <v>13159</v>
      </c>
      <c r="B11720" s="7" t="str">
        <f>IFERROR(__xludf.DUMMYFUNCTION("SPLIT(A11720,"" "")"),"Cc1cc(C)c(C)cn1")</f>
        <v>Cc1cc(C)c(C)cn1</v>
      </c>
      <c r="C11720" s="7">
        <f>IFERROR(__xludf.DUMMYFUNCTION("""COMPUTED_VALUE"""),7.761005)</f>
        <v>7.761005</v>
      </c>
      <c r="D11720" s="7">
        <f>IFERROR(__xludf.DUMMYFUNCTION("""COMPUTED_VALUE"""),0.242424242424242)</f>
        <v>0.2424242424</v>
      </c>
    </row>
    <row r="11721">
      <c r="A11721" s="10" t="s">
        <v>13160</v>
      </c>
      <c r="B11721" s="7" t="str">
        <f>IFERROR(__xludf.DUMMYFUNCTION("SPLIT(A11721,"" "")"),"Nc1ccc(CN(Cc2ccc(N)cn2)Cc2cccc(F)n2)nc1")</f>
        <v>Nc1ccc(CN(Cc2ccc(N)cn2)Cc2cccc(F)n2)nc1</v>
      </c>
      <c r="C11721" s="7">
        <f>IFERROR(__xludf.DUMMYFUNCTION("""COMPUTED_VALUE"""),7.761003)</f>
        <v>7.761003</v>
      </c>
      <c r="D11721" s="7">
        <f>IFERROR(__xludf.DUMMYFUNCTION("""COMPUTED_VALUE"""),0.42)</f>
        <v>0.42</v>
      </c>
    </row>
    <row r="11722">
      <c r="A11722" s="10" t="s">
        <v>13161</v>
      </c>
      <c r="B11722" s="7" t="str">
        <f>IFERROR(__xludf.DUMMYFUNCTION("SPLIT(A11722,"" "")"),"CC(C)[Si](c1cncc(CN2CC(C3c4ccccc4CN3Cc3cccc([Si](C(C)C)(C(C)C)C(C)C)n3)=C3C=CC=CC32)c1)(C(C)C)C(C)C")</f>
        <v>CC(C)[Si](c1cncc(CN2CC(C3c4ccccc4CN3Cc3cccc([Si](C(C)C)(C(C)C)C(C)C)n3)=C3C=CC=CC32)c1)(C(C)C)C(C)C</v>
      </c>
      <c r="C11722" s="7">
        <f>IFERROR(__xludf.DUMMYFUNCTION("""COMPUTED_VALUE"""),7.761002)</f>
        <v>7.761002</v>
      </c>
      <c r="D11722" s="7">
        <f>IFERROR(__xludf.DUMMYFUNCTION("""COMPUTED_VALUE"""),0.384615384615384)</f>
        <v>0.3846153846</v>
      </c>
    </row>
    <row r="11723">
      <c r="A11723" s="10" t="s">
        <v>13162</v>
      </c>
      <c r="B11723" s="7" t="str">
        <f>IFERROR(__xludf.DUMMYFUNCTION("SPLIT(A11723,"" "")"),"CN(Cc1ccccn1)C1=CNC=CC1CN(C)C(C)(c1cccnc1)c1ccccn1")</f>
        <v>CN(Cc1ccccn1)C1=CNC=CC1CN(C)C(C)(c1cccnc1)c1ccccn1</v>
      </c>
      <c r="C11723" s="7">
        <f>IFERROR(__xludf.DUMMYFUNCTION("""COMPUTED_VALUE"""),7.7610016)</f>
        <v>7.7610016</v>
      </c>
      <c r="D11723" s="7">
        <f>IFERROR(__xludf.DUMMYFUNCTION("""COMPUTED_VALUE"""),0.349206349206349)</f>
        <v>0.3492063492</v>
      </c>
    </row>
    <row r="11724">
      <c r="A11724" s="10" t="s">
        <v>13163</v>
      </c>
      <c r="B11724" s="7" t="str">
        <f>IFERROR(__xludf.DUMMYFUNCTION("SPLIT(A11724,"" "")"),"CC(C)c1cccc(CN(Cc2ccccn2)C2CCC(N(C)c3ccc4nccc(CF)c4c3)CC2)n1")</f>
        <v>CC(C)c1cccc(CN(Cc2ccccn2)C2CCC(N(C)c3ccc4nccc(CF)c4c3)CC2)n1</v>
      </c>
      <c r="C11724" s="7">
        <f>IFERROR(__xludf.DUMMYFUNCTION("""COMPUTED_VALUE"""),7.760997)</f>
        <v>7.760997</v>
      </c>
      <c r="D11724" s="7">
        <f>IFERROR(__xludf.DUMMYFUNCTION("""COMPUTED_VALUE"""),0.333333333333333)</f>
        <v>0.3333333333</v>
      </c>
    </row>
    <row r="11725">
      <c r="A11725" s="10" t="s">
        <v>13164</v>
      </c>
      <c r="B11725" s="7" t="str">
        <f>IFERROR(__xludf.DUMMYFUNCTION("SPLIT(A11725,"" "")"),"CC(C)C(C)(c1ccccn1)N(Cc1ccccn1)C1CCC(N(C)Cc2cc(-c3ccc4ncccc4c3)ccn2)CC1")</f>
        <v>CC(C)C(C)(c1ccccn1)N(Cc1ccccn1)C1CCC(N(C)Cc2cc(-c3ccc4ncccc4c3)ccn2)CC1</v>
      </c>
      <c r="C11725" s="7">
        <f>IFERROR(__xludf.DUMMYFUNCTION("""COMPUTED_VALUE"""),7.7609963)</f>
        <v>7.7609963</v>
      </c>
      <c r="D11725" s="7">
        <f>IFERROR(__xludf.DUMMYFUNCTION("""COMPUTED_VALUE"""),0.35820895522388)</f>
        <v>0.3582089552</v>
      </c>
    </row>
    <row r="11726">
      <c r="A11726" s="10" t="s">
        <v>13165</v>
      </c>
      <c r="B11726" s="7" t="str">
        <f>IFERROR(__xludf.DUMMYFUNCTION("SPLIT(A11726,"" "")"),"Cc1cccc(CN(Cc2ncccc2C(C)N)C2CCC(N(C)c3ccc4nc(CF)ccc4c3)CC2)n1")</f>
        <v>Cc1cccc(CN(Cc2ncccc2C(C)N)C2CCC(N(C)c3ccc4nc(CF)ccc4c3)CC2)n1</v>
      </c>
      <c r="C11726" s="7">
        <f>IFERROR(__xludf.DUMMYFUNCTION("""COMPUTED_VALUE"""),7.7609954)</f>
        <v>7.7609954</v>
      </c>
      <c r="D11726" s="7">
        <f>IFERROR(__xludf.DUMMYFUNCTION("""COMPUTED_VALUE"""),0.323529411764705)</f>
        <v>0.3235294118</v>
      </c>
    </row>
    <row r="11727">
      <c r="A11727" s="10" t="s">
        <v>13166</v>
      </c>
      <c r="B11727" s="7" t="str">
        <f>IFERROR(__xludf.DUMMYFUNCTION("SPLIT(A11727,"" "")"),"Cc1cccc(CN(C)C2CCC(N(C)c3ccc4nccc(C)c4c3)CC2)c1C")</f>
        <v>Cc1cccc(CN(C)C2CCC(N(C)c3ccc4nccc(C)c4c3)CC2)c1C</v>
      </c>
      <c r="C11727" s="7">
        <f>IFERROR(__xludf.DUMMYFUNCTION("""COMPUTED_VALUE"""),7.760994)</f>
        <v>7.760994</v>
      </c>
      <c r="D11727" s="7">
        <f>IFERROR(__xludf.DUMMYFUNCTION("""COMPUTED_VALUE"""),0.258064516129032)</f>
        <v>0.2580645161</v>
      </c>
    </row>
    <row r="11728">
      <c r="A11728" s="10" t="s">
        <v>13167</v>
      </c>
      <c r="B11728" s="7" t="str">
        <f>IFERROR(__xludf.DUMMYFUNCTION("SPLIT(A11728,"" "")"),"CN(CC1=C(N(C)Cc2ccccn2)CC=CN1)Cc1cccnn1")</f>
        <v>CN(CC1=C(N(C)Cc2ccccn2)CC=CN1)Cc1cccnn1</v>
      </c>
      <c r="C11728" s="7">
        <f>IFERROR(__xludf.DUMMYFUNCTION("""COMPUTED_VALUE"""),7.7609897)</f>
        <v>7.7609897</v>
      </c>
      <c r="D11728" s="7">
        <f>IFERROR(__xludf.DUMMYFUNCTION("""COMPUTED_VALUE"""),0.48)</f>
        <v>0.48</v>
      </c>
    </row>
    <row r="11729">
      <c r="A11729" s="10" t="s">
        <v>13168</v>
      </c>
      <c r="B11729" s="7" t="str">
        <f>IFERROR(__xludf.DUMMYFUNCTION("SPLIT(A11729,"" "")"),"Cc1ccc(CN(Cc2ccccn2)C2CCC(N(C)c3ccc4nc(CN(C)C)ccc4c3)CC2)nc1")</f>
        <v>Cc1ccc(CN(Cc2ccccn2)C2CCC(N(C)c3ccc4nc(CN(C)C)ccc4c3)CC2)nc1</v>
      </c>
      <c r="C11729" s="7">
        <f>IFERROR(__xludf.DUMMYFUNCTION("""COMPUTED_VALUE"""),7.760985)</f>
        <v>7.760985</v>
      </c>
      <c r="D11729" s="7">
        <f>IFERROR(__xludf.DUMMYFUNCTION("""COMPUTED_VALUE"""),0.4)</f>
        <v>0.4</v>
      </c>
    </row>
    <row r="11730">
      <c r="A11730" s="10" t="s">
        <v>13169</v>
      </c>
      <c r="B11730" s="7" t="str">
        <f>IFERROR(__xludf.DUMMYFUNCTION("SPLIT(A11730,"" "")"),"Cc1cc(C)c(C)c(CN(C)CC2=CC(N(C)Cc3nc(C)cc(C)c3C)C=CN2)n1")</f>
        <v>Cc1cc(C)c(C)c(CN(C)CC2=CC(N(C)Cc3nc(C)cc(C)c3C)C=CN2)n1</v>
      </c>
      <c r="C11730" s="7">
        <f>IFERROR(__xludf.DUMMYFUNCTION("""COMPUTED_VALUE"""),7.760984)</f>
        <v>7.760984</v>
      </c>
      <c r="D11730" s="7">
        <f>IFERROR(__xludf.DUMMYFUNCTION("""COMPUTED_VALUE"""),0.333333333333333)</f>
        <v>0.3333333333</v>
      </c>
    </row>
    <row r="11731">
      <c r="A11731" s="10" t="s">
        <v>13170</v>
      </c>
      <c r="B11731" s="7" t="str">
        <f>IFERROR(__xludf.DUMMYFUNCTION("SPLIT(A11731,"" "")"),"CN(Cc1ccccn1)c1cccc(CN(Cc2ccccn2)Cc2cccc(C3CC(C)(C)C3)n2)c1")</f>
        <v>CN(Cc1ccccn1)c1cccc(CN(Cc2ccccn2)Cc2cccc(C3CC(C)(C)C3)n2)c1</v>
      </c>
      <c r="C11731" s="7">
        <f>IFERROR(__xludf.DUMMYFUNCTION("""COMPUTED_VALUE"""),7.7609787)</f>
        <v>7.7609787</v>
      </c>
      <c r="D11731" s="7">
        <f>IFERROR(__xludf.DUMMYFUNCTION("""COMPUTED_VALUE"""),0.413793103448275)</f>
        <v>0.4137931034</v>
      </c>
    </row>
    <row r="11732">
      <c r="A11732" s="10" t="s">
        <v>13171</v>
      </c>
      <c r="B11732" s="7" t="str">
        <f>IFERROR(__xludf.DUMMYFUNCTION("SPLIT(A11732,"" "")"),"COC(C)c1cc(CN(Cc2ccccn2)C2CCC(N(C)c3ccc4nccc(CN(C)C)c4c3)CC2)ccn1")</f>
        <v>COC(C)c1cc(CN(Cc2ccccn2)C2CCC(N(C)c3ccc4nccc(CN(C)C)c4c3)CC2)ccn1</v>
      </c>
      <c r="C11732" s="7">
        <f>IFERROR(__xludf.DUMMYFUNCTION("""COMPUTED_VALUE"""),7.7609787)</f>
        <v>7.7609787</v>
      </c>
      <c r="D11732" s="7">
        <f>IFERROR(__xludf.DUMMYFUNCTION("""COMPUTED_VALUE"""),0.301369863013698)</f>
        <v>0.301369863</v>
      </c>
    </row>
    <row r="11733">
      <c r="A11733" s="10" t="s">
        <v>13172</v>
      </c>
      <c r="B11733" s="7" t="str">
        <f>IFERROR(__xludf.DUMMYFUNCTION("SPLIT(A11733,"" "")"),"CC1=C(NCc2ccccn2)C=CNC1")</f>
        <v>CC1=C(NCc2ccccn2)C=CNC1</v>
      </c>
      <c r="C11733" s="7">
        <f>IFERROR(__xludf.DUMMYFUNCTION("""COMPUTED_VALUE"""),7.760975)</f>
        <v>7.760975</v>
      </c>
      <c r="D11733" s="7">
        <f>IFERROR(__xludf.DUMMYFUNCTION("""COMPUTED_VALUE"""),0.414634146341463)</f>
        <v>0.4146341463</v>
      </c>
    </row>
    <row r="11734">
      <c r="A11734" s="10" t="s">
        <v>13173</v>
      </c>
      <c r="B11734" s="7" t="str">
        <f>IFERROR(__xludf.DUMMYFUNCTION("SPLIT(A11734,"" "")"),"Cc1ccc(CN(Cc2ccccn2)C2CCC(N(C)c3ccc4nc(CF)ccc4c3)CC2)nc1C")</f>
        <v>Cc1ccc(CN(Cc2ccccn2)C2CCC(N(C)c3ccc4nc(CF)ccc4c3)CC2)nc1C</v>
      </c>
      <c r="C11734" s="7">
        <f>IFERROR(__xludf.DUMMYFUNCTION("""COMPUTED_VALUE"""),7.760975)</f>
        <v>7.760975</v>
      </c>
      <c r="D11734" s="7">
        <f>IFERROR(__xludf.DUMMYFUNCTION("""COMPUTED_VALUE"""),0.387096774193548)</f>
        <v>0.3870967742</v>
      </c>
    </row>
    <row r="11735">
      <c r="A11735" s="10" t="s">
        <v>13174</v>
      </c>
      <c r="B11735" s="7" t="str">
        <f>IFERROR(__xludf.DUMMYFUNCTION("SPLIT(A11735,"" "")"),"CC1C=CC(C)C(C)(C)C1N(C)Cc1cc(-c2cccc(N=Cc3ccccn3)c2)ccn1")</f>
        <v>CC1C=CC(C)C(C)(C)C1N(C)Cc1cc(-c2cccc(N=Cc3ccccn3)c2)ccn1</v>
      </c>
      <c r="C11735" s="7">
        <f>IFERROR(__xludf.DUMMYFUNCTION("""COMPUTED_VALUE"""),7.760972)</f>
        <v>7.760972</v>
      </c>
      <c r="D11735" s="7">
        <f>IFERROR(__xludf.DUMMYFUNCTION("""COMPUTED_VALUE"""),0.313432835820895)</f>
        <v>0.3134328358</v>
      </c>
    </row>
    <row r="11736">
      <c r="A11736" s="10" t="s">
        <v>13175</v>
      </c>
      <c r="B11736" s="7" t="str">
        <f>IFERROR(__xludf.DUMMYFUNCTION("SPLIT(A11736,"" "")"),"Cc1cc(C)c(C)c(CN(C)C2CCCC(N(Cc3ccccn3)Cc3ccncc3-c3cccc(N(C)C)c3)C2)n1")</f>
        <v>Cc1cc(C)c(C)c(CN(C)C2CCCC(N(Cc3ccccn3)Cc3ccncc3-c3cccc(N(C)C)c3)C2)n1</v>
      </c>
      <c r="C11736" s="7">
        <f>IFERROR(__xludf.DUMMYFUNCTION("""COMPUTED_VALUE"""),7.7609706)</f>
        <v>7.7609706</v>
      </c>
      <c r="D11736" s="7">
        <f>IFERROR(__xludf.DUMMYFUNCTION("""COMPUTED_VALUE"""),0.32)</f>
        <v>0.32</v>
      </c>
    </row>
    <row r="11737">
      <c r="A11737" s="10" t="s">
        <v>13176</v>
      </c>
      <c r="B11737" s="7" t="str">
        <f>IFERROR(__xludf.DUMMYFUNCTION("SPLIT(A11737,"" "")"),"CN(C)Cc1cnc2cc(N(C)C3CCCC(N(Cc4ccccn4)Cc4cccnn4)C3)ccc2c1")</f>
        <v>CN(C)Cc1cnc2cc(N(C)C3CCCC(N(Cc4ccccn4)Cc4cccnn4)C3)ccc2c1</v>
      </c>
      <c r="C11737" s="7">
        <f>IFERROR(__xludf.DUMMYFUNCTION("""COMPUTED_VALUE"""),7.76097)</f>
        <v>7.76097</v>
      </c>
      <c r="D11737" s="7">
        <f>IFERROR(__xludf.DUMMYFUNCTION("""COMPUTED_VALUE"""),0.387096774193548)</f>
        <v>0.3870967742</v>
      </c>
    </row>
    <row r="11738">
      <c r="A11738" s="10" t="s">
        <v>13177</v>
      </c>
      <c r="B11738" s="7" t="str">
        <f>IFERROR(__xludf.DUMMYFUNCTION("SPLIT(A11738,"" "")"),"CN1CCN(C)CCN(Cc2cccnc2N(C)c2ccc3c(CF)ccnc3c2)CC1")</f>
        <v>CN1CCN(C)CCN(Cc2cccnc2N(C)c2ccc3c(CF)ccnc3c2)CC1</v>
      </c>
      <c r="C11738" s="7">
        <f>IFERROR(__xludf.DUMMYFUNCTION("""COMPUTED_VALUE"""),7.7609677)</f>
        <v>7.7609677</v>
      </c>
      <c r="D11738" s="7">
        <f>IFERROR(__xludf.DUMMYFUNCTION("""COMPUTED_VALUE"""),0.4)</f>
        <v>0.4</v>
      </c>
    </row>
    <row r="11739">
      <c r="A11739" s="10" t="s">
        <v>13178</v>
      </c>
      <c r="B11739" s="7" t="str">
        <f>IFERROR(__xludf.DUMMYFUNCTION("SPLIT(A11739,"" "")"),"CCN(Cc1ccccn1)Cc1cccc(C2=NC(C)C(C)O2)n1")</f>
        <v>CCN(Cc1ccccn1)Cc1cccc(C2=NC(C)C(C)O2)n1</v>
      </c>
      <c r="C11739" s="7">
        <f>IFERROR(__xludf.DUMMYFUNCTION("""COMPUTED_VALUE"""),7.7609673)</f>
        <v>7.7609673</v>
      </c>
      <c r="D11739" s="7">
        <f>IFERROR(__xludf.DUMMYFUNCTION("""COMPUTED_VALUE"""),0.470588235294117)</f>
        <v>0.4705882353</v>
      </c>
    </row>
    <row r="11740">
      <c r="A11740" s="10" t="s">
        <v>13179</v>
      </c>
      <c r="B11740" s="7" t="str">
        <f>IFERROR(__xludf.DUMMYFUNCTION("SPLIT(A11740,"" "")"),"Cc1cccnc1CN(C)C1CCCC(N(C)c2ccc3nccc(CF)c3c2)C1")</f>
        <v>Cc1cccnc1CN(C)C1CCCC(N(C)c2ccc3nccc(CF)c3c2)C1</v>
      </c>
      <c r="C11740" s="7">
        <f>IFERROR(__xludf.DUMMYFUNCTION("""COMPUTED_VALUE"""),7.7609625)</f>
        <v>7.7609625</v>
      </c>
      <c r="D11740" s="7">
        <f>IFERROR(__xludf.DUMMYFUNCTION("""COMPUTED_VALUE"""),0.26865671641791)</f>
        <v>0.2686567164</v>
      </c>
    </row>
    <row r="11741">
      <c r="A11741" s="10" t="s">
        <v>13180</v>
      </c>
      <c r="B11741" s="7" t="str">
        <f>IFERROR(__xludf.DUMMYFUNCTION("SPLIT(A11741,"" "")"),"CC(N)c1ccc(N(C)C)cc1")</f>
        <v>CC(N)c1ccc(N(C)C)cc1</v>
      </c>
      <c r="C11741" s="7">
        <f>IFERROR(__xludf.DUMMYFUNCTION("""COMPUTED_VALUE"""),7.760961)</f>
        <v>7.760961</v>
      </c>
      <c r="D11741" s="7">
        <f>IFERROR(__xludf.DUMMYFUNCTION("""COMPUTED_VALUE"""),0.175)</f>
        <v>0.175</v>
      </c>
    </row>
    <row r="11742">
      <c r="A11742" s="10" t="s">
        <v>13181</v>
      </c>
      <c r="B11742" s="7" t="str">
        <f>IFERROR(__xludf.DUMMYFUNCTION("SPLIT(A11742,"" "")"),"CN(CCN(C)Cc1ccccn1)Cc1ccc2ncccc2c1")</f>
        <v>CN(CCN(C)Cc1ccccn1)Cc1ccc2ncccc2c1</v>
      </c>
      <c r="C11742" s="7">
        <f>IFERROR(__xludf.DUMMYFUNCTION("""COMPUTED_VALUE"""),7.7609572)</f>
        <v>7.7609572</v>
      </c>
      <c r="D11742" s="7">
        <f>IFERROR(__xludf.DUMMYFUNCTION("""COMPUTED_VALUE"""),0.5)</f>
        <v>0.5</v>
      </c>
    </row>
    <row r="11743">
      <c r="A11743" s="10" t="s">
        <v>13182</v>
      </c>
      <c r="B11743" s="7" t="str">
        <f>IFERROR(__xludf.DUMMYFUNCTION("SPLIT(A11743,"" "")"),"Cc1ccc(N2CCN(C)CCN(Cc3ccc(-c4cccc(N=Cc5ccccn5)c4)cn3)CC2)cc1")</f>
        <v>Cc1ccc(N2CCN(C)CCN(Cc3ccc(-c4cccc(N=Cc5ccccn5)c4)cn3)CC2)cc1</v>
      </c>
      <c r="C11743" s="7">
        <f>IFERROR(__xludf.DUMMYFUNCTION("""COMPUTED_VALUE"""),7.7609525)</f>
        <v>7.7609525</v>
      </c>
      <c r="D11743" s="7">
        <f>IFERROR(__xludf.DUMMYFUNCTION("""COMPUTED_VALUE"""),0.412698412698412)</f>
        <v>0.4126984127</v>
      </c>
    </row>
    <row r="11744">
      <c r="A11744" s="10" t="s">
        <v>13183</v>
      </c>
      <c r="B11744" s="7" t="str">
        <f>IFERROR(__xludf.DUMMYFUNCTION("SPLIT(A11744,"" "")"),"COC(=O)C1CN(C)C(c2ccccn2)C(c2ncccc2CN(Cc2ccccn2)Cc2ccccn2)C1c1ccccn1")</f>
        <v>COC(=O)C1CN(C)C(c2ccccn2)C(c2ncccc2CN(Cc2ccccn2)Cc2ccccn2)C1c1ccccn1</v>
      </c>
      <c r="C11744" s="7">
        <f>IFERROR(__xludf.DUMMYFUNCTION("""COMPUTED_VALUE"""),7.7609515)</f>
        <v>7.7609515</v>
      </c>
      <c r="D11744" s="7">
        <f>IFERROR(__xludf.DUMMYFUNCTION("""COMPUTED_VALUE"""),0.344827586206896)</f>
        <v>0.3448275862</v>
      </c>
    </row>
    <row r="11745">
      <c r="A11745" s="10" t="s">
        <v>13184</v>
      </c>
      <c r="B11745" s="7" t="str">
        <f>IFERROR(__xludf.DUMMYFUNCTION("SPLIT(A11745,"" "")"),"CN(CC1=CNC(N(C)Cc2ccccn2)=CC1)Cc1ccccn1")</f>
        <v>CN(CC1=CNC(N(C)Cc2ccccn2)=CC1)Cc1ccccn1</v>
      </c>
      <c r="C11745" s="7">
        <f>IFERROR(__xludf.DUMMYFUNCTION("""COMPUTED_VALUE"""),7.7609496)</f>
        <v>7.7609496</v>
      </c>
      <c r="D11745" s="7">
        <f>IFERROR(__xludf.DUMMYFUNCTION("""COMPUTED_VALUE"""),0.448979591836734)</f>
        <v>0.4489795918</v>
      </c>
    </row>
    <row r="11746">
      <c r="A11746" s="10" t="s">
        <v>13185</v>
      </c>
      <c r="B11746" s="7" t="str">
        <f>IFERROR(__xludf.DUMMYFUNCTION("SPLIT(A11746,"" "")"),"Cc1cc(CN(C)Cc2cc(N)ccn2)cnc1C")</f>
        <v>Cc1cc(CN(C)Cc2cc(N)ccn2)cnc1C</v>
      </c>
      <c r="C11746" s="7">
        <f>IFERROR(__xludf.DUMMYFUNCTION("""COMPUTED_VALUE"""),7.7609463)</f>
        <v>7.7609463</v>
      </c>
      <c r="D11746" s="7">
        <f>IFERROR(__xludf.DUMMYFUNCTION("""COMPUTED_VALUE"""),0.319148936170212)</f>
        <v>0.3191489362</v>
      </c>
    </row>
    <row r="11747">
      <c r="A11747" s="10" t="s">
        <v>13186</v>
      </c>
      <c r="B11747" s="7" t="str">
        <f>IFERROR(__xludf.DUMMYFUNCTION("SPLIT(A11747,"" "")"),"C(=Nc1cccc(-c2ccc(CN(CCc3ccc(CCN(Cc4ccccn4)Cc4ccccn4)c(CCN(Cc4ccccn4)Cc4ccccn4)c3)Cc3ccccn3)nc2)c1)c1ccccn1")</f>
        <v>C(=Nc1cccc(-c2ccc(CN(CCc3ccc(CCN(Cc4ccccn4)Cc4ccccn4)c(CCN(Cc4ccccn4)Cc4ccccn4)c3)Cc3ccccn3)nc2)c1)c1ccccn1</v>
      </c>
      <c r="C11747" s="7">
        <f>IFERROR(__xludf.DUMMYFUNCTION("""COMPUTED_VALUE"""),7.7609386)</f>
        <v>7.7609386</v>
      </c>
      <c r="D11747" s="7">
        <f>IFERROR(__xludf.DUMMYFUNCTION("""COMPUTED_VALUE"""),0.328125)</f>
        <v>0.328125</v>
      </c>
    </row>
    <row r="11748">
      <c r="A11748" s="10" t="s">
        <v>13187</v>
      </c>
      <c r="B11748" s="7" t="str">
        <f>IFERROR(__xludf.DUMMYFUNCTION("SPLIT(A11748,"" "")"),"Cc1cc(CN(C)CCN(C)Cc2nc(C)c(C)c(C)c2C)nc(C)c1C")</f>
        <v>Cc1cc(CN(C)CCN(C)Cc2nc(C)c(C)c(C)c2C)nc(C)c1C</v>
      </c>
      <c r="C11748" s="7">
        <f>IFERROR(__xludf.DUMMYFUNCTION("""COMPUTED_VALUE"""),7.760937)</f>
        <v>7.760937</v>
      </c>
      <c r="D11748" s="7">
        <f>IFERROR(__xludf.DUMMYFUNCTION("""COMPUTED_VALUE"""),0.38095238095238)</f>
        <v>0.380952381</v>
      </c>
    </row>
    <row r="11749">
      <c r="A11749" s="10" t="s">
        <v>13188</v>
      </c>
      <c r="B11749" s="7" t="str">
        <f>IFERROR(__xludf.DUMMYFUNCTION("SPLIT(A11749,"" "")"),"CCN(Cc1ccccn1)c1ccc(-c2ccccn2)cc1-c1cc(CN(Cc2ccccn2)Cc2ncccc2-c2ccc3c(c2)OCCOCCOCCOCCOCCO3)ccn1")</f>
        <v>CCN(Cc1ccccn1)c1ccc(-c2ccccn2)cc1-c1cc(CN(Cc2ccccn2)Cc2ncccc2-c2ccc3c(c2)OCCOCCOCCOCCOCCO3)ccn1</v>
      </c>
      <c r="C11749" s="7">
        <f>IFERROR(__xludf.DUMMYFUNCTION("""COMPUTED_VALUE"""),7.7609353)</f>
        <v>7.7609353</v>
      </c>
      <c r="D11749" s="7">
        <f>IFERROR(__xludf.DUMMYFUNCTION("""COMPUTED_VALUE"""),0.309523809523809)</f>
        <v>0.3095238095</v>
      </c>
    </row>
    <row r="11750">
      <c r="A11750" s="10" t="s">
        <v>13189</v>
      </c>
      <c r="B11750" s="7" t="str">
        <f>IFERROR(__xludf.DUMMYFUNCTION("SPLIT(A11750,"" "")"),"CN1CCN(C)CCN(Cc2ncccc2-c2ccc3ncccc3c2)CC1")</f>
        <v>CN1CCN(C)CCN(Cc2ncccc2-c2ccc3ncccc3c2)CC1</v>
      </c>
      <c r="C11750" s="7">
        <f>IFERROR(__xludf.DUMMYFUNCTION("""COMPUTED_VALUE"""),7.7609315)</f>
        <v>7.7609315</v>
      </c>
      <c r="D11750" s="7">
        <f>IFERROR(__xludf.DUMMYFUNCTION("""COMPUTED_VALUE"""),0.4375)</f>
        <v>0.4375</v>
      </c>
    </row>
    <row r="11751">
      <c r="A11751" s="10" t="s">
        <v>13190</v>
      </c>
      <c r="B11751" s="7" t="str">
        <f>IFERROR(__xludf.DUMMYFUNCTION("SPLIT(A11751,"" "")"),"CNC1CCCCC1N(c1nc(C)c(C)c(C)c1C)c1nc(C)c(C)c(C)c1C")</f>
        <v>CNC1CCCCC1N(c1nc(C)c(C)c(C)c1C)c1nc(C)c(C)c(C)c1C</v>
      </c>
      <c r="C11751" s="7">
        <f>IFERROR(__xludf.DUMMYFUNCTION("""COMPUTED_VALUE"""),7.7609262)</f>
        <v>7.7609262</v>
      </c>
      <c r="D11751" s="7">
        <f>IFERROR(__xludf.DUMMYFUNCTION("""COMPUTED_VALUE"""),0.26)</f>
        <v>0.26</v>
      </c>
    </row>
    <row r="11752">
      <c r="A11752" s="10" t="s">
        <v>13191</v>
      </c>
      <c r="B11752" s="7" t="str">
        <f>IFERROR(__xludf.DUMMYFUNCTION("SPLIT(A11752,"" "")"),"CC(C)c1cccc(CN(Cc2ccccn2)C2CCC(N(C)c3ccc4cc(CN(C)C)cnc4c3)CC2)n1")</f>
        <v>CC(C)c1cccc(CN(Cc2ccccn2)C2CCC(N(C)c3ccc4cc(CN(C)C)cnc4c3)CC2)n1</v>
      </c>
      <c r="C11752" s="7">
        <f>IFERROR(__xludf.DUMMYFUNCTION("""COMPUTED_VALUE"""),7.7609186)</f>
        <v>7.7609186</v>
      </c>
      <c r="D11752" s="7">
        <f>IFERROR(__xludf.DUMMYFUNCTION("""COMPUTED_VALUE"""),0.328358208955223)</f>
        <v>0.328358209</v>
      </c>
    </row>
    <row r="11753">
      <c r="A11753" s="10" t="s">
        <v>13192</v>
      </c>
      <c r="B11753" s="7" t="str">
        <f>IFERROR(__xludf.DUMMYFUNCTION("SPLIT(A11753,"" "")"),"Cc1cccnc1CN(C)C1=C(CN(Cc2ncccc2C)C(C)C)NC=CC1")</f>
        <v>Cc1cccnc1CN(C)C1=C(CN(Cc2ncccc2C)C(C)C)NC=CC1</v>
      </c>
      <c r="C11753" s="7">
        <f>IFERROR(__xludf.DUMMYFUNCTION("""COMPUTED_VALUE"""),7.760915)</f>
        <v>7.760915</v>
      </c>
      <c r="D11753" s="7">
        <f>IFERROR(__xludf.DUMMYFUNCTION("""COMPUTED_VALUE"""),0.333333333333333)</f>
        <v>0.3333333333</v>
      </c>
    </row>
    <row r="11754">
      <c r="A11754" s="10" t="s">
        <v>13193</v>
      </c>
      <c r="B11754" s="7" t="str">
        <f>IFERROR(__xludf.DUMMYFUNCTION("SPLIT(A11754,"" "")"),"Cc1ccc(CN(Cc2ccccn2)C2CCC(N(C)c3ccc4nccc(CF)c4c3)CC2)nc1")</f>
        <v>Cc1ccc(CN(Cc2ccccn2)C2CCC(N(C)c3ccc4nccc(CF)c4c3)CC2)nc1</v>
      </c>
      <c r="C11754" s="7">
        <f>IFERROR(__xludf.DUMMYFUNCTION("""COMPUTED_VALUE"""),7.7609115)</f>
        <v>7.7609115</v>
      </c>
      <c r="D11754" s="7">
        <f>IFERROR(__xludf.DUMMYFUNCTION("""COMPUTED_VALUE"""),0.348484848484848)</f>
        <v>0.3484848485</v>
      </c>
    </row>
    <row r="11755">
      <c r="A11755" s="10" t="s">
        <v>13194</v>
      </c>
      <c r="B11755" s="7" t="str">
        <f>IFERROR(__xludf.DUMMYFUNCTION("SPLIT(A11755,"" "")"),"CN(CCN(C)c1ccc2c(CF)ccnc2c1)CNCF")</f>
        <v>CN(CCN(C)c1ccc2c(CF)ccnc2c1)CNCF</v>
      </c>
      <c r="C11755" s="7">
        <f>IFERROR(__xludf.DUMMYFUNCTION("""COMPUTED_VALUE"""),7.760906)</f>
        <v>7.760906</v>
      </c>
      <c r="D11755" s="7">
        <f>IFERROR(__xludf.DUMMYFUNCTION("""COMPUTED_VALUE"""),0.245614035087719)</f>
        <v>0.2456140351</v>
      </c>
    </row>
    <row r="11756">
      <c r="A11756" s="10" t="s">
        <v>13195</v>
      </c>
      <c r="B11756" s="7" t="str">
        <f>IFERROR(__xludf.DUMMYFUNCTION("SPLIT(A11756,"" "")"),"CC1=C(NCc2ccccn2)C(CN(Cc2ccccn2)C(C)(N)N(Cc2ncccc2C)C(C)C)c2cccnc2C1")</f>
        <v>CC1=C(NCc2ccccn2)C(CN(Cc2ccccn2)C(C)(N)N(Cc2ncccc2C)C(C)C)c2cccnc2C1</v>
      </c>
      <c r="C11756" s="7">
        <f>IFERROR(__xludf.DUMMYFUNCTION("""COMPUTED_VALUE"""),7.7609057)</f>
        <v>7.7609057</v>
      </c>
      <c r="D11756" s="7">
        <f>IFERROR(__xludf.DUMMYFUNCTION("""COMPUTED_VALUE"""),0.291666666666666)</f>
        <v>0.2916666667</v>
      </c>
    </row>
    <row r="11757">
      <c r="A11757" s="10" t="s">
        <v>13196</v>
      </c>
      <c r="B11757" s="7" t="str">
        <f>IFERROR(__xludf.DUMMYFUNCTION("SPLIT(A11757,"" "")"),"CN(C)Cc1ccnc2cc(N(C)C3CCC(N(Cc4ccccn4)Cc4cccc(C5CC(C)(C)C5)n4)CC3)ccc12")</f>
        <v>CN(C)Cc1ccnc2cc(N(C)C3CCC(N(Cc4ccccn4)Cc4cccc(C5CC(C)(C)C5)n4)CC3)ccc12</v>
      </c>
      <c r="C11757" s="7">
        <f>IFERROR(__xludf.DUMMYFUNCTION("""COMPUTED_VALUE"""),7.7609053)</f>
        <v>7.7609053</v>
      </c>
      <c r="D11757" s="7">
        <f>IFERROR(__xludf.DUMMYFUNCTION("""COMPUTED_VALUE"""),0.323943661971831)</f>
        <v>0.323943662</v>
      </c>
    </row>
    <row r="11758">
      <c r="A11758" s="10" t="s">
        <v>13197</v>
      </c>
      <c r="B11758" s="7" t="str">
        <f>IFERROR(__xludf.DUMMYFUNCTION("SPLIT(A11758,"" "")"),"CN(Cc1ncccc1-c1ccc2c(c1)OCCOCCOCCOCCOCCO2)C1CCCCC1N(C)c1ccc2nc(-c3ccc4ncccc4c3)ccc2c1")</f>
        <v>CN(Cc1ncccc1-c1ccc2c(c1)OCCOCCOCCOCCOCCO2)C1CCCCC1N(C)c1ccc2nc(-c3ccc4ncccc4c3)ccc2c1</v>
      </c>
      <c r="C11758" s="7">
        <f>IFERROR(__xludf.DUMMYFUNCTION("""COMPUTED_VALUE"""),7.7608976)</f>
        <v>7.7608976</v>
      </c>
      <c r="D11758" s="7">
        <f>IFERROR(__xludf.DUMMYFUNCTION("""COMPUTED_VALUE"""),0.311688311688311)</f>
        <v>0.3116883117</v>
      </c>
    </row>
    <row r="11759">
      <c r="A11759" s="10" t="s">
        <v>13198</v>
      </c>
      <c r="B11759" s="7" t="str">
        <f>IFERROR(__xludf.DUMMYFUNCTION("SPLIT(A11759,"" "")"),"Cc1ccon1")</f>
        <v>Cc1ccon1</v>
      </c>
      <c r="C11759" s="7">
        <f>IFERROR(__xludf.DUMMYFUNCTION("""COMPUTED_VALUE"""),7.760894)</f>
        <v>7.760894</v>
      </c>
      <c r="D11759" s="7">
        <f>IFERROR(__xludf.DUMMYFUNCTION("""COMPUTED_VALUE"""),0.379310344827586)</f>
        <v>0.3793103448</v>
      </c>
    </row>
    <row r="11760">
      <c r="A11760" s="10" t="s">
        <v>13199</v>
      </c>
      <c r="B11760" s="7" t="str">
        <f>IFERROR(__xludf.DUMMYFUNCTION("SPLIT(A11760,"" "")"),"Cc1cc(NCc2ccccn2)ccc1CN(C)C1CCCCC1N(C)c1ccc2cccnc2c1")</f>
        <v>Cc1cc(NCc2ccccn2)ccc1CN(C)C1CCCCC1N(C)c1ccc2cccnc2c1</v>
      </c>
      <c r="C11760" s="7">
        <f>IFERROR(__xludf.DUMMYFUNCTION("""COMPUTED_VALUE"""),7.7608924)</f>
        <v>7.7608924</v>
      </c>
      <c r="D11760" s="7">
        <f>IFERROR(__xludf.DUMMYFUNCTION("""COMPUTED_VALUE"""),0.444444444444444)</f>
        <v>0.4444444444</v>
      </c>
    </row>
    <row r="11761">
      <c r="A11761" s="10" t="s">
        <v>13200</v>
      </c>
      <c r="B11761" s="7" t="str">
        <f>IFERROR(__xludf.DUMMYFUNCTION("SPLIT(A11761,"" "")"),"Cc1ccccc1CN(C)CC1=C(N(C)Cc2ccccn2)CC=CN1")</f>
        <v>Cc1ccccc1CN(C)CC1=C(N(C)Cc2ccccn2)CC=CN1</v>
      </c>
      <c r="C11761" s="7">
        <f>IFERROR(__xludf.DUMMYFUNCTION("""COMPUTED_VALUE"""),7.760891)</f>
        <v>7.760891</v>
      </c>
      <c r="D11761" s="7">
        <f>IFERROR(__xludf.DUMMYFUNCTION("""COMPUTED_VALUE"""),0.389830508474576)</f>
        <v>0.3898305085</v>
      </c>
    </row>
    <row r="11762">
      <c r="A11762" s="10" t="s">
        <v>13201</v>
      </c>
      <c r="B11762" s="7" t="str">
        <f>IFERROR(__xludf.DUMMYFUNCTION("SPLIT(A11762,"" "")"),"Cc1ccnc(CN(Cc2cc(F)ccn2)C2CCCC(N(C)c3cccc4cccnc34)C2)c1")</f>
        <v>Cc1ccnc(CN(Cc2cc(F)ccn2)C2CCCC(N(C)c3cccc4cccnc34)C2)c1</v>
      </c>
      <c r="C11762" s="7">
        <f>IFERROR(__xludf.DUMMYFUNCTION("""COMPUTED_VALUE"""),7.760883)</f>
        <v>7.760883</v>
      </c>
      <c r="D11762" s="7">
        <f>IFERROR(__xludf.DUMMYFUNCTION("""COMPUTED_VALUE"""),0.457627118644067)</f>
        <v>0.4576271186</v>
      </c>
    </row>
    <row r="11763">
      <c r="A11763" s="10" t="s">
        <v>13202</v>
      </c>
      <c r="B11763" s="7" t="str">
        <f>IFERROR(__xludf.DUMMYFUNCTION("SPLIT(A11763,"" "")"),"Cc1cnc(CN(Cc2cccc(F)n2)Cc2ncccc2C)c(C)c1")</f>
        <v>Cc1cnc(CN(Cc2cccc(F)n2)Cc2ncccc2C)c(C)c1</v>
      </c>
      <c r="C11763" s="7">
        <f>IFERROR(__xludf.DUMMYFUNCTION("""COMPUTED_VALUE"""),7.760883)</f>
        <v>7.760883</v>
      </c>
      <c r="D11763" s="7">
        <f>IFERROR(__xludf.DUMMYFUNCTION("""COMPUTED_VALUE"""),0.375)</f>
        <v>0.375</v>
      </c>
    </row>
    <row r="11764">
      <c r="A11764" s="10" t="s">
        <v>13203</v>
      </c>
      <c r="B11764" s="7" t="str">
        <f>IFERROR(__xludf.DUMMYFUNCTION("SPLIT(A11764,"" "")"),"CC1C(N(C)Cc2ccccn2)=CCC(C(C)(C)CN(Cc2ccccn2)c2ccc3cccnc3c2)C1C")</f>
        <v>CC1C(N(C)Cc2ccccn2)=CCC(C(C)(C)CN(Cc2ccccn2)c2ccc3cccnc3c2)C1C</v>
      </c>
      <c r="C11764" s="7">
        <f>IFERROR(__xludf.DUMMYFUNCTION("""COMPUTED_VALUE"""),7.760881)</f>
        <v>7.760881</v>
      </c>
      <c r="D11764" s="7">
        <f>IFERROR(__xludf.DUMMYFUNCTION("""COMPUTED_VALUE"""),0.359375)</f>
        <v>0.359375</v>
      </c>
    </row>
    <row r="11765">
      <c r="A11765" s="10" t="s">
        <v>13204</v>
      </c>
      <c r="B11765" s="7" t="str">
        <f>IFERROR(__xludf.DUMMYFUNCTION("SPLIT(A11765,"" "")"),"Cc1ccccc1CN(C)Cc1cc(C(C)(C)c2ccccn2)ccn1")</f>
        <v>Cc1ccccc1CN(C)Cc1cc(C(C)(C)c2ccccn2)ccn1</v>
      </c>
      <c r="C11765" s="7">
        <f>IFERROR(__xludf.DUMMYFUNCTION("""COMPUTED_VALUE"""),7.7608714)</f>
        <v>7.7608714</v>
      </c>
      <c r="D11765" s="7">
        <f>IFERROR(__xludf.DUMMYFUNCTION("""COMPUTED_VALUE"""),0.37037037037037)</f>
        <v>0.3703703704</v>
      </c>
    </row>
    <row r="11766">
      <c r="A11766" s="10" t="s">
        <v>13205</v>
      </c>
      <c r="B11766" s="7" t="str">
        <f>IFERROR(__xludf.DUMMYFUNCTION("SPLIT(A11766,"" "")"),"CN(CC1=C(N(C)Cc2ccccn2)CC=CN1)Cc1ccccn1")</f>
        <v>CN(CC1=C(N(C)Cc2ccccn2)CC=CN1)Cc1ccccn1</v>
      </c>
      <c r="C11766" s="7">
        <f>IFERROR(__xludf.DUMMYFUNCTION("""COMPUTED_VALUE"""),7.7608595)</f>
        <v>7.7608595</v>
      </c>
      <c r="D11766" s="7">
        <f>IFERROR(__xludf.DUMMYFUNCTION("""COMPUTED_VALUE"""),0.448979591836734)</f>
        <v>0.4489795918</v>
      </c>
    </row>
    <row r="11767">
      <c r="A11767" s="10" t="s">
        <v>13206</v>
      </c>
      <c r="B11767" s="7" t="str">
        <f>IFERROR(__xludf.DUMMYFUNCTION("SPLIT(A11767,"" "")"),"Cc1cncc(CN(C)c2ccccc2-c2cnccc2CN(C)C2CCC(N(C)Cc3ccon3)CC2)c1C")</f>
        <v>Cc1cncc(CN(C)c2ccccc2-c2cnccc2CN(C)C2CCC(N(C)Cc3ccon3)CC2)c1C</v>
      </c>
      <c r="C11767" s="7">
        <f>IFERROR(__xludf.DUMMYFUNCTION("""COMPUTED_VALUE"""),7.7608547)</f>
        <v>7.7608547</v>
      </c>
      <c r="D11767" s="7">
        <f>IFERROR(__xludf.DUMMYFUNCTION("""COMPUTED_VALUE"""),0.296875)</f>
        <v>0.296875</v>
      </c>
    </row>
    <row r="11768">
      <c r="A11768" s="10" t="s">
        <v>13207</v>
      </c>
      <c r="B11768" s="7" t="str">
        <f>IFERROR(__xludf.DUMMYFUNCTION("SPLIT(A11768,"" "")"),"Cc1cccc(CN(Cc2ccccn2)C2CCC(N(C)Cc3cccc(-c4cccc(-c5ccccn5)c4)n3)CC2)n1")</f>
        <v>Cc1cccc(CN(Cc2ccccn2)C2CCC(N(C)Cc3cccc(-c4cccc(-c5ccccn5)c4)n3)CC2)n1</v>
      </c>
      <c r="C11768" s="7">
        <f>IFERROR(__xludf.DUMMYFUNCTION("""COMPUTED_VALUE"""),7.760853)</f>
        <v>7.760853</v>
      </c>
      <c r="D11768" s="7">
        <f>IFERROR(__xludf.DUMMYFUNCTION("""COMPUTED_VALUE"""),0.46774193548387)</f>
        <v>0.4677419355</v>
      </c>
    </row>
    <row r="11769">
      <c r="A11769" s="10" t="s">
        <v>13208</v>
      </c>
      <c r="B11769" s="7" t="str">
        <f>IFERROR(__xludf.DUMMYFUNCTION("SPLIT(A11769,"" "")"),"CC(C)NCc1ccc(C2=NC(C)(C)CO2)cn1")</f>
        <v>CC(C)NCc1ccc(C2=NC(C)(C)CO2)cn1</v>
      </c>
      <c r="C11769" s="7">
        <f>IFERROR(__xludf.DUMMYFUNCTION("""COMPUTED_VALUE"""),7.7608466)</f>
        <v>7.7608466</v>
      </c>
      <c r="D11769" s="7">
        <f>IFERROR(__xludf.DUMMYFUNCTION("""COMPUTED_VALUE"""),0.382978723404255)</f>
        <v>0.3829787234</v>
      </c>
    </row>
    <row r="11770">
      <c r="A11770" s="10" t="s">
        <v>13209</v>
      </c>
      <c r="B11770" s="7" t="str">
        <f>IFERROR(__xludf.DUMMYFUNCTION("SPLIT(A11770,"" "")"),"Cc1cnc(CN(C)Cc2cccnc2CN(C)C)c(C)c1")</f>
        <v>Cc1cnc(CN(C)Cc2cccnc2CN(C)C)c(C)c1</v>
      </c>
      <c r="C11770" s="7">
        <f>IFERROR(__xludf.DUMMYFUNCTION("""COMPUTED_VALUE"""),7.7608404)</f>
        <v>7.7608404</v>
      </c>
      <c r="D11770" s="7">
        <f>IFERROR(__xludf.DUMMYFUNCTION("""COMPUTED_VALUE"""),0.36734693877551)</f>
        <v>0.3673469388</v>
      </c>
    </row>
    <row r="11771">
      <c r="A11771" s="10" t="s">
        <v>13210</v>
      </c>
      <c r="B11771" s="7" t="str">
        <f>IFERROR(__xludf.DUMMYFUNCTION("SPLIT(A11771,"" "")"),"CN(Cc1ccon1)C1CCCCC1N(C)c1cccc2c(CF)ccnc12")</f>
        <v>CN(Cc1ccon1)C1CCCCC1N(C)c1cccc2c(CF)ccnc12</v>
      </c>
      <c r="C11771" s="7">
        <f>IFERROR(__xludf.DUMMYFUNCTION("""COMPUTED_VALUE"""),7.7608366)</f>
        <v>7.7608366</v>
      </c>
      <c r="D11771" s="7">
        <f>IFERROR(__xludf.DUMMYFUNCTION("""COMPUTED_VALUE"""),0.451612903225806)</f>
        <v>0.4516129032</v>
      </c>
    </row>
    <row r="11772">
      <c r="A11772" s="10" t="s">
        <v>13211</v>
      </c>
      <c r="B11772" s="7" t="str">
        <f>IFERROR(__xludf.DUMMYFUNCTION("SPLIT(A11772,"" "")"),"CN(CC1=CNC=C(N(C)Cc2cccnn2)C1)Cc1ccccn1")</f>
        <v>CN(CC1=CNC=C(N(C)Cc2cccnn2)C1)Cc1ccccn1</v>
      </c>
      <c r="C11772" s="7">
        <f>IFERROR(__xludf.DUMMYFUNCTION("""COMPUTED_VALUE"""),7.7608323)</f>
        <v>7.7608323</v>
      </c>
      <c r="D11772" s="7">
        <f>IFERROR(__xludf.DUMMYFUNCTION("""COMPUTED_VALUE"""),0.489795918367346)</f>
        <v>0.4897959184</v>
      </c>
    </row>
    <row r="11773">
      <c r="A11773" s="10" t="s">
        <v>13212</v>
      </c>
      <c r="B11773" s="7" t="str">
        <f>IFERROR(__xludf.DUMMYFUNCTION("SPLIT(A11773,"" "")"),"CC1C=C(c2cc(CN(Cc3ccccn3)C3CCC(N(C)c4ccc5nccc(CN(C)C)c5c4)CC3)ccn2)C(C)(C)CC1")</f>
        <v>CC1C=C(c2cc(CN(Cc3ccccn3)C3CCC(N(C)c4ccc5nccc(CN(C)C)c5c4)CC3)ccn2)C(C)(C)CC1</v>
      </c>
      <c r="C11773" s="7">
        <f>IFERROR(__xludf.DUMMYFUNCTION("""COMPUTED_VALUE"""),7.76082)</f>
        <v>7.76082</v>
      </c>
      <c r="D11773" s="7">
        <f>IFERROR(__xludf.DUMMYFUNCTION("""COMPUTED_VALUE"""),0.278481012658227)</f>
        <v>0.2784810127</v>
      </c>
    </row>
    <row r="11774">
      <c r="A11774" s="10" t="s">
        <v>13213</v>
      </c>
      <c r="B11774" s="7" t="str">
        <f>IFERROR(__xludf.DUMMYFUNCTION("SPLIT(A11774,"" "")"),"Cc1cncc(CN(Cc2ccccn2)C2CCC(N(C)c3cccc4cc(CF)cnc34)CC2)c1C")</f>
        <v>Cc1cncc(CN(Cc2ccccn2)C2CCC(N(C)c3cccc4cc(CF)cnc34)CC2)c1C</v>
      </c>
      <c r="C11774" s="7">
        <f>IFERROR(__xludf.DUMMYFUNCTION("""COMPUTED_VALUE"""),7.7608194)</f>
        <v>7.7608194</v>
      </c>
      <c r="D11774" s="7">
        <f>IFERROR(__xludf.DUMMYFUNCTION("""COMPUTED_VALUE"""),0.323943661971831)</f>
        <v>0.323943662</v>
      </c>
    </row>
    <row r="11775">
      <c r="A11775" s="10" t="s">
        <v>13214</v>
      </c>
      <c r="B11775" s="7" t="str">
        <f>IFERROR(__xludf.DUMMYFUNCTION("SPLIT(A11775,"" "")"),"Cc1cc(C)c(CN(Cc2cc(C(C)(C)N(Cc3ccc([SiH3])cn3)Cc3cc(C)c(C)c(C)n3)ccn2)C2CCCC(N(C)Cc3cc(-c4ccccn4)ccn3)C2)cn1")</f>
        <v>Cc1cc(C)c(CN(Cc2cc(C(C)(C)N(Cc3ccc([SiH3])cn3)Cc3cc(C)c(C)c(C)n3)ccn2)C2CCCC(N(C)Cc3cc(-c4ccccn4)ccn3)C2)cn1</v>
      </c>
      <c r="C11775" s="7">
        <f>IFERROR(__xludf.DUMMYFUNCTION("""COMPUTED_VALUE"""),7.7608023)</f>
        <v>7.7608023</v>
      </c>
      <c r="D11775" s="7">
        <f>IFERROR(__xludf.DUMMYFUNCTION("""COMPUTED_VALUE"""),0.263736263736263)</f>
        <v>0.2637362637</v>
      </c>
    </row>
    <row r="11776">
      <c r="A11776" s="10" t="s">
        <v>13215</v>
      </c>
      <c r="B11776" s="7" t="str">
        <f>IFERROR(__xludf.DUMMYFUNCTION("SPLIT(A11776,"" "")"),"Cc1cnc(CN(C)C2CCCCC2N(C)c2ccc3nccc(CF)c3c2)c(C)c1")</f>
        <v>Cc1cnc(CN(C)C2CCCCC2N(C)c2ccc3nccc(CF)c3c2)c(C)c1</v>
      </c>
      <c r="C11776" s="7">
        <f>IFERROR(__xludf.DUMMYFUNCTION("""COMPUTED_VALUE"""),7.7608013)</f>
        <v>7.7608013</v>
      </c>
      <c r="D11776" s="7">
        <f>IFERROR(__xludf.DUMMYFUNCTION("""COMPUTED_VALUE"""),0.387096774193548)</f>
        <v>0.3870967742</v>
      </c>
    </row>
    <row r="11777">
      <c r="A11777" s="10" t="s">
        <v>13216</v>
      </c>
      <c r="B11777" s="7" t="str">
        <f>IFERROR(__xludf.DUMMYFUNCTION("SPLIT(A11777,"" "")"),"CCN(Cc1ccccn1)c1cccnc1CN(Cc1ccccn1)Cc1ncccc1C")</f>
        <v>CCN(Cc1ccccn1)c1cccnc1CN(Cc1ccccn1)Cc1ncccc1C</v>
      </c>
      <c r="C11777" s="7">
        <f>IFERROR(__xludf.DUMMYFUNCTION("""COMPUTED_VALUE"""),7.76079)</f>
        <v>7.76079</v>
      </c>
      <c r="D11777" s="7">
        <f>IFERROR(__xludf.DUMMYFUNCTION("""COMPUTED_VALUE"""),0.5)</f>
        <v>0.5</v>
      </c>
    </row>
    <row r="11778">
      <c r="A11778" s="10" t="s">
        <v>13217</v>
      </c>
      <c r="B11778" s="7" t="str">
        <f>IFERROR(__xludf.DUMMYFUNCTION("SPLIT(A11778,"" "")"),"CN(c1ccc2nccc(CF)c2c1)C1CCCCC1N(Cc1ccccn1)Cc1cccc(C(C)(C)c2ccccc2)n1")</f>
        <v>CN(c1ccc2nccc(CF)c2c1)C1CCCCC1N(Cc1ccccn1)Cc1cccc(C(C)(C)c2ccccc2)n1</v>
      </c>
      <c r="C11778" s="7">
        <f>IFERROR(__xludf.DUMMYFUNCTION("""COMPUTED_VALUE"""),7.760787)</f>
        <v>7.760787</v>
      </c>
      <c r="D11778" s="7">
        <f>IFERROR(__xludf.DUMMYFUNCTION("""COMPUTED_VALUE"""),0.366197183098591)</f>
        <v>0.3661971831</v>
      </c>
    </row>
    <row r="11779">
      <c r="A11779" s="10" t="s">
        <v>13218</v>
      </c>
      <c r="B11779" s="7" t="str">
        <f>IFERROR(__xludf.DUMMYFUNCTION("SPLIT(A11779,"" "")"),"C#Cc1ccc(NCc2ccccn2)cc1")</f>
        <v>C#Cc1ccc(NCc2ccccn2)cc1</v>
      </c>
      <c r="C11779" s="7">
        <f>IFERROR(__xludf.DUMMYFUNCTION("""COMPUTED_VALUE"""),7.7607803)</f>
        <v>7.7607803</v>
      </c>
      <c r="D11779" s="7">
        <f>IFERROR(__xludf.DUMMYFUNCTION("""COMPUTED_VALUE"""),0.472222222222222)</f>
        <v>0.4722222222</v>
      </c>
    </row>
    <row r="11780">
      <c r="A11780" s="10" t="s">
        <v>13219</v>
      </c>
      <c r="B11780" s="7" t="str">
        <f>IFERROR(__xludf.DUMMYFUNCTION("SPLIT(A11780,"" "")"),"CNC1CCC(NCc2nc(C)c(C)cc2C)C(N(Cc2nc(C)c(C)c(C)c2C)Cc2nc(C)c(C)c(C)c2C)C1N(Cc1nc(C)c(C)c(C)c1C)Cc1nc(C)c(C)c(C)c1C")</f>
        <v>CNC1CCC(NCc2nc(C)c(C)cc2C)C(N(Cc2nc(C)c(C)c(C)c2C)Cc2nc(C)c(C)c(C)c2C)C1N(Cc1nc(C)c(C)c(C)c1C)Cc1nc(C)c(C)c(C)c1C</v>
      </c>
      <c r="C11780" s="7">
        <f>IFERROR(__xludf.DUMMYFUNCTION("""COMPUTED_VALUE"""),7.7607784)</f>
        <v>7.7607784</v>
      </c>
      <c r="D11780" s="7">
        <f>IFERROR(__xludf.DUMMYFUNCTION("""COMPUTED_VALUE"""),0.19047619047619)</f>
        <v>0.1904761905</v>
      </c>
    </row>
    <row r="11781">
      <c r="A11781" s="10" t="s">
        <v>13220</v>
      </c>
      <c r="B11781" s="7" t="str">
        <f>IFERROR(__xludf.DUMMYFUNCTION("SPLIT(A11781,"" "")"),"CN(CC1=C(N(C)Cc2ccccn2)CC=CN1)Cc1cccnc1F")</f>
        <v>CN(CC1=C(N(C)Cc2ccccn2)CC=CN1)Cc1cccnc1F</v>
      </c>
      <c r="C11781" s="7">
        <f>IFERROR(__xludf.DUMMYFUNCTION("""COMPUTED_VALUE"""),7.7607713)</f>
        <v>7.7607713</v>
      </c>
      <c r="D11781" s="7">
        <f>IFERROR(__xludf.DUMMYFUNCTION("""COMPUTED_VALUE"""),0.385964912280701)</f>
        <v>0.3859649123</v>
      </c>
    </row>
    <row r="11782">
      <c r="A11782" s="10" t="s">
        <v>13221</v>
      </c>
      <c r="B11782" s="7" t="str">
        <f>IFERROR(__xludf.DUMMYFUNCTION("SPLIT(A11782,"" "")"),"Cc1cccc(CN(C)Cc2ccccn2)c1N(C)C(C)(C)c1ccccn1")</f>
        <v>Cc1cccc(CN(C)Cc2ccccn2)c1N(C)C(C)(C)c1ccccn1</v>
      </c>
      <c r="C11782" s="7">
        <f>IFERROR(__xludf.DUMMYFUNCTION("""COMPUTED_VALUE"""),7.760769)</f>
        <v>7.760769</v>
      </c>
      <c r="D11782" s="7">
        <f>IFERROR(__xludf.DUMMYFUNCTION("""COMPUTED_VALUE"""),0.450980392156862)</f>
        <v>0.4509803922</v>
      </c>
    </row>
    <row r="11783">
      <c r="A11783" s="10" t="s">
        <v>13222</v>
      </c>
      <c r="B11783" s="7" t="str">
        <f>IFERROR(__xludf.DUMMYFUNCTION("SPLIT(A11783,"" "")"),"Cc1cnc(CN(C)Cc2cc(N(C)C(C)(C)C)ccn2)c(C)c1")</f>
        <v>Cc1cnc(CN(C)Cc2cc(N(C)C(C)(C)C)ccn2)c(C)c1</v>
      </c>
      <c r="C11783" s="7">
        <f>IFERROR(__xludf.DUMMYFUNCTION("""COMPUTED_VALUE"""),7.7607546)</f>
        <v>7.7607546</v>
      </c>
      <c r="D11783" s="7">
        <f>IFERROR(__xludf.DUMMYFUNCTION("""COMPUTED_VALUE"""),0.346938775510204)</f>
        <v>0.3469387755</v>
      </c>
    </row>
    <row r="11784">
      <c r="A11784" s="10" t="s">
        <v>13223</v>
      </c>
      <c r="B11784" s="7" t="str">
        <f>IFERROR(__xludf.DUMMYFUNCTION("SPLIT(A11784,"" "")"),"CC(C)N(C)C1=CCC=C(CN(C)c2ccccc2F)N1")</f>
        <v>CC(C)N(C)C1=CCC=C(CN(C)c2ccccc2F)N1</v>
      </c>
      <c r="C11784" s="7">
        <f>IFERROR(__xludf.DUMMYFUNCTION("""COMPUTED_VALUE"""),7.7607546)</f>
        <v>7.7607546</v>
      </c>
      <c r="D11784" s="7">
        <f>IFERROR(__xludf.DUMMYFUNCTION("""COMPUTED_VALUE"""),0.264150943396226)</f>
        <v>0.2641509434</v>
      </c>
    </row>
    <row r="11785">
      <c r="A11785" s="10" t="s">
        <v>13224</v>
      </c>
      <c r="B11785" s="7" t="str">
        <f>IFERROR(__xludf.DUMMYFUNCTION("SPLIT(A11785,"" "")"),"Cc1cccnc1CN(C)C1CCCC(N(Cc2ccccn2)c2ccc3ccc(CF)nc3c2)C1")</f>
        <v>Cc1cccnc1CN(C)C1CCCC(N(Cc2ccccn2)c2ccc3ccc(CF)nc3c2)C1</v>
      </c>
      <c r="C11785" s="7">
        <f>IFERROR(__xludf.DUMMYFUNCTION("""COMPUTED_VALUE"""),7.7607536)</f>
        <v>7.7607536</v>
      </c>
      <c r="D11785" s="7">
        <f>IFERROR(__xludf.DUMMYFUNCTION("""COMPUTED_VALUE"""),0.369230769230769)</f>
        <v>0.3692307692</v>
      </c>
    </row>
    <row r="11786">
      <c r="A11786" s="10" t="s">
        <v>13225</v>
      </c>
      <c r="B11786" s="7" t="str">
        <f>IFERROR(__xludf.DUMMYFUNCTION("SPLIT(A11786,"" "")"),"Cc1cnc(CN(Cc2ccccn2)C2CCC(N(C)c3ccc4nc(CF)ccc4c3)CC2)c(C)c1")</f>
        <v>Cc1cnc(CN(Cc2ccccn2)C2CCC(N(C)c3ccc4nc(CF)ccc4c3)CC2)c(C)c1</v>
      </c>
      <c r="C11786" s="7">
        <f>IFERROR(__xludf.DUMMYFUNCTION("""COMPUTED_VALUE"""),7.760745)</f>
        <v>7.760745</v>
      </c>
      <c r="D11786" s="7">
        <f>IFERROR(__xludf.DUMMYFUNCTION("""COMPUTED_VALUE"""),0.343283582089552)</f>
        <v>0.3432835821</v>
      </c>
    </row>
    <row r="11787">
      <c r="A11787" s="10" t="s">
        <v>13226</v>
      </c>
      <c r="B11787" s="7" t="str">
        <f>IFERROR(__xludf.DUMMYFUNCTION("SPLIT(A11787,"" "")"),"CN(Cc1ccccn1)C1=C(C(C)(C)C)CC=CN1")</f>
        <v>CN(Cc1ccccn1)C1=C(C(C)(C)C)CC=CN1</v>
      </c>
      <c r="C11787" s="7">
        <f>IFERROR(__xludf.DUMMYFUNCTION("""COMPUTED_VALUE"""),7.760743)</f>
        <v>7.760743</v>
      </c>
      <c r="D11787" s="7">
        <f>IFERROR(__xludf.DUMMYFUNCTION("""COMPUTED_VALUE"""),0.442307692307692)</f>
        <v>0.4423076923</v>
      </c>
    </row>
    <row r="11788">
      <c r="A11788" s="10" t="s">
        <v>13227</v>
      </c>
      <c r="B11788" s="7" t="str">
        <f>IFERROR(__xludf.DUMMYFUNCTION("SPLIT(A11788,"" "")"),"CC(C)C1=CC2(C=CN1)C=C(c1cccc(CN(Cc3ccccn3)Cc3ccccn3)n1)C(c1cccc(CN(Cc3ccccn3)Cc3ccccn3)n1)CC2(C)C")</f>
        <v>CC(C)C1=CC2(C=CN1)C=C(c1cccc(CN(Cc3ccccn3)Cc3ccccn3)n1)C(c1cccc(CN(Cc3ccccn3)Cc3ccccn3)n1)CC2(C)C</v>
      </c>
      <c r="C11788" s="7">
        <f>IFERROR(__xludf.DUMMYFUNCTION("""COMPUTED_VALUE"""),7.7607384)</f>
        <v>7.7607384</v>
      </c>
      <c r="D11788" s="7">
        <f>IFERROR(__xludf.DUMMYFUNCTION("""COMPUTED_VALUE"""),0.375)</f>
        <v>0.375</v>
      </c>
    </row>
    <row r="11789">
      <c r="A11789" s="10" t="s">
        <v>13228</v>
      </c>
      <c r="B11789" s="7" t="str">
        <f>IFERROR(__xludf.DUMMYFUNCTION("SPLIT(A11789,"" "")"),"CCNCc1nc(CN(C)Cc2nc(C)c(C)cc2C)c(C)c(C)c1C")</f>
        <v>CCNCc1nc(CN(C)Cc2nc(C)c(C)cc2C)c(C)c(C)c1C</v>
      </c>
      <c r="C11789" s="7">
        <f>IFERROR(__xludf.DUMMYFUNCTION("""COMPUTED_VALUE"""),7.760736)</f>
        <v>7.760736</v>
      </c>
      <c r="D11789" s="7">
        <f>IFERROR(__xludf.DUMMYFUNCTION("""COMPUTED_VALUE"""),0.215686274509803)</f>
        <v>0.2156862745</v>
      </c>
    </row>
    <row r="11790">
      <c r="A11790" s="10" t="s">
        <v>13229</v>
      </c>
      <c r="B11790" s="7" t="str">
        <f>IFERROR(__xludf.DUMMYFUNCTION("SPLIT(A11790,"" "")"),"Cc1cc(N)nc(CN(Cc2ccc(F)nc2)Cc2ccccn2)c1C")</f>
        <v>Cc1cc(N)nc(CN(Cc2ccc(F)nc2)Cc2ccccn2)c1C</v>
      </c>
      <c r="C11790" s="7">
        <f>IFERROR(__xludf.DUMMYFUNCTION("""COMPUTED_VALUE"""),7.7607317)</f>
        <v>7.7607317</v>
      </c>
      <c r="D11790" s="7">
        <f>IFERROR(__xludf.DUMMYFUNCTION("""COMPUTED_VALUE"""),0.408163265306122)</f>
        <v>0.4081632653</v>
      </c>
    </row>
    <row r="11791">
      <c r="A11791" s="10" t="s">
        <v>13230</v>
      </c>
      <c r="B11791" s="7" t="str">
        <f>IFERROR(__xludf.DUMMYFUNCTION("SPLIT(A11791,"" "")"),"Cc1cccc(CN(C)C2=CNC(CN(Cc3cccc(C)n3)C(C)C)=CC2)n1")</f>
        <v>Cc1cccc(CN(C)C2=CNC(CN(Cc3cccc(C)n3)C(C)C)=CC2)n1</v>
      </c>
      <c r="C11791" s="7">
        <f>IFERROR(__xludf.DUMMYFUNCTION("""COMPUTED_VALUE"""),7.7607303)</f>
        <v>7.7607303</v>
      </c>
      <c r="D11791" s="7">
        <f>IFERROR(__xludf.DUMMYFUNCTION("""COMPUTED_VALUE"""),0.408163265306122)</f>
        <v>0.4081632653</v>
      </c>
    </row>
    <row r="11792">
      <c r="A11792" s="10" t="s">
        <v>13231</v>
      </c>
      <c r="B11792" s="7" t="str">
        <f>IFERROR(__xludf.DUMMYFUNCTION("SPLIT(A11792,"" "")"),"CNC1CC(N(Cc2nc(C)c(C)c(C)c2C)Cc2nc(C)c(C)c(C)c2C)C(NCc2ncc(C)c(C)c2C)CC1N(Cc1nc(C)c(C)c(C)c1C)Cc1nc(C)c(C)c(C)c1C")</f>
        <v>CNC1CC(N(Cc2nc(C)c(C)c(C)c2C)Cc2nc(C)c(C)c(C)c2C)C(NCc2ncc(C)c(C)c2C)CC1N(Cc1nc(C)c(C)c(C)c1C)Cc1nc(C)c(C)c(C)c1C</v>
      </c>
      <c r="C11792" s="7">
        <f>IFERROR(__xludf.DUMMYFUNCTION("""COMPUTED_VALUE"""),7.760711)</f>
        <v>7.760711</v>
      </c>
      <c r="D11792" s="7">
        <f>IFERROR(__xludf.DUMMYFUNCTION("""COMPUTED_VALUE"""),0.222222222222222)</f>
        <v>0.2222222222</v>
      </c>
    </row>
    <row r="11793">
      <c r="A11793" s="10" t="s">
        <v>13232</v>
      </c>
      <c r="B11793" s="7" t="str">
        <f>IFERROR(__xludf.DUMMYFUNCTION("SPLIT(A11793,"" "")"),"Cc1cnc(CN(C)Cc2cc(N(C)C(C)C)ccn2)cc1C")</f>
        <v>Cc1cnc(CN(C)Cc2cc(N(C)C(C)C)ccn2)cc1C</v>
      </c>
      <c r="C11793" s="7">
        <f>IFERROR(__xludf.DUMMYFUNCTION("""COMPUTED_VALUE"""),7.7607107)</f>
        <v>7.7607107</v>
      </c>
      <c r="D11793" s="7">
        <f>IFERROR(__xludf.DUMMYFUNCTION("""COMPUTED_VALUE"""),0.409090909090909)</f>
        <v>0.4090909091</v>
      </c>
    </row>
    <row r="11794">
      <c r="A11794" s="10" t="s">
        <v>13233</v>
      </c>
      <c r="B11794" s="7" t="str">
        <f>IFERROR(__xludf.DUMMYFUNCTION("SPLIT(A11794,"" "")"),"Cc1cnc(CN(C)Cc2cccc(N)n2)c(C)c1")</f>
        <v>Cc1cnc(CN(C)Cc2cccc(N)n2)c(C)c1</v>
      </c>
      <c r="C11794" s="7">
        <f>IFERROR(__xludf.DUMMYFUNCTION("""COMPUTED_VALUE"""),7.7607055)</f>
        <v>7.7607055</v>
      </c>
      <c r="D11794" s="7">
        <f>IFERROR(__xludf.DUMMYFUNCTION("""COMPUTED_VALUE"""),0.4)</f>
        <v>0.4</v>
      </c>
    </row>
    <row r="11795">
      <c r="A11795" s="10" t="s">
        <v>13234</v>
      </c>
      <c r="B11795" s="7" t="str">
        <f>IFERROR(__xludf.DUMMYFUNCTION("SPLIT(A11795,"" "")"),"CC(C)c1cccc(CN(Cc2ccccn2)C2CCC(N(C)c3ccc4ncc(CN(C)C)cc4c3)CC2)n1")</f>
        <v>CC(C)c1cccc(CN(Cc2ccccn2)C2CCC(N(C)c3ccc4ncc(CN(C)C)cc4c3)CC2)n1</v>
      </c>
      <c r="C11795" s="7">
        <f>IFERROR(__xludf.DUMMYFUNCTION("""COMPUTED_VALUE"""),7.760702)</f>
        <v>7.760702</v>
      </c>
      <c r="D11795" s="7">
        <f>IFERROR(__xludf.DUMMYFUNCTION("""COMPUTED_VALUE"""),0.323529411764705)</f>
        <v>0.3235294118</v>
      </c>
    </row>
    <row r="11796">
      <c r="A11796" s="10" t="s">
        <v>13235</v>
      </c>
      <c r="B11796" s="7" t="str">
        <f>IFERROR(__xludf.DUMMYFUNCTION("SPLIT(A11796,"" "")"),"Cc1cccnc1CN(C)C1CCCC(N(C)c2ccc3ccc(CN(C)C)nc3c2)C1")</f>
        <v>Cc1cccnc1CN(C)C1CCCC(N(C)c2ccc3ccc(CN(C)C)nc3c2)C1</v>
      </c>
      <c r="C11796" s="7">
        <f>IFERROR(__xludf.DUMMYFUNCTION("""COMPUTED_VALUE"""),7.7606916)</f>
        <v>7.7606916</v>
      </c>
      <c r="D11796" s="7">
        <f>IFERROR(__xludf.DUMMYFUNCTION("""COMPUTED_VALUE"""),0.301587301587301)</f>
        <v>0.3015873016</v>
      </c>
    </row>
    <row r="11797">
      <c r="A11797" s="10" t="s">
        <v>13236</v>
      </c>
      <c r="B11797" s="7" t="str">
        <f>IFERROR(__xludf.DUMMYFUNCTION("SPLIT(A11797,"" "")"),"Cc1cnccc1CN(C)C1CCCC(N(Cc2ccccn2)c2cccc3ncccc23)C1")</f>
        <v>Cc1cnccc1CN(C)C1CCCC(N(Cc2ccccn2)c2cccc3ncccc23)C1</v>
      </c>
      <c r="C11797" s="7">
        <f>IFERROR(__xludf.DUMMYFUNCTION("""COMPUTED_VALUE"""),7.760688)</f>
        <v>7.760688</v>
      </c>
      <c r="D11797" s="7">
        <f>IFERROR(__xludf.DUMMYFUNCTION("""COMPUTED_VALUE"""),0.375)</f>
        <v>0.375</v>
      </c>
    </row>
    <row r="11798">
      <c r="A11798" s="10" t="s">
        <v>13237</v>
      </c>
      <c r="B11798" s="7" t="str">
        <f>IFERROR(__xludf.DUMMYFUNCTION("SPLIT(A11798,"" "")"),"CNCc1cc(CN(C)C2CCC(N(C)Cc3cc(-c4ccc5ncccc5c4)ccn3)CC2)ccn1")</f>
        <v>CNCc1cc(CN(C)C2CCC(N(C)Cc3cc(-c4ccc5ncccc5c4)ccn3)CC2)ccn1</v>
      </c>
      <c r="C11798" s="7">
        <f>IFERROR(__xludf.DUMMYFUNCTION("""COMPUTED_VALUE"""),7.760683)</f>
        <v>7.760683</v>
      </c>
      <c r="D11798" s="7">
        <f>IFERROR(__xludf.DUMMYFUNCTION("""COMPUTED_VALUE"""),0.32258064516129)</f>
        <v>0.3225806452</v>
      </c>
    </row>
    <row r="11799">
      <c r="A11799" s="10" t="s">
        <v>13238</v>
      </c>
      <c r="B11799" s="7" t="str">
        <f>IFERROR(__xludf.DUMMYFUNCTION("SPLIT(A11799,"" "")"),"Cc1cc(C)c(CN(C)CCN(C)Cc2nc(C)c(C)c(C)c2C)nc1C")</f>
        <v>Cc1cc(C)c(CN(C)CCN(C)Cc2nc(C)c(C)c(C)c2C)nc1C</v>
      </c>
      <c r="C11799" s="7">
        <f>IFERROR(__xludf.DUMMYFUNCTION("""COMPUTED_VALUE"""),7.760682)</f>
        <v>7.760682</v>
      </c>
      <c r="D11799" s="7">
        <f>IFERROR(__xludf.DUMMYFUNCTION("""COMPUTED_VALUE"""),0.333333333333333)</f>
        <v>0.3333333333</v>
      </c>
    </row>
    <row r="11800">
      <c r="A11800" s="10" t="s">
        <v>13239</v>
      </c>
      <c r="B11800" s="7" t="str">
        <f>IFERROR(__xludf.DUMMYFUNCTION("SPLIT(A11800,"" "")"),"CN(C)c1ccc(-c2cccnc2CN(Cc2ccccn2)Cc2ncccc2N(C)Cc2ccc(-c3ccc4c(c3)OCCOCCOCCOCCOCCO4)cn2)cc1")</f>
        <v>CN(C)c1ccc(-c2cccnc2CN(Cc2ccccn2)Cc2ncccc2N(C)Cc2ccc(-c3ccc4c(c3)OCCOCCOCCOCCOCCO4)cn2)cc1</v>
      </c>
      <c r="C11800" s="7">
        <f>IFERROR(__xludf.DUMMYFUNCTION("""COMPUTED_VALUE"""),7.760681)</f>
        <v>7.760681</v>
      </c>
      <c r="D11800" s="7">
        <f>IFERROR(__xludf.DUMMYFUNCTION("""COMPUTED_VALUE"""),0.375)</f>
        <v>0.375</v>
      </c>
    </row>
    <row r="11801">
      <c r="A11801" s="10" t="s">
        <v>13240</v>
      </c>
      <c r="B11801" s="7" t="str">
        <f>IFERROR(__xludf.DUMMYFUNCTION("SPLIT(A11801,"" "")"),"Cc1cc(CN(Cc2ccccn2)C2CCC(N(C)c3ccc4nc(CF)ccc4c3)CC2)cnc1C")</f>
        <v>Cc1cc(CN(Cc2ccccn2)C2CCC(N(C)c3ccc4nc(CF)ccc4c3)CC2)cnc1C</v>
      </c>
      <c r="C11801" s="7">
        <f>IFERROR(__xludf.DUMMYFUNCTION("""COMPUTED_VALUE"""),7.7606664)</f>
        <v>7.7606664</v>
      </c>
      <c r="D11801" s="7">
        <f>IFERROR(__xludf.DUMMYFUNCTION("""COMPUTED_VALUE"""),0.343283582089552)</f>
        <v>0.3432835821</v>
      </c>
    </row>
    <row r="11802">
      <c r="A11802" s="10" t="s">
        <v>13241</v>
      </c>
      <c r="B11802" s="7" t="str">
        <f>IFERROR(__xludf.DUMMYFUNCTION("SPLIT(A11802,"" "")"),"CC1=C(c2ncccc2CN(Cc2ccccn2)Cc2ccccn2)C(C)C(C)(C)C2C=C(C(C)C)NC=C12")</f>
        <v>CC1=C(c2ncccc2CN(Cc2ccccn2)Cc2ccccn2)C(C)C(C)(C)C2C=C(C(C)C)NC=C12</v>
      </c>
      <c r="C11802" s="7">
        <f>IFERROR(__xludf.DUMMYFUNCTION("""COMPUTED_VALUE"""),7.7606664)</f>
        <v>7.7606664</v>
      </c>
      <c r="D11802" s="7">
        <f>IFERROR(__xludf.DUMMYFUNCTION("""COMPUTED_VALUE"""),0.338983050847457)</f>
        <v>0.3389830508</v>
      </c>
    </row>
    <row r="11803">
      <c r="A11803" s="10" t="s">
        <v>13242</v>
      </c>
      <c r="B11803" s="7" t="str">
        <f>IFERROR(__xludf.DUMMYFUNCTION("SPLIT(A11803,"" "")"),"CNCC1=CCC=C(N(C)Cc2cccc(F)n2)N1")</f>
        <v>CNCC1=CCC=C(N(C)Cc2cccc(F)n2)N1</v>
      </c>
      <c r="C11803" s="7">
        <f>IFERROR(__xludf.DUMMYFUNCTION("""COMPUTED_VALUE"""),7.760657)</f>
        <v>7.760657</v>
      </c>
      <c r="D11803" s="7">
        <f>IFERROR(__xludf.DUMMYFUNCTION("""COMPUTED_VALUE"""),0.327272727272727)</f>
        <v>0.3272727273</v>
      </c>
    </row>
    <row r="11804">
      <c r="A11804" s="10" t="s">
        <v>13243</v>
      </c>
      <c r="B11804" s="7" t="str">
        <f>IFERROR(__xludf.DUMMYFUNCTION("SPLIT(A11804,"" "")"),"Cc1cncc(CN(C)c2ccc(Cl)c(-c3cccc(CN(Cc4ccccn4)Cc4cccc(-c5ccc6c(c5)OCCOCCOCCOCCOCCO6)n4)n3)c2Cl)c1")</f>
        <v>Cc1cncc(CN(C)c2ccc(Cl)c(-c3cccc(CN(Cc4ccccn4)Cc4cccc(-c5ccc6c(c5)OCCOCCOCCOCCOCCO6)n4)n3)c2Cl)c1</v>
      </c>
      <c r="C11804" s="7">
        <f>IFERROR(__xludf.DUMMYFUNCTION("""COMPUTED_VALUE"""),7.760657)</f>
        <v>7.760657</v>
      </c>
      <c r="D11804" s="7">
        <f>IFERROR(__xludf.DUMMYFUNCTION("""COMPUTED_VALUE"""),0.373493975903614)</f>
        <v>0.3734939759</v>
      </c>
    </row>
    <row r="11805">
      <c r="A11805" s="10" t="s">
        <v>13244</v>
      </c>
      <c r="B11805" s="7" t="str">
        <f>IFERROR(__xludf.DUMMYFUNCTION("SPLIT(A11805,"" "")"),"CCc1ccc2c(c1)C(C)C1(C=C2)C=CC2(CC1C)C(c1ccc(CN(Cc3ccccn3)Cc3ccccn3)cn1)=CCCC2c1cc(CN(Cc2ccccn2)Cc2ccccn2)ccn1")</f>
        <v>CCc1ccc2c(c1)C(C)C1(C=C2)C=CC2(CC1C)C(c1ccc(CN(Cc3ccccn3)Cc3ccccn3)cn1)=CCCC2c1cc(CN(Cc2ccccn2)Cc2ccccn2)ccn1</v>
      </c>
      <c r="C11805" s="7">
        <f>IFERROR(__xludf.DUMMYFUNCTION("""COMPUTED_VALUE"""),7.7606535)</f>
        <v>7.7606535</v>
      </c>
      <c r="D11805" s="7">
        <f>IFERROR(__xludf.DUMMYFUNCTION("""COMPUTED_VALUE"""),0.274725274725274)</f>
        <v>0.2747252747</v>
      </c>
    </row>
    <row r="11806">
      <c r="A11806" s="10" t="s">
        <v>13245</v>
      </c>
      <c r="B11806" s="7" t="str">
        <f>IFERROR(__xludf.DUMMYFUNCTION("SPLIT(A11806,"" "")"),"CNC1CC(NCc2ncc(C)c(C)c2C)C(N(Cc2nc(C)c(C)c(C)c2C)Cc2nc(C)c(C)c(C)c2C)CC1N(Cc1nc(C)c(C)c(C)c1C)Cc1nc(C)c(C)c(C)c1C")</f>
        <v>CNC1CC(NCc2ncc(C)c(C)c2C)C(N(Cc2nc(C)c(C)c(C)c2C)Cc2nc(C)c(C)c(C)c2C)CC1N(Cc1nc(C)c(C)c(C)c1C)Cc1nc(C)c(C)c(C)c1C</v>
      </c>
      <c r="C11806" s="7">
        <f>IFERROR(__xludf.DUMMYFUNCTION("""COMPUTED_VALUE"""),7.760652)</f>
        <v>7.760652</v>
      </c>
      <c r="D11806" s="7">
        <f>IFERROR(__xludf.DUMMYFUNCTION("""COMPUTED_VALUE"""),0.21875)</f>
        <v>0.21875</v>
      </c>
    </row>
    <row r="11807">
      <c r="A11807" s="10" t="s">
        <v>13246</v>
      </c>
      <c r="B11807" s="7" t="str">
        <f>IFERROR(__xludf.DUMMYFUNCTION("SPLIT(A11807,"" "")"),"Cc1nc(CN(Cc2nc(C)c(C)c(C)c2C)CN(C)C(C)C)c(C)c(C)c1C")</f>
        <v>Cc1nc(CN(Cc2nc(C)c(C)c(C)c2C)CN(C)C(C)C)c(C)c(C)c1C</v>
      </c>
      <c r="C11807" s="7">
        <f>IFERROR(__xludf.DUMMYFUNCTION("""COMPUTED_VALUE"""),7.7606435)</f>
        <v>7.7606435</v>
      </c>
      <c r="D11807" s="7">
        <f>IFERROR(__xludf.DUMMYFUNCTION("""COMPUTED_VALUE"""),0.217391304347826)</f>
        <v>0.2173913043</v>
      </c>
    </row>
    <row r="11808">
      <c r="A11808" s="10" t="s">
        <v>13247</v>
      </c>
      <c r="B11808" s="7" t="str">
        <f>IFERROR(__xludf.DUMMYFUNCTION("SPLIT(A11808,"" "")"),"CCCN(C)c1ccc(C)c(C)c1C")</f>
        <v>CCCN(C)c1ccc(C)c(C)c1C</v>
      </c>
      <c r="C11808" s="7">
        <f>IFERROR(__xludf.DUMMYFUNCTION("""COMPUTED_VALUE"""),7.7606416)</f>
        <v>7.7606416</v>
      </c>
      <c r="D11808" s="7">
        <f>IFERROR(__xludf.DUMMYFUNCTION("""COMPUTED_VALUE"""),0.275)</f>
        <v>0.275</v>
      </c>
    </row>
    <row r="11809">
      <c r="A11809" s="10" t="s">
        <v>13248</v>
      </c>
      <c r="B11809" s="7" t="str">
        <f>IFERROR(__xludf.DUMMYFUNCTION("SPLIT(A11809,"" "")"),"CNc1cccc(CN(Cc2cccc(F)n2)C2CCCCC2N(C)c2ccc3nc(CF)ccc3c2)n1")</f>
        <v>CNc1cccc(CN(Cc2cccc(F)n2)C2CCCCC2N(C)c2ccc3nc(CF)ccc3c2)n1</v>
      </c>
      <c r="C11809" s="7">
        <f>IFERROR(__xludf.DUMMYFUNCTION("""COMPUTED_VALUE"""),7.76064)</f>
        <v>7.76064</v>
      </c>
      <c r="D11809" s="7">
        <f>IFERROR(__xludf.DUMMYFUNCTION("""COMPUTED_VALUE"""),0.446153846153846)</f>
        <v>0.4461538462</v>
      </c>
    </row>
    <row r="11810">
      <c r="A11810" s="10" t="s">
        <v>13249</v>
      </c>
      <c r="B11810" s="7" t="str">
        <f>IFERROR(__xludf.DUMMYFUNCTION("SPLIT(A11810,"" "")"),"Cc1ccc2c(N(C)C3CCC(N(C)Cc4ncccc4C)CC3)cccc2n1")</f>
        <v>Cc1ccc2c(N(C)C3CCC(N(C)Cc4ncccc4C)CC3)cccc2n1</v>
      </c>
      <c r="C11810" s="7">
        <f>IFERROR(__xludf.DUMMYFUNCTION("""COMPUTED_VALUE"""),7.760633)</f>
        <v>7.760633</v>
      </c>
      <c r="D11810" s="7">
        <f>IFERROR(__xludf.DUMMYFUNCTION("""COMPUTED_VALUE"""),0.333333333333333)</f>
        <v>0.3333333333</v>
      </c>
    </row>
    <row r="11811">
      <c r="A11811" s="10" t="s">
        <v>13250</v>
      </c>
      <c r="B11811" s="7" t="str">
        <f>IFERROR(__xludf.DUMMYFUNCTION("SPLIT(A11811,"" "")"),"Cc1cc(CN(C)Cc2ccc(N)cn2)cnc1C")</f>
        <v>Cc1cc(CN(C)Cc2ccc(N)cn2)cnc1C</v>
      </c>
      <c r="C11811" s="7">
        <f>IFERROR(__xludf.DUMMYFUNCTION("""COMPUTED_VALUE"""),7.760632)</f>
        <v>7.760632</v>
      </c>
      <c r="D11811" s="7">
        <f>IFERROR(__xludf.DUMMYFUNCTION("""COMPUTED_VALUE"""),0.41860465116279)</f>
        <v>0.4186046512</v>
      </c>
    </row>
    <row r="11812">
      <c r="A11812" s="10" t="s">
        <v>13251</v>
      </c>
      <c r="B11812" s="7" t="str">
        <f>IFERROR(__xludf.DUMMYFUNCTION("SPLIT(A11812,"" "")"),"CN(CC1=CNC=C(N(C)Cc2ccccn2)C1)Cc1ccccn1")</f>
        <v>CN(CC1=CNC=C(N(C)Cc2ccccn2)C1)Cc1ccccn1</v>
      </c>
      <c r="C11812" s="7">
        <f>IFERROR(__xludf.DUMMYFUNCTION("""COMPUTED_VALUE"""),7.7606316)</f>
        <v>7.7606316</v>
      </c>
      <c r="D11812" s="7">
        <f>IFERROR(__xludf.DUMMYFUNCTION("""COMPUTED_VALUE"""),0.458333333333333)</f>
        <v>0.4583333333</v>
      </c>
    </row>
    <row r="11813">
      <c r="A11813" s="10" t="s">
        <v>13252</v>
      </c>
      <c r="B11813" s="7" t="str">
        <f>IFERROR(__xludf.DUMMYFUNCTION("SPLIT(A11813,"" "")"),"Cc1cncc(CN(C)C2=CNC=C(CN(C)Cc3ccccn3)C2)c1")</f>
        <v>Cc1cncc(CN(C)C2=CNC=C(CN(C)Cc3ccccn3)C2)c1</v>
      </c>
      <c r="C11813" s="7">
        <f>IFERROR(__xludf.DUMMYFUNCTION("""COMPUTED_VALUE"""),7.760629)</f>
        <v>7.760629</v>
      </c>
      <c r="D11813" s="7">
        <f>IFERROR(__xludf.DUMMYFUNCTION("""COMPUTED_VALUE"""),0.366666666666666)</f>
        <v>0.3666666667</v>
      </c>
    </row>
    <row r="11814">
      <c r="A11814" s="10" t="s">
        <v>13253</v>
      </c>
      <c r="B11814" s="7" t="str">
        <f>IFERROR(__xludf.DUMMYFUNCTION("SPLIT(A11814,"" "")"),"CC(C)C1(C)COC(c2cccc(CN(Cc3ccccn3)Cc3cccc(C(C)(C)C)n3)n2)=N1")</f>
        <v>CC(C)C1(C)COC(c2cccc(CN(Cc3ccccn3)Cc3cccc(C(C)(C)C)n3)n2)=N1</v>
      </c>
      <c r="C11814" s="7">
        <f>IFERROR(__xludf.DUMMYFUNCTION("""COMPUTED_VALUE"""),7.7606277)</f>
        <v>7.7606277</v>
      </c>
      <c r="D11814" s="7">
        <f>IFERROR(__xludf.DUMMYFUNCTION("""COMPUTED_VALUE"""),0.402985074626865)</f>
        <v>0.4029850746</v>
      </c>
    </row>
    <row r="11815">
      <c r="A11815" s="10" t="s">
        <v>13254</v>
      </c>
      <c r="B11815" s="7" t="str">
        <f>IFERROR(__xludf.DUMMYFUNCTION("SPLIT(A11815,"" "")"),"Cc1ccnc2cc(N(C)C3CCC(N(C)Cc4cccnn4)CC3)ccc12")</f>
        <v>Cc1ccnc2cc(N(C)C3CCC(N(C)Cc4cccnn4)CC3)ccc12</v>
      </c>
      <c r="C11815" s="7">
        <f>IFERROR(__xludf.DUMMYFUNCTION("""COMPUTED_VALUE"""),7.7606177)</f>
        <v>7.7606177</v>
      </c>
      <c r="D11815" s="7">
        <f>IFERROR(__xludf.DUMMYFUNCTION("""COMPUTED_VALUE"""),0.37037037037037)</f>
        <v>0.3703703704</v>
      </c>
    </row>
    <row r="11816">
      <c r="A11816" s="10" t="s">
        <v>13255</v>
      </c>
      <c r="B11816" s="7" t="str">
        <f>IFERROR(__xludf.DUMMYFUNCTION("SPLIT(A11816,"" "")"),"Cc1ccc(CN(CCF)Cc2cc(N(C)Cc3ncccc3C)ccn2)nc1")</f>
        <v>Cc1ccc(CN(CCF)Cc2cc(N(C)Cc3ncccc3C)ccn2)nc1</v>
      </c>
      <c r="C11816" s="7">
        <f>IFERROR(__xludf.DUMMYFUNCTION("""COMPUTED_VALUE"""),7.760613)</f>
        <v>7.760613</v>
      </c>
      <c r="D11816" s="7">
        <f>IFERROR(__xludf.DUMMYFUNCTION("""COMPUTED_VALUE"""),0.415094339622641)</f>
        <v>0.4150943396</v>
      </c>
    </row>
    <row r="11817">
      <c r="A11817" s="10" t="s">
        <v>13256</v>
      </c>
      <c r="B11817" s="7" t="str">
        <f>IFERROR(__xludf.DUMMYFUNCTION("SPLIT(A11817,"" "")"),"CC(c1ccccn1)(c1ccccn1)c1cccnc1CN(CCF)Cc1ccccn1")</f>
        <v>CC(c1ccccn1)(c1ccccn1)c1cccnc1CN(CCF)Cc1ccccn1</v>
      </c>
      <c r="C11817" s="7">
        <f>IFERROR(__xludf.DUMMYFUNCTION("""COMPUTED_VALUE"""),7.7606106)</f>
        <v>7.7606106</v>
      </c>
      <c r="D11817" s="7">
        <f>IFERROR(__xludf.DUMMYFUNCTION("""COMPUTED_VALUE"""),0.46938775510204)</f>
        <v>0.4693877551</v>
      </c>
    </row>
    <row r="11818">
      <c r="A11818" s="10" t="s">
        <v>13257</v>
      </c>
      <c r="B11818" s="7" t="str">
        <f>IFERROR(__xludf.DUMMYFUNCTION("SPLIT(A11818,"" "")"),"CNC1C=CC=C(N(C)Cc2ncccc2C)N1")</f>
        <v>CNC1C=CC=C(N(C)Cc2ncccc2C)N1</v>
      </c>
      <c r="C11818" s="7">
        <f>IFERROR(__xludf.DUMMYFUNCTION("""COMPUTED_VALUE"""),7.7606087)</f>
        <v>7.7606087</v>
      </c>
      <c r="D11818" s="7">
        <f>IFERROR(__xludf.DUMMYFUNCTION("""COMPUTED_VALUE"""),0.254545454545454)</f>
        <v>0.2545454545</v>
      </c>
    </row>
    <row r="11819">
      <c r="A11819" s="10" t="s">
        <v>13258</v>
      </c>
      <c r="B11819" s="7" t="str">
        <f>IFERROR(__xludf.DUMMYFUNCTION("SPLIT(A11819,"" "")"),"CNCc1ccc2cccc(N(C)C3CCCCC3N(Cc3ccccn3)Cc3nc(C)c(C)c(C)c3C)c2n1")</f>
        <v>CNCc1ccc2cccc(N(C)C3CCCCC3N(Cc3ccccn3)Cc3nc(C)c(C)c(C)c3C)c2n1</v>
      </c>
      <c r="C11819" s="7">
        <f>IFERROR(__xludf.DUMMYFUNCTION("""COMPUTED_VALUE"""),7.7606072)</f>
        <v>7.7606072</v>
      </c>
      <c r="D11819" s="7">
        <f>IFERROR(__xludf.DUMMYFUNCTION("""COMPUTED_VALUE"""),0.470588235294117)</f>
        <v>0.4705882353</v>
      </c>
    </row>
    <row r="11820">
      <c r="A11820" s="10" t="s">
        <v>13259</v>
      </c>
      <c r="B11820" s="7" t="str">
        <f>IFERROR(__xludf.DUMMYFUNCTION("SPLIT(A11820,"" "")"),"CCN(Cc1cccc(C(C)(C)c2ccccn2)n1)C1CCC(N(C)c2ccc3nc(CF)ccc3c2)CC1")</f>
        <v>CCN(Cc1cccc(C(C)(C)c2ccccn2)n1)C1CCC(N(C)c2ccc3nc(CF)ccc3c2)CC1</v>
      </c>
      <c r="C11820" s="7">
        <f>IFERROR(__xludf.DUMMYFUNCTION("""COMPUTED_VALUE"""),7.7606006)</f>
        <v>7.7606006</v>
      </c>
      <c r="D11820" s="7">
        <f>IFERROR(__xludf.DUMMYFUNCTION("""COMPUTED_VALUE"""),0.318840579710144)</f>
        <v>0.3188405797</v>
      </c>
    </row>
    <row r="11821">
      <c r="A11821" s="10" t="s">
        <v>13260</v>
      </c>
      <c r="B11821" s="7" t="str">
        <f>IFERROR(__xludf.DUMMYFUNCTION("SPLIT(A11821,"" "")"),"Cc1cc(C)c(CN(C)C2CCCCC2N(C)c2ccc3ccc(CF)nc3c2)nc1C")</f>
        <v>Cc1cc(C)c(CN(C)C2CCCCC2N(C)c2ccc3ccc(CF)nc3c2)nc1C</v>
      </c>
      <c r="C11821" s="7">
        <f>IFERROR(__xludf.DUMMYFUNCTION("""COMPUTED_VALUE"""),7.760597)</f>
        <v>7.760597</v>
      </c>
      <c r="D11821" s="7">
        <f>IFERROR(__xludf.DUMMYFUNCTION("""COMPUTED_VALUE"""),0.45)</f>
        <v>0.45</v>
      </c>
    </row>
    <row r="11822">
      <c r="A11822" s="10" t="s">
        <v>13261</v>
      </c>
      <c r="B11822" s="7" t="str">
        <f>IFERROR(__xludf.DUMMYFUNCTION("SPLIT(A11822,"" "")"),"CC1(C)CC(c2ccc(CN(Cc3ccccn3)Cc3ccccn3)c(CN(Cc3ccccn3)Cc3cccc(C(C)(C)c4ccccn4)n3)n2)C1")</f>
        <v>CC1(C)CC(c2ccc(CN(Cc3ccccn3)Cc3ccccn3)c(CN(Cc3ccccn3)Cc3cccc(C(C)(C)c4ccccn4)n3)n2)C1</v>
      </c>
      <c r="C11822" s="7">
        <f>IFERROR(__xludf.DUMMYFUNCTION("""COMPUTED_VALUE"""),7.7605968)</f>
        <v>7.7605968</v>
      </c>
      <c r="D11822" s="7">
        <f>IFERROR(__xludf.DUMMYFUNCTION("""COMPUTED_VALUE"""),0.363636363636363)</f>
        <v>0.3636363636</v>
      </c>
    </row>
    <row r="11823">
      <c r="A11823" s="10" t="s">
        <v>13262</v>
      </c>
      <c r="B11823" s="7" t="str">
        <f>IFERROR(__xludf.DUMMYFUNCTION("SPLIT(A11823,"" "")"),"CN(C)CC1CCC(N(C)c2ccc3ncccc3c2)N1C")</f>
        <v>CN(C)CC1CCC(N(C)c2ccc3ncccc3c2)N1C</v>
      </c>
      <c r="C11823" s="7">
        <f>IFERROR(__xludf.DUMMYFUNCTION("""COMPUTED_VALUE"""),7.7605877)</f>
        <v>7.7605877</v>
      </c>
      <c r="D11823" s="7">
        <f>IFERROR(__xludf.DUMMYFUNCTION("""COMPUTED_VALUE"""),0.31578947368421)</f>
        <v>0.3157894737</v>
      </c>
    </row>
    <row r="11824">
      <c r="A11824" s="10" t="s">
        <v>13263</v>
      </c>
      <c r="B11824" s="7" t="str">
        <f>IFERROR(__xludf.DUMMYFUNCTION("SPLIT(A11824,"" "")"),"CN(C)Cc1nccc2cc(N(C)C3CCCC(N(Cc4ccccn4)Cc4ccccn4)C3)ccc12")</f>
        <v>CN(C)Cc1nccc2cc(N(C)C3CCCC(N(Cc4ccccn4)Cc4ccccn4)C3)ccc12</v>
      </c>
      <c r="C11824" s="7">
        <f>IFERROR(__xludf.DUMMYFUNCTION("""COMPUTED_VALUE"""),7.7605853)</f>
        <v>7.7605853</v>
      </c>
      <c r="D11824" s="7">
        <f>IFERROR(__xludf.DUMMYFUNCTION("""COMPUTED_VALUE"""),0.389830508474576)</f>
        <v>0.3898305085</v>
      </c>
    </row>
    <row r="11825">
      <c r="A11825" s="10" t="s">
        <v>13264</v>
      </c>
      <c r="B11825" s="7" t="str">
        <f>IFERROR(__xludf.DUMMYFUNCTION("SPLIT(A11825,"" "")"),"CC(C)C1=CC2(C=CN1)CC(c1cccc(CN(Cc3ccccn3)Cc3ccccn3)n1)C(C)(C)C=C2c1cccc(CN(Cc2ccccn2)Cc2ccccn2)n1")</f>
        <v>CC(C)C1=CC2(C=CN1)CC(c1cccc(CN(Cc3ccccn3)Cc3ccccn3)n1)C(C)(C)C=C2c1cccc(CN(Cc2ccccn2)Cc2ccccn2)n1</v>
      </c>
      <c r="C11825" s="7">
        <f>IFERROR(__xludf.DUMMYFUNCTION("""COMPUTED_VALUE"""),7.7605834)</f>
        <v>7.7605834</v>
      </c>
      <c r="D11825" s="7">
        <f>IFERROR(__xludf.DUMMYFUNCTION("""COMPUTED_VALUE"""),0.36986301369863)</f>
        <v>0.3698630137</v>
      </c>
    </row>
    <row r="11826">
      <c r="A11826" s="10" t="s">
        <v>13265</v>
      </c>
      <c r="B11826" s="7" t="str">
        <f>IFERROR(__xludf.DUMMYFUNCTION("SPLIT(A11826,"" "")"),"CNCC1=CCC=C(N(C)Cc2ccccn2)N1")</f>
        <v>CNCC1=CCC=C(N(C)Cc2ccccn2)N1</v>
      </c>
      <c r="C11826" s="7">
        <f>IFERROR(__xludf.DUMMYFUNCTION("""COMPUTED_VALUE"""),7.760582)</f>
        <v>7.760582</v>
      </c>
      <c r="D11826" s="7">
        <f>IFERROR(__xludf.DUMMYFUNCTION("""COMPUTED_VALUE"""),0.433962264150943)</f>
        <v>0.4339622642</v>
      </c>
    </row>
    <row r="11827">
      <c r="A11827" s="10" t="s">
        <v>13266</v>
      </c>
      <c r="B11827" s="7" t="str">
        <f>IFERROR(__xludf.DUMMYFUNCTION("SPLIT(A11827,"" "")"),"Cc1cc(CN(C)Cc2cccc(N(C)C(C)C)n2)cnc1C")</f>
        <v>Cc1cc(CN(C)Cc2cccc(N(C)C(C)C)n2)cnc1C</v>
      </c>
      <c r="C11827" s="7">
        <f>IFERROR(__xludf.DUMMYFUNCTION("""COMPUTED_VALUE"""),7.76058)</f>
        <v>7.76058</v>
      </c>
      <c r="D11827" s="7">
        <f>IFERROR(__xludf.DUMMYFUNCTION("""COMPUTED_VALUE"""),0.395833333333333)</f>
        <v>0.3958333333</v>
      </c>
    </row>
    <row r="11828">
      <c r="A11828" s="10" t="s">
        <v>13267</v>
      </c>
      <c r="B11828" s="7" t="str">
        <f>IFERROR(__xludf.DUMMYFUNCTION("SPLIT(A11828,"" "")"),"Cc1cccnc1CN(Cc1cc(C(C)(C)c2ccccn2)ccn1)C(C)C")</f>
        <v>Cc1cccnc1CN(Cc1cc(C(C)(C)c2ccccn2)ccn1)C(C)C</v>
      </c>
      <c r="C11828" s="7">
        <f>IFERROR(__xludf.DUMMYFUNCTION("""COMPUTED_VALUE"""),7.7605762)</f>
        <v>7.7605762</v>
      </c>
      <c r="D11828" s="7">
        <f>IFERROR(__xludf.DUMMYFUNCTION("""COMPUTED_VALUE"""),0.431372549019607)</f>
        <v>0.431372549</v>
      </c>
    </row>
    <row r="11829">
      <c r="A11829" s="10" t="s">
        <v>13268</v>
      </c>
      <c r="B11829" s="7" t="str">
        <f>IFERROR(__xludf.DUMMYFUNCTION("SPLIT(A11829,"" "")"),"CC1=CCC=C(NCc2ccccn2)N1")</f>
        <v>CC1=CCC=C(NCc2ccccn2)N1</v>
      </c>
      <c r="C11829" s="7">
        <f>IFERROR(__xludf.DUMMYFUNCTION("""COMPUTED_VALUE"""),7.7605753)</f>
        <v>7.7605753</v>
      </c>
      <c r="D11829" s="7">
        <f>IFERROR(__xludf.DUMMYFUNCTION("""COMPUTED_VALUE"""),0.425)</f>
        <v>0.425</v>
      </c>
    </row>
    <row r="11830">
      <c r="A11830" s="10" t="s">
        <v>13269</v>
      </c>
      <c r="B11830" s="7" t="str">
        <f>IFERROR(__xludf.DUMMYFUNCTION("SPLIT(A11830,"" "")"),"C1=CC(CN(Cc2ccccn2)Cc2ccccn2)C=C(c2ccccn2)N1")</f>
        <v>C1=CC(CN(Cc2ccccn2)Cc2ccccn2)C=C(c2ccccn2)N1</v>
      </c>
      <c r="C11830" s="7">
        <f>IFERROR(__xludf.DUMMYFUNCTION("""COMPUTED_VALUE"""),7.7605705)</f>
        <v>7.7605705</v>
      </c>
      <c r="D11830" s="7">
        <f>IFERROR(__xludf.DUMMYFUNCTION("""COMPUTED_VALUE"""),0.48)</f>
        <v>0.48</v>
      </c>
    </row>
    <row r="11831">
      <c r="A11831" s="10" t="s">
        <v>13270</v>
      </c>
      <c r="B11831" s="7" t="str">
        <f>IFERROR(__xludf.DUMMYFUNCTION("SPLIT(A11831,"" "")"),"Cc1cccnc1CN(Cc1ccccn1)C1CCCCC1N(C)c1ccc2c(CN(C)C)nccc2c1")</f>
        <v>Cc1cccnc1CN(Cc1ccccn1)C1CCCCC1N(C)c1ccc2c(CN(C)C)nccc2c1</v>
      </c>
      <c r="C11831" s="7">
        <f>IFERROR(__xludf.DUMMYFUNCTION("""COMPUTED_VALUE"""),7.7605605)</f>
        <v>7.7605605</v>
      </c>
      <c r="D11831" s="7">
        <f>IFERROR(__xludf.DUMMYFUNCTION("""COMPUTED_VALUE"""),0.419354838709677)</f>
        <v>0.4193548387</v>
      </c>
    </row>
    <row r="11832">
      <c r="A11832" s="10" t="s">
        <v>13271</v>
      </c>
      <c r="B11832" s="7" t="str">
        <f>IFERROR(__xludf.DUMMYFUNCTION("SPLIT(A11832,"" "")"),"Cc1cnc(CN(C)Cc2cccc(N(C)C(C)C)n2)c(C)c1")</f>
        <v>Cc1cnc(CN(C)Cc2cccc(N(C)C(C)C)n2)c(C)c1</v>
      </c>
      <c r="C11832" s="7">
        <f>IFERROR(__xludf.DUMMYFUNCTION("""COMPUTED_VALUE"""),7.7605596)</f>
        <v>7.7605596</v>
      </c>
      <c r="D11832" s="7">
        <f>IFERROR(__xludf.DUMMYFUNCTION("""COMPUTED_VALUE"""),0.395833333333333)</f>
        <v>0.3958333333</v>
      </c>
    </row>
    <row r="11833">
      <c r="A11833" s="10" t="s">
        <v>13272</v>
      </c>
      <c r="B11833" s="7" t="str">
        <f>IFERROR(__xludf.DUMMYFUNCTION("SPLIT(A11833,"" "")"),"CC(C)NCCN(C)Cc1cccc2ncccc12")</f>
        <v>CC(C)NCCN(C)Cc1cccc2ncccc12</v>
      </c>
      <c r="C11833" s="7">
        <f>IFERROR(__xludf.DUMMYFUNCTION("""COMPUTED_VALUE"""),7.7605586)</f>
        <v>7.7605586</v>
      </c>
      <c r="D11833" s="7">
        <f>IFERROR(__xludf.DUMMYFUNCTION("""COMPUTED_VALUE"""),0.456521739130434)</f>
        <v>0.4565217391</v>
      </c>
    </row>
    <row r="11834">
      <c r="A11834" s="10" t="s">
        <v>13273</v>
      </c>
      <c r="B11834" s="7" t="str">
        <f>IFERROR(__xludf.DUMMYFUNCTION("SPLIT(A11834,"" "")"),"Cc1cccc(CN(C)Cc2cc(C(C)(C)c3ccccn3)ccn2)c1")</f>
        <v>Cc1cccc(CN(C)Cc2cc(C(C)(C)c3ccccn3)ccn2)c1</v>
      </c>
      <c r="C11834" s="7">
        <f>IFERROR(__xludf.DUMMYFUNCTION("""COMPUTED_VALUE"""),7.7605557)</f>
        <v>7.7605557</v>
      </c>
      <c r="D11834" s="7">
        <f>IFERROR(__xludf.DUMMYFUNCTION("""COMPUTED_VALUE"""),0.381818181818181)</f>
        <v>0.3818181818</v>
      </c>
    </row>
    <row r="11835">
      <c r="A11835" s="10" t="s">
        <v>13274</v>
      </c>
      <c r="B11835" s="7" t="str">
        <f>IFERROR(__xludf.DUMMYFUNCTION("SPLIT(A11835,"" "")"),"Cc1cc(CN(C)C2=C(CN(Cc3ccccn3)C(C)C)NC=CC2)nc(C)c1C")</f>
        <v>Cc1cc(CN(C)C2=C(CN(Cc3ccccn3)C(C)C)NC=CC2)nc(C)c1C</v>
      </c>
      <c r="C11835" s="7">
        <f>IFERROR(__xludf.DUMMYFUNCTION("""COMPUTED_VALUE"""),7.760546)</f>
        <v>7.760546</v>
      </c>
      <c r="D11835" s="7">
        <f>IFERROR(__xludf.DUMMYFUNCTION("""COMPUTED_VALUE"""),0.413793103448275)</f>
        <v>0.4137931034</v>
      </c>
    </row>
    <row r="11836">
      <c r="A11836" s="10" t="s">
        <v>13275</v>
      </c>
      <c r="B11836" s="7" t="str">
        <f>IFERROR(__xludf.DUMMYFUNCTION("SPLIT(A11836,"" "")"),"CNCC1=C(N(C)Cc2nccc(C)c2C)CC=CN1")</f>
        <v>CNCC1=C(N(C)Cc2nccc(C)c2C)CC=CN1</v>
      </c>
      <c r="C11836" s="7">
        <f>IFERROR(__xludf.DUMMYFUNCTION("""COMPUTED_VALUE"""),7.760541)</f>
        <v>7.760541</v>
      </c>
      <c r="D11836" s="7">
        <f>IFERROR(__xludf.DUMMYFUNCTION("""COMPUTED_VALUE"""),0.234375)</f>
        <v>0.234375</v>
      </c>
    </row>
    <row r="11837">
      <c r="A11837" s="10" t="s">
        <v>13276</v>
      </c>
      <c r="B11837" s="7" t="str">
        <f>IFERROR(__xludf.DUMMYFUNCTION("SPLIT(A11837,"" "")"),"CC1C=CC(C)C(C)(N(Cc2ccccn2)Cc2cccc(-c3ccccc3N(C)C)n2)C1")</f>
        <v>CC1C=CC(C)C(C)(N(Cc2ccccn2)Cc2cccc(-c3ccccc3N(C)C)n2)C1</v>
      </c>
      <c r="C11837" s="7">
        <f>IFERROR(__xludf.DUMMYFUNCTION("""COMPUTED_VALUE"""),7.7605367)</f>
        <v>7.7605367</v>
      </c>
      <c r="D11837" s="7">
        <f>IFERROR(__xludf.DUMMYFUNCTION("""COMPUTED_VALUE"""),0.423728813559322)</f>
        <v>0.4237288136</v>
      </c>
    </row>
    <row r="11838">
      <c r="A11838" s="10" t="s">
        <v>13277</v>
      </c>
      <c r="B11838" s="7" t="str">
        <f>IFERROR(__xludf.DUMMYFUNCTION("SPLIT(A11838,"" "")"),"CCNc1cnccc1-c1ncccc1C(C)C(C)C")</f>
        <v>CCNc1cnccc1-c1ncccc1C(C)C(C)C</v>
      </c>
      <c r="C11838" s="7">
        <f>IFERROR(__xludf.DUMMYFUNCTION("""COMPUTED_VALUE"""),7.760534)</f>
        <v>7.760534</v>
      </c>
      <c r="D11838" s="7">
        <f>IFERROR(__xludf.DUMMYFUNCTION("""COMPUTED_VALUE"""),0.245901639344262)</f>
        <v>0.2459016393</v>
      </c>
    </row>
    <row r="11839">
      <c r="A11839" s="10" t="s">
        <v>13278</v>
      </c>
      <c r="B11839" s="7" t="str">
        <f>IFERROR(__xludf.DUMMYFUNCTION("SPLIT(A11839,"" "")"),"CCNc1cccc(CN(Cc2ccccn2)Cc2cc(C(C)(C)c3ccccn3)ccn2)n1")</f>
        <v>CCNc1cccc(CN(Cc2ccccn2)Cc2cc(C(C)(C)c3ccccn3)ccn2)n1</v>
      </c>
      <c r="C11839" s="7">
        <f>IFERROR(__xludf.DUMMYFUNCTION("""COMPUTED_VALUE"""),7.7605314)</f>
        <v>7.7605314</v>
      </c>
      <c r="D11839" s="7">
        <f>IFERROR(__xludf.DUMMYFUNCTION("""COMPUTED_VALUE"""),0.491228070175438)</f>
        <v>0.4912280702</v>
      </c>
    </row>
    <row r="11840">
      <c r="A11840" s="10" t="s">
        <v>13279</v>
      </c>
      <c r="B11840" s="7" t="str">
        <f>IFERROR(__xludf.DUMMYFUNCTION("SPLIT(A11840,"" "")"),"Cc1cc(C)c(N)cc1C")</f>
        <v>Cc1cc(C)c(N)cc1C</v>
      </c>
      <c r="C11840" s="7">
        <f>IFERROR(__xludf.DUMMYFUNCTION("""COMPUTED_VALUE"""),7.760531)</f>
        <v>7.760531</v>
      </c>
      <c r="D11840" s="7">
        <f>IFERROR(__xludf.DUMMYFUNCTION("""COMPUTED_VALUE"""),0.19047619047619)</f>
        <v>0.1904761905</v>
      </c>
    </row>
    <row r="11841">
      <c r="A11841" s="10" t="s">
        <v>13280</v>
      </c>
      <c r="B11841" s="7" t="str">
        <f>IFERROR(__xludf.DUMMYFUNCTION("SPLIT(A11841,"" "")"),"CN(Cc1cccnn1)C1=C(N(C)CN)NC=CC1")</f>
        <v>CN(Cc1cccnn1)C1=C(N(C)CN)NC=CC1</v>
      </c>
      <c r="C11841" s="7">
        <f>IFERROR(__xludf.DUMMYFUNCTION("""COMPUTED_VALUE"""),7.7605247)</f>
        <v>7.7605247</v>
      </c>
      <c r="D11841" s="7">
        <f>IFERROR(__xludf.DUMMYFUNCTION("""COMPUTED_VALUE"""),0.425531914893617)</f>
        <v>0.4255319149</v>
      </c>
    </row>
    <row r="11842">
      <c r="A11842" s="10" t="s">
        <v>13281</v>
      </c>
      <c r="B11842" s="7" t="str">
        <f>IFERROR(__xludf.DUMMYFUNCTION("SPLIT(A11842,"" "")"),"CC(C)C(C)(c1cccnc1)c1cccc(CN(Cc2ccccn2)C2CCC(N(C)c3ccc4nccc(CF)c4c3)CC2)n1")</f>
        <v>CC(C)C(C)(c1cccnc1)c1cccc(CN(Cc2ccccn2)C2CCC(N(C)c3ccc4nccc(CF)c4c3)CC2)n1</v>
      </c>
      <c r="C11842" s="7">
        <f>IFERROR(__xludf.DUMMYFUNCTION("""COMPUTED_VALUE"""),7.760524)</f>
        <v>7.760524</v>
      </c>
      <c r="D11842" s="7">
        <f>IFERROR(__xludf.DUMMYFUNCTION("""COMPUTED_VALUE"""),0.280487804878048)</f>
        <v>0.2804878049</v>
      </c>
    </row>
    <row r="11843">
      <c r="A11843" s="10" t="s">
        <v>13282</v>
      </c>
      <c r="B11843" s="7" t="str">
        <f>IFERROR(__xludf.DUMMYFUNCTION("SPLIT(A11843,"" "")"),"CNCc1ncccc1N(C)C")</f>
        <v>CNCc1ncccc1N(C)C</v>
      </c>
      <c r="C11843" s="7">
        <f>IFERROR(__xludf.DUMMYFUNCTION("""COMPUTED_VALUE"""),7.760521)</f>
        <v>7.760521</v>
      </c>
      <c r="D11843" s="7">
        <f>IFERROR(__xludf.DUMMYFUNCTION("""COMPUTED_VALUE"""),0.384615384615384)</f>
        <v>0.3846153846</v>
      </c>
    </row>
    <row r="11844">
      <c r="A11844" s="10" t="s">
        <v>13283</v>
      </c>
      <c r="B11844" s="7" t="str">
        <f>IFERROR(__xludf.DUMMYFUNCTION("SPLIT(A11844,"" "")"),"Cc1cncc(CN(C)C2CCC(N(C)c3ccc4c(C)ccnc4c3)CC2)c1")</f>
        <v>Cc1cncc(CN(C)C2CCC(N(C)c3ccc4c(C)ccnc4c3)CC2)c1</v>
      </c>
      <c r="C11844" s="7">
        <f>IFERROR(__xludf.DUMMYFUNCTION("""COMPUTED_VALUE"""),7.7605195)</f>
        <v>7.7605195</v>
      </c>
      <c r="D11844" s="7">
        <f>IFERROR(__xludf.DUMMYFUNCTION("""COMPUTED_VALUE"""),0.269841269841269)</f>
        <v>0.2698412698</v>
      </c>
    </row>
    <row r="11845">
      <c r="A11845" s="10" t="s">
        <v>13284</v>
      </c>
      <c r="B11845" s="7" t="str">
        <f>IFERROR(__xludf.DUMMYFUNCTION("SPLIT(A11845,"" "")"),"Cc1nc(CN(C)C2=CNC(CN(C)C(C)C)=CC2)c(C)c(C)c1C")</f>
        <v>Cc1nc(CN(C)C2=CNC(CN(C)C(C)C)=CC2)c(C)c(C)c1C</v>
      </c>
      <c r="C11845" s="7">
        <f>IFERROR(__xludf.DUMMYFUNCTION("""COMPUTED_VALUE"""),7.760515)</f>
        <v>7.760515</v>
      </c>
      <c r="D11845" s="7">
        <f>IFERROR(__xludf.DUMMYFUNCTION("""COMPUTED_VALUE"""),0.189655172413793)</f>
        <v>0.1896551724</v>
      </c>
    </row>
    <row r="11846">
      <c r="A11846" s="10" t="s">
        <v>13285</v>
      </c>
      <c r="B11846" s="7" t="str">
        <f>IFERROR(__xludf.DUMMYFUNCTION("SPLIT(A11846,"" "")"),"Cc1ccc(C)c(CN(C)Cc2ccc(C(C)(C)C)cn2)n1")</f>
        <v>Cc1ccc(C)c(CN(C)Cc2ccc(C(C)(C)C)cn2)n1</v>
      </c>
      <c r="C11846" s="7">
        <f>IFERROR(__xludf.DUMMYFUNCTION("""COMPUTED_VALUE"""),7.760514)</f>
        <v>7.760514</v>
      </c>
      <c r="D11846" s="7">
        <f>IFERROR(__xludf.DUMMYFUNCTION("""COMPUTED_VALUE"""),0.4)</f>
        <v>0.4</v>
      </c>
    </row>
    <row r="11847">
      <c r="A11847" s="10" t="s">
        <v>13286</v>
      </c>
      <c r="B11847" s="7" t="str">
        <f>IFERROR(__xludf.DUMMYFUNCTION("SPLIT(A11847,"" "")"),"CN(C)c1cccc(-c2ccc(CN(Cc3cccc(-c4ccc5c(c4)OCCOCCOCCOCCOCCO5)n3)Cc3ccc4ccccc4n3)nc2)c1")</f>
        <v>CN(C)c1cccc(-c2ccc(CN(Cc3cccc(-c4ccc5c(c4)OCCOCCOCCOCCOCCO5)n3)Cc3ccc4ccccc4n3)nc2)c1</v>
      </c>
      <c r="C11847" s="7">
        <f>IFERROR(__xludf.DUMMYFUNCTION("""COMPUTED_VALUE"""),7.7605114)</f>
        <v>7.7605114</v>
      </c>
      <c r="D11847" s="7">
        <f>IFERROR(__xludf.DUMMYFUNCTION("""COMPUTED_VALUE"""),0.389610389610389)</f>
        <v>0.3896103896</v>
      </c>
    </row>
    <row r="11848">
      <c r="A11848" s="10" t="s">
        <v>13287</v>
      </c>
      <c r="B11848" s="7" t="str">
        <f>IFERROR(__xludf.DUMMYFUNCTION("SPLIT(A11848,"" "")"),"CN(CC1=CC(N(C)Cc2ccccn2)C=CN1)c1cccc(F)c1")</f>
        <v>CN(CC1=CC(N(C)Cc2ccccn2)C=CN1)c1cccc(F)c1</v>
      </c>
      <c r="C11848" s="7">
        <f>IFERROR(__xludf.DUMMYFUNCTION("""COMPUTED_VALUE"""),7.760508)</f>
        <v>7.760508</v>
      </c>
      <c r="D11848" s="7">
        <f>IFERROR(__xludf.DUMMYFUNCTION("""COMPUTED_VALUE"""),0.379310344827586)</f>
        <v>0.3793103448</v>
      </c>
    </row>
    <row r="11849">
      <c r="A11849" s="10" t="s">
        <v>13288</v>
      </c>
      <c r="B11849" s="7" t="str">
        <f>IFERROR(__xludf.DUMMYFUNCTION("SPLIT(A11849,"" "")"),"Cc1ccc(CN(Cc2ccccn2)C2CCC(N(C)c3ccc4ccc(CF)nc4c3)CC2)nc1C")</f>
        <v>Cc1ccc(CN(Cc2ccccn2)C2CCC(N(C)c3ccc4ccc(CF)nc4c3)CC2)nc1C</v>
      </c>
      <c r="C11849" s="7">
        <f>IFERROR(__xludf.DUMMYFUNCTION("""COMPUTED_VALUE"""),7.7605047)</f>
        <v>7.7605047</v>
      </c>
      <c r="D11849" s="7">
        <f>IFERROR(__xludf.DUMMYFUNCTION("""COMPUTED_VALUE"""),0.393442622950819)</f>
        <v>0.393442623</v>
      </c>
    </row>
    <row r="11850">
      <c r="A11850" s="10" t="s">
        <v>13289</v>
      </c>
      <c r="B11850" s="7" t="str">
        <f>IFERROR(__xludf.DUMMYFUNCTION("SPLIT(A11850,"" "")"),"Cc1ccc(CN(Cc2cccc(N)n2)C2CCC(N(C)c3ccc4nc(CF)ccc4c3)CC2)nc1")</f>
        <v>Cc1ccc(CN(Cc2cccc(N)n2)C2CCC(N(C)c3ccc4nc(CF)ccc4c3)CC2)nc1</v>
      </c>
      <c r="C11850" s="7">
        <f>IFERROR(__xludf.DUMMYFUNCTION("""COMPUTED_VALUE"""),7.760504)</f>
        <v>7.760504</v>
      </c>
      <c r="D11850" s="7">
        <f>IFERROR(__xludf.DUMMYFUNCTION("""COMPUTED_VALUE"""),0.360655737704918)</f>
        <v>0.3606557377</v>
      </c>
    </row>
    <row r="11851">
      <c r="A11851" s="10" t="s">
        <v>13290</v>
      </c>
      <c r="B11851" s="7" t="str">
        <f>IFERROR(__xludf.DUMMYFUNCTION("SPLIT(A11851,"" "")"),"Cc1ccccc1CN(C)Cc1ccc(C(C)(C)c2ccccn2)cn1")</f>
        <v>Cc1ccccc1CN(C)Cc1ccc(C(C)(C)c2ccccn2)cn1</v>
      </c>
      <c r="C11851" s="7">
        <f>IFERROR(__xludf.DUMMYFUNCTION("""COMPUTED_VALUE"""),7.7604995)</f>
        <v>7.7604995</v>
      </c>
      <c r="D11851" s="7">
        <f>IFERROR(__xludf.DUMMYFUNCTION("""COMPUTED_VALUE"""),0.37037037037037)</f>
        <v>0.3703703704</v>
      </c>
    </row>
    <row r="11852">
      <c r="A11852" s="10" t="s">
        <v>13291</v>
      </c>
      <c r="B11852" s="7" t="str">
        <f>IFERROR(__xludf.DUMMYFUNCTION("SPLIT(A11852,"" "")"),"CN(Cc1ccccn1)C1=CC=CC(NCc2ccccn2)N1")</f>
        <v>CN(Cc1ccccn1)C1=CC=CC(NCc2ccccn2)N1</v>
      </c>
      <c r="C11852" s="7">
        <f>IFERROR(__xludf.DUMMYFUNCTION("""COMPUTED_VALUE"""),7.7604966)</f>
        <v>7.7604966</v>
      </c>
      <c r="D11852" s="7">
        <f>IFERROR(__xludf.DUMMYFUNCTION("""COMPUTED_VALUE"""),0.42)</f>
        <v>0.42</v>
      </c>
    </row>
    <row r="11853">
      <c r="A11853" s="10" t="s">
        <v>13292</v>
      </c>
      <c r="B11853" s="7" t="str">
        <f>IFERROR(__xludf.DUMMYFUNCTION("SPLIT(A11853,"" "")"),"CC(C)C(C)N(C)CCN(C)c1ccc2ncc(CN(C)C)cc2c1")</f>
        <v>CC(C)C(C)N(C)CCN(C)c1ccc2ncc(CN(C)C)cc2c1</v>
      </c>
      <c r="C11853" s="7">
        <f>IFERROR(__xludf.DUMMYFUNCTION("""COMPUTED_VALUE"""),7.7604938)</f>
        <v>7.7604938</v>
      </c>
      <c r="D11853" s="7">
        <f>IFERROR(__xludf.DUMMYFUNCTION("""COMPUTED_VALUE"""),0.232142857142857)</f>
        <v>0.2321428571</v>
      </c>
    </row>
    <row r="11854">
      <c r="A11854" s="10" t="s">
        <v>13293</v>
      </c>
      <c r="B11854" s="7" t="str">
        <f>IFERROR(__xludf.DUMMYFUNCTION("SPLIT(A11854,"" "")"),"CCCN(C)CC1=CCC=C(N(C)Cc2cc(C)c(C)c(C)n2)N1")</f>
        <v>CCCN(C)CC1=CCC=C(N(C)Cc2cc(C)c(C)c(C)n2)N1</v>
      </c>
      <c r="C11854" s="7">
        <f>IFERROR(__xludf.DUMMYFUNCTION("""COMPUTED_VALUE"""),7.7604923)</f>
        <v>7.7604923</v>
      </c>
      <c r="D11854" s="7">
        <f>IFERROR(__xludf.DUMMYFUNCTION("""COMPUTED_VALUE"""),0.25)</f>
        <v>0.25</v>
      </c>
    </row>
    <row r="11855">
      <c r="A11855" s="10" t="s">
        <v>13294</v>
      </c>
      <c r="B11855" s="7" t="str">
        <f>IFERROR(__xludf.DUMMYFUNCTION("SPLIT(A11855,"" "")"),"CN(Cc1ccon1)C1CCC(N(C)c2cccc3ncccc23)CC1")</f>
        <v>CN(Cc1ccon1)C1CCC(N(C)c2cccc3ncccc23)CC1</v>
      </c>
      <c r="C11855" s="7">
        <f>IFERROR(__xludf.DUMMYFUNCTION("""COMPUTED_VALUE"""),7.7604856)</f>
        <v>7.7604856</v>
      </c>
      <c r="D11855" s="7">
        <f>IFERROR(__xludf.DUMMYFUNCTION("""COMPUTED_VALUE"""),0.365384615384615)</f>
        <v>0.3653846154</v>
      </c>
    </row>
    <row r="11856">
      <c r="A11856" s="10" t="s">
        <v>13295</v>
      </c>
      <c r="B11856" s="7" t="str">
        <f>IFERROR(__xludf.DUMMYFUNCTION("SPLIT(A11856,"" "")"),"Cc1ccc(CN(C)Cc2cc(C(C)(C)C)ccn2)nc1C")</f>
        <v>Cc1ccc(CN(C)Cc2cc(C(C)(C)C)ccn2)nc1C</v>
      </c>
      <c r="C11856" s="7">
        <f>IFERROR(__xludf.DUMMYFUNCTION("""COMPUTED_VALUE"""),7.760481)</f>
        <v>7.760481</v>
      </c>
      <c r="D11856" s="7">
        <f>IFERROR(__xludf.DUMMYFUNCTION("""COMPUTED_VALUE"""),0.36)</f>
        <v>0.36</v>
      </c>
    </row>
    <row r="11857">
      <c r="A11857" s="10" t="s">
        <v>13296</v>
      </c>
      <c r="B11857" s="7" t="str">
        <f>IFERROR(__xludf.DUMMYFUNCTION("SPLIT(A11857,"" "")"),"Cc1cnc(CN(C)C2=CNC(CN(Cc3ccccn3)C(C)C)=CC2)c(C)c1C")</f>
        <v>Cc1cnc(CN(C)C2=CNC(CN(Cc3ccccn3)C(C)C)=CC2)c(C)c1C</v>
      </c>
      <c r="C11857" s="7">
        <f>IFERROR(__xludf.DUMMYFUNCTION("""COMPUTED_VALUE"""),7.76048)</f>
        <v>7.76048</v>
      </c>
      <c r="D11857" s="7">
        <f>IFERROR(__xludf.DUMMYFUNCTION("""COMPUTED_VALUE"""),0.421052631578947)</f>
        <v>0.4210526316</v>
      </c>
    </row>
    <row r="11858">
      <c r="A11858" s="10" t="s">
        <v>13297</v>
      </c>
      <c r="B11858" s="7" t="str">
        <f>IFERROR(__xludf.DUMMYFUNCTION("SPLIT(A11858,"" "")"),"Cc1ccnc(CN(Cc2ccnc(CN(C)Cc3cc(C)c(C)c(C)n3)c2)Cc2ccccn2)c1")</f>
        <v>Cc1ccnc(CN(Cc2ccnc(CN(C)Cc3cc(C)c(C)c(C)n3)c2)Cc2ccccn2)c1</v>
      </c>
      <c r="C11858" s="7">
        <f>IFERROR(__xludf.DUMMYFUNCTION("""COMPUTED_VALUE"""),7.7604795)</f>
        <v>7.7604795</v>
      </c>
      <c r="D11858" s="7">
        <f>IFERROR(__xludf.DUMMYFUNCTION("""COMPUTED_VALUE"""),0.444444444444444)</f>
        <v>0.4444444444</v>
      </c>
    </row>
    <row r="11859">
      <c r="A11859" s="10" t="s">
        <v>13298</v>
      </c>
      <c r="B11859" s="7" t="str">
        <f>IFERROR(__xludf.DUMMYFUNCTION("SPLIT(A11859,"" "")"),"CCN(Cc1ccccn1)c1ccc2cccnc2c1-c1cccc(CN(Cc2ccccn2)Cc2cccc(-c3ccc4c(c3)OCCOCCOCCOCCOCCO4)n2)n1")</f>
        <v>CCN(Cc1ccccn1)c1ccc2cccnc2c1-c1cccc(CN(Cc2ccccn2)Cc2cccc(-c3ccc4c(c3)OCCOCCOCCOCCOCCO4)n2)n1</v>
      </c>
      <c r="C11859" s="7">
        <f>IFERROR(__xludf.DUMMYFUNCTION("""COMPUTED_VALUE"""),7.7604785)</f>
        <v>7.7604785</v>
      </c>
      <c r="D11859" s="7">
        <f>IFERROR(__xludf.DUMMYFUNCTION("""COMPUTED_VALUE"""),0.418918918918918)</f>
        <v>0.4189189189</v>
      </c>
    </row>
    <row r="11860">
      <c r="A11860" s="10" t="s">
        <v>13299</v>
      </c>
      <c r="B11860" s="7" t="str">
        <f>IFERROR(__xludf.DUMMYFUNCTION("SPLIT(A11860,"" "")"),"Cc1cccc(CN(Cc2ccccn2)C2CCC(N(C)c3cccc4c(CF)ccnc34)CC2)n1")</f>
        <v>Cc1cccc(CN(Cc2ccccn2)C2CCC(N(C)c3cccc4c(CF)ccnc34)CC2)n1</v>
      </c>
      <c r="C11860" s="7">
        <f>IFERROR(__xludf.DUMMYFUNCTION("""COMPUTED_VALUE"""),7.760473)</f>
        <v>7.760473</v>
      </c>
      <c r="D11860" s="7">
        <f>IFERROR(__xludf.DUMMYFUNCTION("""COMPUTED_VALUE"""),0.359375)</f>
        <v>0.359375</v>
      </c>
    </row>
    <row r="11861">
      <c r="A11861" s="10" t="s">
        <v>13300</v>
      </c>
      <c r="B11861" s="7" t="str">
        <f>IFERROR(__xludf.DUMMYFUNCTION("SPLIT(A11861,"" "")"),"Cc1cc(C)c(CN(C)Cc2nc(CN(Cc3ccccn3)Cc3cccnc3F)ccc2C)nc1C")</f>
        <v>Cc1cc(C)c(CN(C)Cc2nc(CN(Cc3ccccn3)Cc3cccnc3F)ccc2C)nc1C</v>
      </c>
      <c r="C11861" s="7">
        <f>IFERROR(__xludf.DUMMYFUNCTION("""COMPUTED_VALUE"""),7.760469)</f>
        <v>7.760469</v>
      </c>
      <c r="D11861" s="7">
        <f>IFERROR(__xludf.DUMMYFUNCTION("""COMPUTED_VALUE"""),0.413793103448275)</f>
        <v>0.4137931034</v>
      </c>
    </row>
    <row r="11862">
      <c r="A11862" s="10" t="s">
        <v>13301</v>
      </c>
      <c r="B11862" s="7" t="str">
        <f>IFERROR(__xludf.DUMMYFUNCTION("SPLIT(A11862,"" "")"),"CCN(Cc1ccccn1)c1ncccc1CN(Cc1ccccn1)Cc1ncccc1C")</f>
        <v>CCN(Cc1ccccn1)c1ncccc1CN(Cc1ccccn1)Cc1ncccc1C</v>
      </c>
      <c r="C11862" s="7">
        <f>IFERROR(__xludf.DUMMYFUNCTION("""COMPUTED_VALUE"""),7.760465)</f>
        <v>7.760465</v>
      </c>
      <c r="D11862" s="7">
        <f>IFERROR(__xludf.DUMMYFUNCTION("""COMPUTED_VALUE"""),0.465116279069767)</f>
        <v>0.4651162791</v>
      </c>
    </row>
    <row r="11863">
      <c r="A11863" s="10" t="s">
        <v>13302</v>
      </c>
      <c r="B11863" s="7" t="str">
        <f>IFERROR(__xludf.DUMMYFUNCTION("SPLIT(A11863,"" "")"),"Cc1cc(CN(C)CC2=CC(N(C)Cc3cc(C)c(C)c(C)n3)C=CN2)nc(C)c1C")</f>
        <v>Cc1cc(CN(C)CC2=CC(N(C)Cc3cc(C)c(C)c(C)n3)C=CN2)nc(C)c1C</v>
      </c>
      <c r="C11863" s="7">
        <f>IFERROR(__xludf.DUMMYFUNCTION("""COMPUTED_VALUE"""),7.7604566)</f>
        <v>7.7604566</v>
      </c>
      <c r="D11863" s="7">
        <f>IFERROR(__xludf.DUMMYFUNCTION("""COMPUTED_VALUE"""),0.333333333333333)</f>
        <v>0.3333333333</v>
      </c>
    </row>
    <row r="11864">
      <c r="A11864" s="10" t="s">
        <v>13303</v>
      </c>
      <c r="B11864" s="7" t="str">
        <f>IFERROR(__xludf.DUMMYFUNCTION("SPLIT(A11864,"" "")"),"CN(C)Cc1nccc2cc(N(C)C3CCCCC3N(Cc3ccccn3)Cc3cnccc3C(C)(C)C)ccc12")</f>
        <v>CN(C)Cc1nccc2cc(N(C)C3CCCCC3N(Cc3ccccn3)Cc3cnccc3C(C)(C)C)ccc12</v>
      </c>
      <c r="C11864" s="7">
        <f>IFERROR(__xludf.DUMMYFUNCTION("""COMPUTED_VALUE"""),7.7604513)</f>
        <v>7.7604513</v>
      </c>
      <c r="D11864" s="7">
        <f>IFERROR(__xludf.DUMMYFUNCTION("""COMPUTED_VALUE"""),0.371428571428571)</f>
        <v>0.3714285714</v>
      </c>
    </row>
    <row r="11865">
      <c r="A11865" s="10" t="s">
        <v>13304</v>
      </c>
      <c r="B11865" s="7" t="str">
        <f>IFERROR(__xludf.DUMMYFUNCTION("SPLIT(A11865,"" "")"),"Cc1cc(C)c(CN(C)Cc2ccc(N)cn2)cn1")</f>
        <v>Cc1cc(C)c(CN(C)Cc2ccc(N)cn2)cn1</v>
      </c>
      <c r="C11865" s="7">
        <f>IFERROR(__xludf.DUMMYFUNCTION("""COMPUTED_VALUE"""),7.760451)</f>
        <v>7.760451</v>
      </c>
      <c r="D11865" s="7">
        <f>IFERROR(__xludf.DUMMYFUNCTION("""COMPUTED_VALUE"""),0.41860465116279)</f>
        <v>0.4186046512</v>
      </c>
    </row>
    <row r="11866">
      <c r="A11866" s="10" t="s">
        <v>13305</v>
      </c>
      <c r="B11866" s="7" t="str">
        <f>IFERROR(__xludf.DUMMYFUNCTION("SPLIT(A11866,"" "")"),"Cc1ccc(CN(C)CC2=CCC(N(C)Cc3ccccn3)=CN2)cc1")</f>
        <v>Cc1ccc(CN(C)CC2=CCC(N(C)Cc3ccccn3)=CN2)cc1</v>
      </c>
      <c r="C11866" s="7">
        <f>IFERROR(__xludf.DUMMYFUNCTION("""COMPUTED_VALUE"""),7.7604485)</f>
        <v>7.7604485</v>
      </c>
      <c r="D11866" s="7">
        <f>IFERROR(__xludf.DUMMYFUNCTION("""COMPUTED_VALUE"""),0.392857142857142)</f>
        <v>0.3928571429</v>
      </c>
    </row>
    <row r="11867">
      <c r="A11867" s="10" t="s">
        <v>13306</v>
      </c>
      <c r="B11867" s="7" t="str">
        <f>IFERROR(__xludf.DUMMYFUNCTION("SPLIT(A11867,"" "")"),"COC(=O)C1CC(c2ccccn2)C(c2cccc(CN(Cc3ccccn3)Cc3ccccn3)n2)N(C)C1c1ccccn1")</f>
        <v>COC(=O)C1CC(c2ccccn2)C(c2cccc(CN(Cc3ccccn3)Cc3ccccn3)n2)N(C)C1c1ccccn1</v>
      </c>
      <c r="C11867" s="7">
        <f>IFERROR(__xludf.DUMMYFUNCTION("""COMPUTED_VALUE"""),7.7604465)</f>
        <v>7.7604465</v>
      </c>
      <c r="D11867" s="7">
        <f>IFERROR(__xludf.DUMMYFUNCTION("""COMPUTED_VALUE"""),0.397058823529411)</f>
        <v>0.3970588235</v>
      </c>
    </row>
    <row r="11868">
      <c r="A11868" s="10" t="s">
        <v>13307</v>
      </c>
      <c r="B11868" s="7" t="str">
        <f>IFERROR(__xludf.DUMMYFUNCTION("SPLIT(A11868,"" "")"),"Cc1cnc(CN(C)C2CCCCC2N(C)c2ccc3ccc(CN(C)C)nc3c2)c(C)c1")</f>
        <v>Cc1cnc(CN(C)C2CCCCC2N(C)c2ccc3ccc(CN(C)C)nc3c2)c(C)c1</v>
      </c>
      <c r="C11868" s="7">
        <f>IFERROR(__xludf.DUMMYFUNCTION("""COMPUTED_VALUE"""),7.760444)</f>
        <v>7.760444</v>
      </c>
      <c r="D11868" s="7">
        <f>IFERROR(__xludf.DUMMYFUNCTION("""COMPUTED_VALUE"""),0.464285714285714)</f>
        <v>0.4642857143</v>
      </c>
    </row>
    <row r="11869">
      <c r="A11869" s="10" t="s">
        <v>13308</v>
      </c>
      <c r="B11869" s="7" t="str">
        <f>IFERROR(__xludf.DUMMYFUNCTION("SPLIT(A11869,"" "")"),"CNc1ccc(-c2cccc(CN(C)C3CCCCC3N(C)Cc3ccc4ncccc4c3)n2)cc1")</f>
        <v>CNc1ccc(-c2cccc(CN(C)C3CCCCC3N(C)Cc3ccc4ncccc4c3)n2)cc1</v>
      </c>
      <c r="C11869" s="7">
        <f>IFERROR(__xludf.DUMMYFUNCTION("""COMPUTED_VALUE"""),7.7604423)</f>
        <v>7.7604423</v>
      </c>
      <c r="D11869" s="7">
        <f>IFERROR(__xludf.DUMMYFUNCTION("""COMPUTED_VALUE"""),0.433333333333333)</f>
        <v>0.4333333333</v>
      </c>
    </row>
    <row r="11870">
      <c r="A11870" s="10" t="s">
        <v>13309</v>
      </c>
      <c r="B11870" s="7" t="str">
        <f>IFERROR(__xludf.DUMMYFUNCTION("SPLIT(A11870,"" "")"),"CN(Cc1ccccn1)C1=CCC=C(CN(C)C(C)(C)c2ccccn2)N1")</f>
        <v>CN(Cc1ccccn1)C1=CCC=C(CN(C)C(C)(C)c2ccccn2)N1</v>
      </c>
      <c r="C11870" s="7">
        <f>IFERROR(__xludf.DUMMYFUNCTION("""COMPUTED_VALUE"""),7.7604394)</f>
        <v>7.7604394</v>
      </c>
      <c r="D11870" s="7">
        <f>IFERROR(__xludf.DUMMYFUNCTION("""COMPUTED_VALUE"""),0.415094339622641)</f>
        <v>0.4150943396</v>
      </c>
    </row>
    <row r="11871">
      <c r="A11871" s="10" t="s">
        <v>13310</v>
      </c>
      <c r="B11871" s="7" t="str">
        <f>IFERROR(__xludf.DUMMYFUNCTION("SPLIT(A11871,"" "")"),"C1=CNCC(N(Cc2ccccn2)Cc2ccccn2)=C1")</f>
        <v>C1=CNCC(N(Cc2ccccn2)Cc2ccccn2)=C1</v>
      </c>
      <c r="C11871" s="7">
        <f>IFERROR(__xludf.DUMMYFUNCTION("""COMPUTED_VALUE"""),7.7604375)</f>
        <v>7.7604375</v>
      </c>
      <c r="D11871" s="7">
        <f>IFERROR(__xludf.DUMMYFUNCTION("""COMPUTED_VALUE"""),0.459459459459459)</f>
        <v>0.4594594595</v>
      </c>
    </row>
    <row r="11872">
      <c r="A11872" s="10" t="s">
        <v>13311</v>
      </c>
      <c r="B11872" s="7" t="str">
        <f>IFERROR(__xludf.DUMMYFUNCTION("SPLIT(A11872,"" "")"),"CC(C)C1=NCC(c2cc(CN(Cc3ccccn3)Cc3cc(C(C)(C)C)ccn3)ccn2)O1")</f>
        <v>CC(C)C1=NCC(c2cc(CN(Cc3ccccn3)Cc3cc(C(C)(C)C)ccn3)ccn2)O1</v>
      </c>
      <c r="C11872" s="7">
        <f>IFERROR(__xludf.DUMMYFUNCTION("""COMPUTED_VALUE"""),7.760435)</f>
        <v>7.760435</v>
      </c>
      <c r="D11872" s="7">
        <f>IFERROR(__xludf.DUMMYFUNCTION("""COMPUTED_VALUE"""),0.363636363636363)</f>
        <v>0.3636363636</v>
      </c>
    </row>
    <row r="11873">
      <c r="A11873" s="10" t="s">
        <v>13312</v>
      </c>
      <c r="B11873" s="7" t="str">
        <f>IFERROR(__xludf.DUMMYFUNCTION("SPLIT(A11873,"" "")"),"CC1=C(C)C(c2ncccc2CN(Cc2ccccn2)C2CCCC(N(C)c3ccc4nccc(CN(C)C)c4c3)C2)CC(C)C1")</f>
        <v>CC1=C(C)C(c2ncccc2CN(Cc2ccccn2)C2CCCC(N(C)c3ccc4nccc(CN(C)C)c4c3)C2)CC(C)C1</v>
      </c>
      <c r="C11873" s="7">
        <f>IFERROR(__xludf.DUMMYFUNCTION("""COMPUTED_VALUE"""),7.7604313)</f>
        <v>7.7604313</v>
      </c>
      <c r="D11873" s="7">
        <f>IFERROR(__xludf.DUMMYFUNCTION("""COMPUTED_VALUE"""),0.291139240506329)</f>
        <v>0.2911392405</v>
      </c>
    </row>
    <row r="11874">
      <c r="A11874" s="10" t="s">
        <v>13313</v>
      </c>
      <c r="B11874" s="7" t="str">
        <f>IFERROR(__xludf.DUMMYFUNCTION("SPLIT(A11874,"" "")"),"Cc1cncc(CN(C)C2=CNCC=C2)c1")</f>
        <v>Cc1cncc(CN(C)C2=CNCC=C2)c1</v>
      </c>
      <c r="C11874" s="7">
        <f>IFERROR(__xludf.DUMMYFUNCTION("""COMPUTED_VALUE"""),7.760421)</f>
        <v>7.760421</v>
      </c>
      <c r="D11874" s="7">
        <f>IFERROR(__xludf.DUMMYFUNCTION("""COMPUTED_VALUE"""),0.22)</f>
        <v>0.22</v>
      </c>
    </row>
    <row r="11875">
      <c r="A11875" s="10" t="s">
        <v>13314</v>
      </c>
      <c r="B11875" s="7" t="str">
        <f>IFERROR(__xludf.DUMMYFUNCTION("SPLIT(A11875,"" "")"),"CN(C)C1CCCC(N(C)c2cccc3ncc4c(c23)CCC4)C1")</f>
        <v>CN(C)C1CCCC(N(C)c2cccc3ncc4c(c23)CCC4)C1</v>
      </c>
      <c r="C11875" s="7">
        <f>IFERROR(__xludf.DUMMYFUNCTION("""COMPUTED_VALUE"""),7.7604165)</f>
        <v>7.7604165</v>
      </c>
      <c r="D11875" s="7">
        <f>IFERROR(__xludf.DUMMYFUNCTION("""COMPUTED_VALUE"""),0.327868852459016)</f>
        <v>0.3278688525</v>
      </c>
    </row>
    <row r="11876">
      <c r="A11876" s="10" t="s">
        <v>13315</v>
      </c>
      <c r="B11876" s="7" t="str">
        <f>IFERROR(__xludf.DUMMYFUNCTION("SPLIT(A11876,"" "")"),"CN(C)Cc1ccnc2ccc(N(C)C3CCC(N(Cc4ccc(C5CC(C)(C)C5)nc4)Cc4ccccn4)CC3)cc12")</f>
        <v>CN(C)Cc1ccnc2ccc(N(C)C3CCC(N(Cc4ccc(C5CC(C)(C)C5)nc4)Cc4ccccn4)CC3)cc12</v>
      </c>
      <c r="C11876" s="7">
        <f>IFERROR(__xludf.DUMMYFUNCTION("""COMPUTED_VALUE"""),7.7604146)</f>
        <v>7.7604146</v>
      </c>
      <c r="D11876" s="7">
        <f>IFERROR(__xludf.DUMMYFUNCTION("""COMPUTED_VALUE"""),0.293333333333333)</f>
        <v>0.2933333333</v>
      </c>
    </row>
    <row r="11877">
      <c r="A11877" s="10" t="s">
        <v>13316</v>
      </c>
      <c r="B11877" s="7" t="str">
        <f>IFERROR(__xludf.DUMMYFUNCTION("SPLIT(A11877,"" "")"),"Cc1c(C)c(C)c(N(C)C2CCC(N(C)Cc3ccc4ncccc4c3)CC2)c(C)c1C")</f>
        <v>Cc1c(C)c(C)c(N(C)C2CCC(N(C)Cc3ccc4ncccc4c3)CC2)c(C)c1C</v>
      </c>
      <c r="C11877" s="7">
        <f>IFERROR(__xludf.DUMMYFUNCTION("""COMPUTED_VALUE"""),7.7604146)</f>
        <v>7.7604146</v>
      </c>
      <c r="D11877" s="7">
        <f>IFERROR(__xludf.DUMMYFUNCTION("""COMPUTED_VALUE"""),0.310344827586206)</f>
        <v>0.3103448276</v>
      </c>
    </row>
    <row r="11878">
      <c r="A11878" s="10" t="s">
        <v>13317</v>
      </c>
      <c r="B11878" s="7" t="str">
        <f>IFERROR(__xludf.DUMMYFUNCTION("SPLIT(A11878,"" "")"),"CC(C)C(C)N(C)Cc1cccc(-c2cccc(Cl)c2N)n1")</f>
        <v>CC(C)C(C)N(C)Cc1cccc(-c2cccc(Cl)c2N)n1</v>
      </c>
      <c r="C11878" s="7">
        <f>IFERROR(__xludf.DUMMYFUNCTION("""COMPUTED_VALUE"""),7.7604117)</f>
        <v>7.7604117</v>
      </c>
      <c r="D11878" s="7">
        <f>IFERROR(__xludf.DUMMYFUNCTION("""COMPUTED_VALUE"""),0.339622641509433)</f>
        <v>0.3396226415</v>
      </c>
    </row>
    <row r="11879">
      <c r="A11879" s="10" t="s">
        <v>13318</v>
      </c>
      <c r="B11879" s="7" t="str">
        <f>IFERROR(__xludf.DUMMYFUNCTION("SPLIT(A11879,"" "")"),"CC(N)C(C)(c1cccnc1)c1ncccc1CN(C)C1CCCC(N(C)c2ccc3c(CN(C)C)ccnc3c2)C1")</f>
        <v>CC(N)C(C)(c1cccnc1)c1ncccc1CN(C)C1CCCC(N(C)c2ccc3c(CN(C)C)ccnc3c2)C1</v>
      </c>
      <c r="C11879" s="7">
        <f>IFERROR(__xludf.DUMMYFUNCTION("""COMPUTED_VALUE"""),7.7604003)</f>
        <v>7.7604003</v>
      </c>
      <c r="D11879" s="7">
        <f>IFERROR(__xludf.DUMMYFUNCTION("""COMPUTED_VALUE"""),0.222222222222222)</f>
        <v>0.2222222222</v>
      </c>
    </row>
    <row r="11880">
      <c r="A11880" s="10" t="s">
        <v>13319</v>
      </c>
      <c r="B11880" s="7" t="str">
        <f>IFERROR(__xludf.DUMMYFUNCTION("SPLIT(A11880,"" "")"),"Cc1nc(CN(C)CCN(C)C)c(C)c(C)c1C")</f>
        <v>Cc1nc(CN(C)CCN(C)C)c(C)c(C)c1C</v>
      </c>
      <c r="C11880" s="7">
        <f>IFERROR(__xludf.DUMMYFUNCTION("""COMPUTED_VALUE"""),7.7603946)</f>
        <v>7.7603946</v>
      </c>
      <c r="D11880" s="7">
        <f>IFERROR(__xludf.DUMMYFUNCTION("""COMPUTED_VALUE"""),0.342105263157894)</f>
        <v>0.3421052632</v>
      </c>
    </row>
    <row r="11881">
      <c r="A11881" s="10" t="s">
        <v>13320</v>
      </c>
      <c r="B11881" s="7" t="str">
        <f>IFERROR(__xludf.DUMMYFUNCTION("SPLIT(A11881,"" "")"),"CCOC(=O)C1CN(C)C(c2ccc(CN(Cc3ccccn3)Cc3cc(C(C)(C)C)ccn3)cn2)C(c2ccccn2)C1c1ccccn1")</f>
        <v>CCOC(=O)C1CN(C)C(c2ccc(CN(Cc3ccccn3)Cc3cc(C(C)(C)C)ccn3)cn2)C(c2ccccn2)C1c1ccccn1</v>
      </c>
      <c r="C11881" s="7">
        <f>IFERROR(__xludf.DUMMYFUNCTION("""COMPUTED_VALUE"""),7.760394)</f>
        <v>7.760394</v>
      </c>
      <c r="D11881" s="7">
        <f>IFERROR(__xludf.DUMMYFUNCTION("""COMPUTED_VALUE"""),0.285714285714285)</f>
        <v>0.2857142857</v>
      </c>
    </row>
    <row r="11882">
      <c r="A11882" s="10" t="s">
        <v>13321</v>
      </c>
      <c r="B11882" s="7" t="str">
        <f>IFERROR(__xludf.DUMMYFUNCTION("SPLIT(A11882,"" "")"),"Cc1ccc(CN(C)CC2=CCC(N(C)Cc3ccc(C)cn3)=CN2)cc1")</f>
        <v>Cc1ccc(CN(C)CC2=CCC(N(C)Cc3ccc(C)cn3)=CN2)cc1</v>
      </c>
      <c r="C11882" s="7">
        <f>IFERROR(__xludf.DUMMYFUNCTION("""COMPUTED_VALUE"""),7.760392)</f>
        <v>7.760392</v>
      </c>
      <c r="D11882" s="7">
        <f>IFERROR(__xludf.DUMMYFUNCTION("""COMPUTED_VALUE"""),0.428571428571428)</f>
        <v>0.4285714286</v>
      </c>
    </row>
    <row r="11883">
      <c r="A11883" s="10" t="s">
        <v>13322</v>
      </c>
      <c r="B11883" s="7" t="str">
        <f>IFERROR(__xludf.DUMMYFUNCTION("SPLIT(A11883,"" "")"),"Cc1cnc(CN(C)C2=CCC=C(CN(C)C(C)C)N2)c(C)c1C")</f>
        <v>Cc1cnc(CN(C)C2=CCC=C(CN(C)C(C)C)N2)c(C)c1C</v>
      </c>
      <c r="C11883" s="7">
        <f>IFERROR(__xludf.DUMMYFUNCTION("""COMPUTED_VALUE"""),7.7603903)</f>
        <v>7.7603903</v>
      </c>
      <c r="D11883" s="7">
        <f>IFERROR(__xludf.DUMMYFUNCTION("""COMPUTED_VALUE"""),0.222222222222222)</f>
        <v>0.2222222222</v>
      </c>
    </row>
    <row r="11884">
      <c r="A11884" s="10" t="s">
        <v>13323</v>
      </c>
      <c r="B11884" s="7" t="str">
        <f>IFERROR(__xludf.DUMMYFUNCTION("SPLIT(A11884,"" "")"),"CN1CCN(C)CCN(Cc2cnccc2-c2c(N)ccc3cccnc23)CC1")</f>
        <v>CN1CCN(C)CCN(Cc2cnccc2-c2c(N)ccc3cccnc23)CC1</v>
      </c>
      <c r="C11884" s="7">
        <f>IFERROR(__xludf.DUMMYFUNCTION("""COMPUTED_VALUE"""),7.760388)</f>
        <v>7.760388</v>
      </c>
      <c r="D11884" s="7">
        <f>IFERROR(__xludf.DUMMYFUNCTION("""COMPUTED_VALUE"""),0.388888888888888)</f>
        <v>0.3888888889</v>
      </c>
    </row>
    <row r="11885">
      <c r="A11885" s="10" t="s">
        <v>13324</v>
      </c>
      <c r="B11885" s="7" t="str">
        <f>IFERROR(__xludf.DUMMYFUNCTION("SPLIT(A11885,"" "")"),"CC1=CC(C)C2(C=CC3(C(C)C=CC(C)C3C)C(c3cccc(CN(Cc4ccccn4)Cc4cccc(-c5cccc(N=Cc6ccccn6)c5)n4)n3)C2c2cccc(CN(Cc3ccccn3)Cc3ccccn3)n2)C(C)C1")</f>
        <v>CC1=CC(C)C2(C=CC3(C(C)C=CC(C)C3C)C(c3cccc(CN(Cc4ccccn4)Cc4cccc(-c5cccc(N=Cc6ccccn6)c5)n4)n3)C2c2cccc(CN(Cc3ccccn3)Cc3ccccn3)n2)C(C)C1</v>
      </c>
      <c r="C11885" s="7">
        <f>IFERROR(__xludf.DUMMYFUNCTION("""COMPUTED_VALUE"""),7.7603827)</f>
        <v>7.7603827</v>
      </c>
      <c r="D11885" s="7">
        <f>IFERROR(__xludf.DUMMYFUNCTION("""COMPUTED_VALUE"""),0.376470588235294)</f>
        <v>0.3764705882</v>
      </c>
    </row>
    <row r="11886">
      <c r="A11886" s="10" t="s">
        <v>13325</v>
      </c>
      <c r="B11886" s="7" t="str">
        <f>IFERROR(__xludf.DUMMYFUNCTION("SPLIT(A11886,"" "")"),"Cc1ccc(C)c(CN(C)C2CCCC(N(C)c3cccc4ncccc34)C2)n1")</f>
        <v>Cc1ccc(C)c(CN(C)C2CCCC(N(C)c3cccc4ncccc34)C2)n1</v>
      </c>
      <c r="C11886" s="7">
        <f>IFERROR(__xludf.DUMMYFUNCTION("""COMPUTED_VALUE"""),7.7603817)</f>
        <v>7.7603817</v>
      </c>
      <c r="D11886" s="7">
        <f>IFERROR(__xludf.DUMMYFUNCTION("""COMPUTED_VALUE"""),0.338709677419354)</f>
        <v>0.3387096774</v>
      </c>
    </row>
    <row r="11887">
      <c r="A11887" s="10" t="s">
        <v>13326</v>
      </c>
      <c r="B11887" s="7" t="str">
        <f>IFERROR(__xludf.DUMMYFUNCTION("SPLIT(A11887,"" "")"),"CNC1C=C(N(C)Cc2ccc(C)cn2)C=CN1")</f>
        <v>CNC1C=C(N(C)Cc2ccc(C)cn2)C=CN1</v>
      </c>
      <c r="C11887" s="7">
        <f>IFERROR(__xludf.DUMMYFUNCTION("""COMPUTED_VALUE"""),7.760375)</f>
        <v>7.760375</v>
      </c>
      <c r="D11887" s="7">
        <f>IFERROR(__xludf.DUMMYFUNCTION("""COMPUTED_VALUE"""),0.444444444444444)</f>
        <v>0.4444444444</v>
      </c>
    </row>
    <row r="11888">
      <c r="A11888" s="10" t="s">
        <v>13327</v>
      </c>
      <c r="B11888" s="7" t="str">
        <f>IFERROR(__xludf.DUMMYFUNCTION("SPLIT(A11888,"" "")"),"Cc1ccncc1CN(Cc1ncccc1C)C1CCCCC1N(C)c1ccc2ncc(CN(C)C)cc2c1")</f>
        <v>Cc1ccncc1CN(Cc1ncccc1C)C1CCCCC1N(C)c1ccc2ncc(CN(C)C)cc2c1</v>
      </c>
      <c r="C11888" s="7">
        <f>IFERROR(__xludf.DUMMYFUNCTION("""COMPUTED_VALUE"""),7.7603726)</f>
        <v>7.7603726</v>
      </c>
      <c r="D11888" s="7">
        <f>IFERROR(__xludf.DUMMYFUNCTION("""COMPUTED_VALUE"""),0.319444444444444)</f>
        <v>0.3194444444</v>
      </c>
    </row>
    <row r="11889">
      <c r="A11889" s="10" t="s">
        <v>13328</v>
      </c>
      <c r="B11889" s="7" t="str">
        <f>IFERROR(__xludf.DUMMYFUNCTION("SPLIT(A11889,"" "")"),"Cc1cccnc1CN(Cc1ccccn1)C1CCC(N(C)c2ccc3nccc(CF)c3c2)CC1")</f>
        <v>Cc1cccnc1CN(Cc1ccccn1)C1CCC(N(C)c2ccc3nccc(CF)c3c2)CC1</v>
      </c>
      <c r="C11889" s="7">
        <f>IFERROR(__xludf.DUMMYFUNCTION("""COMPUTED_VALUE"""),7.760368)</f>
        <v>7.760368</v>
      </c>
      <c r="D11889" s="7">
        <f>IFERROR(__xludf.DUMMYFUNCTION("""COMPUTED_VALUE"""),0.328358208955223)</f>
        <v>0.328358209</v>
      </c>
    </row>
    <row r="11890">
      <c r="A11890" s="10" t="s">
        <v>13329</v>
      </c>
      <c r="B11890" s="7" t="str">
        <f>IFERROR(__xludf.DUMMYFUNCTION("SPLIT(A11890,"" "")"),"CN(Cc1cccc(F)n1)C1=CC=CNC1NCc1ccccn1")</f>
        <v>CN(Cc1cccc(F)n1)C1=CC=CNC1NCc1ccccn1</v>
      </c>
      <c r="C11890" s="7">
        <f>IFERROR(__xludf.DUMMYFUNCTION("""COMPUTED_VALUE"""),7.7603602)</f>
        <v>7.7603602</v>
      </c>
      <c r="D11890" s="7">
        <f>IFERROR(__xludf.DUMMYFUNCTION("""COMPUTED_VALUE"""),0.397058823529411)</f>
        <v>0.3970588235</v>
      </c>
    </row>
    <row r="11891">
      <c r="A11891" s="10" t="s">
        <v>13330</v>
      </c>
      <c r="B11891" s="7" t="str">
        <f>IFERROR(__xludf.DUMMYFUNCTION("SPLIT(A11891,"" "")"),"C1=CNC(C2=CC(NCc3ccccn3)C=CN2)=CC1")</f>
        <v>C1=CNC(C2=CC(NCc3ccccn3)C=CN2)=CC1</v>
      </c>
      <c r="C11891" s="7">
        <f>IFERROR(__xludf.DUMMYFUNCTION("""COMPUTED_VALUE"""),7.7603555)</f>
        <v>7.7603555</v>
      </c>
      <c r="D11891" s="7">
        <f>IFERROR(__xludf.DUMMYFUNCTION("""COMPUTED_VALUE"""),0.444444444444444)</f>
        <v>0.4444444444</v>
      </c>
    </row>
    <row r="11892">
      <c r="A11892" s="10" t="s">
        <v>13331</v>
      </c>
      <c r="B11892" s="7" t="str">
        <f>IFERROR(__xludf.DUMMYFUNCTION("SPLIT(A11892,"" "")"),"Cc1ccc(CN(C)Cc2cc(N(C)C(C)C)ccn2)nc1C")</f>
        <v>Cc1ccc(CN(C)Cc2cc(N(C)C(C)C)ccn2)nc1C</v>
      </c>
      <c r="C11892" s="7">
        <f>IFERROR(__xludf.DUMMYFUNCTION("""COMPUTED_VALUE"""),7.760354)</f>
        <v>7.760354</v>
      </c>
      <c r="D11892" s="7">
        <f>IFERROR(__xludf.DUMMYFUNCTION("""COMPUTED_VALUE"""),0.346153846153846)</f>
        <v>0.3461538462</v>
      </c>
    </row>
    <row r="11893">
      <c r="A11893" s="10" t="s">
        <v>13332</v>
      </c>
      <c r="B11893" s="7" t="str">
        <f>IFERROR(__xludf.DUMMYFUNCTION("SPLIT(A11893,"" "")"),"CN(Cc1ccccn1)Cc1ncccc1C(C)(C)c1ccccn1")</f>
        <v>CN(Cc1ccccn1)Cc1ncccc1C(C)(C)c1ccccn1</v>
      </c>
      <c r="C11893" s="7">
        <f>IFERROR(__xludf.DUMMYFUNCTION("""COMPUTED_VALUE"""),7.760353)</f>
        <v>7.760353</v>
      </c>
      <c r="D11893" s="7">
        <f>IFERROR(__xludf.DUMMYFUNCTION("""COMPUTED_VALUE"""),0.468085106382978)</f>
        <v>0.4680851064</v>
      </c>
    </row>
    <row r="11894">
      <c r="A11894" s="10" t="s">
        <v>13333</v>
      </c>
      <c r="B11894" s="7" t="str">
        <f>IFERROR(__xludf.DUMMYFUNCTION("SPLIT(A11894,"" "")"),"CC(CN(Cc1ccccn1)Cc1ncccc1-c1ccc2c(c1)OCCOCCOCCOCCOCCO2)(c1cccc2cccnc12)c1cccc2cccnc12")</f>
        <v>CC(CN(Cc1ccccn1)Cc1ncccc1-c1ccc2c(c1)OCCOCCOCCOCCOCCO2)(c1cccc2cccnc12)c1cccc2cccnc12</v>
      </c>
      <c r="C11894" s="7">
        <f>IFERROR(__xludf.DUMMYFUNCTION("""COMPUTED_VALUE"""),7.7603498)</f>
        <v>7.7603498</v>
      </c>
      <c r="D11894" s="7">
        <f>IFERROR(__xludf.DUMMYFUNCTION("""COMPUTED_VALUE"""),0.333333333333333)</f>
        <v>0.3333333333</v>
      </c>
    </row>
    <row r="11895">
      <c r="A11895" s="10" t="s">
        <v>13334</v>
      </c>
      <c r="B11895" s="7" t="str">
        <f>IFERROR(__xludf.DUMMYFUNCTION("SPLIT(A11895,"" "")"),"CN(CC1=CCC(N(C)Cc2cccnn2)=CN1)Cc1ccccn1")</f>
        <v>CN(CC1=CCC(N(C)Cc2cccnn2)=CN1)Cc1ccccn1</v>
      </c>
      <c r="C11895" s="7">
        <f>IFERROR(__xludf.DUMMYFUNCTION("""COMPUTED_VALUE"""),7.7603393)</f>
        <v>7.7603393</v>
      </c>
      <c r="D11895" s="7">
        <f>IFERROR(__xludf.DUMMYFUNCTION("""COMPUTED_VALUE"""),0.48)</f>
        <v>0.48</v>
      </c>
    </row>
    <row r="11896">
      <c r="A11896" s="10" t="s">
        <v>13335</v>
      </c>
      <c r="B11896" s="7" t="str">
        <f>IFERROR(__xludf.DUMMYFUNCTION("SPLIT(A11896,"" "")"),"CC(C)c1ncccc1CN(Cc1ccccn1)C1CCC(N(C)c2ccc3nc(CN(C)C)ccc3c2)CC1")</f>
        <v>CC(C)c1ncccc1CN(Cc1ccccn1)C1CCC(N(C)c2ccc3nc(CN(C)C)ccc3c2)CC1</v>
      </c>
      <c r="C11896" s="7">
        <f>IFERROR(__xludf.DUMMYFUNCTION("""COMPUTED_VALUE"""),7.760336)</f>
        <v>7.760336</v>
      </c>
      <c r="D11896" s="7">
        <f>IFERROR(__xludf.DUMMYFUNCTION("""COMPUTED_VALUE"""),0.375)</f>
        <v>0.375</v>
      </c>
    </row>
    <row r="11897">
      <c r="A11897" s="10" t="s">
        <v>13336</v>
      </c>
      <c r="B11897" s="7" t="str">
        <f>IFERROR(__xludf.DUMMYFUNCTION("SPLIT(A11897,"" "")"),"CC(C)C1=CC2(C=CN1)C=Cc1cccnc1C2C")</f>
        <v>CC(C)C1=CC2(C=CN1)C=Cc1cccnc1C2C</v>
      </c>
      <c r="C11897" s="7">
        <f>IFERROR(__xludf.DUMMYFUNCTION("""COMPUTED_VALUE"""),7.7603345)</f>
        <v>7.7603345</v>
      </c>
      <c r="D11897" s="7">
        <f>IFERROR(__xludf.DUMMYFUNCTION("""COMPUTED_VALUE"""),0.214285714285714)</f>
        <v>0.2142857143</v>
      </c>
    </row>
    <row r="11898">
      <c r="A11898" s="10" t="s">
        <v>13337</v>
      </c>
      <c r="B11898" s="7" t="str">
        <f>IFERROR(__xludf.DUMMYFUNCTION("SPLIT(A11898,"" "")"),"COC(=O)C(=O)C(C)c1cccc(CN(Cc2ccccn2)Cc2ccccn2)n1")</f>
        <v>COC(=O)C(=O)C(C)c1cccc(CN(Cc2ccccn2)Cc2ccccn2)n1</v>
      </c>
      <c r="C11898" s="7">
        <f>IFERROR(__xludf.DUMMYFUNCTION("""COMPUTED_VALUE"""),7.7603335)</f>
        <v>7.7603335</v>
      </c>
      <c r="D11898" s="7">
        <f>IFERROR(__xludf.DUMMYFUNCTION("""COMPUTED_VALUE"""),0.465116279069767)</f>
        <v>0.4651162791</v>
      </c>
    </row>
    <row r="11899">
      <c r="A11899" s="10" t="s">
        <v>13338</v>
      </c>
      <c r="B11899" s="7" t="str">
        <f>IFERROR(__xludf.DUMMYFUNCTION("SPLIT(A11899,"" "")"),"Cc1cc(C)c(CN(C)CC2=CC(N(C)Cc3cc(C)c(C)c(C)n3)C=CN2)nc1C")</f>
        <v>Cc1cc(C)c(CN(C)CC2=CC(N(C)Cc3cc(C)c(C)c(C)n3)C=CN2)nc1C</v>
      </c>
      <c r="C11899" s="7">
        <f>IFERROR(__xludf.DUMMYFUNCTION("""COMPUTED_VALUE"""),7.7603235)</f>
        <v>7.7603235</v>
      </c>
      <c r="D11899" s="7">
        <f>IFERROR(__xludf.DUMMYFUNCTION("""COMPUTED_VALUE"""),0.296875)</f>
        <v>0.296875</v>
      </c>
    </row>
    <row r="11900">
      <c r="A11900" s="10" t="s">
        <v>13339</v>
      </c>
      <c r="B11900" s="7" t="str">
        <f>IFERROR(__xludf.DUMMYFUNCTION("SPLIT(A11900,"" "")"),"Cc1cc(CN(Cc2ccnc(C3C4(C=CNC(C(C)C)=C4)C=CC(c4cc(CN(Cc5ccccn5)Cc5ccccn5)ccn4)C3(C)C)c2)Cc2ccccn2)nc(C)c1C")</f>
        <v>Cc1cc(CN(Cc2ccnc(C3C4(C=CNC(C(C)C)=C4)C=CC(c4cc(CN(Cc5ccccn5)Cc5ccccn5)ccn4)C3(C)C)c2)Cc2ccccn2)nc(C)c1C</v>
      </c>
      <c r="C11900" s="7">
        <f>IFERROR(__xludf.DUMMYFUNCTION("""COMPUTED_VALUE"""),7.76031)</f>
        <v>7.76031</v>
      </c>
      <c r="D11900" s="7">
        <f>IFERROR(__xludf.DUMMYFUNCTION("""COMPUTED_VALUE"""),0.28169014084507)</f>
        <v>0.2816901408</v>
      </c>
    </row>
    <row r="11901">
      <c r="A11901" s="10" t="s">
        <v>13340</v>
      </c>
      <c r="B11901" s="7" t="str">
        <f>IFERROR(__xludf.DUMMYFUNCTION("SPLIT(A11901,"" "")"),"Cc1cccc(NCc2ccccn2)c1C")</f>
        <v>Cc1cccc(NCc2ccccn2)c1C</v>
      </c>
      <c r="C11901" s="7">
        <f>IFERROR(__xludf.DUMMYFUNCTION("""COMPUTED_VALUE"""),7.7603035)</f>
        <v>7.7603035</v>
      </c>
      <c r="D11901" s="7">
        <f>IFERROR(__xludf.DUMMYFUNCTION("""COMPUTED_VALUE"""),0.472222222222222)</f>
        <v>0.4722222222</v>
      </c>
    </row>
    <row r="11902">
      <c r="A11902" s="10" t="s">
        <v>13341</v>
      </c>
      <c r="B11902" s="7" t="str">
        <f>IFERROR(__xludf.DUMMYFUNCTION("SPLIT(A11902,"" "")"),"CC(C)NCc1cccc(C2=CCC=CN2)n1")</f>
        <v>CC(C)NCc1cccc(C2=CCC=CN2)n1</v>
      </c>
      <c r="C11902" s="7">
        <f>IFERROR(__xludf.DUMMYFUNCTION("""COMPUTED_VALUE"""),7.7603025)</f>
        <v>7.7603025</v>
      </c>
      <c r="D11902" s="7">
        <f>IFERROR(__xludf.DUMMYFUNCTION("""COMPUTED_VALUE"""),0.321428571428571)</f>
        <v>0.3214285714</v>
      </c>
    </row>
    <row r="11903">
      <c r="A11903" s="10" t="s">
        <v>13342</v>
      </c>
      <c r="B11903" s="7" t="str">
        <f>IFERROR(__xludf.DUMMYFUNCTION("SPLIT(A11903,"" "")"),"Cc1ccccc1C(C)(C)c1ncccc1CN(Cc1ccccn1)Cc1ccccn1")</f>
        <v>Cc1ccccc1C(C)(C)c1ncccc1CN(Cc1ccccn1)Cc1ccccn1</v>
      </c>
      <c r="C11903" s="7">
        <f>IFERROR(__xludf.DUMMYFUNCTION("""COMPUTED_VALUE"""),7.7603)</f>
        <v>7.7603</v>
      </c>
      <c r="D11903" s="7">
        <f>IFERROR(__xludf.DUMMYFUNCTION("""COMPUTED_VALUE"""),0.5)</f>
        <v>0.5</v>
      </c>
    </row>
    <row r="11904">
      <c r="A11904" s="10" t="s">
        <v>13343</v>
      </c>
      <c r="B11904" s="7" t="str">
        <f>IFERROR(__xludf.DUMMYFUNCTION("SPLIT(A11904,"" "")"),"Cc1cccc(CN(C)C2=C(CN(C)Cc3ccccc3C)NC=CC2)n1")</f>
        <v>Cc1cccc(CN(C)C2=C(CN(C)Cc3ccccc3C)NC=CC2)n1</v>
      </c>
      <c r="C11904" s="7">
        <f>IFERROR(__xludf.DUMMYFUNCTION("""COMPUTED_VALUE"""),7.760291)</f>
        <v>7.760291</v>
      </c>
      <c r="D11904" s="7">
        <f>IFERROR(__xludf.DUMMYFUNCTION("""COMPUTED_VALUE"""),0.403846153846153)</f>
        <v>0.4038461538</v>
      </c>
    </row>
    <row r="11905">
      <c r="A11905" s="10" t="s">
        <v>13344</v>
      </c>
      <c r="B11905" s="7" t="str">
        <f>IFERROR(__xludf.DUMMYFUNCTION("SPLIT(A11905,"" "")"),"Cc1ccc(CN(Cc2ccccn2)C2CCCC(N(C)c3ccc4nc(CF)ccc4c3)C2)nc1C")</f>
        <v>Cc1ccc(CN(Cc2ccccn2)C2CCCC(N(C)c3ccc4nc(CF)ccc4c3)C2)nc1C</v>
      </c>
      <c r="C11905" s="7">
        <f>IFERROR(__xludf.DUMMYFUNCTION("""COMPUTED_VALUE"""),7.7602887)</f>
        <v>7.7602887</v>
      </c>
      <c r="D11905" s="7">
        <f>IFERROR(__xludf.DUMMYFUNCTION("""COMPUTED_VALUE"""),0.369230769230769)</f>
        <v>0.3692307692</v>
      </c>
    </row>
    <row r="11906">
      <c r="A11906" s="10" t="s">
        <v>13345</v>
      </c>
      <c r="B11906" s="7" t="str">
        <f>IFERROR(__xludf.DUMMYFUNCTION("SPLIT(A11906,"" "")"),"CCN(Cc1ccccn1)C1=CC(Cl)C(C)(c2ccccn2)C(N(C)Cc2ncccc2C)=C1C1CCC1(C)C")</f>
        <v>CCN(Cc1ccccn1)C1=CC(Cl)C(C)(c2ccccn2)C(N(C)Cc2ncccc2C)=C1C1CCC1(C)C</v>
      </c>
      <c r="C11906" s="7">
        <f>IFERROR(__xludf.DUMMYFUNCTION("""COMPUTED_VALUE"""),7.760286)</f>
        <v>7.760286</v>
      </c>
      <c r="D11906" s="7">
        <f>IFERROR(__xludf.DUMMYFUNCTION("""COMPUTED_VALUE"""),0.319444444444444)</f>
        <v>0.3194444444</v>
      </c>
    </row>
    <row r="11907">
      <c r="A11907" s="10" t="s">
        <v>13346</v>
      </c>
      <c r="B11907" s="7" t="str">
        <f>IFERROR(__xludf.DUMMYFUNCTION("SPLIT(A11907,"" "")"),"CC(N)c1cc(CN(Cc2ccccn2)C2CCC(N(C)c3cccc4c(CF)ccnc34)CC2)ccn1")</f>
        <v>CC(N)c1cc(CN(Cc2ccccn2)C2CCC(N(C)c3cccc4c(CF)ccnc34)CC2)ccn1</v>
      </c>
      <c r="C11907" s="7">
        <f>IFERROR(__xludf.DUMMYFUNCTION("""COMPUTED_VALUE"""),7.7602854)</f>
        <v>7.7602854</v>
      </c>
      <c r="D11907" s="7">
        <f>IFERROR(__xludf.DUMMYFUNCTION("""COMPUTED_VALUE"""),0.305555555555555)</f>
        <v>0.3055555556</v>
      </c>
    </row>
    <row r="11908">
      <c r="A11908" s="10" t="s">
        <v>13347</v>
      </c>
      <c r="B11908" s="7" t="str">
        <f>IFERROR(__xludf.DUMMYFUNCTION("SPLIT(A11908,"" "")"),"Cc1cccnc1CN(Cc1cccnc1F)Cc1ncc(C)c(C)c1C")</f>
        <v>Cc1cccnc1CN(Cc1cccnc1F)Cc1ncc(C)c(C)c1C</v>
      </c>
      <c r="C11908" s="7">
        <f>IFERROR(__xludf.DUMMYFUNCTION("""COMPUTED_VALUE"""),7.760284)</f>
        <v>7.760284</v>
      </c>
      <c r="D11908" s="7">
        <f>IFERROR(__xludf.DUMMYFUNCTION("""COMPUTED_VALUE"""),0.32)</f>
        <v>0.32</v>
      </c>
    </row>
    <row r="11909">
      <c r="A11909" s="10" t="s">
        <v>13348</v>
      </c>
      <c r="B11909" s="7" t="str">
        <f>IFERROR(__xludf.DUMMYFUNCTION("SPLIT(A11909,"" "")"),"CC(C)C(C)(c1cccnc1)c1ncccc1CN(Cc1ccccn1)C1CCC(N(C)c2ccc3c(CF)ccnc3c2)CC1")</f>
        <v>CC(C)C(C)(c1cccnc1)c1ncccc1CN(Cc1ccccn1)C1CCC(N(C)c2ccc3c(CF)ccnc3c2)CC1</v>
      </c>
      <c r="C11909" s="7">
        <f>IFERROR(__xludf.DUMMYFUNCTION("""COMPUTED_VALUE"""),7.7602754)</f>
        <v>7.7602754</v>
      </c>
      <c r="D11909" s="7">
        <f>IFERROR(__xludf.DUMMYFUNCTION("""COMPUTED_VALUE"""),0.275)</f>
        <v>0.275</v>
      </c>
    </row>
    <row r="11910">
      <c r="A11910" s="10" t="s">
        <v>13349</v>
      </c>
      <c r="B11910" s="7" t="str">
        <f>IFERROR(__xludf.DUMMYFUNCTION("SPLIT(A11910,"" "")"),"Cc1cncc(CN(CC2=CCC=C(N(C)Cc3ccccn3)N2)C(C)C)c1")</f>
        <v>Cc1cncc(CN(CC2=CCC=C(N(C)Cc3ccccn3)N2)C(C)C)c1</v>
      </c>
      <c r="C11910" s="7">
        <f>IFERROR(__xludf.DUMMYFUNCTION("""COMPUTED_VALUE"""),7.76026)</f>
        <v>7.76026</v>
      </c>
      <c r="D11910" s="7">
        <f>IFERROR(__xludf.DUMMYFUNCTION("""COMPUTED_VALUE"""),0.389830508474576)</f>
        <v>0.3898305085</v>
      </c>
    </row>
    <row r="11911">
      <c r="A11911" s="10" t="s">
        <v>13350</v>
      </c>
      <c r="B11911" s="7" t="str">
        <f>IFERROR(__xludf.DUMMYFUNCTION("SPLIT(A11911,"" "")"),"CN(Cc1ccccn1)C1=CCC=C(CN(Cc2ccccn2)C2C=CC=CN2)N1")</f>
        <v>CN(Cc1ccccn1)C1=CCC=C(CN(Cc2ccccn2)C2C=CC=CN2)N1</v>
      </c>
      <c r="C11911" s="7">
        <f>IFERROR(__xludf.DUMMYFUNCTION("""COMPUTED_VALUE"""),7.760259)</f>
        <v>7.760259</v>
      </c>
      <c r="D11911" s="7">
        <f>IFERROR(__xludf.DUMMYFUNCTION("""COMPUTED_VALUE"""),0.440677966101694)</f>
        <v>0.4406779661</v>
      </c>
    </row>
    <row r="11912">
      <c r="A11912" s="10" t="s">
        <v>13351</v>
      </c>
      <c r="B11912" s="7" t="str">
        <f>IFERROR(__xludf.DUMMYFUNCTION("SPLIT(A11912,"" "")"),"CN(CC1=CCC(N(C)Cc2ccccn2)=CN1)Cc1cccnc1")</f>
        <v>CN(CC1=CCC(N(C)Cc2ccccn2)=CN1)Cc1cccnc1</v>
      </c>
      <c r="C11912" s="7">
        <f>IFERROR(__xludf.DUMMYFUNCTION("""COMPUTED_VALUE"""),7.7602577)</f>
        <v>7.7602577</v>
      </c>
      <c r="D11912" s="7">
        <f>IFERROR(__xludf.DUMMYFUNCTION("""COMPUTED_VALUE"""),0.379310344827586)</f>
        <v>0.3793103448</v>
      </c>
    </row>
    <row r="11913">
      <c r="A11913" s="10" t="s">
        <v>13352</v>
      </c>
      <c r="B11913" s="7" t="str">
        <f>IFERROR(__xludf.DUMMYFUNCTION("SPLIT(A11913,"" "")"),"CN(C1=CCC=CN1)C1CCC(N(C)c2ccc3cccnc3c2)CC1")</f>
        <v>CN(C1=CCC=CN1)C1CCC(N(C)c2ccc3cccnc3c2)CC1</v>
      </c>
      <c r="C11913" s="7">
        <f>IFERROR(__xludf.DUMMYFUNCTION("""COMPUTED_VALUE"""),7.760257)</f>
        <v>7.760257</v>
      </c>
      <c r="D11913" s="7">
        <f>IFERROR(__xludf.DUMMYFUNCTION("""COMPUTED_VALUE"""),0.306451612903225)</f>
        <v>0.3064516129</v>
      </c>
    </row>
    <row r="11914">
      <c r="A11914" s="10" t="s">
        <v>13353</v>
      </c>
      <c r="B11914" s="7" t="str">
        <f>IFERROR(__xludf.DUMMYFUNCTION("SPLIT(A11914,"" "")"),"Cc1cc(C)c(CN(C)C2CCCC(N(Cc3ccccn3)Cc3cccc(-c4cccc(N=Cc5ccccn5)c4)n3)C2)cn1")</f>
        <v>Cc1cc(C)c(CN(C)C2CCCC(N(Cc3ccccn3)Cc3cccc(-c4cccc(N=Cc5ccccn5)c4)n3)C2)cn1</v>
      </c>
      <c r="C11914" s="7">
        <f>IFERROR(__xludf.DUMMYFUNCTION("""COMPUTED_VALUE"""),7.7602534)</f>
        <v>7.7602534</v>
      </c>
      <c r="D11914" s="7">
        <f>IFERROR(__xludf.DUMMYFUNCTION("""COMPUTED_VALUE"""),0.37037037037037)</f>
        <v>0.3703703704</v>
      </c>
    </row>
    <row r="11915">
      <c r="A11915" s="10" t="s">
        <v>13354</v>
      </c>
      <c r="B11915" s="7" t="str">
        <f>IFERROR(__xludf.DUMMYFUNCTION("SPLIT(A11915,"" "")"),"CCNCc1cccc(N(C)Cc2ccccn2)c1C")</f>
        <v>CCNCc1cccc(N(C)Cc2ccccn2)c1C</v>
      </c>
      <c r="C11915" s="7">
        <f>IFERROR(__xludf.DUMMYFUNCTION("""COMPUTED_VALUE"""),7.7602496)</f>
        <v>7.7602496</v>
      </c>
      <c r="D11915" s="7">
        <f>IFERROR(__xludf.DUMMYFUNCTION("""COMPUTED_VALUE"""),0.5)</f>
        <v>0.5</v>
      </c>
    </row>
    <row r="11916">
      <c r="A11916" s="10" t="s">
        <v>13355</v>
      </c>
      <c r="B11916" s="7" t="str">
        <f>IFERROR(__xludf.DUMMYFUNCTION("SPLIT(A11916,"" "")"),"Cc1ccc(C)c(CN(C)Cc2nc(C)ccc2C)n1")</f>
        <v>Cc1ccc(C)c(CN(C)Cc2nc(C)ccc2C)n1</v>
      </c>
      <c r="C11916" s="7">
        <f>IFERROR(__xludf.DUMMYFUNCTION("""COMPUTED_VALUE"""),7.7602477)</f>
        <v>7.7602477</v>
      </c>
      <c r="D11916" s="7">
        <f>IFERROR(__xludf.DUMMYFUNCTION("""COMPUTED_VALUE"""),0.411764705882352)</f>
        <v>0.4117647059</v>
      </c>
    </row>
    <row r="11917">
      <c r="A11917" s="10" t="s">
        <v>13356</v>
      </c>
      <c r="B11917" s="7" t="str">
        <f>IFERROR(__xludf.DUMMYFUNCTION("SPLIT(A11917,"" "")"),"Cc1cccc(CN(Cc2cccc(C(C)(C)C)n2)C2CCC(N(C)c3ccc4nc(CF)ccc4c3)CC2)n1")</f>
        <v>Cc1cccc(CN(Cc2cccc(C(C)(C)C)n2)C2CCC(N(C)c3ccc4nc(CF)ccc4c3)CC2)n1</v>
      </c>
      <c r="C11917" s="7">
        <f>IFERROR(__xludf.DUMMYFUNCTION("""COMPUTED_VALUE"""),7.760227)</f>
        <v>7.760227</v>
      </c>
      <c r="D11917" s="7">
        <f>IFERROR(__xludf.DUMMYFUNCTION("""COMPUTED_VALUE"""),0.372881355932203)</f>
        <v>0.3728813559</v>
      </c>
    </row>
    <row r="11918">
      <c r="A11918" s="10" t="s">
        <v>13357</v>
      </c>
      <c r="B11918" s="7" t="str">
        <f>IFERROR(__xludf.DUMMYFUNCTION("SPLIT(A11918,"" "")"),"CCOC(C)c1ncccc1CN(Cc1ccccn1)Cc1cc(C(C)(C)c2ccccn2)ccn1")</f>
        <v>CCOC(C)c1ncccc1CN(Cc1ccccn1)Cc1cc(C(C)(C)c2ccccn2)ccn1</v>
      </c>
      <c r="C11918" s="7">
        <f>IFERROR(__xludf.DUMMYFUNCTION("""COMPUTED_VALUE"""),7.760214)</f>
        <v>7.760214</v>
      </c>
      <c r="D11918" s="7">
        <f>IFERROR(__xludf.DUMMYFUNCTION("""COMPUTED_VALUE"""),0.37037037037037)</f>
        <v>0.3703703704</v>
      </c>
    </row>
    <row r="11919">
      <c r="A11919" s="10" t="s">
        <v>13358</v>
      </c>
      <c r="B11919" s="7" t="str">
        <f>IFERROR(__xludf.DUMMYFUNCTION("SPLIT(A11919,"" "")"),"CC(C)c1ncccc1CN(Cc1ccccn1)C1CCC(N(C)c2ccc3nccc(CF)c3c2)CC1")</f>
        <v>CC(C)c1ncccc1CN(Cc1ccccn1)C1CCC(N(C)c2ccc3nccc(CF)c3c2)CC1</v>
      </c>
      <c r="C11919" s="7">
        <f>IFERROR(__xludf.DUMMYFUNCTION("""COMPUTED_VALUE"""),7.7602086)</f>
        <v>7.7602086</v>
      </c>
      <c r="D11919" s="7">
        <f>IFERROR(__xludf.DUMMYFUNCTION("""COMPUTED_VALUE"""),0.323529411764705)</f>
        <v>0.3235294118</v>
      </c>
    </row>
    <row r="11920">
      <c r="A11920" s="10" t="s">
        <v>13359</v>
      </c>
      <c r="B11920" s="7" t="str">
        <f>IFERROR(__xludf.DUMMYFUNCTION("SPLIT(A11920,"" "")"),"CCN(CC1=CCC=C(N(C)Cc2nc(C)ccc2C)N1)Cc1ccccn1")</f>
        <v>CCN(CC1=CCC=C(N(C)Cc2nc(C)ccc2C)N1)Cc1ccccn1</v>
      </c>
      <c r="C11920" s="7">
        <f>IFERROR(__xludf.DUMMYFUNCTION("""COMPUTED_VALUE"""),7.7602077)</f>
        <v>7.7602077</v>
      </c>
      <c r="D11920" s="7">
        <f>IFERROR(__xludf.DUMMYFUNCTION("""COMPUTED_VALUE"""),0.419354838709677)</f>
        <v>0.4193548387</v>
      </c>
    </row>
    <row r="11921">
      <c r="A11921" s="10" t="s">
        <v>13360</v>
      </c>
      <c r="B11921" s="7" t="str">
        <f>IFERROR(__xludf.DUMMYFUNCTION("SPLIT(A11921,"" "")"),"CNCc1ccc2cccc(N(C)C3CCC(N(Cc4ccccn4)Cc4nc(C)c(C)cc4C)CC3)c2n1")</f>
        <v>CNCc1ccc2cccc(N(C)C3CCC(N(Cc4ccccn4)Cc4nc(C)c(C)cc4C)CC3)c2n1</v>
      </c>
      <c r="C11921" s="7">
        <f>IFERROR(__xludf.DUMMYFUNCTION("""COMPUTED_VALUE"""),7.760202)</f>
        <v>7.760202</v>
      </c>
      <c r="D11921" s="7">
        <f>IFERROR(__xludf.DUMMYFUNCTION("""COMPUTED_VALUE"""),0.361111111111111)</f>
        <v>0.3611111111</v>
      </c>
    </row>
    <row r="11922">
      <c r="A11922" s="10" t="s">
        <v>13361</v>
      </c>
      <c r="B11922" s="7" t="str">
        <f>IFERROR(__xludf.DUMMYFUNCTION("SPLIT(A11922,"" "")"),"CN(c1ccc2nccc(CF)c2c1)C1CCCCC1N(Cc1ccccn1)C1=CC=CNC1")</f>
        <v>CN(c1ccc2nccc(CF)c2c1)C1CCCCC1N(Cc1ccccn1)C1=CC=CNC1</v>
      </c>
      <c r="C11922" s="7">
        <f>IFERROR(__xludf.DUMMYFUNCTION("""COMPUTED_VALUE"""),7.760202)</f>
        <v>7.760202</v>
      </c>
      <c r="D11922" s="7">
        <f>IFERROR(__xludf.DUMMYFUNCTION("""COMPUTED_VALUE"""),0.388059701492537)</f>
        <v>0.3880597015</v>
      </c>
    </row>
    <row r="11923">
      <c r="A11923" s="10" t="s">
        <v>13362</v>
      </c>
      <c r="B11923" s="7" t="str">
        <f>IFERROR(__xludf.DUMMYFUNCTION("SPLIT(A11923,"" "")"),"CNCCN(Cc1ccccn1)Cc1nccc2ccccc12")</f>
        <v>CNCCN(Cc1ccccn1)Cc1nccc2ccccc12</v>
      </c>
      <c r="C11923" s="7">
        <f>IFERROR(__xludf.DUMMYFUNCTION("""COMPUTED_VALUE"""),7.7602005)</f>
        <v>7.7602005</v>
      </c>
      <c r="D11923" s="7">
        <f>IFERROR(__xludf.DUMMYFUNCTION("""COMPUTED_VALUE"""),0.478260869565217)</f>
        <v>0.4782608696</v>
      </c>
    </row>
    <row r="11924">
      <c r="A11924" s="10" t="s">
        <v>13363</v>
      </c>
      <c r="B11924" s="7" t="str">
        <f>IFERROR(__xludf.DUMMYFUNCTION("SPLIT(A11924,"" "")"),"Cc1cccc(CN(C)c2ccnc(CN3CCCC3c3cccc(C)n3)c2)n1")</f>
        <v>Cc1cccc(CN(C)c2ccnc(CN3CCCC3c3cccc(C)n3)c2)n1</v>
      </c>
      <c r="C11924" s="7">
        <f>IFERROR(__xludf.DUMMYFUNCTION("""COMPUTED_VALUE"""),7.760197)</f>
        <v>7.760197</v>
      </c>
      <c r="D11924" s="7">
        <f>IFERROR(__xludf.DUMMYFUNCTION("""COMPUTED_VALUE"""),0.482142857142857)</f>
        <v>0.4821428571</v>
      </c>
    </row>
    <row r="11925">
      <c r="A11925" s="10" t="s">
        <v>13364</v>
      </c>
      <c r="B11925" s="7" t="str">
        <f>IFERROR(__xludf.DUMMYFUNCTION("SPLIT(A11925,"" "")"),"Cc1cnc(CN(C)C2CCC(N(C)c3ccc4c(CF)ccnc4c3)CC2)cc1C")</f>
        <v>Cc1cnc(CN(C)C2CCC(N(C)c3ccc4c(CF)ccnc4c3)CC2)cc1C</v>
      </c>
      <c r="C11925" s="7">
        <f>IFERROR(__xludf.DUMMYFUNCTION("""COMPUTED_VALUE"""),7.760192)</f>
        <v>7.760192</v>
      </c>
      <c r="D11925" s="7">
        <f>IFERROR(__xludf.DUMMYFUNCTION("""COMPUTED_VALUE"""),0.32258064516129)</f>
        <v>0.3225806452</v>
      </c>
    </row>
    <row r="11926">
      <c r="A11926" s="10" t="s">
        <v>13365</v>
      </c>
      <c r="B11926" s="7" t="str">
        <f>IFERROR(__xludf.DUMMYFUNCTION("SPLIT(A11926,"" "")"),"CN(Cc1ccon1)C1CCCCC1N(C)c1ccc2c(CF)ccnc2c1")</f>
        <v>CN(Cc1ccon1)C1CCCCC1N(C)c1ccc2c(CF)ccnc2c1</v>
      </c>
      <c r="C11926" s="7">
        <f>IFERROR(__xludf.DUMMYFUNCTION("""COMPUTED_VALUE"""),7.7601843)</f>
        <v>7.7601843</v>
      </c>
      <c r="D11926" s="7">
        <f>IFERROR(__xludf.DUMMYFUNCTION("""COMPUTED_VALUE"""),0.389830508474576)</f>
        <v>0.3898305085</v>
      </c>
    </row>
    <row r="11927">
      <c r="A11927" s="10" t="s">
        <v>13366</v>
      </c>
      <c r="B11927" s="7" t="str">
        <f>IFERROR(__xludf.DUMMYFUNCTION("SPLIT(A11927,"" "")"),"CCOC(=O)c1cccc(CN(Cc2ccccn2)Cc2cccc(C(C)(C)C)n2)n1")</f>
        <v>CCOC(=O)c1cccc(CN(Cc2ccccn2)Cc2cccc(C(C)(C)C)n2)n1</v>
      </c>
      <c r="C11927" s="7">
        <f>IFERROR(__xludf.DUMMYFUNCTION("""COMPUTED_VALUE"""),7.760179)</f>
        <v>7.760179</v>
      </c>
      <c r="D11927" s="7">
        <f>IFERROR(__xludf.DUMMYFUNCTION("""COMPUTED_VALUE"""),0.425531914893617)</f>
        <v>0.4255319149</v>
      </c>
    </row>
    <row r="11928">
      <c r="A11928" s="10" t="s">
        <v>13367</v>
      </c>
      <c r="B11928" s="7" t="str">
        <f>IFERROR(__xludf.DUMMYFUNCTION("SPLIT(A11928,"" "")"),"Cc1ccnc(CN(C)C2CCC(N(C)c3ccc4c(CN(C)C)ccnc4c3)CC2)c1")</f>
        <v>Cc1ccnc(CN(C)C2CCC(N(C)c3ccc4c(CN(C)C)ccnc4c3)CC2)c1</v>
      </c>
      <c r="C11928" s="7">
        <f>IFERROR(__xludf.DUMMYFUNCTION("""COMPUTED_VALUE"""),7.7601786)</f>
        <v>7.7601786</v>
      </c>
      <c r="D11928" s="7">
        <f>IFERROR(__xludf.DUMMYFUNCTION("""COMPUTED_VALUE"""),0.322033898305084)</f>
        <v>0.3220338983</v>
      </c>
    </row>
    <row r="11929">
      <c r="A11929" s="10" t="s">
        <v>13368</v>
      </c>
      <c r="B11929" s="7" t="str">
        <f>IFERROR(__xludf.DUMMYFUNCTION("SPLIT(A11929,"" "")"),"Cc1cnc(CN(C)C2CCC(N(C)c3ccc4cccnc4c3)CC2)c(C)c1C")</f>
        <v>Cc1cnc(CN(C)C2CCC(N(C)c3ccc4cccnc4c3)CC2)c(C)c1C</v>
      </c>
      <c r="C11929" s="7">
        <f>IFERROR(__xludf.DUMMYFUNCTION("""COMPUTED_VALUE"""),7.7601767)</f>
        <v>7.7601767</v>
      </c>
      <c r="D11929" s="7">
        <f>IFERROR(__xludf.DUMMYFUNCTION("""COMPUTED_VALUE"""),0.295081967213114)</f>
        <v>0.2950819672</v>
      </c>
    </row>
    <row r="11930">
      <c r="A11930" s="10" t="s">
        <v>13369</v>
      </c>
      <c r="B11930" s="7" t="str">
        <f>IFERROR(__xludf.DUMMYFUNCTION("SPLIT(A11930,"" "")"),"Cc1cccnc1CN(Cc1cccc(C(C)(C)C)n1)C1CCC(N(C)c2ccc3nc(CF)ccc3c2)CC1")</f>
        <v>Cc1cccnc1CN(Cc1cccc(C(C)(C)C)n1)C1CCC(N(C)c2ccc3nc(CF)ccc3c2)CC1</v>
      </c>
      <c r="C11930" s="7">
        <f>IFERROR(__xludf.DUMMYFUNCTION("""COMPUTED_VALUE"""),7.760165)</f>
        <v>7.760165</v>
      </c>
      <c r="D11930" s="7">
        <f>IFERROR(__xludf.DUMMYFUNCTION("""COMPUTED_VALUE"""),0.298701298701298)</f>
        <v>0.2987012987</v>
      </c>
    </row>
    <row r="11931">
      <c r="A11931" s="10" t="s">
        <v>13370</v>
      </c>
      <c r="B11931" s="7" t="str">
        <f>IFERROR(__xludf.DUMMYFUNCTION("SPLIT(A11931,"" "")"),"CN(Cc1ccccn1)Cc1ncccc1N(C)C(C)(C)c1ccccn1")</f>
        <v>CN(Cc1ccccn1)Cc1ncccc1N(C)C(C)(C)c1ccccn1</v>
      </c>
      <c r="C11931" s="7">
        <f>IFERROR(__xludf.DUMMYFUNCTION("""COMPUTED_VALUE"""),7.7601624)</f>
        <v>7.7601624</v>
      </c>
      <c r="D11931" s="7">
        <f>IFERROR(__xludf.DUMMYFUNCTION("""COMPUTED_VALUE"""),0.448979591836734)</f>
        <v>0.4489795918</v>
      </c>
    </row>
    <row r="11932">
      <c r="A11932" s="10" t="s">
        <v>13371</v>
      </c>
      <c r="B11932" s="7" t="str">
        <f>IFERROR(__xludf.DUMMYFUNCTION("SPLIT(A11932,"" "")"),"CNC1NC=CC=C1N(C)Cc1cc(C)c(C)cn1")</f>
        <v>CNC1NC=CC=C1N(C)Cc1cc(C)c(C)cn1</v>
      </c>
      <c r="C11932" s="7">
        <f>IFERROR(__xludf.DUMMYFUNCTION("""COMPUTED_VALUE"""),7.7601604)</f>
        <v>7.7601604</v>
      </c>
      <c r="D11932" s="7">
        <f>IFERROR(__xludf.DUMMYFUNCTION("""COMPUTED_VALUE"""),0.285714285714285)</f>
        <v>0.2857142857</v>
      </c>
    </row>
    <row r="11933">
      <c r="A11933" s="10" t="s">
        <v>13372</v>
      </c>
      <c r="B11933" s="7" t="str">
        <f>IFERROR(__xludf.DUMMYFUNCTION("SPLIT(A11933,"" "")"),"Cc1ccc(C)c(CN(C)C2CCCC(N(C)c3cccc4nc(CF)ccc34)C2)n1")</f>
        <v>Cc1ccc(C)c(CN(C)C2CCCC(N(C)c3cccc4nc(CF)ccc34)C2)n1</v>
      </c>
      <c r="C11933" s="7">
        <f>IFERROR(__xludf.DUMMYFUNCTION("""COMPUTED_VALUE"""),7.7601576)</f>
        <v>7.7601576</v>
      </c>
      <c r="D11933" s="7">
        <f>IFERROR(__xludf.DUMMYFUNCTION("""COMPUTED_VALUE"""),0.378787878787878)</f>
        <v>0.3787878788</v>
      </c>
    </row>
    <row r="11934">
      <c r="A11934" s="10" t="s">
        <v>13373</v>
      </c>
      <c r="B11934" s="7" t="str">
        <f>IFERROR(__xludf.DUMMYFUNCTION("SPLIT(A11934,"" "")"),"CC1C(Cl)=CC(N(C)Cc2ccccn2)c2ccccc21")</f>
        <v>CC1C(Cl)=CC(N(C)Cc2ccccn2)c2ccccc21</v>
      </c>
      <c r="C11934" s="7">
        <f>IFERROR(__xludf.DUMMYFUNCTION("""COMPUTED_VALUE"""),7.760152)</f>
        <v>7.760152</v>
      </c>
      <c r="D11934" s="7">
        <f>IFERROR(__xludf.DUMMYFUNCTION("""COMPUTED_VALUE"""),0.478260869565217)</f>
        <v>0.4782608696</v>
      </c>
    </row>
    <row r="11935">
      <c r="A11935" s="10" t="s">
        <v>13374</v>
      </c>
      <c r="B11935" s="7" t="str">
        <f>IFERROR(__xludf.DUMMYFUNCTION("SPLIT(A11935,"" "")"),"CC(C)C(C)N(C)Cc1ncccc1-c1cc(Cl)ccc1N")</f>
        <v>CC(C)C(C)N(C)Cc1ncccc1-c1cc(Cl)ccc1N</v>
      </c>
      <c r="C11935" s="7">
        <f>IFERROR(__xludf.DUMMYFUNCTION("""COMPUTED_VALUE"""),7.7601457)</f>
        <v>7.7601457</v>
      </c>
      <c r="D11935" s="7">
        <f>IFERROR(__xludf.DUMMYFUNCTION("""COMPUTED_VALUE"""),0.29090909090909)</f>
        <v>0.2909090909</v>
      </c>
    </row>
    <row r="11936">
      <c r="A11936" s="10" t="s">
        <v>13375</v>
      </c>
      <c r="B11936" s="7" t="str">
        <f>IFERROR(__xludf.DUMMYFUNCTION("SPLIT(A11936,"" "")"),"Cc1ccnc(CN(Cc2ccc(F)cn2)Cc2nccc(C)c2C)c1C")</f>
        <v>Cc1ccnc(CN(Cc2ccc(F)cn2)Cc2nccc(C)c2C)c1C</v>
      </c>
      <c r="C11936" s="7">
        <f>IFERROR(__xludf.DUMMYFUNCTION("""COMPUTED_VALUE"""),7.7601385)</f>
        <v>7.7601385</v>
      </c>
      <c r="D11936" s="7">
        <f>IFERROR(__xludf.DUMMYFUNCTION("""COMPUTED_VALUE"""),0.377777777777777)</f>
        <v>0.3777777778</v>
      </c>
    </row>
    <row r="11937">
      <c r="A11937" s="10" t="s">
        <v>13376</v>
      </c>
      <c r="B11937" s="7" t="str">
        <f>IFERROR(__xludf.DUMMYFUNCTION("SPLIT(A11937,"" "")"),"CCN(Cc1ccccn1)c1ccc2cccnc2c1-c1cccc(CN(Cc2ccccn2)Cc2ccc(-c3ccc4c(c3)OCCOCCOCCOCCOCCO4)cn2)n1")</f>
        <v>CCN(Cc1ccccn1)c1ccc2cccnc2c1-c1cccc(CN(Cc2ccccn2)Cc2ccc(-c3ccc4c(c3)OCCOCCOCCOCCOCCO4)cn2)n1</v>
      </c>
      <c r="C11937" s="7">
        <f>IFERROR(__xludf.DUMMYFUNCTION("""COMPUTED_VALUE"""),7.7601333)</f>
        <v>7.7601333</v>
      </c>
      <c r="D11937" s="7">
        <f>IFERROR(__xludf.DUMMYFUNCTION("""COMPUTED_VALUE"""),0.367088607594936)</f>
        <v>0.3670886076</v>
      </c>
    </row>
    <row r="11938">
      <c r="A11938" s="10" t="s">
        <v>13377</v>
      </c>
      <c r="B11938" s="7" t="str">
        <f>IFERROR(__xludf.DUMMYFUNCTION("SPLIT(A11938,"" "")"),"CN(C)CC1=CCC(N(C)Cc2ccccn2)=CN1")</f>
        <v>CN(C)CC1=CCC(N(C)Cc2ccccn2)=CN1</v>
      </c>
      <c r="C11938" s="7">
        <f>IFERROR(__xludf.DUMMYFUNCTION("""COMPUTED_VALUE"""),7.7601314)</f>
        <v>7.7601314</v>
      </c>
      <c r="D11938" s="7">
        <f>IFERROR(__xludf.DUMMYFUNCTION("""COMPUTED_VALUE"""),0.450980392156862)</f>
        <v>0.4509803922</v>
      </c>
    </row>
    <row r="11939">
      <c r="A11939" s="10" t="s">
        <v>13378</v>
      </c>
      <c r="B11939" s="7" t="str">
        <f>IFERROR(__xludf.DUMMYFUNCTION("SPLIT(A11939,"" "")"),"CNc1cccc(CN(Cc2ccccn2)C2CCC(N(C)c3ccc4nc(CF)ccc4c3)CC2)n1")</f>
        <v>CNc1cccc(CN(Cc2ccccn2)C2CCC(N(C)c3ccc4nc(CF)ccc4c3)CC2)n1</v>
      </c>
      <c r="C11939" s="7">
        <f>IFERROR(__xludf.DUMMYFUNCTION("""COMPUTED_VALUE"""),7.7601304)</f>
        <v>7.7601304</v>
      </c>
      <c r="D11939" s="7">
        <f>IFERROR(__xludf.DUMMYFUNCTION("""COMPUTED_VALUE"""),0.38095238095238)</f>
        <v>0.380952381</v>
      </c>
    </row>
    <row r="11940">
      <c r="A11940" s="10" t="s">
        <v>13379</v>
      </c>
      <c r="B11940" s="7" t="str">
        <f>IFERROR(__xludf.DUMMYFUNCTION("SPLIT(A11940,"" "")"),"Cc1ccc(CNCc2cccc(C(C)(C)C)n2)c(NCc2ccccn2)c1")</f>
        <v>Cc1ccc(CNCc2cccc(C(C)(C)C)n2)c(NCc2ccccn2)c1</v>
      </c>
      <c r="C11940" s="7">
        <f>IFERROR(__xludf.DUMMYFUNCTION("""COMPUTED_VALUE"""),7.7601285)</f>
        <v>7.7601285</v>
      </c>
      <c r="D11940" s="7">
        <f>IFERROR(__xludf.DUMMYFUNCTION("""COMPUTED_VALUE"""),0.387755102040816)</f>
        <v>0.387755102</v>
      </c>
    </row>
    <row r="11941">
      <c r="A11941" s="10" t="s">
        <v>13380</v>
      </c>
      <c r="B11941" s="7" t="str">
        <f>IFERROR(__xludf.DUMMYFUNCTION("SPLIT(A11941,"" "")"),"Cc1cccc(CN(CC2=CC(N(C)Cc3cc(C)c(C)c(C)n3)C=CN2)Cc2nc(C)ccc2C)n1")</f>
        <v>Cc1cccc(CN(CC2=CC(N(C)Cc3cc(C)c(C)c(C)n3)C=CN2)Cc2nc(C)ccc2C)n1</v>
      </c>
      <c r="C11941" s="7">
        <f>IFERROR(__xludf.DUMMYFUNCTION("""COMPUTED_VALUE"""),7.7601194)</f>
        <v>7.7601194</v>
      </c>
      <c r="D11941" s="7">
        <f>IFERROR(__xludf.DUMMYFUNCTION("""COMPUTED_VALUE"""),0.348484848484848)</f>
        <v>0.3484848485</v>
      </c>
    </row>
    <row r="11942">
      <c r="A11942" s="10" t="s">
        <v>13381</v>
      </c>
      <c r="B11942" s="7" t="str">
        <f>IFERROR(__xludf.DUMMYFUNCTION("SPLIT(A11942,"" "")"),"Cc1cccnc1CN(C)C1=CNC(CN(Cc2ncccc2C)C(C)C)=CC1")</f>
        <v>Cc1cccnc1CN(C)C1=CNC(CN(Cc2ncccc2C)C(C)C)=CC1</v>
      </c>
      <c r="C11942" s="7">
        <f>IFERROR(__xludf.DUMMYFUNCTION("""COMPUTED_VALUE"""),7.760119)</f>
        <v>7.760119</v>
      </c>
      <c r="D11942" s="7">
        <f>IFERROR(__xludf.DUMMYFUNCTION("""COMPUTED_VALUE"""),0.327272727272727)</f>
        <v>0.3272727273</v>
      </c>
    </row>
    <row r="11943">
      <c r="A11943" s="10" t="s">
        <v>13382</v>
      </c>
      <c r="B11943" s="7" t="str">
        <f>IFERROR(__xludf.DUMMYFUNCTION("SPLIT(A11943,"" "")"),"Cc1ccc(CN(Cc2ccccn2)C2CCCCC2N(C)c2ccc3nccc(C)c3c2)nc1")</f>
        <v>Cc1ccc(CN(Cc2ccccn2)C2CCCCC2N(C)c2ccc3nccc(C)c3c2)nc1</v>
      </c>
      <c r="C11943" s="7">
        <f>IFERROR(__xludf.DUMMYFUNCTION("""COMPUTED_VALUE"""),7.7601185)</f>
        <v>7.7601185</v>
      </c>
      <c r="D11943" s="7">
        <f>IFERROR(__xludf.DUMMYFUNCTION("""COMPUTED_VALUE"""),0.45)</f>
        <v>0.45</v>
      </c>
    </row>
    <row r="11944">
      <c r="A11944" s="10" t="s">
        <v>13383</v>
      </c>
      <c r="B11944" s="7" t="str">
        <f>IFERROR(__xludf.DUMMYFUNCTION("SPLIT(A11944,"" "")"),"Cc1cccc(CN(C)C2CCCC(N(C)c3cccc4cc(CN(C)C)cnc34)C2)n1")</f>
        <v>Cc1cccc(CN(C)C2CCCC(N(C)c3cccc4cc(CN(C)C)cnc34)C2)n1</v>
      </c>
      <c r="C11944" s="7">
        <f>IFERROR(__xludf.DUMMYFUNCTION("""COMPUTED_VALUE"""),7.760118)</f>
        <v>7.760118</v>
      </c>
      <c r="D11944" s="7">
        <f>IFERROR(__xludf.DUMMYFUNCTION("""COMPUTED_VALUE"""),0.448275862068965)</f>
        <v>0.4482758621</v>
      </c>
    </row>
    <row r="11945">
      <c r="A11945" s="10" t="s">
        <v>13384</v>
      </c>
      <c r="B11945" s="7" t="str">
        <f>IFERROR(__xludf.DUMMYFUNCTION("SPLIT(A11945,"" "")"),"Cc1cccc(N(C(C)C)C2CCC(N(C)c3ccc4ncccc4c3)CC2)c1")</f>
        <v>Cc1cccc(N(C(C)C)C2CCC(N(C)c3ccc4ncccc4c3)CC2)c1</v>
      </c>
      <c r="C11945" s="7">
        <f>IFERROR(__xludf.DUMMYFUNCTION("""COMPUTED_VALUE"""),7.760115)</f>
        <v>7.760115</v>
      </c>
      <c r="D11945" s="7">
        <f>IFERROR(__xludf.DUMMYFUNCTION("""COMPUTED_VALUE"""),0.322033898305084)</f>
        <v>0.3220338983</v>
      </c>
    </row>
    <row r="11946">
      <c r="A11946" s="10" t="s">
        <v>13385</v>
      </c>
      <c r="B11946" s="7" t="str">
        <f>IFERROR(__xludf.DUMMYFUNCTION("SPLIT(A11946,"" "")"),"CC(C)NCc1ccc(C2=CCC=CN2)cn1")</f>
        <v>CC(C)NCc1ccc(C2=CCC=CN2)cn1</v>
      </c>
      <c r="C11946" s="7">
        <f>IFERROR(__xludf.DUMMYFUNCTION("""COMPUTED_VALUE"""),7.760095)</f>
        <v>7.760095</v>
      </c>
      <c r="D11946" s="7">
        <f>IFERROR(__xludf.DUMMYFUNCTION("""COMPUTED_VALUE"""),0.298245614035087)</f>
        <v>0.298245614</v>
      </c>
    </row>
    <row r="11947">
      <c r="A11947" s="10" t="s">
        <v>13386</v>
      </c>
      <c r="B11947" s="7" t="str">
        <f>IFERROR(__xludf.DUMMYFUNCTION("SPLIT(A11947,"" "")"),"CNCc1nccc2cc(N(C)C3CCCCC3N(C)Cc3nc(C)c(C)c(C)c3C)ccc12")</f>
        <v>CNCc1nccc2cc(N(C)C3CCCCC3N(C)Cc3nc(C)c(C)c(C)c3C)ccc12</v>
      </c>
      <c r="C11947" s="7">
        <f>IFERROR(__xludf.DUMMYFUNCTION("""COMPUTED_VALUE"""),7.7600884)</f>
        <v>7.7600884</v>
      </c>
      <c r="D11947" s="7">
        <f>IFERROR(__xludf.DUMMYFUNCTION("""COMPUTED_VALUE"""),0.328125)</f>
        <v>0.328125</v>
      </c>
    </row>
    <row r="11948">
      <c r="A11948" s="10" t="s">
        <v>13387</v>
      </c>
      <c r="B11948" s="7" t="str">
        <f>IFERROR(__xludf.DUMMYFUNCTION("SPLIT(A11948,"" "")"),"CN(c1ccc2cccnc2c1)C1CCCCC1N(Cc1ccccn1)C1=CC=CCN1")</f>
        <v>CN(c1ccc2cccnc2c1)C1CCCCC1N(Cc1ccccn1)C1=CC=CCN1</v>
      </c>
      <c r="C11948" s="7">
        <f>IFERROR(__xludf.DUMMYFUNCTION("""COMPUTED_VALUE"""),7.7600865)</f>
        <v>7.7600865</v>
      </c>
      <c r="D11948" s="7">
        <f>IFERROR(__xludf.DUMMYFUNCTION("""COMPUTED_VALUE"""),0.419354838709677)</f>
        <v>0.4193548387</v>
      </c>
    </row>
    <row r="11949">
      <c r="A11949" s="10" t="s">
        <v>13388</v>
      </c>
      <c r="B11949" s="7" t="str">
        <f>IFERROR(__xludf.DUMMYFUNCTION("SPLIT(A11949,"" "")"),"Cc1cncc(CN(C)C2=CNC(CN(C)Cc3ccccn3)=CC2)c1")</f>
        <v>Cc1cncc(CN(C)C2=CNC(CN(C)Cc3ccccn3)=CC2)c1</v>
      </c>
      <c r="C11949" s="7">
        <f>IFERROR(__xludf.DUMMYFUNCTION("""COMPUTED_VALUE"""),7.7600837)</f>
        <v>7.7600837</v>
      </c>
      <c r="D11949" s="7">
        <f>IFERROR(__xludf.DUMMYFUNCTION("""COMPUTED_VALUE"""),0.383333333333333)</f>
        <v>0.3833333333</v>
      </c>
    </row>
    <row r="11950">
      <c r="A11950" s="10" t="s">
        <v>13389</v>
      </c>
      <c r="B11950" s="7" t="str">
        <f>IFERROR(__xludf.DUMMYFUNCTION("SPLIT(A11950,"" "")"),"Cc1ccnc(CN(C)C2CCC(N(C)c3ccc4nccc(CN(C)C)c4c3)CC2)c1")</f>
        <v>Cc1ccnc(CN(C)C2CCC(N(C)c3ccc4nccc(CN(C)C)c4c3)CC2)c1</v>
      </c>
      <c r="C11950" s="7">
        <f>IFERROR(__xludf.DUMMYFUNCTION("""COMPUTED_VALUE"""),7.760076)</f>
        <v>7.760076</v>
      </c>
      <c r="D11950" s="7">
        <f>IFERROR(__xludf.DUMMYFUNCTION("""COMPUTED_VALUE"""),0.316666666666666)</f>
        <v>0.3166666667</v>
      </c>
    </row>
    <row r="11951">
      <c r="A11951" s="10" t="s">
        <v>13390</v>
      </c>
      <c r="B11951" s="7" t="str">
        <f>IFERROR(__xludf.DUMMYFUNCTION("SPLIT(A11951,"" "")"),"Cc1cncc(CN(C)C2CCCC(N(C)c3cccc4c(CN(C)C)ccnc34)C2)c1")</f>
        <v>Cc1cncc(CN(C)C2CCCC(N(C)c3cccc4c(CN(C)C)ccnc34)C2)c1</v>
      </c>
      <c r="C11951" s="7">
        <f>IFERROR(__xludf.DUMMYFUNCTION("""COMPUTED_VALUE"""),7.7600718)</f>
        <v>7.7600718</v>
      </c>
      <c r="D11951" s="7">
        <f>IFERROR(__xludf.DUMMYFUNCTION("""COMPUTED_VALUE"""),0.313432835820895)</f>
        <v>0.3134328358</v>
      </c>
    </row>
    <row r="11952">
      <c r="A11952" s="10" t="s">
        <v>13391</v>
      </c>
      <c r="B11952" s="7" t="str">
        <f>IFERROR(__xludf.DUMMYFUNCTION("SPLIT(A11952,"" "")"),"CNC1CC(N(Cc2nc(C)c(C)c(C)c2C)Cc2nc(C)c(C)c(C)c2C)C(NCc2nc(C)c(C)cc2C)CC1N(Cc1nc(C)c(C)c(C)c1C)Cc1nc(C)c(C)c(C)c1C")</f>
        <v>CNC1CC(N(Cc2nc(C)c(C)c(C)c2C)Cc2nc(C)c(C)c(C)c2C)C(NCc2nc(C)c(C)cc2C)CC1N(Cc1nc(C)c(C)c(C)c1C)Cc1nc(C)c(C)c(C)c1C</v>
      </c>
      <c r="C11952" s="7">
        <f>IFERROR(__xludf.DUMMYFUNCTION("""COMPUTED_VALUE"""),7.760064)</f>
        <v>7.760064</v>
      </c>
      <c r="D11952" s="7">
        <f>IFERROR(__xludf.DUMMYFUNCTION("""COMPUTED_VALUE"""),0.19047619047619)</f>
        <v>0.1904761905</v>
      </c>
    </row>
    <row r="11953">
      <c r="A11953" s="10" t="s">
        <v>13392</v>
      </c>
      <c r="B11953" s="7" t="str">
        <f>IFERROR(__xludf.DUMMYFUNCTION("SPLIT(A11953,"" "")"),"CNC1CC(N(Cc2nc(C)c(C)c(C)c2C)Cc2nc(C)c(C)c(C)c2C)CC(N(Cc2nc(C)c(C)c(C)c2C)Cc2nc(C)c(C)c(C)c2C)C1")</f>
        <v>CNC1CC(N(Cc2nc(C)c(C)c(C)c2C)Cc2nc(C)c(C)c(C)c2C)CC(N(Cc2nc(C)c(C)c(C)c2C)Cc2nc(C)c(C)c(C)c2C)C1</v>
      </c>
      <c r="C11953" s="7">
        <f>IFERROR(__xludf.DUMMYFUNCTION("""COMPUTED_VALUE"""),7.7600584)</f>
        <v>7.7600584</v>
      </c>
      <c r="D11953" s="7">
        <f>IFERROR(__xludf.DUMMYFUNCTION("""COMPUTED_VALUE"""),0.185185185185185)</f>
        <v>0.1851851852</v>
      </c>
    </row>
    <row r="11954">
      <c r="A11954" s="10" t="s">
        <v>13393</v>
      </c>
      <c r="B11954" s="7" t="str">
        <f>IFERROR(__xludf.DUMMYFUNCTION("SPLIT(A11954,"" "")"),"CN(C)Cc1ccc2cc(N(C)C3CCC(N(Cc4ccccn4)Cc4cccc(C(C)(C)C)n4)CC3)ccc2n1")</f>
        <v>CN(C)Cc1ccc2cc(N(C)C3CCC(N(Cc4ccccn4)Cc4cccc(C(C)(C)C)n4)CC3)ccc2n1</v>
      </c>
      <c r="C11954" s="7">
        <f>IFERROR(__xludf.DUMMYFUNCTION("""COMPUTED_VALUE"""),7.7600536)</f>
        <v>7.7600536</v>
      </c>
      <c r="D11954" s="7">
        <f>IFERROR(__xludf.DUMMYFUNCTION("""COMPUTED_VALUE"""),0.387096774193548)</f>
        <v>0.3870967742</v>
      </c>
    </row>
    <row r="11955">
      <c r="A11955" s="10" t="s">
        <v>13394</v>
      </c>
      <c r="B11955" s="7" t="str">
        <f>IFERROR(__xludf.DUMMYFUNCTION("SPLIT(A11955,"" "")"),"Cc1cccc(CN(Cc2ncccc2C)Cc2nccc(C)c2C)n1")</f>
        <v>Cc1cccc(CN(Cc2ncccc2C)Cc2nccc(C)c2C)n1</v>
      </c>
      <c r="C11955" s="7">
        <f>IFERROR(__xludf.DUMMYFUNCTION("""COMPUTED_VALUE"""),7.760052)</f>
        <v>7.760052</v>
      </c>
      <c r="D11955" s="7">
        <f>IFERROR(__xludf.DUMMYFUNCTION("""COMPUTED_VALUE"""),0.422222222222222)</f>
        <v>0.4222222222</v>
      </c>
    </row>
    <row r="11956">
      <c r="A11956" s="10" t="s">
        <v>13395</v>
      </c>
      <c r="B11956" s="7" t="str">
        <f>IFERROR(__xludf.DUMMYFUNCTION("SPLIT(A11956,"" "")"),"Cc1ccc(CN(Cc2ccccn2)C2=CNC(CN(C)C(C)(C)c3ccccn3)=CC2)nc1")</f>
        <v>Cc1ccc(CN(Cc2ccccn2)C2=CNC(CN(C)C(C)(C)c3ccccn3)=CC2)nc1</v>
      </c>
      <c r="C11956" s="7">
        <f>IFERROR(__xludf.DUMMYFUNCTION("""COMPUTED_VALUE"""),7.7600474)</f>
        <v>7.7600474</v>
      </c>
      <c r="D11956" s="7">
        <f>IFERROR(__xludf.DUMMYFUNCTION("""COMPUTED_VALUE"""),0.362068965517241)</f>
        <v>0.3620689655</v>
      </c>
    </row>
    <row r="11957">
      <c r="A11957" s="10" t="s">
        <v>13396</v>
      </c>
      <c r="B11957" s="7" t="str">
        <f>IFERROR(__xludf.DUMMYFUNCTION("SPLIT(A11957,"" "")"),"COC(=O)C1C(c2ccccn2)CC(c2cc(CN(Cc3ccccn3)Cc3ccccn3)ccn2)N(C)C1c1ccccn1")</f>
        <v>COC(=O)C1C(c2ccccn2)CC(c2cc(CN(Cc3ccccn3)Cc3ccccn3)ccn2)N(C)C1c1ccccn1</v>
      </c>
      <c r="C11957" s="7">
        <f>IFERROR(__xludf.DUMMYFUNCTION("""COMPUTED_VALUE"""),7.7600427)</f>
        <v>7.7600427</v>
      </c>
      <c r="D11957" s="7">
        <f>IFERROR(__xludf.DUMMYFUNCTION("""COMPUTED_VALUE"""),0.344827586206896)</f>
        <v>0.3448275862</v>
      </c>
    </row>
    <row r="11958">
      <c r="A11958" s="10" t="s">
        <v>13397</v>
      </c>
      <c r="B11958" s="7" t="str">
        <f>IFERROR(__xludf.DUMMYFUNCTION("SPLIT(A11958,"" "")"),"CCNCc1c(C)cccc1N(C)Cc1ccccn1")</f>
        <v>CCNCc1c(C)cccc1N(C)Cc1ccccn1</v>
      </c>
      <c r="C11958" s="7">
        <f>IFERROR(__xludf.DUMMYFUNCTION("""COMPUTED_VALUE"""),7.7600427)</f>
        <v>7.7600427</v>
      </c>
      <c r="D11958" s="7">
        <f>IFERROR(__xludf.DUMMYFUNCTION("""COMPUTED_VALUE"""),0.5)</f>
        <v>0.5</v>
      </c>
    </row>
    <row r="11959">
      <c r="A11959" s="10" t="s">
        <v>13398</v>
      </c>
      <c r="B11959" s="7" t="str">
        <f>IFERROR(__xludf.DUMMYFUNCTION("SPLIT(A11959,"" "")"),"Cc1cc(CN(C)C2CCC(N(C)c3ccc4nccc(CN(C)C)c4c3)CC2)ccn1")</f>
        <v>Cc1cc(CN(C)C2CCC(N(C)c3ccc4nccc(CN(C)C)c4c3)CC2)ccn1</v>
      </c>
      <c r="C11959" s="7">
        <f>IFERROR(__xludf.DUMMYFUNCTION("""COMPUTED_VALUE"""),7.760042)</f>
        <v>7.760042</v>
      </c>
      <c r="D11959" s="7">
        <f>IFERROR(__xludf.DUMMYFUNCTION("""COMPUTED_VALUE"""),0.234375)</f>
        <v>0.234375</v>
      </c>
    </row>
    <row r="11960">
      <c r="A11960" s="10" t="s">
        <v>13399</v>
      </c>
      <c r="B11960" s="7" t="str">
        <f>IFERROR(__xludf.DUMMYFUNCTION("SPLIT(A11960,"" "")"),"CC(C)N(Cc1cc(C(C)(C)C)ccn1)Cc1cc(C(C)(C)c2ccccn2)ccn1")</f>
        <v>CC(C)N(Cc1cc(C(C)(C)C)ccn1)Cc1cc(C(C)(C)c2ccccn2)ccn1</v>
      </c>
      <c r="C11960" s="7">
        <f>IFERROR(__xludf.DUMMYFUNCTION("""COMPUTED_VALUE"""),7.7600393)</f>
        <v>7.7600393</v>
      </c>
      <c r="D11960" s="7">
        <f>IFERROR(__xludf.DUMMYFUNCTION("""COMPUTED_VALUE"""),0.478260869565217)</f>
        <v>0.4782608696</v>
      </c>
    </row>
    <row r="11961">
      <c r="A11961" s="10" t="s">
        <v>13400</v>
      </c>
      <c r="B11961" s="7" t="str">
        <f>IFERROR(__xludf.DUMMYFUNCTION("SPLIT(A11961,"" "")"),"CC(C)C(C)N(C)CC1=CC(N(C)c2ccc3nc(CF)ccc3c2)C=CN1")</f>
        <v>CC(C)C(C)N(C)CC1=CC(N(C)c2ccc3nc(CF)ccc3c2)C=CN1</v>
      </c>
      <c r="C11961" s="7">
        <f>IFERROR(__xludf.DUMMYFUNCTION("""COMPUTED_VALUE"""),7.760036)</f>
        <v>7.760036</v>
      </c>
      <c r="D11961" s="7">
        <f>IFERROR(__xludf.DUMMYFUNCTION("""COMPUTED_VALUE"""),0.283582089552238)</f>
        <v>0.2835820896</v>
      </c>
    </row>
    <row r="11962">
      <c r="A11962" s="10" t="s">
        <v>13401</v>
      </c>
      <c r="B11962" s="7" t="str">
        <f>IFERROR(__xludf.DUMMYFUNCTION("SPLIT(A11962,"" "")"),"CC1C2CCC(N(C)c3ccc4ncccc4c3)(C2)C1N(Cc1ccccn1)Cc1ccccn1")</f>
        <v>CC1C2CCC(N(C)c3ccc4ncccc4c3)(C2)C1N(Cc1ccccn1)Cc1ccccn1</v>
      </c>
      <c r="C11962" s="7">
        <f>IFERROR(__xludf.DUMMYFUNCTION("""COMPUTED_VALUE"""),7.7600303)</f>
        <v>7.7600303</v>
      </c>
      <c r="D11962" s="7">
        <f>IFERROR(__xludf.DUMMYFUNCTION("""COMPUTED_VALUE"""),0.354838709677419)</f>
        <v>0.3548387097</v>
      </c>
    </row>
    <row r="11963">
      <c r="A11963" s="10" t="s">
        <v>13402</v>
      </c>
      <c r="B11963" s="7" t="str">
        <f>IFERROR(__xludf.DUMMYFUNCTION("SPLIT(A11963,"" "")"),"Cc1cc(C)c(C)c(CN(C)C2=CNC(CN(Cc3ccccn3)C(C)C)=CC2)n1")</f>
        <v>Cc1cc(C)c(C)c(CN(C)C2=CNC(CN(Cc3ccccn3)C(C)C)=CC2)n1</v>
      </c>
      <c r="C11963" s="7">
        <f>IFERROR(__xludf.DUMMYFUNCTION("""COMPUTED_VALUE"""),7.760028)</f>
        <v>7.760028</v>
      </c>
      <c r="D11963" s="7">
        <f>IFERROR(__xludf.DUMMYFUNCTION("""COMPUTED_VALUE"""),0.43859649122807)</f>
        <v>0.4385964912</v>
      </c>
    </row>
    <row r="11964">
      <c r="A11964" s="10" t="s">
        <v>13403</v>
      </c>
      <c r="B11964" s="7" t="str">
        <f>IFERROR(__xludf.DUMMYFUNCTION("SPLIT(A11964,"" "")"),"CC(N)C(C)(c1cccnc1)c1ncccc1CN(Cc1ccccn1)C1CCC(N(C)c2ccc3c(CF)ccnc3c2)CC1")</f>
        <v>CC(N)C(C)(c1cccnc1)c1ncccc1CN(Cc1ccccn1)C1CCC(N(C)c2ccc3c(CF)ccnc3c2)CC1</v>
      </c>
      <c r="C11964" s="7">
        <f>IFERROR(__xludf.DUMMYFUNCTION("""COMPUTED_VALUE"""),7.7600255)</f>
        <v>7.7600255</v>
      </c>
      <c r="D11964" s="7">
        <f>IFERROR(__xludf.DUMMYFUNCTION("""COMPUTED_VALUE"""),0.268292682926829)</f>
        <v>0.2682926829</v>
      </c>
    </row>
    <row r="11965">
      <c r="A11965" s="10" t="s">
        <v>13404</v>
      </c>
      <c r="B11965" s="7" t="str">
        <f>IFERROR(__xludf.DUMMYFUNCTION("SPLIT(A11965,"" "")"),"CNC1C=C(N(C)Cc2cc(C)ccn2)C=CN1")</f>
        <v>CNC1C=C(N(C)Cc2cc(C)ccn2)C=CN1</v>
      </c>
      <c r="C11965" s="7">
        <f>IFERROR(__xludf.DUMMYFUNCTION("""COMPUTED_VALUE"""),7.76002)</f>
        <v>7.76002</v>
      </c>
      <c r="D11965" s="7">
        <f>IFERROR(__xludf.DUMMYFUNCTION("""COMPUTED_VALUE"""),0.314814814814814)</f>
        <v>0.3148148148</v>
      </c>
    </row>
    <row r="11966">
      <c r="A11966" s="10" t="s">
        <v>13405</v>
      </c>
      <c r="B11966" s="7" t="str">
        <f>IFERROR(__xludf.DUMMYFUNCTION("SPLIT(A11966,"" "")"),"Cc1cnc(C)c(CN(C)Cc2cc(N(C)C(C)C)ccn2)c1")</f>
        <v>Cc1cnc(C)c(CN(C)Cc2cc(N(C)C(C)C)ccn2)c1</v>
      </c>
      <c r="C11966" s="7">
        <f>IFERROR(__xludf.DUMMYFUNCTION("""COMPUTED_VALUE"""),7.7600193)</f>
        <v>7.7600193</v>
      </c>
      <c r="D11966" s="7">
        <f>IFERROR(__xludf.DUMMYFUNCTION("""COMPUTED_VALUE"""),0.375)</f>
        <v>0.375</v>
      </c>
    </row>
    <row r="11967">
      <c r="A11967" s="10" t="s">
        <v>13406</v>
      </c>
      <c r="B11967" s="7" t="str">
        <f>IFERROR(__xludf.DUMMYFUNCTION("SPLIT(A11967,"" "")"),"Cc1ccc(CN(C)C2CCCC(N(C)c3cccc4ncc(CF)cc34)C2)nc1C")</f>
        <v>Cc1ccc(CN(C)C2CCCC(N(C)c3cccc4ncc(CF)cc34)C2)nc1C</v>
      </c>
      <c r="C11967" s="7">
        <f>IFERROR(__xludf.DUMMYFUNCTION("""COMPUTED_VALUE"""),7.7600174)</f>
        <v>7.7600174</v>
      </c>
      <c r="D11967" s="7">
        <f>IFERROR(__xludf.DUMMYFUNCTION("""COMPUTED_VALUE"""),0.323943661971831)</f>
        <v>0.323943662</v>
      </c>
    </row>
    <row r="11968">
      <c r="A11968" s="10" t="s">
        <v>13407</v>
      </c>
      <c r="B11968" s="7" t="str">
        <f>IFERROR(__xludf.DUMMYFUNCTION("SPLIT(A11968,"" "")"),"CN(Cc1ccon1)C1CCCCC1N(C)c1ccc2nccc(CF)c2c1")</f>
        <v>CN(Cc1ccon1)C1CCCCC1N(C)c1ccc2nccc(CF)c2c1</v>
      </c>
      <c r="C11968" s="7">
        <f>IFERROR(__xludf.DUMMYFUNCTION("""COMPUTED_VALUE"""),7.7600074)</f>
        <v>7.7600074</v>
      </c>
      <c r="D11968" s="7">
        <f>IFERROR(__xludf.DUMMYFUNCTION("""COMPUTED_VALUE"""),0.389830508474576)</f>
        <v>0.3898305085</v>
      </c>
    </row>
    <row r="11969">
      <c r="A11969" s="10" t="s">
        <v>13408</v>
      </c>
      <c r="B11969" s="7" t="str">
        <f>IFERROR(__xludf.DUMMYFUNCTION("SPLIT(A11969,"" "")"),"CNC1NC=CC=C1N(Cc1ccccn1)Cc1ccccn1")</f>
        <v>CNC1NC=CC=C1N(Cc1ccccn1)Cc1ccccn1</v>
      </c>
      <c r="C11969" s="7">
        <f>IFERROR(__xludf.DUMMYFUNCTION("""COMPUTED_VALUE"""),7.76)</f>
        <v>7.76</v>
      </c>
      <c r="D11969" s="7">
        <f>IFERROR(__xludf.DUMMYFUNCTION("""COMPUTED_VALUE"""),0.450980392156862)</f>
        <v>0.4509803922</v>
      </c>
    </row>
    <row r="11970">
      <c r="A11970" s="10" t="s">
        <v>13409</v>
      </c>
      <c r="B11970" s="7" t="str">
        <f>IFERROR(__xludf.DUMMYFUNCTION("SPLIT(A11970,"" "")"),"Cc1cccc(CN(C)CCN(C)Cc2cccc3ncccc23)c1")</f>
        <v>Cc1cccc(CN(C)CCN(C)Cc2cccc3ncccc23)c1</v>
      </c>
      <c r="C11970" s="7">
        <f>IFERROR(__xludf.DUMMYFUNCTION("""COMPUTED_VALUE"""),7.7599974)</f>
        <v>7.7599974</v>
      </c>
      <c r="D11970" s="7">
        <f>IFERROR(__xludf.DUMMYFUNCTION("""COMPUTED_VALUE"""),0.478260869565217)</f>
        <v>0.4782608696</v>
      </c>
    </row>
    <row r="11971">
      <c r="A11971" s="10" t="s">
        <v>13410</v>
      </c>
      <c r="B11971" s="7" t="str">
        <f>IFERROR(__xludf.DUMMYFUNCTION("SPLIT(A11971,"" "")"),"Cc1cc(CN(C)CC2=CC(N(C)C(c3ccccn3)c3ccccn3)C=CN2)ccn1")</f>
        <v>Cc1cc(CN(C)CC2=CC(N(C)C(c3ccccn3)c3ccccn3)C=CN2)ccn1</v>
      </c>
      <c r="C11971" s="7">
        <f>IFERROR(__xludf.DUMMYFUNCTION("""COMPUTED_VALUE"""),7.7599964)</f>
        <v>7.7599964</v>
      </c>
      <c r="D11971" s="7">
        <f>IFERROR(__xludf.DUMMYFUNCTION("""COMPUTED_VALUE"""),0.323076923076923)</f>
        <v>0.3230769231</v>
      </c>
    </row>
    <row r="11972">
      <c r="A11972" s="10" t="s">
        <v>13411</v>
      </c>
      <c r="B11972" s="7" t="str">
        <f>IFERROR(__xludf.DUMMYFUNCTION("SPLIT(A11972,"" "")"),"CN(C1=CCC=CN1)C1CCCC(N(C)c2cccc3ncc(CF)cc23)C1")</f>
        <v>CN(C1=CCC=CN1)C1CCCC(N(C)c2cccc3ncc(CF)cc23)C1</v>
      </c>
      <c r="C11972" s="7">
        <f>IFERROR(__xludf.DUMMYFUNCTION("""COMPUTED_VALUE"""),7.759987)</f>
        <v>7.759987</v>
      </c>
      <c r="D11972" s="7">
        <f>IFERROR(__xludf.DUMMYFUNCTION("""COMPUTED_VALUE"""),0.3)</f>
        <v>0.3</v>
      </c>
    </row>
    <row r="11973">
      <c r="A11973" s="10" t="s">
        <v>13412</v>
      </c>
      <c r="B11973" s="7" t="str">
        <f>IFERROR(__xludf.DUMMYFUNCTION("SPLIT(A11973,"" "")"),"Cc1nc(CN(C)C2CCCC(N(Cc3cccc(F)n3)Cc3cccc(-c4ccccc4N(C)C)n3)C2)c(C)c(C)c1C")</f>
        <v>Cc1nc(CN(C)C2CCCC(N(Cc3cccc(F)n3)Cc3cccc(-c4ccccc4N(C)C)n3)C2)c(C)c(C)c1C</v>
      </c>
      <c r="C11973" s="7">
        <f>IFERROR(__xludf.DUMMYFUNCTION("""COMPUTED_VALUE"""),7.7599826)</f>
        <v>7.7599826</v>
      </c>
      <c r="D11973" s="7">
        <f>IFERROR(__xludf.DUMMYFUNCTION("""COMPUTED_VALUE"""),0.3)</f>
        <v>0.3</v>
      </c>
    </row>
    <row r="11974">
      <c r="A11974" s="10" t="s">
        <v>13413</v>
      </c>
      <c r="B11974" s="7" t="str">
        <f>IFERROR(__xludf.DUMMYFUNCTION("SPLIT(A11974,"" "")"),"Cc1ccc(CN(C)Cc2ccc(N(C)C(C)C)cn2)c(C)c1C")</f>
        <v>Cc1ccc(CN(C)Cc2ccc(N(C)C(C)C)cn2)c(C)c1C</v>
      </c>
      <c r="C11974" s="7">
        <f>IFERROR(__xludf.DUMMYFUNCTION("""COMPUTED_VALUE"""),7.759977)</f>
        <v>7.759977</v>
      </c>
      <c r="D11974" s="7">
        <f>IFERROR(__xludf.DUMMYFUNCTION("""COMPUTED_VALUE"""),0.422222222222222)</f>
        <v>0.4222222222</v>
      </c>
    </row>
    <row r="11975">
      <c r="A11975" s="10" t="s">
        <v>13414</v>
      </c>
      <c r="B11975" s="7" t="str">
        <f>IFERROR(__xludf.DUMMYFUNCTION("SPLIT(A11975,"" "")"),"CC(C)N(Cc1ccccn1)c1ccc(N(C)Cc2cccc(-c3ccc4c(c3)OCCOCCOCCOCCOCCO4)n2)c2cccnc12")</f>
        <v>CC(C)N(Cc1ccccn1)c1ccc(N(C)Cc2cccc(-c3ccc4c(c3)OCCOCCOCCOCCOCCO4)n2)c2cccnc12</v>
      </c>
      <c r="C11975" s="7">
        <f>IFERROR(__xludf.DUMMYFUNCTION("""COMPUTED_VALUE"""),7.7599707)</f>
        <v>7.7599707</v>
      </c>
      <c r="D11975" s="7">
        <f>IFERROR(__xludf.DUMMYFUNCTION("""COMPUTED_VALUE"""),0.368421052631578)</f>
        <v>0.3684210526</v>
      </c>
    </row>
    <row r="11976">
      <c r="A11976" s="10" t="s">
        <v>13415</v>
      </c>
      <c r="B11976" s="7" t="str">
        <f>IFERROR(__xludf.DUMMYFUNCTION("SPLIT(A11976,"" "")"),"CN(CC1=CCC(N(C)Cc2ccccn2)=CN1)Cc1cccnn1")</f>
        <v>CN(CC1=CCC(N(C)Cc2ccccn2)=CN1)Cc1cccnn1</v>
      </c>
      <c r="C11976" s="7">
        <f>IFERROR(__xludf.DUMMYFUNCTION("""COMPUTED_VALUE"""),7.7599673)</f>
        <v>7.7599673</v>
      </c>
      <c r="D11976" s="7">
        <f>IFERROR(__xludf.DUMMYFUNCTION("""COMPUTED_VALUE"""),0.48)</f>
        <v>0.48</v>
      </c>
    </row>
    <row r="11977">
      <c r="A11977" s="10" t="s">
        <v>13416</v>
      </c>
      <c r="B11977" s="7" t="str">
        <f>IFERROR(__xludf.DUMMYFUNCTION("SPLIT(A11977,"" "")"),"Cc1ccccc1CN(C)CC1=C(N(C)Cc2ncccc2C)CC=CN1")</f>
        <v>Cc1ccccc1CN(C)CC1=C(N(C)Cc2ncccc2C)CC=CN1</v>
      </c>
      <c r="C11977" s="7">
        <f>IFERROR(__xludf.DUMMYFUNCTION("""COMPUTED_VALUE"""),7.7599673)</f>
        <v>7.7599673</v>
      </c>
      <c r="D11977" s="7">
        <f>IFERROR(__xludf.DUMMYFUNCTION("""COMPUTED_VALUE"""),0.310344827586206)</f>
        <v>0.3103448276</v>
      </c>
    </row>
    <row r="11978">
      <c r="A11978" s="10" t="s">
        <v>13417</v>
      </c>
      <c r="B11978" s="7" t="str">
        <f>IFERROR(__xludf.DUMMYFUNCTION("SPLIT(A11978,"" "")"),"CN(c1ccc2nccc(CF)c2c1)C1CCC(N(C)C(c2ccccc2)c2ccccn2)CC1")</f>
        <v>CN(c1ccc2nccc(CF)c2c1)C1CCC(N(C)C(c2ccccc2)c2ccccn2)CC1</v>
      </c>
      <c r="C11978" s="7">
        <f>IFERROR(__xludf.DUMMYFUNCTION("""COMPUTED_VALUE"""),7.759966)</f>
        <v>7.759966</v>
      </c>
      <c r="D11978" s="7">
        <f>IFERROR(__xludf.DUMMYFUNCTION("""COMPUTED_VALUE"""),0.459016393442622)</f>
        <v>0.4590163934</v>
      </c>
    </row>
    <row r="11979">
      <c r="A11979" s="10" t="s">
        <v>13418</v>
      </c>
      <c r="B11979" s="7" t="str">
        <f>IFERROR(__xludf.DUMMYFUNCTION("SPLIT(A11979,"" "")"),"CC(C)N(Cc1ccccn1)c1cc(N(C)Cc2cccc(-c3ccc4c(c3)OCCOCCOCCOCCOCCO4)n2)c2ncccc2c1")</f>
        <v>CC(C)N(Cc1ccccn1)c1cc(N(C)Cc2cccc(-c3ccc4c(c3)OCCOCCOCCOCCOCCO4)n2)c2ncccc2c1</v>
      </c>
      <c r="C11979" s="7">
        <f>IFERROR(__xludf.DUMMYFUNCTION("""COMPUTED_VALUE"""),7.759965)</f>
        <v>7.759965</v>
      </c>
      <c r="D11979" s="7">
        <f>IFERROR(__xludf.DUMMYFUNCTION("""COMPUTED_VALUE"""),0.358974358974359)</f>
        <v>0.358974359</v>
      </c>
    </row>
    <row r="11980">
      <c r="A11980" s="10" t="s">
        <v>13419</v>
      </c>
      <c r="B11980" s="7" t="str">
        <f>IFERROR(__xludf.DUMMYFUNCTION("SPLIT(A11980,"" "")"),"Cc1cc(CN(C)CC2=CCC(N(Cc3ccccn3)C(C)C)=CN2)nc(C)c1C")</f>
        <v>Cc1cc(CN(C)CC2=CCC(N(Cc3ccccn3)C(C)C)=CN2)nc(C)c1C</v>
      </c>
      <c r="C11980" s="7">
        <f>IFERROR(__xludf.DUMMYFUNCTION("""COMPUTED_VALUE"""),7.7599645)</f>
        <v>7.7599645</v>
      </c>
      <c r="D11980" s="7">
        <f>IFERROR(__xludf.DUMMYFUNCTION("""COMPUTED_VALUE"""),0.370967741935483)</f>
        <v>0.3709677419</v>
      </c>
    </row>
    <row r="11981">
      <c r="A11981" s="10" t="s">
        <v>13420</v>
      </c>
      <c r="B11981" s="7" t="str">
        <f>IFERROR(__xludf.DUMMYFUNCTION("SPLIT(A11981,"" "")"),"Cc1cc(C)nc(CN(C)C2=CNC(CN(Cc3ccccn3)C(C)C)=CC2)c1")</f>
        <v>Cc1cc(C)nc(CN(C)C2=CNC(CN(Cc3ccccn3)C(C)C)=CC2)c1</v>
      </c>
      <c r="C11981" s="7">
        <f>IFERROR(__xludf.DUMMYFUNCTION("""COMPUTED_VALUE"""),7.7599554)</f>
        <v>7.7599554</v>
      </c>
      <c r="D11981" s="7">
        <f>IFERROR(__xludf.DUMMYFUNCTION("""COMPUTED_VALUE"""),0.421052631578947)</f>
        <v>0.4210526316</v>
      </c>
    </row>
    <row r="11982">
      <c r="A11982" s="10" t="s">
        <v>13421</v>
      </c>
      <c r="B11982" s="7" t="str">
        <f>IFERROR(__xludf.DUMMYFUNCTION("SPLIT(A11982,"" "")"),"COC(=O)C(=O)C(C)C(C)NCc1cccc(C(=O)C(=O)C(=O)C(=O)C(C)C(=O)C(=O)C(C)C(=O)C(=O)C(C)C(=O)C(=O)C(C)C(=O)C(=O)C(C)C(=O)C(=O)C(C)C(C)C(C)C(C)C(=O)C(=O)C(=O)C(=O)C(=O)C(C)N=Cc2ccc(C)c(C)n2)n1")</f>
        <v>COC(=O)C(=O)C(C)C(C)NCc1cccc(C(=O)C(=O)C(=O)C(=O)C(C)C(=O)C(=O)C(C)C(=O)C(=O)C(C)C(=O)C(=O)C(C)C(=O)C(=O)C(C)C(=O)C(=O)C(C)C(C)C(C)C(C)C(=O)C(=O)C(=O)C(=O)C(=O)C(C)N=Cc2ccc(C)c(C)n2)n1</v>
      </c>
      <c r="C11982" s="7">
        <f>IFERROR(__xludf.DUMMYFUNCTION("""COMPUTED_VALUE"""),7.7599463)</f>
        <v>7.7599463</v>
      </c>
      <c r="D11982" s="7">
        <f>IFERROR(__xludf.DUMMYFUNCTION("""COMPUTED_VALUE"""),0.147727272727272)</f>
        <v>0.1477272727</v>
      </c>
    </row>
    <row r="11983">
      <c r="A11983" s="10" t="s">
        <v>13422</v>
      </c>
      <c r="B11983" s="7" t="str">
        <f>IFERROR(__xludf.DUMMYFUNCTION("SPLIT(A11983,"" "")"),"CCC1=CCC=C(N(C)CC2=CC(N(C)Cc3nc(C)c(C)c(C)c3C)C=CN2)N1")</f>
        <v>CCC1=CCC=C(N(C)CC2=CC(N(C)Cc3nc(C)c(C)c(C)c3C)C=CN2)N1</v>
      </c>
      <c r="C11983" s="7">
        <f>IFERROR(__xludf.DUMMYFUNCTION("""COMPUTED_VALUE"""),7.7599454)</f>
        <v>7.7599454</v>
      </c>
      <c r="D11983" s="7">
        <f>IFERROR(__xludf.DUMMYFUNCTION("""COMPUTED_VALUE"""),0.279411764705882)</f>
        <v>0.2794117647</v>
      </c>
    </row>
    <row r="11984">
      <c r="A11984" s="10" t="s">
        <v>13423</v>
      </c>
      <c r="B11984" s="7" t="str">
        <f>IFERROR(__xludf.DUMMYFUNCTION("SPLIT(A11984,"" "")"),"Cc1cc(N(C)CCN(C)Cc2ccccn2)c(C)c(C)c1C")</f>
        <v>Cc1cc(N(C)CCN(C)Cc2ccccn2)c(C)c(C)c1C</v>
      </c>
      <c r="C11984" s="7">
        <f>IFERROR(__xludf.DUMMYFUNCTION("""COMPUTED_VALUE"""),7.75994)</f>
        <v>7.75994</v>
      </c>
      <c r="D11984" s="7">
        <f>IFERROR(__xludf.DUMMYFUNCTION("""COMPUTED_VALUE"""),0.488888888888888)</f>
        <v>0.4888888889</v>
      </c>
    </row>
    <row r="11985">
      <c r="A11985" s="10" t="s">
        <v>13424</v>
      </c>
      <c r="B11985" s="7" t="str">
        <f>IFERROR(__xludf.DUMMYFUNCTION("SPLIT(A11985,"" "")"),"Cc1cncc(CN(C)CC2=C(N(C)Cc3ccccn3)CC=CN2)c1")</f>
        <v>Cc1cncc(CN(C)CC2=C(N(C)Cc3ccccn3)CC=CN2)c1</v>
      </c>
      <c r="C11985" s="7">
        <f>IFERROR(__xludf.DUMMYFUNCTION("""COMPUTED_VALUE"""),7.7599363)</f>
        <v>7.7599363</v>
      </c>
      <c r="D11985" s="7">
        <f>IFERROR(__xludf.DUMMYFUNCTION("""COMPUTED_VALUE"""),0.372881355932203)</f>
        <v>0.3728813559</v>
      </c>
    </row>
    <row r="11986">
      <c r="A11986" s="10" t="s">
        <v>13425</v>
      </c>
      <c r="B11986" s="7" t="str">
        <f>IFERROR(__xludf.DUMMYFUNCTION("SPLIT(A11986,"" "")"),"CN(CC1=C(N(C)Cc2ccccn2)NC=CC1)Cc1cccnc1")</f>
        <v>CN(CC1=C(N(C)Cc2ccccn2)NC=CC1)Cc1cccnc1</v>
      </c>
      <c r="C11986" s="7">
        <f>IFERROR(__xludf.DUMMYFUNCTION("""COMPUTED_VALUE"""),7.759935)</f>
        <v>7.759935</v>
      </c>
      <c r="D11986" s="7">
        <f>IFERROR(__xludf.DUMMYFUNCTION("""COMPUTED_VALUE"""),0.377049180327868)</f>
        <v>0.3770491803</v>
      </c>
    </row>
    <row r="11987">
      <c r="A11987" s="10" t="s">
        <v>13426</v>
      </c>
      <c r="B11987" s="7" t="str">
        <f>IFERROR(__xludf.DUMMYFUNCTION("SPLIT(A11987,"" "")"),"CCN(Cc1ccccn1)c1c(C)ccc(C)c1CN(C)Cc1ccccn1")</f>
        <v>CCN(Cc1ccccn1)c1c(C)ccc(C)c1CN(C)Cc1ccccn1</v>
      </c>
      <c r="C11987" s="7">
        <f>IFERROR(__xludf.DUMMYFUNCTION("""COMPUTED_VALUE"""),7.7599306)</f>
        <v>7.7599306</v>
      </c>
      <c r="D11987" s="7">
        <f>IFERROR(__xludf.DUMMYFUNCTION("""COMPUTED_VALUE"""),0.468085106382978)</f>
        <v>0.4680851064</v>
      </c>
    </row>
    <row r="11988">
      <c r="A11988" s="10" t="s">
        <v>13427</v>
      </c>
      <c r="B11988" s="7" t="str">
        <f>IFERROR(__xludf.DUMMYFUNCTION("SPLIT(A11988,"" "")"),"CN(C)c1c(Cl)cc(N)c2c1CCCC2")</f>
        <v>CN(C)c1c(Cl)cc(N)c2c1CCCC2</v>
      </c>
      <c r="C11988" s="7">
        <f>IFERROR(__xludf.DUMMYFUNCTION("""COMPUTED_VALUE"""),7.759927)</f>
        <v>7.759927</v>
      </c>
      <c r="D11988" s="7">
        <f>IFERROR(__xludf.DUMMYFUNCTION("""COMPUTED_VALUE"""),0.191489361702127)</f>
        <v>0.1914893617</v>
      </c>
    </row>
    <row r="11989">
      <c r="A11989" s="10" t="s">
        <v>13428</v>
      </c>
      <c r="B11989" s="7" t="str">
        <f>IFERROR(__xludf.DUMMYFUNCTION("SPLIT(A11989,"" "")"),"CCN(Cc1ccccn1)Cc1ncccc1C1=NC(C)(C)CO1")</f>
        <v>CCN(Cc1ccccn1)Cc1ncccc1C1=NC(C)(C)CO1</v>
      </c>
      <c r="C11989" s="7">
        <f>IFERROR(__xludf.DUMMYFUNCTION("""COMPUTED_VALUE"""),7.7599206)</f>
        <v>7.7599206</v>
      </c>
      <c r="D11989" s="7">
        <f>IFERROR(__xludf.DUMMYFUNCTION("""COMPUTED_VALUE"""),0.404255319148936)</f>
        <v>0.4042553191</v>
      </c>
    </row>
    <row r="11990">
      <c r="A11990" s="10" t="s">
        <v>13429</v>
      </c>
      <c r="B11990" s="7" t="str">
        <f>IFERROR(__xludf.DUMMYFUNCTION("SPLIT(A11990,"" "")"),"Cc1cc(CN(C)Cc2ccc(N(C)C(C)C)cn2)cnc1C")</f>
        <v>Cc1cc(CN(C)Cc2ccc(N(C)C(C)C)cn2)cnc1C</v>
      </c>
      <c r="C11990" s="7">
        <f>IFERROR(__xludf.DUMMYFUNCTION("""COMPUTED_VALUE"""),7.759913)</f>
        <v>7.759913</v>
      </c>
      <c r="D11990" s="7">
        <f>IFERROR(__xludf.DUMMYFUNCTION("""COMPUTED_VALUE"""),0.413043478260869)</f>
        <v>0.4130434783</v>
      </c>
    </row>
    <row r="11991">
      <c r="A11991" s="10" t="s">
        <v>13430</v>
      </c>
      <c r="B11991" s="7" t="str">
        <f>IFERROR(__xludf.DUMMYFUNCTION("SPLIT(A11991,"" "")"),"CC(N)C1=C(N(C)Cc2ccc(N)cn2)CC=CN1")</f>
        <v>CC(N)C1=C(N(C)Cc2ccc(N)cn2)CC=CN1</v>
      </c>
      <c r="C11991" s="7">
        <f>IFERROR(__xludf.DUMMYFUNCTION("""COMPUTED_VALUE"""),7.7598996)</f>
        <v>7.7598996</v>
      </c>
      <c r="D11991" s="7">
        <f>IFERROR(__xludf.DUMMYFUNCTION("""COMPUTED_VALUE"""),0.30188679245283)</f>
        <v>0.3018867925</v>
      </c>
    </row>
    <row r="11992">
      <c r="A11992" s="10" t="s">
        <v>13431</v>
      </c>
      <c r="B11992" s="7" t="str">
        <f>IFERROR(__xludf.DUMMYFUNCTION("SPLIT(A11992,"" "")"),"CC(C)c1ncccc1CN(Cc1ccccn1)C1CCC(N(C)c2cccc3cc(CN(C)C)cnc23)CC1")</f>
        <v>CC(C)c1ncccc1CN(Cc1ccccn1)C1CCC(N(C)c2cccc3cc(CN(C)C)cnc23)CC1</v>
      </c>
      <c r="C11992" s="7">
        <f>IFERROR(__xludf.DUMMYFUNCTION("""COMPUTED_VALUE"""),7.759898)</f>
        <v>7.759898</v>
      </c>
      <c r="D11992" s="7">
        <f>IFERROR(__xludf.DUMMYFUNCTION("""COMPUTED_VALUE"""),0.347826086956521)</f>
        <v>0.347826087</v>
      </c>
    </row>
    <row r="11993">
      <c r="A11993" s="10" t="s">
        <v>13432</v>
      </c>
      <c r="B11993" s="7" t="str">
        <f>IFERROR(__xludf.DUMMYFUNCTION("SPLIT(A11993,"" "")"),"CCN(Cc1ccccn1)c1ccc(C)c(C)c1CN(C)Cc1ccccn1")</f>
        <v>CCN(Cc1ccccn1)c1ccc(C)c(C)c1CN(C)Cc1ccccn1</v>
      </c>
      <c r="C11993" s="7">
        <f>IFERROR(__xludf.DUMMYFUNCTION("""COMPUTED_VALUE"""),7.7598886)</f>
        <v>7.7598886</v>
      </c>
      <c r="D11993" s="7">
        <f>IFERROR(__xludf.DUMMYFUNCTION("""COMPUTED_VALUE"""),0.448979591836734)</f>
        <v>0.4489795918</v>
      </c>
    </row>
    <row r="11994">
      <c r="A11994" s="10" t="s">
        <v>13433</v>
      </c>
      <c r="B11994" s="7" t="str">
        <f>IFERROR(__xludf.DUMMYFUNCTION("SPLIT(A11994,"" "")"),"Cc1cnc(CN(C)C2CCCC(N(Cc3ccccn3)Cc3cccc(-c4ccc(N(C)Cc5ccccn5)cc4)n3)C2)c(C)c1C")</f>
        <v>Cc1cnc(CN(C)C2CCCC(N(Cc3ccccn3)Cc3cccc(-c4ccc(N(C)Cc5ccccn5)cc4)n3)C2)c(C)c1C</v>
      </c>
      <c r="C11994" s="7">
        <f>IFERROR(__xludf.DUMMYFUNCTION("""COMPUTED_VALUE"""),7.7598863)</f>
        <v>7.7598863</v>
      </c>
      <c r="D11994" s="7">
        <f>IFERROR(__xludf.DUMMYFUNCTION("""COMPUTED_VALUE"""),0.373134328358209)</f>
        <v>0.3731343284</v>
      </c>
    </row>
    <row r="11995">
      <c r="A11995" s="10" t="s">
        <v>13434</v>
      </c>
      <c r="B11995" s="7" t="str">
        <f>IFERROR(__xludf.DUMMYFUNCTION("SPLIT(A11995,"" "")"),"Cc1nc(CN(C)C2=CNC(CN(Cc3ccccn3)C(C)C)=CC2)c(C)c(C)c1C")</f>
        <v>Cc1nc(CN(C)C2=CNC(CN(Cc3ccccn3)C(C)C)=CC2)c(C)c(C)c1C</v>
      </c>
      <c r="C11995" s="7">
        <f>IFERROR(__xludf.DUMMYFUNCTION("""COMPUTED_VALUE"""),7.759881)</f>
        <v>7.759881</v>
      </c>
      <c r="D11995" s="7">
        <f>IFERROR(__xludf.DUMMYFUNCTION("""COMPUTED_VALUE"""),0.428571428571428)</f>
        <v>0.4285714286</v>
      </c>
    </row>
    <row r="11996">
      <c r="A11996" s="10" t="s">
        <v>13435</v>
      </c>
      <c r="B11996" s="7" t="str">
        <f>IFERROR(__xludf.DUMMYFUNCTION("SPLIT(A11996,"" "")"),"CNCc1cc(CN(Cc2ccccn2)C2CCC(N(C)Cc3cc(-c4ccc5ncccc5c4)ccn3)CC2)ccn1")</f>
        <v>CNCc1cc(CN(Cc2ccccn2)C2CCC(N(C)Cc3cc(-c4ccc5ncccc5c4)ccn3)CC2)ccn1</v>
      </c>
      <c r="C11996" s="7">
        <f>IFERROR(__xludf.DUMMYFUNCTION("""COMPUTED_VALUE"""),7.759881)</f>
        <v>7.759881</v>
      </c>
      <c r="D11996" s="7">
        <f>IFERROR(__xludf.DUMMYFUNCTION("""COMPUTED_VALUE"""),0.363636363636363)</f>
        <v>0.3636363636</v>
      </c>
    </row>
    <row r="11997">
      <c r="A11997" s="10" t="s">
        <v>13436</v>
      </c>
      <c r="B11997" s="7" t="str">
        <f>IFERROR(__xludf.DUMMYFUNCTION("SPLIT(A11997,"" "")"),"Cc1cc(C2=NC(C(C)C)CO2)ccn1")</f>
        <v>Cc1cc(C2=NC(C(C)C)CO2)ccn1</v>
      </c>
      <c r="C11997" s="7">
        <f>IFERROR(__xludf.DUMMYFUNCTION("""COMPUTED_VALUE"""),7.759878)</f>
        <v>7.759878</v>
      </c>
      <c r="D11997" s="7">
        <f>IFERROR(__xludf.DUMMYFUNCTION("""COMPUTED_VALUE"""),0.20754716981132)</f>
        <v>0.2075471698</v>
      </c>
    </row>
    <row r="11998">
      <c r="A11998" s="10" t="s">
        <v>13437</v>
      </c>
      <c r="B11998" s="7" t="str">
        <f>IFERROR(__xludf.DUMMYFUNCTION("SPLIT(A11998,"" "")"),"Cc1ccccc1CN(C)CC1=CCC(N(C)Cc2ccccn2)=CN1")</f>
        <v>Cc1ccccc1CN(C)CC1=CCC(N(C)Cc2ccccn2)=CN1</v>
      </c>
      <c r="C11998" s="7">
        <f>IFERROR(__xludf.DUMMYFUNCTION("""COMPUTED_VALUE"""),7.7598763)</f>
        <v>7.7598763</v>
      </c>
      <c r="D11998" s="7">
        <f>IFERROR(__xludf.DUMMYFUNCTION("""COMPUTED_VALUE"""),0.392857142857142)</f>
        <v>0.3928571429</v>
      </c>
    </row>
    <row r="11999">
      <c r="A11999" s="10" t="s">
        <v>13438</v>
      </c>
      <c r="B11999" s="7" t="str">
        <f>IFERROR(__xludf.DUMMYFUNCTION("SPLIT(A11999,"" "")"),"CNCc1cc(CN(Cc2cc(C)ccn2)Cc2nc(C)c(C)c(C)c2C)ccn1")</f>
        <v>CNCc1cc(CN(Cc2cc(C)ccn2)Cc2nc(C)c(C)c(C)c2C)ccn1</v>
      </c>
      <c r="C11999" s="7">
        <f>IFERROR(__xludf.DUMMYFUNCTION("""COMPUTED_VALUE"""),7.7598763)</f>
        <v>7.7598763</v>
      </c>
      <c r="D11999" s="7">
        <f>IFERROR(__xludf.DUMMYFUNCTION("""COMPUTED_VALUE"""),0.31578947368421)</f>
        <v>0.3157894737</v>
      </c>
    </row>
    <row r="12000">
      <c r="A12000" s="10" t="s">
        <v>13439</v>
      </c>
      <c r="B12000" s="7" t="str">
        <f>IFERROR(__xludf.DUMMYFUNCTION("SPLIT(A12000,"" "")"),"Cc1ccc(CN(C)C2=CCC=C(CN(Cc3ccccn3)C(C)C)N2)nc1")</f>
        <v>Cc1ccc(CN(C)C2=CCC=C(CN(Cc3ccccn3)C(C)C)N2)nc1</v>
      </c>
      <c r="C12000" s="7">
        <f>IFERROR(__xludf.DUMMYFUNCTION("""COMPUTED_VALUE"""),7.7598743)</f>
        <v>7.7598743</v>
      </c>
      <c r="D12000" s="7">
        <f>IFERROR(__xludf.DUMMYFUNCTION("""COMPUTED_VALUE"""),0.444444444444444)</f>
        <v>0.4444444444</v>
      </c>
    </row>
    <row r="12001">
      <c r="A12001" s="10" t="s">
        <v>13440</v>
      </c>
      <c r="B12001" s="7" t="str">
        <f>IFERROR(__xludf.DUMMYFUNCTION("SPLIT(A12001,"" "")"),"CC(N)(c1ccccc1)c1cccc(NCc2ccccn2)c1")</f>
        <v>CC(N)(c1ccccc1)c1cccc(NCc2ccccn2)c1</v>
      </c>
      <c r="C12001" s="7">
        <f>IFERROR(__xludf.DUMMYFUNCTION("""COMPUTED_VALUE"""),7.7598677)</f>
        <v>7.7598677</v>
      </c>
      <c r="D12001" s="7">
        <f>IFERROR(__xludf.DUMMYFUNCTION("""COMPUTED_VALUE"""),0.395348837209302)</f>
        <v>0.3953488372</v>
      </c>
    </row>
    <row r="12002">
      <c r="A12002" s="10" t="s">
        <v>13441</v>
      </c>
      <c r="B12002" s="7" t="str">
        <f>IFERROR(__xludf.DUMMYFUNCTION("SPLIT(A12002,"" "")"),"CN1CCN(C)CCN(Cc2cncc(-c3cc(N)cc4ncccc34)c2)CC1")</f>
        <v>CN1CCN(C)CCN(Cc2cncc(-c3cc(N)cc4ncccc34)c2)CC1</v>
      </c>
      <c r="C12002" s="7">
        <f>IFERROR(__xludf.DUMMYFUNCTION("""COMPUTED_VALUE"""),7.7598667)</f>
        <v>7.7598667</v>
      </c>
      <c r="D12002" s="7">
        <f>IFERROR(__xludf.DUMMYFUNCTION("""COMPUTED_VALUE"""),0.381818181818181)</f>
        <v>0.3818181818</v>
      </c>
    </row>
    <row r="12003">
      <c r="A12003" s="10" t="s">
        <v>13442</v>
      </c>
      <c r="B12003" s="7" t="str">
        <f>IFERROR(__xludf.DUMMYFUNCTION("SPLIT(A12003,"" "")"),"Cc1cc(C2=NC(C(C)C)C(C3=NC(C(C)C)CO3)O2)c(C2CCC2(C)C)nc1C")</f>
        <v>Cc1cc(C2=NC(C(C)C)C(C3=NC(C(C)C)CO3)O2)c(C2CCC2(C)C)nc1C</v>
      </c>
      <c r="C12003" s="7">
        <f>IFERROR(__xludf.DUMMYFUNCTION("""COMPUTED_VALUE"""),7.759865)</f>
        <v>7.759865</v>
      </c>
      <c r="D12003" s="7">
        <f>IFERROR(__xludf.DUMMYFUNCTION("""COMPUTED_VALUE"""),0.176470588235294)</f>
        <v>0.1764705882</v>
      </c>
    </row>
    <row r="12004">
      <c r="A12004" s="10" t="s">
        <v>13443</v>
      </c>
      <c r="B12004" s="7" t="str">
        <f>IFERROR(__xludf.DUMMYFUNCTION("SPLIT(A12004,"" "")"),"CCN(Cc1ccccn1)Cc1nccc2cccc(N(C)CC3=C(C)C(C)C(C)CC3)c12")</f>
        <v>CCN(Cc1ccccn1)Cc1nccc2cccc(N(C)CC3=C(C)C(C)C(C)CC3)c12</v>
      </c>
      <c r="C12004" s="7">
        <f>IFERROR(__xludf.DUMMYFUNCTION("""COMPUTED_VALUE"""),7.7598624)</f>
        <v>7.7598624</v>
      </c>
      <c r="D12004" s="7">
        <f>IFERROR(__xludf.DUMMYFUNCTION("""COMPUTED_VALUE"""),0.333333333333333)</f>
        <v>0.3333333333</v>
      </c>
    </row>
    <row r="12005">
      <c r="A12005" s="10" t="s">
        <v>13444</v>
      </c>
      <c r="B12005" s="7" t="str">
        <f>IFERROR(__xludf.DUMMYFUNCTION("SPLIT(A12005,"" "")"),"CN(C)c1ccccc1C(C)(C)C1=CC(N(C)Cc2ccccn2)C=CN1")</f>
        <v>CN(C)c1ccccc1C(C)(C)C1=CC(N(C)Cc2ccccn2)C=CN1</v>
      </c>
      <c r="C12005" s="7">
        <f>IFERROR(__xludf.DUMMYFUNCTION("""COMPUTED_VALUE"""),7.7598557)</f>
        <v>7.7598557</v>
      </c>
      <c r="D12005" s="7">
        <f>IFERROR(__xludf.DUMMYFUNCTION("""COMPUTED_VALUE"""),0.4)</f>
        <v>0.4</v>
      </c>
    </row>
    <row r="12006">
      <c r="A12006" s="10" t="s">
        <v>13445</v>
      </c>
      <c r="B12006" s="7" t="str">
        <f>IFERROR(__xludf.DUMMYFUNCTION("SPLIT(A12006,"" "")"),"Cc1nc(CN(C)C2CCCCC2N(C)c2ccc3ncccc3c2)c(C)c(C)c1C")</f>
        <v>Cc1nc(CN(C)C2CCCCC2N(C)c2ccc3ncccc3c2)c(C)c(C)c1C</v>
      </c>
      <c r="C12006" s="7">
        <f>IFERROR(__xludf.DUMMYFUNCTION("""COMPUTED_VALUE"""),7.7598553)</f>
        <v>7.7598553</v>
      </c>
      <c r="D12006" s="7">
        <f>IFERROR(__xludf.DUMMYFUNCTION("""COMPUTED_VALUE"""),0.421052631578947)</f>
        <v>0.4210526316</v>
      </c>
    </row>
    <row r="12007">
      <c r="A12007" s="10" t="s">
        <v>13446</v>
      </c>
      <c r="B12007" s="7" t="str">
        <f>IFERROR(__xludf.DUMMYFUNCTION("SPLIT(A12007,"" "")"),"Cc1cc(NCc2ccccn2)ccc1C(C)(C)NCc1ccccn1")</f>
        <v>Cc1cc(NCc2ccccn2)ccc1C(C)(C)NCc1ccccn1</v>
      </c>
      <c r="C12007" s="7">
        <f>IFERROR(__xludf.DUMMYFUNCTION("""COMPUTED_VALUE"""),7.759854)</f>
        <v>7.759854</v>
      </c>
      <c r="D12007" s="7">
        <f>IFERROR(__xludf.DUMMYFUNCTION("""COMPUTED_VALUE"""),0.386363636363636)</f>
        <v>0.3863636364</v>
      </c>
    </row>
    <row r="12008">
      <c r="A12008" s="10" t="s">
        <v>13447</v>
      </c>
      <c r="B12008" s="7" t="str">
        <f>IFERROR(__xludf.DUMMYFUNCTION("SPLIT(A12008,"" "")"),"Cc1ccc(CN(Cc2cccc(F)n2)C2CCC(N(C)c3ccc4nc(CF)ccc4c3)CC2)nc1C")</f>
        <v>Cc1ccc(CN(Cc2cccc(F)n2)C2CCC(N(C)c3ccc4nc(CF)ccc4c3)CC2)nc1C</v>
      </c>
      <c r="C12008" s="7">
        <f>IFERROR(__xludf.DUMMYFUNCTION("""COMPUTED_VALUE"""),7.759851)</f>
        <v>7.759851</v>
      </c>
      <c r="D12008" s="7">
        <f>IFERROR(__xludf.DUMMYFUNCTION("""COMPUTED_VALUE"""),0.333333333333333)</f>
        <v>0.3333333333</v>
      </c>
    </row>
    <row r="12009">
      <c r="A12009" s="10" t="s">
        <v>13448</v>
      </c>
      <c r="B12009" s="7" t="str">
        <f>IFERROR(__xludf.DUMMYFUNCTION("SPLIT(A12009,"" "")"),"Cc1cnc(-c2ccc3cccnc3c2)c(CN2CCN(C)CCN(C)CC2)c1")</f>
        <v>Cc1cnc(-c2ccc3cccnc3c2)c(CN2CCN(C)CCN(C)CC2)c1</v>
      </c>
      <c r="C12009" s="7">
        <f>IFERROR(__xludf.DUMMYFUNCTION("""COMPUTED_VALUE"""),7.7598443)</f>
        <v>7.7598443</v>
      </c>
      <c r="D12009" s="7">
        <f>IFERROR(__xludf.DUMMYFUNCTION("""COMPUTED_VALUE"""),0.407407407407407)</f>
        <v>0.4074074074</v>
      </c>
    </row>
    <row r="12010">
      <c r="A12010" s="10" t="s">
        <v>13449</v>
      </c>
      <c r="B12010" s="7" t="str">
        <f>IFERROR(__xludf.DUMMYFUNCTION("SPLIT(A12010,"" "")"),"Cc1ccc(C)c(CN(C)C2=CNC(C(C)N)=CC2)n1")</f>
        <v>Cc1ccc(C)c(CN(C)C2=CNC(C(C)N)=CC2)n1</v>
      </c>
      <c r="C12010" s="7">
        <f>IFERROR(__xludf.DUMMYFUNCTION("""COMPUTED_VALUE"""),7.7598433)</f>
        <v>7.7598433</v>
      </c>
      <c r="D12010" s="7">
        <f>IFERROR(__xludf.DUMMYFUNCTION("""COMPUTED_VALUE"""),0.24074074074074)</f>
        <v>0.2407407407</v>
      </c>
    </row>
    <row r="12011">
      <c r="A12011" s="10" t="s">
        <v>13450</v>
      </c>
      <c r="B12011" s="7" t="str">
        <f>IFERROR(__xludf.DUMMYFUNCTION("SPLIT(A12011,"" "")"),"CNCc1nc(C)c(CN(Cc2ccccn2)C2CCC(N(C)c3ccc4ncccc4c3)CC2)c(C)c1C")</f>
        <v>CNCc1nc(C)c(CN(Cc2ccccn2)C2CCC(N(C)c3ccc4ncccc4c3)CC2)c(C)c1C</v>
      </c>
      <c r="C12011" s="7">
        <f>IFERROR(__xludf.DUMMYFUNCTION("""COMPUTED_VALUE"""),7.75984)</f>
        <v>7.75984</v>
      </c>
      <c r="D12011" s="7">
        <f>IFERROR(__xludf.DUMMYFUNCTION("""COMPUTED_VALUE"""),0.318840579710144)</f>
        <v>0.3188405797</v>
      </c>
    </row>
    <row r="12012">
      <c r="A12012" s="10" t="s">
        <v>13451</v>
      </c>
      <c r="B12012" s="7" t="str">
        <f>IFERROR(__xludf.DUMMYFUNCTION("SPLIT(A12012,"" "")"),"CCN(Cc1cc(CN(C)Cc2nc(C)c(C)cc2C)ccn1)Cc1nc(C)c(C)cc1C")</f>
        <v>CCN(Cc1cc(CN(C)Cc2nc(C)c(C)cc2C)ccn1)Cc1nc(C)c(C)cc1C</v>
      </c>
      <c r="C12012" s="7">
        <f>IFERROR(__xludf.DUMMYFUNCTION("""COMPUTED_VALUE"""),7.7598352)</f>
        <v>7.7598352</v>
      </c>
      <c r="D12012" s="7">
        <f>IFERROR(__xludf.DUMMYFUNCTION("""COMPUTED_VALUE"""),0.285714285714285)</f>
        <v>0.2857142857</v>
      </c>
    </row>
    <row r="12013">
      <c r="A12013" s="10" t="s">
        <v>13452</v>
      </c>
      <c r="B12013" s="7" t="str">
        <f>IFERROR(__xludf.DUMMYFUNCTION("SPLIT(A12013,"" "")"),"Cc1ccc(CN(Cc2ccccn2)C2CCCC(N(C)c3ccc4ccc(CF)nc4c3)C2)nc1C")</f>
        <v>Cc1ccc(CN(Cc2ccccn2)C2CCCC(N(C)c3ccc4ccc(CF)nc4c3)C2)nc1C</v>
      </c>
      <c r="C12013" s="7">
        <f>IFERROR(__xludf.DUMMYFUNCTION("""COMPUTED_VALUE"""),7.7598333)</f>
        <v>7.7598333</v>
      </c>
      <c r="D12013" s="7">
        <f>IFERROR(__xludf.DUMMYFUNCTION("""COMPUTED_VALUE"""),0.375)</f>
        <v>0.375</v>
      </c>
    </row>
    <row r="12014">
      <c r="A12014" s="10" t="s">
        <v>13453</v>
      </c>
      <c r="B12014" s="7" t="str">
        <f>IFERROR(__xludf.DUMMYFUNCTION("SPLIT(A12014,"" "")"),"Cc1cnc(CN(C)Cc2ccc(N(C)C(C)C)cn2)c(C)c1")</f>
        <v>Cc1cnc(CN(C)Cc2ccc(N(C)C(C)C)cn2)c(C)c1</v>
      </c>
      <c r="C12014" s="7">
        <f>IFERROR(__xludf.DUMMYFUNCTION("""COMPUTED_VALUE"""),7.7598305)</f>
        <v>7.7598305</v>
      </c>
      <c r="D12014" s="7">
        <f>IFERROR(__xludf.DUMMYFUNCTION("""COMPUTED_VALUE"""),0.477272727272727)</f>
        <v>0.4772727273</v>
      </c>
    </row>
    <row r="12015">
      <c r="A12015" s="10" t="s">
        <v>13454</v>
      </c>
      <c r="B12015" s="7" t="str">
        <f>IFERROR(__xludf.DUMMYFUNCTION("SPLIT(A12015,"" "")"),"Cc1cnc(CN(C)C2CCC(N(C)c3ccc4ccc(CF)nc4c3)CC2)c(C)c1C")</f>
        <v>Cc1cnc(CN(C)C2CCC(N(C)c3ccc4ccc(CF)nc4c3)CC2)c(C)c1C</v>
      </c>
      <c r="C12015" s="7">
        <f>IFERROR(__xludf.DUMMYFUNCTION("""COMPUTED_VALUE"""),7.7598104)</f>
        <v>7.7598104</v>
      </c>
      <c r="D12015" s="7">
        <f>IFERROR(__xludf.DUMMYFUNCTION("""COMPUTED_VALUE"""),0.318181818181818)</f>
        <v>0.3181818182</v>
      </c>
    </row>
    <row r="12016">
      <c r="A12016" s="10" t="s">
        <v>13455</v>
      </c>
      <c r="B12016" s="7" t="str">
        <f>IFERROR(__xludf.DUMMYFUNCTION("SPLIT(A12016,"" "")"),"COC(=O)C1CC(c2ccccn2)C(c2cc(CN(Cc3ccccn3)Cc3ccccn3)ccn2)N(C)C1c1ccccn1")</f>
        <v>COC(=O)C1CC(c2ccccn2)C(c2cc(CN(Cc3ccccn3)Cc3ccccn3)ccn2)N(C)C1c1ccccn1</v>
      </c>
      <c r="C12016" s="7">
        <f>IFERROR(__xludf.DUMMYFUNCTION("""COMPUTED_VALUE"""),7.7598057)</f>
        <v>7.7598057</v>
      </c>
      <c r="D12016" s="7">
        <f>IFERROR(__xludf.DUMMYFUNCTION("""COMPUTED_VALUE"""),0.344827586206896)</f>
        <v>0.3448275862</v>
      </c>
    </row>
    <row r="12017">
      <c r="A12017" s="10" t="s">
        <v>13456</v>
      </c>
      <c r="B12017" s="7" t="str">
        <f>IFERROR(__xludf.DUMMYFUNCTION("SPLIT(A12017,"" "")"),"Cc1nc(CN(Cc2ccccn2)Cc2cccc(F)n2)c(C)c(C)c1C")</f>
        <v>Cc1nc(CN(Cc2ccccn2)Cc2cccc(F)n2)c(C)c(C)c1C</v>
      </c>
      <c r="C12017" s="7">
        <f>IFERROR(__xludf.DUMMYFUNCTION("""COMPUTED_VALUE"""),7.7597966)</f>
        <v>7.7597966</v>
      </c>
      <c r="D12017" s="7">
        <f>IFERROR(__xludf.DUMMYFUNCTION("""COMPUTED_VALUE"""),0.48780487804878)</f>
        <v>0.487804878</v>
      </c>
    </row>
    <row r="12018">
      <c r="A12018" s="10" t="s">
        <v>13457</v>
      </c>
      <c r="B12018" s="7" t="str">
        <f>IFERROR(__xludf.DUMMYFUNCTION("SPLIT(A12018,"" "")"),"CC1=CCC(N(C)Cc2ccccn2)=CN1")</f>
        <v>CC1=CCC(N(C)Cc2ccccn2)=CN1</v>
      </c>
      <c r="C12018" s="7">
        <f>IFERROR(__xludf.DUMMYFUNCTION("""COMPUTED_VALUE"""),7.759795)</f>
        <v>7.759795</v>
      </c>
      <c r="D12018" s="7">
        <f>IFERROR(__xludf.DUMMYFUNCTION("""COMPUTED_VALUE"""),0.466666666666666)</f>
        <v>0.4666666667</v>
      </c>
    </row>
    <row r="12019">
      <c r="A12019" s="10" t="s">
        <v>13458</v>
      </c>
      <c r="B12019" s="7" t="str">
        <f>IFERROR(__xludf.DUMMYFUNCTION("SPLIT(A12019,"" "")"),"Cc1cccnc1CN(Cc1ccccn1)Cc1cccnc1C1OC=NC1(C)C")</f>
        <v>Cc1cccnc1CN(Cc1ccccn1)Cc1cccnc1C1OC=NC1(C)C</v>
      </c>
      <c r="C12019" s="7">
        <f>IFERROR(__xludf.DUMMYFUNCTION("""COMPUTED_VALUE"""),7.7597866)</f>
        <v>7.7597866</v>
      </c>
      <c r="D12019" s="7">
        <f>IFERROR(__xludf.DUMMYFUNCTION("""COMPUTED_VALUE"""),0.392156862745098)</f>
        <v>0.3921568627</v>
      </c>
    </row>
    <row r="12020">
      <c r="A12020" s="10" t="s">
        <v>13459</v>
      </c>
      <c r="B12020" s="7" t="str">
        <f>IFERROR(__xludf.DUMMYFUNCTION("SPLIT(A12020,"" "")"),"CC(C)N(Cc1ccccn1)c1cc(N(C)Cc2cccc(-c3ccc4c(c3)OCCOCCOCCOCCOCCO4)n2)c2cccnc2c1")</f>
        <v>CC(C)N(Cc1ccccn1)c1cc(N(C)Cc2cccc(-c3ccc4c(c3)OCCOCCOCCOCCOCCO4)n2)c2cccnc2c1</v>
      </c>
      <c r="C12020" s="7">
        <f>IFERROR(__xludf.DUMMYFUNCTION("""COMPUTED_VALUE"""),7.759782)</f>
        <v>7.759782</v>
      </c>
      <c r="D12020" s="7">
        <f>IFERROR(__xludf.DUMMYFUNCTION("""COMPUTED_VALUE"""),0.354430379746835)</f>
        <v>0.3544303797</v>
      </c>
    </row>
    <row r="12021">
      <c r="A12021" s="10" t="s">
        <v>13460</v>
      </c>
      <c r="B12021" s="7" t="str">
        <f>IFERROR(__xludf.DUMMYFUNCTION("SPLIT(A12021,"" "")"),"COC(=O)C1CC(c2ccccn2)C(c2ccccn2)N(C)C1c1cc(CN(Cc2ccccn2)Cc2ccccn2)ccn1")</f>
        <v>COC(=O)C1CC(c2ccccn2)C(c2ccccn2)N(C)C1c1cc(CN(Cc2ccccn2)Cc2ccccn2)ccn1</v>
      </c>
      <c r="C12021" s="7">
        <f>IFERROR(__xludf.DUMMYFUNCTION("""COMPUTED_VALUE"""),7.759781)</f>
        <v>7.759781</v>
      </c>
      <c r="D12021" s="7">
        <f>IFERROR(__xludf.DUMMYFUNCTION("""COMPUTED_VALUE"""),0.344827586206896)</f>
        <v>0.3448275862</v>
      </c>
    </row>
    <row r="12022">
      <c r="A12022" s="10" t="s">
        <v>13461</v>
      </c>
      <c r="B12022" s="7" t="str">
        <f>IFERROR(__xludf.DUMMYFUNCTION("SPLIT(A12022,"" "")"),"Cc1ccnc(CN(C)C)c1C")</f>
        <v>Cc1ccnc(CN(C)C)c1C</v>
      </c>
      <c r="C12022" s="7">
        <f>IFERROR(__xludf.DUMMYFUNCTION("""COMPUTED_VALUE"""),7.75978)</f>
        <v>7.75978</v>
      </c>
      <c r="D12022" s="7">
        <f>IFERROR(__xludf.DUMMYFUNCTION("""COMPUTED_VALUE"""),0.307692307692307)</f>
        <v>0.3076923077</v>
      </c>
    </row>
    <row r="12023">
      <c r="A12023" s="10" t="s">
        <v>13462</v>
      </c>
      <c r="B12023" s="7" t="str">
        <f>IFERROR(__xludf.DUMMYFUNCTION("SPLIT(A12023,"" "")"),"CC(C)c1cc(CN(Cc2ccccn2)C2CCC(N(C)c3ccc4nccc(CF)c4c3)CC2)ccn1")</f>
        <v>CC(C)c1cc(CN(Cc2ccccn2)C2CCC(N(C)c3ccc4nccc(CF)c4c3)CC2)ccn1</v>
      </c>
      <c r="C12023" s="7">
        <f>IFERROR(__xludf.DUMMYFUNCTION("""COMPUTED_VALUE"""),7.7597733)</f>
        <v>7.7597733</v>
      </c>
      <c r="D12023" s="7">
        <f>IFERROR(__xludf.DUMMYFUNCTION("""COMPUTED_VALUE"""),0.314285714285714)</f>
        <v>0.3142857143</v>
      </c>
    </row>
    <row r="12024">
      <c r="A12024" s="10" t="s">
        <v>13463</v>
      </c>
      <c r="B12024" s="7" t="str">
        <f>IFERROR(__xludf.DUMMYFUNCTION("SPLIT(A12024,"" "")"),"COC(=O)C1C(c2ccccn2)CC(c2ccccn2)N(C)C1c1ncccc1CN(Cc1ccccn1)Cc1ccccn1")</f>
        <v>COC(=O)C1C(c2ccccn2)CC(c2ccccn2)N(C)C1c1ncccc1CN(Cc1ccccn1)Cc1ccccn1</v>
      </c>
      <c r="C12024" s="7">
        <f>IFERROR(__xludf.DUMMYFUNCTION("""COMPUTED_VALUE"""),7.7597704)</f>
        <v>7.7597704</v>
      </c>
      <c r="D12024" s="7">
        <f>IFERROR(__xludf.DUMMYFUNCTION("""COMPUTED_VALUE"""),0.344827586206896)</f>
        <v>0.3448275862</v>
      </c>
    </row>
    <row r="12025">
      <c r="A12025" s="10" t="s">
        <v>13464</v>
      </c>
      <c r="B12025" s="7" t="str">
        <f>IFERROR(__xludf.DUMMYFUNCTION("SPLIT(A12025,"" "")"),"CCOC(=O)c1ncccc1CN(Cc1ccccn1)Cc1ncccc1C(C)(C)C")</f>
        <v>CCOC(=O)c1ncccc1CN(Cc1ccccn1)Cc1ncccc1C(C)(C)C</v>
      </c>
      <c r="C12025" s="7">
        <f>IFERROR(__xludf.DUMMYFUNCTION("""COMPUTED_VALUE"""),7.7597685)</f>
        <v>7.7597685</v>
      </c>
      <c r="D12025" s="7">
        <f>IFERROR(__xludf.DUMMYFUNCTION("""COMPUTED_VALUE"""),0.392156862745098)</f>
        <v>0.3921568627</v>
      </c>
    </row>
    <row r="12026">
      <c r="A12026" s="10" t="s">
        <v>13465</v>
      </c>
      <c r="B12026" s="7" t="str">
        <f>IFERROR(__xludf.DUMMYFUNCTION("SPLIT(A12026,"" "")"),"Cc1cnc(CN(C)Cc2ccc(N)cn2)c(C)c1")</f>
        <v>Cc1cnc(CN(C)Cc2ccc(N)cn2)c(C)c1</v>
      </c>
      <c r="C12026" s="7">
        <f>IFERROR(__xludf.DUMMYFUNCTION("""COMPUTED_VALUE"""),7.7597637)</f>
        <v>7.7597637</v>
      </c>
      <c r="D12026" s="7">
        <f>IFERROR(__xludf.DUMMYFUNCTION("""COMPUTED_VALUE"""),0.48780487804878)</f>
        <v>0.487804878</v>
      </c>
    </row>
    <row r="12027">
      <c r="A12027" s="10" t="s">
        <v>13466</v>
      </c>
      <c r="B12027" s="7" t="str">
        <f>IFERROR(__xludf.DUMMYFUNCTION("SPLIT(A12027,"" "")"),"C1=CNC(SCc2ccccn2)C(NCc2ccccn2)=C1")</f>
        <v>C1=CNC(SCc2ccccn2)C(NCc2ccccn2)=C1</v>
      </c>
      <c r="C12027" s="7">
        <f>IFERROR(__xludf.DUMMYFUNCTION("""COMPUTED_VALUE"""),7.759755)</f>
        <v>7.759755</v>
      </c>
      <c r="D12027" s="7">
        <f>IFERROR(__xludf.DUMMYFUNCTION("""COMPUTED_VALUE"""),0.386363636363636)</f>
        <v>0.3863636364</v>
      </c>
    </row>
    <row r="12028">
      <c r="A12028" s="10" t="s">
        <v>13467</v>
      </c>
      <c r="B12028" s="7" t="str">
        <f>IFERROR(__xludf.DUMMYFUNCTION("SPLIT(A12028,"" "")"),"Cc1ccc(C)c(C)n1")</f>
        <v>Cc1ccc(C)c(C)n1</v>
      </c>
      <c r="C12028" s="7">
        <f>IFERROR(__xludf.DUMMYFUNCTION("""COMPUTED_VALUE"""),7.759739)</f>
        <v>7.759739</v>
      </c>
      <c r="D12028" s="7">
        <f>IFERROR(__xludf.DUMMYFUNCTION("""COMPUTED_VALUE"""),0.28125)</f>
        <v>0.28125</v>
      </c>
    </row>
    <row r="12029">
      <c r="A12029" s="10" t="s">
        <v>13468</v>
      </c>
      <c r="B12029" s="7" t="str">
        <f>IFERROR(__xludf.DUMMYFUNCTION("SPLIT(A12029,"" "")"),"CC(C)Nc1ncccc1C(C)(C)c1ccccn1")</f>
        <v>CC(C)Nc1ncccc1C(C)(C)c1ccccn1</v>
      </c>
      <c r="C12029" s="7">
        <f>IFERROR(__xludf.DUMMYFUNCTION("""COMPUTED_VALUE"""),7.75973)</f>
        <v>7.75973</v>
      </c>
      <c r="D12029" s="7">
        <f>IFERROR(__xludf.DUMMYFUNCTION("""COMPUTED_VALUE"""),0.361702127659574)</f>
        <v>0.3617021277</v>
      </c>
    </row>
    <row r="12030">
      <c r="A12030" s="10" t="s">
        <v>13469</v>
      </c>
      <c r="B12030" s="7" t="str">
        <f>IFERROR(__xludf.DUMMYFUNCTION("SPLIT(A12030,"" "")"),"CCOC(=O)c1ncccc1CN(Cc1ccccn1)Cc1ccccn1")</f>
        <v>CCOC(=O)c1ncccc1CN(Cc1ccccn1)Cc1ccccn1</v>
      </c>
      <c r="C12030" s="7">
        <f>IFERROR(__xludf.DUMMYFUNCTION("""COMPUTED_VALUE"""),7.7597165)</f>
        <v>7.7597165</v>
      </c>
      <c r="D12030" s="7">
        <f>IFERROR(__xludf.DUMMYFUNCTION("""COMPUTED_VALUE"""),0.5)</f>
        <v>0.5</v>
      </c>
    </row>
    <row r="12031">
      <c r="A12031" s="10" t="s">
        <v>13470</v>
      </c>
      <c r="B12031" s="7" t="str">
        <f>IFERROR(__xludf.DUMMYFUNCTION("SPLIT(A12031,"" "")"),"Cc1cc(CN(C)C2CCC(N(C)c3ccc4ncccc4c3)CC2)ccc1NCc1ccccn1")</f>
        <v>Cc1cc(CN(C)C2CCC(N(C)c3ccc4ncccc4c3)CC2)ccc1NCc1ccccn1</v>
      </c>
      <c r="C12031" s="7">
        <f>IFERROR(__xludf.DUMMYFUNCTION("""COMPUTED_VALUE"""),7.759716)</f>
        <v>7.759716</v>
      </c>
      <c r="D12031" s="7">
        <f>IFERROR(__xludf.DUMMYFUNCTION("""COMPUTED_VALUE"""),0.333333333333333)</f>
        <v>0.3333333333</v>
      </c>
    </row>
    <row r="12032">
      <c r="A12032" s="10" t="s">
        <v>13471</v>
      </c>
      <c r="B12032" s="7" t="str">
        <f>IFERROR(__xludf.DUMMYFUNCTION("SPLIT(A12032,"" "")"),"CC(C)N(Cc1ccccn1)C1CCC(N(C)Cc2ncccc2-c2cccc3ncccc23)CC1")</f>
        <v>CC(C)N(Cc1ccccn1)C1CCC(N(C)Cc2ncccc2-c2cccc3ncccc23)CC1</v>
      </c>
      <c r="C12032" s="7">
        <f>IFERROR(__xludf.DUMMYFUNCTION("""COMPUTED_VALUE"""),7.759715)</f>
        <v>7.759715</v>
      </c>
      <c r="D12032" s="7">
        <f>IFERROR(__xludf.DUMMYFUNCTION("""COMPUTED_VALUE"""),0.389830508474576)</f>
        <v>0.3898305085</v>
      </c>
    </row>
    <row r="12033">
      <c r="A12033" s="10" t="s">
        <v>13472</v>
      </c>
      <c r="B12033" s="7" t="str">
        <f>IFERROR(__xludf.DUMMYFUNCTION("SPLIT(A12033,"" "")"),"CNC1C=C(N(C)Cc2cccc(C)n2)C=CN1")</f>
        <v>CNC1C=C(N(C)Cc2cccc(C)n2)C=CN1</v>
      </c>
      <c r="C12033" s="7">
        <f>IFERROR(__xludf.DUMMYFUNCTION("""COMPUTED_VALUE"""),7.7597117)</f>
        <v>7.7597117</v>
      </c>
      <c r="D12033" s="7">
        <f>IFERROR(__xludf.DUMMYFUNCTION("""COMPUTED_VALUE"""),0.444444444444444)</f>
        <v>0.4444444444</v>
      </c>
    </row>
    <row r="12034">
      <c r="A12034" s="10" t="s">
        <v>13473</v>
      </c>
      <c r="B12034" s="7" t="str">
        <f>IFERROR(__xludf.DUMMYFUNCTION("SPLIT(A12034,"" "")"),"CN(C)Cc1nccc2cc(N(C)C3CCCCC3N(Cc3ccc(C(C)(C)C)nc3)Cc3ccccn3)ccc12")</f>
        <v>CN(C)Cc1nccc2cc(N(C)C3CCCCC3N(Cc3ccc(C(C)(C)C)nc3)Cc3ccccn3)ccc12</v>
      </c>
      <c r="C12034" s="7">
        <f>IFERROR(__xludf.DUMMYFUNCTION("""COMPUTED_VALUE"""),7.7597103)</f>
        <v>7.7597103</v>
      </c>
      <c r="D12034" s="7">
        <f>IFERROR(__xludf.DUMMYFUNCTION("""COMPUTED_VALUE"""),0.376811594202898)</f>
        <v>0.3768115942</v>
      </c>
    </row>
    <row r="12035">
      <c r="A12035" s="10" t="s">
        <v>13474</v>
      </c>
      <c r="B12035" s="7" t="str">
        <f>IFERROR(__xludf.DUMMYFUNCTION("SPLIT(A12035,"" "")"),"Cc1cccc(CN(C)Cc2cccc(C(C)(C)c3ccccn3)n2)c1C")</f>
        <v>Cc1cccc(CN(C)Cc2cccc(C(C)(C)c3ccccn3)n2)c1C</v>
      </c>
      <c r="C12035" s="7">
        <f>IFERROR(__xludf.DUMMYFUNCTION("""COMPUTED_VALUE"""),7.7597094)</f>
        <v>7.7597094</v>
      </c>
      <c r="D12035" s="7">
        <f>IFERROR(__xludf.DUMMYFUNCTION("""COMPUTED_VALUE"""),0.450980392156862)</f>
        <v>0.4509803922</v>
      </c>
    </row>
    <row r="12036">
      <c r="A12036" s="10" t="s">
        <v>13475</v>
      </c>
      <c r="B12036" s="7" t="str">
        <f>IFERROR(__xludf.DUMMYFUNCTION("SPLIT(A12036,"" "")"),"CN(CC1=CCC=C(N(C)Cc2ccccn2)N1)Cc1ccccc1")</f>
        <v>CN(CC1=CCC=C(N(C)Cc2ccccn2)N1)Cc1ccccc1</v>
      </c>
      <c r="C12036" s="7">
        <f>IFERROR(__xludf.DUMMYFUNCTION("""COMPUTED_VALUE"""),7.759708)</f>
        <v>7.759708</v>
      </c>
      <c r="D12036" s="7">
        <f>IFERROR(__xludf.DUMMYFUNCTION("""COMPUTED_VALUE"""),0.418181818181818)</f>
        <v>0.4181818182</v>
      </c>
    </row>
    <row r="12037">
      <c r="A12037" s="10" t="s">
        <v>13476</v>
      </c>
      <c r="B12037" s="7" t="str">
        <f>IFERROR(__xludf.DUMMYFUNCTION("SPLIT(A12037,"" "")"),"CN(C)c1cccc(CN(Cc2ccccn2)C(C)(C)c2ccccn2)c1")</f>
        <v>CN(C)c1cccc(CN(Cc2ccccn2)C(C)(C)c2ccccn2)c1</v>
      </c>
      <c r="C12037" s="7">
        <f>IFERROR(__xludf.DUMMYFUNCTION("""COMPUTED_VALUE"""),7.7597036)</f>
        <v>7.7597036</v>
      </c>
      <c r="D12037" s="7">
        <f>IFERROR(__xludf.DUMMYFUNCTION("""COMPUTED_VALUE"""),0.42)</f>
        <v>0.42</v>
      </c>
    </row>
    <row r="12038">
      <c r="A12038" s="10" t="s">
        <v>13477</v>
      </c>
      <c r="B12038" s="7" t="str">
        <f>IFERROR(__xludf.DUMMYFUNCTION("SPLIT(A12038,"" "")"),"CC(C)NCc1ncccc1N(C)C1CCCC(N(C)c2cccc3ncccc23)C1")</f>
        <v>CC(C)NCc1ncccc1N(C)C1CCCC(N(C)c2cccc3ncccc23)C1</v>
      </c>
      <c r="C12038" s="7">
        <f>IFERROR(__xludf.DUMMYFUNCTION("""COMPUTED_VALUE"""),7.759694)</f>
        <v>7.759694</v>
      </c>
      <c r="D12038" s="7">
        <f>IFERROR(__xludf.DUMMYFUNCTION("""COMPUTED_VALUE"""),0.338983050847457)</f>
        <v>0.3389830508</v>
      </c>
    </row>
    <row r="12039">
      <c r="A12039" s="10" t="s">
        <v>13478</v>
      </c>
      <c r="B12039" s="7" t="str">
        <f>IFERROR(__xludf.DUMMYFUNCTION("SPLIT(A12039,"" "")"),"CN(c1ccc2ccc(CF)nc2c1)C1CCCCC1N(Cc1ccccn1)C1=CCC=CN1")</f>
        <v>CN(c1ccc2ccc(CF)nc2c1)C1CCCCC1N(Cc1ccccn1)C1=CCC=CN1</v>
      </c>
      <c r="C12039" s="7">
        <f>IFERROR(__xludf.DUMMYFUNCTION("""COMPUTED_VALUE"""),7.759694)</f>
        <v>7.759694</v>
      </c>
      <c r="D12039" s="7">
        <f>IFERROR(__xludf.DUMMYFUNCTION("""COMPUTED_VALUE"""),0.4)</f>
        <v>0.4</v>
      </c>
    </row>
    <row r="12040">
      <c r="A12040" s="10" t="s">
        <v>13479</v>
      </c>
      <c r="B12040" s="7" t="str">
        <f>IFERROR(__xludf.DUMMYFUNCTION("SPLIT(A12040,"" "")"),"CC1=CC(C)C2(C(C)C1)C(c1ccc(CN(Cc3ccccn3)Cc3ccccn3)cn1)C(c1ccc(CN(Cc3ccccn3)Cc3ccccn3)cn1)C=CC21C(C)C(C)C(C)=CC12C(C)=C(C)C(c1cccc(CN(Cc3ccccn3)Cc3ccccn3)n1)C(c1cc(CN(Cc3ccccn3)Cc3ccccn3)ccn1)C21CC(C)=C(C)CC1C")</f>
        <v>CC1=CC(C)C2(C(C)C1)C(c1ccc(CN(Cc3ccccn3)Cc3ccccn3)cn1)C(c1ccc(CN(Cc3ccccn3)Cc3ccccn3)cn1)C=CC21C(C)C(C)C(C)=CC12C(C)=C(C)C(c1cccc(CN(Cc3ccccn3)Cc3ccccn3)n1)C(c1cc(CN(Cc3ccccn3)Cc3ccccn3)ccn1)C21CC(C)=C(C)CC1C</v>
      </c>
      <c r="C12040" s="7">
        <f>IFERROR(__xludf.DUMMYFUNCTION("""COMPUTED_VALUE"""),7.7596893)</f>
        <v>7.7596893</v>
      </c>
      <c r="D12040" s="7">
        <f>IFERROR(__xludf.DUMMYFUNCTION("""COMPUTED_VALUE"""),0.24074074074074)</f>
        <v>0.2407407407</v>
      </c>
    </row>
    <row r="12041">
      <c r="A12041" s="10" t="s">
        <v>13480</v>
      </c>
      <c r="B12041" s="7" t="str">
        <f>IFERROR(__xludf.DUMMYFUNCTION("SPLIT(A12041,"" "")"),"Cc1cc(CN(C)C2CCCCC2N(C)c2cccc3nc(CF)ccc23)nc(C)c1C")</f>
        <v>Cc1cc(CN(C)C2CCCCC2N(C)c2cccc3nc(CF)ccc23)nc(C)c1C</v>
      </c>
      <c r="C12041" s="7">
        <f>IFERROR(__xludf.DUMMYFUNCTION("""COMPUTED_VALUE"""),7.7596893)</f>
        <v>7.7596893</v>
      </c>
      <c r="D12041" s="7">
        <f>IFERROR(__xludf.DUMMYFUNCTION("""COMPUTED_VALUE"""),0.491803278688524)</f>
        <v>0.4918032787</v>
      </c>
    </row>
    <row r="12042">
      <c r="A12042" s="10" t="s">
        <v>13481</v>
      </c>
      <c r="B12042" s="7" t="str">
        <f>IFERROR(__xludf.DUMMYFUNCTION("SPLIT(A12042,"" "")"),"Cc1cc(C)c(CN(C)CC2=CCC=C(N(C)C(C)C)N2)nc1C")</f>
        <v>Cc1cc(C)c(CN(C)CC2=CCC=C(N(C)C(C)C)N2)nc1C</v>
      </c>
      <c r="C12042" s="7">
        <f>IFERROR(__xludf.DUMMYFUNCTION("""COMPUTED_VALUE"""),7.7596846)</f>
        <v>7.7596846</v>
      </c>
      <c r="D12042" s="7">
        <f>IFERROR(__xludf.DUMMYFUNCTION("""COMPUTED_VALUE"""),0.214285714285714)</f>
        <v>0.2142857143</v>
      </c>
    </row>
    <row r="12043">
      <c r="A12043" s="10" t="s">
        <v>13482</v>
      </c>
      <c r="B12043" s="7" t="str">
        <f>IFERROR(__xludf.DUMMYFUNCTION("SPLIT(A12043,"" "")"),"CCN(Cc1ccccn1)C1=C(CN(Cc2ccccn2)Cc2ncc(C)c(C)c2C)NC=CC1")</f>
        <v>CCN(Cc1ccccn1)C1=C(CN(Cc2ccccn2)Cc2ncc(C)c(C)c2C)NC=CC1</v>
      </c>
      <c r="C12043" s="7">
        <f>IFERROR(__xludf.DUMMYFUNCTION("""COMPUTED_VALUE"""),7.759681)</f>
        <v>7.759681</v>
      </c>
      <c r="D12043" s="7">
        <f>IFERROR(__xludf.DUMMYFUNCTION("""COMPUTED_VALUE"""),0.419354838709677)</f>
        <v>0.4193548387</v>
      </c>
    </row>
    <row r="12044">
      <c r="A12044" s="10" t="s">
        <v>13483</v>
      </c>
      <c r="B12044" s="7" t="str">
        <f>IFERROR(__xludf.DUMMYFUNCTION("SPLIT(A12044,"" "")"),"CNC1CC(NCc2ncc(C)c(C)c2C)CC(N(Cc2nc(C)c(C)c(C)c2C)Cc2nc(C)c(C)c(C)c2C)C1N(Cc1nc(C)c(C)c(C)c1C)Cc1nc(C)c(C)c(C)c1C")</f>
        <v>CNC1CC(NCc2ncc(C)c(C)c2C)CC(N(Cc2nc(C)c(C)c(C)c2C)Cc2nc(C)c(C)c(C)c2C)C1N(Cc1nc(C)c(C)c(C)c1C)Cc1nc(C)c(C)c(C)c1C</v>
      </c>
      <c r="C12044" s="7">
        <f>IFERROR(__xludf.DUMMYFUNCTION("""COMPUTED_VALUE"""),7.759681)</f>
        <v>7.759681</v>
      </c>
      <c r="D12044" s="7">
        <f>IFERROR(__xludf.DUMMYFUNCTION("""COMPUTED_VALUE"""),0.205882352941176)</f>
        <v>0.2058823529</v>
      </c>
    </row>
    <row r="12045">
      <c r="A12045" s="10" t="s">
        <v>13484</v>
      </c>
      <c r="B12045" s="7" t="str">
        <f>IFERROR(__xludf.DUMMYFUNCTION("SPLIT(A12045,"" "")"),"COC(=O)C(=O)C(C)C1(C)N=COC1c1cccnc1CN(Cc1ccccn1)Cc1ccccn1")</f>
        <v>COC(=O)C(=O)C(C)C1(C)N=COC1c1cccnc1CN(Cc1ccccn1)Cc1ccccn1</v>
      </c>
      <c r="C12045" s="7">
        <f>IFERROR(__xludf.DUMMYFUNCTION("""COMPUTED_VALUE"""),7.7596774)</f>
        <v>7.7596774</v>
      </c>
      <c r="D12045" s="7">
        <f>IFERROR(__xludf.DUMMYFUNCTION("""COMPUTED_VALUE"""),0.350877192982456)</f>
        <v>0.350877193</v>
      </c>
    </row>
    <row r="12046">
      <c r="A12046" s="10" t="s">
        <v>13485</v>
      </c>
      <c r="B12046" s="7" t="str">
        <f>IFERROR(__xludf.DUMMYFUNCTION("SPLIT(A12046,"" "")"),"Cc1ccnc(CN(C)C2=C(CN(C)Cc3ccccn3)NC=CC2)c1")</f>
        <v>Cc1ccnc(CN(C)C2=C(CN(C)Cc3ccccn3)NC=CC2)c1</v>
      </c>
      <c r="C12046" s="7">
        <f>IFERROR(__xludf.DUMMYFUNCTION("""COMPUTED_VALUE"""),7.759664)</f>
        <v>7.759664</v>
      </c>
      <c r="D12046" s="7">
        <f>IFERROR(__xludf.DUMMYFUNCTION("""COMPUTED_VALUE"""),0.4)</f>
        <v>0.4</v>
      </c>
    </row>
    <row r="12047">
      <c r="A12047" s="10" t="s">
        <v>13486</v>
      </c>
      <c r="B12047" s="7" t="str">
        <f>IFERROR(__xludf.DUMMYFUNCTION("SPLIT(A12047,"" "")"),"CCOC(=O)c1cccc(CN(Cc2ccccn2)Cc2ncccc2C(C)(C)C)n1")</f>
        <v>CCOC(=O)c1cccc(CN(Cc2ccccn2)Cc2ncccc2C(C)(C)C)n1</v>
      </c>
      <c r="C12047" s="7">
        <f>IFERROR(__xludf.DUMMYFUNCTION("""COMPUTED_VALUE"""),7.759661)</f>
        <v>7.759661</v>
      </c>
      <c r="D12047" s="7">
        <f>IFERROR(__xludf.DUMMYFUNCTION("""COMPUTED_VALUE"""),0.4)</f>
        <v>0.4</v>
      </c>
    </row>
    <row r="12048">
      <c r="A12048" s="10" t="s">
        <v>13487</v>
      </c>
      <c r="B12048" s="7" t="str">
        <f>IFERROR(__xludf.DUMMYFUNCTION("SPLIT(A12048,"" "")"),"CN(C)c1cccc(F)c1")</f>
        <v>CN(C)c1cccc(F)c1</v>
      </c>
      <c r="C12048" s="7">
        <f>IFERROR(__xludf.DUMMYFUNCTION("""COMPUTED_VALUE"""),7.7596574)</f>
        <v>7.7596574</v>
      </c>
      <c r="D12048" s="7">
        <f>IFERROR(__xludf.DUMMYFUNCTION("""COMPUTED_VALUE"""),0.25)</f>
        <v>0.25</v>
      </c>
    </row>
    <row r="12049">
      <c r="A12049" s="10" t="s">
        <v>13488</v>
      </c>
      <c r="B12049" s="7" t="str">
        <f>IFERROR(__xludf.DUMMYFUNCTION("SPLIT(A12049,"" "")"),"Cc1cnc(CN(C)Cc2cc(C(C)(C)C)ccn2)c(C)c1")</f>
        <v>Cc1cnc(CN(C)Cc2cc(C(C)(C)C)ccn2)c(C)c1</v>
      </c>
      <c r="C12049" s="7">
        <f>IFERROR(__xludf.DUMMYFUNCTION("""COMPUTED_VALUE"""),7.7596517)</f>
        <v>7.7596517</v>
      </c>
      <c r="D12049" s="7">
        <f>IFERROR(__xludf.DUMMYFUNCTION("""COMPUTED_VALUE"""),0.361702127659574)</f>
        <v>0.3617021277</v>
      </c>
    </row>
    <row r="12050">
      <c r="A12050" s="10" t="s">
        <v>13489</v>
      </c>
      <c r="B12050" s="7" t="str">
        <f>IFERROR(__xludf.DUMMYFUNCTION("SPLIT(A12050,"" "")"),"Cc1cccnc1CN(Cc1ccccn1)C1CCCC(N(C)c2ccc3nc(CN(C)C)ccc3c2)C1")</f>
        <v>Cc1cccnc1CN(Cc1ccccn1)C1CCCC(N(C)c2ccc3nc(CN(C)C)ccc3c2)C1</v>
      </c>
      <c r="C12050" s="7">
        <f>IFERROR(__xludf.DUMMYFUNCTION("""COMPUTED_VALUE"""),7.759649)</f>
        <v>7.759649</v>
      </c>
      <c r="D12050" s="7">
        <f>IFERROR(__xludf.DUMMYFUNCTION("""COMPUTED_VALUE"""),0.369230769230769)</f>
        <v>0.3692307692</v>
      </c>
    </row>
    <row r="12051">
      <c r="A12051" s="10" t="s">
        <v>13490</v>
      </c>
      <c r="B12051" s="7" t="str">
        <f>IFERROR(__xludf.DUMMYFUNCTION("SPLIT(A12051,"" "")"),"Cc1ccc(C)c(NCc2ccccn2)c1")</f>
        <v>Cc1ccc(C)c(NCc2ccccn2)c1</v>
      </c>
      <c r="C12051" s="7">
        <f>IFERROR(__xludf.DUMMYFUNCTION("""COMPUTED_VALUE"""),7.759648)</f>
        <v>7.759648</v>
      </c>
      <c r="D12051" s="7">
        <f>IFERROR(__xludf.DUMMYFUNCTION("""COMPUTED_VALUE"""),0.459459459459459)</f>
        <v>0.4594594595</v>
      </c>
    </row>
    <row r="12052">
      <c r="A12052" s="10" t="s">
        <v>13491</v>
      </c>
      <c r="B12052" s="7" t="str">
        <f>IFERROR(__xludf.DUMMYFUNCTION("SPLIT(A12052,"" "")"),"Cc1ccc(C)c(CN(C)C)n1")</f>
        <v>Cc1ccc(C)c(CN(C)C)n1</v>
      </c>
      <c r="C12052" s="7">
        <f>IFERROR(__xludf.DUMMYFUNCTION("""COMPUTED_VALUE"""),7.7596464)</f>
        <v>7.7596464</v>
      </c>
      <c r="D12052" s="7">
        <f>IFERROR(__xludf.DUMMYFUNCTION("""COMPUTED_VALUE"""),0.371428571428571)</f>
        <v>0.3714285714</v>
      </c>
    </row>
    <row r="12053">
      <c r="A12053" s="10" t="s">
        <v>13492</v>
      </c>
      <c r="B12053" s="7" t="str">
        <f>IFERROR(__xludf.DUMMYFUNCTION("SPLIT(A12053,"" "")"),"CC(C)C(C)N(C)Cc1cncc(-c2cccc(N)c2Cl)c1")</f>
        <v>CC(C)C(C)N(C)Cc1cncc(-c2cccc(N)c2Cl)c1</v>
      </c>
      <c r="C12053" s="7">
        <f>IFERROR(__xludf.DUMMYFUNCTION("""COMPUTED_VALUE"""),7.759644)</f>
        <v>7.759644</v>
      </c>
      <c r="D12053" s="7">
        <f>IFERROR(__xludf.DUMMYFUNCTION("""COMPUTED_VALUE"""),0.220338983050847)</f>
        <v>0.2203389831</v>
      </c>
    </row>
    <row r="12054">
      <c r="A12054" s="10" t="s">
        <v>13493</v>
      </c>
      <c r="B12054" s="7" t="str">
        <f>IFERROR(__xludf.DUMMYFUNCTION("SPLIT(A12054,"" "")"),"CN(CCN(Cc1ccccn1)C1(C)CCC1)c1cccc2ncccc12")</f>
        <v>CN(CCN(Cc1ccccn1)C1(C)CCC1)c1cccc2ncccc12</v>
      </c>
      <c r="C12054" s="7">
        <f>IFERROR(__xludf.DUMMYFUNCTION("""COMPUTED_VALUE"""),7.759641)</f>
        <v>7.759641</v>
      </c>
      <c r="D12054" s="7">
        <f>IFERROR(__xludf.DUMMYFUNCTION("""COMPUTED_VALUE"""),0.4)</f>
        <v>0.4</v>
      </c>
    </row>
    <row r="12055">
      <c r="A12055" s="10" t="s">
        <v>13494</v>
      </c>
      <c r="B12055" s="7" t="str">
        <f>IFERROR(__xludf.DUMMYFUNCTION("SPLIT(A12055,"" "")"),"Cc1cnc(CN(C)C2=CNC(CN(Cc3ccccn3)C(C)C)=CC2)c(C)c1")</f>
        <v>Cc1cnc(CN(C)C2=CNC(CN(Cc3ccccn3)C(C)C)=CC2)c(C)c1</v>
      </c>
      <c r="C12055" s="7">
        <f>IFERROR(__xludf.DUMMYFUNCTION("""COMPUTED_VALUE"""),7.7596393)</f>
        <v>7.7596393</v>
      </c>
      <c r="D12055" s="7">
        <f>IFERROR(__xludf.DUMMYFUNCTION("""COMPUTED_VALUE"""),0.406779661016949)</f>
        <v>0.406779661</v>
      </c>
    </row>
    <row r="12056">
      <c r="A12056" s="10" t="s">
        <v>13495</v>
      </c>
      <c r="B12056" s="7" t="str">
        <f>IFERROR(__xludf.DUMMYFUNCTION("SPLIT(A12056,"" "")"),"CC(C)NC1=C(N(C)Cc2ccccn2)CC=CN1")</f>
        <v>CC(C)NC1=C(N(C)Cc2ccccn2)CC=CN1</v>
      </c>
      <c r="C12056" s="7">
        <f>IFERROR(__xludf.DUMMYFUNCTION("""COMPUTED_VALUE"""),7.759639)</f>
        <v>7.759639</v>
      </c>
      <c r="D12056" s="7">
        <f>IFERROR(__xludf.DUMMYFUNCTION("""COMPUTED_VALUE"""),0.425925925925925)</f>
        <v>0.4259259259</v>
      </c>
    </row>
    <row r="12057">
      <c r="A12057" s="10" t="s">
        <v>13496</v>
      </c>
      <c r="B12057" s="7" t="str">
        <f>IFERROR(__xludf.DUMMYFUNCTION("SPLIT(A12057,"" "")"),"Cc1cc(CNCC2CCCN2Cc2ccccn2)cnc1-c1cccc(N=Cc2ccccn2)c1")</f>
        <v>Cc1cc(CNCC2CCCN2Cc2ccccn2)cnc1-c1cccc(N=Cc2ccccn2)c1</v>
      </c>
      <c r="C12057" s="7">
        <f>IFERROR(__xludf.DUMMYFUNCTION("""COMPUTED_VALUE"""),7.759633)</f>
        <v>7.759633</v>
      </c>
      <c r="D12057" s="7">
        <f>IFERROR(__xludf.DUMMYFUNCTION("""COMPUTED_VALUE"""),0.384615384615384)</f>
        <v>0.3846153846</v>
      </c>
    </row>
    <row r="12058">
      <c r="A12058" s="10" t="s">
        <v>13497</v>
      </c>
      <c r="B12058" s="7" t="str">
        <f>IFERROR(__xludf.DUMMYFUNCTION("SPLIT(A12058,"" "")"),"CNCc1ccc(N(C)C)cn1")</f>
        <v>CNCc1ccc(N(C)C)cn1</v>
      </c>
      <c r="C12058" s="7">
        <f>IFERROR(__xludf.DUMMYFUNCTION("""COMPUTED_VALUE"""),7.7596245)</f>
        <v>7.7596245</v>
      </c>
      <c r="D12058" s="7">
        <f>IFERROR(__xludf.DUMMYFUNCTION("""COMPUTED_VALUE"""),0.342105263157894)</f>
        <v>0.3421052632</v>
      </c>
    </row>
    <row r="12059">
      <c r="A12059" s="10" t="s">
        <v>13498</v>
      </c>
      <c r="B12059" s="7" t="str">
        <f>IFERROR(__xludf.DUMMYFUNCTION("SPLIT(A12059,"" "")"),"CCN(Cc1ccccn1)Cc1ncccc1C(C)(C)c1ncccc1CN(Cc1ncccc1C)Cc1ncccc1C(C)(C)C")</f>
        <v>CCN(Cc1ccccn1)Cc1ncccc1C(C)(C)c1ncccc1CN(Cc1ncccc1C)Cc1ncccc1C(C)(C)C</v>
      </c>
      <c r="C12059" s="7">
        <f>IFERROR(__xludf.DUMMYFUNCTION("""COMPUTED_VALUE"""),7.759623)</f>
        <v>7.759623</v>
      </c>
      <c r="D12059" s="7">
        <f>IFERROR(__xludf.DUMMYFUNCTION("""COMPUTED_VALUE"""),0.384615384615384)</f>
        <v>0.3846153846</v>
      </c>
    </row>
    <row r="12060">
      <c r="A12060" s="10" t="s">
        <v>13499</v>
      </c>
      <c r="B12060" s="7" t="str">
        <f>IFERROR(__xludf.DUMMYFUNCTION("SPLIT(A12060,"" "")"),"C=CCN(C)CC1=CCC=C(N(C)Cc2nc(C)c(C)c(C)c2C)N1")</f>
        <v>C=CCN(C)CC1=CCC=C(N(C)Cc2nc(C)c(C)c(C)c2C)N1</v>
      </c>
      <c r="C12060" s="7">
        <f>IFERROR(__xludf.DUMMYFUNCTION("""COMPUTED_VALUE"""),7.7596145)</f>
        <v>7.7596145</v>
      </c>
      <c r="D12060" s="7">
        <f>IFERROR(__xludf.DUMMYFUNCTION("""COMPUTED_VALUE"""),0.186440677966101)</f>
        <v>0.186440678</v>
      </c>
    </row>
    <row r="12061">
      <c r="A12061" s="10" t="s">
        <v>13500</v>
      </c>
      <c r="B12061" s="7" t="str">
        <f>IFERROR(__xludf.DUMMYFUNCTION("SPLIT(A12061,"" "")"),"Cc1cncc(CN(Cc2ccccn2)C2CCCC(N(C)c3cccc4ncccc34)C2)c1C")</f>
        <v>Cc1cncc(CN(Cc2ccccn2)C2CCCC(N(C)c3cccc4ncccc34)C2)c1C</v>
      </c>
      <c r="C12061" s="7">
        <f>IFERROR(__xludf.DUMMYFUNCTION("""COMPUTED_VALUE"""),7.7596054)</f>
        <v>7.7596054</v>
      </c>
      <c r="D12061" s="7">
        <f>IFERROR(__xludf.DUMMYFUNCTION("""COMPUTED_VALUE"""),0.348484848484848)</f>
        <v>0.3484848485</v>
      </c>
    </row>
    <row r="12062">
      <c r="A12062" s="10" t="s">
        <v>13501</v>
      </c>
      <c r="B12062" s="7" t="str">
        <f>IFERROR(__xludf.DUMMYFUNCTION("SPLIT(A12062,"" "")"),"CC(C)C1(C)COC(c2cc(CN(Cc3ccccn3)Cc3cc(C(C)(C)C)ccn3)ccn2)=N1")</f>
        <v>CC(C)C1(C)COC(c2cc(CN(Cc3ccccn3)Cc3cc(C(C)(C)C)ccn3)ccn2)=N1</v>
      </c>
      <c r="C12062" s="7">
        <f>IFERROR(__xludf.DUMMYFUNCTION("""COMPUTED_VALUE"""),7.7596)</f>
        <v>7.7596</v>
      </c>
      <c r="D12062" s="7">
        <f>IFERROR(__xludf.DUMMYFUNCTION("""COMPUTED_VALUE"""),0.344827586206896)</f>
        <v>0.3448275862</v>
      </c>
    </row>
    <row r="12063">
      <c r="A12063" s="10" t="s">
        <v>13502</v>
      </c>
      <c r="B12063" s="7" t="str">
        <f>IFERROR(__xludf.DUMMYFUNCTION("SPLIT(A12063,"" "")"),"COC(=O)C1CC(c2ccccn2)C(c2ncccc2CN(Cc2ccccn2)Cc2ccccn2)N(C)C1c1ccccn1")</f>
        <v>COC(=O)C1CC(c2ccccn2)C(c2ncccc2CN(Cc2ccccn2)Cc2ccccn2)N(C)C1c1ccccn1</v>
      </c>
      <c r="C12063" s="7">
        <f>IFERROR(__xludf.DUMMYFUNCTION("""COMPUTED_VALUE"""),7.759598)</f>
        <v>7.759598</v>
      </c>
      <c r="D12063" s="7">
        <f>IFERROR(__xludf.DUMMYFUNCTION("""COMPUTED_VALUE"""),0.344827586206896)</f>
        <v>0.3448275862</v>
      </c>
    </row>
    <row r="12064">
      <c r="A12064" s="10" t="s">
        <v>13503</v>
      </c>
      <c r="B12064" s="7" t="str">
        <f>IFERROR(__xludf.DUMMYFUNCTION("SPLIT(A12064,"" "")"),"CC1=C(C)C(C)(C)NC(NC(C)c2ccccn2)=C1")</f>
        <v>CC1=C(C)C(C)(C)NC(NC(C)c2ccccn2)=C1</v>
      </c>
      <c r="C12064" s="7">
        <f>IFERROR(__xludf.DUMMYFUNCTION("""COMPUTED_VALUE"""),7.7595844)</f>
        <v>7.7595844</v>
      </c>
      <c r="D12064" s="7">
        <f>IFERROR(__xludf.DUMMYFUNCTION("""COMPUTED_VALUE"""),0.274509803921568)</f>
        <v>0.2745098039</v>
      </c>
    </row>
    <row r="12065">
      <c r="A12065" s="10" t="s">
        <v>13504</v>
      </c>
      <c r="B12065" s="7" t="str">
        <f>IFERROR(__xludf.DUMMYFUNCTION("SPLIT(A12065,"" "")"),"Cc1cc(C)c(CN(C)C2CCC(N(C)c3ccc4c(CF)ccnc4c3)CC2)cn1")</f>
        <v>Cc1cc(C)c(CN(C)C2CCC(N(C)c3ccc4c(CF)ccnc4c3)CC2)cn1</v>
      </c>
      <c r="C12065" s="7">
        <f>IFERROR(__xludf.DUMMYFUNCTION("""COMPUTED_VALUE"""),7.759579)</f>
        <v>7.759579</v>
      </c>
      <c r="D12065" s="7">
        <f>IFERROR(__xludf.DUMMYFUNCTION("""COMPUTED_VALUE"""),0.242424242424242)</f>
        <v>0.2424242424</v>
      </c>
    </row>
    <row r="12066">
      <c r="A12066" s="10" t="s">
        <v>13505</v>
      </c>
      <c r="B12066" s="7" t="str">
        <f>IFERROR(__xludf.DUMMYFUNCTION("SPLIT(A12066,"" "")"),"Cc1cnc(C)c(CN(C)C2CCC(N(C)c3ccc4ccc(CN(C)C)nc4c3)CC2)c1")</f>
        <v>Cc1cnc(C)c(CN(C)C2CCC(N(C)c3ccc4ccc(CN(C)C)nc4c3)CC2)c1</v>
      </c>
      <c r="C12066" s="7">
        <f>IFERROR(__xludf.DUMMYFUNCTION("""COMPUTED_VALUE"""),7.7595787)</f>
        <v>7.7595787</v>
      </c>
      <c r="D12066" s="7">
        <f>IFERROR(__xludf.DUMMYFUNCTION("""COMPUTED_VALUE"""),0.333333333333333)</f>
        <v>0.3333333333</v>
      </c>
    </row>
    <row r="12067">
      <c r="A12067" s="10" t="s">
        <v>13506</v>
      </c>
      <c r="B12067" s="7" t="str">
        <f>IFERROR(__xludf.DUMMYFUNCTION("SPLIT(A12067,"" "")"),"Cc1cc(C)c(CN(C)CC2=CC(N(C)Cc3nc(C)c(C)cc3C)C=CN2)nc1C")</f>
        <v>Cc1cc(C)c(CN(C)CC2=CC(N(C)Cc3nc(C)c(C)cc3C)C=CN2)nc1C</v>
      </c>
      <c r="C12067" s="7">
        <f>IFERROR(__xludf.DUMMYFUNCTION("""COMPUTED_VALUE"""),7.7595754)</f>
        <v>7.7595754</v>
      </c>
      <c r="D12067" s="7">
        <f>IFERROR(__xludf.DUMMYFUNCTION("""COMPUTED_VALUE"""),0.339285714285714)</f>
        <v>0.3392857143</v>
      </c>
    </row>
    <row r="12068">
      <c r="A12068" s="10" t="s">
        <v>13507</v>
      </c>
      <c r="B12068" s="7" t="str">
        <f>IFERROR(__xludf.DUMMYFUNCTION("SPLIT(A12068,"" "")"),"Cc1cccc(CN(Cc2ccccn2)Cc2cc(CN(C)Cc3cc(C)c(C)c(C)n3)ccn2)n1")</f>
        <v>Cc1cccc(CN(Cc2ccccn2)Cc2cc(CN(C)Cc3cc(C)c(C)c(C)n3)ccn2)n1</v>
      </c>
      <c r="C12068" s="7">
        <f>IFERROR(__xludf.DUMMYFUNCTION("""COMPUTED_VALUE"""),7.7595654)</f>
        <v>7.7595654</v>
      </c>
      <c r="D12068" s="7">
        <f>IFERROR(__xludf.DUMMYFUNCTION("""COMPUTED_VALUE"""),0.454545454545454)</f>
        <v>0.4545454545</v>
      </c>
    </row>
    <row r="12069">
      <c r="A12069" s="10" t="s">
        <v>13508</v>
      </c>
      <c r="B12069" s="7" t="str">
        <f>IFERROR(__xludf.DUMMYFUNCTION("SPLIT(A12069,"" "")"),"Cc1cnc(CN(C)C2CCC(N(C)c3cccc4ncccc34)CC2)c(C)c1C")</f>
        <v>Cc1cnc(CN(C)C2CCC(N(C)c3cccc4ncccc34)CC2)c(C)c1C</v>
      </c>
      <c r="C12069" s="7">
        <f>IFERROR(__xludf.DUMMYFUNCTION("""COMPUTED_VALUE"""),7.759557)</f>
        <v>7.759557</v>
      </c>
      <c r="D12069" s="7">
        <f>IFERROR(__xludf.DUMMYFUNCTION("""COMPUTED_VALUE"""),0.311475409836065)</f>
        <v>0.3114754098</v>
      </c>
    </row>
    <row r="12070">
      <c r="A12070" s="10" t="s">
        <v>13509</v>
      </c>
      <c r="B12070" s="7" t="str">
        <f>IFERROR(__xludf.DUMMYFUNCTION("SPLIT(A12070,"" "")"),"CC(C)C1=CCC(N(C)CC2=CCC(N(C)Cc3ccccn3)=CN2)=CN1")</f>
        <v>CC(C)C1=CCC(N(C)CC2=CCC(N(C)Cc3ccccn3)=CN2)=CN1</v>
      </c>
      <c r="C12070" s="7">
        <f>IFERROR(__xludf.DUMMYFUNCTION("""COMPUTED_VALUE"""),7.759553)</f>
        <v>7.759553</v>
      </c>
      <c r="D12070" s="7">
        <f>IFERROR(__xludf.DUMMYFUNCTION("""COMPUTED_VALUE"""),0.403508771929824)</f>
        <v>0.4035087719</v>
      </c>
    </row>
    <row r="12071">
      <c r="A12071" s="10" t="s">
        <v>13510</v>
      </c>
      <c r="B12071" s="7" t="str">
        <f>IFERROR(__xludf.DUMMYFUNCTION("SPLIT(A12071,"" "")"),"COC(=O)C1CC(c2ccccn2)C(c2ccccn2)N(C)C1c1ncccc1CN(Cc1ccccn1)Cc1ccccn1")</f>
        <v>COC(=O)C1CC(c2ccccn2)C(c2ccccn2)N(C)C1c1ncccc1CN(Cc1ccccn1)Cc1ccccn1</v>
      </c>
      <c r="C12071" s="7">
        <f>IFERROR(__xludf.DUMMYFUNCTION("""COMPUTED_VALUE"""),7.759553)</f>
        <v>7.759553</v>
      </c>
      <c r="D12071" s="7">
        <f>IFERROR(__xludf.DUMMYFUNCTION("""COMPUTED_VALUE"""),0.344827586206896)</f>
        <v>0.3448275862</v>
      </c>
    </row>
    <row r="12072">
      <c r="A12072" s="10" t="s">
        <v>13511</v>
      </c>
      <c r="B12072" s="7" t="str">
        <f>IFERROR(__xludf.DUMMYFUNCTION("SPLIT(A12072,"" "")"),"CC1C=CC(C)C(C)(c2cc(CN(Cc3ccccn3)Cc3cccc(-c4cccc(N(C)C)c4)n3)ccn2)C1(C)C")</f>
        <v>CC1C=CC(C)C(C)(c2cc(CN(Cc3ccccn3)Cc3cccc(-c4cccc(N(C)C)c4)n3)ccn2)C1(C)C</v>
      </c>
      <c r="C12072" s="7">
        <f>IFERROR(__xludf.DUMMYFUNCTION("""COMPUTED_VALUE"""),7.759542)</f>
        <v>7.759542</v>
      </c>
      <c r="D12072" s="7">
        <f>IFERROR(__xludf.DUMMYFUNCTION("""COMPUTED_VALUE"""),0.463768115942029)</f>
        <v>0.4637681159</v>
      </c>
    </row>
    <row r="12073">
      <c r="A12073" s="10" t="s">
        <v>13512</v>
      </c>
      <c r="B12073" s="7" t="str">
        <f>IFERROR(__xludf.DUMMYFUNCTION("SPLIT(A12073,"" "")"),"Cc1cnc(CN(C)Cc2ccc(N(C)C(C)C)nc2)c(C)c1")</f>
        <v>Cc1cnc(CN(C)Cc2ccc(N(C)C(C)C)nc2)c(C)c1</v>
      </c>
      <c r="C12073" s="7">
        <f>IFERROR(__xludf.DUMMYFUNCTION("""COMPUTED_VALUE"""),7.759536)</f>
        <v>7.759536</v>
      </c>
      <c r="D12073" s="7">
        <f>IFERROR(__xludf.DUMMYFUNCTION("""COMPUTED_VALUE"""),0.354166666666666)</f>
        <v>0.3541666667</v>
      </c>
    </row>
    <row r="12074">
      <c r="A12074" s="10" t="s">
        <v>13513</v>
      </c>
      <c r="B12074" s="7" t="str">
        <f>IFERROR(__xludf.DUMMYFUNCTION("SPLIT(A12074,"" "")"),"Cc1cc(C)c(C)c(CN(C)Cc2cc(C(C)(C)C)ccn2)c1C")</f>
        <v>Cc1cc(C)c(C)c(CN(C)Cc2cc(C(C)(C)C)ccn2)c1C</v>
      </c>
      <c r="C12074" s="7">
        <f>IFERROR(__xludf.DUMMYFUNCTION("""COMPUTED_VALUE"""),7.7595315)</f>
        <v>7.7595315</v>
      </c>
      <c r="D12074" s="7">
        <f>IFERROR(__xludf.DUMMYFUNCTION("""COMPUTED_VALUE"""),0.313725490196078)</f>
        <v>0.3137254902</v>
      </c>
    </row>
    <row r="12075">
      <c r="A12075" s="10" t="s">
        <v>13514</v>
      </c>
      <c r="B12075" s="7" t="str">
        <f>IFERROR(__xludf.DUMMYFUNCTION("SPLIT(A12075,"" "")"),"COC(C)c1cccc(CN(Cc2ccccn2)Cc2cccc(N(C)C)n2)n1")</f>
        <v>COC(C)c1cccc(CN(Cc2ccccn2)Cc2cccc(N(C)C)n2)n1</v>
      </c>
      <c r="C12075" s="7">
        <f>IFERROR(__xludf.DUMMYFUNCTION("""COMPUTED_VALUE"""),7.7595296)</f>
        <v>7.7595296</v>
      </c>
      <c r="D12075" s="7">
        <f>IFERROR(__xludf.DUMMYFUNCTION("""COMPUTED_VALUE"""),0.465116279069767)</f>
        <v>0.4651162791</v>
      </c>
    </row>
    <row r="12076">
      <c r="A12076" s="10" t="s">
        <v>13515</v>
      </c>
      <c r="B12076" s="7" t="str">
        <f>IFERROR(__xludf.DUMMYFUNCTION("SPLIT(A12076,"" "")"),"Cc1cccc(CN(C)CC2=CCC(N(C)C3=CCC=CN3)=CN2)n1")</f>
        <v>Cc1cccc(CN(C)CC2=CCC(N(C)C3=CCC=CN3)=CN2)n1</v>
      </c>
      <c r="C12076" s="7">
        <f>IFERROR(__xludf.DUMMYFUNCTION("""COMPUTED_VALUE"""),7.759524)</f>
        <v>7.759524</v>
      </c>
      <c r="D12076" s="7">
        <f>IFERROR(__xludf.DUMMYFUNCTION("""COMPUTED_VALUE"""),0.423076923076923)</f>
        <v>0.4230769231</v>
      </c>
    </row>
    <row r="12077">
      <c r="A12077" s="10" t="s">
        <v>13516</v>
      </c>
      <c r="B12077" s="7" t="str">
        <f>IFERROR(__xludf.DUMMYFUNCTION("SPLIT(A12077,"" "")"),"Cc1cccnc1C(C)c1ccccn1")</f>
        <v>Cc1cccnc1C(C)c1ccccn1</v>
      </c>
      <c r="C12077" s="7">
        <f>IFERROR(__xludf.DUMMYFUNCTION("""COMPUTED_VALUE"""),7.759522)</f>
        <v>7.759522</v>
      </c>
      <c r="D12077" s="7">
        <f>IFERROR(__xludf.DUMMYFUNCTION("""COMPUTED_VALUE"""),0.35)</f>
        <v>0.35</v>
      </c>
    </row>
    <row r="12078">
      <c r="A12078" s="10" t="s">
        <v>13517</v>
      </c>
      <c r="B12078" s="7" t="str">
        <f>IFERROR(__xludf.DUMMYFUNCTION("SPLIT(A12078,"" "")"),"CC1=C(C)CC2(CCC(c3cc(CN(Cc4ccccn4)Cc4ccccn4)ccn3)=C(c3ncccc3CN(Cc3ccccn3)Cc3ccccn3)C23CC(C)=C(C)C(C)C3)C(C)C1")</f>
        <v>CC1=C(C)CC2(CCC(c3cc(CN(Cc4ccccn4)Cc4ccccn4)ccn3)=C(c3ncccc3CN(Cc3ccccn3)Cc3ccccn3)C23CC(C)=C(C)C(C)C3)C(C)C1</v>
      </c>
      <c r="C12078" s="7">
        <f>IFERROR(__xludf.DUMMYFUNCTION("""COMPUTED_VALUE"""),7.7595177)</f>
        <v>7.7595177</v>
      </c>
      <c r="D12078" s="7">
        <f>IFERROR(__xludf.DUMMYFUNCTION("""COMPUTED_VALUE"""),0.273972602739726)</f>
        <v>0.2739726027</v>
      </c>
    </row>
    <row r="12079">
      <c r="A12079" s="10" t="s">
        <v>13518</v>
      </c>
      <c r="B12079" s="7" t="str">
        <f>IFERROR(__xludf.DUMMYFUNCTION("SPLIT(A12079,"" "")"),"Cc1cncc(CN(C)Cc2ncc(C)c(C)c2C)c1")</f>
        <v>Cc1cncc(CN(C)Cc2ncc(C)c(C)c2C)c1</v>
      </c>
      <c r="C12079" s="7">
        <f>IFERROR(__xludf.DUMMYFUNCTION("""COMPUTED_VALUE"""),7.7595096)</f>
        <v>7.7595096</v>
      </c>
      <c r="D12079" s="7">
        <f>IFERROR(__xludf.DUMMYFUNCTION("""COMPUTED_VALUE"""),0.311111111111111)</f>
        <v>0.3111111111</v>
      </c>
    </row>
    <row r="12080">
      <c r="A12080" s="10" t="s">
        <v>13519</v>
      </c>
      <c r="B12080" s="7" t="str">
        <f>IFERROR(__xludf.DUMMYFUNCTION("SPLIT(A12080,"" "")"),"Cc1ccnc2ccc(N(C)CCN(Cc3ccccn3)CC(C)C(C)C)cc12")</f>
        <v>Cc1ccnc2ccc(N(C)CCN(Cc3ccccn3)CC(C)C(C)C)cc12</v>
      </c>
      <c r="C12080" s="7">
        <f>IFERROR(__xludf.DUMMYFUNCTION("""COMPUTED_VALUE"""),7.7595024)</f>
        <v>7.7595024</v>
      </c>
      <c r="D12080" s="7">
        <f>IFERROR(__xludf.DUMMYFUNCTION("""COMPUTED_VALUE"""),0.418181818181818)</f>
        <v>0.4181818182</v>
      </c>
    </row>
    <row r="12081">
      <c r="A12081" s="10" t="s">
        <v>13520</v>
      </c>
      <c r="B12081" s="7" t="str">
        <f>IFERROR(__xludf.DUMMYFUNCTION("SPLIT(A12081,"" "")"),"Cc1ccc(CN(C)C2=C(CN(C)Cc3ccccn3)NC=CC2)nc1")</f>
        <v>Cc1ccc(CN(C)C2=C(CN(C)Cc3ccccn3)NC=CC2)nc1</v>
      </c>
      <c r="C12081" s="7">
        <f>IFERROR(__xludf.DUMMYFUNCTION("""COMPUTED_VALUE"""),7.7595005)</f>
        <v>7.7595005</v>
      </c>
      <c r="D12081" s="7">
        <f>IFERROR(__xludf.DUMMYFUNCTION("""COMPUTED_VALUE"""),0.431372549019607)</f>
        <v>0.431372549</v>
      </c>
    </row>
    <row r="12082">
      <c r="A12082" s="10" t="s">
        <v>13521</v>
      </c>
      <c r="B12082" s="7" t="str">
        <f>IFERROR(__xludf.DUMMYFUNCTION("SPLIT(A12082,"" "")"),"COC(C)c1ccc(CN(Cc2ccccn2)Cc2nc(C)c(C)c(C)c2C)c(CN(Cc2ccccn2)Cc2ccccn2)n1")</f>
        <v>COC(C)c1ccc(CN(Cc2ccccn2)Cc2nc(C)c(C)c(C)c2C)c(CN(Cc2ccccn2)Cc2ccccn2)n1</v>
      </c>
      <c r="C12082" s="7">
        <f>IFERROR(__xludf.DUMMYFUNCTION("""COMPUTED_VALUE"""),7.75949)</f>
        <v>7.75949</v>
      </c>
      <c r="D12082" s="7">
        <f>IFERROR(__xludf.DUMMYFUNCTION("""COMPUTED_VALUE"""),0.4)</f>
        <v>0.4</v>
      </c>
    </row>
    <row r="12083">
      <c r="A12083" s="10" t="s">
        <v>13522</v>
      </c>
      <c r="B12083" s="7" t="str">
        <f>IFERROR(__xludf.DUMMYFUNCTION("SPLIT(A12083,"" "")"),"CN(CC1=CCC(N(C)Cc2ccccn2)=CN1)Cc1ccccn1")</f>
        <v>CN(CC1=CCC(N(C)Cc2ccccn2)=CN1)Cc1ccccn1</v>
      </c>
      <c r="C12083" s="7">
        <f>IFERROR(__xludf.DUMMYFUNCTION("""COMPUTED_VALUE"""),7.759487)</f>
        <v>7.759487</v>
      </c>
      <c r="D12083" s="7">
        <f>IFERROR(__xludf.DUMMYFUNCTION("""COMPUTED_VALUE"""),0.479166666666666)</f>
        <v>0.4791666667</v>
      </c>
    </row>
    <row r="12084">
      <c r="A12084" s="10" t="s">
        <v>13523</v>
      </c>
      <c r="B12084" s="7" t="str">
        <f>IFERROR(__xludf.DUMMYFUNCTION("SPLIT(A12084,"" "")"),"CC1N=COC1c1ncccc1CN(C)Cc1ccc(N)cn1")</f>
        <v>CC1N=COC1c1ncccc1CN(C)Cc1ccc(N)cn1</v>
      </c>
      <c r="C12084" s="7">
        <f>IFERROR(__xludf.DUMMYFUNCTION("""COMPUTED_VALUE"""),7.7594857)</f>
        <v>7.7594857</v>
      </c>
      <c r="D12084" s="7">
        <f>IFERROR(__xludf.DUMMYFUNCTION("""COMPUTED_VALUE"""),0.333333333333333)</f>
        <v>0.3333333333</v>
      </c>
    </row>
    <row r="12085">
      <c r="A12085" s="10" t="s">
        <v>13524</v>
      </c>
      <c r="B12085" s="7" t="str">
        <f>IFERROR(__xludf.DUMMYFUNCTION("SPLIT(A12085,"" "")"),"Cc1cncc(CN(C)C2CCC(N(C)Cc3ccccn3)CC2N(Cc2ncccc2C)c2ccc3ncccc3c2)c1")</f>
        <v>Cc1cncc(CN(C)C2CCC(N(C)Cc3ccccn3)CC2N(Cc2ncccc2C)c2ccc3ncccc3c2)c1</v>
      </c>
      <c r="C12085" s="7">
        <f>IFERROR(__xludf.DUMMYFUNCTION("""COMPUTED_VALUE"""),7.759484)</f>
        <v>7.759484</v>
      </c>
      <c r="D12085" s="7">
        <f>IFERROR(__xludf.DUMMYFUNCTION("""COMPUTED_VALUE"""),0.380281690140845)</f>
        <v>0.3802816901</v>
      </c>
    </row>
    <row r="12086">
      <c r="A12086" s="10" t="s">
        <v>13525</v>
      </c>
      <c r="B12086" s="7" t="str">
        <f>IFERROR(__xludf.DUMMYFUNCTION("SPLIT(A12086,"" "")"),"CN(c1ccc2ccc(CF)nc2c1)C1CCCCC1N(Cc1ccccn1)Cc1cccc(C(C)(C)c2ccccn2)n1")</f>
        <v>CN(c1ccc2ccc(CF)nc2c1)C1CCCCC1N(Cc1ccccn1)Cc1cccc(C(C)(C)c2ccccn2)n1</v>
      </c>
      <c r="C12086" s="7">
        <f>IFERROR(__xludf.DUMMYFUNCTION("""COMPUTED_VALUE"""),7.7594786)</f>
        <v>7.7594786</v>
      </c>
      <c r="D12086" s="7">
        <f>IFERROR(__xludf.DUMMYFUNCTION("""COMPUTED_VALUE"""),0.420289855072463)</f>
        <v>0.4202898551</v>
      </c>
    </row>
    <row r="12087">
      <c r="A12087" s="10" t="s">
        <v>13526</v>
      </c>
      <c r="B12087" s="7" t="str">
        <f>IFERROR(__xludf.DUMMYFUNCTION("SPLIT(A12087,"" "")"),"Cc1cnc(C)c(CN(Cc2ccccn2)C2CCCC(N(C)c3cccc4cc(CF)cnc34)C2)c1")</f>
        <v>Cc1cnc(C)c(CN(Cc2ccccn2)C2CCCC(N(C)c3cccc4cc(CF)cnc34)C2)c1</v>
      </c>
      <c r="C12087" s="7">
        <f>IFERROR(__xludf.DUMMYFUNCTION("""COMPUTED_VALUE"""),7.759472)</f>
        <v>7.759472</v>
      </c>
      <c r="D12087" s="7">
        <f>IFERROR(__xludf.DUMMYFUNCTION("""COMPUTED_VALUE"""),0.328767123287671)</f>
        <v>0.3287671233</v>
      </c>
    </row>
    <row r="12088">
      <c r="A12088" s="10" t="s">
        <v>13527</v>
      </c>
      <c r="B12088" s="7" t="str">
        <f>IFERROR(__xludf.DUMMYFUNCTION("SPLIT(A12088,"" "")"),"CNCc1nccc2cccc(N(C)C3CCC(N(Cc4ccccn4)Cc4ccon4)CC3)c12")</f>
        <v>CNCc1nccc2cccc(N(C)C3CCC(N(Cc4ccccn4)Cc4ccon4)CC3)c12</v>
      </c>
      <c r="C12088" s="7">
        <f>IFERROR(__xludf.DUMMYFUNCTION("""COMPUTED_VALUE"""),7.7594676)</f>
        <v>7.7594676</v>
      </c>
      <c r="D12088" s="7">
        <f>IFERROR(__xludf.DUMMYFUNCTION("""COMPUTED_VALUE"""),0.328358208955223)</f>
        <v>0.328358209</v>
      </c>
    </row>
    <row r="12089">
      <c r="A12089" s="10" t="s">
        <v>13528</v>
      </c>
      <c r="B12089" s="7" t="str">
        <f>IFERROR(__xludf.DUMMYFUNCTION("SPLIT(A12089,"" "")"),"CNCC1=CCC(N(Cc2ccccn2)Cc2ccccn2)=CN1")</f>
        <v>CNCC1=CCC(N(Cc2ccccn2)Cc2ccccn2)=CN1</v>
      </c>
      <c r="C12089" s="7">
        <f>IFERROR(__xludf.DUMMYFUNCTION("""COMPUTED_VALUE"""),7.759462)</f>
        <v>7.759462</v>
      </c>
      <c r="D12089" s="7">
        <f>IFERROR(__xludf.DUMMYFUNCTION("""COMPUTED_VALUE"""),0.415094339622641)</f>
        <v>0.4150943396</v>
      </c>
    </row>
    <row r="12090">
      <c r="A12090" s="10" t="s">
        <v>13529</v>
      </c>
      <c r="B12090" s="7" t="str">
        <f>IFERROR(__xludf.DUMMYFUNCTION("SPLIT(A12090,"" "")"),"Cc1cccnc1CN(C)C1CCC(N(C)Cc2ccccn2)CC1N(Cc1ncccc1C)c1ccc2nc(CF)ccc2c1")</f>
        <v>Cc1cccnc1CN(C)C1CCC(N(C)Cc2ccccn2)CC1N(Cc1ncccc1C)c1ccc2nc(CF)ccc2c1</v>
      </c>
      <c r="C12090" s="7">
        <f>IFERROR(__xludf.DUMMYFUNCTION("""COMPUTED_VALUE"""),7.759458)</f>
        <v>7.759458</v>
      </c>
      <c r="D12090" s="7">
        <f>IFERROR(__xludf.DUMMYFUNCTION("""COMPUTED_VALUE"""),0.402985074626865)</f>
        <v>0.4029850746</v>
      </c>
    </row>
    <row r="12091">
      <c r="A12091" s="10" t="s">
        <v>13530</v>
      </c>
      <c r="B12091" s="7" t="str">
        <f>IFERROR(__xludf.DUMMYFUNCTION("SPLIT(A12091,"" "")"),"CN1CCN(C)CCN(Cc2cnccc2-c2cc(N)cc3cccnc23)CC1")</f>
        <v>CN1CCN(C)CCN(Cc2cnccc2-c2cc(N)cc3cccnc23)CC1</v>
      </c>
      <c r="C12091" s="7">
        <f>IFERROR(__xludf.DUMMYFUNCTION("""COMPUTED_VALUE"""),7.759451)</f>
        <v>7.759451</v>
      </c>
      <c r="D12091" s="7">
        <f>IFERROR(__xludf.DUMMYFUNCTION("""COMPUTED_VALUE"""),0.388888888888888)</f>
        <v>0.3888888889</v>
      </c>
    </row>
    <row r="12092">
      <c r="A12092" s="10" t="s">
        <v>13531</v>
      </c>
      <c r="B12092" s="7" t="str">
        <f>IFERROR(__xludf.DUMMYFUNCTION("SPLIT(A12092,"" "")"),"Cc1ccc(CN(C)CC2=CNC=C(N(C)Cc3cncc(C)c3)C2)nc1")</f>
        <v>Cc1ccc(CN(C)CC2=CNC=C(N(C)Cc3cncc(C)c3)C2)nc1</v>
      </c>
      <c r="C12092" s="7">
        <f>IFERROR(__xludf.DUMMYFUNCTION("""COMPUTED_VALUE"""),7.759444)</f>
        <v>7.759444</v>
      </c>
      <c r="D12092" s="7">
        <f>IFERROR(__xludf.DUMMYFUNCTION("""COMPUTED_VALUE"""),0.423076923076923)</f>
        <v>0.4230769231</v>
      </c>
    </row>
    <row r="12093">
      <c r="A12093" s="10" t="s">
        <v>13532</v>
      </c>
      <c r="B12093" s="7" t="str">
        <f>IFERROR(__xludf.DUMMYFUNCTION("SPLIT(A12093,"" "")"),"Cc1cncc(CN(C)CC2=CNC=C(N(C)Cc3ccccn3)C2)c1")</f>
        <v>Cc1cncc(CN(C)CC2=CNC=C(N(C)Cc3ccccn3)C2)c1</v>
      </c>
      <c r="C12093" s="7">
        <f>IFERROR(__xludf.DUMMYFUNCTION("""COMPUTED_VALUE"""),7.759442)</f>
        <v>7.759442</v>
      </c>
      <c r="D12093" s="7">
        <f>IFERROR(__xludf.DUMMYFUNCTION("""COMPUTED_VALUE"""),0.379310344827586)</f>
        <v>0.3793103448</v>
      </c>
    </row>
    <row r="12094">
      <c r="A12094" s="10" t="s">
        <v>13533</v>
      </c>
      <c r="B12094" s="7" t="str">
        <f>IFERROR(__xludf.DUMMYFUNCTION("SPLIT(A12094,"" "")"),"CCN(Cc1ccccn1)C1=C(CN(Cc2ccccn2)Cc2cc(C)c(C)c(C)n2)NC=CC1")</f>
        <v>CCN(Cc1ccccn1)C1=C(CN(Cc2ccccn2)Cc2cc(C)c(C)c(C)n2)NC=CC1</v>
      </c>
      <c r="C12094" s="7">
        <f>IFERROR(__xludf.DUMMYFUNCTION("""COMPUTED_VALUE"""),7.759439)</f>
        <v>7.759439</v>
      </c>
      <c r="D12094" s="7">
        <f>IFERROR(__xludf.DUMMYFUNCTION("""COMPUTED_VALUE"""),0.412698412698412)</f>
        <v>0.4126984127</v>
      </c>
    </row>
    <row r="12095">
      <c r="A12095" s="10" t="s">
        <v>13534</v>
      </c>
      <c r="B12095" s="7" t="str">
        <f>IFERROR(__xludf.DUMMYFUNCTION("SPLIT(A12095,"" "")"),"CNC1C(NCc2cc(C)c(C)c(C)n2)CC(N(Cc2nc(C)c(C)c(C)c2C)Cc2nc(C)c(C)c(C)c2C)CC1N(Cc1nc(C)c(C)c(C)c1C)Cc1nc(C)c(C)c(C)c1C")</f>
        <v>CNC1C(NCc2cc(C)c(C)c(C)n2)CC(N(Cc2nc(C)c(C)c(C)c2C)Cc2nc(C)c(C)c(C)c2C)CC1N(Cc1nc(C)c(C)c(C)c1C)Cc1nc(C)c(C)c(C)c1C</v>
      </c>
      <c r="C12095" s="7">
        <f>IFERROR(__xludf.DUMMYFUNCTION("""COMPUTED_VALUE"""),7.759439)</f>
        <v>7.759439</v>
      </c>
      <c r="D12095" s="7">
        <f>IFERROR(__xludf.DUMMYFUNCTION("""COMPUTED_VALUE"""),0.191176470588235)</f>
        <v>0.1911764706</v>
      </c>
    </row>
    <row r="12096">
      <c r="A12096" s="10" t="s">
        <v>13535</v>
      </c>
      <c r="B12096" s="7" t="str">
        <f>IFERROR(__xludf.DUMMYFUNCTION("SPLIT(A12096,"" "")"),"Cc1nc(CN(C)C2CCCCC2N(C)c2ccc3ccc(CF)nc3c2)c(C)c(C)c1C")</f>
        <v>Cc1nc(CN(C)C2CCCCC2N(C)c2ccc3ccc(CF)nc3c2)c(C)c(C)c1C</v>
      </c>
      <c r="C12096" s="7">
        <f>IFERROR(__xludf.DUMMYFUNCTION("""COMPUTED_VALUE"""),7.759431)</f>
        <v>7.759431</v>
      </c>
      <c r="D12096" s="7">
        <f>IFERROR(__xludf.DUMMYFUNCTION("""COMPUTED_VALUE"""),0.45)</f>
        <v>0.45</v>
      </c>
    </row>
    <row r="12097">
      <c r="A12097" s="10" t="s">
        <v>13536</v>
      </c>
      <c r="B12097" s="7" t="str">
        <f>IFERROR(__xludf.DUMMYFUNCTION("SPLIT(A12097,"" "")"),"CNCC1=CCC(N(C)Cc2nccc(C)c2C)=CN1")</f>
        <v>CNCC1=CCC(N(C)Cc2nccc(C)c2C)=CN1</v>
      </c>
      <c r="C12097" s="7">
        <f>IFERROR(__xludf.DUMMYFUNCTION("""COMPUTED_VALUE"""),7.7594266)</f>
        <v>7.7594266</v>
      </c>
      <c r="D12097" s="7">
        <f>IFERROR(__xludf.DUMMYFUNCTION("""COMPUTED_VALUE"""),0.215384615384615)</f>
        <v>0.2153846154</v>
      </c>
    </row>
    <row r="12098">
      <c r="A12098" s="10" t="s">
        <v>13537</v>
      </c>
      <c r="B12098" s="7" t="str">
        <f>IFERROR(__xludf.DUMMYFUNCTION("SPLIT(A12098,"" "")"),"CC1=CC=C(SCc2ccccn2)NC1NCc1ccccn1")</f>
        <v>CC1=CC=C(SCc2ccccn2)NC1NCc1ccccn1</v>
      </c>
      <c r="C12098" s="7">
        <f>IFERROR(__xludf.DUMMYFUNCTION("""COMPUTED_VALUE"""),7.759418)</f>
        <v>7.759418</v>
      </c>
      <c r="D12098" s="7">
        <f>IFERROR(__xludf.DUMMYFUNCTION("""COMPUTED_VALUE"""),0.377777777777777)</f>
        <v>0.3777777778</v>
      </c>
    </row>
    <row r="12099">
      <c r="A12099" s="10" t="s">
        <v>13538</v>
      </c>
      <c r="B12099" s="7" t="str">
        <f>IFERROR(__xludf.DUMMYFUNCTION("SPLIT(A12099,"" "")"),"CNCC1=C(N(C)Cc2ncc(C)c(C)c2C)CC=CN1")</f>
        <v>CNCC1=C(N(C)Cc2ncc(C)c(C)c2C)CC=CN1</v>
      </c>
      <c r="C12099" s="7">
        <f>IFERROR(__xludf.DUMMYFUNCTION("""COMPUTED_VALUE"""),7.759414)</f>
        <v>7.759414</v>
      </c>
      <c r="D12099" s="7">
        <f>IFERROR(__xludf.DUMMYFUNCTION("""COMPUTED_VALUE"""),0.222222222222222)</f>
        <v>0.2222222222</v>
      </c>
    </row>
    <row r="12100">
      <c r="A12100" s="10" t="s">
        <v>13539</v>
      </c>
      <c r="B12100" s="7" t="str">
        <f>IFERROR(__xludf.DUMMYFUNCTION("SPLIT(A12100,"" "")"),"Cc1cccnc1CN(C)C1CCC(N(C)c2ccc3c(CN(C)C)ccnc3c2)CC1")</f>
        <v>Cc1cccnc1CN(C)C1CCC(N(C)c2ccc3c(CN(C)C)ccnc3c2)CC1</v>
      </c>
      <c r="C12100" s="7">
        <f>IFERROR(__xludf.DUMMYFUNCTION("""COMPUTED_VALUE"""),7.759414)</f>
        <v>7.759414</v>
      </c>
      <c r="D12100" s="7">
        <f>IFERROR(__xludf.DUMMYFUNCTION("""COMPUTED_VALUE"""),0.269841269841269)</f>
        <v>0.2698412698</v>
      </c>
    </row>
    <row r="12101">
      <c r="A12101" s="10" t="s">
        <v>13540</v>
      </c>
      <c r="B12101" s="7" t="str">
        <f>IFERROR(__xludf.DUMMYFUNCTION("SPLIT(A12101,"" "")"),"Cc1cccnc1CN(Cc1cccnc1C(C)(c1cccnc1)C(C)N)Cc1ncccc1C")</f>
        <v>Cc1cccnc1CN(Cc1cccnc1C(C)(c1cccnc1)C(C)N)Cc1ncccc1C</v>
      </c>
      <c r="C12101" s="7">
        <f>IFERROR(__xludf.DUMMYFUNCTION("""COMPUTED_VALUE"""),7.7594104)</f>
        <v>7.7594104</v>
      </c>
      <c r="D12101" s="7">
        <f>IFERROR(__xludf.DUMMYFUNCTION("""COMPUTED_VALUE"""),0.241935483870967)</f>
        <v>0.2419354839</v>
      </c>
    </row>
    <row r="12102">
      <c r="A12102" s="10" t="s">
        <v>13541</v>
      </c>
      <c r="B12102" s="7" t="str">
        <f>IFERROR(__xludf.DUMMYFUNCTION("SPLIT(A12102,"" "")"),"CNc1cccc(CN(C)C2CCCC(N(C)c3cccc4ncc(CF)cc34)C2)n1")</f>
        <v>CNc1cccc(CN(C)C2CCCC(N(C)c3cccc4ncc(CF)cc34)C2)n1</v>
      </c>
      <c r="C12102" s="7">
        <f>IFERROR(__xludf.DUMMYFUNCTION("""COMPUTED_VALUE"""),7.7594085)</f>
        <v>7.7594085</v>
      </c>
      <c r="D12102" s="7">
        <f>IFERROR(__xludf.DUMMYFUNCTION("""COMPUTED_VALUE"""),0.313432835820895)</f>
        <v>0.3134328358</v>
      </c>
    </row>
    <row r="12103">
      <c r="A12103" s="10" t="s">
        <v>13542</v>
      </c>
      <c r="B12103" s="7" t="str">
        <f>IFERROR(__xludf.DUMMYFUNCTION("SPLIT(A12103,"" "")"),"CC(N)C1=CCC(N(C)CC2=CCC(N(C)Cc3ccccn3)=CN2)=CN1")</f>
        <v>CC(N)C1=CCC(N(C)CC2=CCC(N(C)Cc3ccccn3)=CN2)=CN1</v>
      </c>
      <c r="C12103" s="7">
        <f>IFERROR(__xludf.DUMMYFUNCTION("""COMPUTED_VALUE"""),7.759397)</f>
        <v>7.759397</v>
      </c>
      <c r="D12103" s="7">
        <f>IFERROR(__xludf.DUMMYFUNCTION("""COMPUTED_VALUE"""),0.389830508474576)</f>
        <v>0.3898305085</v>
      </c>
    </row>
    <row r="12104">
      <c r="A12104" s="10" t="s">
        <v>13543</v>
      </c>
      <c r="B12104" s="7" t="str">
        <f>IFERROR(__xludf.DUMMYFUNCTION("SPLIT(A12104,"" "")"),"Cc1cc(C)c(CN(C)CCN(Cc2ccccn2)C(C)(C)c2cccnc2CN(Cc2nc(C)c(C)c(C)c2C)Cc2nc(C)c(C)c(C)c2C)cn1")</f>
        <v>Cc1cc(C)c(CN(C)CCN(Cc2ccccn2)C(C)(C)c2cccnc2CN(Cc2nc(C)c(C)c(C)c2C)Cc2nc(C)c(C)c(C)c2C)cn1</v>
      </c>
      <c r="C12104" s="7">
        <f>IFERROR(__xludf.DUMMYFUNCTION("""COMPUTED_VALUE"""),7.7593923)</f>
        <v>7.7593923</v>
      </c>
      <c r="D12104" s="7">
        <f>IFERROR(__xludf.DUMMYFUNCTION("""COMPUTED_VALUE"""),0.32051282051282)</f>
        <v>0.3205128205</v>
      </c>
    </row>
    <row r="12105">
      <c r="A12105" s="10" t="s">
        <v>13544</v>
      </c>
      <c r="B12105" s="7" t="str">
        <f>IFERROR(__xludf.DUMMYFUNCTION("SPLIT(A12105,"" "")"),"CC1=C(N(C)CC2=CCC=C(N(C)Cc3ccccn3)N2)C(C)CC(C)C1")</f>
        <v>CC1=C(N(C)CC2=CCC=C(N(C)Cc3ccccn3)N2)C(C)CC(C)C1</v>
      </c>
      <c r="C12105" s="7">
        <f>IFERROR(__xludf.DUMMYFUNCTION("""COMPUTED_VALUE"""),7.7593837)</f>
        <v>7.7593837</v>
      </c>
      <c r="D12105" s="7">
        <f>IFERROR(__xludf.DUMMYFUNCTION("""COMPUTED_VALUE"""),0.359375)</f>
        <v>0.359375</v>
      </c>
    </row>
    <row r="12106">
      <c r="A12106" s="10" t="s">
        <v>13545</v>
      </c>
      <c r="B12106" s="7" t="str">
        <f>IFERROR(__xludf.DUMMYFUNCTION("SPLIT(A12106,"" "")"),"Cc1cncc(CN(C)Cc2cc(N(C)C(C)(C)c3cccnc3)ccn2)c1")</f>
        <v>Cc1cncc(CN(C)Cc2cc(N(C)C(C)(C)c3cccnc3)ccn2)c1</v>
      </c>
      <c r="C12106" s="7">
        <f>IFERROR(__xludf.DUMMYFUNCTION("""COMPUTED_VALUE"""),7.759381)</f>
        <v>7.759381</v>
      </c>
      <c r="D12106" s="7">
        <f>IFERROR(__xludf.DUMMYFUNCTION("""COMPUTED_VALUE"""),0.275862068965517)</f>
        <v>0.275862069</v>
      </c>
    </row>
    <row r="12107">
      <c r="A12107" s="10" t="s">
        <v>13546</v>
      </c>
      <c r="B12107" s="7" t="str">
        <f>IFERROR(__xludf.DUMMYFUNCTION("SPLIT(A12107,"" "")"),"CC(C)NCCN(C)c1cccc(N(C)Cc2cccnn2)c1")</f>
        <v>CC(C)NCCN(C)c1cccc(N(C)Cc2cccnn2)c1</v>
      </c>
      <c r="C12107" s="7">
        <f>IFERROR(__xludf.DUMMYFUNCTION("""COMPUTED_VALUE"""),7.759379)</f>
        <v>7.759379</v>
      </c>
      <c r="D12107" s="7">
        <f>IFERROR(__xludf.DUMMYFUNCTION("""COMPUTED_VALUE"""),0.466666666666666)</f>
        <v>0.4666666667</v>
      </c>
    </row>
    <row r="12108">
      <c r="A12108" s="10" t="s">
        <v>13547</v>
      </c>
      <c r="B12108" s="7" t="str">
        <f>IFERROR(__xludf.DUMMYFUNCTION("SPLIT(A12108,"" "")"),"CC1C=Cc2cccnc2C1")</f>
        <v>CC1C=Cc2cccnc2C1</v>
      </c>
      <c r="C12108" s="7">
        <f>IFERROR(__xludf.DUMMYFUNCTION("""COMPUTED_VALUE"""),7.759372)</f>
        <v>7.759372</v>
      </c>
      <c r="D12108" s="7">
        <f>IFERROR(__xludf.DUMMYFUNCTION("""COMPUTED_VALUE"""),0.25531914893617)</f>
        <v>0.2553191489</v>
      </c>
    </row>
    <row r="12109">
      <c r="A12109" s="10" t="s">
        <v>13548</v>
      </c>
      <c r="B12109" s="7" t="str">
        <f>IFERROR(__xludf.DUMMYFUNCTION("SPLIT(A12109,"" "")"),"CNC1CC(NCc2cc(C)c(C)c(C)n2)CC(N(Cc2nc(C)c(C)c(C)c2C)Cc2nc(C)c(C)c(C)c2C)C1N(Cc1nc(C)c(C)c(C)c1C)Cc1nc(C)c(C)c(C)c1C")</f>
        <v>CNC1CC(NCc2cc(C)c(C)c(C)n2)CC(N(Cc2nc(C)c(C)c(C)c2C)Cc2nc(C)c(C)c(C)c2C)C1N(Cc1nc(C)c(C)c(C)c1C)Cc1nc(C)c(C)c(C)c1C</v>
      </c>
      <c r="C12109" s="7">
        <f>IFERROR(__xludf.DUMMYFUNCTION("""COMPUTED_VALUE"""),7.7593718)</f>
        <v>7.7593718</v>
      </c>
      <c r="D12109" s="7">
        <f>IFERROR(__xludf.DUMMYFUNCTION("""COMPUTED_VALUE"""),0.191176470588235)</f>
        <v>0.1911764706</v>
      </c>
    </row>
    <row r="12110">
      <c r="A12110" s="10" t="s">
        <v>13549</v>
      </c>
      <c r="B12110" s="7" t="str">
        <f>IFERROR(__xludf.DUMMYFUNCTION("SPLIT(A12110,"" "")"),"CC(c1ccccn1)(c1cccc(CN(Cc2ccccn2)Cc2ccccn2)n1)c1cccc(C2CCC2(C)C)n1")</f>
        <v>CC(c1ccccn1)(c1cccc(CN(Cc2ccccn2)Cc2ccccn2)n1)c1cccc(C2CCC2(C)C)n1</v>
      </c>
      <c r="C12110" s="7">
        <f>IFERROR(__xludf.DUMMYFUNCTION("""COMPUTED_VALUE"""),7.7593713)</f>
        <v>7.7593713</v>
      </c>
      <c r="D12110" s="7">
        <f>IFERROR(__xludf.DUMMYFUNCTION("""COMPUTED_VALUE"""),0.403225806451612)</f>
        <v>0.4032258065</v>
      </c>
    </row>
    <row r="12111">
      <c r="A12111" s="10" t="s">
        <v>13550</v>
      </c>
      <c r="B12111" s="7" t="str">
        <f>IFERROR(__xludf.DUMMYFUNCTION("SPLIT(A12111,"" "")"),"CN(CC1=CC(N(C)Cc2ccccn2)C=CN1)c1ccccc1F")</f>
        <v>CN(CC1=CC(N(C)Cc2ccccn2)C=CN1)c1ccccc1F</v>
      </c>
      <c r="C12111" s="7">
        <f>IFERROR(__xludf.DUMMYFUNCTION("""COMPUTED_VALUE"""),7.759366)</f>
        <v>7.759366</v>
      </c>
      <c r="D12111" s="7">
        <f>IFERROR(__xludf.DUMMYFUNCTION("""COMPUTED_VALUE"""),0.407407407407407)</f>
        <v>0.4074074074</v>
      </c>
    </row>
    <row r="12112">
      <c r="A12112" s="10" t="s">
        <v>13551</v>
      </c>
      <c r="B12112" s="7" t="str">
        <f>IFERROR(__xludf.DUMMYFUNCTION("SPLIT(A12112,"" "")"),"CNCc1cccc(CN(Cc2ccccn2)c2ccc(F)cc2)n1")</f>
        <v>CNCc1cccc(CN(Cc2ccccn2)c2ccc(F)cc2)n1</v>
      </c>
      <c r="C12112" s="7">
        <f>IFERROR(__xludf.DUMMYFUNCTION("""COMPUTED_VALUE"""),7.75936)</f>
        <v>7.75936</v>
      </c>
      <c r="D12112" s="7">
        <f>IFERROR(__xludf.DUMMYFUNCTION("""COMPUTED_VALUE"""),0.448979591836734)</f>
        <v>0.4489795918</v>
      </c>
    </row>
    <row r="12113">
      <c r="A12113" s="10" t="s">
        <v>13552</v>
      </c>
      <c r="B12113" s="7" t="str">
        <f>IFERROR(__xludf.DUMMYFUNCTION("SPLIT(A12113,"" "")"),"Cc1cncc(CN(C)Cc2nc(C)cc(C)c2C)c1")</f>
        <v>Cc1cncc(CN(C)Cc2nc(C)cc(C)c2C)c1</v>
      </c>
      <c r="C12113" s="7">
        <f>IFERROR(__xludf.DUMMYFUNCTION("""COMPUTED_VALUE"""),7.7593565)</f>
        <v>7.7593565</v>
      </c>
      <c r="D12113" s="7">
        <f>IFERROR(__xludf.DUMMYFUNCTION("""COMPUTED_VALUE"""),0.25)</f>
        <v>0.25</v>
      </c>
    </row>
    <row r="12114">
      <c r="A12114" s="10" t="s">
        <v>13553</v>
      </c>
      <c r="B12114" s="7" t="str">
        <f>IFERROR(__xludf.DUMMYFUNCTION("SPLIT(A12114,"" "")"),"Cc1cc(CN(C)C2CCC(N(C)c3ccc4nc(CF)ccc4c3)CC2)nc(C)c1C")</f>
        <v>Cc1cc(CN(C)C2CCC(N(C)c3ccc4nc(CF)ccc4c3)CC2)nc(C)c1C</v>
      </c>
      <c r="C12114" s="7">
        <f>IFERROR(__xludf.DUMMYFUNCTION("""COMPUTED_VALUE"""),7.7593513)</f>
        <v>7.7593513</v>
      </c>
      <c r="D12114" s="7">
        <f>IFERROR(__xludf.DUMMYFUNCTION("""COMPUTED_VALUE"""),0.323076923076923)</f>
        <v>0.3230769231</v>
      </c>
    </row>
    <row r="12115">
      <c r="A12115" s="10" t="s">
        <v>13554</v>
      </c>
      <c r="B12115" s="7" t="str">
        <f>IFERROR(__xludf.DUMMYFUNCTION("SPLIT(A12115,"" "")"),"Cc1cccc(CN(C)C2CCCC(N(C)c3cccc4ncc(CN(C)C)cc34)C2)n1")</f>
        <v>Cc1cccc(CN(C)C2CCCC(N(C)c3cccc4ncc(CN(C)C)cc34)C2)n1</v>
      </c>
      <c r="C12115" s="7">
        <f>IFERROR(__xludf.DUMMYFUNCTION("""COMPUTED_VALUE"""),7.7593503)</f>
        <v>7.7593503</v>
      </c>
      <c r="D12115" s="7">
        <f>IFERROR(__xludf.DUMMYFUNCTION("""COMPUTED_VALUE"""),0.440677966101694)</f>
        <v>0.4406779661</v>
      </c>
    </row>
    <row r="12116">
      <c r="A12116" s="10" t="s">
        <v>13555</v>
      </c>
      <c r="B12116" s="7" t="str">
        <f>IFERROR(__xludf.DUMMYFUNCTION("SPLIT(A12116,"" "")"),"CNCc1cccc(C2=NC(C)C(C)O2)n1")</f>
        <v>CNCc1cccc(C2=NC(C)C(C)O2)n1</v>
      </c>
      <c r="C12116" s="7">
        <f>IFERROR(__xludf.DUMMYFUNCTION("""COMPUTED_VALUE"""),7.7593427)</f>
        <v>7.7593427</v>
      </c>
      <c r="D12116" s="7">
        <f>IFERROR(__xludf.DUMMYFUNCTION("""COMPUTED_VALUE"""),0.276595744680851)</f>
        <v>0.2765957447</v>
      </c>
    </row>
    <row r="12117">
      <c r="A12117" s="10" t="s">
        <v>13556</v>
      </c>
      <c r="B12117" s="7" t="str">
        <f>IFERROR(__xludf.DUMMYFUNCTION("SPLIT(A12117,"" "")"),"Cc1cncc(CN(C)C2CC(N(C)Cc3cc(-c4ccccn4)ccn3)CC(N(Cc3nc(C)c(C)c(C)c3C)Cc3nc(C)c(C)c(C)c3C)C2)c1")</f>
        <v>Cc1cncc(CN(C)C2CC(N(C)Cc3cc(-c4ccccn4)ccn3)CC(N(Cc3nc(C)c(C)c(C)c3C)Cc3nc(C)c(C)c(C)c3C)C2)c1</v>
      </c>
      <c r="C12117" s="7">
        <f>IFERROR(__xludf.DUMMYFUNCTION("""COMPUTED_VALUE"""),7.7593427)</f>
        <v>7.7593427</v>
      </c>
      <c r="D12117" s="7">
        <f>IFERROR(__xludf.DUMMYFUNCTION("""COMPUTED_VALUE"""),0.291666666666666)</f>
        <v>0.2916666667</v>
      </c>
    </row>
    <row r="12118">
      <c r="A12118" s="10" t="s">
        <v>13557</v>
      </c>
      <c r="B12118" s="7" t="str">
        <f>IFERROR(__xludf.DUMMYFUNCTION("SPLIT(A12118,"" "")"),"CCN(Cc1ccccn1)Cc1cccc(N(C)Cc2ncccc2C)n1")</f>
        <v>CCN(Cc1ccccn1)Cc1cccc(N(C)Cc2ncccc2C)n1</v>
      </c>
      <c r="C12118" s="7">
        <f>IFERROR(__xludf.DUMMYFUNCTION("""COMPUTED_VALUE"""),7.759337)</f>
        <v>7.759337</v>
      </c>
      <c r="D12118" s="7">
        <f>IFERROR(__xludf.DUMMYFUNCTION("""COMPUTED_VALUE"""),0.431818181818181)</f>
        <v>0.4318181818</v>
      </c>
    </row>
    <row r="12119">
      <c r="A12119" s="10" t="s">
        <v>13558</v>
      </c>
      <c r="B12119" s="7" t="str">
        <f>IFERROR(__xludf.DUMMYFUNCTION("SPLIT(A12119,"" "")"),"CNCc1cc(CN(Cc2cc(C)c(C)cn2)Cc2cc(C)c(C)c(C)n2)ccn1")</f>
        <v>CNCc1cc(CN(Cc2cc(C)c(C)cn2)Cc2cc(C)c(C)c(C)n2)ccn1</v>
      </c>
      <c r="C12119" s="7">
        <f>IFERROR(__xludf.DUMMYFUNCTION("""COMPUTED_VALUE"""),7.7593346)</f>
        <v>7.7593346</v>
      </c>
      <c r="D12119" s="7">
        <f>IFERROR(__xludf.DUMMYFUNCTION("""COMPUTED_VALUE"""),0.3)</f>
        <v>0.3</v>
      </c>
    </row>
    <row r="12120">
      <c r="A12120" s="10" t="s">
        <v>13559</v>
      </c>
      <c r="B12120" s="7" t="str">
        <f>IFERROR(__xludf.DUMMYFUNCTION("SPLIT(A12120,"" "")"),"COC(=O)C1CC(c2ccccn2)C(c2ccccn2)N(C)C1c1ccccn1")</f>
        <v>COC(=O)C1CC(c2ccccn2)C(c2ccccn2)N(C)C1c1ccccn1</v>
      </c>
      <c r="C12120" s="7">
        <f>IFERROR(__xludf.DUMMYFUNCTION("""COMPUTED_VALUE"""),7.7593317)</f>
        <v>7.7593317</v>
      </c>
      <c r="D12120" s="7">
        <f>IFERROR(__xludf.DUMMYFUNCTION("""COMPUTED_VALUE"""),0.43859649122807)</f>
        <v>0.4385964912</v>
      </c>
    </row>
    <row r="12121">
      <c r="A12121" s="10" t="s">
        <v>13560</v>
      </c>
      <c r="B12121" s="7" t="str">
        <f>IFERROR(__xludf.DUMMYFUNCTION("SPLIT(A12121,"" "")"),"CN(Cc1ccc(Cl)cn1)C1=CNC(C(C)(C)N)=CC1")</f>
        <v>CN(Cc1ccc(Cl)cn1)C1=CNC(C(C)(C)N)=CC1</v>
      </c>
      <c r="C12121" s="7">
        <f>IFERROR(__xludf.DUMMYFUNCTION("""COMPUTED_VALUE"""),7.7593317)</f>
        <v>7.7593317</v>
      </c>
      <c r="D12121" s="7">
        <f>IFERROR(__xludf.DUMMYFUNCTION("""COMPUTED_VALUE"""),0.280701754385964)</f>
        <v>0.2807017544</v>
      </c>
    </row>
    <row r="12122">
      <c r="A12122" s="10" t="s">
        <v>13561</v>
      </c>
      <c r="B12122" s="7" t="str">
        <f>IFERROR(__xludf.DUMMYFUNCTION("SPLIT(A12122,"" "")"),"Cc1cnc(CN(C)Cc2cccnc2C)c(C)c1C")</f>
        <v>Cc1cnc(CN(C)Cc2cccnc2C)c(C)c1C</v>
      </c>
      <c r="C12122" s="7">
        <f>IFERROR(__xludf.DUMMYFUNCTION("""COMPUTED_VALUE"""),7.7593265)</f>
        <v>7.7593265</v>
      </c>
      <c r="D12122" s="7">
        <f>IFERROR(__xludf.DUMMYFUNCTION("""COMPUTED_VALUE"""),0.391304347826087)</f>
        <v>0.3913043478</v>
      </c>
    </row>
    <row r="12123">
      <c r="A12123" s="10" t="s">
        <v>13562</v>
      </c>
      <c r="B12123" s="7" t="str">
        <f>IFERROR(__xludf.DUMMYFUNCTION("SPLIT(A12123,"" "")"),"Cc1cc(CN(C)C2CCCC(N(C)c3ccc4cccnc4c3)C2)cc(NCc2ccccn2)c1")</f>
        <v>Cc1cc(CN(C)C2CCCC(N(C)c3ccc4cccnc4c3)C2)cc(NCc2ccccn2)c1</v>
      </c>
      <c r="C12123" s="7">
        <f>IFERROR(__xludf.DUMMYFUNCTION("""COMPUTED_VALUE"""),7.7593255)</f>
        <v>7.7593255</v>
      </c>
      <c r="D12123" s="7">
        <f>IFERROR(__xludf.DUMMYFUNCTION("""COMPUTED_VALUE"""),0.333333333333333)</f>
        <v>0.3333333333</v>
      </c>
    </row>
    <row r="12124">
      <c r="A12124" s="10" t="s">
        <v>13563</v>
      </c>
      <c r="B12124" s="7" t="str">
        <f>IFERROR(__xludf.DUMMYFUNCTION("SPLIT(A12124,"" "")"),"Cc1cccnc1CN(C)C1CCC(N(C)c2ccc3nccc(CN(C)C)c3c2)CC1")</f>
        <v>Cc1cccnc1CN(C)C1CCC(N(C)c2ccc3nccc(CN(C)C)c3c2)CC1</v>
      </c>
      <c r="C12124" s="7">
        <f>IFERROR(__xludf.DUMMYFUNCTION("""COMPUTED_VALUE"""),7.7593246)</f>
        <v>7.7593246</v>
      </c>
      <c r="D12124" s="7">
        <f>IFERROR(__xludf.DUMMYFUNCTION("""COMPUTED_VALUE"""),0.265625)</f>
        <v>0.265625</v>
      </c>
    </row>
    <row r="12125">
      <c r="A12125" s="10" t="s">
        <v>13564</v>
      </c>
      <c r="B12125" s="7" t="str">
        <f>IFERROR(__xludf.DUMMYFUNCTION("SPLIT(A12125,"" "")"),"CC(C)C(C)CN(CCN(C)c1ccc2nccc(CN(C)C)c2c1)Cc1ccccn1")</f>
        <v>CC(C)C(C)CN(CCN(C)c1ccc2nccc(CN(C)C)c2c1)Cc1ccccn1</v>
      </c>
      <c r="C12125" s="7">
        <f>IFERROR(__xludf.DUMMYFUNCTION("""COMPUTED_VALUE"""),7.7593236)</f>
        <v>7.7593236</v>
      </c>
      <c r="D12125" s="7">
        <f>IFERROR(__xludf.DUMMYFUNCTION("""COMPUTED_VALUE"""),0.428571428571428)</f>
        <v>0.4285714286</v>
      </c>
    </row>
    <row r="12126">
      <c r="A12126" s="10" t="s">
        <v>13565</v>
      </c>
      <c r="B12126" s="7" t="str">
        <f>IFERROR(__xludf.DUMMYFUNCTION("SPLIT(A12126,"" "")"),"Cc1cccnc1CN(Cc1cccc(N(C)Cc2ccccn2)c1)C(C)C")</f>
        <v>Cc1cccnc1CN(Cc1cccc(N(C)Cc2ccccn2)c1)C(C)C</v>
      </c>
      <c r="C12126" s="7">
        <f>IFERROR(__xludf.DUMMYFUNCTION("""COMPUTED_VALUE"""),7.759322)</f>
        <v>7.759322</v>
      </c>
      <c r="D12126" s="7">
        <f>IFERROR(__xludf.DUMMYFUNCTION("""COMPUTED_VALUE"""),0.46)</f>
        <v>0.46</v>
      </c>
    </row>
    <row r="12127">
      <c r="A12127" s="10" t="s">
        <v>13566</v>
      </c>
      <c r="B12127" s="7" t="str">
        <f>IFERROR(__xludf.DUMMYFUNCTION("SPLIT(A12127,"" "")"),"CNC1C(N(Cc2nc(C)c(C)c(C)c2C)Cc2nc(C)c(C)c(C)c2C)CC(NCc2cc(C)c(C)c(C)n2)CC1N(Cc1nc(C)c(C)c(C)c1C)Cc1nc(C)c(C)c(C)c1C")</f>
        <v>CNC1C(N(Cc2nc(C)c(C)c(C)c2C)Cc2nc(C)c(C)c(C)c2C)CC(NCc2cc(C)c(C)c(C)n2)CC1N(Cc1nc(C)c(C)c(C)c1C)Cc1nc(C)c(C)c(C)c1C</v>
      </c>
      <c r="C12127" s="7">
        <f>IFERROR(__xludf.DUMMYFUNCTION("""COMPUTED_VALUE"""),7.759309)</f>
        <v>7.759309</v>
      </c>
      <c r="D12127" s="7">
        <f>IFERROR(__xludf.DUMMYFUNCTION("""COMPUTED_VALUE"""),0.203125)</f>
        <v>0.203125</v>
      </c>
    </row>
    <row r="12128">
      <c r="A12128" s="10" t="s">
        <v>13567</v>
      </c>
      <c r="B12128" s="7" t="str">
        <f>IFERROR(__xludf.DUMMYFUNCTION("SPLIT(A12128,"" "")"),"Cc1cc(C)c(C)c(CN(C)CC2C=CNC(N(C)Cc3ccccn3)=C2)n1")</f>
        <v>Cc1cc(C)c(C)c(CN(C)CC2C=CNC(N(C)Cc3ccccn3)=C2)n1</v>
      </c>
      <c r="C12128" s="7">
        <f>IFERROR(__xludf.DUMMYFUNCTION("""COMPUTED_VALUE"""),7.759308)</f>
        <v>7.759308</v>
      </c>
      <c r="D12128" s="7">
        <f>IFERROR(__xludf.DUMMYFUNCTION("""COMPUTED_VALUE"""),0.360655737704918)</f>
        <v>0.3606557377</v>
      </c>
    </row>
    <row r="12129">
      <c r="A12129" s="10" t="s">
        <v>13568</v>
      </c>
      <c r="B12129" s="7" t="str">
        <f>IFERROR(__xludf.DUMMYFUNCTION("SPLIT(A12129,"" "")"),"CNC1C(N(Cc2nc(C)c(C)c(C)c2C)Cc2nc(C)c(C)c(C)c2C)CCC(N(Cc2ccc(C)cn2)Cc2nc(C)c(C)c(C)c2C)C1N(Cc1nc(C)c(C)c(C)c1C)Cc1nc(C)c(C)c(C)c1C")</f>
        <v>CNC1C(N(Cc2nc(C)c(C)c(C)c2C)Cc2nc(C)c(C)c(C)c2C)CCC(N(Cc2ccc(C)cn2)Cc2nc(C)c(C)c(C)c2C)C1N(Cc1nc(C)c(C)c(C)c1C)Cc1nc(C)c(C)c(C)c1C</v>
      </c>
      <c r="C12129" s="7">
        <f>IFERROR(__xludf.DUMMYFUNCTION("""COMPUTED_VALUE"""),7.759307)</f>
        <v>7.759307</v>
      </c>
      <c r="D12129" s="7">
        <f>IFERROR(__xludf.DUMMYFUNCTION("""COMPUTED_VALUE"""),0.410714285714285)</f>
        <v>0.4107142857</v>
      </c>
    </row>
    <row r="12130">
      <c r="A12130" s="10" t="s">
        <v>13569</v>
      </c>
      <c r="B12130" s="7" t="str">
        <f>IFERROR(__xludf.DUMMYFUNCTION("SPLIT(A12130,"" "")"),"Cc1cc(C)c(CN(C)C2=CNC(CN(Cc3ccccn3)C(C)C)=CC2)nc1C")</f>
        <v>Cc1cc(C)c(CN(C)C2=CNC(CN(Cc3ccccn3)C(C)C)=CC2)nc1C</v>
      </c>
      <c r="C12130" s="7">
        <f>IFERROR(__xludf.DUMMYFUNCTION("""COMPUTED_VALUE"""),7.7593036)</f>
        <v>7.7593036</v>
      </c>
      <c r="D12130" s="7">
        <f>IFERROR(__xludf.DUMMYFUNCTION("""COMPUTED_VALUE"""),0.413793103448275)</f>
        <v>0.4137931034</v>
      </c>
    </row>
    <row r="12131">
      <c r="A12131" s="10" t="s">
        <v>13570</v>
      </c>
      <c r="B12131" s="7" t="str">
        <f>IFERROR(__xludf.DUMMYFUNCTION("SPLIT(A12131,"" "")"),"C1=CNC(NCc2ccccn2)C(c2ccccc2)=C1")</f>
        <v>C1=CNC(NCc2ccccn2)C(c2ccccc2)=C1</v>
      </c>
      <c r="C12131" s="7">
        <f>IFERROR(__xludf.DUMMYFUNCTION("""COMPUTED_VALUE"""),7.759303)</f>
        <v>7.759303</v>
      </c>
      <c r="D12131" s="7">
        <f>IFERROR(__xludf.DUMMYFUNCTION("""COMPUTED_VALUE"""),0.395348837209302)</f>
        <v>0.3953488372</v>
      </c>
    </row>
    <row r="12132">
      <c r="A12132" s="10" t="s">
        <v>13571</v>
      </c>
      <c r="B12132" s="7" t="str">
        <f>IFERROR(__xludf.DUMMYFUNCTION("SPLIT(A12132,"" "")"),"Cc1cncc(CN(Cc2ccccn2)C2CCC(N(C)c3ccc4c(CN(C)C)ccnc4c3)CC2)c1")</f>
        <v>Cc1cncc(CN(Cc2ccccn2)C2CCC(N(C)c3ccc4c(CN(C)C)ccnc4c3)CC2)c1</v>
      </c>
      <c r="C12132" s="7">
        <f>IFERROR(__xludf.DUMMYFUNCTION("""COMPUTED_VALUE"""),7.7592945)</f>
        <v>7.7592945</v>
      </c>
      <c r="D12132" s="7">
        <f>IFERROR(__xludf.DUMMYFUNCTION("""COMPUTED_VALUE"""),0.323529411764705)</f>
        <v>0.3235294118</v>
      </c>
    </row>
    <row r="12133">
      <c r="A12133" s="10" t="s">
        <v>13572</v>
      </c>
      <c r="B12133" s="7" t="str">
        <f>IFERROR(__xludf.DUMMYFUNCTION("SPLIT(A12133,"" "")"),"Cc1cc(NCc2ccccn2)ccc1CN(C)C1CCC(N(C)c2ccc3cccnc3c2)CC1")</f>
        <v>Cc1cc(NCc2ccccn2)ccc1CN(C)C1CCC(N(C)c2ccc3cccnc3c2)CC1</v>
      </c>
      <c r="C12133" s="7">
        <f>IFERROR(__xludf.DUMMYFUNCTION("""COMPUTED_VALUE"""),7.7592926)</f>
        <v>7.7592926</v>
      </c>
      <c r="D12133" s="7">
        <f>IFERROR(__xludf.DUMMYFUNCTION("""COMPUTED_VALUE"""),0.328358208955223)</f>
        <v>0.328358209</v>
      </c>
    </row>
    <row r="12134">
      <c r="A12134" s="10" t="s">
        <v>13573</v>
      </c>
      <c r="B12134" s="7" t="str">
        <f>IFERROR(__xludf.DUMMYFUNCTION("SPLIT(A12134,"" "")"),"COC(=O)C(=O)C(C)c1cc(CN(Cc2ccccn2)Cc2ccccn2)ccn1")</f>
        <v>COC(=O)C(=O)C(C)c1cc(CN(Cc2ccccn2)Cc2ccccn2)ccn1</v>
      </c>
      <c r="C12134" s="7">
        <f>IFERROR(__xludf.DUMMYFUNCTION("""COMPUTED_VALUE"""),7.75929)</f>
        <v>7.75929</v>
      </c>
      <c r="D12134" s="7">
        <f>IFERROR(__xludf.DUMMYFUNCTION("""COMPUTED_VALUE"""),0.434782608695652)</f>
        <v>0.4347826087</v>
      </c>
    </row>
    <row r="12135">
      <c r="A12135" s="10" t="s">
        <v>13574</v>
      </c>
      <c r="B12135" s="7" t="str">
        <f>IFERROR(__xludf.DUMMYFUNCTION("SPLIT(A12135,"" "")"),"Cc1cnc2cccc(N(C)CCN(C)C(C)C(C)N)c2c1")</f>
        <v>Cc1cnc2cccc(N(C)CCN(C)C(C)C(C)N)c2c1</v>
      </c>
      <c r="C12135" s="7">
        <f>IFERROR(__xludf.DUMMYFUNCTION("""COMPUTED_VALUE"""),7.7592874)</f>
        <v>7.7592874</v>
      </c>
      <c r="D12135" s="7">
        <f>IFERROR(__xludf.DUMMYFUNCTION("""COMPUTED_VALUE"""),0.36)</f>
        <v>0.36</v>
      </c>
    </row>
    <row r="12136">
      <c r="A12136" s="10" t="s">
        <v>13575</v>
      </c>
      <c r="B12136" s="7" t="str">
        <f>IFERROR(__xludf.DUMMYFUNCTION("SPLIT(A12136,"" "")"),"CCOC(=O)c1ccc(CN(Cc2ccccn2)Cc2ccccn2)cn1")</f>
        <v>CCOC(=O)c1ccc(CN(Cc2ccccn2)Cc2ccccn2)cn1</v>
      </c>
      <c r="C12136" s="7">
        <f>IFERROR(__xludf.DUMMYFUNCTION("""COMPUTED_VALUE"""),7.759283)</f>
        <v>7.759283</v>
      </c>
      <c r="D12136" s="7">
        <f>IFERROR(__xludf.DUMMYFUNCTION("""COMPUTED_VALUE"""),0.476190476190476)</f>
        <v>0.4761904762</v>
      </c>
    </row>
    <row r="12137">
      <c r="A12137" s="10" t="s">
        <v>13576</v>
      </c>
      <c r="B12137" s="7" t="str">
        <f>IFERROR(__xludf.DUMMYFUNCTION("SPLIT(A12137,"" "")"),"Cc1cnc(CN(C)C2CCCCC2N(C)c2ccc3c(CF)ccnc3c2)c(C)c1C")</f>
        <v>Cc1cnc(CN(C)C2CCCCC2N(C)c2ccc3c(CF)ccnc3c2)c(C)c1C</v>
      </c>
      <c r="C12137" s="7">
        <f>IFERROR(__xludf.DUMMYFUNCTION("""COMPUTED_VALUE"""),7.7592826)</f>
        <v>7.7592826</v>
      </c>
      <c r="D12137" s="7">
        <f>IFERROR(__xludf.DUMMYFUNCTION("""COMPUTED_VALUE"""),0.370967741935483)</f>
        <v>0.3709677419</v>
      </c>
    </row>
    <row r="12138">
      <c r="A12138" s="10" t="s">
        <v>13577</v>
      </c>
      <c r="B12138" s="7" t="str">
        <f>IFERROR(__xludf.DUMMYFUNCTION("SPLIT(A12138,"" "")"),"Cc1cnc(CN(C)c2cccc(CN(CCF)Cc3ncccc3C)n2)c(C)c1")</f>
        <v>Cc1cnc(CN(C)c2cccc(CN(CCF)Cc3ncccc3C)n2)c(C)c1</v>
      </c>
      <c r="C12138" s="7">
        <f>IFERROR(__xludf.DUMMYFUNCTION("""COMPUTED_VALUE"""),7.759281)</f>
        <v>7.759281</v>
      </c>
      <c r="D12138" s="7">
        <f>IFERROR(__xludf.DUMMYFUNCTION("""COMPUTED_VALUE"""),0.322033898305084)</f>
        <v>0.3220338983</v>
      </c>
    </row>
    <row r="12139">
      <c r="A12139" s="10" t="s">
        <v>13578</v>
      </c>
      <c r="B12139" s="7" t="str">
        <f>IFERROR(__xludf.DUMMYFUNCTION("SPLIT(A12139,"" "")"),"Cc1cnc(CN(C)C2CCCCC2N(C)c2ccc3c(CN(C)C)ccnc3c2)cc1C")</f>
        <v>Cc1cnc(CN(C)C2CCCCC2N(C)c2ccc3c(CN(C)C)ccnc3c2)cc1C</v>
      </c>
      <c r="C12139" s="7">
        <f>IFERROR(__xludf.DUMMYFUNCTION("""COMPUTED_VALUE"""),7.7592783)</f>
        <v>7.7592783</v>
      </c>
      <c r="D12139" s="7">
        <f>IFERROR(__xludf.DUMMYFUNCTION("""COMPUTED_VALUE"""),0.456140350877192)</f>
        <v>0.4561403509</v>
      </c>
    </row>
    <row r="12140">
      <c r="A12140" s="10" t="s">
        <v>13579</v>
      </c>
      <c r="B12140" s="7" t="str">
        <f>IFERROR(__xludf.DUMMYFUNCTION("SPLIT(A12140,"" "")"),"CCN(Cc1ccccn1)c1cccnc1CN(C)Cc1cccc(C)n1")</f>
        <v>CCN(Cc1ccccn1)c1cccnc1CN(C)Cc1cccc(C)n1</v>
      </c>
      <c r="C12140" s="7">
        <f>IFERROR(__xludf.DUMMYFUNCTION("""COMPUTED_VALUE"""),7.759276)</f>
        <v>7.759276</v>
      </c>
      <c r="D12140" s="7">
        <f>IFERROR(__xludf.DUMMYFUNCTION("""COMPUTED_VALUE"""),0.5)</f>
        <v>0.5</v>
      </c>
    </row>
    <row r="12141">
      <c r="A12141" s="10" t="s">
        <v>13580</v>
      </c>
      <c r="B12141" s="7" t="str">
        <f>IFERROR(__xludf.DUMMYFUNCTION("SPLIT(A12141,"" "")"),"CCOC(=O)c1cc(CN(Cc2ccccn2)Cc2cccc(C(C)(C)C)n2)ccn1")</f>
        <v>CCOC(=O)c1cc(CN(Cc2ccccn2)Cc2cccc(C(C)(C)C)n2)ccn1</v>
      </c>
      <c r="C12141" s="7">
        <f>IFERROR(__xludf.DUMMYFUNCTION("""COMPUTED_VALUE"""),7.759267)</f>
        <v>7.759267</v>
      </c>
      <c r="D12141" s="7">
        <f>IFERROR(__xludf.DUMMYFUNCTION("""COMPUTED_VALUE"""),0.388059701492537)</f>
        <v>0.3880597015</v>
      </c>
    </row>
    <row r="12142">
      <c r="A12142" s="10" t="s">
        <v>13581</v>
      </c>
      <c r="B12142" s="7" t="str">
        <f>IFERROR(__xludf.DUMMYFUNCTION("SPLIT(A12142,"" "")"),"CC(C)C1=CC2(C=CN1)C=C(c1ncccc1CN(Cc1ccccn1)Cc1ccccn1)CC(C)(C)C2c1ncccc1CN(Cc1ccccn1)Cc1ccccn1")</f>
        <v>CC(C)C1=CC2(C=CN1)C=C(c1ncccc1CN(Cc1ccccn1)Cc1ccccn1)CC(C)(C)C2c1ncccc1CN(Cc1ccccn1)Cc1ccccn1</v>
      </c>
      <c r="C12142" s="7">
        <f>IFERROR(__xludf.DUMMYFUNCTION("""COMPUTED_VALUE"""),7.759267)</f>
        <v>7.759267</v>
      </c>
      <c r="D12142" s="7">
        <f>IFERROR(__xludf.DUMMYFUNCTION("""COMPUTED_VALUE"""),0.342465753424657)</f>
        <v>0.3424657534</v>
      </c>
    </row>
    <row r="12143">
      <c r="A12143" s="10" t="s">
        <v>13582</v>
      </c>
      <c r="B12143" s="7" t="str">
        <f>IFERROR(__xludf.DUMMYFUNCTION("SPLIT(A12143,"" "")"),"CNc1cc(C)ccn1")</f>
        <v>CNc1cc(C)ccn1</v>
      </c>
      <c r="C12143" s="7">
        <f>IFERROR(__xludf.DUMMYFUNCTION("""COMPUTED_VALUE"""),7.7592587)</f>
        <v>7.7592587</v>
      </c>
      <c r="D12143" s="7">
        <f>IFERROR(__xludf.DUMMYFUNCTION("""COMPUTED_VALUE"""),0.342105263157894)</f>
        <v>0.3421052632</v>
      </c>
    </row>
    <row r="12144">
      <c r="A12144" s="10" t="s">
        <v>13583</v>
      </c>
      <c r="B12144" s="7" t="str">
        <f>IFERROR(__xludf.DUMMYFUNCTION("SPLIT(A12144,"" "")"),"CN(Cc1ncccc1C(C)(C)C)c1ccccc1")</f>
        <v>CN(Cc1ncccc1C(C)(C)C)c1ccccc1</v>
      </c>
      <c r="C12144" s="7">
        <f>IFERROR(__xludf.DUMMYFUNCTION("""COMPUTED_VALUE"""),7.759255)</f>
        <v>7.759255</v>
      </c>
      <c r="D12144" s="7">
        <f>IFERROR(__xludf.DUMMYFUNCTION("""COMPUTED_VALUE"""),0.326086956521739)</f>
        <v>0.3260869565</v>
      </c>
    </row>
    <row r="12145">
      <c r="A12145" s="10" t="s">
        <v>13584</v>
      </c>
      <c r="B12145" s="7" t="str">
        <f>IFERROR(__xludf.DUMMYFUNCTION("SPLIT(A12145,"" "")"),"CCN(Cc1cc(C2=NC(C)(C)CO2)ccn1)Cc1cc(C(C)(C)C)ccn1")</f>
        <v>CCN(Cc1cc(C2=NC(C)(C)CO2)ccn1)Cc1cc(C(C)(C)C)ccn1</v>
      </c>
      <c r="C12145" s="7">
        <f>IFERROR(__xludf.DUMMYFUNCTION("""COMPUTED_VALUE"""),7.7592516)</f>
        <v>7.7592516</v>
      </c>
      <c r="D12145" s="7">
        <f>IFERROR(__xludf.DUMMYFUNCTION("""COMPUTED_VALUE"""),0.327272727272727)</f>
        <v>0.3272727273</v>
      </c>
    </row>
    <row r="12146">
      <c r="A12146" s="10" t="s">
        <v>13585</v>
      </c>
      <c r="B12146" s="7" t="str">
        <f>IFERROR(__xludf.DUMMYFUNCTION("SPLIT(A12146,"" "")"),"Cc1ccnc(CN(C)C2=C(CN(Cc3cc(C)cc(C)n3)C(C)C)NC=CC2)c1")</f>
        <v>Cc1ccnc(CN(C)C2=C(CN(Cc3cc(C)cc(C)n3)C(C)C)NC=CC2)c1</v>
      </c>
      <c r="C12146" s="7">
        <f>IFERROR(__xludf.DUMMYFUNCTION("""COMPUTED_VALUE"""),7.759251)</f>
        <v>7.759251</v>
      </c>
      <c r="D12146" s="7">
        <f>IFERROR(__xludf.DUMMYFUNCTION("""COMPUTED_VALUE"""),0.295081967213114)</f>
        <v>0.2950819672</v>
      </c>
    </row>
    <row r="12147">
      <c r="A12147" s="10" t="s">
        <v>13586</v>
      </c>
      <c r="B12147" s="7" t="str">
        <f>IFERROR(__xludf.DUMMYFUNCTION("SPLIT(A12147,"" "")"),"Cc1ccc(NCc2ccccn2)c(CN(C)C2CCCC(N(C)c3ccc4cccnc4c3)C2)c1")</f>
        <v>Cc1ccc(NCc2ccccn2)c(CN(C)C2CCCC(N(C)c3ccc4cccnc4c3)C2)c1</v>
      </c>
      <c r="C12147" s="7">
        <f>IFERROR(__xludf.DUMMYFUNCTION("""COMPUTED_VALUE"""),7.7592473)</f>
        <v>7.7592473</v>
      </c>
      <c r="D12147" s="7">
        <f>IFERROR(__xludf.DUMMYFUNCTION("""COMPUTED_VALUE"""),0.338235294117647)</f>
        <v>0.3382352941</v>
      </c>
    </row>
    <row r="12148">
      <c r="A12148" s="10" t="s">
        <v>13587</v>
      </c>
      <c r="B12148" s="7" t="str">
        <f>IFERROR(__xludf.DUMMYFUNCTION("SPLIT(A12148,"" "")"),"CN(CC1=C(N(C)Cc2ccccn2)NC=CC1)Cc1ccccn1")</f>
        <v>CN(CC1=C(N(C)Cc2ccccn2)NC=CC1)Cc1ccccn1</v>
      </c>
      <c r="C12148" s="7">
        <f>IFERROR(__xludf.DUMMYFUNCTION("""COMPUTED_VALUE"""),7.7592435)</f>
        <v>7.7592435</v>
      </c>
      <c r="D12148" s="7">
        <f>IFERROR(__xludf.DUMMYFUNCTION("""COMPUTED_VALUE"""),0.448979591836734)</f>
        <v>0.4489795918</v>
      </c>
    </row>
    <row r="12149">
      <c r="A12149" s="10" t="s">
        <v>13588</v>
      </c>
      <c r="B12149" s="7" t="str">
        <f>IFERROR(__xludf.DUMMYFUNCTION("SPLIT(A12149,"" "")"),"Cc1cnc(C)c(CN(C)C)c1")</f>
        <v>Cc1cnc(C)c(CN(C)C)c1</v>
      </c>
      <c r="C12149" s="7">
        <f>IFERROR(__xludf.DUMMYFUNCTION("""COMPUTED_VALUE"""),7.759241)</f>
        <v>7.759241</v>
      </c>
      <c r="D12149" s="7">
        <f>IFERROR(__xludf.DUMMYFUNCTION("""COMPUTED_VALUE"""),0.361111111111111)</f>
        <v>0.3611111111</v>
      </c>
    </row>
    <row r="12150">
      <c r="A12150" s="10" t="s">
        <v>13589</v>
      </c>
      <c r="B12150" s="7" t="str">
        <f>IFERROR(__xludf.DUMMYFUNCTION("SPLIT(A12150,"" "")"),"CCCN(Cc1ccccn1)Cc1ncccc1N(C)Cc1nccc(C)c1C")</f>
        <v>CCCN(Cc1ccccn1)Cc1ncccc1N(C)Cc1nccc(C)c1C</v>
      </c>
      <c r="C12150" s="7">
        <f>IFERROR(__xludf.DUMMYFUNCTION("""COMPUTED_VALUE"""),7.759232)</f>
        <v>7.759232</v>
      </c>
      <c r="D12150" s="7">
        <f>IFERROR(__xludf.DUMMYFUNCTION("""COMPUTED_VALUE"""),0.46)</f>
        <v>0.46</v>
      </c>
    </row>
    <row r="12151">
      <c r="A12151" s="10" t="s">
        <v>13590</v>
      </c>
      <c r="B12151" s="7" t="str">
        <f>IFERROR(__xludf.DUMMYFUNCTION("SPLIT(A12151,"" "")"),"CCNCC1=CCC=C(N(C)Cc2nc(C)c(C)cc2C)N1")</f>
        <v>CCNCC1=CCC=C(N(C)Cc2nc(C)c(C)cc2C)N1</v>
      </c>
      <c r="C12151" s="7">
        <f>IFERROR(__xludf.DUMMYFUNCTION("""COMPUTED_VALUE"""),7.7592273)</f>
        <v>7.7592273</v>
      </c>
      <c r="D12151" s="7">
        <f>IFERROR(__xludf.DUMMYFUNCTION("""COMPUTED_VALUE"""),0.193548387096774)</f>
        <v>0.1935483871</v>
      </c>
    </row>
    <row r="12152">
      <c r="A12152" s="10" t="s">
        <v>13591</v>
      </c>
      <c r="B12152" s="7" t="str">
        <f>IFERROR(__xludf.DUMMYFUNCTION("SPLIT(A12152,"" "")"),"CC1=CC(C)C(C)C2(C1)C(c1cc(CN(Cc3ccccn3)Cc3ccccn3)ccn1)=C(c1cc(CN(Cc3ccccn3)C3CCC(N(C)c4ccc5nccc(CF)c5c4)CC3)ccn1)CCC21CC(C)=C(C)CC1C")</f>
        <v>CC1=CC(C)C(C)C2(C1)C(c1cc(CN(Cc3ccccn3)Cc3ccccn3)ccn1)=C(c1cc(CN(Cc3ccccn3)C3CCC(N(C)c4ccc5nccc(CF)c5c4)CC3)ccn1)CCC21CC(C)=C(C)CC1C</v>
      </c>
      <c r="C12152" s="7">
        <f>IFERROR(__xludf.DUMMYFUNCTION("""COMPUTED_VALUE"""),7.759222)</f>
        <v>7.759222</v>
      </c>
      <c r="D12152" s="7">
        <f>IFERROR(__xludf.DUMMYFUNCTION("""COMPUTED_VALUE"""),0.221153846153846)</f>
        <v>0.2211538462</v>
      </c>
    </row>
    <row r="12153">
      <c r="A12153" s="10" t="s">
        <v>13592</v>
      </c>
      <c r="B12153" s="7" t="str">
        <f>IFERROR(__xludf.DUMMYFUNCTION("SPLIT(A12153,"" "")"),"COC(=O)C(=O)C(C)c1ncccc1CN(Cc1ccccn1)Cc1ccccn1")</f>
        <v>COC(=O)C(=O)C(C)c1ncccc1CN(Cc1ccccn1)Cc1ccccn1</v>
      </c>
      <c r="C12153" s="7">
        <f>IFERROR(__xludf.DUMMYFUNCTION("""COMPUTED_VALUE"""),7.759222)</f>
        <v>7.759222</v>
      </c>
      <c r="D12153" s="7">
        <f>IFERROR(__xludf.DUMMYFUNCTION("""COMPUTED_VALUE"""),0.454545454545454)</f>
        <v>0.4545454545</v>
      </c>
    </row>
    <row r="12154">
      <c r="A12154" s="10" t="s">
        <v>13593</v>
      </c>
      <c r="B12154" s="7" t="str">
        <f>IFERROR(__xludf.DUMMYFUNCTION("SPLIT(A12154,"" "")"),"CN(c1cccc2cc(CF)cnc12)C1CCCCC1N(Cc1ccccn1)C1=CCC=CN1")</f>
        <v>CN(c1cccc2cc(CF)cnc12)C1CCCCC1N(Cc1ccccn1)C1=CCC=CN1</v>
      </c>
      <c r="C12154" s="7">
        <f>IFERROR(__xludf.DUMMYFUNCTION("""COMPUTED_VALUE"""),7.759217)</f>
        <v>7.759217</v>
      </c>
      <c r="D12154" s="7">
        <f>IFERROR(__xludf.DUMMYFUNCTION("""COMPUTED_VALUE"""),0.430555555555555)</f>
        <v>0.4305555556</v>
      </c>
    </row>
    <row r="12155">
      <c r="A12155" s="10" t="s">
        <v>13594</v>
      </c>
      <c r="B12155" s="7" t="str">
        <f>IFERROR(__xludf.DUMMYFUNCTION("SPLIT(A12155,"" "")"),"Cc1cccc(CN(C)Cc2ncccc2C(C)(C)c2ccccn2)c1C")</f>
        <v>Cc1cccc(CN(C)Cc2ncccc2C(C)(C)c2ccccn2)c1C</v>
      </c>
      <c r="C12155" s="7">
        <f>IFERROR(__xludf.DUMMYFUNCTION("""COMPUTED_VALUE"""),7.7592144)</f>
        <v>7.7592144</v>
      </c>
      <c r="D12155" s="7">
        <f>IFERROR(__xludf.DUMMYFUNCTION("""COMPUTED_VALUE"""),0.351851851851851)</f>
        <v>0.3518518519</v>
      </c>
    </row>
    <row r="12156">
      <c r="A12156" s="10" t="s">
        <v>13595</v>
      </c>
      <c r="B12156" s="7" t="str">
        <f>IFERROR(__xludf.DUMMYFUNCTION("SPLIT(A12156,"" "")"),"CN(c1cccc2nc(CF)ccc12)C1CCC(N(Cc2ccc(N)cn2)Cc2cccc(F)n2)CC1")</f>
        <v>CN(c1cccc2nc(CF)ccc12)C1CCC(N(Cc2ccc(N)cn2)Cc2cccc(F)n2)CC1</v>
      </c>
      <c r="C12156" s="7">
        <f>IFERROR(__xludf.DUMMYFUNCTION("""COMPUTED_VALUE"""),7.759208)</f>
        <v>7.759208</v>
      </c>
      <c r="D12156" s="7">
        <f>IFERROR(__xludf.DUMMYFUNCTION("""COMPUTED_VALUE"""),0.338028169014084)</f>
        <v>0.338028169</v>
      </c>
    </row>
    <row r="12157">
      <c r="A12157" s="10" t="s">
        <v>13596</v>
      </c>
      <c r="B12157" s="7" t="str">
        <f>IFERROR(__xludf.DUMMYFUNCTION("SPLIT(A12157,"" "")"),"CN(Cc1cc(N)ccn1)C1=C(C(C)(C)N)NC=CC1")</f>
        <v>CN(Cc1cc(N)ccn1)C1=C(C(C)(C)N)NC=CC1</v>
      </c>
      <c r="C12157" s="7">
        <f>IFERROR(__xludf.DUMMYFUNCTION("""COMPUTED_VALUE"""),7.759206)</f>
        <v>7.759206</v>
      </c>
      <c r="D12157" s="7">
        <f>IFERROR(__xludf.DUMMYFUNCTION("""COMPUTED_VALUE"""),0.280701754385964)</f>
        <v>0.2807017544</v>
      </c>
    </row>
    <row r="12158">
      <c r="A12158" s="10" t="s">
        <v>13597</v>
      </c>
      <c r="B12158" s="7" t="str">
        <f>IFERROR(__xludf.DUMMYFUNCTION("SPLIT(A12158,"" "")"),"CN(Cc1ccccn1)Cc1ccc(N(C)C(C)(C)c2ccccn2)cn1")</f>
        <v>CN(Cc1ccccn1)Cc1ccc(N(C)C(C)(C)c2ccccn2)cn1</v>
      </c>
      <c r="C12158" s="7">
        <f>IFERROR(__xludf.DUMMYFUNCTION("""COMPUTED_VALUE"""),7.7592015)</f>
        <v>7.7592015</v>
      </c>
      <c r="D12158" s="7">
        <f>IFERROR(__xludf.DUMMYFUNCTION("""COMPUTED_VALUE"""),0.489361702127659)</f>
        <v>0.4893617021</v>
      </c>
    </row>
    <row r="12159">
      <c r="A12159" s="10" t="s">
        <v>13598</v>
      </c>
      <c r="B12159" s="7" t="str">
        <f>IFERROR(__xludf.DUMMYFUNCTION("SPLIT(A12159,"" "")"),"CN(C)CC1C(N(C)c2cccc3ncc(CF)cc23)CCN1C")</f>
        <v>CN(C)CC1C(N(C)c2cccc3ncc(CF)cc23)CCN1C</v>
      </c>
      <c r="C12159" s="7">
        <f>IFERROR(__xludf.DUMMYFUNCTION("""COMPUTED_VALUE"""),7.7591968)</f>
        <v>7.7591968</v>
      </c>
      <c r="D12159" s="7">
        <f>IFERROR(__xludf.DUMMYFUNCTION("""COMPUTED_VALUE"""),0.318181818181818)</f>
        <v>0.3181818182</v>
      </c>
    </row>
    <row r="12160">
      <c r="A12160" s="10" t="s">
        <v>13599</v>
      </c>
      <c r="B12160" s="7" t="str">
        <f>IFERROR(__xludf.DUMMYFUNCTION("SPLIT(A12160,"" "")"),"Cc1cc(C)c(C)c(CN(C)C2CCC(N(C)c3ccc4ncc(CF)cc4c3)CC2)n1")</f>
        <v>Cc1cc(C)c(C)c(CN(C)C2CCC(N(C)c3ccc4ncc(CF)cc4c3)CC2)n1</v>
      </c>
      <c r="C12160" s="7">
        <f>IFERROR(__xludf.DUMMYFUNCTION("""COMPUTED_VALUE"""),7.7591953)</f>
        <v>7.7591953</v>
      </c>
      <c r="D12160" s="7">
        <f>IFERROR(__xludf.DUMMYFUNCTION("""COMPUTED_VALUE"""),0.235294117647058)</f>
        <v>0.2352941176</v>
      </c>
    </row>
    <row r="12161">
      <c r="A12161" s="10" t="s">
        <v>13600</v>
      </c>
      <c r="B12161" s="7" t="str">
        <f>IFERROR(__xludf.DUMMYFUNCTION("SPLIT(A12161,"" "")"),"CCN(Cc1ccccn1)c1cccnc1CN(Cc1ccccn1)Cc1ncccc1N")</f>
        <v>CCN(Cc1ccccn1)c1cccnc1CN(Cc1ccccn1)Cc1ncccc1N</v>
      </c>
      <c r="C12161" s="7">
        <f>IFERROR(__xludf.DUMMYFUNCTION("""COMPUTED_VALUE"""),7.7591934)</f>
        <v>7.7591934</v>
      </c>
      <c r="D12161" s="7">
        <f>IFERROR(__xludf.DUMMYFUNCTION("""COMPUTED_VALUE"""),0.48780487804878)</f>
        <v>0.487804878</v>
      </c>
    </row>
    <row r="12162">
      <c r="A12162" s="10" t="s">
        <v>13601</v>
      </c>
      <c r="B12162" s="7" t="str">
        <f>IFERROR(__xludf.DUMMYFUNCTION("SPLIT(A12162,"" "")"),"CC(C)C(C)(c1cccnc1)c1cc(CN(Cc2ccccn2)C2CCC(N(C)c3ccc4c(CF)ccnc4c3)CC2)ccn1")</f>
        <v>CC(C)C(C)(c1cccnc1)c1cc(CN(Cc2ccccn2)C2CCC(N(C)c3ccc4c(CF)ccnc4c3)CC2)ccn1</v>
      </c>
      <c r="C12162" s="7">
        <f>IFERROR(__xludf.DUMMYFUNCTION("""COMPUTED_VALUE"""),7.7591925)</f>
        <v>7.7591925</v>
      </c>
      <c r="D12162" s="7">
        <f>IFERROR(__xludf.DUMMYFUNCTION("""COMPUTED_VALUE"""),0.268292682926829)</f>
        <v>0.2682926829</v>
      </c>
    </row>
    <row r="12163">
      <c r="A12163" s="10" t="s">
        <v>13602</v>
      </c>
      <c r="B12163" s="7" t="str">
        <f>IFERROR(__xludf.DUMMYFUNCTION("SPLIT(A12163,"" "")"),"CCN=Cc1cc(CN(Cc2ccccn2)C2CCC(N(C)c3ccc4nccc(C)c4c3)CC2)ccn1")</f>
        <v>CCN=Cc1cc(CN(Cc2ccccn2)C2CCC(N(C)c3ccc4nccc(C)c4c3)CC2)ccn1</v>
      </c>
      <c r="C12163" s="7">
        <f>IFERROR(__xludf.DUMMYFUNCTION("""COMPUTED_VALUE"""),7.7591896)</f>
        <v>7.7591896</v>
      </c>
      <c r="D12163" s="7">
        <f>IFERROR(__xludf.DUMMYFUNCTION("""COMPUTED_VALUE"""),0.305555555555555)</f>
        <v>0.3055555556</v>
      </c>
    </row>
    <row r="12164">
      <c r="A12164" s="10" t="s">
        <v>13603</v>
      </c>
      <c r="B12164" s="7" t="str">
        <f>IFERROR(__xludf.DUMMYFUNCTION("SPLIT(A12164,"" "")"),"CC1C=Cc2ncccc2C1N(C)Cc1ccccn1")</f>
        <v>CC1C=Cc2ncccc2C1N(C)Cc1ccccn1</v>
      </c>
      <c r="C12164" s="7">
        <f>IFERROR(__xludf.DUMMYFUNCTION("""COMPUTED_VALUE"""),7.759189)</f>
        <v>7.759189</v>
      </c>
      <c r="D12164" s="7">
        <f>IFERROR(__xludf.DUMMYFUNCTION("""COMPUTED_VALUE"""),0.5)</f>
        <v>0.5</v>
      </c>
    </row>
    <row r="12165">
      <c r="A12165" s="10" t="s">
        <v>13604</v>
      </c>
      <c r="B12165" s="7" t="str">
        <f>IFERROR(__xludf.DUMMYFUNCTION("SPLIT(A12165,"" "")"),"CNc1cnc(CN(Cc2ccccn2)C2CCCCC2N(C)c2ccc3nc(CF)ccc3c2)c(C)c1")</f>
        <v>CNc1cnc(CN(Cc2ccccn2)C2CCCCC2N(C)c2ccc3nc(CF)ccc3c2)c(C)c1</v>
      </c>
      <c r="C12165" s="7">
        <f>IFERROR(__xludf.DUMMYFUNCTION("""COMPUTED_VALUE"""),7.7591887)</f>
        <v>7.7591887</v>
      </c>
      <c r="D12165" s="7">
        <f>IFERROR(__xludf.DUMMYFUNCTION("""COMPUTED_VALUE"""),0.378378378378378)</f>
        <v>0.3783783784</v>
      </c>
    </row>
    <row r="12166">
      <c r="A12166" s="10" t="s">
        <v>13605</v>
      </c>
      <c r="B12166" s="7" t="str">
        <f>IFERROR(__xludf.DUMMYFUNCTION("SPLIT(A12166,"" "")"),"CNCc1cc(CN(C)C2CCC(N(C)Cc3nc(-c4ccc5ncccc5c4)ccc3C)CC2)ccn1")</f>
        <v>CNCc1cc(CN(C)C2CCC(N(C)Cc3nc(-c4ccc5ncccc5c4)ccc3C)CC2)ccn1</v>
      </c>
      <c r="C12166" s="7">
        <f>IFERROR(__xludf.DUMMYFUNCTION("""COMPUTED_VALUE"""),7.759185)</f>
        <v>7.759185</v>
      </c>
      <c r="D12166" s="7">
        <f>IFERROR(__xludf.DUMMYFUNCTION("""COMPUTED_VALUE"""),0.271428571428571)</f>
        <v>0.2714285714</v>
      </c>
    </row>
    <row r="12167">
      <c r="A12167" s="10" t="s">
        <v>13606</v>
      </c>
      <c r="B12167" s="7" t="str">
        <f>IFERROR(__xludf.DUMMYFUNCTION("SPLIT(A12167,"" "")"),"CC(C)C1=CC2(C=CN1)C=C(c1ncccc1CN(Cc1ccccn1)Cc1ccccn1)CC(C)(C)C2c1ccc(CN(Cc2ccccn2)Cc2ccccn2)cn1")</f>
        <v>CC(C)C1=CC2(C=CN1)C=C(c1ncccc1CN(Cc1ccccn1)Cc1ccccn1)CC(C)(C)C2c1ccc(CN(Cc2ccccn2)Cc2ccccn2)cn1</v>
      </c>
      <c r="C12167" s="7">
        <f>IFERROR(__xludf.DUMMYFUNCTION("""COMPUTED_VALUE"""),7.759185)</f>
        <v>7.759185</v>
      </c>
      <c r="D12167" s="7">
        <f>IFERROR(__xludf.DUMMYFUNCTION("""COMPUTED_VALUE"""),0.3)</f>
        <v>0.3</v>
      </c>
    </row>
    <row r="12168">
      <c r="A12168" s="10" t="s">
        <v>13607</v>
      </c>
      <c r="B12168" s="7" t="str">
        <f>IFERROR(__xludf.DUMMYFUNCTION("SPLIT(A12168,"" "")"),"Cc1cnc(CN(Cc2ccc(N)c(C)n2)CN(C)Cc2cc(C)c(C)c(C)n2)c(C)c1")</f>
        <v>Cc1cnc(CN(Cc2ccc(N)c(C)n2)CN(C)Cc2cc(C)c(C)c(C)n2)c(C)c1</v>
      </c>
      <c r="C12168" s="7">
        <f>IFERROR(__xludf.DUMMYFUNCTION("""COMPUTED_VALUE"""),7.759184)</f>
        <v>7.759184</v>
      </c>
      <c r="D12168" s="7">
        <f>IFERROR(__xludf.DUMMYFUNCTION("""COMPUTED_VALUE"""),0.321428571428571)</f>
        <v>0.3214285714</v>
      </c>
    </row>
    <row r="12169">
      <c r="A12169" s="10" t="s">
        <v>13608</v>
      </c>
      <c r="B12169" s="7" t="str">
        <f>IFERROR(__xludf.DUMMYFUNCTION("SPLIT(A12169,"" "")"),"CC(C)N(Cc1ccccn1)c1cc(N(C)Cc2cc(-c3ccc4c(c3)OCCOCCOCCOCCOCCO4)ccn2)c2ncccc2c1")</f>
        <v>CC(C)N(Cc1ccccn1)c1cc(N(C)Cc2cc(-c3ccc4c(c3)OCCOCCOCCOCCOCCO4)ccn2)c2ncccc2c1</v>
      </c>
      <c r="C12169" s="7">
        <f>IFERROR(__xludf.DUMMYFUNCTION("""COMPUTED_VALUE"""),7.759183)</f>
        <v>7.759183</v>
      </c>
      <c r="D12169" s="7">
        <f>IFERROR(__xludf.DUMMYFUNCTION("""COMPUTED_VALUE"""),0.347826086956521)</f>
        <v>0.347826087</v>
      </c>
    </row>
    <row r="12170">
      <c r="A12170" s="10" t="s">
        <v>13609</v>
      </c>
      <c r="B12170" s="7" t="str">
        <f>IFERROR(__xludf.DUMMYFUNCTION("SPLIT(A12170,"" "")"),"CN(Cc1ccon1)C1CCCC(N(C)c2cccc3ncccc23)C1")</f>
        <v>CN(Cc1ccon1)C1CCCC(N(C)c2cccc3ncccc23)C1</v>
      </c>
      <c r="C12170" s="7">
        <f>IFERROR(__xludf.DUMMYFUNCTION("""COMPUTED_VALUE"""),7.7591753)</f>
        <v>7.7591753</v>
      </c>
      <c r="D12170" s="7">
        <f>IFERROR(__xludf.DUMMYFUNCTION("""COMPUTED_VALUE"""),0.345454545454545)</f>
        <v>0.3454545455</v>
      </c>
    </row>
    <row r="12171">
      <c r="A12171" s="10" t="s">
        <v>13610</v>
      </c>
      <c r="B12171" s="7" t="str">
        <f>IFERROR(__xludf.DUMMYFUNCTION("SPLIT(A12171,"" "")"),"Cc1cc(C)nc(CN(C)C2NC=CC=C2NCc2ccccn2)c1")</f>
        <v>Cc1cc(C)nc(CN(C)C2NC=CC=C2NCc2ccccn2)c1</v>
      </c>
      <c r="C12171" s="7">
        <f>IFERROR(__xludf.DUMMYFUNCTION("""COMPUTED_VALUE"""),7.7591743)</f>
        <v>7.7591743</v>
      </c>
      <c r="D12171" s="7">
        <f>IFERROR(__xludf.DUMMYFUNCTION("""COMPUTED_VALUE"""),0.344262295081967)</f>
        <v>0.3442622951</v>
      </c>
    </row>
    <row r="12172">
      <c r="A12172" s="10" t="s">
        <v>13611</v>
      </c>
      <c r="B12172" s="7" t="str">
        <f>IFERROR(__xludf.DUMMYFUNCTION("SPLIT(A12172,"" "")"),"Cc1cccnc1CN(C)Cc1c(C)ncc(C)c1C")</f>
        <v>Cc1cccnc1CN(C)Cc1c(C)ncc(C)c1C</v>
      </c>
      <c r="C12172" s="7">
        <f>IFERROR(__xludf.DUMMYFUNCTION("""COMPUTED_VALUE"""),7.7591743)</f>
        <v>7.7591743</v>
      </c>
      <c r="D12172" s="7">
        <f>IFERROR(__xludf.DUMMYFUNCTION("""COMPUTED_VALUE"""),0.32)</f>
        <v>0.32</v>
      </c>
    </row>
    <row r="12173">
      <c r="A12173" s="10" t="s">
        <v>13612</v>
      </c>
      <c r="B12173" s="7" t="str">
        <f>IFERROR(__xludf.DUMMYFUNCTION("SPLIT(A12173,"" "")"),"CCN(Cc1ccccn1)c1ccc(CN(C)Cc2ccccn2)c(C)c1C")</f>
        <v>CCN(Cc1ccccn1)c1ccc(CN(C)Cc2ccccn2)c(C)c1C</v>
      </c>
      <c r="C12173" s="7">
        <f>IFERROR(__xludf.DUMMYFUNCTION("""COMPUTED_VALUE"""),7.759173)</f>
        <v>7.759173</v>
      </c>
      <c r="D12173" s="7">
        <f>IFERROR(__xludf.DUMMYFUNCTION("""COMPUTED_VALUE"""),0.458333333333333)</f>
        <v>0.4583333333</v>
      </c>
    </row>
    <row r="12174">
      <c r="A12174" s="10" t="s">
        <v>13613</v>
      </c>
      <c r="B12174" s="7" t="str">
        <f>IFERROR(__xludf.DUMMYFUNCTION("SPLIT(A12174,"" "")"),"Cc1cccc(CN(C)C2=C(CN(C)Cc3cccc(F)n3)NC=CC2)n1")</f>
        <v>Cc1cccc(CN(C)C2=C(CN(C)Cc3cccc(F)n3)NC=CC2)n1</v>
      </c>
      <c r="C12174" s="7">
        <f>IFERROR(__xludf.DUMMYFUNCTION("""COMPUTED_VALUE"""),7.7591724)</f>
        <v>7.7591724</v>
      </c>
      <c r="D12174" s="7">
        <f>IFERROR(__xludf.DUMMYFUNCTION("""COMPUTED_VALUE"""),0.448979591836734)</f>
        <v>0.4489795918</v>
      </c>
    </row>
    <row r="12175">
      <c r="A12175" s="10" t="s">
        <v>13614</v>
      </c>
      <c r="B12175" s="7" t="str">
        <f>IFERROR(__xludf.DUMMYFUNCTION("SPLIT(A12175,"" "")"),"Cc1cc(CN(C)C2CCCC(N(C)c3ccc4c(CN(C)C)ccnc4c3)C2)ccn1")</f>
        <v>Cc1cc(CN(C)C2CCCC(N(C)c3ccc4c(CN(C)C)ccnc4c3)C2)ccn1</v>
      </c>
      <c r="C12175" s="7">
        <f>IFERROR(__xludf.DUMMYFUNCTION("""COMPUTED_VALUE"""),7.75917)</f>
        <v>7.75917</v>
      </c>
      <c r="D12175" s="7">
        <f>IFERROR(__xludf.DUMMYFUNCTION("""COMPUTED_VALUE"""),0.246153846153846)</f>
        <v>0.2461538462</v>
      </c>
    </row>
    <row r="12176">
      <c r="A12176" s="10" t="s">
        <v>13615</v>
      </c>
      <c r="B12176" s="7" t="str">
        <f>IFERROR(__xludf.DUMMYFUNCTION("SPLIT(A12176,"" "")"),"Cc1ccnc(CN(C)C2CCCC(N(C)c3ccc4nccc(CN(C)C)c4c3)C2)c1")</f>
        <v>Cc1ccnc(CN(C)C2CCCC(N(C)c3ccc4nccc(CN(C)C)c4c3)C2)c1</v>
      </c>
      <c r="C12176" s="7">
        <f>IFERROR(__xludf.DUMMYFUNCTION("""COMPUTED_VALUE"""),7.7591634)</f>
        <v>7.7591634</v>
      </c>
      <c r="D12176" s="7">
        <f>IFERROR(__xludf.DUMMYFUNCTION("""COMPUTED_VALUE"""),0.301587301587301)</f>
        <v>0.3015873016</v>
      </c>
    </row>
    <row r="12177">
      <c r="A12177" s="10" t="s">
        <v>13616</v>
      </c>
      <c r="B12177" s="7" t="str">
        <f>IFERROR(__xludf.DUMMYFUNCTION("SPLIT(A12177,"" "")"),"CC(C)C1=CC2(C=CN1)C=C(c1ccc(CN(Cc3ccccn3)Cc3ccccn3)cn1)CC(C)(C)C2c1ccc(CN(Cc2ccccn2)Cc2ccccn2)cn1")</f>
        <v>CC(C)C1=CC2(C=CN1)C=C(c1ccc(CN(Cc3ccccn3)Cc3ccccn3)cn1)CC(C)(C)C2c1ccc(CN(Cc2ccccn2)Cc2ccccn2)cn1</v>
      </c>
      <c r="C12177" s="7">
        <f>IFERROR(__xludf.DUMMYFUNCTION("""COMPUTED_VALUE"""),7.7591634)</f>
        <v>7.7591634</v>
      </c>
      <c r="D12177" s="7">
        <f>IFERROR(__xludf.DUMMYFUNCTION("""COMPUTED_VALUE"""),0.32)</f>
        <v>0.32</v>
      </c>
    </row>
    <row r="12178">
      <c r="A12178" s="10" t="s">
        <v>13617</v>
      </c>
      <c r="B12178" s="7" t="str">
        <f>IFERROR(__xludf.DUMMYFUNCTION("SPLIT(A12178,"" "")"),"Cc1ccc(CN(C)C2=CNC(CN(C)Cc3ccccn3)=CC2)cn1")</f>
        <v>Cc1ccc(CN(C)C2=CNC(CN(C)Cc3ccccn3)=CC2)cn1</v>
      </c>
      <c r="C12178" s="7">
        <f>IFERROR(__xludf.DUMMYFUNCTION("""COMPUTED_VALUE"""),7.759163)</f>
        <v>7.759163</v>
      </c>
      <c r="D12178" s="7">
        <f>IFERROR(__xludf.DUMMYFUNCTION("""COMPUTED_VALUE"""),0.396551724137931)</f>
        <v>0.3965517241</v>
      </c>
    </row>
    <row r="12179">
      <c r="A12179" s="10" t="s">
        <v>13618</v>
      </c>
      <c r="B12179" s="7" t="str">
        <f>IFERROR(__xludf.DUMMYFUNCTION("SPLIT(A12179,"" "")"),"Cc1cc(CN(C)Cc2ncc(C)c(C)c2C)ccn1")</f>
        <v>Cc1cc(CN(C)Cc2ncc(C)c(C)c2C)ccn1</v>
      </c>
      <c r="C12179" s="7">
        <f>IFERROR(__xludf.DUMMYFUNCTION("""COMPUTED_VALUE"""),7.759161)</f>
        <v>7.759161</v>
      </c>
      <c r="D12179" s="7">
        <f>IFERROR(__xludf.DUMMYFUNCTION("""COMPUTED_VALUE"""),0.304347826086956)</f>
        <v>0.3043478261</v>
      </c>
    </row>
    <row r="12180">
      <c r="A12180" s="10" t="s">
        <v>13619</v>
      </c>
      <c r="B12180" s="7" t="str">
        <f>IFERROR(__xludf.DUMMYFUNCTION("SPLIT(A12180,"" "")"),"CC1=CCCC=C1C(C)(c1ccccn1)c1ccccn1")</f>
        <v>CC1=CCCC=C1C(C)(c1ccccn1)c1ccccn1</v>
      </c>
      <c r="C12180" s="7">
        <f>IFERROR(__xludf.DUMMYFUNCTION("""COMPUTED_VALUE"""),7.7591558)</f>
        <v>7.7591558</v>
      </c>
      <c r="D12180" s="7">
        <f>IFERROR(__xludf.DUMMYFUNCTION("""COMPUTED_VALUE"""),0.41860465116279)</f>
        <v>0.4186046512</v>
      </c>
    </row>
    <row r="12181">
      <c r="A12181" s="10" t="s">
        <v>13620</v>
      </c>
      <c r="B12181" s="7" t="str">
        <f>IFERROR(__xludf.DUMMYFUNCTION("SPLIT(A12181,"" "")"),"FCNCc1cc(C(c2ccccn2)c2ccccn2)ccn1")</f>
        <v>FCNCc1cc(C(c2ccccn2)c2ccccn2)ccn1</v>
      </c>
      <c r="C12181" s="7">
        <f>IFERROR(__xludf.DUMMYFUNCTION("""COMPUTED_VALUE"""),7.759144)</f>
        <v>7.759144</v>
      </c>
      <c r="D12181" s="7">
        <f>IFERROR(__xludf.DUMMYFUNCTION("""COMPUTED_VALUE"""),0.414634146341463)</f>
        <v>0.4146341463</v>
      </c>
    </row>
    <row r="12182">
      <c r="A12182" s="10" t="s">
        <v>13621</v>
      </c>
      <c r="B12182" s="7" t="str">
        <f>IFERROR(__xludf.DUMMYFUNCTION("SPLIT(A12182,"" "")"),"Cc1cccnc1CN(Cc1ccccn1)Cc1cccc(NCc2ccccn2)n1")</f>
        <v>Cc1cccnc1CN(Cc1ccccn1)Cc1cccc(NCc2ccccn2)n1</v>
      </c>
      <c r="C12182" s="7">
        <f>IFERROR(__xludf.DUMMYFUNCTION("""COMPUTED_VALUE"""),7.759141)</f>
        <v>7.759141</v>
      </c>
      <c r="D12182" s="7">
        <f>IFERROR(__xludf.DUMMYFUNCTION("""COMPUTED_VALUE"""),0.476190476190476)</f>
        <v>0.4761904762</v>
      </c>
    </row>
    <row r="12183">
      <c r="A12183" s="10" t="s">
        <v>13622</v>
      </c>
      <c r="B12183" s="7" t="str">
        <f>IFERROR(__xludf.DUMMYFUNCTION("SPLIT(A12183,"" "")"),"CC(C)C(C)N(C)Cc1ncccc1-c1cccc(Cl)c1N")</f>
        <v>CC(C)C(C)N(C)Cc1ncccc1-c1cccc(Cl)c1N</v>
      </c>
      <c r="C12183" s="7">
        <f>IFERROR(__xludf.DUMMYFUNCTION("""COMPUTED_VALUE"""),7.7591333)</f>
        <v>7.7591333</v>
      </c>
      <c r="D12183" s="7">
        <f>IFERROR(__xludf.DUMMYFUNCTION("""COMPUTED_VALUE"""),0.307692307692307)</f>
        <v>0.3076923077</v>
      </c>
    </row>
    <row r="12184">
      <c r="A12184" s="10" t="s">
        <v>13623</v>
      </c>
      <c r="B12184" s="7" t="str">
        <f>IFERROR(__xludf.DUMMYFUNCTION("SPLIT(A12184,"" "")"),"CCN(Cc1ccccn1)Cc1cc(C(C)(C)c2cc(CN(Cc3cc(C)ccn3)Cc3cc(C(C)(C)C)ccn3)ccn2)ccn1")</f>
        <v>CCN(Cc1ccccn1)Cc1cc(C(C)(C)c2cc(CN(Cc3cc(C)ccn3)Cc3cc(C(C)(C)C)ccn3)ccn2)ccn1</v>
      </c>
      <c r="C12184" s="7">
        <f>IFERROR(__xludf.DUMMYFUNCTION("""COMPUTED_VALUE"""),7.7591314)</f>
        <v>7.7591314</v>
      </c>
      <c r="D12184" s="7">
        <f>IFERROR(__xludf.DUMMYFUNCTION("""COMPUTED_VALUE"""),0.384615384615384)</f>
        <v>0.3846153846</v>
      </c>
    </row>
    <row r="12185">
      <c r="A12185" s="10" t="s">
        <v>13624</v>
      </c>
      <c r="B12185" s="7" t="str">
        <f>IFERROR(__xludf.DUMMYFUNCTION("SPLIT(A12185,"" "")"),"Cc1ncc(CN(C)C2CCC(N(C)c3ccc4cccnc4c3)CC2)c(C)c1C")</f>
        <v>Cc1ncc(CN(C)C2CCC(N(C)c3ccc4cccnc4c3)CC2)c(C)c1C</v>
      </c>
      <c r="C12185" s="7">
        <f>IFERROR(__xludf.DUMMYFUNCTION("""COMPUTED_VALUE"""),7.759128)</f>
        <v>7.759128</v>
      </c>
      <c r="D12185" s="7">
        <f>IFERROR(__xludf.DUMMYFUNCTION("""COMPUTED_VALUE"""),0.306451612903225)</f>
        <v>0.3064516129</v>
      </c>
    </row>
    <row r="12186">
      <c r="A12186" s="10" t="s">
        <v>13625</v>
      </c>
      <c r="B12186" s="7" t="str">
        <f>IFERROR(__xludf.DUMMYFUNCTION("SPLIT(A12186,"" "")"),"Cc1cc(CN(C)C2CCC(N(C)c3ccc4nccc(CF)c4c3)CC2)cnc1C")</f>
        <v>Cc1cc(CN(C)C2CCC(N(C)c3ccc4nccc(CF)c4c3)CC2)cnc1C</v>
      </c>
      <c r="C12186" s="7">
        <f>IFERROR(__xludf.DUMMYFUNCTION("""COMPUTED_VALUE"""),7.759127)</f>
        <v>7.759127</v>
      </c>
      <c r="D12186" s="7">
        <f>IFERROR(__xludf.DUMMYFUNCTION("""COMPUTED_VALUE"""),0.235294117647058)</f>
        <v>0.2352941176</v>
      </c>
    </row>
    <row r="12187">
      <c r="A12187" s="10" t="s">
        <v>13626</v>
      </c>
      <c r="B12187" s="7" t="str">
        <f>IFERROR(__xludf.DUMMYFUNCTION("SPLIT(A12187,"" "")"),"C1=CC(NCc2ccccn2)NC(N(Cc2ccccn2)Cc2ccccn2)=C1")</f>
        <v>C1=CC(NCc2ccccn2)NC(N(Cc2ccccn2)Cc2ccccn2)=C1</v>
      </c>
      <c r="C12187" s="7">
        <f>IFERROR(__xludf.DUMMYFUNCTION("""COMPUTED_VALUE"""),7.759122)</f>
        <v>7.759122</v>
      </c>
      <c r="D12187" s="7">
        <f>IFERROR(__xludf.DUMMYFUNCTION("""COMPUTED_VALUE"""),0.395348837209302)</f>
        <v>0.3953488372</v>
      </c>
    </row>
    <row r="12188">
      <c r="A12188" s="10" t="s">
        <v>13627</v>
      </c>
      <c r="B12188" s="7" t="str">
        <f>IFERROR(__xludf.DUMMYFUNCTION("SPLIT(A12188,"" "")"),"CCOC(=O)c1cccc(CN(Cc2ccccn2)Cc2cc(C(C)(C)C)ccn2)n1")</f>
        <v>CCOC(=O)c1cccc(CN(Cc2ccccn2)Cc2cc(C(C)(C)C)ccn2)n1</v>
      </c>
      <c r="C12188" s="7">
        <f>IFERROR(__xludf.DUMMYFUNCTION("""COMPUTED_VALUE"""),7.759121)</f>
        <v>7.759121</v>
      </c>
      <c r="D12188" s="7">
        <f>IFERROR(__xludf.DUMMYFUNCTION("""COMPUTED_VALUE"""),0.40625)</f>
        <v>0.40625</v>
      </c>
    </row>
    <row r="12189">
      <c r="A12189" s="10" t="s">
        <v>13628</v>
      </c>
      <c r="B12189" s="7" t="str">
        <f>IFERROR(__xludf.DUMMYFUNCTION("SPLIT(A12189,"" "")"),"Cc1cc(C)c(CN(C)CC2C=CNC(N(C)Cc3ccccn3)=C2)nc1C")</f>
        <v>Cc1cc(C)c(CN(C)CC2C=CNC(N(C)Cc3ccccn3)=C2)nc1C</v>
      </c>
      <c r="C12189" s="7">
        <f>IFERROR(__xludf.DUMMYFUNCTION("""COMPUTED_VALUE"""),7.759109)</f>
        <v>7.759109</v>
      </c>
      <c r="D12189" s="7">
        <f>IFERROR(__xludf.DUMMYFUNCTION("""COMPUTED_VALUE"""),0.366666666666666)</f>
        <v>0.3666666667</v>
      </c>
    </row>
    <row r="12190">
      <c r="A12190" s="10" t="s">
        <v>13629</v>
      </c>
      <c r="B12190" s="7" t="str">
        <f>IFERROR(__xludf.DUMMYFUNCTION("SPLIT(A12190,"" "")"),"CCN(CC1=CCC=C(N(C)Cc2ccccn2)N1)C(C)(C)c1ccccn1")</f>
        <v>CCN(CC1=CCC=C(N(C)Cc2ccccn2)N1)C(C)(C)c1ccccn1</v>
      </c>
      <c r="C12190" s="7">
        <f>IFERROR(__xludf.DUMMYFUNCTION("""COMPUTED_VALUE"""),7.7591047)</f>
        <v>7.7591047</v>
      </c>
      <c r="D12190" s="7">
        <f>IFERROR(__xludf.DUMMYFUNCTION("""COMPUTED_VALUE"""),0.392857142857142)</f>
        <v>0.3928571429</v>
      </c>
    </row>
    <row r="12191">
      <c r="A12191" s="10" t="s">
        <v>13630</v>
      </c>
      <c r="B12191" s="7" t="str">
        <f>IFERROR(__xludf.DUMMYFUNCTION("SPLIT(A12191,"" "")"),"CNC1C(NCc2nc(C)c(C)cc2C)CC(N(Cc2nc(C)c(C)c(C)c2C)Cc2nc(C)c(C)c(C)c2C)CC1N(Cc1nc(C)c(C)c(C)c1C)Cc1nc(C)c(C)c(C)c1C")</f>
        <v>CNC1C(NCc2nc(C)c(C)cc2C)CC(N(Cc2nc(C)c(C)c(C)c2C)Cc2nc(C)c(C)c(C)c2C)CC1N(Cc1nc(C)c(C)c(C)c1C)Cc1nc(C)c(C)c(C)c1C</v>
      </c>
      <c r="C12191" s="7">
        <f>IFERROR(__xludf.DUMMYFUNCTION("""COMPUTED_VALUE"""),7.759104)</f>
        <v>7.759104</v>
      </c>
      <c r="D12191" s="7">
        <f>IFERROR(__xludf.DUMMYFUNCTION("""COMPUTED_VALUE"""),0.176470588235294)</f>
        <v>0.1764705882</v>
      </c>
    </row>
    <row r="12192">
      <c r="A12192" s="10" t="s">
        <v>13631</v>
      </c>
      <c r="B12192" s="7" t="str">
        <f>IFERROR(__xludf.DUMMYFUNCTION("SPLIT(A12192,"" "")"),"CN(C)Cc1ccc2cc(N(C)C3CCC(N(C)Cc4ccon4)CC3)ccc2n1")</f>
        <v>CN(C)Cc1ccc2cc(N(C)C3CCC(N(C)Cc4ccon4)CC3)ccc2n1</v>
      </c>
      <c r="C12192" s="7">
        <f>IFERROR(__xludf.DUMMYFUNCTION("""COMPUTED_VALUE"""),7.7590985)</f>
        <v>7.7590985</v>
      </c>
      <c r="D12192" s="7">
        <f>IFERROR(__xludf.DUMMYFUNCTION("""COMPUTED_VALUE"""),0.392156862745098)</f>
        <v>0.3921568627</v>
      </c>
    </row>
    <row r="12193">
      <c r="A12193" s="10" t="s">
        <v>13632</v>
      </c>
      <c r="B12193" s="7" t="str">
        <f>IFERROR(__xludf.DUMMYFUNCTION("SPLIT(A12193,"" "")"),"Cc1cnc(CN(C)C2CCC(N(C)c3ccc4c(CF)ccnc4c3)CC2)c(C)c1")</f>
        <v>Cc1cnc(CN(C)C2CCC(N(C)c3ccc4c(CF)ccnc4c3)CC2)c(C)c1</v>
      </c>
      <c r="C12193" s="7">
        <f>IFERROR(__xludf.DUMMYFUNCTION("""COMPUTED_VALUE"""),7.7590966)</f>
        <v>7.7590966</v>
      </c>
      <c r="D12193" s="7">
        <f>IFERROR(__xludf.DUMMYFUNCTION("""COMPUTED_VALUE"""),0.276923076923076)</f>
        <v>0.2769230769</v>
      </c>
    </row>
    <row r="12194">
      <c r="A12194" s="10" t="s">
        <v>13633</v>
      </c>
      <c r="B12194" s="7" t="str">
        <f>IFERROR(__xludf.DUMMYFUNCTION("SPLIT(A12194,"" "")"),"FCNCc1ncccc1C(c1ccccn1)c1ccccn1")</f>
        <v>FCNCc1ncccc1C(c1ccccn1)c1ccccn1</v>
      </c>
      <c r="C12194" s="7">
        <f>IFERROR(__xludf.DUMMYFUNCTION("""COMPUTED_VALUE"""),7.7590947)</f>
        <v>7.7590947</v>
      </c>
      <c r="D12194" s="7">
        <f>IFERROR(__xludf.DUMMYFUNCTION("""COMPUTED_VALUE"""),0.333333333333333)</f>
        <v>0.3333333333</v>
      </c>
    </row>
    <row r="12195">
      <c r="A12195" s="10" t="s">
        <v>13634</v>
      </c>
      <c r="B12195" s="7" t="str">
        <f>IFERROR(__xludf.DUMMYFUNCTION("SPLIT(A12195,"" "")"),"CCN(Cc1ccccn1)C1=CNC=C(CN(Cc2ccccn2)Cc2cc(C)c(C)c(C)n2)C1")</f>
        <v>CCN(Cc1ccccn1)C1=CNC=C(CN(Cc2ccccn2)Cc2cc(C)c(C)c(C)n2)C1</v>
      </c>
      <c r="C12195" s="7">
        <f>IFERROR(__xludf.DUMMYFUNCTION("""COMPUTED_VALUE"""),7.759094)</f>
        <v>7.759094</v>
      </c>
      <c r="D12195" s="7">
        <f>IFERROR(__xludf.DUMMYFUNCTION("""COMPUTED_VALUE"""),0.377358490566037)</f>
        <v>0.3773584906</v>
      </c>
    </row>
    <row r="12196">
      <c r="A12196" s="10" t="s">
        <v>13635</v>
      </c>
      <c r="B12196" s="7" t="str">
        <f>IFERROR(__xludf.DUMMYFUNCTION("SPLIT(A12196,"" "")"),"C1=CNC(c2ccccc2)C(NCc2ccccn2)=C1")</f>
        <v>C1=CNC(c2ccccc2)C(NCc2ccccn2)=C1</v>
      </c>
      <c r="C12196" s="7">
        <f>IFERROR(__xludf.DUMMYFUNCTION("""COMPUTED_VALUE"""),7.759091)</f>
        <v>7.759091</v>
      </c>
      <c r="D12196" s="7">
        <f>IFERROR(__xludf.DUMMYFUNCTION("""COMPUTED_VALUE"""),0.395348837209302)</f>
        <v>0.3953488372</v>
      </c>
    </row>
    <row r="12197">
      <c r="A12197" s="10" t="s">
        <v>13636</v>
      </c>
      <c r="B12197" s="7" t="str">
        <f>IFERROR(__xludf.DUMMYFUNCTION("SPLIT(A12197,"" "")"),"Cc1ccc(CN(C)C2=C(CN(C)C)NC=CC2)nc1")</f>
        <v>Cc1ccc(CN(C)C2=C(CN(C)C)NC=CC2)nc1</v>
      </c>
      <c r="C12197" s="7">
        <f>IFERROR(__xludf.DUMMYFUNCTION("""COMPUTED_VALUE"""),7.75909)</f>
        <v>7.75909</v>
      </c>
      <c r="D12197" s="7">
        <f>IFERROR(__xludf.DUMMYFUNCTION("""COMPUTED_VALUE"""),0.444444444444444)</f>
        <v>0.4444444444</v>
      </c>
    </row>
    <row r="12198">
      <c r="A12198" s="10" t="s">
        <v>13637</v>
      </c>
      <c r="B12198" s="7" t="str">
        <f>IFERROR(__xludf.DUMMYFUNCTION("SPLIT(A12198,"" "")"),"Cc1cc(C)nc(CN(C)C2CCC(N(C)c3ccc4nccc(CF)c4c3)CC2)c1")</f>
        <v>Cc1cc(C)nc(CN(C)C2CCC(N(C)c3ccc4nccc(CF)c4c3)CC2)c1</v>
      </c>
      <c r="C12198" s="7">
        <f>IFERROR(__xludf.DUMMYFUNCTION("""COMPUTED_VALUE"""),7.759088)</f>
        <v>7.759088</v>
      </c>
      <c r="D12198" s="7">
        <f>IFERROR(__xludf.DUMMYFUNCTION("""COMPUTED_VALUE"""),0.292307692307692)</f>
        <v>0.2923076923</v>
      </c>
    </row>
    <row r="12199">
      <c r="A12199" s="10" t="s">
        <v>13638</v>
      </c>
      <c r="B12199" s="7" t="str">
        <f>IFERROR(__xludf.DUMMYFUNCTION("SPLIT(A12199,"" "")"),"CN(Cc1cccc(N)n1)Cc1cccc(Cl)n1")</f>
        <v>CN(Cc1cccc(N)n1)Cc1cccc(Cl)n1</v>
      </c>
      <c r="C12199" s="7">
        <f>IFERROR(__xludf.DUMMYFUNCTION("""COMPUTED_VALUE"""),7.759087)</f>
        <v>7.759087</v>
      </c>
      <c r="D12199" s="7">
        <f>IFERROR(__xludf.DUMMYFUNCTION("""COMPUTED_VALUE"""),0.447368421052631)</f>
        <v>0.4473684211</v>
      </c>
    </row>
    <row r="12200">
      <c r="A12200" s="10" t="s">
        <v>13639</v>
      </c>
      <c r="B12200" s="7" t="str">
        <f>IFERROR(__xludf.DUMMYFUNCTION("SPLIT(A12200,"" "")"),"CNC1C(N(Cc2ncccc2C)Cc2ncccc2C)CCCC1N(Cc1ncccc1C)c1ccc2nc(CF)ccc2c1")</f>
        <v>CNC1C(N(Cc2ncccc2C)Cc2ncccc2C)CCCC1N(Cc1ncccc1C)c1ccc2nc(CF)ccc2c1</v>
      </c>
      <c r="C12200" s="7">
        <f>IFERROR(__xludf.DUMMYFUNCTION("""COMPUTED_VALUE"""),7.759085)</f>
        <v>7.759085</v>
      </c>
      <c r="D12200" s="7">
        <f>IFERROR(__xludf.DUMMYFUNCTION("""COMPUTED_VALUE"""),0.315068493150684)</f>
        <v>0.3150684932</v>
      </c>
    </row>
    <row r="12201">
      <c r="A12201" s="10" t="s">
        <v>13640</v>
      </c>
      <c r="B12201" s="7" t="str">
        <f>IFERROR(__xludf.DUMMYFUNCTION("SPLIT(A12201,"" "")"),"Cc1cc(CN(C)C2CCC(N(C)Cc3ccccn3)C(N(Cc3ccccn3)c3ccc4ncccc4c3)C2)cnc1C")</f>
        <v>Cc1cc(CN(C)C2CCC(N(C)Cc3ccccn3)C(N(Cc3ccccn3)c3ccc4ncccc4c3)C2)cnc1C</v>
      </c>
      <c r="C12201" s="7">
        <f>IFERROR(__xludf.DUMMYFUNCTION("""COMPUTED_VALUE"""),7.7590833)</f>
        <v>7.7590833</v>
      </c>
      <c r="D12201" s="7">
        <f>IFERROR(__xludf.DUMMYFUNCTION("""COMPUTED_VALUE"""),0.415384615384615)</f>
        <v>0.4153846154</v>
      </c>
    </row>
    <row r="12202">
      <c r="A12202" s="10" t="s">
        <v>13641</v>
      </c>
      <c r="B12202" s="7" t="str">
        <f>IFERROR(__xludf.DUMMYFUNCTION("SPLIT(A12202,"" "")"),"Cc1cccc(CN(C)C2=CCC=C(CN(Cc3ccccn3)C(C)C)N2)n1")</f>
        <v>Cc1cccc(CN(C)C2=CCC=C(CN(Cc3ccccn3)C(C)C)N2)n1</v>
      </c>
      <c r="C12202" s="7">
        <f>IFERROR(__xludf.DUMMYFUNCTION("""COMPUTED_VALUE"""),7.7590823)</f>
        <v>7.7590823</v>
      </c>
      <c r="D12202" s="7">
        <f>IFERROR(__xludf.DUMMYFUNCTION("""COMPUTED_VALUE"""),0.444444444444444)</f>
        <v>0.4444444444</v>
      </c>
    </row>
    <row r="12203">
      <c r="A12203" s="10" t="s">
        <v>13642</v>
      </c>
      <c r="B12203" s="7" t="str">
        <f>IFERROR(__xludf.DUMMYFUNCTION("SPLIT(A12203,"" "")"),"Cc1cnc(CN(Cc2ccccn2)Cc2ncccc2N(C)C(C)C)c(C)c1C")</f>
        <v>Cc1cnc(CN(Cc2ccccn2)Cc2ncccc2N(C)C(C)C)c(C)c1C</v>
      </c>
      <c r="C12203" s="7">
        <f>IFERROR(__xludf.DUMMYFUNCTION("""COMPUTED_VALUE"""),7.7590795)</f>
        <v>7.7590795</v>
      </c>
      <c r="D12203" s="7">
        <f>IFERROR(__xludf.DUMMYFUNCTION("""COMPUTED_VALUE"""),0.46938775510204)</f>
        <v>0.4693877551</v>
      </c>
    </row>
    <row r="12204">
      <c r="A12204" s="10" t="s">
        <v>13643</v>
      </c>
      <c r="B12204" s="7" t="str">
        <f>IFERROR(__xludf.DUMMYFUNCTION("SPLIT(A12204,"" "")"),"Cc1cccnc1CN(CCN(C)Cc1cccc2ncccc12)C(C)C")</f>
        <v>Cc1cccnc1CN(CCN(C)Cc1cccc2ncccc12)C(C)C</v>
      </c>
      <c r="C12204" s="7">
        <f>IFERROR(__xludf.DUMMYFUNCTION("""COMPUTED_VALUE"""),7.759074)</f>
        <v>7.759074</v>
      </c>
      <c r="D12204" s="7">
        <f>IFERROR(__xludf.DUMMYFUNCTION("""COMPUTED_VALUE"""),0.431372549019607)</f>
        <v>0.431372549</v>
      </c>
    </row>
    <row r="12205">
      <c r="A12205" s="10" t="s">
        <v>13644</v>
      </c>
      <c r="B12205" s="7" t="str">
        <f>IFERROR(__xludf.DUMMYFUNCTION("SPLIT(A12205,"" "")"),"Cc1ccc(CN(C)C2=CNC=C(CN(C)Cc3ccccn3)C2)nc1")</f>
        <v>Cc1ccc(CN(C)C2=CNC=C(CN(C)Cc3ccccn3)C2)nc1</v>
      </c>
      <c r="C12205" s="7">
        <f>IFERROR(__xludf.DUMMYFUNCTION("""COMPUTED_VALUE"""),7.7590723)</f>
        <v>7.7590723</v>
      </c>
      <c r="D12205" s="7">
        <f>IFERROR(__xludf.DUMMYFUNCTION("""COMPUTED_VALUE"""),0.44)</f>
        <v>0.44</v>
      </c>
    </row>
    <row r="12206">
      <c r="A12206" s="10" t="s">
        <v>13645</v>
      </c>
      <c r="B12206" s="7" t="str">
        <f>IFERROR(__xludf.DUMMYFUNCTION("SPLIT(A12206,"" "")"),"CN1CCN(C)CCN(Cc2ccc(-c3cc(N)cc4ncccc34)nc2)CC1")</f>
        <v>CN1CCN(C)CCN(Cc2ccc(-c3cc(N)cc4ncccc34)nc2)CC1</v>
      </c>
      <c r="C12206" s="7">
        <f>IFERROR(__xludf.DUMMYFUNCTION("""COMPUTED_VALUE"""),7.759072)</f>
        <v>7.759072</v>
      </c>
      <c r="D12206" s="7">
        <f>IFERROR(__xludf.DUMMYFUNCTION("""COMPUTED_VALUE"""),0.388888888888888)</f>
        <v>0.3888888889</v>
      </c>
    </row>
    <row r="12207">
      <c r="A12207" s="10" t="s">
        <v>13646</v>
      </c>
      <c r="B12207" s="7" t="str">
        <f>IFERROR(__xludf.DUMMYFUNCTION("SPLIT(A12207,"" "")"),"Cc1cccnc1CN(C)C1=CCC=C(C(C)C)N1")</f>
        <v>Cc1cccnc1CN(C)C1=CCC=C(C(C)C)N1</v>
      </c>
      <c r="C12207" s="7">
        <f>IFERROR(__xludf.DUMMYFUNCTION("""COMPUTED_VALUE"""),7.7590685)</f>
        <v>7.7590685</v>
      </c>
      <c r="D12207" s="7">
        <f>IFERROR(__xludf.DUMMYFUNCTION("""COMPUTED_VALUE"""),0.259259259259259)</f>
        <v>0.2592592593</v>
      </c>
    </row>
    <row r="12208">
      <c r="A12208" s="10" t="s">
        <v>13647</v>
      </c>
      <c r="B12208" s="7" t="str">
        <f>IFERROR(__xludf.DUMMYFUNCTION("SPLIT(A12208,"" "")"),"Cc1cc(CN(C)Cc2ncccc2C(C)(C)C)nc(C)c1C")</f>
        <v>Cc1cc(CN(C)Cc2ncccc2C(C)(C)C)nc(C)c1C</v>
      </c>
      <c r="C12208" s="7">
        <f>IFERROR(__xludf.DUMMYFUNCTION("""COMPUTED_VALUE"""),7.7590675)</f>
        <v>7.7590675</v>
      </c>
      <c r="D12208" s="7">
        <f>IFERROR(__xludf.DUMMYFUNCTION("""COMPUTED_VALUE"""),0.333333333333333)</f>
        <v>0.3333333333</v>
      </c>
    </row>
    <row r="12209">
      <c r="A12209" s="10" t="s">
        <v>13648</v>
      </c>
      <c r="B12209" s="7" t="str">
        <f>IFERROR(__xludf.DUMMYFUNCTION("SPLIT(A12209,"" "")"),"CC(C)C(C)N(C)Cc1ccc(-c2cccc(N)c2Cl)cn1")</f>
        <v>CC(C)C(C)N(C)Cc1ccc(-c2cccc(N)c2Cl)cn1</v>
      </c>
      <c r="C12209" s="7">
        <f>IFERROR(__xludf.DUMMYFUNCTION("""COMPUTED_VALUE"""),7.7590666)</f>
        <v>7.7590666</v>
      </c>
      <c r="D12209" s="7">
        <f>IFERROR(__xludf.DUMMYFUNCTION("""COMPUTED_VALUE"""),0.30188679245283)</f>
        <v>0.3018867925</v>
      </c>
    </row>
    <row r="12210">
      <c r="A12210" s="10" t="s">
        <v>13649</v>
      </c>
      <c r="B12210" s="7" t="str">
        <f>IFERROR(__xludf.DUMMYFUNCTION("SPLIT(A12210,"" "")"),"Cc1cccnc1CN(Cc1ncc(CN(Cc2ncccc2C)c2ccc3ncccc3c2)cc1C)Cc1ncccc1-c1ccc2c(c1)OCCOCCOCCOCCOCCO2")</f>
        <v>Cc1cccnc1CN(Cc1ncc(CN(Cc2ncccc2C)c2ccc3ncccc3c2)cc1C)Cc1ncccc1-c1ccc2c(c1)OCCOCCOCCOCCOCCO2</v>
      </c>
      <c r="C12210" s="7">
        <f>IFERROR(__xludf.DUMMYFUNCTION("""COMPUTED_VALUE"""),7.759059)</f>
        <v>7.759059</v>
      </c>
      <c r="D12210" s="7">
        <f>IFERROR(__xludf.DUMMYFUNCTION("""COMPUTED_VALUE"""),0.27906976744186)</f>
        <v>0.2790697674</v>
      </c>
    </row>
    <row r="12211">
      <c r="A12211" s="10" t="s">
        <v>13650</v>
      </c>
      <c r="B12211" s="7" t="str">
        <f>IFERROR(__xludf.DUMMYFUNCTION("SPLIT(A12211,"" "")"),"Cc1cc(CN(C)C2CCCCC2N(C)c2ccc3nc(CN(C)C)ccc3c2)nc(C)c1C")</f>
        <v>Cc1cc(CN(C)C2CCCCC2N(C)c2ccc3nc(CN(C)C)ccc3c2)nc(C)c1C</v>
      </c>
      <c r="C12211" s="7">
        <f>IFERROR(__xludf.DUMMYFUNCTION("""COMPUTED_VALUE"""),7.759049)</f>
        <v>7.759049</v>
      </c>
      <c r="D12211" s="7">
        <f>IFERROR(__xludf.DUMMYFUNCTION("""COMPUTED_VALUE"""),0.421052631578947)</f>
        <v>0.4210526316</v>
      </c>
    </row>
    <row r="12212">
      <c r="A12212" s="10" t="s">
        <v>13651</v>
      </c>
      <c r="B12212" s="7" t="str">
        <f>IFERROR(__xludf.DUMMYFUNCTION("SPLIT(A12212,"" "")"),"CNc1cccnc1C")</f>
        <v>CNc1cccnc1C</v>
      </c>
      <c r="C12212" s="7">
        <f>IFERROR(__xludf.DUMMYFUNCTION("""COMPUTED_VALUE"""),7.7590427)</f>
        <v>7.7590427</v>
      </c>
      <c r="D12212" s="7">
        <f>IFERROR(__xludf.DUMMYFUNCTION("""COMPUTED_VALUE"""),0.264705882352941)</f>
        <v>0.2647058824</v>
      </c>
    </row>
    <row r="12213">
      <c r="A12213" s="10" t="s">
        <v>13652</v>
      </c>
      <c r="B12213" s="7" t="str">
        <f>IFERROR(__xludf.DUMMYFUNCTION("SPLIT(A12213,"" "")"),"CN(Cc1cccc(C2CCC2(C)C)n1)Cc1ncccc1C(C)(c1ccccn1)c1ccccn1")</f>
        <v>CN(Cc1cccc(C2CCC2(C)C)n1)Cc1ncccc1C(C)(c1ccccn1)c1ccccn1</v>
      </c>
      <c r="C12213" s="7">
        <f>IFERROR(__xludf.DUMMYFUNCTION("""COMPUTED_VALUE"""),7.7590346)</f>
        <v>7.7590346</v>
      </c>
      <c r="D12213" s="7">
        <f>IFERROR(__xludf.DUMMYFUNCTION("""COMPUTED_VALUE"""),0.387096774193548)</f>
        <v>0.3870967742</v>
      </c>
    </row>
    <row r="12214">
      <c r="A12214" s="10" t="s">
        <v>13653</v>
      </c>
      <c r="B12214" s="7" t="str">
        <f>IFERROR(__xludf.DUMMYFUNCTION("SPLIT(A12214,"" "")"),"Cc1ccccc1CN(C)CC1=CCC(N(C)Cc2ncccc2C)=CN1")</f>
        <v>Cc1ccccc1CN(C)CC1=CCC(N(C)Cc2ncccc2C)=CN1</v>
      </c>
      <c r="C12214" s="7">
        <f>IFERROR(__xludf.DUMMYFUNCTION("""COMPUTED_VALUE"""),7.7590265)</f>
        <v>7.7590265</v>
      </c>
      <c r="D12214" s="7">
        <f>IFERROR(__xludf.DUMMYFUNCTION("""COMPUTED_VALUE"""),0.333333333333333)</f>
        <v>0.3333333333</v>
      </c>
    </row>
    <row r="12215">
      <c r="A12215" s="10" t="s">
        <v>13654</v>
      </c>
      <c r="B12215" s="7" t="str">
        <f>IFERROR(__xludf.DUMMYFUNCTION("SPLIT(A12215,"" "")"),"CC(C)C(C)(c1cccnc1)c1cc(CN(Cc2ccccn2)C2CCC(N(C)c3ccc4nccc(CF)c4c3)CC2)ccn1")</f>
        <v>CC(C)C(C)(c1cccnc1)c1cc(CN(Cc2ccccn2)C2CCC(N(C)c3ccc4nccc(CF)c4c3)CC2)ccn1</v>
      </c>
      <c r="C12215" s="7">
        <f>IFERROR(__xludf.DUMMYFUNCTION("""COMPUTED_VALUE"""),7.759021)</f>
        <v>7.759021</v>
      </c>
      <c r="D12215" s="7">
        <f>IFERROR(__xludf.DUMMYFUNCTION("""COMPUTED_VALUE"""),0.265060240963855)</f>
        <v>0.265060241</v>
      </c>
    </row>
    <row r="12216">
      <c r="A12216" s="10" t="s">
        <v>13655</v>
      </c>
      <c r="B12216" s="7" t="str">
        <f>IFERROR(__xludf.DUMMYFUNCTION("SPLIT(A12216,"" "")"),"Cc1cnc(CN(C)Cc2cc(N(C)C(C)C)ccn2)c(C)c1")</f>
        <v>Cc1cnc(CN(C)Cc2cc(N(C)C(C)C)ccn2)c(C)c1</v>
      </c>
      <c r="C12216" s="7">
        <f>IFERROR(__xludf.DUMMYFUNCTION("""COMPUTED_VALUE"""),7.759014)</f>
        <v>7.759014</v>
      </c>
      <c r="D12216" s="7">
        <f>IFERROR(__xludf.DUMMYFUNCTION("""COMPUTED_VALUE"""),0.375)</f>
        <v>0.375</v>
      </c>
    </row>
    <row r="12217">
      <c r="A12217" s="10" t="s">
        <v>13656</v>
      </c>
      <c r="B12217" s="7" t="str">
        <f>IFERROR(__xludf.DUMMYFUNCTION("SPLIT(A12217,"" "")"),"CNC1C(N(Cc2nc(C)c(C)c(C)c2C)Cc2nc(C)c(C)c(C)c2C)CC(NCc2nc(C)c(C)cc2C)CC1N(Cc1nc(C)c(C)c(C)c1C)Cc1nc(C)c(C)c(C)c1C")</f>
        <v>CNC1C(N(Cc2nc(C)c(C)c(C)c2C)Cc2nc(C)c(C)c(C)c2C)CC(NCc2nc(C)c(C)cc2C)CC1N(Cc1nc(C)c(C)c(C)c1C)Cc1nc(C)c(C)c(C)c1C</v>
      </c>
      <c r="C12217" s="7">
        <f>IFERROR(__xludf.DUMMYFUNCTION("""COMPUTED_VALUE"""),7.7590117)</f>
        <v>7.7590117</v>
      </c>
      <c r="D12217" s="7">
        <f>IFERROR(__xludf.DUMMYFUNCTION("""COMPUTED_VALUE"""),0.1875)</f>
        <v>0.1875</v>
      </c>
    </row>
    <row r="12218">
      <c r="A12218" s="10" t="s">
        <v>13657</v>
      </c>
      <c r="B12218" s="7" t="str">
        <f>IFERROR(__xludf.DUMMYFUNCTION("SPLIT(A12218,"" "")"),"Cc1ccc(C)c(CN(C)CC2=C(N(C)Cc3ccccn3)CC=CN2)c1C")</f>
        <v>Cc1ccc(C)c(CN(C)CC2=C(N(C)Cc3ccccn3)CC=CN2)c1C</v>
      </c>
      <c r="C12218" s="7">
        <f>IFERROR(__xludf.DUMMYFUNCTION("""COMPUTED_VALUE"""),7.759011)</f>
        <v>7.759011</v>
      </c>
      <c r="D12218" s="7">
        <f>IFERROR(__xludf.DUMMYFUNCTION("""COMPUTED_VALUE"""),0.377049180327868)</f>
        <v>0.3770491803</v>
      </c>
    </row>
    <row r="12219">
      <c r="A12219" s="10" t="s">
        <v>13658</v>
      </c>
      <c r="B12219" s="7" t="str">
        <f>IFERROR(__xludf.DUMMYFUNCTION("SPLIT(A12219,"" "")"),"Cc1cnc(CN(C)Cc2cc(C)c(C)cn2)c(C)c1")</f>
        <v>Cc1cnc(CN(C)Cc2cc(C)c(C)cn2)c(C)c1</v>
      </c>
      <c r="C12219" s="7">
        <f>IFERROR(__xludf.DUMMYFUNCTION("""COMPUTED_VALUE"""),7.7590084)</f>
        <v>7.7590084</v>
      </c>
      <c r="D12219" s="7">
        <f>IFERROR(__xludf.DUMMYFUNCTION("""COMPUTED_VALUE"""),0.461538461538461)</f>
        <v>0.4615384615</v>
      </c>
    </row>
    <row r="12220">
      <c r="A12220" s="10" t="s">
        <v>13659</v>
      </c>
      <c r="B12220" s="7" t="str">
        <f>IFERROR(__xludf.DUMMYFUNCTION("SPLIT(A12220,"" "")"),"Cc1cc(C)c(C)c(CN(C)Cc2cccnc2C)n1")</f>
        <v>Cc1cc(C)c(C)c(CN(C)Cc2cccnc2C)n1</v>
      </c>
      <c r="C12220" s="7">
        <f>IFERROR(__xludf.DUMMYFUNCTION("""COMPUTED_VALUE"""),7.759008)</f>
        <v>7.759008</v>
      </c>
      <c r="D12220" s="7">
        <f>IFERROR(__xludf.DUMMYFUNCTION("""COMPUTED_VALUE"""),0.404255319148936)</f>
        <v>0.4042553191</v>
      </c>
    </row>
    <row r="12221">
      <c r="A12221" s="10" t="s">
        <v>13660</v>
      </c>
      <c r="B12221" s="7" t="str">
        <f>IFERROR(__xludf.DUMMYFUNCTION("SPLIT(A12221,"" "")"),"CNCc1ncccc1C1=NC(C)(C)CO1")</f>
        <v>CNCc1ncccc1C1=NC(C)(C)CO1</v>
      </c>
      <c r="C12221" s="7">
        <f>IFERROR(__xludf.DUMMYFUNCTION("""COMPUTED_VALUE"""),7.7590065)</f>
        <v>7.7590065</v>
      </c>
      <c r="D12221" s="7">
        <f>IFERROR(__xludf.DUMMYFUNCTION("""COMPUTED_VALUE"""),0.431818181818181)</f>
        <v>0.4318181818</v>
      </c>
    </row>
    <row r="12222">
      <c r="A12222" s="10" t="s">
        <v>13661</v>
      </c>
      <c r="B12222" s="7" t="str">
        <f>IFERROR(__xludf.DUMMYFUNCTION("SPLIT(A12222,"" "")"),"Cc1ccc(CN(Cc2ncc(C)c(C)c2C)C2CC(N(Cc3ncc(C)c(C)c3C)Cc3ncc(C)c(C)c3C)CCC2N(C)Cc2cc(-c3ccccn3)ccn2)nc1")</f>
        <v>Cc1ccc(CN(Cc2ncc(C)c(C)c2C)C2CC(N(Cc3ncc(C)c(C)c3C)Cc3ncc(C)c(C)c3C)CCC2N(C)Cc2cc(-c3ccccn3)ccn2)nc1</v>
      </c>
      <c r="C12222" s="7">
        <f>IFERROR(__xludf.DUMMYFUNCTION("""COMPUTED_VALUE"""),7.7590017)</f>
        <v>7.7590017</v>
      </c>
      <c r="D12222" s="7">
        <f>IFERROR(__xludf.DUMMYFUNCTION("""COMPUTED_VALUE"""),0.411764705882352)</f>
        <v>0.4117647059</v>
      </c>
    </row>
    <row r="12223">
      <c r="A12223" s="10" t="s">
        <v>13662</v>
      </c>
      <c r="B12223" s="7" t="str">
        <f>IFERROR(__xludf.DUMMYFUNCTION("SPLIT(A12223,"" "")"),"Cc1cc(C)c(C)c(CN(C)C2CCCC(N(C)c3ccc4cccnc4c3)C2)n1")</f>
        <v>Cc1cc(C)c(C)c(CN(C)C2CCCC(N(C)c3ccc4cccnc4c3)C2)n1</v>
      </c>
      <c r="C12223" s="7">
        <f>IFERROR(__xludf.DUMMYFUNCTION("""COMPUTED_VALUE"""),7.7589855)</f>
        <v>7.7589855</v>
      </c>
      <c r="D12223" s="7">
        <f>IFERROR(__xludf.DUMMYFUNCTION("""COMPUTED_VALUE"""),0.292307692307692)</f>
        <v>0.2923076923</v>
      </c>
    </row>
    <row r="12224">
      <c r="A12224" s="10" t="s">
        <v>13663</v>
      </c>
      <c r="B12224" s="7" t="str">
        <f>IFERROR(__xludf.DUMMYFUNCTION("SPLIT(A12224,"" "")"),"Cc1cc(C)nc(CN(Cc2cccnc2)Cc2ccon2)c1")</f>
        <v>Cc1cc(C)nc(CN(Cc2cccnc2)Cc2ccon2)c1</v>
      </c>
      <c r="C12224" s="7">
        <f>IFERROR(__xludf.DUMMYFUNCTION("""COMPUTED_VALUE"""),7.7589846)</f>
        <v>7.7589846</v>
      </c>
      <c r="D12224" s="7">
        <f>IFERROR(__xludf.DUMMYFUNCTION("""COMPUTED_VALUE"""),0.36734693877551)</f>
        <v>0.3673469388</v>
      </c>
    </row>
    <row r="12225">
      <c r="A12225" s="10" t="s">
        <v>13664</v>
      </c>
      <c r="B12225" s="7" t="str">
        <f>IFERROR(__xludf.DUMMYFUNCTION("SPLIT(A12225,"" "")"),"Cc1ccc(CN(C)C2CCCC(N(C)c3cccc4c(CN(C)C)ccnc34)C2)nc1")</f>
        <v>Cc1ccc(CN(C)C2CCCC(N(C)c3cccc4c(CN(C)C)ccnc34)C2)nc1</v>
      </c>
      <c r="C12225" s="7">
        <f>IFERROR(__xludf.DUMMYFUNCTION("""COMPUTED_VALUE"""),7.7589827)</f>
        <v>7.7589827</v>
      </c>
      <c r="D12225" s="7">
        <f>IFERROR(__xludf.DUMMYFUNCTION("""COMPUTED_VALUE"""),0.440677966101694)</f>
        <v>0.4406779661</v>
      </c>
    </row>
    <row r="12226">
      <c r="A12226" s="10" t="s">
        <v>13665</v>
      </c>
      <c r="B12226" s="7" t="str">
        <f>IFERROR(__xludf.DUMMYFUNCTION("SPLIT(A12226,"" "")"),"CN(Cc1ccccn1)Cc1cc(N(C)C(C)(C)c2ccccn2)ccn1")</f>
        <v>CN(Cc1ccccn1)Cc1cc(N(C)C(C)(C)c2ccccn2)ccn1</v>
      </c>
      <c r="C12226" s="7">
        <f>IFERROR(__xludf.DUMMYFUNCTION("""COMPUTED_VALUE"""),7.7589674)</f>
        <v>7.7589674</v>
      </c>
      <c r="D12226" s="7">
        <f>IFERROR(__xludf.DUMMYFUNCTION("""COMPUTED_VALUE"""),0.458333333333333)</f>
        <v>0.4583333333</v>
      </c>
    </row>
    <row r="12227">
      <c r="A12227" s="10" t="s">
        <v>13666</v>
      </c>
      <c r="B12227" s="7" t="str">
        <f>IFERROR(__xludf.DUMMYFUNCTION("SPLIT(A12227,"" "")"),"CC(C)C(C)N(C)CC1=CC(N(C)c2ccc3ncc(CF)cc3c2)C=CN1")</f>
        <v>CC(C)C(C)N(C)CC1=CC(N(C)c2ccc3ncc(CF)cc3c2)C=CN1</v>
      </c>
      <c r="C12227" s="7">
        <f>IFERROR(__xludf.DUMMYFUNCTION("""COMPUTED_VALUE"""),7.7589602)</f>
        <v>7.7589602</v>
      </c>
      <c r="D12227" s="7">
        <f>IFERROR(__xludf.DUMMYFUNCTION("""COMPUTED_VALUE"""),0.271428571428571)</f>
        <v>0.2714285714</v>
      </c>
    </row>
    <row r="12228">
      <c r="A12228" s="10" t="s">
        <v>13667</v>
      </c>
      <c r="B12228" s="7" t="str">
        <f>IFERROR(__xludf.DUMMYFUNCTION("SPLIT(A12228,"" "")"),"Cc1cnc(CN(C)C2CCC(N(C)c3ccc4nccc(CF)c4c3)CC2)c(C)c1")</f>
        <v>Cc1cnc(CN(C)C2CCC(N(C)c3ccc4nccc(CF)c4c3)CC2)c(C)c1</v>
      </c>
      <c r="C12228" s="7">
        <f>IFERROR(__xludf.DUMMYFUNCTION("""COMPUTED_VALUE"""),7.758959)</f>
        <v>7.758959</v>
      </c>
      <c r="D12228" s="7">
        <f>IFERROR(__xludf.DUMMYFUNCTION("""COMPUTED_VALUE"""),0.272727272727272)</f>
        <v>0.2727272727</v>
      </c>
    </row>
    <row r="12229">
      <c r="A12229" s="10" t="s">
        <v>13668</v>
      </c>
      <c r="B12229" s="7" t="str">
        <f>IFERROR(__xludf.DUMMYFUNCTION("SPLIT(A12229,"" "")"),"Cc1cc(CN(C)CC2=C(N(C)Cc3ccccn3)CC=CN2)ccn1")</f>
        <v>Cc1cc(CN(C)CC2=C(N(C)Cc3ccccn3)CC=CN2)ccn1</v>
      </c>
      <c r="C12229" s="7">
        <f>IFERROR(__xludf.DUMMYFUNCTION("""COMPUTED_VALUE"""),7.7589498)</f>
        <v>7.7589498</v>
      </c>
      <c r="D12229" s="7">
        <f>IFERROR(__xludf.DUMMYFUNCTION("""COMPUTED_VALUE"""),0.385964912280701)</f>
        <v>0.3859649123</v>
      </c>
    </row>
    <row r="12230">
      <c r="A12230" s="10" t="s">
        <v>13669</v>
      </c>
      <c r="B12230" s="7" t="str">
        <f>IFERROR(__xludf.DUMMYFUNCTION("SPLIT(A12230,"" "")"),"CNC1C=CC(N(C)Cc2cc(C)ccn2)=CN1")</f>
        <v>CNC1C=CC(N(C)Cc2cc(C)ccn2)=CN1</v>
      </c>
      <c r="C12230" s="7">
        <f>IFERROR(__xludf.DUMMYFUNCTION("""COMPUTED_VALUE"""),7.7589493)</f>
        <v>7.7589493</v>
      </c>
      <c r="D12230" s="7">
        <f>IFERROR(__xludf.DUMMYFUNCTION("""COMPUTED_VALUE"""),0.314814814814814)</f>
        <v>0.3148148148</v>
      </c>
    </row>
    <row r="12231">
      <c r="A12231" s="10" t="s">
        <v>13670</v>
      </c>
      <c r="B12231" s="7" t="str">
        <f>IFERROR(__xludf.DUMMYFUNCTION("SPLIT(A12231,"" "")"),"CCOC(=O)c1cc(CN(Cc2ccccn2)Cc2ccccn2)ccn1")</f>
        <v>CCOC(=O)c1cc(CN(Cc2ccccn2)Cc2ccccn2)ccn1</v>
      </c>
      <c r="C12231" s="7">
        <f>IFERROR(__xludf.DUMMYFUNCTION("""COMPUTED_VALUE"""),7.758943)</f>
        <v>7.758943</v>
      </c>
      <c r="D12231" s="7">
        <f>IFERROR(__xludf.DUMMYFUNCTION("""COMPUTED_VALUE"""),0.476190476190476)</f>
        <v>0.4761904762</v>
      </c>
    </row>
    <row r="12232">
      <c r="A12232" s="10" t="s">
        <v>13671</v>
      </c>
      <c r="B12232" s="7" t="str">
        <f>IFERROR(__xludf.DUMMYFUNCTION("SPLIT(A12232,"" "")"),"Cc1ccc(CN(C)CC2=CNC=C(N(C)Cc3ccccn3)C2)nc1")</f>
        <v>Cc1ccc(CN(C)CC2=CNC=C(N(C)Cc3ccccn3)C2)nc1</v>
      </c>
      <c r="C12232" s="7">
        <f>IFERROR(__xludf.DUMMYFUNCTION("""COMPUTED_VALUE"""),7.7589264)</f>
        <v>7.7589264</v>
      </c>
      <c r="D12232" s="7">
        <f>IFERROR(__xludf.DUMMYFUNCTION("""COMPUTED_VALUE"""),0.44)</f>
        <v>0.44</v>
      </c>
    </row>
    <row r="12233">
      <c r="A12233" s="10" t="s">
        <v>13672</v>
      </c>
      <c r="B12233" s="7" t="str">
        <f>IFERROR(__xludf.DUMMYFUNCTION("SPLIT(A12233,"" "")"),"Cc1cccnc1CN(C)Cc1ncccc1CN(C)Cc1cc(C)c(C)c(C)n1")</f>
        <v>Cc1cccnc1CN(C)Cc1ncccc1CN(C)Cc1cc(C)c(C)c(C)n1</v>
      </c>
      <c r="C12233" s="7">
        <f>IFERROR(__xludf.DUMMYFUNCTION("""COMPUTED_VALUE"""),7.758923)</f>
        <v>7.758923</v>
      </c>
      <c r="D12233" s="7">
        <f>IFERROR(__xludf.DUMMYFUNCTION("""COMPUTED_VALUE"""),0.372549019607843)</f>
        <v>0.3725490196</v>
      </c>
    </row>
    <row r="12234">
      <c r="A12234" s="10" t="s">
        <v>13673</v>
      </c>
      <c r="B12234" s="7" t="str">
        <f>IFERROR(__xludf.DUMMYFUNCTION("SPLIT(A12234,"" "")"),"CN1CCN(C)CCN(Cc2cccnc2-c2cc(N)cc3ncccc23)CC1")</f>
        <v>CN1CCN(C)CCN(Cc2cccnc2-c2cc(N)cc3ncccc23)CC1</v>
      </c>
      <c r="C12234" s="7">
        <f>IFERROR(__xludf.DUMMYFUNCTION("""COMPUTED_VALUE"""),7.758923)</f>
        <v>7.758923</v>
      </c>
      <c r="D12234" s="7">
        <f>IFERROR(__xludf.DUMMYFUNCTION("""COMPUTED_VALUE"""),0.411764705882352)</f>
        <v>0.4117647059</v>
      </c>
    </row>
    <row r="12235">
      <c r="A12235" s="10" t="s">
        <v>13674</v>
      </c>
      <c r="B12235" s="7" t="str">
        <f>IFERROR(__xludf.DUMMYFUNCTION("SPLIT(A12235,"" "")"),"CCOC(=O)c1cc(CN(Cc2ccccn2)Cc2ncccc2C(C)(C)C)ccn1")</f>
        <v>CCOC(=O)c1cc(CN(Cc2ccccn2)Cc2ncccc2C(C)(C)C)ccn1</v>
      </c>
      <c r="C12235" s="7">
        <f>IFERROR(__xludf.DUMMYFUNCTION("""COMPUTED_VALUE"""),7.7589135)</f>
        <v>7.7589135</v>
      </c>
      <c r="D12235" s="7">
        <f>IFERROR(__xludf.DUMMYFUNCTION("""COMPUTED_VALUE"""),0.377358490566037)</f>
        <v>0.3773584906</v>
      </c>
    </row>
    <row r="12236">
      <c r="A12236" s="10" t="s">
        <v>13675</v>
      </c>
      <c r="B12236" s="7" t="str">
        <f>IFERROR(__xludf.DUMMYFUNCTION("SPLIT(A12236,"" "")"),"CC(C)(c1ccnc(CNCc2ccnc(C(C)(C)c3cc(C4CCC4(C)C)ccn3)c2)c1)c1ccccn1")</f>
        <v>CC(C)(c1ccnc(CNCc2ccnc(C(C)(C)c3cc(C4CCC4(C)C)ccn3)c2)c1)c1ccccn1</v>
      </c>
      <c r="C12236" s="7">
        <f>IFERROR(__xludf.DUMMYFUNCTION("""COMPUTED_VALUE"""),7.758913)</f>
        <v>7.758913</v>
      </c>
      <c r="D12236" s="7">
        <f>IFERROR(__xludf.DUMMYFUNCTION("""COMPUTED_VALUE"""),0.274193548387096)</f>
        <v>0.2741935484</v>
      </c>
    </row>
    <row r="12237">
      <c r="A12237" s="10" t="s">
        <v>13676</v>
      </c>
      <c r="B12237" s="7" t="str">
        <f>IFERROR(__xludf.DUMMYFUNCTION("SPLIT(A12237,"" "")"),"CC1=C(C)C(C)C(N(C)Cc2ncccc2-c2cccc(N(C)C)c2)CC1")</f>
        <v>CC1=C(C)C(C)C(N(C)Cc2ncccc2-c2cccc(N(C)C)c2)CC1</v>
      </c>
      <c r="C12237" s="7">
        <f>IFERROR(__xludf.DUMMYFUNCTION("""COMPUTED_VALUE"""),7.7589097)</f>
        <v>7.7589097</v>
      </c>
      <c r="D12237" s="7">
        <f>IFERROR(__xludf.DUMMYFUNCTION("""COMPUTED_VALUE"""),0.311475409836065)</f>
        <v>0.3114754098</v>
      </c>
    </row>
    <row r="12238">
      <c r="A12238" s="10" t="s">
        <v>13677</v>
      </c>
      <c r="B12238" s="7" t="str">
        <f>IFERROR(__xludf.DUMMYFUNCTION("SPLIT(A12238,"" "")"),"Cc1cc(C)c2cccc(N(C)C3CCC(N(C)Cc4cccc(F)n4)CC3)c2n1")</f>
        <v>Cc1cc(C)c2cccc(N(C)C3CCC(N(C)Cc4cccc(F)n4)CC3)c2n1</v>
      </c>
      <c r="C12238" s="7">
        <f>IFERROR(__xludf.DUMMYFUNCTION("""COMPUTED_VALUE"""),7.7589087)</f>
        <v>7.7589087</v>
      </c>
      <c r="D12238" s="7">
        <f>IFERROR(__xludf.DUMMYFUNCTION("""COMPUTED_VALUE"""),0.379310344827586)</f>
        <v>0.3793103448</v>
      </c>
    </row>
    <row r="12239">
      <c r="A12239" s="10" t="s">
        <v>13678</v>
      </c>
      <c r="B12239" s="7" t="str">
        <f>IFERROR(__xludf.DUMMYFUNCTION("SPLIT(A12239,"" "")"),"CC(NCc1cc(C(=O)C(=O)C(=O)C(C)NCc2ccccn2)ccn1)C(=O)OC1C=CC=CN1")</f>
        <v>CC(NCc1cc(C(=O)C(=O)C(=O)C(C)NCc2ccccn2)ccn1)C(=O)OC1C=CC=CN1</v>
      </c>
      <c r="C12239" s="7">
        <f>IFERROR(__xludf.DUMMYFUNCTION("""COMPUTED_VALUE"""),7.758905)</f>
        <v>7.758905</v>
      </c>
      <c r="D12239" s="7">
        <f>IFERROR(__xludf.DUMMYFUNCTION("""COMPUTED_VALUE"""),0.319444444444444)</f>
        <v>0.3194444444</v>
      </c>
    </row>
    <row r="12240">
      <c r="A12240" s="10" t="s">
        <v>13679</v>
      </c>
      <c r="B12240" s="7" t="str">
        <f>IFERROR(__xludf.DUMMYFUNCTION("SPLIT(A12240,"" "")"),"Cc1ccnc(CN(C)CC2=C(N(C)Cc3cc(C)ccn3)CC=CN2)c1")</f>
        <v>Cc1ccnc(CN(C)CC2=C(N(C)Cc3cc(C)ccn3)CC=CN2)c1</v>
      </c>
      <c r="C12240" s="7">
        <f>IFERROR(__xludf.DUMMYFUNCTION("""COMPUTED_VALUE"""),7.7588997)</f>
        <v>7.7588997</v>
      </c>
      <c r="D12240" s="7">
        <f>IFERROR(__xludf.DUMMYFUNCTION("""COMPUTED_VALUE"""),0.358490566037735)</f>
        <v>0.358490566</v>
      </c>
    </row>
    <row r="12241">
      <c r="A12241" s="10" t="s">
        <v>13680</v>
      </c>
      <c r="B12241" s="7" t="str">
        <f>IFERROR(__xludf.DUMMYFUNCTION("SPLIT(A12241,"" "")"),"Cc1ccc(C)c(CN(C)C2CCCC(N(C)c3ccc4nc(CN(C)C)ccc4c3)C2)n1")</f>
        <v>Cc1ccc(C)c(CN(C)C2CCCC(N(C)c3ccc4nc(CN(C)C)ccc4c3)C2)n1</v>
      </c>
      <c r="C12241" s="7">
        <f>IFERROR(__xludf.DUMMYFUNCTION("""COMPUTED_VALUE"""),7.758895)</f>
        <v>7.758895</v>
      </c>
      <c r="D12241" s="7">
        <f>IFERROR(__xludf.DUMMYFUNCTION("""COMPUTED_VALUE"""),0.32258064516129)</f>
        <v>0.3225806452</v>
      </c>
    </row>
    <row r="12242">
      <c r="A12242" s="10" t="s">
        <v>13681</v>
      </c>
      <c r="B12242" s="7" t="str">
        <f>IFERROR(__xludf.DUMMYFUNCTION("SPLIT(A12242,"" "")"),"CNc1cccc(CN(Cc2ccccn2)C2CCCC(N(C)c3ccc4ccc(CF)nc4c3)C2)n1")</f>
        <v>CNc1cccc(CN(Cc2ccccn2)C2CCCC(N(C)c3ccc4ccc(CF)nc4c3)C2)n1</v>
      </c>
      <c r="C12242" s="7">
        <f>IFERROR(__xludf.DUMMYFUNCTION("""COMPUTED_VALUE"""),7.7588944)</f>
        <v>7.7588944</v>
      </c>
      <c r="D12242" s="7">
        <f>IFERROR(__xludf.DUMMYFUNCTION("""COMPUTED_VALUE"""),0.369230769230769)</f>
        <v>0.3692307692</v>
      </c>
    </row>
    <row r="12243">
      <c r="A12243" s="10" t="s">
        <v>13682</v>
      </c>
      <c r="B12243" s="7" t="str">
        <f>IFERROR(__xludf.DUMMYFUNCTION("SPLIT(A12243,"" "")"),"CNCc1ccc2cccc(N(C)C3CCC(N(Cc4ccccn4)Cc4nc(C)c(C)c(C)c4C)CC3)c2n1")</f>
        <v>CNCc1ccc2cccc(N(C)C3CCC(N(Cc4ccccn4)Cc4nc(C)c(C)c(C)c4C)CC3)c2n1</v>
      </c>
      <c r="C12243" s="7">
        <f>IFERROR(__xludf.DUMMYFUNCTION("""COMPUTED_VALUE"""),7.758891)</f>
        <v>7.758891</v>
      </c>
      <c r="D12243" s="7">
        <f>IFERROR(__xludf.DUMMYFUNCTION("""COMPUTED_VALUE"""),0.361111111111111)</f>
        <v>0.3611111111</v>
      </c>
    </row>
    <row r="12244">
      <c r="A12244" s="10" t="s">
        <v>13683</v>
      </c>
      <c r="B12244" s="7" t="str">
        <f>IFERROR(__xludf.DUMMYFUNCTION("SPLIT(A12244,"" "")"),"CC(C=O)C(=O)C(=O)C(=O)C(C)C(=O)C(=O)C(=O)C(C)C(=O)C(=O)C(=O)C(C)C(=O)C(=O)C(=O)C(C)C(=O)C(=O)C(=O)C(C)C(=O)C(=O)C(=O)C(C)C(=O)C(=O)C(=O)C(C)C(=O)C(=O)C(=O)C(=O)C(C)C(=O)c1cccc(C2CCC2(C)C)n1")</f>
        <v>CC(C=O)C(=O)C(=O)C(=O)C(C)C(=O)C(=O)C(=O)C(C)C(=O)C(=O)C(=O)C(C)C(=O)C(=O)C(=O)C(C)C(=O)C(=O)C(=O)C(C)C(=O)C(=O)C(=O)C(C)C(=O)C(=O)C(=O)C(C)C(=O)C(=O)C(=O)C(=O)C(C)C(=O)c1cccc(C2CCC2(C)C)n1</v>
      </c>
      <c r="C12244" s="7">
        <f>IFERROR(__xludf.DUMMYFUNCTION("""COMPUTED_VALUE"""),7.7588882)</f>
        <v>7.7588882</v>
      </c>
      <c r="D12244" s="7">
        <f>IFERROR(__xludf.DUMMYFUNCTION("""COMPUTED_VALUE"""),0.202702702702702)</f>
        <v>0.2027027027</v>
      </c>
    </row>
    <row r="12245">
      <c r="A12245" s="10" t="s">
        <v>13684</v>
      </c>
      <c r="B12245" s="7" t="str">
        <f>IFERROR(__xludf.DUMMYFUNCTION("SPLIT(A12245,"" "")"),"Cc1cnc(CN(Cc2ccccn2)C2CCC(N(C)c3cccc4nc(CF)ccc34)CC2)c(C)c1")</f>
        <v>Cc1cnc(CN(Cc2ccccn2)C2CCC(N(C)c3cccc4nc(CF)ccc34)CC2)c(C)c1</v>
      </c>
      <c r="C12245" s="7">
        <f>IFERROR(__xludf.DUMMYFUNCTION("""COMPUTED_VALUE"""),7.7588854)</f>
        <v>7.7588854</v>
      </c>
      <c r="D12245" s="7">
        <f>IFERROR(__xludf.DUMMYFUNCTION("""COMPUTED_VALUE"""),0.32)</f>
        <v>0.32</v>
      </c>
    </row>
    <row r="12246">
      <c r="A12246" s="10" t="s">
        <v>13685</v>
      </c>
      <c r="B12246" s="7" t="str">
        <f>IFERROR(__xludf.DUMMYFUNCTION("SPLIT(A12246,"" "")"),"CN(C1=CCC=CN1)C1CCCC(N(C)c2ccc3cccnc3c2)C1")</f>
        <v>CN(C1=CCC=CN1)C1CCCC(N(C)c2ccc3cccnc3c2)C1</v>
      </c>
      <c r="C12246" s="7">
        <f>IFERROR(__xludf.DUMMYFUNCTION("""COMPUTED_VALUE"""),7.7588835)</f>
        <v>7.7588835</v>
      </c>
      <c r="D12246" s="7">
        <f>IFERROR(__xludf.DUMMYFUNCTION("""COMPUTED_VALUE"""),0.306451612903225)</f>
        <v>0.3064516129</v>
      </c>
    </row>
    <row r="12247">
      <c r="A12247" s="10" t="s">
        <v>13686</v>
      </c>
      <c r="B12247" s="7" t="str">
        <f>IFERROR(__xludf.DUMMYFUNCTION("SPLIT(A12247,"" "")"),"CN1CCN(C)CCN(Cc2cncc(-c3cc(N)c4cccnc4c3)c2)CC1")</f>
        <v>CN1CCN(C)CCN(Cc2cncc(-c3cc(N)c4cccnc4c3)c2)CC1</v>
      </c>
      <c r="C12247" s="7">
        <f>IFERROR(__xludf.DUMMYFUNCTION("""COMPUTED_VALUE"""),7.758876)</f>
        <v>7.758876</v>
      </c>
      <c r="D12247" s="7">
        <f>IFERROR(__xludf.DUMMYFUNCTION("""COMPUTED_VALUE"""),0.388888888888888)</f>
        <v>0.3888888889</v>
      </c>
    </row>
    <row r="12248">
      <c r="A12248" s="10" t="s">
        <v>13687</v>
      </c>
      <c r="B12248" s="7" t="str">
        <f>IFERROR(__xludf.DUMMYFUNCTION("SPLIT(A12248,"" "")"),"CCN(Cc1ccccn1)c1ccc(C)cc1C")</f>
        <v>CCN(Cc1ccccn1)c1ccc(C)cc1C</v>
      </c>
      <c r="C12248" s="7">
        <f>IFERROR(__xludf.DUMMYFUNCTION("""COMPUTED_VALUE"""),7.758872)</f>
        <v>7.758872</v>
      </c>
      <c r="D12248" s="7">
        <f>IFERROR(__xludf.DUMMYFUNCTION("""COMPUTED_VALUE"""),0.454545454545454)</f>
        <v>0.4545454545</v>
      </c>
    </row>
    <row r="12249">
      <c r="A12249" s="10" t="s">
        <v>13688</v>
      </c>
      <c r="B12249" s="7" t="str">
        <f>IFERROR(__xludf.DUMMYFUNCTION("SPLIT(A12249,"" "")"),"Cc1cnc(C)c(CN(C)C2CCCC(N(C)c3ccc4ccc(CN(C)C)nc4c3)C2)c1")</f>
        <v>Cc1cnc(C)c(CN(C)C2CCCC(N(C)c3ccc4ccc(CN(C)C)nc4c3)C2)c1</v>
      </c>
      <c r="C12249" s="7">
        <f>IFERROR(__xludf.DUMMYFUNCTION("""COMPUTED_VALUE"""),7.7588687)</f>
        <v>7.7588687</v>
      </c>
      <c r="D12249" s="7">
        <f>IFERROR(__xludf.DUMMYFUNCTION("""COMPUTED_VALUE"""),0.338709677419354)</f>
        <v>0.3387096774</v>
      </c>
    </row>
    <row r="12250">
      <c r="A12250" s="10" t="s">
        <v>13689</v>
      </c>
      <c r="B12250" s="7" t="str">
        <f>IFERROR(__xludf.DUMMYFUNCTION("SPLIT(A12250,"" "")"),"Cc1ccc(CN(C)CC2=C(N(C)Cc3cc(C)ccn3)CC=CN2)nc1")</f>
        <v>Cc1ccc(CN(C)CC2=C(N(C)Cc3cc(C)ccn3)CC=CN2)nc1</v>
      </c>
      <c r="C12250" s="7">
        <f>IFERROR(__xludf.DUMMYFUNCTION("""COMPUTED_VALUE"""),7.7588677)</f>
        <v>7.7588677</v>
      </c>
      <c r="D12250" s="7">
        <f>IFERROR(__xludf.DUMMYFUNCTION("""COMPUTED_VALUE"""),0.423076923076923)</f>
        <v>0.4230769231</v>
      </c>
    </row>
    <row r="12251">
      <c r="A12251" s="10" t="s">
        <v>13690</v>
      </c>
      <c r="B12251" s="7" t="str">
        <f>IFERROR(__xludf.DUMMYFUNCTION("SPLIT(A12251,"" "")"),"c1ccc(N(Cc2cccnc2)Cc2cccnn2)cc1")</f>
        <v>c1ccc(N(Cc2cccnc2)Cc2cccnn2)cc1</v>
      </c>
      <c r="C12251" s="7">
        <f>IFERROR(__xludf.DUMMYFUNCTION("""COMPUTED_VALUE"""),7.7588625)</f>
        <v>7.7588625</v>
      </c>
      <c r="D12251" s="7">
        <f>IFERROR(__xludf.DUMMYFUNCTION("""COMPUTED_VALUE"""),0.441860465116279)</f>
        <v>0.4418604651</v>
      </c>
    </row>
    <row r="12252">
      <c r="A12252" s="10" t="s">
        <v>13691</v>
      </c>
      <c r="B12252" s="7" t="str">
        <f>IFERROR(__xludf.DUMMYFUNCTION("SPLIT(A12252,"" "")"),"Cc1ccnc(CN(Cc2ccccn2)C2CCCCC2N(C)c2cccc3ncc(CN(C)C)cc23)c1C")</f>
        <v>Cc1ccnc(CN(Cc2ccccn2)C2CCCCC2N(C)c2cccc3ncc(CN(C)C)cc23)c1C</v>
      </c>
      <c r="C12252" s="7">
        <f>IFERROR(__xludf.DUMMYFUNCTION("""COMPUTED_VALUE"""),7.7588573)</f>
        <v>7.7588573</v>
      </c>
      <c r="D12252" s="7">
        <f>IFERROR(__xludf.DUMMYFUNCTION("""COMPUTED_VALUE"""),0.393939393939393)</f>
        <v>0.3939393939</v>
      </c>
    </row>
    <row r="12253">
      <c r="A12253" s="10" t="s">
        <v>13692</v>
      </c>
      <c r="B12253" s="7" t="str">
        <f>IFERROR(__xludf.DUMMYFUNCTION("SPLIT(A12253,"" "")"),"Cc1cccnc1CN(C)C1=C(CN(Cc2ccon2)C(C)C)NC=CC1")</f>
        <v>Cc1cccnc1CN(C)C1=C(CN(Cc2ccon2)C(C)C)NC=CC1</v>
      </c>
      <c r="C12253" s="7">
        <f>IFERROR(__xludf.DUMMYFUNCTION("""COMPUTED_VALUE"""),7.7588534)</f>
        <v>7.7588534</v>
      </c>
      <c r="D12253" s="7">
        <f>IFERROR(__xludf.DUMMYFUNCTION("""COMPUTED_VALUE"""),0.316666666666666)</f>
        <v>0.3166666667</v>
      </c>
    </row>
    <row r="12254">
      <c r="A12254" s="10" t="s">
        <v>13693</v>
      </c>
      <c r="B12254" s="7" t="str">
        <f>IFERROR(__xludf.DUMMYFUNCTION("SPLIT(A12254,"" "")"),"CC(C)C1=CC2(C=CN1)C=C(c1cc(CN(Cc3ccccn3)Cc3ccccn3)ccn1)CC(C)(C)C2c1ncccc1CN(Cc1ccccn1)Cc1ccccn1")</f>
        <v>CC(C)C1=CC2(C=CN1)C=C(c1cc(CN(Cc3ccccn3)Cc3ccccn3)ccn1)CC(C)(C)C2c1ncccc1CN(Cc1ccccn1)Cc1ccccn1</v>
      </c>
      <c r="C12254" s="7">
        <f>IFERROR(__xludf.DUMMYFUNCTION("""COMPUTED_VALUE"""),7.758852)</f>
        <v>7.758852</v>
      </c>
      <c r="D12254" s="7">
        <f>IFERROR(__xludf.DUMMYFUNCTION("""COMPUTED_VALUE"""),0.32051282051282)</f>
        <v>0.3205128205</v>
      </c>
    </row>
    <row r="12255">
      <c r="A12255" s="10" t="s">
        <v>13694</v>
      </c>
      <c r="B12255" s="7" t="str">
        <f>IFERROR(__xludf.DUMMYFUNCTION("SPLIT(A12255,"" "")"),"CNCc1nc(CN(Cc2ccccn2)C2CCC(N(C)c3ccc4c(CF)ccnc4c3)CC2)c(C)c(C)c1C")</f>
        <v>CNCc1nc(CN(Cc2ccccn2)C2CCC(N(C)c3ccc4c(CF)ccnc4c3)CC2)c(C)c(C)c1C</v>
      </c>
      <c r="C12255" s="7">
        <f>IFERROR(__xludf.DUMMYFUNCTION("""COMPUTED_VALUE"""),7.758842)</f>
        <v>7.758842</v>
      </c>
      <c r="D12255" s="7">
        <f>IFERROR(__xludf.DUMMYFUNCTION("""COMPUTED_VALUE"""),0.301369863013698)</f>
        <v>0.301369863</v>
      </c>
    </row>
    <row r="12256">
      <c r="A12256" s="10" t="s">
        <v>13695</v>
      </c>
      <c r="B12256" s="7" t="str">
        <f>IFERROR(__xludf.DUMMYFUNCTION("SPLIT(A12256,"" "")"),"COC(=O)NC(C)C(=O)C(=O)C(=O)OC")</f>
        <v>COC(=O)NC(C)C(=O)C(=O)C(=O)OC</v>
      </c>
      <c r="C12256" s="7">
        <f>IFERROR(__xludf.DUMMYFUNCTION("""COMPUTED_VALUE"""),7.75884)</f>
        <v>7.75884</v>
      </c>
      <c r="D12256" s="7">
        <f>IFERROR(__xludf.DUMMYFUNCTION("""COMPUTED_VALUE"""),0.140350877192982)</f>
        <v>0.1403508772</v>
      </c>
    </row>
    <row r="12257">
      <c r="A12257" s="10" t="s">
        <v>13696</v>
      </c>
      <c r="B12257" s="7" t="str">
        <f>IFERROR(__xludf.DUMMYFUNCTION("SPLIT(A12257,"" "")"),"CNC1NC=CC=C1N(C)Cc1c(C)ccnc1C")</f>
        <v>CNC1NC=CC=C1N(C)Cc1c(C)ccnc1C</v>
      </c>
      <c r="C12257" s="7">
        <f>IFERROR(__xludf.DUMMYFUNCTION("""COMPUTED_VALUE"""),7.7588396)</f>
        <v>7.7588396</v>
      </c>
      <c r="D12257" s="7">
        <f>IFERROR(__xludf.DUMMYFUNCTION("""COMPUTED_VALUE"""),0.241935483870967)</f>
        <v>0.2419354839</v>
      </c>
    </row>
    <row r="12258">
      <c r="A12258" s="10" t="s">
        <v>13697</v>
      </c>
      <c r="B12258" s="7" t="str">
        <f>IFERROR(__xludf.DUMMYFUNCTION("SPLIT(A12258,"" "")"),"CNCc1nccc2cccc(N(C)C3CCCCC3N(Cc3ccccn3)Cc3nc(C)c(C)c(C)c3C)c12")</f>
        <v>CNCc1nccc2cccc(N(C)C3CCCCC3N(Cc3ccccn3)Cc3nc(C)c(C)c(C)c3C)c12</v>
      </c>
      <c r="C12258" s="7">
        <f>IFERROR(__xludf.DUMMYFUNCTION("""COMPUTED_VALUE"""),7.7588344)</f>
        <v>7.7588344</v>
      </c>
      <c r="D12258" s="7">
        <f>IFERROR(__xludf.DUMMYFUNCTION("""COMPUTED_VALUE"""),0.388059701492537)</f>
        <v>0.3880597015</v>
      </c>
    </row>
    <row r="12259">
      <c r="A12259" s="10" t="s">
        <v>13698</v>
      </c>
      <c r="B12259" s="7" t="str">
        <f>IFERROR(__xludf.DUMMYFUNCTION("SPLIT(A12259,"" "")"),"Cc1cc(CN(C)C2=CCC=C(CN(C)C(C)C)N2)nc(C)c1C")</f>
        <v>Cc1cc(CN(C)C2=CCC=C(CN(C)C(C)C)N2)nc(C)c1C</v>
      </c>
      <c r="C12259" s="7">
        <f>IFERROR(__xludf.DUMMYFUNCTION("""COMPUTED_VALUE"""),7.7588243)</f>
        <v>7.7588243</v>
      </c>
      <c r="D12259" s="7">
        <f>IFERROR(__xludf.DUMMYFUNCTION("""COMPUTED_VALUE"""),0.196969696969696)</f>
        <v>0.196969697</v>
      </c>
    </row>
    <row r="12260">
      <c r="A12260" s="10" t="s">
        <v>13699</v>
      </c>
      <c r="B12260" s="7" t="str">
        <f>IFERROR(__xludf.DUMMYFUNCTION("SPLIT(A12260,"" "")"),"Cc1ccc(CN(C)Cc2nc(C)c(C)cc2C)cn1")</f>
        <v>Cc1ccc(CN(C)Cc2nc(C)c(C)cc2C)cn1</v>
      </c>
      <c r="C12260" s="7">
        <f>IFERROR(__xludf.DUMMYFUNCTION("""COMPUTED_VALUE"""),7.7588243)</f>
        <v>7.7588243</v>
      </c>
      <c r="D12260" s="7">
        <f>IFERROR(__xludf.DUMMYFUNCTION("""COMPUTED_VALUE"""),0.276595744680851)</f>
        <v>0.2765957447</v>
      </c>
    </row>
    <row r="12261">
      <c r="A12261" s="10" t="s">
        <v>13700</v>
      </c>
      <c r="B12261" s="7" t="str">
        <f>IFERROR(__xludf.DUMMYFUNCTION("SPLIT(A12261,"" "")"),"Cc1cc(C)nc(CN(C)Cc2ccc(N)cn2)c1")</f>
        <v>Cc1cc(C)nc(CN(C)Cc2ccc(N)cn2)c1</v>
      </c>
      <c r="C12261" s="7">
        <f>IFERROR(__xludf.DUMMYFUNCTION("""COMPUTED_VALUE"""),7.7588205)</f>
        <v>7.7588205</v>
      </c>
      <c r="D12261" s="7">
        <f>IFERROR(__xludf.DUMMYFUNCTION("""COMPUTED_VALUE"""),0.463414634146341)</f>
        <v>0.4634146341</v>
      </c>
    </row>
    <row r="12262">
      <c r="A12262" s="10" t="s">
        <v>13701</v>
      </c>
      <c r="B12262" s="7" t="str">
        <f>IFERROR(__xludf.DUMMYFUNCTION("SPLIT(A12262,"" "")"),"Cc1cccc(CN(C)C2C=CNC(CN(C)Cc3cccc(C4=NC(C)CO4)n3)=C2)n1")</f>
        <v>Cc1cccc(CN(C)C2C=CNC(CN(C)Cc3cccc(C4=NC(C)CO4)n3)=C2)n1</v>
      </c>
      <c r="C12262" s="7">
        <f>IFERROR(__xludf.DUMMYFUNCTION("""COMPUTED_VALUE"""),7.75882)</f>
        <v>7.75882</v>
      </c>
      <c r="D12262" s="7">
        <f>IFERROR(__xludf.DUMMYFUNCTION("""COMPUTED_VALUE"""),0.369230769230769)</f>
        <v>0.3692307692</v>
      </c>
    </row>
    <row r="12263">
      <c r="A12263" s="10" t="s">
        <v>13702</v>
      </c>
      <c r="B12263" s="7" t="str">
        <f>IFERROR(__xludf.DUMMYFUNCTION("SPLIT(A12263,"" "")"),"CCCNCc1c(C)ccc(N(C)Cc2ccccn2)c1C")</f>
        <v>CCCNCc1c(C)ccc(N(C)Cc2ccccn2)c1C</v>
      </c>
      <c r="C12263" s="7">
        <f>IFERROR(__xludf.DUMMYFUNCTION("""COMPUTED_VALUE"""),7.7588196)</f>
        <v>7.7588196</v>
      </c>
      <c r="D12263" s="7">
        <f>IFERROR(__xludf.DUMMYFUNCTION("""COMPUTED_VALUE"""),0.46938775510204)</f>
        <v>0.4693877551</v>
      </c>
    </row>
    <row r="12264">
      <c r="A12264" s="10" t="s">
        <v>13703</v>
      </c>
      <c r="B12264" s="7" t="str">
        <f>IFERROR(__xludf.DUMMYFUNCTION("SPLIT(A12264,"" "")"),"CC(C)C1=CCC2=C(N1)C(C)C(C)(C)C(c1ncccc1CN(Cc1ccccn1)Cc1ccccn1)=C2")</f>
        <v>CC(C)C1=CCC2=C(N1)C(C)C(C)(C)C(c1ncccc1CN(Cc1ccccn1)Cc1ccccn1)=C2</v>
      </c>
      <c r="C12264" s="7">
        <f>IFERROR(__xludf.DUMMYFUNCTION("""COMPUTED_VALUE"""),7.7588153)</f>
        <v>7.7588153</v>
      </c>
      <c r="D12264" s="7">
        <f>IFERROR(__xludf.DUMMYFUNCTION("""COMPUTED_VALUE"""),0.344827586206896)</f>
        <v>0.3448275862</v>
      </c>
    </row>
    <row r="12265">
      <c r="A12265" s="10" t="s">
        <v>13704</v>
      </c>
      <c r="B12265" s="7" t="str">
        <f>IFERROR(__xludf.DUMMYFUNCTION("SPLIT(A12265,"" "")"),"CC(C)C1=CC2(C=CN1)C(c1cc(CN(Cc3ccccn3)Cc3ccccn3)ccn1)=CCC(c1cc(CN(Cc3ccccn3)Cc3cc(C(C)(C)C)ccn3)ccn1)C2(C)C")</f>
        <v>CC(C)C1=CC2(C=CN1)C(c1cc(CN(Cc3ccccn3)Cc3ccccn3)ccn1)=CCC(c1cc(CN(Cc3ccccn3)Cc3cc(C(C)(C)C)ccn3)ccn1)C2(C)C</v>
      </c>
      <c r="C12265" s="7">
        <f>IFERROR(__xludf.DUMMYFUNCTION("""COMPUTED_VALUE"""),7.758813)</f>
        <v>7.758813</v>
      </c>
      <c r="D12265" s="7">
        <f>IFERROR(__xludf.DUMMYFUNCTION("""COMPUTED_VALUE"""),0.308641975308641)</f>
        <v>0.3086419753</v>
      </c>
    </row>
    <row r="12266">
      <c r="A12266" s="10" t="s">
        <v>13705</v>
      </c>
      <c r="B12266" s="7" t="str">
        <f>IFERROR(__xludf.DUMMYFUNCTION("SPLIT(A12266,"" "")"),"CNC1C(N(C)Cc2nc(C)c(C)c(C)c2C)CCC(N(Cc2nc(C)c(C)c(C)c2C)Cc2nc(C)c(C)c(C)c2C)C1N(Cc1nc(C)c(C)c(C)c1C)Cc1nc(C)c(C)c(C)c1C")</f>
        <v>CNC1C(N(C)Cc2nc(C)c(C)c(C)c2C)CCC(N(Cc2nc(C)c(C)c(C)c2C)Cc2nc(C)c(C)c(C)c2C)C1N(Cc1nc(C)c(C)c(C)c1C)Cc1nc(C)c(C)c(C)c1C</v>
      </c>
      <c r="C12266" s="7">
        <f>IFERROR(__xludf.DUMMYFUNCTION("""COMPUTED_VALUE"""),7.7588124)</f>
        <v>7.7588124</v>
      </c>
      <c r="D12266" s="7">
        <f>IFERROR(__xludf.DUMMYFUNCTION("""COMPUTED_VALUE"""),0.267857142857142)</f>
        <v>0.2678571429</v>
      </c>
    </row>
    <row r="12267">
      <c r="A12267" s="10" t="s">
        <v>13706</v>
      </c>
      <c r="B12267" s="7" t="str">
        <f>IFERROR(__xludf.DUMMYFUNCTION("SPLIT(A12267,"" "")"),"C#Cc1cccc(CN(C)Cc2ccccn2)c1N(C)Cc1ccccn1")</f>
        <v>C#Cc1cccc(CN(C)Cc2ccccn2)c1N(C)Cc1ccccn1</v>
      </c>
      <c r="C12267" s="7">
        <f>IFERROR(__xludf.DUMMYFUNCTION("""COMPUTED_VALUE"""),7.758811)</f>
        <v>7.758811</v>
      </c>
      <c r="D12267" s="7">
        <f>IFERROR(__xludf.DUMMYFUNCTION("""COMPUTED_VALUE"""),0.481481481481481)</f>
        <v>0.4814814815</v>
      </c>
    </row>
    <row r="12268">
      <c r="A12268" s="10" t="s">
        <v>13707</v>
      </c>
      <c r="B12268" s="7" t="str">
        <f>IFERROR(__xludf.DUMMYFUNCTION("SPLIT(A12268,"" "")"),"CC(N)C1(C)COC(c2ccc(CN(Cc3ccccn3)Cc3ccc(C(C)(C)C)cn3)cn2)=N1")</f>
        <v>CC(N)C1(C)COC(c2ccc(CN(Cc3ccccn3)Cc3ccc(C(C)(C)C)cn3)cn2)=N1</v>
      </c>
      <c r="C12268" s="7">
        <f>IFERROR(__xludf.DUMMYFUNCTION("""COMPUTED_VALUE"""),7.758809)</f>
        <v>7.758809</v>
      </c>
      <c r="D12268" s="7">
        <f>IFERROR(__xludf.DUMMYFUNCTION("""COMPUTED_VALUE"""),0.327868852459016)</f>
        <v>0.3278688525</v>
      </c>
    </row>
    <row r="12269">
      <c r="A12269" s="10" t="s">
        <v>13708</v>
      </c>
      <c r="B12269" s="7" t="str">
        <f>IFERROR(__xludf.DUMMYFUNCTION("SPLIT(A12269,"" "")"),"Cc1cncc(C)c1CN(C)C1CCC(N(C)c2ccc3nccc(CF)c3c2)CC1")</f>
        <v>Cc1cncc(C)c1CN(C)C1CCC(N(C)c2ccc3nccc(CF)c3c2)CC1</v>
      </c>
      <c r="C12269" s="7">
        <f>IFERROR(__xludf.DUMMYFUNCTION("""COMPUTED_VALUE"""),7.7588015)</f>
        <v>7.7588015</v>
      </c>
      <c r="D12269" s="7">
        <f>IFERROR(__xludf.DUMMYFUNCTION("""COMPUTED_VALUE"""),0.242424242424242)</f>
        <v>0.2424242424</v>
      </c>
    </row>
    <row r="12270">
      <c r="A12270" s="10" t="s">
        <v>13709</v>
      </c>
      <c r="B12270" s="7" t="str">
        <f>IFERROR(__xludf.DUMMYFUNCTION("SPLIT(A12270,"" "")"),"CCN(Cc1cccc(C2=CCC=CN2)n1)Cc1cccc(C(C)(C)C)n1")</f>
        <v>CCN(Cc1cccc(C2=CCC=CN2)n1)Cc1cccc(C(C)(C)C)n1</v>
      </c>
      <c r="C12270" s="7">
        <f>IFERROR(__xludf.DUMMYFUNCTION("""COMPUTED_VALUE"""),7.758797)</f>
        <v>7.758797</v>
      </c>
      <c r="D12270" s="7">
        <f>IFERROR(__xludf.DUMMYFUNCTION("""COMPUTED_VALUE"""),0.372881355932203)</f>
        <v>0.3728813559</v>
      </c>
    </row>
    <row r="12271">
      <c r="A12271" s="10" t="s">
        <v>13710</v>
      </c>
      <c r="B12271" s="7" t="str">
        <f>IFERROR(__xludf.DUMMYFUNCTION("SPLIT(A12271,"" "")"),"CC(C)C(C)N(C)Cc1cccc(-c2cc(N)cc(Cl)c2)n1")</f>
        <v>CC(C)C(C)N(C)Cc1cccc(-c2cc(N)cc(Cl)c2)n1</v>
      </c>
      <c r="C12271" s="7">
        <f>IFERROR(__xludf.DUMMYFUNCTION("""COMPUTED_VALUE"""),7.7587957)</f>
        <v>7.7587957</v>
      </c>
      <c r="D12271" s="7">
        <f>IFERROR(__xludf.DUMMYFUNCTION("""COMPUTED_VALUE"""),0.327272727272727)</f>
        <v>0.3272727273</v>
      </c>
    </row>
    <row r="12272">
      <c r="A12272" s="10" t="s">
        <v>13711</v>
      </c>
      <c r="B12272" s="7" t="str">
        <f>IFERROR(__xludf.DUMMYFUNCTION("SPLIT(A12272,"" "")"),"Cc1cc(C)c(CN(C)C2CCCC(N(C)c3ccc4c(CF)ccnc4c3)C2)cn1")</f>
        <v>Cc1cc(C)c(CN(C)C2CCCC(N(C)c3ccc4c(CF)ccnc4c3)C2)cn1</v>
      </c>
      <c r="C12272" s="7">
        <f>IFERROR(__xludf.DUMMYFUNCTION("""COMPUTED_VALUE"""),7.7587924)</f>
        <v>7.7587924</v>
      </c>
      <c r="D12272" s="7">
        <f>IFERROR(__xludf.DUMMYFUNCTION("""COMPUTED_VALUE"""),0.25)</f>
        <v>0.25</v>
      </c>
    </row>
    <row r="12273">
      <c r="A12273" s="10" t="s">
        <v>13712</v>
      </c>
      <c r="B12273" s="7" t="str">
        <f>IFERROR(__xludf.DUMMYFUNCTION("SPLIT(A12273,"" "")"),"CN(C)Cc1cnc2cc(N(C)C3CCC(N(C)Cc4ccon4)CC3)ccc2c1")</f>
        <v>CN(C)Cc1cnc2cc(N(C)C3CCC(N(C)Cc4ccon4)CC3)ccc2c1</v>
      </c>
      <c r="C12273" s="7">
        <f>IFERROR(__xludf.DUMMYFUNCTION("""COMPUTED_VALUE"""),7.75879)</f>
        <v>7.75879</v>
      </c>
      <c r="D12273" s="7">
        <f>IFERROR(__xludf.DUMMYFUNCTION("""COMPUTED_VALUE"""),0.345454545454545)</f>
        <v>0.3454545455</v>
      </c>
    </row>
    <row r="12274">
      <c r="A12274" s="10" t="s">
        <v>13713</v>
      </c>
      <c r="B12274" s="7" t="str">
        <f>IFERROR(__xludf.DUMMYFUNCTION("SPLIT(A12274,"" "")"),"CC(c1ccccn1)(c1ccccn1)c1cccc(CNCF)n1")</f>
        <v>CC(c1ccccn1)(c1ccccn1)c1cccc(CNCF)n1</v>
      </c>
      <c r="C12274" s="7">
        <f>IFERROR(__xludf.DUMMYFUNCTION("""COMPUTED_VALUE"""),7.758786)</f>
        <v>7.758786</v>
      </c>
      <c r="D12274" s="7">
        <f>IFERROR(__xludf.DUMMYFUNCTION("""COMPUTED_VALUE"""),0.489795918367346)</f>
        <v>0.4897959184</v>
      </c>
    </row>
    <row r="12275">
      <c r="A12275" s="10" t="s">
        <v>13714</v>
      </c>
      <c r="B12275" s="7" t="str">
        <f>IFERROR(__xludf.DUMMYFUNCTION("SPLIT(A12275,"" "")"),"CN(C1=CCC=CN1)C1CCC(N(C)c2ccc3c(CF)ccnc3c2)CC1")</f>
        <v>CN(C1=CCC=CN1)C1CCC(N(C)c2ccc3c(CF)ccnc3c2)CC1</v>
      </c>
      <c r="C12275" s="7">
        <f>IFERROR(__xludf.DUMMYFUNCTION("""COMPUTED_VALUE"""),7.7587733)</f>
        <v>7.7587733</v>
      </c>
      <c r="D12275" s="7">
        <f>IFERROR(__xludf.DUMMYFUNCTION("""COMPUTED_VALUE"""),0.26865671641791)</f>
        <v>0.2686567164</v>
      </c>
    </row>
    <row r="12276">
      <c r="A12276" s="10" t="s">
        <v>13715</v>
      </c>
      <c r="B12276" s="7" t="str">
        <f>IFERROR(__xludf.DUMMYFUNCTION("SPLIT(A12276,"" "")"),"C1=CC(N(Cc2ccccn2)Cc2ccccn2)=CCN1")</f>
        <v>C1=CC(N(Cc2ccccn2)Cc2ccccn2)=CCN1</v>
      </c>
      <c r="C12276" s="7">
        <f>IFERROR(__xludf.DUMMYFUNCTION("""COMPUTED_VALUE"""),7.7587705)</f>
        <v>7.7587705</v>
      </c>
      <c r="D12276" s="7">
        <f>IFERROR(__xludf.DUMMYFUNCTION("""COMPUTED_VALUE"""),0.459459459459459)</f>
        <v>0.4594594595</v>
      </c>
    </row>
    <row r="12277">
      <c r="A12277" s="10" t="s">
        <v>13716</v>
      </c>
      <c r="B12277" s="7" t="str">
        <f>IFERROR(__xludf.DUMMYFUNCTION("SPLIT(A12277,"" "")"),"CNCc1cc(C2=NC(C)C(C)O2)ccn1")</f>
        <v>CNCc1cc(C2=NC(C)C(C)O2)ccn1</v>
      </c>
      <c r="C12277" s="7">
        <f>IFERROR(__xludf.DUMMYFUNCTION("""COMPUTED_VALUE"""),7.7587667)</f>
        <v>7.7587667</v>
      </c>
      <c r="D12277" s="7">
        <f>IFERROR(__xludf.DUMMYFUNCTION("""COMPUTED_VALUE"""),0.239130434782608)</f>
        <v>0.2391304348</v>
      </c>
    </row>
    <row r="12278">
      <c r="A12278" s="10" t="s">
        <v>13717</v>
      </c>
      <c r="B12278" s="7" t="str">
        <f>IFERROR(__xludf.DUMMYFUNCTION("SPLIT(A12278,"" "")"),"Cc1ccncc1CN(Cc1ccccn1)C1CCCC(N(C)c2ccc3c(CN(C)C)nccc3c2)C1")</f>
        <v>Cc1ccncc1CN(Cc1ccccn1)C1CCCC(N(C)c2ccc3c(CN(C)C)nccc3c2)C1</v>
      </c>
      <c r="C12278" s="7">
        <f>IFERROR(__xludf.DUMMYFUNCTION("""COMPUTED_VALUE"""),7.7587643)</f>
        <v>7.7587643</v>
      </c>
      <c r="D12278" s="7">
        <f>IFERROR(__xludf.DUMMYFUNCTION("""COMPUTED_VALUE"""),0.323943661971831)</f>
        <v>0.323943662</v>
      </c>
    </row>
    <row r="12279">
      <c r="A12279" s="10" t="s">
        <v>13718</v>
      </c>
      <c r="B12279" s="7" t="str">
        <f>IFERROR(__xludf.DUMMYFUNCTION("SPLIT(A12279,"" "")"),"Cc1cccnc1CN(C)Cc1ncc(C)c(C)c1C")</f>
        <v>Cc1cccnc1CN(C)Cc1ncc(C)c(C)c1C</v>
      </c>
      <c r="C12279" s="7">
        <f>IFERROR(__xludf.DUMMYFUNCTION("""COMPUTED_VALUE"""),7.758763)</f>
        <v>7.758763</v>
      </c>
      <c r="D12279" s="7">
        <f>IFERROR(__xludf.DUMMYFUNCTION("""COMPUTED_VALUE"""),0.340425531914893)</f>
        <v>0.3404255319</v>
      </c>
    </row>
    <row r="12280">
      <c r="A12280" s="10" t="s">
        <v>13719</v>
      </c>
      <c r="B12280" s="7" t="str">
        <f>IFERROR(__xludf.DUMMYFUNCTION("SPLIT(A12280,"" "")"),"Cc1cc(CN(C)C2CCCC(N(C)c3ccc4ccc(CN(C)Cc5ccc(C)c(C)n5)nc4c3)C2)ccn1")</f>
        <v>Cc1cc(CN(C)C2CCCC(N(C)c3ccc4ccc(CN(C)Cc5ccc(C)c(C)n5)nc4c3)C2)ccn1</v>
      </c>
      <c r="C12280" s="7">
        <f>IFERROR(__xludf.DUMMYFUNCTION("""COMPUTED_VALUE"""),7.7587624)</f>
        <v>7.7587624</v>
      </c>
      <c r="D12280" s="7">
        <f>IFERROR(__xludf.DUMMYFUNCTION("""COMPUTED_VALUE"""),0.275362318840579)</f>
        <v>0.2753623188</v>
      </c>
    </row>
    <row r="12281">
      <c r="A12281" s="10" t="s">
        <v>13720</v>
      </c>
      <c r="B12281" s="7" t="str">
        <f>IFERROR(__xludf.DUMMYFUNCTION("SPLIT(A12281,"" "")"),"CCN(CC1=CCC=C(N(C)Cc2nc(C)c(C)c(C)c2C)N1)Cc1ccccn1")</f>
        <v>CCN(CC1=CCC=C(N(C)Cc2nc(C)c(C)c(C)c2C)N1)Cc1ccccn1</v>
      </c>
      <c r="C12281" s="7">
        <f>IFERROR(__xludf.DUMMYFUNCTION("""COMPUTED_VALUE"""),7.758761)</f>
        <v>7.758761</v>
      </c>
      <c r="D12281" s="7">
        <f>IFERROR(__xludf.DUMMYFUNCTION("""COMPUTED_VALUE"""),0.419354838709677)</f>
        <v>0.4193548387</v>
      </c>
    </row>
    <row r="12282">
      <c r="A12282" s="10" t="s">
        <v>13721</v>
      </c>
      <c r="B12282" s="7" t="str">
        <f>IFERROR(__xludf.DUMMYFUNCTION("SPLIT(A12282,"" "")"),"CN(Cc1ccccn1)C1=C(CN(Cc2ccccn2)Cc2cccc(F)n2)NC=CC1")</f>
        <v>CN(Cc1ccccn1)C1=C(CN(Cc2ccccn2)Cc2cccc(F)n2)NC=CC1</v>
      </c>
      <c r="C12282" s="7">
        <f>IFERROR(__xludf.DUMMYFUNCTION("""COMPUTED_VALUE"""),7.7587523)</f>
        <v>7.7587523</v>
      </c>
      <c r="D12282" s="7">
        <f>IFERROR(__xludf.DUMMYFUNCTION("""COMPUTED_VALUE"""),0.448275862068965)</f>
        <v>0.4482758621</v>
      </c>
    </row>
    <row r="12283">
      <c r="A12283" s="10" t="s">
        <v>13722</v>
      </c>
      <c r="B12283" s="7" t="str">
        <f>IFERROR(__xludf.DUMMYFUNCTION("SPLIT(A12283,"" "")"),"CN(c1cccc2cc(CF)cnc12)C1CCCC(N(Cc2ccccn2)C2=CNC=CC2)C1")</f>
        <v>CN(c1cccc2cc(CF)cnc12)C1CCCC(N(Cc2ccccn2)C2=CNC=CC2)C1</v>
      </c>
      <c r="C12283" s="7">
        <f>IFERROR(__xludf.DUMMYFUNCTION("""COMPUTED_VALUE"""),7.7587514)</f>
        <v>7.7587514</v>
      </c>
      <c r="D12283" s="7">
        <f>IFERROR(__xludf.DUMMYFUNCTION("""COMPUTED_VALUE"""),0.337837837837837)</f>
        <v>0.3378378378</v>
      </c>
    </row>
    <row r="12284">
      <c r="A12284" s="10" t="s">
        <v>13723</v>
      </c>
      <c r="B12284" s="7" t="str">
        <f>IFERROR(__xludf.DUMMYFUNCTION("SPLIT(A12284,"" "")"),"Cc1ccc(CN(C)C)nc1C")</f>
        <v>Cc1ccc(CN(C)C)nc1C</v>
      </c>
      <c r="C12284" s="7">
        <f>IFERROR(__xludf.DUMMYFUNCTION("""COMPUTED_VALUE"""),7.7587504)</f>
        <v>7.7587504</v>
      </c>
      <c r="D12284" s="7">
        <f>IFERROR(__xludf.DUMMYFUNCTION("""COMPUTED_VALUE"""),0.371428571428571)</f>
        <v>0.3714285714</v>
      </c>
    </row>
    <row r="12285">
      <c r="A12285" s="10" t="s">
        <v>13724</v>
      </c>
      <c r="B12285" s="7" t="str">
        <f>IFERROR(__xludf.DUMMYFUNCTION("SPLIT(A12285,"" "")"),"CCN(Cc1ccccn1)Cc1cccc(C2=NC(C)CO2)n1")</f>
        <v>CCN(Cc1ccccn1)Cc1cccc(C2=NC(C)CO2)n1</v>
      </c>
      <c r="C12285" s="7">
        <f>IFERROR(__xludf.DUMMYFUNCTION("""COMPUTED_VALUE"""),7.7587495)</f>
        <v>7.7587495</v>
      </c>
      <c r="D12285" s="7">
        <f>IFERROR(__xludf.DUMMYFUNCTION("""COMPUTED_VALUE"""),0.461538461538461)</f>
        <v>0.4615384615</v>
      </c>
    </row>
    <row r="12286">
      <c r="A12286" s="10" t="s">
        <v>13725</v>
      </c>
      <c r="B12286" s="7" t="str">
        <f>IFERROR(__xludf.DUMMYFUNCTION("SPLIT(A12286,"" "")"),"Cc1cccc(-c2cccc(CN(C)C3CCCC(N(Cc4ccccn4)Cc4cccc(-c5cccc(N)c5)n4)C3)n2)n1")</f>
        <v>Cc1cccc(-c2cccc(CN(C)C3CCCC(N(Cc4ccccn4)Cc4cccc(-c5cccc(N)c5)n4)C3)n2)n1</v>
      </c>
      <c r="C12286" s="7">
        <f>IFERROR(__xludf.DUMMYFUNCTION("""COMPUTED_VALUE"""),7.758749)</f>
        <v>7.758749</v>
      </c>
      <c r="D12286" s="7">
        <f>IFERROR(__xludf.DUMMYFUNCTION("""COMPUTED_VALUE"""),0.441176470588235)</f>
        <v>0.4411764706</v>
      </c>
    </row>
    <row r="12287">
      <c r="A12287" s="10" t="s">
        <v>13726</v>
      </c>
      <c r="B12287" s="7" t="str">
        <f>IFERROR(__xludf.DUMMYFUNCTION("SPLIT(A12287,"" "")"),"COC(=O)C1C(c2ccccn2)C(c2ccc(CN(Cc3ccccn3)C3CCC(N(C)c4ccc5nc(CF)ccc5c4)CC3)cn2)CN(C)C1c1ccccn1")</f>
        <v>COC(=O)C1C(c2ccccn2)C(c2ccc(CN(Cc3ccccn3)C3CCC(N(C)c4ccc5nc(CF)ccc5c4)CC3)cn2)CN(C)C1c1ccccn1</v>
      </c>
      <c r="C12287" s="7">
        <f>IFERROR(__xludf.DUMMYFUNCTION("""COMPUTED_VALUE"""),7.7587347)</f>
        <v>7.7587347</v>
      </c>
      <c r="D12287" s="7">
        <f>IFERROR(__xludf.DUMMYFUNCTION("""COMPUTED_VALUE"""),0.252747252747252)</f>
        <v>0.2527472527</v>
      </c>
    </row>
    <row r="12288">
      <c r="A12288" s="10" t="s">
        <v>13727</v>
      </c>
      <c r="B12288" s="7" t="str">
        <f>IFERROR(__xludf.DUMMYFUNCTION("SPLIT(A12288,"" "")"),"COC(=O)C(=O)C(C)C1(C)N=COC1c1cc(CN(Cc2ccccn2)Cc2ccccn2)ccn1")</f>
        <v>COC(=O)C(=O)C(C)C1(C)N=COC1c1cc(CN(Cc2ccccn2)Cc2ccccn2)ccn1</v>
      </c>
      <c r="C12288" s="7">
        <f>IFERROR(__xludf.DUMMYFUNCTION("""COMPUTED_VALUE"""),7.758733)</f>
        <v>7.758733</v>
      </c>
      <c r="D12288" s="7">
        <f>IFERROR(__xludf.DUMMYFUNCTION("""COMPUTED_VALUE"""),0.338983050847457)</f>
        <v>0.3389830508</v>
      </c>
    </row>
    <row r="12289">
      <c r="A12289" s="10" t="s">
        <v>13728</v>
      </c>
      <c r="B12289" s="7" t="str">
        <f>IFERROR(__xludf.DUMMYFUNCTION("SPLIT(A12289,"" "")"),"Cc1ccnc2cccc(N(C)CCN(Cc3ccccc3)C(C)C(C)C)c12")</f>
        <v>Cc1ccnc2cccc(N(C)CCN(Cc3ccccc3)C(C)C(C)C)c12</v>
      </c>
      <c r="C12289" s="7">
        <f>IFERROR(__xludf.DUMMYFUNCTION("""COMPUTED_VALUE"""),7.758731)</f>
        <v>7.758731</v>
      </c>
      <c r="D12289" s="7">
        <f>IFERROR(__xludf.DUMMYFUNCTION("""COMPUTED_VALUE"""),0.333333333333333)</f>
        <v>0.3333333333</v>
      </c>
    </row>
    <row r="12290">
      <c r="A12290" s="10" t="s">
        <v>13729</v>
      </c>
      <c r="B12290" s="7" t="str">
        <f>IFERROR(__xludf.DUMMYFUNCTION("SPLIT(A12290,"" "")"),"CCN(Cc1ccccn1)C1=CNC(CN(C)C(C)(c2cccnc2)c2ccccn2)=CC1")</f>
        <v>CCN(Cc1ccccn1)C1=CNC(CN(C)C(C)(c2cccnc2)c2ccccn2)=CC1</v>
      </c>
      <c r="C12290" s="7">
        <f>IFERROR(__xludf.DUMMYFUNCTION("""COMPUTED_VALUE"""),7.758729)</f>
        <v>7.758729</v>
      </c>
      <c r="D12290" s="7">
        <f>IFERROR(__xludf.DUMMYFUNCTION("""COMPUTED_VALUE"""),0.328571428571428)</f>
        <v>0.3285714286</v>
      </c>
    </row>
    <row r="12291">
      <c r="A12291" s="10" t="s">
        <v>13730</v>
      </c>
      <c r="B12291" s="7" t="str">
        <f>IFERROR(__xludf.DUMMYFUNCTION("SPLIT(A12291,"" "")"),"CC1=CC(C)(C)C2(C=CC(c3ncccc3CN(Cc3ccccn3)Cc3ccccn3)C(c3ccc(CN(Cc4ccccn4)c4ccc5cccnc5c4)cn3)C23CC=C(C)C(C)C3C)C2(CC=C(C)C(C)C2)C1")</f>
        <v>CC1=CC(C)(C)C2(C=CC(c3ncccc3CN(Cc3ccccn3)Cc3ccccn3)C(c3ccc(CN(Cc4ccccn4)c4ccc5cccnc5c4)cn3)C23CC=C(C)C(C)C3C)C2(CC=C(C)C(C)C2)C1</v>
      </c>
      <c r="C12291" s="7">
        <f>IFERROR(__xludf.DUMMYFUNCTION("""COMPUTED_VALUE"""),7.7587285)</f>
        <v>7.7587285</v>
      </c>
      <c r="D12291" s="7">
        <f>IFERROR(__xludf.DUMMYFUNCTION("""COMPUTED_VALUE"""),0.257425742574257)</f>
        <v>0.2574257426</v>
      </c>
    </row>
    <row r="12292">
      <c r="A12292" s="10" t="s">
        <v>13731</v>
      </c>
      <c r="B12292" s="7" t="str">
        <f>IFERROR(__xludf.DUMMYFUNCTION("SPLIT(A12292,"" "")"),"Cc1ccnc(CN(C)C2CCCC(N(C)c3ccc4nc(CN(C)C)ccc4c3)C2)c1C")</f>
        <v>Cc1ccnc(CN(C)C2CCCC(N(C)c3ccc4nc(CN(C)C)ccc4c3)C2)c1C</v>
      </c>
      <c r="C12292" s="7">
        <f>IFERROR(__xludf.DUMMYFUNCTION("""COMPUTED_VALUE"""),7.7587132)</f>
        <v>7.7587132</v>
      </c>
      <c r="D12292" s="7">
        <f>IFERROR(__xludf.DUMMYFUNCTION("""COMPUTED_VALUE"""),0.272727272727272)</f>
        <v>0.2727272727</v>
      </c>
    </row>
    <row r="12293">
      <c r="A12293" s="10" t="s">
        <v>13732</v>
      </c>
      <c r="B12293" s="7" t="str">
        <f>IFERROR(__xludf.DUMMYFUNCTION("SPLIT(A12293,"" "")"),"Cc1nc(CN(C)C2CCCCC2N(C)c2cccc3nc(CF)ccc23)c(C)c(C)c1C")</f>
        <v>Cc1nc(CN(C)C2CCCCC2N(C)c2cccc3nc(CF)ccc23)c(C)c(C)c1C</v>
      </c>
      <c r="C12293" s="7">
        <f>IFERROR(__xludf.DUMMYFUNCTION("""COMPUTED_VALUE"""),7.758712)</f>
        <v>7.758712</v>
      </c>
      <c r="D12293" s="7">
        <f>IFERROR(__xludf.DUMMYFUNCTION("""COMPUTED_VALUE"""),0.5)</f>
        <v>0.5</v>
      </c>
    </row>
    <row r="12294">
      <c r="A12294" s="10" t="s">
        <v>13733</v>
      </c>
      <c r="B12294" s="7" t="str">
        <f>IFERROR(__xludf.DUMMYFUNCTION("SPLIT(A12294,"" "")"),"CNC1C=C(N(C)Cc2ncccc2C)C=CN1")</f>
        <v>CNC1C=C(N(C)Cc2ncccc2C)C=CN1</v>
      </c>
      <c r="C12294" s="7">
        <f>IFERROR(__xludf.DUMMYFUNCTION("""COMPUTED_VALUE"""),7.75871)</f>
        <v>7.75871</v>
      </c>
      <c r="D12294" s="7">
        <f>IFERROR(__xludf.DUMMYFUNCTION("""COMPUTED_VALUE"""),0.272727272727272)</f>
        <v>0.2727272727</v>
      </c>
    </row>
    <row r="12295">
      <c r="A12295" s="10" t="s">
        <v>13734</v>
      </c>
      <c r="B12295" s="7" t="str">
        <f>IFERROR(__xludf.DUMMYFUNCTION("SPLIT(A12295,"" "")"),"Cc1cccc(N(C)CC2=CC(N(C)Cc3ccccn3)C=CN2)c1")</f>
        <v>Cc1cccc(N(C)CC2=CC(N(C)Cc3ccccn3)C=CN2)c1</v>
      </c>
      <c r="C12295" s="7">
        <f>IFERROR(__xludf.DUMMYFUNCTION("""COMPUTED_VALUE"""),7.7587037)</f>
        <v>7.7587037</v>
      </c>
      <c r="D12295" s="7">
        <f>IFERROR(__xludf.DUMMYFUNCTION("""COMPUTED_VALUE"""),0.385964912280701)</f>
        <v>0.3859649123</v>
      </c>
    </row>
    <row r="12296">
      <c r="A12296" s="10" t="s">
        <v>13735</v>
      </c>
      <c r="B12296" s="7" t="str">
        <f>IFERROR(__xludf.DUMMYFUNCTION("SPLIT(A12296,"" "")"),"C1=CCNC(N(Cc2ccccn2)Cc2ccccn2)=C1")</f>
        <v>C1=CCNC(N(Cc2ccccn2)Cc2ccccn2)=C1</v>
      </c>
      <c r="C12296" s="7">
        <f>IFERROR(__xludf.DUMMYFUNCTION("""COMPUTED_VALUE"""),7.7587)</f>
        <v>7.7587</v>
      </c>
      <c r="D12296" s="7">
        <f>IFERROR(__xludf.DUMMYFUNCTION("""COMPUTED_VALUE"""),0.472222222222222)</f>
        <v>0.4722222222</v>
      </c>
    </row>
    <row r="12297">
      <c r="A12297" s="10" t="s">
        <v>13736</v>
      </c>
      <c r="B12297" s="7" t="str">
        <f>IFERROR(__xludf.DUMMYFUNCTION("SPLIT(A12297,"" "")"),"Cc1ccc(NCc2ccccn2)cc1C")</f>
        <v>Cc1ccc(NCc2ccccn2)cc1C</v>
      </c>
      <c r="C12297" s="7">
        <f>IFERROR(__xludf.DUMMYFUNCTION("""COMPUTED_VALUE"""),7.758699)</f>
        <v>7.758699</v>
      </c>
      <c r="D12297" s="7">
        <f>IFERROR(__xludf.DUMMYFUNCTION("""COMPUTED_VALUE"""),0.472222222222222)</f>
        <v>0.4722222222</v>
      </c>
    </row>
    <row r="12298">
      <c r="A12298" s="10" t="s">
        <v>13737</v>
      </c>
      <c r="B12298" s="7" t="str">
        <f>IFERROR(__xludf.DUMMYFUNCTION("SPLIT(A12298,"" "")"),"Cc1cccnc1CN(C)C1=CCC=C(CN(Cc2ccccn2)C(C)C)N1")</f>
        <v>Cc1cccnc1CN(C)C1=CCC=C(CN(Cc2ccccn2)C(C)C)N1</v>
      </c>
      <c r="C12298" s="7">
        <f>IFERROR(__xludf.DUMMYFUNCTION("""COMPUTED_VALUE"""),7.758693)</f>
        <v>7.758693</v>
      </c>
      <c r="D12298" s="7">
        <f>IFERROR(__xludf.DUMMYFUNCTION("""COMPUTED_VALUE"""),0.444444444444444)</f>
        <v>0.4444444444</v>
      </c>
    </row>
    <row r="12299">
      <c r="A12299" s="10" t="s">
        <v>13738</v>
      </c>
      <c r="B12299" s="7" t="str">
        <f>IFERROR(__xludf.DUMMYFUNCTION("SPLIT(A12299,"" "")"),"CC(C)C(C)N(C)Cc1ncccc1-c1c(N)cccc1Cl")</f>
        <v>CC(C)C(C)N(C)Cc1ncccc1-c1c(N)cccc1Cl</v>
      </c>
      <c r="C12299" s="7">
        <f>IFERROR(__xludf.DUMMYFUNCTION("""COMPUTED_VALUE"""),7.7586856)</f>
        <v>7.7586856</v>
      </c>
      <c r="D12299" s="7">
        <f>IFERROR(__xludf.DUMMYFUNCTION("""COMPUTED_VALUE"""),0.29090909090909)</f>
        <v>0.2909090909</v>
      </c>
    </row>
    <row r="12300">
      <c r="A12300" s="10" t="s">
        <v>13739</v>
      </c>
      <c r="B12300" s="7" t="str">
        <f>IFERROR(__xludf.DUMMYFUNCTION("SPLIT(A12300,"" "")"),"CN(C)Cc1nccc2cc(N(C)C3CCCCC3N(C)Cc3ccon3)ccc12")</f>
        <v>CN(C)Cc1nccc2cc(N(C)C3CCCCC3N(C)Cc3ccon3)ccc12</v>
      </c>
      <c r="C12300" s="7">
        <f>IFERROR(__xludf.DUMMYFUNCTION("""COMPUTED_VALUE"""),7.7586856)</f>
        <v>7.7586856</v>
      </c>
      <c r="D12300" s="7">
        <f>IFERROR(__xludf.DUMMYFUNCTION("""COMPUTED_VALUE"""),0.389830508474576)</f>
        <v>0.3898305085</v>
      </c>
    </row>
    <row r="12301">
      <c r="A12301" s="10" t="s">
        <v>13740</v>
      </c>
      <c r="B12301" s="7" t="str">
        <f>IFERROR(__xludf.DUMMYFUNCTION("SPLIT(A12301,"" "")"),"Cc1cccnc1CN(C)C1CCCC(N(C)c2cccc3nccc(CN(C)C)c23)C1")</f>
        <v>Cc1cccnc1CN(C)C1CCCC(N(C)c2cccc3nccc(CN(C)C)c23)C1</v>
      </c>
      <c r="C12301" s="7">
        <f>IFERROR(__xludf.DUMMYFUNCTION("""COMPUTED_VALUE"""),7.758681)</f>
        <v>7.758681</v>
      </c>
      <c r="D12301" s="7">
        <f>IFERROR(__xludf.DUMMYFUNCTION("""COMPUTED_VALUE"""),0.307692307692307)</f>
        <v>0.3076923077</v>
      </c>
    </row>
    <row r="12302">
      <c r="A12302" s="10" t="s">
        <v>13741</v>
      </c>
      <c r="B12302" s="7" t="str">
        <f>IFERROR(__xludf.DUMMYFUNCTION("SPLIT(A12302,"" "")"),"Cc1cc(CN(C)C2C=CNC(CN(C)Cc3nc(C)c(C)c(C)c3C)=C2)nc(C)c1C")</f>
        <v>Cc1cc(CN(C)C2C=CNC(CN(C)Cc3nc(C)c(C)c(C)c3C)=C2)nc(C)c1C</v>
      </c>
      <c r="C12302" s="7">
        <f>IFERROR(__xludf.DUMMYFUNCTION("""COMPUTED_VALUE"""),7.758681)</f>
        <v>7.758681</v>
      </c>
      <c r="D12302" s="7">
        <f>IFERROR(__xludf.DUMMYFUNCTION("""COMPUTED_VALUE"""),0.301587301587301)</f>
        <v>0.3015873016</v>
      </c>
    </row>
    <row r="12303">
      <c r="A12303" s="10" t="s">
        <v>13742</v>
      </c>
      <c r="B12303" s="7" t="str">
        <f>IFERROR(__xludf.DUMMYFUNCTION("SPLIT(A12303,"" "")"),"CNCC1=CCC=C(N(C)Cc2ccc(C)cn2)N1")</f>
        <v>CNCC1=CCC=C(N(C)Cc2ccc(C)cn2)N1</v>
      </c>
      <c r="C12303" s="7">
        <f>IFERROR(__xludf.DUMMYFUNCTION("""COMPUTED_VALUE"""),7.7586784)</f>
        <v>7.7586784</v>
      </c>
      <c r="D12303" s="7">
        <f>IFERROR(__xludf.DUMMYFUNCTION("""COMPUTED_VALUE"""),0.431372549019607)</f>
        <v>0.431372549</v>
      </c>
    </row>
    <row r="12304">
      <c r="A12304" s="10" t="s">
        <v>13743</v>
      </c>
      <c r="B12304" s="7" t="str">
        <f>IFERROR(__xludf.DUMMYFUNCTION("SPLIT(A12304,"" "")"),"CN(c1cccc2nc(CF)ccc12)C1CCCCC1N(Cc1ccccn1)Cc1cccc(C(C)(C)c2ccccn2)n1")</f>
        <v>CN(c1cccc2nc(CF)ccc12)C1CCCCC1N(Cc1ccccn1)Cc1cccc(C(C)(C)c2ccccn2)n1</v>
      </c>
      <c r="C12304" s="7">
        <f>IFERROR(__xludf.DUMMYFUNCTION("""COMPUTED_VALUE"""),7.7586703)</f>
        <v>7.7586703</v>
      </c>
      <c r="D12304" s="7">
        <f>IFERROR(__xludf.DUMMYFUNCTION("""COMPUTED_VALUE"""),0.434782608695652)</f>
        <v>0.4347826087</v>
      </c>
    </row>
    <row r="12305">
      <c r="A12305" s="10" t="s">
        <v>13744</v>
      </c>
      <c r="B12305" s="7" t="str">
        <f>IFERROR(__xludf.DUMMYFUNCTION("SPLIT(A12305,"" "")"),"Cc1nccc(CN(C)C2CCCC(N(C)c3ccc4c(CF)ccnc4c3)C2)c1C")</f>
        <v>Cc1nccc(CN(C)C2CCCC(N(C)c3ccc4c(CF)ccnc4c3)C2)c1C</v>
      </c>
      <c r="C12305" s="7">
        <f>IFERROR(__xludf.DUMMYFUNCTION("""COMPUTED_VALUE"""),7.758669)</f>
        <v>7.758669</v>
      </c>
      <c r="D12305" s="7">
        <f>IFERROR(__xludf.DUMMYFUNCTION("""COMPUTED_VALUE"""),0.246153846153846)</f>
        <v>0.2461538462</v>
      </c>
    </row>
    <row r="12306">
      <c r="A12306" s="10" t="s">
        <v>13745</v>
      </c>
      <c r="B12306" s="7" t="str">
        <f>IFERROR(__xludf.DUMMYFUNCTION("SPLIT(A12306,"" "")"),"CCN(CC1=CC(N(C)Cc2ccc3ncccc3c2)C=CN1)Cc1ccccc1")</f>
        <v>CCN(CC1=CC(N(C)Cc2ccc3ncccc3c2)C=CN1)Cc1ccccc1</v>
      </c>
      <c r="C12306" s="7">
        <f>IFERROR(__xludf.DUMMYFUNCTION("""COMPUTED_VALUE"""),7.7586675)</f>
        <v>7.7586675</v>
      </c>
      <c r="D12306" s="7">
        <f>IFERROR(__xludf.DUMMYFUNCTION("""COMPUTED_VALUE"""),0.275362318840579)</f>
        <v>0.2753623188</v>
      </c>
    </row>
    <row r="12307">
      <c r="A12307" s="10" t="s">
        <v>13746</v>
      </c>
      <c r="B12307" s="7" t="str">
        <f>IFERROR(__xludf.DUMMYFUNCTION("SPLIT(A12307,"" "")"),"CC1=C(c2cccnc2CN(Cc2ccccc2N(C)Cc2ncccc2C)Cc2ncccc2C)C(C)C(C)C(N(C)Cc2ccccn2)C1")</f>
        <v>CC1=C(c2cccnc2CN(Cc2ccccc2N(C)Cc2ncccc2C)Cc2ncccc2C)C(C)C(C)C(N(C)Cc2ccccn2)C1</v>
      </c>
      <c r="C12307" s="7">
        <f>IFERROR(__xludf.DUMMYFUNCTION("""COMPUTED_VALUE"""),7.758666)</f>
        <v>7.758666</v>
      </c>
      <c r="D12307" s="7">
        <f>IFERROR(__xludf.DUMMYFUNCTION("""COMPUTED_VALUE"""),0.373134328358209)</f>
        <v>0.3731343284</v>
      </c>
    </row>
    <row r="12308">
      <c r="A12308" s="10" t="s">
        <v>13747</v>
      </c>
      <c r="B12308" s="7" t="str">
        <f>IFERROR(__xludf.DUMMYFUNCTION("SPLIT(A12308,"" "")"),"CNCc1nccc2cc(N(C)C3CCCCC3N(Cc3ccccn3)Cc3nc(C)c(C)c(C)c3C)ccc12")</f>
        <v>CNCc1nccc2cc(N(C)C3CCCCC3N(Cc3ccccn3)Cc3nc(C)c(C)c(C)c3C)ccc12</v>
      </c>
      <c r="C12308" s="7">
        <f>IFERROR(__xludf.DUMMYFUNCTION("""COMPUTED_VALUE"""),7.758663)</f>
        <v>7.758663</v>
      </c>
      <c r="D12308" s="7">
        <f>IFERROR(__xludf.DUMMYFUNCTION("""COMPUTED_VALUE"""),0.38235294117647)</f>
        <v>0.3823529412</v>
      </c>
    </row>
    <row r="12309">
      <c r="A12309" s="10" t="s">
        <v>13748</v>
      </c>
      <c r="B12309" s="7" t="str">
        <f>IFERROR(__xludf.DUMMYFUNCTION("SPLIT(A12309,"" "")"),"CC(C)c1cccc(CN(Cc2ccccn2)C2CCCCC2N(C)Cc2cc(-c3ccc4ncccc4c3)ccn2)n1")</f>
        <v>CC(C)c1cccc(CN(Cc2ccccn2)C2CCCCC2N(C)Cc2cc(-c3ccc4ncccc4c3)ccn2)n1</v>
      </c>
      <c r="C12309" s="7">
        <f>IFERROR(__xludf.DUMMYFUNCTION("""COMPUTED_VALUE"""),7.7586555)</f>
        <v>7.7586555</v>
      </c>
      <c r="D12309" s="7">
        <f>IFERROR(__xludf.DUMMYFUNCTION("""COMPUTED_VALUE"""),0.491803278688524)</f>
        <v>0.4918032787</v>
      </c>
    </row>
    <row r="12310">
      <c r="A12310" s="10" t="s">
        <v>13749</v>
      </c>
      <c r="B12310" s="7" t="str">
        <f>IFERROR(__xludf.DUMMYFUNCTION("SPLIT(A12310,"" "")"),"CC(C)C(C)N(C)Cc1cccc(-c2ccc(Cl)cc2N)n1")</f>
        <v>CC(C)C(C)N(C)Cc1cccc(-c2ccc(Cl)cc2N)n1</v>
      </c>
      <c r="C12310" s="7">
        <f>IFERROR(__xludf.DUMMYFUNCTION("""COMPUTED_VALUE"""),7.7586536)</f>
        <v>7.7586536</v>
      </c>
      <c r="D12310" s="7">
        <f>IFERROR(__xludf.DUMMYFUNCTION("""COMPUTED_VALUE"""),0.327272727272727)</f>
        <v>0.3272727273</v>
      </c>
    </row>
    <row r="12311">
      <c r="A12311" s="10" t="s">
        <v>13750</v>
      </c>
      <c r="B12311" s="7" t="str">
        <f>IFERROR(__xludf.DUMMYFUNCTION("SPLIT(A12311,"" "")"),"CN(Cc1ccccn1)C1=CNC=C(CN(Cc2ccccn2)Cc2cccc(F)n2)C1")</f>
        <v>CN(Cc1ccccn1)C1=CNC=C(CN(Cc2ccccn2)Cc2cccc(F)n2)C1</v>
      </c>
      <c r="C12311" s="7">
        <f>IFERROR(__xludf.DUMMYFUNCTION("""COMPUTED_VALUE"""),7.7586517)</f>
        <v>7.7586517</v>
      </c>
      <c r="D12311" s="7">
        <f>IFERROR(__xludf.DUMMYFUNCTION("""COMPUTED_VALUE"""),0.43076923076923)</f>
        <v>0.4307692308</v>
      </c>
    </row>
    <row r="12312">
      <c r="A12312" s="10" t="s">
        <v>13751</v>
      </c>
      <c r="B12312" s="7" t="str">
        <f>IFERROR(__xludf.DUMMYFUNCTION("SPLIT(A12312,"" "")"),"Cc1cc(C)c(C)c(CN(C)Cc2ncccc2C)n1")</f>
        <v>Cc1cc(C)c(C)c(CN(C)Cc2ncccc2C)n1</v>
      </c>
      <c r="C12312" s="7">
        <f>IFERROR(__xludf.DUMMYFUNCTION("""COMPUTED_VALUE"""),7.7586446)</f>
        <v>7.7586446</v>
      </c>
      <c r="D12312" s="7">
        <f>IFERROR(__xludf.DUMMYFUNCTION("""COMPUTED_VALUE"""),0.340425531914893)</f>
        <v>0.3404255319</v>
      </c>
    </row>
    <row r="12313">
      <c r="A12313" s="10" t="s">
        <v>13752</v>
      </c>
      <c r="B12313" s="7" t="str">
        <f>IFERROR(__xludf.DUMMYFUNCTION("SPLIT(A12313,"" "")"),"CCNc1ncccc1-c1ncccc1C(C)C(C)C")</f>
        <v>CCNc1ncccc1-c1ncccc1C(C)C(C)C</v>
      </c>
      <c r="C12313" s="7">
        <f>IFERROR(__xludf.DUMMYFUNCTION("""COMPUTED_VALUE"""),7.7586384)</f>
        <v>7.7586384</v>
      </c>
      <c r="D12313" s="7">
        <f>IFERROR(__xludf.DUMMYFUNCTION("""COMPUTED_VALUE"""),0.269230769230769)</f>
        <v>0.2692307692</v>
      </c>
    </row>
    <row r="12314">
      <c r="A12314" s="10" t="s">
        <v>13753</v>
      </c>
      <c r="B12314" s="7" t="str">
        <f>IFERROR(__xludf.DUMMYFUNCTION("SPLIT(A12314,"" "")"),"CN(Cc1ccon1)C1CCC(N(C)c2cccc3nccc(CF)c23)CC1")</f>
        <v>CN(Cc1ccon1)C1CCC(N(C)c2cccc3nccc(CF)c23)CC1</v>
      </c>
      <c r="C12314" s="7">
        <f>IFERROR(__xludf.DUMMYFUNCTION("""COMPUTED_VALUE"""),7.758638)</f>
        <v>7.758638</v>
      </c>
      <c r="D12314" s="7">
        <f>IFERROR(__xludf.DUMMYFUNCTION("""COMPUTED_VALUE"""),0.363636363636363)</f>
        <v>0.3636363636</v>
      </c>
    </row>
    <row r="12315">
      <c r="A12315" s="10" t="s">
        <v>13754</v>
      </c>
      <c r="B12315" s="7" t="str">
        <f>IFERROR(__xludf.DUMMYFUNCTION("SPLIT(A12315,"" "")"),"CN(Cc1ccccn1)C1=CNC(CN(C)C2=CCC(C(C)(C)C)=CN2)=CC1")</f>
        <v>CN(Cc1ccccn1)C1=CNC(CN(C)C2=CCC(C(C)(C)C)=CN2)=CC1</v>
      </c>
      <c r="C12315" s="7">
        <f>IFERROR(__xludf.DUMMYFUNCTION("""COMPUTED_VALUE"""),7.7586365)</f>
        <v>7.7586365</v>
      </c>
      <c r="D12315" s="7">
        <f>IFERROR(__xludf.DUMMYFUNCTION("""COMPUTED_VALUE"""),0.370967741935483)</f>
        <v>0.3709677419</v>
      </c>
    </row>
    <row r="12316">
      <c r="A12316" s="10" t="s">
        <v>13755</v>
      </c>
      <c r="B12316" s="7" t="str">
        <f>IFERROR(__xludf.DUMMYFUNCTION("SPLIT(A12316,"" "")"),"Cc1ccccc1-c1cccc(CN(C)C(C)C)n1")</f>
        <v>Cc1ccccc1-c1cccc(CN(C)C(C)C)n1</v>
      </c>
      <c r="C12316" s="7">
        <f>IFERROR(__xludf.DUMMYFUNCTION("""COMPUTED_VALUE"""),7.758633)</f>
        <v>7.758633</v>
      </c>
      <c r="D12316" s="7">
        <f>IFERROR(__xludf.DUMMYFUNCTION("""COMPUTED_VALUE"""),0.413043478260869)</f>
        <v>0.4130434783</v>
      </c>
    </row>
    <row r="12317">
      <c r="A12317" s="10" t="s">
        <v>13756</v>
      </c>
      <c r="B12317" s="7" t="str">
        <f>IFERROR(__xludf.DUMMYFUNCTION("SPLIT(A12317,"" "")"),"Cc1cc(CN(C)Cc2cc(N)cc(C)n2)ccn1")</f>
        <v>Cc1cc(CN(C)Cc2cc(N)cc(C)n2)ccn1</v>
      </c>
      <c r="C12317" s="7">
        <f>IFERROR(__xludf.DUMMYFUNCTION("""COMPUTED_VALUE"""),7.7586303)</f>
        <v>7.7586303</v>
      </c>
      <c r="D12317" s="7">
        <f>IFERROR(__xludf.DUMMYFUNCTION("""COMPUTED_VALUE"""),0.355555555555555)</f>
        <v>0.3555555556</v>
      </c>
    </row>
    <row r="12318">
      <c r="A12318" s="10" t="s">
        <v>13757</v>
      </c>
      <c r="B12318" s="7" t="str">
        <f>IFERROR(__xludf.DUMMYFUNCTION("SPLIT(A12318,"" "")"),"C=CCN(C)CCN(Cc1ccccn1)Cc1cccnc1-c1cc(Cl)ccc1N")</f>
        <v>C=CCN(C)CCN(Cc1ccccn1)Cc1cccnc1-c1cc(Cl)ccc1N</v>
      </c>
      <c r="C12318" s="7">
        <f>IFERROR(__xludf.DUMMYFUNCTION("""COMPUTED_VALUE"""),7.7586293)</f>
        <v>7.7586293</v>
      </c>
      <c r="D12318" s="7">
        <f>IFERROR(__xludf.DUMMYFUNCTION("""COMPUTED_VALUE"""),0.439393939393939)</f>
        <v>0.4393939394</v>
      </c>
    </row>
    <row r="12319">
      <c r="A12319" s="10" t="s">
        <v>13758</v>
      </c>
      <c r="B12319" s="7" t="str">
        <f>IFERROR(__xludf.DUMMYFUNCTION("SPLIT(A12319,"" "")"),"Cc1cc(C)c2cccc(N(C)C3CCCC(N(C)Cc4ccccn4)C3)c2n1")</f>
        <v>Cc1cc(C)c2cccc(N(C)C3CCCC(N(C)Cc4ccccn4)C3)c2n1</v>
      </c>
      <c r="C12319" s="7">
        <f>IFERROR(__xludf.DUMMYFUNCTION("""COMPUTED_VALUE"""),7.758625)</f>
        <v>7.758625</v>
      </c>
      <c r="D12319" s="7">
        <f>IFERROR(__xludf.DUMMYFUNCTION("""COMPUTED_VALUE"""),0.446428571428571)</f>
        <v>0.4464285714</v>
      </c>
    </row>
    <row r="12320">
      <c r="A12320" s="10" t="s">
        <v>13759</v>
      </c>
      <c r="B12320" s="7" t="str">
        <f>IFERROR(__xludf.DUMMYFUNCTION("SPLIT(A12320,"" "")"),"Cc1nc(CN(C)CC2C=CNC(N(C)Cc3ccccn3)=C2)c(C)c(C)c1C")</f>
        <v>Cc1nc(CN(C)CC2C=CNC(N(C)Cc3ccccn3)=C2)c(C)c(C)c1C</v>
      </c>
      <c r="C12320" s="7">
        <f>IFERROR(__xludf.DUMMYFUNCTION("""COMPUTED_VALUE"""),7.7586164)</f>
        <v>7.7586164</v>
      </c>
      <c r="D12320" s="7">
        <f>IFERROR(__xludf.DUMMYFUNCTION("""COMPUTED_VALUE"""),0.35)</f>
        <v>0.35</v>
      </c>
    </row>
    <row r="12321">
      <c r="A12321" s="10" t="s">
        <v>13760</v>
      </c>
      <c r="B12321" s="7" t="str">
        <f>IFERROR(__xludf.DUMMYFUNCTION("SPLIT(A12321,"" "")"),"Cc1cncc(CN(C)C2=CNC=C(CN(C)Cc3cccc(C)n3)C2)c1")</f>
        <v>Cc1cncc(CN(C)C2=CNC=C(CN(C)Cc3cccc(C)n3)C2)c1</v>
      </c>
      <c r="C12321" s="7">
        <f>IFERROR(__xludf.DUMMYFUNCTION("""COMPUTED_VALUE"""),7.7586145)</f>
        <v>7.7586145</v>
      </c>
      <c r="D12321" s="7">
        <f>IFERROR(__xludf.DUMMYFUNCTION("""COMPUTED_VALUE"""),0.407407407407407)</f>
        <v>0.4074074074</v>
      </c>
    </row>
    <row r="12322">
      <c r="A12322" s="10" t="s">
        <v>13761</v>
      </c>
      <c r="B12322" s="7" t="str">
        <f>IFERROR(__xludf.DUMMYFUNCTION("SPLIT(A12322,"" "")"),"CC1=CC(C)C(CN(Cc2ccccn2)Cc2cccc(-c3cccc(N=Cc4ccccn4)c3)n2)C(C)C1")</f>
        <v>CC1=CC(C)C(CN(Cc2ccccn2)Cc2cccc(-c3cccc(N=Cc4ccccn4)c3)n2)C(C)C1</v>
      </c>
      <c r="C12322" s="7">
        <f>IFERROR(__xludf.DUMMYFUNCTION("""COMPUTED_VALUE"""),7.7586117)</f>
        <v>7.7586117</v>
      </c>
      <c r="D12322" s="7">
        <f>IFERROR(__xludf.DUMMYFUNCTION("""COMPUTED_VALUE"""),0.450704225352112)</f>
        <v>0.4507042254</v>
      </c>
    </row>
    <row r="12323">
      <c r="A12323" s="10" t="s">
        <v>13762</v>
      </c>
      <c r="B12323" s="7" t="str">
        <f>IFERROR(__xludf.DUMMYFUNCTION("SPLIT(A12323,"" "")"),"Cc1cncc(CN(Cc2ccccn2)C2CCC(N(C)c3cccc4c(C)ccnc34)CC2)c1")</f>
        <v>Cc1cncc(CN(Cc2ccccn2)C2CCC(N(C)c3cccc4c(C)ccnc34)CC2)c1</v>
      </c>
      <c r="C12323" s="7">
        <f>IFERROR(__xludf.DUMMYFUNCTION("""COMPUTED_VALUE"""),7.7586102)</f>
        <v>7.7586102</v>
      </c>
      <c r="D12323" s="7">
        <f>IFERROR(__xludf.DUMMYFUNCTION("""COMPUTED_VALUE"""),0.333333333333333)</f>
        <v>0.3333333333</v>
      </c>
    </row>
    <row r="12324">
      <c r="A12324" s="10" t="s">
        <v>13763</v>
      </c>
      <c r="B12324" s="7" t="str">
        <f>IFERROR(__xludf.DUMMYFUNCTION("SPLIT(A12324,"" "")"),"CN(CCF)CCN(C)c1ccc2ncc(CF)cc2c1")</f>
        <v>CN(CCF)CCN(C)c1ccc2ncc(CF)cc2c1</v>
      </c>
      <c r="C12324" s="7">
        <f>IFERROR(__xludf.DUMMYFUNCTION("""COMPUTED_VALUE"""),7.75861)</f>
        <v>7.75861</v>
      </c>
      <c r="D12324" s="7">
        <f>IFERROR(__xludf.DUMMYFUNCTION("""COMPUTED_VALUE"""),0.28)</f>
        <v>0.28</v>
      </c>
    </row>
    <row r="12325">
      <c r="A12325" s="10" t="s">
        <v>13764</v>
      </c>
      <c r="B12325" s="7" t="str">
        <f>IFERROR(__xludf.DUMMYFUNCTION("SPLIT(A12325,"" "")"),"Cc1ccc(CN(C)C2=C(CN(C)Cc3cc(C)ccn3)NC=CC2)nc1")</f>
        <v>Cc1ccc(CN(C)C2=C(CN(C)Cc3cc(C)ccn3)NC=CC2)nc1</v>
      </c>
      <c r="C12325" s="7">
        <f>IFERROR(__xludf.DUMMYFUNCTION("""COMPUTED_VALUE"""),7.7586074)</f>
        <v>7.7586074</v>
      </c>
      <c r="D12325" s="7">
        <f>IFERROR(__xludf.DUMMYFUNCTION("""COMPUTED_VALUE"""),0.423076923076923)</f>
        <v>0.4230769231</v>
      </c>
    </row>
    <row r="12326">
      <c r="A12326" s="10" t="s">
        <v>13765</v>
      </c>
      <c r="B12326" s="7" t="str">
        <f>IFERROR(__xludf.DUMMYFUNCTION("SPLIT(A12326,"" "")"),"Cc1cnc(C)c(CN(C)C2=C(CN(C)Cc3ccccn3)NC=CC2)c1")</f>
        <v>Cc1cnc(C)c(CN(C)C2=C(CN(C)Cc3ccccn3)NC=CC2)c1</v>
      </c>
      <c r="C12326" s="7">
        <f>IFERROR(__xludf.DUMMYFUNCTION("""COMPUTED_VALUE"""),7.7586064)</f>
        <v>7.7586064</v>
      </c>
      <c r="D12326" s="7">
        <f>IFERROR(__xludf.DUMMYFUNCTION("""COMPUTED_VALUE"""),0.360655737704918)</f>
        <v>0.3606557377</v>
      </c>
    </row>
    <row r="12327">
      <c r="A12327" s="10" t="s">
        <v>13766</v>
      </c>
      <c r="B12327" s="7" t="str">
        <f>IFERROR(__xludf.DUMMYFUNCTION("SPLIT(A12327,"" "")"),"CCNCC1=CCC=C(N(C)Cc2nc(C)c(C)c(C)c2C)N1")</f>
        <v>CCNCC1=CCC=C(N(C)Cc2nc(C)c(C)c(C)c2C)N1</v>
      </c>
      <c r="C12327" s="7">
        <f>IFERROR(__xludf.DUMMYFUNCTION("""COMPUTED_VALUE"""),7.758603)</f>
        <v>7.758603</v>
      </c>
      <c r="D12327" s="7">
        <f>IFERROR(__xludf.DUMMYFUNCTION("""COMPUTED_VALUE"""),0.196721311475409)</f>
        <v>0.1967213115</v>
      </c>
    </row>
    <row r="12328">
      <c r="A12328" s="10" t="s">
        <v>13767</v>
      </c>
      <c r="B12328" s="7" t="str">
        <f>IFERROR(__xludf.DUMMYFUNCTION("SPLIT(A12328,"" "")"),"CN(Cc1ccccn1)C1CCC(N(C)Cc2ncccc2-c2ccc3ncccc3c2)CC1")</f>
        <v>CN(Cc1ccccn1)C1CCC(N(C)Cc2ncccc2-c2ccc3ncccc3c2)CC1</v>
      </c>
      <c r="C12328" s="7">
        <f>IFERROR(__xludf.DUMMYFUNCTION("""COMPUTED_VALUE"""),7.7585974)</f>
        <v>7.7585974</v>
      </c>
      <c r="D12328" s="7">
        <f>IFERROR(__xludf.DUMMYFUNCTION("""COMPUTED_VALUE"""),0.444444444444444)</f>
        <v>0.4444444444</v>
      </c>
    </row>
    <row r="12329">
      <c r="A12329" s="10" t="s">
        <v>13768</v>
      </c>
      <c r="B12329" s="7" t="str">
        <f>IFERROR(__xludf.DUMMYFUNCTION("SPLIT(A12329,"" "")"),"Cc1ccc2cccnc2c1CN(C)C1CCCCC1N(C)Cc1ccc2ncccc2c1")</f>
        <v>Cc1ccc2cccnc2c1CN(C)C1CCCCC1N(C)Cc1ccc2ncccc2c1</v>
      </c>
      <c r="C12329" s="7">
        <f>IFERROR(__xludf.DUMMYFUNCTION("""COMPUTED_VALUE"""),7.7585974)</f>
        <v>7.7585974</v>
      </c>
      <c r="D12329" s="7">
        <f>IFERROR(__xludf.DUMMYFUNCTION("""COMPUTED_VALUE"""),0.421052631578947)</f>
        <v>0.4210526316</v>
      </c>
    </row>
    <row r="12330">
      <c r="A12330" s="10" t="s">
        <v>13769</v>
      </c>
      <c r="B12330" s="7" t="str">
        <f>IFERROR(__xludf.DUMMYFUNCTION("SPLIT(A12330,"" "")"),"CNCc1cc(C2=NC(C)(C)CO2)ccn1")</f>
        <v>CNCc1cc(C2=NC(C)(C)CO2)ccn1</v>
      </c>
      <c r="C12330" s="7">
        <f>IFERROR(__xludf.DUMMYFUNCTION("""COMPUTED_VALUE"""),7.758584)</f>
        <v>7.758584</v>
      </c>
      <c r="D12330" s="7">
        <f>IFERROR(__xludf.DUMMYFUNCTION("""COMPUTED_VALUE"""),0.4)</f>
        <v>0.4</v>
      </c>
    </row>
    <row r="12331">
      <c r="A12331" s="10" t="s">
        <v>13770</v>
      </c>
      <c r="B12331" s="7" t="str">
        <f>IFERROR(__xludf.DUMMYFUNCTION("SPLIT(A12331,"" "")"),"FCNCc1cccc(C(c2ccccn2)c2ccccn2)n1")</f>
        <v>FCNCc1cccc(C(c2ccccn2)c2ccccn2)n1</v>
      </c>
      <c r="C12331" s="7">
        <f>IFERROR(__xludf.DUMMYFUNCTION("""COMPUTED_VALUE"""),7.7585835)</f>
        <v>7.7585835</v>
      </c>
      <c r="D12331" s="7">
        <f>IFERROR(__xludf.DUMMYFUNCTION("""COMPUTED_VALUE"""),0.435897435897435)</f>
        <v>0.4358974359</v>
      </c>
    </row>
    <row r="12332">
      <c r="A12332" s="10" t="s">
        <v>13771</v>
      </c>
      <c r="B12332" s="7" t="str">
        <f>IFERROR(__xludf.DUMMYFUNCTION("SPLIT(A12332,"" "")"),"Cc1cccc(CN(C)C2C=CNC(CN(C)C3=CCC=C(CN(C)C4=CC=CNC4NCc4ccccn4)N3)=C2)n1")</f>
        <v>Cc1cccc(CN(C)C2C=CNC(CN(C)C3=CCC=C(CN(C)C4=CC=CNC4NCc4ccccn4)N3)=C2)n1</v>
      </c>
      <c r="C12332" s="7">
        <f>IFERROR(__xludf.DUMMYFUNCTION("""COMPUTED_VALUE"""),7.758582)</f>
        <v>7.758582</v>
      </c>
      <c r="D12332" s="7">
        <f>IFERROR(__xludf.DUMMYFUNCTION("""COMPUTED_VALUE"""),0.309523809523809)</f>
        <v>0.3095238095</v>
      </c>
    </row>
    <row r="12333">
      <c r="A12333" s="10" t="s">
        <v>13772</v>
      </c>
      <c r="B12333" s="7" t="str">
        <f>IFERROR(__xludf.DUMMYFUNCTION("SPLIT(A12333,"" "")"),"CN1CCN(C)CCN(Cc2cncc(-c3ccc(N)c4cccnc34)c2)CC1")</f>
        <v>CN1CCN(C)CCN(Cc2cncc(-c3ccc(N)c4cccnc34)c2)CC1</v>
      </c>
      <c r="C12333" s="7">
        <f>IFERROR(__xludf.DUMMYFUNCTION("""COMPUTED_VALUE"""),7.758577)</f>
        <v>7.758577</v>
      </c>
      <c r="D12333" s="7">
        <f>IFERROR(__xludf.DUMMYFUNCTION("""COMPUTED_VALUE"""),0.381818181818181)</f>
        <v>0.3818181818</v>
      </c>
    </row>
    <row r="12334">
      <c r="A12334" s="10" t="s">
        <v>13773</v>
      </c>
      <c r="B12334" s="7" t="str">
        <f>IFERROR(__xludf.DUMMYFUNCTION("SPLIT(A12334,"" "")"),"Cc1cccc(N(C)CC2=CCC=C(N(C)C(C)C)N2)c1")</f>
        <v>Cc1cccc(N(C)CC2=CCC=C(N(C)C(C)C)N2)c1</v>
      </c>
      <c r="C12334" s="7">
        <f>IFERROR(__xludf.DUMMYFUNCTION("""COMPUTED_VALUE"""),7.7585745)</f>
        <v>7.7585745</v>
      </c>
      <c r="D12334" s="7">
        <f>IFERROR(__xludf.DUMMYFUNCTION("""COMPUTED_VALUE"""),0.225806451612903)</f>
        <v>0.2258064516</v>
      </c>
    </row>
    <row r="12335">
      <c r="A12335" s="10" t="s">
        <v>13774</v>
      </c>
      <c r="B12335" s="7" t="str">
        <f>IFERROR(__xludf.DUMMYFUNCTION("SPLIT(A12335,"" "")"),"Cc1ccccc1C(C)(C)c1cc(CN(C)Cc2ccccn2)ccn1")</f>
        <v>Cc1ccccc1C(C)(C)c1cc(CN(C)Cc2ccccn2)ccn1</v>
      </c>
      <c r="C12335" s="7">
        <f>IFERROR(__xludf.DUMMYFUNCTION("""COMPUTED_VALUE"""),7.7585726)</f>
        <v>7.7585726</v>
      </c>
      <c r="D12335" s="7">
        <f>IFERROR(__xludf.DUMMYFUNCTION("""COMPUTED_VALUE"""),0.423076923076923)</f>
        <v>0.4230769231</v>
      </c>
    </row>
    <row r="12336">
      <c r="A12336" s="10" t="s">
        <v>13775</v>
      </c>
      <c r="B12336" s="7" t="str">
        <f>IFERROR(__xludf.DUMMYFUNCTION("SPLIT(A12336,"" "")"),"Cc1cc(CN(C)C2CCCC(N(C)c3ccc4nc(CF)ccc4c3)C2)nc(C)c1C")</f>
        <v>Cc1cc(CN(C)C2CCCC(N(C)c3ccc4nc(CF)ccc4c3)C2)nc(C)c1C</v>
      </c>
      <c r="C12336" s="7">
        <f>IFERROR(__xludf.DUMMYFUNCTION("""COMPUTED_VALUE"""),7.7585726)</f>
        <v>7.7585726</v>
      </c>
      <c r="D12336" s="7">
        <f>IFERROR(__xludf.DUMMYFUNCTION("""COMPUTED_VALUE"""),0.328358208955223)</f>
        <v>0.328358209</v>
      </c>
    </row>
    <row r="12337">
      <c r="A12337" s="10" t="s">
        <v>13776</v>
      </c>
      <c r="B12337" s="7" t="str">
        <f>IFERROR(__xludf.DUMMYFUNCTION("SPLIT(A12337,"" "")"),"CC(C)C1=NC(c2ccccc2C(C)(C)c2ccccn2)CO1")</f>
        <v>CC(C)C1=NC(c2ccccc2C(C)(C)c2ccccn2)CO1</v>
      </c>
      <c r="C12337" s="7">
        <f>IFERROR(__xludf.DUMMYFUNCTION("""COMPUTED_VALUE"""),7.758569)</f>
        <v>7.758569</v>
      </c>
      <c r="D12337" s="7">
        <f>IFERROR(__xludf.DUMMYFUNCTION("""COMPUTED_VALUE"""),0.280701754385964)</f>
        <v>0.2807017544</v>
      </c>
    </row>
    <row r="12338">
      <c r="A12338" s="10" t="s">
        <v>13777</v>
      </c>
      <c r="B12338" s="7" t="str">
        <f>IFERROR(__xludf.DUMMYFUNCTION("SPLIT(A12338,"" "")"),"CN(CCF)CCN(C)c1ccc2nc(CF)ccc2c1")</f>
        <v>CN(CCF)CCN(C)c1ccc2nc(CF)ccc2c1</v>
      </c>
      <c r="C12338" s="7">
        <f>IFERROR(__xludf.DUMMYFUNCTION("""COMPUTED_VALUE"""),7.7585645)</f>
        <v>7.7585645</v>
      </c>
      <c r="D12338" s="7">
        <f>IFERROR(__xludf.DUMMYFUNCTION("""COMPUTED_VALUE"""),0.309090909090909)</f>
        <v>0.3090909091</v>
      </c>
    </row>
    <row r="12339">
      <c r="A12339" s="10" t="s">
        <v>13778</v>
      </c>
      <c r="B12339" s="7" t="str">
        <f>IFERROR(__xludf.DUMMYFUNCTION("SPLIT(A12339,"" "")"),"Cc1cc(C)c(CN(C)C2CCCCC2N(C)c2ccc3nccc(CN(C)C)c3c2)cn1")</f>
        <v>Cc1cc(C)c(CN(C)C2CCCCC2N(C)c2ccc3nccc(CN(C)C)c3c2)cn1</v>
      </c>
      <c r="C12339" s="7">
        <f>IFERROR(__xludf.DUMMYFUNCTION("""COMPUTED_VALUE"""),7.7585583)</f>
        <v>7.7585583</v>
      </c>
      <c r="D12339" s="7">
        <f>IFERROR(__xludf.DUMMYFUNCTION("""COMPUTED_VALUE"""),0.354838709677419)</f>
        <v>0.3548387097</v>
      </c>
    </row>
    <row r="12340">
      <c r="A12340" s="10" t="s">
        <v>13779</v>
      </c>
      <c r="B12340" s="7" t="str">
        <f>IFERROR(__xludf.DUMMYFUNCTION("SPLIT(A12340,"" "")"),"CN(Cc1cccc(N)n1)Cc1cccc(N(C)C(C)(C)c2cccnc2)n1")</f>
        <v>CN(Cc1cccc(N)n1)Cc1cccc(N(C)C(C)(C)c2cccnc2)n1</v>
      </c>
      <c r="C12340" s="7">
        <f>IFERROR(__xludf.DUMMYFUNCTION("""COMPUTED_VALUE"""),7.758556)</f>
        <v>7.758556</v>
      </c>
      <c r="D12340" s="7">
        <f>IFERROR(__xludf.DUMMYFUNCTION("""COMPUTED_VALUE"""),0.339285714285714)</f>
        <v>0.3392857143</v>
      </c>
    </row>
    <row r="12341">
      <c r="A12341" s="10" t="s">
        <v>13780</v>
      </c>
      <c r="B12341" s="7" t="str">
        <f>IFERROR(__xludf.DUMMYFUNCTION("SPLIT(A12341,"" "")"),"Cc1cccc(CN(C)C2CCCC(N(C)c3cccc4nccc(CN(C)C)c34)C2)n1")</f>
        <v>Cc1cccc(CN(C)C2CCCC(N(C)c3cccc4nccc(CN(C)C)c34)C2)n1</v>
      </c>
      <c r="C12341" s="7">
        <f>IFERROR(__xludf.DUMMYFUNCTION("""COMPUTED_VALUE"""),7.758553)</f>
        <v>7.758553</v>
      </c>
      <c r="D12341" s="7">
        <f>IFERROR(__xludf.DUMMYFUNCTION("""COMPUTED_VALUE"""),0.448275862068965)</f>
        <v>0.4482758621</v>
      </c>
    </row>
    <row r="12342">
      <c r="A12342" s="10" t="s">
        <v>13781</v>
      </c>
      <c r="B12342" s="7" t="str">
        <f>IFERROR(__xludf.DUMMYFUNCTION("SPLIT(A12342,"" "")"),"Cc1ccc(CN(C)CC2=C(N(C)Cc3ccc(C)cn3)CC=CN2)nc1")</f>
        <v>Cc1ccc(CN(C)CC2=C(N(C)Cc3ccc(C)cn3)CC=CN2)nc1</v>
      </c>
      <c r="C12342" s="7">
        <f>IFERROR(__xludf.DUMMYFUNCTION("""COMPUTED_VALUE"""),7.7585526)</f>
        <v>7.7585526</v>
      </c>
      <c r="D12342" s="7">
        <f>IFERROR(__xludf.DUMMYFUNCTION("""COMPUTED_VALUE"""),0.5)</f>
        <v>0.5</v>
      </c>
    </row>
    <row r="12343">
      <c r="A12343" s="10" t="s">
        <v>13782</v>
      </c>
      <c r="B12343" s="7" t="str">
        <f>IFERROR(__xludf.DUMMYFUNCTION("SPLIT(A12343,"" "")"),"Cc1ccnc(CN(C)C2CCCC(N(C)c3cccc4c(CF)ccnc34)C2)c1C")</f>
        <v>Cc1ccnc(CN(C)C2CCCC(N(C)c3cccc4c(CF)ccnc34)C2)c1C</v>
      </c>
      <c r="C12343" s="7">
        <f>IFERROR(__xludf.DUMMYFUNCTION("""COMPUTED_VALUE"""),7.7585506)</f>
        <v>7.7585506</v>
      </c>
      <c r="D12343" s="7">
        <f>IFERROR(__xludf.DUMMYFUNCTION("""COMPUTED_VALUE"""),0.323076923076923)</f>
        <v>0.3230769231</v>
      </c>
    </row>
    <row r="12344">
      <c r="A12344" s="10" t="s">
        <v>13783</v>
      </c>
      <c r="B12344" s="7" t="str">
        <f>IFERROR(__xludf.DUMMYFUNCTION("SPLIT(A12344,"" "")"),"Cc1cccc(NCc2ccccn2)c1CN(C)C1CCCC(N(C)c2ccc3cccnc3c2)C1")</f>
        <v>Cc1cccc(NCc2ccccn2)c1CN(C)C1CCCC(N(C)c2ccc3cccnc3c2)C1</v>
      </c>
      <c r="C12344" s="7">
        <f>IFERROR(__xludf.DUMMYFUNCTION("""COMPUTED_VALUE"""),7.758549)</f>
        <v>7.758549</v>
      </c>
      <c r="D12344" s="7">
        <f>IFERROR(__xludf.DUMMYFUNCTION("""COMPUTED_VALUE"""),0.333333333333333)</f>
        <v>0.3333333333</v>
      </c>
    </row>
    <row r="12345">
      <c r="A12345" s="10" t="s">
        <v>13784</v>
      </c>
      <c r="B12345" s="7" t="str">
        <f>IFERROR(__xludf.DUMMYFUNCTION("SPLIT(A12345,"" "")"),"CCN(Cc1cc(CN(Cc2cc(C)c([SiH3])cn2)Cc2cc(C)cc(C)n2)ccn1)Cc1ncc(C)c(C)c1C")</f>
        <v>CCN(Cc1cc(CN(Cc2cc(C)c([SiH3])cn2)Cc2cc(C)cc(C)n2)ccn1)Cc1ncc(C)c(C)c1C</v>
      </c>
      <c r="C12345" s="7">
        <f>IFERROR(__xludf.DUMMYFUNCTION("""COMPUTED_VALUE"""),7.7585444)</f>
        <v>7.7585444</v>
      </c>
      <c r="D12345" s="7">
        <f>IFERROR(__xludf.DUMMYFUNCTION("""COMPUTED_VALUE"""),0.253731343283582)</f>
        <v>0.2537313433</v>
      </c>
    </row>
    <row r="12346">
      <c r="A12346" s="10" t="s">
        <v>13785</v>
      </c>
      <c r="B12346" s="7" t="str">
        <f>IFERROR(__xludf.DUMMYFUNCTION("SPLIT(A12346,"" "")"),"COC(C)c1cc(CN(Cc2ccccn2)Cc2cc(C(C)(C)c3ccccn3)ccn2)ccn1")</f>
        <v>COC(C)c1cc(CN(Cc2ccccn2)Cc2cc(C(C)(C)c3ccccn3)ccn2)ccn1</v>
      </c>
      <c r="C12346" s="7">
        <f>IFERROR(__xludf.DUMMYFUNCTION("""COMPUTED_VALUE"""),7.758541)</f>
        <v>7.758541</v>
      </c>
      <c r="D12346" s="7">
        <f>IFERROR(__xludf.DUMMYFUNCTION("""COMPUTED_VALUE"""),0.384615384615384)</f>
        <v>0.3846153846</v>
      </c>
    </row>
    <row r="12347">
      <c r="A12347" s="10" t="s">
        <v>13786</v>
      </c>
      <c r="B12347" s="7" t="str">
        <f>IFERROR(__xludf.DUMMYFUNCTION("SPLIT(A12347,"" "")"),"CC(N)C(C)N(C)CN(C)c1cccc2ncccc12")</f>
        <v>CC(N)C(C)N(C)CN(C)c1cccc2ncccc12</v>
      </c>
      <c r="C12347" s="7">
        <f>IFERROR(__xludf.DUMMYFUNCTION("""COMPUTED_VALUE"""),7.7585306)</f>
        <v>7.7585306</v>
      </c>
      <c r="D12347" s="7">
        <f>IFERROR(__xludf.DUMMYFUNCTION("""COMPUTED_VALUE"""),0.382978723404255)</f>
        <v>0.3829787234</v>
      </c>
    </row>
    <row r="12348">
      <c r="A12348" s="10" t="s">
        <v>13787</v>
      </c>
      <c r="B12348" s="7" t="str">
        <f>IFERROR(__xludf.DUMMYFUNCTION("SPLIT(A12348,"" "")"),"Cc1cncc(CN(C)C2CCCCC2N(C)Cc2ncccc2-c2cccc3ncccc23)c1")</f>
        <v>Cc1cncc(CN(C)C2CCCCC2N(C)Cc2ncccc2-c2cccc3ncccc23)c1</v>
      </c>
      <c r="C12348" s="7">
        <f>IFERROR(__xludf.DUMMYFUNCTION("""COMPUTED_VALUE"""),7.758517)</f>
        <v>7.758517</v>
      </c>
      <c r="D12348" s="7">
        <f>IFERROR(__xludf.DUMMYFUNCTION("""COMPUTED_VALUE"""),0.383333333333333)</f>
        <v>0.3833333333</v>
      </c>
    </row>
    <row r="12349">
      <c r="A12349" s="10" t="s">
        <v>13788</v>
      </c>
      <c r="B12349" s="7" t="str">
        <f>IFERROR(__xludf.DUMMYFUNCTION("SPLIT(A12349,"" "")"),"CN(Cc1ccon1)C1CCC(N(C)c2ccc3c(CF)ccnc3c2)CC1")</f>
        <v>CN(Cc1ccon1)C1CCC(N(C)c2ccc3c(CF)ccnc3c2)CC1</v>
      </c>
      <c r="C12349" s="7">
        <f>IFERROR(__xludf.DUMMYFUNCTION("""COMPUTED_VALUE"""),7.758512)</f>
        <v>7.758512</v>
      </c>
      <c r="D12349" s="7">
        <f>IFERROR(__xludf.DUMMYFUNCTION("""COMPUTED_VALUE"""),0.37037037037037)</f>
        <v>0.3703703704</v>
      </c>
    </row>
    <row r="12350">
      <c r="A12350" s="10" t="s">
        <v>13789</v>
      </c>
      <c r="B12350" s="7" t="str">
        <f>IFERROR(__xludf.DUMMYFUNCTION("SPLIT(A12350,"" "")"),"CN(Cc1ccc(C2C=CNC=C2)nc1)Cc1ccc(N)cn1")</f>
        <v>CN(Cc1ccc(C2C=CNC=C2)nc1)Cc1ccc(N)cn1</v>
      </c>
      <c r="C12350" s="7">
        <f>IFERROR(__xludf.DUMMYFUNCTION("""COMPUTED_VALUE"""),7.758506)</f>
        <v>7.758506</v>
      </c>
      <c r="D12350" s="7">
        <f>IFERROR(__xludf.DUMMYFUNCTION("""COMPUTED_VALUE"""),0.333333333333333)</f>
        <v>0.3333333333</v>
      </c>
    </row>
    <row r="12351">
      <c r="A12351" s="10" t="s">
        <v>13790</v>
      </c>
      <c r="B12351" s="7" t="str">
        <f>IFERROR(__xludf.DUMMYFUNCTION("SPLIT(A12351,"" "")"),"Cc1cccnc1CN(C)C1CCCC(N(C)c2cccc3c(CN(C)C)ccnc23)C1")</f>
        <v>Cc1cccnc1CN(C)C1CCCC(N(C)c2cccc3c(CN(C)C)ccnc23)C1</v>
      </c>
      <c r="C12351" s="7">
        <f>IFERROR(__xludf.DUMMYFUNCTION("""COMPUTED_VALUE"""),7.7584906)</f>
        <v>7.7584906</v>
      </c>
      <c r="D12351" s="7">
        <f>IFERROR(__xludf.DUMMYFUNCTION("""COMPUTED_VALUE"""),0.370967741935483)</f>
        <v>0.3709677419</v>
      </c>
    </row>
    <row r="12352">
      <c r="A12352" s="10" t="s">
        <v>13791</v>
      </c>
      <c r="B12352" s="7" t="str">
        <f>IFERROR(__xludf.DUMMYFUNCTION("SPLIT(A12352,"" "")"),"Cc1ccnc(CN(C)C2=C(CN(C)C)NC=CC2)c1")</f>
        <v>Cc1ccnc(CN(C)C2=C(CN(C)C)NC=CC2)c1</v>
      </c>
      <c r="C12352" s="7">
        <f>IFERROR(__xludf.DUMMYFUNCTION("""COMPUTED_VALUE"""),7.75849)</f>
        <v>7.75849</v>
      </c>
      <c r="D12352" s="7">
        <f>IFERROR(__xludf.DUMMYFUNCTION("""COMPUTED_VALUE"""),0.365384615384615)</f>
        <v>0.3653846154</v>
      </c>
    </row>
    <row r="12353">
      <c r="A12353" s="10" t="s">
        <v>13792</v>
      </c>
      <c r="B12353" s="7" t="str">
        <f>IFERROR(__xludf.DUMMYFUNCTION("SPLIT(A12353,"" "")"),"Cc1cccc(-c2ccc(CN(C)C3CCCCC3N(C)Cc3ccc4ncccc4c3)nc2)c1C")</f>
        <v>Cc1cccc(-c2ccc(CN(C)C3CCCCC3N(C)Cc3ccc4ncccc4c3)nc2)c1C</v>
      </c>
      <c r="C12353" s="7">
        <f>IFERROR(__xludf.DUMMYFUNCTION("""COMPUTED_VALUE"""),7.758483)</f>
        <v>7.758483</v>
      </c>
      <c r="D12353" s="7">
        <f>IFERROR(__xludf.DUMMYFUNCTION("""COMPUTED_VALUE"""),0.442622950819672)</f>
        <v>0.4426229508</v>
      </c>
    </row>
    <row r="12354">
      <c r="A12354" s="10" t="s">
        <v>13793</v>
      </c>
      <c r="B12354" s="7" t="str">
        <f>IFERROR(__xludf.DUMMYFUNCTION("SPLIT(A12354,"" "")"),"Cc1ncccc1CN(C)Cc1ccccc1N(C)C")</f>
        <v>Cc1ncccc1CN(C)Cc1ccccc1N(C)C</v>
      </c>
      <c r="C12354" s="7">
        <f>IFERROR(__xludf.DUMMYFUNCTION("""COMPUTED_VALUE"""),7.7584825)</f>
        <v>7.7584825</v>
      </c>
      <c r="D12354" s="7">
        <f>IFERROR(__xludf.DUMMYFUNCTION("""COMPUTED_VALUE"""),0.428571428571428)</f>
        <v>0.4285714286</v>
      </c>
    </row>
    <row r="12355">
      <c r="A12355" s="10" t="s">
        <v>13794</v>
      </c>
      <c r="B12355" s="7" t="str">
        <f>IFERROR(__xludf.DUMMYFUNCTION("SPLIT(A12355,"" "")"),"CCNc1cccc(-c2ncccc2C(C)C(C)C)n1")</f>
        <v>CCNc1cccc(-c2ncccc2C(C)C(C)C)n1</v>
      </c>
      <c r="C12355" s="7">
        <f>IFERROR(__xludf.DUMMYFUNCTION("""COMPUTED_VALUE"""),7.7584825)</f>
        <v>7.7584825</v>
      </c>
      <c r="D12355" s="7">
        <f>IFERROR(__xludf.DUMMYFUNCTION("""COMPUTED_VALUE"""),0.470588235294117)</f>
        <v>0.4705882353</v>
      </c>
    </row>
    <row r="12356">
      <c r="A12356" s="10" t="s">
        <v>13795</v>
      </c>
      <c r="B12356" s="7" t="str">
        <f>IFERROR(__xludf.DUMMYFUNCTION("SPLIT(A12356,"" "")"),"Cc1ccnc(CN(C)Cc2nc(C)c(C)cc2C)c1")</f>
        <v>Cc1ccnc(CN(C)Cc2nc(C)c(C)cc2C)c1</v>
      </c>
      <c r="C12356" s="7">
        <f>IFERROR(__xludf.DUMMYFUNCTION("""COMPUTED_VALUE"""),7.758474)</f>
        <v>7.758474</v>
      </c>
      <c r="D12356" s="7">
        <f>IFERROR(__xludf.DUMMYFUNCTION("""COMPUTED_VALUE"""),0.382978723404255)</f>
        <v>0.3829787234</v>
      </c>
    </row>
    <row r="12357">
      <c r="A12357" s="10" t="s">
        <v>13796</v>
      </c>
      <c r="B12357" s="7" t="str">
        <f>IFERROR(__xludf.DUMMYFUNCTION("SPLIT(A12357,"" "")"),"Cc1cc(CN(C)C2CCCCC2N(C)c2ccc3c(CN(C)C)ccnc3c2)cnc1C")</f>
        <v>Cc1cc(CN(C)C2CCCCC2N(C)c2ccc3c(CN(C)C)ccnc3c2)cnc1C</v>
      </c>
      <c r="C12357" s="7">
        <f>IFERROR(__xludf.DUMMYFUNCTION("""COMPUTED_VALUE"""),7.758472)</f>
        <v>7.758472</v>
      </c>
      <c r="D12357" s="7">
        <f>IFERROR(__xludf.DUMMYFUNCTION("""COMPUTED_VALUE"""),0.354838709677419)</f>
        <v>0.3548387097</v>
      </c>
    </row>
    <row r="12358">
      <c r="A12358" s="10" t="s">
        <v>13797</v>
      </c>
      <c r="B12358" s="7" t="str">
        <f>IFERROR(__xludf.DUMMYFUNCTION("SPLIT(A12358,"" "")"),"CNCc1ccc(C2=NC(C)(C)CO2)cn1")</f>
        <v>CNCc1ccc(C2=NC(C)(C)CO2)cn1</v>
      </c>
      <c r="C12358" s="7">
        <f>IFERROR(__xludf.DUMMYFUNCTION("""COMPUTED_VALUE"""),7.7584662)</f>
        <v>7.7584662</v>
      </c>
      <c r="D12358" s="7">
        <f>IFERROR(__xludf.DUMMYFUNCTION("""COMPUTED_VALUE"""),0.409090909090909)</f>
        <v>0.4090909091</v>
      </c>
    </row>
    <row r="12359">
      <c r="A12359" s="10" t="s">
        <v>13798</v>
      </c>
      <c r="B12359" s="7" t="str">
        <f>IFERROR(__xludf.DUMMYFUNCTION("SPLIT(A12359,"" "")"),"Cc1ccc(CN(C)CC2=CCC(N(C)Cc3cncc(C)c3)=CN2)nc1")</f>
        <v>Cc1ccc(CN(C)CC2=CCC(N(C)Cc3cncc(C)c3)=CN2)nc1</v>
      </c>
      <c r="C12359" s="7">
        <f>IFERROR(__xludf.DUMMYFUNCTION("""COMPUTED_VALUE"""),7.7584662)</f>
        <v>7.7584662</v>
      </c>
      <c r="D12359" s="7">
        <f>IFERROR(__xludf.DUMMYFUNCTION("""COMPUTED_VALUE"""),0.415094339622641)</f>
        <v>0.4150943396</v>
      </c>
    </row>
    <row r="12360">
      <c r="A12360" s="10" t="s">
        <v>13799</v>
      </c>
      <c r="B12360" s="7" t="str">
        <f>IFERROR(__xludf.DUMMYFUNCTION("SPLIT(A12360,"" "")"),"CN(C)Cc1cnc2ccc(N(C)C3CCC(N(Cc4ccnc(C(C)(C)C)c4)Cc4ccccn4)CC3)cc2c1")</f>
        <v>CN(C)Cc1cnc2ccc(N(C)C3CCC(N(Cc4ccnc(C(C)(C)C)c4)Cc4ccccn4)CC3)cc2c1</v>
      </c>
      <c r="C12360" s="7">
        <f>IFERROR(__xludf.DUMMYFUNCTION("""COMPUTED_VALUE"""),7.758447)</f>
        <v>7.758447</v>
      </c>
      <c r="D12360" s="7">
        <f>IFERROR(__xludf.DUMMYFUNCTION("""COMPUTED_VALUE"""),0.314285714285714)</f>
        <v>0.3142857143</v>
      </c>
    </row>
    <row r="12361">
      <c r="A12361" s="10" t="s">
        <v>13800</v>
      </c>
      <c r="B12361" s="7" t="str">
        <f>IFERROR(__xludf.DUMMYFUNCTION("SPLIT(A12361,"" "")"),"CN(CC1=CCC=C(N(C)Cc2ccccn2)N1)Cc1ncccc1CF")</f>
        <v>CN(CC1=CCC=C(N(C)Cc2ccccn2)N1)Cc1ncccc1CF</v>
      </c>
      <c r="C12361" s="7">
        <f>IFERROR(__xludf.DUMMYFUNCTION("""COMPUTED_VALUE"""),7.7584457)</f>
        <v>7.7584457</v>
      </c>
      <c r="D12361" s="7">
        <f>IFERROR(__xludf.DUMMYFUNCTION("""COMPUTED_VALUE"""),0.372881355932203)</f>
        <v>0.3728813559</v>
      </c>
    </row>
    <row r="12362">
      <c r="A12362" s="10" t="s">
        <v>13801</v>
      </c>
      <c r="B12362" s="7" t="str">
        <f>IFERROR(__xludf.DUMMYFUNCTION("SPLIT(A12362,"" "")"),"Cc1ccc(CN(C)C2=CCNC=C2)nc1")</f>
        <v>Cc1ccc(CN(C)C2=CCNC=C2)nc1</v>
      </c>
      <c r="C12362" s="7">
        <f>IFERROR(__xludf.DUMMYFUNCTION("""COMPUTED_VALUE"""),7.7584434)</f>
        <v>7.7584434</v>
      </c>
      <c r="D12362" s="7">
        <f>IFERROR(__xludf.DUMMYFUNCTION("""COMPUTED_VALUE"""),0.48780487804878)</f>
        <v>0.487804878</v>
      </c>
    </row>
    <row r="12363">
      <c r="A12363" s="10" t="s">
        <v>13802</v>
      </c>
      <c r="B12363" s="7" t="str">
        <f>IFERROR(__xludf.DUMMYFUNCTION("SPLIT(A12363,"" "")"),"CCN(Cc1ccccn1)Cc1ccc2cccc(N(C)CC3=C(C)CCC(C)C3C)c2n1")</f>
        <v>CCN(Cc1ccccn1)Cc1ccc2cccc(N(C)CC3=C(C)CCC(C)C3C)c2n1</v>
      </c>
      <c r="C12363" s="7">
        <f>IFERROR(__xludf.DUMMYFUNCTION("""COMPUTED_VALUE"""),7.7584424)</f>
        <v>7.7584424</v>
      </c>
      <c r="D12363" s="7">
        <f>IFERROR(__xludf.DUMMYFUNCTION("""COMPUTED_VALUE"""),0.38095238095238)</f>
        <v>0.380952381</v>
      </c>
    </row>
    <row r="12364">
      <c r="A12364" s="10" t="s">
        <v>13803</v>
      </c>
      <c r="B12364" s="7" t="str">
        <f>IFERROR(__xludf.DUMMYFUNCTION("SPLIT(A12364,"" "")"),"Cc1ccc(CN(C)C2=CCC=C(CN(Cc3ccc(C)cn3)C(C)C)N2)nc1")</f>
        <v>Cc1ccc(CN(C)C2=CCC=C(CN(Cc3ccc(C)cn3)C(C)C)N2)nc1</v>
      </c>
      <c r="C12364" s="7">
        <f>IFERROR(__xludf.DUMMYFUNCTION("""COMPUTED_VALUE"""),7.758442)</f>
        <v>7.758442</v>
      </c>
      <c r="D12364" s="7">
        <f>IFERROR(__xludf.DUMMYFUNCTION("""COMPUTED_VALUE"""),0.408163265306122)</f>
        <v>0.4081632653</v>
      </c>
    </row>
    <row r="12365">
      <c r="A12365" s="10" t="s">
        <v>13804</v>
      </c>
      <c r="B12365" s="7" t="str">
        <f>IFERROR(__xludf.DUMMYFUNCTION("SPLIT(A12365,"" "")"),"Cc1cc(NCc2ccccn2)ccc1CN(Cc1ccccn1)C1CCCC(N(C)c2ccc3ncccc3c2)C1")</f>
        <v>Cc1cc(NCc2ccccn2)ccc1CN(Cc1ccccn1)C1CCCC(N(C)c2ccc3ncccc3c2)C1</v>
      </c>
      <c r="C12365" s="7">
        <f>IFERROR(__xludf.DUMMYFUNCTION("""COMPUTED_VALUE"""),7.758434)</f>
        <v>7.758434</v>
      </c>
      <c r="D12365" s="7">
        <f>IFERROR(__xludf.DUMMYFUNCTION("""COMPUTED_VALUE"""),0.328571428571428)</f>
        <v>0.3285714286</v>
      </c>
    </row>
    <row r="12366">
      <c r="A12366" s="10" t="s">
        <v>13805</v>
      </c>
      <c r="B12366" s="7" t="str">
        <f>IFERROR(__xludf.DUMMYFUNCTION("SPLIT(A12366,"" "")"),"CN(CCN(Cc1ccccc1)CC(C)(C)C)c1cccc2ncccc12")</f>
        <v>CN(CCN(Cc1ccccc1)CC(C)(C)C)c1cccc2ncccc12</v>
      </c>
      <c r="C12366" s="7">
        <f>IFERROR(__xludf.DUMMYFUNCTION("""COMPUTED_VALUE"""),7.7584214)</f>
        <v>7.7584214</v>
      </c>
      <c r="D12366" s="7">
        <f>IFERROR(__xludf.DUMMYFUNCTION("""COMPUTED_VALUE"""),0.46)</f>
        <v>0.46</v>
      </c>
    </row>
    <row r="12367">
      <c r="A12367" s="10" t="s">
        <v>13806</v>
      </c>
      <c r="B12367" s="7" t="str">
        <f>IFERROR(__xludf.DUMMYFUNCTION("SPLIT(A12367,"" "")"),"Cc1cnc(CN(C)C2CCC(N(Cc3ccccn3)c3ccc4ncccc4c3)CC2)c(C)c1")</f>
        <v>Cc1cnc(CN(C)C2CCC(N(Cc3ccccn3)c3ccc4ncccc4c3)CC2)c(C)c1</v>
      </c>
      <c r="C12367" s="7">
        <f>IFERROR(__xludf.DUMMYFUNCTION("""COMPUTED_VALUE"""),7.75842)</f>
        <v>7.75842</v>
      </c>
      <c r="D12367" s="7">
        <f>IFERROR(__xludf.DUMMYFUNCTION("""COMPUTED_VALUE"""),0.370967741935483)</f>
        <v>0.3709677419</v>
      </c>
    </row>
    <row r="12368">
      <c r="A12368" s="10" t="s">
        <v>13807</v>
      </c>
      <c r="B12368" s="7" t="str">
        <f>IFERROR(__xludf.DUMMYFUNCTION("SPLIT(A12368,"" "")"),"CC1=C(C)C(C)CC2(CCC(C)(C)C(c3cc(CN(Cc4ccccn4)Cc4cc(C(C)(C)C)ccn4)ccn3)=C2c2cc(CN(Cc3ccccn3)Cc3ccccn3)ccn2)C1")</f>
        <v>CC1=C(C)C(C)CC2(CCC(C)(C)C(c3cc(CN(Cc4ccccn4)Cc4cc(C(C)(C)C)ccn4)ccn3)=C2c2cc(CN(Cc3ccccn3)Cc3ccccn3)ccn2)C1</v>
      </c>
      <c r="C12368" s="7">
        <f>IFERROR(__xludf.DUMMYFUNCTION("""COMPUTED_VALUE"""),7.7584186)</f>
        <v>7.7584186</v>
      </c>
      <c r="D12368" s="7">
        <f>IFERROR(__xludf.DUMMYFUNCTION("""COMPUTED_VALUE"""),0.303030303030303)</f>
        <v>0.303030303</v>
      </c>
    </row>
    <row r="12369">
      <c r="A12369" s="10" t="s">
        <v>13808</v>
      </c>
      <c r="B12369" s="7" t="str">
        <f>IFERROR(__xludf.DUMMYFUNCTION("SPLIT(A12369,"" "")"),"CC(N)C(C)N(C)CCN(C)c1cccc2nccc(CN(C)C)c12")</f>
        <v>CC(N)C(C)N(C)CCN(C)c1cccc2nccc(CN(C)C)c12</v>
      </c>
      <c r="C12369" s="7">
        <f>IFERROR(__xludf.DUMMYFUNCTION("""COMPUTED_VALUE"""),7.758416)</f>
        <v>7.758416</v>
      </c>
      <c r="D12369" s="7">
        <f>IFERROR(__xludf.DUMMYFUNCTION("""COMPUTED_VALUE"""),0.339622641509433)</f>
        <v>0.3396226415</v>
      </c>
    </row>
    <row r="12370">
      <c r="A12370" s="10" t="s">
        <v>13809</v>
      </c>
      <c r="B12370" s="7" t="str">
        <f>IFERROR(__xludf.DUMMYFUNCTION("SPLIT(A12370,"" "")"),"Cc1cc(CN(C)C2CCCCC2N(C)c2cccc3c(CF)ccnc23)nc(C)c1C")</f>
        <v>Cc1cc(CN(C)C2CCCCC2N(C)c2cccc3c(CF)ccnc23)nc(C)c1C</v>
      </c>
      <c r="C12370" s="7">
        <f>IFERROR(__xludf.DUMMYFUNCTION("""COMPUTED_VALUE"""),7.758411)</f>
        <v>7.758411</v>
      </c>
      <c r="D12370" s="7">
        <f>IFERROR(__xludf.DUMMYFUNCTION("""COMPUTED_VALUE"""),0.446153846153846)</f>
        <v>0.4461538462</v>
      </c>
    </row>
    <row r="12371">
      <c r="A12371" s="10" t="s">
        <v>13810</v>
      </c>
      <c r="B12371" s="7" t="str">
        <f>IFERROR(__xludf.DUMMYFUNCTION("SPLIT(A12371,"" "")"),"Cc1cccnc1CN(C)C1CCCC(N(C)c2ccc3c(CN(C)C)ccnc3c2)C1")</f>
        <v>Cc1cccnc1CN(C)C1CCCC(N(C)c2ccc3c(CN(C)C)ccnc3c2)C1</v>
      </c>
      <c r="C12371" s="7">
        <f>IFERROR(__xludf.DUMMYFUNCTION("""COMPUTED_VALUE"""),7.75841)</f>
        <v>7.75841</v>
      </c>
      <c r="D12371" s="7">
        <f>IFERROR(__xludf.DUMMYFUNCTION("""COMPUTED_VALUE"""),0.276923076923076)</f>
        <v>0.2769230769</v>
      </c>
    </row>
    <row r="12372">
      <c r="A12372" s="10" t="s">
        <v>13811</v>
      </c>
      <c r="B12372" s="7" t="str">
        <f>IFERROR(__xludf.DUMMYFUNCTION("SPLIT(A12372,"" "")"),"Cc1ccc(CN(Cc2cc(C)ccn2)C2CCC(N(C)c3ccc4nccc(CF)c4c3)CC2)nc1")</f>
        <v>Cc1ccc(CN(Cc2cc(C)ccn2)C2CCC(N(C)c3ccc4nccc(CF)c4c3)CC2)nc1</v>
      </c>
      <c r="C12372" s="7">
        <f>IFERROR(__xludf.DUMMYFUNCTION("""COMPUTED_VALUE"""),7.7584095)</f>
        <v>7.7584095</v>
      </c>
      <c r="D12372" s="7">
        <f>IFERROR(__xludf.DUMMYFUNCTION("""COMPUTED_VALUE"""),0.353846153846153)</f>
        <v>0.3538461538</v>
      </c>
    </row>
    <row r="12373">
      <c r="A12373" s="10" t="s">
        <v>13812</v>
      </c>
      <c r="B12373" s="7" t="str">
        <f>IFERROR(__xludf.DUMMYFUNCTION("SPLIT(A12373,"" "")"),"C=Nc1cccnc1CN(Cc1ccccn1)Cc1cccc(C)n1")</f>
        <v>C=Nc1cccnc1CN(Cc1ccccn1)Cc1cccc(C)n1</v>
      </c>
      <c r="C12373" s="7">
        <f>IFERROR(__xludf.DUMMYFUNCTION("""COMPUTED_VALUE"""),7.7584057)</f>
        <v>7.7584057</v>
      </c>
      <c r="D12373" s="7">
        <f>IFERROR(__xludf.DUMMYFUNCTION("""COMPUTED_VALUE"""),0.476190476190476)</f>
        <v>0.4761904762</v>
      </c>
    </row>
    <row r="12374">
      <c r="A12374" s="10" t="s">
        <v>13813</v>
      </c>
      <c r="B12374" s="7" t="str">
        <f>IFERROR(__xludf.DUMMYFUNCTION("SPLIT(A12374,"" "")"),"Cc1ccc(CN(C)C2=CNC(CN(C)Cc3ccccn3)=CC2)nc1")</f>
        <v>Cc1ccc(CN(C)C2=CNC(CN(C)Cc3ccccn3)=CC2)nc1</v>
      </c>
      <c r="C12374" s="7">
        <f>IFERROR(__xludf.DUMMYFUNCTION("""COMPUTED_VALUE"""),7.7584023)</f>
        <v>7.7584023</v>
      </c>
      <c r="D12374" s="7">
        <f>IFERROR(__xludf.DUMMYFUNCTION("""COMPUTED_VALUE"""),0.431372549019607)</f>
        <v>0.431372549</v>
      </c>
    </row>
    <row r="12375">
      <c r="A12375" s="10" t="s">
        <v>13814</v>
      </c>
      <c r="B12375" s="7" t="str">
        <f>IFERROR(__xludf.DUMMYFUNCTION("SPLIT(A12375,"" "")"),"Cc1nc(CN(Cc2cccc(F)n2)Cc2cccc(F)n2)c(C)c(C)c1C")</f>
        <v>Cc1nc(CN(Cc2cccc(F)n2)Cc2cccc(F)n2)c(C)c(C)c1C</v>
      </c>
      <c r="C12375" s="7">
        <f>IFERROR(__xludf.DUMMYFUNCTION("""COMPUTED_VALUE"""),7.758402)</f>
        <v>7.758402</v>
      </c>
      <c r="D12375" s="7">
        <f>IFERROR(__xludf.DUMMYFUNCTION("""COMPUTED_VALUE"""),0.411764705882352)</f>
        <v>0.4117647059</v>
      </c>
    </row>
    <row r="12376">
      <c r="A12376" s="10" t="s">
        <v>13815</v>
      </c>
      <c r="B12376" s="7" t="str">
        <f>IFERROR(__xludf.DUMMYFUNCTION("SPLIT(A12376,"" "")"),"Cc1cncc(CN(C)C2CCC(N(C)c3ccc4c(CN(C)C)ccnc4c3)CC2)c1C")</f>
        <v>Cc1cncc(CN(C)C2CCC(N(C)c3ccc4c(CN(C)C)ccnc4c3)CC2)c1C</v>
      </c>
      <c r="C12376" s="7">
        <f>IFERROR(__xludf.DUMMYFUNCTION("""COMPUTED_VALUE"""),7.758395)</f>
        <v>7.758395</v>
      </c>
      <c r="D12376" s="7">
        <f>IFERROR(__xludf.DUMMYFUNCTION("""COMPUTED_VALUE"""),0.242424242424242)</f>
        <v>0.2424242424</v>
      </c>
    </row>
    <row r="12377">
      <c r="A12377" s="10" t="s">
        <v>13816</v>
      </c>
      <c r="B12377" s="7" t="str">
        <f>IFERROR(__xludf.DUMMYFUNCTION("SPLIT(A12377,"" "")"),"Cc1cnc(CN(C)C2=C(CN(C)Cc3ccccn3)NC=CC2)cc1C")</f>
        <v>Cc1cnc(CN(C)C2=C(CN(C)Cc3ccccn3)NC=CC2)cc1C</v>
      </c>
      <c r="C12377" s="7">
        <f>IFERROR(__xludf.DUMMYFUNCTION("""COMPUTED_VALUE"""),7.7583942)</f>
        <v>7.7583942</v>
      </c>
      <c r="D12377" s="7">
        <f>IFERROR(__xludf.DUMMYFUNCTION("""COMPUTED_VALUE"""),0.392857142857142)</f>
        <v>0.3928571429</v>
      </c>
    </row>
    <row r="12378">
      <c r="A12378" s="10" t="s">
        <v>13817</v>
      </c>
      <c r="B12378" s="7" t="str">
        <f>IFERROR(__xludf.DUMMYFUNCTION("SPLIT(A12378,"" "")"),"CC(C)C1=CC2(C=CN1)C=CC(C)C(C)C2NCc1cccc(CN(Cc2ccccn2)Cc2cccc(-c3cccc(N=Cc4ccccn4)c3)n2)n1")</f>
        <v>CC(C)C1=CC2(C=CN1)C=CC(C)C(C)C2NCc1cccc(CN(Cc2ccccn2)Cc2cccc(-c3cccc(N=Cc4ccccn4)c3)n2)n1</v>
      </c>
      <c r="C12378" s="7">
        <f>IFERROR(__xludf.DUMMYFUNCTION("""COMPUTED_VALUE"""),7.7583876)</f>
        <v>7.7583876</v>
      </c>
      <c r="D12378" s="7">
        <f>IFERROR(__xludf.DUMMYFUNCTION("""COMPUTED_VALUE"""),0.359550561797752)</f>
        <v>0.3595505618</v>
      </c>
    </row>
    <row r="12379">
      <c r="A12379" s="10" t="s">
        <v>13818</v>
      </c>
      <c r="B12379" s="7" t="str">
        <f>IFERROR(__xludf.DUMMYFUNCTION("SPLIT(A12379,"" "")"),"Cc1cnccc1CN(C)C1=CNC=C(CN(C)Cc2ccccn2)C1")</f>
        <v>Cc1cnccc1CN(C)C1=CNC=C(CN(C)Cc2ccccn2)C1</v>
      </c>
      <c r="C12379" s="7">
        <f>IFERROR(__xludf.DUMMYFUNCTION("""COMPUTED_VALUE"""),7.758384)</f>
        <v>7.758384</v>
      </c>
      <c r="D12379" s="7">
        <f>IFERROR(__xludf.DUMMYFUNCTION("""COMPUTED_VALUE"""),0.372881355932203)</f>
        <v>0.3728813559</v>
      </c>
    </row>
    <row r="12380">
      <c r="A12380" s="10" t="s">
        <v>13819</v>
      </c>
      <c r="B12380" s="7" t="str">
        <f>IFERROR(__xludf.DUMMYFUNCTION("SPLIT(A12380,"" "")"),"Cc1cccc(NCc2ccc(C(C)(C)C)cn2)c1")</f>
        <v>Cc1cccc(NCc2ccc(C(C)(C)C)cn2)c1</v>
      </c>
      <c r="C12380" s="7">
        <f>IFERROR(__xludf.DUMMYFUNCTION("""COMPUTED_VALUE"""),7.758381)</f>
        <v>7.758381</v>
      </c>
      <c r="D12380" s="7">
        <f>IFERROR(__xludf.DUMMYFUNCTION("""COMPUTED_VALUE"""),0.270833333333333)</f>
        <v>0.2708333333</v>
      </c>
    </row>
    <row r="12381">
      <c r="A12381" s="10" t="s">
        <v>13820</v>
      </c>
      <c r="B12381" s="7" t="str">
        <f>IFERROR(__xludf.DUMMYFUNCTION("SPLIT(A12381,"" "")"),"CC(C)C1(C)N=COC1c1ncccc1CN(Cc1ccccn1)Cc1cc(C(C)(C)c2ccccn2)ccn1")</f>
        <v>CC(C)C1(C)N=COC1c1ncccc1CN(Cc1ccccn1)Cc1cc(C(C)(C)c2ccccn2)ccn1</v>
      </c>
      <c r="C12381" s="7">
        <f>IFERROR(__xludf.DUMMYFUNCTION("""COMPUTED_VALUE"""),7.758378)</f>
        <v>7.758378</v>
      </c>
      <c r="D12381" s="7">
        <f>IFERROR(__xludf.DUMMYFUNCTION("""COMPUTED_VALUE"""),0.32258064516129)</f>
        <v>0.3225806452</v>
      </c>
    </row>
    <row r="12382">
      <c r="A12382" s="10" t="s">
        <v>13821</v>
      </c>
      <c r="B12382" s="7" t="str">
        <f>IFERROR(__xludf.DUMMYFUNCTION("SPLIT(A12382,"" "")"),"Cc1cccc(-c2ncccc2CN(C)C2CCCCC2N(C)Cc2ccc3ncccc3c2)c1C")</f>
        <v>Cc1cccc(-c2ncccc2CN(C)C2CCCCC2N(C)Cc2ccc3ncccc3c2)c1C</v>
      </c>
      <c r="C12382" s="7">
        <f>IFERROR(__xludf.DUMMYFUNCTION("""COMPUTED_VALUE"""),7.758378)</f>
        <v>7.758378</v>
      </c>
      <c r="D12382" s="7">
        <f>IFERROR(__xludf.DUMMYFUNCTION("""COMPUTED_VALUE"""),0.377049180327868)</f>
        <v>0.3770491803</v>
      </c>
    </row>
    <row r="12383">
      <c r="A12383" s="10" t="s">
        <v>13822</v>
      </c>
      <c r="B12383" s="7" t="str">
        <f>IFERROR(__xludf.DUMMYFUNCTION("SPLIT(A12383,"" "")"),"CCOC(=O)c1cc(CN(Cc2ccccn2)Cc2cc(C(C)(C)C)ccn2)ccn1")</f>
        <v>CCOC(=O)c1cc(CN(Cc2ccccn2)Cc2cc(C(C)(C)C)ccn2)ccn1</v>
      </c>
      <c r="C12383" s="7">
        <f>IFERROR(__xludf.DUMMYFUNCTION("""COMPUTED_VALUE"""),7.7583747)</f>
        <v>7.7583747</v>
      </c>
      <c r="D12383" s="7">
        <f>IFERROR(__xludf.DUMMYFUNCTION("""COMPUTED_VALUE"""),0.4)</f>
        <v>0.4</v>
      </c>
    </row>
    <row r="12384">
      <c r="A12384" s="10" t="s">
        <v>13823</v>
      </c>
      <c r="B12384" s="7" t="str">
        <f>IFERROR(__xludf.DUMMYFUNCTION("SPLIT(A12384,"" "")"),"CN(Cc1ccccn1)Cc1cc(C(C)(C)c2ccccn2)ccn1")</f>
        <v>CN(Cc1ccccn1)Cc1cc(C(C)(C)c2ccccn2)ccn1</v>
      </c>
      <c r="C12384" s="7">
        <f>IFERROR(__xludf.DUMMYFUNCTION("""COMPUTED_VALUE"""),7.758372)</f>
        <v>7.758372</v>
      </c>
      <c r="D12384" s="7">
        <f>IFERROR(__xludf.DUMMYFUNCTION("""COMPUTED_VALUE"""),0.478260869565217)</f>
        <v>0.4782608696</v>
      </c>
    </row>
    <row r="12385">
      <c r="A12385" s="10" t="s">
        <v>13824</v>
      </c>
      <c r="B12385" s="7" t="str">
        <f>IFERROR(__xludf.DUMMYFUNCTION("SPLIT(A12385,"" "")"),"CN(Cc1ccccn1)Cc1cccc(N(C)C2C=CC=CN2)n1")</f>
        <v>CN(Cc1ccccn1)Cc1cccc(N(C)C2C=CC=CN2)n1</v>
      </c>
      <c r="C12385" s="7">
        <f>IFERROR(__xludf.DUMMYFUNCTION("""COMPUTED_VALUE"""),7.758372)</f>
        <v>7.758372</v>
      </c>
      <c r="D12385" s="7">
        <f>IFERROR(__xludf.DUMMYFUNCTION("""COMPUTED_VALUE"""),0.5)</f>
        <v>0.5</v>
      </c>
    </row>
    <row r="12386">
      <c r="A12386" s="10" t="s">
        <v>13825</v>
      </c>
      <c r="B12386" s="7" t="str">
        <f>IFERROR(__xludf.DUMMYFUNCTION("SPLIT(A12386,"" "")"),"Cc1cccc(CN(C)C2=C(CN(C)C)NC=CC2)n1")</f>
        <v>Cc1cccc(CN(C)C2=C(CN(C)C)NC=CC2)n1</v>
      </c>
      <c r="C12386" s="7">
        <f>IFERROR(__xludf.DUMMYFUNCTION("""COMPUTED_VALUE"""),7.758365)</f>
        <v>7.758365</v>
      </c>
      <c r="D12386" s="7">
        <f>IFERROR(__xludf.DUMMYFUNCTION("""COMPUTED_VALUE"""),0.444444444444444)</f>
        <v>0.4444444444</v>
      </c>
    </row>
    <row r="12387">
      <c r="A12387" s="10" t="s">
        <v>13826</v>
      </c>
      <c r="B12387" s="7" t="str">
        <f>IFERROR(__xludf.DUMMYFUNCTION("SPLIT(A12387,"" "")"),"Cc1cccc(C(C)(C)c2cccc(CN(Cc3ccccn3)C3CCCCC3N(C)c3ccc4nc(CN(C)C)ccc4c3)n2)c1")</f>
        <v>Cc1cccc(C(C)(C)c2cccc(CN(Cc3ccccn3)C3CCCCC3N(C)c3ccc4nc(CN(C)C)ccc4c3)n2)c1</v>
      </c>
      <c r="C12387" s="7">
        <f>IFERROR(__xludf.DUMMYFUNCTION("""COMPUTED_VALUE"""),7.758353)</f>
        <v>7.758353</v>
      </c>
      <c r="D12387" s="7">
        <f>IFERROR(__xludf.DUMMYFUNCTION("""COMPUTED_VALUE"""),0.371428571428571)</f>
        <v>0.3714285714</v>
      </c>
    </row>
    <row r="12388">
      <c r="A12388" s="10" t="s">
        <v>13827</v>
      </c>
      <c r="B12388" s="7" t="str">
        <f>IFERROR(__xludf.DUMMYFUNCTION("SPLIT(A12388,"" "")"),"CC1=CC(C)C(C)(C)C(C)(c2ncccc2CN(Cc2ccccn2)Cc2ccc(-c3cccc(N(C)C)c3)cn2)C1C")</f>
        <v>CC1=CC(C)C(C)(C)C(C)(c2ncccc2CN(Cc2ccccn2)Cc2ccc(-c3cccc(N(C)C)c3)cn2)C1C</v>
      </c>
      <c r="C12388" s="7">
        <f>IFERROR(__xludf.DUMMYFUNCTION("""COMPUTED_VALUE"""),7.75835)</f>
        <v>7.75835</v>
      </c>
      <c r="D12388" s="7">
        <f>IFERROR(__xludf.DUMMYFUNCTION("""COMPUTED_VALUE"""),0.32051282051282)</f>
        <v>0.3205128205</v>
      </c>
    </row>
    <row r="12389">
      <c r="A12389" s="10" t="s">
        <v>13828</v>
      </c>
      <c r="B12389" s="7" t="str">
        <f>IFERROR(__xludf.DUMMYFUNCTION("SPLIT(A12389,"" "")"),"Cc1cc(CN(C)C2CCCC(N(Cc3ccccn3)c3ccc4nc(C)ccc4c3)C2)ccn1")</f>
        <v>Cc1cc(CN(C)C2CCCC(N(Cc3ccccn3)c3ccc4nc(C)ccc4c3)C2)ccn1</v>
      </c>
      <c r="C12389" s="7">
        <f>IFERROR(__xludf.DUMMYFUNCTION("""COMPUTED_VALUE"""),7.7583485)</f>
        <v>7.7583485</v>
      </c>
      <c r="D12389" s="7">
        <f>IFERROR(__xludf.DUMMYFUNCTION("""COMPUTED_VALUE"""),0.38095238095238)</f>
        <v>0.380952381</v>
      </c>
    </row>
    <row r="12390">
      <c r="A12390" s="10" t="s">
        <v>13829</v>
      </c>
      <c r="B12390" s="7" t="str">
        <f>IFERROR(__xludf.DUMMYFUNCTION("SPLIT(A12390,"" "")"),"CC1C=Cc2ncccc2C1")</f>
        <v>CC1C=Cc2ncccc2C1</v>
      </c>
      <c r="C12390" s="7">
        <f>IFERROR(__xludf.DUMMYFUNCTION("""COMPUTED_VALUE"""),7.758341)</f>
        <v>7.758341</v>
      </c>
      <c r="D12390" s="7">
        <f>IFERROR(__xludf.DUMMYFUNCTION("""COMPUTED_VALUE"""),0.282608695652173)</f>
        <v>0.2826086957</v>
      </c>
    </row>
    <row r="12391">
      <c r="A12391" s="10" t="s">
        <v>13830</v>
      </c>
      <c r="B12391" s="7" t="str">
        <f>IFERROR(__xludf.DUMMYFUNCTION("SPLIT(A12391,"" "")"),"CNCNCc1cccc(N(C)Cc2ncc(C)c(C)c2C)n1")</f>
        <v>CNCNCc1cccc(N(C)Cc2ncc(C)c(C)c2C)n1</v>
      </c>
      <c r="C12391" s="7">
        <f>IFERROR(__xludf.DUMMYFUNCTION("""COMPUTED_VALUE"""),7.758339)</f>
        <v>7.758339</v>
      </c>
      <c r="D12391" s="7">
        <f>IFERROR(__xludf.DUMMYFUNCTION("""COMPUTED_VALUE"""),0.283018867924528)</f>
        <v>0.2830188679</v>
      </c>
    </row>
    <row r="12392">
      <c r="A12392" s="10" t="s">
        <v>13831</v>
      </c>
      <c r="B12392" s="7" t="str">
        <f>IFERROR(__xludf.DUMMYFUNCTION("SPLIT(A12392,"" "")"),"CC(C)C1=CC2CC(C)(C)C(c3ccc(CN(Cc4ccccn4)Cc4ccccn4)cn3)=CC2=CN1")</f>
        <v>CC(C)C1=CC2CC(C)(C)C(c3ccc(CN(Cc4ccccn4)Cc4ccccn4)cn3)=CC2=CN1</v>
      </c>
      <c r="C12392" s="7">
        <f>IFERROR(__xludf.DUMMYFUNCTION("""COMPUTED_VALUE"""),7.758337)</f>
        <v>7.758337</v>
      </c>
      <c r="D12392" s="7">
        <f>IFERROR(__xludf.DUMMYFUNCTION("""COMPUTED_VALUE"""),0.333333333333333)</f>
        <v>0.3333333333</v>
      </c>
    </row>
    <row r="12393">
      <c r="A12393" s="10" t="s">
        <v>13832</v>
      </c>
      <c r="B12393" s="7" t="str">
        <f>IFERROR(__xludf.DUMMYFUNCTION("SPLIT(A12393,"" "")"),"CCc1ccc2c(c1)C=C(C)C(C)C2")</f>
        <v>CCc1ccc2c(c1)C=C(C)C(C)C2</v>
      </c>
      <c r="C12393" s="7">
        <f>IFERROR(__xludf.DUMMYFUNCTION("""COMPUTED_VALUE"""),7.758335)</f>
        <v>7.758335</v>
      </c>
      <c r="D12393" s="7">
        <f>IFERROR(__xludf.DUMMYFUNCTION("""COMPUTED_VALUE"""),0.189655172413793)</f>
        <v>0.1896551724</v>
      </c>
    </row>
    <row r="12394">
      <c r="A12394" s="10" t="s">
        <v>13833</v>
      </c>
      <c r="B12394" s="7" t="str">
        <f>IFERROR(__xludf.DUMMYFUNCTION("SPLIT(A12394,"" "")"),"CN(Cc1ccon1)C1CCC(N(C)c2ccc3nccc(CF)c3c2)CC1")</f>
        <v>CN(Cc1ccon1)C1CCC(N(C)c2ccc3nccc(CF)c3c2)CC1</v>
      </c>
      <c r="C12394" s="7">
        <f>IFERROR(__xludf.DUMMYFUNCTION("""COMPUTED_VALUE"""),7.758323)</f>
        <v>7.758323</v>
      </c>
      <c r="D12394" s="7">
        <f>IFERROR(__xludf.DUMMYFUNCTION("""COMPUTED_VALUE"""),0.37037037037037)</f>
        <v>0.3703703704</v>
      </c>
    </row>
    <row r="12395">
      <c r="A12395" s="10" t="s">
        <v>13834</v>
      </c>
      <c r="B12395" s="7" t="str">
        <f>IFERROR(__xludf.DUMMYFUNCTION("SPLIT(A12395,"" "")"),"CC(C)C(C)c1cccnc1CN(Cc1ccc2c(n1)C(C)(C)CC=C2)Cc1ccc2c(n1)C(C)(C)CC=C2")</f>
        <v>CC(C)C(C)c1cccnc1CN(Cc1ccc2c(n1)C(C)(C)CC=C2)Cc1ccc2c(n1)C(C)(C)CC=C2</v>
      </c>
      <c r="C12395" s="7">
        <f>IFERROR(__xludf.DUMMYFUNCTION("""COMPUTED_VALUE"""),7.758323)</f>
        <v>7.758323</v>
      </c>
      <c r="D12395" s="7">
        <f>IFERROR(__xludf.DUMMYFUNCTION("""COMPUTED_VALUE"""),0.311475409836065)</f>
        <v>0.3114754098</v>
      </c>
    </row>
    <row r="12396">
      <c r="A12396" s="10" t="s">
        <v>13835</v>
      </c>
      <c r="B12396" s="7" t="str">
        <f>IFERROR(__xludf.DUMMYFUNCTION("SPLIT(A12396,"" "")"),"Cc1cc(NCc2ccccn2)ccc1CN(C)C1CCCC(N(C)c2ccc3cccnc3c2)C1")</f>
        <v>Cc1cc(NCc2ccccn2)ccc1CN(C)C1CCCC(N(C)c2ccc3cccnc3c2)C1</v>
      </c>
      <c r="C12396" s="7">
        <f>IFERROR(__xludf.DUMMYFUNCTION("""COMPUTED_VALUE"""),7.758316)</f>
        <v>7.758316</v>
      </c>
      <c r="D12396" s="7">
        <f>IFERROR(__xludf.DUMMYFUNCTION("""COMPUTED_VALUE"""),0.333333333333333)</f>
        <v>0.3333333333</v>
      </c>
    </row>
    <row r="12397">
      <c r="A12397" s="10" t="s">
        <v>13836</v>
      </c>
      <c r="B12397" s="7" t="str">
        <f>IFERROR(__xludf.DUMMYFUNCTION("SPLIT(A12397,"" "")"),"CNCC1=CCC(N(C)Cc2ncc(C)c(C)c2C)=CN1")</f>
        <v>CNCC1=CCC(N(C)Cc2ncc(C)c(C)c2C)=CN1</v>
      </c>
      <c r="C12397" s="7">
        <f>IFERROR(__xludf.DUMMYFUNCTION("""COMPUTED_VALUE"""),7.7583156)</f>
        <v>7.7583156</v>
      </c>
      <c r="D12397" s="7">
        <f>IFERROR(__xludf.DUMMYFUNCTION("""COMPUTED_VALUE"""),0.222222222222222)</f>
        <v>0.2222222222</v>
      </c>
    </row>
    <row r="12398">
      <c r="A12398" s="10" t="s">
        <v>13837</v>
      </c>
      <c r="B12398" s="7" t="str">
        <f>IFERROR(__xludf.DUMMYFUNCTION("SPLIT(A12398,"" "")"),"Cc1cc(C)nc(CN(C)C2CCCC(N(C)c3ccc4nccc(CF)c4c3)C2)c1")</f>
        <v>Cc1cc(C)nc(CN(C)C2CCCC(N(C)c3ccc4nccc(CF)c4c3)C2)c1</v>
      </c>
      <c r="C12398" s="7">
        <f>IFERROR(__xludf.DUMMYFUNCTION("""COMPUTED_VALUE"""),7.7583127)</f>
        <v>7.7583127</v>
      </c>
      <c r="D12398" s="7">
        <f>IFERROR(__xludf.DUMMYFUNCTION("""COMPUTED_VALUE"""),0.298507462686567)</f>
        <v>0.2985074627</v>
      </c>
    </row>
    <row r="12399">
      <c r="A12399" s="10" t="s">
        <v>13838</v>
      </c>
      <c r="B12399" s="7" t="str">
        <f>IFERROR(__xludf.DUMMYFUNCTION("SPLIT(A12399,"" "")"),"CN(C)Cc1ccnc2cc(N(C)C3CCCC(N(Cc4ccnc(F)c4)Cc4ccccn4)C3)ccc12")</f>
        <v>CN(C)Cc1ccnc2cc(N(C)C3CCCC(N(Cc4ccnc(F)c4)Cc4ccccn4)C3)ccc12</v>
      </c>
      <c r="C12399" s="7">
        <f>IFERROR(__xludf.DUMMYFUNCTION("""COMPUTED_VALUE"""),7.758309)</f>
        <v>7.758309</v>
      </c>
      <c r="D12399" s="7">
        <f>IFERROR(__xludf.DUMMYFUNCTION("""COMPUTED_VALUE"""),0.338235294117647)</f>
        <v>0.3382352941</v>
      </c>
    </row>
    <row r="12400">
      <c r="A12400" s="10" t="s">
        <v>13839</v>
      </c>
      <c r="B12400" s="7" t="str">
        <f>IFERROR(__xludf.DUMMYFUNCTION("SPLIT(A12400,"" "")"),"CNCC1=C(N(C)Cc2cc(C)cc(C)n2)CC=CN1")</f>
        <v>CNCC1=C(N(C)Cc2cc(C)cc(C)n2)CC=CN1</v>
      </c>
      <c r="C12400" s="7">
        <f>IFERROR(__xludf.DUMMYFUNCTION("""COMPUTED_VALUE"""),7.7583075)</f>
        <v>7.7583075</v>
      </c>
      <c r="D12400" s="7">
        <f>IFERROR(__xludf.DUMMYFUNCTION("""COMPUTED_VALUE"""),0.309090909090909)</f>
        <v>0.3090909091</v>
      </c>
    </row>
    <row r="12401">
      <c r="A12401" s="10" t="s">
        <v>13840</v>
      </c>
      <c r="B12401" s="7" t="str">
        <f>IFERROR(__xludf.DUMMYFUNCTION("SPLIT(A12401,"" "")"),"CC1=CCC=C(N(C)C2CCCC(N(C)c3cccc4ncc(CN(C)C)cc34)C2)N1")</f>
        <v>CC1=CCC=C(N(C)C2CCCC(N(C)c3cccc4ncc(CN(C)C)cc34)C2)N1</v>
      </c>
      <c r="C12401" s="7">
        <f>IFERROR(__xludf.DUMMYFUNCTION("""COMPUTED_VALUE"""),7.7583)</f>
        <v>7.7583</v>
      </c>
      <c r="D12401" s="7">
        <f>IFERROR(__xludf.DUMMYFUNCTION("""COMPUTED_VALUE"""),0.243243243243243)</f>
        <v>0.2432432432</v>
      </c>
    </row>
    <row r="12402">
      <c r="A12402" s="10" t="s">
        <v>13841</v>
      </c>
      <c r="B12402" s="7" t="str">
        <f>IFERROR(__xludf.DUMMYFUNCTION("SPLIT(A12402,"" "")"),"CCCN(Cc1ccccn1)Cc1cccc(N(C)Cc2nc(C)c(C)cc2C)n1")</f>
        <v>CCCN(Cc1ccccn1)Cc1cccc(N(C)Cc2nc(C)c(C)cc2C)n1</v>
      </c>
      <c r="C12402" s="7">
        <f>IFERROR(__xludf.DUMMYFUNCTION("""COMPUTED_VALUE"""),7.758299)</f>
        <v>7.758299</v>
      </c>
      <c r="D12402" s="7">
        <f>IFERROR(__xludf.DUMMYFUNCTION("""COMPUTED_VALUE"""),0.442307692307692)</f>
        <v>0.4423076923</v>
      </c>
    </row>
    <row r="12403">
      <c r="A12403" s="10" t="s">
        <v>13842</v>
      </c>
      <c r="B12403" s="7" t="str">
        <f>IFERROR(__xludf.DUMMYFUNCTION("SPLIT(A12403,"" "")"),"Cc1cc(C)c(CN(CC2=CCC=CN2)Cc2cccc(N)n2)nc1C")</f>
        <v>Cc1cc(C)c(CN(CC2=CCC=CN2)Cc2cccc(N)n2)nc1C</v>
      </c>
      <c r="C12403" s="7">
        <f>IFERROR(__xludf.DUMMYFUNCTION("""COMPUTED_VALUE"""),7.7582884)</f>
        <v>7.7582884</v>
      </c>
      <c r="D12403" s="7">
        <f>IFERROR(__xludf.DUMMYFUNCTION("""COMPUTED_VALUE"""),0.491228070175438)</f>
        <v>0.4912280702</v>
      </c>
    </row>
    <row r="12404">
      <c r="A12404" s="10" t="s">
        <v>13843</v>
      </c>
      <c r="B12404" s="7" t="str">
        <f>IFERROR(__xludf.DUMMYFUNCTION("SPLIT(A12404,"" "")"),"CC=CCN(C)CC1=CCC=C(N(C)Cc2nc(C)c(C)cc2C)N1")</f>
        <v>CC=CCN(C)CC1=CCC=C(N(C)Cc2nc(C)c(C)cc2C)N1</v>
      </c>
      <c r="C12404" s="7">
        <f>IFERROR(__xludf.DUMMYFUNCTION("""COMPUTED_VALUE"""),7.7582855)</f>
        <v>7.7582855</v>
      </c>
      <c r="D12404" s="7">
        <f>IFERROR(__xludf.DUMMYFUNCTION("""COMPUTED_VALUE"""),0.180327868852459)</f>
        <v>0.1803278689</v>
      </c>
    </row>
    <row r="12405">
      <c r="A12405" s="10" t="s">
        <v>13844</v>
      </c>
      <c r="B12405" s="7" t="str">
        <f>IFERROR(__xludf.DUMMYFUNCTION("SPLIT(A12405,"" "")"),"CC(N)C(C)N(C)CCN(C)c1ccc2nccc(CN(C)C)c2c1")</f>
        <v>CC(N)C(C)N(C)CCN(C)c1ccc2nccc(CN(C)C)c2c1</v>
      </c>
      <c r="C12405" s="7">
        <f>IFERROR(__xludf.DUMMYFUNCTION("""COMPUTED_VALUE"""),7.7582827)</f>
        <v>7.7582827</v>
      </c>
      <c r="D12405" s="7">
        <f>IFERROR(__xludf.DUMMYFUNCTION("""COMPUTED_VALUE"""),0.224137931034482)</f>
        <v>0.224137931</v>
      </c>
    </row>
    <row r="12406">
      <c r="A12406" s="10" t="s">
        <v>13845</v>
      </c>
      <c r="B12406" s="7" t="str">
        <f>IFERROR(__xludf.DUMMYFUNCTION("SPLIT(A12406,"" "")"),"CC1=CC(N(C)Cc2ccc(-c3cccc(N=Cc4ccccn4)c3)cn2)CC(C)(C)C1C")</f>
        <v>CC1=CC(N(C)Cc2ccc(-c3cccc(N=Cc4ccccn4)c3)cn2)CC(C)(C)C1C</v>
      </c>
      <c r="C12406" s="7">
        <f>IFERROR(__xludf.DUMMYFUNCTION("""COMPUTED_VALUE"""),7.75826)</f>
        <v>7.75826</v>
      </c>
      <c r="D12406" s="7">
        <f>IFERROR(__xludf.DUMMYFUNCTION("""COMPUTED_VALUE"""),0.309859154929577)</f>
        <v>0.3098591549</v>
      </c>
    </row>
    <row r="12407">
      <c r="A12407" s="10" t="s">
        <v>13846</v>
      </c>
      <c r="B12407" s="7" t="str">
        <f>IFERROR(__xludf.DUMMYFUNCTION("SPLIT(A12407,"" "")"),"Cc1cncc(CN(C)C2C=C(N(C)Cc3ccccn3)C=CN2)c1")</f>
        <v>Cc1cncc(CN(C)C2C=C(N(C)Cc3ccccn3)C=CN2)c1</v>
      </c>
      <c r="C12407" s="7">
        <f>IFERROR(__xludf.DUMMYFUNCTION("""COMPUTED_VALUE"""),7.7582574)</f>
        <v>7.7582574</v>
      </c>
      <c r="D12407" s="7">
        <f>IFERROR(__xludf.DUMMYFUNCTION("""COMPUTED_VALUE"""),0.385964912280701)</f>
        <v>0.3859649123</v>
      </c>
    </row>
    <row r="12408">
      <c r="A12408" s="10" t="s">
        <v>13847</v>
      </c>
      <c r="B12408" s="7" t="str">
        <f>IFERROR(__xludf.DUMMYFUNCTION("SPLIT(A12408,"" "")"),"Cc1nc(CN(Cc2ccnc(F)c2)Cc2cccc(F)n2)c(C)c(C)c1C")</f>
        <v>Cc1nc(CN(Cc2ccnc(F)c2)Cc2cccc(F)n2)c(C)c(C)c1C</v>
      </c>
      <c r="C12408" s="7">
        <f>IFERROR(__xludf.DUMMYFUNCTION("""COMPUTED_VALUE"""),7.758255)</f>
        <v>7.758255</v>
      </c>
      <c r="D12408" s="7">
        <f>IFERROR(__xludf.DUMMYFUNCTION("""COMPUTED_VALUE"""),0.343283582089552)</f>
        <v>0.3432835821</v>
      </c>
    </row>
    <row r="12409">
      <c r="A12409" s="10" t="s">
        <v>13848</v>
      </c>
      <c r="B12409" s="7" t="str">
        <f>IFERROR(__xludf.DUMMYFUNCTION("SPLIT(A12409,"" "")"),"Cc1ccc(CN(C)CC2=CCC(N(C)Cc3ccccn3)=CN2)cn1")</f>
        <v>Cc1ccc(CN(C)CC2=CCC(N(C)Cc3ccccn3)=CN2)cn1</v>
      </c>
      <c r="C12409" s="7">
        <f>IFERROR(__xludf.DUMMYFUNCTION("""COMPUTED_VALUE"""),7.758252)</f>
        <v>7.758252</v>
      </c>
      <c r="D12409" s="7">
        <f>IFERROR(__xludf.DUMMYFUNCTION("""COMPUTED_VALUE"""),0.372881355932203)</f>
        <v>0.3728813559</v>
      </c>
    </row>
    <row r="12410">
      <c r="A12410" s="10" t="s">
        <v>13849</v>
      </c>
      <c r="B12410" s="7" t="str">
        <f>IFERROR(__xludf.DUMMYFUNCTION("SPLIT(A12410,"" "")"),"Cc1ccc(CN(C)CC2=CCC(N(C)Cc3ccccn3)=CN2)nc1")</f>
        <v>Cc1ccc(CN(C)CC2=CCC(N(C)Cc3ccccn3)=CN2)nc1</v>
      </c>
      <c r="C12410" s="7">
        <f>IFERROR(__xludf.DUMMYFUNCTION("""COMPUTED_VALUE"""),7.758252)</f>
        <v>7.758252</v>
      </c>
      <c r="D12410" s="7">
        <f>IFERROR(__xludf.DUMMYFUNCTION("""COMPUTED_VALUE"""),0.431372549019607)</f>
        <v>0.431372549</v>
      </c>
    </row>
    <row r="12411">
      <c r="A12411" s="10" t="s">
        <v>13850</v>
      </c>
      <c r="B12411" s="7" t="str">
        <f>IFERROR(__xludf.DUMMYFUNCTION("SPLIT(A12411,"" "")"),"Cc1cnc(CN(C)C2CCCC(N(C)c3ccc4nc(CN(C)C)ccc4c3)C2)c(C)c1")</f>
        <v>Cc1cnc(CN(C)C2CCCC(N(C)c3ccc4nc(CN(C)C)ccc4c3)C2)c(C)c1</v>
      </c>
      <c r="C12411" s="7">
        <f>IFERROR(__xludf.DUMMYFUNCTION("""COMPUTED_VALUE"""),7.7582445)</f>
        <v>7.7582445</v>
      </c>
      <c r="D12411" s="7">
        <f>IFERROR(__xludf.DUMMYFUNCTION("""COMPUTED_VALUE"""),0.333333333333333)</f>
        <v>0.3333333333</v>
      </c>
    </row>
    <row r="12412">
      <c r="A12412" s="10" t="s">
        <v>13851</v>
      </c>
      <c r="B12412" s="7" t="str">
        <f>IFERROR(__xludf.DUMMYFUNCTION("SPLIT(A12412,"" "")"),"COC(=O)C(=O)NCc1cc(CN(Cc2ccccn2)Cc2ccccn2)ccn1")</f>
        <v>COC(=O)C(=O)NCc1cc(CN(Cc2ccccn2)Cc2ccccn2)ccn1</v>
      </c>
      <c r="C12412" s="7">
        <f>IFERROR(__xludf.DUMMYFUNCTION("""COMPUTED_VALUE"""),7.758241)</f>
        <v>7.758241</v>
      </c>
      <c r="D12412" s="7">
        <f>IFERROR(__xludf.DUMMYFUNCTION("""COMPUTED_VALUE"""),0.465116279069767)</f>
        <v>0.4651162791</v>
      </c>
    </row>
    <row r="12413">
      <c r="A12413" s="10" t="s">
        <v>13852</v>
      </c>
      <c r="B12413" s="7" t="str">
        <f>IFERROR(__xludf.DUMMYFUNCTION("SPLIT(A12413,"" "")"),"Cc1cc(C)c(C)c(CN(Cc2ccc(CN(C)C)nc2)Cc2ccccn2)n1")</f>
        <v>Cc1cc(C)c(C)c(CN(Cc2ccc(CN(C)C)nc2)Cc2ccccn2)n1</v>
      </c>
      <c r="C12413" s="7">
        <f>IFERROR(__xludf.DUMMYFUNCTION("""COMPUTED_VALUE"""),7.7582283)</f>
        <v>7.7582283</v>
      </c>
      <c r="D12413" s="7">
        <f>IFERROR(__xludf.DUMMYFUNCTION("""COMPUTED_VALUE"""),0.425531914893617)</f>
        <v>0.4255319149</v>
      </c>
    </row>
    <row r="12414">
      <c r="A12414" s="10" t="s">
        <v>13853</v>
      </c>
      <c r="B12414" s="7" t="str">
        <f>IFERROR(__xludf.DUMMYFUNCTION("SPLIT(A12414,"" "")"),"CN1CCN(C)CCN(Cc2cccnc2-c2cc(N)cc3cccnc23)CC1")</f>
        <v>CN1CCN(C)CCN(Cc2cccnc2-c2cc(N)cc3cccnc23)CC1</v>
      </c>
      <c r="C12414" s="7">
        <f>IFERROR(__xludf.DUMMYFUNCTION("""COMPUTED_VALUE"""),7.7582235)</f>
        <v>7.7582235</v>
      </c>
      <c r="D12414" s="7">
        <f>IFERROR(__xludf.DUMMYFUNCTION("""COMPUTED_VALUE"""),0.411764705882352)</f>
        <v>0.4117647059</v>
      </c>
    </row>
    <row r="12415">
      <c r="A12415" s="10" t="s">
        <v>13854</v>
      </c>
      <c r="B12415" s="7" t="str">
        <f>IFERROR(__xludf.DUMMYFUNCTION("SPLIT(A12415,"" "")"),"Cc1cccc(CN(C)C2CCCC(N(C)c3ccc4nccc(CN(C)C)c4c3)C2)n1")</f>
        <v>Cc1cccc(CN(C)C2CCCC(N(C)c3ccc4nccc(CN(C)C)c4c3)C2)n1</v>
      </c>
      <c r="C12415" s="7">
        <f>IFERROR(__xludf.DUMMYFUNCTION("""COMPUTED_VALUE"""),7.7582097)</f>
        <v>7.7582097</v>
      </c>
      <c r="D12415" s="7">
        <f>IFERROR(__xludf.DUMMYFUNCTION("""COMPUTED_VALUE"""),0.433333333333333)</f>
        <v>0.4333333333</v>
      </c>
    </row>
    <row r="12416">
      <c r="A12416" s="10" t="s">
        <v>13855</v>
      </c>
      <c r="B12416" s="7" t="str">
        <f>IFERROR(__xludf.DUMMYFUNCTION("SPLIT(A12416,"" "")"),"CNCC1=CCC=C(N(C)Cc2cc(C)ccn2)N1")</f>
        <v>CNCC1=CCC=C(N(C)Cc2cc(C)ccn2)N1</v>
      </c>
      <c r="C12416" s="7">
        <f>IFERROR(__xludf.DUMMYFUNCTION("""COMPUTED_VALUE"""),7.7582097)</f>
        <v>7.7582097</v>
      </c>
      <c r="D12416" s="7">
        <f>IFERROR(__xludf.DUMMYFUNCTION("""COMPUTED_VALUE"""),0.327272727272727)</f>
        <v>0.3272727273</v>
      </c>
    </row>
    <row r="12417">
      <c r="A12417" s="10" t="s">
        <v>13856</v>
      </c>
      <c r="B12417" s="7" t="str">
        <f>IFERROR(__xludf.DUMMYFUNCTION("SPLIT(A12417,"" "")"),"CCN(Cc1ccccn1)c1ccc(C)c(CN(C)Cc2ccccn2)c1C")</f>
        <v>CCN(Cc1ccccn1)c1ccc(C)c(CN(C)Cc2ccccn2)c1C</v>
      </c>
      <c r="C12417" s="7">
        <f>IFERROR(__xludf.DUMMYFUNCTION("""COMPUTED_VALUE"""),7.758209)</f>
        <v>7.758209</v>
      </c>
      <c r="D12417" s="7">
        <f>IFERROR(__xludf.DUMMYFUNCTION("""COMPUTED_VALUE"""),0.448979591836734)</f>
        <v>0.4489795918</v>
      </c>
    </row>
    <row r="12418">
      <c r="A12418" s="10" t="s">
        <v>13857</v>
      </c>
      <c r="B12418" s="7" t="str">
        <f>IFERROR(__xludf.DUMMYFUNCTION("SPLIT(A12418,"" "")"),"Cc1cnc(CN(C)C2=CNC(CN(C)C3CCCCC3N(C)c3ccc4ccc(CF)nc4c3)=CC2)c(C)c1")</f>
        <v>Cc1cnc(CN(C)C2=CNC(CN(C)C3CCCCC3N(C)c3ccc4ccc(CF)nc4c3)=CC2)c(C)c1</v>
      </c>
      <c r="C12418" s="7">
        <f>IFERROR(__xludf.DUMMYFUNCTION("""COMPUTED_VALUE"""),7.758206)</f>
        <v>7.758206</v>
      </c>
      <c r="D12418" s="7">
        <f>IFERROR(__xludf.DUMMYFUNCTION("""COMPUTED_VALUE"""),0.371428571428571)</f>
        <v>0.3714285714</v>
      </c>
    </row>
    <row r="12419">
      <c r="A12419" s="10" t="s">
        <v>13858</v>
      </c>
      <c r="B12419" s="7" t="str">
        <f>IFERROR(__xludf.DUMMYFUNCTION("SPLIT(A12419,"" "")"),"COC(=O)C(=O)N1CCN(C)CCN(C(=O)C(=O)C(=O)C(=O)C(=O)C(=O)C(=O)C(=O)C(=O)C(=O)C(=O)C(=O)C=O)CC1")</f>
        <v>COC(=O)C(=O)N1CCN(C)CCN(C(=O)C(=O)C(=O)C(=O)C(=O)C(=O)C(=O)C(=O)C(=O)C(=O)C(=O)C(=O)C=O)CC1</v>
      </c>
      <c r="C12419" s="7">
        <f>IFERROR(__xludf.DUMMYFUNCTION("""COMPUTED_VALUE"""),7.758205)</f>
        <v>7.758205</v>
      </c>
      <c r="D12419" s="7">
        <f>IFERROR(__xludf.DUMMYFUNCTION("""COMPUTED_VALUE"""),0.242424242424242)</f>
        <v>0.2424242424</v>
      </c>
    </row>
    <row r="12420">
      <c r="A12420" s="10" t="s">
        <v>13859</v>
      </c>
      <c r="B12420" s="7" t="str">
        <f>IFERROR(__xludf.DUMMYFUNCTION("SPLIT(A12420,"" "")"),"Cc1cccnc1CN(Cc1ccnc(C2C(C)(C)CC=C(c3ncccc3CN(Cc3ccccn3)Cc3ccccn3)C23C=CNC(C(C)C)=C3)c1)Cc1ccccn1")</f>
        <v>Cc1cccnc1CN(Cc1ccnc(C2C(C)(C)CC=C(c3ncccc3CN(Cc3ccccn3)Cc3ccccn3)C23C=CNC(C(C)C)=C3)c1)Cc1ccccn1</v>
      </c>
      <c r="C12420" s="7">
        <f>IFERROR(__xludf.DUMMYFUNCTION("""COMPUTED_VALUE"""),7.758203)</f>
        <v>7.758203</v>
      </c>
      <c r="D12420" s="7">
        <f>IFERROR(__xludf.DUMMYFUNCTION("""COMPUTED_VALUE"""),0.28735632183908)</f>
        <v>0.2873563218</v>
      </c>
    </row>
    <row r="12421">
      <c r="A12421" s="10" t="s">
        <v>13860</v>
      </c>
      <c r="B12421" s="7" t="str">
        <f>IFERROR(__xludf.DUMMYFUNCTION("SPLIT(A12421,"" "")"),"C=CCN(C)CCN(Cc1ccc(-c2cccc(Cl)c2N)nc1)Cc1ccccn1")</f>
        <v>C=CCN(C)CCN(Cc1ccc(-c2cccc(Cl)c2N)nc1)Cc1ccccn1</v>
      </c>
      <c r="C12421" s="7">
        <f>IFERROR(__xludf.DUMMYFUNCTION("""COMPUTED_VALUE"""),7.7582016)</f>
        <v>7.7582016</v>
      </c>
      <c r="D12421" s="7">
        <f>IFERROR(__xludf.DUMMYFUNCTION("""COMPUTED_VALUE"""),0.492307692307692)</f>
        <v>0.4923076923</v>
      </c>
    </row>
    <row r="12422">
      <c r="A12422" s="10" t="s">
        <v>13861</v>
      </c>
      <c r="B12422" s="7" t="str">
        <f>IFERROR(__xludf.DUMMYFUNCTION("SPLIT(A12422,"" "")"),"CN(Cc1cncc(-c2cccc3c2OCCOCCOCCOCCOCCO3)c1)c1cc2ncccc2cc1N(C)Cc1ccccn1")</f>
        <v>CN(Cc1cncc(-c2cccc3c2OCCOCCOCCOCCOCCO3)c1)c1cc2ncccc2cc1N(C)Cc1ccccn1</v>
      </c>
      <c r="C12422" s="7">
        <f>IFERROR(__xludf.DUMMYFUNCTION("""COMPUTED_VALUE"""),7.7581944)</f>
        <v>7.7581944</v>
      </c>
      <c r="D12422" s="7">
        <f>IFERROR(__xludf.DUMMYFUNCTION("""COMPUTED_VALUE"""),0.367647058823529)</f>
        <v>0.3676470588</v>
      </c>
    </row>
    <row r="12423">
      <c r="A12423" s="10" t="s">
        <v>13862</v>
      </c>
      <c r="B12423" s="7" t="str">
        <f>IFERROR(__xludf.DUMMYFUNCTION("SPLIT(A12423,"" "")"),"CN(C)Cc1nccc2cc(N(C)C3CCC(N(Cc4ccccn4)Cc4cccnc4C(C)(C)C)CC3)ccc12")</f>
        <v>CN(C)Cc1nccc2cc(N(C)C3CCC(N(Cc4ccccn4)Cc4cccnc4C(C)(C)C)CC3)ccc12</v>
      </c>
      <c r="C12423" s="7">
        <f>IFERROR(__xludf.DUMMYFUNCTION("""COMPUTED_VALUE"""),7.7581935)</f>
        <v>7.7581935</v>
      </c>
      <c r="D12423" s="7">
        <f>IFERROR(__xludf.DUMMYFUNCTION("""COMPUTED_VALUE"""),0.318840579710144)</f>
        <v>0.3188405797</v>
      </c>
    </row>
    <row r="12424">
      <c r="A12424" s="10" t="s">
        <v>13863</v>
      </c>
      <c r="B12424" s="7" t="str">
        <f>IFERROR(__xludf.DUMMYFUNCTION("SPLIT(A12424,"" "")"),"CCNc1cccc(-c2cccc(C(C)C(C)C)n2)n1")</f>
        <v>CCNc1cccc(-c2cccc(C(C)C(C)C)n2)n1</v>
      </c>
      <c r="C12424" s="7">
        <f>IFERROR(__xludf.DUMMYFUNCTION("""COMPUTED_VALUE"""),7.758192)</f>
        <v>7.758192</v>
      </c>
      <c r="D12424" s="7">
        <f>IFERROR(__xludf.DUMMYFUNCTION("""COMPUTED_VALUE"""),0.468085106382978)</f>
        <v>0.4680851064</v>
      </c>
    </row>
    <row r="12425">
      <c r="A12425" s="10" t="s">
        <v>13864</v>
      </c>
      <c r="B12425" s="7" t="str">
        <f>IFERROR(__xludf.DUMMYFUNCTION("SPLIT(A12425,"" "")"),"Cc1cnc(C)c(CN(C)Cc2ccc(N)c(C)n2)c1")</f>
        <v>Cc1cnc(C)c(CN(C)Cc2ccc(N)c(C)n2)c1</v>
      </c>
      <c r="C12425" s="7">
        <f>IFERROR(__xludf.DUMMYFUNCTION("""COMPUTED_VALUE"""),7.7581744)</f>
        <v>7.7581744</v>
      </c>
      <c r="D12425" s="7">
        <f>IFERROR(__xludf.DUMMYFUNCTION("""COMPUTED_VALUE"""),0.409090909090909)</f>
        <v>0.4090909091</v>
      </c>
    </row>
    <row r="12426">
      <c r="A12426" s="10" t="s">
        <v>13865</v>
      </c>
      <c r="B12426" s="7" t="str">
        <f>IFERROR(__xludf.DUMMYFUNCTION("SPLIT(A12426,"" "")"),"C1=CC(SCc2ccccn2)NC(NCc2ccccn2)=C1")</f>
        <v>C1=CC(SCc2ccccn2)NC(NCc2ccccn2)=C1</v>
      </c>
      <c r="C12426" s="7">
        <f>IFERROR(__xludf.DUMMYFUNCTION("""COMPUTED_VALUE"""),7.7581697)</f>
        <v>7.7581697</v>
      </c>
      <c r="D12426" s="7">
        <f>IFERROR(__xludf.DUMMYFUNCTION("""COMPUTED_VALUE"""),0.377777777777777)</f>
        <v>0.3777777778</v>
      </c>
    </row>
    <row r="12427">
      <c r="A12427" s="10" t="s">
        <v>13866</v>
      </c>
      <c r="B12427" s="7" t="str">
        <f>IFERROR(__xludf.DUMMYFUNCTION("SPLIT(A12427,"" "")"),"Cc1cncc(CN(Cc2cccnn2)C2CCC(N(C)c3ccc4nccc(CN(C)C)c4c3)CC2)c1")</f>
        <v>Cc1cncc(CN(Cc2cccnn2)C2CCC(N(C)c3ccc4nccc(CN(C)C)c4c3)CC2)c1</v>
      </c>
      <c r="C12427" s="7">
        <f>IFERROR(__xludf.DUMMYFUNCTION("""COMPUTED_VALUE"""),7.758164)</f>
        <v>7.758164</v>
      </c>
      <c r="D12427" s="7">
        <f>IFERROR(__xludf.DUMMYFUNCTION("""COMPUTED_VALUE"""),0.294117647058823)</f>
        <v>0.2941176471</v>
      </c>
    </row>
    <row r="12428">
      <c r="A12428" s="10" t="s">
        <v>13867</v>
      </c>
      <c r="B12428" s="7" t="str">
        <f>IFERROR(__xludf.DUMMYFUNCTION("SPLIT(A12428,"" "")"),"Cc1nc(CN(C)C2=CCC=C(CN(CC(C)C)CC(C)(C)C)N2)c(C)c(C)c1C")</f>
        <v>Cc1nc(CN(C)C2=CCC=C(CN(CC(C)C)CC(C)(C)C)N2)c(C)c(C)c1C</v>
      </c>
      <c r="C12428" s="7">
        <f>IFERROR(__xludf.DUMMYFUNCTION("""COMPUTED_VALUE"""),7.7581553)</f>
        <v>7.7581553</v>
      </c>
      <c r="D12428" s="7">
        <f>IFERROR(__xludf.DUMMYFUNCTION("""COMPUTED_VALUE"""),0.222222222222222)</f>
        <v>0.2222222222</v>
      </c>
    </row>
    <row r="12429">
      <c r="A12429" s="10" t="s">
        <v>13868</v>
      </c>
      <c r="B12429" s="7" t="str">
        <f>IFERROR(__xludf.DUMMYFUNCTION("SPLIT(A12429,"" "")"),"COC(=O)C1C(c2ccccn2)C(c2ccccn2)CN(C)C1c1cc(CN(Cc2ccccn2)Cc2ncccc2C(C)(C)C)ccn1")</f>
        <v>COC(=O)C1C(c2ccccn2)C(c2ccccn2)CN(C)C1c1cc(CN(Cc2ccccn2)Cc2ncccc2C(C)(C)C)ccn1</v>
      </c>
      <c r="C12429" s="7">
        <f>IFERROR(__xludf.DUMMYFUNCTION("""COMPUTED_VALUE"""),7.758145)</f>
        <v>7.758145</v>
      </c>
      <c r="D12429" s="7">
        <f>IFERROR(__xludf.DUMMYFUNCTION("""COMPUTED_VALUE"""),0.294117647058823)</f>
        <v>0.2941176471</v>
      </c>
    </row>
    <row r="12430">
      <c r="A12430" s="10" t="s">
        <v>13869</v>
      </c>
      <c r="B12430" s="7" t="str">
        <f>IFERROR(__xludf.DUMMYFUNCTION("SPLIT(A12430,"" "")"),"CC(C)C(C)N(C)CCN(C)c1cccc2nccc(CN(C)C)c12")</f>
        <v>CC(C)C(C)N(C)CCN(C)c1cccc2nccc(CN(C)C)c12</v>
      </c>
      <c r="C12430" s="7">
        <f>IFERROR(__xludf.DUMMYFUNCTION("""COMPUTED_VALUE"""),7.7581444)</f>
        <v>7.7581444</v>
      </c>
      <c r="D12430" s="7">
        <f>IFERROR(__xludf.DUMMYFUNCTION("""COMPUTED_VALUE"""),0.352941176470588)</f>
        <v>0.3529411765</v>
      </c>
    </row>
    <row r="12431">
      <c r="A12431" s="10" t="s">
        <v>13870</v>
      </c>
      <c r="B12431" s="7" t="str">
        <f>IFERROR(__xludf.DUMMYFUNCTION("SPLIT(A12431,"" "")"),"CNCc1ncccc1CN(Cc1ccccn1)C(C)(N)c1nc(C)cc(C)c1C")</f>
        <v>CNCc1ncccc1CN(Cc1ccccn1)C(C)(N)c1nc(C)cc(C)c1C</v>
      </c>
      <c r="C12431" s="7">
        <f>IFERROR(__xludf.DUMMYFUNCTION("""COMPUTED_VALUE"""),7.7581387)</f>
        <v>7.7581387</v>
      </c>
      <c r="D12431" s="7">
        <f>IFERROR(__xludf.DUMMYFUNCTION("""COMPUTED_VALUE"""),0.317460317460317)</f>
        <v>0.3174603175</v>
      </c>
    </row>
    <row r="12432">
      <c r="A12432" s="10" t="s">
        <v>13871</v>
      </c>
      <c r="B12432" s="7" t="str">
        <f>IFERROR(__xludf.DUMMYFUNCTION("SPLIT(A12432,"" "")"),"CN(Cc1ccccn1)C1=CNC(CN(Cc2ccccn2)Cc2cccc(F)n2)=CC1")</f>
        <v>CN(Cc1ccccn1)C1=CNC(CN(Cc2ccccn2)Cc2cccc(F)n2)=CC1</v>
      </c>
      <c r="C12432" s="7">
        <f>IFERROR(__xludf.DUMMYFUNCTION("""COMPUTED_VALUE"""),7.7581244)</f>
        <v>7.7581244</v>
      </c>
      <c r="D12432" s="7">
        <f>IFERROR(__xludf.DUMMYFUNCTION("""COMPUTED_VALUE"""),0.482142857142857)</f>
        <v>0.4821428571</v>
      </c>
    </row>
    <row r="12433">
      <c r="A12433" s="10" t="s">
        <v>13872</v>
      </c>
      <c r="B12433" s="7" t="str">
        <f>IFERROR(__xludf.DUMMYFUNCTION("SPLIT(A12433,"" "")"),"CC(C)C1COC(c2cccc(CN(Cc3ccccn3)C3CCC(N(C)c4ccc5nc(CF)ccc5c4)CC3)n2)=N1")</f>
        <v>CC(C)C1COC(c2cccc(CN(Cc3ccccn3)C3CCC(N(C)c4ccc5nc(CF)ccc5c4)CC3)n2)=N1</v>
      </c>
      <c r="C12433" s="7">
        <f>IFERROR(__xludf.DUMMYFUNCTION("""COMPUTED_VALUE"""),7.758122)</f>
        <v>7.758122</v>
      </c>
      <c r="D12433" s="7">
        <f>IFERROR(__xludf.DUMMYFUNCTION("""COMPUTED_VALUE"""),0.351351351351351)</f>
        <v>0.3513513514</v>
      </c>
    </row>
    <row r="12434">
      <c r="A12434" s="10" t="s">
        <v>13873</v>
      </c>
      <c r="B12434" s="7" t="str">
        <f>IFERROR(__xludf.DUMMYFUNCTION("SPLIT(A12434,"" "")"),"CN(c1ccc2nccc(CF)c2c1)C1CCC(N(Cc2cc(-c3ccc4ncccc4c3)ccn2)Cc2ncccc2-c2ccc3c(c2)OCCOCCOCCOCCOCCO3)CC1")</f>
        <v>CN(c1ccc2nccc(CF)c2c1)C1CCC(N(Cc2cc(-c3ccc4ncccc4c3)ccn2)Cc2ncccc2-c2ccc3c(c2)OCCOCCOCCOCCOCCO3)CC1</v>
      </c>
      <c r="C12434" s="7">
        <f>IFERROR(__xludf.DUMMYFUNCTION("""COMPUTED_VALUE"""),7.7581124)</f>
        <v>7.7581124</v>
      </c>
      <c r="D12434" s="7">
        <f>IFERROR(__xludf.DUMMYFUNCTION("""COMPUTED_VALUE"""),0.284210526315789)</f>
        <v>0.2842105263</v>
      </c>
    </row>
    <row r="12435">
      <c r="A12435" s="10" t="s">
        <v>13874</v>
      </c>
      <c r="B12435" s="7" t="str">
        <f>IFERROR(__xludf.DUMMYFUNCTION("SPLIT(A12435,"" "")"),"Cc1cccnc1CN(CCF)Cc1cccc(C(C)(c2ccccn2)c2ccccn2)n1")</f>
        <v>Cc1cccnc1CN(CCF)Cc1cccc(C(C)(c2ccccn2)c2ccccn2)n1</v>
      </c>
      <c r="C12435" s="7">
        <f>IFERROR(__xludf.DUMMYFUNCTION("""COMPUTED_VALUE"""),7.7581086)</f>
        <v>7.7581086</v>
      </c>
      <c r="D12435" s="7">
        <f>IFERROR(__xludf.DUMMYFUNCTION("""COMPUTED_VALUE"""),0.4)</f>
        <v>0.4</v>
      </c>
    </row>
    <row r="12436">
      <c r="A12436" s="10" t="s">
        <v>13875</v>
      </c>
      <c r="B12436" s="7" t="str">
        <f>IFERROR(__xludf.DUMMYFUNCTION("SPLIT(A12436,"" "")"),"Cc1cc(C)c(CN(C)C2C=CNC(CN(C)Cc3nc(C)c(C)c(C)c3C)=C2)nc1C")</f>
        <v>Cc1cc(C)c(CN(C)C2C=CNC(CN(C)Cc3nc(C)c(C)c(C)c3C)=C2)nc1C</v>
      </c>
      <c r="C12436" s="7">
        <f>IFERROR(__xludf.DUMMYFUNCTION("""COMPUTED_VALUE"""),7.758103)</f>
        <v>7.758103</v>
      </c>
      <c r="D12436" s="7">
        <f>IFERROR(__xludf.DUMMYFUNCTION("""COMPUTED_VALUE"""),0.306451612903225)</f>
        <v>0.3064516129</v>
      </c>
    </row>
    <row r="12437">
      <c r="A12437" s="10" t="s">
        <v>13876</v>
      </c>
      <c r="B12437" s="7" t="str">
        <f>IFERROR(__xludf.DUMMYFUNCTION("SPLIT(A12437,"" "")"),"CCN(Cc1ccccn1)c1cc(C)c(CN(C)Cc2ccccn2)cc1C")</f>
        <v>CCN(Cc1ccccn1)c1cc(C)c(CN(C)Cc2ccccn2)cc1C</v>
      </c>
      <c r="C12437" s="7">
        <f>IFERROR(__xludf.DUMMYFUNCTION("""COMPUTED_VALUE"""),7.7580996)</f>
        <v>7.7580996</v>
      </c>
      <c r="D12437" s="7">
        <f>IFERROR(__xludf.DUMMYFUNCTION("""COMPUTED_VALUE"""),0.448979591836734)</f>
        <v>0.4489795918</v>
      </c>
    </row>
    <row r="12438">
      <c r="A12438" s="10" t="s">
        <v>13877</v>
      </c>
      <c r="B12438" s="7" t="str">
        <f>IFERROR(__xludf.DUMMYFUNCTION("SPLIT(A12438,"" "")"),"Cc1cnc(CN(C)C2=CNC(CN(Cc3ncccc3C)C(C)C)=CC2)c(C)c1")</f>
        <v>Cc1cnc(CN(C)C2=CNC(CN(Cc3ncccc3C)C(C)C)=CC2)c(C)c1</v>
      </c>
      <c r="C12438" s="7">
        <f>IFERROR(__xludf.DUMMYFUNCTION("""COMPUTED_VALUE"""),7.7580876)</f>
        <v>7.7580876</v>
      </c>
      <c r="D12438" s="7">
        <f>IFERROR(__xludf.DUMMYFUNCTION("""COMPUTED_VALUE"""),0.285714285714285)</f>
        <v>0.2857142857</v>
      </c>
    </row>
    <row r="12439">
      <c r="A12439" s="10" t="s">
        <v>13878</v>
      </c>
      <c r="B12439" s="7" t="str">
        <f>IFERROR(__xludf.DUMMYFUNCTION("SPLIT(A12439,"" "")"),"CC(CN(Cc1ccccn1)Cc1ccccn1)(c1ccccc1)c1cccc(N=Cc2ccccn2)c1")</f>
        <v>CC(CN(Cc1ccccn1)Cc1ccccn1)(c1ccccc1)c1cccc(N=Cc2ccccn2)c1</v>
      </c>
      <c r="C12439" s="7">
        <f>IFERROR(__xludf.DUMMYFUNCTION("""COMPUTED_VALUE"""),7.758082)</f>
        <v>7.758082</v>
      </c>
      <c r="D12439" s="7">
        <f>IFERROR(__xludf.DUMMYFUNCTION("""COMPUTED_VALUE"""),0.425925925925925)</f>
        <v>0.4259259259</v>
      </c>
    </row>
    <row r="12440">
      <c r="A12440" s="10" t="s">
        <v>13879</v>
      </c>
      <c r="B12440" s="7" t="str">
        <f>IFERROR(__xludf.DUMMYFUNCTION("SPLIT(A12440,"" "")"),"Cc1ccc(-c2ccc(CN(C)C3CCCCC3N(C)Cc3ccc4ncccc4c3)cn2)c(C)c1")</f>
        <v>Cc1ccc(-c2ccc(CN(C)C3CCCCC3N(C)Cc3ccc4ncccc4c3)cn2)c(C)c1</v>
      </c>
      <c r="C12440" s="7">
        <f>IFERROR(__xludf.DUMMYFUNCTION("""COMPUTED_VALUE"""),7.758082)</f>
        <v>7.758082</v>
      </c>
      <c r="D12440" s="7">
        <f>IFERROR(__xludf.DUMMYFUNCTION("""COMPUTED_VALUE"""),0.393442622950819)</f>
        <v>0.393442623</v>
      </c>
    </row>
    <row r="12441">
      <c r="A12441" s="10" t="s">
        <v>13880</v>
      </c>
      <c r="B12441" s="7" t="str">
        <f>IFERROR(__xludf.DUMMYFUNCTION("SPLIT(A12441,"" "")"),"Cc1cccnc1CN(C)C1=CC=CCN1")</f>
        <v>Cc1cccnc1CN(C)C1=CC=CCN1</v>
      </c>
      <c r="C12441" s="7">
        <f>IFERROR(__xludf.DUMMYFUNCTION("""COMPUTED_VALUE"""),7.758076)</f>
        <v>7.758076</v>
      </c>
      <c r="D12441" s="7">
        <f>IFERROR(__xludf.DUMMYFUNCTION("""COMPUTED_VALUE"""),0.28)</f>
        <v>0.28</v>
      </c>
    </row>
    <row r="12442">
      <c r="A12442" s="10" t="s">
        <v>13881</v>
      </c>
      <c r="B12442" s="7" t="str">
        <f>IFERROR(__xludf.DUMMYFUNCTION("SPLIT(A12442,"" "")"),"Cc1cccnc1CN(C)Cc1cc(N(C)C(C)(C)c2cccnc2)ccn1")</f>
        <v>Cc1cccnc1CN(C)Cc1cc(N(C)C(C)(C)c2cccnc2)ccn1</v>
      </c>
      <c r="C12442" s="7">
        <f>IFERROR(__xludf.DUMMYFUNCTION("""COMPUTED_VALUE"""),7.7580624)</f>
        <v>7.7580624</v>
      </c>
      <c r="D12442" s="7">
        <f>IFERROR(__xludf.DUMMYFUNCTION("""COMPUTED_VALUE"""),0.295081967213114)</f>
        <v>0.2950819672</v>
      </c>
    </row>
    <row r="12443">
      <c r="A12443" s="10" t="s">
        <v>13882</v>
      </c>
      <c r="B12443" s="7" t="str">
        <f>IFERROR(__xludf.DUMMYFUNCTION("SPLIT(A12443,"" "")"),"Cc1ccc(CN(C)C2=C(CN(Cc3ccccn3)Cc3cccc(F)n3)NC=CC2)cn1")</f>
        <v>Cc1ccc(CN(C)C2=C(CN(Cc3ccccn3)Cc3cccc(F)n3)NC=CC2)cn1</v>
      </c>
      <c r="C12443" s="7">
        <f>IFERROR(__xludf.DUMMYFUNCTION("""COMPUTED_VALUE"""),7.7580614)</f>
        <v>7.7580614</v>
      </c>
      <c r="D12443" s="7">
        <f>IFERROR(__xludf.DUMMYFUNCTION("""COMPUTED_VALUE"""),0.386666666666666)</f>
        <v>0.3866666667</v>
      </c>
    </row>
    <row r="12444">
      <c r="A12444" s="10" t="s">
        <v>13883</v>
      </c>
      <c r="B12444" s="7" t="str">
        <f>IFERROR(__xludf.DUMMYFUNCTION("SPLIT(A12444,"" "")"),"Cc1cncc(CN(C)C2=CNC(CN(C)Cc3ccccn3)=CC2)c1C")</f>
        <v>Cc1cncc(CN(C)C2=CNC(CN(C)Cc3ccccn3)=CC2)c1C</v>
      </c>
      <c r="C12444" s="7">
        <f>IFERROR(__xludf.DUMMYFUNCTION("""COMPUTED_VALUE"""),7.758058)</f>
        <v>7.758058</v>
      </c>
      <c r="D12444" s="7">
        <f>IFERROR(__xludf.DUMMYFUNCTION("""COMPUTED_VALUE"""),0.383333333333333)</f>
        <v>0.3833333333</v>
      </c>
    </row>
    <row r="12445">
      <c r="A12445" s="10" t="s">
        <v>13884</v>
      </c>
      <c r="B12445" s="7" t="str">
        <f>IFERROR(__xludf.DUMMYFUNCTION("SPLIT(A12445,"" "")"),"Cc1cccnc1CN(C)C1=C(CN(C)C)NC=CC1")</f>
        <v>Cc1cccnc1CN(C)C1=C(CN(C)C)NC=CC1</v>
      </c>
      <c r="C12445" s="7">
        <f>IFERROR(__xludf.DUMMYFUNCTION("""COMPUTED_VALUE"""),7.75805)</f>
        <v>7.75805</v>
      </c>
      <c r="D12445" s="7">
        <f>IFERROR(__xludf.DUMMYFUNCTION("""COMPUTED_VALUE"""),0.288135593220339)</f>
        <v>0.2881355932</v>
      </c>
    </row>
    <row r="12446">
      <c r="A12446" s="10" t="s">
        <v>13885</v>
      </c>
      <c r="B12446" s="7" t="str">
        <f>IFERROR(__xludf.DUMMYFUNCTION("SPLIT(A12446,"" "")"),"Cc1ccnc(CN(Cc2ccnc(CN(Cc3nc(C)cc(C)c3C)C(C)C)c2)Cc2nccc(C)c2C)c1")</f>
        <v>Cc1ccnc(CN(Cc2ccnc(CN(Cc3nc(C)cc(C)c3C)C(C)C)c2)Cc2nccc(C)c2C)c1</v>
      </c>
      <c r="C12446" s="7">
        <f>IFERROR(__xludf.DUMMYFUNCTION("""COMPUTED_VALUE"""),7.7580495)</f>
        <v>7.7580495</v>
      </c>
      <c r="D12446" s="7">
        <f>IFERROR(__xludf.DUMMYFUNCTION("""COMPUTED_VALUE"""),0.333333333333333)</f>
        <v>0.3333333333</v>
      </c>
    </row>
    <row r="12447">
      <c r="A12447" s="10" t="s">
        <v>13886</v>
      </c>
      <c r="B12447" s="7" t="str">
        <f>IFERROR(__xludf.DUMMYFUNCTION("SPLIT(A12447,"" "")"),"CN(C)c1cccc(CN(C)C2CCCCC2N(C)c2ccc3c(CF)ccnc3c2)c1")</f>
        <v>CN(C)c1cccc(CN(C)C2CCCCC2N(C)c2ccc3c(CF)ccnc3c2)c1</v>
      </c>
      <c r="C12447" s="7">
        <f>IFERROR(__xludf.DUMMYFUNCTION("""COMPUTED_VALUE"""),7.7580476)</f>
        <v>7.7580476</v>
      </c>
      <c r="D12447" s="7">
        <f>IFERROR(__xludf.DUMMYFUNCTION("""COMPUTED_VALUE"""),0.363636363636363)</f>
        <v>0.3636363636</v>
      </c>
    </row>
    <row r="12448">
      <c r="A12448" s="10" t="s">
        <v>13887</v>
      </c>
      <c r="B12448" s="7" t="str">
        <f>IFERROR(__xludf.DUMMYFUNCTION("SPLIT(A12448,"" "")"),"CNCC1=C(N(C)Cc2ncc(C)cc2C)CC=CN1")</f>
        <v>CNCC1=C(N(C)Cc2ncc(C)cc2C)CC=CN1</v>
      </c>
      <c r="C12448" s="7">
        <f>IFERROR(__xludf.DUMMYFUNCTION("""COMPUTED_VALUE"""),7.7580414)</f>
        <v>7.7580414</v>
      </c>
      <c r="D12448" s="7">
        <f>IFERROR(__xludf.DUMMYFUNCTION("""COMPUTED_VALUE"""),0.232142857142857)</f>
        <v>0.2321428571</v>
      </c>
    </row>
    <row r="12449">
      <c r="A12449" s="10" t="s">
        <v>13888</v>
      </c>
      <c r="B12449" s="7" t="str">
        <f>IFERROR(__xludf.DUMMYFUNCTION("SPLIT(A12449,"" "")"),"Cc1cccnc1CN(C)C1=C(CN(C)Cc2c(C)cccc2C)NC=CC1")</f>
        <v>Cc1cccnc1CN(C)C1=C(CN(C)Cc2c(C)cccc2C)NC=CC1</v>
      </c>
      <c r="C12449" s="7">
        <f>IFERROR(__xludf.DUMMYFUNCTION("""COMPUTED_VALUE"""),7.758039)</f>
        <v>7.758039</v>
      </c>
      <c r="D12449" s="7">
        <f>IFERROR(__xludf.DUMMYFUNCTION("""COMPUTED_VALUE"""),0.271186440677966)</f>
        <v>0.2711864407</v>
      </c>
    </row>
    <row r="12450">
      <c r="A12450" s="10" t="s">
        <v>13889</v>
      </c>
      <c r="B12450" s="7" t="str">
        <f>IFERROR(__xludf.DUMMYFUNCTION("SPLIT(A12450,"" "")"),"Cc1cnc(C)c(CN(Cc2ccccn2)C2CCC(N(C)c3ccc4c(CF)ccnc4c3)CC2)c1")</f>
        <v>Cc1cnc(C)c(CN(Cc2ccccn2)C2CCC(N(C)c3ccc4c(CF)ccnc4c3)CC2)c1</v>
      </c>
      <c r="C12450" s="7">
        <f>IFERROR(__xludf.DUMMYFUNCTION("""COMPUTED_VALUE"""),7.758037)</f>
        <v>7.758037</v>
      </c>
      <c r="D12450" s="7">
        <f>IFERROR(__xludf.DUMMYFUNCTION("""COMPUTED_VALUE"""),0.323529411764705)</f>
        <v>0.3235294118</v>
      </c>
    </row>
    <row r="12451">
      <c r="A12451" s="10" t="s">
        <v>13890</v>
      </c>
      <c r="B12451" s="7" t="str">
        <f>IFERROR(__xludf.DUMMYFUNCTION("SPLIT(A12451,"" "")"),"CC(C)C(C)N(C)CCN(C)c1ccc2nccc(CN(C)C)c2c1")</f>
        <v>CC(C)C(C)N(C)CCN(C)c1ccc2nccc(CN(C)C)c2c1</v>
      </c>
      <c r="C12451" s="7">
        <f>IFERROR(__xludf.DUMMYFUNCTION("""COMPUTED_VALUE"""),7.7580357)</f>
        <v>7.7580357</v>
      </c>
      <c r="D12451" s="7">
        <f>IFERROR(__xludf.DUMMYFUNCTION("""COMPUTED_VALUE"""),0.232142857142857)</f>
        <v>0.2321428571</v>
      </c>
    </row>
    <row r="12452">
      <c r="A12452" s="10" t="s">
        <v>13891</v>
      </c>
      <c r="B12452" s="7" t="str">
        <f>IFERROR(__xludf.DUMMYFUNCTION("SPLIT(A12452,"" "")"),"Cc1ccc(CN(C)Cc2cc(C)c(C)c(C)n2)cn1")</f>
        <v>Cc1ccc(CN(C)Cc2cc(C)c(C)c(C)n2)cn1</v>
      </c>
      <c r="C12452" s="7">
        <f>IFERROR(__xludf.DUMMYFUNCTION("""COMPUTED_VALUE"""),7.7580338)</f>
        <v>7.7580338</v>
      </c>
      <c r="D12452" s="7">
        <f>IFERROR(__xludf.DUMMYFUNCTION("""COMPUTED_VALUE"""),0.326086956521739)</f>
        <v>0.3260869565</v>
      </c>
    </row>
    <row r="12453">
      <c r="A12453" s="10" t="s">
        <v>13892</v>
      </c>
      <c r="B12453" s="7" t="str">
        <f>IFERROR(__xludf.DUMMYFUNCTION("SPLIT(A12453,"" "")"),"CN(C)c1cccc(CN(C)C2CCC(N(C)Cc3ccccn3)CC2N(C)c2ccc3cc(CF)cnc3c2)n1")</f>
        <v>CN(C)c1cccc(CN(C)C2CCC(N(C)Cc3ccccn3)CC2N(C)c2ccc3cc(CF)cnc3c2)n1</v>
      </c>
      <c r="C12453" s="7">
        <f>IFERROR(__xludf.DUMMYFUNCTION("""COMPUTED_VALUE"""),7.758033)</f>
        <v>7.758033</v>
      </c>
      <c r="D12453" s="7">
        <f>IFERROR(__xludf.DUMMYFUNCTION("""COMPUTED_VALUE"""),0.402985074626865)</f>
        <v>0.4029850746</v>
      </c>
    </row>
    <row r="12454">
      <c r="A12454" s="10" t="s">
        <v>13893</v>
      </c>
      <c r="B12454" s="7" t="str">
        <f>IFERROR(__xludf.DUMMYFUNCTION("SPLIT(A12454,"" "")"),"Cc1cccc(CN(C)C2=C(CN(C)Cc3ccccn3)NC=CC2)n1")</f>
        <v>Cc1cccc(CN(C)C2=C(CN(C)Cc3ccccn3)NC=CC2)n1</v>
      </c>
      <c r="C12454" s="7">
        <f>IFERROR(__xludf.DUMMYFUNCTION("""COMPUTED_VALUE"""),7.758032)</f>
        <v>7.758032</v>
      </c>
      <c r="D12454" s="7">
        <f>IFERROR(__xludf.DUMMYFUNCTION("""COMPUTED_VALUE"""),0.462962962962962)</f>
        <v>0.462962963</v>
      </c>
    </row>
    <row r="12455">
      <c r="A12455" s="10" t="s">
        <v>13894</v>
      </c>
      <c r="B12455" s="7" t="str">
        <f>IFERROR(__xludf.DUMMYFUNCTION("SPLIT(A12455,"" "")"),"Cc1cc(C)c(CN(C)Cc2cc(N)c(C)cn2)cn1")</f>
        <v>Cc1cc(C)c(CN(C)Cc2cc(N)c(C)cn2)cn1</v>
      </c>
      <c r="C12455" s="7">
        <f>IFERROR(__xludf.DUMMYFUNCTION("""COMPUTED_VALUE"""),7.7580304)</f>
        <v>7.7580304</v>
      </c>
      <c r="D12455" s="7">
        <f>IFERROR(__xludf.DUMMYFUNCTION("""COMPUTED_VALUE"""),0.372093023255813)</f>
        <v>0.3720930233</v>
      </c>
    </row>
    <row r="12456">
      <c r="A12456" s="10" t="s">
        <v>13895</v>
      </c>
      <c r="B12456" s="7" t="str">
        <f>IFERROR(__xludf.DUMMYFUNCTION("SPLIT(A12456,"" "")"),"Cc1cnc(CN(Cc2ccccn2)C2=CNC(CN(C)C(C)(C)c3ccccn3)=CC2)c(C)c1")</f>
        <v>Cc1cnc(CN(Cc2ccccn2)C2=CNC(CN(C)C(C)(C)c3ccccn3)=CC2)c(C)c1</v>
      </c>
      <c r="C12456" s="7">
        <f>IFERROR(__xludf.DUMMYFUNCTION("""COMPUTED_VALUE"""),7.758028)</f>
        <v>7.758028</v>
      </c>
      <c r="D12456" s="7">
        <f>IFERROR(__xludf.DUMMYFUNCTION("""COMPUTED_VALUE"""),0.323943661971831)</f>
        <v>0.323943662</v>
      </c>
    </row>
    <row r="12457">
      <c r="A12457" s="10" t="s">
        <v>13896</v>
      </c>
      <c r="B12457" s="7" t="str">
        <f>IFERROR(__xludf.DUMMYFUNCTION("SPLIT(A12457,"" "")"),"Cc1cncc(CN(CC2=C(N(C)Cc3ccccn3)CC=CN2)Cc2ccccn2)c1")</f>
        <v>Cc1cncc(CN(CC2=C(N(C)Cc3ccccn3)CC=CN2)Cc2ccccn2)c1</v>
      </c>
      <c r="C12457" s="7">
        <f>IFERROR(__xludf.DUMMYFUNCTION("""COMPUTED_VALUE"""),7.7580223)</f>
        <v>7.7580223</v>
      </c>
      <c r="D12457" s="7">
        <f>IFERROR(__xludf.DUMMYFUNCTION("""COMPUTED_VALUE"""),0.419354838709677)</f>
        <v>0.4193548387</v>
      </c>
    </row>
    <row r="12458">
      <c r="A12458" s="10" t="s">
        <v>13897</v>
      </c>
      <c r="B12458" s="7" t="str">
        <f>IFERROR(__xludf.DUMMYFUNCTION("SPLIT(A12458,"" "")"),"CN(Cc1ccccn1)Cc1ncccc1N(C)Cc1cccc(C2CC(C)(C)C2)n1")</f>
        <v>CN(Cc1ccccn1)Cc1ncccc1N(C)Cc1cccc(C2CC(C)(C)C2)n1</v>
      </c>
      <c r="C12458" s="7">
        <f>IFERROR(__xludf.DUMMYFUNCTION("""COMPUTED_VALUE"""),7.7580166)</f>
        <v>7.7580166</v>
      </c>
      <c r="D12458" s="7">
        <f>IFERROR(__xludf.DUMMYFUNCTION("""COMPUTED_VALUE"""),0.472727272727272)</f>
        <v>0.4727272727</v>
      </c>
    </row>
    <row r="12459">
      <c r="A12459" s="10" t="s">
        <v>13898</v>
      </c>
      <c r="B12459" s="7" t="str">
        <f>IFERROR(__xludf.DUMMYFUNCTION("SPLIT(A12459,"" "")"),"CN(O)c1cccnc1CN(Cc1ccc(C2CC(C)(C)C2)nc1)Cc1ccccn1")</f>
        <v>CN(O)c1cccnc1CN(Cc1ccc(C2CC(C)(C)C2)nc1)Cc1ccccn1</v>
      </c>
      <c r="C12459" s="7">
        <f>IFERROR(__xludf.DUMMYFUNCTION("""COMPUTED_VALUE"""),7.758015)</f>
        <v>7.758015</v>
      </c>
      <c r="D12459" s="7">
        <f>IFERROR(__xludf.DUMMYFUNCTION("""COMPUTED_VALUE"""),0.37037037037037)</f>
        <v>0.3703703704</v>
      </c>
    </row>
    <row r="12460">
      <c r="A12460" s="10" t="s">
        <v>13899</v>
      </c>
      <c r="B12460" s="7" t="str">
        <f>IFERROR(__xludf.DUMMYFUNCTION("SPLIT(A12460,"" "")"),"Cc1cccnc1CN(CCN(C)c1ccc2nc(CF)ccc2c1)C1CCCCC1N(C)Cc1ccc2ncccc2c1")</f>
        <v>Cc1cccnc1CN(CCN(C)c1ccc2nc(CF)ccc2c1)C1CCCCC1N(C)Cc1ccc2ncccc2c1</v>
      </c>
      <c r="C12460" s="7">
        <f>IFERROR(__xludf.DUMMYFUNCTION("""COMPUTED_VALUE"""),7.758015)</f>
        <v>7.758015</v>
      </c>
      <c r="D12460" s="7">
        <f>IFERROR(__xludf.DUMMYFUNCTION("""COMPUTED_VALUE"""),0.342105263157894)</f>
        <v>0.3421052632</v>
      </c>
    </row>
    <row r="12461">
      <c r="A12461" s="10" t="s">
        <v>13900</v>
      </c>
      <c r="B12461" s="7" t="str">
        <f>IFERROR(__xludf.DUMMYFUNCTION("SPLIT(A12461,"" "")"),"CC1C=CCC(N(C)c2ccc3c(CF)ccnc3c2)C1C")</f>
        <v>CC1C=CCC(N(C)c2ccc3c(CF)ccnc3c2)C1C</v>
      </c>
      <c r="C12461" s="7">
        <f>IFERROR(__xludf.DUMMYFUNCTION("""COMPUTED_VALUE"""),7.7580085)</f>
        <v>7.7580085</v>
      </c>
      <c r="D12461" s="7">
        <f>IFERROR(__xludf.DUMMYFUNCTION("""COMPUTED_VALUE"""),0.242424242424242)</f>
        <v>0.2424242424</v>
      </c>
    </row>
    <row r="12462">
      <c r="A12462" s="10" t="s">
        <v>13901</v>
      </c>
      <c r="B12462" s="7" t="str">
        <f>IFERROR(__xludf.DUMMYFUNCTION("SPLIT(A12462,"" "")"),"CC(C)C1=CC2(C=CN1)CC(c1cccc(CN(Cc3ccccn3)Cc3ccccn3)n1)C(C)(C)C=C2c1cccc(CN(Cc2ccccn2)C2CCC(N(C)c3ccc4nccc(CF)c4c3)CC2)n1")</f>
        <v>CC(C)C1=CC2(C=CN1)CC(c1cccc(CN(Cc3ccccn3)Cc3ccccn3)n1)C(C)(C)C=C2c1cccc(CN(Cc2ccccn2)C2CCC(N(C)c3ccc4nccc(CF)c4c3)CC2)n1</v>
      </c>
      <c r="C12462" s="7">
        <f>IFERROR(__xludf.DUMMYFUNCTION("""COMPUTED_VALUE"""),7.758007)</f>
        <v>7.758007</v>
      </c>
      <c r="D12462" s="7">
        <f>IFERROR(__xludf.DUMMYFUNCTION("""COMPUTED_VALUE"""),0.29)</f>
        <v>0.29</v>
      </c>
    </row>
    <row r="12463">
      <c r="A12463" s="10" t="s">
        <v>13902</v>
      </c>
      <c r="B12463" s="7" t="str">
        <f>IFERROR(__xludf.DUMMYFUNCTION("SPLIT(A12463,"" "")"),"CN(C)Cc1ccc2c(N(C)C3CCCC(N(Cc4ccccn4)Cc4cccnc4C(C)(C)C)C3)cccc2n1")</f>
        <v>CN(C)Cc1ccc2c(N(C)C3CCCC(N(Cc4ccccn4)Cc4cccnc4C(C)(C)C)C3)cccc2n1</v>
      </c>
      <c r="C12463" s="7">
        <f>IFERROR(__xludf.DUMMYFUNCTION("""COMPUTED_VALUE"""),7.758001)</f>
        <v>7.758001</v>
      </c>
      <c r="D12463" s="7">
        <f>IFERROR(__xludf.DUMMYFUNCTION("""COMPUTED_VALUE"""),0.328571428571428)</f>
        <v>0.3285714286</v>
      </c>
    </row>
    <row r="12464">
      <c r="A12464" s="10" t="s">
        <v>13903</v>
      </c>
      <c r="B12464" s="7" t="str">
        <f>IFERROR(__xludf.DUMMYFUNCTION("SPLIT(A12464,"" "")"),"Cc1cccc(CN(Cc2ccnc(CN(C)Cc3cc(C)c(C)c(C)n3)c2)Cc2cccc(C)n2)n1")</f>
        <v>Cc1cccc(CN(Cc2ccnc(CN(C)Cc3cc(C)c(C)c(C)n3)c2)Cc2cccc(C)n2)n1</v>
      </c>
      <c r="C12464" s="7">
        <f>IFERROR(__xludf.DUMMYFUNCTION("""COMPUTED_VALUE"""),7.7579975)</f>
        <v>7.7579975</v>
      </c>
      <c r="D12464" s="7">
        <f>IFERROR(__xludf.DUMMYFUNCTION("""COMPUTED_VALUE"""),0.458333333333333)</f>
        <v>0.4583333333</v>
      </c>
    </row>
    <row r="12465">
      <c r="A12465" s="10" t="s">
        <v>13904</v>
      </c>
      <c r="B12465" s="7" t="str">
        <f>IFERROR(__xludf.DUMMYFUNCTION("SPLIT(A12465,"" "")"),"CNC1C(N(Cc2nc(C)c(C)c(C)c2C)Cc2nc(C)c(C)c(C)c2C)CCC(N(Cc2cc(C)c(C)cn2)Cc2nc(C)c(C)c(C)c2C)C1N(Cc1nc(C)c(C)c(C)c1C)Cc1nc(C)c(C)c(C)c1C")</f>
        <v>CNC1C(N(Cc2nc(C)c(C)c(C)c2C)Cc2nc(C)c(C)c(C)c2C)CCC(N(Cc2cc(C)c(C)cn2)Cc2nc(C)c(C)c(C)c2C)C1N(Cc1nc(C)c(C)c(C)c1C)Cc1nc(C)c(C)c(C)c1C</v>
      </c>
      <c r="C12465" s="7">
        <f>IFERROR(__xludf.DUMMYFUNCTION("""COMPUTED_VALUE"""),7.757995)</f>
        <v>7.757995</v>
      </c>
      <c r="D12465" s="7">
        <f>IFERROR(__xludf.DUMMYFUNCTION("""COMPUTED_VALUE"""),0.274193548387096)</f>
        <v>0.2741935484</v>
      </c>
    </row>
    <row r="12466">
      <c r="A12466" s="10" t="s">
        <v>13905</v>
      </c>
      <c r="B12466" s="7" t="str">
        <f>IFERROR(__xludf.DUMMYFUNCTION("SPLIT(A12466,"" "")"),"CC(C)C1=CC2(C=CN1)C=CC(c1cc(CN(Cc3ccccn3)Cc3cc(-c4cccc(N(C)C)c4)ccn3)ccn1)C(C)C2(C)C")</f>
        <v>CC(C)C1=CC2(C=CN1)C=CC(c1cc(CN(Cc3ccccn3)Cc3cc(-c4cccc(N(C)C)c4)ccn3)ccn1)C(C)C2(C)C</v>
      </c>
      <c r="C12466" s="7">
        <f>IFERROR(__xludf.DUMMYFUNCTION("""COMPUTED_VALUE"""),7.757989)</f>
        <v>7.757989</v>
      </c>
      <c r="D12466" s="7">
        <f>IFERROR(__xludf.DUMMYFUNCTION("""COMPUTED_VALUE"""),0.298850574712643)</f>
        <v>0.2988505747</v>
      </c>
    </row>
    <row r="12467">
      <c r="A12467" s="10" t="s">
        <v>13906</v>
      </c>
      <c r="B12467" s="7" t="str">
        <f>IFERROR(__xludf.DUMMYFUNCTION("SPLIT(A12467,"" "")"),"Cc1ccc2c(c1-c1ccc(CN(Cc3ccccn3)C3CCC(N(C)c4ccc5ncc(-c6ccc7ncccc7c6)cc5c4)CC3)cn1)OCCOCCOCCOCCOCCO2")</f>
        <v>Cc1ccc2c(c1-c1ccc(CN(Cc3ccccn3)C3CCC(N(C)c4ccc5ncc(-c6ccc7ncccc7c6)cc5c4)CC3)cn1)OCCOCCOCCOCCOCCO2</v>
      </c>
      <c r="C12467" s="7">
        <f>IFERROR(__xludf.DUMMYFUNCTION("""COMPUTED_VALUE"""),7.757987)</f>
        <v>7.757987</v>
      </c>
      <c r="D12467" s="7">
        <f>IFERROR(__xludf.DUMMYFUNCTION("""COMPUTED_VALUE"""),0.268041237113402)</f>
        <v>0.2680412371</v>
      </c>
    </row>
    <row r="12468">
      <c r="A12468" s="10" t="s">
        <v>13907</v>
      </c>
      <c r="B12468" s="7" t="str">
        <f>IFERROR(__xludf.DUMMYFUNCTION("SPLIT(A12468,"" "")"),"CC(C)(C)c1ccccc1N(Cc1ccccn1)Cc1ccccn1")</f>
        <v>CC(C)(C)c1ccccc1N(Cc1ccccn1)Cc1ccccn1</v>
      </c>
      <c r="C12468" s="7">
        <f>IFERROR(__xludf.DUMMYFUNCTION("""COMPUTED_VALUE"""),7.757983)</f>
        <v>7.757983</v>
      </c>
      <c r="D12468" s="7">
        <f>IFERROR(__xludf.DUMMYFUNCTION("""COMPUTED_VALUE"""),0.5)</f>
        <v>0.5</v>
      </c>
    </row>
    <row r="12469">
      <c r="A12469" s="10" t="s">
        <v>13908</v>
      </c>
      <c r="B12469" s="7" t="str">
        <f>IFERROR(__xludf.DUMMYFUNCTION("SPLIT(A12469,"" "")"),"COC(=O)C1CN(C)C(c2cccc(CN(Cc3ccccn3)C3CCCCC3N(C)c3ccc4nccc(CF)c4c3)n2)C(c2ccccn2)C1c1ccccn1")</f>
        <v>COC(=O)C1CN(C)C(c2cccc(CN(Cc3ccccn3)C3CCCCC3N(C)c3ccc4nccc(CF)c4c3)n2)C(c2ccccn2)C1c1ccccn1</v>
      </c>
      <c r="C12469" s="7">
        <f>IFERROR(__xludf.DUMMYFUNCTION("""COMPUTED_VALUE"""),7.757982)</f>
        <v>7.757982</v>
      </c>
      <c r="D12469" s="7">
        <f>IFERROR(__xludf.DUMMYFUNCTION("""COMPUTED_VALUE"""),0.305882352941176)</f>
        <v>0.3058823529</v>
      </c>
    </row>
    <row r="12470">
      <c r="A12470" s="10" t="s">
        <v>13909</v>
      </c>
      <c r="B12470" s="7" t="str">
        <f>IFERROR(__xludf.DUMMYFUNCTION("SPLIT(A12470,"" "")"),"Cc1cc(CN(C)C2CCCCC2N(C)c2ccc3nccc(CF)c3c2)nc(C)c1C")</f>
        <v>Cc1cc(CN(C)C2CCCCC2N(C)c2ccc3nccc(CF)c3c2)nc(C)c1C</v>
      </c>
      <c r="C12470" s="7">
        <f>IFERROR(__xludf.DUMMYFUNCTION("""COMPUTED_VALUE"""),7.757979)</f>
        <v>7.757979</v>
      </c>
      <c r="D12470" s="7">
        <f>IFERROR(__xludf.DUMMYFUNCTION("""COMPUTED_VALUE"""),0.365079365079365)</f>
        <v>0.3650793651</v>
      </c>
    </row>
    <row r="12471">
      <c r="A12471" s="10" t="s">
        <v>13910</v>
      </c>
      <c r="B12471" s="7" t="str">
        <f>IFERROR(__xludf.DUMMYFUNCTION("SPLIT(A12471,"" "")"),"Cc1cncc(CN(C)Cc2cc(C)c(C)c(C)n2)c1")</f>
        <v>Cc1cncc(CN(C)Cc2cc(C)c(C)c(C)n2)c1</v>
      </c>
      <c r="C12471" s="7">
        <f>IFERROR(__xludf.DUMMYFUNCTION("""COMPUTED_VALUE"""),7.757973)</f>
        <v>7.757973</v>
      </c>
      <c r="D12471" s="7">
        <f>IFERROR(__xludf.DUMMYFUNCTION("""COMPUTED_VALUE"""),0.304347826086956)</f>
        <v>0.3043478261</v>
      </c>
    </row>
    <row r="12472">
      <c r="A12472" s="10" t="s">
        <v>13911</v>
      </c>
      <c r="B12472" s="7" t="str">
        <f>IFERROR(__xludf.DUMMYFUNCTION("SPLIT(A12472,"" "")"),"Cc1nc(CN(C)CCN(C)Cc2nc(C)c(C)c(C)c2C)c(C)c(C)c1C")</f>
        <v>Cc1nc(CN(C)CCN(C)Cc2nc(C)c(C)c(C)c2C)c(C)c(C)c1C</v>
      </c>
      <c r="C12472" s="7">
        <f>IFERROR(__xludf.DUMMYFUNCTION("""COMPUTED_VALUE"""),7.7579727)</f>
        <v>7.7579727</v>
      </c>
      <c r="D12472" s="7">
        <f>IFERROR(__xludf.DUMMYFUNCTION("""COMPUTED_VALUE"""),0.371428571428571)</f>
        <v>0.3714285714</v>
      </c>
    </row>
    <row r="12473">
      <c r="A12473" s="10" t="s">
        <v>13912</v>
      </c>
      <c r="B12473" s="7" t="str">
        <f>IFERROR(__xludf.DUMMYFUNCTION("SPLIT(A12473,"" "")"),"Cc1cccnc1CN(Cc1ncccc1C)C1CCC(N(C)c2ccc3nc4c(cc3c2)CCC4)CC1")</f>
        <v>Cc1cccnc1CN(Cc1ncccc1C)C1CCC(N(C)c2ccc3nc4c(cc3c2)CCC4)CC1</v>
      </c>
      <c r="C12473" s="7">
        <f>IFERROR(__xludf.DUMMYFUNCTION("""COMPUTED_VALUE"""),7.757967)</f>
        <v>7.757967</v>
      </c>
      <c r="D12473" s="7">
        <f>IFERROR(__xludf.DUMMYFUNCTION("""COMPUTED_VALUE"""),0.352941176470588)</f>
        <v>0.3529411765</v>
      </c>
    </row>
    <row r="12474">
      <c r="A12474" s="10" t="s">
        <v>13913</v>
      </c>
      <c r="B12474" s="7" t="str">
        <f>IFERROR(__xludf.DUMMYFUNCTION("SPLIT(A12474,"" "")"),"CC1=CC(C)C(C)C2(C(c3ccc(CN(Cc4ccccn4)Cc4ccccn4)cn3)=CCC3(CCC(C)=C(C)C3C)C2c2ccc(CN(Cc3ccccn3)Cc3ccccn3)cn2)C12C(C)=C(C)C(c1cc(CN(Cc3ccccn3)Cc3ccccn3)ccn1)C(c1ncccc1CN(Cc1ccccn1)Cc1ccccn1)C21CCC(C)=C(C)C1C")</f>
        <v>CC1=CC(C)C(C)C2(C(c3ccc(CN(Cc4ccccn4)Cc4ccccn4)cn3)=CCC3(CCC(C)=C(C)C3C)C2c2ccc(CN(Cc3ccccn3)Cc3ccccn3)cn2)C12C(C)=C(C)C(c1cc(CN(Cc3ccccn3)Cc3ccccn3)ccn1)C(c1ncccc1CN(Cc1ccccn1)Cc1ccccn1)C21CCC(C)=C(C)C1C</v>
      </c>
      <c r="C12474" s="7">
        <f>IFERROR(__xludf.DUMMYFUNCTION("""COMPUTED_VALUE"""),7.7579656)</f>
        <v>7.7579656</v>
      </c>
      <c r="D12474" s="7">
        <f>IFERROR(__xludf.DUMMYFUNCTION("""COMPUTED_VALUE"""),0.242990654205607)</f>
        <v>0.2429906542</v>
      </c>
    </row>
    <row r="12475">
      <c r="A12475" s="10" t="s">
        <v>13914</v>
      </c>
      <c r="B12475" s="7" t="str">
        <f>IFERROR(__xludf.DUMMYFUNCTION("SPLIT(A12475,"" "")"),"Cc1ccnc(CN(Cc2ccnc(C(C)(C)c3ccnc(CN(CF)Cc4ccccn4)c3)c2)Cc2cc(C)c(C)c(C)n2)c1")</f>
        <v>Cc1ccnc(CN(Cc2ccnc(C(C)(C)c3ccnc(CN(CF)Cc4ccccn4)c3)c2)Cc2cc(C)c(C)c(C)n2)c1</v>
      </c>
      <c r="C12475" s="7">
        <f>IFERROR(__xludf.DUMMYFUNCTION("""COMPUTED_VALUE"""),7.7579613)</f>
        <v>7.7579613</v>
      </c>
      <c r="D12475" s="7">
        <f>IFERROR(__xludf.DUMMYFUNCTION("""COMPUTED_VALUE"""),0.333333333333333)</f>
        <v>0.3333333333</v>
      </c>
    </row>
    <row r="12476">
      <c r="A12476" s="10" t="s">
        <v>13915</v>
      </c>
      <c r="B12476" s="7" t="str">
        <f>IFERROR(__xludf.DUMMYFUNCTION("SPLIT(A12476,"" "")"),"CNCc1nccc2c(N(C)C3CCC(N(Cc4ccccn4)Cc4nc(C)c(C)cc4C)CC3)cccc12")</f>
        <v>CNCc1nccc2c(N(C)C3CCC(N(Cc4ccccn4)Cc4nc(C)c(C)cc4C)CC3)cccc12</v>
      </c>
      <c r="C12476" s="7">
        <f>IFERROR(__xludf.DUMMYFUNCTION("""COMPUTED_VALUE"""),7.75796)</f>
        <v>7.75796</v>
      </c>
      <c r="D12476" s="7">
        <f>IFERROR(__xludf.DUMMYFUNCTION("""COMPUTED_VALUE"""),0.318840579710144)</f>
        <v>0.3188405797</v>
      </c>
    </row>
    <row r="12477">
      <c r="A12477" s="10" t="s">
        <v>13916</v>
      </c>
      <c r="B12477" s="7" t="str">
        <f>IFERROR(__xludf.DUMMYFUNCTION("SPLIT(A12477,"" "")"),"C=CCN(C)CCN(Cc1ccccn1)Cc1ncccc1CN(Cc1ccccn1)Cc1ncccc1-c1ccccc1N(C)C")</f>
        <v>C=CCN(C)CCN(Cc1ccccn1)Cc1ncccc1CN(Cc1ccccn1)Cc1ncccc1-c1ccccc1N(C)C</v>
      </c>
      <c r="C12477" s="7">
        <f>IFERROR(__xludf.DUMMYFUNCTION("""COMPUTED_VALUE"""),7.7579584)</f>
        <v>7.7579584</v>
      </c>
      <c r="D12477" s="7">
        <f>IFERROR(__xludf.DUMMYFUNCTION("""COMPUTED_VALUE"""),0.453125)</f>
        <v>0.453125</v>
      </c>
    </row>
    <row r="12478">
      <c r="A12478" s="10" t="s">
        <v>13917</v>
      </c>
      <c r="B12478" s="7" t="str">
        <f>IFERROR(__xludf.DUMMYFUNCTION("SPLIT(A12478,"" "")"),"C=CCNCc1cccc(C(C)(c2ccccn2)c2ccccn2)n1")</f>
        <v>C=CCNCc1cccc(C(C)(c2ccccn2)c2ccccn2)n1</v>
      </c>
      <c r="C12478" s="7">
        <f>IFERROR(__xludf.DUMMYFUNCTION("""COMPUTED_VALUE"""),7.7579565)</f>
        <v>7.7579565</v>
      </c>
      <c r="D12478" s="7">
        <f>IFERROR(__xludf.DUMMYFUNCTION("""COMPUTED_VALUE"""),0.461538461538461)</f>
        <v>0.4615384615</v>
      </c>
    </row>
    <row r="12479">
      <c r="A12479" s="10" t="s">
        <v>13918</v>
      </c>
      <c r="B12479" s="7" t="str">
        <f>IFERROR(__xludf.DUMMYFUNCTION("SPLIT(A12479,"" "")"),"Cc1ccc(CN(C)CC2=C(N(C)Cc3ncccc3C)CC=CN2)cn1")</f>
        <v>Cc1ccc(CN(C)CC2=C(N(C)Cc3ncccc3C)CC=CN2)cn1</v>
      </c>
      <c r="C12479" s="7">
        <f>IFERROR(__xludf.DUMMYFUNCTION("""COMPUTED_VALUE"""),7.7579517)</f>
        <v>7.7579517</v>
      </c>
      <c r="D12479" s="7">
        <f>IFERROR(__xludf.DUMMYFUNCTION("""COMPUTED_VALUE"""),0.25)</f>
        <v>0.25</v>
      </c>
    </row>
    <row r="12480">
      <c r="A12480" s="10" t="s">
        <v>13919</v>
      </c>
      <c r="B12480" s="7" t="str">
        <f>IFERROR(__xludf.DUMMYFUNCTION("SPLIT(A12480,"" "")"),"Cc1ccnc(CN(C)Cc2cc(C)c(C)c(C)n2)c1")</f>
        <v>Cc1ccnc(CN(C)Cc2cc(C)c(C)c(C)n2)c1</v>
      </c>
      <c r="C12480" s="7">
        <f>IFERROR(__xludf.DUMMYFUNCTION("""COMPUTED_VALUE"""),7.757946)</f>
        <v>7.757946</v>
      </c>
      <c r="D12480" s="7">
        <f>IFERROR(__xludf.DUMMYFUNCTION("""COMPUTED_VALUE"""),0.391304347826087)</f>
        <v>0.3913043478</v>
      </c>
    </row>
    <row r="12481">
      <c r="A12481" s="10" t="s">
        <v>13920</v>
      </c>
      <c r="B12481" s="7" t="str">
        <f>IFERROR(__xludf.DUMMYFUNCTION("SPLIT(A12481,"" "")"),"CC(c1ccnc(CNCF)c1)(c1ccccn1)c1ccccn1")</f>
        <v>CC(c1ccnc(CNCF)c1)(c1ccccn1)c1ccccn1</v>
      </c>
      <c r="C12481" s="7">
        <f>IFERROR(__xludf.DUMMYFUNCTION("""COMPUTED_VALUE"""),7.7579455)</f>
        <v>7.7579455</v>
      </c>
      <c r="D12481" s="7">
        <f>IFERROR(__xludf.DUMMYFUNCTION("""COMPUTED_VALUE"""),0.395348837209302)</f>
        <v>0.3953488372</v>
      </c>
    </row>
    <row r="12482">
      <c r="A12482" s="10" t="s">
        <v>13921</v>
      </c>
      <c r="B12482" s="7" t="str">
        <f>IFERROR(__xludf.DUMMYFUNCTION("SPLIT(A12482,"" "")"),"Cc1ccc(CN(C)Cc2ccc(NCc3ccccn3)cc2C)nc1")</f>
        <v>Cc1ccc(CN(C)Cc2ccc(NCc3ccccn3)cc2C)nc1</v>
      </c>
      <c r="C12482" s="7">
        <f>IFERROR(__xludf.DUMMYFUNCTION("""COMPUTED_VALUE"""),7.7579384)</f>
        <v>7.7579384</v>
      </c>
      <c r="D12482" s="7">
        <f>IFERROR(__xludf.DUMMYFUNCTION("""COMPUTED_VALUE"""),0.44)</f>
        <v>0.44</v>
      </c>
    </row>
    <row r="12483">
      <c r="A12483" s="10" t="s">
        <v>13922</v>
      </c>
      <c r="B12483" s="7" t="str">
        <f>IFERROR(__xludf.DUMMYFUNCTION("SPLIT(A12483,"" "")"),"CC(c1ccccn1)(c1ccccn1)c1cccnc1CN(Cc1ccccn1)Cc1cccnc1C1CCC1(C)C")</f>
        <v>CC(c1ccccn1)(c1ccccn1)c1cccnc1CN(Cc1ccccn1)Cc1cccnc1C1CCC1(C)C</v>
      </c>
      <c r="C12483" s="7">
        <f>IFERROR(__xludf.DUMMYFUNCTION("""COMPUTED_VALUE"""),7.757933)</f>
        <v>7.757933</v>
      </c>
      <c r="D12483" s="7">
        <f>IFERROR(__xludf.DUMMYFUNCTION("""COMPUTED_VALUE"""),0.357142857142857)</f>
        <v>0.3571428571</v>
      </c>
    </row>
    <row r="12484">
      <c r="A12484" s="10" t="s">
        <v>13923</v>
      </c>
      <c r="B12484" s="7" t="str">
        <f>IFERROR(__xludf.DUMMYFUNCTION("SPLIT(A12484,"" "")"),"Cc1cc(C)c(CN(C)Cc2ncccc2N)nc1C")</f>
        <v>Cc1cc(C)c(CN(C)Cc2ncccc2N)nc1C</v>
      </c>
      <c r="C12484" s="7">
        <f>IFERROR(__xludf.DUMMYFUNCTION("""COMPUTED_VALUE"""),7.757932)</f>
        <v>7.757932</v>
      </c>
      <c r="D12484" s="7">
        <f>IFERROR(__xludf.DUMMYFUNCTION("""COMPUTED_VALUE"""),0.326530612244897)</f>
        <v>0.3265306122</v>
      </c>
    </row>
    <row r="12485">
      <c r="A12485" s="10" t="s">
        <v>13924</v>
      </c>
      <c r="B12485" s="7" t="str">
        <f>IFERROR(__xludf.DUMMYFUNCTION("SPLIT(A12485,"" "")"),"CCOC(=O)c1cccc(CN(Cc2ccccn2)Cc2cccc(CN(C)C)n2)n1")</f>
        <v>CCOC(=O)c1cccc(CN(Cc2ccccn2)Cc2cccc(CN(C)C)n2)n1</v>
      </c>
      <c r="C12485" s="7">
        <f>IFERROR(__xludf.DUMMYFUNCTION("""COMPUTED_VALUE"""),7.757928)</f>
        <v>7.757928</v>
      </c>
      <c r="D12485" s="7">
        <f>IFERROR(__xludf.DUMMYFUNCTION("""COMPUTED_VALUE"""),0.454545454545454)</f>
        <v>0.4545454545</v>
      </c>
    </row>
    <row r="12486">
      <c r="A12486" s="10" t="s">
        <v>13925</v>
      </c>
      <c r="B12486" s="7" t="str">
        <f>IFERROR(__xludf.DUMMYFUNCTION("SPLIT(A12486,"" "")"),"Cc1nc(CN(C)C2=CNC(CN(C)CC(C)(C)C)=CC2)c(C)c(C)c1C")</f>
        <v>Cc1nc(CN(C)C2=CNC(CN(C)CC(C)(C)C)=CC2)c(C)c(C)c1C</v>
      </c>
      <c r="C12486" s="7">
        <f>IFERROR(__xludf.DUMMYFUNCTION("""COMPUTED_VALUE"""),7.7579274)</f>
        <v>7.7579274</v>
      </c>
      <c r="D12486" s="7">
        <f>IFERROR(__xludf.DUMMYFUNCTION("""COMPUTED_VALUE"""),0.2)</f>
        <v>0.2</v>
      </c>
    </row>
    <row r="12487">
      <c r="A12487" s="10" t="s">
        <v>13926</v>
      </c>
      <c r="B12487" s="7" t="str">
        <f>IFERROR(__xludf.DUMMYFUNCTION("SPLIT(A12487,"" "")"),"Cc1cnccc1CN(C)C1=CNC(CN(C)Cc2ccccn2)=CC1")</f>
        <v>Cc1cnccc1CN(C)C1=CNC(CN(C)Cc2ccccn2)=CC1</v>
      </c>
      <c r="C12487" s="7">
        <f>IFERROR(__xludf.DUMMYFUNCTION("""COMPUTED_VALUE"""),7.757919)</f>
        <v>7.757919</v>
      </c>
      <c r="D12487" s="7">
        <f>IFERROR(__xludf.DUMMYFUNCTION("""COMPUTED_VALUE"""),0.389830508474576)</f>
        <v>0.3898305085</v>
      </c>
    </row>
    <row r="12488">
      <c r="A12488" s="10" t="s">
        <v>13927</v>
      </c>
      <c r="B12488" s="7" t="str">
        <f>IFERROR(__xludf.DUMMYFUNCTION("SPLIT(A12488,"" "")"),"CC1C=CC(C)C(N(C)Cc2cccc(-c3cccc(N=Cc4ccccn4)c3)n2)C1C")</f>
        <v>CC1C=CC(C)C(N(C)Cc2cccc(-c3cccc(N=Cc4ccccn4)c3)n2)C1C</v>
      </c>
      <c r="C12488" s="7">
        <f>IFERROR(__xludf.DUMMYFUNCTION("""COMPUTED_VALUE"""),7.7579036)</f>
        <v>7.7579036</v>
      </c>
      <c r="D12488" s="7">
        <f>IFERROR(__xludf.DUMMYFUNCTION("""COMPUTED_VALUE"""),0.397058823529411)</f>
        <v>0.3970588235</v>
      </c>
    </row>
    <row r="12489">
      <c r="A12489" s="10" t="s">
        <v>13928</v>
      </c>
      <c r="B12489" s="7" t="str">
        <f>IFERROR(__xludf.DUMMYFUNCTION("SPLIT(A12489,"" "")"),"CN(C)c1cccc(CN(Cc2ccccn2)C2C=CC=CN2)n1")</f>
        <v>CN(C)c1cccc(CN(Cc2ccccn2)C2C=CC=CN2)n1</v>
      </c>
      <c r="C12489" s="7">
        <f>IFERROR(__xludf.DUMMYFUNCTION("""COMPUTED_VALUE"""),7.7578974)</f>
        <v>7.7578974</v>
      </c>
      <c r="D12489" s="7">
        <f>IFERROR(__xludf.DUMMYFUNCTION("""COMPUTED_VALUE"""),0.490566037735849)</f>
        <v>0.4905660377</v>
      </c>
    </row>
    <row r="12490">
      <c r="A12490" s="10" t="s">
        <v>13929</v>
      </c>
      <c r="B12490" s="7" t="str">
        <f>IFERROR(__xludf.DUMMYFUNCTION("SPLIT(A12490,"" "")"),"Cc1ccccc1N(C)CC1=CC(N(C)Cc2ccccn2)C=CN1")</f>
        <v>Cc1ccccc1N(C)CC1=CC(N(C)Cc2ccccn2)C=CN1</v>
      </c>
      <c r="C12490" s="7">
        <f>IFERROR(__xludf.DUMMYFUNCTION("""COMPUTED_VALUE"""),7.7578945)</f>
        <v>7.7578945</v>
      </c>
      <c r="D12490" s="7">
        <f>IFERROR(__xludf.DUMMYFUNCTION("""COMPUTED_VALUE"""),0.415094339622641)</f>
        <v>0.4150943396</v>
      </c>
    </row>
    <row r="12491">
      <c r="A12491" s="10" t="s">
        <v>13930</v>
      </c>
      <c r="B12491" s="7" t="str">
        <f>IFERROR(__xludf.DUMMYFUNCTION("SPLIT(A12491,"" "")"),"CCC1=NC(c2ccccc2CN=Cc2ccccn2)CO1")</f>
        <v>CCC1=NC(c2ccccc2CN=Cc2ccccn2)CO1</v>
      </c>
      <c r="C12491" s="7">
        <f>IFERROR(__xludf.DUMMYFUNCTION("""COMPUTED_VALUE"""),7.7578793)</f>
        <v>7.7578793</v>
      </c>
      <c r="D12491" s="7">
        <f>IFERROR(__xludf.DUMMYFUNCTION("""COMPUTED_VALUE"""),0.310344827586206)</f>
        <v>0.3103448276</v>
      </c>
    </row>
    <row r="12492">
      <c r="A12492" s="10" t="s">
        <v>13931</v>
      </c>
      <c r="B12492" s="7" t="str">
        <f>IFERROR(__xludf.DUMMYFUNCTION("SPLIT(A12492,"" "")"),"Cc1cc(C)c(CN(C)C2=C(CN(C)Cc3ccccn3)NC=CC2)cn1")</f>
        <v>Cc1cc(C)c(CN(C)C2=C(CN(C)Cc3ccccn3)NC=CC2)cn1</v>
      </c>
      <c r="C12492" s="7">
        <f>IFERROR(__xludf.DUMMYFUNCTION("""COMPUTED_VALUE"""),7.7578773)</f>
        <v>7.7578773</v>
      </c>
      <c r="D12492" s="7">
        <f>IFERROR(__xludf.DUMMYFUNCTION("""COMPUTED_VALUE"""),0.360655737704918)</f>
        <v>0.3606557377</v>
      </c>
    </row>
    <row r="12493">
      <c r="A12493" s="10" t="s">
        <v>13932</v>
      </c>
      <c r="B12493" s="7" t="str">
        <f>IFERROR(__xludf.DUMMYFUNCTION("SPLIT(A12493,"" "")"),"Cc1ccnc(CN(C)CC2=C(N(C)Cc3cccc(C)n3)CC=CN2)c1")</f>
        <v>Cc1ccnc(CN(C)CC2=C(N(C)Cc3cccc(C)n3)CC=CN2)c1</v>
      </c>
      <c r="C12493" s="7">
        <f>IFERROR(__xludf.DUMMYFUNCTION("""COMPUTED_VALUE"""),7.7578745)</f>
        <v>7.7578745</v>
      </c>
      <c r="D12493" s="7">
        <f>IFERROR(__xludf.DUMMYFUNCTION("""COMPUTED_VALUE"""),0.407407407407407)</f>
        <v>0.4074074074</v>
      </c>
    </row>
    <row r="12494">
      <c r="A12494" s="10" t="s">
        <v>13933</v>
      </c>
      <c r="B12494" s="7" t="str">
        <f>IFERROR(__xludf.DUMMYFUNCTION("SPLIT(A12494,"" "")"),"CNc1cccc(F)n1")</f>
        <v>CNc1cccc(F)n1</v>
      </c>
      <c r="C12494" s="7">
        <f>IFERROR(__xludf.DUMMYFUNCTION("""COMPUTED_VALUE"""),7.757871)</f>
        <v>7.757871</v>
      </c>
      <c r="D12494" s="7">
        <f>IFERROR(__xludf.DUMMYFUNCTION("""COMPUTED_VALUE"""),0.342105263157894)</f>
        <v>0.3421052632</v>
      </c>
    </row>
    <row r="12495">
      <c r="A12495" s="10" t="s">
        <v>13934</v>
      </c>
      <c r="B12495" s="7" t="str">
        <f>IFERROR(__xludf.DUMMYFUNCTION("SPLIT(A12495,"" "")"),"C=C1C=CNC(CN(C)Cc2ncccc2C)=C1")</f>
        <v>C=C1C=CNC(CN(C)Cc2ncccc2C)=C1</v>
      </c>
      <c r="C12495" s="7">
        <f>IFERROR(__xludf.DUMMYFUNCTION("""COMPUTED_VALUE"""),7.757867)</f>
        <v>7.757867</v>
      </c>
      <c r="D12495" s="7">
        <f>IFERROR(__xludf.DUMMYFUNCTION("""COMPUTED_VALUE"""),0.365384615384615)</f>
        <v>0.3653846154</v>
      </c>
    </row>
    <row r="12496">
      <c r="A12496" s="10" t="s">
        <v>13935</v>
      </c>
      <c r="B12496" s="7" t="str">
        <f>IFERROR(__xludf.DUMMYFUNCTION("SPLIT(A12496,"" "")"),"CN1CCN(C)CC(CCCN(C)c2ccc3cccnc3c2)N(Cc2nc3ccccc3n2C)CC1")</f>
        <v>CN1CCN(C)CC(CCCN(C)c2ccc3cccnc3c2)N(Cc2nc3ccccc3n2C)CC1</v>
      </c>
      <c r="C12496" s="7">
        <f>IFERROR(__xludf.DUMMYFUNCTION("""COMPUTED_VALUE"""),7.75786)</f>
        <v>7.75786</v>
      </c>
      <c r="D12496" s="7">
        <f>IFERROR(__xludf.DUMMYFUNCTION("""COMPUTED_VALUE"""),0.424242424242424)</f>
        <v>0.4242424242</v>
      </c>
    </row>
    <row r="12497">
      <c r="A12497" s="10" t="s">
        <v>13936</v>
      </c>
      <c r="B12497" s="7" t="str">
        <f>IFERROR(__xludf.DUMMYFUNCTION("SPLIT(A12497,"" "")"),"CC(C)C1=CCC2=C(N1)C(C)(C)C(C)C(c1cccc(CN(Cc3ccccn3)C3CCC(N(C)c4ccc5nc(CF)ccc5c4)CC3)n1)=C2")</f>
        <v>CC(C)C1=CCC2=C(N1)C(C)(C)C(C)C(c1cccc(CN(Cc3ccccn3)C3CCC(N(C)c4ccc5nc(CF)ccc5c4)CC3)n1)=C2</v>
      </c>
      <c r="C12497" s="7">
        <f>IFERROR(__xludf.DUMMYFUNCTION("""COMPUTED_VALUE"""),7.757857)</f>
        <v>7.757857</v>
      </c>
      <c r="D12497" s="7">
        <f>IFERROR(__xludf.DUMMYFUNCTION("""COMPUTED_VALUE"""),0.309523809523809)</f>
        <v>0.3095238095</v>
      </c>
    </row>
    <row r="12498">
      <c r="A12498" s="10" t="s">
        <v>13937</v>
      </c>
      <c r="B12498" s="7" t="str">
        <f>IFERROR(__xludf.DUMMYFUNCTION("SPLIT(A12498,"" "")"),"CN1CCN(C)CC(CCCN(C)c2ccc3ncccc3c2)N(Cc2nc3ccccc3n2C)CC1")</f>
        <v>CN1CCN(C)CC(CCCN(C)c2ccc3ncccc3c2)N(Cc2nc3ccccc3n2C)CC1</v>
      </c>
      <c r="C12498" s="7">
        <f>IFERROR(__xludf.DUMMYFUNCTION("""COMPUTED_VALUE"""),7.757856)</f>
        <v>7.757856</v>
      </c>
      <c r="D12498" s="7">
        <f>IFERROR(__xludf.DUMMYFUNCTION("""COMPUTED_VALUE"""),0.43076923076923)</f>
        <v>0.4307692308</v>
      </c>
    </row>
    <row r="12499">
      <c r="A12499" s="10" t="s">
        <v>13938</v>
      </c>
      <c r="B12499" s="7" t="str">
        <f>IFERROR(__xludf.DUMMYFUNCTION("SPLIT(A12499,"" "")"),"Cc1ccc(C)c(CN(C)C2=C(CN(C)Cc3cccc(F)n3)NC=CC2)n1")</f>
        <v>Cc1ccc(C)c(CN(C)C2=C(CN(C)Cc3cccc(F)n3)NC=CC2)n1</v>
      </c>
      <c r="C12499" s="7">
        <f>IFERROR(__xludf.DUMMYFUNCTION("""COMPUTED_VALUE"""),7.7578416)</f>
        <v>7.7578416</v>
      </c>
      <c r="D12499" s="7">
        <f>IFERROR(__xludf.DUMMYFUNCTION("""COMPUTED_VALUE"""),0.357142857142857)</f>
        <v>0.3571428571</v>
      </c>
    </row>
    <row r="12500">
      <c r="A12500" s="10" t="s">
        <v>13939</v>
      </c>
      <c r="B12500" s="7" t="str">
        <f>IFERROR(__xludf.DUMMYFUNCTION("SPLIT(A12500,"" "")"),"CNc1cccc(-c2cccc(CN(C)C3CCC(N(C)Cc4ccc5ncccc5c4)CC3)n2)c1")</f>
        <v>CNc1cccc(-c2cccc(CN(C)C3CCC(N(C)Cc4ccc5ncccc5c4)CC3)n2)c1</v>
      </c>
      <c r="C12500" s="7">
        <f>IFERROR(__xludf.DUMMYFUNCTION("""COMPUTED_VALUE"""),7.757841)</f>
        <v>7.757841</v>
      </c>
      <c r="D12500" s="7">
        <f>IFERROR(__xludf.DUMMYFUNCTION("""COMPUTED_VALUE"""),0.357142857142857)</f>
        <v>0.3571428571</v>
      </c>
    </row>
    <row r="12501">
      <c r="A12501" s="10" t="s">
        <v>13940</v>
      </c>
      <c r="B12501" s="7" t="str">
        <f>IFERROR(__xludf.DUMMYFUNCTION("SPLIT(A12501,"" "")"),"Cc1cccnc1CN(C)C1CCC(N(Cc2ccccn2)c2cccc3nc(CN(C)C)ccc23)CC1")</f>
        <v>Cc1cccnc1CN(C)C1CCC(N(Cc2ccccn2)c2cccc3nc(CN(C)C)ccc23)CC1</v>
      </c>
      <c r="C12501" s="7">
        <f>IFERROR(__xludf.DUMMYFUNCTION("""COMPUTED_VALUE"""),7.757838)</f>
        <v>7.757838</v>
      </c>
      <c r="D12501" s="7">
        <f>IFERROR(__xludf.DUMMYFUNCTION("""COMPUTED_VALUE"""),0.359375)</f>
        <v>0.359375</v>
      </c>
    </row>
    <row r="12502">
      <c r="A12502" s="10" t="s">
        <v>13941</v>
      </c>
      <c r="B12502" s="7" t="str">
        <f>IFERROR(__xludf.DUMMYFUNCTION("SPLIT(A12502,"" "")"),"Cc1cncc(CN(Cc2ccccn2)Cc2ccc(N(C)C(C)(C)c3cccnc3)cn2)c1")</f>
        <v>Cc1cncc(CN(Cc2ccccn2)Cc2ccc(N(C)C(C)(C)c3cccnc3)cn2)c1</v>
      </c>
      <c r="C12502" s="7">
        <f>IFERROR(__xludf.DUMMYFUNCTION("""COMPUTED_VALUE"""),7.7578354)</f>
        <v>7.7578354</v>
      </c>
      <c r="D12502" s="7">
        <f>IFERROR(__xludf.DUMMYFUNCTION("""COMPUTED_VALUE"""),0.37037037037037)</f>
        <v>0.3703703704</v>
      </c>
    </row>
    <row r="12503">
      <c r="A12503" s="10" t="s">
        <v>13942</v>
      </c>
      <c r="B12503" s="7" t="str">
        <f>IFERROR(__xludf.DUMMYFUNCTION("SPLIT(A12503,"" "")"),"CN(C)Cc1ncccc1C(C)(C)c1ccccn1")</f>
        <v>CN(C)Cc1ncccc1C(C)(C)c1ccccn1</v>
      </c>
      <c r="C12503" s="7">
        <f>IFERROR(__xludf.DUMMYFUNCTION("""COMPUTED_VALUE"""),7.757834)</f>
        <v>7.757834</v>
      </c>
      <c r="D12503" s="7">
        <f>IFERROR(__xludf.DUMMYFUNCTION("""COMPUTED_VALUE"""),0.363636363636363)</f>
        <v>0.3636363636</v>
      </c>
    </row>
    <row r="12504">
      <c r="A12504" s="10" t="s">
        <v>13943</v>
      </c>
      <c r="B12504" s="7" t="str">
        <f>IFERROR(__xludf.DUMMYFUNCTION("SPLIT(A12504,"" "")"),"CN(Cc1cccnn1)C1=CCC=CN1")</f>
        <v>CN(Cc1cccnn1)C1=CCC=CN1</v>
      </c>
      <c r="C12504" s="7">
        <f>IFERROR(__xludf.DUMMYFUNCTION("""COMPUTED_VALUE"""),7.757833)</f>
        <v>7.757833</v>
      </c>
      <c r="D12504" s="7">
        <f>IFERROR(__xludf.DUMMYFUNCTION("""COMPUTED_VALUE"""),0.476190476190476)</f>
        <v>0.4761904762</v>
      </c>
    </row>
    <row r="12505">
      <c r="A12505" s="10" t="s">
        <v>13944</v>
      </c>
      <c r="B12505" s="7" t="str">
        <f>IFERROR(__xludf.DUMMYFUNCTION("SPLIT(A12505,"" "")"),"Cc1ccc(C)c(CN(O)C2=CCC=C(CN(Cc3ccccn3)C(C)C)N2)n1")</f>
        <v>Cc1ccc(C)c(CN(O)C2=CCC=C(CN(Cc3ccccn3)C(C)C)N2)n1</v>
      </c>
      <c r="C12505" s="7">
        <f>IFERROR(__xludf.DUMMYFUNCTION("""COMPUTED_VALUE"""),7.7578325)</f>
        <v>7.7578325</v>
      </c>
      <c r="D12505" s="7">
        <f>IFERROR(__xludf.DUMMYFUNCTION("""COMPUTED_VALUE"""),0.446428571428571)</f>
        <v>0.4464285714</v>
      </c>
    </row>
    <row r="12506">
      <c r="A12506" s="10" t="s">
        <v>13945</v>
      </c>
      <c r="B12506" s="7" t="str">
        <f>IFERROR(__xludf.DUMMYFUNCTION("SPLIT(A12506,"" "")"),"CCN(CC1=CCC=C(N(O)Cc2ccccn2)N1)C1CCCC(N(C)c2cccc3ncccc23)C1")</f>
        <v>CCN(CC1=CCC=C(N(O)Cc2ccccn2)N1)C1CCCC(N(C)c2cccc3ncccc23)C1</v>
      </c>
      <c r="C12506" s="7">
        <f>IFERROR(__xludf.DUMMYFUNCTION("""COMPUTED_VALUE"""),7.757832)</f>
        <v>7.757832</v>
      </c>
      <c r="D12506" s="7">
        <f>IFERROR(__xludf.DUMMYFUNCTION("""COMPUTED_VALUE"""),0.319444444444444)</f>
        <v>0.3194444444</v>
      </c>
    </row>
    <row r="12507">
      <c r="A12507" s="10" t="s">
        <v>13946</v>
      </c>
      <c r="B12507" s="7" t="str">
        <f>IFERROR(__xludf.DUMMYFUNCTION("SPLIT(A12507,"" "")"),"CNC1CC(N(Cc2nc(C)c(C)c(C)c2C)Cc2nc(C)c(C)c(C)c2C)C(N(Cc2nc(C)c(C)c(C)c2C)Cc2nc(C)c(C)c(C)c2C)C(NCc2ccccn2)C1N(Cc1nc(C)c(C)c(C)c1C)Cc1nc(C)c(C)c(C)c1C")</f>
        <v>CNC1CC(N(Cc2nc(C)c(C)c(C)c2C)Cc2nc(C)c(C)c(C)c2C)C(N(Cc2nc(C)c(C)c(C)c2C)Cc2nc(C)c(C)c(C)c2C)C(NCc2ccccn2)C1N(Cc1nc(C)c(C)c(C)c1C)Cc1nc(C)c(C)c(C)c1C</v>
      </c>
      <c r="C12507" s="7">
        <f>IFERROR(__xludf.DUMMYFUNCTION("""COMPUTED_VALUE"""),7.7578297)</f>
        <v>7.7578297</v>
      </c>
      <c r="D12507" s="7">
        <f>IFERROR(__xludf.DUMMYFUNCTION("""COMPUTED_VALUE"""),0.3125)</f>
        <v>0.3125</v>
      </c>
    </row>
    <row r="12508">
      <c r="A12508" s="10" t="s">
        <v>13947</v>
      </c>
      <c r="B12508" s="7" t="str">
        <f>IFERROR(__xludf.DUMMYFUNCTION("SPLIT(A12508,"" "")"),"Cc1cccc(CN(C)CC2=C(N(C)Cc3ccccn3)CC=CN2)n1")</f>
        <v>Cc1cccc(CN(C)CC2=C(N(C)Cc3ccccn3)CC=CN2)n1</v>
      </c>
      <c r="C12508" s="7">
        <f>IFERROR(__xludf.DUMMYFUNCTION("""COMPUTED_VALUE"""),7.7578278)</f>
        <v>7.7578278</v>
      </c>
      <c r="D12508" s="7">
        <f>IFERROR(__xludf.DUMMYFUNCTION("""COMPUTED_VALUE"""),0.462962962962962)</f>
        <v>0.462962963</v>
      </c>
    </row>
    <row r="12509">
      <c r="A12509" s="10" t="s">
        <v>13948</v>
      </c>
      <c r="B12509" s="7" t="str">
        <f>IFERROR(__xludf.DUMMYFUNCTION("SPLIT(A12509,"" "")"),"Cc1ccc(CN(C)CC2=C(N(C)Cc3cccc(C)n3)CC=CN2)nc1")</f>
        <v>Cc1ccc(CN(C)CC2=C(N(C)Cc3cccc(C)n3)CC=CN2)nc1</v>
      </c>
      <c r="C12509" s="7">
        <f>IFERROR(__xludf.DUMMYFUNCTION("""COMPUTED_VALUE"""),7.757816)</f>
        <v>7.757816</v>
      </c>
      <c r="D12509" s="7">
        <f>IFERROR(__xludf.DUMMYFUNCTION("""COMPUTED_VALUE"""),0.415094339622641)</f>
        <v>0.4150943396</v>
      </c>
    </row>
    <row r="12510">
      <c r="A12510" s="10" t="s">
        <v>13949</v>
      </c>
      <c r="B12510" s="7" t="str">
        <f>IFERROR(__xludf.DUMMYFUNCTION("SPLIT(A12510,"" "")"),"CNC1C(N(Cc2nc(C)c(C)c(C)c2C)Cc2nc(C)c(C)c(C)c2C)CCC(N(Cc2nc(C)c(C)c(C)c2C)Cc2nc(C)c(C)c(C)c2C)C1N(Cc1ccc(C)c(C)n1)Cc1nc(C)c(C)c(C)c1C")</f>
        <v>CNC1C(N(Cc2nc(C)c(C)c(C)c2C)Cc2nc(C)c(C)c(C)c2C)CCC(N(Cc2nc(C)c(C)c(C)c2C)Cc2nc(C)c(C)c(C)c2C)C1N(Cc1ccc(C)c(C)n1)Cc1nc(C)c(C)c(C)c1C</v>
      </c>
      <c r="C12510" s="7">
        <f>IFERROR(__xludf.DUMMYFUNCTION("""COMPUTED_VALUE"""),7.7578077)</f>
        <v>7.7578077</v>
      </c>
      <c r="D12510" s="7">
        <f>IFERROR(__xludf.DUMMYFUNCTION("""COMPUTED_VALUE"""),0.262295081967213)</f>
        <v>0.262295082</v>
      </c>
    </row>
    <row r="12511">
      <c r="A12511" s="10" t="s">
        <v>13950</v>
      </c>
      <c r="B12511" s="7" t="str">
        <f>IFERROR(__xludf.DUMMYFUNCTION("SPLIT(A12511,"" "")"),"CNCc1cccc(CN(Cc2cccc(C)n2)C2CCC(N(C)Cc3cccc(-c4ccc5ncccc5c4)n3)CC2)n1")</f>
        <v>CNCc1cccc(CN(Cc2cccc(C)n2)C2CCC(N(C)Cc3cccc(-c4ccc5ncccc5c4)n3)CC2)n1</v>
      </c>
      <c r="C12511" s="7">
        <f>IFERROR(__xludf.DUMMYFUNCTION("""COMPUTED_VALUE"""),7.757801)</f>
        <v>7.757801</v>
      </c>
      <c r="D12511" s="7">
        <f>IFERROR(__xludf.DUMMYFUNCTION("""COMPUTED_VALUE"""),0.378787878787878)</f>
        <v>0.3787878788</v>
      </c>
    </row>
    <row r="12512">
      <c r="A12512" s="10" t="s">
        <v>13951</v>
      </c>
      <c r="B12512" s="7" t="str">
        <f>IFERROR(__xludf.DUMMYFUNCTION("SPLIT(A12512,"" "")"),"Cc1cc(CN(C)C)cnc1C")</f>
        <v>Cc1cc(CN(C)C)cnc1C</v>
      </c>
      <c r="C12512" s="7">
        <f>IFERROR(__xludf.DUMMYFUNCTION("""COMPUTED_VALUE"""),7.7578006)</f>
        <v>7.7578006</v>
      </c>
      <c r="D12512" s="7">
        <f>IFERROR(__xludf.DUMMYFUNCTION("""COMPUTED_VALUE"""),0.289473684210526)</f>
        <v>0.2894736842</v>
      </c>
    </row>
    <row r="12513">
      <c r="A12513" s="10" t="s">
        <v>13952</v>
      </c>
      <c r="B12513" s="7" t="str">
        <f>IFERROR(__xludf.DUMMYFUNCTION("SPLIT(A12513,"" "")"),"CCN(Cc1ccccn1)Cc1ncccc1N(C)Cc1ncccc1C")</f>
        <v>CCN(Cc1ccccn1)Cc1ncccc1N(C)Cc1ncccc1C</v>
      </c>
      <c r="C12513" s="7">
        <f>IFERROR(__xludf.DUMMYFUNCTION("""COMPUTED_VALUE"""),7.7577987)</f>
        <v>7.7577987</v>
      </c>
      <c r="D12513" s="7">
        <f>IFERROR(__xludf.DUMMYFUNCTION("""COMPUTED_VALUE"""),0.458333333333333)</f>
        <v>0.4583333333</v>
      </c>
    </row>
    <row r="12514">
      <c r="A12514" s="10" t="s">
        <v>13953</v>
      </c>
      <c r="B12514" s="7" t="str">
        <f>IFERROR(__xludf.DUMMYFUNCTION("SPLIT(A12514,"" "")"),"CN(Cc1ccccn1)C1=CCC=C(CN(Cc2cccnc2)Cc2ccccn2)N1")</f>
        <v>CN(Cc1ccccn1)C1=CCC=C(CN(Cc2cccnc2)Cc2ccccn2)N1</v>
      </c>
      <c r="C12514" s="7">
        <f>IFERROR(__xludf.DUMMYFUNCTION("""COMPUTED_VALUE"""),7.7577868)</f>
        <v>7.7577868</v>
      </c>
      <c r="D12514" s="7">
        <f>IFERROR(__xludf.DUMMYFUNCTION("""COMPUTED_VALUE"""),0.473684210526315)</f>
        <v>0.4736842105</v>
      </c>
    </row>
    <row r="12515">
      <c r="A12515" s="10" t="s">
        <v>13954</v>
      </c>
      <c r="B12515" s="7" t="str">
        <f>IFERROR(__xludf.DUMMYFUNCTION("SPLIT(A12515,"" "")"),"CCN(Cc1cc(C)c(C)c(C)n1)Cc1nc(C)c(C)c(C)c1[SiH3]")</f>
        <v>CCN(Cc1cc(C)c(C)c(C)n1)Cc1nc(C)c(C)c(C)c1[SiH3]</v>
      </c>
      <c r="C12515" s="7">
        <f>IFERROR(__xludf.DUMMYFUNCTION("""COMPUTED_VALUE"""),7.7577777)</f>
        <v>7.7577777</v>
      </c>
      <c r="D12515" s="7">
        <f>IFERROR(__xludf.DUMMYFUNCTION("""COMPUTED_VALUE"""),0.204081632653061)</f>
        <v>0.2040816327</v>
      </c>
    </row>
    <row r="12516">
      <c r="A12516" s="10" t="s">
        <v>13955</v>
      </c>
      <c r="B12516" s="7" t="str">
        <f>IFERROR(__xludf.DUMMYFUNCTION("SPLIT(A12516,"" "")"),"CN(C)Cc1cnc2cccc(N(C)C3CCCC(N(Cc4ccc(C(C)(C)C)nc4)Cc4ccccn4)C3)c2c1")</f>
        <v>CN(C)Cc1cnc2cccc(N(C)C3CCCC(N(Cc4ccc(C(C)(C)C)nc4)Cc4ccccn4)C3)c2c1</v>
      </c>
      <c r="C12516" s="7">
        <f>IFERROR(__xludf.DUMMYFUNCTION("""COMPUTED_VALUE"""),7.7577767)</f>
        <v>7.7577767</v>
      </c>
      <c r="D12516" s="7">
        <f>IFERROR(__xludf.DUMMYFUNCTION("""COMPUTED_VALUE"""),0.323943661971831)</f>
        <v>0.323943662</v>
      </c>
    </row>
    <row r="12517">
      <c r="A12517" s="10" t="s">
        <v>13956</v>
      </c>
      <c r="B12517" s="7" t="str">
        <f>IFERROR(__xludf.DUMMYFUNCTION("SPLIT(A12517,"" "")"),"Cc1ccc(CN(C)C2=C(CN(C)Cc3cccc(C)n3)NC=CC2)nc1")</f>
        <v>Cc1ccc(CN(C)C2=C(CN(C)Cc3cccc(C)n3)NC=CC2)nc1</v>
      </c>
      <c r="C12517" s="7">
        <f>IFERROR(__xludf.DUMMYFUNCTION("""COMPUTED_VALUE"""),7.757763)</f>
        <v>7.757763</v>
      </c>
      <c r="D12517" s="7">
        <f>IFERROR(__xludf.DUMMYFUNCTION("""COMPUTED_VALUE"""),0.415094339622641)</f>
        <v>0.4150943396</v>
      </c>
    </row>
    <row r="12518">
      <c r="A12518" s="10" t="s">
        <v>13957</v>
      </c>
      <c r="B12518" s="7" t="str">
        <f>IFERROR(__xludf.DUMMYFUNCTION("SPLIT(A12518,"" "")"),"CN(CC1=CCC=CN1)C1=CCC=C(C2=CCC=CN2)N1")</f>
        <v>CN(CC1=CCC=CN1)C1=CCC=C(C2=CCC=CN2)N1</v>
      </c>
      <c r="C12518" s="7">
        <f>IFERROR(__xludf.DUMMYFUNCTION("""COMPUTED_VALUE"""),7.757763)</f>
        <v>7.757763</v>
      </c>
      <c r="D12518" s="7">
        <f>IFERROR(__xludf.DUMMYFUNCTION("""COMPUTED_VALUE"""),0.372549019607843)</f>
        <v>0.3725490196</v>
      </c>
    </row>
    <row r="12519">
      <c r="A12519" s="10" t="s">
        <v>13958</v>
      </c>
      <c r="B12519" s="7" t="str">
        <f>IFERROR(__xludf.DUMMYFUNCTION("SPLIT(A12519,"" "")"),"Cc1ccc(CN(C)C2CCCC(N(C)c3ccc4c(C)ccnc4c3)C2)nc1")</f>
        <v>Cc1ccc(CN(C)C2CCCC(N(C)c3ccc4c(C)ccnc4c3)C2)nc1</v>
      </c>
      <c r="C12519" s="7">
        <f>IFERROR(__xludf.DUMMYFUNCTION("""COMPUTED_VALUE"""),7.7577496)</f>
        <v>7.7577496</v>
      </c>
      <c r="D12519" s="7">
        <f>IFERROR(__xludf.DUMMYFUNCTION("""COMPUTED_VALUE"""),0.464285714285714)</f>
        <v>0.4642857143</v>
      </c>
    </row>
    <row r="12520">
      <c r="A12520" s="10" t="s">
        <v>13959</v>
      </c>
      <c r="B12520" s="7" t="str">
        <f>IFERROR(__xludf.DUMMYFUNCTION("SPLIT(A12520,"" "")"),"CCNCc1ccc(CN(Cc2nc(C)c(C)cc2C)Cc2nc(C)c(C)c(C)c2C)c(C(C)(C)C)n1")</f>
        <v>CCNCc1ccc(CN(Cc2nc(C)c(C)cc2C)Cc2nc(C)c(C)c(C)c2C)c(C(C)(C)C)n1</v>
      </c>
      <c r="C12520" s="7">
        <f>IFERROR(__xludf.DUMMYFUNCTION("""COMPUTED_VALUE"""),7.7577486)</f>
        <v>7.7577486</v>
      </c>
      <c r="D12520" s="7">
        <f>IFERROR(__xludf.DUMMYFUNCTION("""COMPUTED_VALUE"""),0.193548387096774)</f>
        <v>0.1935483871</v>
      </c>
    </row>
    <row r="12521">
      <c r="A12521" s="10" t="s">
        <v>13960</v>
      </c>
      <c r="B12521" s="7" t="str">
        <f>IFERROR(__xludf.DUMMYFUNCTION("SPLIT(A12521,"" "")"),"CC1=C(CN(C)Cc2cc(C(C)(C)C)ccn2)C(C)c2ncccc2C1")</f>
        <v>CC1=C(CN(C)Cc2cc(C(C)(C)C)ccn2)C(C)c2ncccc2C1</v>
      </c>
      <c r="C12521" s="7">
        <f>IFERROR(__xludf.DUMMYFUNCTION("""COMPUTED_VALUE"""),7.757747)</f>
        <v>7.757747</v>
      </c>
      <c r="D12521" s="7">
        <f>IFERROR(__xludf.DUMMYFUNCTION("""COMPUTED_VALUE"""),0.295081967213114)</f>
        <v>0.2950819672</v>
      </c>
    </row>
    <row r="12522">
      <c r="A12522" s="10" t="s">
        <v>13961</v>
      </c>
      <c r="B12522" s="7" t="str">
        <f>IFERROR(__xludf.DUMMYFUNCTION("SPLIT(A12522,"" "")"),"CC(C)c1cc(CN(Cc2ccccn2)C2CCC(N(C)c3ccc4nccc(CN(C)C)c4c3)CC2)ccn1")</f>
        <v>CC(C)c1cc(CN(Cc2ccccn2)C2CCC(N(C)c3ccc4nccc(CN(C)C)c4c3)CC2)ccn1</v>
      </c>
      <c r="C12522" s="7">
        <f>IFERROR(__xludf.DUMMYFUNCTION("""COMPUTED_VALUE"""),7.7577386)</f>
        <v>7.7577386</v>
      </c>
      <c r="D12522" s="7">
        <f>IFERROR(__xludf.DUMMYFUNCTION("""COMPUTED_VALUE"""),0.318840579710144)</f>
        <v>0.3188405797</v>
      </c>
    </row>
    <row r="12523">
      <c r="A12523" s="10" t="s">
        <v>13962</v>
      </c>
      <c r="B12523" s="7" t="str">
        <f>IFERROR(__xludf.DUMMYFUNCTION("SPLIT(A12523,"" "")"),"COC(=O)C(=O)C(=O)C(C)NCc1cc(CNCc2cc(C(C)(c3ccccn3)C(C)C)c(C)c(C)n2)ccn1")</f>
        <v>COC(=O)C(=O)C(=O)C(C)NCc1cc(CNCc2cc(C(C)(c3ccccn3)C(C)C)c(C)c(C)n2)ccn1</v>
      </c>
      <c r="C12523" s="7">
        <f>IFERROR(__xludf.DUMMYFUNCTION("""COMPUTED_VALUE"""),7.7577357)</f>
        <v>7.7577357</v>
      </c>
      <c r="D12523" s="7">
        <f>IFERROR(__xludf.DUMMYFUNCTION("""COMPUTED_VALUE"""),0.239436619718309)</f>
        <v>0.2394366197</v>
      </c>
    </row>
    <row r="12524">
      <c r="A12524" s="10" t="s">
        <v>13963</v>
      </c>
      <c r="B12524" s="7" t="str">
        <f>IFERROR(__xludf.DUMMYFUNCTION("SPLIT(A12524,"" "")"),"Cc1ccc(CN(Cc2ccccn2)C2CCC(N(C)c3ccc4c(CF)ccnc4c3)CC2)nc1C")</f>
        <v>Cc1ccc(CN(Cc2ccccn2)C2CCC(N(C)c3ccc4c(CF)ccnc4c3)CC2)nc1C</v>
      </c>
      <c r="C12524" s="7">
        <f>IFERROR(__xludf.DUMMYFUNCTION("""COMPUTED_VALUE"""),7.7577343)</f>
        <v>7.7577343</v>
      </c>
      <c r="D12524" s="7">
        <f>IFERROR(__xludf.DUMMYFUNCTION("""COMPUTED_VALUE"""),0.328358208955223)</f>
        <v>0.328358209</v>
      </c>
    </row>
    <row r="12525">
      <c r="A12525" s="10" t="s">
        <v>13964</v>
      </c>
      <c r="B12525" s="7" t="str">
        <f>IFERROR(__xludf.DUMMYFUNCTION("SPLIT(A12525,"" "")"),"CCN(Cc1ccccn1)C1=CC(Cl)C(C)C=C1N(C)Cc1ncccc1C")</f>
        <v>CCN(Cc1ccccn1)C1=CC(Cl)C(C)C=C1N(C)Cc1ncccc1C</v>
      </c>
      <c r="C12525" s="7">
        <f>IFERROR(__xludf.DUMMYFUNCTION("""COMPUTED_VALUE"""),7.7577343)</f>
        <v>7.7577343</v>
      </c>
      <c r="D12525" s="7">
        <f>IFERROR(__xludf.DUMMYFUNCTION("""COMPUTED_VALUE"""),0.362068965517241)</f>
        <v>0.3620689655</v>
      </c>
    </row>
    <row r="12526">
      <c r="A12526" s="10" t="s">
        <v>13965</v>
      </c>
      <c r="B12526" s="7" t="str">
        <f>IFERROR(__xludf.DUMMYFUNCTION("SPLIT(A12526,"" "")"),"CCCN(Cc1ccccn1)c1cccc(C2CCC2C)c1-c1cc(CN(Cc2ccccn2)Cc2ncccc2C)ccn1")</f>
        <v>CCCN(Cc1ccccn1)c1cccc(C2CCC2C)c1-c1cc(CN(Cc2ccccn2)Cc2ncccc2C)ccn1</v>
      </c>
      <c r="C12526" s="7">
        <f>IFERROR(__xludf.DUMMYFUNCTION("""COMPUTED_VALUE"""),7.757734)</f>
        <v>7.757734</v>
      </c>
      <c r="D12526" s="7">
        <f>IFERROR(__xludf.DUMMYFUNCTION("""COMPUTED_VALUE"""),0.298507462686567)</f>
        <v>0.2985074627</v>
      </c>
    </row>
    <row r="12527">
      <c r="A12527" s="10" t="s">
        <v>13966</v>
      </c>
      <c r="B12527" s="7" t="str">
        <f>IFERROR(__xludf.DUMMYFUNCTION("SPLIT(A12527,"" "")"),"CCNc1cc(-c2ccc(C(C)C(C)C)cn2)ccn1")</f>
        <v>CCNc1cc(-c2ccc(C(C)C(C)C)cn2)ccn1</v>
      </c>
      <c r="C12527" s="7">
        <f>IFERROR(__xludf.DUMMYFUNCTION("""COMPUTED_VALUE"""),7.7577305)</f>
        <v>7.7577305</v>
      </c>
      <c r="D12527" s="7">
        <f>IFERROR(__xludf.DUMMYFUNCTION("""COMPUTED_VALUE"""),0.271186440677966)</f>
        <v>0.2711864407</v>
      </c>
    </row>
    <row r="12528">
      <c r="A12528" s="10" t="s">
        <v>13967</v>
      </c>
      <c r="B12528" s="7" t="str">
        <f>IFERROR(__xludf.DUMMYFUNCTION("SPLIT(A12528,"" "")"),"CN(C)Cc1cnc2cc(N(C)C3CCCC(N(C)Cc4ccon4)C3)ccc2c1")</f>
        <v>CN(C)Cc1cnc2cc(N(C)C3CCCC(N(C)Cc4ccon4)C3)ccc2c1</v>
      </c>
      <c r="C12528" s="7">
        <f>IFERROR(__xludf.DUMMYFUNCTION("""COMPUTED_VALUE"""),7.7577305)</f>
        <v>7.7577305</v>
      </c>
      <c r="D12528" s="7">
        <f>IFERROR(__xludf.DUMMYFUNCTION("""COMPUTED_VALUE"""),0.327586206896551)</f>
        <v>0.3275862069</v>
      </c>
    </row>
    <row r="12529">
      <c r="A12529" s="10" t="s">
        <v>13968</v>
      </c>
      <c r="B12529" s="7" t="str">
        <f>IFERROR(__xludf.DUMMYFUNCTION("SPLIT(A12529,"" "")"),"Cc1ccc(CN(C)C)c(C)n1")</f>
        <v>Cc1ccc(CN(C)C)c(C)n1</v>
      </c>
      <c r="C12529" s="7">
        <f>IFERROR(__xludf.DUMMYFUNCTION("""COMPUTED_VALUE"""),7.7577257)</f>
        <v>7.7577257</v>
      </c>
      <c r="D12529" s="7">
        <f>IFERROR(__xludf.DUMMYFUNCTION("""COMPUTED_VALUE"""),0.371428571428571)</f>
        <v>0.3714285714</v>
      </c>
    </row>
    <row r="12530">
      <c r="A12530" s="10" t="s">
        <v>13969</v>
      </c>
      <c r="B12530" s="7" t="str">
        <f>IFERROR(__xludf.DUMMYFUNCTION("SPLIT(A12530,"" "")"),"Cc1cc(CN(C)Cc2cccnc2C)nc(C)c1C")</f>
        <v>Cc1cc(CN(C)Cc2cccnc2C)nc(C)c1C</v>
      </c>
      <c r="C12530" s="7">
        <f>IFERROR(__xludf.DUMMYFUNCTION("""COMPUTED_VALUE"""),7.7577257)</f>
        <v>7.7577257</v>
      </c>
      <c r="D12530" s="7">
        <f>IFERROR(__xludf.DUMMYFUNCTION("""COMPUTED_VALUE"""),0.413043478260869)</f>
        <v>0.4130434783</v>
      </c>
    </row>
    <row r="12531">
      <c r="A12531" s="10" t="s">
        <v>13970</v>
      </c>
      <c r="B12531" s="7" t="str">
        <f>IFERROR(__xludf.DUMMYFUNCTION("SPLIT(A12531,"" "")"),"Cc1ccc(CN(C)C2=CNC(CN(C)C)=CC2)nc1")</f>
        <v>Cc1ccc(CN(C)C2=CNC(CN(C)C)=CC2)nc1</v>
      </c>
      <c r="C12531" s="7">
        <f>IFERROR(__xludf.DUMMYFUNCTION("""COMPUTED_VALUE"""),7.757725)</f>
        <v>7.757725</v>
      </c>
      <c r="D12531" s="7">
        <f>IFERROR(__xludf.DUMMYFUNCTION("""COMPUTED_VALUE"""),0.444444444444444)</f>
        <v>0.4444444444</v>
      </c>
    </row>
    <row r="12532">
      <c r="A12532" s="10" t="s">
        <v>13971</v>
      </c>
      <c r="B12532" s="7" t="str">
        <f>IFERROR(__xludf.DUMMYFUNCTION("SPLIT(A12532,"" "")"),"Cc1cc(C)c(CN(C)Cc2ncccc2C)nc1C")</f>
        <v>Cc1cc(C)c(CN(C)Cc2ncccc2C)nc1C</v>
      </c>
      <c r="C12532" s="7">
        <f>IFERROR(__xludf.DUMMYFUNCTION("""COMPUTED_VALUE"""),7.7577233)</f>
        <v>7.7577233</v>
      </c>
      <c r="D12532" s="7">
        <f>IFERROR(__xludf.DUMMYFUNCTION("""COMPUTED_VALUE"""),0.347826086956521)</f>
        <v>0.347826087</v>
      </c>
    </row>
    <row r="12533">
      <c r="A12533" s="10" t="s">
        <v>13972</v>
      </c>
      <c r="B12533" s="7" t="str">
        <f>IFERROR(__xludf.DUMMYFUNCTION("SPLIT(A12533,"" "")"),"CN(C)Cc1cncc2cc(N(C)C3CCCCC3N(Cc3ccccn3)Cc3ccon3)ccc12")</f>
        <v>CN(C)Cc1cncc2cc(N(C)C3CCCCC3N(Cc3ccccn3)Cc3ccon3)ccc12</v>
      </c>
      <c r="C12533" s="7">
        <f>IFERROR(__xludf.DUMMYFUNCTION("""COMPUTED_VALUE"""),7.7577205)</f>
        <v>7.7577205</v>
      </c>
      <c r="D12533" s="7">
        <f>IFERROR(__xludf.DUMMYFUNCTION("""COMPUTED_VALUE"""),0.393939393939393)</f>
        <v>0.3939393939</v>
      </c>
    </row>
    <row r="12534">
      <c r="A12534" s="10" t="s">
        <v>13973</v>
      </c>
      <c r="B12534" s="7" t="str">
        <f>IFERROR(__xludf.DUMMYFUNCTION("SPLIT(A12534,"" "")"),"CNCC1=C(N(C)Cc2nc(C)cc(C)c2C)CC=CN1")</f>
        <v>CNCC1=C(N(C)Cc2nc(C)cc(C)c2C)CC=CN1</v>
      </c>
      <c r="C12534" s="7">
        <f>IFERROR(__xludf.DUMMYFUNCTION("""COMPUTED_VALUE"""),7.7577186)</f>
        <v>7.7577186</v>
      </c>
      <c r="D12534" s="7">
        <f>IFERROR(__xludf.DUMMYFUNCTION("""COMPUTED_VALUE"""),0.19047619047619)</f>
        <v>0.1904761905</v>
      </c>
    </row>
    <row r="12535">
      <c r="A12535" s="10" t="s">
        <v>13974</v>
      </c>
      <c r="B12535" s="7" t="str">
        <f>IFERROR(__xludf.DUMMYFUNCTION("SPLIT(A12535,"" "")"),"Cc1cc(C)c(CN(C)Cc2ccc(N)c(C)n2)cn1")</f>
        <v>Cc1cc(C)c(CN(C)Cc2ccc(N)c(C)n2)cn1</v>
      </c>
      <c r="C12535" s="7">
        <f>IFERROR(__xludf.DUMMYFUNCTION("""COMPUTED_VALUE"""),7.7577095)</f>
        <v>7.7577095</v>
      </c>
      <c r="D12535" s="7">
        <f>IFERROR(__xludf.DUMMYFUNCTION("""COMPUTED_VALUE"""),0.340425531914893)</f>
        <v>0.3404255319</v>
      </c>
    </row>
    <row r="12536">
      <c r="A12536" s="10" t="s">
        <v>13975</v>
      </c>
      <c r="B12536" s="7" t="str">
        <f>IFERROR(__xludf.DUMMYFUNCTION("SPLIT(A12536,"" "")"),"Cc1cccnc1CN(C)C1CCCC(N(Cc2ccccn2)c2ccc3ccc(CN(C)C)nc3c2)C1")</f>
        <v>Cc1cccnc1CN(C)C1CCCC(N(Cc2ccccn2)c2ccc3ccc(CN(C)C)nc3c2)C1</v>
      </c>
      <c r="C12536" s="7">
        <f>IFERROR(__xludf.DUMMYFUNCTION("""COMPUTED_VALUE"""),7.757705)</f>
        <v>7.757705</v>
      </c>
      <c r="D12536" s="7">
        <f>IFERROR(__xludf.DUMMYFUNCTION("""COMPUTED_VALUE"""),0.375)</f>
        <v>0.375</v>
      </c>
    </row>
    <row r="12537">
      <c r="A12537" s="10" t="s">
        <v>13976</v>
      </c>
      <c r="B12537" s="7" t="str">
        <f>IFERROR(__xludf.DUMMYFUNCTION("SPLIT(A12537,"" "")"),"Cc1cccnc1CN(C)CC1=C(N(C)Cc2cccnc2C)CC=CN1")</f>
        <v>Cc1cccnc1CN(C)CC1=C(N(C)Cc2cccnc2C)CC=CN1</v>
      </c>
      <c r="C12537" s="7">
        <f>IFERROR(__xludf.DUMMYFUNCTION("""COMPUTED_VALUE"""),7.7577024)</f>
        <v>7.7577024</v>
      </c>
      <c r="D12537" s="7">
        <f>IFERROR(__xludf.DUMMYFUNCTION("""COMPUTED_VALUE"""),0.283333333333333)</f>
        <v>0.2833333333</v>
      </c>
    </row>
    <row r="12538">
      <c r="A12538" s="10" t="s">
        <v>13977</v>
      </c>
      <c r="B12538" s="7" t="str">
        <f>IFERROR(__xludf.DUMMYFUNCTION("SPLIT(A12538,"" "")"),"Cc1cncc(CN(C)C2=CNC(CN(C)Cc3cccc(C)n3)=CC2)c1")</f>
        <v>Cc1cncc(CN(C)C2=CNC(CN(C)Cc3cccc(C)n3)=CC2)c1</v>
      </c>
      <c r="C12538" s="7">
        <f>IFERROR(__xludf.DUMMYFUNCTION("""COMPUTED_VALUE"""),7.7576942)</f>
        <v>7.7576942</v>
      </c>
      <c r="D12538" s="7">
        <f>IFERROR(__xludf.DUMMYFUNCTION("""COMPUTED_VALUE"""),0.407407407407407)</f>
        <v>0.4074074074</v>
      </c>
    </row>
    <row r="12539">
      <c r="A12539" s="10" t="s">
        <v>13978</v>
      </c>
      <c r="B12539" s="7" t="str">
        <f>IFERROR(__xludf.DUMMYFUNCTION("SPLIT(A12539,"" "")"),"Cc1cc(C)c(CN(Cc2ccccn2)Cc2ncccc2C)c(C)n1")</f>
        <v>Cc1cc(C)c(CN(Cc2ccccn2)Cc2ncccc2C)c(C)n1</v>
      </c>
      <c r="C12539" s="7">
        <f>IFERROR(__xludf.DUMMYFUNCTION("""COMPUTED_VALUE"""),7.757692)</f>
        <v>7.757692</v>
      </c>
      <c r="D12539" s="7">
        <f>IFERROR(__xludf.DUMMYFUNCTION("""COMPUTED_VALUE"""),0.476190476190476)</f>
        <v>0.4761904762</v>
      </c>
    </row>
    <row r="12540">
      <c r="A12540" s="10" t="s">
        <v>13979</v>
      </c>
      <c r="B12540" s="7" t="str">
        <f>IFERROR(__xludf.DUMMYFUNCTION("SPLIT(A12540,"" "")"),"Cc1cnccc1CN(C)CC1=CCC(N(C)Cc2ccccn2)=CN1")</f>
        <v>Cc1cnccc1CN(C)CC1=CCC(N(C)Cc2ccccn2)=CN1</v>
      </c>
      <c r="C12540" s="7">
        <f>IFERROR(__xludf.DUMMYFUNCTION("""COMPUTED_VALUE"""),7.757677)</f>
        <v>7.757677</v>
      </c>
      <c r="D12540" s="7">
        <f>IFERROR(__xludf.DUMMYFUNCTION("""COMPUTED_VALUE"""),0.366666666666666)</f>
        <v>0.3666666667</v>
      </c>
    </row>
    <row r="12541">
      <c r="A12541" s="10" t="s">
        <v>13980</v>
      </c>
      <c r="B12541" s="7" t="str">
        <f>IFERROR(__xludf.DUMMYFUNCTION("SPLIT(A12541,"" "")"),"CN(CCF)CCN(C)c1ccc2ccc(CF)nc2c1")</f>
        <v>CN(CCF)CCN(C)c1ccc2ccc(CF)nc2c1</v>
      </c>
      <c r="C12541" s="7">
        <f>IFERROR(__xludf.DUMMYFUNCTION("""COMPUTED_VALUE"""),7.7576766)</f>
        <v>7.7576766</v>
      </c>
      <c r="D12541" s="7">
        <f>IFERROR(__xludf.DUMMYFUNCTION("""COMPUTED_VALUE"""),0.318181818181818)</f>
        <v>0.3181818182</v>
      </c>
    </row>
    <row r="12542">
      <c r="A12542" s="10" t="s">
        <v>13981</v>
      </c>
      <c r="B12542" s="7" t="str">
        <f>IFERROR(__xludf.DUMMYFUNCTION("SPLIT(A12542,"" "")"),"CNCc1cc(CN(Cc2cccc(C)n2)C2CCC(N(C)Cc3cccc(-c4cccc5cccnc45)n3)CC2)ccn1")</f>
        <v>CNCc1cc(CN(Cc2cccc(C)n2)C2CCC(N(C)Cc3cccc(-c4cccc5cccnc45)n3)CC2)ccn1</v>
      </c>
      <c r="C12542" s="7">
        <f>IFERROR(__xludf.DUMMYFUNCTION("""COMPUTED_VALUE"""),7.757674)</f>
        <v>7.757674</v>
      </c>
      <c r="D12542" s="7">
        <f>IFERROR(__xludf.DUMMYFUNCTION("""COMPUTED_VALUE"""),0.36231884057971)</f>
        <v>0.3623188406</v>
      </c>
    </row>
    <row r="12543">
      <c r="A12543" s="10" t="s">
        <v>13982</v>
      </c>
      <c r="B12543" s="7" t="str">
        <f>IFERROR(__xludf.DUMMYFUNCTION("SPLIT(A12543,"" "")"),"COC(=O)C1CN(C)C(c2ccc(CN(Cc3ccccn3)Cc3cc(C(C)(C)C)ccn3)cn2)C(c2ccccn2)C1c1ccccn1")</f>
        <v>COC(=O)C1CN(C)C(c2ccc(CN(Cc3ccccn3)Cc3cc(C(C)(C)C)ccn3)cn2)C(c2ccccn2)C1c1ccccn1</v>
      </c>
      <c r="C12543" s="7">
        <f>IFERROR(__xludf.DUMMYFUNCTION("""COMPUTED_VALUE"""),7.757674)</f>
        <v>7.757674</v>
      </c>
      <c r="D12543" s="7">
        <f>IFERROR(__xludf.DUMMYFUNCTION("""COMPUTED_VALUE"""),0.301204819277108)</f>
        <v>0.3012048193</v>
      </c>
    </row>
    <row r="12544">
      <c r="A12544" s="10" t="s">
        <v>13983</v>
      </c>
      <c r="B12544" s="7" t="str">
        <f>IFERROR(__xludf.DUMMYFUNCTION("SPLIT(A12544,"" "")"),"Cc1cncc(CN(C)Cc2cc(N(C)C(C)(C)c3cccnc3CN(Cc3ccccn3)Cc3cccc(C(C)(C)C)n3)ccn2)c1")</f>
        <v>Cc1cncc(CN(C)Cc2cc(N(C)C(C)(C)c3cccnc3CN(Cc3ccccn3)Cc3cccc(C(C)(C)C)n3)ccn2)c1</v>
      </c>
      <c r="C12544" s="7">
        <f>IFERROR(__xludf.DUMMYFUNCTION("""COMPUTED_VALUE"""),7.7576685)</f>
        <v>7.7576685</v>
      </c>
      <c r="D12544" s="7">
        <f>IFERROR(__xludf.DUMMYFUNCTION("""COMPUTED_VALUE"""),0.342465753424657)</f>
        <v>0.3424657534</v>
      </c>
    </row>
    <row r="12545">
      <c r="A12545" s="10" t="s">
        <v>13984</v>
      </c>
      <c r="B12545" s="7" t="str">
        <f>IFERROR(__xludf.DUMMYFUNCTION("SPLIT(A12545,"" "")"),"Cc1ccc(CN(C)CC2=C(N(C)Cc3ccccn3)NC=CC2)cn1")</f>
        <v>Cc1ccc(CN(C)CC2=C(N(C)Cc3ccccn3)NC=CC2)cn1</v>
      </c>
      <c r="C12545" s="7">
        <f>IFERROR(__xludf.DUMMYFUNCTION("""COMPUTED_VALUE"""),7.7576685)</f>
        <v>7.7576685</v>
      </c>
      <c r="D12545" s="7">
        <f>IFERROR(__xludf.DUMMYFUNCTION("""COMPUTED_VALUE"""),0.370967741935483)</f>
        <v>0.3709677419</v>
      </c>
    </row>
    <row r="12546">
      <c r="A12546" s="10" t="s">
        <v>13985</v>
      </c>
      <c r="B12546" s="7" t="str">
        <f>IFERROR(__xludf.DUMMYFUNCTION("SPLIT(A12546,"" "")"),"CC1=C(c2ccccc2)C(C(C)(C)c2ccccn2)CC=C1N")</f>
        <v>CC1=C(c2ccccc2)C(C(C)(C)c2ccccn2)CC=C1N</v>
      </c>
      <c r="C12546" s="7">
        <f>IFERROR(__xludf.DUMMYFUNCTION("""COMPUTED_VALUE"""),7.7576666)</f>
        <v>7.7576666</v>
      </c>
      <c r="D12546" s="7">
        <f>IFERROR(__xludf.DUMMYFUNCTION("""COMPUTED_VALUE"""),0.314814814814814)</f>
        <v>0.3148148148</v>
      </c>
    </row>
    <row r="12547">
      <c r="A12547" s="10" t="s">
        <v>13986</v>
      </c>
      <c r="B12547" s="7" t="str">
        <f>IFERROR(__xludf.DUMMYFUNCTION("SPLIT(A12547,"" "")"),"Cc1ccc(CN(Cc2ccccn2)C2CCCC(N(C)c3cccc4c(CN(C)C)ccnc34)C2)nc1")</f>
        <v>Cc1ccc(CN(Cc2ccccn2)C2CCCC(N(C)c3cccc4c(CN(C)C)ccnc34)C2)nc1</v>
      </c>
      <c r="C12547" s="7">
        <f>IFERROR(__xludf.DUMMYFUNCTION("""COMPUTED_VALUE"""),7.7576656)</f>
        <v>7.7576656</v>
      </c>
      <c r="D12547" s="7">
        <f>IFERROR(__xludf.DUMMYFUNCTION("""COMPUTED_VALUE"""),0.363636363636363)</f>
        <v>0.3636363636</v>
      </c>
    </row>
    <row r="12548">
      <c r="A12548" s="10" t="s">
        <v>13987</v>
      </c>
      <c r="B12548" s="7" t="str">
        <f>IFERROR(__xludf.DUMMYFUNCTION("SPLIT(A12548,"" "")"),"CN(Cc1cc(N(C)C)ccn1)C1=CNC(CN(C)C2C=CC=CN2)=CC1")</f>
        <v>CN(Cc1cc(N(C)C)ccn1)C1=CNC(CN(C)C2C=CC=CN2)=CC1</v>
      </c>
      <c r="C12548" s="7">
        <f>IFERROR(__xludf.DUMMYFUNCTION("""COMPUTED_VALUE"""),7.75766)</f>
        <v>7.75766</v>
      </c>
      <c r="D12548" s="7">
        <f>IFERROR(__xludf.DUMMYFUNCTION("""COMPUTED_VALUE"""),0.289855072463768)</f>
        <v>0.2898550725</v>
      </c>
    </row>
    <row r="12549">
      <c r="A12549" s="10" t="s">
        <v>13988</v>
      </c>
      <c r="B12549" s="7" t="str">
        <f>IFERROR(__xludf.DUMMYFUNCTION("SPLIT(A12549,"" "")"),"Cc1ccnc2ccc(N(C)C3CCC(N(Cc4ccccn4)Cc4cccnc4C(C)C)CC3)cc12")</f>
        <v>Cc1ccnc2ccc(N(C)C3CCC(N(Cc4ccccn4)Cc4cccnc4C(C)C)CC3)cc12</v>
      </c>
      <c r="C12549" s="7">
        <f>IFERROR(__xludf.DUMMYFUNCTION("""COMPUTED_VALUE"""),7.757645)</f>
        <v>7.757645</v>
      </c>
      <c r="D12549" s="7">
        <f>IFERROR(__xludf.DUMMYFUNCTION("""COMPUTED_VALUE"""),0.333333333333333)</f>
        <v>0.3333333333</v>
      </c>
    </row>
    <row r="12550">
      <c r="A12550" s="10" t="s">
        <v>13989</v>
      </c>
      <c r="B12550" s="7" t="str">
        <f>IFERROR(__xludf.DUMMYFUNCTION("SPLIT(A12550,"" "")"),"Cc1cc(CN(C)Cc2nc(C)c(C)cc2C)ccn1")</f>
        <v>Cc1cc(CN(C)Cc2nc(C)c(C)cc2C)ccn1</v>
      </c>
      <c r="C12550" s="7">
        <f>IFERROR(__xludf.DUMMYFUNCTION("""COMPUTED_VALUE"""),7.7576375)</f>
        <v>7.7576375</v>
      </c>
      <c r="D12550" s="7">
        <f>IFERROR(__xludf.DUMMYFUNCTION("""COMPUTED_VALUE"""),0.276595744680851)</f>
        <v>0.2765957447</v>
      </c>
    </row>
    <row r="12551">
      <c r="A12551" s="10" t="s">
        <v>13990</v>
      </c>
      <c r="B12551" s="7" t="str">
        <f>IFERROR(__xludf.DUMMYFUNCTION("SPLIT(A12551,"" "")"),"CC1=NC(C)(N=Cc2ccccn2)CO1")</f>
        <v>CC1=NC(C)(N=Cc2ccccn2)CO1</v>
      </c>
      <c r="C12551" s="7">
        <f>IFERROR(__xludf.DUMMYFUNCTION("""COMPUTED_VALUE"""),7.7576213)</f>
        <v>7.7576213</v>
      </c>
      <c r="D12551" s="7">
        <f>IFERROR(__xludf.DUMMYFUNCTION("""COMPUTED_VALUE"""),0.395833333333333)</f>
        <v>0.3958333333</v>
      </c>
    </row>
    <row r="12552">
      <c r="A12552" s="10" t="s">
        <v>13991</v>
      </c>
      <c r="B12552" s="7" t="str">
        <f>IFERROR(__xludf.DUMMYFUNCTION("SPLIT(A12552,"" "")"),"CN(Cc1ccccn1)c1ccc2cccnc2c1N(C)Cc1cccc(-c2ccc3c(c2)OCCOCCOCCOCCOCCO3)n1")</f>
        <v>CN(Cc1ccccn1)c1ccc2cccnc2c1N(C)Cc1cccc(-c2ccc3c(c2)OCCOCCOCCOCCOCCO3)n1</v>
      </c>
      <c r="C12552" s="7">
        <f>IFERROR(__xludf.DUMMYFUNCTION("""COMPUTED_VALUE"""),7.7576184)</f>
        <v>7.7576184</v>
      </c>
      <c r="D12552" s="7">
        <f>IFERROR(__xludf.DUMMYFUNCTION("""COMPUTED_VALUE"""),0.388888888888888)</f>
        <v>0.3888888889</v>
      </c>
    </row>
    <row r="12553">
      <c r="A12553" s="10" t="s">
        <v>13992</v>
      </c>
      <c r="B12553" s="7" t="str">
        <f>IFERROR(__xludf.DUMMYFUNCTION("SPLIT(A12553,"" "")"),"CC(C)C1=CCC2=C(CC(Cl)C(Cl)=C2)N1")</f>
        <v>CC(C)C1=CCC2=C(CC(Cl)C(Cl)=C2)N1</v>
      </c>
      <c r="C12553" s="7">
        <f>IFERROR(__xludf.DUMMYFUNCTION("""COMPUTED_VALUE"""),7.757618)</f>
        <v>7.757618</v>
      </c>
      <c r="D12553" s="7">
        <f>IFERROR(__xludf.DUMMYFUNCTION("""COMPUTED_VALUE"""),0.134328358208955)</f>
        <v>0.1343283582</v>
      </c>
    </row>
    <row r="12554">
      <c r="A12554" s="10" t="s">
        <v>13993</v>
      </c>
      <c r="B12554" s="7" t="str">
        <f>IFERROR(__xludf.DUMMYFUNCTION("SPLIT(A12554,"" "")"),"Cc1cnc2c(N(C)C3CCCC(N(Cc4ccccn4)Cc4nc(C)ccc4C)C3)cccc2c1")</f>
        <v>Cc1cnc2c(N(C)C3CCCC(N(Cc4ccccn4)Cc4nc(C)ccc4C)C3)cccc2c1</v>
      </c>
      <c r="C12554" s="7">
        <f>IFERROR(__xludf.DUMMYFUNCTION("""COMPUTED_VALUE"""),7.757613)</f>
        <v>7.757613</v>
      </c>
      <c r="D12554" s="7">
        <f>IFERROR(__xludf.DUMMYFUNCTION("""COMPUTED_VALUE"""),0.347826086956521)</f>
        <v>0.347826087</v>
      </c>
    </row>
    <row r="12555">
      <c r="A12555" s="10" t="s">
        <v>13994</v>
      </c>
      <c r="B12555" s="7" t="str">
        <f>IFERROR(__xludf.DUMMYFUNCTION("SPLIT(A12555,"" "")"),"Cc1nccc(CN(C)C2CCCCC2N(C)c2ccc3c(C)ccnc3c2)c1C")</f>
        <v>Cc1nccc(CN(C)C2CCCCC2N(C)c2ccc3c(C)ccnc3c2)c1C</v>
      </c>
      <c r="C12555" s="7">
        <f>IFERROR(__xludf.DUMMYFUNCTION("""COMPUTED_VALUE"""),7.7575984)</f>
        <v>7.7575984</v>
      </c>
      <c r="D12555" s="7">
        <f>IFERROR(__xludf.DUMMYFUNCTION("""COMPUTED_VALUE"""),0.362068965517241)</f>
        <v>0.3620689655</v>
      </c>
    </row>
    <row r="12556">
      <c r="A12556" s="10" t="s">
        <v>13995</v>
      </c>
      <c r="B12556" s="7" t="str">
        <f>IFERROR(__xludf.DUMMYFUNCTION("SPLIT(A12556,"" "")"),"CN(Cc1ccccn1)C1=C(CN(Cc2ccccn2)Cc2cccc(F)n2)CC=CN1")</f>
        <v>CN(Cc1ccccn1)C1=C(CN(Cc2ccccn2)Cc2cccc(F)n2)CC=CN1</v>
      </c>
      <c r="C12556" s="7">
        <f>IFERROR(__xludf.DUMMYFUNCTION("""COMPUTED_VALUE"""),7.7575884)</f>
        <v>7.7575884</v>
      </c>
      <c r="D12556" s="7">
        <f>IFERROR(__xludf.DUMMYFUNCTION("""COMPUTED_VALUE"""),0.448275862068965)</f>
        <v>0.4482758621</v>
      </c>
    </row>
    <row r="12557">
      <c r="A12557" s="10" t="s">
        <v>13996</v>
      </c>
      <c r="B12557" s="7" t="str">
        <f>IFERROR(__xludf.DUMMYFUNCTION("SPLIT(A12557,"" "")"),"CNCC1=CCC(N(C)Cc2ncc(C)cc2C)=CN1")</f>
        <v>CNCC1=CCC(N(C)Cc2ncc(C)cc2C)=CN1</v>
      </c>
      <c r="C12557" s="7">
        <f>IFERROR(__xludf.DUMMYFUNCTION("""COMPUTED_VALUE"""),7.757588)</f>
        <v>7.757588</v>
      </c>
      <c r="D12557" s="7">
        <f>IFERROR(__xludf.DUMMYFUNCTION("""COMPUTED_VALUE"""),0.232142857142857)</f>
        <v>0.2321428571</v>
      </c>
    </row>
    <row r="12558">
      <c r="A12558" s="10" t="s">
        <v>13997</v>
      </c>
      <c r="B12558" s="7" t="str">
        <f>IFERROR(__xludf.DUMMYFUNCTION("SPLIT(A12558,"" "")"),"Cc1ncccc1CN(C)CC1=CNC=C(N(C)Cc2ccccn2)C1")</f>
        <v>Cc1ncccc1CN(C)CC1=CNC=C(N(C)Cc2ccccn2)C1</v>
      </c>
      <c r="C12558" s="7">
        <f>IFERROR(__xludf.DUMMYFUNCTION("""COMPUTED_VALUE"""),7.757576)</f>
        <v>7.757576</v>
      </c>
      <c r="D12558" s="7">
        <f>IFERROR(__xludf.DUMMYFUNCTION("""COMPUTED_VALUE"""),0.381818181818181)</f>
        <v>0.3818181818</v>
      </c>
    </row>
    <row r="12559">
      <c r="A12559" s="10" t="s">
        <v>13998</v>
      </c>
      <c r="B12559" s="7" t="str">
        <f>IFERROR(__xludf.DUMMYFUNCTION("SPLIT(A12559,"" "")"),"CCN(Cc1ccccn1)c1ccc2ncccc2c1N(C)C1CCCC(N(C)Cc2ccccn2)C1")</f>
        <v>CCN(Cc1ccccn1)c1ccc2ncccc2c1N(C)C1CCCC(N(C)Cc2ccccn2)C1</v>
      </c>
      <c r="C12559" s="7">
        <f>IFERROR(__xludf.DUMMYFUNCTION("""COMPUTED_VALUE"""),7.757572)</f>
        <v>7.757572</v>
      </c>
      <c r="D12559" s="7">
        <f>IFERROR(__xludf.DUMMYFUNCTION("""COMPUTED_VALUE"""),0.43103448275862)</f>
        <v>0.4310344828</v>
      </c>
    </row>
    <row r="12560">
      <c r="A12560" s="10" t="s">
        <v>13999</v>
      </c>
      <c r="B12560" s="7" t="str">
        <f>IFERROR(__xludf.DUMMYFUNCTION("SPLIT(A12560,"" "")"),"Cc1nc(CN(C)C2CCC(N(C)c3ccc4ccc(CF)nc4c3)CC2)c(C)c(C)c1C")</f>
        <v>Cc1nc(CN(C)C2CCC(N(C)c3ccc4ccc(CF)nc4c3)CC2)c(C)c(C)c1C</v>
      </c>
      <c r="C12560" s="7">
        <f>IFERROR(__xludf.DUMMYFUNCTION("""COMPUTED_VALUE"""),7.7575703)</f>
        <v>7.7575703</v>
      </c>
      <c r="D12560" s="7">
        <f>IFERROR(__xludf.DUMMYFUNCTION("""COMPUTED_VALUE"""),0.328125)</f>
        <v>0.328125</v>
      </c>
    </row>
    <row r="12561">
      <c r="A12561" s="10" t="s">
        <v>14000</v>
      </c>
      <c r="B12561" s="7" t="str">
        <f>IFERROR(__xludf.DUMMYFUNCTION("SPLIT(A12561,"" "")"),"Cc1cncc(C(C)(C)N(C)c2ccc(CN(C)Cc3ccccn3)nc2)c1")</f>
        <v>Cc1cncc(C(C)(C)N(C)c2ccc(CN(C)Cc3ccccn3)nc2)c1</v>
      </c>
      <c r="C12561" s="7">
        <f>IFERROR(__xludf.DUMMYFUNCTION("""COMPUTED_VALUE"""),7.7575626)</f>
        <v>7.7575626</v>
      </c>
      <c r="D12561" s="7">
        <f>IFERROR(__xludf.DUMMYFUNCTION("""COMPUTED_VALUE"""),0.425925925925925)</f>
        <v>0.4259259259</v>
      </c>
    </row>
    <row r="12562">
      <c r="A12562" s="10" t="s">
        <v>14001</v>
      </c>
      <c r="B12562" s="7" t="str">
        <f>IFERROR(__xludf.DUMMYFUNCTION("SPLIT(A12562,"" "")"),"Cc1ccc(C)c(CN(C)C2CCC(N(C)c3ccc4c(CN(C)C)nccc4c3)CC2)n1")</f>
        <v>Cc1ccc(C)c(CN(C)C2CCC(N(C)c3ccc4c(CN(C)C)nccc4c3)CC2)n1</v>
      </c>
      <c r="C12562" s="7">
        <f>IFERROR(__xludf.DUMMYFUNCTION("""COMPUTED_VALUE"""),7.757558)</f>
        <v>7.757558</v>
      </c>
      <c r="D12562" s="7">
        <f>IFERROR(__xludf.DUMMYFUNCTION("""COMPUTED_VALUE"""),0.265625)</f>
        <v>0.265625</v>
      </c>
    </row>
    <row r="12563">
      <c r="A12563" s="10" t="s">
        <v>14002</v>
      </c>
      <c r="B12563" s="7" t="str">
        <f>IFERROR(__xludf.DUMMYFUNCTION("SPLIT(A12563,"" "")"),"CN(Cc1cccc(N(C)C)n1)Cc1ncccc1CF")</f>
        <v>CN(Cc1cccc(N(C)C)n1)Cc1ncccc1CF</v>
      </c>
      <c r="C12563" s="7">
        <f>IFERROR(__xludf.DUMMYFUNCTION("""COMPUTED_VALUE"""),7.7575555)</f>
        <v>7.7575555</v>
      </c>
      <c r="D12563" s="7">
        <f>IFERROR(__xludf.DUMMYFUNCTION("""COMPUTED_VALUE"""),0.4375)</f>
        <v>0.4375</v>
      </c>
    </row>
    <row r="12564">
      <c r="A12564" s="10" t="s">
        <v>14003</v>
      </c>
      <c r="B12564" s="7" t="str">
        <f>IFERROR(__xludf.DUMMYFUNCTION("SPLIT(A12564,"" "")"),"Cc1cc(C)c(CN(Cc2ccccn2)C2CCC(N(C)c3ccc4nccc(CF)c4c3)CC2)cn1")</f>
        <v>Cc1cc(C)c(CN(Cc2ccccn2)C2CCC(N(C)c3ccc4nccc(CF)c4c3)CC2)cn1</v>
      </c>
      <c r="C12564" s="7">
        <f>IFERROR(__xludf.DUMMYFUNCTION("""COMPUTED_VALUE"""),7.7575536)</f>
        <v>7.7575536</v>
      </c>
      <c r="D12564" s="7">
        <f>IFERROR(__xludf.DUMMYFUNCTION("""COMPUTED_VALUE"""),0.318840579710144)</f>
        <v>0.3188405797</v>
      </c>
    </row>
    <row r="12565">
      <c r="A12565" s="10" t="s">
        <v>14004</v>
      </c>
      <c r="B12565" s="7" t="str">
        <f>IFERROR(__xludf.DUMMYFUNCTION("SPLIT(A12565,"" "")"),"Cc1ccc(CN(Cc2ccccn2)C2CCC(N(C)c3ccc4nccc(CF)c4c3)CC2)nc1C")</f>
        <v>Cc1ccc(CN(Cc2ccccn2)C2CCC(N(C)c3ccc4nccc(CF)c4c3)CC2)nc1C</v>
      </c>
      <c r="C12565" s="7">
        <f>IFERROR(__xludf.DUMMYFUNCTION("""COMPUTED_VALUE"""),7.7575526)</f>
        <v>7.7575526</v>
      </c>
      <c r="D12565" s="7">
        <f>IFERROR(__xludf.DUMMYFUNCTION("""COMPUTED_VALUE"""),0.323529411764705)</f>
        <v>0.3235294118</v>
      </c>
    </row>
    <row r="12566">
      <c r="A12566" s="10" t="s">
        <v>14005</v>
      </c>
      <c r="B12566" s="7" t="str">
        <f>IFERROR(__xludf.DUMMYFUNCTION("SPLIT(A12566,"" "")"),"Cc1cncc(CN(C)CC2=CNC=C(N(C)Cc3ccccn3)C2)c1C")</f>
        <v>Cc1cncc(CN(C)CC2=CNC=C(N(C)Cc3ccccn3)C2)c1C</v>
      </c>
      <c r="C12566" s="7">
        <f>IFERROR(__xludf.DUMMYFUNCTION("""COMPUTED_VALUE"""),7.757543)</f>
        <v>7.757543</v>
      </c>
      <c r="D12566" s="7">
        <f>IFERROR(__xludf.DUMMYFUNCTION("""COMPUTED_VALUE"""),0.35593220338983)</f>
        <v>0.3559322034</v>
      </c>
    </row>
    <row r="12567">
      <c r="A12567" s="10" t="s">
        <v>14006</v>
      </c>
      <c r="B12567" s="7" t="str">
        <f>IFERROR(__xludf.DUMMYFUNCTION("SPLIT(A12567,"" "")"),"CN1CCN(C)CCN(Cc2cnccc2-c2cc(N)c3cccnc3c2)CC1")</f>
        <v>CN1CCN(C)CCN(Cc2cnccc2-c2cc(N)c3cccnc3c2)CC1</v>
      </c>
      <c r="C12567" s="7">
        <f>IFERROR(__xludf.DUMMYFUNCTION("""COMPUTED_VALUE"""),7.757543)</f>
        <v>7.757543</v>
      </c>
      <c r="D12567" s="7">
        <f>IFERROR(__xludf.DUMMYFUNCTION("""COMPUTED_VALUE"""),0.381818181818181)</f>
        <v>0.3818181818</v>
      </c>
    </row>
    <row r="12568">
      <c r="A12568" s="10" t="s">
        <v>14007</v>
      </c>
      <c r="B12568" s="7" t="str">
        <f>IFERROR(__xludf.DUMMYFUNCTION("SPLIT(A12568,"" "")"),"Cc1cc(C)c(CN(C)Cc2ccccn2)c(NCc2ccccn2)c1")</f>
        <v>Cc1cc(C)c(CN(C)Cc2ccccn2)c(NCc2ccccn2)c1</v>
      </c>
      <c r="C12568" s="7">
        <f>IFERROR(__xludf.DUMMYFUNCTION("""COMPUTED_VALUE"""),7.7575426)</f>
        <v>7.7575426</v>
      </c>
      <c r="D12568" s="7">
        <f>IFERROR(__xludf.DUMMYFUNCTION("""COMPUTED_VALUE"""),0.44)</f>
        <v>0.44</v>
      </c>
    </row>
    <row r="12569">
      <c r="A12569" s="10" t="s">
        <v>14008</v>
      </c>
      <c r="B12569" s="7" t="str">
        <f>IFERROR(__xludf.DUMMYFUNCTION("SPLIT(A12569,"" "")"),"Cc1ccc(CN(Cc2ccccn2)C2CCC(N(C)c3ccc4c(C)ccnc4c3)CC2)nc1")</f>
        <v>Cc1ccc(CN(Cc2ccccn2)C2CCC(N(C)c3ccc4c(C)ccnc4c3)CC2)nc1</v>
      </c>
      <c r="C12569" s="7">
        <f>IFERROR(__xludf.DUMMYFUNCTION("""COMPUTED_VALUE"""),7.757542)</f>
        <v>7.757542</v>
      </c>
      <c r="D12569" s="7">
        <f>IFERROR(__xludf.DUMMYFUNCTION("""COMPUTED_VALUE"""),0.370967741935483)</f>
        <v>0.3709677419</v>
      </c>
    </row>
    <row r="12570">
      <c r="A12570" s="10" t="s">
        <v>14009</v>
      </c>
      <c r="B12570" s="7" t="str">
        <f>IFERROR(__xludf.DUMMYFUNCTION("SPLIT(A12570,"" "")"),"Cc1ccc(CN(CCF)Cc2cccc(N(C)Cc3cc(C)c(C)c(C)n3)n2)nc1")</f>
        <v>Cc1ccc(CN(CCF)Cc2cccc(N(C)Cc3cc(C)c(C)c(C)n3)n2)nc1</v>
      </c>
      <c r="C12570" s="7">
        <f>IFERROR(__xludf.DUMMYFUNCTION("""COMPUTED_VALUE"""),7.757539)</f>
        <v>7.757539</v>
      </c>
      <c r="D12570" s="7">
        <f>IFERROR(__xludf.DUMMYFUNCTION("""COMPUTED_VALUE"""),0.407407407407407)</f>
        <v>0.4074074074</v>
      </c>
    </row>
    <row r="12571">
      <c r="A12571" s="10" t="s">
        <v>14010</v>
      </c>
      <c r="B12571" s="7" t="str">
        <f>IFERROR(__xludf.DUMMYFUNCTION("SPLIT(A12571,"" "")"),"Cc1cccnc1CN(C)C1=C(CN(C)Cc2ccccn2)NC=CC1")</f>
        <v>Cc1cccnc1CN(C)C1=C(CN(C)Cc2ccccn2)NC=CC1</v>
      </c>
      <c r="C12571" s="7">
        <f>IFERROR(__xludf.DUMMYFUNCTION("""COMPUTED_VALUE"""),7.7575355)</f>
        <v>7.7575355</v>
      </c>
      <c r="D12571" s="7">
        <f>IFERROR(__xludf.DUMMYFUNCTION("""COMPUTED_VALUE"""),0.385964912280701)</f>
        <v>0.3859649123</v>
      </c>
    </row>
    <row r="12572">
      <c r="A12572" s="10" t="s">
        <v>14011</v>
      </c>
      <c r="B12572" s="7" t="str">
        <f>IFERROR(__xludf.DUMMYFUNCTION("SPLIT(A12572,"" "")"),"Cc1cc(CN(C)C2=C(CN(C)Cc3ccccn3)NC=CC2)cnc1C")</f>
        <v>Cc1cc(CN(C)C2=C(CN(C)Cc3ccccn3)NC=CC2)cnc1C</v>
      </c>
      <c r="C12572" s="7">
        <f>IFERROR(__xludf.DUMMYFUNCTION("""COMPUTED_VALUE"""),7.7575326)</f>
        <v>7.7575326</v>
      </c>
      <c r="D12572" s="7">
        <f>IFERROR(__xludf.DUMMYFUNCTION("""COMPUTED_VALUE"""),0.360655737704918)</f>
        <v>0.3606557377</v>
      </c>
    </row>
    <row r="12573">
      <c r="A12573" s="10" t="s">
        <v>14012</v>
      </c>
      <c r="B12573" s="7" t="str">
        <f>IFERROR(__xludf.DUMMYFUNCTION("SPLIT(A12573,"" "")"),"Cc1cccnc1CN(C)CC1=C(N(C)Cc2ccccn2)CC=CN1")</f>
        <v>Cc1cccnc1CN(C)CC1=C(N(C)Cc2ccccn2)CC=CN1</v>
      </c>
      <c r="C12573" s="7">
        <f>IFERROR(__xludf.DUMMYFUNCTION("""COMPUTED_VALUE"""),7.7575307)</f>
        <v>7.7575307</v>
      </c>
      <c r="D12573" s="7">
        <f>IFERROR(__xludf.DUMMYFUNCTION("""COMPUTED_VALUE"""),0.383333333333333)</f>
        <v>0.3833333333</v>
      </c>
    </row>
    <row r="12574">
      <c r="A12574" s="10" t="s">
        <v>14013</v>
      </c>
      <c r="B12574" s="7" t="str">
        <f>IFERROR(__xludf.DUMMYFUNCTION("SPLIT(A12574,"" "")"),"C1=COCCOC(Nc2cc(-c3cccc(C(c4ccccn4)c4ccccn4)n3)ccn2)COCCOc2ccccc2OCCO1")</f>
        <v>C1=COCCOC(Nc2cc(-c3cccc(C(c4ccccn4)c4ccccn4)n3)ccn2)COCCOc2ccccc2OCCO1</v>
      </c>
      <c r="C12574" s="7">
        <f>IFERROR(__xludf.DUMMYFUNCTION("""COMPUTED_VALUE"""),7.757528)</f>
        <v>7.757528</v>
      </c>
      <c r="D12574" s="7">
        <f>IFERROR(__xludf.DUMMYFUNCTION("""COMPUTED_VALUE"""),0.220930232558139)</f>
        <v>0.2209302326</v>
      </c>
    </row>
    <row r="12575">
      <c r="A12575" s="10" t="s">
        <v>14014</v>
      </c>
      <c r="B12575" s="7" t="str">
        <f>IFERROR(__xludf.DUMMYFUNCTION("SPLIT(A12575,"" "")"),"CCN(Cc1ccccn1)C1=CC(Cl)C(Cl)C=C1N(C)C1CCC(N(C)c2cccc3ncccc23)CC1")</f>
        <v>CCN(Cc1ccccn1)C1=CC(Cl)C(Cl)C=C1N(C)C1CCC(N(C)c2cccc3ncccc23)CC1</v>
      </c>
      <c r="C12575" s="7">
        <f>IFERROR(__xludf.DUMMYFUNCTION("""COMPUTED_VALUE"""),7.757514)</f>
        <v>7.757514</v>
      </c>
      <c r="D12575" s="7">
        <f>IFERROR(__xludf.DUMMYFUNCTION("""COMPUTED_VALUE"""),0.349206349206349)</f>
        <v>0.3492063492</v>
      </c>
    </row>
    <row r="12576">
      <c r="A12576" s="10" t="s">
        <v>14015</v>
      </c>
      <c r="B12576" s="7" t="str">
        <f>IFERROR(__xludf.DUMMYFUNCTION("SPLIT(A12576,"" "")"),"Cc1ccc(C)c(CN(C)C2=C(CN(C)Cc3ccccn3)NC=CC2)n1")</f>
        <v>Cc1ccc(C)c(CN(C)C2=C(CN(C)Cc3ccccn3)NC=CC2)n1</v>
      </c>
      <c r="C12576" s="7">
        <f>IFERROR(__xludf.DUMMYFUNCTION("""COMPUTED_VALUE"""),7.757498)</f>
        <v>7.757498</v>
      </c>
      <c r="D12576" s="7">
        <f>IFERROR(__xludf.DUMMYFUNCTION("""COMPUTED_VALUE"""),0.389830508474576)</f>
        <v>0.3898305085</v>
      </c>
    </row>
    <row r="12577">
      <c r="A12577" s="10" t="s">
        <v>14016</v>
      </c>
      <c r="B12577" s="7" t="str">
        <f>IFERROR(__xludf.DUMMYFUNCTION("SPLIT(A12577,"" "")"),"Cc1ccnc(CN(C)CCN(C)Cc2ccc3cccnc3c2)c1")</f>
        <v>Cc1ccnc(CN(C)CCN(C)Cc2ccc3cccnc3c2)c1</v>
      </c>
      <c r="C12577" s="7">
        <f>IFERROR(__xludf.DUMMYFUNCTION("""COMPUTED_VALUE"""),7.7574973)</f>
        <v>7.7574973</v>
      </c>
      <c r="D12577" s="7">
        <f>IFERROR(__xludf.DUMMYFUNCTION("""COMPUTED_VALUE"""),0.4)</f>
        <v>0.4</v>
      </c>
    </row>
    <row r="12578">
      <c r="A12578" s="10" t="s">
        <v>14017</v>
      </c>
      <c r="B12578" s="7" t="str">
        <f>IFERROR(__xludf.DUMMYFUNCTION("SPLIT(A12578,"" "")"),"Cc1c(C)c(C)c(N(C)CCN(C)C(C)C2=CCC(N(C)CC3=CCC(N(C)Cc4ccccn4)=CN3)=CN2)c(C)c1C")</f>
        <v>Cc1c(C)c(C)c(N(C)CCN(C)C(C)C2=CCC(N(C)CC3=CCC(N(C)Cc4ccccn4)=CN3)=CN2)c(C)c1C</v>
      </c>
      <c r="C12578" s="7">
        <f>IFERROR(__xludf.DUMMYFUNCTION("""COMPUTED_VALUE"""),7.757466)</f>
        <v>7.757466</v>
      </c>
      <c r="D12578" s="7">
        <f>IFERROR(__xludf.DUMMYFUNCTION("""COMPUTED_VALUE"""),0.333333333333333)</f>
        <v>0.3333333333</v>
      </c>
    </row>
    <row r="12579">
      <c r="A12579" s="10" t="s">
        <v>14018</v>
      </c>
      <c r="B12579" s="7" t="str">
        <f>IFERROR(__xludf.DUMMYFUNCTION("SPLIT(A12579,"" "")"),"CN1CCC(N(C)c2ccc3cccnc3c2)C1CN(Cc1ccc(F)cn1)C1CCC(N(C)c2cccc3cc(CF)cnc23)CC1")</f>
        <v>CN1CCC(N(C)c2ccc3cccnc3c2)C1CN(Cc1ccc(F)cn1)C1CCC(N(C)c2cccc3cc(CF)cnc23)CC1</v>
      </c>
      <c r="C12579" s="7">
        <f>IFERROR(__xludf.DUMMYFUNCTION("""COMPUTED_VALUE"""),7.7574615)</f>
        <v>7.7574615</v>
      </c>
      <c r="D12579" s="7">
        <f>IFERROR(__xludf.DUMMYFUNCTION("""COMPUTED_VALUE"""),0.310344827586206)</f>
        <v>0.3103448276</v>
      </c>
    </row>
    <row r="12580">
      <c r="A12580" s="10" t="s">
        <v>14019</v>
      </c>
      <c r="B12580" s="7" t="str">
        <f>IFERROR(__xludf.DUMMYFUNCTION("SPLIT(A12580,"" "")"),"Cc1cnc(CN(C)C2CCC(N(C)c3ccc4c(CF)ccnc4c3)CC2)c(C)c1C")</f>
        <v>Cc1cnc(CN(C)C2CCC(N(C)c3ccc4c(CF)ccnc4c3)CC2)c(C)c1C</v>
      </c>
      <c r="C12580" s="7">
        <f>IFERROR(__xludf.DUMMYFUNCTION("""COMPUTED_VALUE"""),7.75745)</f>
        <v>7.75745</v>
      </c>
      <c r="D12580" s="7">
        <f>IFERROR(__xludf.DUMMYFUNCTION("""COMPUTED_VALUE"""),0.257575757575757)</f>
        <v>0.2575757576</v>
      </c>
    </row>
    <row r="12581">
      <c r="A12581" s="10" t="s">
        <v>14020</v>
      </c>
      <c r="B12581" s="7" t="str">
        <f>IFERROR(__xludf.DUMMYFUNCTION("SPLIT(A12581,"" "")"),"Cc1cc(CN(Cc2ccccn2)C2CCC(N(C)c3ccc4c(CF)ccnc4c3)CC2)cnc1C")</f>
        <v>Cc1cc(CN(Cc2ccccn2)C2CCC(N(C)c3ccc4c(CF)ccnc4c3)CC2)cnc1C</v>
      </c>
      <c r="C12581" s="7">
        <f>IFERROR(__xludf.DUMMYFUNCTION("""COMPUTED_VALUE"""),7.7574487)</f>
        <v>7.7574487</v>
      </c>
      <c r="D12581" s="7">
        <f>IFERROR(__xludf.DUMMYFUNCTION("""COMPUTED_VALUE"""),0.318840579710144)</f>
        <v>0.3188405797</v>
      </c>
    </row>
    <row r="12582">
      <c r="A12582" s="10" t="s">
        <v>14021</v>
      </c>
      <c r="B12582" s="7" t="str">
        <f>IFERROR(__xludf.DUMMYFUNCTION("SPLIT(A12582,"" "")"),"Cc1cc(CN(Cc2ccccc2N(C)C)C(C)C)cnc1C")</f>
        <v>Cc1cc(CN(Cc2ccccc2N(C)C)C(C)C)cnc1C</v>
      </c>
      <c r="C12582" s="7">
        <f>IFERROR(__xludf.DUMMYFUNCTION("""COMPUTED_VALUE"""),7.7574472)</f>
        <v>7.7574472</v>
      </c>
      <c r="D12582" s="7">
        <f>IFERROR(__xludf.DUMMYFUNCTION("""COMPUTED_VALUE"""),0.313725490196078)</f>
        <v>0.3137254902</v>
      </c>
    </row>
    <row r="12583">
      <c r="A12583" s="10" t="s">
        <v>14022</v>
      </c>
      <c r="B12583" s="7" t="str">
        <f>IFERROR(__xludf.DUMMYFUNCTION("SPLIT(A12583,"" "")"),"CC(C)C(C)N(C)CC1=CC(N(C)c2ccc3ncccc3c2)C=CN1")</f>
        <v>CC(C)C(C)N(C)CC1=CC(N(C)c2ccc3ncccc3c2)C=CN1</v>
      </c>
      <c r="C12583" s="7">
        <f>IFERROR(__xludf.DUMMYFUNCTION("""COMPUTED_VALUE"""),7.7574415)</f>
        <v>7.7574415</v>
      </c>
      <c r="D12583" s="7">
        <f>IFERROR(__xludf.DUMMYFUNCTION("""COMPUTED_VALUE"""),0.292307692307692)</f>
        <v>0.2923076923</v>
      </c>
    </row>
    <row r="12584">
      <c r="A12584" s="10" t="s">
        <v>14023</v>
      </c>
      <c r="B12584" s="7" t="str">
        <f>IFERROR(__xludf.DUMMYFUNCTION("SPLIT(A12584,"" "")"),"Cc1cnc(CN(C)Cc2ncc(C)cc2C)c(C)c1")</f>
        <v>Cc1cnc(CN(C)Cc2ncc(C)cc2C)c(C)c1</v>
      </c>
      <c r="C12584" s="7">
        <f>IFERROR(__xludf.DUMMYFUNCTION("""COMPUTED_VALUE"""),7.757431)</f>
        <v>7.757431</v>
      </c>
      <c r="D12584" s="7">
        <f>IFERROR(__xludf.DUMMYFUNCTION("""COMPUTED_VALUE"""),0.4)</f>
        <v>0.4</v>
      </c>
    </row>
    <row r="12585">
      <c r="A12585" s="10" t="s">
        <v>14024</v>
      </c>
      <c r="B12585" s="7" t="str">
        <f>IFERROR(__xludf.DUMMYFUNCTION("SPLIT(A12585,"" "")"),"CC(C)C1=CC2(C=CN1)C=Cc1ncccc1C2")</f>
        <v>CC(C)C1=CC2(C=CN1)C=Cc1ncccc1C2</v>
      </c>
      <c r="C12585" s="7">
        <f>IFERROR(__xludf.DUMMYFUNCTION("""COMPUTED_VALUE"""),7.75743)</f>
        <v>7.75743</v>
      </c>
      <c r="D12585" s="7">
        <f>IFERROR(__xludf.DUMMYFUNCTION("""COMPUTED_VALUE"""),0.203389830508474)</f>
        <v>0.2033898305</v>
      </c>
    </row>
    <row r="12586">
      <c r="A12586" s="10" t="s">
        <v>14025</v>
      </c>
      <c r="B12586" s="7" t="str">
        <f>IFERROR(__xludf.DUMMYFUNCTION("SPLIT(A12586,"" "")"),"Cc1cncc(CNCC2CCCN2Cc2ccccn2)c1-c1cccc(N=Cc2ccccn2)c1")</f>
        <v>Cc1cncc(CNCC2CCCN2Cc2ccccn2)c1-c1cccc(N=Cc2ccccn2)c1</v>
      </c>
      <c r="C12586" s="7">
        <f>IFERROR(__xludf.DUMMYFUNCTION("""COMPUTED_VALUE"""),7.757426)</f>
        <v>7.757426</v>
      </c>
      <c r="D12586" s="7">
        <f>IFERROR(__xludf.DUMMYFUNCTION("""COMPUTED_VALUE"""),0.397435897435897)</f>
        <v>0.3974358974</v>
      </c>
    </row>
    <row r="12587">
      <c r="A12587" s="10" t="s">
        <v>14026</v>
      </c>
      <c r="B12587" s="7" t="str">
        <f>IFERROR(__xludf.DUMMYFUNCTION("SPLIT(A12587,"" "")"),"Cc1cc(C)c(CN(C)Cc2cc(N)ccn2)c(C)c1")</f>
        <v>Cc1cc(C)c(CN(C)Cc2cc(N)ccn2)c(C)c1</v>
      </c>
      <c r="C12587" s="7">
        <f>IFERROR(__xludf.DUMMYFUNCTION("""COMPUTED_VALUE"""),7.7574244)</f>
        <v>7.7574244</v>
      </c>
      <c r="D12587" s="7">
        <f>IFERROR(__xludf.DUMMYFUNCTION("""COMPUTED_VALUE"""),0.34090909090909)</f>
        <v>0.3409090909</v>
      </c>
    </row>
    <row r="12588">
      <c r="A12588" s="10" t="s">
        <v>14027</v>
      </c>
      <c r="B12588" s="7" t="str">
        <f>IFERROR(__xludf.DUMMYFUNCTION("SPLIT(A12588,"" "")"),"CNCC1=CCC=C(N(C)Cc2cccc(C)n2)N1")</f>
        <v>CNCC1=CCC=C(N(C)Cc2cccc(C)n2)N1</v>
      </c>
      <c r="C12588" s="7">
        <f>IFERROR(__xludf.DUMMYFUNCTION("""COMPUTED_VALUE"""),7.757421)</f>
        <v>7.757421</v>
      </c>
      <c r="D12588" s="7">
        <f>IFERROR(__xludf.DUMMYFUNCTION("""COMPUTED_VALUE"""),0.431372549019607)</f>
        <v>0.431372549</v>
      </c>
    </row>
    <row r="12589">
      <c r="A12589" s="10" t="s">
        <v>14028</v>
      </c>
      <c r="B12589" s="7" t="str">
        <f>IFERROR(__xludf.DUMMYFUNCTION("SPLIT(A12589,"" "")"),"CN(C)Cc1ccc2cccc(N(C)Cc3cccc(N(C)Cc4ncccc4-c4ccc5c(c4)OCCOCCOCCOCCOCCO5)n3)c2n1")</f>
        <v>CN(C)Cc1ccc2cccc(N(C)Cc3cccc(N(C)Cc4ncccc4-c4ccc5c(c4)OCCOCCOCCOCCOCCO5)n3)c2n1</v>
      </c>
      <c r="C12589" s="7">
        <f>IFERROR(__xludf.DUMMYFUNCTION("""COMPUTED_VALUE"""),7.7574153)</f>
        <v>7.7574153</v>
      </c>
      <c r="D12589" s="7">
        <f>IFERROR(__xludf.DUMMYFUNCTION("""COMPUTED_VALUE"""),0.314285714285714)</f>
        <v>0.3142857143</v>
      </c>
    </row>
    <row r="12590">
      <c r="A12590" s="10" t="s">
        <v>14029</v>
      </c>
      <c r="B12590" s="7" t="str">
        <f>IFERROR(__xludf.DUMMYFUNCTION("SPLIT(A12590,"" "")"),"Cc1cccnc1CN(Cc1ccc(C2=CC3(C=CNC(C(C)C)=C3)C(c3ccc(CN(Cc4ccccn4)Cc4ccccn4)cn3)C(C)(C)C2)nc1)Cc1ccccn1")</f>
        <v>Cc1cccnc1CN(Cc1ccc(C2=CC3(C=CNC(C(C)C)=C3)C(c3ccc(CN(Cc4ccccn4)Cc4ccccn4)cn3)C(C)(C)C2)nc1)Cc1ccccn1</v>
      </c>
      <c r="C12590" s="7">
        <f>IFERROR(__xludf.DUMMYFUNCTION("""COMPUTED_VALUE"""),7.757414)</f>
        <v>7.757414</v>
      </c>
      <c r="D12590" s="7">
        <f>IFERROR(__xludf.DUMMYFUNCTION("""COMPUTED_VALUE"""),0.285714285714285)</f>
        <v>0.2857142857</v>
      </c>
    </row>
    <row r="12591">
      <c r="A12591" s="10" t="s">
        <v>14030</v>
      </c>
      <c r="B12591" s="7" t="str">
        <f>IFERROR(__xludf.DUMMYFUNCTION("SPLIT(A12591,"" "")"),"CC(C)N(CC(C)(C)C)C(C)(N)N(Cc1ccccn1)CN(C)c1cccc2ncccc12")</f>
        <v>CC(C)N(CC(C)(C)C)C(C)(N)N(Cc1ccccn1)CN(C)c1cccc2ncccc12</v>
      </c>
      <c r="C12591" s="7">
        <f>IFERROR(__xludf.DUMMYFUNCTION("""COMPUTED_VALUE"""),7.7574115)</f>
        <v>7.7574115</v>
      </c>
      <c r="D12591" s="7">
        <f>IFERROR(__xludf.DUMMYFUNCTION("""COMPUTED_VALUE"""),0.383333333333333)</f>
        <v>0.3833333333</v>
      </c>
    </row>
    <row r="12592">
      <c r="A12592" s="10" t="s">
        <v>14031</v>
      </c>
      <c r="B12592" s="7" t="str">
        <f>IFERROR(__xludf.DUMMYFUNCTION("SPLIT(A12592,"" "")"),"Cc1ccc(CN(C)CC2=C(N(C)Cc3ccccn3)NC=CC2)nc1")</f>
        <v>Cc1ccc(CN(C)CC2=C(N(C)Cc3ccccn3)NC=CC2)nc1</v>
      </c>
      <c r="C12592" s="7">
        <f>IFERROR(__xludf.DUMMYFUNCTION("""COMPUTED_VALUE"""),7.7574077)</f>
        <v>7.7574077</v>
      </c>
      <c r="D12592" s="7">
        <f>IFERROR(__xludf.DUMMYFUNCTION("""COMPUTED_VALUE"""),0.431372549019607)</f>
        <v>0.431372549</v>
      </c>
    </row>
    <row r="12593">
      <c r="A12593" s="10" t="s">
        <v>14032</v>
      </c>
      <c r="B12593" s="7" t="str">
        <f>IFERROR(__xludf.DUMMYFUNCTION("SPLIT(A12593,"" "")"),"Cc1ccc(C(C)(C)c2cccc(CN(Cc3ccccn3)C3CCCCC3N(C)c3ccc4nccc(CF)c4c3)n2)cc1")</f>
        <v>Cc1ccc(C(C)(C)c2cccc(CN(Cc3ccccn3)C3CCCCC3N(C)c3ccc4nccc(CF)c4c3)n2)cc1</v>
      </c>
      <c r="C12593" s="7">
        <f>IFERROR(__xludf.DUMMYFUNCTION("""COMPUTED_VALUE"""),7.7574077)</f>
        <v>7.7574077</v>
      </c>
      <c r="D12593" s="7">
        <f>IFERROR(__xludf.DUMMYFUNCTION("""COMPUTED_VALUE"""),0.351351351351351)</f>
        <v>0.3513513514</v>
      </c>
    </row>
    <row r="12594">
      <c r="A12594" s="10" t="s">
        <v>14033</v>
      </c>
      <c r="B12594" s="7" t="str">
        <f>IFERROR(__xludf.DUMMYFUNCTION("SPLIT(A12594,"" "")"),"Cc1cc(C)c(CN(Cc2cc(C(C)(C)N(Cc3cc(C)c(C)c(C)n3)Cc3cc(C)c(C)c(C)n3)ccn2)C2CCCC(N(C)Cc3cc(-c4ccccn4)ccn3)C2)nc1C")</f>
        <v>Cc1cc(C)c(CN(Cc2cc(C(C)(C)N(Cc3cc(C)c(C)c(C)n3)Cc3cc(C)c(C)c(C)n3)ccn2)C2CCCC(N(C)Cc3cc(-c4ccccn4)ccn3)C2)nc1C</v>
      </c>
      <c r="C12594" s="7">
        <f>IFERROR(__xludf.DUMMYFUNCTION("""COMPUTED_VALUE"""),7.757404)</f>
        <v>7.757404</v>
      </c>
      <c r="D12594" s="7">
        <f>IFERROR(__xludf.DUMMYFUNCTION("""COMPUTED_VALUE"""),0.28395061728395)</f>
        <v>0.2839506173</v>
      </c>
    </row>
    <row r="12595">
      <c r="A12595" s="10" t="s">
        <v>14034</v>
      </c>
      <c r="B12595" s="7" t="str">
        <f>IFERROR(__xludf.DUMMYFUNCTION("SPLIT(A12595,"" "")"),"Cc1ccnc(C)c1C")</f>
        <v>Cc1ccnc(C)c1C</v>
      </c>
      <c r="C12595" s="7">
        <f>IFERROR(__xludf.DUMMYFUNCTION("""COMPUTED_VALUE"""),7.757401)</f>
        <v>7.757401</v>
      </c>
      <c r="D12595" s="7">
        <f>IFERROR(__xludf.DUMMYFUNCTION("""COMPUTED_VALUE"""),0.236842105263157)</f>
        <v>0.2368421053</v>
      </c>
    </row>
    <row r="12596">
      <c r="A12596" s="10" t="s">
        <v>14035</v>
      </c>
      <c r="B12596" s="7" t="str">
        <f>IFERROR(__xludf.DUMMYFUNCTION("SPLIT(A12596,"" "")"),"Cc1cc(C)c(CN(C)C2=CCC=C(CN(C)C(C)C)N2)nc1C")</f>
        <v>Cc1cc(C)c(CN(C)C2=CCC=C(CN(C)C(C)C)N2)nc1C</v>
      </c>
      <c r="C12596" s="7">
        <f>IFERROR(__xludf.DUMMYFUNCTION("""COMPUTED_VALUE"""),7.757392)</f>
        <v>7.757392</v>
      </c>
      <c r="D12596" s="7">
        <f>IFERROR(__xludf.DUMMYFUNCTION("""COMPUTED_VALUE"""),0.181818181818181)</f>
        <v>0.1818181818</v>
      </c>
    </row>
    <row r="12597">
      <c r="A12597" s="10" t="s">
        <v>14036</v>
      </c>
      <c r="B12597" s="7" t="str">
        <f>IFERROR(__xludf.DUMMYFUNCTION("SPLIT(A12597,"" "")"),"CCN(Cc1ccccn1)c1ncccc1CN(Cc1ncccc1C)Cc1ncccc1F")</f>
        <v>CCN(Cc1ccccn1)c1ncccc1CN(Cc1ncccc1C)Cc1ncccc1F</v>
      </c>
      <c r="C12597" s="7">
        <f>IFERROR(__xludf.DUMMYFUNCTION("""COMPUTED_VALUE"""),7.7573915)</f>
        <v>7.7573915</v>
      </c>
      <c r="D12597" s="7">
        <f>IFERROR(__xludf.DUMMYFUNCTION("""COMPUTED_VALUE"""),0.387755102040816)</f>
        <v>0.387755102</v>
      </c>
    </row>
    <row r="12598">
      <c r="A12598" s="10" t="s">
        <v>14037</v>
      </c>
      <c r="B12598" s="7" t="str">
        <f>IFERROR(__xludf.DUMMYFUNCTION("SPLIT(A12598,"" "")"),"Cc1cc(C(C)(C)C)ccc1NCc1ccccn1")</f>
        <v>Cc1cc(C(C)(C)C)ccc1NCc1ccccn1</v>
      </c>
      <c r="C12598" s="7">
        <f>IFERROR(__xludf.DUMMYFUNCTION("""COMPUTED_VALUE"""),7.757389)</f>
        <v>7.757389</v>
      </c>
      <c r="D12598" s="7">
        <f>IFERROR(__xludf.DUMMYFUNCTION("""COMPUTED_VALUE"""),0.425)</f>
        <v>0.425</v>
      </c>
    </row>
    <row r="12599">
      <c r="A12599" s="10" t="s">
        <v>14038</v>
      </c>
      <c r="B12599" s="7" t="str">
        <f>IFERROR(__xludf.DUMMYFUNCTION("SPLIT(A12599,"" "")"),"CNCc1cccc(CN(Cc2ccccn2)C2=CCC=C(CN(C)Cc3ccccn3)N2)n1")</f>
        <v>CNCc1cccc(CN(Cc2ccccn2)C2=CCC=C(CN(C)Cc3ccccn3)N2)n1</v>
      </c>
      <c r="C12599" s="7">
        <f>IFERROR(__xludf.DUMMYFUNCTION("""COMPUTED_VALUE"""),7.757388)</f>
        <v>7.757388</v>
      </c>
      <c r="D12599" s="7">
        <f>IFERROR(__xludf.DUMMYFUNCTION("""COMPUTED_VALUE"""),0.446428571428571)</f>
        <v>0.4464285714</v>
      </c>
    </row>
    <row r="12600">
      <c r="A12600" s="10" t="s">
        <v>14039</v>
      </c>
      <c r="B12600" s="7" t="str">
        <f>IFERROR(__xludf.DUMMYFUNCTION("SPLIT(A12600,"" "")"),"Cc1cnc(C)c(CN(C)CC2=C(N(C)Cc3ccccn3)CC=CN2)c1")</f>
        <v>Cc1cnc(C)c(CN(C)CC2=C(N(C)Cc3ccccn3)CC=CN2)c1</v>
      </c>
      <c r="C12600" s="7">
        <f>IFERROR(__xludf.DUMMYFUNCTION("""COMPUTED_VALUE"""),7.7573876)</f>
        <v>7.7573876</v>
      </c>
      <c r="D12600" s="7">
        <f>IFERROR(__xludf.DUMMYFUNCTION("""COMPUTED_VALUE"""),0.372881355932203)</f>
        <v>0.3728813559</v>
      </c>
    </row>
    <row r="12601">
      <c r="A12601" s="10" t="s">
        <v>14040</v>
      </c>
      <c r="B12601" s="7" t="str">
        <f>IFERROR(__xludf.DUMMYFUNCTION("SPLIT(A12601,"" "")"),"CNCC1=C(N(C)Cc2cc(C)c(C)c(C)n2)CC=CN1")</f>
        <v>CNCC1=C(N(C)Cc2cc(C)c(C)c(C)n2)CC=CN1</v>
      </c>
      <c r="C12601" s="7">
        <f>IFERROR(__xludf.DUMMYFUNCTION("""COMPUTED_VALUE"""),7.7573853)</f>
        <v>7.7573853</v>
      </c>
      <c r="D12601" s="7">
        <f>IFERROR(__xludf.DUMMYFUNCTION("""COMPUTED_VALUE"""),0.196969696969696)</f>
        <v>0.196969697</v>
      </c>
    </row>
    <row r="12602">
      <c r="A12602" s="10" t="s">
        <v>14041</v>
      </c>
      <c r="B12602" s="7" t="str">
        <f>IFERROR(__xludf.DUMMYFUNCTION("SPLIT(A12602,"" "")"),"Cc1ccc(CN(Cc2ccccn2)Cc2ncccc2C(C)(C)c2ccccn2)nc1")</f>
        <v>Cc1ccc(CN(Cc2ccccn2)Cc2ncccc2C(C)(C)c2ccccn2)nc1</v>
      </c>
      <c r="C12602" s="7">
        <f>IFERROR(__xludf.DUMMYFUNCTION("""COMPUTED_VALUE"""),7.7573786)</f>
        <v>7.7573786</v>
      </c>
      <c r="D12602" s="7">
        <f>IFERROR(__xludf.DUMMYFUNCTION("""COMPUTED_VALUE"""),0.444444444444444)</f>
        <v>0.4444444444</v>
      </c>
    </row>
    <row r="12603">
      <c r="A12603" s="10" t="s">
        <v>14042</v>
      </c>
      <c r="B12603" s="7" t="str">
        <f>IFERROR(__xludf.DUMMYFUNCTION("SPLIT(A12603,"" "")"),"Cc1ccc(CN(C)C2=C(CN(Cc3ccccn3)Cc3ccccn3)NC=CC2)nc1")</f>
        <v>Cc1ccc(CN(C)C2=C(CN(Cc3ccccn3)Cc3ccccn3)NC=CC2)nc1</v>
      </c>
      <c r="C12603" s="7">
        <f>IFERROR(__xludf.DUMMYFUNCTION("""COMPUTED_VALUE"""),7.7573776)</f>
        <v>7.7573776</v>
      </c>
      <c r="D12603" s="7">
        <f>IFERROR(__xludf.DUMMYFUNCTION("""COMPUTED_VALUE"""),0.456140350877192)</f>
        <v>0.4561403509</v>
      </c>
    </row>
    <row r="12604">
      <c r="A12604" s="10" t="s">
        <v>14043</v>
      </c>
      <c r="B12604" s="7" t="str">
        <f>IFERROR(__xludf.DUMMYFUNCTION("SPLIT(A12604,"" "")"),"Cc1cccnc1CN(C)CC1=CCC(N(C)Cc2cncc(C)c2C)=CN1")</f>
        <v>Cc1cccnc1CN(C)CC1=CCC(N(C)Cc2cncc(C)c2C)=CN1</v>
      </c>
      <c r="C12604" s="7">
        <f>IFERROR(__xludf.DUMMYFUNCTION("""COMPUTED_VALUE"""),7.757369)</f>
        <v>7.757369</v>
      </c>
      <c r="D12604" s="7">
        <f>IFERROR(__xludf.DUMMYFUNCTION("""COMPUTED_VALUE"""),0.285714285714285)</f>
        <v>0.2857142857</v>
      </c>
    </row>
    <row r="12605">
      <c r="A12605" s="10" t="s">
        <v>14044</v>
      </c>
      <c r="B12605" s="7" t="str">
        <f>IFERROR(__xludf.DUMMYFUNCTION("SPLIT(A12605,"" "")"),"Cc1ccnc(CN(Cc2ccon2)Cc2cc(C)cnc2C)c1")</f>
        <v>Cc1ccnc(CN(Cc2ccon2)Cc2cc(C)cnc2C)c1</v>
      </c>
      <c r="C12605" s="7">
        <f>IFERROR(__xludf.DUMMYFUNCTION("""COMPUTED_VALUE"""),7.757369)</f>
        <v>7.757369</v>
      </c>
      <c r="D12605" s="7">
        <f>IFERROR(__xludf.DUMMYFUNCTION("""COMPUTED_VALUE"""),0.382978723404255)</f>
        <v>0.3829787234</v>
      </c>
    </row>
    <row r="12606">
      <c r="A12606" s="10" t="s">
        <v>14045</v>
      </c>
      <c r="B12606" s="7" t="str">
        <f>IFERROR(__xludf.DUMMYFUNCTION("SPLIT(A12606,"" "")"),"Cc1ccnc(CN(C)CC2=CCC(N(C)Cc3cc(C)ccn3)=CN2)c1")</f>
        <v>Cc1ccnc(CN(C)CC2=CCC(N(C)Cc3cc(C)ccn3)=CN2)c1</v>
      </c>
      <c r="C12606" s="7">
        <f>IFERROR(__xludf.DUMMYFUNCTION("""COMPUTED_VALUE"""),7.757362)</f>
        <v>7.757362</v>
      </c>
      <c r="D12606" s="7">
        <f>IFERROR(__xludf.DUMMYFUNCTION("""COMPUTED_VALUE"""),0.358490566037735)</f>
        <v>0.358490566</v>
      </c>
    </row>
    <row r="12607">
      <c r="A12607" s="10" t="s">
        <v>14046</v>
      </c>
      <c r="B12607" s="7" t="str">
        <f>IFERROR(__xludf.DUMMYFUNCTION("SPLIT(A12607,"" "")"),"CN(c1cccc2nccc(CF)c12)C1CCCC(N(Cc2ccc(N)cn2)Cc2cccnc2F)C1")</f>
        <v>CN(c1cccc2nccc(CF)c12)C1CCCC(N(Cc2ccc(N)cn2)Cc2cccnc2F)C1</v>
      </c>
      <c r="C12607" s="7">
        <f>IFERROR(__xludf.DUMMYFUNCTION("""COMPUTED_VALUE"""),7.757357)</f>
        <v>7.757357</v>
      </c>
      <c r="D12607" s="7">
        <f>IFERROR(__xludf.DUMMYFUNCTION("""COMPUTED_VALUE"""),0.278481012658227)</f>
        <v>0.2784810127</v>
      </c>
    </row>
    <row r="12608">
      <c r="A12608" s="10" t="s">
        <v>14047</v>
      </c>
      <c r="B12608" s="7" t="str">
        <f>IFERROR(__xludf.DUMMYFUNCTION("SPLIT(A12608,"" "")"),"CNCc1ncccc1N(C)Cc1cccnc1")</f>
        <v>CNCc1ncccc1N(C)Cc1cccnc1</v>
      </c>
      <c r="C12608" s="7">
        <f>IFERROR(__xludf.DUMMYFUNCTION("""COMPUTED_VALUE"""),7.7573485)</f>
        <v>7.7573485</v>
      </c>
      <c r="D12608" s="7">
        <f>IFERROR(__xludf.DUMMYFUNCTION("""COMPUTED_VALUE"""),0.346938775510204)</f>
        <v>0.3469387755</v>
      </c>
    </row>
    <row r="12609">
      <c r="A12609" s="10" t="s">
        <v>14048</v>
      </c>
      <c r="B12609" s="7" t="str">
        <f>IFERROR(__xludf.DUMMYFUNCTION("SPLIT(A12609,"" "")"),"CN(CCN)Cc1cncc(-c2ccccc2N)c1")</f>
        <v>CN(CCN)Cc1cncc(-c2ccccc2N)c1</v>
      </c>
      <c r="C12609" s="7">
        <f>IFERROR(__xludf.DUMMYFUNCTION("""COMPUTED_VALUE"""),7.757348)</f>
        <v>7.757348</v>
      </c>
      <c r="D12609" s="7">
        <f>IFERROR(__xludf.DUMMYFUNCTION("""COMPUTED_VALUE"""),0.265306122448979)</f>
        <v>0.2653061224</v>
      </c>
    </row>
    <row r="12610">
      <c r="A12610" s="10" t="s">
        <v>14049</v>
      </c>
      <c r="B12610" s="7" t="str">
        <f>IFERROR(__xludf.DUMMYFUNCTION("SPLIT(A12610,"" "")"),"CC(C)C1(C)N=COC1c1ncccc1C1=NC(C)(C)CO1")</f>
        <v>CC(C)C1(C)N=COC1c1ncccc1C1=NC(C)(C)CO1</v>
      </c>
      <c r="C12610" s="7">
        <f>IFERROR(__xludf.DUMMYFUNCTION("""COMPUTED_VALUE"""),7.757345)</f>
        <v>7.757345</v>
      </c>
      <c r="D12610" s="7">
        <f>IFERROR(__xludf.DUMMYFUNCTION("""COMPUTED_VALUE"""),0.365384615384615)</f>
        <v>0.3653846154</v>
      </c>
    </row>
    <row r="12611">
      <c r="A12611" s="10" t="s">
        <v>14050</v>
      </c>
      <c r="B12611" s="7" t="str">
        <f>IFERROR(__xludf.DUMMYFUNCTION("SPLIT(A12611,"" "")"),"Cc1cc(C)c(CN(Cc2ccccn2)C2CCCC(N(C)c3ccc4cccnc4c3)C2)nc1C")</f>
        <v>Cc1cc(C)c(CN(Cc2ccccn2)C2CCCC(N(C)c3ccc4cccnc4c3)C2)nc1C</v>
      </c>
      <c r="C12611" s="7">
        <f>IFERROR(__xludf.DUMMYFUNCTION("""COMPUTED_VALUE"""),7.757338)</f>
        <v>7.757338</v>
      </c>
      <c r="D12611" s="7">
        <f>IFERROR(__xludf.DUMMYFUNCTION("""COMPUTED_VALUE"""),0.353846153846153)</f>
        <v>0.3538461538</v>
      </c>
    </row>
    <row r="12612">
      <c r="A12612" s="10" t="s">
        <v>14051</v>
      </c>
      <c r="B12612" s="7" t="str">
        <f>IFERROR(__xludf.DUMMYFUNCTION("SPLIT(A12612,"" "")"),"CN(C1=CCC=CN1)C1CCCC(N(C)c2cccc3ncccc23)C1")</f>
        <v>CN(C1=CCC=CN1)C1CCCC(N(C)c2cccc3ncccc23)C1</v>
      </c>
      <c r="C12612" s="7">
        <f>IFERROR(__xludf.DUMMYFUNCTION("""COMPUTED_VALUE"""),7.7573357)</f>
        <v>7.7573357</v>
      </c>
      <c r="D12612" s="7">
        <f>IFERROR(__xludf.DUMMYFUNCTION("""COMPUTED_VALUE"""),0.333333333333333)</f>
        <v>0.3333333333</v>
      </c>
    </row>
    <row r="12613">
      <c r="A12613" s="10" t="s">
        <v>14052</v>
      </c>
      <c r="B12613" s="7" t="str">
        <f>IFERROR(__xludf.DUMMYFUNCTION("SPLIT(A12613,"" "")"),"Cc1cccc(CN(Cc2ccccn2)C2CCC(N(C)c3ccc4nccc(C)c4c3)CC2)n1")</f>
        <v>Cc1cccc(CN(Cc2ccccn2)C2CCC(N(C)c3ccc4nccc(C)c4c3)CC2)n1</v>
      </c>
      <c r="C12613" s="7">
        <f>IFERROR(__xludf.DUMMYFUNCTION("""COMPUTED_VALUE"""),7.7573338)</f>
        <v>7.7573338</v>
      </c>
      <c r="D12613" s="7">
        <f>IFERROR(__xludf.DUMMYFUNCTION("""COMPUTED_VALUE"""),0.370967741935483)</f>
        <v>0.3709677419</v>
      </c>
    </row>
    <row r="12614">
      <c r="A12614" s="10" t="s">
        <v>14053</v>
      </c>
      <c r="B12614" s="7" t="str">
        <f>IFERROR(__xludf.DUMMYFUNCTION("SPLIT(A12614,"" "")"),"Cc1cncc(CN(Cc2ccccc2N=Cc2ccccn2)C(C)C)c1")</f>
        <v>Cc1cncc(CN(Cc2ccccc2N=Cc2ccccn2)C(C)C)c1</v>
      </c>
      <c r="C12614" s="7">
        <f>IFERROR(__xludf.DUMMYFUNCTION("""COMPUTED_VALUE"""),7.757332)</f>
        <v>7.757332</v>
      </c>
      <c r="D12614" s="7">
        <f>IFERROR(__xludf.DUMMYFUNCTION("""COMPUTED_VALUE"""),0.421052631578947)</f>
        <v>0.4210526316</v>
      </c>
    </row>
    <row r="12615">
      <c r="A12615" s="10" t="s">
        <v>14054</v>
      </c>
      <c r="B12615" s="7" t="str">
        <f>IFERROR(__xludf.DUMMYFUNCTION("SPLIT(A12615,"" "")"),"Cc1cc(NCc2ccccn2)ccc1CN(Cc1ccccn1)C1CCCC(N(C)c2cccc3ncccc23)C1")</f>
        <v>Cc1cc(NCc2ccccn2)ccc1CN(Cc1ccccn1)C1CCCC(N(C)c2cccc3ncccc23)C1</v>
      </c>
      <c r="C12615" s="7">
        <f>IFERROR(__xludf.DUMMYFUNCTION("""COMPUTED_VALUE"""),7.7573285)</f>
        <v>7.7573285</v>
      </c>
      <c r="D12615" s="7">
        <f>IFERROR(__xludf.DUMMYFUNCTION("""COMPUTED_VALUE"""),0.323943661971831)</f>
        <v>0.323943662</v>
      </c>
    </row>
    <row r="12616">
      <c r="A12616" s="10" t="s">
        <v>14055</v>
      </c>
      <c r="B12616" s="7" t="str">
        <f>IFERROR(__xludf.DUMMYFUNCTION("SPLIT(A12616,"" "")"),"c1ccc(-c2ccc3c(n2)CCCC3)nc1")</f>
        <v>c1ccc(-c2ccc3c(n2)CCCC3)nc1</v>
      </c>
      <c r="C12616" s="7">
        <f>IFERROR(__xludf.DUMMYFUNCTION("""COMPUTED_VALUE"""),7.757328)</f>
        <v>7.757328</v>
      </c>
      <c r="D12616" s="7">
        <f>IFERROR(__xludf.DUMMYFUNCTION("""COMPUTED_VALUE"""),0.395348837209302)</f>
        <v>0.3953488372</v>
      </c>
    </row>
    <row r="12617">
      <c r="A12617" s="10" t="s">
        <v>14056</v>
      </c>
      <c r="B12617" s="7" t="str">
        <f>IFERROR(__xludf.DUMMYFUNCTION("SPLIT(A12617,"" "")"),"Cc1nc(CN(Cc2cc(C(C)(C)C)ccn2)C(C)C)c(C)c(C)c1C")</f>
        <v>Cc1nc(CN(Cc2cc(C(C)(C)C)ccn2)C(C)C)c(C)c(C)c1C</v>
      </c>
      <c r="C12617" s="7">
        <f>IFERROR(__xludf.DUMMYFUNCTION("""COMPUTED_VALUE"""),7.757321)</f>
        <v>7.757321</v>
      </c>
      <c r="D12617" s="7">
        <f>IFERROR(__xludf.DUMMYFUNCTION("""COMPUTED_VALUE"""),0.36734693877551)</f>
        <v>0.3673469388</v>
      </c>
    </row>
    <row r="12618">
      <c r="A12618" s="10" t="s">
        <v>14057</v>
      </c>
      <c r="B12618" s="7" t="str">
        <f>IFERROR(__xludf.DUMMYFUNCTION("SPLIT(A12618,"" "")"),"CC1=CC(C)C(C)C(N(C)Cc2cccc(-c3cccc(N=Cc4ccccn4)c3)n2)C1")</f>
        <v>CC1=CC(C)C(C)C(N(C)Cc2cccc(-c3cccc(N=Cc4ccccn4)c3)n2)C1</v>
      </c>
      <c r="C12618" s="7">
        <f>IFERROR(__xludf.DUMMYFUNCTION("""COMPUTED_VALUE"""),7.7573013)</f>
        <v>7.7573013</v>
      </c>
      <c r="D12618" s="7">
        <f>IFERROR(__xludf.DUMMYFUNCTION("""COMPUTED_VALUE"""),0.364864864864864)</f>
        <v>0.3648648649</v>
      </c>
    </row>
    <row r="12619">
      <c r="A12619" s="10" t="s">
        <v>14058</v>
      </c>
      <c r="B12619" s="7" t="str">
        <f>IFERROR(__xludf.DUMMYFUNCTION("SPLIT(A12619,"" "")"),"CCN(Cc1ccccn1)C1=CCC=C(CN(C)Cc2cc(C)c(C)c(C)n2)N1")</f>
        <v>CCN(Cc1ccccn1)C1=CCC=C(CN(C)Cc2cc(C)c(C)c(C)n2)N1</v>
      </c>
      <c r="C12619" s="7">
        <f>IFERROR(__xludf.DUMMYFUNCTION("""COMPUTED_VALUE"""),7.7572994)</f>
        <v>7.7572994</v>
      </c>
      <c r="D12619" s="7">
        <f>IFERROR(__xludf.DUMMYFUNCTION("""COMPUTED_VALUE"""),0.370967741935483)</f>
        <v>0.3709677419</v>
      </c>
    </row>
    <row r="12620">
      <c r="A12620" s="10" t="s">
        <v>14059</v>
      </c>
      <c r="B12620" s="7" t="str">
        <f>IFERROR(__xludf.DUMMYFUNCTION("SPLIT(A12620,"" "")"),"Cc1ccc(C)c(N(C)CN)c1C")</f>
        <v>Cc1ccc(C)c(N(C)CN)c1C</v>
      </c>
      <c r="C12620" s="7">
        <f>IFERROR(__xludf.DUMMYFUNCTION("""COMPUTED_VALUE"""),7.757295)</f>
        <v>7.757295</v>
      </c>
      <c r="D12620" s="7">
        <f>IFERROR(__xludf.DUMMYFUNCTION("""COMPUTED_VALUE"""),0.205128205128205)</f>
        <v>0.2051282051</v>
      </c>
    </row>
    <row r="12621">
      <c r="A12621" s="10" t="s">
        <v>14060</v>
      </c>
      <c r="B12621" s="7" t="str">
        <f>IFERROR(__xludf.DUMMYFUNCTION("SPLIT(A12621,"" "")"),"Cc1cnc(CN(C)C2=CCC(CN(C)Cc3ccccn3)=CN2)c(C)c1C")</f>
        <v>Cc1cnc(CN(C)C2=CCC(CN(C)Cc3ccccn3)=CN2)c(C)c1C</v>
      </c>
      <c r="C12621" s="7">
        <f>IFERROR(__xludf.DUMMYFUNCTION("""COMPUTED_VALUE"""),7.757292)</f>
        <v>7.757292</v>
      </c>
      <c r="D12621" s="7">
        <f>IFERROR(__xludf.DUMMYFUNCTION("""COMPUTED_VALUE"""),0.372881355932203)</f>
        <v>0.3728813559</v>
      </c>
    </row>
    <row r="12622">
      <c r="A12622" s="10" t="s">
        <v>14061</v>
      </c>
      <c r="B12622" s="7" t="str">
        <f>IFERROR(__xludf.DUMMYFUNCTION("SPLIT(A12622,"" "")"),"CN1CCN(C)CCN(Cc2cccnc2-c2ccc(N)c3ncccc23)CC1")</f>
        <v>CN1CCN(C)CCN(Cc2cccnc2-c2ccc(N)c3ncccc23)CC1</v>
      </c>
      <c r="C12622" s="7">
        <f>IFERROR(__xludf.DUMMYFUNCTION("""COMPUTED_VALUE"""),7.757289)</f>
        <v>7.757289</v>
      </c>
      <c r="D12622" s="7">
        <f>IFERROR(__xludf.DUMMYFUNCTION("""COMPUTED_VALUE"""),0.42)</f>
        <v>0.42</v>
      </c>
    </row>
    <row r="12623">
      <c r="A12623" s="10" t="s">
        <v>14062</v>
      </c>
      <c r="B12623" s="7" t="str">
        <f>IFERROR(__xludf.DUMMYFUNCTION("SPLIT(A12623,"" "")"),"CCN(Cc1ccccn1)Cc1cccc(CN(Cc2ccccn2)C(C)(N)C2=C(N(C)Cc3cc(C)c(C)c(C)n3)CC=CN2)n1")</f>
        <v>CCN(Cc1ccccn1)Cc1cccc(CN(Cc2ccccn2)C(C)(N)C2=C(N(C)Cc3cc(C)c(C)c(C)n3)CC=CN2)n1</v>
      </c>
      <c r="C12623" s="7">
        <f>IFERROR(__xludf.DUMMYFUNCTION("""COMPUTED_VALUE"""),7.757285)</f>
        <v>7.757285</v>
      </c>
      <c r="D12623" s="7">
        <f>IFERROR(__xludf.DUMMYFUNCTION("""COMPUTED_VALUE"""),0.328947368421052)</f>
        <v>0.3289473684</v>
      </c>
    </row>
    <row r="12624">
      <c r="A12624" s="10" t="s">
        <v>14063</v>
      </c>
      <c r="B12624" s="7" t="str">
        <f>IFERROR(__xludf.DUMMYFUNCTION("SPLIT(A12624,"" "")"),"Cc1cccc(CN(C)CC2=CNC=C(N(C)Cc3ccccn3)C2)n1")</f>
        <v>Cc1cccc(CN(C)CC2=CNC=C(N(C)Cc3ccccn3)C2)n1</v>
      </c>
      <c r="C12624" s="7">
        <f>IFERROR(__xludf.DUMMYFUNCTION("""COMPUTED_VALUE"""),7.757281)</f>
        <v>7.757281</v>
      </c>
      <c r="D12624" s="7">
        <f>IFERROR(__xludf.DUMMYFUNCTION("""COMPUTED_VALUE"""),0.471698113207547)</f>
        <v>0.4716981132</v>
      </c>
    </row>
    <row r="12625">
      <c r="A12625" s="10" t="s">
        <v>14064</v>
      </c>
      <c r="B12625" s="7" t="str">
        <f>IFERROR(__xludf.DUMMYFUNCTION("SPLIT(A12625,"" "")"),"CCOC(=O)c1cccc(CN(Cc2ccccn2)C2CCCCC2N(C)c2ccc3ccc(CN(C)C)nc3c2)n1")</f>
        <v>CCOC(=O)c1cccc(CN(Cc2ccccn2)C2CCCCC2N(C)c2ccc3ccc(CN(C)C)nc3c2)n1</v>
      </c>
      <c r="C12625" s="7">
        <f>IFERROR(__xludf.DUMMYFUNCTION("""COMPUTED_VALUE"""),7.7572784)</f>
        <v>7.7572784</v>
      </c>
      <c r="D12625" s="7">
        <f>IFERROR(__xludf.DUMMYFUNCTION("""COMPUTED_VALUE"""),0.38235294117647)</f>
        <v>0.3823529412</v>
      </c>
    </row>
    <row r="12626">
      <c r="A12626" s="10" t="s">
        <v>14065</v>
      </c>
      <c r="B12626" s="7" t="str">
        <f>IFERROR(__xludf.DUMMYFUNCTION("SPLIT(A12626,"" "")"),"Cc1nc(CN(C)CC2=CCC=C(N(C)C(C)C)N2)c(C)c(C)c1C")</f>
        <v>Cc1nc(CN(C)CC2=CCC=C(N(C)C(C)C)N2)c(C)c(C)c1C</v>
      </c>
      <c r="C12626" s="7">
        <f>IFERROR(__xludf.DUMMYFUNCTION("""COMPUTED_VALUE"""),7.757265)</f>
        <v>7.757265</v>
      </c>
      <c r="D12626" s="7">
        <f>IFERROR(__xludf.DUMMYFUNCTION("""COMPUTED_VALUE"""),0.218181818181818)</f>
        <v>0.2181818182</v>
      </c>
    </row>
    <row r="12627">
      <c r="A12627" s="10" t="s">
        <v>14066</v>
      </c>
      <c r="B12627" s="7" t="str">
        <f>IFERROR(__xludf.DUMMYFUNCTION("SPLIT(A12627,"" "")"),"CC(C)C1=CC2(C=CN1)C=C(c1ccc(CN(Cc3ccccn3)Cc3ncccc3N)cn1)CC(C)(C)C2c1ccc(CN(Cc2ccccn2)Cc2ccccn2)cn1")</f>
        <v>CC(C)C1=CC2(C=CN1)C=C(c1ccc(CN(Cc3ccccn3)Cc3ncccc3N)cn1)CC(C)(C)C2c1ccc(CN(Cc2ccccn2)Cc2ccccn2)cn1</v>
      </c>
      <c r="C12627" s="7">
        <f>IFERROR(__xludf.DUMMYFUNCTION("""COMPUTED_VALUE"""),7.757262)</f>
        <v>7.757262</v>
      </c>
      <c r="D12627" s="7">
        <f>IFERROR(__xludf.DUMMYFUNCTION("""COMPUTED_VALUE"""),0.28235294117647)</f>
        <v>0.2823529412</v>
      </c>
    </row>
    <row r="12628">
      <c r="A12628" s="10" t="s">
        <v>14067</v>
      </c>
      <c r="B12628" s="7" t="str">
        <f>IFERROR(__xludf.DUMMYFUNCTION("SPLIT(A12628,"" "")"),"Cc1cc(NCc2ccccn2)ccc1CN(C)Cc1ccc(N)cn1")</f>
        <v>Cc1cc(NCc2ccccn2)ccc1CN(C)Cc1ccc(N)cn1</v>
      </c>
      <c r="C12628" s="7">
        <f>IFERROR(__xludf.DUMMYFUNCTION("""COMPUTED_VALUE"""),7.7572556)</f>
        <v>7.7572556</v>
      </c>
      <c r="D12628" s="7">
        <f>IFERROR(__xludf.DUMMYFUNCTION("""COMPUTED_VALUE"""),0.379310344827586)</f>
        <v>0.3793103448</v>
      </c>
    </row>
    <row r="12629">
      <c r="A12629" s="10" t="s">
        <v>14068</v>
      </c>
      <c r="B12629" s="7" t="str">
        <f>IFERROR(__xludf.DUMMYFUNCTION("SPLIT(A12629,"" "")"),"CN(Cc1ncccc1CF)Cc1ncccc1C1C=C(c2ccccn2)CC(c2ccccn2)C1")</f>
        <v>CN(Cc1ncccc1CF)Cc1ncccc1C1C=C(c2ccccn2)CC(c2ccccn2)C1</v>
      </c>
      <c r="C12629" s="7">
        <f>IFERROR(__xludf.DUMMYFUNCTION("""COMPUTED_VALUE"""),7.757248)</f>
        <v>7.757248</v>
      </c>
      <c r="D12629" s="7">
        <f>IFERROR(__xludf.DUMMYFUNCTION("""COMPUTED_VALUE"""),0.333333333333333)</f>
        <v>0.3333333333</v>
      </c>
    </row>
    <row r="12630">
      <c r="A12630" s="10" t="s">
        <v>14069</v>
      </c>
      <c r="B12630" s="7" t="str">
        <f>IFERROR(__xludf.DUMMYFUNCTION("SPLIT(A12630,"" "")"),"Cc1cnccc1CN(C)CC1=C(N(C)Cc2ncccc2C)CC=CN1")</f>
        <v>Cc1cnccc1CN(C)CC1=C(N(C)Cc2ncccc2C)CC=CN1</v>
      </c>
      <c r="C12630" s="7">
        <f>IFERROR(__xludf.DUMMYFUNCTION("""COMPUTED_VALUE"""),7.7572384)</f>
        <v>7.7572384</v>
      </c>
      <c r="D12630" s="7">
        <f>IFERROR(__xludf.DUMMYFUNCTION("""COMPUTED_VALUE"""),0.269841269841269)</f>
        <v>0.2698412698</v>
      </c>
    </row>
    <row r="12631">
      <c r="A12631" s="10" t="s">
        <v>14070</v>
      </c>
      <c r="B12631" s="7" t="str">
        <f>IFERROR(__xludf.DUMMYFUNCTION("SPLIT(A12631,"" "")"),"Cc1cnc(CN(Cc2ncccc2C)C2CCCCC2N(C)c2cccc3nccc(CF)c23)c(C)c1")</f>
        <v>Cc1cnc(CN(Cc2ncccc2C)C2CCCCC2N(C)c2cccc3nccc(CF)c23)c(C)c1</v>
      </c>
      <c r="C12631" s="7">
        <f>IFERROR(__xludf.DUMMYFUNCTION("""COMPUTED_VALUE"""),7.757234)</f>
        <v>7.757234</v>
      </c>
      <c r="D12631" s="7">
        <f>IFERROR(__xludf.DUMMYFUNCTION("""COMPUTED_VALUE"""),0.367647058823529)</f>
        <v>0.3676470588</v>
      </c>
    </row>
    <row r="12632">
      <c r="A12632" s="10" t="s">
        <v>14071</v>
      </c>
      <c r="B12632" s="7" t="str">
        <f>IFERROR(__xludf.DUMMYFUNCTION("SPLIT(A12632,"" "")"),"CNC1CCC(N(Cc2nc(C)c(C)c(C)c2C)Cc2nc(C)c(C)c(C)c2C)C(N(Cc2ncc(C)cc2C)Cc2nc(C)c(C)c(C)c2C)C1N(Cc1nc(C)c(C)c(C)c1C)Cc1nc(C)c(C)c(C)c1C")</f>
        <v>CNC1CCC(N(Cc2nc(C)c(C)c(C)c2C)Cc2nc(C)c(C)c(C)c2C)C(N(Cc2ncc(C)cc2C)Cc2nc(C)c(C)c(C)c2C)C1N(Cc1nc(C)c(C)c(C)c1C)Cc1nc(C)c(C)c(C)c1C</v>
      </c>
      <c r="C12632" s="7">
        <f>IFERROR(__xludf.DUMMYFUNCTION("""COMPUTED_VALUE"""),7.757226)</f>
        <v>7.757226</v>
      </c>
      <c r="D12632" s="7">
        <f>IFERROR(__xludf.DUMMYFUNCTION("""COMPUTED_VALUE"""),0.25)</f>
        <v>0.25</v>
      </c>
    </row>
    <row r="12633">
      <c r="A12633" s="10" t="s">
        <v>14072</v>
      </c>
      <c r="B12633" s="7" t="str">
        <f>IFERROR(__xludf.DUMMYFUNCTION("SPLIT(A12633,"" "")"),"Cc1cncc(CN(C)Cc2cccc(N(C)C(C)(C)c3cccnc3)n2)c1C")</f>
        <v>Cc1cncc(CN(C)Cc2cccc(N(C)C(C)(C)c3cccnc3)n2)c1C</v>
      </c>
      <c r="C12633" s="7">
        <f>IFERROR(__xludf.DUMMYFUNCTION("""COMPUTED_VALUE"""),7.7572255)</f>
        <v>7.7572255</v>
      </c>
      <c r="D12633" s="7">
        <f>IFERROR(__xludf.DUMMYFUNCTION("""COMPUTED_VALUE"""),0.321428571428571)</f>
        <v>0.3214285714</v>
      </c>
    </row>
    <row r="12634">
      <c r="A12634" s="10" t="s">
        <v>14073</v>
      </c>
      <c r="B12634" s="7" t="str">
        <f>IFERROR(__xludf.DUMMYFUNCTION("SPLIT(A12634,"" "")"),"CC1C=CC(C)(C)C(C)(c2cc(CN(Cc3ccccn3)Cc3ccc(-c4cccc(N(C)C)c4)cn3)ccn2)C1C")</f>
        <v>CC1C=CC(C)(C)C(C)(c2cc(CN(Cc3ccccn3)Cc3ccc(-c4cccc(N(C)C)c4)cn3)ccn2)C1C</v>
      </c>
      <c r="C12634" s="7">
        <f>IFERROR(__xludf.DUMMYFUNCTION("""COMPUTED_VALUE"""),7.757225)</f>
        <v>7.757225</v>
      </c>
      <c r="D12634" s="7">
        <f>IFERROR(__xludf.DUMMYFUNCTION("""COMPUTED_VALUE"""),0.32051282051282)</f>
        <v>0.3205128205</v>
      </c>
    </row>
    <row r="12635">
      <c r="A12635" s="10" t="s">
        <v>14074</v>
      </c>
      <c r="B12635" s="7" t="str">
        <f>IFERROR(__xludf.DUMMYFUNCTION("SPLIT(A12635,"" "")"),"CN(CC1=CCC=C(N(C)Cc2ncccc2C(C)(C)C)N1)Cc1ccccn1")</f>
        <v>CN(CC1=CCC=C(N(C)Cc2ncccc2C(C)(C)C)N1)Cc1ccccn1</v>
      </c>
      <c r="C12635" s="7">
        <f>IFERROR(__xludf.DUMMYFUNCTION("""COMPUTED_VALUE"""),7.757205)</f>
        <v>7.757205</v>
      </c>
      <c r="D12635" s="7">
        <f>IFERROR(__xludf.DUMMYFUNCTION("""COMPUTED_VALUE"""),0.372881355932203)</f>
        <v>0.3728813559</v>
      </c>
    </row>
    <row r="12636">
      <c r="A12636" s="10" t="s">
        <v>14075</v>
      </c>
      <c r="B12636" s="7" t="str">
        <f>IFERROR(__xludf.DUMMYFUNCTION("SPLIT(A12636,"" "")"),"CN(c1ccc2nc(CF)ccc2c1)C1CCCCC1N(Cc1ccccn1)c1ccccc1F")</f>
        <v>CN(c1ccc2nc(CF)ccc2c1)C1CCCCC1N(Cc1ccccn1)c1ccccc1F</v>
      </c>
      <c r="C12636" s="7">
        <f>IFERROR(__xludf.DUMMYFUNCTION("""COMPUTED_VALUE"""),7.7572036)</f>
        <v>7.7572036</v>
      </c>
      <c r="D12636" s="7">
        <f>IFERROR(__xludf.DUMMYFUNCTION("""COMPUTED_VALUE"""),0.453125)</f>
        <v>0.453125</v>
      </c>
    </row>
    <row r="12637">
      <c r="A12637" s="10" t="s">
        <v>14076</v>
      </c>
      <c r="B12637" s="7" t="str">
        <f>IFERROR(__xludf.DUMMYFUNCTION("SPLIT(A12637,"" "")"),"Cc1cccnc1CN(C)Cc1cc(C)c(C)c(C)n1")</f>
        <v>Cc1cccnc1CN(C)Cc1cc(C)c(C)c(C)n1</v>
      </c>
      <c r="C12637" s="7">
        <f>IFERROR(__xludf.DUMMYFUNCTION("""COMPUTED_VALUE"""),7.7572026)</f>
        <v>7.7572026</v>
      </c>
      <c r="D12637" s="7">
        <f>IFERROR(__xludf.DUMMYFUNCTION("""COMPUTED_VALUE"""),0.36734693877551)</f>
        <v>0.3673469388</v>
      </c>
    </row>
    <row r="12638">
      <c r="A12638" s="10" t="s">
        <v>14077</v>
      </c>
      <c r="B12638" s="7" t="str">
        <f>IFERROR(__xludf.DUMMYFUNCTION("SPLIT(A12638,"" "")"),"CCN(Cc1ccccn1)C1=CCC=C(CN(C)Cc2nc(C)c(C)cc2C)N1")</f>
        <v>CCN(Cc1ccccn1)C1=CCC=C(CN(C)Cc2nc(C)c(C)cc2C)N1</v>
      </c>
      <c r="C12638" s="7">
        <f>IFERROR(__xludf.DUMMYFUNCTION("""COMPUTED_VALUE"""),7.75719)</f>
        <v>7.75719</v>
      </c>
      <c r="D12638" s="7">
        <f>IFERROR(__xludf.DUMMYFUNCTION("""COMPUTED_VALUE"""),0.349206349206349)</f>
        <v>0.3492063492</v>
      </c>
    </row>
    <row r="12639">
      <c r="A12639" s="10" t="s">
        <v>14078</v>
      </c>
      <c r="B12639" s="7" t="str">
        <f>IFERROR(__xludf.DUMMYFUNCTION("SPLIT(A12639,"" "")"),"Cc1cnc(CN(C)Cc2ccc(N)c(C)n2)c(C)c1")</f>
        <v>Cc1cnc(CN(C)Cc2ccc(N)c(C)n2)c(C)c1</v>
      </c>
      <c r="C12639" s="7">
        <f>IFERROR(__xludf.DUMMYFUNCTION("""COMPUTED_VALUE"""),7.757189)</f>
        <v>7.757189</v>
      </c>
      <c r="D12639" s="7">
        <f>IFERROR(__xludf.DUMMYFUNCTION("""COMPUTED_VALUE"""),0.4)</f>
        <v>0.4</v>
      </c>
    </row>
    <row r="12640">
      <c r="A12640" s="10" t="s">
        <v>14079</v>
      </c>
      <c r="B12640" s="7" t="str">
        <f>IFERROR(__xludf.DUMMYFUNCTION("SPLIT(A12640,"" "")"),"Cc1ccc(CN(C)CC2=CCC=C(N(C)Cc3ccccn3)N2)cc1")</f>
        <v>Cc1ccc(CN(C)CC2=CCC=C(N(C)Cc3ccccn3)N2)cc1</v>
      </c>
      <c r="C12640" s="7">
        <f>IFERROR(__xludf.DUMMYFUNCTION("""COMPUTED_VALUE"""),7.7571883)</f>
        <v>7.7571883</v>
      </c>
      <c r="D12640" s="7">
        <f>IFERROR(__xludf.DUMMYFUNCTION("""COMPUTED_VALUE"""),0.396551724137931)</f>
        <v>0.3965517241</v>
      </c>
    </row>
    <row r="12641">
      <c r="A12641" s="10" t="s">
        <v>14080</v>
      </c>
      <c r="B12641" s="7" t="str">
        <f>IFERROR(__xludf.DUMMYFUNCTION("SPLIT(A12641,"" "")"),"COC(C)c1cccc(CNCc2cc(C(=O)C(C)N=Cc3ccccn3)ccn2)n1")</f>
        <v>COC(C)c1cccc(CNCc2cc(C(=O)C(C)N=Cc3ccccn3)ccn2)n1</v>
      </c>
      <c r="C12641" s="7">
        <f>IFERROR(__xludf.DUMMYFUNCTION("""COMPUTED_VALUE"""),7.7571793)</f>
        <v>7.7571793</v>
      </c>
      <c r="D12641" s="7">
        <f>IFERROR(__xludf.DUMMYFUNCTION("""COMPUTED_VALUE"""),0.285714285714285)</f>
        <v>0.2857142857</v>
      </c>
    </row>
    <row r="12642">
      <c r="A12642" s="10" t="s">
        <v>14081</v>
      </c>
      <c r="B12642" s="7" t="str">
        <f>IFERROR(__xludf.DUMMYFUNCTION("SPLIT(A12642,"" "")"),"Cc1ccnc(CN(C)CCN(C)Cc2ccc3ncccc3c2)c1")</f>
        <v>Cc1ccnc(CN(C)CCN(C)Cc2ccc3ncccc3c2)c1</v>
      </c>
      <c r="C12642" s="7">
        <f>IFERROR(__xludf.DUMMYFUNCTION("""COMPUTED_VALUE"""),7.757179)</f>
        <v>7.757179</v>
      </c>
      <c r="D12642" s="7">
        <f>IFERROR(__xludf.DUMMYFUNCTION("""COMPUTED_VALUE"""),0.4)</f>
        <v>0.4</v>
      </c>
    </row>
    <row r="12643">
      <c r="A12643" s="10" t="s">
        <v>14082</v>
      </c>
      <c r="B12643" s="7" t="str">
        <f>IFERROR(__xludf.DUMMYFUNCTION("SPLIT(A12643,"" "")"),"Cc1cnc(C)c(CN(C)C2=CNC(CN(C)Cc3ccccn3)=CC2)c1")</f>
        <v>Cc1cnc(C)c(CN(C)C2=CNC(CN(C)Cc3ccccn3)=CC2)c1</v>
      </c>
      <c r="C12643" s="7">
        <f>IFERROR(__xludf.DUMMYFUNCTION("""COMPUTED_VALUE"""),7.757178)</f>
        <v>7.757178</v>
      </c>
      <c r="D12643" s="7">
        <f>IFERROR(__xludf.DUMMYFUNCTION("""COMPUTED_VALUE"""),0.383333333333333)</f>
        <v>0.3833333333</v>
      </c>
    </row>
    <row r="12644">
      <c r="A12644" s="10" t="s">
        <v>14083</v>
      </c>
      <c r="B12644" s="7" t="str">
        <f>IFERROR(__xludf.DUMMYFUNCTION("SPLIT(A12644,"" "")"),"Fc1cccc(N(Cc2ccccn2)C2CCCCC2N(Cc2ccccn2)c2cccc3cccnc23)c1")</f>
        <v>Fc1cccc(N(Cc2ccccn2)C2CCCCC2N(Cc2ccccn2)c2cccc3cccnc23)c1</v>
      </c>
      <c r="C12644" s="7">
        <f>IFERROR(__xludf.DUMMYFUNCTION("""COMPUTED_VALUE"""),7.7571735)</f>
        <v>7.7571735</v>
      </c>
      <c r="D12644" s="7">
        <f>IFERROR(__xludf.DUMMYFUNCTION("""COMPUTED_VALUE"""),0.464285714285714)</f>
        <v>0.4642857143</v>
      </c>
    </row>
    <row r="12645">
      <c r="A12645" s="10" t="s">
        <v>14084</v>
      </c>
      <c r="B12645" s="7" t="str">
        <f>IFERROR(__xludf.DUMMYFUNCTION("SPLIT(A12645,"" "")"),"Cc1ccc(CN(Cc2ccccn2)C2CCCC(N(C)c3ccc4nccc(C)c4c3)C2)nc1")</f>
        <v>Cc1ccc(CN(Cc2ccccn2)C2CCCC(N(C)c3ccc4nccc(C)c4c3)C2)nc1</v>
      </c>
      <c r="C12645" s="7">
        <f>IFERROR(__xludf.DUMMYFUNCTION("""COMPUTED_VALUE"""),7.7571697)</f>
        <v>7.7571697</v>
      </c>
      <c r="D12645" s="7">
        <f>IFERROR(__xludf.DUMMYFUNCTION("""COMPUTED_VALUE"""),0.375)</f>
        <v>0.375</v>
      </c>
    </row>
    <row r="12646">
      <c r="A12646" s="10" t="s">
        <v>14085</v>
      </c>
      <c r="B12646" s="7" t="str">
        <f>IFERROR(__xludf.DUMMYFUNCTION("SPLIT(A12646,"" "")"),"Cc1cccc(CN(C)CC2=CCC=C(N(C)Cc3ccccn3)N2)c1")</f>
        <v>Cc1cccc(CN(C)CC2=CCC=C(N(C)Cc3ccccn3)N2)c1</v>
      </c>
      <c r="C12646" s="7">
        <f>IFERROR(__xludf.DUMMYFUNCTION("""COMPUTED_VALUE"""),7.7571683)</f>
        <v>7.7571683</v>
      </c>
      <c r="D12646" s="7">
        <f>IFERROR(__xludf.DUMMYFUNCTION("""COMPUTED_VALUE"""),0.4)</f>
        <v>0.4</v>
      </c>
    </row>
    <row r="12647">
      <c r="A12647" s="10" t="s">
        <v>14086</v>
      </c>
      <c r="B12647" s="7" t="str">
        <f>IFERROR(__xludf.DUMMYFUNCTION("SPLIT(A12647,"" "")"),"Cc1nc(CN(C)C2CCCCC2N(C)c2ccc3nccc(CF)c3c2)c(C)c(C)c1C")</f>
        <v>Cc1nc(CN(C)C2CCCCC2N(C)c2ccc3nccc(CF)c3c2)c(C)c(C)c1C</v>
      </c>
      <c r="C12647" s="7">
        <f>IFERROR(__xludf.DUMMYFUNCTION("""COMPUTED_VALUE"""),7.757164)</f>
        <v>7.757164</v>
      </c>
      <c r="D12647" s="7">
        <f>IFERROR(__xludf.DUMMYFUNCTION("""COMPUTED_VALUE"""),0.328125)</f>
        <v>0.328125</v>
      </c>
    </row>
    <row r="12648">
      <c r="A12648" s="10" t="s">
        <v>14087</v>
      </c>
      <c r="B12648" s="7" t="str">
        <f>IFERROR(__xludf.DUMMYFUNCTION("SPLIT(A12648,"" "")"),"Cc1ccc(CN(C)CC2=C(N(C)Cc3ncc(C)c(C)c3C)CC=CN2)nc1")</f>
        <v>Cc1ccc(CN(C)CC2=C(N(C)Cc3ncc(C)c(C)c3C)CC=CN2)nc1</v>
      </c>
      <c r="C12648" s="7">
        <f>IFERROR(__xludf.DUMMYFUNCTION("""COMPUTED_VALUE"""),7.757164)</f>
        <v>7.757164</v>
      </c>
      <c r="D12648" s="7">
        <f>IFERROR(__xludf.DUMMYFUNCTION("""COMPUTED_VALUE"""),0.423076923076923)</f>
        <v>0.4230769231</v>
      </c>
    </row>
    <row r="12649">
      <c r="A12649" s="10" t="s">
        <v>14088</v>
      </c>
      <c r="B12649" s="7" t="str">
        <f>IFERROR(__xludf.DUMMYFUNCTION("SPLIT(A12649,"" "")"),"CN(Cc1ccc(-c2cccc3c2OCCOCCOCCOCCOCCO3)cn1)c1cc2cccnc2cc1N(C)Cc1ccccn1")</f>
        <v>CN(Cc1ccc(-c2cccc3c2OCCOCCOCCOCCOCCO3)cn1)c1cc2cccnc2cc1N(C)Cc1ccccn1</v>
      </c>
      <c r="C12649" s="7">
        <f>IFERROR(__xludf.DUMMYFUNCTION("""COMPUTED_VALUE"""),7.7571564)</f>
        <v>7.7571564</v>
      </c>
      <c r="D12649" s="7">
        <f>IFERROR(__xludf.DUMMYFUNCTION("""COMPUTED_VALUE"""),0.390625)</f>
        <v>0.390625</v>
      </c>
    </row>
    <row r="12650">
      <c r="A12650" s="10" t="s">
        <v>14089</v>
      </c>
      <c r="B12650" s="7" t="str">
        <f>IFERROR(__xludf.DUMMYFUNCTION("SPLIT(A12650,"" "")"),"CNc1ccnc(CNCc2cccc(Cl)n2)c1")</f>
        <v>CNc1ccnc(CNCc2cccc(Cl)n2)c1</v>
      </c>
      <c r="C12650" s="7">
        <f>IFERROR(__xludf.DUMMYFUNCTION("""COMPUTED_VALUE"""),7.757155)</f>
        <v>7.757155</v>
      </c>
      <c r="D12650" s="7">
        <f>IFERROR(__xludf.DUMMYFUNCTION("""COMPUTED_VALUE"""),0.348837209302325)</f>
        <v>0.3488372093</v>
      </c>
    </row>
    <row r="12651">
      <c r="A12651" s="10" t="s">
        <v>14090</v>
      </c>
      <c r="B12651" s="7" t="str">
        <f>IFERROR(__xludf.DUMMYFUNCTION("SPLIT(A12651,"" "")"),"CN1CCN(C)CCN(Cc2cccnc2-c2cc(N)c3cccnc3c2)CC1")</f>
        <v>CN1CCN(C)CCN(Cc2cccnc2-c2cc(N)c3cccnc3c2)CC1</v>
      </c>
      <c r="C12651" s="7">
        <f>IFERROR(__xludf.DUMMYFUNCTION("""COMPUTED_VALUE"""),7.757153)</f>
        <v>7.757153</v>
      </c>
      <c r="D12651" s="7">
        <f>IFERROR(__xludf.DUMMYFUNCTION("""COMPUTED_VALUE"""),0.411764705882352)</f>
        <v>0.4117647059</v>
      </c>
    </row>
    <row r="12652">
      <c r="A12652" s="10" t="s">
        <v>14091</v>
      </c>
      <c r="B12652" s="7" t="str">
        <f>IFERROR(__xludf.DUMMYFUNCTION("SPLIT(A12652,"" "")"),"CN(CCN)Cc1cnccc1-c1ccccc1N")</f>
        <v>CN(CCN)Cc1cnccc1-c1ccccc1N</v>
      </c>
      <c r="C12652" s="7">
        <f>IFERROR(__xludf.DUMMYFUNCTION("""COMPUTED_VALUE"""),7.7571516)</f>
        <v>7.7571516</v>
      </c>
      <c r="D12652" s="7">
        <f>IFERROR(__xludf.DUMMYFUNCTION("""COMPUTED_VALUE"""),0.32)</f>
        <v>0.32</v>
      </c>
    </row>
    <row r="12653">
      <c r="A12653" s="10" t="s">
        <v>14092</v>
      </c>
      <c r="B12653" s="7" t="str">
        <f>IFERROR(__xludf.DUMMYFUNCTION("SPLIT(A12653,"" "")"),"Cc1ccc(CN(Cc2ccccn2)C2=CNC=C(CN(C)Cc3ccccn3)C2)nc1")</f>
        <v>Cc1ccc(CN(Cc2ccccn2)C2=CNC=C(CN(C)Cc3ccccn3)C2)nc1</v>
      </c>
      <c r="C12653" s="7">
        <f>IFERROR(__xludf.DUMMYFUNCTION("""COMPUTED_VALUE"""),7.7571464)</f>
        <v>7.7571464</v>
      </c>
      <c r="D12653" s="7">
        <f>IFERROR(__xludf.DUMMYFUNCTION("""COMPUTED_VALUE"""),0.44)</f>
        <v>0.44</v>
      </c>
    </row>
    <row r="12654">
      <c r="A12654" s="10" t="s">
        <v>14093</v>
      </c>
      <c r="B12654" s="7" t="str">
        <f>IFERROR(__xludf.DUMMYFUNCTION("SPLIT(A12654,"" "")"),"Cc1ccnc(CN(C)C2=CNC(CN(C)C)=CC2)c1")</f>
        <v>Cc1ccnc(CN(C)C2=CNC(CN(C)C)=CC2)c1</v>
      </c>
      <c r="C12654" s="7">
        <f>IFERROR(__xludf.DUMMYFUNCTION("""COMPUTED_VALUE"""),7.757146)</f>
        <v>7.757146</v>
      </c>
      <c r="D12654" s="7">
        <f>IFERROR(__xludf.DUMMYFUNCTION("""COMPUTED_VALUE"""),0.365384615384615)</f>
        <v>0.3653846154</v>
      </c>
    </row>
    <row r="12655">
      <c r="A12655" s="10" t="s">
        <v>14094</v>
      </c>
      <c r="B12655" s="7" t="str">
        <f>IFERROR(__xludf.DUMMYFUNCTION("SPLIT(A12655,"" "")"),"CN(Cc1ccon1)C1CCCC(N(C)c2cccc3nccc(CF)c23)C1")</f>
        <v>CN(Cc1ccon1)C1CCCC(N(C)c2cccc3nccc(CF)c23)C1</v>
      </c>
      <c r="C12655" s="7">
        <f>IFERROR(__xludf.DUMMYFUNCTION("""COMPUTED_VALUE"""),7.7571363)</f>
        <v>7.7571363</v>
      </c>
      <c r="D12655" s="7">
        <f>IFERROR(__xludf.DUMMYFUNCTION("""COMPUTED_VALUE"""),0.344827586206896)</f>
        <v>0.3448275862</v>
      </c>
    </row>
    <row r="12656">
      <c r="A12656" s="10" t="s">
        <v>14095</v>
      </c>
      <c r="B12656" s="7" t="str">
        <f>IFERROR(__xludf.DUMMYFUNCTION("SPLIT(A12656,"" "")"),"Cc1ccc(CN(C)CC2=CCC(N(C)Cc3ccc(C)cn3)=CN2)nc1")</f>
        <v>Cc1ccc(CN(C)CC2=CCC(N(C)Cc3ccc(C)cn3)=CN2)nc1</v>
      </c>
      <c r="C12656" s="7">
        <f>IFERROR(__xludf.DUMMYFUNCTION("""COMPUTED_VALUE"""),7.7571325)</f>
        <v>7.7571325</v>
      </c>
      <c r="D12656" s="7">
        <f>IFERROR(__xludf.DUMMYFUNCTION("""COMPUTED_VALUE"""),0.5)</f>
        <v>0.5</v>
      </c>
    </row>
    <row r="12657">
      <c r="A12657" s="10" t="s">
        <v>14096</v>
      </c>
      <c r="B12657" s="7" t="str">
        <f>IFERROR(__xludf.DUMMYFUNCTION("SPLIT(A12657,"" "")"),"CN(C)Cc1ncccc1N(C)C(C)(C)c1ccccn1")</f>
        <v>CN(C)Cc1ncccc1N(C)C(C)(C)c1ccccn1</v>
      </c>
      <c r="C12657" s="7">
        <f>IFERROR(__xludf.DUMMYFUNCTION("""COMPUTED_VALUE"""),7.7571177)</f>
        <v>7.7571177</v>
      </c>
      <c r="D12657" s="7">
        <f>IFERROR(__xludf.DUMMYFUNCTION("""COMPUTED_VALUE"""),0.361702127659574)</f>
        <v>0.3617021277</v>
      </c>
    </row>
    <row r="12658">
      <c r="A12658" s="10" t="s">
        <v>14097</v>
      </c>
      <c r="B12658" s="7" t="str">
        <f>IFERROR(__xludf.DUMMYFUNCTION("SPLIT(A12658,"" "")"),"CN(Cc1ncccc1N)C1=CC=CNC1")</f>
        <v>CN(Cc1ncccc1N)C1=CC=CNC1</v>
      </c>
      <c r="C12658" s="7">
        <f>IFERROR(__xludf.DUMMYFUNCTION("""COMPUTED_VALUE"""),7.757117)</f>
        <v>7.757117</v>
      </c>
      <c r="D12658" s="7">
        <f>IFERROR(__xludf.DUMMYFUNCTION("""COMPUTED_VALUE"""),0.283018867924528)</f>
        <v>0.2830188679</v>
      </c>
    </row>
    <row r="12659">
      <c r="A12659" s="10" t="s">
        <v>14098</v>
      </c>
      <c r="B12659" s="7" t="str">
        <f>IFERROR(__xludf.DUMMYFUNCTION("SPLIT(A12659,"" "")"),"Cc1cc(C)c(CN(C)CN(C)Cc2cc(C)c(C)c(C)n2)nc1C")</f>
        <v>Cc1cc(C)c(CN(C)CN(C)Cc2cc(C)c(C)c(C)n2)nc1C</v>
      </c>
      <c r="C12659" s="7">
        <f>IFERROR(__xludf.DUMMYFUNCTION("""COMPUTED_VALUE"""),7.7571096)</f>
        <v>7.7571096</v>
      </c>
      <c r="D12659" s="7">
        <f>IFERROR(__xludf.DUMMYFUNCTION("""COMPUTED_VALUE"""),0.282608695652173)</f>
        <v>0.2826086957</v>
      </c>
    </row>
    <row r="12660">
      <c r="A12660" s="10" t="s">
        <v>14099</v>
      </c>
      <c r="B12660" s="7" t="str">
        <f>IFERROR(__xludf.DUMMYFUNCTION("SPLIT(A12660,"" "")"),"Cc1cccc(CN(C)C2=CCC=C(CN(Cc3cccc(C)n3)C(C)C)N2)n1")</f>
        <v>Cc1cccc(CN(C)C2=CCC=C(CN(Cc3cccc(C)n3)C(C)C)N2)n1</v>
      </c>
      <c r="C12660" s="7">
        <f>IFERROR(__xludf.DUMMYFUNCTION("""COMPUTED_VALUE"""),7.757105)</f>
        <v>7.757105</v>
      </c>
      <c r="D12660" s="7">
        <f>IFERROR(__xludf.DUMMYFUNCTION("""COMPUTED_VALUE"""),0.408163265306122)</f>
        <v>0.4081632653</v>
      </c>
    </row>
    <row r="12661">
      <c r="A12661" s="10" t="s">
        <v>14100</v>
      </c>
      <c r="B12661" s="7" t="str">
        <f>IFERROR(__xludf.DUMMYFUNCTION("SPLIT(A12661,"" "")"),"CCc1cccc(CNCc2cc(C(C)(c3ccccn3)c3ccccn3)ccn2)c1")</f>
        <v>CCc1cccc(CNCc2cc(C(C)(c3ccccn3)c3ccccn3)ccn2)c1</v>
      </c>
      <c r="C12661" s="7">
        <f>IFERROR(__xludf.DUMMYFUNCTION("""COMPUTED_VALUE"""),7.757098)</f>
        <v>7.757098</v>
      </c>
      <c r="D12661" s="7">
        <f>IFERROR(__xludf.DUMMYFUNCTION("""COMPUTED_VALUE"""),0.372881355932203)</f>
        <v>0.3728813559</v>
      </c>
    </row>
    <row r="12662">
      <c r="A12662" s="10" t="s">
        <v>14101</v>
      </c>
      <c r="B12662" s="7" t="str">
        <f>IFERROR(__xludf.DUMMYFUNCTION("SPLIT(A12662,"" "")"),"CC(C)C1=CC2(C=CN1)CCC(C)(C)C(c1cccc(CN(Cc3ccccn3)Cc3ccccn3)n1)=C2c1cccc(CN(Cc2ccccn2)Cc2ccccn2)n1")</f>
        <v>CC(C)C1=CC2(C=CN1)CCC(C)(C)C(c1cccc(CN(Cc3ccccn3)Cc3ccccn3)n1)=C2c1cccc(CN(Cc2ccccn2)Cc2ccccn2)n1</v>
      </c>
      <c r="C12662" s="7">
        <f>IFERROR(__xludf.DUMMYFUNCTION("""COMPUTED_VALUE"""),7.7570972)</f>
        <v>7.7570972</v>
      </c>
      <c r="D12662" s="7">
        <f>IFERROR(__xludf.DUMMYFUNCTION("""COMPUTED_VALUE"""),0.391304347826087)</f>
        <v>0.3913043478</v>
      </c>
    </row>
    <row r="12663">
      <c r="A12663" s="10" t="s">
        <v>14102</v>
      </c>
      <c r="B12663" s="7" t="str">
        <f>IFERROR(__xludf.DUMMYFUNCTION("SPLIT(A12663,"" "")"),"CN(c1ccc2cc(CF)cnc2c1)C1CCC(N(Cc2ccccn2)Cc2cccc(C(C)(C)c3ccccn3)n2)CC1")</f>
        <v>CN(c1ccc2cc(CF)cnc2c1)C1CCC(N(Cc2ccccn2)Cc2cccc(C(C)(C)c3ccccn3)n2)CC1</v>
      </c>
      <c r="C12663" s="7">
        <f>IFERROR(__xludf.DUMMYFUNCTION("""COMPUTED_VALUE"""),7.757083)</f>
        <v>7.757083</v>
      </c>
      <c r="D12663" s="7">
        <f>IFERROR(__xludf.DUMMYFUNCTION("""COMPUTED_VALUE"""),0.333333333333333)</f>
        <v>0.3333333333</v>
      </c>
    </row>
    <row r="12664">
      <c r="A12664" s="10" t="s">
        <v>14103</v>
      </c>
      <c r="B12664" s="7" t="str">
        <f>IFERROR(__xludf.DUMMYFUNCTION("SPLIT(A12664,"" "")"),"Cc1cc(CN(C)Cc2cc(C)c(C)c(C)n2)ccn1")</f>
        <v>Cc1cc(CN(C)Cc2cc(C)c(C)c(C)n2)ccn1</v>
      </c>
      <c r="C12664" s="7">
        <f>IFERROR(__xludf.DUMMYFUNCTION("""COMPUTED_VALUE"""),7.7570806)</f>
        <v>7.7570806</v>
      </c>
      <c r="D12664" s="7">
        <f>IFERROR(__xludf.DUMMYFUNCTION("""COMPUTED_VALUE"""),0.326086956521739)</f>
        <v>0.3260869565</v>
      </c>
    </row>
    <row r="12665">
      <c r="A12665" s="10" t="s">
        <v>14104</v>
      </c>
      <c r="B12665" s="7" t="str">
        <f>IFERROR(__xludf.DUMMYFUNCTION("SPLIT(A12665,"" "")"),"Cc1cnc(CN(Cc2ccccn2)C2CCCC(N(C)c3ccc4cc(CN(C)C)cnc4c3)C2)c(C)c1")</f>
        <v>Cc1cnc(CN(Cc2ccccn2)C2CCCC(N(C)c3ccc4cc(CN(C)C)cnc4c3)C2)c(C)c1</v>
      </c>
      <c r="C12665" s="7">
        <f>IFERROR(__xludf.DUMMYFUNCTION("""COMPUTED_VALUE"""),7.757079)</f>
        <v>7.757079</v>
      </c>
      <c r="D12665" s="7">
        <f>IFERROR(__xludf.DUMMYFUNCTION("""COMPUTED_VALUE"""),0.328571428571428)</f>
        <v>0.3285714286</v>
      </c>
    </row>
    <row r="12666">
      <c r="A12666" s="10" t="s">
        <v>14105</v>
      </c>
      <c r="B12666" s="7" t="str">
        <f>IFERROR(__xludf.DUMMYFUNCTION("SPLIT(A12666,"" "")"),"Cc1cnc(CN(C)C2=CCC=C(CN(Cc3ccccn3)C(C)C)N2)c(C)c1C")</f>
        <v>Cc1cnc(CN(C)C2=CCC=C(CN(Cc3ccccn3)C(C)C)N2)c(C)c1C</v>
      </c>
      <c r="C12666" s="7">
        <f>IFERROR(__xludf.DUMMYFUNCTION("""COMPUTED_VALUE"""),7.7570777)</f>
        <v>7.7570777</v>
      </c>
      <c r="D12666" s="7">
        <f>IFERROR(__xludf.DUMMYFUNCTION("""COMPUTED_VALUE"""),0.428571428571428)</f>
        <v>0.4285714286</v>
      </c>
    </row>
    <row r="12667">
      <c r="A12667" s="10" t="s">
        <v>14106</v>
      </c>
      <c r="B12667" s="7" t="str">
        <f>IFERROR(__xludf.DUMMYFUNCTION("SPLIT(A12667,"" "")"),"Cc1cccc(CN(Cc2ncccc2C)C2CCC(N(C)c3ccc4nccc(CF)c4c3)CC2)n1")</f>
        <v>Cc1cccc(CN(Cc2ncccc2C)C2CCC(N(C)c3ccc4nccc(CF)c4c3)CC2)n1</v>
      </c>
      <c r="C12667" s="7">
        <f>IFERROR(__xludf.DUMMYFUNCTION("""COMPUTED_VALUE"""),7.757076)</f>
        <v>7.757076</v>
      </c>
      <c r="D12667" s="7">
        <f>IFERROR(__xludf.DUMMYFUNCTION("""COMPUTED_VALUE"""),0.328571428571428)</f>
        <v>0.3285714286</v>
      </c>
    </row>
    <row r="12668">
      <c r="A12668" s="10" t="s">
        <v>14107</v>
      </c>
      <c r="B12668" s="7" t="str">
        <f>IFERROR(__xludf.DUMMYFUNCTION("SPLIT(A12668,"" "")"),"Cc1cccnc1CN(Cc1ccon1)Cc1ncccc1C")</f>
        <v>Cc1cccnc1CN(Cc1ccon1)Cc1ncccc1C</v>
      </c>
      <c r="C12668" s="7">
        <f>IFERROR(__xludf.DUMMYFUNCTION("""COMPUTED_VALUE"""),7.7570715)</f>
        <v>7.7570715</v>
      </c>
      <c r="D12668" s="7">
        <f>IFERROR(__xludf.DUMMYFUNCTION("""COMPUTED_VALUE"""),0.45)</f>
        <v>0.45</v>
      </c>
    </row>
    <row r="12669">
      <c r="A12669" s="10" t="s">
        <v>14108</v>
      </c>
      <c r="B12669" s="7" t="str">
        <f>IFERROR(__xludf.DUMMYFUNCTION("SPLIT(A12669,"" "")"),"CN(C)Cc1ccc2cc(N(C)C3CCC(N(Cc4ccccn4)Cc4ccon4)CC3)ccc2n1")</f>
        <v>CN(C)Cc1ccc2cc(N(C)C3CCC(N(Cc4ccccn4)Cc4ccon4)CC3)ccc2n1</v>
      </c>
      <c r="C12669" s="7">
        <f>IFERROR(__xludf.DUMMYFUNCTION("""COMPUTED_VALUE"""),7.757071)</f>
        <v>7.757071</v>
      </c>
      <c r="D12669" s="7">
        <f>IFERROR(__xludf.DUMMYFUNCTION("""COMPUTED_VALUE"""),0.387096774193548)</f>
        <v>0.3870967742</v>
      </c>
    </row>
    <row r="12670">
      <c r="A12670" s="10" t="s">
        <v>14109</v>
      </c>
      <c r="B12670" s="7" t="str">
        <f>IFERROR(__xludf.DUMMYFUNCTION("SPLIT(A12670,"" "")"),"CN(CC1=CCC=CN1)c1ccccc1F")</f>
        <v>CN(CC1=CCC=CN1)c1ccccc1F</v>
      </c>
      <c r="C12670" s="7">
        <f>IFERROR(__xludf.DUMMYFUNCTION("""COMPUTED_VALUE"""),7.7570643)</f>
        <v>7.7570643</v>
      </c>
      <c r="D12670" s="7">
        <f>IFERROR(__xludf.DUMMYFUNCTION("""COMPUTED_VALUE"""),0.458333333333333)</f>
        <v>0.4583333333</v>
      </c>
    </row>
    <row r="12671">
      <c r="A12671" s="10" t="s">
        <v>14110</v>
      </c>
      <c r="B12671" s="7" t="str">
        <f>IFERROR(__xludf.DUMMYFUNCTION("SPLIT(A12671,"" "")"),"Cc1ccc(C)c(CN(C)CC2=C(N(C)Cc3ccccn3)CC=CN2)n1")</f>
        <v>Cc1ccc(C)c(CN(C)CC2=C(N(C)Cc3ccccn3)CC=CN2)n1</v>
      </c>
      <c r="C12671" s="7">
        <f>IFERROR(__xludf.DUMMYFUNCTION("""COMPUTED_VALUE"""),7.7570596)</f>
        <v>7.7570596</v>
      </c>
      <c r="D12671" s="7">
        <f>IFERROR(__xludf.DUMMYFUNCTION("""COMPUTED_VALUE"""),0.366666666666666)</f>
        <v>0.3666666667</v>
      </c>
    </row>
    <row r="12672">
      <c r="A12672" s="10" t="s">
        <v>14111</v>
      </c>
      <c r="B12672" s="7" t="str">
        <f>IFERROR(__xludf.DUMMYFUNCTION("SPLIT(A12672,"" "")"),"Cc1cccc(CN(C)CC2=C(N(C)Cc3cccc(C)n3)CC=CN2)n1")</f>
        <v>Cc1cccc(CN(C)CC2=C(N(C)Cc3cccc(C)n3)CC=CN2)n1</v>
      </c>
      <c r="C12672" s="7">
        <f>IFERROR(__xludf.DUMMYFUNCTION("""COMPUTED_VALUE"""),7.757051)</f>
        <v>7.757051</v>
      </c>
      <c r="D12672" s="7">
        <f>IFERROR(__xludf.DUMMYFUNCTION("""COMPUTED_VALUE"""),0.5)</f>
        <v>0.5</v>
      </c>
    </row>
    <row r="12673">
      <c r="A12673" s="10" t="s">
        <v>14112</v>
      </c>
      <c r="B12673" s="7" t="str">
        <f>IFERROR(__xludf.DUMMYFUNCTION("SPLIT(A12673,"" "")"),"COC(C)c1cc(CN(Cc2ccccn2)Cc2ncccc2N(C)C)ccn1")</f>
        <v>COC(C)c1cc(CN(Cc2ccccn2)Cc2ncccc2N(C)C)ccn1</v>
      </c>
      <c r="C12673" s="7">
        <f>IFERROR(__xludf.DUMMYFUNCTION("""COMPUTED_VALUE"""),7.7570486)</f>
        <v>7.7570486</v>
      </c>
      <c r="D12673" s="7">
        <f>IFERROR(__xludf.DUMMYFUNCTION("""COMPUTED_VALUE"""),0.4)</f>
        <v>0.4</v>
      </c>
    </row>
    <row r="12674">
      <c r="A12674" s="10" t="s">
        <v>14113</v>
      </c>
      <c r="B12674" s="7" t="str">
        <f>IFERROR(__xludf.DUMMYFUNCTION("SPLIT(A12674,"" "")"),"Cc1ccc(CN(Cc2ccc(N)cn2)C2CCC(N(C)c3ccc4nccc(CF)c4c3)CC2)cn1")</f>
        <v>Cc1ccc(CN(Cc2ccc(N)cn2)C2CCC(N(C)c3ccc4nccc(CF)c4c3)CC2)cn1</v>
      </c>
      <c r="C12674" s="7">
        <f>IFERROR(__xludf.DUMMYFUNCTION("""COMPUTED_VALUE"""),7.7570477)</f>
        <v>7.7570477</v>
      </c>
      <c r="D12674" s="7">
        <f>IFERROR(__xludf.DUMMYFUNCTION("""COMPUTED_VALUE"""),0.253333333333333)</f>
        <v>0.2533333333</v>
      </c>
    </row>
    <row r="12675">
      <c r="A12675" s="10" t="s">
        <v>14114</v>
      </c>
      <c r="B12675" s="7" t="str">
        <f>IFERROR(__xludf.DUMMYFUNCTION("SPLIT(A12675,"" "")"),"C=C1C=CNC(CN(C)C2=CCC=CN2)=C1")</f>
        <v>C=C1C=CNC(CN(C)C2=CCC=CN2)=C1</v>
      </c>
      <c r="C12675" s="7">
        <f>IFERROR(__xludf.DUMMYFUNCTION("""COMPUTED_VALUE"""),7.757039)</f>
        <v>7.757039</v>
      </c>
      <c r="D12675" s="7">
        <f>IFERROR(__xludf.DUMMYFUNCTION("""COMPUTED_VALUE"""),0.395833333333333)</f>
        <v>0.3958333333</v>
      </c>
    </row>
    <row r="12676">
      <c r="A12676" s="10" t="s">
        <v>14115</v>
      </c>
      <c r="B12676" s="7" t="str">
        <f>IFERROR(__xludf.DUMMYFUNCTION("SPLIT(A12676,"" "")"),"Cc1cc(CN(C)CCN(C)Cc2ccc3cccnc3c2)ccn1")</f>
        <v>Cc1cc(CN(C)CCN(C)Cc2ccc3cccnc3c2)ccn1</v>
      </c>
      <c r="C12676" s="7">
        <f>IFERROR(__xludf.DUMMYFUNCTION("""COMPUTED_VALUE"""),7.7570386)</f>
        <v>7.7570386</v>
      </c>
      <c r="D12676" s="7">
        <f>IFERROR(__xludf.DUMMYFUNCTION("""COMPUTED_VALUE"""),0.425531914893617)</f>
        <v>0.4255319149</v>
      </c>
    </row>
    <row r="12677">
      <c r="A12677" s="10" t="s">
        <v>14116</v>
      </c>
      <c r="B12677" s="7" t="str">
        <f>IFERROR(__xludf.DUMMYFUNCTION("SPLIT(A12677,"" "")"),"CNCc1ccc2cccc(N(CCN(C)CC(C)(C)C)Cc3ccccn3)c2n1")</f>
        <v>CNCc1ccc2cccc(N(CCN(C)CC(C)(C)C)Cc3ccccn3)c2n1</v>
      </c>
      <c r="C12677" s="7">
        <f>IFERROR(__xludf.DUMMYFUNCTION("""COMPUTED_VALUE"""),7.7570353)</f>
        <v>7.7570353</v>
      </c>
      <c r="D12677" s="7">
        <f>IFERROR(__xludf.DUMMYFUNCTION("""COMPUTED_VALUE"""),0.421052631578947)</f>
        <v>0.4210526316</v>
      </c>
    </row>
    <row r="12678">
      <c r="A12678" s="10" t="s">
        <v>14117</v>
      </c>
      <c r="B12678" s="7" t="str">
        <f>IFERROR(__xludf.DUMMYFUNCTION("SPLIT(A12678,"" "")"),"Cc1ccc(CN(C)C2=C(CN(C)Cc3nc(C)ccc3C)NC=CC2)nc1")</f>
        <v>Cc1ccc(CN(C)C2=C(CN(C)Cc3nc(C)ccc3C)NC=CC2)nc1</v>
      </c>
      <c r="C12678" s="7">
        <f>IFERROR(__xludf.DUMMYFUNCTION("""COMPUTED_VALUE"""),7.757035)</f>
        <v>7.757035</v>
      </c>
      <c r="D12678" s="7">
        <f>IFERROR(__xludf.DUMMYFUNCTION("""COMPUTED_VALUE"""),0.381818181818181)</f>
        <v>0.3818181818</v>
      </c>
    </row>
    <row r="12679">
      <c r="A12679" s="10" t="s">
        <v>14118</v>
      </c>
      <c r="B12679" s="7" t="str">
        <f>IFERROR(__xludf.DUMMYFUNCTION("SPLIT(A12679,"" "")"),"CN(Cc1ccon1)C1CCCC(N(C)c2ccc3c(CF)ccnc3c2)C1")</f>
        <v>CN(Cc1ccon1)C1CCCC(N(C)c2ccc3c(CF)ccnc3c2)C1</v>
      </c>
      <c r="C12679" s="7">
        <f>IFERROR(__xludf.DUMMYFUNCTION("""COMPUTED_VALUE"""),7.7570314)</f>
        <v>7.7570314</v>
      </c>
      <c r="D12679" s="7">
        <f>IFERROR(__xludf.DUMMYFUNCTION("""COMPUTED_VALUE"""),0.350877192982456)</f>
        <v>0.350877193</v>
      </c>
    </row>
    <row r="12680">
      <c r="A12680" s="10" t="s">
        <v>14119</v>
      </c>
      <c r="B12680" s="7" t="str">
        <f>IFERROR(__xludf.DUMMYFUNCTION("SPLIT(A12680,"" "")"),"Cc1ccc(CN(Cc2ccnc(C(C)(c3cccnc3)C(C)N)c2)C2CCCC(N(C)c3ccc4c(CF)ccnc4c3)C2)nc1")</f>
        <v>Cc1ccc(CN(Cc2ccnc(C(C)(c3cccnc3)C(C)N)c2)C2CCCC(N(C)c3ccc4c(CF)ccnc4c3)C2)nc1</v>
      </c>
      <c r="C12680" s="7">
        <f>IFERROR(__xludf.DUMMYFUNCTION("""COMPUTED_VALUE"""),7.757031)</f>
        <v>7.757031</v>
      </c>
      <c r="D12680" s="7">
        <f>IFERROR(__xludf.DUMMYFUNCTION("""COMPUTED_VALUE"""),0.272727272727272)</f>
        <v>0.2727272727</v>
      </c>
    </row>
    <row r="12681">
      <c r="A12681" s="10" t="s">
        <v>14120</v>
      </c>
      <c r="B12681" s="7" t="str">
        <f>IFERROR(__xludf.DUMMYFUNCTION("SPLIT(A12681,"" "")"),"Cc1cccc(CN(C)C2=CNC(CN(C)C)=CC2)n1")</f>
        <v>Cc1cccc(CN(C)C2=CNC(CN(C)C)=CC2)n1</v>
      </c>
      <c r="C12681" s="7">
        <f>IFERROR(__xludf.DUMMYFUNCTION("""COMPUTED_VALUE"""),7.757029)</f>
        <v>7.757029</v>
      </c>
      <c r="D12681" s="7">
        <f>IFERROR(__xludf.DUMMYFUNCTION("""COMPUTED_VALUE"""),0.454545454545454)</f>
        <v>0.4545454545</v>
      </c>
    </row>
    <row r="12682">
      <c r="A12682" s="10" t="s">
        <v>14121</v>
      </c>
      <c r="B12682" s="7" t="str">
        <f>IFERROR(__xludf.DUMMYFUNCTION("SPLIT(A12682,"" "")"),"CN(c1ccccc1)C1CCC(N(C)c2ccc3nc4c(cc3c2)CCC4)CC1")</f>
        <v>CN(c1ccccc1)C1CCC(N(C)c2ccc3nc4c(cc3c2)CCC4)CC1</v>
      </c>
      <c r="C12682" s="7">
        <f>IFERROR(__xludf.DUMMYFUNCTION("""COMPUTED_VALUE"""),7.7570224)</f>
        <v>7.7570224</v>
      </c>
      <c r="D12682" s="7">
        <f>IFERROR(__xludf.DUMMYFUNCTION("""COMPUTED_VALUE"""),0.436363636363636)</f>
        <v>0.4363636364</v>
      </c>
    </row>
    <row r="12683">
      <c r="A12683" s="10" t="s">
        <v>14122</v>
      </c>
      <c r="B12683" s="7" t="str">
        <f>IFERROR(__xludf.DUMMYFUNCTION("SPLIT(A12683,"" "")"),"Cc1cc(CN(Cc2ccccn2)C2CCCC(N(C)c3ccc4nc(CN(C)C)ccc4c3)C2)cnc1C")</f>
        <v>Cc1cc(CN(Cc2ccccn2)C2CCCC(N(C)c3ccc4nc(CN(C)C)ccc4c3)C2)cnc1C</v>
      </c>
      <c r="C12683" s="7">
        <f>IFERROR(__xludf.DUMMYFUNCTION("""COMPUTED_VALUE"""),7.7570224)</f>
        <v>7.7570224</v>
      </c>
      <c r="D12683" s="7">
        <f>IFERROR(__xludf.DUMMYFUNCTION("""COMPUTED_VALUE"""),0.352941176470588)</f>
        <v>0.3529411765</v>
      </c>
    </row>
    <row r="12684">
      <c r="A12684" s="10" t="s">
        <v>14123</v>
      </c>
      <c r="B12684" s="7" t="str">
        <f>IFERROR(__xludf.DUMMYFUNCTION("SPLIT(A12684,"" "")"),"Cc1ccnc2cccc(N(C)C3CCCC(N(Cc4ccccn4)Cc4cccnc4C(C)N)C3)c12")</f>
        <v>Cc1ccnc2cccc(N(C)C3CCCC(N(Cc4ccccn4)Cc4cccnc4C(C)N)C3)c12</v>
      </c>
      <c r="C12684" s="7">
        <f>IFERROR(__xludf.DUMMYFUNCTION("""COMPUTED_VALUE"""),7.7570186)</f>
        <v>7.7570186</v>
      </c>
      <c r="D12684" s="7">
        <f>IFERROR(__xludf.DUMMYFUNCTION("""COMPUTED_VALUE"""),0.328571428571428)</f>
        <v>0.3285714286</v>
      </c>
    </row>
    <row r="12685">
      <c r="A12685" s="10" t="s">
        <v>14124</v>
      </c>
      <c r="B12685" s="7" t="str">
        <f>IFERROR(__xludf.DUMMYFUNCTION("SPLIT(A12685,"" "")"),"CC(C)C1=CC2(C=CN1)C=CC(c1ccccn1)C1N=CC=CC12c1ncccc1CN(Cc1ccccn1)C1CCC(N(C)c2ccc3ncc(CF)cc3c2)CC1")</f>
        <v>CC(C)C1=CC2(C=CN1)C=CC(c1ccccn1)C1N=CC=CC12c1ncccc1CN(Cc1ccccn1)C1CCC(N(C)c2ccc3ncc(CF)cc3c2)CC1</v>
      </c>
      <c r="C12685" s="7">
        <f>IFERROR(__xludf.DUMMYFUNCTION("""COMPUTED_VALUE"""),7.757016)</f>
        <v>7.757016</v>
      </c>
      <c r="D12685" s="7">
        <f>IFERROR(__xludf.DUMMYFUNCTION("""COMPUTED_VALUE"""),0.213592233009708)</f>
        <v>0.213592233</v>
      </c>
    </row>
    <row r="12686">
      <c r="A12686" s="10" t="s">
        <v>14125</v>
      </c>
      <c r="B12686" s="7" t="str">
        <f>IFERROR(__xludf.DUMMYFUNCTION("SPLIT(A12686,"" "")"),"Cc1cc(CN(C)C2CCCCC2N(C)c2ccc3c(CN(C)C)ccnc3c2)c(C)nc1C")</f>
        <v>Cc1cc(CN(C)C2CCCCC2N(C)c2ccc3c(CN(C)C)ccnc3c2)c(C)nc1C</v>
      </c>
      <c r="C12686" s="7">
        <f>IFERROR(__xludf.DUMMYFUNCTION("""COMPUTED_VALUE"""),7.7570143)</f>
        <v>7.7570143</v>
      </c>
      <c r="D12686" s="7">
        <f>IFERROR(__xludf.DUMMYFUNCTION("""COMPUTED_VALUE"""),0.35)</f>
        <v>0.35</v>
      </c>
    </row>
    <row r="12687">
      <c r="A12687" s="10" t="s">
        <v>14126</v>
      </c>
      <c r="B12687" s="7" t="str">
        <f>IFERROR(__xludf.DUMMYFUNCTION("SPLIT(A12687,"" "")"),"CNCc1cccc(N(C)Cc2ccccn2)n1")</f>
        <v>CNCc1cccc(N(C)Cc2ccccn2)n1</v>
      </c>
      <c r="C12687" s="7">
        <f>IFERROR(__xludf.DUMMYFUNCTION("""COMPUTED_VALUE"""),7.7570143)</f>
        <v>7.7570143</v>
      </c>
      <c r="D12687" s="7">
        <f>IFERROR(__xludf.DUMMYFUNCTION("""COMPUTED_VALUE"""),0.488372093023255)</f>
        <v>0.488372093</v>
      </c>
    </row>
    <row r="12688">
      <c r="A12688" s="10" t="s">
        <v>14127</v>
      </c>
      <c r="B12688" s="7" t="str">
        <f>IFERROR(__xludf.DUMMYFUNCTION("SPLIT(A12688,"" "")"),"Cc1cccnc1CN(C)CC1=CNC=C(N(C)Cc2ccccn2)C1")</f>
        <v>Cc1cccnc1CN(C)CC1=CNC=C(N(C)Cc2ccccn2)C1</v>
      </c>
      <c r="C12688" s="7">
        <f>IFERROR(__xludf.DUMMYFUNCTION("""COMPUTED_VALUE"""),7.7569942)</f>
        <v>7.7569942</v>
      </c>
      <c r="D12688" s="7">
        <f>IFERROR(__xludf.DUMMYFUNCTION("""COMPUTED_VALUE"""),0.381818181818181)</f>
        <v>0.3818181818</v>
      </c>
    </row>
    <row r="12689">
      <c r="A12689" s="10" t="s">
        <v>14128</v>
      </c>
      <c r="B12689" s="7" t="str">
        <f>IFERROR(__xludf.DUMMYFUNCTION("SPLIT(A12689,"" "")"),"Cc1cccc(CN(C)C2=C(CN(Cc3ccccn3)Cc3cccc(C(C)(C)C)n3)NC=CC2)n1")</f>
        <v>Cc1cccc(CN(C)C2=C(CN(Cc3ccccn3)Cc3cccc(C(C)(C)C)n3)NC=CC2)n1</v>
      </c>
      <c r="C12689" s="7">
        <f>IFERROR(__xludf.DUMMYFUNCTION("""COMPUTED_VALUE"""),7.7569923)</f>
        <v>7.7569923</v>
      </c>
      <c r="D12689" s="7">
        <f>IFERROR(__xludf.DUMMYFUNCTION("""COMPUTED_VALUE"""),0.4)</f>
        <v>0.4</v>
      </c>
    </row>
    <row r="12690">
      <c r="A12690" s="10" t="s">
        <v>14129</v>
      </c>
      <c r="B12690" s="7" t="str">
        <f>IFERROR(__xludf.DUMMYFUNCTION("SPLIT(A12690,"" "")"),"CC(C)N(Cc1cc(C(C)(C)C)ccn1)C1CCC(N(C)Cc2cc(-c3cccc4ncccc34)ccn2)CC1")</f>
        <v>CC(C)N(Cc1cc(C(C)(C)C)ccn1)C1CCC(N(C)Cc2cc(-c3cccc4ncccc34)ccn2)CC1</v>
      </c>
      <c r="C12690" s="7">
        <f>IFERROR(__xludf.DUMMYFUNCTION("""COMPUTED_VALUE"""),7.7569914)</f>
        <v>7.7569914</v>
      </c>
      <c r="D12690" s="7">
        <f>IFERROR(__xludf.DUMMYFUNCTION("""COMPUTED_VALUE"""),0.294117647058823)</f>
        <v>0.2941176471</v>
      </c>
    </row>
    <row r="12691">
      <c r="A12691" s="10" t="s">
        <v>14130</v>
      </c>
      <c r="B12691" s="7" t="str">
        <f>IFERROR(__xludf.DUMMYFUNCTION("SPLIT(A12691,"" "")"),"Cc1ccc(CN(Cc2nc(C)c(C)c(C)c2C)C2CCCCC2N(C)c2ccc3nc(CF)ccc3c2)nc1")</f>
        <v>Cc1ccc(CN(Cc2nc(C)c(C)c(C)c2C)C2CCCCC2N(C)c2ccc3nc(CF)ccc3c2)nc1</v>
      </c>
      <c r="C12691" s="7">
        <f>IFERROR(__xludf.DUMMYFUNCTION("""COMPUTED_VALUE"""),7.756988)</f>
        <v>7.756988</v>
      </c>
      <c r="D12691" s="7">
        <f>IFERROR(__xludf.DUMMYFUNCTION("""COMPUTED_VALUE"""),0.421875)</f>
        <v>0.421875</v>
      </c>
    </row>
    <row r="12692">
      <c r="A12692" s="10" t="s">
        <v>14131</v>
      </c>
      <c r="B12692" s="7" t="str">
        <f>IFERROR(__xludf.DUMMYFUNCTION("SPLIT(A12692,"" "")"),"CCN(Cc1ccccn1)Cc1cc(N(C)Cc2ncccc2C)ccn1")</f>
        <v>CCN(Cc1ccccn1)Cc1cc(N(C)Cc2ncccc2C)ccn1</v>
      </c>
      <c r="C12692" s="7">
        <f>IFERROR(__xludf.DUMMYFUNCTION("""COMPUTED_VALUE"""),7.7569876)</f>
        <v>7.7569876</v>
      </c>
      <c r="D12692" s="7">
        <f>IFERROR(__xludf.DUMMYFUNCTION("""COMPUTED_VALUE"""),0.431818181818181)</f>
        <v>0.4318181818</v>
      </c>
    </row>
    <row r="12693">
      <c r="A12693" s="10" t="s">
        <v>14132</v>
      </c>
      <c r="B12693" s="7" t="str">
        <f>IFERROR(__xludf.DUMMYFUNCTION("SPLIT(A12693,"" "")"),"CCN(Cc1ccccn1)Cc1ccc(N(C)Cc2ncccc2C)cn1")</f>
        <v>CCN(Cc1ccccn1)Cc1ccc(N(C)Cc2ncccc2C)cn1</v>
      </c>
      <c r="C12693" s="7">
        <f>IFERROR(__xludf.DUMMYFUNCTION("""COMPUTED_VALUE"""),7.7569766)</f>
        <v>7.7569766</v>
      </c>
      <c r="D12693" s="7">
        <f>IFERROR(__xludf.DUMMYFUNCTION("""COMPUTED_VALUE"""),0.431818181818181)</f>
        <v>0.4318181818</v>
      </c>
    </row>
    <row r="12694">
      <c r="A12694" s="10" t="s">
        <v>14133</v>
      </c>
      <c r="B12694" s="7" t="str">
        <f>IFERROR(__xludf.DUMMYFUNCTION("SPLIT(A12694,"" "")"),"Cc1cccc(C(C)(C)c2ncccc2CN(Cc2ccccn2)Cc2ccccn2)c1C")</f>
        <v>Cc1cccc(C(C)(C)c2ncccc2CN(Cc2ccccn2)Cc2ccccn2)c1C</v>
      </c>
      <c r="C12694" s="7">
        <f>IFERROR(__xludf.DUMMYFUNCTION("""COMPUTED_VALUE"""),7.7569675)</f>
        <v>7.7569675</v>
      </c>
      <c r="D12694" s="7">
        <f>IFERROR(__xludf.DUMMYFUNCTION("""COMPUTED_VALUE"""),0.465116279069767)</f>
        <v>0.4651162791</v>
      </c>
    </row>
    <row r="12695">
      <c r="A12695" s="10" t="s">
        <v>14134</v>
      </c>
      <c r="B12695" s="7" t="str">
        <f>IFERROR(__xludf.DUMMYFUNCTION("SPLIT(A12695,"" "")"),"Cc1ccc(C)c(CN(Cc2cccnc2CN(C)C)Cc2nc(C)ccc2C)n1")</f>
        <v>Cc1ccc(C)c(CN(Cc2cccnc2CN(C)C)Cc2nc(C)ccc2C)n1</v>
      </c>
      <c r="C12695" s="7">
        <f>IFERROR(__xludf.DUMMYFUNCTION("""COMPUTED_VALUE"""),7.756966)</f>
        <v>7.756966</v>
      </c>
      <c r="D12695" s="7">
        <f>IFERROR(__xludf.DUMMYFUNCTION("""COMPUTED_VALUE"""),0.346938775510204)</f>
        <v>0.3469387755</v>
      </c>
    </row>
    <row r="12696">
      <c r="A12696" s="10" t="s">
        <v>14135</v>
      </c>
      <c r="B12696" s="7" t="str">
        <f>IFERROR(__xludf.DUMMYFUNCTION("SPLIT(A12696,"" "")"),"CCN(Cc1cccc(CN(Cc2ccc([SiH3])cn2)Cc2cc(C)c(C)c(C)n2)n1)Cc1nc(C)c(C)c(C)c1C")</f>
        <v>CCN(Cc1cccc(CN(Cc2ccc([SiH3])cn2)Cc2cc(C)c(C)c(C)n2)n1)Cc1nc(C)c(C)c(C)c1C</v>
      </c>
      <c r="C12696" s="7">
        <f>IFERROR(__xludf.DUMMYFUNCTION("""COMPUTED_VALUE"""),7.756963)</f>
        <v>7.756963</v>
      </c>
      <c r="D12696" s="7">
        <f>IFERROR(__xludf.DUMMYFUNCTION("""COMPUTED_VALUE"""),0.298507462686567)</f>
        <v>0.2985074627</v>
      </c>
    </row>
    <row r="12697">
      <c r="A12697" s="10" t="s">
        <v>14136</v>
      </c>
      <c r="B12697" s="7" t="str">
        <f>IFERROR(__xludf.DUMMYFUNCTION("SPLIT(A12697,"" "")"),"Cc1ccc(CN(C)C2CCC(N(Cc3ccccn3)c3ccc4nc(CN(C)C)ccc4c3)CC2)nc1C")</f>
        <v>Cc1ccc(CN(C)C2CCC(N(Cc3ccccn3)c3ccc4nc(CN(C)C)ccc4c3)CC2)nc1C</v>
      </c>
      <c r="C12697" s="7">
        <f>IFERROR(__xludf.DUMMYFUNCTION("""COMPUTED_VALUE"""),7.756959)</f>
        <v>7.756959</v>
      </c>
      <c r="D12697" s="7">
        <f>IFERROR(__xludf.DUMMYFUNCTION("""COMPUTED_VALUE"""),0.393442622950819)</f>
        <v>0.393442623</v>
      </c>
    </row>
    <row r="12698">
      <c r="A12698" s="10" t="s">
        <v>14137</v>
      </c>
      <c r="B12698" s="7" t="str">
        <f>IFERROR(__xludf.DUMMYFUNCTION("SPLIT(A12698,"" "")"),"Cc1cncc(CN(C)C2CCC(N(C)Cc3cc(-c4ccc5cccnc5c4)ccn3)CC2)c1")</f>
        <v>Cc1cncc(CN(C)C2CCC(N(C)Cc3cc(-c4ccc5cccnc5c4)ccn3)CC2)c1</v>
      </c>
      <c r="C12698" s="7">
        <f>IFERROR(__xludf.DUMMYFUNCTION("""COMPUTED_VALUE"""),7.7569566)</f>
        <v>7.7569566</v>
      </c>
      <c r="D12698" s="7">
        <f>IFERROR(__xludf.DUMMYFUNCTION("""COMPUTED_VALUE"""),0.317460317460317)</f>
        <v>0.3174603175</v>
      </c>
    </row>
    <row r="12699">
      <c r="A12699" s="10" t="s">
        <v>14138</v>
      </c>
      <c r="B12699" s="7" t="str">
        <f>IFERROR(__xludf.DUMMYFUNCTION("SPLIT(A12699,"" "")"),"Cc1ccc(C)c(CN(C)C2=C(CN(C)Cc3ncccc3C)NC=CC2)n1")</f>
        <v>Cc1ccc(C)c(CN(C)C2=C(CN(C)Cc3ncccc3C)NC=CC2)n1</v>
      </c>
      <c r="C12699" s="7">
        <f>IFERROR(__xludf.DUMMYFUNCTION("""COMPUTED_VALUE"""),7.756951)</f>
        <v>7.756951</v>
      </c>
      <c r="D12699" s="7">
        <f>IFERROR(__xludf.DUMMYFUNCTION("""COMPUTED_VALUE"""),0.258064516129032)</f>
        <v>0.2580645161</v>
      </c>
    </row>
    <row r="12700">
      <c r="A12700" s="10" t="s">
        <v>14139</v>
      </c>
      <c r="B12700" s="7" t="str">
        <f>IFERROR(__xludf.DUMMYFUNCTION("SPLIT(A12700,"" "")"),"CC1=CC=C(N(Cc2ccccn2)Cc2ccccn2)NC1NCc1ccccn1")</f>
        <v>CC1=CC=C(N(Cc2ccccn2)Cc2ccccn2)NC1NCc1ccccn1</v>
      </c>
      <c r="C12700" s="7">
        <f>IFERROR(__xludf.DUMMYFUNCTION("""COMPUTED_VALUE"""),7.7569475)</f>
        <v>7.7569475</v>
      </c>
      <c r="D12700" s="7">
        <f>IFERROR(__xludf.DUMMYFUNCTION("""COMPUTED_VALUE"""),0.41860465116279)</f>
        <v>0.4186046512</v>
      </c>
    </row>
    <row r="12701">
      <c r="A12701" s="10" t="s">
        <v>14140</v>
      </c>
      <c r="B12701" s="7" t="str">
        <f>IFERROR(__xludf.DUMMYFUNCTION("SPLIT(A12701,"" "")"),"CC(C)N(C)c1cccc(-c2ccnc(CN(C)C(C)(c3cccnc3)C(C)C)c2)c1")</f>
        <v>CC(C)N(C)c1cccc(-c2ccnc(CN(C)C(C)(c3cccnc3)C(C)C)c2)c1</v>
      </c>
      <c r="C12701" s="7">
        <f>IFERROR(__xludf.DUMMYFUNCTION("""COMPUTED_VALUE"""),7.756946)</f>
        <v>7.756946</v>
      </c>
      <c r="D12701" s="7">
        <f>IFERROR(__xludf.DUMMYFUNCTION("""COMPUTED_VALUE"""),0.278688524590163)</f>
        <v>0.2786885246</v>
      </c>
    </row>
    <row r="12702">
      <c r="A12702" s="10" t="s">
        <v>14141</v>
      </c>
      <c r="B12702" s="7" t="str">
        <f>IFERROR(__xludf.DUMMYFUNCTION("SPLIT(A12702,"" "")"),"Cc1ccc(CN(C)C2=CNC(CN(Cc3ccccn3)Cc3cccc(C(C)(C)C)n3)=CC2)nc1")</f>
        <v>Cc1ccc(CN(C)C2=CNC(CN(Cc3ccccn3)Cc3cccc(C(C)(C)C)n3)=CC2)nc1</v>
      </c>
      <c r="C12702" s="7">
        <f>IFERROR(__xludf.DUMMYFUNCTION("""COMPUTED_VALUE"""),7.756938)</f>
        <v>7.756938</v>
      </c>
      <c r="D12702" s="7">
        <f>IFERROR(__xludf.DUMMYFUNCTION("""COMPUTED_VALUE"""),0.415384615384615)</f>
        <v>0.4153846154</v>
      </c>
    </row>
    <row r="12703">
      <c r="A12703" s="10" t="s">
        <v>14142</v>
      </c>
      <c r="B12703" s="7" t="str">
        <f>IFERROR(__xludf.DUMMYFUNCTION("SPLIT(A12703,"" "")"),"Cc1ccc(CN(C)C2=C(CN(C)Cc3ncc(C)c(C)c3C)NC=CC2)nc1")</f>
        <v>Cc1ccc(CN(C)C2=C(CN(C)Cc3ncc(C)c(C)c3C)NC=CC2)nc1</v>
      </c>
      <c r="C12703" s="7">
        <f>IFERROR(__xludf.DUMMYFUNCTION("""COMPUTED_VALUE"""),7.7569375)</f>
        <v>7.7569375</v>
      </c>
      <c r="D12703" s="7">
        <f>IFERROR(__xludf.DUMMYFUNCTION("""COMPUTED_VALUE"""),0.396226415094339)</f>
        <v>0.3962264151</v>
      </c>
    </row>
    <row r="12704">
      <c r="A12704" s="10" t="s">
        <v>14143</v>
      </c>
      <c r="B12704" s="7" t="str">
        <f>IFERROR(__xludf.DUMMYFUNCTION("SPLIT(A12704,"" "")"),"Cc1cncc(CN(C)CCN(C)Cc2cccc3ncccc23)c1")</f>
        <v>Cc1cncc(CN(C)CCN(C)Cc2cccc3ncccc23)c1</v>
      </c>
      <c r="C12704" s="7">
        <f>IFERROR(__xludf.DUMMYFUNCTION("""COMPUTED_VALUE"""),7.756935)</f>
        <v>7.756935</v>
      </c>
      <c r="D12704" s="7">
        <f>IFERROR(__xludf.DUMMYFUNCTION("""COMPUTED_VALUE"""),0.448979591836734)</f>
        <v>0.4489795918</v>
      </c>
    </row>
    <row r="12705">
      <c r="A12705" s="10" t="s">
        <v>14144</v>
      </c>
      <c r="B12705" s="7" t="str">
        <f>IFERROR(__xludf.DUMMYFUNCTION("SPLIT(A12705,"" "")"),"Cc1cccnc1CN(Cc1ccccn1)C1CCCC(N(C)c2ccc3nccc(CN(C)C)c3c2)C1")</f>
        <v>Cc1cccnc1CN(Cc1ccccn1)C1CCCC(N(C)c2ccc3nccc(CN(C)C)c3c2)C1</v>
      </c>
      <c r="C12705" s="7">
        <f>IFERROR(__xludf.DUMMYFUNCTION("""COMPUTED_VALUE"""),7.7569313)</f>
        <v>7.7569313</v>
      </c>
      <c r="D12705" s="7">
        <f>IFERROR(__xludf.DUMMYFUNCTION("""COMPUTED_VALUE"""),0.338235294117647)</f>
        <v>0.3382352941</v>
      </c>
    </row>
    <row r="12706">
      <c r="A12706" s="10" t="s">
        <v>14145</v>
      </c>
      <c r="B12706" s="7" t="str">
        <f>IFERROR(__xludf.DUMMYFUNCTION("SPLIT(A12706,"" "")"),"CNCc1cccc(N(C)C2CCCC(N(C)c3cccc4nc(CF)ccc34)C2)n1")</f>
        <v>CNCc1cccc(N(C)C2CCCC(N(C)c3cccc4nc(CF)ccc34)C2)n1</v>
      </c>
      <c r="C12706" s="7">
        <f>IFERROR(__xludf.DUMMYFUNCTION("""COMPUTED_VALUE"""),7.7569275)</f>
        <v>7.7569275</v>
      </c>
      <c r="D12706" s="7">
        <f>IFERROR(__xludf.DUMMYFUNCTION("""COMPUTED_VALUE"""),0.396825396825396)</f>
        <v>0.3968253968</v>
      </c>
    </row>
    <row r="12707">
      <c r="A12707" s="10" t="s">
        <v>14146</v>
      </c>
      <c r="B12707" s="7" t="str">
        <f>IFERROR(__xludf.DUMMYFUNCTION("SPLIT(A12707,"" "")"),"Cc1cccc(CN(C)C2=CNC(CN(C)C3=CNC(C(C)N)=CC3)=CC2)n1")</f>
        <v>Cc1cccc(CN(C)C2=CNC(CN(C)C3=CNC(C(C)N)=CC3)=CC2)n1</v>
      </c>
      <c r="C12707" s="7">
        <f>IFERROR(__xludf.DUMMYFUNCTION("""COMPUTED_VALUE"""),7.7569246)</f>
        <v>7.7569246</v>
      </c>
      <c r="D12707" s="7">
        <f>IFERROR(__xludf.DUMMYFUNCTION("""COMPUTED_VALUE"""),0.384615384615384)</f>
        <v>0.3846153846</v>
      </c>
    </row>
    <row r="12708">
      <c r="A12708" s="10" t="s">
        <v>14147</v>
      </c>
      <c r="B12708" s="7" t="str">
        <f>IFERROR(__xludf.DUMMYFUNCTION("SPLIT(A12708,"" "")"),"CC1=C(C)C(C)C2(C=CC(c3cc(CN(Cc4ccccn4)Cc4cc(-c5cccc(N=Cc6ccccn6)c5)ccn4)ccn3)C(c3cc(CN(Cc4ccccn4)Cc4ccccn4)ccn3)C23C(C)C=CC(C)C3C)CC1")</f>
        <v>CC1=C(C)C(C)C2(C=CC(c3cc(CN(Cc4ccccn4)Cc4cc(-c5cccc(N=Cc6ccccn6)c5)ccn4)ccn3)C(c3cc(CN(Cc4ccccn4)Cc4ccccn4)ccn3)C23C(C)C=CC(C)C3C)CC1</v>
      </c>
      <c r="C12708" s="7">
        <f>IFERROR(__xludf.DUMMYFUNCTION("""COMPUTED_VALUE"""),7.756915)</f>
        <v>7.756915</v>
      </c>
      <c r="D12708" s="7">
        <f>IFERROR(__xludf.DUMMYFUNCTION("""COMPUTED_VALUE"""),0.26)</f>
        <v>0.26</v>
      </c>
    </row>
    <row r="12709">
      <c r="A12709" s="10" t="s">
        <v>14148</v>
      </c>
      <c r="B12709" s="7" t="str">
        <f>IFERROR(__xludf.DUMMYFUNCTION("SPLIT(A12709,"" "")"),"Cc1cccnc1CN(Cc1ccc(N)cn1)C1CCC(N(C)c2ccc3c(CF)ccnc3c2)CC1")</f>
        <v>Cc1cccnc1CN(Cc1ccc(N)cn1)C1CCC(N(C)c2ccc3c(CF)ccnc3c2)CC1</v>
      </c>
      <c r="C12709" s="7">
        <f>IFERROR(__xludf.DUMMYFUNCTION("""COMPUTED_VALUE"""),7.756913)</f>
        <v>7.756913</v>
      </c>
      <c r="D12709" s="7">
        <f>IFERROR(__xludf.DUMMYFUNCTION("""COMPUTED_VALUE"""),0.253333333333333)</f>
        <v>0.2533333333</v>
      </c>
    </row>
    <row r="12710">
      <c r="A12710" s="10" t="s">
        <v>14149</v>
      </c>
      <c r="B12710" s="7" t="str">
        <f>IFERROR(__xludf.DUMMYFUNCTION("SPLIT(A12710,"" "")"),"Cc1ccc(CN(C)Cc2cccc(N(C)C3C=CC=CN3)n2)cn1")</f>
        <v>Cc1ccc(CN(C)Cc2cccc(N(C)C3C=CC=CN3)n2)cn1</v>
      </c>
      <c r="C12710" s="7">
        <f>IFERROR(__xludf.DUMMYFUNCTION("""COMPUTED_VALUE"""),7.756911)</f>
        <v>7.756911</v>
      </c>
      <c r="D12710" s="7">
        <f>IFERROR(__xludf.DUMMYFUNCTION("""COMPUTED_VALUE"""),0.345454545454545)</f>
        <v>0.3454545455</v>
      </c>
    </row>
    <row r="12711">
      <c r="A12711" s="10" t="s">
        <v>14150</v>
      </c>
      <c r="B12711" s="7" t="str">
        <f>IFERROR(__xludf.DUMMYFUNCTION("SPLIT(A12711,"" "")"),"Cc1ccc(CN(C)C2=C(CN(C)Cc3ccccn3)NC=CC2)nc1C")</f>
        <v>Cc1ccc(CN(C)C2=C(CN(C)Cc3ccccn3)NC=CC2)nc1C</v>
      </c>
      <c r="C12711" s="7">
        <f>IFERROR(__xludf.DUMMYFUNCTION("""COMPUTED_VALUE"""),7.7569084)</f>
        <v>7.7569084</v>
      </c>
      <c r="D12711" s="7">
        <f>IFERROR(__xludf.DUMMYFUNCTION("""COMPUTED_VALUE"""),0.421052631578947)</f>
        <v>0.4210526316</v>
      </c>
    </row>
    <row r="12712">
      <c r="A12712" s="10" t="s">
        <v>14151</v>
      </c>
      <c r="B12712" s="7" t="str">
        <f>IFERROR(__xludf.DUMMYFUNCTION("SPLIT(A12712,"" "")"),"Cc1cc(CN(C)Cc2ncccc2N(C)C(C)C)nc(C)c1C")</f>
        <v>Cc1cc(CN(C)Cc2ncccc2N(C)C(C)C)nc(C)c1C</v>
      </c>
      <c r="C12712" s="7">
        <f>IFERROR(__xludf.DUMMYFUNCTION("""COMPUTED_VALUE"""),7.7569036)</f>
        <v>7.7569036</v>
      </c>
      <c r="D12712" s="7">
        <f>IFERROR(__xludf.DUMMYFUNCTION("""COMPUTED_VALUE"""),0.346153846153846)</f>
        <v>0.3461538462</v>
      </c>
    </row>
    <row r="12713">
      <c r="A12713" s="10" t="s">
        <v>14152</v>
      </c>
      <c r="B12713" s="7" t="str">
        <f>IFERROR(__xludf.DUMMYFUNCTION("SPLIT(A12713,"" "")"),"CC1=CC(C)CC2(C1)CC1(C=C(c3ncccc3CN(Cc3ccccn3)Cc3ncccc3-c3ccccc3N=Cc3ccccn3)C23CCC(C)=C(C)C3C)CCC(C)=C(C)C1C")</f>
        <v>CC1=CC(C)CC2(C1)CC1(C=C(c3ncccc3CN(Cc3ccccn3)Cc3ncccc3-c3ccccc3N=Cc3ccccn3)C23CCC(C)=C(C)C3C)CCC(C)=C(C)C1C</v>
      </c>
      <c r="C12713" s="7">
        <f>IFERROR(__xludf.DUMMYFUNCTION("""COMPUTED_VALUE"""),7.7568903)</f>
        <v>7.7568903</v>
      </c>
      <c r="D12713" s="7">
        <f>IFERROR(__xludf.DUMMYFUNCTION("""COMPUTED_VALUE"""),0.25531914893617)</f>
        <v>0.2553191489</v>
      </c>
    </row>
    <row r="12714">
      <c r="A12714" s="10" t="s">
        <v>14153</v>
      </c>
      <c r="B12714" s="7" t="str">
        <f>IFERROR(__xludf.DUMMYFUNCTION("SPLIT(A12714,"" "")"),"CCNc1ncccc1-c1cccc(C(C)C(C)C)n1")</f>
        <v>CCNc1ncccc1-c1cccc(C(C)C(C)C)n1</v>
      </c>
      <c r="C12714" s="7">
        <f>IFERROR(__xludf.DUMMYFUNCTION("""COMPUTED_VALUE"""),7.75689)</f>
        <v>7.75689</v>
      </c>
      <c r="D12714" s="7">
        <f>IFERROR(__xludf.DUMMYFUNCTION("""COMPUTED_VALUE"""),0.339285714285714)</f>
        <v>0.3392857143</v>
      </c>
    </row>
    <row r="12715">
      <c r="A12715" s="10" t="s">
        <v>14154</v>
      </c>
      <c r="B12715" s="7" t="str">
        <f>IFERROR(__xludf.DUMMYFUNCTION("SPLIT(A12715,"" "")"),"Cc1cccnc1CN(C)C1=CNC(CN(C)C)=CC1")</f>
        <v>Cc1cccnc1CN(C)C1=CNC(CN(C)C)=CC1</v>
      </c>
      <c r="C12715" s="7">
        <f>IFERROR(__xludf.DUMMYFUNCTION("""COMPUTED_VALUE"""),7.756887)</f>
        <v>7.756887</v>
      </c>
      <c r="D12715" s="7">
        <f>IFERROR(__xludf.DUMMYFUNCTION("""COMPUTED_VALUE"""),0.288135593220339)</f>
        <v>0.2881355932</v>
      </c>
    </row>
    <row r="12716">
      <c r="A12716" s="10" t="s">
        <v>14155</v>
      </c>
      <c r="B12716" s="7" t="str">
        <f>IFERROR(__xludf.DUMMYFUNCTION("SPLIT(A12716,"" "")"),"Cc1cnc(CN(C)CC2=CCC=C(N(C)C)N2)c(C)c1")</f>
        <v>Cc1cnc(CN(C)CC2=CCC=C(N(C)C)N2)c(C)c1</v>
      </c>
      <c r="C12716" s="7">
        <f>IFERROR(__xludf.DUMMYFUNCTION("""COMPUTED_VALUE"""),7.756884)</f>
        <v>7.756884</v>
      </c>
      <c r="D12716" s="7">
        <f>IFERROR(__xludf.DUMMYFUNCTION("""COMPUTED_VALUE"""),0.274509803921568)</f>
        <v>0.2745098039</v>
      </c>
    </row>
    <row r="12717">
      <c r="A12717" s="10" t="s">
        <v>14156</v>
      </c>
      <c r="B12717" s="7" t="str">
        <f>IFERROR(__xludf.DUMMYFUNCTION("SPLIT(A12717,"" "")"),"CN(Cc1cccc(N)n1)Cc1cccc(N(C)C(C)(C)c2ccccn2)n1")</f>
        <v>CN(Cc1cccc(N)n1)Cc1cccc(N(C)C(C)(C)c2ccccn2)n1</v>
      </c>
      <c r="C12717" s="7">
        <f>IFERROR(__xludf.DUMMYFUNCTION("""COMPUTED_VALUE"""),7.756884)</f>
        <v>7.756884</v>
      </c>
      <c r="D12717" s="7">
        <f>IFERROR(__xludf.DUMMYFUNCTION("""COMPUTED_VALUE"""),0.450980392156862)</f>
        <v>0.4509803922</v>
      </c>
    </row>
    <row r="12718">
      <c r="A12718" s="10" t="s">
        <v>14157</v>
      </c>
      <c r="B12718" s="7" t="str">
        <f>IFERROR(__xludf.DUMMYFUNCTION("SPLIT(A12718,"" "")"),"CN(Cc1ccon1)C1CCCC(N(C)c2ccc3nccc(CF)c3c2)C1")</f>
        <v>CN(Cc1ccon1)C1CCCC(N(C)c2ccc3nccc(CF)c3c2)C1</v>
      </c>
      <c r="C12718" s="7">
        <f>IFERROR(__xludf.DUMMYFUNCTION("""COMPUTED_VALUE"""),7.7568774)</f>
        <v>7.7568774</v>
      </c>
      <c r="D12718" s="7">
        <f>IFERROR(__xludf.DUMMYFUNCTION("""COMPUTED_VALUE"""),0.350877192982456)</f>
        <v>0.350877193</v>
      </c>
    </row>
    <row r="12719">
      <c r="A12719" s="10" t="s">
        <v>14158</v>
      </c>
      <c r="B12719" s="7" t="str">
        <f>IFERROR(__xludf.DUMMYFUNCTION("SPLIT(A12719,"" "")"),"CCN(Cc1cc(C2=NC(C)(C)CO2)ccn1)Cc1ncccc1C")</f>
        <v>CCN(Cc1cc(C2=NC(C)(C)CO2)ccn1)Cc1ncccc1C</v>
      </c>
      <c r="C12719" s="7">
        <f>IFERROR(__xludf.DUMMYFUNCTION("""COMPUTED_VALUE"""),7.756876)</f>
        <v>7.756876</v>
      </c>
      <c r="D12719" s="7">
        <f>IFERROR(__xludf.DUMMYFUNCTION("""COMPUTED_VALUE"""),0.333333333333333)</f>
        <v>0.3333333333</v>
      </c>
    </row>
    <row r="12720">
      <c r="A12720" s="10" t="s">
        <v>14159</v>
      </c>
      <c r="B12720" s="7" t="str">
        <f>IFERROR(__xludf.DUMMYFUNCTION("SPLIT(A12720,"" "")"),"CC(C)(c1cc(CN(Cc2ccccn2)Cc2ccccn2)ccn1)c1ccccc1NCc1ccccn1")</f>
        <v>CC(C)(c1cc(CN(Cc2ccccn2)Cc2ccccn2)ccn1)c1ccccc1NCc1ccccn1</v>
      </c>
      <c r="C12720" s="7">
        <f>IFERROR(__xludf.DUMMYFUNCTION("""COMPUTED_VALUE"""),7.7568736)</f>
        <v>7.7568736</v>
      </c>
      <c r="D12720" s="7">
        <f>IFERROR(__xludf.DUMMYFUNCTION("""COMPUTED_VALUE"""),0.425531914893617)</f>
        <v>0.4255319149</v>
      </c>
    </row>
    <row r="12721">
      <c r="A12721" s="10" t="s">
        <v>14160</v>
      </c>
      <c r="B12721" s="7" t="str">
        <f>IFERROR(__xludf.DUMMYFUNCTION("SPLIT(A12721,"" "")"),"Cc1ccc(NCc2ccccn2)c(C)c1")</f>
        <v>Cc1ccc(NCc2ccccn2)c(C)c1</v>
      </c>
      <c r="C12721" s="7">
        <f>IFERROR(__xludf.DUMMYFUNCTION("""COMPUTED_VALUE"""),7.7568717)</f>
        <v>7.7568717</v>
      </c>
      <c r="D12721" s="7">
        <f>IFERROR(__xludf.DUMMYFUNCTION("""COMPUTED_VALUE"""),0.459459459459459)</f>
        <v>0.4594594595</v>
      </c>
    </row>
    <row r="12722">
      <c r="A12722" s="10" t="s">
        <v>14161</v>
      </c>
      <c r="B12722" s="7" t="str">
        <f>IFERROR(__xludf.DUMMYFUNCTION("SPLIT(A12722,"" "")"),"Cc1ccc(CN(C)Cc2cc(C(C)(C)c3ccccn3)ccn2)cc1C")</f>
        <v>Cc1ccc(CN(C)Cc2cc(C(C)(C)c3ccccn3)ccn2)cc1C</v>
      </c>
      <c r="C12722" s="7">
        <f>IFERROR(__xludf.DUMMYFUNCTION("""COMPUTED_VALUE"""),7.7568707)</f>
        <v>7.7568707</v>
      </c>
      <c r="D12722" s="7">
        <f>IFERROR(__xludf.DUMMYFUNCTION("""COMPUTED_VALUE"""),0.357142857142857)</f>
        <v>0.3571428571</v>
      </c>
    </row>
    <row r="12723">
      <c r="A12723" s="10" t="s">
        <v>14162</v>
      </c>
      <c r="B12723" s="7" t="str">
        <f>IFERROR(__xludf.DUMMYFUNCTION("SPLIT(A12723,"" "")"),"CC(N)C(C)C(C)c1cccnc1-c1cccnc1NC1C=CC=CN1")</f>
        <v>CC(N)C(C)C(C)c1cccnc1-c1cccnc1NC1C=CC=CN1</v>
      </c>
      <c r="C12723" s="7">
        <f>IFERROR(__xludf.DUMMYFUNCTION("""COMPUTED_VALUE"""),7.7568703)</f>
        <v>7.7568703</v>
      </c>
      <c r="D12723" s="7">
        <f>IFERROR(__xludf.DUMMYFUNCTION("""COMPUTED_VALUE"""),0.276923076923076)</f>
        <v>0.2769230769</v>
      </c>
    </row>
    <row r="12724">
      <c r="A12724" s="10" t="s">
        <v>14163</v>
      </c>
      <c r="B12724" s="7" t="str">
        <f>IFERROR(__xludf.DUMMYFUNCTION("SPLIT(A12724,"" "")"),"CN(CC1=CCC=C(N(C)C2CCCC(N(C)Cc3ccccn3)C2)N1)c1cccc2ncccc12")</f>
        <v>CN(CC1=CCC=C(N(C)C2CCCC(N(C)Cc3ccccn3)C2)N1)c1cccc2ncccc12</v>
      </c>
      <c r="C12724" s="7">
        <f>IFERROR(__xludf.DUMMYFUNCTION("""COMPUTED_VALUE"""),7.7568665)</f>
        <v>7.7568665</v>
      </c>
      <c r="D12724" s="7">
        <f>IFERROR(__xludf.DUMMYFUNCTION("""COMPUTED_VALUE"""),0.378787878787878)</f>
        <v>0.3787878788</v>
      </c>
    </row>
    <row r="12725">
      <c r="A12725" s="10" t="s">
        <v>14164</v>
      </c>
      <c r="B12725" s="7" t="str">
        <f>IFERROR(__xludf.DUMMYFUNCTION("SPLIT(A12725,"" "")"),"CN(CC1=CCC=C(N(C)Cc2ccccn2)N1)Cc1cccnc1")</f>
        <v>CN(CC1=CCC=C(N(C)Cc2ccccn2)N1)Cc1cccnc1</v>
      </c>
      <c r="C12725" s="7">
        <f>IFERROR(__xludf.DUMMYFUNCTION("""COMPUTED_VALUE"""),7.7568626)</f>
        <v>7.7568626</v>
      </c>
      <c r="D12725" s="7">
        <f>IFERROR(__xludf.DUMMYFUNCTION("""COMPUTED_VALUE"""),0.383333333333333)</f>
        <v>0.3833333333</v>
      </c>
    </row>
    <row r="12726">
      <c r="A12726" s="10" t="s">
        <v>14165</v>
      </c>
      <c r="B12726" s="7" t="str">
        <f>IFERROR(__xludf.DUMMYFUNCTION("SPLIT(A12726,"" "")"),"CC(C)N(Cc1cccc(C2=CCC=CN2)n1)Cc1cccc(C(C)(C)C)n1")</f>
        <v>CC(C)N(Cc1cccc(C2=CCC=CN2)n1)Cc1cccc(C(C)(C)C)n1</v>
      </c>
      <c r="C12726" s="7">
        <f>IFERROR(__xludf.DUMMYFUNCTION("""COMPUTED_VALUE"""),7.7568526)</f>
        <v>7.7568526</v>
      </c>
      <c r="D12726" s="7">
        <f>IFERROR(__xludf.DUMMYFUNCTION("""COMPUTED_VALUE"""),0.32258064516129)</f>
        <v>0.3225806452</v>
      </c>
    </row>
    <row r="12727">
      <c r="A12727" s="10" t="s">
        <v>14166</v>
      </c>
      <c r="B12727" s="7" t="str">
        <f>IFERROR(__xludf.DUMMYFUNCTION("SPLIT(A12727,"" "")"),"CC(c1ccccn1)(c1ccccn1)c1cccc(CN(CF)Cc2ccccn2)n1")</f>
        <v>CC(c1ccccn1)(c1ccccn1)c1cccc(CN(CF)Cc2ccccn2)n1</v>
      </c>
      <c r="C12727" s="7">
        <f>IFERROR(__xludf.DUMMYFUNCTION("""COMPUTED_VALUE"""),7.756846)</f>
        <v>7.756846</v>
      </c>
      <c r="D12727" s="7">
        <f>IFERROR(__xludf.DUMMYFUNCTION("""COMPUTED_VALUE"""),0.488888888888888)</f>
        <v>0.4888888889</v>
      </c>
    </row>
    <row r="12728">
      <c r="A12728" s="10" t="s">
        <v>14167</v>
      </c>
      <c r="B12728" s="7" t="str">
        <f>IFERROR(__xludf.DUMMYFUNCTION("SPLIT(A12728,"" "")"),"Cc1cc(CN(Cc2ccccn2)C2CCCCC2N(C)c2ccc3nccc(C)c3c2)cnc1C")</f>
        <v>Cc1cc(CN(Cc2ccccn2)C2CCCCC2N(C)c2ccc3nccc(C)c3c2)cnc1C</v>
      </c>
      <c r="C12728" s="7">
        <f>IFERROR(__xludf.DUMMYFUNCTION("""COMPUTED_VALUE"""),7.756846)</f>
        <v>7.756846</v>
      </c>
      <c r="D12728" s="7">
        <f>IFERROR(__xludf.DUMMYFUNCTION("""COMPUTED_VALUE"""),0.412698412698412)</f>
        <v>0.4126984127</v>
      </c>
    </row>
    <row r="12729">
      <c r="A12729" s="10" t="s">
        <v>14168</v>
      </c>
      <c r="B12729" s="7" t="str">
        <f>IFERROR(__xludf.DUMMYFUNCTION("SPLIT(A12729,"" "")"),"CN(c1ccc2nc(CF)ccc2c1)C1CCCCC1N(Cc1ccccn1)c1cccc(CF)n1")</f>
        <v>CN(c1ccc2nc(CF)ccc2c1)C1CCCCC1N(Cc1ccccn1)c1cccc(CF)n1</v>
      </c>
      <c r="C12729" s="7">
        <f>IFERROR(__xludf.DUMMYFUNCTION("""COMPUTED_VALUE"""),7.756844)</f>
        <v>7.756844</v>
      </c>
      <c r="D12729" s="7">
        <f>IFERROR(__xludf.DUMMYFUNCTION("""COMPUTED_VALUE"""),0.46031746031746)</f>
        <v>0.4603174603</v>
      </c>
    </row>
    <row r="12730">
      <c r="A12730" s="10" t="s">
        <v>14169</v>
      </c>
      <c r="B12730" s="7" t="str">
        <f>IFERROR(__xludf.DUMMYFUNCTION("SPLIT(A12730,"" "")"),"CNCc1nccc2cc(N(C)C3CCCCC3N(Cc3ccccn3)c3ccccc3F)ccc12")</f>
        <v>CNCc1nccc2cc(N(C)C3CCCCC3N(Cc3ccccn3)c3ccccc3F)ccc12</v>
      </c>
      <c r="C12730" s="7">
        <f>IFERROR(__xludf.DUMMYFUNCTION("""COMPUTED_VALUE"""),7.7568407)</f>
        <v>7.7568407</v>
      </c>
      <c r="D12730" s="7">
        <f>IFERROR(__xludf.DUMMYFUNCTION("""COMPUTED_VALUE"""),0.4)</f>
        <v>0.4</v>
      </c>
    </row>
    <row r="12731">
      <c r="A12731" s="10" t="s">
        <v>14170</v>
      </c>
      <c r="B12731" s="7" t="str">
        <f>IFERROR(__xludf.DUMMYFUNCTION("SPLIT(A12731,"" "")"),"CN(c1ccc2ncc(CF)cc2c1)C1CCC(N(Cc2ccccn2)Cc2cccc(C(C)(C)c3ccccn3)n2)CC1")</f>
        <v>CN(c1ccc2ncc(CF)cc2c1)C1CCC(N(Cc2ccccn2)Cc2cccc(C(C)(C)c3ccccn3)n2)CC1</v>
      </c>
      <c r="C12731" s="7">
        <f>IFERROR(__xludf.DUMMYFUNCTION("""COMPUTED_VALUE"""),7.7568274)</f>
        <v>7.7568274</v>
      </c>
      <c r="D12731" s="7">
        <f>IFERROR(__xludf.DUMMYFUNCTION("""COMPUTED_VALUE"""),0.328571428571428)</f>
        <v>0.3285714286</v>
      </c>
    </row>
    <row r="12732">
      <c r="A12732" s="10" t="s">
        <v>14171</v>
      </c>
      <c r="B12732" s="7" t="str">
        <f>IFERROR(__xludf.DUMMYFUNCTION("SPLIT(A12732,"" "")"),"Cc1ccc(N)c(N(Cc2ccccn2)C(C)(C)N(C)Cc2nc(N)c(C)c(C)c2C)c1")</f>
        <v>Cc1ccc(N)c(N(Cc2ccccn2)C(C)(C)N(C)Cc2nc(N)c(C)c(C)c2C)c1</v>
      </c>
      <c r="C12732" s="7">
        <f>IFERROR(__xludf.DUMMYFUNCTION("""COMPUTED_VALUE"""),7.7568097)</f>
        <v>7.7568097</v>
      </c>
      <c r="D12732" s="7">
        <f>IFERROR(__xludf.DUMMYFUNCTION("""COMPUTED_VALUE"""),0.35)</f>
        <v>0.35</v>
      </c>
    </row>
    <row r="12733">
      <c r="A12733" s="10" t="s">
        <v>14172</v>
      </c>
      <c r="B12733" s="7" t="str">
        <f>IFERROR(__xludf.DUMMYFUNCTION("SPLIT(A12733,"" "")"),"CC(c1ccccc1)(c1ccccn1)c1ncccc1CN(Cc1ccccn1)Cc1ccccn1")</f>
        <v>CC(c1ccccc1)(c1ccccn1)c1ncccc1CN(Cc1ccccn1)Cc1ccccn1</v>
      </c>
      <c r="C12733" s="7">
        <f>IFERROR(__xludf.DUMMYFUNCTION("""COMPUTED_VALUE"""),7.7568045)</f>
        <v>7.7568045</v>
      </c>
      <c r="D12733" s="7">
        <f>IFERROR(__xludf.DUMMYFUNCTION("""COMPUTED_VALUE"""),0.48780487804878)</f>
        <v>0.487804878</v>
      </c>
    </row>
    <row r="12734">
      <c r="A12734" s="10" t="s">
        <v>14173</v>
      </c>
      <c r="B12734" s="7" t="str">
        <f>IFERROR(__xludf.DUMMYFUNCTION("SPLIT(A12734,"" "")"),"CN(Cc1ccccn1)Cc1ccc(N(C)C2C=CC=CN2)cn1")</f>
        <v>CN(Cc1ccccn1)Cc1ccc(N(C)C2C=CC=CN2)cn1</v>
      </c>
      <c r="C12734" s="7">
        <f>IFERROR(__xludf.DUMMYFUNCTION("""COMPUTED_VALUE"""),7.7568045)</f>
        <v>7.7568045</v>
      </c>
      <c r="D12734" s="7">
        <f>IFERROR(__xludf.DUMMYFUNCTION("""COMPUTED_VALUE"""),0.490566037735849)</f>
        <v>0.4905660377</v>
      </c>
    </row>
    <row r="12735">
      <c r="A12735" s="10" t="s">
        <v>14174</v>
      </c>
      <c r="B12735" s="7" t="str">
        <f>IFERROR(__xludf.DUMMYFUNCTION("SPLIT(A12735,"" "")"),"Cc1ccccc1CN(C)CC1=CCC=C(N(C)Cc2ccccn2)N1")</f>
        <v>Cc1ccccc1CN(C)CC1=CCC=C(N(C)Cc2ccccn2)N1</v>
      </c>
      <c r="C12735" s="7">
        <f>IFERROR(__xludf.DUMMYFUNCTION("""COMPUTED_VALUE"""),7.7567983)</f>
        <v>7.7567983</v>
      </c>
      <c r="D12735" s="7">
        <f>IFERROR(__xludf.DUMMYFUNCTION("""COMPUTED_VALUE"""),0.396551724137931)</f>
        <v>0.3965517241</v>
      </c>
    </row>
    <row r="12736">
      <c r="A12736" s="10" t="s">
        <v>14175</v>
      </c>
      <c r="B12736" s="7" t="str">
        <f>IFERROR(__xludf.DUMMYFUNCTION("SPLIT(A12736,"" "")"),"Cc1cnc(C)c(C)c1")</f>
        <v>Cc1cnc(C)c(C)c1</v>
      </c>
      <c r="C12736" s="7">
        <f>IFERROR(__xludf.DUMMYFUNCTION("""COMPUTED_VALUE"""),7.7567964)</f>
        <v>7.7567964</v>
      </c>
      <c r="D12736" s="7">
        <f>IFERROR(__xludf.DUMMYFUNCTION("""COMPUTED_VALUE"""),0.272727272727272)</f>
        <v>0.2727272727</v>
      </c>
    </row>
    <row r="12737">
      <c r="A12737" s="10" t="s">
        <v>14176</v>
      </c>
      <c r="B12737" s="7" t="str">
        <f>IFERROR(__xludf.DUMMYFUNCTION("SPLIT(A12737,"" "")"),"Cc1ccc(CN(Cc2nc(C)c(C)c(C)c2C)C2CCCCC2N(C)c2ccc3cccnc3c2)nc1")</f>
        <v>Cc1ccc(CN(Cc2nc(C)c(C)c(C)c2C)C2CCCCC2N(C)c2ccc3cccnc3c2)nc1</v>
      </c>
      <c r="C12737" s="7">
        <f>IFERROR(__xludf.DUMMYFUNCTION("""COMPUTED_VALUE"""),7.7567954)</f>
        <v>7.7567954</v>
      </c>
      <c r="D12737" s="7">
        <f>IFERROR(__xludf.DUMMYFUNCTION("""COMPUTED_VALUE"""),0.421875)</f>
        <v>0.421875</v>
      </c>
    </row>
    <row r="12738">
      <c r="A12738" s="10" t="s">
        <v>14177</v>
      </c>
      <c r="B12738" s="7" t="str">
        <f>IFERROR(__xludf.DUMMYFUNCTION("SPLIT(A12738,"" "")"),"CNCc1nccc2cccc(N(C)C3CCCCC3N(Cc3ccccn3)c3ccccc3F)c12")</f>
        <v>CNCc1nccc2cccc(N(C)C3CCCCC3N(Cc3ccccn3)c3ccccc3F)c12</v>
      </c>
      <c r="C12738" s="7">
        <f>IFERROR(__xludf.DUMMYFUNCTION("""COMPUTED_VALUE"""),7.7567883)</f>
        <v>7.7567883</v>
      </c>
      <c r="D12738" s="7">
        <f>IFERROR(__xludf.DUMMYFUNCTION("""COMPUTED_VALUE"""),0.412698412698412)</f>
        <v>0.4126984127</v>
      </c>
    </row>
    <row r="12739">
      <c r="A12739" s="10" t="s">
        <v>14178</v>
      </c>
      <c r="B12739" s="7" t="str">
        <f>IFERROR(__xludf.DUMMYFUNCTION("SPLIT(A12739,"" "")"),"CC(C)C1=CC2(C=CN1)C(c1cc(CN(Cc3ccccn3)C(C)(C)c3ccccn3)ccn1)=CC(C)(C)CC2c1cc(CN(Cc2ccccn2)Cc2ccccn2)ccn1")</f>
        <v>CC(C)C1=CC2(C=CN1)C(c1cc(CN(Cc3ccccn3)C(C)(C)c3ccccn3)ccn1)=CC(C)(C)CC2c1cc(CN(Cc2ccccn2)Cc2ccccn2)ccn1</v>
      </c>
      <c r="C12739" s="7">
        <f>IFERROR(__xludf.DUMMYFUNCTION("""COMPUTED_VALUE"""),7.7567873)</f>
        <v>7.7567873</v>
      </c>
      <c r="D12739" s="7">
        <f>IFERROR(__xludf.DUMMYFUNCTION("""COMPUTED_VALUE"""),0.27906976744186)</f>
        <v>0.2790697674</v>
      </c>
    </row>
    <row r="12740">
      <c r="A12740" s="10" t="s">
        <v>14179</v>
      </c>
      <c r="B12740" s="7" t="str">
        <f>IFERROR(__xludf.DUMMYFUNCTION("SPLIT(A12740,"" "")"),"Cc1cnc2ccc(N(C)C3CCC(N(Cc4cccc(F)n4)Cc4cccnc4F)CC3)cc2c1C")</f>
        <v>Cc1cnc2ccc(N(C)C3CCC(N(Cc4cccc(F)n4)Cc4cccnc4F)CC3)cc2c1C</v>
      </c>
      <c r="C12740" s="7">
        <f>IFERROR(__xludf.DUMMYFUNCTION("""COMPUTED_VALUE"""),7.7567835)</f>
        <v>7.7567835</v>
      </c>
      <c r="D12740" s="7">
        <f>IFERROR(__xludf.DUMMYFUNCTION("""COMPUTED_VALUE"""),0.292682926829268)</f>
        <v>0.2926829268</v>
      </c>
    </row>
    <row r="12741">
      <c r="A12741" s="10" t="s">
        <v>14180</v>
      </c>
      <c r="B12741" s="7" t="str">
        <f>IFERROR(__xludf.DUMMYFUNCTION("SPLIT(A12741,"" "")"),"CN(C)Cc1cnc2cc(N(C)C3CCC(N(Cc4ccccn4)Cc4ccon4)CC3)ccc2c1")</f>
        <v>CN(C)Cc1cnc2cc(N(C)C3CCC(N(Cc4ccccn4)Cc4ccon4)CC3)ccc2c1</v>
      </c>
      <c r="C12741" s="7">
        <f>IFERROR(__xludf.DUMMYFUNCTION("""COMPUTED_VALUE"""),7.7567773)</f>
        <v>7.7567773</v>
      </c>
      <c r="D12741" s="7">
        <f>IFERROR(__xludf.DUMMYFUNCTION("""COMPUTED_VALUE"""),0.333333333333333)</f>
        <v>0.3333333333</v>
      </c>
    </row>
    <row r="12742">
      <c r="A12742" s="10" t="s">
        <v>14181</v>
      </c>
      <c r="B12742" s="7" t="str">
        <f>IFERROR(__xludf.DUMMYFUNCTION("SPLIT(A12742,"" "")"),"CNCN(Cc1nc(C)c(C)c(C)c1C)Cc1nc(C)c(C)c(C)c1C")</f>
        <v>CNCN(Cc1nc(C)c(C)c(C)c1C)Cc1nc(C)c(C)c(C)c1C</v>
      </c>
      <c r="C12742" s="7">
        <f>IFERROR(__xludf.DUMMYFUNCTION("""COMPUTED_VALUE"""),7.756776)</f>
        <v>7.756776</v>
      </c>
      <c r="D12742" s="7">
        <f>IFERROR(__xludf.DUMMYFUNCTION("""COMPUTED_VALUE"""),0.186046511627906)</f>
        <v>0.1860465116</v>
      </c>
    </row>
    <row r="12743">
      <c r="A12743" s="10" t="s">
        <v>14182</v>
      </c>
      <c r="B12743" s="7" t="str">
        <f>IFERROR(__xludf.DUMMYFUNCTION("SPLIT(A12743,"" "")"),"Cc1ccc(NCc2ccccn2)c(CN(C)C2CCCC(N(C)c3ccc4nccc(CF)c4c3)C2)c1")</f>
        <v>Cc1ccc(NCc2ccccn2)c(CN(C)C2CCCC(N(C)c3ccc4nccc(CF)c4c3)C2)c1</v>
      </c>
      <c r="C12743" s="7">
        <f>IFERROR(__xludf.DUMMYFUNCTION("""COMPUTED_VALUE"""),7.7567754)</f>
        <v>7.7567754</v>
      </c>
      <c r="D12743" s="7">
        <f>IFERROR(__xludf.DUMMYFUNCTION("""COMPUTED_VALUE"""),0.315068493150684)</f>
        <v>0.3150684932</v>
      </c>
    </row>
    <row r="12744">
      <c r="A12744" s="10" t="s">
        <v>14183</v>
      </c>
      <c r="B12744" s="7" t="str">
        <f>IFERROR(__xludf.DUMMYFUNCTION("SPLIT(A12744,"" "")"),"Cc1cccc(CN(C)C2=CNC(CN(C)Cc3ccccn3)=CC2)n1")</f>
        <v>Cc1cccc(CN(C)C2=CNC(CN(C)Cc3ccccn3)=CC2)n1</v>
      </c>
      <c r="C12744" s="7">
        <f>IFERROR(__xludf.DUMMYFUNCTION("""COMPUTED_VALUE"""),7.756768)</f>
        <v>7.756768</v>
      </c>
      <c r="D12744" s="7">
        <f>IFERROR(__xludf.DUMMYFUNCTION("""COMPUTED_VALUE"""),0.471698113207547)</f>
        <v>0.4716981132</v>
      </c>
    </row>
    <row r="12745">
      <c r="A12745" s="10" t="s">
        <v>14184</v>
      </c>
      <c r="B12745" s="7" t="str">
        <f>IFERROR(__xludf.DUMMYFUNCTION("SPLIT(A12745,"" "")"),"CNCNCc1cccc(N(C)Cc2cc(C)c(C)c(C)n2)n1")</f>
        <v>CNCNCc1cccc(N(C)Cc2cc(C)c(C)c(C)n2)n1</v>
      </c>
      <c r="C12745" s="7">
        <f>IFERROR(__xludf.DUMMYFUNCTION("""COMPUTED_VALUE"""),7.756768)</f>
        <v>7.756768</v>
      </c>
      <c r="D12745" s="7">
        <f>IFERROR(__xludf.DUMMYFUNCTION("""COMPUTED_VALUE"""),0.288461538461538)</f>
        <v>0.2884615385</v>
      </c>
    </row>
    <row r="12746">
      <c r="A12746" s="10" t="s">
        <v>14185</v>
      </c>
      <c r="B12746" s="7" t="str">
        <f>IFERROR(__xludf.DUMMYFUNCTION("SPLIT(A12746,"" "")"),"CNCc1nc(C)c(CN(Cc2ccccn2)Cc2ncc(C)c(C)c2C)c(C)c1C")</f>
        <v>CNCc1nc(C)c(CN(Cc2ccccn2)Cc2ncc(C)c(C)c2C)c(C)c1C</v>
      </c>
      <c r="C12746" s="7">
        <f>IFERROR(__xludf.DUMMYFUNCTION("""COMPUTED_VALUE"""),7.7567673)</f>
        <v>7.7567673</v>
      </c>
      <c r="D12746" s="7">
        <f>IFERROR(__xludf.DUMMYFUNCTION("""COMPUTED_VALUE"""),0.425531914893617)</f>
        <v>0.4255319149</v>
      </c>
    </row>
    <row r="12747">
      <c r="A12747" s="10" t="s">
        <v>14186</v>
      </c>
      <c r="B12747" s="7" t="str">
        <f>IFERROR(__xludf.DUMMYFUNCTION("SPLIT(A12747,"" "")"),"Cc1nc(CN(C)C2=CCC=C(CN(Cc3ccccn3)C(C)C)N2)c(C)c(C)c1C")</f>
        <v>Cc1nc(CN(C)C2=CCC=C(CN(Cc3ccccn3)C(C)C)N2)c(C)c(C)c1C</v>
      </c>
      <c r="C12747" s="7">
        <f>IFERROR(__xludf.DUMMYFUNCTION("""COMPUTED_VALUE"""),7.756767)</f>
        <v>7.756767</v>
      </c>
      <c r="D12747" s="7">
        <f>IFERROR(__xludf.DUMMYFUNCTION("""COMPUTED_VALUE"""),0.428571428571428)</f>
        <v>0.4285714286</v>
      </c>
    </row>
    <row r="12748">
      <c r="A12748" s="10" t="s">
        <v>14187</v>
      </c>
      <c r="B12748" s="7" t="str">
        <f>IFERROR(__xludf.DUMMYFUNCTION("SPLIT(A12748,"" "")"),"CN(CCN(C)c1ccc2nc(CF)ccc2c1)CC(C)(C)C")</f>
        <v>CN(CCN(C)c1ccc2nc(CF)ccc2c1)CC(C)(C)C</v>
      </c>
      <c r="C12748" s="7">
        <f>IFERROR(__xludf.DUMMYFUNCTION("""COMPUTED_VALUE"""),7.756764)</f>
        <v>7.756764</v>
      </c>
      <c r="D12748" s="7">
        <f>IFERROR(__xludf.DUMMYFUNCTION("""COMPUTED_VALUE"""),0.298245614035087)</f>
        <v>0.298245614</v>
      </c>
    </row>
    <row r="12749">
      <c r="A12749" s="10" t="s">
        <v>14188</v>
      </c>
      <c r="B12749" s="7" t="str">
        <f>IFERROR(__xludf.DUMMYFUNCTION("SPLIT(A12749,"" "")"),"CCOC(=O)c1ccccn1")</f>
        <v>CCOC(=O)c1ccccn1</v>
      </c>
      <c r="C12749" s="7">
        <f>IFERROR(__xludf.DUMMYFUNCTION("""COMPUTED_VALUE"""),7.7567625)</f>
        <v>7.7567625</v>
      </c>
      <c r="D12749" s="7">
        <f>IFERROR(__xludf.DUMMYFUNCTION("""COMPUTED_VALUE"""),0.36734693877551)</f>
        <v>0.3673469388</v>
      </c>
    </row>
    <row r="12750">
      <c r="A12750" s="10" t="s">
        <v>14189</v>
      </c>
      <c r="B12750" s="7" t="str">
        <f>IFERROR(__xludf.DUMMYFUNCTION("SPLIT(A12750,"" "")"),"Cc1cc(NCc2ccccn2)ccc1CN(C)C1CCC(N(C)c2ccc3c(CF)ccnc3c2)CC1")</f>
        <v>Cc1cc(NCc2ccccn2)ccc1CN(C)C1CCC(N(C)c2ccc3c(CF)ccnc3c2)CC1</v>
      </c>
      <c r="C12750" s="7">
        <f>IFERROR(__xludf.DUMMYFUNCTION("""COMPUTED_VALUE"""),7.7567544)</f>
        <v>7.7567544</v>
      </c>
      <c r="D12750" s="7">
        <f>IFERROR(__xludf.DUMMYFUNCTION("""COMPUTED_VALUE"""),0.309859154929577)</f>
        <v>0.3098591549</v>
      </c>
    </row>
    <row r="12751">
      <c r="A12751" s="10" t="s">
        <v>14190</v>
      </c>
      <c r="B12751" s="7" t="str">
        <f>IFERROR(__xludf.DUMMYFUNCTION("SPLIT(A12751,"" "")"),"Cc1cncc(CN(C)CC2=CCC(N(C)Cc3ncccc3C)=CN2)c1")</f>
        <v>Cc1cncc(CN(C)CC2=CCC(N(C)Cc3ncccc3C)=CN2)c1</v>
      </c>
      <c r="C12751" s="7">
        <f>IFERROR(__xludf.DUMMYFUNCTION("""COMPUTED_VALUE"""),7.75675)</f>
        <v>7.75675</v>
      </c>
      <c r="D12751" s="7">
        <f>IFERROR(__xludf.DUMMYFUNCTION("""COMPUTED_VALUE"""),0.242424242424242)</f>
        <v>0.2424242424</v>
      </c>
    </row>
    <row r="12752">
      <c r="A12752" s="10" t="s">
        <v>14191</v>
      </c>
      <c r="B12752" s="7" t="str">
        <f>IFERROR(__xludf.DUMMYFUNCTION("SPLIT(A12752,"" "")"),"Cc1cccc(C(C)(C)CN(Cc2ccccn2)Cc2ccccn2)c1N=Cc1ccccn1")</f>
        <v>Cc1cccc(C(C)(C)CN(Cc2ccccn2)Cc2ccccn2)c1N=Cc1ccccn1</v>
      </c>
      <c r="C12752" s="7">
        <f>IFERROR(__xludf.DUMMYFUNCTION("""COMPUTED_VALUE"""),7.7567496)</f>
        <v>7.7567496</v>
      </c>
      <c r="D12752" s="7">
        <f>IFERROR(__xludf.DUMMYFUNCTION("""COMPUTED_VALUE"""),0.444444444444444)</f>
        <v>0.4444444444</v>
      </c>
    </row>
    <row r="12753">
      <c r="A12753" s="10" t="s">
        <v>14192</v>
      </c>
      <c r="B12753" s="7" t="str">
        <f>IFERROR(__xludf.DUMMYFUNCTION("SPLIT(A12753,"" "")"),"Cc1cc(C)c(C)c(CN(C)C2=C(CN(C)Cc3ccccn3)NC=CC2)n1")</f>
        <v>Cc1cc(C)c(C)c(CN(C)C2=C(CN(C)Cc3ccccn3)NC=CC2)n1</v>
      </c>
      <c r="C12753" s="7">
        <f>IFERROR(__xludf.DUMMYFUNCTION("""COMPUTED_VALUE"""),7.756743)</f>
        <v>7.756743</v>
      </c>
      <c r="D12753" s="7">
        <f>IFERROR(__xludf.DUMMYFUNCTION("""COMPUTED_VALUE"""),0.377049180327868)</f>
        <v>0.3770491803</v>
      </c>
    </row>
    <row r="12754">
      <c r="A12754" s="10" t="s">
        <v>14193</v>
      </c>
      <c r="B12754" s="7" t="str">
        <f>IFERROR(__xludf.DUMMYFUNCTION("SPLIT(A12754,"" "")"),"Cc1cc(NCc2ccccn2)ccc1CN(C)Cc1cc(C(C)(C)C)ccn1")</f>
        <v>Cc1cc(NCc2ccccn2)ccc1CN(C)Cc1cc(C(C)(C)C)ccn1</v>
      </c>
      <c r="C12754" s="7">
        <f>IFERROR(__xludf.DUMMYFUNCTION("""COMPUTED_VALUE"""),7.7567425)</f>
        <v>7.7567425</v>
      </c>
      <c r="D12754" s="7">
        <f>IFERROR(__xludf.DUMMYFUNCTION("""COMPUTED_VALUE"""),0.35593220338983)</f>
        <v>0.3559322034</v>
      </c>
    </row>
    <row r="12755">
      <c r="A12755" s="10" t="s">
        <v>14194</v>
      </c>
      <c r="B12755" s="7" t="str">
        <f>IFERROR(__xludf.DUMMYFUNCTION("SPLIT(A12755,"" "")"),"Cc1cncc(CN(C)CC2=CCC(N(C)Cc3cccc(C)n3)=CN2)c1")</f>
        <v>Cc1cncc(CN(C)CC2=CCC(N(C)Cc3cccc(C)n3)=CN2)c1</v>
      </c>
      <c r="C12755" s="7">
        <f>IFERROR(__xludf.DUMMYFUNCTION("""COMPUTED_VALUE"""),7.7567415)</f>
        <v>7.7567415</v>
      </c>
      <c r="D12755" s="7">
        <f>IFERROR(__xludf.DUMMYFUNCTION("""COMPUTED_VALUE"""),0.381818181818181)</f>
        <v>0.3818181818</v>
      </c>
    </row>
    <row r="12756">
      <c r="A12756" s="10" t="s">
        <v>14195</v>
      </c>
      <c r="B12756" s="7" t="str">
        <f>IFERROR(__xludf.DUMMYFUNCTION("SPLIT(A12756,"" "")"),"CC(C)N(Cc1cc(C(C)(C)c2ccccn2)ccn1)C1CCC(N(C)c2ccc3c(CF)ccnc3c2)CC1")</f>
        <v>CC(C)N(Cc1cc(C(C)(C)c2ccccn2)ccn1)C1CCC(N(C)c2ccc3c(CF)ccnc3c2)CC1</v>
      </c>
      <c r="C12756" s="7">
        <f>IFERROR(__xludf.DUMMYFUNCTION("""COMPUTED_VALUE"""),7.756738)</f>
        <v>7.756738</v>
      </c>
      <c r="D12756" s="7">
        <f>IFERROR(__xludf.DUMMYFUNCTION("""COMPUTED_VALUE"""),0.273972602739726)</f>
        <v>0.2739726027</v>
      </c>
    </row>
    <row r="12757">
      <c r="A12757" s="10" t="s">
        <v>14196</v>
      </c>
      <c r="B12757" s="7" t="str">
        <f>IFERROR(__xludf.DUMMYFUNCTION("SPLIT(A12757,"" "")"),"Cc1cc(C)c(CN(C)C2CCC(N(C)c3ccc4nc(CN(C)C)ccc4c3)CC2)nc1C")</f>
        <v>Cc1cc(C)c(CN(C)C2CCC(N(C)c3ccc4nc(CN(C)C)ccc4c3)CC2)nc1C</v>
      </c>
      <c r="C12757" s="7">
        <f>IFERROR(__xludf.DUMMYFUNCTION("""COMPUTED_VALUE"""),7.7567334)</f>
        <v>7.7567334</v>
      </c>
      <c r="D12757" s="7">
        <f>IFERROR(__xludf.DUMMYFUNCTION("""COMPUTED_VALUE"""),0.274193548387096)</f>
        <v>0.2741935484</v>
      </c>
    </row>
    <row r="12758">
      <c r="A12758" s="10" t="s">
        <v>14197</v>
      </c>
      <c r="B12758" s="7" t="str">
        <f>IFERROR(__xludf.DUMMYFUNCTION("SPLIT(A12758,"" "")"),"CN(c1ccc2ccc(CF)nc2c1)C1CCCCC1N(Cc1ccccn1)c1ccccc1F")</f>
        <v>CN(c1ccc2ccc(CF)nc2c1)C1CCCCC1N(Cc1ccccn1)c1ccccc1F</v>
      </c>
      <c r="C12758" s="7">
        <f>IFERROR(__xludf.DUMMYFUNCTION("""COMPUTED_VALUE"""),7.756731)</f>
        <v>7.756731</v>
      </c>
      <c r="D12758" s="7">
        <f>IFERROR(__xludf.DUMMYFUNCTION("""COMPUTED_VALUE"""),0.46031746031746)</f>
        <v>0.4603174603</v>
      </c>
    </row>
    <row r="12759">
      <c r="A12759" s="10" t="s">
        <v>14198</v>
      </c>
      <c r="B12759" s="7" t="str">
        <f>IFERROR(__xludf.DUMMYFUNCTION("SPLIT(A12759,"" "")"),"Cc1cccnc1CN(C)C1=CNCC=C1")</f>
        <v>Cc1cccnc1CN(C)C1=CNCC=C1</v>
      </c>
      <c r="C12759" s="7">
        <f>IFERROR(__xludf.DUMMYFUNCTION("""COMPUTED_VALUE"""),7.756729)</f>
        <v>7.756729</v>
      </c>
      <c r="D12759" s="7">
        <f>IFERROR(__xludf.DUMMYFUNCTION("""COMPUTED_VALUE"""),0.294117647058823)</f>
        <v>0.2941176471</v>
      </c>
    </row>
    <row r="12760">
      <c r="A12760" s="10" t="s">
        <v>14199</v>
      </c>
      <c r="B12760" s="7" t="str">
        <f>IFERROR(__xludf.DUMMYFUNCTION("SPLIT(A12760,"" "")"),"CN(c1ccc2cc(CF)cnc2c1)C1CCCCC1N(Cc1ccccn1)c1ccccc1F")</f>
        <v>CN(c1ccc2cc(CF)cnc2c1)C1CCCCC1N(Cc1ccccn1)c1ccccc1F</v>
      </c>
      <c r="C12760" s="7">
        <f>IFERROR(__xludf.DUMMYFUNCTION("""COMPUTED_VALUE"""),7.7567286)</f>
        <v>7.7567286</v>
      </c>
      <c r="D12760" s="7">
        <f>IFERROR(__xludf.DUMMYFUNCTION("""COMPUTED_VALUE"""),0.419354838709677)</f>
        <v>0.4193548387</v>
      </c>
    </row>
    <row r="12761">
      <c r="A12761" s="10" t="s">
        <v>14200</v>
      </c>
      <c r="B12761" s="7" t="str">
        <f>IFERROR(__xludf.DUMMYFUNCTION("SPLIT(A12761,"" "")"),"Cc1cccnc1CN(C)C1=CCNC=C1")</f>
        <v>Cc1cccnc1CN(C)C1=CCNC=C1</v>
      </c>
      <c r="C12761" s="7">
        <f>IFERROR(__xludf.DUMMYFUNCTION("""COMPUTED_VALUE"""),7.7567277)</f>
        <v>7.7567277</v>
      </c>
      <c r="D12761" s="7">
        <f>IFERROR(__xludf.DUMMYFUNCTION("""COMPUTED_VALUE"""),0.294117647058823)</f>
        <v>0.2941176471</v>
      </c>
    </row>
    <row r="12762">
      <c r="A12762" s="10" t="s">
        <v>14201</v>
      </c>
      <c r="B12762" s="7" t="str">
        <f>IFERROR(__xludf.DUMMYFUNCTION("SPLIT(A12762,"" "")"),"CC1=C(c2ncccc2CN(Cc2ccccn2)C2CCCC(N(C)c3cccc4cc(CN(C)C)cnc34)C2)C(C)CC(C)C1")</f>
        <v>CC1=C(c2ncccc2CN(Cc2ccccn2)C2CCCC(N(C)c3cccc4cc(CN(C)C)cnc34)C2)C(C)CC(C)C1</v>
      </c>
      <c r="C12762" s="7">
        <f>IFERROR(__xludf.DUMMYFUNCTION("""COMPUTED_VALUE"""),7.756725)</f>
        <v>7.756725</v>
      </c>
      <c r="D12762" s="7">
        <f>IFERROR(__xludf.DUMMYFUNCTION("""COMPUTED_VALUE"""),0.308641975308641)</f>
        <v>0.3086419753</v>
      </c>
    </row>
    <row r="12763">
      <c r="A12763" s="10" t="s">
        <v>14202</v>
      </c>
      <c r="B12763" s="7" t="str">
        <f>IFERROR(__xludf.DUMMYFUNCTION("SPLIT(A12763,"" "")"),"Cc1ccc(CN(C)C2=CNC(CN(Cc3ccccn3)Cc3ccccn3)=CC2)nc1")</f>
        <v>Cc1ccc(CN(C)C2=CNC(CN(Cc3ccccn3)Cc3ccccn3)=CC2)nc1</v>
      </c>
      <c r="C12763" s="7">
        <f>IFERROR(__xludf.DUMMYFUNCTION("""COMPUTED_VALUE"""),7.7567205)</f>
        <v>7.7567205</v>
      </c>
      <c r="D12763" s="7">
        <f>IFERROR(__xludf.DUMMYFUNCTION("""COMPUTED_VALUE"""),0.482142857142857)</f>
        <v>0.4821428571</v>
      </c>
    </row>
    <row r="12764">
      <c r="A12764" s="10" t="s">
        <v>14203</v>
      </c>
      <c r="B12764" s="7" t="str">
        <f>IFERROR(__xludf.DUMMYFUNCTION("SPLIT(A12764,"" "")"),"Cc1cccc(CN(C)C2=C(CN(C)Cc3ncccc3C)NC=CC2)n1")</f>
        <v>Cc1cccc(CN(C)C2=C(CN(C)Cc3ncccc3C)NC=CC2)n1</v>
      </c>
      <c r="C12764" s="7">
        <f>IFERROR(__xludf.DUMMYFUNCTION("""COMPUTED_VALUE"""),7.7567205)</f>
        <v>7.7567205</v>
      </c>
      <c r="D12764" s="7">
        <f>IFERROR(__xludf.DUMMYFUNCTION("""COMPUTED_VALUE"""),0.381818181818181)</f>
        <v>0.3818181818</v>
      </c>
    </row>
    <row r="12765">
      <c r="A12765" s="10" t="s">
        <v>14204</v>
      </c>
      <c r="B12765" s="7" t="str">
        <f>IFERROR(__xludf.DUMMYFUNCTION("SPLIT(A12765,"" "")"),"Cc1ccc(C)c(CN(C)CC2=C(N(C)Cc3nc(C)ccc3C)CC=CN2)n1")</f>
        <v>Cc1ccc(C)c(CN(C)CC2=C(N(C)Cc3nc(C)ccc3C)CC=CN2)n1</v>
      </c>
      <c r="C12765" s="7">
        <f>IFERROR(__xludf.DUMMYFUNCTION("""COMPUTED_VALUE"""),7.7567067)</f>
        <v>7.7567067</v>
      </c>
      <c r="D12765" s="7">
        <f>IFERROR(__xludf.DUMMYFUNCTION("""COMPUTED_VALUE"""),0.269230769230769)</f>
        <v>0.2692307692</v>
      </c>
    </row>
    <row r="12766">
      <c r="A12766" s="10" t="s">
        <v>14205</v>
      </c>
      <c r="B12766" s="7" t="str">
        <f>IFERROR(__xludf.DUMMYFUNCTION("SPLIT(A12766,"" "")"),"CCCN(Cc1ccccn1)Cc1cc(N(C)Cc2nc(C)c(C)cc2C)ccn1")</f>
        <v>CCCN(Cc1ccccn1)Cc1cc(N(C)Cc2nc(C)c(C)cc2C)ccn1</v>
      </c>
      <c r="C12766" s="7">
        <f>IFERROR(__xludf.DUMMYFUNCTION("""COMPUTED_VALUE"""),7.7566986)</f>
        <v>7.7566986</v>
      </c>
      <c r="D12766" s="7">
        <f>IFERROR(__xludf.DUMMYFUNCTION("""COMPUTED_VALUE"""),0.442307692307692)</f>
        <v>0.4423076923</v>
      </c>
    </row>
    <row r="12767">
      <c r="A12767" s="10" t="s">
        <v>14206</v>
      </c>
      <c r="B12767" s="7" t="str">
        <f>IFERROR(__xludf.DUMMYFUNCTION("SPLIT(A12767,"" "")"),"Cc1ccnc2cccc(N(C)CCN(C)C(C)C(C)N)c12")</f>
        <v>Cc1ccnc2cccc(N(C)CCN(C)C(C)C(C)N)c12</v>
      </c>
      <c r="C12767" s="7">
        <f>IFERROR(__xludf.DUMMYFUNCTION("""COMPUTED_VALUE"""),7.7566977)</f>
        <v>7.7566977</v>
      </c>
      <c r="D12767" s="7">
        <f>IFERROR(__xludf.DUMMYFUNCTION("""COMPUTED_VALUE"""),0.36)</f>
        <v>0.36</v>
      </c>
    </row>
    <row r="12768">
      <c r="A12768" s="10" t="s">
        <v>14207</v>
      </c>
      <c r="B12768" s="7" t="str">
        <f>IFERROR(__xludf.DUMMYFUNCTION("SPLIT(A12768,"" "")"),"Cc1cncc(CN(C)Cc2cccc(N(C)C3C=CC=CN3)n2)c1")</f>
        <v>Cc1cncc(CN(C)Cc2cccc(N(C)C3C=CC=CN3)n2)c1</v>
      </c>
      <c r="C12768" s="7">
        <f>IFERROR(__xludf.DUMMYFUNCTION("""COMPUTED_VALUE"""),7.7566953)</f>
        <v>7.7566953</v>
      </c>
      <c r="D12768" s="7">
        <f>IFERROR(__xludf.DUMMYFUNCTION("""COMPUTED_VALUE"""),0.31578947368421)</f>
        <v>0.3157894737</v>
      </c>
    </row>
    <row r="12769">
      <c r="A12769" s="10" t="s">
        <v>14208</v>
      </c>
      <c r="B12769" s="7" t="str">
        <f>IFERROR(__xludf.DUMMYFUNCTION("SPLIT(A12769,"" "")"),"Cc1cccnc1CN(C)C1=CNC(CN(C)Cc2ccccn2)=CC1")</f>
        <v>Cc1cccnc1CN(C)C1=CNC(CN(C)Cc2ccccn2)=CC1</v>
      </c>
      <c r="C12769" s="7">
        <f>IFERROR(__xludf.DUMMYFUNCTION("""COMPUTED_VALUE"""),7.75668)</f>
        <v>7.75668</v>
      </c>
      <c r="D12769" s="7">
        <f>IFERROR(__xludf.DUMMYFUNCTION("""COMPUTED_VALUE"""),0.410714285714285)</f>
        <v>0.4107142857</v>
      </c>
    </row>
    <row r="12770">
      <c r="A12770" s="10" t="s">
        <v>14209</v>
      </c>
      <c r="B12770" s="7" t="str">
        <f>IFERROR(__xludf.DUMMYFUNCTION("SPLIT(A12770,"" "")"),"CC(C)(c1cccc(NCc2ccccn2)c1)c1ncccc1CN(Cc1ccccn1)Cc1ccccn1")</f>
        <v>CC(C)(c1cccc(NCc2ccccn2)c1)c1ncccc1CN(Cc1ccccn1)Cc1ccccn1</v>
      </c>
      <c r="C12770" s="7">
        <f>IFERROR(__xludf.DUMMYFUNCTION("""COMPUTED_VALUE"""),7.7566752)</f>
        <v>7.7566752</v>
      </c>
      <c r="D12770" s="7">
        <f>IFERROR(__xludf.DUMMYFUNCTION("""COMPUTED_VALUE"""),0.416666666666666)</f>
        <v>0.4166666667</v>
      </c>
    </row>
    <row r="12771">
      <c r="A12771" s="10" t="s">
        <v>14210</v>
      </c>
      <c r="B12771" s="7" t="str">
        <f>IFERROR(__xludf.DUMMYFUNCTION("SPLIT(A12771,"" "")"),"Cc1cc(C)nc(CN(C)C2=C(CN(C)Cc3ccccn3)NC=CC2)c1")</f>
        <v>Cc1cc(C)nc(CN(C)C2=C(CN(C)Cc3ccccn3)NC=CC2)c1</v>
      </c>
      <c r="C12771" s="7">
        <f>IFERROR(__xludf.DUMMYFUNCTION("""COMPUTED_VALUE"""),7.7566733)</f>
        <v>7.7566733</v>
      </c>
      <c r="D12771" s="7">
        <f>IFERROR(__xludf.DUMMYFUNCTION("""COMPUTED_VALUE"""),0.389830508474576)</f>
        <v>0.3898305085</v>
      </c>
    </row>
    <row r="12772">
      <c r="A12772" s="10" t="s">
        <v>14211</v>
      </c>
      <c r="B12772" s="7" t="str">
        <f>IFERROR(__xludf.DUMMYFUNCTION("SPLIT(A12772,"" "")"),"CN(Cc1ccccn1)Cc1ccc(N(C)Cc2cccc(C3CC(C)(C)C3)n2)cn1")</f>
        <v>CN(Cc1ccccn1)Cc1ccc(N(C)Cc2cccc(C3CC(C)(C)C3)n2)cn1</v>
      </c>
      <c r="C12772" s="7">
        <f>IFERROR(__xludf.DUMMYFUNCTION("""COMPUTED_VALUE"""),7.7566705)</f>
        <v>7.7566705</v>
      </c>
      <c r="D12772" s="7">
        <f>IFERROR(__xludf.DUMMYFUNCTION("""COMPUTED_VALUE"""),0.490566037735849)</f>
        <v>0.4905660377</v>
      </c>
    </row>
    <row r="12773">
      <c r="A12773" s="10" t="s">
        <v>14212</v>
      </c>
      <c r="B12773" s="7" t="str">
        <f>IFERROR(__xludf.DUMMYFUNCTION("SPLIT(A12773,"" "")"),"Cc1cc(C)c(CN(C)C2CCCC(N(C)c3cccc4nc(CF)ccc34)C2)nc1C")</f>
        <v>Cc1cc(C)c(CN(C)C2CCCC(N(C)c3cccc4nc(CF)ccc34)C2)nc1C</v>
      </c>
      <c r="C12773" s="7">
        <f>IFERROR(__xludf.DUMMYFUNCTION("""COMPUTED_VALUE"""),7.7566705)</f>
        <v>7.7566705</v>
      </c>
      <c r="D12773" s="7">
        <f>IFERROR(__xludf.DUMMYFUNCTION("""COMPUTED_VALUE"""),0.373134328358209)</f>
        <v>0.3731343284</v>
      </c>
    </row>
    <row r="12774">
      <c r="A12774" s="10" t="s">
        <v>14213</v>
      </c>
      <c r="B12774" s="7" t="str">
        <f>IFERROR(__xludf.DUMMYFUNCTION("SPLIT(A12774,"" "")"),"CCN(Cc1cc(C2=CCC=CN2)ccn1)Cc1cc(C(C)(C)C)ccn1")</f>
        <v>CCN(Cc1cc(C2=CCC=CN2)ccn1)Cc1cc(C(C)(C)C)ccn1</v>
      </c>
      <c r="C12774" s="7">
        <f>IFERROR(__xludf.DUMMYFUNCTION("""COMPUTED_VALUE"""),7.756664)</f>
        <v>7.756664</v>
      </c>
      <c r="D12774" s="7">
        <f>IFERROR(__xludf.DUMMYFUNCTION("""COMPUTED_VALUE"""),0.389830508474576)</f>
        <v>0.3898305085</v>
      </c>
    </row>
    <row r="12775">
      <c r="A12775" s="10" t="s">
        <v>14214</v>
      </c>
      <c r="B12775" s="7" t="str">
        <f>IFERROR(__xludf.DUMMYFUNCTION("SPLIT(A12775,"" "")"),"CNC1NC=CC=C1N(C)Cc1ncc(C)c(C)c1C")</f>
        <v>CNC1NC=CC=C1N(C)Cc1ncc(C)c(C)c1C</v>
      </c>
      <c r="C12775" s="7">
        <f>IFERROR(__xludf.DUMMYFUNCTION("""COMPUTED_VALUE"""),7.7566614)</f>
        <v>7.7566614</v>
      </c>
      <c r="D12775" s="7">
        <f>IFERROR(__xludf.DUMMYFUNCTION("""COMPUTED_VALUE"""),0.241379310344827)</f>
        <v>0.2413793103</v>
      </c>
    </row>
    <row r="12776">
      <c r="A12776" s="10" t="s">
        <v>14215</v>
      </c>
      <c r="B12776" s="7" t="str">
        <f>IFERROR(__xludf.DUMMYFUNCTION("SPLIT(A12776,"" "")"),"CNCc1ccc(N(Cc2ccccn2)C(C)(N)N(Cc2ccccn2)Cc2ncccc2C)cn1")</f>
        <v>CNCc1ccc(N(Cc2ccccn2)C(C)(N)N(Cc2ccccn2)Cc2ncccc2C)cn1</v>
      </c>
      <c r="C12776" s="7">
        <f>IFERROR(__xludf.DUMMYFUNCTION("""COMPUTED_VALUE"""),7.756655)</f>
        <v>7.756655</v>
      </c>
      <c r="D12776" s="7">
        <f>IFERROR(__xludf.DUMMYFUNCTION("""COMPUTED_VALUE"""),0.32258064516129)</f>
        <v>0.3225806452</v>
      </c>
    </row>
    <row r="12777">
      <c r="A12777" s="10" t="s">
        <v>14216</v>
      </c>
      <c r="B12777" s="7" t="str">
        <f>IFERROR(__xludf.DUMMYFUNCTION("SPLIT(A12777,"" "")"),"CNCCN(Cc1ccccn1)c1ccc(C2=NC(C)(C)CO2)cc1")</f>
        <v>CNCCN(Cc1ccccn1)c1ccc(C2=NC(C)(C)CO2)cc1</v>
      </c>
      <c r="C12777" s="7">
        <f>IFERROR(__xludf.DUMMYFUNCTION("""COMPUTED_VALUE"""),7.7566476)</f>
        <v>7.7566476</v>
      </c>
      <c r="D12777" s="7">
        <f>IFERROR(__xludf.DUMMYFUNCTION("""COMPUTED_VALUE"""),0.357142857142857)</f>
        <v>0.3571428571</v>
      </c>
    </row>
    <row r="12778">
      <c r="A12778" s="10" t="s">
        <v>14217</v>
      </c>
      <c r="B12778" s="7" t="str">
        <f>IFERROR(__xludf.DUMMYFUNCTION("SPLIT(A12778,"" "")"),"Cc1nc(CN(C)Cc2cc(CN(Cc3ccc([SiH3])cn3)Cc3ccc([SiH3])cn3)ccn2)c(C)c(C)c1C")</f>
        <v>Cc1nc(CN(C)Cc2cc(CN(Cc3ccc([SiH3])cn3)Cc3ccc([SiH3])cn3)ccn2)c(C)c(C)c1C</v>
      </c>
      <c r="C12778" s="7">
        <f>IFERROR(__xludf.DUMMYFUNCTION("""COMPUTED_VALUE"""),7.756647)</f>
        <v>7.756647</v>
      </c>
      <c r="D12778" s="7">
        <f>IFERROR(__xludf.DUMMYFUNCTION("""COMPUTED_VALUE"""),0.327272727272727)</f>
        <v>0.3272727273</v>
      </c>
    </row>
    <row r="12779">
      <c r="A12779" s="10" t="s">
        <v>14218</v>
      </c>
      <c r="B12779" s="7" t="str">
        <f>IFERROR(__xludf.DUMMYFUNCTION("SPLIT(A12779,"" "")"),"CNCC1=CCC=C(N(C)Cc2ncccc2C)N1")</f>
        <v>CNCC1=CCC=C(N(C)Cc2ncccc2C)N1</v>
      </c>
      <c r="C12779" s="7">
        <f>IFERROR(__xludf.DUMMYFUNCTION("""COMPUTED_VALUE"""),7.756646)</f>
        <v>7.756646</v>
      </c>
      <c r="D12779" s="7">
        <f>IFERROR(__xludf.DUMMYFUNCTION("""COMPUTED_VALUE"""),0.278688524590163)</f>
        <v>0.2786885246</v>
      </c>
    </row>
    <row r="12780">
      <c r="A12780" s="10" t="s">
        <v>14219</v>
      </c>
      <c r="B12780" s="7" t="str">
        <f>IFERROR(__xludf.DUMMYFUNCTION("SPLIT(A12780,"" "")"),"Cc1cccc(CN(Cc2ccccn2)C2CCCC(N(C)c3cccc4c(C)ccnc34)C2)n1")</f>
        <v>Cc1cccc(CN(Cc2ccccn2)C2CCCC(N(C)c3cccc4c(C)ccnc34)C2)n1</v>
      </c>
      <c r="C12780" s="7">
        <f>IFERROR(__xludf.DUMMYFUNCTION("""COMPUTED_VALUE"""),7.7566457)</f>
        <v>7.7566457</v>
      </c>
      <c r="D12780" s="7">
        <f>IFERROR(__xludf.DUMMYFUNCTION("""COMPUTED_VALUE"""),0.387096774193548)</f>
        <v>0.3870967742</v>
      </c>
    </row>
    <row r="12781">
      <c r="A12781" s="10" t="s">
        <v>14220</v>
      </c>
      <c r="B12781" s="7" t="str">
        <f>IFERROR(__xludf.DUMMYFUNCTION("SPLIT(A12781,"" "")"),"CNCCN(Cc1ccccn1)c1ccc(N)c(Cl)c1C")</f>
        <v>CNCCN(Cc1ccccn1)c1ccc(N)c(Cl)c1C</v>
      </c>
      <c r="C12781" s="7">
        <f>IFERROR(__xludf.DUMMYFUNCTION("""COMPUTED_VALUE"""),7.756645)</f>
        <v>7.756645</v>
      </c>
      <c r="D12781" s="7">
        <f>IFERROR(__xludf.DUMMYFUNCTION("""COMPUTED_VALUE"""),0.403846153846153)</f>
        <v>0.4038461538</v>
      </c>
    </row>
    <row r="12782">
      <c r="A12782" s="10" t="s">
        <v>14221</v>
      </c>
      <c r="B12782" s="7" t="str">
        <f>IFERROR(__xludf.DUMMYFUNCTION("SPLIT(A12782,"" "")"),"Cc1cccc(CN(C)CC2=C(N(C)Cc3ncccc3C)CC=CN2)n1")</f>
        <v>Cc1cccc(CN(C)CC2=C(N(C)Cc3ncccc3C)CC=CN2)n1</v>
      </c>
      <c r="C12782" s="7">
        <f>IFERROR(__xludf.DUMMYFUNCTION("""COMPUTED_VALUE"""),7.7566447)</f>
        <v>7.7566447</v>
      </c>
      <c r="D12782" s="7">
        <f>IFERROR(__xludf.DUMMYFUNCTION("""COMPUTED_VALUE"""),0.407407407407407)</f>
        <v>0.4074074074</v>
      </c>
    </row>
    <row r="12783">
      <c r="A12783" s="10" t="s">
        <v>14222</v>
      </c>
      <c r="B12783" s="7" t="str">
        <f>IFERROR(__xludf.DUMMYFUNCTION("SPLIT(A12783,"" "")"),"Cc1cnc2ccc(N(C)c3c(C)cncc3CN3CCN(C)CCN(C)CC3)cc2c1")</f>
        <v>Cc1cnc2ccc(N(C)c3c(C)cncc3CN3CCN(C)CCN(C)CC3)cc2c1</v>
      </c>
      <c r="C12783" s="7">
        <f>IFERROR(__xludf.DUMMYFUNCTION("""COMPUTED_VALUE"""),7.75664)</f>
        <v>7.75664</v>
      </c>
      <c r="D12783" s="7">
        <f>IFERROR(__xludf.DUMMYFUNCTION("""COMPUTED_VALUE"""),0.377049180327868)</f>
        <v>0.3770491803</v>
      </c>
    </row>
    <row r="12784">
      <c r="A12784" s="10" t="s">
        <v>14223</v>
      </c>
      <c r="B12784" s="7" t="str">
        <f>IFERROR(__xludf.DUMMYFUNCTION("SPLIT(A12784,"" "")"),"CNCC1=CCC=C(N(C)Cc2cc(C)c(C)cn2)N1")</f>
        <v>CNCC1=CCC=C(N(C)Cc2cc(C)c(C)cn2)N1</v>
      </c>
      <c r="C12784" s="7">
        <f>IFERROR(__xludf.DUMMYFUNCTION("""COMPUTED_VALUE"""),7.756637)</f>
        <v>7.756637</v>
      </c>
      <c r="D12784" s="7">
        <f>IFERROR(__xludf.DUMMYFUNCTION("""COMPUTED_VALUE"""),0.280701754385964)</f>
        <v>0.2807017544</v>
      </c>
    </row>
    <row r="12785">
      <c r="A12785" s="10" t="s">
        <v>14224</v>
      </c>
      <c r="B12785" s="7" t="str">
        <f>IFERROR(__xludf.DUMMYFUNCTION("SPLIT(A12785,"" "")"),"CCOC(=O)c1cccc(CN(Cc2ccccn2)C2CCCCC2N(C)c2cccc3nc(CN(C)C)ccc23)n1")</f>
        <v>CCOC(=O)c1cccc(CN(Cc2ccccn2)C2CCCCC2N(C)c2cccc3nc(CN(C)C)ccc23)n1</v>
      </c>
      <c r="C12785" s="7">
        <f>IFERROR(__xludf.DUMMYFUNCTION("""COMPUTED_VALUE"""),7.7566366)</f>
        <v>7.7566366</v>
      </c>
      <c r="D12785" s="7">
        <f>IFERROR(__xludf.DUMMYFUNCTION("""COMPUTED_VALUE"""),0.376811594202898)</f>
        <v>0.3768115942</v>
      </c>
    </row>
    <row r="12786">
      <c r="A12786" s="10" t="s">
        <v>14225</v>
      </c>
      <c r="B12786" s="7" t="str">
        <f>IFERROR(__xludf.DUMMYFUNCTION("SPLIT(A12786,"" "")"),"CN(C)Cc1ccnc2cccc(N(C)C3CCC(N(C)Cc4ccon4)CC3)c12")</f>
        <v>CN(C)Cc1ccnc2cccc(N(C)C3CCC(N(C)Cc4ccon4)CC3)c12</v>
      </c>
      <c r="C12786" s="7">
        <f>IFERROR(__xludf.DUMMYFUNCTION("""COMPUTED_VALUE"""),7.756636)</f>
        <v>7.756636</v>
      </c>
      <c r="D12786" s="7">
        <f>IFERROR(__xludf.DUMMYFUNCTION("""COMPUTED_VALUE"""),0.345454545454545)</f>
        <v>0.3454545455</v>
      </c>
    </row>
    <row r="12787">
      <c r="A12787" s="10" t="s">
        <v>14226</v>
      </c>
      <c r="B12787" s="7" t="str">
        <f>IFERROR(__xludf.DUMMYFUNCTION("SPLIT(A12787,"" "")"),"Cc1cccnc1CN(C)CC1=CCC(N(C)Cc2ccccn2)=CN1")</f>
        <v>Cc1cccnc1CN(C)CC1=CCC(N(C)Cc2ccccn2)=CN1</v>
      </c>
      <c r="C12787" s="7">
        <f>IFERROR(__xludf.DUMMYFUNCTION("""COMPUTED_VALUE"""),7.7566347)</f>
        <v>7.7566347</v>
      </c>
      <c r="D12787" s="7">
        <f>IFERROR(__xludf.DUMMYFUNCTION("""COMPUTED_VALUE"""),0.385964912280701)</f>
        <v>0.3859649123</v>
      </c>
    </row>
    <row r="12788">
      <c r="A12788" s="10" t="s">
        <v>14227</v>
      </c>
      <c r="B12788" s="7" t="str">
        <f>IFERROR(__xludf.DUMMYFUNCTION("SPLIT(A12788,"" "")"),"CN(Cc1cccc(-c2cccc(N)c2)n1)Cc1ccc2cc(N(C)Cc3cccc(-c4ccc5c(c4)OCCOCCOCCOCCOCCO5)n3)ccc2n1")</f>
        <v>CN(Cc1cccc(-c2cccc(N)c2)n1)Cc1ccc2cc(N(C)Cc3cccc(-c4ccc5c(c4)OCCOCCOCCOCCOCCO5)n3)ccc2n1</v>
      </c>
      <c r="C12788" s="7">
        <f>IFERROR(__xludf.DUMMYFUNCTION("""COMPUTED_VALUE"""),7.7566323)</f>
        <v>7.7566323</v>
      </c>
      <c r="D12788" s="7">
        <f>IFERROR(__xludf.DUMMYFUNCTION("""COMPUTED_VALUE"""),0.3)</f>
        <v>0.3</v>
      </c>
    </row>
    <row r="12789">
      <c r="A12789" s="10" t="s">
        <v>14228</v>
      </c>
      <c r="B12789" s="7" t="str">
        <f>IFERROR(__xludf.DUMMYFUNCTION("SPLIT(A12789,"" "")"),"Cc1cnc(CN(C)CC2=C(N(C)Cc3ccccn3)CC=CN2)c(C)c1C")</f>
        <v>Cc1cnc(CN(C)CC2=C(N(C)Cc3ccccn3)CC=CN2)c(C)c1C</v>
      </c>
      <c r="C12789" s="7">
        <f>IFERROR(__xludf.DUMMYFUNCTION("""COMPUTED_VALUE"""),7.7566323)</f>
        <v>7.7566323</v>
      </c>
      <c r="D12789" s="7">
        <f>IFERROR(__xludf.DUMMYFUNCTION("""COMPUTED_VALUE"""),0.370967741935483)</f>
        <v>0.3709677419</v>
      </c>
    </row>
    <row r="12790">
      <c r="A12790" s="10" t="s">
        <v>14229</v>
      </c>
      <c r="B12790" s="7" t="str">
        <f>IFERROR(__xludf.DUMMYFUNCTION("SPLIT(A12790,"" "")"),"Cc1cc(-c2ccc(CN(C)C3CCCC(N(C)Cc4ccc5cccnc5c4)C3)cn2)ccc1N")</f>
        <v>Cc1cc(-c2ccc(CN(C)C3CCCC(N(C)Cc4ccc5cccnc5c4)C3)cn2)ccc1N</v>
      </c>
      <c r="C12790" s="7">
        <f>IFERROR(__xludf.DUMMYFUNCTION("""COMPUTED_VALUE"""),7.756632)</f>
        <v>7.756632</v>
      </c>
      <c r="D12790" s="7">
        <f>IFERROR(__xludf.DUMMYFUNCTION("""COMPUTED_VALUE"""),0.260869565217391)</f>
        <v>0.2608695652</v>
      </c>
    </row>
    <row r="12791">
      <c r="A12791" s="10" t="s">
        <v>14230</v>
      </c>
      <c r="B12791" s="7" t="str">
        <f>IFERROR(__xludf.DUMMYFUNCTION("SPLIT(A12791,"" "")"),"CCC(C)(c1ccccn1)c1cc(CN(Cc2ccccn2)C2CCC(N(C)c3ccc4nccc(CF)c4c3)CC2)ccn1")</f>
        <v>CCC(C)(c1ccccn1)c1cc(CN(Cc2ccccn2)C2CCC(N(C)c3ccc4nccc(CF)c4c3)CC2)ccn1</v>
      </c>
      <c r="C12791" s="7">
        <f>IFERROR(__xludf.DUMMYFUNCTION("""COMPUTED_VALUE"""),7.7566285)</f>
        <v>7.7566285</v>
      </c>
      <c r="D12791" s="7">
        <f>IFERROR(__xludf.DUMMYFUNCTION("""COMPUTED_VALUE"""),0.293333333333333)</f>
        <v>0.2933333333</v>
      </c>
    </row>
    <row r="12792">
      <c r="A12792" s="10" t="s">
        <v>14231</v>
      </c>
      <c r="B12792" s="7" t="str">
        <f>IFERROR(__xludf.DUMMYFUNCTION("SPLIT(A12792,"" "")"),"CCN(Cc1ccc2ccc(C)nc2n1)C1CCC(N(C)Cc2cc(C)c(C)c(C)n2)CC1N(Cc1nc(C)c(C)c(C)c1C)Cc1nc(C)c(C)c(C)c1C")</f>
        <v>CCN(Cc1ccc2ccc(C)nc2n1)C1CCC(N(C)Cc2cc(C)c(C)c(C)n2)CC1N(Cc1nc(C)c(C)c(C)c1C)Cc1nc(C)c(C)c(C)c1C</v>
      </c>
      <c r="C12792" s="7">
        <f>IFERROR(__xludf.DUMMYFUNCTION("""COMPUTED_VALUE"""),7.7566266)</f>
        <v>7.7566266</v>
      </c>
      <c r="D12792" s="7">
        <f>IFERROR(__xludf.DUMMYFUNCTION("""COMPUTED_VALUE"""),0.295774647887323)</f>
        <v>0.2957746479</v>
      </c>
    </row>
    <row r="12793">
      <c r="A12793" s="10" t="s">
        <v>14232</v>
      </c>
      <c r="B12793" s="7" t="str">
        <f>IFERROR(__xludf.DUMMYFUNCTION("SPLIT(A12793,"" "")"),"Cc1ccnc(CN(C)C2=CNC(CN(C)Cc3cccc(C)n3)=CC2)c1")</f>
        <v>Cc1ccnc(CN(C)C2=CNC(CN(C)Cc3cccc(C)n3)=CC2)c1</v>
      </c>
      <c r="C12793" s="7">
        <f>IFERROR(__xludf.DUMMYFUNCTION("""COMPUTED_VALUE"""),7.756626)</f>
        <v>7.756626</v>
      </c>
      <c r="D12793" s="7">
        <f>IFERROR(__xludf.DUMMYFUNCTION("""COMPUTED_VALUE"""),0.415094339622641)</f>
        <v>0.4150943396</v>
      </c>
    </row>
    <row r="12794">
      <c r="A12794" s="10" t="s">
        <v>14233</v>
      </c>
      <c r="B12794" s="7" t="str">
        <f>IFERROR(__xludf.DUMMYFUNCTION("SPLIT(A12794,"" "")"),"Cc1ccc(CN(C)CC2=CCC(N(C)Cc3ncccc3C)=CN2)cn1")</f>
        <v>Cc1ccc(CN(C)CC2=CCC(N(C)Cc3ncccc3C)=CN2)cn1</v>
      </c>
      <c r="C12794" s="7">
        <f>IFERROR(__xludf.DUMMYFUNCTION("""COMPUTED_VALUE"""),7.756617)</f>
        <v>7.756617</v>
      </c>
      <c r="D12794" s="7">
        <f>IFERROR(__xludf.DUMMYFUNCTION("""COMPUTED_VALUE"""),0.253968253968253)</f>
        <v>0.253968254</v>
      </c>
    </row>
    <row r="12795">
      <c r="A12795" s="10" t="s">
        <v>14234</v>
      </c>
      <c r="B12795" s="7" t="str">
        <f>IFERROR(__xludf.DUMMYFUNCTION("SPLIT(A12795,"" "")"),"CCN(Cc1ccccn1)Cc1cc(N(C)c2ccccc2C(C)(C)C)ccn1")</f>
        <v>CCN(Cc1ccccn1)Cc1cc(N(C)c2ccccc2C(C)(C)C)ccn1</v>
      </c>
      <c r="C12795" s="7">
        <f>IFERROR(__xludf.DUMMYFUNCTION("""COMPUTED_VALUE"""),7.7566137)</f>
        <v>7.7566137</v>
      </c>
      <c r="D12795" s="7">
        <f>IFERROR(__xludf.DUMMYFUNCTION("""COMPUTED_VALUE"""),0.431372549019607)</f>
        <v>0.431372549</v>
      </c>
    </row>
    <row r="12796">
      <c r="A12796" s="10" t="s">
        <v>14235</v>
      </c>
      <c r="B12796" s="7" t="str">
        <f>IFERROR(__xludf.DUMMYFUNCTION("SPLIT(A12796,"" "")"),"Cc1ccc(C)c(CN(C)CC2=CNC=C(N(C)Cc3ccccn3)C2)n1")</f>
        <v>Cc1ccc(C)c(CN(C)CC2=CNC=C(N(C)Cc3ccccn3)C2)n1</v>
      </c>
      <c r="C12796" s="7">
        <f>IFERROR(__xludf.DUMMYFUNCTION("""COMPUTED_VALUE"""),7.756608)</f>
        <v>7.756608</v>
      </c>
      <c r="D12796" s="7">
        <f>IFERROR(__xludf.DUMMYFUNCTION("""COMPUTED_VALUE"""),0.372881355932203)</f>
        <v>0.3728813559</v>
      </c>
    </row>
    <row r="12797">
      <c r="A12797" s="10" t="s">
        <v>14236</v>
      </c>
      <c r="B12797" s="7" t="str">
        <f>IFERROR(__xludf.DUMMYFUNCTION("SPLIT(A12797,"" "")"),"CCN(Cc1ccccn1)Cc1cc(C(C)(C)c2cc(CN(Cc3cc(C(C)(C)C)ccn3)Cc3cc(C)c(C)cn3)ccn2)ccn1")</f>
        <v>CCN(Cc1ccccn1)Cc1cc(C(C)(C)c2cc(CN(Cc3cc(C(C)(C)C)ccn3)Cc3cc(C)c(C)cn3)ccn2)ccn1</v>
      </c>
      <c r="C12797" s="7">
        <f>IFERROR(__xludf.DUMMYFUNCTION("""COMPUTED_VALUE"""),7.756587)</f>
        <v>7.756587</v>
      </c>
      <c r="D12797" s="7">
        <f>IFERROR(__xludf.DUMMYFUNCTION("""COMPUTED_VALUE"""),0.37037037037037)</f>
        <v>0.3703703704</v>
      </c>
    </row>
    <row r="12798">
      <c r="A12798" s="10" t="s">
        <v>14237</v>
      </c>
      <c r="B12798" s="7" t="str">
        <f>IFERROR(__xludf.DUMMYFUNCTION("SPLIT(A12798,"" "")"),"CN(Cc1ccc(F)cn1)Cc1ncccc1N(C)C1C=CC=CN1")</f>
        <v>CN(Cc1ccc(F)cn1)Cc1ncccc1N(C)C1C=CC=CN1</v>
      </c>
      <c r="C12798" s="7">
        <f>IFERROR(__xludf.DUMMYFUNCTION("""COMPUTED_VALUE"""),7.7565794)</f>
        <v>7.7565794</v>
      </c>
      <c r="D12798" s="7">
        <f>IFERROR(__xludf.DUMMYFUNCTION("""COMPUTED_VALUE"""),0.354838709677419)</f>
        <v>0.3548387097</v>
      </c>
    </row>
    <row r="12799">
      <c r="A12799" s="10" t="s">
        <v>14238</v>
      </c>
      <c r="B12799" s="7" t="str">
        <f>IFERROR(__xludf.DUMMYFUNCTION("SPLIT(A12799,"" "")"),"Cc1cccnc1CN(C)C1=CCC=C(CN(Cc2ncccc2C)C(C)C)N1")</f>
        <v>Cc1cccnc1CN(C)C1=CCC=C(CN(Cc2ncccc2C)C(C)C)N1</v>
      </c>
      <c r="C12799" s="7">
        <f>IFERROR(__xludf.DUMMYFUNCTION("""COMPUTED_VALUE"""),7.756579)</f>
        <v>7.756579</v>
      </c>
      <c r="D12799" s="7">
        <f>IFERROR(__xludf.DUMMYFUNCTION("""COMPUTED_VALUE"""),0.333333333333333)</f>
        <v>0.3333333333</v>
      </c>
    </row>
    <row r="12800">
      <c r="A12800" s="10" t="s">
        <v>14239</v>
      </c>
      <c r="B12800" s="7" t="str">
        <f>IFERROR(__xludf.DUMMYFUNCTION("SPLIT(A12800,"" "")"),"CNCc1nc(CN(Cc2ccccn2)Cc2nc(C)c(C)c(C)c2C)c(C)c(C)c1C")</f>
        <v>CNCc1nc(CN(Cc2ccccn2)Cc2nc(C)c(C)c(C)c2C)c(C)c(C)c1C</v>
      </c>
      <c r="C12800" s="7">
        <f>IFERROR(__xludf.DUMMYFUNCTION("""COMPUTED_VALUE"""),7.7565775)</f>
        <v>7.7565775</v>
      </c>
      <c r="D12800" s="7">
        <f>IFERROR(__xludf.DUMMYFUNCTION("""COMPUTED_VALUE"""),0.48780487804878)</f>
        <v>0.487804878</v>
      </c>
    </row>
    <row r="12801">
      <c r="A12801" s="10" t="s">
        <v>14240</v>
      </c>
      <c r="B12801" s="7" t="str">
        <f>IFERROR(__xludf.DUMMYFUNCTION("SPLIT(A12801,"" "")"),"Cc1cccc(CN(C)CC2=CCC(N(C)Cc3ccccn3)=CN2)n1")</f>
        <v>Cc1cccc(CN(C)CC2=CCC(N(C)Cc3ccccn3)=CN2)n1</v>
      </c>
      <c r="C12801" s="7">
        <f>IFERROR(__xludf.DUMMYFUNCTION("""COMPUTED_VALUE"""),7.7565765)</f>
        <v>7.7565765</v>
      </c>
      <c r="D12801" s="7">
        <f>IFERROR(__xludf.DUMMYFUNCTION("""COMPUTED_VALUE"""),0.471698113207547)</f>
        <v>0.4716981132</v>
      </c>
    </row>
    <row r="12802">
      <c r="A12802" s="10" t="s">
        <v>14241</v>
      </c>
      <c r="B12802" s="7" t="str">
        <f>IFERROR(__xludf.DUMMYFUNCTION("SPLIT(A12802,"" "")"),"CN(Cc1ccccn1)c1ccccc1C(C)(C)CN(Cc1ccccn1)C1CCC(N(C)c2ccc3nccc(CF)c3c2)CC1")</f>
        <v>CN(Cc1ccccn1)c1ccccc1C(C)(C)CN(Cc1ccccn1)C1CCC(N(C)c2ccc3nccc(CF)c3c2)CC1</v>
      </c>
      <c r="C12802" s="7">
        <f>IFERROR(__xludf.DUMMYFUNCTION("""COMPUTED_VALUE"""),7.7565765)</f>
        <v>7.7565765</v>
      </c>
      <c r="D12802" s="7">
        <f>IFERROR(__xludf.DUMMYFUNCTION("""COMPUTED_VALUE"""),0.347826086956521)</f>
        <v>0.347826087</v>
      </c>
    </row>
    <row r="12803">
      <c r="A12803" s="10" t="s">
        <v>14242</v>
      </c>
      <c r="B12803" s="7" t="str">
        <f>IFERROR(__xludf.DUMMYFUNCTION("SPLIT(A12803,"" "")"),"CNCC1=CCC(N(C)Cc2nc(C)cc(C)c2C)=CN1")</f>
        <v>CNCC1=CCC(N(C)Cc2nc(C)cc(C)c2C)=CN1</v>
      </c>
      <c r="C12803" s="7">
        <f>IFERROR(__xludf.DUMMYFUNCTION("""COMPUTED_VALUE"""),7.756566)</f>
        <v>7.756566</v>
      </c>
      <c r="D12803" s="7">
        <f>IFERROR(__xludf.DUMMYFUNCTION("""COMPUTED_VALUE"""),0.193548387096774)</f>
        <v>0.1935483871</v>
      </c>
    </row>
    <row r="12804">
      <c r="A12804" s="10" t="s">
        <v>14243</v>
      </c>
      <c r="B12804" s="7" t="str">
        <f>IFERROR(__xludf.DUMMYFUNCTION("SPLIT(A12804,"" "")"),"Cc1cncc(CN(C)CC2=C(N(C)Cc3ncc(C)c(C)c3C)CC=CN2)c1")</f>
        <v>Cc1cncc(CN(C)CC2=C(N(C)Cc3ncc(C)c(C)c3C)CC=CN2)c1</v>
      </c>
      <c r="C12804" s="7">
        <f>IFERROR(__xludf.DUMMYFUNCTION("""COMPUTED_VALUE"""),7.756561)</f>
        <v>7.756561</v>
      </c>
      <c r="D12804" s="7">
        <f>IFERROR(__xludf.DUMMYFUNCTION("""COMPUTED_VALUE"""),0.225806451612903)</f>
        <v>0.2258064516</v>
      </c>
    </row>
    <row r="12805">
      <c r="A12805" s="10" t="s">
        <v>14244</v>
      </c>
      <c r="B12805" s="7" t="str">
        <f>IFERROR(__xludf.DUMMYFUNCTION("SPLIT(A12805,"" "")"),"CNCc1cc(CN(Cc2nc(C)c(C)c(C)c2C)C2CCCCC2N(C)c2ccc3nccc(C)c3c2)ccn1")</f>
        <v>CNCc1cc(CN(Cc2nc(C)c(C)c(C)c2C)C2CCCCC2N(C)c2ccc3nccc(C)c3c2)ccn1</v>
      </c>
      <c r="C12805" s="7">
        <f>IFERROR(__xludf.DUMMYFUNCTION("""COMPUTED_VALUE"""),7.7565546)</f>
        <v>7.7565546</v>
      </c>
      <c r="D12805" s="7">
        <f>IFERROR(__xludf.DUMMYFUNCTION("""COMPUTED_VALUE"""),0.27027027027027)</f>
        <v>0.2702702703</v>
      </c>
    </row>
    <row r="12806">
      <c r="A12806" s="10" t="s">
        <v>14245</v>
      </c>
      <c r="B12806" s="7" t="str">
        <f>IFERROR(__xludf.DUMMYFUNCTION("SPLIT(A12806,"" "")"),"CNc1cc(CN(Cc2ccc(C)cn2)C2CCC(N(C)c3ccc4ccc(CF)nc4c3)CC2)ccn1")</f>
        <v>CNc1cc(CN(Cc2ccc(C)cn2)C2CCC(N(C)c3ccc4ccc(CF)nc4c3)CC2)ccn1</v>
      </c>
      <c r="C12806" s="7">
        <f>IFERROR(__xludf.DUMMYFUNCTION("""COMPUTED_VALUE"""),7.756553)</f>
        <v>7.756553</v>
      </c>
      <c r="D12806" s="7">
        <f>IFERROR(__xludf.DUMMYFUNCTION("""COMPUTED_VALUE"""),0.333333333333333)</f>
        <v>0.3333333333</v>
      </c>
    </row>
    <row r="12807">
      <c r="A12807" s="10" t="s">
        <v>14246</v>
      </c>
      <c r="B12807" s="7" t="str">
        <f>IFERROR(__xludf.DUMMYFUNCTION("SPLIT(A12807,"" "")"),"Cc1cccc(N(C)CC2=CC(N(C)Cc3ccccn3)C=CN2)c1C")</f>
        <v>Cc1cccc(N(C)CC2=CC(N(C)Cc3ccccn3)C=CN2)c1C</v>
      </c>
      <c r="C12807" s="7">
        <f>IFERROR(__xludf.DUMMYFUNCTION("""COMPUTED_VALUE"""),7.7565503)</f>
        <v>7.7565503</v>
      </c>
      <c r="D12807" s="7">
        <f>IFERROR(__xludf.DUMMYFUNCTION("""COMPUTED_VALUE"""),0.392857142857142)</f>
        <v>0.3928571429</v>
      </c>
    </row>
    <row r="12808">
      <c r="A12808" s="10" t="s">
        <v>14247</v>
      </c>
      <c r="B12808" s="7" t="str">
        <f>IFERROR(__xludf.DUMMYFUNCTION("SPLIT(A12808,"" "")"),"CN(CC1=CCC=C(N(C)Cc2cccnn2)N1)Cc1ccccn1")</f>
        <v>CN(CC1=CCC=C(N(C)Cc2cccnn2)N1)Cc1ccccn1</v>
      </c>
      <c r="C12808" s="7">
        <f>IFERROR(__xludf.DUMMYFUNCTION("""COMPUTED_VALUE"""),7.75655)</f>
        <v>7.75655</v>
      </c>
      <c r="D12808" s="7">
        <f>IFERROR(__xludf.DUMMYFUNCTION("""COMPUTED_VALUE"""),0.489795918367346)</f>
        <v>0.4897959184</v>
      </c>
    </row>
    <row r="12809">
      <c r="A12809" s="10" t="s">
        <v>14248</v>
      </c>
      <c r="B12809" s="7" t="str">
        <f>IFERROR(__xludf.DUMMYFUNCTION("SPLIT(A12809,"" "")"),"CCOC1(C)N=COC1c1ncccc1CN(Cc1ccccn1)Cc1cc(C(C)(C)c2ccccn2)ccn1")</f>
        <v>CCOC1(C)N=COC1c1ncccc1CN(Cc1ccccn1)Cc1cc(C(C)(C)c2ccccn2)ccn1</v>
      </c>
      <c r="C12809" s="7">
        <f>IFERROR(__xludf.DUMMYFUNCTION("""COMPUTED_VALUE"""),7.756547)</f>
        <v>7.756547</v>
      </c>
      <c r="D12809" s="7">
        <f>IFERROR(__xludf.DUMMYFUNCTION("""COMPUTED_VALUE"""),0.3125)</f>
        <v>0.3125</v>
      </c>
    </row>
    <row r="12810">
      <c r="A12810" s="10" t="s">
        <v>14249</v>
      </c>
      <c r="B12810" s="7" t="str">
        <f>IFERROR(__xludf.DUMMYFUNCTION("SPLIT(A12810,"" "")"),"Cc1ccnc(CN(Cc2ccnc(CN(C)C)c2)Cc2ncc(C)c(C)c2C)c1")</f>
        <v>Cc1ccnc(CN(Cc2ccnc(CN(C)C)c2)Cc2ncc(C)c(C)c2C)c1</v>
      </c>
      <c r="C12810" s="7">
        <f>IFERROR(__xludf.DUMMYFUNCTION("""COMPUTED_VALUE"""),7.756546)</f>
        <v>7.756546</v>
      </c>
      <c r="D12810" s="7">
        <f>IFERROR(__xludf.DUMMYFUNCTION("""COMPUTED_VALUE"""),0.358490566037735)</f>
        <v>0.358490566</v>
      </c>
    </row>
    <row r="12811">
      <c r="A12811" s="10" t="s">
        <v>14250</v>
      </c>
      <c r="B12811" s="7" t="str">
        <f>IFERROR(__xludf.DUMMYFUNCTION("SPLIT(A12811,"" "")"),"CN(Cc1ccccn1)c1ccc2ncccc2c1N(C)Cc1ncccc1-c1ccc2c(c1)OCCOCCOCCOCCOCCO2")</f>
        <v>CN(Cc1ccccn1)c1ccc2ncccc2c1N(C)Cc1ncccc1-c1ccc2c(c1)OCCOCCOCCOCCOCCO2</v>
      </c>
      <c r="C12811" s="7">
        <f>IFERROR(__xludf.DUMMYFUNCTION("""COMPUTED_VALUE"""),7.756539)</f>
        <v>7.756539</v>
      </c>
      <c r="D12811" s="7">
        <f>IFERROR(__xludf.DUMMYFUNCTION("""COMPUTED_VALUE"""),0.363636363636363)</f>
        <v>0.3636363636</v>
      </c>
    </row>
    <row r="12812">
      <c r="A12812" s="10" t="s">
        <v>14251</v>
      </c>
      <c r="B12812" s="7" t="str">
        <f>IFERROR(__xludf.DUMMYFUNCTION("SPLIT(A12812,"" "")"),"Cc1cccc(NCc2ccccn2)c1C(C)(C)C")</f>
        <v>Cc1cccc(NCc2ccccn2)c1C(C)(C)C</v>
      </c>
      <c r="C12812" s="7">
        <f>IFERROR(__xludf.DUMMYFUNCTION("""COMPUTED_VALUE"""),7.7565374)</f>
        <v>7.7565374</v>
      </c>
      <c r="D12812" s="7">
        <f>IFERROR(__xludf.DUMMYFUNCTION("""COMPUTED_VALUE"""),0.425)</f>
        <v>0.425</v>
      </c>
    </row>
    <row r="12813">
      <c r="A12813" s="10" t="s">
        <v>14252</v>
      </c>
      <c r="B12813" s="7" t="str">
        <f>IFERROR(__xludf.DUMMYFUNCTION("SPLIT(A12813,"" "")"),"Cc1cnc(CN(C)C2C=CNC(CN(C)c3ccccc3C)=C2)cc1C")</f>
        <v>Cc1cnc(CN(C)C2C=CNC(CN(C)c3ccccc3C)=C2)cc1C</v>
      </c>
      <c r="C12813" s="7">
        <f>IFERROR(__xludf.DUMMYFUNCTION("""COMPUTED_VALUE"""),7.756526)</f>
        <v>7.756526</v>
      </c>
      <c r="D12813" s="7">
        <f>IFERROR(__xludf.DUMMYFUNCTION("""COMPUTED_VALUE"""),0.305084745762711)</f>
        <v>0.3050847458</v>
      </c>
    </row>
    <row r="12814">
      <c r="A12814" s="10" t="s">
        <v>14253</v>
      </c>
      <c r="B12814" s="7" t="str">
        <f>IFERROR(__xludf.DUMMYFUNCTION("SPLIT(A12814,"" "")"),"CCNc1cc(-c2cccc(C(C)C(C)C)n2)ccn1")</f>
        <v>CCNc1cc(-c2cccc(C(C)C(C)C)n2)ccn1</v>
      </c>
      <c r="C12814" s="7">
        <f>IFERROR(__xludf.DUMMYFUNCTION("""COMPUTED_VALUE"""),7.756523)</f>
        <v>7.756523</v>
      </c>
      <c r="D12814" s="7">
        <f>IFERROR(__xludf.DUMMYFUNCTION("""COMPUTED_VALUE"""),0.357142857142857)</f>
        <v>0.3571428571</v>
      </c>
    </row>
    <row r="12815">
      <c r="A12815" s="10" t="s">
        <v>14254</v>
      </c>
      <c r="B12815" s="7" t="str">
        <f>IFERROR(__xludf.DUMMYFUNCTION("SPLIT(A12815,"" "")"),"Cc1ccc(CN(C)C2=CNC=C(CN(C)Cc3nc(C)ccc3C)C2)nc1")</f>
        <v>Cc1ccc(CN(C)C2=CNC=C(CN(C)Cc3nc(C)ccc3C)C2)nc1</v>
      </c>
      <c r="C12815" s="7">
        <f>IFERROR(__xludf.DUMMYFUNCTION("""COMPUTED_VALUE"""),7.7565103)</f>
        <v>7.7565103</v>
      </c>
      <c r="D12815" s="7">
        <f>IFERROR(__xludf.DUMMYFUNCTION("""COMPUTED_VALUE"""),0.388888888888888)</f>
        <v>0.3888888889</v>
      </c>
    </row>
    <row r="12816">
      <c r="A12816" s="10" t="s">
        <v>14255</v>
      </c>
      <c r="B12816" s="7" t="str">
        <f>IFERROR(__xludf.DUMMYFUNCTION("SPLIT(A12816,"" "")"),"Cc1cncc(CN(C)C2=C(CN(C)Cc3nc(C)cc(C)c3C)NC=CC2)c1")</f>
        <v>Cc1cncc(CN(C)C2=C(CN(C)Cc3nc(C)cc(C)c3C)NC=CC2)c1</v>
      </c>
      <c r="C12816" s="7">
        <f>IFERROR(__xludf.DUMMYFUNCTION("""COMPUTED_VALUE"""),7.756503)</f>
        <v>7.756503</v>
      </c>
      <c r="D12816" s="7">
        <f>IFERROR(__xludf.DUMMYFUNCTION("""COMPUTED_VALUE"""),0.191176470588235)</f>
        <v>0.1911764706</v>
      </c>
    </row>
    <row r="12817">
      <c r="A12817" s="10" t="s">
        <v>14256</v>
      </c>
      <c r="B12817" s="7" t="str">
        <f>IFERROR(__xludf.DUMMYFUNCTION("SPLIT(A12817,"" "")"),"CC(C)C(C)(c1cccnc1)N(C)Cc1ccc2ccccc2n1")</f>
        <v>CC(C)C(C)(c1cccnc1)N(C)Cc1ccc2ccccc2n1</v>
      </c>
      <c r="C12817" s="7">
        <f>IFERROR(__xludf.DUMMYFUNCTION("""COMPUTED_VALUE"""),7.7565017)</f>
        <v>7.7565017</v>
      </c>
      <c r="D12817" s="7">
        <f>IFERROR(__xludf.DUMMYFUNCTION("""COMPUTED_VALUE"""),0.434782608695652)</f>
        <v>0.4347826087</v>
      </c>
    </row>
    <row r="12818">
      <c r="A12818" s="10" t="s">
        <v>14257</v>
      </c>
      <c r="B12818" s="7" t="str">
        <f>IFERROR(__xludf.DUMMYFUNCTION("SPLIT(A12818,"" "")"),"C=CCN(Cc1ccccn1)Cc1ncccc1C(C)(c1ccccn1)c1ccccn1")</f>
        <v>C=CCN(Cc1ccccn1)Cc1ncccc1C(C)(c1ccccn1)c1ccccn1</v>
      </c>
      <c r="C12818" s="7">
        <f>IFERROR(__xludf.DUMMYFUNCTION("""COMPUTED_VALUE"""),7.7564936)</f>
        <v>7.7564936</v>
      </c>
      <c r="D12818" s="7">
        <f>IFERROR(__xludf.DUMMYFUNCTION("""COMPUTED_VALUE"""),0.431372549019607)</f>
        <v>0.431372549</v>
      </c>
    </row>
    <row r="12819">
      <c r="A12819" s="10" t="s">
        <v>14258</v>
      </c>
      <c r="B12819" s="7" t="str">
        <f>IFERROR(__xludf.DUMMYFUNCTION("SPLIT(A12819,"" "")"),"Cc1nc(CN(C)Cc2ncccc2C(C)(C)C)c(C)c(C)c1C")</f>
        <v>Cc1nc(CN(C)Cc2ncccc2C(C)(C)C)c(C)c(C)c1C</v>
      </c>
      <c r="C12819" s="7">
        <f>IFERROR(__xludf.DUMMYFUNCTION("""COMPUTED_VALUE"""),7.7564883)</f>
        <v>7.7564883</v>
      </c>
      <c r="D12819" s="7">
        <f>IFERROR(__xludf.DUMMYFUNCTION("""COMPUTED_VALUE"""),0.32)</f>
        <v>0.32</v>
      </c>
    </row>
    <row r="12820">
      <c r="A12820" s="10" t="s">
        <v>14259</v>
      </c>
      <c r="B12820" s="7" t="str">
        <f>IFERROR(__xludf.DUMMYFUNCTION("SPLIT(A12820,"" "")"),"Cc1cccnc1CN(C)C1CCC(N(Cc2ccccn2)c2ccc3nccc(CN(C)C)c3c2)CC1")</f>
        <v>Cc1cccnc1CN(C)C1CCC(N(Cc2ccccn2)c2ccc3nccc(CN(C)C)c3c2)CC1</v>
      </c>
      <c r="C12820" s="7">
        <f>IFERROR(__xludf.DUMMYFUNCTION("""COMPUTED_VALUE"""),7.756487)</f>
        <v>7.756487</v>
      </c>
      <c r="D12820" s="7">
        <f>IFERROR(__xludf.DUMMYFUNCTION("""COMPUTED_VALUE"""),0.353846153846153)</f>
        <v>0.3538461538</v>
      </c>
    </row>
    <row r="12821">
      <c r="A12821" s="10" t="s">
        <v>14260</v>
      </c>
      <c r="B12821" s="7" t="str">
        <f>IFERROR(__xludf.DUMMYFUNCTION("SPLIT(A12821,"" "")"),"Cc1c(N)cccc1C(C)(c1ccccn1)N(C)Cc1ccccn1")</f>
        <v>Cc1c(N)cccc1C(C)(c1ccccn1)N(C)Cc1ccccn1</v>
      </c>
      <c r="C12821" s="7">
        <f>IFERROR(__xludf.DUMMYFUNCTION("""COMPUTED_VALUE"""),7.756486)</f>
        <v>7.756486</v>
      </c>
      <c r="D12821" s="7">
        <f>IFERROR(__xludf.DUMMYFUNCTION("""COMPUTED_VALUE"""),0.4)</f>
        <v>0.4</v>
      </c>
    </row>
    <row r="12822">
      <c r="A12822" s="10" t="s">
        <v>14261</v>
      </c>
      <c r="B12822" s="7" t="str">
        <f>IFERROR(__xludf.DUMMYFUNCTION("SPLIT(A12822,"" "")"),"CC1=CC(C)CC(N(C)Cc2ccc(-c3cccc(N(C)C)c3)cn2)C1")</f>
        <v>CC1=CC(C)CC(N(C)Cc2ccc(-c3cccc(N(C)C)c3)cn2)C1</v>
      </c>
      <c r="C12822" s="7">
        <f>IFERROR(__xludf.DUMMYFUNCTION("""COMPUTED_VALUE"""),7.7564826)</f>
        <v>7.7564826</v>
      </c>
      <c r="D12822" s="7">
        <f>IFERROR(__xludf.DUMMYFUNCTION("""COMPUTED_VALUE"""),0.333333333333333)</f>
        <v>0.3333333333</v>
      </c>
    </row>
    <row r="12823">
      <c r="A12823" s="10" t="s">
        <v>14262</v>
      </c>
      <c r="B12823" s="7" t="str">
        <f>IFERROR(__xludf.DUMMYFUNCTION("SPLIT(A12823,"" "")"),"Cc1ccc(C)c(CN(C)C2=CNC(CN(C)Cc3ccncc3C)=CC2)n1")</f>
        <v>Cc1ccc(C)c(CN(C)C2=CNC(CN(C)Cc3ccncc3C)=CC2)n1</v>
      </c>
      <c r="C12823" s="7">
        <f>IFERROR(__xludf.DUMMYFUNCTION("""COMPUTED_VALUE"""),7.7564764)</f>
        <v>7.7564764</v>
      </c>
      <c r="D12823" s="7">
        <f>IFERROR(__xludf.DUMMYFUNCTION("""COMPUTED_VALUE"""),0.229508196721311)</f>
        <v>0.2295081967</v>
      </c>
    </row>
    <row r="12824">
      <c r="A12824" s="10" t="s">
        <v>14263</v>
      </c>
      <c r="B12824" s="7" t="str">
        <f>IFERROR(__xludf.DUMMYFUNCTION("SPLIT(A12824,"" "")"),"Cc1cncc(CN(C)Cc2ncccc2N(C)C2C=CC=CN2)c1")</f>
        <v>Cc1cncc(CN(C)Cc2ncccc2N(C)C2C=CC=CN2)c1</v>
      </c>
      <c r="C12824" s="7">
        <f>IFERROR(__xludf.DUMMYFUNCTION("""COMPUTED_VALUE"""),7.756476)</f>
        <v>7.756476</v>
      </c>
      <c r="D12824" s="7">
        <f>IFERROR(__xludf.DUMMYFUNCTION("""COMPUTED_VALUE"""),0.303030303030303)</f>
        <v>0.303030303</v>
      </c>
    </row>
    <row r="12825">
      <c r="A12825" s="10" t="s">
        <v>14264</v>
      </c>
      <c r="B12825" s="7" t="str">
        <f>IFERROR(__xludf.DUMMYFUNCTION("SPLIT(A12825,"" "")"),"Cc1ccc(CN(C)CC2=CNC=C(N(C)Cc3ncc(C)c(C)c3C)C2)nc1")</f>
        <v>Cc1ccc(CN(C)CC2=CNC=C(N(C)Cc3ncc(C)c(C)c3C)C2)nc1</v>
      </c>
      <c r="C12825" s="7">
        <f>IFERROR(__xludf.DUMMYFUNCTION("""COMPUTED_VALUE"""),7.756473)</f>
        <v>7.756473</v>
      </c>
      <c r="D12825" s="7">
        <f>IFERROR(__xludf.DUMMYFUNCTION("""COMPUTED_VALUE"""),0.431372549019607)</f>
        <v>0.431372549</v>
      </c>
    </row>
    <row r="12826">
      <c r="A12826" s="10" t="s">
        <v>14265</v>
      </c>
      <c r="B12826" s="7" t="str">
        <f>IFERROR(__xludf.DUMMYFUNCTION("SPLIT(A12826,"" "")"),"Cc1ncccc1CN(C)Cc1nc(N)c(C)c(C)c1C")</f>
        <v>Cc1ncccc1CN(C)Cc1nc(N)c(C)c(C)c1C</v>
      </c>
      <c r="C12826" s="7">
        <f>IFERROR(__xludf.DUMMYFUNCTION("""COMPUTED_VALUE"""),7.75647)</f>
        <v>7.75647</v>
      </c>
      <c r="D12826" s="7">
        <f>IFERROR(__xludf.DUMMYFUNCTION("""COMPUTED_VALUE"""),0.404255319148936)</f>
        <v>0.4042553191</v>
      </c>
    </row>
    <row r="12827">
      <c r="A12827" s="10" t="s">
        <v>14266</v>
      </c>
      <c r="B12827" s="7" t="str">
        <f>IFERROR(__xludf.DUMMYFUNCTION("SPLIT(A12827,"" "")"),"CNC1CC(N(Cc2cc(C)c(C)cn2)Cc2nc(C)c(C)c(C)c2C)CC(N(Cc2nc(C)c(C)c(C)c2C)Cc2nc(C)c(C)c(C)c2C)C1N(Cc1nc(C)c(C)c(C)c1C)Cc1nc(C)c(C)c(C)c1C")</f>
        <v>CNC1CC(N(Cc2cc(C)c(C)cn2)Cc2nc(C)c(C)c(C)c2C)CC(N(Cc2nc(C)c(C)c(C)c2C)Cc2nc(C)c(C)c(C)c2C)C1N(Cc1nc(C)c(C)c(C)c1C)Cc1nc(C)c(C)c(C)c1C</v>
      </c>
      <c r="C12827" s="7">
        <f>IFERROR(__xludf.DUMMYFUNCTION("""COMPUTED_VALUE"""),7.756469)</f>
        <v>7.756469</v>
      </c>
      <c r="D12827" s="7">
        <f>IFERROR(__xludf.DUMMYFUNCTION("""COMPUTED_VALUE"""),0.238805970149253)</f>
        <v>0.2388059701</v>
      </c>
    </row>
    <row r="12828">
      <c r="A12828" s="10" t="s">
        <v>14267</v>
      </c>
      <c r="B12828" s="7" t="str">
        <f>IFERROR(__xludf.DUMMYFUNCTION("SPLIT(A12828,"" "")"),"Cc1cccc(CN(C)C2=C(CN(C)Cc3nc(C)ccc3C)NC=CC2)n1")</f>
        <v>Cc1cccc(CN(C)C2=C(CN(C)Cc3nc(C)ccc3C)NC=CC2)n1</v>
      </c>
      <c r="C12828" s="7">
        <f>IFERROR(__xludf.DUMMYFUNCTION("""COMPUTED_VALUE"""),7.7564664)</f>
        <v>7.7564664</v>
      </c>
      <c r="D12828" s="7">
        <f>IFERROR(__xludf.DUMMYFUNCTION("""COMPUTED_VALUE"""),0.403846153846153)</f>
        <v>0.4038461538</v>
      </c>
    </row>
    <row r="12829">
      <c r="A12829" s="10" t="s">
        <v>14268</v>
      </c>
      <c r="B12829" s="7" t="str">
        <f>IFERROR(__xludf.DUMMYFUNCTION("SPLIT(A12829,"" "")"),"CNCc1nc(C)c(C)c(C)c1C")</f>
        <v>CNCc1nc(C)c(C)c(C)c1C</v>
      </c>
      <c r="C12829" s="7">
        <f>IFERROR(__xludf.DUMMYFUNCTION("""COMPUTED_VALUE"""),7.756465)</f>
        <v>7.756465</v>
      </c>
      <c r="D12829" s="7">
        <f>IFERROR(__xludf.DUMMYFUNCTION("""COMPUTED_VALUE"""),0.15)</f>
        <v>0.15</v>
      </c>
    </row>
    <row r="12830">
      <c r="A12830" s="10" t="s">
        <v>14269</v>
      </c>
      <c r="B12830" s="7" t="str">
        <f>IFERROR(__xludf.DUMMYFUNCTION("SPLIT(A12830,"" "")"),"CC(C)(c1cccc(NCc2ccccn2)c1)c1cc(CN(Cc2ccccn2)Cc2ccccn2)ccn1")</f>
        <v>CC(C)(c1cccc(NCc2ccccn2)c1)c1cc(CN(Cc2ccccn2)Cc2ccccn2)ccn1</v>
      </c>
      <c r="C12830" s="7">
        <f>IFERROR(__xludf.DUMMYFUNCTION("""COMPUTED_VALUE"""),7.7564573)</f>
        <v>7.7564573</v>
      </c>
      <c r="D12830" s="7">
        <f>IFERROR(__xludf.DUMMYFUNCTION("""COMPUTED_VALUE"""),0.408163265306122)</f>
        <v>0.4081632653</v>
      </c>
    </row>
    <row r="12831">
      <c r="A12831" s="10" t="s">
        <v>14270</v>
      </c>
      <c r="B12831" s="7" t="str">
        <f>IFERROR(__xludf.DUMMYFUNCTION("SPLIT(A12831,"" "")"),"Cc1ccnc(CN(C)Cc2cc(C(C)(C)c3ccccn3)ccn2)c1")</f>
        <v>Cc1ccnc(CN(C)Cc2cc(C(C)(C)c3ccccn3)ccn2)c1</v>
      </c>
      <c r="C12831" s="7">
        <f>IFERROR(__xludf.DUMMYFUNCTION("""COMPUTED_VALUE"""),7.7564573)</f>
        <v>7.7564573</v>
      </c>
      <c r="D12831" s="7">
        <f>IFERROR(__xludf.DUMMYFUNCTION("""COMPUTED_VALUE"""),0.392156862745098)</f>
        <v>0.3921568627</v>
      </c>
    </row>
    <row r="12832">
      <c r="A12832" s="10" t="s">
        <v>14271</v>
      </c>
      <c r="B12832" s="7" t="str">
        <f>IFERROR(__xludf.DUMMYFUNCTION("SPLIT(A12832,"" "")"),"C=CCN(C)CCN(C)Cc1ccc(-c2cccc(Cl)c2Cl)nc1")</f>
        <v>C=CCN(C)CCN(C)Cc1ccc(-c2cccc(Cl)c2Cl)nc1</v>
      </c>
      <c r="C12832" s="7">
        <f>IFERROR(__xludf.DUMMYFUNCTION("""COMPUTED_VALUE"""),7.7564483)</f>
        <v>7.7564483</v>
      </c>
      <c r="D12832" s="7">
        <f>IFERROR(__xludf.DUMMYFUNCTION("""COMPUTED_VALUE"""),0.3125)</f>
        <v>0.3125</v>
      </c>
    </row>
    <row r="12833">
      <c r="A12833" s="10" t="s">
        <v>14272</v>
      </c>
      <c r="B12833" s="7" t="str">
        <f>IFERROR(__xludf.DUMMYFUNCTION("SPLIT(A12833,"" "")"),"CNCC1=CCC=C(N(C)Cc2nc(C)ccc2C)N1")</f>
        <v>CNCC1=CCC=C(N(C)Cc2nc(C)ccc2C)N1</v>
      </c>
      <c r="C12833" s="7">
        <f>IFERROR(__xludf.DUMMYFUNCTION("""COMPUTED_VALUE"""),7.7564464)</f>
        <v>7.7564464</v>
      </c>
      <c r="D12833" s="7">
        <f>IFERROR(__xludf.DUMMYFUNCTION("""COMPUTED_VALUE"""),0.258620689655172)</f>
        <v>0.2586206897</v>
      </c>
    </row>
    <row r="12834">
      <c r="A12834" s="10" t="s">
        <v>14273</v>
      </c>
      <c r="B12834" s="7" t="str">
        <f>IFERROR(__xludf.DUMMYFUNCTION("SPLIT(A12834,"" "")"),"Cc1nccc(CN(C)C2=C(CN(C)Cc3ccccn3)NC=CC2)c1C")</f>
        <v>Cc1nccc(CN(C)C2=C(CN(C)Cc3ccccn3)NC=CC2)c1C</v>
      </c>
      <c r="C12834" s="7">
        <f>IFERROR(__xludf.DUMMYFUNCTION("""COMPUTED_VALUE"""),7.7564454)</f>
        <v>7.7564454</v>
      </c>
      <c r="D12834" s="7">
        <f>IFERROR(__xludf.DUMMYFUNCTION("""COMPUTED_VALUE"""),0.372881355932203)</f>
        <v>0.3728813559</v>
      </c>
    </row>
    <row r="12835">
      <c r="A12835" s="10" t="s">
        <v>14274</v>
      </c>
      <c r="B12835" s="7" t="str">
        <f>IFERROR(__xludf.DUMMYFUNCTION("SPLIT(A12835,"" "")"),"CC(C)N(Cc1ccccn1)c1ccc(CN(Cc2ccnc(C(C)(C)C)c2)Cc2ccccn2)nc1")</f>
        <v>CC(C)N(Cc1ccccn1)c1ccc(CN(Cc2ccnc(C(C)(C)C)c2)Cc2ccccn2)nc1</v>
      </c>
      <c r="C12835" s="7">
        <f>IFERROR(__xludf.DUMMYFUNCTION("""COMPUTED_VALUE"""),7.7564387)</f>
        <v>7.7564387</v>
      </c>
      <c r="D12835" s="7">
        <f>IFERROR(__xludf.DUMMYFUNCTION("""COMPUTED_VALUE"""),0.408163265306122)</f>
        <v>0.4081632653</v>
      </c>
    </row>
    <row r="12836">
      <c r="A12836" s="10" t="s">
        <v>14275</v>
      </c>
      <c r="B12836" s="7" t="str">
        <f>IFERROR(__xludf.DUMMYFUNCTION("SPLIT(A12836,"" "")"),"C=C1C=CNC(CN(C)Cc2cnc(C)cc2C)=C1")</f>
        <v>C=C1C=CNC(CN(C)Cc2cnc(C)cc2C)=C1</v>
      </c>
      <c r="C12836" s="7">
        <f>IFERROR(__xludf.DUMMYFUNCTION("""COMPUTED_VALUE"""),7.756418)</f>
        <v>7.756418</v>
      </c>
      <c r="D12836" s="7">
        <f>IFERROR(__xludf.DUMMYFUNCTION("""COMPUTED_VALUE"""),0.365384615384615)</f>
        <v>0.3653846154</v>
      </c>
    </row>
    <row r="12837">
      <c r="A12837" s="10" t="s">
        <v>14276</v>
      </c>
      <c r="B12837" s="7" t="str">
        <f>IFERROR(__xludf.DUMMYFUNCTION("SPLIT(A12837,"" "")"),"CCOC1(C)COC(c2cccc(CN(Cc3ccccn3)Cc3ccccn3)n2)=N1")</f>
        <v>CCOC1(C)COC(c2cccc(CN(Cc3ccccn3)Cc3ccccn3)n2)=N1</v>
      </c>
      <c r="C12837" s="7">
        <f>IFERROR(__xludf.DUMMYFUNCTION("""COMPUTED_VALUE"""),7.7564106)</f>
        <v>7.7564106</v>
      </c>
      <c r="D12837" s="7">
        <f>IFERROR(__xludf.DUMMYFUNCTION("""COMPUTED_VALUE"""),0.466666666666666)</f>
        <v>0.4666666667</v>
      </c>
    </row>
    <row r="12838">
      <c r="A12838" s="10" t="s">
        <v>14277</v>
      </c>
      <c r="B12838" s="7" t="str">
        <f>IFERROR(__xludf.DUMMYFUNCTION("SPLIT(A12838,"" "")"),"CN(Cc1ccccn1)C1=CNC(CN(C)C2=CC=CCN2)=CC1")</f>
        <v>CN(Cc1ccccn1)C1=CNC(CN(C)C2=CC=CCN2)=CC1</v>
      </c>
      <c r="C12838" s="7">
        <f>IFERROR(__xludf.DUMMYFUNCTION("""COMPUTED_VALUE"""),7.75641)</f>
        <v>7.75641</v>
      </c>
      <c r="D12838" s="7">
        <f>IFERROR(__xludf.DUMMYFUNCTION("""COMPUTED_VALUE"""),0.4)</f>
        <v>0.4</v>
      </c>
    </row>
    <row r="12839">
      <c r="A12839" s="10" t="s">
        <v>14278</v>
      </c>
      <c r="B12839" s="7" t="str">
        <f>IFERROR(__xludf.DUMMYFUNCTION("SPLIT(A12839,"" "")"),"C=Cc1cccnc1")</f>
        <v>C=Cc1cccnc1</v>
      </c>
      <c r="C12839" s="7">
        <f>IFERROR(__xludf.DUMMYFUNCTION("""COMPUTED_VALUE"""),7.7564096)</f>
        <v>7.7564096</v>
      </c>
      <c r="D12839" s="7">
        <f>IFERROR(__xludf.DUMMYFUNCTION("""COMPUTED_VALUE"""),0.25)</f>
        <v>0.25</v>
      </c>
    </row>
    <row r="12840">
      <c r="A12840" s="10" t="s">
        <v>14279</v>
      </c>
      <c r="B12840" s="7" t="str">
        <f>IFERROR(__xludf.DUMMYFUNCTION("SPLIT(A12840,"" "")"),"CC(C)N(C)Cc1cccc(-c2cccc(N(C)C(C)C)c2)n1")</f>
        <v>CC(C)N(C)Cc1cccc(-c2cccc(N(C)C(C)C)c2)n1</v>
      </c>
      <c r="C12840" s="7">
        <f>IFERROR(__xludf.DUMMYFUNCTION("""COMPUTED_VALUE"""),7.7564087)</f>
        <v>7.7564087</v>
      </c>
      <c r="D12840" s="7">
        <f>IFERROR(__xludf.DUMMYFUNCTION("""COMPUTED_VALUE"""),0.4)</f>
        <v>0.4</v>
      </c>
    </row>
    <row r="12841">
      <c r="A12841" s="10" t="s">
        <v>14280</v>
      </c>
      <c r="B12841" s="7" t="str">
        <f>IFERROR(__xludf.DUMMYFUNCTION("SPLIT(A12841,"" "")"),"CC(C)N(CCN(Cc1ccccn1)c1ccc2nccc(CF)c2c1)CC(C)(C)C")</f>
        <v>CC(C)N(CCN(Cc1ccccn1)c1ccc2nccc(CF)c2c1)CC(C)(C)C</v>
      </c>
      <c r="C12841" s="7">
        <f>IFERROR(__xludf.DUMMYFUNCTION("""COMPUTED_VALUE"""),7.756404)</f>
        <v>7.756404</v>
      </c>
      <c r="D12841" s="7">
        <f>IFERROR(__xludf.DUMMYFUNCTION("""COMPUTED_VALUE"""),0.446428571428571)</f>
        <v>0.4464285714</v>
      </c>
    </row>
    <row r="12842">
      <c r="A12842" s="10" t="s">
        <v>14281</v>
      </c>
      <c r="B12842" s="7" t="str">
        <f>IFERROR(__xludf.DUMMYFUNCTION("SPLIT(A12842,"" "")"),"Cc1ccc(CN(C)CC2=CCC(N(C)Cc3cccc(C)n3)=CN2)nc1")</f>
        <v>Cc1ccc(CN(C)CC2=CCC(N(C)Cc3cccc(C)n3)=CN2)nc1</v>
      </c>
      <c r="C12842" s="7">
        <f>IFERROR(__xludf.DUMMYFUNCTION("""COMPUTED_VALUE"""),7.7564015)</f>
        <v>7.7564015</v>
      </c>
      <c r="D12842" s="7">
        <f>IFERROR(__xludf.DUMMYFUNCTION("""COMPUTED_VALUE"""),0.423076923076923)</f>
        <v>0.4230769231</v>
      </c>
    </row>
    <row r="12843">
      <c r="A12843" s="10" t="s">
        <v>14282</v>
      </c>
      <c r="B12843" s="7" t="str">
        <f>IFERROR(__xludf.DUMMYFUNCTION("SPLIT(A12843,"" "")"),"Cc1ccc(CN(CC2=CCC=C(N(C)Cc3ncc(C)c(C)c3C)N2)C(C)C)nc1")</f>
        <v>Cc1ccc(CN(CC2=CCC=C(N(C)Cc3ncc(C)c(C)c3C)N2)C(C)C)nc1</v>
      </c>
      <c r="C12843" s="7">
        <f>IFERROR(__xludf.DUMMYFUNCTION("""COMPUTED_VALUE"""),7.7564)</f>
        <v>7.7564</v>
      </c>
      <c r="D12843" s="7">
        <f>IFERROR(__xludf.DUMMYFUNCTION("""COMPUTED_VALUE"""),0.350877192982456)</f>
        <v>0.350877193</v>
      </c>
    </row>
    <row r="12844">
      <c r="A12844" s="10" t="s">
        <v>14283</v>
      </c>
      <c r="B12844" s="7" t="str">
        <f>IFERROR(__xludf.DUMMYFUNCTION("SPLIT(A12844,"" "")"),"CNC1C(N(Cc2ncccc2C)Cc2ncccc2C)CCCC1N(Cc1ncccc1C)c1ccc2nccc(CF)c2c1")</f>
        <v>CNC1C(N(Cc2ncccc2C)Cc2ncccc2C)CCCC1N(Cc1ncccc1C)c1ccc2nccc(CF)c2c1</v>
      </c>
      <c r="C12844" s="7">
        <f>IFERROR(__xludf.DUMMYFUNCTION("""COMPUTED_VALUE"""),7.7563944)</f>
        <v>7.7563944</v>
      </c>
      <c r="D12844" s="7">
        <f>IFERROR(__xludf.DUMMYFUNCTION("""COMPUTED_VALUE"""),0.25)</f>
        <v>0.25</v>
      </c>
    </row>
    <row r="12845">
      <c r="A12845" s="10" t="s">
        <v>14284</v>
      </c>
      <c r="B12845" s="7" t="str">
        <f>IFERROR(__xludf.DUMMYFUNCTION("SPLIT(A12845,"" "")"),"Cc1ccc(CN(CC2=CC(N(C)Cc3ccccn3)C=CN2)c2cc(-c3cccc(CN(Cc4ccccn4)Cc4cccc(-c5ccc6c(c5)OCCOCCOCCOCCOCCO6)n4)n3)c3ncccc3c2)nc1")</f>
        <v>Cc1ccc(CN(CC2=CC(N(C)Cc3ccccn3)C=CN2)c2cc(-c3cccc(CN(Cc4ccccn4)Cc4cccc(-c5ccc6c(c5)OCCOCCOCCOCCOCCO6)n4)n3)c3ncccc3c2)nc1</v>
      </c>
      <c r="C12845" s="7">
        <f>IFERROR(__xludf.DUMMYFUNCTION("""COMPUTED_VALUE"""),7.7563925)</f>
        <v>7.7563925</v>
      </c>
      <c r="D12845" s="7">
        <f>IFERROR(__xludf.DUMMYFUNCTION("""COMPUTED_VALUE"""),0.319587628865979)</f>
        <v>0.3195876289</v>
      </c>
    </row>
    <row r="12846">
      <c r="A12846" s="10" t="s">
        <v>14285</v>
      </c>
      <c r="B12846" s="7" t="str">
        <f>IFERROR(__xludf.DUMMYFUNCTION("SPLIT(A12846,"" "")"),"CN(c1ccc2ncccc2c1)C1CCCCC1N(Cc1ccccn1)c1ccccc1F")</f>
        <v>CN(c1ccc2ncccc2c1)C1CCCCC1N(Cc1ccccn1)c1ccccc1F</v>
      </c>
      <c r="C12846" s="7">
        <f>IFERROR(__xludf.DUMMYFUNCTION("""COMPUTED_VALUE"""),7.7563925)</f>
        <v>7.7563925</v>
      </c>
      <c r="D12846" s="7">
        <f>IFERROR(__xludf.DUMMYFUNCTION("""COMPUTED_VALUE"""),0.464285714285714)</f>
        <v>0.4642857143</v>
      </c>
    </row>
    <row r="12847">
      <c r="A12847" s="10" t="s">
        <v>14286</v>
      </c>
      <c r="B12847" s="7" t="str">
        <f>IFERROR(__xludf.DUMMYFUNCTION("SPLIT(A12847,"" "")"),"CC1=C(C)C(c2ncccc2CN(Cc2ccccn2)Cc2ccccn2)CC2C=CNC(C(C)C)=C12")</f>
        <v>CC1=C(C)C(c2ncccc2CN(Cc2ccccn2)Cc2ccccn2)CC2C=CNC(C(C)C)=C12</v>
      </c>
      <c r="C12847" s="7">
        <f>IFERROR(__xludf.DUMMYFUNCTION("""COMPUTED_VALUE"""),7.756392)</f>
        <v>7.756392</v>
      </c>
      <c r="D12847" s="7">
        <f>IFERROR(__xludf.DUMMYFUNCTION("""COMPUTED_VALUE"""),0.352941176470588)</f>
        <v>0.3529411765</v>
      </c>
    </row>
    <row r="12848">
      <c r="A12848" s="10" t="s">
        <v>14287</v>
      </c>
      <c r="B12848" s="7" t="str">
        <f>IFERROR(__xludf.DUMMYFUNCTION("SPLIT(A12848,"" "")"),"Cc1cccnc1CN(C)CCN(C)Cc1ccc2cccnc2c1")</f>
        <v>Cc1cccnc1CN(C)CCN(C)Cc1ccc2cccnc2c1</v>
      </c>
      <c r="C12848" s="7">
        <f>IFERROR(__xludf.DUMMYFUNCTION("""COMPUTED_VALUE"""),7.75639)</f>
        <v>7.75639</v>
      </c>
      <c r="D12848" s="7">
        <f>IFERROR(__xludf.DUMMYFUNCTION("""COMPUTED_VALUE"""),0.416666666666666)</f>
        <v>0.4166666667</v>
      </c>
    </row>
    <row r="12849">
      <c r="A12849" s="10" t="s">
        <v>14288</v>
      </c>
      <c r="B12849" s="7" t="str">
        <f>IFERROR(__xludf.DUMMYFUNCTION("SPLIT(A12849,"" "")"),"CN(C)Cc1ccnc2cc(N(C)C3CCC(N(C)Cc4ccon4)CC3)ccc12")</f>
        <v>CN(C)Cc1ccnc2cc(N(C)C3CCC(N(C)Cc4ccon4)CC3)ccc12</v>
      </c>
      <c r="C12849" s="7">
        <f>IFERROR(__xludf.DUMMYFUNCTION("""COMPUTED_VALUE"""),7.756388)</f>
        <v>7.756388</v>
      </c>
      <c r="D12849" s="7">
        <f>IFERROR(__xludf.DUMMYFUNCTION("""COMPUTED_VALUE"""),0.351851851851851)</f>
        <v>0.3518518519</v>
      </c>
    </row>
    <row r="12850">
      <c r="A12850" s="10" t="s">
        <v>14289</v>
      </c>
      <c r="B12850" s="7" t="str">
        <f>IFERROR(__xludf.DUMMYFUNCTION("SPLIT(A12850,"" "")"),"Cc1nc(CN(C)C2=C(CN(C)Cc3ccccn3)NC=CC2)c(C)c(C)c1C")</f>
        <v>Cc1nc(CN(C)C2=C(CN(C)Cc3ccccn3)NC=CC2)c(C)c(C)c1C</v>
      </c>
      <c r="C12850" s="7">
        <f>IFERROR(__xludf.DUMMYFUNCTION("""COMPUTED_VALUE"""),7.756387)</f>
        <v>7.756387</v>
      </c>
      <c r="D12850" s="7">
        <f>IFERROR(__xludf.DUMMYFUNCTION("""COMPUTED_VALUE"""),0.389830508474576)</f>
        <v>0.3898305085</v>
      </c>
    </row>
    <row r="12851">
      <c r="A12851" s="10" t="s">
        <v>14290</v>
      </c>
      <c r="B12851" s="7" t="str">
        <f>IFERROR(__xludf.DUMMYFUNCTION("SPLIT(A12851,"" "")"),"CN(c1cccc2cc(CF)cnc12)C1CCCCC1N(Cc1ccccn1)c1ccccc1F")</f>
        <v>CN(c1cccc2cc(CF)cnc12)C1CCCCC1N(Cc1ccccn1)c1ccccc1F</v>
      </c>
      <c r="C12851" s="7">
        <f>IFERROR(__xludf.DUMMYFUNCTION("""COMPUTED_VALUE"""),7.756382)</f>
        <v>7.756382</v>
      </c>
      <c r="D12851" s="7">
        <f>IFERROR(__xludf.DUMMYFUNCTION("""COMPUTED_VALUE"""),0.475409836065573)</f>
        <v>0.4754098361</v>
      </c>
    </row>
    <row r="12852">
      <c r="A12852" s="10" t="s">
        <v>14291</v>
      </c>
      <c r="B12852" s="7" t="str">
        <f>IFERROR(__xludf.DUMMYFUNCTION("SPLIT(A12852,"" "")"),"Cc1cccc(CN(C)Cc2cc(N(C)C(C)(C)c3ccccn3)ccn2)n1")</f>
        <v>Cc1cccc(CN(C)Cc2cc(N(C)C(C)(C)c3ccccn3)ccn2)n1</v>
      </c>
      <c r="C12852" s="7">
        <f>IFERROR(__xludf.DUMMYFUNCTION("""COMPUTED_VALUE"""),7.756375)</f>
        <v>7.756375</v>
      </c>
      <c r="D12852" s="7">
        <f>IFERROR(__xludf.DUMMYFUNCTION("""COMPUTED_VALUE"""),0.452830188679245)</f>
        <v>0.4528301887</v>
      </c>
    </row>
    <row r="12853">
      <c r="A12853" s="10" t="s">
        <v>14292</v>
      </c>
      <c r="B12853" s="7" t="str">
        <f>IFERROR(__xludf.DUMMYFUNCTION("SPLIT(A12853,"" "")"),"Cc1ccc(CN(C)C2=CNC(CN(C)Cc3cccc(C)n3)=CC2)nc1")</f>
        <v>Cc1ccc(CN(C)C2=CNC(CN(C)Cc3cccc(C)n3)=CC2)nc1</v>
      </c>
      <c r="C12853" s="7">
        <f>IFERROR(__xludf.DUMMYFUNCTION("""COMPUTED_VALUE"""),7.7563653)</f>
        <v>7.7563653</v>
      </c>
      <c r="D12853" s="7">
        <f>IFERROR(__xludf.DUMMYFUNCTION("""COMPUTED_VALUE"""),0.423076923076923)</f>
        <v>0.4230769231</v>
      </c>
    </row>
    <row r="12854">
      <c r="A12854" s="10" t="s">
        <v>14293</v>
      </c>
      <c r="B12854" s="7" t="str">
        <f>IFERROR(__xludf.DUMMYFUNCTION("SPLIT(A12854,"" "")"),"Cc1cnc(CN(C)C2CCCC(N(C)c3cccc4nccc(CN(C)C)c34)C2)cc1N")</f>
        <v>Cc1cnc(CN(C)C2CCCC(N(C)c3cccc4nccc(CN(C)C)c34)C2)cc1N</v>
      </c>
      <c r="C12854" s="7">
        <f>IFERROR(__xludf.DUMMYFUNCTION("""COMPUTED_VALUE"""),7.7563562)</f>
        <v>7.7563562</v>
      </c>
      <c r="D12854" s="7">
        <f>IFERROR(__xludf.DUMMYFUNCTION("""COMPUTED_VALUE"""),0.308823529411764)</f>
        <v>0.3088235294</v>
      </c>
    </row>
    <row r="12855">
      <c r="A12855" s="10" t="s">
        <v>14294</v>
      </c>
      <c r="B12855" s="7" t="str">
        <f>IFERROR(__xludf.DUMMYFUNCTION("SPLIT(A12855,"" "")"),"Cc1cc(C)c(CN(C)CC2=C(N(C)Cc3ncccc3C)CC=CN2)cc1C")</f>
        <v>Cc1cc(C)c(CN(C)CC2=C(N(C)Cc3ncccc3C)CC=CN2)cc1C</v>
      </c>
      <c r="C12855" s="7">
        <f>IFERROR(__xludf.DUMMYFUNCTION("""COMPUTED_VALUE"""),7.756354)</f>
        <v>7.756354</v>
      </c>
      <c r="D12855" s="7">
        <f>IFERROR(__xludf.DUMMYFUNCTION("""COMPUTED_VALUE"""),0.278688524590163)</f>
        <v>0.2786885246</v>
      </c>
    </row>
    <row r="12856">
      <c r="A12856" s="10" t="s">
        <v>14295</v>
      </c>
      <c r="B12856" s="7" t="str">
        <f>IFERROR(__xludf.DUMMYFUNCTION("SPLIT(A12856,"" "")"),"COC(=O)C1CN(C)C(c2ccc(CN(Cc3ccccn3)C3CCC(N(C)c4ccc5c(CF)ccnc5c4)CC3)cn2)C(c2ccccn2)C1c1ccccn1")</f>
        <v>COC(=O)C1CN(C)C(c2ccc(CN(Cc3ccccn3)C3CCC(N(C)c4ccc5c(CF)ccnc5c4)CC3)cn2)C(c2ccccn2)C1c1ccccn1</v>
      </c>
      <c r="C12856" s="7">
        <f>IFERROR(__xludf.DUMMYFUNCTION("""COMPUTED_VALUE"""),7.7563524)</f>
        <v>7.7563524</v>
      </c>
      <c r="D12856" s="7">
        <f>IFERROR(__xludf.DUMMYFUNCTION("""COMPUTED_VALUE"""),0.242424242424242)</f>
        <v>0.2424242424</v>
      </c>
    </row>
    <row r="12857">
      <c r="A12857" s="10" t="s">
        <v>14296</v>
      </c>
      <c r="B12857" s="7" t="str">
        <f>IFERROR(__xludf.DUMMYFUNCTION("SPLIT(A12857,"" "")"),"Cc1cnc(CN(C)C2CCC(N(C)c3ccc4c(CN(C)C)ccnc4c3)CC2)c(C)c1")</f>
        <v>Cc1cnc(CN(C)C2CCC(N(C)c3ccc4c(CN(C)C)ccnc4c3)CC2)c(C)c1</v>
      </c>
      <c r="C12857" s="7">
        <f>IFERROR(__xludf.DUMMYFUNCTION("""COMPUTED_VALUE"""),7.756351)</f>
        <v>7.756351</v>
      </c>
      <c r="D12857" s="7">
        <f>IFERROR(__xludf.DUMMYFUNCTION("""COMPUTED_VALUE"""),0.28125)</f>
        <v>0.28125</v>
      </c>
    </row>
    <row r="12858">
      <c r="A12858" s="10" t="s">
        <v>14297</v>
      </c>
      <c r="B12858" s="7" t="str">
        <f>IFERROR(__xludf.DUMMYFUNCTION("SPLIT(A12858,"" "")"),"CN(C)c1ccc(-c2cccc(CN(Cc3ccccn3)Cc3cccc(-c4cccc5c4OCCOCCOCCOCCOCCO5)n3)n2)c2ncccc12")</f>
        <v>CN(C)c1ccc(-c2cccc(CN(Cc3ccccn3)Cc3cccc(-c4cccc5c4OCCOCCOCCOCCOCCO5)n3)n2)c2ncccc12</v>
      </c>
      <c r="C12858" s="7">
        <f>IFERROR(__xludf.DUMMYFUNCTION("""COMPUTED_VALUE"""),7.756345)</f>
        <v>7.756345</v>
      </c>
      <c r="D12858" s="7">
        <f>IFERROR(__xludf.DUMMYFUNCTION("""COMPUTED_VALUE"""),0.373134328358209)</f>
        <v>0.3731343284</v>
      </c>
    </row>
    <row r="12859">
      <c r="A12859" s="10" t="s">
        <v>14298</v>
      </c>
      <c r="B12859" s="7" t="str">
        <f>IFERROR(__xludf.DUMMYFUNCTION("SPLIT(A12859,"" "")"),"Cc1cccc(CN(C)C2=C(CN(C)Cc3ncc(C)c(C)c3C)NC=CC2)n1")</f>
        <v>Cc1cccc(CN(C)C2=C(CN(C)Cc3ncc(C)c(C)c3C)NC=CC2)n1</v>
      </c>
      <c r="C12859" s="7">
        <f>IFERROR(__xludf.DUMMYFUNCTION("""COMPUTED_VALUE"""),7.756345)</f>
        <v>7.756345</v>
      </c>
      <c r="D12859" s="7">
        <f>IFERROR(__xludf.DUMMYFUNCTION("""COMPUTED_VALUE"""),0.375)</f>
        <v>0.375</v>
      </c>
    </row>
    <row r="12860">
      <c r="A12860" s="10" t="s">
        <v>14299</v>
      </c>
      <c r="B12860" s="7" t="str">
        <f>IFERROR(__xludf.DUMMYFUNCTION("SPLIT(A12860,"" "")"),"Cc1cc(CN(C)C2CCC(N(C)c3ccc4c(CF)ccnc4c3)CC2)nc(C)c1C")</f>
        <v>Cc1cc(CN(C)C2CCC(N(C)c3ccc4c(CF)ccnc4c3)CC2)nc(C)c1C</v>
      </c>
      <c r="C12860" s="7">
        <f>IFERROR(__xludf.DUMMYFUNCTION("""COMPUTED_VALUE"""),7.756329)</f>
        <v>7.756329</v>
      </c>
      <c r="D12860" s="7">
        <f>IFERROR(__xludf.DUMMYFUNCTION("""COMPUTED_VALUE"""),0.257575757575757)</f>
        <v>0.2575757576</v>
      </c>
    </row>
    <row r="12861">
      <c r="A12861" s="10" t="s">
        <v>14300</v>
      </c>
      <c r="B12861" s="7" t="str">
        <f>IFERROR(__xludf.DUMMYFUNCTION("SPLIT(A12861,"" "")"),"Cc1cncc(CN(C)C2CCCC(N(C)Cc3cc(-c4ccc5cccnc5c4)ccn3)C2)c1")</f>
        <v>Cc1cncc(CN(C)C2CCCC(N(C)Cc3cc(-c4ccc5cccnc5c4)ccn3)C2)c1</v>
      </c>
      <c r="C12861" s="7">
        <f>IFERROR(__xludf.DUMMYFUNCTION("""COMPUTED_VALUE"""),7.7563252)</f>
        <v>7.7563252</v>
      </c>
      <c r="D12861" s="7">
        <f>IFERROR(__xludf.DUMMYFUNCTION("""COMPUTED_VALUE"""),0.323076923076923)</f>
        <v>0.3230769231</v>
      </c>
    </row>
    <row r="12862">
      <c r="A12862" s="10" t="s">
        <v>14301</v>
      </c>
      <c r="B12862" s="7" t="str">
        <f>IFERROR(__xludf.DUMMYFUNCTION("SPLIT(A12862,"" "")"),"CN(C)c1cc2ncccc2cc1-c1cccc(CN(Cc2ccccn2)Cc2cccc(-c3ccc4c(c3)OCCOCCOCCOCCOCCO4)n2)n1")</f>
        <v>CN(C)c1cc2ncccc2cc1-c1cccc(CN(Cc2ccccn2)Cc2cccc(-c3ccc4c(c3)OCCOCCOCCOCCOCCO4)n2)n1</v>
      </c>
      <c r="C12862" s="7">
        <f>IFERROR(__xludf.DUMMYFUNCTION("""COMPUTED_VALUE"""),7.7563143)</f>
        <v>7.7563143</v>
      </c>
      <c r="D12862" s="7">
        <f>IFERROR(__xludf.DUMMYFUNCTION("""COMPUTED_VALUE"""),0.436619718309859)</f>
        <v>0.4366197183</v>
      </c>
    </row>
    <row r="12863">
      <c r="A12863" s="10" t="s">
        <v>14302</v>
      </c>
      <c r="B12863" s="7" t="str">
        <f>IFERROR(__xludf.DUMMYFUNCTION("SPLIT(A12863,"" "")"),"C=CCN(C)Cc1ccc2cccc(N(C)C3CCCCC3N(Cc3ccc4ncccc4c3)Cc3ccccn3)c2n1")</f>
        <v>C=CCN(C)Cc1ccc2cccc(N(C)C3CCCCC3N(Cc3ccc4ncccc4c3)Cc3ccccn3)c2n1</v>
      </c>
      <c r="C12863" s="7">
        <f>IFERROR(__xludf.DUMMYFUNCTION("""COMPUTED_VALUE"""),7.7563095)</f>
        <v>7.7563095</v>
      </c>
      <c r="D12863" s="7">
        <f>IFERROR(__xludf.DUMMYFUNCTION("""COMPUTED_VALUE"""),0.458333333333333)</f>
        <v>0.4583333333</v>
      </c>
    </row>
    <row r="12864">
      <c r="A12864" s="10" t="s">
        <v>14303</v>
      </c>
      <c r="B12864" s="7" t="str">
        <f>IFERROR(__xludf.DUMMYFUNCTION("SPLIT(A12864,"" "")"),"Cc1nc(CN(C)CC2=CC(N(C)Cc3nc(C)c(C)c(C)c3C)C=CN2)c(C)c(C)c1C")</f>
        <v>Cc1nc(CN(C)CC2=CC(N(C)Cc3nc(C)c(C)c(C)c3C)C=CN2)c(C)c(C)c1C</v>
      </c>
      <c r="C12864" s="7">
        <f>IFERROR(__xludf.DUMMYFUNCTION("""COMPUTED_VALUE"""),7.756307)</f>
        <v>7.756307</v>
      </c>
      <c r="D12864" s="7">
        <f>IFERROR(__xludf.DUMMYFUNCTION("""COMPUTED_VALUE"""),0.345454545454545)</f>
        <v>0.3454545455</v>
      </c>
    </row>
    <row r="12865">
      <c r="A12865" s="10" t="s">
        <v>14304</v>
      </c>
      <c r="B12865" s="7" t="str">
        <f>IFERROR(__xludf.DUMMYFUNCTION("SPLIT(A12865,"" "")"),"CN(C1=CNC(CN(Cc2ccccn2)Cc2ccccn2)=CC1)c1cccc(F)c1")</f>
        <v>CN(C1=CNC(CN(Cc2ccccn2)Cc2ccccn2)=CC1)c1cccc(F)c1</v>
      </c>
      <c r="C12865" s="7">
        <f>IFERROR(__xludf.DUMMYFUNCTION("""COMPUTED_VALUE"""),7.756304)</f>
        <v>7.756304</v>
      </c>
      <c r="D12865" s="7">
        <f>IFERROR(__xludf.DUMMYFUNCTION("""COMPUTED_VALUE"""),0.46551724137931)</f>
        <v>0.4655172414</v>
      </c>
    </row>
    <row r="12866">
      <c r="A12866" s="10" t="s">
        <v>14305</v>
      </c>
      <c r="B12866" s="7" t="str">
        <f>IFERROR(__xludf.DUMMYFUNCTION("SPLIT(A12866,"" "")"),"Cc1cnc(CN(C)CC2=CNC=C(N(C)Cc3ccccn3)C2)c(C)c1C")</f>
        <v>Cc1cnc(CN(C)CC2=CNC=C(N(C)Cc3ccccn3)C2)c(C)c1C</v>
      </c>
      <c r="C12866" s="7">
        <f>IFERROR(__xludf.DUMMYFUNCTION("""COMPUTED_VALUE"""),7.756303)</f>
        <v>7.756303</v>
      </c>
      <c r="D12866" s="7">
        <f>IFERROR(__xludf.DUMMYFUNCTION("""COMPUTED_VALUE"""),0.368421052631578)</f>
        <v>0.3684210526</v>
      </c>
    </row>
    <row r="12867">
      <c r="A12867" s="10" t="s">
        <v>14306</v>
      </c>
      <c r="B12867" s="7" t="str">
        <f>IFERROR(__xludf.DUMMYFUNCTION("SPLIT(A12867,"" "")"),"Cc1ccnc(CN(C)Cc2cccc(N(C)C)c2)c1")</f>
        <v>Cc1ccnc(CN(C)Cc2cccc(N(C)C)c2)c1</v>
      </c>
      <c r="C12867" s="7">
        <f>IFERROR(__xludf.DUMMYFUNCTION("""COMPUTED_VALUE"""),7.756303)</f>
        <v>7.756303</v>
      </c>
      <c r="D12867" s="7">
        <f>IFERROR(__xludf.DUMMYFUNCTION("""COMPUTED_VALUE"""),0.404255319148936)</f>
        <v>0.4042553191</v>
      </c>
    </row>
    <row r="12868">
      <c r="A12868" s="10" t="s">
        <v>14307</v>
      </c>
      <c r="B12868" s="7" t="str">
        <f>IFERROR(__xludf.DUMMYFUNCTION("SPLIT(A12868,"" "")"),"Cc1cccc(CN(Cc2ccccn2)C2CCC(N(C)Cc3cccc(-c4ccc5ncccc5c4)n3)CC2)n1")</f>
        <v>Cc1cccc(CN(Cc2ccccn2)C2CCC(N(C)Cc3cccc(-c4ccc5ncccc5c4)n3)CC2)n1</v>
      </c>
      <c r="C12868" s="7">
        <f>IFERROR(__xludf.DUMMYFUNCTION("""COMPUTED_VALUE"""),7.7562995)</f>
        <v>7.7562995</v>
      </c>
      <c r="D12868" s="7">
        <f>IFERROR(__xludf.DUMMYFUNCTION("""COMPUTED_VALUE"""),0.411764705882352)</f>
        <v>0.4117647059</v>
      </c>
    </row>
    <row r="12869">
      <c r="A12869" s="10" t="s">
        <v>14308</v>
      </c>
      <c r="B12869" s="7" t="str">
        <f>IFERROR(__xludf.DUMMYFUNCTION("SPLIT(A12869,"" "")"),"Cc1ccc(CN(C)C2=CNC(CN(C)Cc3ncccc3C)=CC2)nc1")</f>
        <v>Cc1ccc(CN(C)C2=CNC(CN(C)Cc3ncccc3C)=CC2)nc1</v>
      </c>
      <c r="C12869" s="7">
        <f>IFERROR(__xludf.DUMMYFUNCTION("""COMPUTED_VALUE"""),7.756297)</f>
        <v>7.756297</v>
      </c>
      <c r="D12869" s="7">
        <f>IFERROR(__xludf.DUMMYFUNCTION("""COMPUTED_VALUE"""),0.381818181818181)</f>
        <v>0.3818181818</v>
      </c>
    </row>
    <row r="12870">
      <c r="A12870" s="10" t="s">
        <v>14309</v>
      </c>
      <c r="B12870" s="7" t="str">
        <f>IFERROR(__xludf.DUMMYFUNCTION("SPLIT(A12870,"" "")"),"COC(=O)C1CN(C)C(c2ncccc2CN(Cc2ccccn2)C2CCC(N(C)c3ccc4nccc(CF)c4c3)CC2)C(c2ccccn2)C1c1ccccn1")</f>
        <v>COC(=O)C1CN(C)C(c2ncccc2CN(Cc2ccccn2)C2CCC(N(C)c3ccc4nccc(CF)c4c3)CC2)C(c2ccccn2)C1c1ccccn1</v>
      </c>
      <c r="C12870" s="7">
        <f>IFERROR(__xludf.DUMMYFUNCTION("""COMPUTED_VALUE"""),7.756293)</f>
        <v>7.756293</v>
      </c>
      <c r="D12870" s="7">
        <f>IFERROR(__xludf.DUMMYFUNCTION("""COMPUTED_VALUE"""),0.244897959183673)</f>
        <v>0.2448979592</v>
      </c>
    </row>
    <row r="12871">
      <c r="A12871" s="10" t="s">
        <v>14310</v>
      </c>
      <c r="B12871" s="7" t="str">
        <f>IFERROR(__xludf.DUMMYFUNCTION("SPLIT(A12871,"" "")"),"CN(CC1=CCC=C(N(C)Cc2ccccn2)N1)C1=CNC(C(C)(C)N)=CC1")</f>
        <v>CN(CC1=CCC=C(N(C)Cc2ccccn2)N1)C1=CNC(C(C)(C)N)=CC1</v>
      </c>
      <c r="C12871" s="7">
        <f>IFERROR(__xludf.DUMMYFUNCTION("""COMPUTED_VALUE"""),7.7562866)</f>
        <v>7.7562866</v>
      </c>
      <c r="D12871" s="7">
        <f>IFERROR(__xludf.DUMMYFUNCTION("""COMPUTED_VALUE"""),0.369230769230769)</f>
        <v>0.3692307692</v>
      </c>
    </row>
    <row r="12872">
      <c r="A12872" s="10" t="s">
        <v>14311</v>
      </c>
      <c r="B12872" s="7" t="str">
        <f>IFERROR(__xludf.DUMMYFUNCTION("SPLIT(A12872,"" "")"),"CCNCc1ncccc1C(C)(c1ccccn1)c1ccccn1")</f>
        <v>CCNCc1ncccc1C(C)(c1ccccn1)c1ccccn1</v>
      </c>
      <c r="C12872" s="7">
        <f>IFERROR(__xludf.DUMMYFUNCTION("""COMPUTED_VALUE"""),7.756285)</f>
        <v>7.756285</v>
      </c>
      <c r="D12872" s="7">
        <f>IFERROR(__xludf.DUMMYFUNCTION("""COMPUTED_VALUE"""),0.44)</f>
        <v>0.44</v>
      </c>
    </row>
    <row r="12873">
      <c r="A12873" s="10" t="s">
        <v>14312</v>
      </c>
      <c r="B12873" s="7" t="str">
        <f>IFERROR(__xludf.DUMMYFUNCTION("SPLIT(A12873,"" "")"),"CNCc1nc(CN(Cc2ccccn2)C2CCC(N(C)c3ccc4c(C)ccnc4c3)CC2)c(C)c(C)c1C")</f>
        <v>CNCc1nc(CN(Cc2ccccn2)C2CCC(N(C)c3ccc4c(C)ccnc4c3)CC2)c(C)c(C)c1C</v>
      </c>
      <c r="C12873" s="7">
        <f>IFERROR(__xludf.DUMMYFUNCTION("""COMPUTED_VALUE"""),7.7562833)</f>
        <v>7.7562833</v>
      </c>
      <c r="D12873" s="7">
        <f>IFERROR(__xludf.DUMMYFUNCTION("""COMPUTED_VALUE"""),0.314285714285714)</f>
        <v>0.3142857143</v>
      </c>
    </row>
    <row r="12874">
      <c r="A12874" s="10" t="s">
        <v>14313</v>
      </c>
      <c r="B12874" s="7" t="str">
        <f>IFERROR(__xludf.DUMMYFUNCTION("SPLIT(A12874,"" "")"),"CCNc1ncccc1-c1cc(C(C)C(C)C)ccn1")</f>
        <v>CCNc1ncccc1-c1cc(C(C)C(C)C)ccn1</v>
      </c>
      <c r="C12874" s="7">
        <f>IFERROR(__xludf.DUMMYFUNCTION("""COMPUTED_VALUE"""),7.75628)</f>
        <v>7.75628</v>
      </c>
      <c r="D12874" s="7">
        <f>IFERROR(__xludf.DUMMYFUNCTION("""COMPUTED_VALUE"""),0.271186440677966)</f>
        <v>0.2711864407</v>
      </c>
    </row>
    <row r="12875">
      <c r="A12875" s="10" t="s">
        <v>14314</v>
      </c>
      <c r="B12875" s="7" t="str">
        <f>IFERROR(__xludf.DUMMYFUNCTION("SPLIT(A12875,"" "")"),"CN(Cc1cccc(C2=CCC=CN2)n1)C1CCCCC1N(C)c1ccc2ccc(CF)nc2c1")</f>
        <v>CN(Cc1cccc(C2=CCC=CN2)n1)C1CCCCC1N(C)c1ccc2ccc(CF)nc2c1</v>
      </c>
      <c r="C12875" s="7">
        <f>IFERROR(__xludf.DUMMYFUNCTION("""COMPUTED_VALUE"""),7.756273)</f>
        <v>7.756273</v>
      </c>
      <c r="D12875" s="7">
        <f>IFERROR(__xludf.DUMMYFUNCTION("""COMPUTED_VALUE"""),0.426470588235294)</f>
        <v>0.4264705882</v>
      </c>
    </row>
    <row r="12876">
      <c r="A12876" s="10" t="s">
        <v>14315</v>
      </c>
      <c r="B12876" s="7" t="str">
        <f>IFERROR(__xludf.DUMMYFUNCTION("SPLIT(A12876,"" "")"),"CCOC1(C)COC(c2ncccc2CN(Cc2ccccn2)Cc2ccccn2)=N1")</f>
        <v>CCOC1(C)COC(c2ncccc2CN(Cc2ccccn2)Cc2ccccn2)=N1</v>
      </c>
      <c r="C12876" s="7">
        <f>IFERROR(__xludf.DUMMYFUNCTION("""COMPUTED_VALUE"""),7.7562666)</f>
        <v>7.7562666</v>
      </c>
      <c r="D12876" s="7">
        <f>IFERROR(__xludf.DUMMYFUNCTION("""COMPUTED_VALUE"""),0.416666666666666)</f>
        <v>0.4166666667</v>
      </c>
    </row>
    <row r="12877">
      <c r="A12877" s="10" t="s">
        <v>14316</v>
      </c>
      <c r="B12877" s="7" t="str">
        <f>IFERROR(__xludf.DUMMYFUNCTION("SPLIT(A12877,"" "")"),"CCN(Cc1ccccn1)Cc1ncccc1C(C)(C)c1ncccc1CN(Cc1ccccn1)Cc1ncccc1C(C)(C)c1ccccn1")</f>
        <v>CCN(Cc1ccccn1)Cc1ncccc1C(C)(C)c1ncccc1CN(Cc1ccccn1)Cc1ncccc1C(C)(C)c1ccccn1</v>
      </c>
      <c r="C12877" s="7">
        <f>IFERROR(__xludf.DUMMYFUNCTION("""COMPUTED_VALUE"""),7.7562647)</f>
        <v>7.7562647</v>
      </c>
      <c r="D12877" s="7">
        <f>IFERROR(__xludf.DUMMYFUNCTION("""COMPUTED_VALUE"""),0.408163265306122)</f>
        <v>0.4081632653</v>
      </c>
    </row>
    <row r="12878">
      <c r="A12878" s="10" t="s">
        <v>14317</v>
      </c>
      <c r="B12878" s="7" t="str">
        <f>IFERROR(__xludf.DUMMYFUNCTION("SPLIT(A12878,"" "")"),"Cc1cccnc1CN(C)CC1=C(N(C)Cc2ncc(C)c(C)c2C)CC=CN1")</f>
        <v>Cc1cccnc1CN(C)CC1=C(N(C)Cc2ncc(C)c(C)c2C)CC=CN1</v>
      </c>
      <c r="C12878" s="7">
        <f>IFERROR(__xludf.DUMMYFUNCTION("""COMPUTED_VALUE"""),7.756264)</f>
        <v>7.756264</v>
      </c>
      <c r="D12878" s="7">
        <f>IFERROR(__xludf.DUMMYFUNCTION("""COMPUTED_VALUE"""),0.26865671641791)</f>
        <v>0.2686567164</v>
      </c>
    </row>
    <row r="12879">
      <c r="A12879" s="10" t="s">
        <v>14318</v>
      </c>
      <c r="B12879" s="7" t="str">
        <f>IFERROR(__xludf.DUMMYFUNCTION("SPLIT(A12879,"" "")"),"CCN(Cc1ccccn1)c1ncccc1CN(Cc1ncccc1C)Cc1ncccc1C")</f>
        <v>CCN(Cc1ccccn1)c1ncccc1CN(Cc1ncccc1C)Cc1ncccc1C</v>
      </c>
      <c r="C12879" s="7">
        <f>IFERROR(__xludf.DUMMYFUNCTION("""COMPUTED_VALUE"""),7.7562623)</f>
        <v>7.7562623</v>
      </c>
      <c r="D12879" s="7">
        <f>IFERROR(__xludf.DUMMYFUNCTION("""COMPUTED_VALUE"""),0.441860465116279)</f>
        <v>0.4418604651</v>
      </c>
    </row>
    <row r="12880">
      <c r="A12880" s="10" t="s">
        <v>14319</v>
      </c>
      <c r="B12880" s="7" t="str">
        <f>IFERROR(__xludf.DUMMYFUNCTION("SPLIT(A12880,"" "")"),"C=CCN(Cc1ccccn1)Cc1cc(C(C)(c2ccccn2)c2ccccn2)ccn1")</f>
        <v>C=CCN(Cc1ccccn1)Cc1cc(C(C)(c2ccccn2)c2ccccn2)ccn1</v>
      </c>
      <c r="C12880" s="7">
        <f>IFERROR(__xludf.DUMMYFUNCTION("""COMPUTED_VALUE"""),7.75626)</f>
        <v>7.75626</v>
      </c>
      <c r="D12880" s="7">
        <f>IFERROR(__xludf.DUMMYFUNCTION("""COMPUTED_VALUE"""),0.44)</f>
        <v>0.44</v>
      </c>
    </row>
    <row r="12881">
      <c r="A12881" s="10" t="s">
        <v>14320</v>
      </c>
      <c r="B12881" s="7" t="str">
        <f>IFERROR(__xludf.DUMMYFUNCTION("SPLIT(A12881,"" "")"),"Cc1cc(CN(C)Cc2ccc(CN(C)C)nc2)nc(C)c1C")</f>
        <v>Cc1cc(CN(C)Cc2ccc(CN(C)C)nc2)nc(C)c1C</v>
      </c>
      <c r="C12881" s="7">
        <f>IFERROR(__xludf.DUMMYFUNCTION("""COMPUTED_VALUE"""),7.756257)</f>
        <v>7.756257</v>
      </c>
      <c r="D12881" s="7">
        <f>IFERROR(__xludf.DUMMYFUNCTION("""COMPUTED_VALUE"""),0.4)</f>
        <v>0.4</v>
      </c>
    </row>
    <row r="12882">
      <c r="A12882" s="10" t="s">
        <v>14321</v>
      </c>
      <c r="B12882" s="7" t="str">
        <f>IFERROR(__xludf.DUMMYFUNCTION("SPLIT(A12882,"" "")"),"Cc1cnccc1CN(C)CC1=CCC(N(C)Cc2ncccc2C)=CN1")</f>
        <v>Cc1cnccc1CN(C)CC1=CCC(N(C)Cc2ncccc2C)=CN1</v>
      </c>
      <c r="C12882" s="7">
        <f>IFERROR(__xludf.DUMMYFUNCTION("""COMPUTED_VALUE"""),7.756256)</f>
        <v>7.756256</v>
      </c>
      <c r="D12882" s="7">
        <f>IFERROR(__xludf.DUMMYFUNCTION("""COMPUTED_VALUE"""),0.290322580645161)</f>
        <v>0.2903225806</v>
      </c>
    </row>
    <row r="12883">
      <c r="A12883" s="10" t="s">
        <v>14322</v>
      </c>
      <c r="B12883" s="7" t="str">
        <f>IFERROR(__xludf.DUMMYFUNCTION("SPLIT(A12883,"" "")"),"Cc1ccc(CN(C)CC2=CCC(N(C)Cc3ncccc3C)=CN2)nc1")</f>
        <v>Cc1ccc(CN(C)CC2=CCC(N(C)Cc3ncccc3C)=CN2)nc1</v>
      </c>
      <c r="C12883" s="7">
        <f>IFERROR(__xludf.DUMMYFUNCTION("""COMPUTED_VALUE"""),7.7562547)</f>
        <v>7.7562547</v>
      </c>
      <c r="D12883" s="7">
        <f>IFERROR(__xludf.DUMMYFUNCTION("""COMPUTED_VALUE"""),0.407407407407407)</f>
        <v>0.4074074074</v>
      </c>
    </row>
    <row r="12884">
      <c r="A12884" s="10" t="s">
        <v>14323</v>
      </c>
      <c r="B12884" s="7" t="str">
        <f>IFERROR(__xludf.DUMMYFUNCTION("SPLIT(A12884,"" "")"),"Cc1cc(CN(C)Cc2cccc(N(C)C3C=CC=CN3)n2)ccn1")</f>
        <v>Cc1cc(CN(C)Cc2cccc(N(C)C3C=CC=CN3)n2)ccn1</v>
      </c>
      <c r="C12884" s="7">
        <f>IFERROR(__xludf.DUMMYFUNCTION("""COMPUTED_VALUE"""),7.756253)</f>
        <v>7.756253</v>
      </c>
      <c r="D12884" s="7">
        <f>IFERROR(__xludf.DUMMYFUNCTION("""COMPUTED_VALUE"""),0.339285714285714)</f>
        <v>0.3392857143</v>
      </c>
    </row>
    <row r="12885">
      <c r="A12885" s="10" t="s">
        <v>14324</v>
      </c>
      <c r="B12885" s="7" t="str">
        <f>IFERROR(__xludf.DUMMYFUNCTION("SPLIT(A12885,"" "")"),"Cc1ccccc1N(Cc1ccccn1)C1CCCCC1N(C)c1ccc2nc(CF)ccc2c1")</f>
        <v>Cc1ccccc1N(Cc1ccccn1)C1CCCCC1N(C)c1ccc2nc(CF)ccc2c1</v>
      </c>
      <c r="C12885" s="7">
        <f>IFERROR(__xludf.DUMMYFUNCTION("""COMPUTED_VALUE"""),7.756251)</f>
        <v>7.756251</v>
      </c>
      <c r="D12885" s="7">
        <f>IFERROR(__xludf.DUMMYFUNCTION("""COMPUTED_VALUE"""),0.46031746031746)</f>
        <v>0.4603174603</v>
      </c>
    </row>
    <row r="12886">
      <c r="A12886" s="10" t="s">
        <v>14325</v>
      </c>
      <c r="B12886" s="7" t="str">
        <f>IFERROR(__xludf.DUMMYFUNCTION("SPLIT(A12886,"" "")"),"CN(C)Cc1ccnc2ccc(N(C)C3CCC(N(C)Cc4ccon4)CC3)cc12")</f>
        <v>CN(C)Cc1ccnc2ccc(N(C)C3CCC(N(C)Cc4ccon4)CC3)cc12</v>
      </c>
      <c r="C12886" s="7">
        <f>IFERROR(__xludf.DUMMYFUNCTION("""COMPUTED_VALUE"""),7.7562494)</f>
        <v>7.7562494</v>
      </c>
      <c r="D12886" s="7">
        <f>IFERROR(__xludf.DUMMYFUNCTION("""COMPUTED_VALUE"""),0.351851851851851)</f>
        <v>0.3518518519</v>
      </c>
    </row>
    <row r="12887">
      <c r="A12887" s="10" t="s">
        <v>14326</v>
      </c>
      <c r="B12887" s="7" t="str">
        <f>IFERROR(__xludf.DUMMYFUNCTION("SPLIT(A12887,"" "")"),"COC(=O)C1CC(c2ccccn2)C(c2cc(CN(Cc3ccccn3)Cc3cc(C(C)(C)C)ccn3)ccn2)N(C)C1c1ccccn1")</f>
        <v>COC(=O)C1CC(c2ccccn2)C(c2cc(CN(Cc3ccccn3)Cc3cc(C(C)(C)C)ccn3)ccn2)N(C)C1c1ccccn1</v>
      </c>
      <c r="C12887" s="7">
        <f>IFERROR(__xludf.DUMMYFUNCTION("""COMPUTED_VALUE"""),7.756249)</f>
        <v>7.756249</v>
      </c>
      <c r="D12887" s="7">
        <f>IFERROR(__xludf.DUMMYFUNCTION("""COMPUTED_VALUE"""),0.304878048780487)</f>
        <v>0.3048780488</v>
      </c>
    </row>
    <row r="12888">
      <c r="A12888" s="10" t="s">
        <v>14327</v>
      </c>
      <c r="B12888" s="7" t="str">
        <f>IFERROR(__xludf.DUMMYFUNCTION("SPLIT(A12888,"" "")"),"Cc1cccnc1CN(C)Cc1ncccc1N(Cc1ccccn1)C(C)C")</f>
        <v>Cc1cccnc1CN(C)Cc1ncccc1N(Cc1ccccn1)C(C)C</v>
      </c>
      <c r="C12888" s="7">
        <f>IFERROR(__xludf.DUMMYFUNCTION("""COMPUTED_VALUE"""),7.7562475)</f>
        <v>7.7562475</v>
      </c>
      <c r="D12888" s="7">
        <f>IFERROR(__xludf.DUMMYFUNCTION("""COMPUTED_VALUE"""),0.446808510638297)</f>
        <v>0.4468085106</v>
      </c>
    </row>
    <row r="12889">
      <c r="A12889" s="10" t="s">
        <v>14328</v>
      </c>
      <c r="B12889" s="7" t="str">
        <f>IFERROR(__xludf.DUMMYFUNCTION("SPLIT(A12889,"" "")"),"Cc1cc(CN(C)C2=CNC(CN(C)Cc3ccccn3)=CC2)cnc1C")</f>
        <v>Cc1cc(CN(C)C2=CNC(CN(C)Cc3ccccn3)=CC2)cnc1C</v>
      </c>
      <c r="C12889" s="7">
        <f>IFERROR(__xludf.DUMMYFUNCTION("""COMPUTED_VALUE"""),7.7562456)</f>
        <v>7.7562456</v>
      </c>
      <c r="D12889" s="7">
        <f>IFERROR(__xludf.DUMMYFUNCTION("""COMPUTED_VALUE"""),0.383333333333333)</f>
        <v>0.3833333333</v>
      </c>
    </row>
    <row r="12890">
      <c r="A12890" s="10" t="s">
        <v>14329</v>
      </c>
      <c r="B12890" s="7" t="str">
        <f>IFERROR(__xludf.DUMMYFUNCTION("SPLIT(A12890,"" "")"),"Cc1ccc(CN(C)CC2=C(N(C)Cc3ncccc3C)CC=CN2)nc1C")</f>
        <v>Cc1ccc(CN(C)CC2=C(N(C)Cc3ncccc3C)CC=CN2)nc1C</v>
      </c>
      <c r="C12890" s="7">
        <f>IFERROR(__xludf.DUMMYFUNCTION("""COMPUTED_VALUE"""),7.756237)</f>
        <v>7.756237</v>
      </c>
      <c r="D12890" s="7">
        <f>IFERROR(__xludf.DUMMYFUNCTION("""COMPUTED_VALUE"""),0.301587301587301)</f>
        <v>0.3015873016</v>
      </c>
    </row>
    <row r="12891">
      <c r="A12891" s="10" t="s">
        <v>14330</v>
      </c>
      <c r="B12891" s="7" t="str">
        <f>IFERROR(__xludf.DUMMYFUNCTION("SPLIT(A12891,"" "")"),"CNCC1=CCC(N(C)Cc2cc(C)c(C)c(C)n2)=CN1")</f>
        <v>CNCC1=CCC(N(C)Cc2cc(C)c(C)c(C)n2)=CN1</v>
      </c>
      <c r="C12891" s="7">
        <f>IFERROR(__xludf.DUMMYFUNCTION("""COMPUTED_VALUE"""),7.756234)</f>
        <v>7.756234</v>
      </c>
      <c r="D12891" s="7">
        <f>IFERROR(__xludf.DUMMYFUNCTION("""COMPUTED_VALUE"""),0.2)</f>
        <v>0.2</v>
      </c>
    </row>
    <row r="12892">
      <c r="A12892" s="10" t="s">
        <v>14331</v>
      </c>
      <c r="B12892" s="7" t="str">
        <f>IFERROR(__xludf.DUMMYFUNCTION("SPLIT(A12892,"" "")"),"CCN(Cc1ccccn1)Cc1nccc2cccc(N(C)CC3=C(C)CCC(C)C3C)c12")</f>
        <v>CCN(Cc1ccccn1)Cc1nccc2cccc(N(C)CC3=C(C)CCC(C)C3C)c12</v>
      </c>
      <c r="C12892" s="7">
        <f>IFERROR(__xludf.DUMMYFUNCTION("""COMPUTED_VALUE"""),7.756234)</f>
        <v>7.756234</v>
      </c>
      <c r="D12892" s="7">
        <f>IFERROR(__xludf.DUMMYFUNCTION("""COMPUTED_VALUE"""),0.333333333333333)</f>
        <v>0.3333333333</v>
      </c>
    </row>
    <row r="12893">
      <c r="A12893" s="10" t="s">
        <v>14332</v>
      </c>
      <c r="B12893" s="7" t="str">
        <f>IFERROR(__xludf.DUMMYFUNCTION("SPLIT(A12893,"" "")"),"CC(C)N(C)c1cc(-c2cccc(CN3CCN(C)CCN(C)CC3)n2)c2cccnc2c1")</f>
        <v>CC(C)N(C)c1cc(-c2cccc(CN3CCN(C)CCN(C)CC3)n2)c2cccnc2c1</v>
      </c>
      <c r="C12893" s="7">
        <f>IFERROR(__xludf.DUMMYFUNCTION("""COMPUTED_VALUE"""),7.7562327)</f>
        <v>7.7562327</v>
      </c>
      <c r="D12893" s="7">
        <f>IFERROR(__xludf.DUMMYFUNCTION("""COMPUTED_VALUE"""),0.421052631578947)</f>
        <v>0.4210526316</v>
      </c>
    </row>
    <row r="12894">
      <c r="A12894" s="10" t="s">
        <v>14333</v>
      </c>
      <c r="B12894" s="7" t="str">
        <f>IFERROR(__xludf.DUMMYFUNCTION("SPLIT(A12894,"" "")"),"Cc1cncc(CN(C)C2=CCC=C(CN(C)Cc3ccccn3)N2)c1")</f>
        <v>Cc1cncc(CN(C)C2=CCC=C(CN(C)Cc3ccccn3)N2)c1</v>
      </c>
      <c r="C12894" s="7">
        <f>IFERROR(__xludf.DUMMYFUNCTION("""COMPUTED_VALUE"""),7.7562275)</f>
        <v>7.7562275</v>
      </c>
      <c r="D12894" s="7">
        <f>IFERROR(__xludf.DUMMYFUNCTION("""COMPUTED_VALUE"""),0.366666666666666)</f>
        <v>0.3666666667</v>
      </c>
    </row>
    <row r="12895">
      <c r="A12895" s="10" t="s">
        <v>14334</v>
      </c>
      <c r="B12895" s="7" t="str">
        <f>IFERROR(__xludf.DUMMYFUNCTION("SPLIT(A12895,"" "")"),"Cc1ccc(C)c(CN(C)Cc2cccc(N(C)C(C)(C)c3cccnc3)n2)n1")</f>
        <v>Cc1ccc(C)c(CN(C)Cc2cccc(N(C)C(C)(C)c3cccnc3)n2)n1</v>
      </c>
      <c r="C12895" s="7">
        <f>IFERROR(__xludf.DUMMYFUNCTION("""COMPUTED_VALUE"""),7.7562203)</f>
        <v>7.7562203</v>
      </c>
      <c r="D12895" s="7">
        <f>IFERROR(__xludf.DUMMYFUNCTION("""COMPUTED_VALUE"""),0.37037037037037)</f>
        <v>0.3703703704</v>
      </c>
    </row>
    <row r="12896">
      <c r="A12896" s="10" t="s">
        <v>14335</v>
      </c>
      <c r="B12896" s="7" t="str">
        <f>IFERROR(__xludf.DUMMYFUNCTION("SPLIT(A12896,"" "")"),"Cc1ccc(CN(CC2=C(N(O)Cc3ccccn3)CC=CN2)C2CCC(N(C)c3ccc4nc(CF)ccc4c3)CC2)nc1")</f>
        <v>Cc1ccc(CN(CC2=C(N(O)Cc3ccccn3)CC=CN2)C2CCC(N(C)c3ccc4nc(CF)ccc4c3)CC2)nc1</v>
      </c>
      <c r="C12896" s="7">
        <f>IFERROR(__xludf.DUMMYFUNCTION("""COMPUTED_VALUE"""),7.7562194)</f>
        <v>7.7562194</v>
      </c>
      <c r="D12896" s="7">
        <f>IFERROR(__xludf.DUMMYFUNCTION("""COMPUTED_VALUE"""),0.285714285714285)</f>
        <v>0.2857142857</v>
      </c>
    </row>
    <row r="12897">
      <c r="A12897" s="10" t="s">
        <v>14336</v>
      </c>
      <c r="B12897" s="7" t="str">
        <f>IFERROR(__xludf.DUMMYFUNCTION("SPLIT(A12897,"" "")"),"Cc1ccc(CN(C)C2CCC(N(C)Cc3cccc(-c4cccc5ncccc45)n3)CC2)nc1")</f>
        <v>Cc1ccc(CN(C)C2CCC(N(C)Cc3cccc(-c4cccc5ncccc45)n3)CC2)nc1</v>
      </c>
      <c r="C12897" s="7">
        <f>IFERROR(__xludf.DUMMYFUNCTION("""COMPUTED_VALUE"""),7.7562165)</f>
        <v>7.7562165</v>
      </c>
      <c r="D12897" s="7">
        <f>IFERROR(__xludf.DUMMYFUNCTION("""COMPUTED_VALUE"""),0.43859649122807)</f>
        <v>0.4385964912</v>
      </c>
    </row>
    <row r="12898">
      <c r="A12898" s="10" t="s">
        <v>14337</v>
      </c>
      <c r="B12898" s="7" t="str">
        <f>IFERROR(__xludf.DUMMYFUNCTION("SPLIT(A12898,"" "")"),"Cc1ccccc1-c1cnccc1CN(C)C(C)C")</f>
        <v>Cc1ccccc1-c1cnccc1CN(C)C(C)C</v>
      </c>
      <c r="C12898" s="7">
        <f>IFERROR(__xludf.DUMMYFUNCTION("""COMPUTED_VALUE"""),7.7562137)</f>
        <v>7.7562137</v>
      </c>
      <c r="D12898" s="7">
        <f>IFERROR(__xludf.DUMMYFUNCTION("""COMPUTED_VALUE"""),0.291666666666666)</f>
        <v>0.2916666667</v>
      </c>
    </row>
    <row r="12899">
      <c r="A12899" s="10" t="s">
        <v>14338</v>
      </c>
      <c r="B12899" s="7" t="str">
        <f>IFERROR(__xludf.DUMMYFUNCTION("SPLIT(A12899,"" "")"),"Cc1ccccc1N(Cc1ccccn1)C1CCCCC1N(C)c1ccc2cccnc2c1")</f>
        <v>Cc1ccccc1N(Cc1ccccn1)C1CCCCC1N(C)c1ccc2cccnc2c1</v>
      </c>
      <c r="C12899" s="7">
        <f>IFERROR(__xludf.DUMMYFUNCTION("""COMPUTED_VALUE"""),7.7562113)</f>
        <v>7.7562113</v>
      </c>
      <c r="D12899" s="7">
        <f>IFERROR(__xludf.DUMMYFUNCTION("""COMPUTED_VALUE"""),0.472727272727272)</f>
        <v>0.4727272727</v>
      </c>
    </row>
    <row r="12900">
      <c r="A12900" s="10" t="s">
        <v>14339</v>
      </c>
      <c r="B12900" s="7" t="str">
        <f>IFERROR(__xludf.DUMMYFUNCTION("SPLIT(A12900,"" "")"),"Cc1cccnc1CN(C)C1CCC(N(C)Cc2cccc(-c3ccc4ncccc4c3)n2)CC1")</f>
        <v>Cc1cccnc1CN(C)C1CCC(N(C)Cc2cccc(-c3ccc4ncccc4c3)n2)CC1</v>
      </c>
      <c r="C12900" s="7">
        <f>IFERROR(__xludf.DUMMYFUNCTION("""COMPUTED_VALUE"""),7.756211)</f>
        <v>7.756211</v>
      </c>
      <c r="D12900" s="7">
        <f>IFERROR(__xludf.DUMMYFUNCTION("""COMPUTED_VALUE"""),0.35820895522388)</f>
        <v>0.3582089552</v>
      </c>
    </row>
    <row r="12901">
      <c r="A12901" s="10" t="s">
        <v>14340</v>
      </c>
      <c r="B12901" s="7" t="str">
        <f>IFERROR(__xludf.DUMMYFUNCTION("SPLIT(A12901,"" "")"),"Cc1ccc(N(C)CC2=CC(N(C)Cc3ccccn3)C=CN2)cc1C")</f>
        <v>Cc1ccc(N(C)CC2=CC(N(C)Cc3ccccn3)C=CN2)cc1C</v>
      </c>
      <c r="C12901" s="7">
        <f>IFERROR(__xludf.DUMMYFUNCTION("""COMPUTED_VALUE"""),7.756206)</f>
        <v>7.756206</v>
      </c>
      <c r="D12901" s="7">
        <f>IFERROR(__xludf.DUMMYFUNCTION("""COMPUTED_VALUE"""),0.385964912280701)</f>
        <v>0.3859649123</v>
      </c>
    </row>
    <row r="12902">
      <c r="A12902" s="10" t="s">
        <v>14341</v>
      </c>
      <c r="B12902" s="7" t="str">
        <f>IFERROR(__xludf.DUMMYFUNCTION("SPLIT(A12902,"" "")"),"Cc1cccnc1CN(C)c1ccc(CN(Cc2ccccn2)C(C)(c2cccnc2)C(C)C)nc1")</f>
        <v>Cc1cccnc1CN(C)c1ccc(CN(Cc2ccccn2)C(C)(c2cccnc2)C(C)C)nc1</v>
      </c>
      <c r="C12902" s="7">
        <f>IFERROR(__xludf.DUMMYFUNCTION("""COMPUTED_VALUE"""),7.7561936)</f>
        <v>7.7561936</v>
      </c>
      <c r="D12902" s="7">
        <f>IFERROR(__xludf.DUMMYFUNCTION("""COMPUTED_VALUE"""),0.344262295081967)</f>
        <v>0.3442622951</v>
      </c>
    </row>
    <row r="12903">
      <c r="A12903" s="10" t="s">
        <v>14342</v>
      </c>
      <c r="B12903" s="7" t="str">
        <f>IFERROR(__xludf.DUMMYFUNCTION("SPLIT(A12903,"" "")"),"Cc1ccc(CN(C)C2=C(CN(C)Cc3ncccc3C)NC=CC2)nc1C")</f>
        <v>Cc1ccc(CN(C)C2=C(CN(C)Cc3ncccc3C)NC=CC2)nc1C</v>
      </c>
      <c r="C12903" s="7">
        <f>IFERROR(__xludf.DUMMYFUNCTION("""COMPUTED_VALUE"""),7.756189)</f>
        <v>7.756189</v>
      </c>
      <c r="D12903" s="7">
        <f>IFERROR(__xludf.DUMMYFUNCTION("""COMPUTED_VALUE"""),0.28125)</f>
        <v>0.28125</v>
      </c>
    </row>
    <row r="12904">
      <c r="A12904" s="10" t="s">
        <v>14343</v>
      </c>
      <c r="B12904" s="7" t="str">
        <f>IFERROR(__xludf.DUMMYFUNCTION("SPLIT(A12904,"" "")"),"CC(C)(c1ccc(NCc2ccccn2)cc1)c1ncccc1CN(Cc1ccccn1)Cc1ccccn1")</f>
        <v>CC(C)(c1ccc(NCc2ccccn2)cc1)c1ncccc1CN(Cc1ccccn1)Cc1ccccn1</v>
      </c>
      <c r="C12904" s="7">
        <f>IFERROR(__xludf.DUMMYFUNCTION("""COMPUTED_VALUE"""),7.7561865)</f>
        <v>7.7561865</v>
      </c>
      <c r="D12904" s="7">
        <f>IFERROR(__xludf.DUMMYFUNCTION("""COMPUTED_VALUE"""),0.444444444444444)</f>
        <v>0.4444444444</v>
      </c>
    </row>
    <row r="12905">
      <c r="A12905" s="10" t="s">
        <v>14344</v>
      </c>
      <c r="B12905" s="7" t="str">
        <f>IFERROR(__xludf.DUMMYFUNCTION("SPLIT(A12905,"" "")"),"CN(CC1=CCC=C(N(C)Cc2ccccn2)N1)Cc1cccnn1")</f>
        <v>CN(CC1=CCC=C(N(C)Cc2ccccn2)N1)Cc1cccnn1</v>
      </c>
      <c r="C12905" s="7">
        <f>IFERROR(__xludf.DUMMYFUNCTION("""COMPUTED_VALUE"""),7.7561855)</f>
        <v>7.7561855</v>
      </c>
      <c r="D12905" s="7">
        <f>IFERROR(__xludf.DUMMYFUNCTION("""COMPUTED_VALUE"""),0.489795918367346)</f>
        <v>0.4897959184</v>
      </c>
    </row>
    <row r="12906">
      <c r="A12906" s="10" t="s">
        <v>14345</v>
      </c>
      <c r="B12906" s="7" t="str">
        <f>IFERROR(__xludf.DUMMYFUNCTION("SPLIT(A12906,"" "")"),"Cc1cccc(N(Cc2ccccn2)C2CCCCC2N(C)c2ccc3ncccc3c2)c1")</f>
        <v>Cc1cccc(N(Cc2ccccn2)C2CCCCC2N(C)c2ccc3ncccc3c2)c1</v>
      </c>
      <c r="C12906" s="7">
        <f>IFERROR(__xludf.DUMMYFUNCTION("""COMPUTED_VALUE"""),7.7561812)</f>
        <v>7.7561812</v>
      </c>
      <c r="D12906" s="7">
        <f>IFERROR(__xludf.DUMMYFUNCTION("""COMPUTED_VALUE"""),0.456140350877192)</f>
        <v>0.4561403509</v>
      </c>
    </row>
    <row r="12907">
      <c r="A12907" s="10" t="s">
        <v>14346</v>
      </c>
      <c r="B12907" s="7" t="str">
        <f>IFERROR(__xludf.DUMMYFUNCTION("SPLIT(A12907,"" "")"),"Cc1cccnc1CN(C)CC1=C(N(C)Cc2ncccc2C)CC=CN1")</f>
        <v>Cc1cccnc1CN(C)CC1=C(N(C)Cc2ncccc2C)CC=CN1</v>
      </c>
      <c r="C12907" s="7">
        <f>IFERROR(__xludf.DUMMYFUNCTION("""COMPUTED_VALUE"""),7.756177)</f>
        <v>7.756177</v>
      </c>
      <c r="D12907" s="7">
        <f>IFERROR(__xludf.DUMMYFUNCTION("""COMPUTED_VALUE"""),0.283333333333333)</f>
        <v>0.2833333333</v>
      </c>
    </row>
    <row r="12908">
      <c r="A12908" s="10" t="s">
        <v>14347</v>
      </c>
      <c r="B12908" s="7" t="str">
        <f>IFERROR(__xludf.DUMMYFUNCTION("SPLIT(A12908,"" "")"),"Cc1ccccc1N(Cc1ccccn1)C1CCCCC1N(C)c1ccc2ncccc2c1")</f>
        <v>Cc1ccccc1N(Cc1ccccn1)C1CCCCC1N(C)c1ccc2ncccc2c1</v>
      </c>
      <c r="C12908" s="7">
        <f>IFERROR(__xludf.DUMMYFUNCTION("""COMPUTED_VALUE"""),7.7561703)</f>
        <v>7.7561703</v>
      </c>
      <c r="D12908" s="7">
        <f>IFERROR(__xludf.DUMMYFUNCTION("""COMPUTED_VALUE"""),0.481481481481481)</f>
        <v>0.4814814815</v>
      </c>
    </row>
    <row r="12909">
      <c r="A12909" s="10" t="s">
        <v>14348</v>
      </c>
      <c r="B12909" s="7" t="str">
        <f>IFERROR(__xludf.DUMMYFUNCTION("SPLIT(A12909,"" "")"),"COC(=O)C1CN(C)C(c2cc(CN(Cc3ccccn3)C3CCC(N(C)c4ccc5nccc(CF)c5c4)CC3)ccn2)C(c2ccccn2)C1c1ccccn1")</f>
        <v>COC(=O)C1CN(C)C(c2cc(CN(Cc3ccccn3)C3CCC(N(C)c4ccc5nccc(CF)c5c4)CC3)ccn2)C(c2ccccn2)C1c1ccccn1</v>
      </c>
      <c r="C12909" s="7">
        <f>IFERROR(__xludf.DUMMYFUNCTION("""COMPUTED_VALUE"""),7.7561674)</f>
        <v>7.7561674</v>
      </c>
      <c r="D12909" s="7">
        <f>IFERROR(__xludf.DUMMYFUNCTION("""COMPUTED_VALUE"""),0.247422680412371)</f>
        <v>0.2474226804</v>
      </c>
    </row>
    <row r="12910">
      <c r="A12910" s="10" t="s">
        <v>14349</v>
      </c>
      <c r="B12910" s="7" t="str">
        <f>IFERROR(__xludf.DUMMYFUNCTION("SPLIT(A12910,"" "")"),"Cc1cnc(CN(C)C2=CCC=C(CN(Cc3ccccn3)C(C)C)N2)c(C)c1")</f>
        <v>Cc1cnc(CN(C)C2=CCC=C(CN(Cc3ccccn3)C(C)C)N2)c(C)c1</v>
      </c>
      <c r="C12910" s="7">
        <f>IFERROR(__xludf.DUMMYFUNCTION("""COMPUTED_VALUE"""),7.756165)</f>
        <v>7.756165</v>
      </c>
      <c r="D12910" s="7">
        <f>IFERROR(__xludf.DUMMYFUNCTION("""COMPUTED_VALUE"""),0.413793103448275)</f>
        <v>0.4137931034</v>
      </c>
    </row>
    <row r="12911">
      <c r="A12911" s="10" t="s">
        <v>14350</v>
      </c>
      <c r="B12911" s="7" t="str">
        <f>IFERROR(__xludf.DUMMYFUNCTION("SPLIT(A12911,"" "")"),"Cc1cc(CN(C)Cc2cccc(CN(C)C)n2)nc(C)c1C")</f>
        <v>Cc1cc(CN(C)Cc2cccc(CN(C)C)n2)nc(C)c1C</v>
      </c>
      <c r="C12911" s="7">
        <f>IFERROR(__xludf.DUMMYFUNCTION("""COMPUTED_VALUE"""),7.756162)</f>
        <v>7.756162</v>
      </c>
      <c r="D12911" s="7">
        <f>IFERROR(__xludf.DUMMYFUNCTION("""COMPUTED_VALUE"""),0.45)</f>
        <v>0.45</v>
      </c>
    </row>
    <row r="12912">
      <c r="A12912" s="10" t="s">
        <v>14351</v>
      </c>
      <c r="B12912" s="7" t="str">
        <f>IFERROR(__xludf.DUMMYFUNCTION("SPLIT(A12912,"" "")"),"CC1=C(C)C(N(C)Cc2cc(-c3cccc(N(C)C)c3)ccn2)CCC1C")</f>
        <v>CC1=C(C)C(N(C)Cc2cc(-c3cccc(N(C)C)c3)ccn2)CCC1C</v>
      </c>
      <c r="C12912" s="7">
        <f>IFERROR(__xludf.DUMMYFUNCTION("""COMPUTED_VALUE"""),7.756162)</f>
        <v>7.756162</v>
      </c>
      <c r="D12912" s="7">
        <f>IFERROR(__xludf.DUMMYFUNCTION("""COMPUTED_VALUE"""),0.333333333333333)</f>
        <v>0.3333333333</v>
      </c>
    </row>
    <row r="12913">
      <c r="A12913" s="10" t="s">
        <v>14352</v>
      </c>
      <c r="B12913" s="7" t="str">
        <f>IFERROR(__xludf.DUMMYFUNCTION("SPLIT(A12913,"" "")"),"CC(C)N(C)C1CCCCC1N(Cc1ccccn1)Cc1ncccc1-c1cc(N(C)C)c2cccnc2c1")</f>
        <v>CC(C)N(C)C1CCCCC1N(Cc1ccccn1)Cc1ncccc1-c1cc(N(C)C)c2cccnc2c1</v>
      </c>
      <c r="C12913" s="7">
        <f>IFERROR(__xludf.DUMMYFUNCTION("""COMPUTED_VALUE"""),7.7561607)</f>
        <v>7.7561607</v>
      </c>
      <c r="D12913" s="7">
        <f>IFERROR(__xludf.DUMMYFUNCTION("""COMPUTED_VALUE"""),0.40625)</f>
        <v>0.40625</v>
      </c>
    </row>
    <row r="12914">
      <c r="A12914" s="10" t="s">
        <v>14353</v>
      </c>
      <c r="B12914" s="7" t="str">
        <f>IFERROR(__xludf.DUMMYFUNCTION("SPLIT(A12914,"" "")"),"Cc1cc(-c2ncccc2CN2CCN(C)CCN(C)CC2)cc2ncccc12")</f>
        <v>Cc1cc(-c2ncccc2CN2CCN(C)CCN(C)CC2)cc2ncccc12</v>
      </c>
      <c r="C12914" s="7">
        <f>IFERROR(__xludf.DUMMYFUNCTION("""COMPUTED_VALUE"""),7.7561603)</f>
        <v>7.7561603</v>
      </c>
      <c r="D12914" s="7">
        <f>IFERROR(__xludf.DUMMYFUNCTION("""COMPUTED_VALUE"""),0.42)</f>
        <v>0.42</v>
      </c>
    </row>
    <row r="12915">
      <c r="A12915" s="10" t="s">
        <v>14354</v>
      </c>
      <c r="B12915" s="7" t="str">
        <f>IFERROR(__xludf.DUMMYFUNCTION("SPLIT(A12915,"" "")"),"Cc1cc(CN(C)C2CCC(N(C)c3ccc4nccc(CF)c4c3)CC2)nc(C)c1C")</f>
        <v>Cc1cc(CN(C)C2CCC(N(C)c3ccc4nccc(CF)c4c3)CC2)nc(C)c1C</v>
      </c>
      <c r="C12915" s="7">
        <f>IFERROR(__xludf.DUMMYFUNCTION("""COMPUTED_VALUE"""),7.75616)</f>
        <v>7.75616</v>
      </c>
      <c r="D12915" s="7">
        <f>IFERROR(__xludf.DUMMYFUNCTION("""COMPUTED_VALUE"""),0.253731343283582)</f>
        <v>0.2537313433</v>
      </c>
    </row>
    <row r="12916">
      <c r="A12916" s="10" t="s">
        <v>14355</v>
      </c>
      <c r="B12916" s="7" t="str">
        <f>IFERROR(__xludf.DUMMYFUNCTION("SPLIT(A12916,"" "")"),"Cc1cnc(CN(C)C2CCCC(N(C)c3ccc4c(CN(C)C)nccc4c3)C2)c(C)c1")</f>
        <v>Cc1cnc(CN(C)C2CCCC(N(C)c3ccc4c(CN(C)C)nccc4c3)C2)c(C)c1</v>
      </c>
      <c r="C12916" s="7">
        <f>IFERROR(__xludf.DUMMYFUNCTION("""COMPUTED_VALUE"""),7.756159)</f>
        <v>7.756159</v>
      </c>
      <c r="D12916" s="7">
        <f>IFERROR(__xludf.DUMMYFUNCTION("""COMPUTED_VALUE"""),0.287878787878787)</f>
        <v>0.2878787879</v>
      </c>
    </row>
    <row r="12917">
      <c r="A12917" s="10" t="s">
        <v>14356</v>
      </c>
      <c r="B12917" s="7" t="str">
        <f>IFERROR(__xludf.DUMMYFUNCTION("SPLIT(A12917,"" "")"),"Cc1cnccc1CN(C)Cc1cccc(N(C)C2C=CC=CN2)n1")</f>
        <v>Cc1cnccc1CN(C)Cc1cccc(N(C)C2C=CC=CN2)n1</v>
      </c>
      <c r="C12917" s="7">
        <f>IFERROR(__xludf.DUMMYFUNCTION("""COMPUTED_VALUE"""),7.756158)</f>
        <v>7.756158</v>
      </c>
      <c r="D12917" s="7">
        <f>IFERROR(__xludf.DUMMYFUNCTION("""COMPUTED_VALUE"""),0.31578947368421)</f>
        <v>0.3157894737</v>
      </c>
    </row>
    <row r="12918">
      <c r="A12918" s="10" t="s">
        <v>14357</v>
      </c>
      <c r="B12918" s="7" t="str">
        <f>IFERROR(__xludf.DUMMYFUNCTION("SPLIT(A12918,"" "")"),"Cc1cc(N(C)C2=CNC(CN(Cc3ccccn3)C(C)C)=CC2)ccc1N")</f>
        <v>Cc1cc(N(C)C2=CNC(CN(Cc3ccccn3)C(C)C)=CC2)ccc1N</v>
      </c>
      <c r="C12918" s="7">
        <f>IFERROR(__xludf.DUMMYFUNCTION("""COMPUTED_VALUE"""),7.7561564)</f>
        <v>7.7561564</v>
      </c>
      <c r="D12918" s="7">
        <f>IFERROR(__xludf.DUMMYFUNCTION("""COMPUTED_VALUE"""),0.406779661016949)</f>
        <v>0.406779661</v>
      </c>
    </row>
    <row r="12919">
      <c r="A12919" s="10" t="s">
        <v>14358</v>
      </c>
      <c r="B12919" s="7" t="str">
        <f>IFERROR(__xludf.DUMMYFUNCTION("SPLIT(A12919,"" "")"),"CNCc1nccc2cccc(N(C)CCN(C)C(C)(C)C)c12")</f>
        <v>CNCc1nccc2cccc(N(C)CCN(C)C(C)(C)C)c12</v>
      </c>
      <c r="C12919" s="7">
        <f>IFERROR(__xludf.DUMMYFUNCTION("""COMPUTED_VALUE"""),7.7561502)</f>
        <v>7.7561502</v>
      </c>
      <c r="D12919" s="7">
        <f>IFERROR(__xludf.DUMMYFUNCTION("""COMPUTED_VALUE"""),0.408163265306122)</f>
        <v>0.4081632653</v>
      </c>
    </row>
    <row r="12920">
      <c r="A12920" s="10" t="s">
        <v>14359</v>
      </c>
      <c r="B12920" s="7" t="str">
        <f>IFERROR(__xludf.DUMMYFUNCTION("SPLIT(A12920,"" "")"),"COC(=O)C1C(c2ccccn2)CC(c2cc(CN(Cc3ccccn3)Cc3cc(C(C)(C)C)ccn3)ccn2)N(C)C1c1ccccn1")</f>
        <v>COC(=O)C1C(c2ccccn2)CC(c2cc(CN(Cc3ccccn3)Cc3cc(C(C)(C)C)ccn3)ccn2)N(C)C1c1ccccn1</v>
      </c>
      <c r="C12920" s="7">
        <f>IFERROR(__xludf.DUMMYFUNCTION("""COMPUTED_VALUE"""),7.756146)</f>
        <v>7.756146</v>
      </c>
      <c r="D12920" s="7">
        <f>IFERROR(__xludf.DUMMYFUNCTION("""COMPUTED_VALUE"""),0.304878048780487)</f>
        <v>0.3048780488</v>
      </c>
    </row>
    <row r="12921">
      <c r="A12921" s="10" t="s">
        <v>14360</v>
      </c>
      <c r="B12921" s="7" t="str">
        <f>IFERROR(__xludf.DUMMYFUNCTION("SPLIT(A12921,"" "")"),"Cc1cc(C)c(C)c(CN(C)CC2=C(N(C)Cc3ccccn3)CC=CN2)n1")</f>
        <v>Cc1cc(C)c(C)c(CN(C)CC2=C(N(C)Cc3ccccn3)CC=CN2)n1</v>
      </c>
      <c r="C12921" s="7">
        <f>IFERROR(__xludf.DUMMYFUNCTION("""COMPUTED_VALUE"""),7.756141)</f>
        <v>7.756141</v>
      </c>
      <c r="D12921" s="7">
        <f>IFERROR(__xludf.DUMMYFUNCTION("""COMPUTED_VALUE"""),0.366666666666666)</f>
        <v>0.3666666667</v>
      </c>
    </row>
    <row r="12922">
      <c r="A12922" s="10" t="s">
        <v>14361</v>
      </c>
      <c r="B12922" s="7" t="str">
        <f>IFERROR(__xludf.DUMMYFUNCTION("SPLIT(A12922,"" "")"),"CC1(C)CC(c2cccc(CN(Cc3ccccn3)Cc3cccc(C4=NC(C)(C)CO4)n3)n2)C1")</f>
        <v>CC1(C)CC(c2cccc(CN(Cc3ccccn3)Cc3cccc(C4=NC(C)(C)CO4)n3)n2)C1</v>
      </c>
      <c r="C12922" s="7">
        <f>IFERROR(__xludf.DUMMYFUNCTION("""COMPUTED_VALUE"""),7.7561407)</f>
        <v>7.7561407</v>
      </c>
      <c r="D12922" s="7">
        <f>IFERROR(__xludf.DUMMYFUNCTION("""COMPUTED_VALUE"""),0.471698113207547)</f>
        <v>0.4716981132</v>
      </c>
    </row>
    <row r="12923">
      <c r="A12923" s="10" t="s">
        <v>14362</v>
      </c>
      <c r="B12923" s="7" t="str">
        <f>IFERROR(__xludf.DUMMYFUNCTION("SPLIT(A12923,"" "")"),"CN(CC1=CCC(N(C)C(c2ccccc2)c2ccccn2)=CN1)Cc1ccccn1")</f>
        <v>CN(CC1=CCC(N(C)C(c2ccccc2)c2ccccn2)=CN1)Cc1ccccn1</v>
      </c>
      <c r="C12923" s="7">
        <f>IFERROR(__xludf.DUMMYFUNCTION("""COMPUTED_VALUE"""),7.756132)</f>
        <v>7.756132</v>
      </c>
      <c r="D12923" s="7">
        <f>IFERROR(__xludf.DUMMYFUNCTION("""COMPUTED_VALUE"""),0.4)</f>
        <v>0.4</v>
      </c>
    </row>
    <row r="12924">
      <c r="A12924" s="10" t="s">
        <v>14363</v>
      </c>
      <c r="B12924" s="7" t="str">
        <f>IFERROR(__xludf.DUMMYFUNCTION("SPLIT(A12924,"" "")"),"Cc1cncc(CN(C)C2=C(CN(C)Cc3cc(C)c(C)c(C)n3)NC=CC2)c1")</f>
        <v>Cc1cncc(CN(C)C2=C(CN(C)Cc3cc(C)c(C)c(C)n3)NC=CC2)c1</v>
      </c>
      <c r="C12924" s="7">
        <f>IFERROR(__xludf.DUMMYFUNCTION("""COMPUTED_VALUE"""),7.756132)</f>
        <v>7.756132</v>
      </c>
      <c r="D12924" s="7">
        <f>IFERROR(__xludf.DUMMYFUNCTION("""COMPUTED_VALUE"""),0.222222222222222)</f>
        <v>0.2222222222</v>
      </c>
    </row>
    <row r="12925">
      <c r="A12925" s="10" t="s">
        <v>14364</v>
      </c>
      <c r="B12925" s="7" t="str">
        <f>IFERROR(__xludf.DUMMYFUNCTION("SPLIT(A12925,"" "")"),"CCCN(CC1=CCC(N(C)Cc2ccccn2)=CN1)c1ccc(C)c(C)c1C")</f>
        <v>CCCN(CC1=CCC(N(C)Cc2ccccn2)=CN1)c1ccc(C)c(C)c1C</v>
      </c>
      <c r="C12925" s="7">
        <f>IFERROR(__xludf.DUMMYFUNCTION("""COMPUTED_VALUE"""),7.7561316)</f>
        <v>7.7561316</v>
      </c>
      <c r="D12925" s="7">
        <f>IFERROR(__xludf.DUMMYFUNCTION("""COMPUTED_VALUE"""),0.360655737704918)</f>
        <v>0.3606557377</v>
      </c>
    </row>
    <row r="12926">
      <c r="A12926" s="10" t="s">
        <v>14365</v>
      </c>
      <c r="B12926" s="7" t="str">
        <f>IFERROR(__xludf.DUMMYFUNCTION("SPLIT(A12926,"" "")"),"CNCc1cccc(CN(Cc2ccccn2)Cc2cccc(C3=NC(C)C(C)O3)n2)n1")</f>
        <v>CNCc1cccc(CN(Cc2ccccn2)Cc2cccc(C3=NC(C)C(C)O3)n2)n1</v>
      </c>
      <c r="C12926" s="7">
        <f>IFERROR(__xludf.DUMMYFUNCTION("""COMPUTED_VALUE"""),7.756129)</f>
        <v>7.756129</v>
      </c>
      <c r="D12926" s="7">
        <f>IFERROR(__xludf.DUMMYFUNCTION("""COMPUTED_VALUE"""),0.442622950819672)</f>
        <v>0.4426229508</v>
      </c>
    </row>
    <row r="12927">
      <c r="A12927" s="10" t="s">
        <v>14366</v>
      </c>
      <c r="B12927" s="7" t="str">
        <f>IFERROR(__xludf.DUMMYFUNCTION("SPLIT(A12927,"" "")"),"CCc1ccc(NCc2ccccn2)c(C)c1C")</f>
        <v>CCc1ccc(NCc2ccccn2)c(C)c1C</v>
      </c>
      <c r="C12927" s="7">
        <f>IFERROR(__xludf.DUMMYFUNCTION("""COMPUTED_VALUE"""),7.756126)</f>
        <v>7.756126</v>
      </c>
      <c r="D12927" s="7">
        <f>IFERROR(__xludf.DUMMYFUNCTION("""COMPUTED_VALUE"""),0.435897435897435)</f>
        <v>0.4358974359</v>
      </c>
    </row>
    <row r="12928">
      <c r="A12928" s="10" t="s">
        <v>14367</v>
      </c>
      <c r="B12928" s="7" t="str">
        <f>IFERROR(__xludf.DUMMYFUNCTION("SPLIT(A12928,"" "")"),"Cc1cncc(CN(C)Cc2cccc(-c3cccc(N(C)C)c3)n2)c1-c1cccc(-c2ccc3c(c2)OCCOCCOCCOCCOCCO3)n1")</f>
        <v>Cc1cncc(CN(C)Cc2cccc(-c3cccc(N(C)C)c3)n2)c1-c1cccc(-c2ccc3c(c2)OCCOCCOCCOCCOCCO3)n1</v>
      </c>
      <c r="C12928" s="7">
        <f>IFERROR(__xludf.DUMMYFUNCTION("""COMPUTED_VALUE"""),7.7561197)</f>
        <v>7.7561197</v>
      </c>
      <c r="D12928" s="7">
        <f>IFERROR(__xludf.DUMMYFUNCTION("""COMPUTED_VALUE"""),0.292682926829268)</f>
        <v>0.2926829268</v>
      </c>
    </row>
    <row r="12929">
      <c r="A12929" s="10" t="s">
        <v>14368</v>
      </c>
      <c r="B12929" s="7" t="str">
        <f>IFERROR(__xludf.DUMMYFUNCTION("SPLIT(A12929,"" "")"),"Cc1cncc(CN(Cc2ccccn2)Cc2cccc(N(C)C)n2)c1")</f>
        <v>Cc1cncc(CN(Cc2ccccn2)Cc2cccc(N(C)C)n2)c1</v>
      </c>
      <c r="C12929" s="7">
        <f>IFERROR(__xludf.DUMMYFUNCTION("""COMPUTED_VALUE"""),7.756111)</f>
        <v>7.756111</v>
      </c>
      <c r="D12929" s="7">
        <f>IFERROR(__xludf.DUMMYFUNCTION("""COMPUTED_VALUE"""),0.454545454545454)</f>
        <v>0.4545454545</v>
      </c>
    </row>
    <row r="12930">
      <c r="A12930" s="10" t="s">
        <v>14369</v>
      </c>
      <c r="B12930" s="7" t="str">
        <f>IFERROR(__xludf.DUMMYFUNCTION("SPLIT(A12930,"" "")"),"CC(NCc1ccccn1)C(c1ccccc1)c1ccnc(NC2=CC=CNC2)c1")</f>
        <v>CC(NCc1ccccn1)C(c1ccccc1)c1ccnc(NC2=CC=CNC2)c1</v>
      </c>
      <c r="C12930" s="7">
        <f>IFERROR(__xludf.DUMMYFUNCTION("""COMPUTED_VALUE"""),7.75611)</f>
        <v>7.75611</v>
      </c>
      <c r="D12930" s="7">
        <f>IFERROR(__xludf.DUMMYFUNCTION("""COMPUTED_VALUE"""),0.288135593220339)</f>
        <v>0.2881355932</v>
      </c>
    </row>
    <row r="12931">
      <c r="A12931" s="10" t="s">
        <v>14370</v>
      </c>
      <c r="B12931" s="7" t="str">
        <f>IFERROR(__xludf.DUMMYFUNCTION("SPLIT(A12931,"" "")"),"COC(C)c1cccc(CN(Cc2ccccn2)Cc2cccc(C3=NC(C)(C)CO3)n2)n1")</f>
        <v>COC(C)c1cccc(CN(Cc2ccccn2)Cc2cccc(C3=NC(C)(C)CO3)n2)n1</v>
      </c>
      <c r="C12931" s="7">
        <f>IFERROR(__xludf.DUMMYFUNCTION("""COMPUTED_VALUE"""),7.756108)</f>
        <v>7.756108</v>
      </c>
      <c r="D12931" s="7">
        <f>IFERROR(__xludf.DUMMYFUNCTION("""COMPUTED_VALUE"""),0.454545454545454)</f>
        <v>0.4545454545</v>
      </c>
    </row>
    <row r="12932">
      <c r="A12932" s="10" t="s">
        <v>14371</v>
      </c>
      <c r="B12932" s="7" t="str">
        <f>IFERROR(__xludf.DUMMYFUNCTION("SPLIT(A12932,"" "")"),"Cc1ccc(N(Cc2ccccn2)C(C)(C)N(C)Cc2ncc(C)c(C)c2C)cc1C")</f>
        <v>Cc1ccc(N(Cc2ccccn2)C(C)(C)N(C)Cc2ncc(C)c(C)c2C)cc1C</v>
      </c>
      <c r="C12932" s="7">
        <f>IFERROR(__xludf.DUMMYFUNCTION("""COMPUTED_VALUE"""),7.7561073)</f>
        <v>7.7561073</v>
      </c>
      <c r="D12932" s="7">
        <f>IFERROR(__xludf.DUMMYFUNCTION("""COMPUTED_VALUE"""),0.357142857142857)</f>
        <v>0.3571428571</v>
      </c>
    </row>
    <row r="12933">
      <c r="A12933" s="10" t="s">
        <v>14372</v>
      </c>
      <c r="B12933" s="7" t="str">
        <f>IFERROR(__xludf.DUMMYFUNCTION("SPLIT(A12933,"" "")"),"CC1C=Cc2cccnc2C1N(C)Cc1ccc(C(C)(C)C)cn1")</f>
        <v>CC1C=Cc2cccnc2C1N(C)Cc1ccc(C(C)(C)C)cn1</v>
      </c>
      <c r="C12933" s="7">
        <f>IFERROR(__xludf.DUMMYFUNCTION("""COMPUTED_VALUE"""),7.756105)</f>
        <v>7.756105</v>
      </c>
      <c r="D12933" s="7">
        <f>IFERROR(__xludf.DUMMYFUNCTION("""COMPUTED_VALUE"""),0.310344827586206)</f>
        <v>0.3103448276</v>
      </c>
    </row>
    <row r="12934">
      <c r="A12934" s="10" t="s">
        <v>14373</v>
      </c>
      <c r="B12934" s="7" t="str">
        <f>IFERROR(__xludf.DUMMYFUNCTION("SPLIT(A12934,"" "")"),"CN(C)Cc1ccc2ccc(N(C)C3CCCCC3N(Cc3ccccn3)C3=CCC=CN3C)cc2n1")</f>
        <v>CN(C)Cc1ccc2ccc(N(C)C3CCCCC3N(Cc3ccccn3)C3=CCC=CN3C)cc2n1</v>
      </c>
      <c r="C12934" s="7">
        <f>IFERROR(__xludf.DUMMYFUNCTION("""COMPUTED_VALUE"""),7.75609)</f>
        <v>7.75609</v>
      </c>
      <c r="D12934" s="7">
        <f>IFERROR(__xludf.DUMMYFUNCTION("""COMPUTED_VALUE"""),0.393939393939393)</f>
        <v>0.3939393939</v>
      </c>
    </row>
    <row r="12935">
      <c r="A12935" s="10" t="s">
        <v>14374</v>
      </c>
      <c r="B12935" s="7" t="str">
        <f>IFERROR(__xludf.DUMMYFUNCTION("SPLIT(A12935,"" "")"),"CC(C)(C)C1=C(N(Cc2ccccn2)Cc2ccccn2)NC=CC1")</f>
        <v>CC(C)(C)C1=C(N(Cc2ccccn2)Cc2ccccn2)NC=CC1</v>
      </c>
      <c r="C12935" s="7">
        <f>IFERROR(__xludf.DUMMYFUNCTION("""COMPUTED_VALUE"""),7.7560887)</f>
        <v>7.7560887</v>
      </c>
      <c r="D12935" s="7">
        <f>IFERROR(__xludf.DUMMYFUNCTION("""COMPUTED_VALUE"""),0.450980392156862)</f>
        <v>0.4509803922</v>
      </c>
    </row>
    <row r="12936">
      <c r="A12936" s="10" t="s">
        <v>14375</v>
      </c>
      <c r="B12936" s="7" t="str">
        <f>IFERROR(__xludf.DUMMYFUNCTION("SPLIT(A12936,"" "")"),"Cc1cc(C)c(CN(C)CC2=CCC(N(C)Cc3ccccn3)=CN2)cc1C")</f>
        <v>Cc1cc(C)c(CN(C)CC2=CCC(N(C)Cc3ccccn3)=CN2)cc1C</v>
      </c>
      <c r="C12936" s="7">
        <f>IFERROR(__xludf.DUMMYFUNCTION("""COMPUTED_VALUE"""),7.7560763)</f>
        <v>7.7560763</v>
      </c>
      <c r="D12936" s="7">
        <f>IFERROR(__xludf.DUMMYFUNCTION("""COMPUTED_VALUE"""),0.4)</f>
        <v>0.4</v>
      </c>
    </row>
    <row r="12937">
      <c r="A12937" s="10" t="s">
        <v>14376</v>
      </c>
      <c r="B12937" s="7" t="str">
        <f>IFERROR(__xludf.DUMMYFUNCTION("SPLIT(A12937,"" "")"),"Cc1cccnc1CN(C)CCN(C)Cc1ccc2ncccc2c1")</f>
        <v>Cc1cccnc1CN(C)CCN(C)Cc1ccc2ncccc2c1</v>
      </c>
      <c r="C12937" s="7">
        <f>IFERROR(__xludf.DUMMYFUNCTION("""COMPUTED_VALUE"""),7.7560744)</f>
        <v>7.7560744</v>
      </c>
      <c r="D12937" s="7">
        <f>IFERROR(__xludf.DUMMYFUNCTION("""COMPUTED_VALUE"""),0.416666666666666)</f>
        <v>0.4166666667</v>
      </c>
    </row>
    <row r="12938">
      <c r="A12938" s="10" t="s">
        <v>14377</v>
      </c>
      <c r="B12938" s="7" t="str">
        <f>IFERROR(__xludf.DUMMYFUNCTION("SPLIT(A12938,"" "")"),"CN(CCN)CCN(C)c1cccc2ncc(CF)cc12")</f>
        <v>CN(CCN)CCN(C)c1cccc2ncc(CF)cc12</v>
      </c>
      <c r="C12938" s="7">
        <f>IFERROR(__xludf.DUMMYFUNCTION("""COMPUTED_VALUE"""),7.7560506)</f>
        <v>7.7560506</v>
      </c>
      <c r="D12938" s="7">
        <f>IFERROR(__xludf.DUMMYFUNCTION("""COMPUTED_VALUE"""),0.352941176470588)</f>
        <v>0.3529411765</v>
      </c>
    </row>
    <row r="12939">
      <c r="A12939" s="10" t="s">
        <v>14378</v>
      </c>
      <c r="B12939" s="7" t="str">
        <f>IFERROR(__xludf.DUMMYFUNCTION("SPLIT(A12939,"" "")"),"Cc1cccc(CN(Cc2cccc(CN(C)Cc3cc(C)c(C)c(C)n3)n2)Cc2ccc(C)c(C)n2)n1")</f>
        <v>Cc1cccc(CN(Cc2cccc(CN(C)Cc3cc(C)c(C)c(C)n3)n2)Cc2ccc(C)c(C)n2)n1</v>
      </c>
      <c r="C12939" s="7">
        <f>IFERROR(__xludf.DUMMYFUNCTION("""COMPUTED_VALUE"""),7.7560472)</f>
        <v>7.7560472</v>
      </c>
      <c r="D12939" s="7">
        <f>IFERROR(__xludf.DUMMYFUNCTION("""COMPUTED_VALUE"""),0.5)</f>
        <v>0.5</v>
      </c>
    </row>
    <row r="12940">
      <c r="A12940" s="10" t="s">
        <v>14379</v>
      </c>
      <c r="B12940" s="7" t="str">
        <f>IFERROR(__xludf.DUMMYFUNCTION("SPLIT(A12940,"" "")"),"Cc1cnc(CN(C)C2=C(CN(C)Cc3ccccn3)NC=CC2)c(C)c1")</f>
        <v>Cc1cnc(CN(C)C2=C(CN(C)Cc3ccccn3)NC=CC2)c(C)c1</v>
      </c>
      <c r="C12940" s="7">
        <f>IFERROR(__xludf.DUMMYFUNCTION("""COMPUTED_VALUE"""),7.756045)</f>
        <v>7.756045</v>
      </c>
      <c r="D12940" s="7">
        <f>IFERROR(__xludf.DUMMYFUNCTION("""COMPUTED_VALUE"""),0.360655737704918)</f>
        <v>0.3606557377</v>
      </c>
    </row>
    <row r="12941">
      <c r="A12941" s="10" t="s">
        <v>14380</v>
      </c>
      <c r="B12941" s="7" t="str">
        <f>IFERROR(__xludf.DUMMYFUNCTION("SPLIT(A12941,"" "")"),"Cc1cnc(C)c(CN(C)CC2=CCC(N(C)Cc3ccccn3)=CN2)c1")</f>
        <v>Cc1cnc(C)c(CN(C)CC2=CCC(N(C)Cc3ccccn3)=CN2)c1</v>
      </c>
      <c r="C12941" s="7">
        <f>IFERROR(__xludf.DUMMYFUNCTION("""COMPUTED_VALUE"""),7.756045)</f>
        <v>7.756045</v>
      </c>
      <c r="D12941" s="7">
        <f>IFERROR(__xludf.DUMMYFUNCTION("""COMPUTED_VALUE"""),0.372881355932203)</f>
        <v>0.3728813559</v>
      </c>
    </row>
    <row r="12942">
      <c r="A12942" s="10" t="s">
        <v>14381</v>
      </c>
      <c r="B12942" s="7" t="str">
        <f>IFERROR(__xludf.DUMMYFUNCTION("SPLIT(A12942,"" "")"),"FCc1cccc(N(Cc2ccccn2)C2CCCCC2N(Cc2ccccn2)c2ccc3nc(CF)ccc3c2)n1")</f>
        <v>FCc1cccc(N(Cc2ccccn2)C2CCCCC2N(Cc2ccccn2)c2ccc3nc(CF)ccc3c2)n1</v>
      </c>
      <c r="C12942" s="7">
        <f>IFERROR(__xludf.DUMMYFUNCTION("""COMPUTED_VALUE"""),7.756044)</f>
        <v>7.756044</v>
      </c>
      <c r="D12942" s="7">
        <f>IFERROR(__xludf.DUMMYFUNCTION("""COMPUTED_VALUE"""),0.421052631578947)</f>
        <v>0.4210526316</v>
      </c>
    </row>
    <row r="12943">
      <c r="A12943" s="10" t="s">
        <v>14382</v>
      </c>
      <c r="B12943" s="7" t="str">
        <f>IFERROR(__xludf.DUMMYFUNCTION("SPLIT(A12943,"" "")"),"Cc1ccc(N(C)Cc2ccccn2)cc1-c1cccc(CN(Cc2ccccn2)C2CCCC(N(C)Cc3nc(C)c(C)c(C)c3C)C2)n1")</f>
        <v>Cc1ccc(N(C)Cc2ccccn2)cc1-c1cccc(CN(Cc2ccccn2)C2CCCC(N(C)Cc3nc(C)c(C)c(C)c3C)C2)n1</v>
      </c>
      <c r="C12943" s="7">
        <f>IFERROR(__xludf.DUMMYFUNCTION("""COMPUTED_VALUE"""),7.756042)</f>
        <v>7.756042</v>
      </c>
      <c r="D12943" s="7">
        <f>IFERROR(__xludf.DUMMYFUNCTION("""COMPUTED_VALUE"""),0.352112676056338)</f>
        <v>0.3521126761</v>
      </c>
    </row>
    <row r="12944">
      <c r="A12944" s="10" t="s">
        <v>14383</v>
      </c>
      <c r="B12944" s="7" t="str">
        <f>IFERROR(__xludf.DUMMYFUNCTION("SPLIT(A12944,"" "")"),"CC(c1ccccc1)(c1ccccn1)c1cc(CN(Cc2ccccn2)Cc2ccccn2)ccn1")</f>
        <v>CC(c1ccccc1)(c1ccccn1)c1cc(CN(Cc2ccccn2)Cc2ccccn2)ccn1</v>
      </c>
      <c r="C12944" s="7">
        <f>IFERROR(__xludf.DUMMYFUNCTION("""COMPUTED_VALUE"""),7.756041)</f>
        <v>7.756041</v>
      </c>
      <c r="D12944" s="7">
        <f>IFERROR(__xludf.DUMMYFUNCTION("""COMPUTED_VALUE"""),0.48780487804878)</f>
        <v>0.487804878</v>
      </c>
    </row>
    <row r="12945">
      <c r="A12945" s="10" t="s">
        <v>14384</v>
      </c>
      <c r="B12945" s="7" t="str">
        <f>IFERROR(__xludf.DUMMYFUNCTION("SPLIT(A12945,"" "")"),"Cc1cnc(C)c(CN(C)C2=C(CN(C)Cc3ncc(C)c(C)c3C)NC=CC2)c1")</f>
        <v>Cc1cnc(C)c(CN(C)C2=C(CN(C)Cc3ncc(C)c(C)c3C)NC=CC2)c1</v>
      </c>
      <c r="C12945" s="7">
        <f>IFERROR(__xludf.DUMMYFUNCTION("""COMPUTED_VALUE"""),7.756034)</f>
        <v>7.756034</v>
      </c>
      <c r="D12945" s="7">
        <f>IFERROR(__xludf.DUMMYFUNCTION("""COMPUTED_VALUE"""),0.245901639344262)</f>
        <v>0.2459016393</v>
      </c>
    </row>
    <row r="12946">
      <c r="A12946" s="10" t="s">
        <v>14385</v>
      </c>
      <c r="B12946" s="7" t="str">
        <f>IFERROR(__xludf.DUMMYFUNCTION("SPLIT(A12946,"" "")"),"CN(CCN)Cc1ccc2ncccc2c1")</f>
        <v>CN(CCN)Cc1ccc2ncccc2c1</v>
      </c>
      <c r="C12946" s="7">
        <f>IFERROR(__xludf.DUMMYFUNCTION("""COMPUTED_VALUE"""),7.756033)</f>
        <v>7.756033</v>
      </c>
      <c r="D12946" s="7">
        <f>IFERROR(__xludf.DUMMYFUNCTION("""COMPUTED_VALUE"""),0.422222222222222)</f>
        <v>0.4222222222</v>
      </c>
    </row>
    <row r="12947">
      <c r="A12947" s="10" t="s">
        <v>14386</v>
      </c>
      <c r="B12947" s="7" t="str">
        <f>IFERROR(__xludf.DUMMYFUNCTION("SPLIT(A12947,"" "")"),"Cc1ccc(CN(C)Cc2cccc(N(C)C3C=CC=CN3)n2)nc1")</f>
        <v>Cc1ccc(CN(C)Cc2cccc(N(C)C3C=CC=CN3)n2)nc1</v>
      </c>
      <c r="C12947" s="7">
        <f>IFERROR(__xludf.DUMMYFUNCTION("""COMPUTED_VALUE"""),7.756019)</f>
        <v>7.756019</v>
      </c>
      <c r="D12947" s="7">
        <f>IFERROR(__xludf.DUMMYFUNCTION("""COMPUTED_VALUE"""),0.44)</f>
        <v>0.44</v>
      </c>
    </row>
    <row r="12948">
      <c r="A12948" s="10" t="s">
        <v>14387</v>
      </c>
      <c r="B12948" s="7" t="str">
        <f>IFERROR(__xludf.DUMMYFUNCTION("SPLIT(A12948,"" "")"),"Cc1cncc(CN(C)C2=C(CN(C)Cc3nc(C)c(C)cc3C)NC=CC2)c1")</f>
        <v>Cc1cncc(CN(C)C2=C(CN(C)Cc3nc(C)c(C)cc3C)NC=CC2)c1</v>
      </c>
      <c r="C12948" s="7">
        <f>IFERROR(__xludf.DUMMYFUNCTION("""COMPUTED_VALUE"""),7.756014)</f>
        <v>7.756014</v>
      </c>
      <c r="D12948" s="7">
        <f>IFERROR(__xludf.DUMMYFUNCTION("""COMPUTED_VALUE"""),0.1875)</f>
        <v>0.1875</v>
      </c>
    </row>
    <row r="12949">
      <c r="A12949" s="10" t="s">
        <v>14388</v>
      </c>
      <c r="B12949" s="7" t="str">
        <f>IFERROR(__xludf.DUMMYFUNCTION("SPLIT(A12949,"" "")"),"CNC1C=C(N(Cc2ccccn2)Cc2ccccn2)C=CN1")</f>
        <v>CNC1C=C(N(Cc2ccccn2)Cc2ccccn2)C=CN1</v>
      </c>
      <c r="C12949" s="7">
        <f>IFERROR(__xludf.DUMMYFUNCTION("""COMPUTED_VALUE"""),7.756009)</f>
        <v>7.756009</v>
      </c>
      <c r="D12949" s="7">
        <f>IFERROR(__xludf.DUMMYFUNCTION("""COMPUTED_VALUE"""),0.404761904761904)</f>
        <v>0.4047619048</v>
      </c>
    </row>
    <row r="12950">
      <c r="A12950" s="10" t="s">
        <v>14389</v>
      </c>
      <c r="B12950" s="7" t="str">
        <f>IFERROR(__xludf.DUMMYFUNCTION("SPLIT(A12950,"" "")"),"CN(C)Cc1ccnc2ccc(N(C)C3CCCC(N(Cc4ccnc(C(C)(C)C)c4)Cc4ccccn4)C3)cc12")</f>
        <v>CN(C)Cc1ccnc2ccc(N(C)C3CCCC(N(Cc4ccnc(C(C)(C)C)c4)Cc4ccccn4)C3)cc12</v>
      </c>
      <c r="C12950" s="7">
        <f>IFERROR(__xludf.DUMMYFUNCTION("""COMPUTED_VALUE"""),7.7560067)</f>
        <v>7.7560067</v>
      </c>
      <c r="D12950" s="7">
        <f>IFERROR(__xludf.DUMMYFUNCTION("""COMPUTED_VALUE"""),0.323943661971831)</f>
        <v>0.323943662</v>
      </c>
    </row>
    <row r="12951">
      <c r="A12951" s="10" t="s">
        <v>14390</v>
      </c>
      <c r="B12951" s="7" t="str">
        <f>IFERROR(__xludf.DUMMYFUNCTION("SPLIT(A12951,"" "")"),"CN(CC1=CCC=C(N(C)Cc2ccccn2)N1)Cc1ccccn1")</f>
        <v>CN(CC1=CCC=C(N(C)Cc2ccccn2)N1)Cc1ccccn1</v>
      </c>
      <c r="C12951" s="7">
        <f>IFERROR(__xludf.DUMMYFUNCTION("""COMPUTED_VALUE"""),7.756004)</f>
        <v>7.756004</v>
      </c>
      <c r="D12951" s="7">
        <f>IFERROR(__xludf.DUMMYFUNCTION("""COMPUTED_VALUE"""),0.458333333333333)</f>
        <v>0.4583333333</v>
      </c>
    </row>
    <row r="12952">
      <c r="A12952" s="10" t="s">
        <v>14391</v>
      </c>
      <c r="B12952" s="7" t="str">
        <f>IFERROR(__xludf.DUMMYFUNCTION("SPLIT(A12952,"" "")"),"CC1=CCC(C)(C)C2(C(C)C=CC(C)C2C)C1c1cccc(CN(C)Cc2ccc(-c3cccc(N=Cc4ccccn4)c3)cn2)n1")</f>
        <v>CC1=CCC(C)(C)C2(C(C)C=CC(C)C2C)C1c1cccc(CN(C)Cc2ccc(-c3cccc(N=Cc4ccccn4)c3)cn2)n1</v>
      </c>
      <c r="C12952" s="7">
        <f>IFERROR(__xludf.DUMMYFUNCTION("""COMPUTED_VALUE"""),7.756003)</f>
        <v>7.756003</v>
      </c>
      <c r="D12952" s="7">
        <f>IFERROR(__xludf.DUMMYFUNCTION("""COMPUTED_VALUE"""),0.297619047619047)</f>
        <v>0.2976190476</v>
      </c>
    </row>
    <row r="12953">
      <c r="A12953" s="10" t="s">
        <v>14392</v>
      </c>
      <c r="B12953" s="7" t="str">
        <f>IFERROR(__xludf.DUMMYFUNCTION("SPLIT(A12953,"" "")"),"Cc1ccccc1N(C)CC1=CC(N(C)Cc2ncccc2C)C=CN1")</f>
        <v>Cc1ccccc1N(C)CC1=CC(N(C)Cc2ncccc2C)C=CN1</v>
      </c>
      <c r="C12953" s="7">
        <f>IFERROR(__xludf.DUMMYFUNCTION("""COMPUTED_VALUE"""),7.756003)</f>
        <v>7.756003</v>
      </c>
      <c r="D12953" s="7">
        <f>IFERROR(__xludf.DUMMYFUNCTION("""COMPUTED_VALUE"""),0.311475409836065)</f>
        <v>0.3114754098</v>
      </c>
    </row>
    <row r="12954">
      <c r="A12954" s="10" t="s">
        <v>14393</v>
      </c>
      <c r="B12954" s="7" t="str">
        <f>IFERROR(__xludf.DUMMYFUNCTION("SPLIT(A12954,"" "")"),"CN(c1ccc2cc(CF)cnc2c1)C1CCC(N(Cc2ccccn2)Cc2cccnc2C(C)(C)c2ccccn2)CC1")</f>
        <v>CN(c1ccc2cc(CF)cnc2c1)C1CCC(N(Cc2ccccn2)Cc2cccnc2C(C)(C)c2ccccn2)CC1</v>
      </c>
      <c r="C12954" s="7">
        <f>IFERROR(__xludf.DUMMYFUNCTION("""COMPUTED_VALUE"""),7.756)</f>
        <v>7.756</v>
      </c>
      <c r="D12954" s="7">
        <f>IFERROR(__xludf.DUMMYFUNCTION("""COMPUTED_VALUE"""),0.301369863013698)</f>
        <v>0.301369863</v>
      </c>
    </row>
    <row r="12955">
      <c r="A12955" s="10" t="s">
        <v>14394</v>
      </c>
      <c r="B12955" s="7" t="str">
        <f>IFERROR(__xludf.DUMMYFUNCTION("SPLIT(A12955,"" "")"),"Cc1cc(CN(C)C2=C(CN(C)Cc3ccccn3)NC=CC2)nc(C)c1C")</f>
        <v>Cc1cc(CN(C)C2=C(CN(C)Cc3ccccn3)NC=CC2)nc(C)c1C</v>
      </c>
      <c r="C12955" s="7">
        <f>IFERROR(__xludf.DUMMYFUNCTION("""COMPUTED_VALUE"""),7.755994)</f>
        <v>7.755994</v>
      </c>
      <c r="D12955" s="7">
        <f>IFERROR(__xludf.DUMMYFUNCTION("""COMPUTED_VALUE"""),0.383333333333333)</f>
        <v>0.3833333333</v>
      </c>
    </row>
    <row r="12956">
      <c r="A12956" s="10" t="s">
        <v>14395</v>
      </c>
      <c r="B12956" s="7" t="str">
        <f>IFERROR(__xludf.DUMMYFUNCTION("SPLIT(A12956,"" "")"),"CNCc1ccc(N(C)C2CCC(N(Cc3ccccn3)c3ccc4nc(CF)ccc4c3)CC2)cn1")</f>
        <v>CNCc1ccc(N(C)C2CCC(N(Cc3ccccn3)c3ccc4nc(CF)ccc4c3)CC2)cn1</v>
      </c>
      <c r="C12956" s="7">
        <f>IFERROR(__xludf.DUMMYFUNCTION("""COMPUTED_VALUE"""),7.7559934)</f>
        <v>7.7559934</v>
      </c>
      <c r="D12956" s="7">
        <f>IFERROR(__xludf.DUMMYFUNCTION("""COMPUTED_VALUE"""),0.348484848484848)</f>
        <v>0.3484848485</v>
      </c>
    </row>
    <row r="12957">
      <c r="A12957" s="10" t="s">
        <v>14396</v>
      </c>
      <c r="B12957" s="7" t="str">
        <f>IFERROR(__xludf.DUMMYFUNCTION("SPLIT(A12957,"" "")"),"Cc1cnc(CN(C)CC2=C(N(C)Cc3ccccn3)CC=CN2)c(C)c1")</f>
        <v>Cc1cnc(CN(C)CC2=C(N(C)Cc3ccccn3)CC=CN2)c(C)c1</v>
      </c>
      <c r="C12957" s="7">
        <f>IFERROR(__xludf.DUMMYFUNCTION("""COMPUTED_VALUE"""),7.7559824)</f>
        <v>7.7559824</v>
      </c>
      <c r="D12957" s="7">
        <f>IFERROR(__xludf.DUMMYFUNCTION("""COMPUTED_VALUE"""),0.372881355932203)</f>
        <v>0.3728813559</v>
      </c>
    </row>
    <row r="12958">
      <c r="A12958" s="10" t="s">
        <v>14397</v>
      </c>
      <c r="B12958" s="7" t="str">
        <f>IFERROR(__xludf.DUMMYFUNCTION("SPLIT(A12958,"" "")"),"COC(=O)C1C2C(=O)C(C(=O)OC)N(C)C1C(c1ccccn1)N(C)C2c1ccccn1")</f>
        <v>COC(=O)C1C2C(=O)C(C(=O)OC)N(C)C1C(c1ccccn1)N(C)C2c1ccccn1</v>
      </c>
      <c r="C12958" s="7">
        <f>IFERROR(__xludf.DUMMYFUNCTION("""COMPUTED_VALUE"""),7.755977)</f>
        <v>7.755977</v>
      </c>
      <c r="D12958" s="7">
        <f>IFERROR(__xludf.DUMMYFUNCTION("""COMPUTED_VALUE"""),0.403225806451612)</f>
        <v>0.4032258065</v>
      </c>
    </row>
    <row r="12959">
      <c r="A12959" s="10" t="s">
        <v>14398</v>
      </c>
      <c r="B12959" s="7" t="str">
        <f>IFERROR(__xludf.DUMMYFUNCTION("SPLIT(A12959,"" "")"),"CN(Cc1ccc(N)cn1)Cc1ccc(N(C)C(C)(C)c2ccccn2)cn1")</f>
        <v>CN(Cc1ccc(N)cn1)Cc1ccc(N(C)C(C)(C)c2ccccn2)cn1</v>
      </c>
      <c r="C12959" s="7">
        <f>IFERROR(__xludf.DUMMYFUNCTION("""COMPUTED_VALUE"""),7.7559686)</f>
        <v>7.7559686</v>
      </c>
      <c r="D12959" s="7">
        <f>IFERROR(__xludf.DUMMYFUNCTION("""COMPUTED_VALUE"""),0.396226415094339)</f>
        <v>0.3962264151</v>
      </c>
    </row>
    <row r="12960">
      <c r="A12960" s="10" t="s">
        <v>14399</v>
      </c>
      <c r="B12960" s="7" t="str">
        <f>IFERROR(__xludf.DUMMYFUNCTION("SPLIT(A12960,"" "")"),"Cc1cc(CN(C)C2=CCC=C(CN(Cc3ccccn3)C(C)C)N2)nc(C)c1C")</f>
        <v>Cc1cc(CN(C)C2=CCC=C(CN(Cc3ccccn3)C(C)C)N2)nc(C)c1C</v>
      </c>
      <c r="C12960" s="7">
        <f>IFERROR(__xludf.DUMMYFUNCTION("""COMPUTED_VALUE"""),7.755965)</f>
        <v>7.755965</v>
      </c>
      <c r="D12960" s="7">
        <f>IFERROR(__xludf.DUMMYFUNCTION("""COMPUTED_VALUE"""),0.413793103448275)</f>
        <v>0.4137931034</v>
      </c>
    </row>
    <row r="12961">
      <c r="A12961" s="10" t="s">
        <v>14400</v>
      </c>
      <c r="B12961" s="7" t="str">
        <f>IFERROR(__xludf.DUMMYFUNCTION("SPLIT(A12961,"" "")"),"Cc1ccc(CN(C)C2C=CNC(CN(C)c3cccc(C)c3C)=C2)nc1")</f>
        <v>Cc1ccc(CN(C)C2C=CNC(CN(C)c3cccc(C)c3C)=C2)nc1</v>
      </c>
      <c r="C12961" s="7">
        <f>IFERROR(__xludf.DUMMYFUNCTION("""COMPUTED_VALUE"""),7.755962)</f>
        <v>7.755962</v>
      </c>
      <c r="D12961" s="7">
        <f>IFERROR(__xludf.DUMMYFUNCTION("""COMPUTED_VALUE"""),0.396551724137931)</f>
        <v>0.3965517241</v>
      </c>
    </row>
    <row r="12962">
      <c r="A12962" s="10" t="s">
        <v>14401</v>
      </c>
      <c r="B12962" s="7" t="str">
        <f>IFERROR(__xludf.DUMMYFUNCTION("SPLIT(A12962,"" "")"),"CC(C)c1cccc(CN(Cc2ccccn2)C2CCC(N(C)Cc3cc(-c4cccc5cccnc45)ccn3)CC2)n1")</f>
        <v>CC(C)c1cccc(CN(Cc2ccccn2)C2CCC(N(C)Cc3cc(-c4cccc5cccnc45)ccn3)CC2)n1</v>
      </c>
      <c r="C12962" s="7">
        <f>IFERROR(__xludf.DUMMYFUNCTION("""COMPUTED_VALUE"""),7.755961)</f>
        <v>7.755961</v>
      </c>
      <c r="D12962" s="7">
        <f>IFERROR(__xludf.DUMMYFUNCTION("""COMPUTED_VALUE"""),0.369230769230769)</f>
        <v>0.3692307692</v>
      </c>
    </row>
    <row r="12963">
      <c r="A12963" s="10" t="s">
        <v>14402</v>
      </c>
      <c r="B12963" s="7" t="str">
        <f>IFERROR(__xludf.DUMMYFUNCTION("SPLIT(A12963,"" "")"),"Cc1cccnc1CN(C)C1=CNC(CN(C)Cc2cccnc2C)=CC1")</f>
        <v>Cc1cccnc1CN(C)C1=CNC(CN(C)Cc2cccnc2C)=CC1</v>
      </c>
      <c r="C12963" s="7">
        <f>IFERROR(__xludf.DUMMYFUNCTION("""COMPUTED_VALUE"""),7.75596)</f>
        <v>7.75596</v>
      </c>
      <c r="D12963" s="7">
        <f>IFERROR(__xludf.DUMMYFUNCTION("""COMPUTED_VALUE"""),0.327586206896551)</f>
        <v>0.3275862069</v>
      </c>
    </row>
    <row r="12964">
      <c r="A12964" s="10" t="s">
        <v>14403</v>
      </c>
      <c r="B12964" s="7" t="str">
        <f>IFERROR(__xludf.DUMMYFUNCTION("SPLIT(A12964,"" "")"),"Cc1cncc(CN(C)Cc2ccc(N(C)C3C=CC=CN3)cn2)c1")</f>
        <v>Cc1cncc(CN(C)Cc2ccc(N(C)C3C=CC=CN3)cn2)c1</v>
      </c>
      <c r="C12964" s="7">
        <f>IFERROR(__xludf.DUMMYFUNCTION("""COMPUTED_VALUE"""),7.7559514)</f>
        <v>7.7559514</v>
      </c>
      <c r="D12964" s="7">
        <f>IFERROR(__xludf.DUMMYFUNCTION("""COMPUTED_VALUE"""),0.345454545454545)</f>
        <v>0.3454545455</v>
      </c>
    </row>
    <row r="12965">
      <c r="A12965" s="10" t="s">
        <v>14404</v>
      </c>
      <c r="B12965" s="7" t="str">
        <f>IFERROR(__xludf.DUMMYFUNCTION("SPLIT(A12965,"" "")"),"CN(C)c1cccc(CN(Cc2ccccn2)Cc2cccnc2F)n1")</f>
        <v>CN(C)c1cccc(CN(Cc2ccccn2)Cc2cccnc2F)n1</v>
      </c>
      <c r="C12965" s="7">
        <f>IFERROR(__xludf.DUMMYFUNCTION("""COMPUTED_VALUE"""),7.75595)</f>
        <v>7.75595</v>
      </c>
      <c r="D12965" s="7">
        <f>IFERROR(__xludf.DUMMYFUNCTION("""COMPUTED_VALUE"""),0.5)</f>
        <v>0.5</v>
      </c>
    </row>
    <row r="12966">
      <c r="A12966" s="10" t="s">
        <v>14405</v>
      </c>
      <c r="B12966" s="7" t="str">
        <f>IFERROR(__xludf.DUMMYFUNCTION("SPLIT(A12966,"" "")"),"Cc1nc(CN(C)CC2=CNC(N(C)C)=CC2)c(C)c(C)c1C")</f>
        <v>Cc1nc(CN(C)CC2=CNC(N(C)C)=CC2)c(C)c(C)c1C</v>
      </c>
      <c r="C12966" s="7">
        <f>IFERROR(__xludf.DUMMYFUNCTION("""COMPUTED_VALUE"""),7.7559433)</f>
        <v>7.7559433</v>
      </c>
      <c r="D12966" s="7">
        <f>IFERROR(__xludf.DUMMYFUNCTION("""COMPUTED_VALUE"""),0.20754716981132)</f>
        <v>0.2075471698</v>
      </c>
    </row>
    <row r="12967">
      <c r="A12967" s="10" t="s">
        <v>14406</v>
      </c>
      <c r="B12967" s="7" t="str">
        <f>IFERROR(__xludf.DUMMYFUNCTION("SPLIT(A12967,"" "")"),"Cc1nc(CN(C)CC2=C(N(C)Cc3ccccn3)CC=CN2)c(C)c(C)c1C")</f>
        <v>Cc1nc(CN(C)CC2=C(N(C)Cc3ccccn3)CC=CN2)c(C)c(C)c1C</v>
      </c>
      <c r="C12967" s="7">
        <f>IFERROR(__xludf.DUMMYFUNCTION("""COMPUTED_VALUE"""),7.7559347)</f>
        <v>7.7559347</v>
      </c>
      <c r="D12967" s="7">
        <f>IFERROR(__xludf.DUMMYFUNCTION("""COMPUTED_VALUE"""),0.366666666666666)</f>
        <v>0.3666666667</v>
      </c>
    </row>
    <row r="12968">
      <c r="A12968" s="10" t="s">
        <v>14407</v>
      </c>
      <c r="B12968" s="7" t="str">
        <f>IFERROR(__xludf.DUMMYFUNCTION("SPLIT(A12968,"" "")"),"Cc1ccnc(CN(Cc2cnc(C)cc2C)C2CCC(N(C)c3ccc4nccc(CF)c4c3)CC2)c1")</f>
        <v>Cc1ccnc(CN(Cc2cnc(C)cc2C)C2CCC(N(C)c3ccc4nccc(CF)c4c3)CC2)c1</v>
      </c>
      <c r="C12968" s="7">
        <f>IFERROR(__xludf.DUMMYFUNCTION("""COMPUTED_VALUE"""),7.7559314)</f>
        <v>7.7559314</v>
      </c>
      <c r="D12968" s="7">
        <f>IFERROR(__xludf.DUMMYFUNCTION("""COMPUTED_VALUE"""),0.25)</f>
        <v>0.25</v>
      </c>
    </row>
    <row r="12969">
      <c r="A12969" s="10" t="s">
        <v>14408</v>
      </c>
      <c r="B12969" s="7" t="str">
        <f>IFERROR(__xludf.DUMMYFUNCTION("SPLIT(A12969,"" "")"),"CNCC1=C(N(C)Cc2nc(C)c(C)c(C)c2C)CC=CN1")</f>
        <v>CNCC1=C(N(C)Cc2nc(C)c(C)c(C)c2C)CC=CN1</v>
      </c>
      <c r="C12969" s="7">
        <f>IFERROR(__xludf.DUMMYFUNCTION("""COMPUTED_VALUE"""),7.7559257)</f>
        <v>7.7559257</v>
      </c>
      <c r="D12969" s="7">
        <f>IFERROR(__xludf.DUMMYFUNCTION("""COMPUTED_VALUE"""),0.184615384615384)</f>
        <v>0.1846153846</v>
      </c>
    </row>
    <row r="12970">
      <c r="A12970" s="10" t="s">
        <v>14409</v>
      </c>
      <c r="B12970" s="7" t="str">
        <f>IFERROR(__xludf.DUMMYFUNCTION("SPLIT(A12970,"" "")"),"Cc1ccc(N(C)CN)c(C)c1C")</f>
        <v>Cc1ccc(N(C)CN)c(C)c1C</v>
      </c>
      <c r="C12970" s="7">
        <f>IFERROR(__xludf.DUMMYFUNCTION("""COMPUTED_VALUE"""),7.755925)</f>
        <v>7.755925</v>
      </c>
      <c r="D12970" s="7">
        <f>IFERROR(__xludf.DUMMYFUNCTION("""COMPUTED_VALUE"""),0.219512195121951)</f>
        <v>0.2195121951</v>
      </c>
    </row>
    <row r="12971">
      <c r="A12971" s="10" t="s">
        <v>14410</v>
      </c>
      <c r="B12971" s="7" t="str">
        <f>IFERROR(__xludf.DUMMYFUNCTION("SPLIT(A12971,"" "")"),"CNCC1=C(N(C)Cc2nc(C)c(C)cc2C)CC=CN1")</f>
        <v>CNCC1=C(N(C)Cc2nc(C)c(C)cc2C)CC=CN1</v>
      </c>
      <c r="C12971" s="7">
        <f>IFERROR(__xludf.DUMMYFUNCTION("""COMPUTED_VALUE"""),7.755925)</f>
        <v>7.755925</v>
      </c>
      <c r="D12971" s="7">
        <f>IFERROR(__xludf.DUMMYFUNCTION("""COMPUTED_VALUE"""),0.184615384615384)</f>
        <v>0.1846153846</v>
      </c>
    </row>
    <row r="12972">
      <c r="A12972" s="10" t="s">
        <v>14411</v>
      </c>
      <c r="B12972" s="7" t="str">
        <f>IFERROR(__xludf.DUMMYFUNCTION("SPLIT(A12972,"" "")"),"Cc1cc(C)c(CN(C)Cc2ncccc2C)c(C)n1")</f>
        <v>Cc1cc(C)c(CN(C)Cc2ncccc2C)c(C)n1</v>
      </c>
      <c r="C12972" s="7">
        <f>IFERROR(__xludf.DUMMYFUNCTION("""COMPUTED_VALUE"""),7.755924)</f>
        <v>7.755924</v>
      </c>
      <c r="D12972" s="7">
        <f>IFERROR(__xludf.DUMMYFUNCTION("""COMPUTED_VALUE"""),0.326530612244897)</f>
        <v>0.3265306122</v>
      </c>
    </row>
    <row r="12973">
      <c r="A12973" s="10" t="s">
        <v>14412</v>
      </c>
      <c r="B12973" s="7" t="str">
        <f>IFERROR(__xludf.DUMMYFUNCTION("SPLIT(A12973,"" "")"),"CN(C)c1cc(-c2cccc(CN(Cc3ccccn3)Cc3cccc(-c4ccc5c(c4)OCCOCCOCCOCCOCCO5)n3)n2)cc2cccnc12")</f>
        <v>CN(C)c1cc(-c2cccc(CN(Cc3ccccn3)Cc3cccc(-c4ccc5c(c4)OCCOCCOCCOCCOCCO5)n3)n2)cc2cccnc12</v>
      </c>
      <c r="C12973" s="7">
        <f>IFERROR(__xludf.DUMMYFUNCTION("""COMPUTED_VALUE"""),7.7559185)</f>
        <v>7.7559185</v>
      </c>
      <c r="D12973" s="7">
        <f>IFERROR(__xludf.DUMMYFUNCTION("""COMPUTED_VALUE"""),0.44927536231884)</f>
        <v>0.4492753623</v>
      </c>
    </row>
    <row r="12974">
      <c r="A12974" s="10" t="s">
        <v>14413</v>
      </c>
      <c r="B12974" s="7" t="str">
        <f>IFERROR(__xludf.DUMMYFUNCTION("SPLIT(A12974,"" "")"),"Cc1cnc(CN(Cc2nc(C)ccc2C)C2CCC(N(C)c3cccc4cccnc34)CC2)c(C)c1")</f>
        <v>Cc1cnc(CN(Cc2nc(C)ccc2C)C2CCC(N(C)c3cccc4cccnc34)CC2)c(C)c1</v>
      </c>
      <c r="C12974" s="7">
        <f>IFERROR(__xludf.DUMMYFUNCTION("""COMPUTED_VALUE"""),7.755912)</f>
        <v>7.755912</v>
      </c>
      <c r="D12974" s="7">
        <f>IFERROR(__xludf.DUMMYFUNCTION("""COMPUTED_VALUE"""),0.426229508196721)</f>
        <v>0.4262295082</v>
      </c>
    </row>
    <row r="12975">
      <c r="A12975" s="10" t="s">
        <v>14414</v>
      </c>
      <c r="B12975" s="7" t="str">
        <f>IFERROR(__xludf.DUMMYFUNCTION("SPLIT(A12975,"" "")"),"C1=CC(c2ccccc2)=CC(NCc2ccccn2)N1")</f>
        <v>C1=CC(c2ccccc2)=CC(NCc2ccccn2)N1</v>
      </c>
      <c r="C12975" s="7">
        <f>IFERROR(__xludf.DUMMYFUNCTION("""COMPUTED_VALUE"""),7.755911)</f>
        <v>7.755911</v>
      </c>
      <c r="D12975" s="7">
        <f>IFERROR(__xludf.DUMMYFUNCTION("""COMPUTED_VALUE"""),0.395348837209302)</f>
        <v>0.3953488372</v>
      </c>
    </row>
    <row r="12976">
      <c r="A12976" s="10" t="s">
        <v>14415</v>
      </c>
      <c r="B12976" s="7" t="str">
        <f>IFERROR(__xludf.DUMMYFUNCTION("SPLIT(A12976,"" "")"),"CC(C)C1N=COC1c1ncccc1CN(Cc1ccccn1)Cc1cc(C(C)(C)c2ccccn2)ccn1")</f>
        <v>CC(C)C1N=COC1c1ncccc1CN(Cc1ccccn1)Cc1cc(C(C)(C)c2ccccn2)ccn1</v>
      </c>
      <c r="C12976" s="7">
        <f>IFERROR(__xludf.DUMMYFUNCTION("""COMPUTED_VALUE"""),7.755905)</f>
        <v>7.755905</v>
      </c>
      <c r="D12976" s="7">
        <f>IFERROR(__xludf.DUMMYFUNCTION("""COMPUTED_VALUE"""),0.353846153846153)</f>
        <v>0.3538461538</v>
      </c>
    </row>
    <row r="12977">
      <c r="A12977" s="10" t="s">
        <v>14416</v>
      </c>
      <c r="B12977" s="7" t="str">
        <f>IFERROR(__xludf.DUMMYFUNCTION("SPLIT(A12977,"" "")"),"Cc1ccc(CN(C)CC2=C(N(Cc3ccnc(F)c3)Cc3ccccn3)CC=CN2)nc1C")</f>
        <v>Cc1ccc(CN(C)CC2=C(N(Cc3ccnc(F)c3)Cc3ccccn3)CC=CN2)nc1C</v>
      </c>
      <c r="C12977" s="7">
        <f>IFERROR(__xludf.DUMMYFUNCTION("""COMPUTED_VALUE"""),7.755903)</f>
        <v>7.755903</v>
      </c>
      <c r="D12977" s="7">
        <f>IFERROR(__xludf.DUMMYFUNCTION("""COMPUTED_VALUE"""),0.352941176470588)</f>
        <v>0.3529411765</v>
      </c>
    </row>
    <row r="12978">
      <c r="A12978" s="10" t="s">
        <v>14417</v>
      </c>
      <c r="B12978" s="7" t="str">
        <f>IFERROR(__xludf.DUMMYFUNCTION("SPLIT(A12978,"" "")"),"Cc1ccc(C)c(CN(C)C2=C(CN(C)C)NC=CC2)n1")</f>
        <v>Cc1ccc(C)c(CN(C)C2=C(CN(C)C)NC=CC2)n1</v>
      </c>
      <c r="C12978" s="7">
        <f>IFERROR(__xludf.DUMMYFUNCTION("""COMPUTED_VALUE"""),7.755902)</f>
        <v>7.755902</v>
      </c>
      <c r="D12978" s="7">
        <f>IFERROR(__xludf.DUMMYFUNCTION("""COMPUTED_VALUE"""),0.25)</f>
        <v>0.25</v>
      </c>
    </row>
    <row r="12979">
      <c r="A12979" s="10" t="s">
        <v>14418</v>
      </c>
      <c r="B12979" s="7" t="str">
        <f>IFERROR(__xludf.DUMMYFUNCTION("SPLIT(A12979,"" "")"),"Cc1cnc(C)c(CN(C)CC2=C(N(C)Cc3ccccn3)NC=CC2)c1")</f>
        <v>Cc1cnc(C)c(CN(C)CC2=C(N(C)Cc3ccccn3)NC=CC2)c1</v>
      </c>
      <c r="C12979" s="7">
        <f>IFERROR(__xludf.DUMMYFUNCTION("""COMPUTED_VALUE"""),7.755899)</f>
        <v>7.755899</v>
      </c>
      <c r="D12979" s="7">
        <f>IFERROR(__xludf.DUMMYFUNCTION("""COMPUTED_VALUE"""),0.372881355932203)</f>
        <v>0.3728813559</v>
      </c>
    </row>
    <row r="12980">
      <c r="A12980" s="10" t="s">
        <v>14419</v>
      </c>
      <c r="B12980" s="7" t="str">
        <f>IFERROR(__xludf.DUMMYFUNCTION("SPLIT(A12980,"" "")"),"Cc1cc(C(C)(C)C)cnc1CN(C)C")</f>
        <v>Cc1cc(C(C)(C)C)cnc1CN(C)C</v>
      </c>
      <c r="C12980" s="7">
        <f>IFERROR(__xludf.DUMMYFUNCTION("""COMPUTED_VALUE"""),7.7558928)</f>
        <v>7.7558928</v>
      </c>
      <c r="D12980" s="7">
        <f>IFERROR(__xludf.DUMMYFUNCTION("""COMPUTED_VALUE"""),0.268292682926829)</f>
        <v>0.2682926829</v>
      </c>
    </row>
    <row r="12981">
      <c r="A12981" s="10" t="s">
        <v>14420</v>
      </c>
      <c r="B12981" s="7" t="str">
        <f>IFERROR(__xludf.DUMMYFUNCTION("SPLIT(A12981,"" "")"),"Cc1cccc(CN(CC2=CCC(N(C)Cc3ccccn3)=CN2)Cc2ccccn2)n1")</f>
        <v>Cc1cccc(CN(CC2=CCC(N(C)Cc3ccccn3)=CN2)Cc2ccccn2)n1</v>
      </c>
      <c r="C12981" s="7">
        <f>IFERROR(__xludf.DUMMYFUNCTION("""COMPUTED_VALUE"""),7.7558923)</f>
        <v>7.7558923</v>
      </c>
      <c r="D12981" s="7">
        <f>IFERROR(__xludf.DUMMYFUNCTION("""COMPUTED_VALUE"""),0.49090909090909)</f>
        <v>0.4909090909</v>
      </c>
    </row>
    <row r="12982">
      <c r="A12982" s="10" t="s">
        <v>14421</v>
      </c>
      <c r="B12982" s="7" t="str">
        <f>IFERROR(__xludf.DUMMYFUNCTION("SPLIT(A12982,"" "")"),"COC(=O)C(=O)C(=O)C(C)NCc1cccc(CNCc2cccc(C3=NC(C)(C)CO3)n2)n1")</f>
        <v>COC(=O)C(=O)C(=O)C(C)NCc1cccc(CNCc2cccc(C3=NC(C)(C)CO3)n2)n1</v>
      </c>
      <c r="C12982" s="7">
        <f>IFERROR(__xludf.DUMMYFUNCTION("""COMPUTED_VALUE"""),7.7558913)</f>
        <v>7.7558913</v>
      </c>
      <c r="D12982" s="7">
        <f>IFERROR(__xludf.DUMMYFUNCTION("""COMPUTED_VALUE"""),0.446428571428571)</f>
        <v>0.4464285714</v>
      </c>
    </row>
    <row r="12983">
      <c r="A12983" s="10" t="s">
        <v>14422</v>
      </c>
      <c r="B12983" s="7" t="str">
        <f>IFERROR(__xludf.DUMMYFUNCTION("SPLIT(A12983,"" "")"),"CN(c1ccc2nc(CF)ccc2c1)C1CCCCC1N(Cc1ccccn1)Cc1cccc(C2=CCC=CN2)n1")</f>
        <v>CN(c1ccc2nc(CF)ccc2c1)C1CCCCC1N(Cc1ccccn1)Cc1cccc(C2=CCC=CN2)n1</v>
      </c>
      <c r="C12983" s="7">
        <f>IFERROR(__xludf.DUMMYFUNCTION("""COMPUTED_VALUE"""),7.7558894)</f>
        <v>7.7558894</v>
      </c>
      <c r="D12983" s="7">
        <f>IFERROR(__xludf.DUMMYFUNCTION("""COMPUTED_VALUE"""),0.381578947368421)</f>
        <v>0.3815789474</v>
      </c>
    </row>
    <row r="12984">
      <c r="A12984" s="10" t="s">
        <v>14423</v>
      </c>
      <c r="B12984" s="7" t="str">
        <f>IFERROR(__xludf.DUMMYFUNCTION("SPLIT(A12984,"" "")"),"Cc1cccnc1CN(Cc1ccc([Si](C(C)C)(C(C)C)C(C)C)cn1)Cc1cccc(C2=NC(C)(C)CO2)n1")</f>
        <v>Cc1cccnc1CN(Cc1ccc([Si](C(C)C)(C(C)C)C(C)C)cn1)Cc1cccc(C2=NC(C)(C)CO2)n1</v>
      </c>
      <c r="C12984" s="7">
        <f>IFERROR(__xludf.DUMMYFUNCTION("""COMPUTED_VALUE"""),7.7558866)</f>
        <v>7.7558866</v>
      </c>
      <c r="D12984" s="7">
        <f>IFERROR(__xludf.DUMMYFUNCTION("""COMPUTED_VALUE"""),0.442622950819672)</f>
        <v>0.4426229508</v>
      </c>
    </row>
    <row r="12985">
      <c r="A12985" s="10" t="s">
        <v>14424</v>
      </c>
      <c r="B12985" s="7" t="str">
        <f>IFERROR(__xludf.DUMMYFUNCTION("SPLIT(A12985,"" "")"),"Cc1cc(C)c(CN(C)C2=C(CN(C)Cc3ccccn3)NC=CC2)nc1C")</f>
        <v>Cc1cc(C)c(CN(C)C2=C(CN(C)Cc3ccccn3)NC=CC2)nc1C</v>
      </c>
      <c r="C12985" s="7">
        <f>IFERROR(__xludf.DUMMYFUNCTION("""COMPUTED_VALUE"""),7.755881)</f>
        <v>7.755881</v>
      </c>
      <c r="D12985" s="7">
        <f>IFERROR(__xludf.DUMMYFUNCTION("""COMPUTED_VALUE"""),0.383333333333333)</f>
        <v>0.3833333333</v>
      </c>
    </row>
    <row r="12986">
      <c r="A12986" s="10" t="s">
        <v>14425</v>
      </c>
      <c r="B12986" s="7" t="str">
        <f>IFERROR(__xludf.DUMMYFUNCTION("SPLIT(A12986,"" "")"),"CC1=CCC(N(C)Cc2cc(-c3cccc(N(C)C)c3)ccn2)C(C)C1")</f>
        <v>CC1=CCC(N(C)Cc2cc(-c3cccc(N(C)C)c3)ccn2)C(C)C1</v>
      </c>
      <c r="C12986" s="7">
        <f>IFERROR(__xludf.DUMMYFUNCTION("""COMPUTED_VALUE"""),7.755874)</f>
        <v>7.755874</v>
      </c>
      <c r="D12986" s="7">
        <f>IFERROR(__xludf.DUMMYFUNCTION("""COMPUTED_VALUE"""),0.350877192982456)</f>
        <v>0.350877193</v>
      </c>
    </row>
    <row r="12987">
      <c r="A12987" s="10" t="s">
        <v>14426</v>
      </c>
      <c r="B12987" s="7" t="str">
        <f>IFERROR(__xludf.DUMMYFUNCTION("SPLIT(A12987,"" "")"),"CN(Cc1ccccn1)c1ccc2cccnc2c1-c1cccc(CN(Cc2ccccn2)Cc2ncccc2-c2ccc3c(c2)OCCOCCOCCOCCOCCO3)n1")</f>
        <v>CN(Cc1ccccn1)c1ccc2cccnc2c1-c1cccc(CN(Cc2ccccn2)Cc2ncccc2-c2ccc3c(c2)OCCOCCOCCOCCOCCO3)n1</v>
      </c>
      <c r="C12987" s="7">
        <f>IFERROR(__xludf.DUMMYFUNCTION("""COMPUTED_VALUE"""),7.7558694)</f>
        <v>7.7558694</v>
      </c>
      <c r="D12987" s="7">
        <f>IFERROR(__xludf.DUMMYFUNCTION("""COMPUTED_VALUE"""),0.3625)</f>
        <v>0.3625</v>
      </c>
    </row>
    <row r="12988">
      <c r="A12988" s="10" t="s">
        <v>14427</v>
      </c>
      <c r="B12988" s="7" t="str">
        <f>IFERROR(__xludf.DUMMYFUNCTION("SPLIT(A12988,"" "")"),"Cc1ccc(CN(C)CC2=C(N(C)Cc3cc(C)c(C)c(C)n3)CC=CN2)nc1")</f>
        <v>Cc1ccc(CN(C)CC2=C(N(C)Cc3cc(C)c(C)c(C)n3)CC=CN2)nc1</v>
      </c>
      <c r="C12988" s="7">
        <f>IFERROR(__xludf.DUMMYFUNCTION("""COMPUTED_VALUE"""),7.7558684)</f>
        <v>7.7558684</v>
      </c>
      <c r="D12988" s="7">
        <f>IFERROR(__xludf.DUMMYFUNCTION("""COMPUTED_VALUE"""),0.4)</f>
        <v>0.4</v>
      </c>
    </row>
    <row r="12989">
      <c r="A12989" s="10" t="s">
        <v>14428</v>
      </c>
      <c r="B12989" s="7" t="str">
        <f>IFERROR(__xludf.DUMMYFUNCTION("SPLIT(A12989,"" "")"),"Cc1ccc(CN(C)C2CCC(N(C)Cc3cc(-c4ccc5cccnc5c4)ccn3)CC2)nc1")</f>
        <v>Cc1ccc(CN(C)C2CCC(N(C)Cc3cc(-c4ccc5cccnc5c4)ccn3)CC2)nc1</v>
      </c>
      <c r="C12989" s="7">
        <f>IFERROR(__xludf.DUMMYFUNCTION("""COMPUTED_VALUE"""),7.7558665)</f>
        <v>7.7558665</v>
      </c>
      <c r="D12989" s="7">
        <f>IFERROR(__xludf.DUMMYFUNCTION("""COMPUTED_VALUE"""),0.446428571428571)</f>
        <v>0.4464285714</v>
      </c>
    </row>
    <row r="12990">
      <c r="A12990" s="10" t="s">
        <v>14429</v>
      </c>
      <c r="B12990" s="7" t="str">
        <f>IFERROR(__xludf.DUMMYFUNCTION("SPLIT(A12990,"" "")"),"Cc1cc(C)nc(CN(C)C2=C(CN(C)Cc3ccncc3C)NC=CC2)c1")</f>
        <v>Cc1cc(C)nc(CN(C)C2=C(CN(C)Cc3ccncc3C)NC=CC2)c1</v>
      </c>
      <c r="C12990" s="7">
        <f>IFERROR(__xludf.DUMMYFUNCTION("""COMPUTED_VALUE"""),7.7558665)</f>
        <v>7.7558665</v>
      </c>
      <c r="D12990" s="7">
        <f>IFERROR(__xludf.DUMMYFUNCTION("""COMPUTED_VALUE"""),0.28125)</f>
        <v>0.28125</v>
      </c>
    </row>
    <row r="12991">
      <c r="A12991" s="10" t="s">
        <v>14430</v>
      </c>
      <c r="B12991" s="7" t="str">
        <f>IFERROR(__xludf.DUMMYFUNCTION("SPLIT(A12991,"" "")"),"Cc1cccc(CN(C)C2=CNC(CN(Cc3ccccn3)Cc3cccc(F)n3)=CC2)n1")</f>
        <v>Cc1cccc(CN(C)C2=CNC(CN(Cc3ccccn3)Cc3cccc(F)n3)=CC2)n1</v>
      </c>
      <c r="C12991" s="7">
        <f>IFERROR(__xludf.DUMMYFUNCTION("""COMPUTED_VALUE"""),7.755864)</f>
        <v>7.755864</v>
      </c>
      <c r="D12991" s="7">
        <f>IFERROR(__xludf.DUMMYFUNCTION("""COMPUTED_VALUE"""),0.442622950819672)</f>
        <v>0.4426229508</v>
      </c>
    </row>
    <row r="12992">
      <c r="A12992" s="10" t="s">
        <v>14431</v>
      </c>
      <c r="B12992" s="7" t="str">
        <f>IFERROR(__xludf.DUMMYFUNCTION("SPLIT(A12992,"" "")"),"Cc1ccc(CN(C)CC2=C(N(C)Cc3nc(C)c(C)cc3C)CC=CN2)nc1")</f>
        <v>Cc1ccc(CN(C)CC2=C(N(C)Cc3nc(C)c(C)cc3C)CC=CN2)nc1</v>
      </c>
      <c r="C12992" s="7">
        <f>IFERROR(__xludf.DUMMYFUNCTION("""COMPUTED_VALUE"""),7.755852)</f>
        <v>7.755852</v>
      </c>
      <c r="D12992" s="7">
        <f>IFERROR(__xludf.DUMMYFUNCTION("""COMPUTED_VALUE"""),0.4)</f>
        <v>0.4</v>
      </c>
    </row>
    <row r="12993">
      <c r="A12993" s="10" t="s">
        <v>14432</v>
      </c>
      <c r="B12993" s="7" t="str">
        <f>IFERROR(__xludf.DUMMYFUNCTION("SPLIT(A12993,"" "")"),"Cc1cnccc1CN(C)C1CCCC(N(C)Cc2cccc(-c3cccc4ncccc34)n2)C1")</f>
        <v>Cc1cnccc1CN(C)C1CCCC(N(C)Cc2cccc(-c3cccc4ncccc34)n2)C1</v>
      </c>
      <c r="C12993" s="7">
        <f>IFERROR(__xludf.DUMMYFUNCTION("""COMPUTED_VALUE"""),7.75585)</f>
        <v>7.75585</v>
      </c>
      <c r="D12993" s="7">
        <f>IFERROR(__xludf.DUMMYFUNCTION("""COMPUTED_VALUE"""),0.333333333333333)</f>
        <v>0.3333333333</v>
      </c>
    </row>
    <row r="12994">
      <c r="A12994" s="10" t="s">
        <v>14433</v>
      </c>
      <c r="B12994" s="7" t="str">
        <f>IFERROR(__xludf.DUMMYFUNCTION("SPLIT(A12994,"" "")"),"Cc1cnc(C)c(CN(C)C2=CNC(CN(C)Cc3cccc(C)n3)=CC2)c1")</f>
        <v>Cc1cnc(C)c(CN(C)C2=CNC(CN(C)Cc3cccc(C)n3)=CC2)c1</v>
      </c>
      <c r="C12994" s="7">
        <f>IFERROR(__xludf.DUMMYFUNCTION("""COMPUTED_VALUE"""),7.7558475)</f>
        <v>7.7558475</v>
      </c>
      <c r="D12994" s="7">
        <f>IFERROR(__xludf.DUMMYFUNCTION("""COMPUTED_VALUE"""),0.4)</f>
        <v>0.4</v>
      </c>
    </row>
    <row r="12995">
      <c r="A12995" s="10" t="s">
        <v>14434</v>
      </c>
      <c r="B12995" s="7" t="str">
        <f>IFERROR(__xludf.DUMMYFUNCTION("SPLIT(A12995,"" "")"),"Cc1cnc(CN(C)C2=CNC(CN(C)Cc3ccccn3)=CC2)c(C)c1C")</f>
        <v>Cc1cnc(CN(C)C2=CNC(CN(C)Cc3ccccn3)=CC2)c(C)c1C</v>
      </c>
      <c r="C12995" s="7">
        <f>IFERROR(__xludf.DUMMYFUNCTION("""COMPUTED_VALUE"""),7.7558465)</f>
        <v>7.7558465</v>
      </c>
      <c r="D12995" s="7">
        <f>IFERROR(__xludf.DUMMYFUNCTION("""COMPUTED_VALUE"""),0.396551724137931)</f>
        <v>0.3965517241</v>
      </c>
    </row>
    <row r="12996">
      <c r="A12996" s="10" t="s">
        <v>14435</v>
      </c>
      <c r="B12996" s="7" t="str">
        <f>IFERROR(__xludf.DUMMYFUNCTION("SPLIT(A12996,"" "")"),"C=CCN(C)CCN(Cc1ccccn1)Cc1cnccc1-c1ccccc1N(C)Cc1ccccn1")</f>
        <v>C=CCN(C)CCN(Cc1ccccn1)Cc1cnccc1-c1ccccc1N(C)Cc1ccccn1</v>
      </c>
      <c r="C12996" s="7">
        <f>IFERROR(__xludf.DUMMYFUNCTION("""COMPUTED_VALUE"""),7.755843)</f>
        <v>7.755843</v>
      </c>
      <c r="D12996" s="7">
        <f>IFERROR(__xludf.DUMMYFUNCTION("""COMPUTED_VALUE"""),0.46031746031746)</f>
        <v>0.4603174603</v>
      </c>
    </row>
    <row r="12997">
      <c r="A12997" s="10" t="s">
        <v>14436</v>
      </c>
      <c r="B12997" s="7" t="str">
        <f>IFERROR(__xludf.DUMMYFUNCTION("SPLIT(A12997,"" "")"),"CN(CCCNCc1ccccn1)c1ccc2ncccc2c1")</f>
        <v>CN(CCCNCc1ccccn1)c1ccc2ncccc2c1</v>
      </c>
      <c r="C12997" s="7">
        <f>IFERROR(__xludf.DUMMYFUNCTION("""COMPUTED_VALUE"""),7.7558384)</f>
        <v>7.7558384</v>
      </c>
      <c r="D12997" s="7">
        <f>IFERROR(__xludf.DUMMYFUNCTION("""COMPUTED_VALUE"""),0.477272727272727)</f>
        <v>0.4772727273</v>
      </c>
    </row>
    <row r="12998">
      <c r="A12998" s="10" t="s">
        <v>14437</v>
      </c>
      <c r="B12998" s="7" t="str">
        <f>IFERROR(__xludf.DUMMYFUNCTION("SPLIT(A12998,"" "")"),"C1=CNC(Nc2cccnn2)C=C1")</f>
        <v>C1=CNC(Nc2cccnn2)C=C1</v>
      </c>
      <c r="C12998" s="7">
        <f>IFERROR(__xludf.DUMMYFUNCTION("""COMPUTED_VALUE"""),7.755824)</f>
        <v>7.755824</v>
      </c>
      <c r="D12998" s="7">
        <f>IFERROR(__xludf.DUMMYFUNCTION("""COMPUTED_VALUE"""),0.294117647058823)</f>
        <v>0.2941176471</v>
      </c>
    </row>
    <row r="12999">
      <c r="A12999" s="10" t="s">
        <v>14438</v>
      </c>
      <c r="B12999" s="7" t="str">
        <f>IFERROR(__xludf.DUMMYFUNCTION("SPLIT(A12999,"" "")"),"Cc1cncc(CN(C)C2=CCC(CN(C)Cc3cc(C)c(C)c(C)n3)=CN2)c1")</f>
        <v>Cc1cncc(CN(C)C2=CCC(CN(C)Cc3cc(C)c(C)c(C)n3)=CN2)c1</v>
      </c>
      <c r="C12999" s="7">
        <f>IFERROR(__xludf.DUMMYFUNCTION("""COMPUTED_VALUE"""),7.7558227)</f>
        <v>7.7558227</v>
      </c>
      <c r="D12999" s="7">
        <f>IFERROR(__xludf.DUMMYFUNCTION("""COMPUTED_VALUE"""),0.222222222222222)</f>
        <v>0.2222222222</v>
      </c>
    </row>
    <row r="13000">
      <c r="A13000" s="10" t="s">
        <v>14439</v>
      </c>
      <c r="B13000" s="7" t="str">
        <f>IFERROR(__xludf.DUMMYFUNCTION("SPLIT(A13000,"" "")"),"Cc1ccnc(CN(Cc2ccc(C)c(C)n2)C2CCC(N(C)c3ccc4nccc(CF)c4c3)CC2)c1")</f>
        <v>Cc1ccnc(CN(Cc2ccc(C)c(C)n2)C2CCC(N(C)c3ccc4nccc(CF)c4c3)CC2)c1</v>
      </c>
      <c r="C13000" s="7">
        <f>IFERROR(__xludf.DUMMYFUNCTION("""COMPUTED_VALUE"""),7.755822)</f>
        <v>7.755822</v>
      </c>
      <c r="D13000" s="7">
        <f>IFERROR(__xludf.DUMMYFUNCTION("""COMPUTED_VALUE"""),0.253521126760563)</f>
        <v>0.2535211268</v>
      </c>
    </row>
    <row r="13001">
      <c r="A13001" s="10" t="s">
        <v>14440</v>
      </c>
      <c r="B13001" s="7" t="str">
        <f>IFERROR(__xludf.DUMMYFUNCTION("SPLIT(A13001,"" "")"),"CCN(Cc1ccccn1)Cc1ccc2cccc(N(C)C3CCCCC3N(Cc3ccc4ncccc4c3)Cc3ccccn3)c2n1")</f>
        <v>CCN(Cc1ccccn1)Cc1ccc2cccc(N(C)C3CCCCC3N(Cc3ccc4ncccc4c3)Cc3ccccn3)c2n1</v>
      </c>
      <c r="C13001" s="7">
        <f>IFERROR(__xludf.DUMMYFUNCTION("""COMPUTED_VALUE"""),7.7558217)</f>
        <v>7.7558217</v>
      </c>
      <c r="D13001" s="7">
        <f>IFERROR(__xludf.DUMMYFUNCTION("""COMPUTED_VALUE"""),0.463768115942029)</f>
        <v>0.4637681159</v>
      </c>
    </row>
    <row r="13002">
      <c r="A13002" s="10" t="s">
        <v>14441</v>
      </c>
      <c r="B13002" s="7" t="str">
        <f>IFERROR(__xludf.DUMMYFUNCTION("SPLIT(A13002,"" "")"),"CC(C)N(Cc1ncccc1C(C)(C)c1ccccn1)Cc1ncccc1C(C)(C)c1ccccn1")</f>
        <v>CC(C)N(Cc1ncccc1C(C)(C)c1ccccn1)Cc1ncccc1C(C)(C)c1ccccn1</v>
      </c>
      <c r="C13002" s="7">
        <f>IFERROR(__xludf.DUMMYFUNCTION("""COMPUTED_VALUE"""),7.7558184)</f>
        <v>7.7558184</v>
      </c>
      <c r="D13002" s="7">
        <f>IFERROR(__xludf.DUMMYFUNCTION("""COMPUTED_VALUE"""),0.465116279069767)</f>
        <v>0.4651162791</v>
      </c>
    </row>
    <row r="13003">
      <c r="A13003" s="10" t="s">
        <v>14442</v>
      </c>
      <c r="B13003" s="7" t="str">
        <f>IFERROR(__xludf.DUMMYFUNCTION("SPLIT(A13003,"" "")"),"Cc1cnc(CN(CC2=C(N(C)c3ccc4nc(CF)ccc4c3)CC=CN2)C2CCC(N(C)Cc3nc(C)ccc3C)CC2)c(C)c1")</f>
        <v>Cc1cnc(CN(CC2=C(N(C)c3ccc4nc(CF)ccc4c3)CC=CN2)C2CCC(N(C)Cc3nc(C)ccc3C)CC2)c(C)c1</v>
      </c>
      <c r="C13003" s="7">
        <f>IFERROR(__xludf.DUMMYFUNCTION("""COMPUTED_VALUE"""),7.7558155)</f>
        <v>7.7558155</v>
      </c>
      <c r="D13003" s="7">
        <f>IFERROR(__xludf.DUMMYFUNCTION("""COMPUTED_VALUE"""),0.232558139534883)</f>
        <v>0.2325581395</v>
      </c>
    </row>
    <row r="13004">
      <c r="A13004" s="10" t="s">
        <v>14443</v>
      </c>
      <c r="B13004" s="7" t="str">
        <f>IFERROR(__xludf.DUMMYFUNCTION("SPLIT(A13004,"" "")"),"COC(=O)C1CN(C)C(c2cc(C)c(C)c(CN(Cc3ccccn3)Cc3cc(C(C)(C)C)ccn3)n2)C(c2ccccn2)C1c1ccccn1")</f>
        <v>COC(=O)C1CN(C)C(c2cc(C)c(C)c(CN(Cc3ccccn3)Cc3cc(C(C)(C)C)ccn3)n2)C(c2ccccn2)C1c1ccccn1</v>
      </c>
      <c r="C13004" s="7">
        <f>IFERROR(__xludf.DUMMYFUNCTION("""COMPUTED_VALUE"""),7.7558136)</f>
        <v>7.7558136</v>
      </c>
      <c r="D13004" s="7">
        <f>IFERROR(__xludf.DUMMYFUNCTION("""COMPUTED_VALUE"""),0.305882352941176)</f>
        <v>0.3058823529</v>
      </c>
    </row>
    <row r="13005">
      <c r="A13005" s="10" t="s">
        <v>14444</v>
      </c>
      <c r="B13005" s="7" t="str">
        <f>IFERROR(__xludf.DUMMYFUNCTION("SPLIT(A13005,"" "")"),"Cc1ccc(CN(Cc2ccccn2)Cc2cccc(N(C)Cc3cccc(C4CC(C)(C)C4)n3)n2)nc1")</f>
        <v>Cc1ccc(CN(Cc2ccccn2)Cc2cccc(N(C)Cc3cccc(C4CC(C)(C)C4)n3)n2)nc1</v>
      </c>
      <c r="C13005" s="7">
        <f>IFERROR(__xludf.DUMMYFUNCTION("""COMPUTED_VALUE"""),7.755807)</f>
        <v>7.755807</v>
      </c>
      <c r="D13005" s="7">
        <f>IFERROR(__xludf.DUMMYFUNCTION("""COMPUTED_VALUE"""),0.377049180327868)</f>
        <v>0.3770491803</v>
      </c>
    </row>
    <row r="13006">
      <c r="A13006" s="10" t="s">
        <v>14445</v>
      </c>
      <c r="B13006" s="7" t="str">
        <f>IFERROR(__xludf.DUMMYFUNCTION("SPLIT(A13006,"" "")"),"CN(Cc1cc(-c2ccc3c(c2)OCCOCCOCCOCCOCCO3)ccn1)c1ccc(N(C)Cc2ccccn2)c2ncccc12")</f>
        <v>CN(Cc1cc(-c2ccc3c(c2)OCCOCCOCCOCCOCCO3)ccn1)c1ccc(N(C)Cc2ccccn2)c2ncccc12</v>
      </c>
      <c r="C13006" s="7">
        <f>IFERROR(__xludf.DUMMYFUNCTION("""COMPUTED_VALUE"""),7.7558055)</f>
        <v>7.7558055</v>
      </c>
      <c r="D13006" s="7">
        <f>IFERROR(__xludf.DUMMYFUNCTION("""COMPUTED_VALUE"""),0.406779661016949)</f>
        <v>0.406779661</v>
      </c>
    </row>
    <row r="13007">
      <c r="A13007" s="10" t="s">
        <v>14446</v>
      </c>
      <c r="B13007" s="7" t="str">
        <f>IFERROR(__xludf.DUMMYFUNCTION("SPLIT(A13007,"" "")"),"CC1CCC1c1cccc(CN(C)CCN(Cc2ccccn2)c2cccc3cccnc23)n1")</f>
        <v>CC1CCC1c1cccc(CN(C)CCN(Cc2ccccn2)c2cccc3cccnc23)n1</v>
      </c>
      <c r="C13007" s="7">
        <f>IFERROR(__xludf.DUMMYFUNCTION("""COMPUTED_VALUE"""),7.755801)</f>
        <v>7.755801</v>
      </c>
      <c r="D13007" s="7">
        <f>IFERROR(__xludf.DUMMYFUNCTION("""COMPUTED_VALUE"""),0.416666666666666)</f>
        <v>0.4166666667</v>
      </c>
    </row>
    <row r="13008">
      <c r="A13008" s="10" t="s">
        <v>14447</v>
      </c>
      <c r="B13008" s="7" t="str">
        <f>IFERROR(__xludf.DUMMYFUNCTION("SPLIT(A13008,"" "")"),"CNCc1ncccc1CN(Cc1nc(C)c(C)cc1C)Cc1nc(C)c(C)cc1C")</f>
        <v>CNCc1ncccc1CN(Cc1nc(C)c(C)cc1C)Cc1nc(C)c(C)cc1C</v>
      </c>
      <c r="C13008" s="7">
        <f>IFERROR(__xludf.DUMMYFUNCTION("""COMPUTED_VALUE"""),7.755795)</f>
        <v>7.755795</v>
      </c>
      <c r="D13008" s="7">
        <f>IFERROR(__xludf.DUMMYFUNCTION("""COMPUTED_VALUE"""),0.307692307692307)</f>
        <v>0.3076923077</v>
      </c>
    </row>
    <row r="13009">
      <c r="A13009" s="10" t="s">
        <v>14448</v>
      </c>
      <c r="B13009" s="7" t="str">
        <f>IFERROR(__xludf.DUMMYFUNCTION("SPLIT(A13009,"" "")"),"CN(CCN(C)C(C)(C)C)c1ccc2nc(CF)ccc2c1")</f>
        <v>CN(CCN(C)C(C)(C)C)c1ccc2nc(CF)ccc2c1</v>
      </c>
      <c r="C13009" s="7">
        <f>IFERROR(__xludf.DUMMYFUNCTION("""COMPUTED_VALUE"""),7.7557936)</f>
        <v>7.7557936</v>
      </c>
      <c r="D13009" s="7">
        <f>IFERROR(__xludf.DUMMYFUNCTION("""COMPUTED_VALUE"""),0.303571428571428)</f>
        <v>0.3035714286</v>
      </c>
    </row>
    <row r="13010">
      <c r="A13010" s="10" t="s">
        <v>14449</v>
      </c>
      <c r="B13010" s="7" t="str">
        <f>IFERROR(__xludf.DUMMYFUNCTION("SPLIT(A13010,"" "")"),"CC1=C(c2ncccc2CN(Cc2ccccn2)Cc2ccccn2)CC(C)(C)C2C=C(C(C)C)NC=C12")</f>
        <v>CC1=C(c2ncccc2CN(Cc2ccccn2)Cc2ccccn2)CC(C)(C)C2C=C(C(C)C)NC=C12</v>
      </c>
      <c r="C13010" s="7">
        <f>IFERROR(__xludf.DUMMYFUNCTION("""COMPUTED_VALUE"""),7.755792)</f>
        <v>7.755792</v>
      </c>
      <c r="D13010" s="7">
        <f>IFERROR(__xludf.DUMMYFUNCTION("""COMPUTED_VALUE"""),0.338983050847457)</f>
        <v>0.3389830508</v>
      </c>
    </row>
    <row r="13011">
      <c r="A13011" s="10" t="s">
        <v>14450</v>
      </c>
      <c r="B13011" s="7" t="str">
        <f>IFERROR(__xludf.DUMMYFUNCTION("SPLIT(A13011,"" "")"),"Cc1nc(CN(Cc2ccccn2)C2CCCCC2N(C)c2cccc3cc(CN(C)C)cnc23)c(C)c(C)c1C")</f>
        <v>Cc1nc(CN(Cc2ccccn2)C2CCCCC2N(C)c2cccc3cc(CN(C)C)cnc23)c(C)c(C)c1C</v>
      </c>
      <c r="C13011" s="7">
        <f>IFERROR(__xludf.DUMMYFUNCTION("""COMPUTED_VALUE"""),7.755791)</f>
        <v>7.755791</v>
      </c>
      <c r="D13011" s="7">
        <f>IFERROR(__xludf.DUMMYFUNCTION("""COMPUTED_VALUE"""),0.439393939393939)</f>
        <v>0.4393939394</v>
      </c>
    </row>
    <row r="13012">
      <c r="A13012" s="10" t="s">
        <v>14451</v>
      </c>
      <c r="B13012" s="7" t="str">
        <f>IFERROR(__xludf.DUMMYFUNCTION("SPLIT(A13012,"" "")"),"Cc1cnc(CN(C)C)c(C)c1")</f>
        <v>Cc1cnc(CN(C)C)c(C)c1</v>
      </c>
      <c r="C13012" s="7">
        <f>IFERROR(__xludf.DUMMYFUNCTION("""COMPUTED_VALUE"""),7.755776)</f>
        <v>7.755776</v>
      </c>
      <c r="D13012" s="7">
        <f>IFERROR(__xludf.DUMMYFUNCTION("""COMPUTED_VALUE"""),0.361111111111111)</f>
        <v>0.3611111111</v>
      </c>
    </row>
    <row r="13013">
      <c r="A13013" s="10" t="s">
        <v>14452</v>
      </c>
      <c r="B13013" s="7" t="str">
        <f>IFERROR(__xludf.DUMMYFUNCTION("SPLIT(A13013,"" "")"),"Cc1cc(CN(C)C2CCCC(N(C)c3ccc4c(CN(C)C)ccnc4c3)C2)cnc1C")</f>
        <v>Cc1cc(CN(C)C2CCCC(N(C)c3ccc4c(CN(C)C)ccnc4c3)C2)cnc1C</v>
      </c>
      <c r="C13013" s="7">
        <f>IFERROR(__xludf.DUMMYFUNCTION("""COMPUTED_VALUE"""),7.755775)</f>
        <v>7.755775</v>
      </c>
      <c r="D13013" s="7">
        <f>IFERROR(__xludf.DUMMYFUNCTION("""COMPUTED_VALUE"""),0.25)</f>
        <v>0.25</v>
      </c>
    </row>
    <row r="13014">
      <c r="A13014" s="10" t="s">
        <v>14453</v>
      </c>
      <c r="B13014" s="7" t="str">
        <f>IFERROR(__xludf.DUMMYFUNCTION("SPLIT(A13014,"" "")"),"CCN(Cc1ccccn1)Cc1ncccc1C(C)(c1ccccn1)c1ccccn1")</f>
        <v>CCN(Cc1ccccn1)Cc1ncccc1C(C)(c1ccccn1)c1ccccn1</v>
      </c>
      <c r="C13014" s="7">
        <f>IFERROR(__xludf.DUMMYFUNCTION("""COMPUTED_VALUE"""),7.75577)</f>
        <v>7.75577</v>
      </c>
      <c r="D13014" s="7">
        <f>IFERROR(__xludf.DUMMYFUNCTION("""COMPUTED_VALUE"""),0.468085106382978)</f>
        <v>0.4680851064</v>
      </c>
    </row>
    <row r="13015">
      <c r="A13015" s="10" t="s">
        <v>14454</v>
      </c>
      <c r="B13015" s="7" t="str">
        <f>IFERROR(__xludf.DUMMYFUNCTION("SPLIT(A13015,"" "")"),"Cc1ccc(N(C)CCN(C)c2ccccc2C)cc1")</f>
        <v>Cc1ccc(N(C)CCN(C)c2ccccc2C)cc1</v>
      </c>
      <c r="C13015" s="7">
        <f>IFERROR(__xludf.DUMMYFUNCTION("""COMPUTED_VALUE"""),7.755766)</f>
        <v>7.755766</v>
      </c>
      <c r="D13015" s="7">
        <f>IFERROR(__xludf.DUMMYFUNCTION("""COMPUTED_VALUE"""),0.35)</f>
        <v>0.35</v>
      </c>
    </row>
    <row r="13016">
      <c r="A13016" s="10" t="s">
        <v>14455</v>
      </c>
      <c r="B13016" s="7" t="str">
        <f>IFERROR(__xludf.DUMMYFUNCTION("SPLIT(A13016,"" "")"),"Cc1ccc(CN(C)C2=CNC(CN(C)Cc3ccccn3)=CC2)nc1C")</f>
        <v>Cc1ccc(CN(C)C2=CNC(CN(C)Cc3ccccn3)=CC2)nc1C</v>
      </c>
      <c r="C13016" s="7">
        <f>IFERROR(__xludf.DUMMYFUNCTION("""COMPUTED_VALUE"""),7.7557583)</f>
        <v>7.7557583</v>
      </c>
      <c r="D13016" s="7">
        <f>IFERROR(__xludf.DUMMYFUNCTION("""COMPUTED_VALUE"""),0.428571428571428)</f>
        <v>0.4285714286</v>
      </c>
    </row>
    <row r="13017">
      <c r="A13017" s="10" t="s">
        <v>14456</v>
      </c>
      <c r="B13017" s="7" t="str">
        <f>IFERROR(__xludf.DUMMYFUNCTION("SPLIT(A13017,"" "")"),"CNc1ccc(CN(Cc2ccccn2)Cc2cccc(C)n2)nc1C")</f>
        <v>CNc1ccc(CN(Cc2ccccn2)Cc2cccc(C)n2)nc1C</v>
      </c>
      <c r="C13017" s="7">
        <f>IFERROR(__xludf.DUMMYFUNCTION("""COMPUTED_VALUE"""),7.7557554)</f>
        <v>7.7557554</v>
      </c>
      <c r="D13017" s="7">
        <f>IFERROR(__xludf.DUMMYFUNCTION("""COMPUTED_VALUE"""),0.5)</f>
        <v>0.5</v>
      </c>
    </row>
    <row r="13018">
      <c r="A13018" s="10" t="s">
        <v>14457</v>
      </c>
      <c r="B13018" s="7" t="str">
        <f>IFERROR(__xludf.DUMMYFUNCTION("SPLIT(A13018,"" "")"),"COC(=O)C(=O)C(=O)C(C)NCc1cc(CNCc2cc(C3=NC(C)(C)CO3)ccn2)ccn1")</f>
        <v>COC(=O)C(=O)C(=O)C(C)NCc1cc(CNCc2cc(C3=NC(C)(C)CO3)ccn2)ccn1</v>
      </c>
      <c r="C13018" s="7">
        <f>IFERROR(__xludf.DUMMYFUNCTION("""COMPUTED_VALUE"""),7.755751)</f>
        <v>7.755751</v>
      </c>
      <c r="D13018" s="7">
        <f>IFERROR(__xludf.DUMMYFUNCTION("""COMPUTED_VALUE"""),0.26865671641791)</f>
        <v>0.2686567164</v>
      </c>
    </row>
    <row r="13019">
      <c r="A13019" s="10" t="s">
        <v>14458</v>
      </c>
      <c r="B13019" s="7" t="str">
        <f>IFERROR(__xludf.DUMMYFUNCTION("SPLIT(A13019,"" "")"),"Cc1cc(C)c(C)c(CN(C)CC2=CNC=C(N(C)Cc3ccccn3)C2)n1")</f>
        <v>Cc1cc(C)c(C)c(CN(C)CC2=CNC=C(N(C)Cc3ccccn3)C2)n1</v>
      </c>
      <c r="C13019" s="7">
        <f>IFERROR(__xludf.DUMMYFUNCTION("""COMPUTED_VALUE"""),7.7557387)</f>
        <v>7.7557387</v>
      </c>
      <c r="D13019" s="7">
        <f>IFERROR(__xludf.DUMMYFUNCTION("""COMPUTED_VALUE"""),0.372881355932203)</f>
        <v>0.3728813559</v>
      </c>
    </row>
    <row r="13020">
      <c r="A13020" s="10" t="s">
        <v>14459</v>
      </c>
      <c r="B13020" s="7" t="str">
        <f>IFERROR(__xludf.DUMMYFUNCTION("SPLIT(A13020,"" "")"),"Cc1ccc(C)c(CN(C)C2=CNC(CN(C)Cc3cc(C)c(C)cn3)=CC2)n1")</f>
        <v>Cc1ccc(C)c(CN(C)C2=CNC(CN(C)Cc3cc(C)c(C)cn3)=CC2)n1</v>
      </c>
      <c r="C13020" s="7">
        <f>IFERROR(__xludf.DUMMYFUNCTION("""COMPUTED_VALUE"""),7.7557254)</f>
        <v>7.7557254</v>
      </c>
      <c r="D13020" s="7">
        <f>IFERROR(__xludf.DUMMYFUNCTION("""COMPUTED_VALUE"""),0.293103448275862)</f>
        <v>0.2931034483</v>
      </c>
    </row>
    <row r="13021">
      <c r="A13021" s="10" t="s">
        <v>14460</v>
      </c>
      <c r="B13021" s="7" t="str">
        <f>IFERROR(__xludf.DUMMYFUNCTION("SPLIT(A13021,"" "")"),"Cc1ccc(CN(C)C2=C(CN(C)Cc3nc(C)c(C)cc3C)NC=CC2)nc1")</f>
        <v>Cc1ccc(CN(C)C2=C(CN(C)Cc3nc(C)c(C)cc3C)NC=CC2)nc1</v>
      </c>
      <c r="C13021" s="7">
        <f>IFERROR(__xludf.DUMMYFUNCTION("""COMPUTED_VALUE"""),7.755718)</f>
        <v>7.755718</v>
      </c>
      <c r="D13021" s="7">
        <f>IFERROR(__xludf.DUMMYFUNCTION("""COMPUTED_VALUE"""),0.375)</f>
        <v>0.375</v>
      </c>
    </row>
    <row r="13022">
      <c r="A13022" s="10" t="s">
        <v>14461</v>
      </c>
      <c r="B13022" s="7" t="str">
        <f>IFERROR(__xludf.DUMMYFUNCTION("SPLIT(A13022,"" "")"),"Cc1ccnc(CN(C)Cc2ncc(C)c(C)c2C)c1C")</f>
        <v>Cc1ccnc(CN(C)Cc2ncc(C)c(C)c2C)c1C</v>
      </c>
      <c r="C13022" s="7">
        <f>IFERROR(__xludf.DUMMYFUNCTION("""COMPUTED_VALUE"""),7.7557144)</f>
        <v>7.7557144</v>
      </c>
      <c r="D13022" s="7">
        <f>IFERROR(__xludf.DUMMYFUNCTION("""COMPUTED_VALUE"""),0.341463414634146)</f>
        <v>0.3414634146</v>
      </c>
    </row>
    <row r="13023">
      <c r="A13023" s="10" t="s">
        <v>14462</v>
      </c>
      <c r="B13023" s="7" t="str">
        <f>IFERROR(__xludf.DUMMYFUNCTION("SPLIT(A13023,"" "")"),"Cc1cc(C)nc(CN(C)Cc2cc(C)cc(C)n2)c1")</f>
        <v>Cc1cc(C)nc(CN(C)Cc2cc(C)cc(C)n2)c1</v>
      </c>
      <c r="C13023" s="7">
        <f>IFERROR(__xludf.DUMMYFUNCTION("""COMPUTED_VALUE"""),7.7557125)</f>
        <v>7.7557125</v>
      </c>
      <c r="D13023" s="7">
        <f>IFERROR(__xludf.DUMMYFUNCTION("""COMPUTED_VALUE"""),0.485714285714285)</f>
        <v>0.4857142857</v>
      </c>
    </row>
    <row r="13024">
      <c r="A13024" s="10" t="s">
        <v>14463</v>
      </c>
      <c r="B13024" s="7" t="str">
        <f>IFERROR(__xludf.DUMMYFUNCTION("SPLIT(A13024,"" "")"),"CN1CCN(Cc2cccc(-c3cc(Cl)ccc3N)n2)CCN(CN(C)c2cccc3ncccc23)CC1")</f>
        <v>CN1CCN(Cc2cccc(-c3cc(Cl)ccc3N)n2)CCN(CN(C)c2cccc3ncccc23)CC1</v>
      </c>
      <c r="C13024" s="7">
        <f>IFERROR(__xludf.DUMMYFUNCTION("""COMPUTED_VALUE"""),7.7557006)</f>
        <v>7.7557006</v>
      </c>
      <c r="D13024" s="7">
        <f>IFERROR(__xludf.DUMMYFUNCTION("""COMPUTED_VALUE"""),0.388059701492537)</f>
        <v>0.3880597015</v>
      </c>
    </row>
    <row r="13025">
      <c r="A13025" s="10" t="s">
        <v>14464</v>
      </c>
      <c r="B13025" s="7" t="str">
        <f>IFERROR(__xludf.DUMMYFUNCTION("SPLIT(A13025,"" "")"),"COC(=O)C1CC(c2ccccn2)C(c2ccccn2)N(C)C1c1ncccc1CN(Cc1ccccn1)C1CCCCC1N(C)c1ccc2nccc(CF)c2c1")</f>
        <v>COC(=O)C1CC(c2ccccn2)C(c2ccccn2)N(C)C1c1ncccc1CN(Cc1ccccn1)C1CCCCC1N(C)c1ccc2nccc(CF)c2c1</v>
      </c>
      <c r="C13025" s="7">
        <f>IFERROR(__xludf.DUMMYFUNCTION("""COMPUTED_VALUE"""),7.7557)</f>
        <v>7.7557</v>
      </c>
      <c r="D13025" s="7">
        <f>IFERROR(__xludf.DUMMYFUNCTION("""COMPUTED_VALUE"""),0.288888888888888)</f>
        <v>0.2888888889</v>
      </c>
    </row>
    <row r="13026">
      <c r="A13026" s="10" t="s">
        <v>14465</v>
      </c>
      <c r="B13026" s="7" t="str">
        <f>IFERROR(__xludf.DUMMYFUNCTION("SPLIT(A13026,"" "")"),"CN(CF)Cc1ncccc1C(C)(c1ccccn1)c1ccccn1")</f>
        <v>CN(CF)Cc1ncccc1C(C)(c1ccccn1)c1ccccn1</v>
      </c>
      <c r="C13026" s="7">
        <f>IFERROR(__xludf.DUMMYFUNCTION("""COMPUTED_VALUE"""),7.7556987)</f>
        <v>7.7556987</v>
      </c>
      <c r="D13026" s="7">
        <f>IFERROR(__xludf.DUMMYFUNCTION("""COMPUTED_VALUE"""),0.387755102040816)</f>
        <v>0.387755102</v>
      </c>
    </row>
    <row r="13027">
      <c r="A13027" s="10" t="s">
        <v>14466</v>
      </c>
      <c r="B13027" s="7" t="str">
        <f>IFERROR(__xludf.DUMMYFUNCTION("SPLIT(A13027,"" "")"),"CNCCN(C)CCN(C)c1cccc2ncccc12")</f>
        <v>CNCCN(C)CCN(C)c1cccc2ncccc12</v>
      </c>
      <c r="C13027" s="7">
        <f>IFERROR(__xludf.DUMMYFUNCTION("""COMPUTED_VALUE"""),7.755697)</f>
        <v>7.755697</v>
      </c>
      <c r="D13027" s="7">
        <f>IFERROR(__xludf.DUMMYFUNCTION("""COMPUTED_VALUE"""),0.477272727272727)</f>
        <v>0.4772727273</v>
      </c>
    </row>
    <row r="13028">
      <c r="A13028" s="10" t="s">
        <v>14467</v>
      </c>
      <c r="B13028" s="7" t="str">
        <f>IFERROR(__xludf.DUMMYFUNCTION("SPLIT(A13028,"" "")"),"Cc1cccc(CN(C)CC2=CCC(N(C)Cc3cc(C)c(C)cn3)=CN2)n1")</f>
        <v>Cc1cccc(CN(C)CC2=CCC(N(C)Cc3cc(C)c(C)cn3)=CN2)n1</v>
      </c>
      <c r="C13028" s="7">
        <f>IFERROR(__xludf.DUMMYFUNCTION("""COMPUTED_VALUE"""),7.75569)</f>
        <v>7.75569</v>
      </c>
      <c r="D13028" s="7">
        <f>IFERROR(__xludf.DUMMYFUNCTION("""COMPUTED_VALUE"""),0.415094339622641)</f>
        <v>0.4150943396</v>
      </c>
    </row>
    <row r="13029">
      <c r="A13029" s="10" t="s">
        <v>14468</v>
      </c>
      <c r="B13029" s="7" t="str">
        <f>IFERROR(__xludf.DUMMYFUNCTION("SPLIT(A13029,"" "")"),"CN(Cc1ccccn1)c1cc(-c2cccc(CN(Cc3ccccn3)Cc3cccc(-c4ccc5c(c4)OCCOCCOCCOCCOCCO5)n3)n2)c2cccnc2c1")</f>
        <v>CN(Cc1ccccn1)c1cc(-c2cccc(CN(Cc3ccccn3)Cc3cccc(-c4ccc5c(c4)OCCOCCOCCOCCOCCO5)n3)n2)c2cccnc2c1</v>
      </c>
      <c r="C13029" s="7">
        <f>IFERROR(__xludf.DUMMYFUNCTION("""COMPUTED_VALUE"""),7.7556896)</f>
        <v>7.7556896</v>
      </c>
      <c r="D13029" s="7">
        <f>IFERROR(__xludf.DUMMYFUNCTION("""COMPUTED_VALUE"""),0.424657534246575)</f>
        <v>0.4246575342</v>
      </c>
    </row>
    <row r="13030">
      <c r="A13030" s="10" t="s">
        <v>14469</v>
      </c>
      <c r="B13030" s="7" t="str">
        <f>IFERROR(__xludf.DUMMYFUNCTION("SPLIT(A13030,"" "")"),"Cc1cccnc1CN(CCN(C)Cc1ccc2ncccc2c1)Cc1cccc(C(C)(c2cccnc2)C(C)C)n1")</f>
        <v>Cc1cccnc1CN(CCN(C)Cc1ccc2ncccc2c1)Cc1cccc(C(C)(c2cccnc2)C(C)C)n1</v>
      </c>
      <c r="C13030" s="7">
        <f>IFERROR(__xludf.DUMMYFUNCTION("""COMPUTED_VALUE"""),7.7556815)</f>
        <v>7.7556815</v>
      </c>
      <c r="D13030" s="7">
        <f>IFERROR(__xludf.DUMMYFUNCTION("""COMPUTED_VALUE"""),0.304878048780487)</f>
        <v>0.3048780488</v>
      </c>
    </row>
    <row r="13031">
      <c r="A13031" s="10" t="s">
        <v>14470</v>
      </c>
      <c r="B13031" s="7" t="str">
        <f>IFERROR(__xludf.DUMMYFUNCTION("SPLIT(A13031,"" "")"),"CN(c1cccc2ncccc12)C1CCCCC1N(Cc1ccccn1)c1ccccc1F")</f>
        <v>CN(c1cccc2ncccc12)C1CCCCC1N(Cc1ccccn1)c1ccccc1F</v>
      </c>
      <c r="C13031" s="7">
        <f>IFERROR(__xludf.DUMMYFUNCTION("""COMPUTED_VALUE"""),7.755669)</f>
        <v>7.755669</v>
      </c>
      <c r="D13031" s="7">
        <f>IFERROR(__xludf.DUMMYFUNCTION("""COMPUTED_VALUE"""),0.472727272727272)</f>
        <v>0.4727272727</v>
      </c>
    </row>
    <row r="13032">
      <c r="A13032" s="10" t="s">
        <v>14471</v>
      </c>
      <c r="B13032" s="7" t="str">
        <f>IFERROR(__xludf.DUMMYFUNCTION("SPLIT(A13032,"" "")"),"Cc1cc(CN(C)C2CCCC(N(C)c3ccc4nccc(CN(C)C)c4c3)C2)cnc1C")</f>
        <v>Cc1cc(CN(C)C2CCCC(N(C)c3ccc4nccc(CN(C)C)c4c3)C2)cnc1C</v>
      </c>
      <c r="C13032" s="7">
        <f>IFERROR(__xludf.DUMMYFUNCTION("""COMPUTED_VALUE"""),7.7556677)</f>
        <v>7.7556677</v>
      </c>
      <c r="D13032" s="7">
        <f>IFERROR(__xludf.DUMMYFUNCTION("""COMPUTED_VALUE"""),0.246376811594202)</f>
        <v>0.2463768116</v>
      </c>
    </row>
    <row r="13033">
      <c r="A13033" s="10" t="s">
        <v>14472</v>
      </c>
      <c r="B13033" s="7" t="str">
        <f>IFERROR(__xludf.DUMMYFUNCTION("SPLIT(A13033,"" "")"),"CN(Cc1ncccc1-c1cccc2ncccc12)C1CCC(N(C)Cc2ncccc2C(C)(C)C)CC1")</f>
        <v>CN(Cc1ncccc1-c1cccc2ncccc12)C1CCC(N(C)Cc2ncccc2C(C)(C)C)CC1</v>
      </c>
      <c r="C13033" s="7">
        <f>IFERROR(__xludf.DUMMYFUNCTION("""COMPUTED_VALUE"""),7.755665)</f>
        <v>7.755665</v>
      </c>
      <c r="D13033" s="7">
        <f>IFERROR(__xludf.DUMMYFUNCTION("""COMPUTED_VALUE"""),0.288135593220339)</f>
        <v>0.2881355932</v>
      </c>
    </row>
    <row r="13034">
      <c r="A13034" s="10" t="s">
        <v>14473</v>
      </c>
      <c r="B13034" s="7" t="str">
        <f>IFERROR(__xludf.DUMMYFUNCTION("SPLIT(A13034,"" "")"),"CN1CCN(Cc2nc3ccccc3n2C)CCN(C)C(CCN(C)c2cccc3cccnc23)C1")</f>
        <v>CN1CCN(Cc2nc3ccccc3n2C)CCN(C)C(CCN(C)c2cccc3cccnc23)C1</v>
      </c>
      <c r="C13034" s="7">
        <f>IFERROR(__xludf.DUMMYFUNCTION("""COMPUTED_VALUE"""),7.755663)</f>
        <v>7.755663</v>
      </c>
      <c r="D13034" s="7">
        <f>IFERROR(__xludf.DUMMYFUNCTION("""COMPUTED_VALUE"""),0.5)</f>
        <v>0.5</v>
      </c>
    </row>
    <row r="13035">
      <c r="A13035" s="10" t="s">
        <v>14474</v>
      </c>
      <c r="B13035" s="7" t="str">
        <f>IFERROR(__xludf.DUMMYFUNCTION("SPLIT(A13035,"" "")"),"CC(c1ccccn1)C1COC(c2cccnc2CN(Cc2ccccn2)Cc2ccccn2)=N1")</f>
        <v>CC(c1ccccn1)C1COC(c2cccnc2CN(Cc2ccccn2)Cc2ccccn2)=N1</v>
      </c>
      <c r="C13035" s="7">
        <f>IFERROR(__xludf.DUMMYFUNCTION("""COMPUTED_VALUE"""),7.7556567)</f>
        <v>7.7556567</v>
      </c>
      <c r="D13035" s="7">
        <f>IFERROR(__xludf.DUMMYFUNCTION("""COMPUTED_VALUE"""),0.4)</f>
        <v>0.4</v>
      </c>
    </row>
    <row r="13036">
      <c r="A13036" s="10" t="s">
        <v>14475</v>
      </c>
      <c r="B13036" s="7" t="str">
        <f>IFERROR(__xludf.DUMMYFUNCTION("SPLIT(A13036,"" "")"),"Cc1cc(CN(C)CC2=C(N(C)Cc3ccccn3)CC=CN2)nc(C)c1C")</f>
        <v>Cc1cc(CN(C)CC2=C(N(C)Cc3ccccn3)CC=CN2)nc(C)c1C</v>
      </c>
      <c r="C13036" s="7">
        <f>IFERROR(__xludf.DUMMYFUNCTION("""COMPUTED_VALUE"""),7.7556524)</f>
        <v>7.7556524</v>
      </c>
      <c r="D13036" s="7">
        <f>IFERROR(__xludf.DUMMYFUNCTION("""COMPUTED_VALUE"""),0.383333333333333)</f>
        <v>0.3833333333</v>
      </c>
    </row>
    <row r="13037">
      <c r="A13037" s="10" t="s">
        <v>14476</v>
      </c>
      <c r="B13037" s="7" t="str">
        <f>IFERROR(__xludf.DUMMYFUNCTION("SPLIT(A13037,"" "")"),"Cc1ccc(CN(C)CC2=CCC(N(C)Cc3ncc(C)c(C)c3C)=CN2)nc1")</f>
        <v>Cc1ccc(CN(C)CC2=CCC(N(C)Cc3ncc(C)c(C)c3C)=CN2)nc1</v>
      </c>
      <c r="C13037" s="7">
        <f>IFERROR(__xludf.DUMMYFUNCTION("""COMPUTED_VALUE"""),7.755651)</f>
        <v>7.755651</v>
      </c>
      <c r="D13037" s="7">
        <f>IFERROR(__xludf.DUMMYFUNCTION("""COMPUTED_VALUE"""),0.423076923076923)</f>
        <v>0.4230769231</v>
      </c>
    </row>
    <row r="13038">
      <c r="A13038" s="10" t="s">
        <v>14477</v>
      </c>
      <c r="B13038" s="7" t="str">
        <f>IFERROR(__xludf.DUMMYFUNCTION("SPLIT(A13038,"" "")"),"Cc1ccc(CN(C)C2=CNC(CN(C)Cc3nc(C)ccc3C)=CC2)nc1")</f>
        <v>Cc1ccc(CN(C)C2=CNC(CN(C)Cc3nc(C)ccc3C)=CC2)nc1</v>
      </c>
      <c r="C13038" s="7">
        <f>IFERROR(__xludf.DUMMYFUNCTION("""COMPUTED_VALUE"""),7.75565)</f>
        <v>7.75565</v>
      </c>
      <c r="D13038" s="7">
        <f>IFERROR(__xludf.DUMMYFUNCTION("""COMPUTED_VALUE"""),0.388888888888888)</f>
        <v>0.3888888889</v>
      </c>
    </row>
    <row r="13039">
      <c r="A13039" s="10" t="s">
        <v>14478</v>
      </c>
      <c r="B13039" s="7" t="str">
        <f>IFERROR(__xludf.DUMMYFUNCTION("SPLIT(A13039,"" "")"),"Cc1cc(C)c(CN(C)CC2=C(N(C)Cc3ccccn3)CC=CN2)nc1C")</f>
        <v>Cc1cc(C)c(CN(C)CC2=C(N(C)Cc3ccccn3)CC=CN2)nc1C</v>
      </c>
      <c r="C13039" s="7">
        <f>IFERROR(__xludf.DUMMYFUNCTION("""COMPUTED_VALUE"""),7.755649)</f>
        <v>7.755649</v>
      </c>
      <c r="D13039" s="7">
        <f>IFERROR(__xludf.DUMMYFUNCTION("""COMPUTED_VALUE"""),0.372881355932203)</f>
        <v>0.3728813559</v>
      </c>
    </row>
    <row r="13040">
      <c r="A13040" s="10" t="s">
        <v>14479</v>
      </c>
      <c r="B13040" s="7" t="str">
        <f>IFERROR(__xludf.DUMMYFUNCTION("SPLIT(A13040,"" "")"),"CCCN(CC1=CCC(N(C)Cc2ccccn2)=CN1)c1cc(C)cc(C)c1C")</f>
        <v>CCCN(CC1=CCC(N(C)Cc2ccccn2)=CN1)c1cc(C)cc(C)c1C</v>
      </c>
      <c r="C13040" s="7">
        <f>IFERROR(__xludf.DUMMYFUNCTION("""COMPUTED_VALUE"""),7.7556443)</f>
        <v>7.7556443</v>
      </c>
      <c r="D13040" s="7">
        <f>IFERROR(__xludf.DUMMYFUNCTION("""COMPUTED_VALUE"""),0.370967741935483)</f>
        <v>0.3709677419</v>
      </c>
    </row>
    <row r="13041">
      <c r="A13041" s="10" t="s">
        <v>14480</v>
      </c>
      <c r="B13041" s="7" t="str">
        <f>IFERROR(__xludf.DUMMYFUNCTION("SPLIT(A13041,"" "")"),"Cc1ccc(CN(C)CC2=C(N(C)Cc3nc(C)c(C)c(C)c3C)CC=CN2)nc1")</f>
        <v>Cc1ccc(CN(C)CC2=C(N(C)Cc3nc(C)c(C)c(C)c3C)CC=CN2)nc1</v>
      </c>
      <c r="C13041" s="7">
        <f>IFERROR(__xludf.DUMMYFUNCTION("""COMPUTED_VALUE"""),7.7556424)</f>
        <v>7.7556424</v>
      </c>
      <c r="D13041" s="7">
        <f>IFERROR(__xludf.DUMMYFUNCTION("""COMPUTED_VALUE"""),0.407407407407407)</f>
        <v>0.4074074074</v>
      </c>
    </row>
    <row r="13042">
      <c r="A13042" s="10" t="s">
        <v>14481</v>
      </c>
      <c r="B13042" s="7" t="str">
        <f>IFERROR(__xludf.DUMMYFUNCTION("SPLIT(A13042,"" "")"),"CNc1ncc(CN(Cc2ccccn2)Cc2ncccc2C)cc1C")</f>
        <v>CNc1ncc(CN(Cc2ccccn2)Cc2ncccc2C)cc1C</v>
      </c>
      <c r="C13042" s="7">
        <f>IFERROR(__xludf.DUMMYFUNCTION("""COMPUTED_VALUE"""),7.7556376)</f>
        <v>7.7556376</v>
      </c>
      <c r="D13042" s="7">
        <f>IFERROR(__xludf.DUMMYFUNCTION("""COMPUTED_VALUE"""),0.444444444444444)</f>
        <v>0.4444444444</v>
      </c>
    </row>
    <row r="13043">
      <c r="A13043" s="10" t="s">
        <v>14482</v>
      </c>
      <c r="B13043" s="7" t="str">
        <f>IFERROR(__xludf.DUMMYFUNCTION("SPLIT(A13043,"" "")"),"Cc1ccc(CN(C)C2=C(CN(C)Cc3cc(C)c(C)c(C)n3)NC=CC2)nc1")</f>
        <v>Cc1ccc(CN(C)C2=C(CN(C)Cc3cc(C)c(C)c(C)n3)NC=CC2)nc1</v>
      </c>
      <c r="C13043" s="7">
        <f>IFERROR(__xludf.DUMMYFUNCTION("""COMPUTED_VALUE"""),7.755637)</f>
        <v>7.755637</v>
      </c>
      <c r="D13043" s="7">
        <f>IFERROR(__xludf.DUMMYFUNCTION("""COMPUTED_VALUE"""),0.4)</f>
        <v>0.4</v>
      </c>
    </row>
    <row r="13044">
      <c r="A13044" s="10" t="s">
        <v>14483</v>
      </c>
      <c r="B13044" s="7" t="str">
        <f>IFERROR(__xludf.DUMMYFUNCTION("SPLIT(A13044,"" "")"),"CC(C)C1=CCC(N(C)CC2=CCC=C(N(C)Cc3ccccn3)N2)=CN1")</f>
        <v>CC(C)C1=CCC(N(C)CC2=CCC=C(N(C)Cc3ccccn3)N2)=CN1</v>
      </c>
      <c r="C13044" s="7">
        <f>IFERROR(__xludf.DUMMYFUNCTION("""COMPUTED_VALUE"""),7.75563)</f>
        <v>7.75563</v>
      </c>
      <c r="D13044" s="7">
        <f>IFERROR(__xludf.DUMMYFUNCTION("""COMPUTED_VALUE"""),0.38095238095238)</f>
        <v>0.380952381</v>
      </c>
    </row>
    <row r="13045">
      <c r="A13045" s="10" t="s">
        <v>14484</v>
      </c>
      <c r="B13045" s="7" t="str">
        <f>IFERROR(__xludf.DUMMYFUNCTION("SPLIT(A13045,"" "")"),"Cc1cc(CN(C)C2=CNC(CN(C(C)C)C(C)C)=CC2)nc(C)c1C")</f>
        <v>Cc1cc(CN(C)C2=CNC(CN(C(C)C)C(C)C)=CC2)nc(C)c1C</v>
      </c>
      <c r="C13045" s="7">
        <f>IFERROR(__xludf.DUMMYFUNCTION("""COMPUTED_VALUE"""),7.755611)</f>
        <v>7.755611</v>
      </c>
      <c r="D13045" s="7">
        <f>IFERROR(__xludf.DUMMYFUNCTION("""COMPUTED_VALUE"""),0.210526315789473)</f>
        <v>0.2105263158</v>
      </c>
    </row>
    <row r="13046">
      <c r="A13046" s="10" t="s">
        <v>14485</v>
      </c>
      <c r="B13046" s="7" t="str">
        <f>IFERROR(__xludf.DUMMYFUNCTION("SPLIT(A13046,"" "")"),"Cc1cncc(CN(C)C2=CNC=C(CN(C)Cc3cc(C)c(C)c(C)n3)C2)c1")</f>
        <v>Cc1cncc(CN(C)C2=CNC=C(CN(C)Cc3cc(C)c(C)c(C)n3)C2)c1</v>
      </c>
      <c r="C13046" s="7">
        <f>IFERROR(__xludf.DUMMYFUNCTION("""COMPUTED_VALUE"""),7.755609)</f>
        <v>7.755609</v>
      </c>
      <c r="D13046" s="7">
        <f>IFERROR(__xludf.DUMMYFUNCTION("""COMPUTED_VALUE"""),0.225806451612903)</f>
        <v>0.2258064516</v>
      </c>
    </row>
    <row r="13047">
      <c r="A13047" s="10" t="s">
        <v>14486</v>
      </c>
      <c r="B13047" s="7" t="str">
        <f>IFERROR(__xludf.DUMMYFUNCTION("SPLIT(A13047,"" "")"),"Cc1cccnc1CN(C)Cc1nc(C)c(C)c(C)c1C")</f>
        <v>Cc1cccnc1CN(C)Cc1nc(C)c(C)c(C)c1C</v>
      </c>
      <c r="C13047" s="7">
        <f>IFERROR(__xludf.DUMMYFUNCTION("""COMPUTED_VALUE"""),7.755608)</f>
        <v>7.755608</v>
      </c>
      <c r="D13047" s="7">
        <f>IFERROR(__xludf.DUMMYFUNCTION("""COMPUTED_VALUE"""),0.347826086956521)</f>
        <v>0.347826087</v>
      </c>
    </row>
    <row r="13048">
      <c r="A13048" s="10" t="s">
        <v>14487</v>
      </c>
      <c r="B13048" s="7" t="str">
        <f>IFERROR(__xludf.DUMMYFUNCTION("SPLIT(A13048,"" "")"),"CN(Cc1ccc(C(C)(C)C)cn1)Cc1cc(C(C)(C)c2ccccn2)ccn1")</f>
        <v>CN(Cc1ccc(C(C)(C)C)cn1)Cc1cc(C(C)(C)c2ccccn2)ccn1</v>
      </c>
      <c r="C13048" s="7">
        <f>IFERROR(__xludf.DUMMYFUNCTION("""COMPUTED_VALUE"""),7.755604)</f>
        <v>7.755604</v>
      </c>
      <c r="D13048" s="7">
        <f>IFERROR(__xludf.DUMMYFUNCTION("""COMPUTED_VALUE"""),0.388888888888888)</f>
        <v>0.3888888889</v>
      </c>
    </row>
    <row r="13049">
      <c r="A13049" s="10" t="s">
        <v>14488</v>
      </c>
      <c r="B13049" s="7" t="str">
        <f>IFERROR(__xludf.DUMMYFUNCTION("SPLIT(A13049,"" "")"),"Cc1ccnc2ccc(N(C)CCN(C)C(C)C(C)C)cc12")</f>
        <v>Cc1ccnc2ccc(N(C)CCN(C)C(C)C(C)C)cc12</v>
      </c>
      <c r="C13049" s="7">
        <f>IFERROR(__xludf.DUMMYFUNCTION("""COMPUTED_VALUE"""),7.755601)</f>
        <v>7.755601</v>
      </c>
      <c r="D13049" s="7">
        <f>IFERROR(__xludf.DUMMYFUNCTION("""COMPUTED_VALUE"""),0.245283018867924)</f>
        <v>0.2452830189</v>
      </c>
    </row>
    <row r="13050">
      <c r="A13050" s="10" t="s">
        <v>14489</v>
      </c>
      <c r="B13050" s="7" t="str">
        <f>IFERROR(__xludf.DUMMYFUNCTION("SPLIT(A13050,"" "")"),"Cc1cccc(CN(C)Cc2cccc(N(C)C3C=CC=CN3)n2)n1")</f>
        <v>Cc1cccc(CN(C)Cc2cccc(N(C)C3C=CC=CN3)n2)n1</v>
      </c>
      <c r="C13050" s="7">
        <f>IFERROR(__xludf.DUMMYFUNCTION("""COMPUTED_VALUE"""),7.7555976)</f>
        <v>7.7555976</v>
      </c>
      <c r="D13050" s="7">
        <f>IFERROR(__xludf.DUMMYFUNCTION("""COMPUTED_VALUE"""),0.488888888888888)</f>
        <v>0.4888888889</v>
      </c>
    </row>
    <row r="13051">
      <c r="A13051" s="10" t="s">
        <v>14490</v>
      </c>
      <c r="B13051" s="7" t="str">
        <f>IFERROR(__xludf.DUMMYFUNCTION("SPLIT(A13051,"" "")"),"CN(Cc1ccon1)C1CCC(N(C)c2cccc3ncc4c(c23)CCC4)CC1")</f>
        <v>CN(Cc1ccon1)C1CCC(N(C)c2cccc3ncc4c(c23)CCC4)CC1</v>
      </c>
      <c r="C13051" s="7">
        <f>IFERROR(__xludf.DUMMYFUNCTION("""COMPUTED_VALUE"""),7.7555923)</f>
        <v>7.7555923</v>
      </c>
      <c r="D13051" s="7">
        <f>IFERROR(__xludf.DUMMYFUNCTION("""COMPUTED_VALUE"""),0.344827586206896)</f>
        <v>0.3448275862</v>
      </c>
    </row>
    <row r="13052">
      <c r="A13052" s="10" t="s">
        <v>14491</v>
      </c>
      <c r="B13052" s="7" t="str">
        <f>IFERROR(__xludf.DUMMYFUNCTION("SPLIT(A13052,"" "")"),"CNc1cnc(C)c(CN(Cc2ccccn2)Cc2nccc(C)c2C)c1")</f>
        <v>CNc1cnc(C)c(CN(Cc2ccccn2)Cc2nccc(C)c2C)c1</v>
      </c>
      <c r="C13052" s="7">
        <f>IFERROR(__xludf.DUMMYFUNCTION("""COMPUTED_VALUE"""),7.755591)</f>
        <v>7.755591</v>
      </c>
      <c r="D13052" s="7">
        <f>IFERROR(__xludf.DUMMYFUNCTION("""COMPUTED_VALUE"""),0.416666666666666)</f>
        <v>0.4166666667</v>
      </c>
    </row>
    <row r="13053">
      <c r="A13053" s="10" t="s">
        <v>14492</v>
      </c>
      <c r="B13053" s="7" t="str">
        <f>IFERROR(__xludf.DUMMYFUNCTION("SPLIT(A13053,"" "")"),"CN(Cc1ccccn1)C1=CNC(CSCc2ccccn2)=CC1")</f>
        <v>CN(Cc1ccccn1)C1=CNC(CSCc2ccccn2)=CC1</v>
      </c>
      <c r="C13053" s="7">
        <f>IFERROR(__xludf.DUMMYFUNCTION("""COMPUTED_VALUE"""),7.755588)</f>
        <v>7.755588</v>
      </c>
      <c r="D13053" s="7">
        <f>IFERROR(__xludf.DUMMYFUNCTION("""COMPUTED_VALUE"""),0.413043478260869)</f>
        <v>0.4130434783</v>
      </c>
    </row>
    <row r="13054">
      <c r="A13054" s="10" t="s">
        <v>14493</v>
      </c>
      <c r="B13054" s="7" t="str">
        <f>IFERROR(__xludf.DUMMYFUNCTION("SPLIT(A13054,"" "")"),"CNCc1nc(CN(Cc2cc(C)ccn2)Cc2cc(C)c(C)c(C)n2)c(C)cc1C")</f>
        <v>CNCc1nc(CN(Cc2cc(C)ccn2)Cc2cc(C)c(C)c(C)n2)c(C)cc1C</v>
      </c>
      <c r="C13054" s="7">
        <f>IFERROR(__xludf.DUMMYFUNCTION("""COMPUTED_VALUE"""),7.755584)</f>
        <v>7.755584</v>
      </c>
      <c r="D13054" s="7">
        <f>IFERROR(__xludf.DUMMYFUNCTION("""COMPUTED_VALUE"""),0.288135593220339)</f>
        <v>0.2881355932</v>
      </c>
    </row>
    <row r="13055">
      <c r="A13055" s="10" t="s">
        <v>14494</v>
      </c>
      <c r="B13055" s="7" t="str">
        <f>IFERROR(__xludf.DUMMYFUNCTION("SPLIT(A13055,"" "")"),"C1=C(NCc2ccccn2)CNC(SCc2ccccn2)=C1")</f>
        <v>C1=C(NCc2ccccn2)CNC(SCc2ccccn2)=C1</v>
      </c>
      <c r="C13055" s="7">
        <f>IFERROR(__xludf.DUMMYFUNCTION("""COMPUTED_VALUE"""),7.7555795)</f>
        <v>7.7555795</v>
      </c>
      <c r="D13055" s="7">
        <f>IFERROR(__xludf.DUMMYFUNCTION("""COMPUTED_VALUE"""),0.395348837209302)</f>
        <v>0.3953488372</v>
      </c>
    </row>
    <row r="13056">
      <c r="A13056" s="10" t="s">
        <v>14495</v>
      </c>
      <c r="B13056" s="7" t="str">
        <f>IFERROR(__xludf.DUMMYFUNCTION("SPLIT(A13056,"" "")"),"CN(CCF)CCN(Cc1ccccn1)c1cccc2cccnc12")</f>
        <v>CN(CCF)CCN(Cc1ccccn1)c1cccc2cccnc12</v>
      </c>
      <c r="C13056" s="7">
        <f>IFERROR(__xludf.DUMMYFUNCTION("""COMPUTED_VALUE"""),7.755576)</f>
        <v>7.755576</v>
      </c>
      <c r="D13056" s="7">
        <f>IFERROR(__xludf.DUMMYFUNCTION("""COMPUTED_VALUE"""),0.489361702127659)</f>
        <v>0.4893617021</v>
      </c>
    </row>
    <row r="13057">
      <c r="A13057" s="10" t="s">
        <v>14496</v>
      </c>
      <c r="B13057" s="7" t="str">
        <f>IFERROR(__xludf.DUMMYFUNCTION("SPLIT(A13057,"" "")"),"Cc1nc(CN(C)C2=CCC=C(CN(C)C(C)C)N2)c(C)c(C)c1C")</f>
        <v>Cc1nc(CN(C)C2=CCC=C(CN(C)C(C)C)N2)c(C)c(C)c1C</v>
      </c>
      <c r="C13057" s="7">
        <f>IFERROR(__xludf.DUMMYFUNCTION("""COMPUTED_VALUE"""),7.7555714)</f>
        <v>7.7555714</v>
      </c>
      <c r="D13057" s="7">
        <f>IFERROR(__xludf.DUMMYFUNCTION("""COMPUTED_VALUE"""),0.189655172413793)</f>
        <v>0.1896551724</v>
      </c>
    </row>
    <row r="13058">
      <c r="A13058" s="10" t="s">
        <v>14497</v>
      </c>
      <c r="B13058" s="7" t="str">
        <f>IFERROR(__xludf.DUMMYFUNCTION("SPLIT(A13058,"" "")"),"Cc1ccnc(CN(C)C2=C(CN(C)Cc3cc(C)cc(C)n3)NC=CC2)c1")</f>
        <v>Cc1ccnc(CN(C)C2=C(CN(C)Cc3cc(C)cc(C)n3)NC=CC2)c1</v>
      </c>
      <c r="C13058" s="7">
        <f>IFERROR(__xludf.DUMMYFUNCTION("""COMPUTED_VALUE"""),7.7555704)</f>
        <v>7.7555704</v>
      </c>
      <c r="D13058" s="7">
        <f>IFERROR(__xludf.DUMMYFUNCTION("""COMPUTED_VALUE"""),0.316666666666666)</f>
        <v>0.3166666667</v>
      </c>
    </row>
    <row r="13059">
      <c r="A13059" s="10" t="s">
        <v>14498</v>
      </c>
      <c r="B13059" s="7" t="str">
        <f>IFERROR(__xludf.DUMMYFUNCTION("SPLIT(A13059,"" "")"),"CC1=CC(N(C)Cc2cc(-c3cccc(N=Cc4ccccn4)c3)ccn2)CC(C)C1C")</f>
        <v>CC1=CC(N(C)Cc2cc(-c3cccc(N=Cc4ccccn4)c3)ccn2)CC(C)C1C</v>
      </c>
      <c r="C13059" s="7">
        <f>IFERROR(__xludf.DUMMYFUNCTION("""COMPUTED_VALUE"""),7.7555633)</f>
        <v>7.7555633</v>
      </c>
      <c r="D13059" s="7">
        <f>IFERROR(__xludf.DUMMYFUNCTION("""COMPUTED_VALUE"""),0.328358208955223)</f>
        <v>0.328358209</v>
      </c>
    </row>
    <row r="13060">
      <c r="A13060" s="10" t="s">
        <v>14499</v>
      </c>
      <c r="B13060" s="7" t="str">
        <f>IFERROR(__xludf.DUMMYFUNCTION("SPLIT(A13060,"" "")"),"Cc1cncc(CN(C)CC2=C(N(C)Cc3nc(C)c(C)c(C)c3C)CC=CN2)c1")</f>
        <v>Cc1cncc(CN(C)CC2=C(N(C)Cc3nc(C)c(C)c(C)c3C)CC=CN2)c1</v>
      </c>
      <c r="C13060" s="7">
        <f>IFERROR(__xludf.DUMMYFUNCTION("""COMPUTED_VALUE"""),7.7555475)</f>
        <v>7.7555475</v>
      </c>
      <c r="D13060" s="7">
        <f>IFERROR(__xludf.DUMMYFUNCTION("""COMPUTED_VALUE"""),0.1875)</f>
        <v>0.1875</v>
      </c>
    </row>
    <row r="13061">
      <c r="A13061" s="10" t="s">
        <v>14500</v>
      </c>
      <c r="B13061" s="7" t="str">
        <f>IFERROR(__xludf.DUMMYFUNCTION("SPLIT(A13061,"" "")"),"Cc1ccnc(CN(C)C2=C(CN(C)Cc3cc(C)c(C)c(C)n3)NC=CC2)c1")</f>
        <v>Cc1ccnc(CN(C)C2=C(CN(C)Cc3cc(C)c(C)c(C)n3)NC=CC2)c1</v>
      </c>
      <c r="C13061" s="7">
        <f>IFERROR(__xludf.DUMMYFUNCTION("""COMPUTED_VALUE"""),7.7555466)</f>
        <v>7.7555466</v>
      </c>
      <c r="D13061" s="7">
        <f>IFERROR(__xludf.DUMMYFUNCTION("""COMPUTED_VALUE"""),0.301587301587301)</f>
        <v>0.3015873016</v>
      </c>
    </row>
    <row r="13062">
      <c r="A13062" s="10" t="s">
        <v>14501</v>
      </c>
      <c r="B13062" s="7" t="str">
        <f>IFERROR(__xludf.DUMMYFUNCTION("SPLIT(A13062,"" "")"),"Cc1ccc(CN(C)C2CCC(N(C)Cc3cc(-c4ccc5ncccc5c4)ccn3)CC2)nc1")</f>
        <v>Cc1ccc(CN(C)C2CCC(N(C)Cc3cc(-c4ccc5ncccc5c4)ccn3)CC2)nc1</v>
      </c>
      <c r="C13062" s="7">
        <f>IFERROR(__xludf.DUMMYFUNCTION("""COMPUTED_VALUE"""),7.755544)</f>
        <v>7.755544</v>
      </c>
      <c r="D13062" s="7">
        <f>IFERROR(__xludf.DUMMYFUNCTION("""COMPUTED_VALUE"""),0.446428571428571)</f>
        <v>0.4464285714</v>
      </c>
    </row>
    <row r="13063">
      <c r="A13063" s="10" t="s">
        <v>14502</v>
      </c>
      <c r="B13063" s="7" t="str">
        <f>IFERROR(__xludf.DUMMYFUNCTION("SPLIT(A13063,"" "")"),"Cc1cc(C)c(CN(C)C2CCCC(N(Cc3ccccn3)c3ccc4cccnc4c3)C2)nc1C")</f>
        <v>Cc1cc(C)c(CN(C)C2CCCC(N(Cc3ccccn3)c3ccc4cccnc4c3)C2)nc1C</v>
      </c>
      <c r="C13063" s="7">
        <f>IFERROR(__xludf.DUMMYFUNCTION("""COMPUTED_VALUE"""),7.7555385)</f>
        <v>7.7555385</v>
      </c>
      <c r="D13063" s="7">
        <f>IFERROR(__xludf.DUMMYFUNCTION("""COMPUTED_VALUE"""),0.375)</f>
        <v>0.375</v>
      </c>
    </row>
    <row r="13064">
      <c r="A13064" s="10" t="s">
        <v>14503</v>
      </c>
      <c r="B13064" s="7" t="str">
        <f>IFERROR(__xludf.DUMMYFUNCTION("SPLIT(A13064,"" "")"),"Cc1cccc(CN(C)C2CCC(N(C)Cc3cccc(-c4cccc5ncccc45)n3)CC2)n1")</f>
        <v>Cc1cccc(CN(C)C2CCC(N(C)Cc3cccc(-c4cccc5ncccc45)n3)CC2)n1</v>
      </c>
      <c r="C13064" s="7">
        <f>IFERROR(__xludf.DUMMYFUNCTION("""COMPUTED_VALUE"""),7.7555375)</f>
        <v>7.7555375</v>
      </c>
      <c r="D13064" s="7">
        <f>IFERROR(__xludf.DUMMYFUNCTION("""COMPUTED_VALUE"""),0.471698113207547)</f>
        <v>0.4716981132</v>
      </c>
    </row>
    <row r="13065">
      <c r="A13065" s="10" t="s">
        <v>14504</v>
      </c>
      <c r="B13065" s="7" t="str">
        <f>IFERROR(__xludf.DUMMYFUNCTION("SPLIT(A13065,"" "")"),"Cc1cnc(CN(C)C2CCCC(N(C)c3ccc4c(CN(C)C)ccnc4c3)C2)c(C)c1")</f>
        <v>Cc1cnc(CN(C)C2CCCC(N(C)c3ccc4c(CN(C)C)ccnc4c3)C2)c(C)c1</v>
      </c>
      <c r="C13065" s="7">
        <f>IFERROR(__xludf.DUMMYFUNCTION("""COMPUTED_VALUE"""),7.7555256)</f>
        <v>7.7555256</v>
      </c>
      <c r="D13065" s="7">
        <f>IFERROR(__xludf.DUMMYFUNCTION("""COMPUTED_VALUE"""),0.287878787878787)</f>
        <v>0.2878787879</v>
      </c>
    </row>
    <row r="13066">
      <c r="A13066" s="10" t="s">
        <v>14505</v>
      </c>
      <c r="B13066" s="7" t="str">
        <f>IFERROR(__xludf.DUMMYFUNCTION("SPLIT(A13066,"" "")"),"Cc1cncc(CN(C)C2=CNC=C(CN(C)Cc3nc(C)c(C)cc3C)C2)c1")</f>
        <v>Cc1cncc(CN(C)C2=CNC=C(CN(C)Cc3nc(C)c(C)cc3C)C2)c1</v>
      </c>
      <c r="C13066" s="7">
        <f>IFERROR(__xludf.DUMMYFUNCTION("""COMPUTED_VALUE"""),7.7555227)</f>
        <v>7.7555227</v>
      </c>
      <c r="D13066" s="7">
        <f>IFERROR(__xludf.DUMMYFUNCTION("""COMPUTED_VALUE"""),0.19047619047619)</f>
        <v>0.1904761905</v>
      </c>
    </row>
    <row r="13067">
      <c r="A13067" s="10" t="s">
        <v>14506</v>
      </c>
      <c r="B13067" s="7" t="str">
        <f>IFERROR(__xludf.DUMMYFUNCTION("SPLIT(A13067,"" "")"),"Cc1cc(C)c(CN(C)CC2=CCC(N(C)Cc3ccccn3)=CN2)cn1")</f>
        <v>Cc1cc(C)c(CN(C)CC2=CCC(N(C)Cc3ccccn3)=CN2)cn1</v>
      </c>
      <c r="C13067" s="7">
        <f>IFERROR(__xludf.DUMMYFUNCTION("""COMPUTED_VALUE"""),7.755518)</f>
        <v>7.755518</v>
      </c>
      <c r="D13067" s="7">
        <f>IFERROR(__xludf.DUMMYFUNCTION("""COMPUTED_VALUE"""),0.372881355932203)</f>
        <v>0.3728813559</v>
      </c>
    </row>
    <row r="13068">
      <c r="A13068" s="10" t="s">
        <v>14507</v>
      </c>
      <c r="B13068" s="7" t="str">
        <f>IFERROR(__xludf.DUMMYFUNCTION("SPLIT(A13068,"" "")"),"Cc1cc(CN(C)Cc2ccc(N(C)C3C=CC=CN3)cn2)ccn1")</f>
        <v>Cc1cc(CN(C)Cc2ccc(N(C)C3C=CC=CN3)cn2)ccn1</v>
      </c>
      <c r="C13068" s="7">
        <f>IFERROR(__xludf.DUMMYFUNCTION("""COMPUTED_VALUE"""),7.7555056)</f>
        <v>7.7555056</v>
      </c>
      <c r="D13068" s="7">
        <f>IFERROR(__xludf.DUMMYFUNCTION("""COMPUTED_VALUE"""),0.321428571428571)</f>
        <v>0.3214285714</v>
      </c>
    </row>
    <row r="13069">
      <c r="A13069" s="10" t="s">
        <v>14508</v>
      </c>
      <c r="B13069" s="7" t="str">
        <f>IFERROR(__xludf.DUMMYFUNCTION("SPLIT(A13069,"" "")"),"CCN(CCN(C)Cc1ccc2ncccc2c1)Cc1cc(C)c(C)c(C)n1")</f>
        <v>CCN(CCN(C)Cc1ccc2ncccc2c1)Cc1cc(C)c(C)c(C)n1</v>
      </c>
      <c r="C13069" s="7">
        <f>IFERROR(__xludf.DUMMYFUNCTION("""COMPUTED_VALUE"""),7.7555046)</f>
        <v>7.7555046</v>
      </c>
      <c r="D13069" s="7">
        <f>IFERROR(__xludf.DUMMYFUNCTION("""COMPUTED_VALUE"""),0.348484848484848)</f>
        <v>0.3484848485</v>
      </c>
    </row>
    <row r="13070">
      <c r="A13070" s="10" t="s">
        <v>14509</v>
      </c>
      <c r="B13070" s="7" t="str">
        <f>IFERROR(__xludf.DUMMYFUNCTION("SPLIT(A13070,"" "")"),"CCNc1cc(-c2cc(C(C)C(C)C)ccn2)ccn1")</f>
        <v>CCNc1cc(-c2cc(C(C)C(C)C)ccn2)ccn1</v>
      </c>
      <c r="C13070" s="7">
        <f>IFERROR(__xludf.DUMMYFUNCTION("""COMPUTED_VALUE"""),7.755497)</f>
        <v>7.755497</v>
      </c>
      <c r="D13070" s="7">
        <f>IFERROR(__xludf.DUMMYFUNCTION("""COMPUTED_VALUE"""),0.280701754385964)</f>
        <v>0.2807017544</v>
      </c>
    </row>
    <row r="13071">
      <c r="A13071" s="10" t="s">
        <v>14510</v>
      </c>
      <c r="B13071" s="7" t="str">
        <f>IFERROR(__xludf.DUMMYFUNCTION("SPLIT(A13071,"" "")"),"Cc1ncccc1CN(C)Cc1ncccc1N(C)C1C=CC=CN1")</f>
        <v>Cc1ncccc1CN(C)Cc1ncccc1N(C)C1C=CC=CN1</v>
      </c>
      <c r="C13071" s="7">
        <f>IFERROR(__xludf.DUMMYFUNCTION("""COMPUTED_VALUE"""),7.7554936)</f>
        <v>7.7554936</v>
      </c>
      <c r="D13071" s="7">
        <f>IFERROR(__xludf.DUMMYFUNCTION("""COMPUTED_VALUE"""),0.327868852459016)</f>
        <v>0.3278688525</v>
      </c>
    </row>
    <row r="13072">
      <c r="A13072" s="10" t="s">
        <v>14511</v>
      </c>
      <c r="B13072" s="7" t="str">
        <f>IFERROR(__xludf.DUMMYFUNCTION("SPLIT(A13072,"" "")"),"CN(C)c1ccc2cccnc2c1-c1cc(CN(Cc2ccccn2)Cc2ccc(-c3ccc4c(c3)OCCOCCOCCOCCOCCO4)cn2)ccn1")</f>
        <v>CN(C)c1ccc2cccnc2c1-c1cc(CN(Cc2ccccn2)Cc2ccc(-c3ccc4c(c3)OCCOCCOCCOCCOCCO4)cn2)ccn1</v>
      </c>
      <c r="C13072" s="7">
        <f>IFERROR(__xludf.DUMMYFUNCTION("""COMPUTED_VALUE"""),7.755489)</f>
        <v>7.755489</v>
      </c>
      <c r="D13072" s="7">
        <f>IFERROR(__xludf.DUMMYFUNCTION("""COMPUTED_VALUE"""),0.36144578313253)</f>
        <v>0.3614457831</v>
      </c>
    </row>
    <row r="13073">
      <c r="A13073" s="10" t="s">
        <v>14512</v>
      </c>
      <c r="B13073" s="7" t="str">
        <f>IFERROR(__xludf.DUMMYFUNCTION("SPLIT(A13073,"" "")"),"Cc1cncc(C)c1CN(C)C1CCCC(N(C)c2ccc3c(CN(C)C)ccnc3c2)C1")</f>
        <v>Cc1cncc(C)c1CN(C)C1CCCC(N(C)c2ccc3c(CN(C)C)ccnc3c2)C1</v>
      </c>
      <c r="C13073" s="7">
        <f>IFERROR(__xludf.DUMMYFUNCTION("""COMPUTED_VALUE"""),7.7554855)</f>
        <v>7.7554855</v>
      </c>
      <c r="D13073" s="7">
        <f>IFERROR(__xludf.DUMMYFUNCTION("""COMPUTED_VALUE"""),0.257575757575757)</f>
        <v>0.2575757576</v>
      </c>
    </row>
    <row r="13074">
      <c r="A13074" s="10" t="s">
        <v>14513</v>
      </c>
      <c r="B13074" s="7" t="str">
        <f>IFERROR(__xludf.DUMMYFUNCTION("SPLIT(A13074,"" "")"),"Cc1cccc(N(C)CC2=CC(N(C)Cc3nccc(C)c3C)C=CN2)c1")</f>
        <v>Cc1cccc(N(C)CC2=CC(N(C)Cc3nccc(C)c3C)C=CN2)c1</v>
      </c>
      <c r="C13074" s="7">
        <f>IFERROR(__xludf.DUMMYFUNCTION("""COMPUTED_VALUE"""),7.7554836)</f>
        <v>7.7554836</v>
      </c>
      <c r="D13074" s="7">
        <f>IFERROR(__xludf.DUMMYFUNCTION("""COMPUTED_VALUE"""),0.26865671641791)</f>
        <v>0.2686567164</v>
      </c>
    </row>
    <row r="13075">
      <c r="A13075" s="10" t="s">
        <v>14514</v>
      </c>
      <c r="B13075" s="7" t="str">
        <f>IFERROR(__xludf.DUMMYFUNCTION("SPLIT(A13075,"" "")"),"Cc1cc(C)c(C)c(CN(C)C2=CNC(CN(C)Cc3ccccn3)=CC2)n1")</f>
        <v>Cc1cc(C)c(C)c(CN(C)C2=CNC(CN(C)Cc3ccccn3)=CC2)n1</v>
      </c>
      <c r="C13075" s="7">
        <f>IFERROR(__xludf.DUMMYFUNCTION("""COMPUTED_VALUE"""),7.7554817)</f>
        <v>7.7554817</v>
      </c>
      <c r="D13075" s="7">
        <f>IFERROR(__xludf.DUMMYFUNCTION("""COMPUTED_VALUE"""),0.383333333333333)</f>
        <v>0.3833333333</v>
      </c>
    </row>
    <row r="13076">
      <c r="A13076" s="10" t="s">
        <v>14515</v>
      </c>
      <c r="B13076" s="7" t="str">
        <f>IFERROR(__xludf.DUMMYFUNCTION("SPLIT(A13076,"" "")"),"CN(Cc1ccc2ccccc2n1)Cc1ccc2cccc(N(C)Cc3cc(-c4ccc5c(c4)OCCOCCOCCOCCOCCO5)ccn3)c2n1")</f>
        <v>CN(Cc1ccc2ccccc2n1)Cc1ccc2cccc(N(C)Cc3cc(-c4ccc5c(c4)OCCOCCOCCOCCOCCO5)ccn3)c2n1</v>
      </c>
      <c r="C13076" s="7">
        <f>IFERROR(__xludf.DUMMYFUNCTION("""COMPUTED_VALUE"""),7.75548)</f>
        <v>7.75548</v>
      </c>
      <c r="D13076" s="7">
        <f>IFERROR(__xludf.DUMMYFUNCTION("""COMPUTED_VALUE"""),0.338235294117647)</f>
        <v>0.3382352941</v>
      </c>
    </row>
    <row r="13077">
      <c r="A13077" s="10" t="s">
        <v>14516</v>
      </c>
      <c r="B13077" s="7" t="str">
        <f>IFERROR(__xludf.DUMMYFUNCTION("SPLIT(A13077,"" "")"),"CC(c1ccccn1)C1COC(c2cnccc2CN(Cc2ccccn2)Cc2ccccn2)=N1")</f>
        <v>CC(c1ccccn1)C1COC(c2cnccc2CN(Cc2ccccn2)Cc2ccccn2)=N1</v>
      </c>
      <c r="C13077" s="7">
        <f>IFERROR(__xludf.DUMMYFUNCTION("""COMPUTED_VALUE"""),7.755478)</f>
        <v>7.755478</v>
      </c>
      <c r="D13077" s="7">
        <f>IFERROR(__xludf.DUMMYFUNCTION("""COMPUTED_VALUE"""),0.377358490566037)</f>
        <v>0.3773584906</v>
      </c>
    </row>
    <row r="13078">
      <c r="A13078" s="10" t="s">
        <v>14517</v>
      </c>
      <c r="B13078" s="7" t="str">
        <f>IFERROR(__xludf.DUMMYFUNCTION("SPLIT(A13078,"" "")"),"Cc1ccc(C)c(N(C)CC2=CC(N(C)Cc3ccccn3)C=CN2)c1")</f>
        <v>Cc1ccc(C)c(N(C)CC2=CC(N(C)Cc3ccccn3)C=CN2)c1</v>
      </c>
      <c r="C13078" s="7">
        <f>IFERROR(__xludf.DUMMYFUNCTION("""COMPUTED_VALUE"""),7.755473)</f>
        <v>7.755473</v>
      </c>
      <c r="D13078" s="7">
        <f>IFERROR(__xludf.DUMMYFUNCTION("""COMPUTED_VALUE"""),0.410714285714285)</f>
        <v>0.4107142857</v>
      </c>
    </row>
    <row r="13079">
      <c r="A13079" s="10" t="s">
        <v>14518</v>
      </c>
      <c r="B13079" s="7" t="str">
        <f>IFERROR(__xludf.DUMMYFUNCTION("SPLIT(A13079,"" "")"),"Cc1ccnc(CN(C)C2=CNC(CN(C)Cc3ncc(C)c(C)c3C)=CC2)c1")</f>
        <v>Cc1ccnc(CN(C)C2=CNC(CN(C)Cc3ncc(C)c(C)c3C)=CC2)c1</v>
      </c>
      <c r="C13079" s="7">
        <f>IFERROR(__xludf.DUMMYFUNCTION("""COMPUTED_VALUE"""),7.755467)</f>
        <v>7.755467</v>
      </c>
      <c r="D13079" s="7">
        <f>IFERROR(__xludf.DUMMYFUNCTION("""COMPUTED_VALUE"""),0.301587301587301)</f>
        <v>0.3015873016</v>
      </c>
    </row>
    <row r="13080">
      <c r="A13080" s="10" t="s">
        <v>14519</v>
      </c>
      <c r="B13080" s="7" t="str">
        <f>IFERROR(__xludf.DUMMYFUNCTION("SPLIT(A13080,"" "")"),"Cc1cccnc1CN(C)C1=CNC=C(CN(C)Cc2ncc(C)c(C)c2C)C1")</f>
        <v>Cc1cccnc1CN(C)C1=CNC=C(CN(C)Cc2ncc(C)c(C)c2C)C1</v>
      </c>
      <c r="C13080" s="7">
        <f>IFERROR(__xludf.DUMMYFUNCTION("""COMPUTED_VALUE"""),7.755454)</f>
        <v>7.755454</v>
      </c>
      <c r="D13080" s="7">
        <f>IFERROR(__xludf.DUMMYFUNCTION("""COMPUTED_VALUE"""),0.25)</f>
        <v>0.25</v>
      </c>
    </row>
    <row r="13081">
      <c r="A13081" s="10" t="s">
        <v>14520</v>
      </c>
      <c r="B13081" s="7" t="str">
        <f>IFERROR(__xludf.DUMMYFUNCTION("SPLIT(A13081,"" "")"),"Cc1ccnc(CN(C)C2CCC(N(C)Cc3cc(-c4ccc5ncccc5c4)ccn3)CC2)c1")</f>
        <v>Cc1ccnc(CN(C)C2CCC(N(C)Cc3cc(-c4ccc5ncccc5c4)ccn3)CC2)c1</v>
      </c>
      <c r="C13081" s="7">
        <f>IFERROR(__xludf.DUMMYFUNCTION("""COMPUTED_VALUE"""),7.7554464)</f>
        <v>7.7554464</v>
      </c>
      <c r="D13081" s="7">
        <f>IFERROR(__xludf.DUMMYFUNCTION("""COMPUTED_VALUE"""),0.357142857142857)</f>
        <v>0.3571428571</v>
      </c>
    </row>
    <row r="13082">
      <c r="A13082" s="10" t="s">
        <v>14521</v>
      </c>
      <c r="B13082" s="7" t="str">
        <f>IFERROR(__xludf.DUMMYFUNCTION("SPLIT(A13082,"" "")"),"Cc1cccc(CN(C)C2=CNC(CN(C)Cc3ncccc3C)=CC2)n1")</f>
        <v>Cc1cccc(CN(C)C2=CNC(CN(C)Cc3ncccc3C)=CC2)n1</v>
      </c>
      <c r="C13082" s="7">
        <f>IFERROR(__xludf.DUMMYFUNCTION("""COMPUTED_VALUE"""),7.7554364)</f>
        <v>7.7554364</v>
      </c>
      <c r="D13082" s="7">
        <f>IFERROR(__xludf.DUMMYFUNCTION("""COMPUTED_VALUE"""),0.388888888888888)</f>
        <v>0.3888888889</v>
      </c>
    </row>
    <row r="13083">
      <c r="A13083" s="10" t="s">
        <v>14522</v>
      </c>
      <c r="B13083" s="7" t="str">
        <f>IFERROR(__xludf.DUMMYFUNCTION("SPLIT(A13083,"" "")"),"Cc1cccc(CN(Cc2ccccn2)Cc2ccc(N(C)C)cn2)c1C")</f>
        <v>Cc1cccc(CN(Cc2ccccn2)Cc2ccc(N(C)C)cn2)c1C</v>
      </c>
      <c r="C13083" s="7">
        <f>IFERROR(__xludf.DUMMYFUNCTION("""COMPUTED_VALUE"""),7.7554255)</f>
        <v>7.7554255</v>
      </c>
      <c r="D13083" s="7">
        <f>IFERROR(__xludf.DUMMYFUNCTION("""COMPUTED_VALUE"""),0.48780487804878)</f>
        <v>0.487804878</v>
      </c>
    </row>
    <row r="13084">
      <c r="A13084" s="10" t="s">
        <v>14523</v>
      </c>
      <c r="B13084" s="7" t="str">
        <f>IFERROR(__xludf.DUMMYFUNCTION("SPLIT(A13084,"" "")"),"CNc1cncc(C)c1CN(Cc1ccccn1)Cc1ncccc1C")</f>
        <v>CNc1cncc(C)c1CN(Cc1ccccn1)Cc1ncccc1C</v>
      </c>
      <c r="C13084" s="7">
        <f>IFERROR(__xludf.DUMMYFUNCTION("""COMPUTED_VALUE"""),7.755424)</f>
        <v>7.755424</v>
      </c>
      <c r="D13084" s="7">
        <f>IFERROR(__xludf.DUMMYFUNCTION("""COMPUTED_VALUE"""),0.444444444444444)</f>
        <v>0.4444444444</v>
      </c>
    </row>
    <row r="13085">
      <c r="A13085" s="10" t="s">
        <v>14524</v>
      </c>
      <c r="B13085" s="7" t="str">
        <f>IFERROR(__xludf.DUMMYFUNCTION("SPLIT(A13085,"" "")"),"Cc1cccnc1CN(C)Cc1cc(C(C)(C)c2ccccn2)ccn1")</f>
        <v>Cc1cccnc1CN(C)Cc1cc(C(C)(C)c2ccccn2)ccn1</v>
      </c>
      <c r="C13085" s="7">
        <f>IFERROR(__xludf.DUMMYFUNCTION("""COMPUTED_VALUE"""),7.7554164)</f>
        <v>7.7554164</v>
      </c>
      <c r="D13085" s="7">
        <f>IFERROR(__xludf.DUMMYFUNCTION("""COMPUTED_VALUE"""),0.363636363636363)</f>
        <v>0.3636363636</v>
      </c>
    </row>
    <row r="13086">
      <c r="A13086" s="10" t="s">
        <v>14525</v>
      </c>
      <c r="B13086" s="7" t="str">
        <f>IFERROR(__xludf.DUMMYFUNCTION("SPLIT(A13086,"" "")"),"CNC1C(N(Cc2nc(C)c(C)c(C)c2C)Cc2nc(C)c(C)c(C)c2C)CCC(N(Cc2nc(C)c(C)c(C)c2C)Cc2nc(C)c(C)c(C)c2C)C1N(Cc1nc(C)c(C)c(C)c1C)Cc1nc(C)c(C)c(C)c1C")</f>
        <v>CNC1C(N(Cc2nc(C)c(C)c(C)c2C)Cc2nc(C)c(C)c(C)c2C)CCC(N(Cc2nc(C)c(C)c(C)c2C)Cc2nc(C)c(C)c(C)c2C)C1N(Cc1nc(C)c(C)c(C)c1C)Cc1nc(C)c(C)c(C)c1C</v>
      </c>
      <c r="C13086" s="7">
        <f>IFERROR(__xludf.DUMMYFUNCTION("""COMPUTED_VALUE"""),7.755416)</f>
        <v>7.755416</v>
      </c>
      <c r="D13086" s="7">
        <f>IFERROR(__xludf.DUMMYFUNCTION("""COMPUTED_VALUE"""),0.218181818181818)</f>
        <v>0.2181818182</v>
      </c>
    </row>
    <row r="13087">
      <c r="A13087" s="10" t="s">
        <v>14526</v>
      </c>
      <c r="B13087" s="7" t="str">
        <f>IFERROR(__xludf.DUMMYFUNCTION("SPLIT(A13087,"" "")"),"Cc1ccc(CN(C)C2=C(CN(C)Cc3cc(C)cc(C)n3)NC=CC2)nc1")</f>
        <v>Cc1ccc(CN(C)C2=C(CN(C)Cc3cc(C)cc(C)n3)NC=CC2)nc1</v>
      </c>
      <c r="C13087" s="7">
        <f>IFERROR(__xludf.DUMMYFUNCTION("""COMPUTED_VALUE"""),7.755411)</f>
        <v>7.755411</v>
      </c>
      <c r="D13087" s="7">
        <f>IFERROR(__xludf.DUMMYFUNCTION("""COMPUTED_VALUE"""),0.415094339622641)</f>
        <v>0.4150943396</v>
      </c>
    </row>
    <row r="13088">
      <c r="A13088" s="10" t="s">
        <v>14527</v>
      </c>
      <c r="B13088" s="7" t="str">
        <f>IFERROR(__xludf.DUMMYFUNCTION("SPLIT(A13088,"" "")"),"CC1=CC2(C=CNC(C(C)C)=C2)c2cccnc2C1")</f>
        <v>CC1=CC2(C=CNC(C(C)C)=C2)c2cccnc2C1</v>
      </c>
      <c r="C13088" s="7">
        <f>IFERROR(__xludf.DUMMYFUNCTION("""COMPUTED_VALUE"""),7.7554035)</f>
        <v>7.7554035</v>
      </c>
      <c r="D13088" s="7">
        <f>IFERROR(__xludf.DUMMYFUNCTION("""COMPUTED_VALUE"""),0.2)</f>
        <v>0.2</v>
      </c>
    </row>
    <row r="13089">
      <c r="A13089" s="10" t="s">
        <v>14528</v>
      </c>
      <c r="B13089" s="7" t="str">
        <f>IFERROR(__xludf.DUMMYFUNCTION("SPLIT(A13089,"" "")"),"Cc1ccc(CN(C)C2=CNC(CN(C)Cc3nccc(C)c3C)=CC2)nc1")</f>
        <v>Cc1ccc(CN(C)C2=CNC(CN(C)Cc3nccc(C)c3C)=CC2)nc1</v>
      </c>
      <c r="C13089" s="7">
        <f>IFERROR(__xludf.DUMMYFUNCTION("""COMPUTED_VALUE"""),7.755402)</f>
        <v>7.755402</v>
      </c>
      <c r="D13089" s="7">
        <f>IFERROR(__xludf.DUMMYFUNCTION("""COMPUTED_VALUE"""),0.381818181818181)</f>
        <v>0.3818181818</v>
      </c>
    </row>
    <row r="13090">
      <c r="A13090" s="10" t="s">
        <v>14529</v>
      </c>
      <c r="B13090" s="7" t="str">
        <f>IFERROR(__xludf.DUMMYFUNCTION("SPLIT(A13090,"" "")"),"Cc1ccc(CN(C)C2=CNC(CN(C)Cc3ncc(C)c(C)c3C)=CC2)nc1")</f>
        <v>Cc1ccc(CN(C)C2=CNC(CN(C)Cc3ncc(C)c(C)c3C)=CC2)nc1</v>
      </c>
      <c r="C13090" s="7">
        <f>IFERROR(__xludf.DUMMYFUNCTION("""COMPUTED_VALUE"""),7.7554)</f>
        <v>7.7554</v>
      </c>
      <c r="D13090" s="7">
        <f>IFERROR(__xludf.DUMMYFUNCTION("""COMPUTED_VALUE"""),0.396226415094339)</f>
        <v>0.3962264151</v>
      </c>
    </row>
    <row r="13091">
      <c r="A13091" s="10" t="s">
        <v>14530</v>
      </c>
      <c r="B13091" s="7" t="str">
        <f>IFERROR(__xludf.DUMMYFUNCTION("SPLIT(A13091,"" "")"),"CCN(Cc1ccccn1)Cc1cc(C(C)(c2ccccn2)c2ccccn2)ccn1")</f>
        <v>CCN(Cc1ccccn1)Cc1cc(C(C)(c2ccccn2)c2ccccn2)ccn1</v>
      </c>
      <c r="C13091" s="7">
        <f>IFERROR(__xludf.DUMMYFUNCTION("""COMPUTED_VALUE"""),7.755399)</f>
        <v>7.755399</v>
      </c>
      <c r="D13091" s="7">
        <f>IFERROR(__xludf.DUMMYFUNCTION("""COMPUTED_VALUE"""),0.478260869565217)</f>
        <v>0.4782608696</v>
      </c>
    </row>
    <row r="13092">
      <c r="A13092" s="10" t="s">
        <v>14531</v>
      </c>
      <c r="B13092" s="7" t="str">
        <f>IFERROR(__xludf.DUMMYFUNCTION("SPLIT(A13092,"" "")"),"Cc1cncc(CN(C)CC2=C(N(C)Cc3nc(C)c(C)cc3C)CC=CN2)c1")</f>
        <v>Cc1cncc(CN(C)CC2=C(N(C)Cc3nc(C)c(C)cc3C)CC=CN2)c1</v>
      </c>
      <c r="C13092" s="7">
        <f>IFERROR(__xludf.DUMMYFUNCTION("""COMPUTED_VALUE"""),7.7553988)</f>
        <v>7.7553988</v>
      </c>
      <c r="D13092" s="7">
        <f>IFERROR(__xludf.DUMMYFUNCTION("""COMPUTED_VALUE"""),0.1875)</f>
        <v>0.1875</v>
      </c>
    </row>
    <row r="13093">
      <c r="A13093" s="10" t="s">
        <v>14532</v>
      </c>
      <c r="B13093" s="7" t="str">
        <f>IFERROR(__xludf.DUMMYFUNCTION("SPLIT(A13093,"" "")"),"CN(CCF)CCN(Cc1ccccn1)c1ccc2cccnc2c1")</f>
        <v>CN(CCF)CCN(Cc1ccccn1)c1ccc2cccnc2c1</v>
      </c>
      <c r="C13093" s="7">
        <f>IFERROR(__xludf.DUMMYFUNCTION("""COMPUTED_VALUE"""),7.7553973)</f>
        <v>7.7553973</v>
      </c>
      <c r="D13093" s="7">
        <f>IFERROR(__xludf.DUMMYFUNCTION("""COMPUTED_VALUE"""),0.48)</f>
        <v>0.48</v>
      </c>
    </row>
    <row r="13094">
      <c r="A13094" s="10" t="s">
        <v>14533</v>
      </c>
      <c r="B13094" s="7" t="str">
        <f>IFERROR(__xludf.DUMMYFUNCTION("SPLIT(A13094,"" "")"),"CN(CCN(Cc1ccccn1)c1ccc2nc(CF)ccc2c1)C(C)(C)C")</f>
        <v>CN(CCN(Cc1ccccn1)c1ccc2nc(CF)ccc2c1)C(C)(C)C</v>
      </c>
      <c r="C13094" s="7">
        <f>IFERROR(__xludf.DUMMYFUNCTION("""COMPUTED_VALUE"""),7.7553945)</f>
        <v>7.7553945</v>
      </c>
      <c r="D13094" s="7">
        <f>IFERROR(__xludf.DUMMYFUNCTION("""COMPUTED_VALUE"""),0.433962264150943)</f>
        <v>0.4339622642</v>
      </c>
    </row>
    <row r="13095">
      <c r="A13095" s="10" t="s">
        <v>14534</v>
      </c>
      <c r="B13095" s="7" t="str">
        <f>IFERROR(__xludf.DUMMYFUNCTION("SPLIT(A13095,"" "")"),"COC(=O)c1cccc(CN(Cc2ccccn2)Cc2cccc(C(C)(C)C)n2)n1")</f>
        <v>COC(=O)c1cccc(CN(Cc2ccccn2)Cc2cccc(C(C)(C)C)n2)n1</v>
      </c>
      <c r="C13095" s="7">
        <f>IFERROR(__xludf.DUMMYFUNCTION("""COMPUTED_VALUE"""),7.755393)</f>
        <v>7.755393</v>
      </c>
      <c r="D13095" s="7">
        <f>IFERROR(__xludf.DUMMYFUNCTION("""COMPUTED_VALUE"""),0.444444444444444)</f>
        <v>0.4444444444</v>
      </c>
    </row>
    <row r="13096">
      <c r="A13096" s="10" t="s">
        <v>14535</v>
      </c>
      <c r="B13096" s="7" t="str">
        <f>IFERROR(__xludf.DUMMYFUNCTION("SPLIT(A13096,"" "")"),"CN(CCN)CCN(C)c1cccc2nc(CF)ccc12")</f>
        <v>CN(CCN)CCN(C)c1cccc2nc(CF)ccc12</v>
      </c>
      <c r="C13096" s="7">
        <f>IFERROR(__xludf.DUMMYFUNCTION("""COMPUTED_VALUE"""),7.7553864)</f>
        <v>7.7553864</v>
      </c>
      <c r="D13096" s="7">
        <f>IFERROR(__xludf.DUMMYFUNCTION("""COMPUTED_VALUE"""),0.36734693877551)</f>
        <v>0.3673469388</v>
      </c>
    </row>
    <row r="13097">
      <c r="A13097" s="10" t="s">
        <v>14536</v>
      </c>
      <c r="B13097" s="7" t="str">
        <f>IFERROR(__xludf.DUMMYFUNCTION("SPLIT(A13097,"" "")"),"CC1=C(C)C2(CCC(c3ccc(CN(Cc4ccccn4)Cc4ccccn4)cn3)=C(c3ncccc3CN(Cc3ccccn3)Cc3ccccn3)C23C=CNC(C(C)C)=C3)CC(C)C1")</f>
        <v>CC1=C(C)C2(CCC(c3ccc(CN(Cc4ccccn4)Cc4ccccn4)cn3)=C(c3ncccc3CN(Cc3ccccn3)Cc3ccccn3)C23C=CNC(C(C)C)=C3)CC(C)C1</v>
      </c>
      <c r="C13097" s="7">
        <f>IFERROR(__xludf.DUMMYFUNCTION("""COMPUTED_VALUE"""),7.7553854)</f>
        <v>7.7553854</v>
      </c>
      <c r="D13097" s="7">
        <f>IFERROR(__xludf.DUMMYFUNCTION("""COMPUTED_VALUE"""),0.260869565217391)</f>
        <v>0.2608695652</v>
      </c>
    </row>
    <row r="13098">
      <c r="A13098" s="10" t="s">
        <v>14537</v>
      </c>
      <c r="B13098" s="7" t="str">
        <f>IFERROR(__xludf.DUMMYFUNCTION("SPLIT(A13098,"" "")"),"Cc1cc(CN(Cc2ccccn2)C2CCC(N(C)c3ccc4nccc(CN(C)C)c4c3)CC2)cnc1C")</f>
        <v>Cc1cc(CN(Cc2ccccn2)C2CCC(N(C)c3ccc4nccc(CN(C)C)c4c3)CC2)cnc1C</v>
      </c>
      <c r="C13098" s="7">
        <f>IFERROR(__xludf.DUMMYFUNCTION("""COMPUTED_VALUE"""),7.7553844)</f>
        <v>7.7553844</v>
      </c>
      <c r="D13098" s="7">
        <f>IFERROR(__xludf.DUMMYFUNCTION("""COMPUTED_VALUE"""),0.318840579710144)</f>
        <v>0.3188405797</v>
      </c>
    </row>
    <row r="13099">
      <c r="A13099" s="10" t="s">
        <v>14538</v>
      </c>
      <c r="B13099" s="7" t="str">
        <f>IFERROR(__xludf.DUMMYFUNCTION("SPLIT(A13099,"" "")"),"Cc1cccnc1CN(C)CC1=C(N(C)Cc2cc(C)c(C)c(C)n2)CC=CN1")</f>
        <v>Cc1cccnc1CN(C)CC1=C(N(C)Cc2cc(C)c(C)c(C)n2)CC=CN1</v>
      </c>
      <c r="C13099" s="7">
        <f>IFERROR(__xludf.DUMMYFUNCTION("""COMPUTED_VALUE"""),7.7553678)</f>
        <v>7.7553678</v>
      </c>
      <c r="D13099" s="7">
        <f>IFERROR(__xludf.DUMMYFUNCTION("""COMPUTED_VALUE"""),0.261538461538461)</f>
        <v>0.2615384615</v>
      </c>
    </row>
    <row r="13100">
      <c r="A13100" s="10" t="s">
        <v>14539</v>
      </c>
      <c r="B13100" s="7" t="str">
        <f>IFERROR(__xludf.DUMMYFUNCTION("SPLIT(A13100,"" "")"),"Cc1cccc(CN(C)CC2=CCC(N(C)Cc3ncccc3C)=CN2)n1")</f>
        <v>Cc1cccc(CN(C)CC2=CCC(N(C)Cc3ncccc3C)=CN2)n1</v>
      </c>
      <c r="C13100" s="7">
        <f>IFERROR(__xludf.DUMMYFUNCTION("""COMPUTED_VALUE"""),7.755365)</f>
        <v>7.755365</v>
      </c>
      <c r="D13100" s="7">
        <f>IFERROR(__xludf.DUMMYFUNCTION("""COMPUTED_VALUE"""),0.415094339622641)</f>
        <v>0.4150943396</v>
      </c>
    </row>
    <row r="13101">
      <c r="A13101" s="10" t="s">
        <v>14540</v>
      </c>
      <c r="B13101" s="7" t="str">
        <f>IFERROR(__xludf.DUMMYFUNCTION("SPLIT(A13101,"" "")"),"Cc1ccc(CN(C)c2c(N(C)Cc3cccc(C)n3)ccc(Cl)c2-c2cccc(CN(Cc3ccccn3)Cc3cccc(-c4ccc5c(c4)OCCOCCOCCOCCOCCO5)n3)n2)nc1")</f>
        <v>Cc1ccc(CN(C)c2c(N(C)Cc3cccc(C)n3)ccc(Cl)c2-c2cccc(CN(Cc3ccccn3)Cc3cccc(-c4ccc5c(c4)OCCOCCOCCOCCOCCO5)n3)n2)nc1</v>
      </c>
      <c r="C13101" s="7">
        <f>IFERROR(__xludf.DUMMYFUNCTION("""COMPUTED_VALUE"""),7.7553477)</f>
        <v>7.7553477</v>
      </c>
      <c r="D13101" s="7">
        <f>IFERROR(__xludf.DUMMYFUNCTION("""COMPUTED_VALUE"""),0.369047619047619)</f>
        <v>0.369047619</v>
      </c>
    </row>
    <row r="13102">
      <c r="A13102" s="10" t="s">
        <v>14541</v>
      </c>
      <c r="B13102" s="7" t="str">
        <f>IFERROR(__xludf.DUMMYFUNCTION("SPLIT(A13102,"" "")"),"C1=CC(c2ccccc2NCc2ccccn2)C=CN1")</f>
        <v>C1=CC(c2ccccc2NCc2ccccn2)C=CN1</v>
      </c>
      <c r="C13102" s="7">
        <f>IFERROR(__xludf.DUMMYFUNCTION("""COMPUTED_VALUE"""),7.755347)</f>
        <v>7.755347</v>
      </c>
      <c r="D13102" s="7">
        <f>IFERROR(__xludf.DUMMYFUNCTION("""COMPUTED_VALUE"""),0.414634146341463)</f>
        <v>0.4146341463</v>
      </c>
    </row>
    <row r="13103">
      <c r="A13103" s="10" t="s">
        <v>14542</v>
      </c>
      <c r="B13103" s="7" t="str">
        <f>IFERROR(__xludf.DUMMYFUNCTION("SPLIT(A13103,"" "")"),"CN(Cc1cccc(-c2ccccc2)n1)C1CCCCC1N(C)c1ccc2nc(CF)ccc2c1")</f>
        <v>CN(Cc1cccc(-c2ccccc2)n1)C1CCCCC1N(C)c1ccc2nc(CF)ccc2c1</v>
      </c>
      <c r="C13103" s="7">
        <f>IFERROR(__xludf.DUMMYFUNCTION("""COMPUTED_VALUE"""),7.7553453)</f>
        <v>7.7553453</v>
      </c>
      <c r="D13103" s="7">
        <f>IFERROR(__xludf.DUMMYFUNCTION("""COMPUTED_VALUE"""),0.46774193548387)</f>
        <v>0.4677419355</v>
      </c>
    </row>
    <row r="13104">
      <c r="A13104" s="10" t="s">
        <v>14543</v>
      </c>
      <c r="B13104" s="7" t="str">
        <f>IFERROR(__xludf.DUMMYFUNCTION("SPLIT(A13104,"" "")"),"CN(c1ccc2nc(CF)ccc2c1)C1CCC(N(Cc2ccccn2)c2ccccc2F)CC1")</f>
        <v>CN(c1ccc2nc(CF)ccc2c1)C1CCC(N(Cc2ccccn2)c2ccccc2F)CC1</v>
      </c>
      <c r="C13104" s="7">
        <f>IFERROR(__xludf.DUMMYFUNCTION("""COMPUTED_VALUE"""),7.755335)</f>
        <v>7.755335</v>
      </c>
      <c r="D13104" s="7">
        <f>IFERROR(__xludf.DUMMYFUNCTION("""COMPUTED_VALUE"""),0.370967741935483)</f>
        <v>0.3709677419</v>
      </c>
    </row>
    <row r="13105">
      <c r="A13105" s="10" t="s">
        <v>14544</v>
      </c>
      <c r="B13105" s="7" t="str">
        <f>IFERROR(__xludf.DUMMYFUNCTION("SPLIT(A13105,"" "")"),"Cc1cc(C)c(CN(Cc2cc(C)c(C)c(C)n2)C2CC(N(Cc3nc(C)c(C)c(C)c3C)Cc3nc(C)c(C)c(C)c3C)CCC2N(C)Cc2cc(-c3ccccn3)ccn2)nc1C")</f>
        <v>Cc1cc(C)c(CN(Cc2cc(C)c(C)c(C)n2)C2CC(N(Cc3nc(C)c(C)c(C)c3C)Cc3nc(C)c(C)c(C)c3C)CCC2N(C)Cc2cc(-c3ccccn3)ccn2)nc1C</v>
      </c>
      <c r="C13105" s="7">
        <f>IFERROR(__xludf.DUMMYFUNCTION("""COMPUTED_VALUE"""),7.7553244)</f>
        <v>7.7553244</v>
      </c>
      <c r="D13105" s="7">
        <f>IFERROR(__xludf.DUMMYFUNCTION("""COMPUTED_VALUE"""),0.333333333333333)</f>
        <v>0.3333333333</v>
      </c>
    </row>
    <row r="13106">
      <c r="A13106" s="10" t="s">
        <v>14545</v>
      </c>
      <c r="B13106" s="7" t="str">
        <f>IFERROR(__xludf.DUMMYFUNCTION("SPLIT(A13106,"" "")"),"CC1=CC(C)C(C)(N(C)Cc2ncccc2-c2ccccc2N=Cc2ccccn2)CC1")</f>
        <v>CC1=CC(C)C(C)(N(C)Cc2ncccc2-c2ccccc2N=Cc2ccccn2)CC1</v>
      </c>
      <c r="C13106" s="7">
        <f>IFERROR(__xludf.DUMMYFUNCTION("""COMPUTED_VALUE"""),7.755315)</f>
        <v>7.755315</v>
      </c>
      <c r="D13106" s="7">
        <f>IFERROR(__xludf.DUMMYFUNCTION("""COMPUTED_VALUE"""),0.375)</f>
        <v>0.375</v>
      </c>
    </row>
    <row r="13107">
      <c r="A13107" s="10" t="s">
        <v>14546</v>
      </c>
      <c r="B13107" s="7" t="str">
        <f>IFERROR(__xludf.DUMMYFUNCTION("SPLIT(A13107,"" "")"),"Cc1ccc2ccc(N(C)C3CCCC(N(C)Cc4cc(C)c(C)c(C)n4)C3)cc2n1")</f>
        <v>Cc1ccc2ccc(N(C)C3CCCC(N(C)Cc4cc(C)c(C)c(C)n4)C3)cc2n1</v>
      </c>
      <c r="C13107" s="7">
        <f>IFERROR(__xludf.DUMMYFUNCTION("""COMPUTED_VALUE"""),7.7553105)</f>
        <v>7.7553105</v>
      </c>
      <c r="D13107" s="7">
        <f>IFERROR(__xludf.DUMMYFUNCTION("""COMPUTED_VALUE"""),0.333333333333333)</f>
        <v>0.3333333333</v>
      </c>
    </row>
    <row r="13108">
      <c r="A13108" s="10" t="s">
        <v>14547</v>
      </c>
      <c r="B13108" s="7" t="str">
        <f>IFERROR(__xludf.DUMMYFUNCTION("SPLIT(A13108,"" "")"),"Cc1cccnc1CN(C)C1CCC(N(C)Cc2cc(-c3ccc4cccnc4c3)ccn2)CC1")</f>
        <v>Cc1cccnc1CN(C)C1CCC(N(C)Cc2cc(-c3ccc4cccnc4c3)ccn2)CC1</v>
      </c>
      <c r="C13108" s="7">
        <f>IFERROR(__xludf.DUMMYFUNCTION("""COMPUTED_VALUE"""),7.7553096)</f>
        <v>7.7553096</v>
      </c>
      <c r="D13108" s="7">
        <f>IFERROR(__xludf.DUMMYFUNCTION("""COMPUTED_VALUE"""),0.338983050847457)</f>
        <v>0.3389830508</v>
      </c>
    </row>
    <row r="13109">
      <c r="A13109" s="10" t="s">
        <v>14548</v>
      </c>
      <c r="B13109" s="7" t="str">
        <f>IFERROR(__xludf.DUMMYFUNCTION("SPLIT(A13109,"" "")"),"CN(CC1=CCC(N(C)C(C2=CCC=CN2)c2ccccn2)=CN1)Cc1ccccn1")</f>
        <v>CN(CC1=CCC(N(C)C(C2=CCC=CN2)c2ccccn2)=CN1)Cc1ccccn1</v>
      </c>
      <c r="C13109" s="7">
        <f>IFERROR(__xludf.DUMMYFUNCTION("""COMPUTED_VALUE"""),7.7553005)</f>
        <v>7.7553005</v>
      </c>
      <c r="D13109" s="7">
        <f>IFERROR(__xludf.DUMMYFUNCTION("""COMPUTED_VALUE"""),0.46774193548387)</f>
        <v>0.4677419355</v>
      </c>
    </row>
    <row r="13110">
      <c r="A13110" s="10" t="s">
        <v>14549</v>
      </c>
      <c r="B13110" s="7" t="str">
        <f>IFERROR(__xludf.DUMMYFUNCTION("SPLIT(A13110,"" "")"),"Cc1cncc(CN(C)Cc2cccc(N(C)C3C=CC=CN3)n2)c1C")</f>
        <v>Cc1cncc(CN(C)Cc2cccc(N(C)C3C=CC=CN3)n2)c1C</v>
      </c>
      <c r="C13110" s="7">
        <f>IFERROR(__xludf.DUMMYFUNCTION("""COMPUTED_VALUE"""),7.7552953)</f>
        <v>7.7552953</v>
      </c>
      <c r="D13110" s="7">
        <f>IFERROR(__xludf.DUMMYFUNCTION("""COMPUTED_VALUE"""),0.31578947368421)</f>
        <v>0.3157894737</v>
      </c>
    </row>
    <row r="13111">
      <c r="A13111" s="10" t="s">
        <v>14550</v>
      </c>
      <c r="B13111" s="7" t="str">
        <f>IFERROR(__xludf.DUMMYFUNCTION("SPLIT(A13111,"" "")"),"CCN(Cc1cc(-c2ccc3c(c2)OCCOCCOCCOCCOCCO3)ccn1)Cc1ccc2cccc(N(C)Cc3ccc4cccc(C)c4n3)c2n1")</f>
        <v>CCN(Cc1cc(-c2ccc3c(c2)OCCOCCOCCOCCOCCO3)ccn1)Cc1ccc2cccc(N(C)Cc3ccc4cccc(C)c4n3)c2n1</v>
      </c>
      <c r="C13111" s="7">
        <f>IFERROR(__xludf.DUMMYFUNCTION("""COMPUTED_VALUE"""),7.7552824)</f>
        <v>7.7552824</v>
      </c>
      <c r="D13111" s="7">
        <f>IFERROR(__xludf.DUMMYFUNCTION("""COMPUTED_VALUE"""),0.320987654320987)</f>
        <v>0.3209876543</v>
      </c>
    </row>
    <row r="13112">
      <c r="A13112" s="10" t="s">
        <v>14551</v>
      </c>
      <c r="B13112" s="7" t="str">
        <f>IFERROR(__xludf.DUMMYFUNCTION("SPLIT(A13112,"" "")"),"Cc1nc(CN(C)C2=CNC(CN(C)Cc3ccccn3)=CC2)c(C)c(C)c1C")</f>
        <v>Cc1nc(CN(C)C2=CNC(CN(C)Cc3ccccn3)=CC2)c(C)c(C)c1C</v>
      </c>
      <c r="C13112" s="7">
        <f>IFERROR(__xludf.DUMMYFUNCTION("""COMPUTED_VALUE"""),7.755279)</f>
        <v>7.755279</v>
      </c>
      <c r="D13112" s="7">
        <f>IFERROR(__xludf.DUMMYFUNCTION("""COMPUTED_VALUE"""),0.396551724137931)</f>
        <v>0.3965517241</v>
      </c>
    </row>
    <row r="13113">
      <c r="A13113" s="10" t="s">
        <v>14552</v>
      </c>
      <c r="B13113" s="7" t="str">
        <f>IFERROR(__xludf.DUMMYFUNCTION("SPLIT(A13113,"" "")"),"Cc1cc(C)c(C)c(CN(C)C2=C(CN(C)Cc3ccc(C)c(C)c3C)NC=CC2)n1")</f>
        <v>Cc1cc(C)c(C)c(CN(C)C2=C(CN(C)Cc3ccc(C)c(C)c3C)NC=CC2)n1</v>
      </c>
      <c r="C13113" s="7">
        <f>IFERROR(__xludf.DUMMYFUNCTION("""COMPUTED_VALUE"""),7.75527)</f>
        <v>7.75527</v>
      </c>
      <c r="D13113" s="7">
        <f>IFERROR(__xludf.DUMMYFUNCTION("""COMPUTED_VALUE"""),0.209677419354838)</f>
        <v>0.2096774194</v>
      </c>
    </row>
    <row r="13114">
      <c r="A13114" s="10" t="s">
        <v>14553</v>
      </c>
      <c r="B13114" s="7" t="str">
        <f>IFERROR(__xludf.DUMMYFUNCTION("SPLIT(A13114,"" "")"),"CN(CCF)CCN(Cc1ccccn1)c1ccc2ncccc2c1")</f>
        <v>CN(CCF)CCN(Cc1ccccn1)c1ccc2ncccc2c1</v>
      </c>
      <c r="C13114" s="7">
        <f>IFERROR(__xludf.DUMMYFUNCTION("""COMPUTED_VALUE"""),7.755269)</f>
        <v>7.755269</v>
      </c>
      <c r="D13114" s="7">
        <f>IFERROR(__xludf.DUMMYFUNCTION("""COMPUTED_VALUE"""),0.423076923076923)</f>
        <v>0.4230769231</v>
      </c>
    </row>
    <row r="13115">
      <c r="A13115" s="10" t="s">
        <v>14554</v>
      </c>
      <c r="B13115" s="7" t="str">
        <f>IFERROR(__xludf.DUMMYFUNCTION("SPLIT(A13115,"" "")"),"CN(c1ccc2nccc(CF)c2c1)C1CCC(N(Cc2ccnc(C3OC=NC3(C)C)c2)Cc2ccccn2)CC1")</f>
        <v>CN(c1ccc2nccc(CF)c2c1)C1CCC(N(Cc2ccnc(C3OC=NC3(C)C)c2)Cc2ccccn2)CC1</v>
      </c>
      <c r="C13115" s="7">
        <f>IFERROR(__xludf.DUMMYFUNCTION("""COMPUTED_VALUE"""),7.7552648)</f>
        <v>7.7552648</v>
      </c>
      <c r="D13115" s="7">
        <f>IFERROR(__xludf.DUMMYFUNCTION("""COMPUTED_VALUE"""),0.278481012658227)</f>
        <v>0.2784810127</v>
      </c>
    </row>
    <row r="13116">
      <c r="A13116" s="10" t="s">
        <v>14555</v>
      </c>
      <c r="B13116" s="7" t="str">
        <f>IFERROR(__xludf.DUMMYFUNCTION("SPLIT(A13116,"" "")"),"Cc1ccc(CN(C)C2=C(CN(C)Cc3nc(C)c(C)c(C)c3C)NC=CC2)nc1")</f>
        <v>Cc1ccc(CN(C)C2=C(CN(C)Cc3nc(C)c(C)c(C)c3C)NC=CC2)nc1</v>
      </c>
      <c r="C13116" s="7">
        <f>IFERROR(__xludf.DUMMYFUNCTION("""COMPUTED_VALUE"""),7.7552633)</f>
        <v>7.7552633</v>
      </c>
      <c r="D13116" s="7">
        <f>IFERROR(__xludf.DUMMYFUNCTION("""COMPUTED_VALUE"""),0.381818181818181)</f>
        <v>0.3818181818</v>
      </c>
    </row>
    <row r="13117">
      <c r="A13117" s="10" t="s">
        <v>14556</v>
      </c>
      <c r="B13117" s="7" t="str">
        <f>IFERROR(__xludf.DUMMYFUNCTION("SPLIT(A13117,"" "")"),"Cc1cccnc1CN(C)CC1=CCC(N(C)Cc2ncccc2C)=CN1")</f>
        <v>Cc1cccnc1CN(C)CC1=CCC(N(C)Cc2ncccc2C)=CN1</v>
      </c>
      <c r="C13117" s="7">
        <f>IFERROR(__xludf.DUMMYFUNCTION("""COMPUTED_VALUE"""),7.755262)</f>
        <v>7.755262</v>
      </c>
      <c r="D13117" s="7">
        <f>IFERROR(__xludf.DUMMYFUNCTION("""COMPUTED_VALUE"""),0.29090909090909)</f>
        <v>0.2909090909</v>
      </c>
    </row>
    <row r="13118">
      <c r="A13118" s="10" t="s">
        <v>14557</v>
      </c>
      <c r="B13118" s="7" t="str">
        <f>IFERROR(__xludf.DUMMYFUNCTION("SPLIT(A13118,"" "")"),"C=CCN(C)Cc1cccc(C(C)(c2ccccn2)c2ccccn2)n1")</f>
        <v>C=CCN(C)Cc1cccc(C(C)(c2ccccn2)c2ccccn2)n1</v>
      </c>
      <c r="C13118" s="7">
        <f>IFERROR(__xludf.DUMMYFUNCTION("""COMPUTED_VALUE"""),7.755257)</f>
        <v>7.755257</v>
      </c>
      <c r="D13118" s="7">
        <f>IFERROR(__xludf.DUMMYFUNCTION("""COMPUTED_VALUE"""),0.452830188679245)</f>
        <v>0.4528301887</v>
      </c>
    </row>
    <row r="13119">
      <c r="A13119" s="10" t="s">
        <v>14558</v>
      </c>
      <c r="B13119" s="7" t="str">
        <f>IFERROR(__xludf.DUMMYFUNCTION("SPLIT(A13119,"" "")"),"Cc1ccc(C)c(CN(C)CC2=CCC(N(C)Cc3nc(C)ccc3C)=CN2)n1")</f>
        <v>Cc1ccc(C)c(CN(C)CC2=CCC(N(C)Cc3nc(C)ccc3C)=CN2)n1</v>
      </c>
      <c r="C13119" s="7">
        <f>IFERROR(__xludf.DUMMYFUNCTION("""COMPUTED_VALUE"""),7.755256)</f>
        <v>7.755256</v>
      </c>
      <c r="D13119" s="7">
        <f>IFERROR(__xludf.DUMMYFUNCTION("""COMPUTED_VALUE"""),0.274509803921568)</f>
        <v>0.2745098039</v>
      </c>
    </row>
    <row r="13120">
      <c r="A13120" s="10" t="s">
        <v>14559</v>
      </c>
      <c r="B13120" s="7" t="str">
        <f>IFERROR(__xludf.DUMMYFUNCTION("SPLIT(A13120,"" "")"),"CN(C)c1cccnc1CN(Cc1cncc(F)c1)Cc1ccccn1")</f>
        <v>CN(C)c1cccnc1CN(Cc1cncc(F)c1)Cc1ccccn1</v>
      </c>
      <c r="C13120" s="7">
        <f>IFERROR(__xludf.DUMMYFUNCTION("""COMPUTED_VALUE"""),7.7552557)</f>
        <v>7.7552557</v>
      </c>
      <c r="D13120" s="7">
        <f>IFERROR(__xludf.DUMMYFUNCTION("""COMPUTED_VALUE"""),0.434782608695652)</f>
        <v>0.4347826087</v>
      </c>
    </row>
    <row r="13121">
      <c r="A13121" s="10" t="s">
        <v>14560</v>
      </c>
      <c r="B13121" s="7" t="str">
        <f>IFERROR(__xludf.DUMMYFUNCTION("SPLIT(A13121,"" "")"),"CC1=C(c2ccccc2)C(C(C)(C)c2ccccn2)CC=C1C(C)(C)c1ccccn1")</f>
        <v>CC1=C(c2ccccc2)C(C(C)(C)c2ccccn2)CC=C1C(C)(C)c1ccccn1</v>
      </c>
      <c r="C13121" s="7">
        <f>IFERROR(__xludf.DUMMYFUNCTION("""COMPUTED_VALUE"""),7.7552443)</f>
        <v>7.7552443</v>
      </c>
      <c r="D13121" s="7">
        <f>IFERROR(__xludf.DUMMYFUNCTION("""COMPUTED_VALUE"""),0.309090909090909)</f>
        <v>0.3090909091</v>
      </c>
    </row>
    <row r="13122">
      <c r="A13122" s="10" t="s">
        <v>14561</v>
      </c>
      <c r="B13122" s="7" t="str">
        <f>IFERROR(__xludf.DUMMYFUNCTION("SPLIT(A13122,"" "")"),"CCOC(=O)c1cccc(CN(Cc2ccccn2)C2CCC(N(C)c3ccc4nc(CN(C)C)ccc4c3)CC2)n1")</f>
        <v>CCOC(=O)c1cccc(CN(Cc2ccccn2)C2CCC(N(C)c3ccc4nc(CN(C)C)ccc4c3)CC2)n1</v>
      </c>
      <c r="C13122" s="7">
        <f>IFERROR(__xludf.DUMMYFUNCTION("""COMPUTED_VALUE"""),7.7552423)</f>
        <v>7.7552423</v>
      </c>
      <c r="D13122" s="7">
        <f>IFERROR(__xludf.DUMMYFUNCTION("""COMPUTED_VALUE"""),0.347826086956521)</f>
        <v>0.347826087</v>
      </c>
    </row>
    <row r="13123">
      <c r="A13123" s="10" t="s">
        <v>14562</v>
      </c>
      <c r="B13123" s="7" t="str">
        <f>IFERROR(__xludf.DUMMYFUNCTION("SPLIT(A13123,"" "")"),"Cc1nc(CN(C)C2CCC(N(C)c3ccc4nccc(CF)c4c3)CC2)c(C)c(C)c1C")</f>
        <v>Cc1nc(CN(C)C2CCC(N(C)c3ccc4nccc(CF)c4c3)CC2)c(C)c(C)c1C</v>
      </c>
      <c r="C13123" s="7">
        <f>IFERROR(__xludf.DUMMYFUNCTION("""COMPUTED_VALUE"""),7.7552414)</f>
        <v>7.7552414</v>
      </c>
      <c r="D13123" s="7">
        <f>IFERROR(__xludf.DUMMYFUNCTION("""COMPUTED_VALUE"""),0.220588235294117)</f>
        <v>0.2205882353</v>
      </c>
    </row>
    <row r="13124">
      <c r="A13124" s="10" t="s">
        <v>14563</v>
      </c>
      <c r="B13124" s="7" t="str">
        <f>IFERROR(__xludf.DUMMYFUNCTION("SPLIT(A13124,"" "")"),"CC1(C)CC(c2ccc(CN(Cc3ccccn3)Cc3ccccn3)c(CN(Cc3ccccn3)Cc3cccc(C(C)(c4ccccn4)c4ccccn4)n3)n2)C1")</f>
        <v>CC1(C)CC(c2ccc(CN(Cc3ccccn3)Cc3ccccn3)c(CN(Cc3ccccn3)Cc3cccc(C(C)(c4ccccn4)c4ccccn4)n3)n2)C1</v>
      </c>
      <c r="C13124" s="7">
        <f>IFERROR(__xludf.DUMMYFUNCTION("""COMPUTED_VALUE"""),7.7552366)</f>
        <v>7.7552366</v>
      </c>
      <c r="D13124" s="7">
        <f>IFERROR(__xludf.DUMMYFUNCTION("""COMPUTED_VALUE"""),0.373134328358209)</f>
        <v>0.3731343284</v>
      </c>
    </row>
    <row r="13125">
      <c r="A13125" s="10" t="s">
        <v>14564</v>
      </c>
      <c r="B13125" s="7" t="str">
        <f>IFERROR(__xludf.DUMMYFUNCTION("SPLIT(A13125,"" "")"),"Cc1ccc(N(C)C(C)C)c(C)c1C")</f>
        <v>Cc1ccc(N(C)C(C)C)c(C)c1C</v>
      </c>
      <c r="C13125" s="7">
        <f>IFERROR(__xludf.DUMMYFUNCTION("""COMPUTED_VALUE"""),7.755233)</f>
        <v>7.755233</v>
      </c>
      <c r="D13125" s="7">
        <f>IFERROR(__xludf.DUMMYFUNCTION("""COMPUTED_VALUE"""),0.256410256410256)</f>
        <v>0.2564102564</v>
      </c>
    </row>
    <row r="13126">
      <c r="A13126" s="10" t="s">
        <v>14565</v>
      </c>
      <c r="B13126" s="7" t="str">
        <f>IFERROR(__xludf.DUMMYFUNCTION("SPLIT(A13126,"" "")"),"Cc1cc(CN(C)C2=CNC(CN(C)Cc3ncccc3C)=CC2)cnc1C")</f>
        <v>Cc1cc(CN(C)C2=CNC(CN(C)Cc3ncccc3C)=CC2)cnc1C</v>
      </c>
      <c r="C13126" s="7">
        <f>IFERROR(__xludf.DUMMYFUNCTION("""COMPUTED_VALUE"""),7.7552257)</f>
        <v>7.7552257</v>
      </c>
      <c r="D13126" s="7">
        <f>IFERROR(__xludf.DUMMYFUNCTION("""COMPUTED_VALUE"""),0.246153846153846)</f>
        <v>0.2461538462</v>
      </c>
    </row>
    <row r="13127">
      <c r="A13127" s="10" t="s">
        <v>14566</v>
      </c>
      <c r="B13127" s="7" t="str">
        <f>IFERROR(__xludf.DUMMYFUNCTION("SPLIT(A13127,"" "")"),"CN(Cc1cc(-c2cccc3c2OCCOCCOCCOCCOCCO3)ccn1)Cc1ccc2cccc(N(C)Cc3ccc4ncccc4c3)c2n1")</f>
        <v>CN(Cc1cc(-c2cccc3c2OCCOCCOCCOCCOCCO3)ccn1)Cc1ccc2cccc(N(C)Cc3ccc4ncccc4c3)c2n1</v>
      </c>
      <c r="C13127" s="7">
        <f>IFERROR(__xludf.DUMMYFUNCTION("""COMPUTED_VALUE"""),7.755224)</f>
        <v>7.755224</v>
      </c>
      <c r="D13127" s="7">
        <f>IFERROR(__xludf.DUMMYFUNCTION("""COMPUTED_VALUE"""),0.297297297297297)</f>
        <v>0.2972972973</v>
      </c>
    </row>
    <row r="13128">
      <c r="A13128" s="10" t="s">
        <v>14567</v>
      </c>
      <c r="B13128" s="7" t="str">
        <f>IFERROR(__xludf.DUMMYFUNCTION("SPLIT(A13128,"" "")"),"CC(C)C1=CC2(C=CN1)CC(c1cccc(CN(Cc3cccc(-c4cccc(N=Cc5ccccn5)c4)n3)Cc3cccc(-c4ccc5c(c4)OCCOCCOCCOCCOCCO5)n3)n1)C(c1ccccn1)c1ncccc12")</f>
        <v>CC(C)C1=CC2(C=CN1)CC(c1cccc(CN(Cc3cccc(-c4cccc(N=Cc5ccccn5)c4)n3)Cc3cccc(-c4ccc5c(c4)OCCOCCOCCOCCOCCO5)n3)n1)C(c1ccccn1)c1ncccc12</v>
      </c>
      <c r="C13128" s="7">
        <f>IFERROR(__xludf.DUMMYFUNCTION("""COMPUTED_VALUE"""),7.7552214)</f>
        <v>7.7552214</v>
      </c>
      <c r="D13128" s="7">
        <f>IFERROR(__xludf.DUMMYFUNCTION("""COMPUTED_VALUE"""),0.29126213592233)</f>
        <v>0.2912621359</v>
      </c>
    </row>
    <row r="13129">
      <c r="A13129" s="10" t="s">
        <v>14568</v>
      </c>
      <c r="B13129" s="7" t="str">
        <f>IFERROR(__xludf.DUMMYFUNCTION("SPLIT(A13129,"" "")"),"Cc1cccnc1CN(C)C1=C(CN(C)Cc2cc(C)c(C)c(C)n2)NC=CC1")</f>
        <v>Cc1cccnc1CN(C)C1=C(CN(C)Cc2cc(C)c(C)c(C)n2)NC=CC1</v>
      </c>
      <c r="C13129" s="7">
        <f>IFERROR(__xludf.DUMMYFUNCTION("""COMPUTED_VALUE"""),7.7552195)</f>
        <v>7.7552195</v>
      </c>
      <c r="D13129" s="7">
        <f>IFERROR(__xludf.DUMMYFUNCTION("""COMPUTED_VALUE"""),0.272727272727272)</f>
        <v>0.2727272727</v>
      </c>
    </row>
    <row r="13130">
      <c r="A13130" s="10" t="s">
        <v>14569</v>
      </c>
      <c r="B13130" s="7" t="str">
        <f>IFERROR(__xludf.DUMMYFUNCTION("SPLIT(A13130,"" "")"),"CN(Cc1ccccn1)C1=CNC=CC1CN(C)c1cccc(F)c1")</f>
        <v>CN(Cc1ccccn1)C1=CNC=CC1CN(C)c1cccc(F)c1</v>
      </c>
      <c r="C13130" s="7">
        <f>IFERROR(__xludf.DUMMYFUNCTION("""COMPUTED_VALUE"""),7.7552147)</f>
        <v>7.7552147</v>
      </c>
      <c r="D13130" s="7">
        <f>IFERROR(__xludf.DUMMYFUNCTION("""COMPUTED_VALUE"""),0.385964912280701)</f>
        <v>0.3859649123</v>
      </c>
    </row>
    <row r="13131">
      <c r="A13131" s="10" t="s">
        <v>14570</v>
      </c>
      <c r="B13131" s="7" t="str">
        <f>IFERROR(__xludf.DUMMYFUNCTION("SPLIT(A13131,"" "")"),"Cc1cc(C)c(CN(C)CC2=CNC=C(N(C)Cc3ccccn3)C2)nc1C")</f>
        <v>Cc1cc(C)c(CN(C)CC2=CNC=C(N(C)Cc3ccccn3)C2)nc1C</v>
      </c>
      <c r="C13131" s="7">
        <f>IFERROR(__xludf.DUMMYFUNCTION("""COMPUTED_VALUE"""),7.7552133)</f>
        <v>7.7552133</v>
      </c>
      <c r="D13131" s="7">
        <f>IFERROR(__xludf.DUMMYFUNCTION("""COMPUTED_VALUE"""),0.379310344827586)</f>
        <v>0.3793103448</v>
      </c>
    </row>
    <row r="13132">
      <c r="A13132" s="10" t="s">
        <v>14571</v>
      </c>
      <c r="B13132" s="7" t="str">
        <f>IFERROR(__xludf.DUMMYFUNCTION("SPLIT(A13132,"" "")"),"CC(C)(N=Cc1ccccn1)c1ccccc1NCc1ccccn1")</f>
        <v>CC(C)(N=Cc1ccccn1)c1ccccc1NCc1ccccn1</v>
      </c>
      <c r="C13132" s="7">
        <f>IFERROR(__xludf.DUMMYFUNCTION("""COMPUTED_VALUE"""),7.755212)</f>
        <v>7.755212</v>
      </c>
      <c r="D13132" s="7">
        <f>IFERROR(__xludf.DUMMYFUNCTION("""COMPUTED_VALUE"""),0.369565217391304)</f>
        <v>0.3695652174</v>
      </c>
    </row>
    <row r="13133">
      <c r="A13133" s="10" t="s">
        <v>14572</v>
      </c>
      <c r="B13133" s="7" t="str">
        <f>IFERROR(__xludf.DUMMYFUNCTION("SPLIT(A13133,"" "")"),"Cc1cc(C)nc(CN(C)CC2=C(N(C)Cc3ncccc3C)CC=CN2)c1")</f>
        <v>Cc1cc(C)nc(CN(C)CC2=C(N(C)Cc3ncccc3C)CC=CN2)c1</v>
      </c>
      <c r="C13133" s="7">
        <f>IFERROR(__xludf.DUMMYFUNCTION("""COMPUTED_VALUE"""),7.755209)</f>
        <v>7.755209</v>
      </c>
      <c r="D13133" s="7">
        <f>IFERROR(__xludf.DUMMYFUNCTION("""COMPUTED_VALUE"""),0.28125)</f>
        <v>0.28125</v>
      </c>
    </row>
    <row r="13134">
      <c r="A13134" s="10" t="s">
        <v>14573</v>
      </c>
      <c r="B13134" s="7" t="str">
        <f>IFERROR(__xludf.DUMMYFUNCTION("SPLIT(A13134,"" "")"),"CN(CCN(Cc1ccccn1)c1cccc2ncccc12)C(C)(C)C")</f>
        <v>CN(CCN(Cc1ccccn1)c1cccc2ncccc12)C(C)(C)C</v>
      </c>
      <c r="C13134" s="7">
        <f>IFERROR(__xludf.DUMMYFUNCTION("""COMPUTED_VALUE"""),7.7552085)</f>
        <v>7.7552085</v>
      </c>
      <c r="D13134" s="7">
        <f>IFERROR(__xludf.DUMMYFUNCTION("""COMPUTED_VALUE"""),0.411764705882352)</f>
        <v>0.4117647059</v>
      </c>
    </row>
    <row r="13135">
      <c r="A13135" s="10" t="s">
        <v>14574</v>
      </c>
      <c r="B13135" s="7" t="str">
        <f>IFERROR(__xludf.DUMMYFUNCTION("SPLIT(A13135,"" "")"),"CCN(Cc1cc(-c2ccc3c(c2)OCCOCCOCCOCCOCCO3)ccn1)Cc1ccc2ccc(N(C)Cc3ccc4cccc(C)c4n3)cc2n1")</f>
        <v>CCN(Cc1cc(-c2ccc3c(c2)OCCOCCOCCOCCOCCO3)ccn1)Cc1ccc2ccc(N(C)Cc3ccc4cccc(C)c4n3)cc2n1</v>
      </c>
      <c r="C13135" s="7">
        <f>IFERROR(__xludf.DUMMYFUNCTION("""COMPUTED_VALUE"""),7.7552075)</f>
        <v>7.7552075</v>
      </c>
      <c r="D13135" s="7">
        <f>IFERROR(__xludf.DUMMYFUNCTION("""COMPUTED_VALUE"""),0.309523809523809)</f>
        <v>0.3095238095</v>
      </c>
    </row>
    <row r="13136">
      <c r="A13136" s="10" t="s">
        <v>14575</v>
      </c>
      <c r="B13136" s="7" t="str">
        <f>IFERROR(__xludf.DUMMYFUNCTION("SPLIT(A13136,"" "")"),"Cc1ccnc(CN(Cc2cccc(C)n2)Cc2nc(C)c(C)c(C)c2C)c1")</f>
        <v>Cc1ccnc(CN(Cc2cccc(C)n2)Cc2nc(C)c(C)c(C)c2C)c1</v>
      </c>
      <c r="C13136" s="7">
        <f>IFERROR(__xludf.DUMMYFUNCTION("""COMPUTED_VALUE"""),7.755207)</f>
        <v>7.755207</v>
      </c>
      <c r="D13136" s="7">
        <f>IFERROR(__xludf.DUMMYFUNCTION("""COMPUTED_VALUE"""),0.395833333333333)</f>
        <v>0.3958333333</v>
      </c>
    </row>
    <row r="13137">
      <c r="A13137" s="10" t="s">
        <v>14576</v>
      </c>
      <c r="B13137" s="7" t="str">
        <f>IFERROR(__xludf.DUMMYFUNCTION("SPLIT(A13137,"" "")"),"CNc1cc(Cl)ccc1C(C)(C)C")</f>
        <v>CNc1cc(Cl)ccc1C(C)(C)C</v>
      </c>
      <c r="C13137" s="7">
        <f>IFERROR(__xludf.DUMMYFUNCTION("""COMPUTED_VALUE"""),7.755202)</f>
        <v>7.755202</v>
      </c>
      <c r="D13137" s="7">
        <f>IFERROR(__xludf.DUMMYFUNCTION("""COMPUTED_VALUE"""),0.152173913043478)</f>
        <v>0.152173913</v>
      </c>
    </row>
    <row r="13138">
      <c r="A13138" s="10" t="s">
        <v>14577</v>
      </c>
      <c r="B13138" s="7" t="str">
        <f>IFERROR(__xludf.DUMMYFUNCTION("SPLIT(A13138,"" "")"),"Cc1cc(C)c(C)c(CN(Cc2ccccn2)C2CCC(N(C)c3ccc4cc(CN(C)C)cnc4c3)CC2)n1")</f>
        <v>Cc1cc(C)c(C)c(CN(Cc2ccccn2)C2CCC(N(C)c3ccc4cc(CN(C)C)cnc4c3)CC2)n1</v>
      </c>
      <c r="C13138" s="7">
        <f>IFERROR(__xludf.DUMMYFUNCTION("""COMPUTED_VALUE"""),7.755199)</f>
        <v>7.755199</v>
      </c>
      <c r="D13138" s="7">
        <f>IFERROR(__xludf.DUMMYFUNCTION("""COMPUTED_VALUE"""),0.318840579710144)</f>
        <v>0.3188405797</v>
      </c>
    </row>
    <row r="13139">
      <c r="A13139" s="10" t="s">
        <v>14578</v>
      </c>
      <c r="B13139" s="7" t="str">
        <f>IFERROR(__xludf.DUMMYFUNCTION("SPLIT(A13139,"" "")"),"CN(CCN(C)C(C)(C)C)c1ccc2ncc(CF)cc2c1")</f>
        <v>CN(CCN(C)C(C)(C)C)c1ccc2ncc(CF)cc2c1</v>
      </c>
      <c r="C13139" s="7">
        <f>IFERROR(__xludf.DUMMYFUNCTION("""COMPUTED_VALUE"""),7.7551937)</f>
        <v>7.7551937</v>
      </c>
      <c r="D13139" s="7">
        <f>IFERROR(__xludf.DUMMYFUNCTION("""COMPUTED_VALUE"""),0.24074074074074)</f>
        <v>0.2407407407</v>
      </c>
    </row>
    <row r="13140">
      <c r="A13140" s="10" t="s">
        <v>14579</v>
      </c>
      <c r="B13140" s="7" t="str">
        <f>IFERROR(__xludf.DUMMYFUNCTION("SPLIT(A13140,"" "")"),"Cc1cc(C)cc(NCc2ccccn2)c1")</f>
        <v>Cc1cc(C)cc(NCc2ccccn2)c1</v>
      </c>
      <c r="C13140" s="7">
        <f>IFERROR(__xludf.DUMMYFUNCTION("""COMPUTED_VALUE"""),7.7551894)</f>
        <v>7.7551894</v>
      </c>
      <c r="D13140" s="7">
        <f>IFERROR(__xludf.DUMMYFUNCTION("""COMPUTED_VALUE"""),0.5)</f>
        <v>0.5</v>
      </c>
    </row>
    <row r="13141">
      <c r="A13141" s="10" t="s">
        <v>14580</v>
      </c>
      <c r="B13141" s="7" t="str">
        <f>IFERROR(__xludf.DUMMYFUNCTION("SPLIT(A13141,"" "")"),"CNCC1=CCC=C(N(C)Cc2nccc(C)c2C)N1")</f>
        <v>CNCC1=CCC=C(N(C)Cc2nccc(C)c2C)N1</v>
      </c>
      <c r="C13141" s="7">
        <f>IFERROR(__xludf.DUMMYFUNCTION("""COMPUTED_VALUE"""),7.755189)</f>
        <v>7.755189</v>
      </c>
      <c r="D13141" s="7">
        <f>IFERROR(__xludf.DUMMYFUNCTION("""COMPUTED_VALUE"""),0.238095238095238)</f>
        <v>0.2380952381</v>
      </c>
    </row>
    <row r="13142">
      <c r="A13142" s="10" t="s">
        <v>14581</v>
      </c>
      <c r="B13142" s="7" t="str">
        <f>IFERROR(__xludf.DUMMYFUNCTION("SPLIT(A13142,"" "")"),"COC(=O)C(=O)NCc1ccccn1")</f>
        <v>COC(=O)C(=O)NCc1ccccn1</v>
      </c>
      <c r="C13142" s="7">
        <f>IFERROR(__xludf.DUMMYFUNCTION("""COMPUTED_VALUE"""),7.755187)</f>
        <v>7.755187</v>
      </c>
      <c r="D13142" s="7">
        <f>IFERROR(__xludf.DUMMYFUNCTION("""COMPUTED_VALUE"""),0.472222222222222)</f>
        <v>0.4722222222</v>
      </c>
    </row>
    <row r="13143">
      <c r="A13143" s="10" t="s">
        <v>14582</v>
      </c>
      <c r="B13143" s="7" t="str">
        <f>IFERROR(__xludf.DUMMYFUNCTION("SPLIT(A13143,"" "")"),"CN(c1ccc2ncccc2c1)C1CCCCC1N(Cc1ccccn1)Cc1cccc(-c2ccccc2)n1")</f>
        <v>CN(c1ccc2ncccc2c1)C1CCCCC1N(Cc1ccccn1)Cc1cccc(-c2ccccc2)n1</v>
      </c>
      <c r="C13143" s="7">
        <f>IFERROR(__xludf.DUMMYFUNCTION("""COMPUTED_VALUE"""),7.7551856)</f>
        <v>7.7551856</v>
      </c>
      <c r="D13143" s="7">
        <f>IFERROR(__xludf.DUMMYFUNCTION("""COMPUTED_VALUE"""),0.440677966101694)</f>
        <v>0.4406779661</v>
      </c>
    </row>
    <row r="13144">
      <c r="A13144" s="10" t="s">
        <v>14583</v>
      </c>
      <c r="B13144" s="7" t="str">
        <f>IFERROR(__xludf.DUMMYFUNCTION("SPLIT(A13144,"" "")"),"Cc1ccc(CN(Cc2ccccc2N(C)C)Cc2ncccc2C)nc1")</f>
        <v>Cc1ccc(CN(Cc2ccccc2N(C)C)Cc2ncccc2C)nc1</v>
      </c>
      <c r="C13144" s="7">
        <f>IFERROR(__xludf.DUMMYFUNCTION("""COMPUTED_VALUE"""),7.755174)</f>
        <v>7.755174</v>
      </c>
      <c r="D13144" s="7">
        <f>IFERROR(__xludf.DUMMYFUNCTION("""COMPUTED_VALUE"""),0.408163265306122)</f>
        <v>0.4081632653</v>
      </c>
    </row>
    <row r="13145">
      <c r="A13145" s="10" t="s">
        <v>14584</v>
      </c>
      <c r="B13145" s="7" t="str">
        <f>IFERROR(__xludf.DUMMYFUNCTION("SPLIT(A13145,"" "")"),"C1=CC(SCc2ccccn2)NC(SCc2ccccn2)=C1")</f>
        <v>C1=CC(SCc2ccccn2)NC(SCc2ccccn2)=C1</v>
      </c>
      <c r="C13145" s="7">
        <f>IFERROR(__xludf.DUMMYFUNCTION("""COMPUTED_VALUE"""),7.7551723)</f>
        <v>7.7551723</v>
      </c>
      <c r="D13145" s="7">
        <f>IFERROR(__xludf.DUMMYFUNCTION("""COMPUTED_VALUE"""),0.404761904761904)</f>
        <v>0.4047619048</v>
      </c>
    </row>
    <row r="13146">
      <c r="A13146" s="10" t="s">
        <v>14585</v>
      </c>
      <c r="B13146" s="7" t="str">
        <f>IFERROR(__xludf.DUMMYFUNCTION("SPLIT(A13146,"" "")"),"COC(=O)c1ncccc1CN(Cc1ccccn1)Cc1ncccc1C(C)(C)C")</f>
        <v>COC(=O)c1ncccc1CN(Cc1ccccn1)Cc1ncccc1C(C)(C)C</v>
      </c>
      <c r="C13146" s="7">
        <f>IFERROR(__xludf.DUMMYFUNCTION("""COMPUTED_VALUE"""),7.7551656)</f>
        <v>7.7551656</v>
      </c>
      <c r="D13146" s="7">
        <f>IFERROR(__xludf.DUMMYFUNCTION("""COMPUTED_VALUE"""),0.408163265306122)</f>
        <v>0.4081632653</v>
      </c>
    </row>
    <row r="13147">
      <c r="A13147" s="10" t="s">
        <v>14586</v>
      </c>
      <c r="B13147" s="7" t="str">
        <f>IFERROR(__xludf.DUMMYFUNCTION("SPLIT(A13147,"" "")"),"Cc1cc(C)c(C)c(CN(C)C2=CNC(CN(C)Cc3ccncc3C)=CC2)n1")</f>
        <v>Cc1cc(C)c(C)c(CN(C)C2=CNC(CN(C)Cc3ccncc3C)=CC2)n1</v>
      </c>
      <c r="C13147" s="7">
        <f>IFERROR(__xludf.DUMMYFUNCTION("""COMPUTED_VALUE"""),7.7551646)</f>
        <v>7.7551646</v>
      </c>
      <c r="D13147" s="7">
        <f>IFERROR(__xludf.DUMMYFUNCTION("""COMPUTED_VALUE"""),0.208955223880597)</f>
        <v>0.2089552239</v>
      </c>
    </row>
    <row r="13148">
      <c r="A13148" s="10" t="s">
        <v>14587</v>
      </c>
      <c r="B13148" s="7" t="str">
        <f>IFERROR(__xludf.DUMMYFUNCTION("SPLIT(A13148,"" "")"),"Cc1ccncc1CN(C)CC1=CCC=C(N(C)Cc2ccccn2)N1")</f>
        <v>Cc1ccncc1CN(C)CC1=CCC=C(N(C)Cc2ccccn2)N1</v>
      </c>
      <c r="C13148" s="7">
        <f>IFERROR(__xludf.DUMMYFUNCTION("""COMPUTED_VALUE"""),7.7551594)</f>
        <v>7.7551594</v>
      </c>
      <c r="D13148" s="7">
        <f>IFERROR(__xludf.DUMMYFUNCTION("""COMPUTED_VALUE"""),0.370967741935483)</f>
        <v>0.3709677419</v>
      </c>
    </row>
    <row r="13149">
      <c r="A13149" s="10" t="s">
        <v>14588</v>
      </c>
      <c r="B13149" s="7" t="str">
        <f>IFERROR(__xludf.DUMMYFUNCTION("SPLIT(A13149,"" "")"),"CN(CCF)CCN(C)c1ccc2ncccc2c1")</f>
        <v>CN(CCF)CCN(C)c1ccc2ncccc2c1</v>
      </c>
      <c r="C13149" s="7">
        <f>IFERROR(__xludf.DUMMYFUNCTION("""COMPUTED_VALUE"""),7.7551594)</f>
        <v>7.7551594</v>
      </c>
      <c r="D13149" s="7">
        <f>IFERROR(__xludf.DUMMYFUNCTION("""COMPUTED_VALUE"""),0.4)</f>
        <v>0.4</v>
      </c>
    </row>
    <row r="13150">
      <c r="A13150" s="10" t="s">
        <v>14589</v>
      </c>
      <c r="B13150" s="7" t="str">
        <f>IFERROR(__xludf.DUMMYFUNCTION("SPLIT(A13150,"" "")"),"Cc1nc(CN(Cc2ccccn2)C2CCCCC2N(C)c2cccc3ncc(CN(C)C)cc23)c(C)c(C)c1C")</f>
        <v>Cc1nc(CN(Cc2ccccn2)C2CCCCC2N(C)c2cccc3ncc(CN(C)C)cc23)c(C)c(C)c1C</v>
      </c>
      <c r="C13150" s="7">
        <f>IFERROR(__xludf.DUMMYFUNCTION("""COMPUTED_VALUE"""),7.7551436)</f>
        <v>7.7551436</v>
      </c>
      <c r="D13150" s="7">
        <f>IFERROR(__xludf.DUMMYFUNCTION("""COMPUTED_VALUE"""),0.38235294117647)</f>
        <v>0.3823529412</v>
      </c>
    </row>
    <row r="13151">
      <c r="A13151" s="10" t="s">
        <v>14590</v>
      </c>
      <c r="B13151" s="7" t="str">
        <f>IFERROR(__xludf.DUMMYFUNCTION("SPLIT(A13151,"" "")"),"CN(CCF)CCN(C)c1ccc2cccnc2c1")</f>
        <v>CN(CCF)CCN(C)c1ccc2cccnc2c1</v>
      </c>
      <c r="C13151" s="7">
        <f>IFERROR(__xludf.DUMMYFUNCTION("""COMPUTED_VALUE"""),7.755136)</f>
        <v>7.755136</v>
      </c>
      <c r="D13151" s="7">
        <f>IFERROR(__xludf.DUMMYFUNCTION("""COMPUTED_VALUE"""),0.391304347826087)</f>
        <v>0.3913043478</v>
      </c>
    </row>
    <row r="13152">
      <c r="A13152" s="10" t="s">
        <v>14591</v>
      </c>
      <c r="B13152" s="7" t="str">
        <f>IFERROR(__xludf.DUMMYFUNCTION("SPLIT(A13152,"" "")"),"CC1=CC(C)C(C)(C)C(C)C1N(C)Cc1cc(-c2cccc(N(C)Cc3cc(C)c(C)c(C)n3)c2)ccn1")</f>
        <v>CC1=CC(C)C(C)(C)C(C)C1N(C)Cc1cc(-c2cccc(N(C)Cc3cc(C)c(C)c(C)n3)c2)ccn1</v>
      </c>
      <c r="C13152" s="7">
        <f>IFERROR(__xludf.DUMMYFUNCTION("""COMPUTED_VALUE"""),7.755132)</f>
        <v>7.755132</v>
      </c>
      <c r="D13152" s="7">
        <f>IFERROR(__xludf.DUMMYFUNCTION("""COMPUTED_VALUE"""),0.236111111111111)</f>
        <v>0.2361111111</v>
      </c>
    </row>
    <row r="13153">
      <c r="A13153" s="10" t="s">
        <v>14592</v>
      </c>
      <c r="B13153" s="7" t="str">
        <f>IFERROR(__xludf.DUMMYFUNCTION("SPLIT(A13153,"" "")"),"CN(Cc1ccccn1)c1cc2cccnc2cc1-c1cc(CN(Cc2ccccn2)Cc2cc(-c3ccc4c(c3)OCCOCCOCCOCCOCCO4)ccn2)ccn1")</f>
        <v>CN(Cc1ccccn1)c1cc2cccnc2cc1-c1cc(CN(Cc2ccccn2)Cc2cc(-c3ccc4c(c3)OCCOCCOCCOCCOCCO4)ccn2)ccn1</v>
      </c>
      <c r="C13153" s="7">
        <f>IFERROR(__xludf.DUMMYFUNCTION("""COMPUTED_VALUE"""),7.7551193)</f>
        <v>7.7551193</v>
      </c>
      <c r="D13153" s="7">
        <f>IFERROR(__xludf.DUMMYFUNCTION("""COMPUTED_VALUE"""),0.328767123287671)</f>
        <v>0.3287671233</v>
      </c>
    </row>
    <row r="13154">
      <c r="A13154" s="10" t="s">
        <v>14593</v>
      </c>
      <c r="B13154" s="7" t="str">
        <f>IFERROR(__xludf.DUMMYFUNCTION("SPLIT(A13154,"" "")"),"CN(c1ccccc1F)C1CCC(N(C)c2cccc3ncccc23)CC1")</f>
        <v>CN(c1ccccc1F)C1CCC(N(C)c2cccc3ncccc23)CC1</v>
      </c>
      <c r="C13154" s="7">
        <f>IFERROR(__xludf.DUMMYFUNCTION("""COMPUTED_VALUE"""),7.755118)</f>
        <v>7.755118</v>
      </c>
      <c r="D13154" s="7">
        <f>IFERROR(__xludf.DUMMYFUNCTION("""COMPUTED_VALUE"""),0.372549019607843)</f>
        <v>0.3725490196</v>
      </c>
    </row>
    <row r="13155">
      <c r="A13155" s="10" t="s">
        <v>14594</v>
      </c>
      <c r="B13155" s="7" t="str">
        <f>IFERROR(__xludf.DUMMYFUNCTION("SPLIT(A13155,"" "")"),"Cc1cncc(CN(C)CC2=CCC(N(C)Cc3ncc(C)c(C)c3C)=CN2)c1")</f>
        <v>Cc1cncc(CN(C)CC2=CCC(N(C)Cc3ncc(C)c(C)c3C)=CN2)c1</v>
      </c>
      <c r="C13155" s="7">
        <f>IFERROR(__xludf.DUMMYFUNCTION("""COMPUTED_VALUE"""),7.7551126)</f>
        <v>7.7551126</v>
      </c>
      <c r="D13155" s="7">
        <f>IFERROR(__xludf.DUMMYFUNCTION("""COMPUTED_VALUE"""),0.225806451612903)</f>
        <v>0.2258064516</v>
      </c>
    </row>
    <row r="13156">
      <c r="A13156" s="10" t="s">
        <v>14595</v>
      </c>
      <c r="B13156" s="7" t="str">
        <f>IFERROR(__xludf.DUMMYFUNCTION("SPLIT(A13156,"" "")"),"Cc1cc(C)c(CN(C)C2CCCCC2N(C)Cc2cc(-c3ccc4ncccc4c3)ccn2)cn1")</f>
        <v>Cc1cc(C)c(CN(C)C2CCCCC2N(C)Cc2cc(-c3ccc4ncccc4c3)ccn2)cn1</v>
      </c>
      <c r="C13156" s="7">
        <f>IFERROR(__xludf.DUMMYFUNCTION("""COMPUTED_VALUE"""),7.755112)</f>
        <v>7.755112</v>
      </c>
      <c r="D13156" s="7">
        <f>IFERROR(__xludf.DUMMYFUNCTION("""COMPUTED_VALUE"""),0.440677966101694)</f>
        <v>0.4406779661</v>
      </c>
    </row>
    <row r="13157">
      <c r="A13157" s="10" t="s">
        <v>14596</v>
      </c>
      <c r="B13157" s="7" t="str">
        <f>IFERROR(__xludf.DUMMYFUNCTION("SPLIT(A13157,"" "")"),"Cc1cnc(CN(Cc2ncccc2C)C2CCC(N(C)c3ccc4nccc(CF)c4c3)CC2)c(C)c1")</f>
        <v>Cc1cnc(CN(Cc2ncccc2C)C2CCC(N(C)c3ccc4nccc(CF)c4c3)CC2)c(C)c1</v>
      </c>
      <c r="C13157" s="7">
        <f>IFERROR(__xludf.DUMMYFUNCTION("""COMPUTED_VALUE"""),7.75511)</f>
        <v>7.75511</v>
      </c>
      <c r="D13157" s="7">
        <f>IFERROR(__xludf.DUMMYFUNCTION("""COMPUTED_VALUE"""),0.232876712328767)</f>
        <v>0.2328767123</v>
      </c>
    </row>
    <row r="13158">
      <c r="A13158" s="10" t="s">
        <v>14597</v>
      </c>
      <c r="B13158" s="7" t="str">
        <f>IFERROR(__xludf.DUMMYFUNCTION("SPLIT(A13158,"" "")"),"CC(C)c1cc(CN(Cc2ccccn2)C2CCC(N(C)Cc3cc(-c4ccc5ncccc5c4)ccn3)CC2)ccn1")</f>
        <v>CC(C)c1cc(CN(Cc2ccccn2)C2CCC(N(C)Cc3cc(-c4ccc5ncccc5c4)ccn3)CC2)ccn1</v>
      </c>
      <c r="C13158" s="7">
        <f>IFERROR(__xludf.DUMMYFUNCTION("""COMPUTED_VALUE"""),7.755101)</f>
        <v>7.755101</v>
      </c>
      <c r="D13158" s="7">
        <f>IFERROR(__xludf.DUMMYFUNCTION("""COMPUTED_VALUE"""),0.35820895522388)</f>
        <v>0.3582089552</v>
      </c>
    </row>
    <row r="13159">
      <c r="A13159" s="10" t="s">
        <v>14598</v>
      </c>
      <c r="B13159" s="7" t="str">
        <f>IFERROR(__xludf.DUMMYFUNCTION("SPLIT(A13159,"" "")"),"Cc1cncc(CN(C)CC2=CCC=C(N(C)Cc3ccccn3)N2)c1")</f>
        <v>Cc1cncc(CN(C)CC2=CCC=C(N(C)Cc3ccccn3)N2)c1</v>
      </c>
      <c r="C13159" s="7">
        <f>IFERROR(__xludf.DUMMYFUNCTION("""COMPUTED_VALUE"""),7.755096)</f>
        <v>7.755096</v>
      </c>
      <c r="D13159" s="7">
        <f>IFERROR(__xludf.DUMMYFUNCTION("""COMPUTED_VALUE"""),0.379310344827586)</f>
        <v>0.3793103448</v>
      </c>
    </row>
    <row r="13160">
      <c r="A13160" s="10" t="s">
        <v>14599</v>
      </c>
      <c r="B13160" s="7" t="str">
        <f>IFERROR(__xludf.DUMMYFUNCTION("SPLIT(A13160,"" "")"),"CC(C)N(Cc1cncc(-c2ccccc2N(C)CCN)c1)Cc1ccccn1")</f>
        <v>CC(C)N(Cc1cncc(-c2ccccc2N(C)CCN)c1)Cc1ccccn1</v>
      </c>
      <c r="C13160" s="7">
        <f>IFERROR(__xludf.DUMMYFUNCTION("""COMPUTED_VALUE"""),7.755092)</f>
        <v>7.755092</v>
      </c>
      <c r="D13160" s="7">
        <f>IFERROR(__xludf.DUMMYFUNCTION("""COMPUTED_VALUE"""),0.462962962962962)</f>
        <v>0.462962963</v>
      </c>
    </row>
    <row r="13161">
      <c r="A13161" s="10" t="s">
        <v>14600</v>
      </c>
      <c r="B13161" s="7" t="str">
        <f>IFERROR(__xludf.DUMMYFUNCTION("SPLIT(A13161,"" "")"),"Cc1ccc(CN(C)C2=CNC(CN(C)Cc3ncccc3C)=CC2)nc1C")</f>
        <v>Cc1ccc(CN(C)C2=CNC(CN(C)Cc3ncccc3C)=CC2)nc1C</v>
      </c>
      <c r="C13161" s="7">
        <f>IFERROR(__xludf.DUMMYFUNCTION("""COMPUTED_VALUE"""),7.7550907)</f>
        <v>7.7550907</v>
      </c>
      <c r="D13161" s="7">
        <f>IFERROR(__xludf.DUMMYFUNCTION("""COMPUTED_VALUE"""),0.285714285714285)</f>
        <v>0.2857142857</v>
      </c>
    </row>
    <row r="13162">
      <c r="A13162" s="10" t="s">
        <v>14601</v>
      </c>
      <c r="B13162" s="7" t="str">
        <f>IFERROR(__xludf.DUMMYFUNCTION("SPLIT(A13162,"" "")"),"Cc1ccc(CN(C)CC2=C(N(C)Cc3ccccn3)NC=CC2)nc1C")</f>
        <v>Cc1ccc(CN(C)CC2=C(N(C)Cc3ccccn3)NC=CC2)nc1C</v>
      </c>
      <c r="C13162" s="7">
        <f>IFERROR(__xludf.DUMMYFUNCTION("""COMPUTED_VALUE"""),7.7550898)</f>
        <v>7.7550898</v>
      </c>
      <c r="D13162" s="7">
        <f>IFERROR(__xludf.DUMMYFUNCTION("""COMPUTED_VALUE"""),0.421052631578947)</f>
        <v>0.4210526316</v>
      </c>
    </row>
    <row r="13163">
      <c r="A13163" s="10" t="s">
        <v>14602</v>
      </c>
      <c r="B13163" s="7" t="str">
        <f>IFERROR(__xludf.DUMMYFUNCTION("SPLIT(A13163,"" "")"),"CNC1CC(N(Cc2nc(C)c(C)c(C)c2C)Cc2nc(C)c(C)c(C)c2C)C(N(Cc2nc(C)c(C)c(C)c2C)Cc2nc(C)c(C)c(C)c2C)C(NC)C1N(Cc1nc(C)c(C)c(C)c1C)Cc1nc(C)c(C)c(C)c1C")</f>
        <v>CNC1CC(N(Cc2nc(C)c(C)c(C)c2C)Cc2nc(C)c(C)c(C)c2C)C(N(Cc2nc(C)c(C)c(C)c2C)Cc2nc(C)c(C)c(C)c2C)C(NC)C1N(Cc1nc(C)c(C)c(C)c1C)Cc1nc(C)c(C)c(C)c1C</v>
      </c>
      <c r="C13163" s="7">
        <f>IFERROR(__xludf.DUMMYFUNCTION("""COMPUTED_VALUE"""),7.7550683)</f>
        <v>7.7550683</v>
      </c>
      <c r="D13163" s="7">
        <f>IFERROR(__xludf.DUMMYFUNCTION("""COMPUTED_VALUE"""),0.186440677966101)</f>
        <v>0.186440678</v>
      </c>
    </row>
    <row r="13164">
      <c r="A13164" s="10" t="s">
        <v>14603</v>
      </c>
      <c r="B13164" s="7" t="str">
        <f>IFERROR(__xludf.DUMMYFUNCTION("SPLIT(A13164,"" "")"),"Cc1cc(C)c(CN(C)C2=C(CN(Cc3ccccc3)Cc3ccccn3)NC=CC2)nc1C")</f>
        <v>Cc1cc(C)c(CN(C)C2=C(CN(Cc3ccccc3)Cc3ccccn3)NC=CC2)nc1C</v>
      </c>
      <c r="C13164" s="7">
        <f>IFERROR(__xludf.DUMMYFUNCTION("""COMPUTED_VALUE"""),7.7550673)</f>
        <v>7.7550673</v>
      </c>
      <c r="D13164" s="7">
        <f>IFERROR(__xludf.DUMMYFUNCTION("""COMPUTED_VALUE"""),0.393939393939393)</f>
        <v>0.3939393939</v>
      </c>
    </row>
    <row r="13165">
      <c r="A13165" s="10" t="s">
        <v>14604</v>
      </c>
      <c r="B13165" s="7" t="str">
        <f>IFERROR(__xludf.DUMMYFUNCTION("SPLIT(A13165,"" "")"),"CN(C)c1cccc(CN(Cc2ccc(C(C)(C)C)nc2)Cc2ccccn2)n1")</f>
        <v>CN(C)c1cccc(CN(Cc2ccc(C(C)(C)C)nc2)Cc2ccccn2)n1</v>
      </c>
      <c r="C13165" s="7">
        <f>IFERROR(__xludf.DUMMYFUNCTION("""COMPUTED_VALUE"""),7.7550464)</f>
        <v>7.7550464</v>
      </c>
      <c r="D13165" s="7">
        <f>IFERROR(__xludf.DUMMYFUNCTION("""COMPUTED_VALUE"""),0.444444444444444)</f>
        <v>0.4444444444</v>
      </c>
    </row>
    <row r="13166">
      <c r="A13166" s="10" t="s">
        <v>14605</v>
      </c>
      <c r="B13166" s="7" t="str">
        <f>IFERROR(__xludf.DUMMYFUNCTION("SPLIT(A13166,"" "")"),"Cc1ccnc2cc(N(C)CCN(C)C(C)C(C)N)ccc12")</f>
        <v>Cc1ccnc2cc(N(C)CCN(C)C(C)C(C)N)ccc12</v>
      </c>
      <c r="C13166" s="7">
        <f>IFERROR(__xludf.DUMMYFUNCTION("""COMPUTED_VALUE"""),7.7550435)</f>
        <v>7.7550435</v>
      </c>
      <c r="D13166" s="7">
        <f>IFERROR(__xludf.DUMMYFUNCTION("""COMPUTED_VALUE"""),0.236363636363636)</f>
        <v>0.2363636364</v>
      </c>
    </row>
    <row r="13167">
      <c r="A13167" s="10" t="s">
        <v>14606</v>
      </c>
      <c r="B13167" s="7" t="str">
        <f>IFERROR(__xludf.DUMMYFUNCTION("SPLIT(A13167,"" "")"),"CN(C)Cc1ccc2cc(N(C)C3CCCCC3N(Cc3ccccn3)c3ccccc3F)ccc2n1")</f>
        <v>CN(C)Cc1ccc2cc(N(C)C3CCCCC3N(Cc3ccccn3)c3ccccc3F)ccc2n1</v>
      </c>
      <c r="C13167" s="7">
        <f>IFERROR(__xludf.DUMMYFUNCTION("""COMPUTED_VALUE"""),7.755043)</f>
        <v>7.755043</v>
      </c>
      <c r="D13167" s="7">
        <f>IFERROR(__xludf.DUMMYFUNCTION("""COMPUTED_VALUE"""),0.433333333333333)</f>
        <v>0.4333333333</v>
      </c>
    </row>
    <row r="13168">
      <c r="A13168" s="10" t="s">
        <v>14607</v>
      </c>
      <c r="B13168" s="7" t="str">
        <f>IFERROR(__xludf.DUMMYFUNCTION("SPLIT(A13168,"" "")"),"CN(CCN(C)c1cccc2ncc(CF)cc12)CC(C)(C)C")</f>
        <v>CN(CCN(C)c1cccc2ncc(CF)cc12)CC(C)(C)C</v>
      </c>
      <c r="C13168" s="7">
        <f>IFERROR(__xludf.DUMMYFUNCTION("""COMPUTED_VALUE"""),7.7550406)</f>
        <v>7.7550406</v>
      </c>
      <c r="D13168" s="7">
        <f>IFERROR(__xludf.DUMMYFUNCTION("""COMPUTED_VALUE"""),0.346153846153846)</f>
        <v>0.3461538462</v>
      </c>
    </row>
    <row r="13169">
      <c r="A13169" s="10" t="s">
        <v>14608</v>
      </c>
      <c r="B13169" s="7" t="str">
        <f>IFERROR(__xludf.DUMMYFUNCTION("SPLIT(A13169,"" "")"),"CN(Cc1ccccn1)C1=CCC=C(CN(Cc2ccccn2)Cc2cccc(C(C)(C)C)n2)N1")</f>
        <v>CN(Cc1ccccn1)C1=CCC=C(CN(Cc2ccccn2)Cc2cccc(C(C)(C)C)n2)N1</v>
      </c>
      <c r="C13169" s="7">
        <f>IFERROR(__xludf.DUMMYFUNCTION("""COMPUTED_VALUE"""),7.7550387)</f>
        <v>7.7550387</v>
      </c>
      <c r="D13169" s="7">
        <f>IFERROR(__xludf.DUMMYFUNCTION("""COMPUTED_VALUE"""),0.46551724137931)</f>
        <v>0.4655172414</v>
      </c>
    </row>
    <row r="13170">
      <c r="A13170" s="10" t="s">
        <v>14609</v>
      </c>
      <c r="B13170" s="7" t="str">
        <f>IFERROR(__xludf.DUMMYFUNCTION("SPLIT(A13170,"" "")"),"CCN(Cc1cccc(C2=NC(C)(C)CO2)n1)Cc1ncc(C)c(C)c1C")</f>
        <v>CCN(Cc1cccc(C2=NC(C)(C)CO2)n1)Cc1ncc(C)c(C)c1C</v>
      </c>
      <c r="C13170" s="7">
        <f>IFERROR(__xludf.DUMMYFUNCTION("""COMPUTED_VALUE"""),7.7550364)</f>
        <v>7.7550364</v>
      </c>
      <c r="D13170" s="7">
        <f>IFERROR(__xludf.DUMMYFUNCTION("""COMPUTED_VALUE"""),0.48076923076923)</f>
        <v>0.4807692308</v>
      </c>
    </row>
    <row r="13171">
      <c r="A13171" s="10" t="s">
        <v>14610</v>
      </c>
      <c r="B13171" s="7" t="str">
        <f>IFERROR(__xludf.DUMMYFUNCTION("SPLIT(A13171,"" "")"),"CNCc1nc(CN(Cc2cccc(C)n2)Cc2nc(C)c(C)c(C)c2C)c(C)c(C)c1C")</f>
        <v>CNCc1nc(CN(Cc2cccc(C)n2)Cc2nc(C)c(C)c(C)c2C)c(C)c(C)c1C</v>
      </c>
      <c r="C13171" s="7">
        <f>IFERROR(__xludf.DUMMYFUNCTION("""COMPUTED_VALUE"""),7.7550325)</f>
        <v>7.7550325</v>
      </c>
      <c r="D13171" s="7">
        <f>IFERROR(__xludf.DUMMYFUNCTION("""COMPUTED_VALUE"""),0.413043478260869)</f>
        <v>0.4130434783</v>
      </c>
    </row>
    <row r="13172">
      <c r="A13172" s="10" t="s">
        <v>14611</v>
      </c>
      <c r="B13172" s="7" t="str">
        <f>IFERROR(__xludf.DUMMYFUNCTION("SPLIT(A13172,"" "")"),"Cc1cc(C)c(CN(C)C2=C(CN(C)Cc3ncccc3C)NC=CC2)nc1C")</f>
        <v>Cc1cc(C)c(CN(C)C2=C(CN(C)Cc3ncccc3C)NC=CC2)nc1C</v>
      </c>
      <c r="C13172" s="7">
        <f>IFERROR(__xludf.DUMMYFUNCTION("""COMPUTED_VALUE"""),7.7550273)</f>
        <v>7.7550273</v>
      </c>
      <c r="D13172" s="7">
        <f>IFERROR(__xludf.DUMMYFUNCTION("""COMPUTED_VALUE"""),0.25)</f>
        <v>0.25</v>
      </c>
    </row>
    <row r="13173">
      <c r="A13173" s="10" t="s">
        <v>14612</v>
      </c>
      <c r="B13173" s="7" t="str">
        <f>IFERROR(__xludf.DUMMYFUNCTION("SPLIT(A13173,"" "")"),"Cc1cnc(CN(C)CC2=C(N(C)Cc3ccccn3)NC=CC2)c(C)c1C")</f>
        <v>Cc1cnc(CN(C)CC2=C(N(C)Cc3ccccn3)NC=CC2)c(C)c1C</v>
      </c>
      <c r="C13173" s="7">
        <f>IFERROR(__xludf.DUMMYFUNCTION("""COMPUTED_VALUE"""),7.7550254)</f>
        <v>7.7550254</v>
      </c>
      <c r="D13173" s="7">
        <f>IFERROR(__xludf.DUMMYFUNCTION("""COMPUTED_VALUE"""),0.370967741935483)</f>
        <v>0.3709677419</v>
      </c>
    </row>
    <row r="13174">
      <c r="A13174" s="10" t="s">
        <v>14613</v>
      </c>
      <c r="B13174" s="7" t="str">
        <f>IFERROR(__xludf.DUMMYFUNCTION("SPLIT(A13174,"" "")"),"Cc1cncc(CN(C)Cc2cc(N(C)C3C=CC=CN3)ccn2)c1")</f>
        <v>Cc1cncc(CN(C)Cc2cc(N(C)C3C=CC=CN3)ccn2)c1</v>
      </c>
      <c r="C13174" s="7">
        <f>IFERROR(__xludf.DUMMYFUNCTION("""COMPUTED_VALUE"""),7.755022)</f>
        <v>7.755022</v>
      </c>
      <c r="D13174" s="7">
        <f>IFERROR(__xludf.DUMMYFUNCTION("""COMPUTED_VALUE"""),0.307692307692307)</f>
        <v>0.3076923077</v>
      </c>
    </row>
    <row r="13175">
      <c r="A13175" s="10" t="s">
        <v>14614</v>
      </c>
      <c r="B13175" s="7" t="str">
        <f>IFERROR(__xludf.DUMMYFUNCTION("SPLIT(A13175,"" "")"),"CNC1NC=CC=C1N(C)Cc1nc(C)cc(C)c1C")</f>
        <v>CNC1NC=CC=C1N(C)Cc1nc(C)cc(C)c1C</v>
      </c>
      <c r="C13175" s="7">
        <f>IFERROR(__xludf.DUMMYFUNCTION("""COMPUTED_VALUE"""),7.755014)</f>
        <v>7.755014</v>
      </c>
      <c r="D13175" s="7">
        <f>IFERROR(__xludf.DUMMYFUNCTION("""COMPUTED_VALUE"""),0.216666666666666)</f>
        <v>0.2166666667</v>
      </c>
    </row>
    <row r="13176">
      <c r="A13176" s="10" t="s">
        <v>14615</v>
      </c>
      <c r="B13176" s="7" t="str">
        <f>IFERROR(__xludf.DUMMYFUNCTION("SPLIT(A13176,"" "")"),"Cc1ccnc(CN(C)CC2=CCC(N(C)Cc3ccccn3)=CN2)c1C")</f>
        <v>Cc1ccnc(CN(C)CC2=CCC(N(C)Cc3ccccn3)=CN2)c1C</v>
      </c>
      <c r="C13176" s="7">
        <f>IFERROR(__xludf.DUMMYFUNCTION("""COMPUTED_VALUE"""),7.7550135)</f>
        <v>7.7550135</v>
      </c>
      <c r="D13176" s="7">
        <f>IFERROR(__xludf.DUMMYFUNCTION("""COMPUTED_VALUE"""),0.372881355932203)</f>
        <v>0.3728813559</v>
      </c>
    </row>
    <row r="13177">
      <c r="A13177" s="10" t="s">
        <v>14616</v>
      </c>
      <c r="B13177" s="7" t="str">
        <f>IFERROR(__xludf.DUMMYFUNCTION("SPLIT(A13177,"" "")"),"CNCc1cc(CN(Cc2cc(C(C)(C)c3ccccn3)ccn2)Cc2cc(C)c(C)c(C)n2)ccn1")</f>
        <v>CNCc1cc(CN(Cc2cc(C(C)(C)c3ccccn3)ccn2)Cc2cc(C)c(C)c(C)n2)ccn1</v>
      </c>
      <c r="C13177" s="7">
        <f>IFERROR(__xludf.DUMMYFUNCTION("""COMPUTED_VALUE"""),7.7550097)</f>
        <v>7.7550097</v>
      </c>
      <c r="D13177" s="7">
        <f>IFERROR(__xludf.DUMMYFUNCTION("""COMPUTED_VALUE"""),0.310344827586206)</f>
        <v>0.3103448276</v>
      </c>
    </row>
    <row r="13178">
      <c r="A13178" s="10" t="s">
        <v>14617</v>
      </c>
      <c r="B13178" s="7" t="str">
        <f>IFERROR(__xludf.DUMMYFUNCTION("SPLIT(A13178,"" "")"),"Cc1ccc(C)c(CN(C)CC2=C(N(C)Cc3ncccc3C)NC=CC2)n1")</f>
        <v>Cc1ccc(C)c(CN(C)CC2=C(N(C)Cc3ncccc3C)NC=CC2)n1</v>
      </c>
      <c r="C13178" s="7">
        <f>IFERROR(__xludf.DUMMYFUNCTION("""COMPUTED_VALUE"""),7.7550087)</f>
        <v>7.7550087</v>
      </c>
      <c r="D13178" s="7">
        <f>IFERROR(__xludf.DUMMYFUNCTION("""COMPUTED_VALUE"""),0.258064516129032)</f>
        <v>0.2580645161</v>
      </c>
    </row>
    <row r="13179">
      <c r="A13179" s="10" t="s">
        <v>14618</v>
      </c>
      <c r="B13179" s="7" t="str">
        <f>IFERROR(__xludf.DUMMYFUNCTION("SPLIT(A13179,"" "")"),"Cc1cccnc1CN(C)Cc1cccc(N(C)C2C=CC=CN2)n1")</f>
        <v>Cc1cccnc1CN(C)Cc1cccc(N(C)C2C=CC=CN2)n1</v>
      </c>
      <c r="C13179" s="7">
        <f>IFERROR(__xludf.DUMMYFUNCTION("""COMPUTED_VALUE"""),7.7550025)</f>
        <v>7.7550025</v>
      </c>
      <c r="D13179" s="7">
        <f>IFERROR(__xludf.DUMMYFUNCTION("""COMPUTED_VALUE"""),0.35593220338983)</f>
        <v>0.3559322034</v>
      </c>
    </row>
    <row r="13180">
      <c r="A13180" s="10" t="s">
        <v>14619</v>
      </c>
      <c r="B13180" s="7" t="str">
        <f>IFERROR(__xludf.DUMMYFUNCTION("SPLIT(A13180,"" "")"),"CN(C)c1ccc(CN(Cc2cncc(F)c2)Cc2ccccn2)nc1")</f>
        <v>CN(C)c1ccc(CN(Cc2cncc(F)c2)Cc2ccccn2)nc1</v>
      </c>
      <c r="C13180" s="7">
        <f>IFERROR(__xludf.DUMMYFUNCTION("""COMPUTED_VALUE"""),7.7549953)</f>
        <v>7.7549953</v>
      </c>
      <c r="D13180" s="7">
        <f>IFERROR(__xludf.DUMMYFUNCTION("""COMPUTED_VALUE"""),0.454545454545454)</f>
        <v>0.4545454545</v>
      </c>
    </row>
    <row r="13181">
      <c r="A13181" s="10" t="s">
        <v>14620</v>
      </c>
      <c r="B13181" s="7" t="str">
        <f>IFERROR(__xludf.DUMMYFUNCTION("SPLIT(A13181,"" "")"),"CCN(Cc1ccccn1)Cc1cccc(N(C)Cc2ncc(C)c(C)c2C)n1")</f>
        <v>CCN(Cc1ccccn1)Cc1cccc(N(C)Cc2ncc(C)c(C)c2C)n1</v>
      </c>
      <c r="C13181" s="7">
        <f>IFERROR(__xludf.DUMMYFUNCTION("""COMPUTED_VALUE"""),7.754995)</f>
        <v>7.754995</v>
      </c>
      <c r="D13181" s="7">
        <f>IFERROR(__xludf.DUMMYFUNCTION("""COMPUTED_VALUE"""),0.413043478260869)</f>
        <v>0.4130434783</v>
      </c>
    </row>
    <row r="13182">
      <c r="A13182" s="10" t="s">
        <v>14621</v>
      </c>
      <c r="B13182" s="7" t="str">
        <f>IFERROR(__xludf.DUMMYFUNCTION("SPLIT(A13182,"" "")"),"CCOC(=O)c1cccc(CN(Cc2ccccn2)C2CCC(N(C)c3cccc4cc(CN(C)C)cnc34)CC2)n1")</f>
        <v>CCOC(=O)c1cccc(CN(Cc2ccccn2)C2CCC(N(C)c3cccc4cc(CN(C)C)cnc34)CC2)n1</v>
      </c>
      <c r="C13182" s="7">
        <f>IFERROR(__xludf.DUMMYFUNCTION("""COMPUTED_VALUE"""),7.7549806)</f>
        <v>7.7549806</v>
      </c>
      <c r="D13182" s="7">
        <f>IFERROR(__xludf.DUMMYFUNCTION("""COMPUTED_VALUE"""),0.306666666666666)</f>
        <v>0.3066666667</v>
      </c>
    </row>
    <row r="13183">
      <c r="A13183" s="10" t="s">
        <v>14622</v>
      </c>
      <c r="B13183" s="7" t="str">
        <f>IFERROR(__xludf.DUMMYFUNCTION("SPLIT(A13183,"" "")"),"CC1CC(Cl)C(Cl)C(Cl)=C1N(C)C")</f>
        <v>CC1CC(Cl)C(Cl)C(Cl)=C1N(C)C</v>
      </c>
      <c r="C13183" s="7">
        <f>IFERROR(__xludf.DUMMYFUNCTION("""COMPUTED_VALUE"""),7.7549777)</f>
        <v>7.7549777</v>
      </c>
      <c r="D13183" s="7">
        <f>IFERROR(__xludf.DUMMYFUNCTION("""COMPUTED_VALUE"""),0.137254901960784)</f>
        <v>0.137254902</v>
      </c>
    </row>
    <row r="13184">
      <c r="A13184" s="10" t="s">
        <v>14623</v>
      </c>
      <c r="B13184" s="7" t="str">
        <f>IFERROR(__xludf.DUMMYFUNCTION("SPLIT(A13184,"" "")"),"Cc1cccc(N(C)C2CCCC(N(C)c3ccc4cccnc4c3)C2)c1")</f>
        <v>Cc1cccc(N(C)C2CCCC(N(C)c3ccc4cccnc4c3)C2)c1</v>
      </c>
      <c r="C13184" s="7">
        <f>IFERROR(__xludf.DUMMYFUNCTION("""COMPUTED_VALUE"""),7.7549744)</f>
        <v>7.7549744</v>
      </c>
      <c r="D13184" s="7">
        <f>IFERROR(__xludf.DUMMYFUNCTION("""COMPUTED_VALUE"""),0.37037037037037)</f>
        <v>0.3703703704</v>
      </c>
    </row>
    <row r="13185">
      <c r="A13185" s="10" t="s">
        <v>14624</v>
      </c>
      <c r="B13185" s="7" t="str">
        <f>IFERROR(__xludf.DUMMYFUNCTION("SPLIT(A13185,"" "")"),"CC(C)(C1=CC2(C=CN1)C=C(c1ccc(CN(Cc3ccccn3)Cc3ccccn3)cn1)CC(C)(C)C2c1ccc(CN(Cc2ccccn2)Cc2ccccn2)cn1)c1ccccn1")</f>
        <v>CC(C)(C1=CC2(C=CN1)C=C(c1ccc(CN(Cc3ccccn3)Cc3ccccn3)cn1)CC(C)(C)C2c1ccc(CN(Cc2ccccn2)Cc2ccccn2)cn1)c1ccccn1</v>
      </c>
      <c r="C13185" s="7">
        <f>IFERROR(__xludf.DUMMYFUNCTION("""COMPUTED_VALUE"""),7.7549634)</f>
        <v>7.7549634</v>
      </c>
      <c r="D13185" s="7">
        <f>IFERROR(__xludf.DUMMYFUNCTION("""COMPUTED_VALUE"""),0.30379746835443)</f>
        <v>0.3037974684</v>
      </c>
    </row>
    <row r="13186">
      <c r="A13186" s="10" t="s">
        <v>14625</v>
      </c>
      <c r="B13186" s="7" t="str">
        <f>IFERROR(__xludf.DUMMYFUNCTION("SPLIT(A13186,"" "")"),"Cc1cccc(CN(C)C2=C(CN(C)Cc3cc(C)c(C)c(C)n3)NC=CC2)n1")</f>
        <v>Cc1cccc(CN(C)C2=C(CN(C)Cc3cc(C)c(C)c(C)n3)NC=CC2)n1</v>
      </c>
      <c r="C13186" s="7">
        <f>IFERROR(__xludf.DUMMYFUNCTION("""COMPUTED_VALUE"""),7.754961)</f>
        <v>7.754961</v>
      </c>
      <c r="D13186" s="7">
        <f>IFERROR(__xludf.DUMMYFUNCTION("""COMPUTED_VALUE"""),0.407407407407407)</f>
        <v>0.4074074074</v>
      </c>
    </row>
    <row r="13187">
      <c r="A13187" s="10" t="s">
        <v>14626</v>
      </c>
      <c r="B13187" s="7" t="str">
        <f>IFERROR(__xludf.DUMMYFUNCTION("SPLIT(A13187,"" "")"),"Cc1cc(C)c(CN(C)CC2=C(N(C)Cc3ncccc3C)CC=CN2)nc1C")</f>
        <v>Cc1cc(C)c(CN(C)CC2=C(N(C)Cc3ncccc3C)CC=CN2)nc1C</v>
      </c>
      <c r="C13187" s="7">
        <f>IFERROR(__xludf.DUMMYFUNCTION("""COMPUTED_VALUE"""),7.75496)</f>
        <v>7.75496</v>
      </c>
      <c r="D13187" s="7">
        <f>IFERROR(__xludf.DUMMYFUNCTION("""COMPUTED_VALUE"""),0.25)</f>
        <v>0.25</v>
      </c>
    </row>
    <row r="13188">
      <c r="A13188" s="10" t="s">
        <v>14627</v>
      </c>
      <c r="B13188" s="7" t="str">
        <f>IFERROR(__xludf.DUMMYFUNCTION("SPLIT(A13188,"" "")"),"Cc1ccc(CN(C)C2=CCC=C(CN(C)Cc3ccccn3)N2)nc1")</f>
        <v>Cc1ccc(CN(C)C2=CCC=C(CN(C)Cc3ccccn3)N2)nc1</v>
      </c>
      <c r="C13188" s="7">
        <f>IFERROR(__xludf.DUMMYFUNCTION("""COMPUTED_VALUE"""),7.754949)</f>
        <v>7.754949</v>
      </c>
      <c r="D13188" s="7">
        <f>IFERROR(__xludf.DUMMYFUNCTION("""COMPUTED_VALUE"""),0.44)</f>
        <v>0.44</v>
      </c>
    </row>
    <row r="13189">
      <c r="A13189" s="10" t="s">
        <v>14628</v>
      </c>
      <c r="B13189" s="7" t="str">
        <f>IFERROR(__xludf.DUMMYFUNCTION("SPLIT(A13189,"" "")"),"Cc1ccc(CN(C)CC2=CNC=C(N(C)Cc3nc(C)c(C)cc3C)C2)nc1")</f>
        <v>Cc1ccc(CN(C)CC2=CNC=C(N(C)Cc3nc(C)c(C)cc3C)C2)nc1</v>
      </c>
      <c r="C13189" s="7">
        <f>IFERROR(__xludf.DUMMYFUNCTION("""COMPUTED_VALUE"""),7.7549467)</f>
        <v>7.7549467</v>
      </c>
      <c r="D13189" s="7">
        <f>IFERROR(__xludf.DUMMYFUNCTION("""COMPUTED_VALUE"""),0.407407407407407)</f>
        <v>0.4074074074</v>
      </c>
    </row>
    <row r="13190">
      <c r="A13190" s="10" t="s">
        <v>14629</v>
      </c>
      <c r="B13190" s="7" t="str">
        <f>IFERROR(__xludf.DUMMYFUNCTION("SPLIT(A13190,"" "")"),"C1=CNC(Nc2ccccn2)C=C1")</f>
        <v>C1=CNC(Nc2ccccn2)C=C1</v>
      </c>
      <c r="C13190" s="7">
        <f>IFERROR(__xludf.DUMMYFUNCTION("""COMPUTED_VALUE"""),7.754945)</f>
        <v>7.754945</v>
      </c>
      <c r="D13190" s="7">
        <f>IFERROR(__xludf.DUMMYFUNCTION("""COMPUTED_VALUE"""),0.413043478260869)</f>
        <v>0.4130434783</v>
      </c>
    </row>
    <row r="13191">
      <c r="A13191" s="10" t="s">
        <v>14630</v>
      </c>
      <c r="B13191" s="7" t="str">
        <f>IFERROR(__xludf.DUMMYFUNCTION("SPLIT(A13191,"" "")"),"Cc1cc(CN(Cc2ccccn2)C2CCC(N(C)c3ccc4nccc(C)c4c3)CC2)cnc1C")</f>
        <v>Cc1cc(CN(Cc2ccccn2)C2CCC(N(C)c3ccc4nccc(C)c4c3)CC2)cnc1C</v>
      </c>
      <c r="C13191" s="7">
        <f>IFERROR(__xludf.DUMMYFUNCTION("""COMPUTED_VALUE"""),7.754932)</f>
        <v>7.754932</v>
      </c>
      <c r="D13191" s="7">
        <f>IFERROR(__xludf.DUMMYFUNCTION("""COMPUTED_VALUE"""),0.338461538461538)</f>
        <v>0.3384615385</v>
      </c>
    </row>
    <row r="13192">
      <c r="A13192" s="10" t="s">
        <v>14631</v>
      </c>
      <c r="B13192" s="7" t="str">
        <f>IFERROR(__xludf.DUMMYFUNCTION("SPLIT(A13192,"" "")"),"Cc1cccc(N(Cc2ccccn2)C2CCC(N(C)c3ccc4cccnc4c3)CC2)c1")</f>
        <v>Cc1cccc(N(Cc2ccccn2)C2CCC(N(C)c3ccc4cccnc4c3)CC2)c1</v>
      </c>
      <c r="C13192" s="7">
        <f>IFERROR(__xludf.DUMMYFUNCTION("""COMPUTED_VALUE"""),7.7549305)</f>
        <v>7.7549305</v>
      </c>
      <c r="D13192" s="7">
        <f>IFERROR(__xludf.DUMMYFUNCTION("""COMPUTED_VALUE"""),0.389830508474576)</f>
        <v>0.3898305085</v>
      </c>
    </row>
    <row r="13193">
      <c r="A13193" s="10" t="s">
        <v>14632</v>
      </c>
      <c r="B13193" s="7" t="str">
        <f>IFERROR(__xludf.DUMMYFUNCTION("SPLIT(A13193,"" "")"),"CN(Cc1ncccc1-c1cccc2ncccc12)C1CCCC(N(C)Cc2ncccc2C(C)(C)C)C1")</f>
        <v>CN(Cc1ncccc1-c1cccc2ncccc12)C1CCCC(N(C)Cc2ncccc2C(C)(C)C)C1</v>
      </c>
      <c r="C13193" s="7">
        <f>IFERROR(__xludf.DUMMYFUNCTION("""COMPUTED_VALUE"""),7.754923)</f>
        <v>7.754923</v>
      </c>
      <c r="D13193" s="7">
        <f>IFERROR(__xludf.DUMMYFUNCTION("""COMPUTED_VALUE"""),0.295081967213114)</f>
        <v>0.2950819672</v>
      </c>
    </row>
    <row r="13194">
      <c r="A13194" s="10" t="s">
        <v>14633</v>
      </c>
      <c r="B13194" s="7" t="str">
        <f>IFERROR(__xludf.DUMMYFUNCTION("SPLIT(A13194,"" "")"),"Cc1cc(C)c(C)c(CN(C)C2=CNC(C(C)C)=CC2)n1")</f>
        <v>Cc1cc(C)c(C)c(CN(C)C2=CNC(C(C)C)=CC2)n1</v>
      </c>
      <c r="C13194" s="7">
        <f>IFERROR(__xludf.DUMMYFUNCTION("""COMPUTED_VALUE"""),7.754922)</f>
        <v>7.754922</v>
      </c>
      <c r="D13194" s="7">
        <f>IFERROR(__xludf.DUMMYFUNCTION("""COMPUTED_VALUE"""),0.2)</f>
        <v>0.2</v>
      </c>
    </row>
    <row r="13195">
      <c r="A13195" s="10" t="s">
        <v>14634</v>
      </c>
      <c r="B13195" s="7" t="str">
        <f>IFERROR(__xludf.DUMMYFUNCTION("SPLIT(A13195,"" "")"),"CN(Cc1ccccn1)Cc1ncccc1N(C)Cc1cncc(C(C)(C)C)c1")</f>
        <v>CN(Cc1ccccn1)Cc1ncccc1N(C)Cc1cncc(C(C)(C)C)c1</v>
      </c>
      <c r="C13195" s="7">
        <f>IFERROR(__xludf.DUMMYFUNCTION("""COMPUTED_VALUE"""),7.7549086)</f>
        <v>7.7549086</v>
      </c>
      <c r="D13195" s="7">
        <f>IFERROR(__xludf.DUMMYFUNCTION("""COMPUTED_VALUE"""),0.425925925925925)</f>
        <v>0.4259259259</v>
      </c>
    </row>
    <row r="13196">
      <c r="A13196" s="10" t="s">
        <v>14635</v>
      </c>
      <c r="B13196" s="7" t="str">
        <f>IFERROR(__xludf.DUMMYFUNCTION("SPLIT(A13196,"" "")"),"CC(C)C1N=COC1c1cc(CN(Cc2ccccn2)Cc2cc(C(C)(C)c3ccccn3)ccn2)ccn1")</f>
        <v>CC(C)C1N=COC1c1cc(CN(Cc2ccccn2)Cc2cc(C(C)(C)c3ccccn3)ccn2)ccn1</v>
      </c>
      <c r="C13196" s="7">
        <f>IFERROR(__xludf.DUMMYFUNCTION("""COMPUTED_VALUE"""),7.7549067)</f>
        <v>7.7549067</v>
      </c>
      <c r="D13196" s="7">
        <f>IFERROR(__xludf.DUMMYFUNCTION("""COMPUTED_VALUE"""),0.353846153846153)</f>
        <v>0.3538461538</v>
      </c>
    </row>
    <row r="13197">
      <c r="A13197" s="10" t="s">
        <v>14636</v>
      </c>
      <c r="B13197" s="7" t="str">
        <f>IFERROR(__xludf.DUMMYFUNCTION("SPLIT(A13197,"" "")"),"Cc1cnc(CN(C)Cc2ccnc(C)c2C)c(C)c1C")</f>
        <v>Cc1cnc(CN(C)Cc2ccnc(C)c2C)c(C)c1C</v>
      </c>
      <c r="C13197" s="7">
        <f>IFERROR(__xludf.DUMMYFUNCTION("""COMPUTED_VALUE"""),7.7549067)</f>
        <v>7.7549067</v>
      </c>
      <c r="D13197" s="7">
        <f>IFERROR(__xludf.DUMMYFUNCTION("""COMPUTED_VALUE"""),0.311111111111111)</f>
        <v>0.3111111111</v>
      </c>
    </row>
    <row r="13198">
      <c r="A13198" s="10" t="s">
        <v>14637</v>
      </c>
      <c r="B13198" s="7" t="str">
        <f>IFERROR(__xludf.DUMMYFUNCTION("SPLIT(A13198,"" "")"),"Cc1ccc(CN(C)CC2=CCC=C(N(C)Cc3ccccn3)N2)cn1")</f>
        <v>Cc1ccc(CN(C)CC2=CCC=C(N(C)Cc3ccccn3)N2)cn1</v>
      </c>
      <c r="C13198" s="7">
        <f>IFERROR(__xludf.DUMMYFUNCTION("""COMPUTED_VALUE"""),7.7549043)</f>
        <v>7.7549043</v>
      </c>
      <c r="D13198" s="7">
        <f>IFERROR(__xludf.DUMMYFUNCTION("""COMPUTED_VALUE"""),0.383333333333333)</f>
        <v>0.3833333333</v>
      </c>
    </row>
    <row r="13199">
      <c r="A13199" s="10" t="s">
        <v>14638</v>
      </c>
      <c r="B13199" s="7" t="str">
        <f>IFERROR(__xludf.DUMMYFUNCTION("SPLIT(A13199,"" "")"),"CCN(Cc1ccccn1)Cc1ccc(C(C)(c2ccccn2)c2ccccn2)cn1")</f>
        <v>CCN(Cc1ccccn1)Cc1ccc(C(C)(c2ccccn2)c2ccccn2)cn1</v>
      </c>
      <c r="C13199" s="7">
        <f>IFERROR(__xludf.DUMMYFUNCTION("""COMPUTED_VALUE"""),7.7548995)</f>
        <v>7.7548995</v>
      </c>
      <c r="D13199" s="7">
        <f>IFERROR(__xludf.DUMMYFUNCTION("""COMPUTED_VALUE"""),0.488888888888888)</f>
        <v>0.4888888889</v>
      </c>
    </row>
    <row r="13200">
      <c r="A13200" s="10" t="s">
        <v>14639</v>
      </c>
      <c r="B13200" s="7" t="str">
        <f>IFERROR(__xludf.DUMMYFUNCTION("SPLIT(A13200,"" "")"),"Cc1ccnc(CN(C)C2=CCC=C(CN(C)C3CCCCC3N(C)c3ccc4c(CN(C)C)nccc4c3)N2)c1C")</f>
        <v>Cc1ccnc(CN(C)C2=CCC=C(CN(C)C3CCCCC3N(C)c3ccc4c(CN(C)C)nccc4c3)N2)c1C</v>
      </c>
      <c r="C13200" s="7">
        <f>IFERROR(__xludf.DUMMYFUNCTION("""COMPUTED_VALUE"""),7.7548957)</f>
        <v>7.7548957</v>
      </c>
      <c r="D13200" s="7">
        <f>IFERROR(__xludf.DUMMYFUNCTION("""COMPUTED_VALUE"""),0.283783783783783)</f>
        <v>0.2837837838</v>
      </c>
    </row>
    <row r="13201">
      <c r="A13201" s="10" t="s">
        <v>14640</v>
      </c>
      <c r="B13201" s="7" t="str">
        <f>IFERROR(__xludf.DUMMYFUNCTION("SPLIT(A13201,"" "")"),"Cc1cccnc1CN(C)C1CCCC(N(C)Cc2cccc(-c3cccc4ncccc34)n2)C1")</f>
        <v>Cc1cccnc1CN(C)C1CCCC(N(C)Cc2cccc(-c3cccc4ncccc34)n2)C1</v>
      </c>
      <c r="C13201" s="7">
        <f>IFERROR(__xludf.DUMMYFUNCTION("""COMPUTED_VALUE"""),7.7548957)</f>
        <v>7.7548957</v>
      </c>
      <c r="D13201" s="7">
        <f>IFERROR(__xludf.DUMMYFUNCTION("""COMPUTED_VALUE"""),0.354838709677419)</f>
        <v>0.3548387097</v>
      </c>
    </row>
    <row r="13202">
      <c r="A13202" s="10" t="s">
        <v>14641</v>
      </c>
      <c r="B13202" s="7" t="str">
        <f>IFERROR(__xludf.DUMMYFUNCTION("SPLIT(A13202,"" "")"),"Cc1cnc(CN(C)C2=C(CN(C)Cc3cccc(C)n3)NC=CC2)c(C)c1")</f>
        <v>Cc1cnc(CN(C)C2=C(CN(C)Cc3cccc(C)n3)NC=CC2)c(C)c1</v>
      </c>
      <c r="C13202" s="7">
        <f>IFERROR(__xludf.DUMMYFUNCTION("""COMPUTED_VALUE"""),7.7548943)</f>
        <v>7.7548943</v>
      </c>
      <c r="D13202" s="7">
        <f>IFERROR(__xludf.DUMMYFUNCTION("""COMPUTED_VALUE"""),0.392857142857142)</f>
        <v>0.3928571429</v>
      </c>
    </row>
    <row r="13203">
      <c r="A13203" s="10" t="s">
        <v>14642</v>
      </c>
      <c r="B13203" s="7" t="str">
        <f>IFERROR(__xludf.DUMMYFUNCTION("SPLIT(A13203,"" "")"),"CC1=C(c2c(C)c(C)c(C)c(C)c2C)CC(CN(C)Cc2ccccn2)C(C)=C1C")</f>
        <v>CC1=C(c2c(C)c(C)c(C)c(C)c2C)CC(CN(C)Cc2ccccn2)C(C)=C1C</v>
      </c>
      <c r="C13203" s="7">
        <f>IFERROR(__xludf.DUMMYFUNCTION("""COMPUTED_VALUE"""),7.7548876)</f>
        <v>7.7548876</v>
      </c>
      <c r="D13203" s="7">
        <f>IFERROR(__xludf.DUMMYFUNCTION("""COMPUTED_VALUE"""),0.43103448275862)</f>
        <v>0.4310344828</v>
      </c>
    </row>
    <row r="13204">
      <c r="A13204" s="10" t="s">
        <v>14643</v>
      </c>
      <c r="B13204" s="7" t="str">
        <f>IFERROR(__xludf.DUMMYFUNCTION("SPLIT(A13204,"" "")"),"Cc1cc(CN(C)C2=CNCC=C2)cnc1C")</f>
        <v>Cc1cc(CN(C)C2=CNCC=C2)cnc1C</v>
      </c>
      <c r="C13204" s="7">
        <f>IFERROR(__xludf.DUMMYFUNCTION("""COMPUTED_VALUE"""),7.75488)</f>
        <v>7.75488</v>
      </c>
      <c r="D13204" s="7">
        <f>IFERROR(__xludf.DUMMYFUNCTION("""COMPUTED_VALUE"""),0.222222222222222)</f>
        <v>0.2222222222</v>
      </c>
    </row>
    <row r="13205">
      <c r="A13205" s="10" t="s">
        <v>14644</v>
      </c>
      <c r="B13205" s="7" t="str">
        <f>IFERROR(__xludf.DUMMYFUNCTION("SPLIT(A13205,"" "")"),"Cc1cccnc1CN(C)C1=CNC(CN(C)Cc2ncc(C)c(C)c2C)=CC1")</f>
        <v>Cc1cccnc1CN(C)C1=CNC(CN(C)Cc2ncc(C)c(C)c2C)=CC1</v>
      </c>
      <c r="C13205" s="7">
        <f>IFERROR(__xludf.DUMMYFUNCTION("""COMPUTED_VALUE"""),7.754874)</f>
        <v>7.754874</v>
      </c>
      <c r="D13205" s="7">
        <f>IFERROR(__xludf.DUMMYFUNCTION("""COMPUTED_VALUE"""),0.26865671641791)</f>
        <v>0.2686567164</v>
      </c>
    </row>
    <row r="13206">
      <c r="A13206" s="10" t="s">
        <v>14645</v>
      </c>
      <c r="B13206" s="7" t="str">
        <f>IFERROR(__xludf.DUMMYFUNCTION("SPLIT(A13206,"" "")"),"CNc1cc(C)c(CN(Cc2ccccn2)Cc2ncc(C)cc2C)cn1")</f>
        <v>CNc1cc(C)c(CN(Cc2ccccn2)Cc2ncc(C)cc2C)cn1</v>
      </c>
      <c r="C13206" s="7">
        <f>IFERROR(__xludf.DUMMYFUNCTION("""COMPUTED_VALUE"""),7.7548695)</f>
        <v>7.7548695</v>
      </c>
      <c r="D13206" s="7">
        <f>IFERROR(__xludf.DUMMYFUNCTION("""COMPUTED_VALUE"""),0.425531914893617)</f>
        <v>0.4255319149</v>
      </c>
    </row>
    <row r="13207">
      <c r="A13207" s="10" t="s">
        <v>14646</v>
      </c>
      <c r="B13207" s="7" t="str">
        <f>IFERROR(__xludf.DUMMYFUNCTION("SPLIT(A13207,"" "")"),"Cc1nccc(CN(C)CC2=CCC(N(C)Cc3ccccn3)=CN2)c1C")</f>
        <v>Cc1nccc(CN(C)CC2=CCC(N(C)Cc3ccccn3)=CN2)c1C</v>
      </c>
      <c r="C13207" s="7">
        <f>IFERROR(__xludf.DUMMYFUNCTION("""COMPUTED_VALUE"""),7.754865)</f>
        <v>7.754865</v>
      </c>
      <c r="D13207" s="7">
        <f>IFERROR(__xludf.DUMMYFUNCTION("""COMPUTED_VALUE"""),0.372881355932203)</f>
        <v>0.3728813559</v>
      </c>
    </row>
    <row r="13208">
      <c r="A13208" s="10" t="s">
        <v>14647</v>
      </c>
      <c r="B13208" s="7" t="str">
        <f>IFERROR(__xludf.DUMMYFUNCTION("SPLIT(A13208,"" "")"),"CNCc1cccc(CN(Cc2cccc(C)n2)Cc2cccc(C3=NC(C)C(C)O3)n2)n1")</f>
        <v>CNCc1cccc(CN(Cc2cccc(C)n2)Cc2cccc(C3=NC(C)C(C)O3)n2)n1</v>
      </c>
      <c r="C13208" s="7">
        <f>IFERROR(__xludf.DUMMYFUNCTION("""COMPUTED_VALUE"""),7.754865)</f>
        <v>7.754865</v>
      </c>
      <c r="D13208" s="7">
        <f>IFERROR(__xludf.DUMMYFUNCTION("""COMPUTED_VALUE"""),0.372549019607843)</f>
        <v>0.3725490196</v>
      </c>
    </row>
    <row r="13209">
      <c r="A13209" s="10" t="s">
        <v>14648</v>
      </c>
      <c r="B13209" s="7" t="str">
        <f>IFERROR(__xludf.DUMMYFUNCTION("SPLIT(A13209,"" "")"),"CCOC(=O)c1cccc(CN(Cc2ccccn2)C2CCC(N(C)c3ccc4ccc(CN(C)C)nc4c3)CC2)n1")</f>
        <v>CCOC(=O)c1cccc(CN(Cc2ccccn2)C2CCC(N(C)c3ccc4ccc(CN(C)C)nc4c3)CC2)n1</v>
      </c>
      <c r="C13209" s="7">
        <f>IFERROR(__xludf.DUMMYFUNCTION("""COMPUTED_VALUE"""),7.7548637)</f>
        <v>7.7548637</v>
      </c>
      <c r="D13209" s="7">
        <f>IFERROR(__xludf.DUMMYFUNCTION("""COMPUTED_VALUE"""),0.352941176470588)</f>
        <v>0.3529411765</v>
      </c>
    </row>
    <row r="13210">
      <c r="A13210" s="10" t="s">
        <v>14649</v>
      </c>
      <c r="B13210" s="7" t="str">
        <f>IFERROR(__xludf.DUMMYFUNCTION("SPLIT(A13210,"" "")"),"CC(C)N(CN(CN(CN(C)C1C=CC=CN1)c1cccc2ncccc12)C1C=CC=CN1)C(c1ccccc1)c1ccccn1")</f>
        <v>CC(C)N(CN(CN(CN(C)C1C=CC=CN1)c1cccc2ncccc12)C1C=CC=CN1)C(c1ccccc1)c1ccccn1</v>
      </c>
      <c r="C13210" s="7">
        <f>IFERROR(__xludf.DUMMYFUNCTION("""COMPUTED_VALUE"""),7.7548633)</f>
        <v>7.7548633</v>
      </c>
      <c r="D13210" s="7">
        <f>IFERROR(__xludf.DUMMYFUNCTION("""COMPUTED_VALUE"""),0.31578947368421)</f>
        <v>0.3157894737</v>
      </c>
    </row>
    <row r="13211">
      <c r="A13211" s="10" t="s">
        <v>14650</v>
      </c>
      <c r="B13211" s="7" t="str">
        <f>IFERROR(__xludf.DUMMYFUNCTION("SPLIT(A13211,"" "")"),"Cc1cccc(N(Cc2ccccn2)C2CCC(N(C)c3ccc4ncccc4c3)CC2)c1")</f>
        <v>Cc1cccc(N(Cc2ccccn2)C2CCC(N(C)c3ccc4ncccc4c3)CC2)c1</v>
      </c>
      <c r="C13211" s="7">
        <f>IFERROR(__xludf.DUMMYFUNCTION("""COMPUTED_VALUE"""),7.7548585)</f>
        <v>7.7548585</v>
      </c>
      <c r="D13211" s="7">
        <f>IFERROR(__xludf.DUMMYFUNCTION("""COMPUTED_VALUE"""),0.372881355932203)</f>
        <v>0.3728813559</v>
      </c>
    </row>
    <row r="13212">
      <c r="A13212" s="10" t="s">
        <v>14651</v>
      </c>
      <c r="B13212" s="7" t="str">
        <f>IFERROR(__xludf.DUMMYFUNCTION("SPLIT(A13212,"" "")"),"Cc1cc(NCc2ccccn2)ccc1C(C)(C)N(Cc1ccccn1)C1CCCC(N(C)c2ccc3cccnc3c2)C1")</f>
        <v>Cc1cc(NCc2ccccn2)ccc1C(C)(C)N(Cc1ccccn1)C1CCCC(N(C)c2ccc3cccnc3c2)C1</v>
      </c>
      <c r="C13212" s="7">
        <f>IFERROR(__xludf.DUMMYFUNCTION("""COMPUTED_VALUE"""),7.7548485)</f>
        <v>7.7548485</v>
      </c>
      <c r="D13212" s="7">
        <f>IFERROR(__xludf.DUMMYFUNCTION("""COMPUTED_VALUE"""),0.31081081081081)</f>
        <v>0.3108108108</v>
      </c>
    </row>
    <row r="13213">
      <c r="A13213" s="10" t="s">
        <v>14652</v>
      </c>
      <c r="B13213" s="7" t="str">
        <f>IFERROR(__xludf.DUMMYFUNCTION("SPLIT(A13213,"" "")"),"Cc1ccc(CN(Cc2ccccn2)Cc2ccccc2N(C)C)nc1C")</f>
        <v>Cc1ccc(CN(Cc2ccccn2)Cc2ccccc2N(C)C)nc1C</v>
      </c>
      <c r="C13213" s="7">
        <f>IFERROR(__xludf.DUMMYFUNCTION("""COMPUTED_VALUE"""),7.7548456)</f>
        <v>7.7548456</v>
      </c>
      <c r="D13213" s="7">
        <f>IFERROR(__xludf.DUMMYFUNCTION("""COMPUTED_VALUE"""),0.48780487804878)</f>
        <v>0.487804878</v>
      </c>
    </row>
    <row r="13214">
      <c r="A13214" s="10" t="s">
        <v>14653</v>
      </c>
      <c r="B13214" s="7" t="str">
        <f>IFERROR(__xludf.DUMMYFUNCTION("SPLIT(A13214,"" "")"),"CC(C)c1cc(CN(Cc2ccccn2)C2CCC(N(C)Cc3ncccc3-c3ccc4ncccc4c3)CC2)ccn1")</f>
        <v>CC(C)c1cc(CN(Cc2ccccn2)C2CCC(N(C)Cc3ncccc3-c3ccc4ncccc4c3)CC2)ccn1</v>
      </c>
      <c r="C13214" s="7">
        <f>IFERROR(__xludf.DUMMYFUNCTION("""COMPUTED_VALUE"""),7.7548413)</f>
        <v>7.7548413</v>
      </c>
      <c r="D13214" s="7">
        <f>IFERROR(__xludf.DUMMYFUNCTION("""COMPUTED_VALUE"""),0.323943661971831)</f>
        <v>0.323943662</v>
      </c>
    </row>
    <row r="13215">
      <c r="A13215" s="10" t="s">
        <v>14654</v>
      </c>
      <c r="B13215" s="7" t="str">
        <f>IFERROR(__xludf.DUMMYFUNCTION("SPLIT(A13215,"" "")"),"CC1=C(c2cc(CN(Cc3ccccn3)C3CCC(N(C)c4ccc5nccc(CN(C)C)c5c4)CC3)ccn2)C(C)CC(C)C1")</f>
        <v>CC1=C(c2cc(CN(Cc3ccccn3)C3CCC(N(C)c4ccc5nccc(CN(C)C)c5c4)CC3)ccn2)C(C)CC(C)C1</v>
      </c>
      <c r="C13215" s="7">
        <f>IFERROR(__xludf.DUMMYFUNCTION("""COMPUTED_VALUE"""),7.754835)</f>
        <v>7.754835</v>
      </c>
      <c r="D13215" s="7">
        <f>IFERROR(__xludf.DUMMYFUNCTION("""COMPUTED_VALUE"""),0.278481012658227)</f>
        <v>0.2784810127</v>
      </c>
    </row>
    <row r="13216">
      <c r="A13216" s="10" t="s">
        <v>14655</v>
      </c>
      <c r="B13216" s="7" t="str">
        <f>IFERROR(__xludf.DUMMYFUNCTION("SPLIT(A13216,"" "")"),"Cc1cnc(CN(Cc2ccccn2)C2CCC(N(C)c3ccc4nccc(C)c4c3)CC2)c(C)c1")</f>
        <v>Cc1cnc(CN(Cc2ccccn2)C2CCC(N(C)c3ccc4nccc(C)c4c3)CC2)c(C)c1</v>
      </c>
      <c r="C13216" s="7">
        <f>IFERROR(__xludf.DUMMYFUNCTION("""COMPUTED_VALUE"""),7.7548347)</f>
        <v>7.7548347</v>
      </c>
      <c r="D13216" s="7">
        <f>IFERROR(__xludf.DUMMYFUNCTION("""COMPUTED_VALUE"""),0.338461538461538)</f>
        <v>0.3384615385</v>
      </c>
    </row>
    <row r="13217">
      <c r="A13217" s="10" t="s">
        <v>14656</v>
      </c>
      <c r="B13217" s="7" t="str">
        <f>IFERROR(__xludf.DUMMYFUNCTION("SPLIT(A13217,"" "")"),"Cc1cnccc1CN(Cc1ccccn1)Cc1cccc(N(C)C)n1")</f>
        <v>Cc1cnccc1CN(Cc1ccccn1)Cc1cccc(N(C)C)n1</v>
      </c>
      <c r="C13217" s="7">
        <f>IFERROR(__xludf.DUMMYFUNCTION("""COMPUTED_VALUE"""),7.754834)</f>
        <v>7.754834</v>
      </c>
      <c r="D13217" s="7">
        <f>IFERROR(__xludf.DUMMYFUNCTION("""COMPUTED_VALUE"""),0.465116279069767)</f>
        <v>0.4651162791</v>
      </c>
    </row>
    <row r="13218">
      <c r="A13218" s="10" t="s">
        <v>14657</v>
      </c>
      <c r="B13218" s="7" t="str">
        <f>IFERROR(__xludf.DUMMYFUNCTION("SPLIT(A13218,"" "")"),"Cc1cc(C)c(C)c(CN(C)CC2=CCC(N(C)Cc3ccccn3)=CN2)n1")</f>
        <v>Cc1cc(C)c(C)c(CN(C)CC2=CCC(N(C)Cc3ccccn3)=CN2)n1</v>
      </c>
      <c r="C13218" s="7">
        <f>IFERROR(__xludf.DUMMYFUNCTION("""COMPUTED_VALUE"""),7.754834)</f>
        <v>7.754834</v>
      </c>
      <c r="D13218" s="7">
        <f>IFERROR(__xludf.DUMMYFUNCTION("""COMPUTED_VALUE"""),0.372881355932203)</f>
        <v>0.3728813559</v>
      </c>
    </row>
    <row r="13219">
      <c r="A13219" s="10" t="s">
        <v>14658</v>
      </c>
      <c r="B13219" s="7" t="str">
        <f>IFERROR(__xludf.DUMMYFUNCTION("SPLIT(A13219,"" "")"),"CN(Cc1ccccn1)C1C=CNC(C(C)(c2ccccn2)c2ccccn2)=C1")</f>
        <v>CN(Cc1ccccn1)C1C=CNC(C(C)(c2ccccn2)c2ccccn2)=C1</v>
      </c>
      <c r="C13219" s="7">
        <f>IFERROR(__xludf.DUMMYFUNCTION("""COMPUTED_VALUE"""),7.7548327)</f>
        <v>7.7548327</v>
      </c>
      <c r="D13219" s="7">
        <f>IFERROR(__xludf.DUMMYFUNCTION("""COMPUTED_VALUE"""),0.423076923076923)</f>
        <v>0.4230769231</v>
      </c>
    </row>
    <row r="13220">
      <c r="A13220" s="10" t="s">
        <v>14659</v>
      </c>
      <c r="B13220" s="7" t="str">
        <f>IFERROR(__xludf.DUMMYFUNCTION("SPLIT(A13220,"" "")"),"Cc1cnc(CN(C)Cc2ncc(C)c(C)c2C)c(C)c1")</f>
        <v>Cc1cnc(CN(C)Cc2ncc(C)c(C)c2C)c(C)c1</v>
      </c>
      <c r="C13220" s="7">
        <f>IFERROR(__xludf.DUMMYFUNCTION("""COMPUTED_VALUE"""),7.7548246)</f>
        <v>7.7548246</v>
      </c>
      <c r="D13220" s="7">
        <f>IFERROR(__xludf.DUMMYFUNCTION("""COMPUTED_VALUE"""),0.375)</f>
        <v>0.375</v>
      </c>
    </row>
    <row r="13221">
      <c r="A13221" s="10" t="s">
        <v>14660</v>
      </c>
      <c r="B13221" s="7" t="str">
        <f>IFERROR(__xludf.DUMMYFUNCTION("SPLIT(A13221,"" "")"),"CCN(Cc1cc(C2=NC(C)(C)CO2)ccn1)Cc1nc(C)c(C)cc1C")</f>
        <v>CCN(Cc1cc(C2=NC(C)(C)CO2)ccn1)Cc1nc(C)c(C)cc1C</v>
      </c>
      <c r="C13221" s="7">
        <f>IFERROR(__xludf.DUMMYFUNCTION("""COMPUTED_VALUE"""),7.754821)</f>
        <v>7.754821</v>
      </c>
      <c r="D13221" s="7">
        <f>IFERROR(__xludf.DUMMYFUNCTION("""COMPUTED_VALUE"""),0.327586206896551)</f>
        <v>0.3275862069</v>
      </c>
    </row>
    <row r="13222">
      <c r="A13222" s="10" t="s">
        <v>14661</v>
      </c>
      <c r="B13222" s="7" t="str">
        <f>IFERROR(__xludf.DUMMYFUNCTION("SPLIT(A13222,"" "")"),"CCN(Cc1cc(CN(Cc2nc(C)c(C)cc2C)Cc2nc(C)c(C)cc2C)ccn1)Cc1nc(C)c(C)cc1C")</f>
        <v>CCN(Cc1cc(CN(Cc2nc(C)c(C)cc2C)Cc2nc(C)c(C)cc2C)ccn1)Cc1nc(C)c(C)cc1C</v>
      </c>
      <c r="C13222" s="7">
        <f>IFERROR(__xludf.DUMMYFUNCTION("""COMPUTED_VALUE"""),7.7548194)</f>
        <v>7.7548194</v>
      </c>
      <c r="D13222" s="7">
        <f>IFERROR(__xludf.DUMMYFUNCTION("""COMPUTED_VALUE"""),0.318181818181818)</f>
        <v>0.3181818182</v>
      </c>
    </row>
    <row r="13223">
      <c r="A13223" s="10" t="s">
        <v>14662</v>
      </c>
      <c r="B13223" s="7" t="str">
        <f>IFERROR(__xludf.DUMMYFUNCTION("SPLIT(A13223,"" "")"),"CN(C1=CNC(N(C)C2=CCC=CN2)=CC1)C1=CCC=CN1")</f>
        <v>CN(C1=CNC(N(C)C2=CCC=CN2)=CC1)C1=CCC=CN1</v>
      </c>
      <c r="C13223" s="7">
        <f>IFERROR(__xludf.DUMMYFUNCTION("""COMPUTED_VALUE"""),7.7548175)</f>
        <v>7.7548175</v>
      </c>
      <c r="D13223" s="7">
        <f>IFERROR(__xludf.DUMMYFUNCTION("""COMPUTED_VALUE"""),0.25)</f>
        <v>0.25</v>
      </c>
    </row>
    <row r="13224">
      <c r="A13224" s="10" t="s">
        <v>14663</v>
      </c>
      <c r="B13224" s="7" t="str">
        <f>IFERROR(__xludf.DUMMYFUNCTION("SPLIT(A13224,"" "")"),"Cc1nccc(CN(Cc2nc(C)c(C)c(C)c2C)C2CCCCC2N(C)c2cccc3ncccc23)c1C")</f>
        <v>Cc1nccc(CN(Cc2nc(C)c(C)c(C)c2C)C2CCCCC2N(C)c2cccc3ncccc23)c1C</v>
      </c>
      <c r="C13224" s="7">
        <f>IFERROR(__xludf.DUMMYFUNCTION("""COMPUTED_VALUE"""),7.7548127)</f>
        <v>7.7548127</v>
      </c>
      <c r="D13224" s="7">
        <f>IFERROR(__xludf.DUMMYFUNCTION("""COMPUTED_VALUE"""),0.40625)</f>
        <v>0.40625</v>
      </c>
    </row>
    <row r="13225">
      <c r="A13225" s="10" t="s">
        <v>14664</v>
      </c>
      <c r="B13225" s="7" t="str">
        <f>IFERROR(__xludf.DUMMYFUNCTION("SPLIT(A13225,"" "")"),"Cc1cc(C)c(CN(C)Cc2ccc(N(C)C(C)C)cn2)nc1C")</f>
        <v>Cc1cc(C)c(CN(C)Cc2ccc(N(C)C(C)C)cn2)nc1C</v>
      </c>
      <c r="C13225" s="7">
        <f>IFERROR(__xludf.DUMMYFUNCTION("""COMPUTED_VALUE"""),7.754807)</f>
        <v>7.754807</v>
      </c>
      <c r="D13225" s="7">
        <f>IFERROR(__xludf.DUMMYFUNCTION("""COMPUTED_VALUE"""),0.404255319148936)</f>
        <v>0.4042553191</v>
      </c>
    </row>
    <row r="13226">
      <c r="A13226" s="10" t="s">
        <v>14665</v>
      </c>
      <c r="B13226" s="7" t="str">
        <f>IFERROR(__xludf.DUMMYFUNCTION("SPLIT(A13226,"" "")"),"CNCC1CCC(N(C)Cc2ncccc2C)N1c1ccc2ncccc2c1")</f>
        <v>CNCC1CCC(N(C)Cc2ncccc2C)N1c1ccc2ncccc2c1</v>
      </c>
      <c r="C13226" s="7">
        <f>IFERROR(__xludf.DUMMYFUNCTION("""COMPUTED_VALUE"""),7.7548018)</f>
        <v>7.7548018</v>
      </c>
      <c r="D13226" s="7">
        <f>IFERROR(__xludf.DUMMYFUNCTION("""COMPUTED_VALUE"""),0.253731343283582)</f>
        <v>0.2537313433</v>
      </c>
    </row>
    <row r="13227">
      <c r="A13227" s="10" t="s">
        <v>14666</v>
      </c>
      <c r="B13227" s="7" t="str">
        <f>IFERROR(__xludf.DUMMYFUNCTION("SPLIT(A13227,"" "")"),"CN(CCN(Cc1ccccn1)c1ccc2ncccc2c1)CC(C)(C)C")</f>
        <v>CN(CCN(Cc1ccccn1)c1ccc2ncccc2c1)CC(C)(C)C</v>
      </c>
      <c r="C13227" s="7">
        <f>IFERROR(__xludf.DUMMYFUNCTION("""COMPUTED_VALUE"""),7.7548013)</f>
        <v>7.7548013</v>
      </c>
      <c r="D13227" s="7">
        <f>IFERROR(__xludf.DUMMYFUNCTION("""COMPUTED_VALUE"""),0.48)</f>
        <v>0.48</v>
      </c>
    </row>
    <row r="13228">
      <c r="A13228" s="10" t="s">
        <v>14667</v>
      </c>
      <c r="B13228" s="7" t="str">
        <f>IFERROR(__xludf.DUMMYFUNCTION("SPLIT(A13228,"" "")"),"Cc1cc(C)c(CN(C)CC2=C(N(C)Cc3ccccn3)CC=CN2)c(C)c1")</f>
        <v>Cc1cc(C)c(CN(C)CC2=C(N(C)Cc3ccccn3)CC=CN2)c(C)c1</v>
      </c>
      <c r="C13228" s="7">
        <f>IFERROR(__xludf.DUMMYFUNCTION("""COMPUTED_VALUE"""),7.7547975)</f>
        <v>7.7547975</v>
      </c>
      <c r="D13228" s="7">
        <f>IFERROR(__xludf.DUMMYFUNCTION("""COMPUTED_VALUE"""),0.392857142857142)</f>
        <v>0.3928571429</v>
      </c>
    </row>
    <row r="13229">
      <c r="A13229" s="10" t="s">
        <v>14668</v>
      </c>
      <c r="B13229" s="7" t="str">
        <f>IFERROR(__xludf.DUMMYFUNCTION("SPLIT(A13229,"" "")"),"CCc1ccccc1CNCc1cc(C(C)(c2ccccn2)c2ccccn2)ccn1")</f>
        <v>CCc1ccccc1CNCc1cc(C(C)(c2ccccn2)c2ccccn2)ccn1</v>
      </c>
      <c r="C13229" s="7">
        <f>IFERROR(__xludf.DUMMYFUNCTION("""COMPUTED_VALUE"""),7.7547956)</f>
        <v>7.7547956</v>
      </c>
      <c r="D13229" s="7">
        <f>IFERROR(__xludf.DUMMYFUNCTION("""COMPUTED_VALUE"""),0.362068965517241)</f>
        <v>0.3620689655</v>
      </c>
    </row>
    <row r="13230">
      <c r="A13230" s="10" t="s">
        <v>14669</v>
      </c>
      <c r="B13230" s="7" t="str">
        <f>IFERROR(__xludf.DUMMYFUNCTION("SPLIT(A13230,"" "")"),"CC(C)N(Cc1ccccn1)Cc1ncccc1C1=CCC=CN1")</f>
        <v>CC(C)N(Cc1ccccn1)Cc1ncccc1C1=CCC=CN1</v>
      </c>
      <c r="C13230" s="7">
        <f>IFERROR(__xludf.DUMMYFUNCTION("""COMPUTED_VALUE"""),7.754793)</f>
        <v>7.754793</v>
      </c>
      <c r="D13230" s="7">
        <f>IFERROR(__xludf.DUMMYFUNCTION("""COMPUTED_VALUE"""),0.5)</f>
        <v>0.5</v>
      </c>
    </row>
    <row r="13231">
      <c r="A13231" s="10" t="s">
        <v>14670</v>
      </c>
      <c r="B13231" s="7" t="str">
        <f>IFERROR(__xludf.DUMMYFUNCTION("SPLIT(A13231,"" "")"),"Cc1cc(NCc2ccccn2)ccc1C(C)(C)C")</f>
        <v>Cc1cc(NCc2ccccn2)ccc1C(C)(C)C</v>
      </c>
      <c r="C13231" s="7">
        <f>IFERROR(__xludf.DUMMYFUNCTION("""COMPUTED_VALUE"""),7.7547836)</f>
        <v>7.7547836</v>
      </c>
      <c r="D13231" s="7">
        <f>IFERROR(__xludf.DUMMYFUNCTION("""COMPUTED_VALUE"""),0.414634146341463)</f>
        <v>0.4146341463</v>
      </c>
    </row>
    <row r="13232">
      <c r="A13232" s="10" t="s">
        <v>14671</v>
      </c>
      <c r="B13232" s="7" t="str">
        <f>IFERROR(__xludf.DUMMYFUNCTION("SPLIT(A13232,"" "")"),"Cc1cc(CN(Cc2ccccn2)C2CCCC(N(C)c3cccc4nccc(CN(C)C)c34)C2)cnc1C")</f>
        <v>Cc1cc(CN(Cc2ccccn2)C2CCCC(N(C)c3cccc4nccc(CN(C)C)c34)C2)cnc1C</v>
      </c>
      <c r="C13232" s="7">
        <f>IFERROR(__xludf.DUMMYFUNCTION("""COMPUTED_VALUE"""),7.7547784)</f>
        <v>7.7547784</v>
      </c>
      <c r="D13232" s="7">
        <f>IFERROR(__xludf.DUMMYFUNCTION("""COMPUTED_VALUE"""),0.323943661971831)</f>
        <v>0.323943662</v>
      </c>
    </row>
    <row r="13233">
      <c r="A13233" s="10" t="s">
        <v>14672</v>
      </c>
      <c r="B13233" s="7" t="str">
        <f>IFERROR(__xludf.DUMMYFUNCTION("SPLIT(A13233,"" "")"),"Cc1ccc(CN(C)CC2=CCC=C(N(C)Cc3ccccn3)N2)nc1")</f>
        <v>Cc1ccc(CN(C)CC2=CCC=C(N(C)Cc3ccccn3)N2)nc1</v>
      </c>
      <c r="C13233" s="7">
        <f>IFERROR(__xludf.DUMMYFUNCTION("""COMPUTED_VALUE"""),7.7547774)</f>
        <v>7.7547774</v>
      </c>
      <c r="D13233" s="7">
        <f>IFERROR(__xludf.DUMMYFUNCTION("""COMPUTED_VALUE"""),0.44)</f>
        <v>0.44</v>
      </c>
    </row>
    <row r="13234">
      <c r="A13234" s="10" t="s">
        <v>14673</v>
      </c>
      <c r="B13234" s="7" t="str">
        <f>IFERROR(__xludf.DUMMYFUNCTION("SPLIT(A13234,"" "")"),"Cc1cnc(CN(C)Cc2cccc(N(C)C3C=CC=CN3)n2)cc1C")</f>
        <v>Cc1cnc(CN(C)Cc2cccc(N(C)C3C=CC=CN3)n2)cc1C</v>
      </c>
      <c r="C13234" s="7">
        <f>IFERROR(__xludf.DUMMYFUNCTION("""COMPUTED_VALUE"""),7.7547755)</f>
        <v>7.7547755</v>
      </c>
      <c r="D13234" s="7">
        <f>IFERROR(__xludf.DUMMYFUNCTION("""COMPUTED_VALUE"""),0.338983050847457)</f>
        <v>0.3389830508</v>
      </c>
    </row>
    <row r="13235">
      <c r="A13235" s="10" t="s">
        <v>14674</v>
      </c>
      <c r="B13235" s="7" t="str">
        <f>IFERROR(__xludf.DUMMYFUNCTION("SPLIT(A13235,"" "")"),"CCN(Cc1cc(C2=NC(C)(C)CO2)ccn1)Cc1ncc(C)c(C)c1C")</f>
        <v>CCN(Cc1cc(C2=NC(C)(C)CO2)ccn1)Cc1ncc(C)c(C)c1C</v>
      </c>
      <c r="C13235" s="7">
        <f>IFERROR(__xludf.DUMMYFUNCTION("""COMPUTED_VALUE"""),7.7547746)</f>
        <v>7.7547746</v>
      </c>
      <c r="D13235" s="7">
        <f>IFERROR(__xludf.DUMMYFUNCTION("""COMPUTED_VALUE"""),0.305084745762711)</f>
        <v>0.3050847458</v>
      </c>
    </row>
    <row r="13236">
      <c r="A13236" s="10" t="s">
        <v>14675</v>
      </c>
      <c r="B13236" s="7" t="str">
        <f>IFERROR(__xludf.DUMMYFUNCTION("SPLIT(A13236,"" "")"),"Cc1ccnc(CN(C)C2=CCC=C(CN(C)Cc3ccccn3)N2)c1")</f>
        <v>Cc1ccnc(CN(C)C2=CCC=C(CN(C)Cc3ccccn3)N2)c1</v>
      </c>
      <c r="C13236" s="7">
        <f>IFERROR(__xludf.DUMMYFUNCTION("""COMPUTED_VALUE"""),7.754772)</f>
        <v>7.754772</v>
      </c>
      <c r="D13236" s="7">
        <f>IFERROR(__xludf.DUMMYFUNCTION("""COMPUTED_VALUE"""),0.407407407407407)</f>
        <v>0.4074074074</v>
      </c>
    </row>
    <row r="13237">
      <c r="A13237" s="10" t="s">
        <v>14676</v>
      </c>
      <c r="B13237" s="7" t="str">
        <f>IFERROR(__xludf.DUMMYFUNCTION("SPLIT(A13237,"" "")"),"CC1C=CC(c2ncccc2CN(Cc2ccccn2)Cc2ccc(-c3cccc(N=Cc4ccccn4)c3)cn2)C(C)C1C")</f>
        <v>CC1C=CC(c2ncccc2CN(Cc2ccccn2)Cc2ccc(-c3cccc(N=Cc4ccccn4)c3)cn2)C(C)C1C</v>
      </c>
      <c r="C13237" s="7">
        <f>IFERROR(__xludf.DUMMYFUNCTION("""COMPUTED_VALUE"""),7.7547693)</f>
        <v>7.7547693</v>
      </c>
      <c r="D13237" s="7">
        <f>IFERROR(__xludf.DUMMYFUNCTION("""COMPUTED_VALUE"""),0.3125)</f>
        <v>0.3125</v>
      </c>
    </row>
    <row r="13238">
      <c r="A13238" s="10" t="s">
        <v>14677</v>
      </c>
      <c r="B13238" s="7" t="str">
        <f>IFERROR(__xludf.DUMMYFUNCTION("SPLIT(A13238,"" "")"),"Cc1cccc(CN(C)C2=C(CN(C)Cc3nc(C)c(C)c(C)c3C)NC=CC2)n1")</f>
        <v>Cc1cccc(CN(C)C2=C(CN(C)Cc3nc(C)c(C)c(C)c3C)NC=CC2)n1</v>
      </c>
      <c r="C13238" s="7">
        <f>IFERROR(__xludf.DUMMYFUNCTION("""COMPUTED_VALUE"""),7.754761)</f>
        <v>7.754761</v>
      </c>
      <c r="D13238" s="7">
        <f>IFERROR(__xludf.DUMMYFUNCTION("""COMPUTED_VALUE"""),0.388888888888888)</f>
        <v>0.3888888889</v>
      </c>
    </row>
    <row r="13239">
      <c r="A13239" s="10" t="s">
        <v>14678</v>
      </c>
      <c r="B13239" s="7" t="str">
        <f>IFERROR(__xludf.DUMMYFUNCTION("SPLIT(A13239,"" "")"),"Cc1nc(CN(C)C2CCCC(N(C)c3cccc4c(CF)ccnc34)C2)c(C)c(C)c1C")</f>
        <v>Cc1nc(CN(C)C2CCCC(N(C)c3cccc4c(CF)ccnc34)C2)c(C)c(C)c1C</v>
      </c>
      <c r="C13239" s="7">
        <f>IFERROR(__xludf.DUMMYFUNCTION("""COMPUTED_VALUE"""),7.754753)</f>
        <v>7.754753</v>
      </c>
      <c r="D13239" s="7">
        <f>IFERROR(__xludf.DUMMYFUNCTION("""COMPUTED_VALUE"""),0.333333333333333)</f>
        <v>0.3333333333</v>
      </c>
    </row>
    <row r="13240">
      <c r="A13240" s="10" t="s">
        <v>14679</v>
      </c>
      <c r="B13240" s="7" t="str">
        <f>IFERROR(__xludf.DUMMYFUNCTION("SPLIT(A13240,"" "")"),"CN(Cc1cccc(C2=CCC=CN2)n1)C1CCCCC1N(C)c1ccc2cccnc2c1")</f>
        <v>CN(Cc1cccc(C2=CCC=CN2)n1)C1CCCCC1N(C)c1ccc2cccnc2c1</v>
      </c>
      <c r="C13240" s="7">
        <f>IFERROR(__xludf.DUMMYFUNCTION("""COMPUTED_VALUE"""),7.754751)</f>
        <v>7.754751</v>
      </c>
      <c r="D13240" s="7">
        <f>IFERROR(__xludf.DUMMYFUNCTION("""COMPUTED_VALUE"""),0.4)</f>
        <v>0.4</v>
      </c>
    </row>
    <row r="13241">
      <c r="A13241" s="10" t="s">
        <v>14680</v>
      </c>
      <c r="B13241" s="7" t="str">
        <f>IFERROR(__xludf.DUMMYFUNCTION("SPLIT(A13241,"" "")"),"CNCC1=CCC(N(C)Cc2nc(C)c(C)c(C)c2C)=CN1")</f>
        <v>CNCC1=CCC(N(C)Cc2nc(C)c(C)c(C)c2C)=CN1</v>
      </c>
      <c r="C13241" s="7">
        <f>IFERROR(__xludf.DUMMYFUNCTION("""COMPUTED_VALUE"""),7.754746)</f>
        <v>7.754746</v>
      </c>
      <c r="D13241" s="7">
        <f>IFERROR(__xludf.DUMMYFUNCTION("""COMPUTED_VALUE"""),0.180327868852459)</f>
        <v>0.1803278689</v>
      </c>
    </row>
    <row r="13242">
      <c r="A13242" s="10" t="s">
        <v>14681</v>
      </c>
      <c r="B13242" s="7" t="str">
        <f>IFERROR(__xludf.DUMMYFUNCTION("SPLIT(A13242,"" "")"),"CN(Cc1cccc(C2=NC(C)(C)CO2)n1)Cc1ncccc1C(C)(C)C")</f>
        <v>CN(Cc1cccc(C2=NC(C)(C)CO2)n1)Cc1ncccc1C(C)(C)C</v>
      </c>
      <c r="C13242" s="7">
        <f>IFERROR(__xludf.DUMMYFUNCTION("""COMPUTED_VALUE"""),7.7547455)</f>
        <v>7.7547455</v>
      </c>
      <c r="D13242" s="7">
        <f>IFERROR(__xludf.DUMMYFUNCTION("""COMPUTED_VALUE"""),0.48076923076923)</f>
        <v>0.4807692308</v>
      </c>
    </row>
    <row r="13243">
      <c r="A13243" s="10" t="s">
        <v>14682</v>
      </c>
      <c r="B13243" s="7" t="str">
        <f>IFERROR(__xludf.DUMMYFUNCTION("SPLIT(A13243,"" "")"),"CNCC1=CCC(N(C)Cc2nc(C)c(C)cc2C)=CN1")</f>
        <v>CNCC1=CCC(N(C)Cc2nc(C)c(C)cc2C)=CN1</v>
      </c>
      <c r="C13243" s="7">
        <f>IFERROR(__xludf.DUMMYFUNCTION("""COMPUTED_VALUE"""),7.7547426)</f>
        <v>7.7547426</v>
      </c>
      <c r="D13243" s="7">
        <f>IFERROR(__xludf.DUMMYFUNCTION("""COMPUTED_VALUE"""),0.180327868852459)</f>
        <v>0.1803278689</v>
      </c>
    </row>
    <row r="13244">
      <c r="A13244" s="10" t="s">
        <v>14683</v>
      </c>
      <c r="B13244" s="7" t="str">
        <f>IFERROR(__xludf.DUMMYFUNCTION("SPLIT(A13244,"" "")"),"COC(=O)c1cc(CN(Cc2ccccn2)Cc2cccc(C(C)(C)C)n2)ccn1")</f>
        <v>COC(=O)c1cc(CN(Cc2ccccn2)Cc2cccc(C(C)(C)C)n2)ccn1</v>
      </c>
      <c r="C13244" s="7">
        <f>IFERROR(__xludf.DUMMYFUNCTION("""COMPUTED_VALUE"""),7.7547426)</f>
        <v>7.7547426</v>
      </c>
      <c r="D13244" s="7">
        <f>IFERROR(__xludf.DUMMYFUNCTION("""COMPUTED_VALUE"""),0.421875)</f>
        <v>0.421875</v>
      </c>
    </row>
    <row r="13245">
      <c r="A13245" s="10" t="s">
        <v>14684</v>
      </c>
      <c r="B13245" s="7" t="str">
        <f>IFERROR(__xludf.DUMMYFUNCTION("SPLIT(A13245,"" "")"),"Cc1nc(CN(C)CC2=CCC(N(C)Cc3ccccn3)=CN2)c(C)c(C)c1C")</f>
        <v>Cc1nc(CN(C)CC2=CCC(N(C)Cc3ccccn3)=CN2)c(C)c(C)c1C</v>
      </c>
      <c r="C13245" s="7">
        <f>IFERROR(__xludf.DUMMYFUNCTION("""COMPUTED_VALUE"""),7.754736)</f>
        <v>7.754736</v>
      </c>
      <c r="D13245" s="7">
        <f>IFERROR(__xludf.DUMMYFUNCTION("""COMPUTED_VALUE"""),0.372881355932203)</f>
        <v>0.3728813559</v>
      </c>
    </row>
    <row r="13246">
      <c r="A13246" s="10" t="s">
        <v>14685</v>
      </c>
      <c r="B13246" s="7" t="str">
        <f>IFERROR(__xludf.DUMMYFUNCTION("SPLIT(A13246,"" "")"),"CCCN(Cc1ccccn1)c1ccc(C)c(CN(Cc2ccccn2)Cc2nc(C)c(C)c(C)c2C)c1C")</f>
        <v>CCCN(Cc1ccccn1)c1ccc(C)c(CN(Cc2ccccn2)Cc2nc(C)c(C)c(C)c2C)c1C</v>
      </c>
      <c r="C13246" s="7">
        <f>IFERROR(__xludf.DUMMYFUNCTION("""COMPUTED_VALUE"""),7.754734)</f>
        <v>7.754734</v>
      </c>
      <c r="D13246" s="7">
        <f>IFERROR(__xludf.DUMMYFUNCTION("""COMPUTED_VALUE"""),0.392156862745098)</f>
        <v>0.3921568627</v>
      </c>
    </row>
    <row r="13247">
      <c r="A13247" s="10" t="s">
        <v>14686</v>
      </c>
      <c r="B13247" s="7" t="str">
        <f>IFERROR(__xludf.DUMMYFUNCTION("SPLIT(A13247,"" "")"),"CN(Cc1ccccn1)C1=CNC=CC1SCc1ccccn1")</f>
        <v>CN(Cc1ccccn1)C1=CNC=CC1SCc1ccccn1</v>
      </c>
      <c r="C13247" s="7">
        <f>IFERROR(__xludf.DUMMYFUNCTION("""COMPUTED_VALUE"""),7.7547307)</f>
        <v>7.7547307</v>
      </c>
      <c r="D13247" s="7">
        <f>IFERROR(__xludf.DUMMYFUNCTION("""COMPUTED_VALUE"""),0.42)</f>
        <v>0.42</v>
      </c>
    </row>
    <row r="13248">
      <c r="A13248" s="10" t="s">
        <v>14687</v>
      </c>
      <c r="B13248" s="7" t="str">
        <f>IFERROR(__xludf.DUMMYFUNCTION("SPLIT(A13248,"" "")"),"Cc1cccc(N(Cc2ccccn2)C2CCC(N(C)c3ccc4nc(CF)ccc4c3)CC2)c1")</f>
        <v>Cc1cccc(N(Cc2ccccn2)C2CCC(N(C)c3ccc4nc(CF)ccc4c3)CC2)c1</v>
      </c>
      <c r="C13248" s="7">
        <f>IFERROR(__xludf.DUMMYFUNCTION("""COMPUTED_VALUE"""),7.754719)</f>
        <v>7.754719</v>
      </c>
      <c r="D13248" s="7">
        <f>IFERROR(__xludf.DUMMYFUNCTION("""COMPUTED_VALUE"""),0.365079365079365)</f>
        <v>0.3650793651</v>
      </c>
    </row>
    <row r="13249">
      <c r="A13249" s="10" t="s">
        <v>14688</v>
      </c>
      <c r="B13249" s="7" t="str">
        <f>IFERROR(__xludf.DUMMYFUNCTION("SPLIT(A13249,"" "")"),"Cc1ccc(C(C)(c2ccccn2)N(C)Cc2ccccn2)c(N)c1")</f>
        <v>Cc1ccc(C(C)(c2ccccn2)N(C)Cc2ccccn2)c(N)c1</v>
      </c>
      <c r="C13249" s="7">
        <f>IFERROR(__xludf.DUMMYFUNCTION("""COMPUTED_VALUE"""),7.7547154)</f>
        <v>7.7547154</v>
      </c>
      <c r="D13249" s="7">
        <f>IFERROR(__xludf.DUMMYFUNCTION("""COMPUTED_VALUE"""),0.42)</f>
        <v>0.42</v>
      </c>
    </row>
    <row r="13250">
      <c r="A13250" s="10" t="s">
        <v>14689</v>
      </c>
      <c r="B13250" s="7" t="str">
        <f>IFERROR(__xludf.DUMMYFUNCTION("SPLIT(A13250,"" "")"),"CC(C)NCc1ncccc1CN(Cc1ccccn1)Cc1ccc(-c2cccc(N)c2)cn1")</f>
        <v>CC(C)NCc1ncccc1CN(Cc1ccccn1)Cc1ccc(-c2cccc(N)c2)cn1</v>
      </c>
      <c r="C13250" s="7">
        <f>IFERROR(__xludf.DUMMYFUNCTION("""COMPUTED_VALUE"""),7.754714)</f>
        <v>7.754714</v>
      </c>
      <c r="D13250" s="7">
        <f>IFERROR(__xludf.DUMMYFUNCTION("""COMPUTED_VALUE"""),0.363636363636363)</f>
        <v>0.3636363636</v>
      </c>
    </row>
    <row r="13251">
      <c r="A13251" s="10" t="s">
        <v>14690</v>
      </c>
      <c r="B13251" s="7" t="str">
        <f>IFERROR(__xludf.DUMMYFUNCTION("SPLIT(A13251,"" "")"),"Cc1cnc(CN(C)C2=CNC(CN(C)Cc3ccccn3)=CC2)c(C)c1")</f>
        <v>Cc1cnc(CN(C)C2=CNC(CN(C)Cc3ccccn3)=CC2)c(C)c1</v>
      </c>
      <c r="C13251" s="7">
        <f>IFERROR(__xludf.DUMMYFUNCTION("""COMPUTED_VALUE"""),7.754707)</f>
        <v>7.754707</v>
      </c>
      <c r="D13251" s="7">
        <f>IFERROR(__xludf.DUMMYFUNCTION("""COMPUTED_VALUE"""),0.383333333333333)</f>
        <v>0.3833333333</v>
      </c>
    </row>
    <row r="13252">
      <c r="A13252" s="10" t="s">
        <v>14691</v>
      </c>
      <c r="B13252" s="7" t="str">
        <f>IFERROR(__xludf.DUMMYFUNCTION("SPLIT(A13252,"" "")"),"Cc1cccc(CN(C)CC2=CCC(N(C)Cc3ccc(C)c(C)n3)=CN2)n1")</f>
        <v>Cc1cccc(CN(C)CC2=CCC(N(C)Cc3ccc(C)c(C)n3)=CN2)n1</v>
      </c>
      <c r="C13252" s="7">
        <f>IFERROR(__xludf.DUMMYFUNCTION("""COMPUTED_VALUE"""),7.7547035)</f>
        <v>7.7547035</v>
      </c>
      <c r="D13252" s="7">
        <f>IFERROR(__xludf.DUMMYFUNCTION("""COMPUTED_VALUE"""),0.44)</f>
        <v>0.44</v>
      </c>
    </row>
    <row r="13253">
      <c r="A13253" s="10" t="s">
        <v>14692</v>
      </c>
      <c r="B13253" s="7" t="str">
        <f>IFERROR(__xludf.DUMMYFUNCTION("SPLIT(A13253,"" "")"),"Cc1cccnc1CN(C)CCN(C)Cc1cccc2ncccc12")</f>
        <v>Cc1cccnc1CN(C)CCN(C)Cc1cccc2ncccc12</v>
      </c>
      <c r="C13253" s="7">
        <f>IFERROR(__xludf.DUMMYFUNCTION("""COMPUTED_VALUE"""),7.7546988)</f>
        <v>7.7546988</v>
      </c>
      <c r="D13253" s="7">
        <f>IFERROR(__xludf.DUMMYFUNCTION("""COMPUTED_VALUE"""),0.5)</f>
        <v>0.5</v>
      </c>
    </row>
    <row r="13254">
      <c r="A13254" s="10" t="s">
        <v>14693</v>
      </c>
      <c r="B13254" s="7" t="str">
        <f>IFERROR(__xludf.DUMMYFUNCTION("SPLIT(A13254,"" "")"),"Cc1cc(CN(C)C2=CNC(CN(C)Cc3ccccn3)=CC2)nc(C)c1C")</f>
        <v>Cc1cc(CN(C)C2=CNC(CN(C)Cc3ccccn3)=CC2)nc(C)c1C</v>
      </c>
      <c r="C13254" s="7">
        <f>IFERROR(__xludf.DUMMYFUNCTION("""COMPUTED_VALUE"""),7.7546945)</f>
        <v>7.7546945</v>
      </c>
      <c r="D13254" s="7">
        <f>IFERROR(__xludf.DUMMYFUNCTION("""COMPUTED_VALUE"""),0.389830508474576)</f>
        <v>0.3898305085</v>
      </c>
    </row>
    <row r="13255">
      <c r="A13255" s="10" t="s">
        <v>14694</v>
      </c>
      <c r="B13255" s="7" t="str">
        <f>IFERROR(__xludf.DUMMYFUNCTION("SPLIT(A13255,"" "")"),"CC1=CC(C)CC(C)C1CN(C)Cc1cc(-c2cccc(N=Cc3ccccn3)c2)ccn1")</f>
        <v>CC1=CC(C)CC(C)C1CN(C)Cc1cc(-c2cccc(N=Cc3ccccn3)c2)ccn1</v>
      </c>
      <c r="C13255" s="7">
        <f>IFERROR(__xludf.DUMMYFUNCTION("""COMPUTED_VALUE"""),7.7546935)</f>
        <v>7.7546935</v>
      </c>
      <c r="D13255" s="7">
        <f>IFERROR(__xludf.DUMMYFUNCTION("""COMPUTED_VALUE"""),0.314285714285714)</f>
        <v>0.3142857143</v>
      </c>
    </row>
    <row r="13256">
      <c r="A13256" s="10" t="s">
        <v>14695</v>
      </c>
      <c r="B13256" s="7" t="str">
        <f>IFERROR(__xludf.DUMMYFUNCTION("SPLIT(A13256,"" "")"),"CC(C)N(C)Cc1ccc2cc(N(C)C3CC4CCC3C4N(C)Cc3ccc4ncccc4c3)ccc2n1")</f>
        <v>CC(C)N(C)Cc1ccc2cc(N(C)C3CC4CCC3C4N(C)Cc3ccc4ncccc4c3)ccc2n1</v>
      </c>
      <c r="C13256" s="7">
        <f>IFERROR(__xludf.DUMMYFUNCTION("""COMPUTED_VALUE"""),7.7546935)</f>
        <v>7.7546935</v>
      </c>
      <c r="D13256" s="7">
        <f>IFERROR(__xludf.DUMMYFUNCTION("""COMPUTED_VALUE"""),0.357142857142857)</f>
        <v>0.3571428571</v>
      </c>
    </row>
    <row r="13257">
      <c r="A13257" s="10" t="s">
        <v>14696</v>
      </c>
      <c r="B13257" s="7" t="str">
        <f>IFERROR(__xludf.DUMMYFUNCTION("SPLIT(A13257,"" "")"),"Cc1cnc(CN(C)CC2=CCC(N(C)Cc3ccccn3)=CN2)c(C)c1")</f>
        <v>Cc1cnc(CN(C)CC2=CCC(N(C)Cc3ccccn3)=CN2)c(C)c1</v>
      </c>
      <c r="C13257" s="7">
        <f>IFERROR(__xludf.DUMMYFUNCTION("""COMPUTED_VALUE"""),7.754686)</f>
        <v>7.754686</v>
      </c>
      <c r="D13257" s="7">
        <f>IFERROR(__xludf.DUMMYFUNCTION("""COMPUTED_VALUE"""),0.372881355932203)</f>
        <v>0.3728813559</v>
      </c>
    </row>
    <row r="13258">
      <c r="A13258" s="10" t="s">
        <v>14697</v>
      </c>
      <c r="B13258" s="7" t="str">
        <f>IFERROR(__xludf.DUMMYFUNCTION("SPLIT(A13258,"" "")"),"CCN(Cc1ccccn1)C1=CCC=C(CN(C)C(C)(c2cccnc2)c2ccccn2)N1")</f>
        <v>CCN(Cc1ccccn1)C1=CCC=C(CN(C)C(C)(c2cccnc2)c2ccccn2)N1</v>
      </c>
      <c r="C13258" s="7">
        <f>IFERROR(__xludf.DUMMYFUNCTION("""COMPUTED_VALUE"""),7.7546763)</f>
        <v>7.7546763</v>
      </c>
      <c r="D13258" s="7">
        <f>IFERROR(__xludf.DUMMYFUNCTION("""COMPUTED_VALUE"""),0.333333333333333)</f>
        <v>0.3333333333</v>
      </c>
    </row>
    <row r="13259">
      <c r="A13259" s="10" t="s">
        <v>14698</v>
      </c>
      <c r="B13259" s="7" t="str">
        <f>IFERROR(__xludf.DUMMYFUNCTION("SPLIT(A13259,"" "")"),"CC1=CCC(C)C2(C1C)C(c1cccc(CN(C)Cc3cc(N)ccn3)n1)C=CC(C)C2c1cccc(CN(Cc2ccccn2)Cc2cccc(-c3cccc(N)c3N)n2)n1")</f>
        <v>CC1=CCC(C)C2(C1C)C(c1cccc(CN(C)Cc3cc(N)ccn3)n1)C=CC(C)C2c1cccc(CN(Cc2ccccn2)Cc2cccc(-c3cccc(N)c3N)n2)n1</v>
      </c>
      <c r="C13259" s="7">
        <f>IFERROR(__xludf.DUMMYFUNCTION("""COMPUTED_VALUE"""),7.7546606)</f>
        <v>7.7546606</v>
      </c>
      <c r="D13259" s="7">
        <f>IFERROR(__xludf.DUMMYFUNCTION("""COMPUTED_VALUE"""),0.345679012345679)</f>
        <v>0.3456790123</v>
      </c>
    </row>
    <row r="13260">
      <c r="A13260" s="10" t="s">
        <v>14699</v>
      </c>
      <c r="B13260" s="7" t="str">
        <f>IFERROR(__xludf.DUMMYFUNCTION("SPLIT(A13260,"" "")"),"Cc1cccc(CN(CCF)Cc2cccc(-c3cccc(NCc4ccccn4)c3)n2)n1")</f>
        <v>Cc1cccc(CN(CCF)Cc2cccc(-c3cccc(NCc4ccccn4)c3)n2)n1</v>
      </c>
      <c r="C13260" s="7">
        <f>IFERROR(__xludf.DUMMYFUNCTION("""COMPUTED_VALUE"""),7.754656)</f>
        <v>7.754656</v>
      </c>
      <c r="D13260" s="7">
        <f>IFERROR(__xludf.DUMMYFUNCTION("""COMPUTED_VALUE"""),0.483870967741935)</f>
        <v>0.4838709677</v>
      </c>
    </row>
    <row r="13261">
      <c r="A13261" s="10" t="s">
        <v>14700</v>
      </c>
      <c r="B13261" s="7" t="str">
        <f>IFERROR(__xludf.DUMMYFUNCTION("SPLIT(A13261,"" "")"),"CNCc1ncccc1CN(Cc1nc(C)c(C)c(C)c1C)Cc1nc(C)c(C)c(C)c1C")</f>
        <v>CNCc1ncccc1CN(Cc1nc(C)c(C)c(C)c1C)Cc1nc(C)c(C)c(C)c1C</v>
      </c>
      <c r="C13261" s="7">
        <f>IFERROR(__xludf.DUMMYFUNCTION("""COMPUTED_VALUE"""),7.7546554)</f>
        <v>7.7546554</v>
      </c>
      <c r="D13261" s="7">
        <f>IFERROR(__xludf.DUMMYFUNCTION("""COMPUTED_VALUE"""),0.307692307692307)</f>
        <v>0.3076923077</v>
      </c>
    </row>
    <row r="13262">
      <c r="A13262" s="10" t="s">
        <v>14701</v>
      </c>
      <c r="B13262" s="7" t="str">
        <f>IFERROR(__xludf.DUMMYFUNCTION("SPLIT(A13262,"" "")"),"Cc1cccnc1CN(C)C1CCCC(N(C)Cc2cc(-c3ccc4cccnc4c3)ccn2)C1")</f>
        <v>Cc1cccnc1CN(C)C1CCCC(N(C)Cc2cc(-c3ccc4cccnc4c3)ccn2)C1</v>
      </c>
      <c r="C13262" s="7">
        <f>IFERROR(__xludf.DUMMYFUNCTION("""COMPUTED_VALUE"""),7.7546544)</f>
        <v>7.7546544</v>
      </c>
      <c r="D13262" s="7">
        <f>IFERROR(__xludf.DUMMYFUNCTION("""COMPUTED_VALUE"""),0.344262295081967)</f>
        <v>0.3442622951</v>
      </c>
    </row>
    <row r="13263">
      <c r="A13263" s="10" t="s">
        <v>14702</v>
      </c>
      <c r="B13263" s="7" t="str">
        <f>IFERROR(__xludf.DUMMYFUNCTION("SPLIT(A13263,"" "")"),"Cc1ccncc1C(C)(C)N(C)c1cccnc1CN(C)Cc1ncccc1C")</f>
        <v>Cc1ccncc1C(C)(C)N(C)c1cccnc1CN(C)Cc1ncccc1C</v>
      </c>
      <c r="C13263" s="7">
        <f>IFERROR(__xludf.DUMMYFUNCTION("""COMPUTED_VALUE"""),7.754649)</f>
        <v>7.754649</v>
      </c>
      <c r="D13263" s="7">
        <f>IFERROR(__xludf.DUMMYFUNCTION("""COMPUTED_VALUE"""),0.272727272727272)</f>
        <v>0.2727272727</v>
      </c>
    </row>
    <row r="13264">
      <c r="A13264" s="10" t="s">
        <v>14703</v>
      </c>
      <c r="B13264" s="7" t="str">
        <f>IFERROR(__xludf.DUMMYFUNCTION("SPLIT(A13264,"" "")"),"Cc1ccc2ccc(N(Cc3ccccn3)C3CCC(N(C)Cc4ncc(C)c(C)c4C)CC3)cc2n1")</f>
        <v>Cc1ccc2ccc(N(Cc3ccccn3)C3CCC(N(C)Cc4ncc(C)c(C)c4C)CC3)cc2n1</v>
      </c>
      <c r="C13264" s="7">
        <f>IFERROR(__xludf.DUMMYFUNCTION("""COMPUTED_VALUE"""),7.7546487)</f>
        <v>7.7546487</v>
      </c>
      <c r="D13264" s="7">
        <f>IFERROR(__xludf.DUMMYFUNCTION("""COMPUTED_VALUE"""),0.365079365079365)</f>
        <v>0.3650793651</v>
      </c>
    </row>
    <row r="13265">
      <c r="A13265" s="10" t="s">
        <v>14704</v>
      </c>
      <c r="B13265" s="7" t="str">
        <f>IFERROR(__xludf.DUMMYFUNCTION("SPLIT(A13265,"" "")"),"Cc1cccnc1CN(CC1=CCC(N(C)Cc2cncc(C)c2C)=CN1)Cc1ccccn1")</f>
        <v>Cc1cccnc1CN(CC1=CCC(N(C)Cc2cncc(C)c2C)=CN1)Cc1ccccn1</v>
      </c>
      <c r="C13265" s="7">
        <f>IFERROR(__xludf.DUMMYFUNCTION("""COMPUTED_VALUE"""),7.7546453)</f>
        <v>7.7546453</v>
      </c>
      <c r="D13265" s="7">
        <f>IFERROR(__xludf.DUMMYFUNCTION("""COMPUTED_VALUE"""),0.402985074626865)</f>
        <v>0.4029850746</v>
      </c>
    </row>
    <row r="13266">
      <c r="A13266" s="10" t="s">
        <v>14705</v>
      </c>
      <c r="B13266" s="7" t="str">
        <f>IFERROR(__xludf.DUMMYFUNCTION("SPLIT(A13266,"" "")"),"Cc1ccccc1N(Cc1ccccn1)C1CCC(N(C)c2ccc3ncccc3c2)CC1")</f>
        <v>Cc1ccccc1N(Cc1ccccn1)C1CCC(N(C)c2ccc3ncccc3c2)CC1</v>
      </c>
      <c r="C13266" s="7">
        <f>IFERROR(__xludf.DUMMYFUNCTION("""COMPUTED_VALUE"""),7.754636)</f>
        <v>7.754636</v>
      </c>
      <c r="D13266" s="7">
        <f>IFERROR(__xludf.DUMMYFUNCTION("""COMPUTED_VALUE"""),0.385964912280701)</f>
        <v>0.3859649123</v>
      </c>
    </row>
    <row r="13267">
      <c r="A13267" s="10" t="s">
        <v>14706</v>
      </c>
      <c r="B13267" s="7" t="str">
        <f>IFERROR(__xludf.DUMMYFUNCTION("SPLIT(A13267,"" "")"),"Cc1cccc(CN(C)C2=CNC(CN(C)Cc3nccc(C)c3C)=CC2)n1")</f>
        <v>Cc1cccc(CN(C)C2=CNC(CN(C)Cc3nccc(C)c3C)=CC2)n1</v>
      </c>
      <c r="C13267" s="7">
        <f>IFERROR(__xludf.DUMMYFUNCTION("""COMPUTED_VALUE"""),7.7546315)</f>
        <v>7.7546315</v>
      </c>
      <c r="D13267" s="7">
        <f>IFERROR(__xludf.DUMMYFUNCTION("""COMPUTED_VALUE"""),0.381818181818181)</f>
        <v>0.3818181818</v>
      </c>
    </row>
    <row r="13268">
      <c r="A13268" s="10" t="s">
        <v>14707</v>
      </c>
      <c r="B13268" s="7" t="str">
        <f>IFERROR(__xludf.DUMMYFUNCTION("SPLIT(A13268,"" "")"),"CC1(C)C=Cc2ccc(CN(Cc3cccnc3C3OC=NC3(C)C)Cc3ncccc3C(C)(C)C)nc2C1")</f>
        <v>CC1(C)C=Cc2ccc(CN(Cc3cccnc3C3OC=NC3(C)C)Cc3ncccc3C(C)(C)C)nc2C1</v>
      </c>
      <c r="C13268" s="7">
        <f>IFERROR(__xludf.DUMMYFUNCTION("""COMPUTED_VALUE"""),7.7546277)</f>
        <v>7.7546277</v>
      </c>
      <c r="D13268" s="7">
        <f>IFERROR(__xludf.DUMMYFUNCTION("""COMPUTED_VALUE"""),0.243589743589743)</f>
        <v>0.2435897436</v>
      </c>
    </row>
    <row r="13269">
      <c r="A13269" s="10" t="s">
        <v>14708</v>
      </c>
      <c r="B13269" s="7" t="str">
        <f>IFERROR(__xludf.DUMMYFUNCTION("SPLIT(A13269,"" "")"),"CC1CC(C)C1CN(Cc1ccccn1)Cc1ncccc1-c1cccc(N=Cc2ccccn2)c1")</f>
        <v>CC1CC(C)C1CN(Cc1ccccn1)Cc1ncccc1-c1cccc(N=Cc2ccccn2)c1</v>
      </c>
      <c r="C13269" s="7">
        <f>IFERROR(__xludf.DUMMYFUNCTION("""COMPUTED_VALUE"""),7.7546234)</f>
        <v>7.7546234</v>
      </c>
      <c r="D13269" s="7">
        <f>IFERROR(__xludf.DUMMYFUNCTION("""COMPUTED_VALUE"""),0.356164383561643)</f>
        <v>0.3561643836</v>
      </c>
    </row>
    <row r="13270">
      <c r="A13270" s="10" t="s">
        <v>14709</v>
      </c>
      <c r="B13270" s="7" t="str">
        <f>IFERROR(__xludf.DUMMYFUNCTION("SPLIT(A13270,"" "")"),"CC(C)(c1cccc(NCc2ccccn2)c1)c1ccccn1")</f>
        <v>CC(C)(c1cccc(NCc2ccccn2)c1)c1ccccn1</v>
      </c>
      <c r="C13270" s="7">
        <f>IFERROR(__xludf.DUMMYFUNCTION("""COMPUTED_VALUE"""),7.7546215)</f>
        <v>7.7546215</v>
      </c>
      <c r="D13270" s="7">
        <f>IFERROR(__xludf.DUMMYFUNCTION("""COMPUTED_VALUE"""),0.395348837209302)</f>
        <v>0.3953488372</v>
      </c>
    </row>
    <row r="13271">
      <c r="A13271" s="10" t="s">
        <v>14710</v>
      </c>
      <c r="B13271" s="7" t="str">
        <f>IFERROR(__xludf.DUMMYFUNCTION("SPLIT(A13271,"" "")"),"Cc1cnc(CN(C)C2=C(CN(C)Cc3ccnc(C)c3C)NC=CC2)c(C)c1C")</f>
        <v>Cc1cnc(CN(C)C2=C(CN(C)Cc3ccnc(C)c3C)NC=CC2)c(C)c1C</v>
      </c>
      <c r="C13271" s="7">
        <f>IFERROR(__xludf.DUMMYFUNCTION("""COMPUTED_VALUE"""),7.7546196)</f>
        <v>7.7546196</v>
      </c>
      <c r="D13271" s="7">
        <f>IFERROR(__xludf.DUMMYFUNCTION("""COMPUTED_VALUE"""),0.228571428571428)</f>
        <v>0.2285714286</v>
      </c>
    </row>
    <row r="13272">
      <c r="A13272" s="10" t="s">
        <v>14711</v>
      </c>
      <c r="B13272" s="7" t="str">
        <f>IFERROR(__xludf.DUMMYFUNCTION("SPLIT(A13272,"" "")"),"CC1=CC(C)CC(C)C1NCc1cccc(CN(Cc2ccccn2)Cc2cccc(-c3cccc(N=Cc4ccccn4)c3)n2)n1")</f>
        <v>CC1=CC(C)CC(C)C1NCc1cccc(CN(Cc2ccccn2)Cc2cccc(-c3cccc(N=Cc4ccccn4)c3)n2)n1</v>
      </c>
      <c r="C13272" s="7">
        <f>IFERROR(__xludf.DUMMYFUNCTION("""COMPUTED_VALUE"""),7.754611)</f>
        <v>7.754611</v>
      </c>
      <c r="D13272" s="7">
        <f>IFERROR(__xludf.DUMMYFUNCTION("""COMPUTED_VALUE"""),0.415584415584415)</f>
        <v>0.4155844156</v>
      </c>
    </row>
    <row r="13273">
      <c r="A13273" s="10" t="s">
        <v>14712</v>
      </c>
      <c r="B13273" s="7" t="str">
        <f>IFERROR(__xludf.DUMMYFUNCTION("SPLIT(A13273,"" "")"),"CC(C)N(C)Cc1ccnc2cccc(N(Cc3ccccn3)CN(C)C(C)C)c12")</f>
        <v>CC(C)N(C)Cc1ccnc2cccc(N(Cc3ccccn3)CN(C)C(C)C)c12</v>
      </c>
      <c r="C13273" s="7">
        <f>IFERROR(__xludf.DUMMYFUNCTION("""COMPUTED_VALUE"""),7.75461)</f>
        <v>7.75461</v>
      </c>
      <c r="D13273" s="7">
        <f>IFERROR(__xludf.DUMMYFUNCTION("""COMPUTED_VALUE"""),0.403846153846153)</f>
        <v>0.4038461538</v>
      </c>
    </row>
    <row r="13274">
      <c r="A13274" s="10" t="s">
        <v>14713</v>
      </c>
      <c r="B13274" s="7" t="str">
        <f>IFERROR(__xludf.DUMMYFUNCTION("SPLIT(A13274,"" "")"),"CN(CCN(C)C(C)(C)C)c1cccc2nc(CF)ccc12")</f>
        <v>CN(CCN(C)C(C)(C)C)c1cccc2nc(CF)ccc12</v>
      </c>
      <c r="C13274" s="7">
        <f>IFERROR(__xludf.DUMMYFUNCTION("""COMPUTED_VALUE"""),7.7546024)</f>
        <v>7.7546024</v>
      </c>
      <c r="D13274" s="7">
        <f>IFERROR(__xludf.DUMMYFUNCTION("""COMPUTED_VALUE"""),0.375)</f>
        <v>0.375</v>
      </c>
    </row>
    <row r="13275">
      <c r="A13275" s="10" t="s">
        <v>14714</v>
      </c>
      <c r="B13275" s="7" t="str">
        <f>IFERROR(__xludf.DUMMYFUNCTION("SPLIT(A13275,"" "")"),"Cc1ccc2c(N(Cc3ccccn3)C3CCCC(N(C)Cc4cc(C)c(C)cn4)C3)cccc2n1")</f>
        <v>Cc1ccc2c(N(Cc3ccccn3)C3CCCC(N(C)Cc4cc(C)c(C)cn4)C3)cccc2n1</v>
      </c>
      <c r="C13275" s="7">
        <f>IFERROR(__xludf.DUMMYFUNCTION("""COMPUTED_VALUE"""),7.754602)</f>
        <v>7.754602</v>
      </c>
      <c r="D13275" s="7">
        <f>IFERROR(__xludf.DUMMYFUNCTION("""COMPUTED_VALUE"""),0.390625)</f>
        <v>0.390625</v>
      </c>
    </row>
    <row r="13276">
      <c r="A13276" s="10" t="s">
        <v>14715</v>
      </c>
      <c r="B13276" s="7" t="str">
        <f>IFERROR(__xludf.DUMMYFUNCTION("SPLIT(A13276,"" "")"),"Cc1cc(C)c(C)c(CN(C)C2=CNC(CN(C)Cc3ncccc3C)=CC2)n1")</f>
        <v>Cc1cc(C)c(C)c(CN(C)C2=CNC(CN(C)Cc3ncccc3C)=CC2)n1</v>
      </c>
      <c r="C13276" s="7">
        <f>IFERROR(__xludf.DUMMYFUNCTION("""COMPUTED_VALUE"""),7.7545986)</f>
        <v>7.7545986</v>
      </c>
      <c r="D13276" s="7">
        <f>IFERROR(__xludf.DUMMYFUNCTION("""COMPUTED_VALUE"""),0.25)</f>
        <v>0.25</v>
      </c>
    </row>
    <row r="13277">
      <c r="A13277" s="10" t="s">
        <v>14716</v>
      </c>
      <c r="B13277" s="7" t="str">
        <f>IFERROR(__xludf.DUMMYFUNCTION("SPLIT(A13277,"" "")"),"Cc1cccnc1CN(C)Cc1ncccc1N(C)C1C=CC=CN1")</f>
        <v>Cc1cccnc1CN(C)Cc1ncccc1N(C)C1C=CC=CN1</v>
      </c>
      <c r="C13277" s="7">
        <f>IFERROR(__xludf.DUMMYFUNCTION("""COMPUTED_VALUE"""),7.754594)</f>
        <v>7.754594</v>
      </c>
      <c r="D13277" s="7">
        <f>IFERROR(__xludf.DUMMYFUNCTION("""COMPUTED_VALUE"""),0.344827586206896)</f>
        <v>0.3448275862</v>
      </c>
    </row>
    <row r="13278">
      <c r="A13278" s="10" t="s">
        <v>14717</v>
      </c>
      <c r="B13278" s="7" t="str">
        <f>IFERROR(__xludf.DUMMYFUNCTION("SPLIT(A13278,"" "")"),"Cc1cc(CN(Cc2ccccn2)C2CCCC(N(C)c3ccc4nccc(CN(C)C)c4c3)C2)cnc1C")</f>
        <v>Cc1cc(CN(Cc2ccccn2)C2CCCC(N(C)c3ccc4nccc(CN(C)C)c4c3)C2)cnc1C</v>
      </c>
      <c r="C13278" s="7">
        <f>IFERROR(__xludf.DUMMYFUNCTION("""COMPUTED_VALUE"""),7.754592)</f>
        <v>7.754592</v>
      </c>
      <c r="D13278" s="7">
        <f>IFERROR(__xludf.DUMMYFUNCTION("""COMPUTED_VALUE"""),0.323943661971831)</f>
        <v>0.323943662</v>
      </c>
    </row>
    <row r="13279">
      <c r="A13279" s="10" t="s">
        <v>14718</v>
      </c>
      <c r="B13279" s="7" t="str">
        <f>IFERROR(__xludf.DUMMYFUNCTION("SPLIT(A13279,"" "")"),"CNc1cccnc1CN(Cc1cc(C)ccn1)C1CCC(N(C)c2ccc3nccc(CF)c3c2)CC1")</f>
        <v>CNc1cccnc1CN(Cc1cc(C)ccn1)C1CCC(N(C)c2ccc3nccc(CF)c3c2)CC1</v>
      </c>
      <c r="C13279" s="7">
        <f>IFERROR(__xludf.DUMMYFUNCTION("""COMPUTED_VALUE"""),7.754577)</f>
        <v>7.754577</v>
      </c>
      <c r="D13279" s="7">
        <f>IFERROR(__xludf.DUMMYFUNCTION("""COMPUTED_VALUE"""),0.236842105263157)</f>
        <v>0.2368421053</v>
      </c>
    </row>
    <row r="13280">
      <c r="A13280" s="10" t="s">
        <v>14719</v>
      </c>
      <c r="B13280" s="7" t="str">
        <f>IFERROR(__xludf.DUMMYFUNCTION("SPLIT(A13280,"" "")"),"CN(CCN(C)c1cccc2nc(CF)ccc12)CC(C)(C)C")</f>
        <v>CN(CCN(C)c1cccc2nc(CF)ccc12)CC(C)(C)C</v>
      </c>
      <c r="C13280" s="7">
        <f>IFERROR(__xludf.DUMMYFUNCTION("""COMPUTED_VALUE"""),7.7545705)</f>
        <v>7.7545705</v>
      </c>
      <c r="D13280" s="7">
        <f>IFERROR(__xludf.DUMMYFUNCTION("""COMPUTED_VALUE"""),0.36734693877551)</f>
        <v>0.3673469388</v>
      </c>
    </row>
    <row r="13281">
      <c r="A13281" s="10" t="s">
        <v>14720</v>
      </c>
      <c r="B13281" s="7" t="str">
        <f>IFERROR(__xludf.DUMMYFUNCTION("SPLIT(A13281,"" "")"),"C=CCN(C)Cc1ncccc1C(C)(c1ccccn1)c1ccccn1")</f>
        <v>C=CCN(C)Cc1ncccc1C(C)(c1ccccn1)c1ccccn1</v>
      </c>
      <c r="C13281" s="7">
        <f>IFERROR(__xludf.DUMMYFUNCTION("""COMPUTED_VALUE"""),7.754566)</f>
        <v>7.754566</v>
      </c>
      <c r="D13281" s="7">
        <f>IFERROR(__xludf.DUMMYFUNCTION("""COMPUTED_VALUE"""),0.365384615384615)</f>
        <v>0.3653846154</v>
      </c>
    </row>
    <row r="13282">
      <c r="A13282" s="10" t="s">
        <v>14721</v>
      </c>
      <c r="B13282" s="7" t="str">
        <f>IFERROR(__xludf.DUMMYFUNCTION("SPLIT(A13282,"" "")"),"CCN(CCN(C)Cc1cc(C)ccn1)c1cccc2nc(CF)c(CF)c(CF)c12")</f>
        <v>CCN(CCN(C)Cc1cc(C)ccn1)c1cccc2nc(CF)c(CF)c(CF)c12</v>
      </c>
      <c r="C13282" s="7">
        <f>IFERROR(__xludf.DUMMYFUNCTION("""COMPUTED_VALUE"""),7.754557)</f>
        <v>7.754557</v>
      </c>
      <c r="D13282" s="7">
        <f>IFERROR(__xludf.DUMMYFUNCTION("""COMPUTED_VALUE"""),0.322033898305084)</f>
        <v>0.3220338983</v>
      </c>
    </row>
    <row r="13283">
      <c r="A13283" s="10" t="s">
        <v>14722</v>
      </c>
      <c r="B13283" s="7" t="str">
        <f>IFERROR(__xludf.DUMMYFUNCTION("SPLIT(A13283,"" "")"),"Cc1cnc(-c2cccc(NCc3ccc(-c4ccc5c(c4)OCCOCCOCCOCCOCCO5)cn3)c2)c(-c2cccc(N(C)C)c2)c1")</f>
        <v>Cc1cnc(-c2cccc(NCc3ccc(-c4ccc5c(c4)OCCOCCOCCOCCOCCO5)cn3)c2)c(-c2cccc(N(C)C)c2)c1</v>
      </c>
      <c r="C13283" s="7">
        <f>IFERROR(__xludf.DUMMYFUNCTION("""COMPUTED_VALUE"""),7.754556)</f>
        <v>7.754556</v>
      </c>
      <c r="D13283" s="7">
        <f>IFERROR(__xludf.DUMMYFUNCTION("""COMPUTED_VALUE"""),0.384615384615384)</f>
        <v>0.3846153846</v>
      </c>
    </row>
    <row r="13284">
      <c r="A13284" s="10" t="s">
        <v>14723</v>
      </c>
      <c r="B13284" s="7" t="str">
        <f>IFERROR(__xludf.DUMMYFUNCTION("SPLIT(A13284,"" "")"),"C1=CCNC(Nc2cccc(CN(Cc3ccccn3)Cc3ccccn3)n2)=C1")</f>
        <v>C1=CCNC(Nc2cccc(CN(Cc3ccccn3)Cc3ccccn3)n2)=C1</v>
      </c>
      <c r="C13284" s="7">
        <f>IFERROR(__xludf.DUMMYFUNCTION("""COMPUTED_VALUE"""),7.754556)</f>
        <v>7.754556</v>
      </c>
      <c r="D13284" s="7">
        <f>IFERROR(__xludf.DUMMYFUNCTION("""COMPUTED_VALUE"""),0.476190476190476)</f>
        <v>0.4761904762</v>
      </c>
    </row>
    <row r="13285">
      <c r="A13285" s="10" t="s">
        <v>14724</v>
      </c>
      <c r="B13285" s="7" t="str">
        <f>IFERROR(__xludf.DUMMYFUNCTION("SPLIT(A13285,"" "")"),"Cc1cncc(CN(C)C2=CNC(CN(C)Cc3cc(C)c(C)c(C)n3)=CC2)c1")</f>
        <v>Cc1cncc(CN(C)C2=CNC(CN(C)Cc3cc(C)c(C)c(C)n3)=CC2)c1</v>
      </c>
      <c r="C13285" s="7">
        <f>IFERROR(__xludf.DUMMYFUNCTION("""COMPUTED_VALUE"""),7.754543)</f>
        <v>7.754543</v>
      </c>
      <c r="D13285" s="7">
        <f>IFERROR(__xludf.DUMMYFUNCTION("""COMPUTED_VALUE"""),0.225806451612903)</f>
        <v>0.2258064516</v>
      </c>
    </row>
    <row r="13286">
      <c r="A13286" s="10" t="s">
        <v>14725</v>
      </c>
      <c r="B13286" s="7" t="str">
        <f>IFERROR(__xludf.DUMMYFUNCTION("SPLIT(A13286,"" "")"),"CN(Cc1ccccn1)c1cc(-c2ncccc2CN(Cc2ccccn2)Cc2ncccc2-c2cccc3c2OCCOCCOCCOCCOCCO3)cc2cccnc12")</f>
        <v>CN(Cc1ccccn1)c1cc(-c2ncccc2CN(Cc2ccccn2)Cc2ncccc2-c2cccc3c2OCCOCCOCCOCCOCCO3)cc2cccnc12</v>
      </c>
      <c r="C13286" s="7">
        <f>IFERROR(__xludf.DUMMYFUNCTION("""COMPUTED_VALUE"""),7.754543)</f>
        <v>7.754543</v>
      </c>
      <c r="D13286" s="7">
        <f>IFERROR(__xludf.DUMMYFUNCTION("""COMPUTED_VALUE"""),0.32)</f>
        <v>0.32</v>
      </c>
    </row>
    <row r="13287">
      <c r="A13287" s="10" t="s">
        <v>14726</v>
      </c>
      <c r="B13287" s="7" t="str">
        <f>IFERROR(__xludf.DUMMYFUNCTION("SPLIT(A13287,"" "")"),"C1=CC(NCc2ccccn2)=CC(c2ccccc2)N1")</f>
        <v>C1=CC(NCc2ccccn2)=CC(c2ccccc2)N1</v>
      </c>
      <c r="C13287" s="7">
        <f>IFERROR(__xludf.DUMMYFUNCTION("""COMPUTED_VALUE"""),7.754534)</f>
        <v>7.754534</v>
      </c>
      <c r="D13287" s="7">
        <f>IFERROR(__xludf.DUMMYFUNCTION("""COMPUTED_VALUE"""),0.404761904761904)</f>
        <v>0.4047619048</v>
      </c>
    </row>
    <row r="13288">
      <c r="A13288" s="10" t="s">
        <v>14727</v>
      </c>
      <c r="B13288" s="7" t="str">
        <f>IFERROR(__xludf.DUMMYFUNCTION("SPLIT(A13288,"" "")"),"CN(C)Cc1ccc(C(C)(C)c2ccccn2)cn1")</f>
        <v>CN(C)Cc1ccc(C(C)(C)c2ccccn2)cn1</v>
      </c>
      <c r="C13288" s="7">
        <f>IFERROR(__xludf.DUMMYFUNCTION("""COMPUTED_VALUE"""),7.754521)</f>
        <v>7.754521</v>
      </c>
      <c r="D13288" s="7">
        <f>IFERROR(__xludf.DUMMYFUNCTION("""COMPUTED_VALUE"""),0.409090909090909)</f>
        <v>0.4090909091</v>
      </c>
    </row>
    <row r="13289">
      <c r="A13289" s="10" t="s">
        <v>14728</v>
      </c>
      <c r="B13289" s="7" t="str">
        <f>IFERROR(__xludf.DUMMYFUNCTION("SPLIT(A13289,"" "")"),"CN(C)CC1=CCC=C(N(C)Cc2ccccn2)N1")</f>
        <v>CN(C)CC1=CCC=C(N(C)Cc2ccccn2)N1</v>
      </c>
      <c r="C13289" s="7">
        <f>IFERROR(__xludf.DUMMYFUNCTION("""COMPUTED_VALUE"""),7.754515)</f>
        <v>7.754515</v>
      </c>
      <c r="D13289" s="7">
        <f>IFERROR(__xludf.DUMMYFUNCTION("""COMPUTED_VALUE"""),0.46)</f>
        <v>0.46</v>
      </c>
    </row>
    <row r="13290">
      <c r="A13290" s="10" t="s">
        <v>14729</v>
      </c>
      <c r="B13290" s="7" t="str">
        <f>IFERROR(__xludf.DUMMYFUNCTION("SPLIT(A13290,"" "")"),"CCOC(=O)c1cccc(CN(Cc2ccccn2)C2CCCC(N(C)c3ccc4cc(CN(C)C)cnc4c3)C2)n1")</f>
        <v>CCOC(=O)c1cccc(CN(Cc2ccccn2)C2CCCC(N(C)c3ccc4cc(CN(C)C)cnc4c3)C2)n1</v>
      </c>
      <c r="C13290" s="7">
        <f>IFERROR(__xludf.DUMMYFUNCTION("""COMPUTED_VALUE"""),7.754512)</f>
        <v>7.754512</v>
      </c>
      <c r="D13290" s="7">
        <f>IFERROR(__xludf.DUMMYFUNCTION("""COMPUTED_VALUE"""),0.302631578947368)</f>
        <v>0.3026315789</v>
      </c>
    </row>
    <row r="13291">
      <c r="A13291" s="10" t="s">
        <v>14730</v>
      </c>
      <c r="B13291" s="7" t="str">
        <f>IFERROR(__xludf.DUMMYFUNCTION("SPLIT(A13291,"" "")"),"CN(Cc1cccc(C2=CCC=CN2)n1)C1CCC(N(C)c2ccc3nc(CF)ccc3c2)CC1")</f>
        <v>CN(Cc1cccc(C2=CCC=CN2)n1)C1CCC(N(C)c2ccc3nc(CF)ccc3c2)CC1</v>
      </c>
      <c r="C13291" s="7">
        <f>IFERROR(__xludf.DUMMYFUNCTION("""COMPUTED_VALUE"""),7.7545104)</f>
        <v>7.7545104</v>
      </c>
      <c r="D13291" s="7">
        <f>IFERROR(__xludf.DUMMYFUNCTION("""COMPUTED_VALUE"""),0.315068493150684)</f>
        <v>0.3150684932</v>
      </c>
    </row>
    <row r="13292">
      <c r="A13292" s="10" t="s">
        <v>14731</v>
      </c>
      <c r="B13292" s="7" t="str">
        <f>IFERROR(__xludf.DUMMYFUNCTION("SPLIT(A13292,"" "")"),"CCOC(=O)c1cc(CN(Cc2ccccn2)C2CCC(N(C)c3ccc4nc(CN(C)C)ccc4c3)CC2)ccn1")</f>
        <v>CCOC(=O)c1cc(CN(Cc2ccccn2)C2CCC(N(C)c3ccc4nc(CN(C)C)ccc4c3)CC2)ccn1</v>
      </c>
      <c r="C13292" s="7">
        <f>IFERROR(__xludf.DUMMYFUNCTION("""COMPUTED_VALUE"""),7.7545066)</f>
        <v>7.7545066</v>
      </c>
      <c r="D13292" s="7">
        <f>IFERROR(__xludf.DUMMYFUNCTION("""COMPUTED_VALUE"""),0.328767123287671)</f>
        <v>0.3287671233</v>
      </c>
    </row>
    <row r="13293">
      <c r="A13293" s="10" t="s">
        <v>14732</v>
      </c>
      <c r="B13293" s="7" t="str">
        <f>IFERROR(__xludf.DUMMYFUNCTION("SPLIT(A13293,"" "")"),"CN(Cc1ccccn1)C1=CCC=C(CN(C)C2=CCC=C(C(C)(C)C)N2)N1")</f>
        <v>CN(Cc1ccccn1)C1=CCC=C(CN(C)C2=CCC=C(C(C)(C)C)N2)N1</v>
      </c>
      <c r="C13293" s="7">
        <f>IFERROR(__xludf.DUMMYFUNCTION("""COMPUTED_VALUE"""),7.7544994)</f>
        <v>7.7544994</v>
      </c>
      <c r="D13293" s="7">
        <f>IFERROR(__xludf.DUMMYFUNCTION("""COMPUTED_VALUE"""),0.410714285714285)</f>
        <v>0.4107142857</v>
      </c>
    </row>
    <row r="13294">
      <c r="A13294" s="10" t="s">
        <v>14733</v>
      </c>
      <c r="B13294" s="7" t="str">
        <f>IFERROR(__xludf.DUMMYFUNCTION("SPLIT(A13294,"" "")"),"CN(C)c1cccnc1CN(Cc1ccccn1)Cc1ccc(F)cn1")</f>
        <v>CN(C)c1cccnc1CN(Cc1ccccn1)Cc1ccc(F)cn1</v>
      </c>
      <c r="C13294" s="7">
        <f>IFERROR(__xludf.DUMMYFUNCTION("""COMPUTED_VALUE"""),7.7544994)</f>
        <v>7.7544994</v>
      </c>
      <c r="D13294" s="7">
        <f>IFERROR(__xludf.DUMMYFUNCTION("""COMPUTED_VALUE"""),0.48780487804878)</f>
        <v>0.487804878</v>
      </c>
    </row>
    <row r="13295">
      <c r="A13295" s="10" t="s">
        <v>14734</v>
      </c>
      <c r="B13295" s="7" t="str">
        <f>IFERROR(__xludf.DUMMYFUNCTION("SPLIT(A13295,"" "")"),"CCN(Cc1cccc(C2=NC(C)(C)CO2)n1)Cc1cc(C)c(C)c(C)n1")</f>
        <v>CCN(Cc1cccc(C2=NC(C)(C)CO2)n1)Cc1cc(C)c(C)c(C)n1</v>
      </c>
      <c r="C13295" s="7">
        <f>IFERROR(__xludf.DUMMYFUNCTION("""COMPUTED_VALUE"""),7.7544928)</f>
        <v>7.7544928</v>
      </c>
      <c r="D13295" s="7">
        <f>IFERROR(__xludf.DUMMYFUNCTION("""COMPUTED_VALUE"""),0.5)</f>
        <v>0.5</v>
      </c>
    </row>
    <row r="13296">
      <c r="A13296" s="10" t="s">
        <v>14735</v>
      </c>
      <c r="B13296" s="7" t="str">
        <f>IFERROR(__xludf.DUMMYFUNCTION("SPLIT(A13296,"" "")"),"Cc1ccc(CN(Cc2cccc(C3=NC(C)(C)CO3)n2)Cc2cccc(C(C)(C)c3cccc(C4CCC4(C)C)n3)n2)nc1")</f>
        <v>Cc1ccc(CN(Cc2cccc(C3=NC(C)(C)CO3)n2)Cc2cccc(C(C)(C)c3cccc(C4CCC4(C)C)n3)n2)nc1</v>
      </c>
      <c r="C13296" s="7">
        <f>IFERROR(__xludf.DUMMYFUNCTION("""COMPUTED_VALUE"""),7.754492)</f>
        <v>7.754492</v>
      </c>
      <c r="D13296" s="7">
        <f>IFERROR(__xludf.DUMMYFUNCTION("""COMPUTED_VALUE"""),0.378787878787878)</f>
        <v>0.3787878788</v>
      </c>
    </row>
    <row r="13297">
      <c r="A13297" s="10" t="s">
        <v>14736</v>
      </c>
      <c r="B13297" s="7" t="str">
        <f>IFERROR(__xludf.DUMMYFUNCTION("SPLIT(A13297,"" "")"),"CN(C)Cc1cnc2cc(N(C)C3CCCCC3N(Cc3ccccn3)c3ccccc3F)ccc2c1")</f>
        <v>CN(C)Cc1cnc2cc(N(C)C3CCCCC3N(Cc3ccccn3)c3ccccc3F)ccc2c1</v>
      </c>
      <c r="C13297" s="7">
        <f>IFERROR(__xludf.DUMMYFUNCTION("""COMPUTED_VALUE"""),7.7544866)</f>
        <v>7.7544866</v>
      </c>
      <c r="D13297" s="7">
        <f>IFERROR(__xludf.DUMMYFUNCTION("""COMPUTED_VALUE"""),0.419354838709677)</f>
        <v>0.4193548387</v>
      </c>
    </row>
    <row r="13298">
      <c r="A13298" s="10" t="s">
        <v>14737</v>
      </c>
      <c r="B13298" s="7" t="str">
        <f>IFERROR(__xludf.DUMMYFUNCTION("SPLIT(A13298,"" "")"),"Cc1ccc(CN(Cc2ccccn2)C2=CNC=C(CN(C)Cc3ccccn3)C2)nc1C")</f>
        <v>Cc1ccc(CN(Cc2ccccn2)C2=CNC=C(CN(C)Cc3ccccn3)C2)nc1C</v>
      </c>
      <c r="C13298" s="7">
        <f>IFERROR(__xludf.DUMMYFUNCTION("""COMPUTED_VALUE"""),7.754486)</f>
        <v>7.754486</v>
      </c>
      <c r="D13298" s="7">
        <f>IFERROR(__xludf.DUMMYFUNCTION("""COMPUTED_VALUE"""),0.428571428571428)</f>
        <v>0.4285714286</v>
      </c>
    </row>
    <row r="13299">
      <c r="A13299" s="10" t="s">
        <v>14738</v>
      </c>
      <c r="B13299" s="7" t="str">
        <f>IFERROR(__xludf.DUMMYFUNCTION("SPLIT(A13299,"" "")"),"CN(C)Cc1cnc2c(N(C)C3CCCCC3N(Cc3ccccn3)c3ccccc3F)cccc2c1")</f>
        <v>CN(C)Cc1cnc2c(N(C)C3CCCCC3N(Cc3ccccn3)c3ccccc3F)cccc2c1</v>
      </c>
      <c r="C13299" s="7">
        <f>IFERROR(__xludf.DUMMYFUNCTION("""COMPUTED_VALUE"""),7.754477)</f>
        <v>7.754477</v>
      </c>
      <c r="D13299" s="7">
        <f>IFERROR(__xludf.DUMMYFUNCTION("""COMPUTED_VALUE"""),0.475409836065573)</f>
        <v>0.4754098361</v>
      </c>
    </row>
    <row r="13300">
      <c r="A13300" s="10" t="s">
        <v>14739</v>
      </c>
      <c r="B13300" s="7" t="str">
        <f>IFERROR(__xludf.DUMMYFUNCTION("SPLIT(A13300,"" "")"),"Cc1ccc(CN(Cc2ccccn2)C2=C(CN(C)Cc3cccc(C)n3)NC=CC2)nc1")</f>
        <v>Cc1ccc(CN(Cc2ccccn2)C2=C(CN(C)Cc3cccc(C)n3)NC=CC2)nc1</v>
      </c>
      <c r="C13300" s="7">
        <f>IFERROR(__xludf.DUMMYFUNCTION("""COMPUTED_VALUE"""),7.7544737)</f>
        <v>7.7544737</v>
      </c>
      <c r="D13300" s="7">
        <f>IFERROR(__xludf.DUMMYFUNCTION("""COMPUTED_VALUE"""),0.40983606557377)</f>
        <v>0.4098360656</v>
      </c>
    </row>
    <row r="13301">
      <c r="A13301" s="10" t="s">
        <v>14740</v>
      </c>
      <c r="B13301" s="7" t="str">
        <f>IFERROR(__xludf.DUMMYFUNCTION("SPLIT(A13301,"" "")"),"CC(C)(c1ccccn1)c1cccc(CN(Cc2ccccn2)Cc2cccc(C3OC=NC3(C)C)n2)n1")</f>
        <v>CC(C)(c1ccccn1)c1cccc(CN(Cc2ccccn2)Cc2cccc(C3OC=NC3(C)C)n2)n1</v>
      </c>
      <c r="C13301" s="7">
        <f>IFERROR(__xludf.DUMMYFUNCTION("""COMPUTED_VALUE"""),7.7544737)</f>
        <v>7.7544737</v>
      </c>
      <c r="D13301" s="7">
        <f>IFERROR(__xludf.DUMMYFUNCTION("""COMPUTED_VALUE"""),0.384615384615384)</f>
        <v>0.3846153846</v>
      </c>
    </row>
    <row r="13302">
      <c r="A13302" s="10" t="s">
        <v>14741</v>
      </c>
      <c r="B13302" s="7" t="str">
        <f>IFERROR(__xludf.DUMMYFUNCTION("SPLIT(A13302,"" "")"),"Cc1cc(C)c(CN(Cc2ncccc2C)C2CCC(N(C)c3ccc4nccc(CF)c4c3)CC2)nc1C")</f>
        <v>Cc1cc(C)c(CN(Cc2ncccc2C)C2CCC(N(C)c3ccc4nccc(CF)c4c3)CC2)nc1C</v>
      </c>
      <c r="C13302" s="7">
        <f>IFERROR(__xludf.DUMMYFUNCTION("""COMPUTED_VALUE"""),7.7544723)</f>
        <v>7.7544723</v>
      </c>
      <c r="D13302" s="7">
        <f>IFERROR(__xludf.DUMMYFUNCTION("""COMPUTED_VALUE"""),0.226666666666666)</f>
        <v>0.2266666667</v>
      </c>
    </row>
    <row r="13303">
      <c r="A13303" s="10" t="s">
        <v>14742</v>
      </c>
      <c r="B13303" s="7" t="str">
        <f>IFERROR(__xludf.DUMMYFUNCTION("SPLIT(A13303,"" "")"),"CCN(Cc1cc(CN(Cc2ncc(C)c(C)c2C)Cc2ncc(C)c(C)c2C)ccn1)Cc1cc(C)c(C)c(C)n1")</f>
        <v>CCN(Cc1cc(CN(Cc2ncc(C)c(C)c2C)Cc2ncc(C)c(C)c2C)ccn1)Cc1cc(C)c(C)c(C)n1</v>
      </c>
      <c r="C13303" s="7">
        <f>IFERROR(__xludf.DUMMYFUNCTION("""COMPUTED_VALUE"""),7.7544675)</f>
        <v>7.7544675</v>
      </c>
      <c r="D13303" s="7">
        <f>IFERROR(__xludf.DUMMYFUNCTION("""COMPUTED_VALUE"""),0.294117647058823)</f>
        <v>0.2941176471</v>
      </c>
    </row>
    <row r="13304">
      <c r="A13304" s="10" t="s">
        <v>14743</v>
      </c>
      <c r="B13304" s="7" t="str">
        <f>IFERROR(__xludf.DUMMYFUNCTION("SPLIT(A13304,"" "")"),"CC1=CC(c2cc(CN(Cc3nc(C)c(C)c(C)c3C)C3CCC(N(C)c4ccc5nccc(-c6ccccn6)c5c4)CC3)ccn2)CC2(CC=C(C)C(C)(C)C2)C1")</f>
        <v>CC1=CC(c2cc(CN(Cc3nc(C)c(C)c(C)c3C)C3CCC(N(C)c4ccc5nccc(-c6ccccn6)c5c4)CC3)ccn2)CC2(CC=C(C)C(C)(C)C2)C1</v>
      </c>
      <c r="C13304" s="7">
        <f>IFERROR(__xludf.DUMMYFUNCTION("""COMPUTED_VALUE"""),7.7544665)</f>
        <v>7.7544665</v>
      </c>
      <c r="D13304" s="7">
        <f>IFERROR(__xludf.DUMMYFUNCTION("""COMPUTED_VALUE"""),0.191919191919191)</f>
        <v>0.1919191919</v>
      </c>
    </row>
    <row r="13305">
      <c r="A13305" s="10" t="s">
        <v>14744</v>
      </c>
      <c r="B13305" s="7" t="str">
        <f>IFERROR(__xludf.DUMMYFUNCTION("SPLIT(A13305,"" "")"),"Cc1cc(CN(C)c2cccnc2CN(CF)Cc2ccccn2)nc(C)c1C")</f>
        <v>Cc1cc(CN(C)c2cccnc2CN(CF)Cc2ccccn2)nc(C)c1C</v>
      </c>
      <c r="C13305" s="7">
        <f>IFERROR(__xludf.DUMMYFUNCTION("""COMPUTED_VALUE"""),7.7544656)</f>
        <v>7.7544656</v>
      </c>
      <c r="D13305" s="7">
        <f>IFERROR(__xludf.DUMMYFUNCTION("""COMPUTED_VALUE"""),0.444444444444444)</f>
        <v>0.4444444444</v>
      </c>
    </row>
    <row r="13306">
      <c r="A13306" s="10" t="s">
        <v>14745</v>
      </c>
      <c r="B13306" s="7" t="str">
        <f>IFERROR(__xludf.DUMMYFUNCTION("SPLIT(A13306,"" "")"),"Cc1cnc(CN(Cc2ccccn2)C2CCC(N(C)c3cccc4ccnc(CN(C)C)c34)CC2)c(C)c1C")</f>
        <v>Cc1cnc(CN(Cc2ccccn2)C2CCC(N(C)c3cccc4ccnc(CN(C)C)c34)CC2)c(C)c1C</v>
      </c>
      <c r="C13306" s="7">
        <f>IFERROR(__xludf.DUMMYFUNCTION("""COMPUTED_VALUE"""),7.754453)</f>
        <v>7.754453</v>
      </c>
      <c r="D13306" s="7">
        <f>IFERROR(__xludf.DUMMYFUNCTION("""COMPUTED_VALUE"""),0.333333333333333)</f>
        <v>0.3333333333</v>
      </c>
    </row>
    <row r="13307">
      <c r="A13307" s="10" t="s">
        <v>14746</v>
      </c>
      <c r="B13307" s="7" t="str">
        <f>IFERROR(__xludf.DUMMYFUNCTION("SPLIT(A13307,"" "")"),"CN(C)c1cccc(CN(Cc2cccc(F)n2)Cc2cccnc2F)n1")</f>
        <v>CN(C)c1cccc(CN(Cc2cccc(F)n2)Cc2cccnc2F)n1</v>
      </c>
      <c r="C13307" s="7">
        <f>IFERROR(__xludf.DUMMYFUNCTION("""COMPUTED_VALUE"""),7.7544494)</f>
        <v>7.7544494</v>
      </c>
      <c r="D13307" s="7">
        <f>IFERROR(__xludf.DUMMYFUNCTION("""COMPUTED_VALUE"""),0.393442622950819)</f>
        <v>0.393442623</v>
      </c>
    </row>
    <row r="13308">
      <c r="A13308" s="10" t="s">
        <v>14747</v>
      </c>
      <c r="B13308" s="7" t="str">
        <f>IFERROR(__xludf.DUMMYFUNCTION("SPLIT(A13308,"" "")"),"Cc1nc(CN(Cc2ccccn2)C2CCCCC2N(C)c2ccc3c(CN(C)C)nccc3c2)c(C)c(C)c1C")</f>
        <v>Cc1nc(CN(Cc2ccccn2)C2CCCCC2N(C)c2ccc3c(CN(C)C)nccc3c2)c(C)c(C)c1C</v>
      </c>
      <c r="C13308" s="7">
        <f>IFERROR(__xludf.DUMMYFUNCTION("""COMPUTED_VALUE"""),7.7544384)</f>
        <v>7.7544384</v>
      </c>
      <c r="D13308" s="7">
        <f>IFERROR(__xludf.DUMMYFUNCTION("""COMPUTED_VALUE"""),0.4)</f>
        <v>0.4</v>
      </c>
    </row>
    <row r="13309">
      <c r="A13309" s="10" t="s">
        <v>14748</v>
      </c>
      <c r="B13309" s="7" t="str">
        <f>IFERROR(__xludf.DUMMYFUNCTION("SPLIT(A13309,"" "")"),"CC(C)N(Cc1cc(C2=CCC=CN2)ccn1)Cc1cc(C(C)(C)C)ccn1")</f>
        <v>CC(C)N(Cc1cc(C2=CCC=CN2)ccn1)Cc1cc(C(C)(C)C)ccn1</v>
      </c>
      <c r="C13309" s="7">
        <f>IFERROR(__xludf.DUMMYFUNCTION("""COMPUTED_VALUE"""),7.7544355)</f>
        <v>7.7544355</v>
      </c>
      <c r="D13309" s="7">
        <f>IFERROR(__xludf.DUMMYFUNCTION("""COMPUTED_VALUE"""),0.338709677419354)</f>
        <v>0.3387096774</v>
      </c>
    </row>
    <row r="13310">
      <c r="A13310" s="10" t="s">
        <v>14749</v>
      </c>
      <c r="B13310" s="7" t="str">
        <f>IFERROR(__xludf.DUMMYFUNCTION("SPLIT(A13310,"" "")"),"CCN(Cc1ccccn1)Cc1cccc(N(C)Cc2nc(C)c(C)cc2C)n1")</f>
        <v>CCN(Cc1ccccn1)Cc1cccc(N(C)Cc2nc(C)c(C)cc2C)n1</v>
      </c>
      <c r="C13310" s="7">
        <f>IFERROR(__xludf.DUMMYFUNCTION("""COMPUTED_VALUE"""),7.754428)</f>
        <v>7.754428</v>
      </c>
      <c r="D13310" s="7">
        <f>IFERROR(__xludf.DUMMYFUNCTION("""COMPUTED_VALUE"""),0.404255319148936)</f>
        <v>0.4042553191</v>
      </c>
    </row>
    <row r="13311">
      <c r="A13311" s="10" t="s">
        <v>14750</v>
      </c>
      <c r="B13311" s="7" t="str">
        <f>IFERROR(__xludf.DUMMYFUNCTION("SPLIT(A13311,"" "")"),"CN(Cc1ccccn1)C1=CCC=C(CN(Cc2ccccn2)Cc2ncccc2F)N1")</f>
        <v>CN(Cc1ccccn1)C1=CCC=C(CN(Cc2ccccn2)Cc2ncccc2F)N1</v>
      </c>
      <c r="C13311" s="7">
        <f>IFERROR(__xludf.DUMMYFUNCTION("""COMPUTED_VALUE"""),7.7544208)</f>
        <v>7.7544208</v>
      </c>
      <c r="D13311" s="7">
        <f>IFERROR(__xludf.DUMMYFUNCTION("""COMPUTED_VALUE"""),0.473684210526315)</f>
        <v>0.4736842105</v>
      </c>
    </row>
    <row r="13312">
      <c r="A13312" s="10" t="s">
        <v>14751</v>
      </c>
      <c r="B13312" s="7" t="str">
        <f>IFERROR(__xludf.DUMMYFUNCTION("SPLIT(A13312,"" "")"),"Cc1cc(C)c(CN(C)CC2=CCC(N(C)Cc3ccccn3)=CN2)nc1C")</f>
        <v>Cc1cc(C)c(CN(C)CC2=CCC(N(C)Cc3ccccn3)=CN2)nc1C</v>
      </c>
      <c r="C13312" s="7">
        <f>IFERROR(__xludf.DUMMYFUNCTION("""COMPUTED_VALUE"""),7.754417)</f>
        <v>7.754417</v>
      </c>
      <c r="D13312" s="7">
        <f>IFERROR(__xludf.DUMMYFUNCTION("""COMPUTED_VALUE"""),0.379310344827586)</f>
        <v>0.3793103448</v>
      </c>
    </row>
    <row r="13313">
      <c r="A13313" s="10" t="s">
        <v>14752</v>
      </c>
      <c r="B13313" s="7" t="str">
        <f>IFERROR(__xludf.DUMMYFUNCTION("SPLIT(A13313,"" "")"),"CC(C)c1cccc(CN(Cc2ccccn2)Cc2ccc(N(C)C)cn2)n1")</f>
        <v>CC(C)c1cccc(CN(Cc2ccccn2)Cc2ccc(N(C)C)cn2)n1</v>
      </c>
      <c r="C13313" s="7">
        <f>IFERROR(__xludf.DUMMYFUNCTION("""COMPUTED_VALUE"""),7.754414)</f>
        <v>7.754414</v>
      </c>
      <c r="D13313" s="7">
        <f>IFERROR(__xludf.DUMMYFUNCTION("""COMPUTED_VALUE"""),0.48780487804878)</f>
        <v>0.487804878</v>
      </c>
    </row>
    <row r="13314">
      <c r="A13314" s="10" t="s">
        <v>14753</v>
      </c>
      <c r="B13314" s="7" t="str">
        <f>IFERROR(__xludf.DUMMYFUNCTION("SPLIT(A13314,"" "")"),"CN(CCN(Cc1ccccn1)c1cccc2ncccc12)CC(C)(C)C")</f>
        <v>CN(CCN(Cc1ccccn1)c1cccc2ncccc12)CC(C)(C)C</v>
      </c>
      <c r="C13314" s="7">
        <f>IFERROR(__xludf.DUMMYFUNCTION("""COMPUTED_VALUE"""),7.754411)</f>
        <v>7.754411</v>
      </c>
      <c r="D13314" s="7">
        <f>IFERROR(__xludf.DUMMYFUNCTION("""COMPUTED_VALUE"""),0.48)</f>
        <v>0.48</v>
      </c>
    </row>
    <row r="13315">
      <c r="A13315" s="10" t="s">
        <v>14754</v>
      </c>
      <c r="B13315" s="7" t="str">
        <f>IFERROR(__xludf.DUMMYFUNCTION("SPLIT(A13315,"" "")"),"CNCc1nc(CN(C)Cc2nc(C)c(C)cc2C)c(C)cc1C")</f>
        <v>CNCc1nc(CN(C)Cc2nc(C)c(C)cc2C)c(C)cc1C</v>
      </c>
      <c r="C13315" s="7">
        <f>IFERROR(__xludf.DUMMYFUNCTION("""COMPUTED_VALUE"""),7.7544093)</f>
        <v>7.7544093</v>
      </c>
      <c r="D13315" s="7">
        <f>IFERROR(__xludf.DUMMYFUNCTION("""COMPUTED_VALUE"""),0.25)</f>
        <v>0.25</v>
      </c>
    </row>
    <row r="13316">
      <c r="A13316" s="10" t="s">
        <v>14755</v>
      </c>
      <c r="B13316" s="7" t="str">
        <f>IFERROR(__xludf.DUMMYFUNCTION("SPLIT(A13316,"" "")"),"Cc1ccnc(CN(C)CC2=CCC(N(C)Cc3nccc(C)c3C)=CN2)c1C")</f>
        <v>Cc1ccnc(CN(C)CC2=CCC(N(C)Cc3nccc(C)c3C)=CN2)c1C</v>
      </c>
      <c r="C13316" s="7">
        <f>IFERROR(__xludf.DUMMYFUNCTION("""COMPUTED_VALUE"""),7.7544055)</f>
        <v>7.7544055</v>
      </c>
      <c r="D13316" s="7">
        <f>IFERROR(__xludf.DUMMYFUNCTION("""COMPUTED_VALUE"""),0.241935483870967)</f>
        <v>0.2419354839</v>
      </c>
    </row>
    <row r="13317">
      <c r="A13317" s="10" t="s">
        <v>14756</v>
      </c>
      <c r="B13317" s="7" t="str">
        <f>IFERROR(__xludf.DUMMYFUNCTION("SPLIT(A13317,"" "")"),"CN(Cc1ccccn1)c1cccnc1CN(Cc1ccccn1)Cc1cccnc1F")</f>
        <v>CN(Cc1ccccn1)c1cccnc1CN(Cc1ccccn1)Cc1cccnc1F</v>
      </c>
      <c r="C13317" s="7">
        <f>IFERROR(__xludf.DUMMYFUNCTION("""COMPUTED_VALUE"""),7.7544026)</f>
        <v>7.7544026</v>
      </c>
      <c r="D13317" s="7">
        <f>IFERROR(__xludf.DUMMYFUNCTION("""COMPUTED_VALUE"""),0.489361702127659)</f>
        <v>0.4893617021</v>
      </c>
    </row>
    <row r="13318">
      <c r="A13318" s="10" t="s">
        <v>14757</v>
      </c>
      <c r="B13318" s="7" t="str">
        <f>IFERROR(__xludf.DUMMYFUNCTION("SPLIT(A13318,"" "")"),"Cc1cc(CN(C)CCCN(C)Cc2ccc3ncccc3c2)nc(C)c1C")</f>
        <v>Cc1cc(CN(C)CCCN(C)Cc2ccc3ncccc3c2)nc(C)c1C</v>
      </c>
      <c r="C13318" s="7">
        <f>IFERROR(__xludf.DUMMYFUNCTION("""COMPUTED_VALUE"""),7.7544026)</f>
        <v>7.7544026</v>
      </c>
      <c r="D13318" s="7">
        <f>IFERROR(__xludf.DUMMYFUNCTION("""COMPUTED_VALUE"""),0.345454545454545)</f>
        <v>0.3454545455</v>
      </c>
    </row>
    <row r="13319">
      <c r="A13319" s="10" t="s">
        <v>14758</v>
      </c>
      <c r="B13319" s="7" t="str">
        <f>IFERROR(__xludf.DUMMYFUNCTION("SPLIT(A13319,"" "")"),"C=Cc1ccccn1")</f>
        <v>C=Cc1ccccn1</v>
      </c>
      <c r="C13319" s="7">
        <f>IFERROR(__xludf.DUMMYFUNCTION("""COMPUTED_VALUE"""),7.7543907)</f>
        <v>7.7543907</v>
      </c>
      <c r="D13319" s="7">
        <f>IFERROR(__xludf.DUMMYFUNCTION("""COMPUTED_VALUE"""),0.424242424242424)</f>
        <v>0.4242424242</v>
      </c>
    </row>
    <row r="13320">
      <c r="A13320" s="10" t="s">
        <v>14759</v>
      </c>
      <c r="B13320" s="7" t="str">
        <f>IFERROR(__xludf.DUMMYFUNCTION("SPLIT(A13320,"" "")"),"Cc1ccc(CN(C)CC2=CCC(N(C)Cc3nc(C)c(C)cc3C)=CN2)nc1")</f>
        <v>Cc1ccc(CN(C)CC2=CCC(N(C)Cc3nc(C)c(C)cc3C)=CN2)nc1</v>
      </c>
      <c r="C13320" s="7">
        <f>IFERROR(__xludf.DUMMYFUNCTION("""COMPUTED_VALUE"""),7.7543836)</f>
        <v>7.7543836</v>
      </c>
      <c r="D13320" s="7">
        <f>IFERROR(__xludf.DUMMYFUNCTION("""COMPUTED_VALUE"""),0.407407407407407)</f>
        <v>0.4074074074</v>
      </c>
    </row>
    <row r="13321">
      <c r="A13321" s="10" t="s">
        <v>14760</v>
      </c>
      <c r="B13321" s="7" t="str">
        <f>IFERROR(__xludf.DUMMYFUNCTION("SPLIT(A13321,"" "")"),"Cc1ccc(C)c(CN(C)C2=C(CN(C)Cc3nc(C)c(C)cc3C)NC=CC2)n1")</f>
        <v>Cc1ccc(C)c(CN(C)C2=C(CN(C)Cc3nc(C)c(C)cc3C)NC=CC2)n1</v>
      </c>
      <c r="C13321" s="7">
        <f>IFERROR(__xludf.DUMMYFUNCTION("""COMPUTED_VALUE"""),7.754381)</f>
        <v>7.754381</v>
      </c>
      <c r="D13321" s="7">
        <f>IFERROR(__xludf.DUMMYFUNCTION("""COMPUTED_VALUE"""),0.23728813559322)</f>
        <v>0.2372881356</v>
      </c>
    </row>
    <row r="13322">
      <c r="A13322" s="10" t="s">
        <v>14761</v>
      </c>
      <c r="B13322" s="7" t="str">
        <f>IFERROR(__xludf.DUMMYFUNCTION("SPLIT(A13322,"" "")"),"Cc1ccc(CN(C)c2cccnc2CN(Cc2ccccn2)Cc2ccccn2)nc1")</f>
        <v>Cc1ccc(CN(C)c2cccnc2CN(Cc2ccccn2)Cc2ccccn2)nc1</v>
      </c>
      <c r="C13322" s="7">
        <f>IFERROR(__xludf.DUMMYFUNCTION("""COMPUTED_VALUE"""),7.7543764)</f>
        <v>7.7543764</v>
      </c>
      <c r="D13322" s="7">
        <f>IFERROR(__xludf.DUMMYFUNCTION("""COMPUTED_VALUE"""),0.489361702127659)</f>
        <v>0.4893617021</v>
      </c>
    </row>
    <row r="13323">
      <c r="A13323" s="10" t="s">
        <v>14762</v>
      </c>
      <c r="B13323" s="7" t="str">
        <f>IFERROR(__xludf.DUMMYFUNCTION("SPLIT(A13323,"" "")"),"Cc1cnc(CN(C)Cc2ccc(N(C)C(C)(C)c3cccnc3)nc2)c(C)c1")</f>
        <v>Cc1cnc(CN(C)Cc2ccc(N(C)C(C)(C)c3cccnc3)nc2)c(C)c1</v>
      </c>
      <c r="C13323" s="7">
        <f>IFERROR(__xludf.DUMMYFUNCTION("""COMPUTED_VALUE"""),7.754367)</f>
        <v>7.754367</v>
      </c>
      <c r="D13323" s="7">
        <f>IFERROR(__xludf.DUMMYFUNCTION("""COMPUTED_VALUE"""),0.271186440677966)</f>
        <v>0.2711864407</v>
      </c>
    </row>
    <row r="13324">
      <c r="A13324" s="10" t="s">
        <v>14763</v>
      </c>
      <c r="B13324" s="7" t="str">
        <f>IFERROR(__xludf.DUMMYFUNCTION("SPLIT(A13324,"" "")"),"CN(CCF)CCN(Cc1ccccn1)c1cccc2ncccc12")</f>
        <v>CN(CCF)CCN(Cc1ccccn1)c1cccc2ncccc12</v>
      </c>
      <c r="C13324" s="7">
        <f>IFERROR(__xludf.DUMMYFUNCTION("""COMPUTED_VALUE"""),7.7543535)</f>
        <v>7.7543535</v>
      </c>
      <c r="D13324" s="7">
        <f>IFERROR(__xludf.DUMMYFUNCTION("""COMPUTED_VALUE"""),0.415094339622641)</f>
        <v>0.4150943396</v>
      </c>
    </row>
    <row r="13325">
      <c r="A13325" s="10" t="s">
        <v>14764</v>
      </c>
      <c r="B13325" s="7" t="str">
        <f>IFERROR(__xludf.DUMMYFUNCTION("SPLIT(A13325,"" "")"),"Cc1cc(C)c(C)c(CN(C)CC2=C(N(C)Cc3nc(C)cc(C)c3C)CC=CN2)c1")</f>
        <v>Cc1cc(C)c(C)c(CN(C)CC2=C(N(C)Cc3nc(C)cc(C)c3C)CC=CN2)c1</v>
      </c>
      <c r="C13325" s="7">
        <f>IFERROR(__xludf.DUMMYFUNCTION("""COMPUTED_VALUE"""),7.7543383)</f>
        <v>7.7543383</v>
      </c>
      <c r="D13325" s="7">
        <f>IFERROR(__xludf.DUMMYFUNCTION("""COMPUTED_VALUE"""),0.21875)</f>
        <v>0.21875</v>
      </c>
    </row>
    <row r="13326">
      <c r="A13326" s="10" t="s">
        <v>14765</v>
      </c>
      <c r="B13326" s="7" t="str">
        <f>IFERROR(__xludf.DUMMYFUNCTION("SPLIT(A13326,"" "")"),"CN(CCN(Cc1ccccn1)c1cccc2ncc(CF)cc12)C(C)(C)C")</f>
        <v>CN(CCN(Cc1ccccn1)c1cccc2ncc(CF)cc12)C(C)(C)C</v>
      </c>
      <c r="C13326" s="7">
        <f>IFERROR(__xludf.DUMMYFUNCTION("""COMPUTED_VALUE"""),7.7543316)</f>
        <v>7.7543316</v>
      </c>
      <c r="D13326" s="7">
        <f>IFERROR(__xludf.DUMMYFUNCTION("""COMPUTED_VALUE"""),0.379310344827586)</f>
        <v>0.3793103448</v>
      </c>
    </row>
    <row r="13327">
      <c r="A13327" s="10" t="s">
        <v>14766</v>
      </c>
      <c r="B13327" s="7" t="str">
        <f>IFERROR(__xludf.DUMMYFUNCTION("SPLIT(A13327,"" "")"),"Cc1cccnc1CN(Cc1c(C)cnc(C)c1C)C1CCCCC1N(C)c1ccc2nccc(CF)c2c1")</f>
        <v>Cc1cccnc1CN(Cc1c(C)cnc(C)c1C)C1CCCCC1N(C)c1ccc2nccc(CF)c2c1</v>
      </c>
      <c r="C13327" s="7">
        <f>IFERROR(__xludf.DUMMYFUNCTION("""COMPUTED_VALUE"""),7.754329)</f>
        <v>7.754329</v>
      </c>
      <c r="D13327" s="7">
        <f>IFERROR(__xludf.DUMMYFUNCTION("""COMPUTED_VALUE"""),0.293333333333333)</f>
        <v>0.2933333333</v>
      </c>
    </row>
    <row r="13328">
      <c r="A13328" s="10" t="s">
        <v>14767</v>
      </c>
      <c r="B13328" s="7" t="str">
        <f>IFERROR(__xludf.DUMMYFUNCTION("SPLIT(A13328,"" "")"),"Cc1cnc(CN(C)C2=CNC(CN(Cc3ccccn3)Cc3cccc(C(C)(C)C)n3)=CC2)c(C)c1")</f>
        <v>Cc1cnc(CN(C)C2=CNC(CN(Cc3ccccn3)Cc3cccc(C(C)(C)C)n3)=CC2)c(C)c1</v>
      </c>
      <c r="C13328" s="7">
        <f>IFERROR(__xludf.DUMMYFUNCTION("""COMPUTED_VALUE"""),7.7543273)</f>
        <v>7.7543273</v>
      </c>
      <c r="D13328" s="7">
        <f>IFERROR(__xludf.DUMMYFUNCTION("""COMPUTED_VALUE"""),0.385714285714285)</f>
        <v>0.3857142857</v>
      </c>
    </row>
    <row r="13329">
      <c r="A13329" s="10" t="s">
        <v>14768</v>
      </c>
      <c r="B13329" s="7" t="str">
        <f>IFERROR(__xludf.DUMMYFUNCTION("SPLIT(A13329,"" "")"),"Cc1cc(N2CCN(C)CCN(Cc3ccc(C(C)(C)c4ccccn4)cn3)CC2)cc2ncccc12")</f>
        <v>Cc1cc(N2CCN(C)CCN(Cc3ccc(C(C)(C)c4ccccn4)cn3)CC2)cc2ncccc12</v>
      </c>
      <c r="C13329" s="7">
        <f>IFERROR(__xludf.DUMMYFUNCTION("""COMPUTED_VALUE"""),7.7543263)</f>
        <v>7.7543263</v>
      </c>
      <c r="D13329" s="7">
        <f>IFERROR(__xludf.DUMMYFUNCTION("""COMPUTED_VALUE"""),0.433333333333333)</f>
        <v>0.4333333333</v>
      </c>
    </row>
    <row r="13330">
      <c r="A13330" s="10" t="s">
        <v>14769</v>
      </c>
      <c r="B13330" s="7" t="str">
        <f>IFERROR(__xludf.DUMMYFUNCTION("SPLIT(A13330,"" "")"),"Cc1cc(C)c(CN(C)C2=C(CN(C)Cc3ccccn3)NC=CC2)c(C)n1")</f>
        <v>Cc1cc(C)c(CN(C)C2=C(CN(C)Cc3ccccn3)NC=CC2)c(C)n1</v>
      </c>
      <c r="C13330" s="7">
        <f>IFERROR(__xludf.DUMMYFUNCTION("""COMPUTED_VALUE"""),7.7543235)</f>
        <v>7.7543235</v>
      </c>
      <c r="D13330" s="7">
        <f>IFERROR(__xludf.DUMMYFUNCTION("""COMPUTED_VALUE"""),0.377049180327868)</f>
        <v>0.3770491803</v>
      </c>
    </row>
    <row r="13331">
      <c r="A13331" s="10" t="s">
        <v>14770</v>
      </c>
      <c r="B13331" s="7" t="str">
        <f>IFERROR(__xludf.DUMMYFUNCTION("SPLIT(A13331,"" "")"),"CN(C)Cc1nccc2c(N(C)C3CCC(N(Cc4ccccn4)Cc4ccon4)CC3)cccc12")</f>
        <v>CN(C)Cc1nccc2c(N(C)C3CCC(N(Cc4ccccn4)Cc4ccon4)CC3)cccc12</v>
      </c>
      <c r="C13331" s="7">
        <f>IFERROR(__xludf.DUMMYFUNCTION("""COMPUTED_VALUE"""),7.7543216)</f>
        <v>7.7543216</v>
      </c>
      <c r="D13331" s="7">
        <f>IFERROR(__xludf.DUMMYFUNCTION("""COMPUTED_VALUE"""),0.349206349206349)</f>
        <v>0.3492063492</v>
      </c>
    </row>
    <row r="13332">
      <c r="A13332" s="10" t="s">
        <v>14771</v>
      </c>
      <c r="B13332" s="7" t="str">
        <f>IFERROR(__xludf.DUMMYFUNCTION("SPLIT(A13332,"" "")"),"Cc1ccc(C)c(N(C)CC2=CC(N(C)Cc3ccccn3)C=CN2)c1C")</f>
        <v>Cc1ccc(C)c(N(C)CC2=CC(N(C)Cc3ccccn3)C=CN2)c1C</v>
      </c>
      <c r="C13332" s="7">
        <f>IFERROR(__xludf.DUMMYFUNCTION("""COMPUTED_VALUE"""),7.7543144)</f>
        <v>7.7543144</v>
      </c>
      <c r="D13332" s="7">
        <f>IFERROR(__xludf.DUMMYFUNCTION("""COMPUTED_VALUE"""),0.392857142857142)</f>
        <v>0.3928571429</v>
      </c>
    </row>
    <row r="13333">
      <c r="A13333" s="10" t="s">
        <v>14772</v>
      </c>
      <c r="B13333" s="7" t="str">
        <f>IFERROR(__xludf.DUMMYFUNCTION("SPLIT(A13333,"" "")"),"Cc1ccc(CN(C)CC2=CCC(N(C)Cc3nc(C)c(C)c(C)c3C)=CN2)nc1")</f>
        <v>Cc1ccc(CN(C)CC2=CCC(N(C)Cc3nc(C)c(C)c(C)c3C)=CN2)nc1</v>
      </c>
      <c r="C13333" s="7">
        <f>IFERROR(__xludf.DUMMYFUNCTION("""COMPUTED_VALUE"""),7.7543006)</f>
        <v>7.7543006</v>
      </c>
      <c r="D13333" s="7">
        <f>IFERROR(__xludf.DUMMYFUNCTION("""COMPUTED_VALUE"""),0.415094339622641)</f>
        <v>0.4150943396</v>
      </c>
    </row>
    <row r="13334">
      <c r="A13334" s="10" t="s">
        <v>14773</v>
      </c>
      <c r="B13334" s="7" t="str">
        <f>IFERROR(__xludf.DUMMYFUNCTION("SPLIT(A13334,"" "")"),"CN(C)c1cccc(-c2ccc(CN(Cc3ccc(-c4ccc5c(c4)OCCOCCOCCOCCOCCO5)cn3)Cc3cccc(-c4cccc(N=Cc5ccccn5)c4)n3)nc2)c1")</f>
        <v>CN(C)c1cccc(-c2ccc(CN(Cc3ccc(-c4ccc5c(c4)OCCOCCOCCOCCOCCO5)cn3)Cc3cccc(-c4cccc(N=Cc5ccccn5)c4)n3)nc2)c1</v>
      </c>
      <c r="C13334" s="7">
        <f>IFERROR(__xludf.DUMMYFUNCTION("""COMPUTED_VALUE"""),7.754295)</f>
        <v>7.754295</v>
      </c>
      <c r="D13334" s="7">
        <f>IFERROR(__xludf.DUMMYFUNCTION("""COMPUTED_VALUE"""),0.378048780487804)</f>
        <v>0.3780487805</v>
      </c>
    </row>
    <row r="13335">
      <c r="A13335" s="10" t="s">
        <v>14774</v>
      </c>
      <c r="B13335" s="7" t="str">
        <f>IFERROR(__xludf.DUMMYFUNCTION("SPLIT(A13335,"" "")"),"Cc1cccnc1CN(Cc1ccccn1)Cc1cccc(N(C)C)n1")</f>
        <v>Cc1cccnc1CN(Cc1ccccn1)Cc1cccc(N(C)C)n1</v>
      </c>
      <c r="C13335" s="7">
        <f>IFERROR(__xludf.DUMMYFUNCTION("""COMPUTED_VALUE"""),7.754278)</f>
        <v>7.754278</v>
      </c>
      <c r="D13335" s="7">
        <f>IFERROR(__xludf.DUMMYFUNCTION("""COMPUTED_VALUE"""),0.5)</f>
        <v>0.5</v>
      </c>
    </row>
    <row r="13336">
      <c r="A13336" s="10" t="s">
        <v>14775</v>
      </c>
      <c r="B13336" s="7" t="str">
        <f>IFERROR(__xludf.DUMMYFUNCTION("SPLIT(A13336,"" "")"),"CCN(Cc1ccccn1)Cc1cccc(N(C)Cc2cc(C)c(C)c(C)n2)n1")</f>
        <v>CCN(Cc1ccccn1)Cc1cccc(N(C)Cc2cc(C)c(C)c(C)n2)n1</v>
      </c>
      <c r="C13336" s="7">
        <f>IFERROR(__xludf.DUMMYFUNCTION("""COMPUTED_VALUE"""),7.7542734)</f>
        <v>7.7542734</v>
      </c>
      <c r="D13336" s="7">
        <f>IFERROR(__xludf.DUMMYFUNCTION("""COMPUTED_VALUE"""),0.415094339622641)</f>
        <v>0.4150943396</v>
      </c>
    </row>
    <row r="13337">
      <c r="A13337" s="10" t="s">
        <v>14776</v>
      </c>
      <c r="B13337" s="7" t="str">
        <f>IFERROR(__xludf.DUMMYFUNCTION("SPLIT(A13337,"" "")"),"CCN(Cc1ccccn1)Cc1ncccc1N(C)Cc1ncc(C)cc1C")</f>
        <v>CCN(Cc1ccccn1)Cc1ncccc1N(C)Cc1ncc(C)cc1C</v>
      </c>
      <c r="C13337" s="7">
        <f>IFERROR(__xludf.DUMMYFUNCTION("""COMPUTED_VALUE"""),7.754273)</f>
        <v>7.754273</v>
      </c>
      <c r="D13337" s="7">
        <f>IFERROR(__xludf.DUMMYFUNCTION("""COMPUTED_VALUE"""),0.433962264150943)</f>
        <v>0.4339622642</v>
      </c>
    </row>
    <row r="13338">
      <c r="A13338" s="10" t="s">
        <v>14777</v>
      </c>
      <c r="B13338" s="7" t="str">
        <f>IFERROR(__xludf.DUMMYFUNCTION("SPLIT(A13338,"" "")"),"Cc1ccc(CN(Cc2ccccn2)Cc2cccnc2N(C)C)nc1")</f>
        <v>Cc1ccc(CN(Cc2ccccn2)Cc2cccnc2N(C)C)nc1</v>
      </c>
      <c r="C13338" s="7">
        <f>IFERROR(__xludf.DUMMYFUNCTION("""COMPUTED_VALUE"""),7.754272)</f>
        <v>7.754272</v>
      </c>
      <c r="D13338" s="7">
        <f>IFERROR(__xludf.DUMMYFUNCTION("""COMPUTED_VALUE"""),0.5)</f>
        <v>0.5</v>
      </c>
    </row>
    <row r="13339">
      <c r="A13339" s="10" t="s">
        <v>14778</v>
      </c>
      <c r="B13339" s="7" t="str">
        <f>IFERROR(__xludf.DUMMYFUNCTION("SPLIT(A13339,"" "")"),"Cc1cc(C)c(CN(C)C2=C(CN(C)Cc3ccccn3)CC=CN2)nc1C")</f>
        <v>Cc1cc(C)c(CN(C)C2=C(CN(C)Cc3ccccn3)CC=CN2)nc1C</v>
      </c>
      <c r="C13339" s="7">
        <f>IFERROR(__xludf.DUMMYFUNCTION("""COMPUTED_VALUE"""),7.7542677)</f>
        <v>7.7542677</v>
      </c>
      <c r="D13339" s="7">
        <f>IFERROR(__xludf.DUMMYFUNCTION("""COMPUTED_VALUE"""),0.383333333333333)</f>
        <v>0.3833333333</v>
      </c>
    </row>
    <row r="13340">
      <c r="A13340" s="10" t="s">
        <v>14779</v>
      </c>
      <c r="B13340" s="7" t="str">
        <f>IFERROR(__xludf.DUMMYFUNCTION("SPLIT(A13340,"" "")"),"Cc1cccc(CN(CC2=C(N(C)Cc3cccc(C)n3)CC=CN2)Cc2ccccn2)n1")</f>
        <v>Cc1cccc(CN(CC2=C(N(C)Cc3cccc(C)n3)CC=CN2)Cc2ccccn2)n1</v>
      </c>
      <c r="C13340" s="7">
        <f>IFERROR(__xludf.DUMMYFUNCTION("""COMPUTED_VALUE"""),7.7542663)</f>
        <v>7.7542663</v>
      </c>
      <c r="D13340" s="7">
        <f>IFERROR(__xludf.DUMMYFUNCTION("""COMPUTED_VALUE"""),0.456140350877192)</f>
        <v>0.4561403509</v>
      </c>
    </row>
    <row r="13341">
      <c r="A13341" s="10" t="s">
        <v>14780</v>
      </c>
      <c r="B13341" s="7" t="str">
        <f>IFERROR(__xludf.DUMMYFUNCTION("SPLIT(A13341,"" "")"),"Cc1cnc(CN(C)Cc2cc(-c3cccc(N(C)C4CCC(N(Cc5nc(C)c(C)cc5C)Cc5nc(C)c(C)cc5C)CC4)c3)ccn2)c(C)c1")</f>
        <v>Cc1cnc(CN(C)Cc2cc(-c3cccc(N(C)C4CCC(N(Cc5nc(C)c(C)cc5C)Cc5nc(C)c(C)cc5C)CC4)c3)ccn2)c(C)c1</v>
      </c>
      <c r="C13341" s="7">
        <f>IFERROR(__xludf.DUMMYFUNCTION("""COMPUTED_VALUE"""),7.7542624)</f>
        <v>7.7542624</v>
      </c>
      <c r="D13341" s="7">
        <f>IFERROR(__xludf.DUMMYFUNCTION("""COMPUTED_VALUE"""),0.260273972602739)</f>
        <v>0.2602739726</v>
      </c>
    </row>
    <row r="13342">
      <c r="A13342" s="10" t="s">
        <v>14781</v>
      </c>
      <c r="B13342" s="7" t="str">
        <f>IFERROR(__xludf.DUMMYFUNCTION("SPLIT(A13342,"" "")"),"CN(C)c1cccnc1CN(Cc1ccccn1)Cc1cccnc1F")</f>
        <v>CN(C)c1cccnc1CN(Cc1ccccn1)Cc1cccnc1F</v>
      </c>
      <c r="C13342" s="7">
        <f>IFERROR(__xludf.DUMMYFUNCTION("""COMPUTED_VALUE"""),7.754262)</f>
        <v>7.754262</v>
      </c>
      <c r="D13342" s="7">
        <f>IFERROR(__xludf.DUMMYFUNCTION("""COMPUTED_VALUE"""),0.5)</f>
        <v>0.5</v>
      </c>
    </row>
    <row r="13343">
      <c r="A13343" s="10" t="s">
        <v>14782</v>
      </c>
      <c r="B13343" s="7" t="str">
        <f>IFERROR(__xludf.DUMMYFUNCTION("SPLIT(A13343,"" "")"),"Cc1cc(C)c(C)c(CN(C)CC2=C(N(C)Cc3nccc(C)c3C)CC=CN2)n1")</f>
        <v>Cc1cc(C)c(C)c(CN(C)CC2=C(N(C)Cc3nccc(C)c3C)CC=CN2)n1</v>
      </c>
      <c r="C13343" s="7">
        <f>IFERROR(__xludf.DUMMYFUNCTION("""COMPUTED_VALUE"""),7.754255)</f>
        <v>7.754255</v>
      </c>
      <c r="D13343" s="7">
        <f>IFERROR(__xludf.DUMMYFUNCTION("""COMPUTED_VALUE"""),0.214285714285714)</f>
        <v>0.2142857143</v>
      </c>
    </row>
    <row r="13344">
      <c r="A13344" s="10" t="s">
        <v>14783</v>
      </c>
      <c r="B13344" s="7" t="str">
        <f>IFERROR(__xludf.DUMMYFUNCTION("SPLIT(A13344,"" "")"),"Cc1ccccc1N(C)C")</f>
        <v>Cc1ccccc1N(C)C</v>
      </c>
      <c r="C13344" s="7">
        <f>IFERROR(__xludf.DUMMYFUNCTION("""COMPUTED_VALUE"""),7.754245)</f>
        <v>7.754245</v>
      </c>
      <c r="D13344" s="7">
        <f>IFERROR(__xludf.DUMMYFUNCTION("""COMPUTED_VALUE"""),0.333333333333333)</f>
        <v>0.3333333333</v>
      </c>
    </row>
    <row r="13345">
      <c r="A13345" s="10" t="s">
        <v>14784</v>
      </c>
      <c r="B13345" s="7" t="str">
        <f>IFERROR(__xludf.DUMMYFUNCTION("SPLIT(A13345,"" "")"),"Cc1ccc(CN(CC2=CCC=C(N(C)Cc3ccccn3)N2)Cc2ccccn2)nc1")</f>
        <v>Cc1ccc(CN(CC2=CCC=C(N(C)Cc3ccccn3)N2)Cc2ccccn2)nc1</v>
      </c>
      <c r="C13345" s="7">
        <f>IFERROR(__xludf.DUMMYFUNCTION("""COMPUTED_VALUE"""),7.7542434)</f>
        <v>7.7542434</v>
      </c>
      <c r="D13345" s="7">
        <f>IFERROR(__xludf.DUMMYFUNCTION("""COMPUTED_VALUE"""),0.49090909090909)</f>
        <v>0.4909090909</v>
      </c>
    </row>
    <row r="13346">
      <c r="A13346" s="10" t="s">
        <v>14785</v>
      </c>
      <c r="B13346" s="7" t="str">
        <f>IFERROR(__xludf.DUMMYFUNCTION("SPLIT(A13346,"" "")"),"CN(CCN)Cc1cc(-c2cccc(N)c2)ccn1")</f>
        <v>CN(CCN)Cc1cc(-c2cccc(N)c2)ccn1</v>
      </c>
      <c r="C13346" s="7">
        <f>IFERROR(__xludf.DUMMYFUNCTION("""COMPUTED_VALUE"""),7.7542343)</f>
        <v>7.7542343</v>
      </c>
      <c r="D13346" s="7">
        <f>IFERROR(__xludf.DUMMYFUNCTION("""COMPUTED_VALUE"""),0.347826086956521)</f>
        <v>0.347826087</v>
      </c>
    </row>
    <row r="13347">
      <c r="A13347" s="10" t="s">
        <v>14786</v>
      </c>
      <c r="B13347" s="7" t="str">
        <f>IFERROR(__xludf.DUMMYFUNCTION("SPLIT(A13347,"" "")"),"Cc1cncc(CN(Cc2ccccn2)Cc2ncccc2N(C)C)c1")</f>
        <v>Cc1cncc(CN(Cc2ccccn2)Cc2ncccc2N(C)C)c1</v>
      </c>
      <c r="C13347" s="7">
        <f>IFERROR(__xludf.DUMMYFUNCTION("""COMPUTED_VALUE"""),7.7542315)</f>
        <v>7.7542315</v>
      </c>
      <c r="D13347" s="7">
        <f>IFERROR(__xludf.DUMMYFUNCTION("""COMPUTED_VALUE"""),0.444444444444444)</f>
        <v>0.4444444444</v>
      </c>
    </row>
    <row r="13348">
      <c r="A13348" s="10" t="s">
        <v>14787</v>
      </c>
      <c r="B13348" s="7" t="str">
        <f>IFERROR(__xludf.DUMMYFUNCTION("SPLIT(A13348,"" "")"),"CNc1cccc(-c2cccc(-c3cccc(CNC4CCC(N(C)Cc5ncccc5C)CC4)n3)n2)n1")</f>
        <v>CNc1cccc(-c2cccc(-c3cccc(CNC4CCC(N(C)Cc5ncccc5C)CC4)n3)n2)n1</v>
      </c>
      <c r="C13348" s="7">
        <f>IFERROR(__xludf.DUMMYFUNCTION("""COMPUTED_VALUE"""),7.7542276)</f>
        <v>7.7542276</v>
      </c>
      <c r="D13348" s="7">
        <f>IFERROR(__xludf.DUMMYFUNCTION("""COMPUTED_VALUE"""),0.34375)</f>
        <v>0.34375</v>
      </c>
    </row>
    <row r="13349">
      <c r="A13349" s="10" t="s">
        <v>14788</v>
      </c>
      <c r="B13349" s="7" t="str">
        <f>IFERROR(__xludf.DUMMYFUNCTION("SPLIT(A13349,"" "")"),"Cc1ccnc(CN(Cc2nc(C)c(C)c(C)c2C)C2CCCCC2N(C)c2cccc3nc(CN(C)C)ccc23)c1")</f>
        <v>Cc1ccnc(CN(Cc2nc(C)c(C)c(C)c2C)C2CCCCC2N(C)c2cccc3nc(CN(C)C)ccc23)c1</v>
      </c>
      <c r="C13349" s="7">
        <f>IFERROR(__xludf.DUMMYFUNCTION("""COMPUTED_VALUE"""),7.7542176)</f>
        <v>7.7542176</v>
      </c>
      <c r="D13349" s="7">
        <f>IFERROR(__xludf.DUMMYFUNCTION("""COMPUTED_VALUE"""),0.338028169014084)</f>
        <v>0.338028169</v>
      </c>
    </row>
    <row r="13350">
      <c r="A13350" s="10" t="s">
        <v>14789</v>
      </c>
      <c r="B13350" s="7" t="str">
        <f>IFERROR(__xludf.DUMMYFUNCTION("SPLIT(A13350,"" "")"),"CCOC(=O)c1cccc(CN(Cc2ccccn2)C2CCC(N(C)c3cccc4nc(CN(C)C)ccc34)CC2)n1")</f>
        <v>CCOC(=O)c1cccc(CN(Cc2ccccn2)C2CCC(N(C)c3cccc4nc(CN(C)C)ccc34)CC2)n1</v>
      </c>
      <c r="C13350" s="7">
        <f>IFERROR(__xludf.DUMMYFUNCTION("""COMPUTED_VALUE"""),7.7542043)</f>
        <v>7.7542043</v>
      </c>
      <c r="D13350" s="7">
        <f>IFERROR(__xludf.DUMMYFUNCTION("""COMPUTED_VALUE"""),0.328571428571428)</f>
        <v>0.3285714286</v>
      </c>
    </row>
    <row r="13351">
      <c r="A13351" s="10" t="s">
        <v>14790</v>
      </c>
      <c r="B13351" s="7" t="str">
        <f>IFERROR(__xludf.DUMMYFUNCTION("SPLIT(A13351,"" "")"),"COC(=O)c1ccc(CN(Cc2ccccn2)Cc2cc(C(C)(C)C)ccn2)cn1")</f>
        <v>COC(=O)c1ccc(CN(Cc2ccccn2)Cc2cc(C(C)(C)C)ccn2)cn1</v>
      </c>
      <c r="C13351" s="7">
        <f>IFERROR(__xludf.DUMMYFUNCTION("""COMPUTED_VALUE"""),7.754203)</f>
        <v>7.754203</v>
      </c>
      <c r="D13351" s="7">
        <f>IFERROR(__xludf.DUMMYFUNCTION("""COMPUTED_VALUE"""),0.392156862745098)</f>
        <v>0.3921568627</v>
      </c>
    </row>
    <row r="13352">
      <c r="A13352" s="10" t="s">
        <v>14791</v>
      </c>
      <c r="B13352" s="7" t="str">
        <f>IFERROR(__xludf.DUMMYFUNCTION("SPLIT(A13352,"" "")"),"Cc1ccc(CN(C)CC2=CCC(N(C)Cc3ncc(C)cc3C)=CN2)nc1")</f>
        <v>Cc1ccc(CN(C)CC2=CCC(N(C)Cc3ncc(C)cc3C)=CN2)nc1</v>
      </c>
      <c r="C13352" s="7">
        <f>IFERROR(__xludf.DUMMYFUNCTION("""COMPUTED_VALUE"""),7.7541976)</f>
        <v>7.7541976</v>
      </c>
      <c r="D13352" s="7">
        <f>IFERROR(__xludf.DUMMYFUNCTION("""COMPUTED_VALUE"""),0.423076923076923)</f>
        <v>0.4230769231</v>
      </c>
    </row>
    <row r="13353">
      <c r="A13353" s="10" t="s">
        <v>14792</v>
      </c>
      <c r="B13353" s="7" t="str">
        <f>IFERROR(__xludf.DUMMYFUNCTION("SPLIT(A13353,"" "")"),"Cc1ccnc(CN(C)C2=CNC(CN(C)C)=CC2)c1C")</f>
        <v>Cc1ccnc(CN(C)C2=CNC(CN(C)C)=CC2)c1C</v>
      </c>
      <c r="C13353" s="7">
        <f>IFERROR(__xludf.DUMMYFUNCTION("""COMPUTED_VALUE"""),7.754196)</f>
        <v>7.754196</v>
      </c>
      <c r="D13353" s="7">
        <f>IFERROR(__xludf.DUMMYFUNCTION("""COMPUTED_VALUE"""),0.245901639344262)</f>
        <v>0.2459016393</v>
      </c>
    </row>
    <row r="13354">
      <c r="A13354" s="10" t="s">
        <v>14793</v>
      </c>
      <c r="B13354" s="7" t="str">
        <f>IFERROR(__xludf.DUMMYFUNCTION("SPLIT(A13354,"" "")"),"CC1=CC(C)CC(C)C1N(C)CC1=CC(N(C)c2ccc3cccnc3c2)C=CN1")</f>
        <v>CC1=CC(C)CC(C)C1N(C)CC1=CC(N(C)c2ccc3cccnc3c2)C=CN1</v>
      </c>
      <c r="C13354" s="7">
        <f>IFERROR(__xludf.DUMMYFUNCTION("""COMPUTED_VALUE"""),7.7541957)</f>
        <v>7.7541957</v>
      </c>
      <c r="D13354" s="7">
        <f>IFERROR(__xludf.DUMMYFUNCTION("""COMPUTED_VALUE"""),0.28169014084507)</f>
        <v>0.2816901408</v>
      </c>
    </row>
    <row r="13355">
      <c r="A13355" s="10" t="s">
        <v>14794</v>
      </c>
      <c r="B13355" s="7" t="str">
        <f>IFERROR(__xludf.DUMMYFUNCTION("SPLIT(A13355,"" "")"),"CC1CCC1N(Cc1ccccn1)Cc1cccc(-c2cccc(N=Cc3ccccn3)c2)n1")</f>
        <v>CC1CCC1N(Cc1ccccn1)Cc1cccc(-c2cccc(N=Cc3ccccn3)c2)n1</v>
      </c>
      <c r="C13355" s="7">
        <f>IFERROR(__xludf.DUMMYFUNCTION("""COMPUTED_VALUE"""),7.7541933)</f>
        <v>7.7541933</v>
      </c>
      <c r="D13355" s="7">
        <f>IFERROR(__xludf.DUMMYFUNCTION("""COMPUTED_VALUE"""),0.432835820895522)</f>
        <v>0.4328358209</v>
      </c>
    </row>
    <row r="13356">
      <c r="A13356" s="10" t="s">
        <v>14795</v>
      </c>
      <c r="B13356" s="7" t="str">
        <f>IFERROR(__xludf.DUMMYFUNCTION("SPLIT(A13356,"" "")"),"Cc1cnc(C)c(CN(C)Cc2nc(C)c(C)cc2C)c1")</f>
        <v>Cc1cnc(C)c(CN(C)Cc2nc(C)c(C)cc2C)c1</v>
      </c>
      <c r="C13356" s="7">
        <f>IFERROR(__xludf.DUMMYFUNCTION("""COMPUTED_VALUE"""),7.7541876)</f>
        <v>7.7541876</v>
      </c>
      <c r="D13356" s="7">
        <f>IFERROR(__xludf.DUMMYFUNCTION("""COMPUTED_VALUE"""),0.311111111111111)</f>
        <v>0.3111111111</v>
      </c>
    </row>
    <row r="13357">
      <c r="A13357" s="10" t="s">
        <v>14796</v>
      </c>
      <c r="B13357" s="7" t="str">
        <f>IFERROR(__xludf.DUMMYFUNCTION("SPLIT(A13357,"" "")"),"CNCc1nc(CN(Cc2ncc(C)cc2C)Cc2ncc(C)cc2C)c(C)cc1C")</f>
        <v>CNCc1nc(CN(Cc2ncc(C)cc2C)Cc2ncc(C)cc2C)c(C)cc1C</v>
      </c>
      <c r="C13357" s="7">
        <f>IFERROR(__xludf.DUMMYFUNCTION("""COMPUTED_VALUE"""),7.754183)</f>
        <v>7.754183</v>
      </c>
      <c r="D13357" s="7">
        <f>IFERROR(__xludf.DUMMYFUNCTION("""COMPUTED_VALUE"""),0.25531914893617)</f>
        <v>0.2553191489</v>
      </c>
    </row>
    <row r="13358">
      <c r="A13358" s="10" t="s">
        <v>14797</v>
      </c>
      <c r="B13358" s="7" t="str">
        <f>IFERROR(__xludf.DUMMYFUNCTION("SPLIT(A13358,"" "")"),"CNC1NC=CC=C1N(Cc1ccccn1)Cc1ncccc1C")</f>
        <v>CNC1NC=CC=C1N(Cc1ccccn1)Cc1ncccc1C</v>
      </c>
      <c r="C13358" s="7">
        <f>IFERROR(__xludf.DUMMYFUNCTION("""COMPUTED_VALUE"""),7.7541795)</f>
        <v>7.7541795</v>
      </c>
      <c r="D13358" s="7">
        <f>IFERROR(__xludf.DUMMYFUNCTION("""COMPUTED_VALUE"""),0.383333333333333)</f>
        <v>0.3833333333</v>
      </c>
    </row>
    <row r="13359">
      <c r="A13359" s="10" t="s">
        <v>14798</v>
      </c>
      <c r="B13359" s="7" t="str">
        <f>IFERROR(__xludf.DUMMYFUNCTION("SPLIT(A13359,"" "")"),"CN(C)Cc1ccc2cc(N(C)C3CCCCC3N(Cc3ccccn3)Cc3cccc(C4=CCC=CN4)n3)ccc2n1")</f>
        <v>CN(C)Cc1ccc2cc(N(C)C3CCCCC3N(Cc3ccccn3)Cc3cccc(C4=CCC=CN4)n3)ccc2n1</v>
      </c>
      <c r="C13359" s="7">
        <f>IFERROR(__xludf.DUMMYFUNCTION("""COMPUTED_VALUE"""),7.754177)</f>
        <v>7.754177</v>
      </c>
      <c r="D13359" s="7">
        <f>IFERROR(__xludf.DUMMYFUNCTION("""COMPUTED_VALUE"""),0.366197183098591)</f>
        <v>0.3661971831</v>
      </c>
    </row>
    <row r="13360">
      <c r="A13360" s="10" t="s">
        <v>14799</v>
      </c>
      <c r="B13360" s="7" t="str">
        <f>IFERROR(__xludf.DUMMYFUNCTION("SPLIT(A13360,"" "")"),"Cc1ccc(CN(C)C2=C(CN(Cc3ccccn3)Cc3nc(C)c(C)cc3C)NC=CC2)cn1")</f>
        <v>Cc1ccc(CN(C)C2=C(CN(Cc3ccccn3)Cc3nc(C)c(C)cc3C)NC=CC2)cn1</v>
      </c>
      <c r="C13360" s="7">
        <f>IFERROR(__xludf.DUMMYFUNCTION("""COMPUTED_VALUE"""),7.754177)</f>
        <v>7.754177</v>
      </c>
      <c r="D13360" s="7">
        <f>IFERROR(__xludf.DUMMYFUNCTION("""COMPUTED_VALUE"""),0.366197183098591)</f>
        <v>0.3661971831</v>
      </c>
    </row>
    <row r="13361">
      <c r="A13361" s="10" t="s">
        <v>14800</v>
      </c>
      <c r="B13361" s="7" t="str">
        <f>IFERROR(__xludf.DUMMYFUNCTION("SPLIT(A13361,"" "")"),"Cc1cc(C)c(CN(C)Cc2cc(N(C)C(C)C)ccn2)nc1C")</f>
        <v>Cc1cc(C)c(CN(C)Cc2cc(N(C)C(C)C)ccn2)nc1C</v>
      </c>
      <c r="C13361" s="7">
        <f>IFERROR(__xludf.DUMMYFUNCTION("""COMPUTED_VALUE"""),7.754176)</f>
        <v>7.754176</v>
      </c>
      <c r="D13361" s="7">
        <f>IFERROR(__xludf.DUMMYFUNCTION("""COMPUTED_VALUE"""),0.309090909090909)</f>
        <v>0.3090909091</v>
      </c>
    </row>
    <row r="13362">
      <c r="A13362" s="10" t="s">
        <v>14801</v>
      </c>
      <c r="B13362" s="7" t="str">
        <f>IFERROR(__xludf.DUMMYFUNCTION("SPLIT(A13362,"" "")"),"Cc1cc(C)c2cccc(N(C)C3CCCCC3N(C)Cc3cc(C)c(C)c(C)n3)c2n1")</f>
        <v>Cc1cc(C)c2cccc(N(C)C3CCCCC3N(C)Cc3cc(C)c(C)c(C)n3)c2n1</v>
      </c>
      <c r="C13362" s="7">
        <f>IFERROR(__xludf.DUMMYFUNCTION("""COMPUTED_VALUE"""),7.754172)</f>
        <v>7.754172</v>
      </c>
      <c r="D13362" s="7">
        <f>IFERROR(__xludf.DUMMYFUNCTION("""COMPUTED_VALUE"""),0.464285714285714)</f>
        <v>0.4642857143</v>
      </c>
    </row>
    <row r="13363">
      <c r="A13363" s="10" t="s">
        <v>14802</v>
      </c>
      <c r="B13363" s="7" t="str">
        <f>IFERROR(__xludf.DUMMYFUNCTION("SPLIT(A13363,"" "")"),"Cc1cnc(CN(C)CC2=C(N(C)Cc3ncc(C)c(C)c3C)CC=CN2)c(C)c1")</f>
        <v>Cc1cnc(CN(C)CC2=C(N(C)Cc3ncc(C)c(C)c3C)CC=CN2)c(C)c1</v>
      </c>
      <c r="C13363" s="7">
        <f>IFERROR(__xludf.DUMMYFUNCTION("""COMPUTED_VALUE"""),7.7541537)</f>
        <v>7.7541537</v>
      </c>
      <c r="D13363" s="7">
        <f>IFERROR(__xludf.DUMMYFUNCTION("""COMPUTED_VALUE"""),0.258620689655172)</f>
        <v>0.2586206897</v>
      </c>
    </row>
    <row r="13364">
      <c r="A13364" s="10" t="s">
        <v>14803</v>
      </c>
      <c r="B13364" s="7" t="str">
        <f>IFERROR(__xludf.DUMMYFUNCTION("SPLIT(A13364,"" "")"),"Cc1ccc(CN(Cc2cccc(N(C)C)n2)Cc2cccnc2F)nc1")</f>
        <v>Cc1ccc(CN(Cc2cccc(N(C)C)n2)Cc2cccnc2F)nc1</v>
      </c>
      <c r="C13364" s="7">
        <f>IFERROR(__xludf.DUMMYFUNCTION("""COMPUTED_VALUE"""),7.754145)</f>
        <v>7.754145</v>
      </c>
      <c r="D13364" s="7">
        <f>IFERROR(__xludf.DUMMYFUNCTION("""COMPUTED_VALUE"""),0.428571428571428)</f>
        <v>0.4285714286</v>
      </c>
    </row>
    <row r="13365">
      <c r="A13365" s="10" t="s">
        <v>14804</v>
      </c>
      <c r="B13365" s="7" t="str">
        <f>IFERROR(__xludf.DUMMYFUNCTION("SPLIT(A13365,"" "")"),"Cc1cc(CN(Cc2ccccn2)C2CCC(N(C)c3cccc4nccc(C)c34)CC2)cnc1C")</f>
        <v>Cc1cc(CN(Cc2ccccn2)C2CCC(N(C)c3cccc4nccc(C)c34)CC2)cnc1C</v>
      </c>
      <c r="C13365" s="7">
        <f>IFERROR(__xludf.DUMMYFUNCTION("""COMPUTED_VALUE"""),7.754141)</f>
        <v>7.754141</v>
      </c>
      <c r="D13365" s="7">
        <f>IFERROR(__xludf.DUMMYFUNCTION("""COMPUTED_VALUE"""),0.338461538461538)</f>
        <v>0.3384615385</v>
      </c>
    </row>
    <row r="13366">
      <c r="A13366" s="10" t="s">
        <v>14805</v>
      </c>
      <c r="B13366" s="7" t="str">
        <f>IFERROR(__xludf.DUMMYFUNCTION("SPLIT(A13366,"" "")"),"Cc1cc(C2CC(C)(C)C2)nc(C2=NC(C(C)C)C(C(C)C)O2)c1C")</f>
        <v>Cc1cc(C2CC(C)(C)C2)nc(C2=NC(C(C)C)C(C(C)C)O2)c1C</v>
      </c>
      <c r="C13366" s="7">
        <f>IFERROR(__xludf.DUMMYFUNCTION("""COMPUTED_VALUE"""),7.754138)</f>
        <v>7.754138</v>
      </c>
      <c r="D13366" s="7">
        <f>IFERROR(__xludf.DUMMYFUNCTION("""COMPUTED_VALUE"""),0.189655172413793)</f>
        <v>0.1896551724</v>
      </c>
    </row>
    <row r="13367">
      <c r="A13367" s="10" t="s">
        <v>14806</v>
      </c>
      <c r="B13367" s="7" t="str">
        <f>IFERROR(__xludf.DUMMYFUNCTION("SPLIT(A13367,"" "")"),"Cc1cc(CN(Cc2ccccn2)C2CCCC(N(C)c3cccc4c(C)ccnc34)C2)cnc1C")</f>
        <v>Cc1cc(CN(Cc2ccccn2)C2CCCC(N(C)c3cccc4c(C)ccnc34)C2)cnc1C</v>
      </c>
      <c r="C13367" s="7">
        <f>IFERROR(__xludf.DUMMYFUNCTION("""COMPUTED_VALUE"""),7.7541375)</f>
        <v>7.7541375</v>
      </c>
      <c r="D13367" s="7">
        <f>IFERROR(__xludf.DUMMYFUNCTION("""COMPUTED_VALUE"""),0.343283582089552)</f>
        <v>0.3432835821</v>
      </c>
    </row>
    <row r="13368">
      <c r="A13368" s="10" t="s">
        <v>14807</v>
      </c>
      <c r="B13368" s="7" t="str">
        <f>IFERROR(__xludf.DUMMYFUNCTION("SPLIT(A13368,"" "")"),"Cc1ccc(CN(Cc2ccccn2)C2=CNC(CN(C)Cc3cccc(C)n3)=CC2)nc1")</f>
        <v>Cc1ccc(CN(Cc2ccccn2)C2=CNC(CN(C)Cc3cccc(C)n3)=CC2)nc1</v>
      </c>
      <c r="C13368" s="7">
        <f>IFERROR(__xludf.DUMMYFUNCTION("""COMPUTED_VALUE"""),7.7541375)</f>
        <v>7.7541375</v>
      </c>
      <c r="D13368" s="7">
        <f>IFERROR(__xludf.DUMMYFUNCTION("""COMPUTED_VALUE"""),0.423728813559322)</f>
        <v>0.4237288136</v>
      </c>
    </row>
    <row r="13369">
      <c r="A13369" s="10" t="s">
        <v>14808</v>
      </c>
      <c r="B13369" s="7" t="str">
        <f>IFERROR(__xludf.DUMMYFUNCTION("SPLIT(A13369,"" "")"),"Cc1cnccc1CN(C)CC1=CCC=C(N(C)Cc2ccccn2)N1")</f>
        <v>Cc1cnccc1CN(C)CC1=CCC=C(N(C)Cc2ccccn2)N1</v>
      </c>
      <c r="C13369" s="7">
        <f>IFERROR(__xludf.DUMMYFUNCTION("""COMPUTED_VALUE"""),7.7541327)</f>
        <v>7.7541327</v>
      </c>
      <c r="D13369" s="7">
        <f>IFERROR(__xludf.DUMMYFUNCTION("""COMPUTED_VALUE"""),0.370967741935483)</f>
        <v>0.3709677419</v>
      </c>
    </row>
    <row r="13370">
      <c r="A13370" s="10" t="s">
        <v>14809</v>
      </c>
      <c r="B13370" s="7" t="str">
        <f>IFERROR(__xludf.DUMMYFUNCTION("SPLIT(A13370,"" "")"),"CC(C)(C)c1cccc(CN(Cc2ccccn2)c2ccc(F)cc2)n1")</f>
        <v>CC(C)(C)c1cccc(CN(Cc2ccccn2)c2ccc(F)cc2)n1</v>
      </c>
      <c r="C13370" s="7">
        <f>IFERROR(__xludf.DUMMYFUNCTION("""COMPUTED_VALUE"""),7.75413)</f>
        <v>7.75413</v>
      </c>
      <c r="D13370" s="7">
        <f>IFERROR(__xludf.DUMMYFUNCTION("""COMPUTED_VALUE"""),0.448979591836734)</f>
        <v>0.4489795918</v>
      </c>
    </row>
    <row r="13371">
      <c r="A13371" s="10" t="s">
        <v>14810</v>
      </c>
      <c r="B13371" s="7" t="str">
        <f>IFERROR(__xludf.DUMMYFUNCTION("SPLIT(A13371,"" "")"),"Cc1ccccc1N(C)CC1=CCC=CN1")</f>
        <v>Cc1ccccc1N(C)CC1=CCC=CN1</v>
      </c>
      <c r="C13371" s="7">
        <f>IFERROR(__xludf.DUMMYFUNCTION("""COMPUTED_VALUE"""),7.75413)</f>
        <v>7.75413</v>
      </c>
      <c r="D13371" s="7">
        <f>IFERROR(__xludf.DUMMYFUNCTION("""COMPUTED_VALUE"""),0.468085106382978)</f>
        <v>0.4680851064</v>
      </c>
    </row>
    <row r="13372">
      <c r="A13372" s="10" t="s">
        <v>14811</v>
      </c>
      <c r="B13372" s="7" t="str">
        <f>IFERROR(__xludf.DUMMYFUNCTION("SPLIT(A13372,"" "")"),"Cc1nc(CN(C)C2=C(CN(C(C)C)C(C)C)NC=CC2)c(C)c(C)c1C")</f>
        <v>Cc1nc(CN(C)C2=C(CN(C(C)C)C(C)C)NC=CC2)c(C)c(C)c1C</v>
      </c>
      <c r="C13372" s="7">
        <f>IFERROR(__xludf.DUMMYFUNCTION("""COMPUTED_VALUE"""),7.754128)</f>
        <v>7.754128</v>
      </c>
      <c r="D13372" s="7">
        <f>IFERROR(__xludf.DUMMYFUNCTION("""COMPUTED_VALUE"""),0.196428571428571)</f>
        <v>0.1964285714</v>
      </c>
    </row>
    <row r="13373">
      <c r="A13373" s="10" t="s">
        <v>14812</v>
      </c>
      <c r="B13373" s="7" t="str">
        <f>IFERROR(__xludf.DUMMYFUNCTION("SPLIT(A13373,"" "")"),"CN(C)c1cccnc1CN(Cc1ccc(F)nc1)Cc1ccccn1")</f>
        <v>CN(C)c1cccnc1CN(Cc1ccc(F)nc1)Cc1ccccn1</v>
      </c>
      <c r="C13373" s="7">
        <f>IFERROR(__xludf.DUMMYFUNCTION("""COMPUTED_VALUE"""),7.7541265)</f>
        <v>7.7541265</v>
      </c>
      <c r="D13373" s="7">
        <f>IFERROR(__xludf.DUMMYFUNCTION("""COMPUTED_VALUE"""),0.454545454545454)</f>
        <v>0.4545454545</v>
      </c>
    </row>
    <row r="13374">
      <c r="A13374" s="10" t="s">
        <v>14813</v>
      </c>
      <c r="B13374" s="7" t="str">
        <f>IFERROR(__xludf.DUMMYFUNCTION("SPLIT(A13374,"" "")"),"CN(C)c1ccccc1-c1ccc(CN(Cc2ccccn2)C2(C)CCC2)nc1")</f>
        <v>CN(C)c1ccccc1-c1ccc(CN(Cc2ccccn2)C2(C)CCC2)nc1</v>
      </c>
      <c r="C13374" s="7">
        <f>IFERROR(__xludf.DUMMYFUNCTION("""COMPUTED_VALUE"""),7.7541227)</f>
        <v>7.7541227</v>
      </c>
      <c r="D13374" s="7">
        <f>IFERROR(__xludf.DUMMYFUNCTION("""COMPUTED_VALUE"""),0.388888888888888)</f>
        <v>0.3888888889</v>
      </c>
    </row>
    <row r="13375">
      <c r="A13375" s="10" t="s">
        <v>14814</v>
      </c>
      <c r="B13375" s="7" t="str">
        <f>IFERROR(__xludf.DUMMYFUNCTION("SPLIT(A13375,"" "")"),"Cc1ccc(C)c(CN(C)Cc2cccc(N(C)C3C=CC=CN3)n2)n1")</f>
        <v>Cc1ccc(C)c(CN(C)Cc2cccc(N(C)C3C=CC=CN3)n2)n1</v>
      </c>
      <c r="C13375" s="7">
        <f>IFERROR(__xludf.DUMMYFUNCTION("""COMPUTED_VALUE"""),7.7541075)</f>
        <v>7.7541075</v>
      </c>
      <c r="D13375" s="7">
        <f>IFERROR(__xludf.DUMMYFUNCTION("""COMPUTED_VALUE"""),0.377358490566037)</f>
        <v>0.3773584906</v>
      </c>
    </row>
    <row r="13376">
      <c r="A13376" s="10" t="s">
        <v>14815</v>
      </c>
      <c r="B13376" s="7" t="str">
        <f>IFERROR(__xludf.DUMMYFUNCTION("SPLIT(A13376,"" "")"),"Cc1cnc(CN(C)C2=C(CN(C)Cc3cc(C)c(C)c(C)n3)NC=CC2)cc1C")</f>
        <v>Cc1cnc(CN(C)C2=C(CN(C)Cc3cc(C)c(C)c(C)n3)NC=CC2)cc1C</v>
      </c>
      <c r="C13376" s="7">
        <f>IFERROR(__xludf.DUMMYFUNCTION("""COMPUTED_VALUE"""),7.754106)</f>
        <v>7.754106</v>
      </c>
      <c r="D13376" s="7">
        <f>IFERROR(__xludf.DUMMYFUNCTION("""COMPUTED_VALUE"""),0.275862068965517)</f>
        <v>0.275862069</v>
      </c>
    </row>
    <row r="13377">
      <c r="A13377" s="10" t="s">
        <v>14816</v>
      </c>
      <c r="B13377" s="7" t="str">
        <f>IFERROR(__xludf.DUMMYFUNCTION("SPLIT(A13377,"" "")"),"CNC1=C(SCc2ccccn2)NCC=C1")</f>
        <v>CNC1=C(SCc2ccccn2)NCC=C1</v>
      </c>
      <c r="C13377" s="7">
        <f>IFERROR(__xludf.DUMMYFUNCTION("""COMPUTED_VALUE"""),7.7541027)</f>
        <v>7.7541027</v>
      </c>
      <c r="D13377" s="7">
        <f>IFERROR(__xludf.DUMMYFUNCTION("""COMPUTED_VALUE"""),0.395348837209302)</f>
        <v>0.3953488372</v>
      </c>
    </row>
    <row r="13378">
      <c r="A13378" s="10" t="s">
        <v>14817</v>
      </c>
      <c r="B13378" s="7" t="str">
        <f>IFERROR(__xludf.DUMMYFUNCTION("SPLIT(A13378,"" "")"),"Cc1ccc(C)c(CN(CC2=C(N(C)Cc3nc(C)ccc3C)CC=CN2)Cc2ccccn2)n1")</f>
        <v>Cc1ccc(C)c(CN(CC2=C(N(C)Cc3nc(C)ccc3C)CC=CN2)Cc2ccccn2)n1</v>
      </c>
      <c r="C13378" s="7">
        <f>IFERROR(__xludf.DUMMYFUNCTION("""COMPUTED_VALUE"""),7.754102)</f>
        <v>7.754102</v>
      </c>
      <c r="D13378" s="7">
        <f>IFERROR(__xludf.DUMMYFUNCTION("""COMPUTED_VALUE"""),0.426229508196721)</f>
        <v>0.4262295082</v>
      </c>
    </row>
    <row r="13379">
      <c r="A13379" s="10" t="s">
        <v>14818</v>
      </c>
      <c r="B13379" s="7" t="str">
        <f>IFERROR(__xludf.DUMMYFUNCTION("SPLIT(A13379,"" "")"),"CC(C)C1=CC2(C=CN1)C=CC(N(C)Cc1ccccn1)C(c1ccc(CN(Cc3ccccn3)Cc3cc(-c4cccc(N(C)C)c4)ccn3)cn1)C2(C)C")</f>
        <v>CC(C)C1=CC2(C=CN1)C=CC(N(C)Cc1ccccn1)C(c1ccc(CN(Cc3ccccn3)Cc3cc(-c4cccc(N(C)C)c4)ccn3)cn1)C2(C)C</v>
      </c>
      <c r="C13379" s="7">
        <f>IFERROR(__xludf.DUMMYFUNCTION("""COMPUTED_VALUE"""),7.7541018)</f>
        <v>7.7541018</v>
      </c>
      <c r="D13379" s="7">
        <f>IFERROR(__xludf.DUMMYFUNCTION("""COMPUTED_VALUE"""),0.282608695652173)</f>
        <v>0.2826086957</v>
      </c>
    </row>
    <row r="13380">
      <c r="A13380" s="10" t="s">
        <v>14819</v>
      </c>
      <c r="B13380" s="7" t="str">
        <f>IFERROR(__xludf.DUMMYFUNCTION("SPLIT(A13380,"" "")"),"Cc1cnc(CN(Cc2ccccn2)C(C)(N)N(Cc2nc(C)c(C)c(C)c2C)C(C)C)c(CN(C)c2ccccc2F)c1")</f>
        <v>Cc1cnc(CN(Cc2ccccn2)C(C)(N)N(Cc2nc(C)c(C)c(C)c2C)C(C)C)c(CN(C)c2ccccc2F)c1</v>
      </c>
      <c r="C13380" s="7">
        <f>IFERROR(__xludf.DUMMYFUNCTION("""COMPUTED_VALUE"""),7.7541003)</f>
        <v>7.7541003</v>
      </c>
      <c r="D13380" s="7">
        <f>IFERROR(__xludf.DUMMYFUNCTION("""COMPUTED_VALUE"""),0.319444444444444)</f>
        <v>0.3194444444</v>
      </c>
    </row>
    <row r="13381">
      <c r="A13381" s="10" t="s">
        <v>14820</v>
      </c>
      <c r="B13381" s="7" t="str">
        <f>IFERROR(__xludf.DUMMYFUNCTION("SPLIT(A13381,"" "")"),"Cc1cc(C)c(CN(C)C2CCC(N(Cc3ccc4ncccc4c3)Cc3ccc4ccccc4n3)CC2)cn1")</f>
        <v>Cc1cc(C)c(CN(C)C2CCC(N(Cc3ccc4ncccc4c3)Cc3ccc4ccccc4n3)CC2)cn1</v>
      </c>
      <c r="C13381" s="7">
        <f>IFERROR(__xludf.DUMMYFUNCTION("""COMPUTED_VALUE"""),7.7541003)</f>
        <v>7.7541003</v>
      </c>
      <c r="D13381" s="7">
        <f>IFERROR(__xludf.DUMMYFUNCTION("""COMPUTED_VALUE"""),0.343283582089552)</f>
        <v>0.3432835821</v>
      </c>
    </row>
    <row r="13382">
      <c r="A13382" s="10" t="s">
        <v>14821</v>
      </c>
      <c r="B13382" s="7" t="str">
        <f>IFERROR(__xludf.DUMMYFUNCTION("SPLIT(A13382,"" "")"),"CN(Cc1cccc(C2=CCC=CN2)n1)C1CCC(N(C)c2ccc3cc(CF)cnc3c2)CC1")</f>
        <v>CN(Cc1cccc(C2=CCC=CN2)n1)C1CCC(N(C)c2ccc3cc(CF)cnc3c2)CC1</v>
      </c>
      <c r="C13382" s="7">
        <f>IFERROR(__xludf.DUMMYFUNCTION("""COMPUTED_VALUE"""),7.754097)</f>
        <v>7.754097</v>
      </c>
      <c r="D13382" s="7">
        <f>IFERROR(__xludf.DUMMYFUNCTION("""COMPUTED_VALUE"""),0.272727272727272)</f>
        <v>0.2727272727</v>
      </c>
    </row>
    <row r="13383">
      <c r="A13383" s="10" t="s">
        <v>14822</v>
      </c>
      <c r="B13383" s="7" t="str">
        <f>IFERROR(__xludf.DUMMYFUNCTION("SPLIT(A13383,"" "")"),"CN(CCN(Cc1ccccn1)c1cccc2nccc(CF)c12)C(C)(C)C")</f>
        <v>CN(CCN(Cc1ccccn1)c1cccc2nccc(CF)c12)C(C)(C)C</v>
      </c>
      <c r="C13383" s="7">
        <f>IFERROR(__xludf.DUMMYFUNCTION("""COMPUTED_VALUE"""),7.754083)</f>
        <v>7.754083</v>
      </c>
      <c r="D13383" s="7">
        <f>IFERROR(__xludf.DUMMYFUNCTION("""COMPUTED_VALUE"""),0.368421052631578)</f>
        <v>0.3684210526</v>
      </c>
    </row>
    <row r="13384">
      <c r="A13384" s="10" t="s">
        <v>14823</v>
      </c>
      <c r="B13384" s="7" t="str">
        <f>IFERROR(__xludf.DUMMYFUNCTION("SPLIT(A13384,"" "")"),"Cc1cnc(C)c(C)c1CN(C)CC1=CCC(N(C)Cc2ccccn2)=CN1")</f>
        <v>Cc1cnc(C)c(C)c1CN(C)CC1=CCC(N(C)Cc2ccccn2)=CN1</v>
      </c>
      <c r="C13384" s="7">
        <f>IFERROR(__xludf.DUMMYFUNCTION("""COMPUTED_VALUE"""),7.7540827)</f>
        <v>7.7540827</v>
      </c>
      <c r="D13384" s="7">
        <f>IFERROR(__xludf.DUMMYFUNCTION("""COMPUTED_VALUE"""),0.366666666666666)</f>
        <v>0.3666666667</v>
      </c>
    </row>
    <row r="13385">
      <c r="A13385" s="10" t="s">
        <v>14824</v>
      </c>
      <c r="B13385" s="7" t="str">
        <f>IFERROR(__xludf.DUMMYFUNCTION("SPLIT(A13385,"" "")"),"CN(Cc1ccon1)C1CCCCC1N(C)Cc1ncccc1-c1ccc2ncccc2c1")</f>
        <v>CN(Cc1ccon1)C1CCCCC1N(C)Cc1ncccc1-c1ccc2ncccc2c1</v>
      </c>
      <c r="C13385" s="7">
        <f>IFERROR(__xludf.DUMMYFUNCTION("""COMPUTED_VALUE"""),7.754079)</f>
        <v>7.754079</v>
      </c>
      <c r="D13385" s="7">
        <f>IFERROR(__xludf.DUMMYFUNCTION("""COMPUTED_VALUE"""),0.423728813559322)</f>
        <v>0.4237288136</v>
      </c>
    </row>
    <row r="13386">
      <c r="A13386" s="10" t="s">
        <v>14825</v>
      </c>
      <c r="B13386" s="7" t="str">
        <f>IFERROR(__xludf.DUMMYFUNCTION("SPLIT(A13386,"" "")"),"COC(=O)c1cc(CN(Cc2ccccn2)Cc2cc(C(C)(C)C)ccn2)ccn1")</f>
        <v>COC(=O)c1cc(CN(Cc2ccccn2)Cc2cc(C(C)(C)C)ccn2)ccn1</v>
      </c>
      <c r="C13386" s="7">
        <f>IFERROR(__xludf.DUMMYFUNCTION("""COMPUTED_VALUE"""),7.7540784)</f>
        <v>7.7540784</v>
      </c>
      <c r="D13386" s="7">
        <f>IFERROR(__xludf.DUMMYFUNCTION("""COMPUTED_VALUE"""),0.416666666666666)</f>
        <v>0.4166666667</v>
      </c>
    </row>
    <row r="13387">
      <c r="A13387" s="10" t="s">
        <v>14826</v>
      </c>
      <c r="B13387" s="7" t="str">
        <f>IFERROR(__xludf.DUMMYFUNCTION("SPLIT(A13387,"" "")"),"Cc1ccc(CN(Cc2ccccn2)C2=CNC(CN(C)Cc3ncccc3C)=CC2)nc1")</f>
        <v>Cc1ccc(CN(Cc2ccccn2)C2=CNC(CN(C)Cc3ncccc3C)=CC2)nc1</v>
      </c>
      <c r="C13387" s="7">
        <f>IFERROR(__xludf.DUMMYFUNCTION("""COMPUTED_VALUE"""),7.7540746)</f>
        <v>7.7540746</v>
      </c>
      <c r="D13387" s="7">
        <f>IFERROR(__xludf.DUMMYFUNCTION("""COMPUTED_VALUE"""),0.362068965517241)</f>
        <v>0.3620689655</v>
      </c>
    </row>
    <row r="13388">
      <c r="A13388" s="10" t="s">
        <v>14827</v>
      </c>
      <c r="B13388" s="7" t="str">
        <f>IFERROR(__xludf.DUMMYFUNCTION("SPLIT(A13388,"" "")"),"CN(c1cccc2ncccc12)C1CCC(N(Cc2ccccn2)c2ccccc2F)CC1")</f>
        <v>CN(c1cccc2ncccc12)C1CCC(N(Cc2ccccn2)c2ccccc2F)CC1</v>
      </c>
      <c r="C13388" s="7">
        <f>IFERROR(__xludf.DUMMYFUNCTION("""COMPUTED_VALUE"""),7.754071)</f>
        <v>7.754071</v>
      </c>
      <c r="D13388" s="7">
        <f>IFERROR(__xludf.DUMMYFUNCTION("""COMPUTED_VALUE"""),0.385964912280701)</f>
        <v>0.3859649123</v>
      </c>
    </row>
    <row r="13389">
      <c r="A13389" s="10" t="s">
        <v>14828</v>
      </c>
      <c r="B13389" s="7" t="str">
        <f>IFERROR(__xludf.DUMMYFUNCTION("SPLIT(A13389,"" "")"),"CC(N)C(C)(C)N(C)CC1=CCC(N(C)c2cccc3ncccc23)=CN1")</f>
        <v>CC(N)C(C)(C)N(C)CC1=CCC(N(C)c2cccc3ncccc23)=CN1</v>
      </c>
      <c r="C13389" s="7">
        <f>IFERROR(__xludf.DUMMYFUNCTION("""COMPUTED_VALUE"""),7.7540708)</f>
        <v>7.7540708</v>
      </c>
      <c r="D13389" s="7">
        <f>IFERROR(__xludf.DUMMYFUNCTION("""COMPUTED_VALUE"""),0.265625)</f>
        <v>0.265625</v>
      </c>
    </row>
    <row r="13390">
      <c r="A13390" s="10" t="s">
        <v>14829</v>
      </c>
      <c r="B13390" s="7" t="str">
        <f>IFERROR(__xludf.DUMMYFUNCTION("SPLIT(A13390,"" "")"),"Cc1cncc(CN(Cc2ccccn2)Cc2ccc(N(C)C)cn2)c1")</f>
        <v>Cc1cncc(CN(Cc2ccccn2)Cc2ccc(N(C)C)cn2)c1</v>
      </c>
      <c r="C13390" s="7">
        <f>IFERROR(__xludf.DUMMYFUNCTION("""COMPUTED_VALUE"""),7.7540674)</f>
        <v>7.7540674</v>
      </c>
      <c r="D13390" s="7">
        <f>IFERROR(__xludf.DUMMYFUNCTION("""COMPUTED_VALUE"""),0.465116279069767)</f>
        <v>0.4651162791</v>
      </c>
    </row>
    <row r="13391">
      <c r="A13391" s="10" t="s">
        <v>14830</v>
      </c>
      <c r="B13391" s="7" t="str">
        <f>IFERROR(__xludf.DUMMYFUNCTION("SPLIT(A13391,"" "")"),"CC1=C(N(C)Cc2ccccn2)C(C(C)(C)CN(Cc2ccccn2)c2ccc3ncccc3c2)CCC1C")</f>
        <v>CC1=C(N(C)Cc2ccccn2)C(C(C)(C)CN(Cc2ccccn2)c2ccc3ncccc3c2)CCC1C</v>
      </c>
      <c r="C13391" s="7">
        <f>IFERROR(__xludf.DUMMYFUNCTION("""COMPUTED_VALUE"""),7.754062)</f>
        <v>7.754062</v>
      </c>
      <c r="D13391" s="7">
        <f>IFERROR(__xludf.DUMMYFUNCTION("""COMPUTED_VALUE"""),0.338461538461538)</f>
        <v>0.3384615385</v>
      </c>
    </row>
    <row r="13392">
      <c r="A13392" s="10" t="s">
        <v>14831</v>
      </c>
      <c r="B13392" s="7" t="str">
        <f>IFERROR(__xludf.DUMMYFUNCTION("SPLIT(A13392,"" "")"),"CN(C)c1ccncc1CN(Cc1ccccn1)Cc1cccnc1F")</f>
        <v>CN(C)c1ccncc1CN(Cc1ccccn1)Cc1cccnc1F</v>
      </c>
      <c r="C13392" s="7">
        <f>IFERROR(__xludf.DUMMYFUNCTION("""COMPUTED_VALUE"""),7.7540574)</f>
        <v>7.7540574</v>
      </c>
      <c r="D13392" s="7">
        <f>IFERROR(__xludf.DUMMYFUNCTION("""COMPUTED_VALUE"""),0.48780487804878)</f>
        <v>0.487804878</v>
      </c>
    </row>
    <row r="13393">
      <c r="A13393" s="10" t="s">
        <v>14832</v>
      </c>
      <c r="B13393" s="7" t="str">
        <f>IFERROR(__xludf.DUMMYFUNCTION("SPLIT(A13393,"" "")"),"CC(C)(c1ccccn1)c1cccnc1CN(Cc1ccccn1)Cc1cccnc1C1OC=NC1(C)C")</f>
        <v>CC(C)(c1ccccn1)c1cccnc1CN(Cc1ccccn1)Cc1cccnc1C1OC=NC1(C)C</v>
      </c>
      <c r="C13393" s="7">
        <f>IFERROR(__xludf.DUMMYFUNCTION("""COMPUTED_VALUE"""),7.7540574)</f>
        <v>7.7540574</v>
      </c>
      <c r="D13393" s="7">
        <f>IFERROR(__xludf.DUMMYFUNCTION("""COMPUTED_VALUE"""),0.344827586206896)</f>
        <v>0.3448275862</v>
      </c>
    </row>
    <row r="13394">
      <c r="A13394" s="10" t="s">
        <v>14833</v>
      </c>
      <c r="B13394" s="7" t="str">
        <f>IFERROR(__xludf.DUMMYFUNCTION("SPLIT(A13394,"" "")"),"CC1=CC(C)C2(C(C)C1)C(c1cccc(CN(Cc3ccccn3)Cc3ccccn3)n1)C(C)=C(C)C1(C=C(C(C)C)NC3=C1C(C)(C)C(C)C(c1cccc(CN(Cc4ccccn4)Cc4ccccn4)n1)=C3)C2c1cccc(CN(Cc2ccccn2)Cc2ncccc2C)n1")</f>
        <v>CC1=CC(C)C2(C(C)C1)C(c1cccc(CN(Cc3ccccn3)Cc3ccccn3)n1)C(C)=C(C)C1(C=C(C(C)C)NC3=C1C(C)(C)C(C)C(c1cccc(CN(Cc4ccccn4)Cc4ccccn4)n1)=C3)C2c1cccc(CN(Cc2ccccn2)Cc2ncccc2C)n1</v>
      </c>
      <c r="C13394" s="7">
        <f>IFERROR(__xludf.DUMMYFUNCTION("""COMPUTED_VALUE"""),7.754055)</f>
        <v>7.754055</v>
      </c>
      <c r="D13394" s="7">
        <f>IFERROR(__xludf.DUMMYFUNCTION("""COMPUTED_VALUE"""),0.267326732673267)</f>
        <v>0.2673267327</v>
      </c>
    </row>
    <row r="13395">
      <c r="A13395" s="10" t="s">
        <v>14834</v>
      </c>
      <c r="B13395" s="7" t="str">
        <f>IFERROR(__xludf.DUMMYFUNCTION("SPLIT(A13395,"" "")"),"Cc1cccnc1CN(C)CC1=CCC(N(C)Cc2nc(C)c(C)c(C)c2C)=CN1")</f>
        <v>Cc1cccnc1CN(C)CC1=CCC(N(C)Cc2nc(C)c(C)c(C)c2C)=CN1</v>
      </c>
      <c r="C13395" s="7">
        <f>IFERROR(__xludf.DUMMYFUNCTION("""COMPUTED_VALUE"""),7.754055)</f>
        <v>7.754055</v>
      </c>
      <c r="D13395" s="7">
        <f>IFERROR(__xludf.DUMMYFUNCTION("""COMPUTED_VALUE"""),0.253968253968253)</f>
        <v>0.253968254</v>
      </c>
    </row>
    <row r="13396">
      <c r="A13396" s="10" t="s">
        <v>14835</v>
      </c>
      <c r="B13396" s="7" t="str">
        <f>IFERROR(__xludf.DUMMYFUNCTION("SPLIT(A13396,"" "")"),"Cc1cc(CN(C)CC2=C(N(C)Cc3ccccn3)NC=CC2)nc(C)c1C")</f>
        <v>Cc1cc(CN(C)CC2=C(N(C)Cc3ccccn3)NC=CC2)nc(C)c1C</v>
      </c>
      <c r="C13396" s="7">
        <f>IFERROR(__xludf.DUMMYFUNCTION("""COMPUTED_VALUE"""),7.754054)</f>
        <v>7.754054</v>
      </c>
      <c r="D13396" s="7">
        <f>IFERROR(__xludf.DUMMYFUNCTION("""COMPUTED_VALUE"""),0.383333333333333)</f>
        <v>0.3833333333</v>
      </c>
    </row>
    <row r="13397">
      <c r="A13397" s="10" t="s">
        <v>14836</v>
      </c>
      <c r="B13397" s="7" t="str">
        <f>IFERROR(__xludf.DUMMYFUNCTION("SPLIT(A13397,"" "")"),"CNCc1cccc(CN(Cc2nc(C)c(C)c(C)c2C)Cc2nc(C)c(C)c(C)c2C)n1")</f>
        <v>CNCc1cccc(CN(Cc2nc(C)c(C)c(C)c2C)Cc2nc(C)c(C)c(C)c2C)n1</v>
      </c>
      <c r="C13397" s="7">
        <f>IFERROR(__xludf.DUMMYFUNCTION("""COMPUTED_VALUE"""),7.754042)</f>
        <v>7.754042</v>
      </c>
      <c r="D13397" s="7">
        <f>IFERROR(__xludf.DUMMYFUNCTION("""COMPUTED_VALUE"""),0.333333333333333)</f>
        <v>0.3333333333</v>
      </c>
    </row>
    <row r="13398">
      <c r="A13398" s="10" t="s">
        <v>14837</v>
      </c>
      <c r="B13398" s="7" t="str">
        <f>IFERROR(__xludf.DUMMYFUNCTION("SPLIT(A13398,"" "")"),"CN(C)c1cccnc1CN(Cc1ccccn1)Cc1cccc(F)n1")</f>
        <v>CN(C)c1cccnc1CN(Cc1ccccn1)Cc1cccc(F)n1</v>
      </c>
      <c r="C13398" s="7">
        <f>IFERROR(__xludf.DUMMYFUNCTION("""COMPUTED_VALUE"""),7.7540407)</f>
        <v>7.7540407</v>
      </c>
      <c r="D13398" s="7">
        <f>IFERROR(__xludf.DUMMYFUNCTION("""COMPUTED_VALUE"""),0.48780487804878)</f>
        <v>0.487804878</v>
      </c>
    </row>
    <row r="13399">
      <c r="A13399" s="10" t="s">
        <v>14838</v>
      </c>
      <c r="B13399" s="7" t="str">
        <f>IFERROR(__xludf.DUMMYFUNCTION("SPLIT(A13399,"" "")"),"CC1=CC(C)CC(N(C)Cc2cccc(-c3cccc(N=Cc4ccccn4)c3)n2)C1C")</f>
        <v>CC1=CC(C)CC(N(C)Cc2cccc(-c3cccc(N=Cc4ccccn4)c3)n2)C1C</v>
      </c>
      <c r="C13399" s="7">
        <f>IFERROR(__xludf.DUMMYFUNCTION("""COMPUTED_VALUE"""),7.7540407)</f>
        <v>7.7540407</v>
      </c>
      <c r="D13399" s="7">
        <f>IFERROR(__xludf.DUMMYFUNCTION("""COMPUTED_VALUE"""),0.364864864864864)</f>
        <v>0.3648648649</v>
      </c>
    </row>
    <row r="13400">
      <c r="A13400" s="10" t="s">
        <v>14839</v>
      </c>
      <c r="B13400" s="7" t="str">
        <f>IFERROR(__xludf.DUMMYFUNCTION("SPLIT(A13400,"" "")"),"Cc1cc(CN(C)Cc2ncc(C)c(C)c2C)cnc1C")</f>
        <v>Cc1cc(CN(C)Cc2ncc(C)c(C)c2C)cnc1C</v>
      </c>
      <c r="C13400" s="7">
        <f>IFERROR(__xludf.DUMMYFUNCTION("""COMPUTED_VALUE"""),7.7540355)</f>
        <v>7.7540355</v>
      </c>
      <c r="D13400" s="7">
        <f>IFERROR(__xludf.DUMMYFUNCTION("""COMPUTED_VALUE"""),0.288888888888888)</f>
        <v>0.2888888889</v>
      </c>
    </row>
    <row r="13401">
      <c r="A13401" s="10" t="s">
        <v>14840</v>
      </c>
      <c r="B13401" s="7" t="str">
        <f>IFERROR(__xludf.DUMMYFUNCTION("SPLIT(A13401,"" "")"),"CN(C)c1ccc(CN(Cc2ccccn2)Cc2cccnc2F)nc1")</f>
        <v>CN(C)c1ccc(CN(Cc2ccccn2)Cc2cccnc2F)nc1</v>
      </c>
      <c r="C13401" s="7">
        <f>IFERROR(__xludf.DUMMYFUNCTION("""COMPUTED_VALUE"""),7.75403)</f>
        <v>7.75403</v>
      </c>
      <c r="D13401" s="7">
        <f>IFERROR(__xludf.DUMMYFUNCTION("""COMPUTED_VALUE"""),0.5)</f>
        <v>0.5</v>
      </c>
    </row>
    <row r="13402">
      <c r="A13402" s="10" t="s">
        <v>14841</v>
      </c>
      <c r="B13402" s="7" t="str">
        <f>IFERROR(__xludf.DUMMYFUNCTION("SPLIT(A13402,"" "")"),"c1ccc(-c2cnc3c(c2)CCCC3)nc1")</f>
        <v>c1ccc(-c2cnc3c(c2)CCCC3)nc1</v>
      </c>
      <c r="C13402" s="7">
        <f>IFERROR(__xludf.DUMMYFUNCTION("""COMPUTED_VALUE"""),7.7540298)</f>
        <v>7.7540298</v>
      </c>
      <c r="D13402" s="7">
        <f>IFERROR(__xludf.DUMMYFUNCTION("""COMPUTED_VALUE"""),0.295454545454545)</f>
        <v>0.2954545455</v>
      </c>
    </row>
    <row r="13403">
      <c r="A13403" s="10" t="s">
        <v>14842</v>
      </c>
      <c r="B13403" s="7" t="str">
        <f>IFERROR(__xludf.DUMMYFUNCTION("SPLIT(A13403,"" "")"),"Cc1cnc(CN(C)CC2=CCC(N(C)Cc3ncccc3C)=CN2)c(C)c1")</f>
        <v>Cc1cnc(CN(C)CC2=CCC(N(C)Cc3ncccc3C)=CN2)c(C)c1</v>
      </c>
      <c r="C13403" s="7">
        <f>IFERROR(__xludf.DUMMYFUNCTION("""COMPUTED_VALUE"""),7.7540298)</f>
        <v>7.7540298</v>
      </c>
      <c r="D13403" s="7">
        <f>IFERROR(__xludf.DUMMYFUNCTION("""COMPUTED_VALUE"""),0.253968253968253)</f>
        <v>0.253968254</v>
      </c>
    </row>
    <row r="13404">
      <c r="A13404" s="10" t="s">
        <v>14843</v>
      </c>
      <c r="B13404" s="7" t="str">
        <f>IFERROR(__xludf.DUMMYFUNCTION("SPLIT(A13404,"" "")"),"Cc1cnc(CN(C)C2=CNC(CN(C)Cc3c(C)ccc(C)c3C)=CC2)c(C)c1")</f>
        <v>Cc1cnc(CN(C)C2=CNC(CN(C)Cc3c(C)ccc(C)c3C)=CC2)c(C)c1</v>
      </c>
      <c r="C13404" s="7">
        <f>IFERROR(__xludf.DUMMYFUNCTION("""COMPUTED_VALUE"""),7.7540264)</f>
        <v>7.7540264</v>
      </c>
      <c r="D13404" s="7">
        <f>IFERROR(__xludf.DUMMYFUNCTION("""COMPUTED_VALUE"""),0.25)</f>
        <v>0.25</v>
      </c>
    </row>
    <row r="13405">
      <c r="A13405" s="10" t="s">
        <v>14844</v>
      </c>
      <c r="B13405" s="7" t="str">
        <f>IFERROR(__xludf.DUMMYFUNCTION("SPLIT(A13405,"" "")"),"Cc1cnc(CN(C)c2cncc(CN(C)C(C)C)c2)c(C)c1C")</f>
        <v>Cc1cnc(CN(C)c2cncc(CN(C)C(C)C)c2)c(C)c1C</v>
      </c>
      <c r="C13405" s="7">
        <f>IFERROR(__xludf.DUMMYFUNCTION("""COMPUTED_VALUE"""),7.7540255)</f>
        <v>7.7540255</v>
      </c>
      <c r="D13405" s="7">
        <f>IFERROR(__xludf.DUMMYFUNCTION("""COMPUTED_VALUE"""),0.226415094339622)</f>
        <v>0.2264150943</v>
      </c>
    </row>
    <row r="13406">
      <c r="A13406" s="10" t="s">
        <v>14845</v>
      </c>
      <c r="B13406" s="7" t="str">
        <f>IFERROR(__xludf.DUMMYFUNCTION("SPLIT(A13406,"" "")"),"CCNCc1ncccc1C(C)(C)c1ncccc1C1=NC(C)(C)CO1")</f>
        <v>CCNCc1ncccc1C(C)(C)c1ncccc1C1=NC(C)(C)CO1</v>
      </c>
      <c r="C13406" s="7">
        <f>IFERROR(__xludf.DUMMYFUNCTION("""COMPUTED_VALUE"""),7.7540174)</f>
        <v>7.7540174</v>
      </c>
      <c r="D13406" s="7">
        <f>IFERROR(__xludf.DUMMYFUNCTION("""COMPUTED_VALUE"""),0.339285714285714)</f>
        <v>0.3392857143</v>
      </c>
    </row>
    <row r="13407">
      <c r="A13407" s="10" t="s">
        <v>14846</v>
      </c>
      <c r="B13407" s="7" t="str">
        <f>IFERROR(__xludf.DUMMYFUNCTION("SPLIT(A13407,"" "")"),"CNCc1ccc(C)c(CN(Cc2nc(C)c(C)cc2C)Cc2nc(C)c(C)cc2C)n1")</f>
        <v>CNCc1ccc(C)c(CN(Cc2nc(C)c(C)cc2C)Cc2nc(C)c(C)cc2C)n1</v>
      </c>
      <c r="C13407" s="7">
        <f>IFERROR(__xludf.DUMMYFUNCTION("""COMPUTED_VALUE"""),7.754004)</f>
        <v>7.754004</v>
      </c>
      <c r="D13407" s="7">
        <f>IFERROR(__xludf.DUMMYFUNCTION("""COMPUTED_VALUE"""),0.266666666666666)</f>
        <v>0.2666666667</v>
      </c>
    </row>
    <row r="13408">
      <c r="A13408" s="10" t="s">
        <v>14847</v>
      </c>
      <c r="B13408" s="7" t="str">
        <f>IFERROR(__xludf.DUMMYFUNCTION("SPLIT(A13408,"" "")"),"CN(C)Cc1cnc2cc(N(Cc3ccccn3)C3CCCCC3N(Cc3ccccn3)c3ccccc3F)ccc2c1")</f>
        <v>CN(C)Cc1cnc2cc(N(Cc3ccccn3)C3CCCCC3N(Cc3ccccn3)c3ccccc3F)ccc2c1</v>
      </c>
      <c r="C13408" s="7">
        <f>IFERROR(__xludf.DUMMYFUNCTION("""COMPUTED_VALUE"""),7.754003)</f>
        <v>7.754003</v>
      </c>
      <c r="D13408" s="7">
        <f>IFERROR(__xludf.DUMMYFUNCTION("""COMPUTED_VALUE"""),0.426229508196721)</f>
        <v>0.4262295082</v>
      </c>
    </row>
    <row r="13409">
      <c r="A13409" s="10" t="s">
        <v>14848</v>
      </c>
      <c r="B13409" s="7" t="str">
        <f>IFERROR(__xludf.DUMMYFUNCTION("SPLIT(A13409,"" "")"),"CN(Cc1ccc(N)cn1)C1=CCNC=C1")</f>
        <v>CN(Cc1ccc(N)cn1)C1=CCNC=C1</v>
      </c>
      <c r="C13409" s="7">
        <f>IFERROR(__xludf.DUMMYFUNCTION("""COMPUTED_VALUE"""),7.7539997)</f>
        <v>7.7539997</v>
      </c>
      <c r="D13409" s="7">
        <f>IFERROR(__xludf.DUMMYFUNCTION("""COMPUTED_VALUE"""),0.319148936170212)</f>
        <v>0.3191489362</v>
      </c>
    </row>
    <row r="13410">
      <c r="A13410" s="10" t="s">
        <v>14849</v>
      </c>
      <c r="B13410" s="7" t="str">
        <f>IFERROR(__xludf.DUMMYFUNCTION("SPLIT(A13410,"" "")"),"Cc1ccc(CN(C)C2=CNC(CN(C)Cc3cc(C)cc(C)n3)=CC2)nc1")</f>
        <v>Cc1ccc(CN(C)C2=CNC(CN(C)Cc3cc(C)cc(C)n3)=CC2)nc1</v>
      </c>
      <c r="C13410" s="7">
        <f>IFERROR(__xludf.DUMMYFUNCTION("""COMPUTED_VALUE"""),7.753997)</f>
        <v>7.753997</v>
      </c>
      <c r="D13410" s="7">
        <f>IFERROR(__xludf.DUMMYFUNCTION("""COMPUTED_VALUE"""),0.423076923076923)</f>
        <v>0.4230769231</v>
      </c>
    </row>
    <row r="13411">
      <c r="A13411" s="10" t="s">
        <v>14850</v>
      </c>
      <c r="B13411" s="7" t="str">
        <f>IFERROR(__xludf.DUMMYFUNCTION("SPLIT(A13411,"" "")"),"C1=CNC(NCc2cccc(C(c3ccccc3)c3ccccn3)n2)C=C1")</f>
        <v>C1=CNC(NCc2cccc(C(c3ccccc3)c3ccccn3)n2)C=C1</v>
      </c>
      <c r="C13411" s="7">
        <f>IFERROR(__xludf.DUMMYFUNCTION("""COMPUTED_VALUE"""),7.7539964)</f>
        <v>7.7539964</v>
      </c>
      <c r="D13411" s="7">
        <f>IFERROR(__xludf.DUMMYFUNCTION("""COMPUTED_VALUE"""),0.366666666666666)</f>
        <v>0.3666666667</v>
      </c>
    </row>
    <row r="13412">
      <c r="A13412" s="10" t="s">
        <v>14851</v>
      </c>
      <c r="B13412" s="7" t="str">
        <f>IFERROR(__xludf.DUMMYFUNCTION("SPLIT(A13412,"" "")"),"CN(C)c1cccc(-c2cccc(CN(Cc3ccccn3)C3(C)CCC3)n2)c1")</f>
        <v>CN(C)c1cccc(-c2cccc(CN(Cc3ccccn3)C3(C)CCC3)n2)c1</v>
      </c>
      <c r="C13412" s="7">
        <f>IFERROR(__xludf.DUMMYFUNCTION("""COMPUTED_VALUE"""),7.7539916)</f>
        <v>7.7539916</v>
      </c>
      <c r="D13412" s="7">
        <f>IFERROR(__xludf.DUMMYFUNCTION("""COMPUTED_VALUE"""),0.491525423728813)</f>
        <v>0.4915254237</v>
      </c>
    </row>
    <row r="13413">
      <c r="A13413" s="10" t="s">
        <v>14852</v>
      </c>
      <c r="B13413" s="7" t="str">
        <f>IFERROR(__xludf.DUMMYFUNCTION("SPLIT(A13413,"" "")"),"Cc1nc(CN(C)CCN(Cc2nc(C)c(C)c(C)c2C)Cc2nc(C)c(C)c(C)c2C)c(C)c(C)c1C")</f>
        <v>Cc1nc(CN(C)CCN(Cc2nc(C)c(C)c(C)c2C)Cc2nc(C)c(C)c(C)c2C)c(C)c(C)c1C</v>
      </c>
      <c r="C13413" s="7">
        <f>IFERROR(__xludf.DUMMYFUNCTION("""COMPUTED_VALUE"""),7.753987)</f>
        <v>7.753987</v>
      </c>
      <c r="D13413" s="7">
        <f>IFERROR(__xludf.DUMMYFUNCTION("""COMPUTED_VALUE"""),0.333333333333333)</f>
        <v>0.3333333333</v>
      </c>
    </row>
    <row r="13414">
      <c r="A13414" s="10" t="s">
        <v>14853</v>
      </c>
      <c r="B13414" s="7" t="str">
        <f>IFERROR(__xludf.DUMMYFUNCTION("SPLIT(A13414,"" "")"),"CN(Cc1cccc(C2=CCC=CN2)n1)C1CCC(N(C)c2ccc3ccc(CF)nc3c2)CC1")</f>
        <v>CN(Cc1cccc(C2=CCC=CN2)n1)C1CCC(N(C)c2ccc3ccc(CF)nc3c2)CC1</v>
      </c>
      <c r="C13414" s="7">
        <f>IFERROR(__xludf.DUMMYFUNCTION("""COMPUTED_VALUE"""),7.753983)</f>
        <v>7.753983</v>
      </c>
      <c r="D13414" s="7">
        <f>IFERROR(__xludf.DUMMYFUNCTION("""COMPUTED_VALUE"""),0.319444444444444)</f>
        <v>0.3194444444</v>
      </c>
    </row>
    <row r="13415">
      <c r="A13415" s="10" t="s">
        <v>14854</v>
      </c>
      <c r="B13415" s="7" t="str">
        <f>IFERROR(__xludf.DUMMYFUNCTION("SPLIT(A13415,"" "")"),"Cc1cc(C)nc(CN(CC2=CCC(N(C)Cc3ccccn3)=CN2)Cc2ccccn2)c1")</f>
        <v>Cc1cc(C)nc(CN(CC2=CCC(N(C)Cc3ccccn3)=CN2)Cc2ccccn2)c1</v>
      </c>
      <c r="C13415" s="7">
        <f>IFERROR(__xludf.DUMMYFUNCTION("""COMPUTED_VALUE"""),7.7539787)</f>
        <v>7.7539787</v>
      </c>
      <c r="D13415" s="7">
        <f>IFERROR(__xludf.DUMMYFUNCTION("""COMPUTED_VALUE"""),0.46551724137931)</f>
        <v>0.4655172414</v>
      </c>
    </row>
    <row r="13416">
      <c r="A13416" s="10" t="s">
        <v>14855</v>
      </c>
      <c r="B13416" s="7" t="str">
        <f>IFERROR(__xludf.DUMMYFUNCTION("SPLIT(A13416,"" "")"),"Cc1ccc(CN(Cc2ccccn2)Cc2ncccc2N(C)C)cn1")</f>
        <v>Cc1ccc(CN(Cc2ccccn2)Cc2ncccc2N(C)C)cn1</v>
      </c>
      <c r="C13416" s="7">
        <f>IFERROR(__xludf.DUMMYFUNCTION("""COMPUTED_VALUE"""),7.753976)</f>
        <v>7.753976</v>
      </c>
      <c r="D13416" s="7">
        <f>IFERROR(__xludf.DUMMYFUNCTION("""COMPUTED_VALUE"""),0.476190476190476)</f>
        <v>0.4761904762</v>
      </c>
    </row>
    <row r="13417">
      <c r="A13417" s="10" t="s">
        <v>14856</v>
      </c>
      <c r="B13417" s="7" t="str">
        <f>IFERROR(__xludf.DUMMYFUNCTION("SPLIT(A13417,"" "")"),"Cc1ccc(C)c(CN(C)Cc2cc(C(C)(C)c3ccccn3)ccn2)c1C")</f>
        <v>Cc1ccc(C)c(CN(C)Cc2cc(C(C)(C)c3ccccn3)ccn2)c1C</v>
      </c>
      <c r="C13417" s="7">
        <f>IFERROR(__xludf.DUMMYFUNCTION("""COMPUTED_VALUE"""),7.753972)</f>
        <v>7.753972</v>
      </c>
      <c r="D13417" s="7">
        <f>IFERROR(__xludf.DUMMYFUNCTION("""COMPUTED_VALUE"""),0.357142857142857)</f>
        <v>0.3571428571</v>
      </c>
    </row>
    <row r="13418">
      <c r="A13418" s="10" t="s">
        <v>14857</v>
      </c>
      <c r="B13418" s="7" t="str">
        <f>IFERROR(__xludf.DUMMYFUNCTION("SPLIT(A13418,"" "")"),"CNCc1ccc(-c2ncccc2CN(C)C2CCCCC2N(C)Cc2ccon2)c2ncccc12")</f>
        <v>CNCc1ccc(-c2ncccc2CN(C)C2CCCCC2N(C)Cc2ccon2)c2ncccc12</v>
      </c>
      <c r="C13418" s="7">
        <f>IFERROR(__xludf.DUMMYFUNCTION("""COMPUTED_VALUE"""),7.753971)</f>
        <v>7.753971</v>
      </c>
      <c r="D13418" s="7">
        <f>IFERROR(__xludf.DUMMYFUNCTION("""COMPUTED_VALUE"""),0.390625)</f>
        <v>0.390625</v>
      </c>
    </row>
    <row r="13419">
      <c r="A13419" s="10" t="s">
        <v>14858</v>
      </c>
      <c r="B13419" s="7" t="str">
        <f>IFERROR(__xludf.DUMMYFUNCTION("SPLIT(A13419,"" "")"),"Cc1cnc(CN(C)C2=C(CN(C)Cc3ncc(C)c(C)c3C)NC=CC2)c(C)c1")</f>
        <v>Cc1cnc(CN(C)C2=C(CN(C)Cc3ncc(C)c(C)c3C)NC=CC2)c(C)c1</v>
      </c>
      <c r="C13419" s="7">
        <f>IFERROR(__xludf.DUMMYFUNCTION("""COMPUTED_VALUE"""),7.753969)</f>
        <v>7.753969</v>
      </c>
      <c r="D13419" s="7">
        <f>IFERROR(__xludf.DUMMYFUNCTION("""COMPUTED_VALUE"""),0.258620689655172)</f>
        <v>0.2586206897</v>
      </c>
    </row>
    <row r="13420">
      <c r="A13420" s="10" t="s">
        <v>14859</v>
      </c>
      <c r="B13420" s="7" t="str">
        <f>IFERROR(__xludf.DUMMYFUNCTION("SPLIT(A13420,"" "")"),"CNc1ncccc1CN(Cc1ccccn1)C1CCC(N(C)c2ccc3nccc(C)c3c2)CC1")</f>
        <v>CNc1ncccc1CN(Cc1ccccn1)C1CCC(N(C)c2ccc3nccc(C)c3c2)CC1</v>
      </c>
      <c r="C13420" s="7">
        <f>IFERROR(__xludf.DUMMYFUNCTION("""COMPUTED_VALUE"""),7.753965)</f>
        <v>7.753965</v>
      </c>
      <c r="D13420" s="7">
        <f>IFERROR(__xludf.DUMMYFUNCTION("""COMPUTED_VALUE"""),0.328358208955223)</f>
        <v>0.328358209</v>
      </c>
    </row>
    <row r="13421">
      <c r="A13421" s="10" t="s">
        <v>14860</v>
      </c>
      <c r="B13421" s="7" t="str">
        <f>IFERROR(__xludf.DUMMYFUNCTION("SPLIT(A13421,"" "")"),"Cc1cnc(C)c(CN(C)Cc2ncccc2N(C)C2C=CC=CN2)c1")</f>
        <v>Cc1cnc(C)c(CN(C)Cc2ncccc2N(C)C2C=CC=CN2)c1</v>
      </c>
      <c r="C13421" s="7">
        <f>IFERROR(__xludf.DUMMYFUNCTION("""COMPUTED_VALUE"""),7.753958)</f>
        <v>7.753958</v>
      </c>
      <c r="D13421" s="7">
        <f>IFERROR(__xludf.DUMMYFUNCTION("""COMPUTED_VALUE"""),0.303030303030303)</f>
        <v>0.303030303</v>
      </c>
    </row>
    <row r="13422">
      <c r="A13422" s="10" t="s">
        <v>14861</v>
      </c>
      <c r="B13422" s="7" t="str">
        <f>IFERROR(__xludf.DUMMYFUNCTION("SPLIT(A13422,"" "")"),"Cc1ccc(CN(CC2=CCC(N(C)Cc3ccccn3)=CN2)Cc2ccccn2)nc1C")</f>
        <v>Cc1ccc(CN(CC2=CCC(N(C)Cc3ccccn3)=CN2)Cc2ccccn2)nc1C</v>
      </c>
      <c r="C13422" s="7">
        <f>IFERROR(__xludf.DUMMYFUNCTION("""COMPUTED_VALUE"""),7.7539563)</f>
        <v>7.7539563</v>
      </c>
      <c r="D13422" s="7">
        <f>IFERROR(__xludf.DUMMYFUNCTION("""COMPUTED_VALUE"""),0.473684210526315)</f>
        <v>0.4736842105</v>
      </c>
    </row>
    <row r="13423">
      <c r="A13423" s="10" t="s">
        <v>14862</v>
      </c>
      <c r="B13423" s="7" t="str">
        <f>IFERROR(__xludf.DUMMYFUNCTION("SPLIT(A13423,"" "")"),"Cc1cc(CN(C)CC2=CCC=C(N(C)Cc3ccccn3)N2)ccn1")</f>
        <v>Cc1cc(CN(C)CC2=CCC=C(N(C)Cc3ccccn3)N2)ccn1</v>
      </c>
      <c r="C13423" s="7">
        <f>IFERROR(__xludf.DUMMYFUNCTION("""COMPUTED_VALUE"""),7.7539525)</f>
        <v>7.7539525</v>
      </c>
      <c r="D13423" s="7">
        <f>IFERROR(__xludf.DUMMYFUNCTION("""COMPUTED_VALUE"""),0.392857142857142)</f>
        <v>0.3928571429</v>
      </c>
    </row>
    <row r="13424">
      <c r="A13424" s="10" t="s">
        <v>14863</v>
      </c>
      <c r="B13424" s="7" t="str">
        <f>IFERROR(__xludf.DUMMYFUNCTION("SPLIT(A13424,"" "")"),"Cc1cnc(CN(C)C2=CNC(CN(C)Cc3ncccc3C)=CC2)c(C)c1")</f>
        <v>Cc1cnc(CN(C)C2=CNC(CN(C)Cc3ncccc3C)=CC2)c(C)c1</v>
      </c>
      <c r="C13424" s="7">
        <f>IFERROR(__xludf.DUMMYFUNCTION("""COMPUTED_VALUE"""),7.7539477)</f>
        <v>7.7539477</v>
      </c>
      <c r="D13424" s="7">
        <f>IFERROR(__xludf.DUMMYFUNCTION("""COMPUTED_VALUE"""),0.253968253968253)</f>
        <v>0.253968254</v>
      </c>
    </row>
    <row r="13425">
      <c r="A13425" s="10" t="s">
        <v>14864</v>
      </c>
      <c r="B13425" s="7" t="str">
        <f>IFERROR(__xludf.DUMMYFUNCTION("SPLIT(A13425,"" "")"),"CN(C)Cc1nccc2cccc(N(Cc3ccccn3)C3CCC(N(C)Cc4ccon4)CC3)c12")</f>
        <v>CN(C)Cc1nccc2cccc(N(Cc3ccccn3)C3CCC(N(C)Cc4ccon4)CC3)c12</v>
      </c>
      <c r="C13425" s="7">
        <f>IFERROR(__xludf.DUMMYFUNCTION("""COMPUTED_VALUE"""),7.7539454)</f>
        <v>7.7539454</v>
      </c>
      <c r="D13425" s="7">
        <f>IFERROR(__xludf.DUMMYFUNCTION("""COMPUTED_VALUE"""),0.38095238095238)</f>
        <v>0.380952381</v>
      </c>
    </row>
    <row r="13426">
      <c r="A13426" s="10" t="s">
        <v>14865</v>
      </c>
      <c r="B13426" s="7" t="str">
        <f>IFERROR(__xludf.DUMMYFUNCTION("SPLIT(A13426,"" "")"),"Cc1cc(C)c(C)c(CN(Cc2ccccn2)C2CCC(N(C)c3ccc4c(CN(C)C)nccc4c3)CC2)n1")</f>
        <v>Cc1cc(C)c(C)c(CN(Cc2ccccn2)C2CCC(N(C)c3ccc4c(CN(C)C)nccc4c3)CC2)n1</v>
      </c>
      <c r="C13426" s="7">
        <f>IFERROR(__xludf.DUMMYFUNCTION("""COMPUTED_VALUE"""),7.753944)</f>
        <v>7.753944</v>
      </c>
      <c r="D13426" s="7">
        <f>IFERROR(__xludf.DUMMYFUNCTION("""COMPUTED_VALUE"""),0.323529411764705)</f>
        <v>0.3235294118</v>
      </c>
    </row>
    <row r="13427">
      <c r="A13427" s="10" t="s">
        <v>14866</v>
      </c>
      <c r="B13427" s="7" t="str">
        <f>IFERROR(__xludf.DUMMYFUNCTION("SPLIT(A13427,"" "")"),"COC(=O)c1ccc(CN(Cc2ccccn2)C2CCCCC2N(C)c2ccc3nccc(CF)c3c2)c(CN(Cc2ccccn2)Cc2ccccn2)n1")</f>
        <v>COC(=O)c1ccc(CN(Cc2ccccn2)C2CCCCC2N(C)c2ccc3nccc(CF)c3c2)c(CN(Cc2ccccn2)Cc2ccccn2)n1</v>
      </c>
      <c r="C13427" s="7">
        <f>IFERROR(__xludf.DUMMYFUNCTION("""COMPUTED_VALUE"""),7.753943)</f>
        <v>7.753943</v>
      </c>
      <c r="D13427" s="7">
        <f>IFERROR(__xludf.DUMMYFUNCTION("""COMPUTED_VALUE"""),0.329113924050632)</f>
        <v>0.3291139241</v>
      </c>
    </row>
    <row r="13428">
      <c r="A13428" s="10" t="s">
        <v>14867</v>
      </c>
      <c r="B13428" s="7" t="str">
        <f>IFERROR(__xludf.DUMMYFUNCTION("SPLIT(A13428,"" "")"),"CN(CCNc1ccc2ncccc2c1)Cc1ccccn1")</f>
        <v>CN(CCNc1ccc2ncccc2c1)Cc1ccccn1</v>
      </c>
      <c r="C13428" s="7">
        <f>IFERROR(__xludf.DUMMYFUNCTION("""COMPUTED_VALUE"""),7.753942)</f>
        <v>7.753942</v>
      </c>
      <c r="D13428" s="7">
        <f>IFERROR(__xludf.DUMMYFUNCTION("""COMPUTED_VALUE"""),0.44)</f>
        <v>0.44</v>
      </c>
    </row>
    <row r="13429">
      <c r="A13429" s="10" t="s">
        <v>14868</v>
      </c>
      <c r="B13429" s="7" t="str">
        <f>IFERROR(__xludf.DUMMYFUNCTION("SPLIT(A13429,"" "")"),"CC1=C(c2ncccc2CN(Cc2ccccn2)Cc2ccccn2)C2=C(CC=C(C(C)C)N2)C(C)(C)C1C")</f>
        <v>CC1=C(c2ncccc2CN(Cc2ccccn2)Cc2ccccn2)C2=C(CC=C(C(C)C)N2)C(C)(C)C1C</v>
      </c>
      <c r="C13429" s="7">
        <f>IFERROR(__xludf.DUMMYFUNCTION("""COMPUTED_VALUE"""),7.7539406)</f>
        <v>7.7539406</v>
      </c>
      <c r="D13429" s="7">
        <f>IFERROR(__xludf.DUMMYFUNCTION("""COMPUTED_VALUE"""),0.338983050847457)</f>
        <v>0.3389830508</v>
      </c>
    </row>
    <row r="13430">
      <c r="A13430" s="10" t="s">
        <v>14869</v>
      </c>
      <c r="B13430" s="7" t="str">
        <f>IFERROR(__xludf.DUMMYFUNCTION("SPLIT(A13430,"" "")"),"CCOC(C)c1cccc(CN(Cc2ccccn2)Cc2cccc(C(C)(c3ccccn3)c3ccccn3)n2)n1")</f>
        <v>CCOC(C)c1cccc(CN(Cc2ccccn2)Cc2cccc(C(C)(c3ccccn3)c3ccccn3)n2)n1</v>
      </c>
      <c r="C13430" s="7">
        <f>IFERROR(__xludf.DUMMYFUNCTION("""COMPUTED_VALUE"""),7.753939)</f>
        <v>7.753939</v>
      </c>
      <c r="D13430" s="7">
        <f>IFERROR(__xludf.DUMMYFUNCTION("""COMPUTED_VALUE"""),0.416666666666666)</f>
        <v>0.4166666667</v>
      </c>
    </row>
    <row r="13431">
      <c r="A13431" s="10" t="s">
        <v>14870</v>
      </c>
      <c r="B13431" s="7" t="str">
        <f>IFERROR(__xludf.DUMMYFUNCTION("SPLIT(A13431,"" "")"),"Cc1cnc(CN(C)Cc2cc(C)c(C)c(C)n2)cc1C")</f>
        <v>Cc1cnc(CN(C)Cc2cc(C)c(C)c(C)n2)cc1C</v>
      </c>
      <c r="C13431" s="7">
        <f>IFERROR(__xludf.DUMMYFUNCTION("""COMPUTED_VALUE"""),7.7539306)</f>
        <v>7.7539306</v>
      </c>
      <c r="D13431" s="7">
        <f>IFERROR(__xludf.DUMMYFUNCTION("""COMPUTED_VALUE"""),0.4)</f>
        <v>0.4</v>
      </c>
    </row>
    <row r="13432">
      <c r="A13432" s="10" t="s">
        <v>14871</v>
      </c>
      <c r="B13432" s="7" t="str">
        <f>IFERROR(__xludf.DUMMYFUNCTION("SPLIT(A13432,"" "")"),"CN(C)c1ccccc1-c1ncccc1CN(Cc1ccccn1)C1(C)CCC1")</f>
        <v>CN(C)c1ccccc1-c1ncccc1CN(Cc1ccccn1)C1(C)CCC1</v>
      </c>
      <c r="C13432" s="7">
        <f>IFERROR(__xludf.DUMMYFUNCTION("""COMPUTED_VALUE"""),7.75393)</f>
        <v>7.75393</v>
      </c>
      <c r="D13432" s="7">
        <f>IFERROR(__xludf.DUMMYFUNCTION("""COMPUTED_VALUE"""),0.381818181818181)</f>
        <v>0.3818181818</v>
      </c>
    </row>
    <row r="13433">
      <c r="A13433" s="10" t="s">
        <v>14872</v>
      </c>
      <c r="B13433" s="7" t="str">
        <f>IFERROR(__xludf.DUMMYFUNCTION("SPLIT(A13433,"" "")"),"CNc1cccc(-c2cccc(-c3cccc(CN(C)C4CCC(N(C)Cc5cccc(F)n5)CC4)n3)n2)n1")</f>
        <v>CNc1cccc(-c2cccc(-c3cccc(CN(C)C4CCC(N(C)Cc5cccc(F)n5)CC4)n3)n2)n1</v>
      </c>
      <c r="C13433" s="7">
        <f>IFERROR(__xludf.DUMMYFUNCTION("""COMPUTED_VALUE"""),7.7539296)</f>
        <v>7.7539296</v>
      </c>
      <c r="D13433" s="7">
        <f>IFERROR(__xludf.DUMMYFUNCTION("""COMPUTED_VALUE"""),0.377358490566037)</f>
        <v>0.3773584906</v>
      </c>
    </row>
    <row r="13434">
      <c r="A13434" s="10" t="s">
        <v>14873</v>
      </c>
      <c r="B13434" s="7" t="str">
        <f>IFERROR(__xludf.DUMMYFUNCTION("SPLIT(A13434,"" "")"),"Cc1cc(C)c(CN(C)C2=C(CN(C)Cc3cc(C)c(C)c(C)n3)NC=CC2)cn1")</f>
        <v>Cc1cc(C)c(CN(C)C2=C(CN(C)Cc3cc(C)c(C)c(C)n3)NC=CC2)cn1</v>
      </c>
      <c r="C13434" s="7">
        <f>IFERROR(__xludf.DUMMYFUNCTION("""COMPUTED_VALUE"""),7.753918)</f>
        <v>7.753918</v>
      </c>
      <c r="D13434" s="7">
        <f>IFERROR(__xludf.DUMMYFUNCTION("""COMPUTED_VALUE"""),0.222222222222222)</f>
        <v>0.2222222222</v>
      </c>
    </row>
    <row r="13435">
      <c r="A13435" s="10" t="s">
        <v>14874</v>
      </c>
      <c r="B13435" s="7" t="str">
        <f>IFERROR(__xludf.DUMMYFUNCTION("SPLIT(A13435,"" "")"),"CC(C)(c1ccc(NCc2ccccn2)cc1)c1ccccn1")</f>
        <v>CC(C)(c1ccc(NCc2ccccn2)cc1)c1ccccn1</v>
      </c>
      <c r="C13435" s="7">
        <f>IFERROR(__xludf.DUMMYFUNCTION("""COMPUTED_VALUE"""),7.753901)</f>
        <v>7.753901</v>
      </c>
      <c r="D13435" s="7">
        <f>IFERROR(__xludf.DUMMYFUNCTION("""COMPUTED_VALUE"""),0.425)</f>
        <v>0.425</v>
      </c>
    </row>
    <row r="13436">
      <c r="A13436" s="10" t="s">
        <v>14875</v>
      </c>
      <c r="B13436" s="7" t="str">
        <f>IFERROR(__xludf.DUMMYFUNCTION("SPLIT(A13436,"" "")"),"CN(Cc1ccccn1)c1ccnc(C(C)(C)NCc2ccccn2)c1")</f>
        <v>CN(Cc1ccccn1)c1ccnc(C(C)(C)NCc2ccccn2)c1</v>
      </c>
      <c r="C13436" s="7">
        <f>IFERROR(__xludf.DUMMYFUNCTION("""COMPUTED_VALUE"""),7.7538924)</f>
        <v>7.7538924</v>
      </c>
      <c r="D13436" s="7">
        <f>IFERROR(__xludf.DUMMYFUNCTION("""COMPUTED_VALUE"""),0.489361702127659)</f>
        <v>0.4893617021</v>
      </c>
    </row>
    <row r="13437">
      <c r="A13437" s="10" t="s">
        <v>14876</v>
      </c>
      <c r="B13437" s="7" t="str">
        <f>IFERROR(__xludf.DUMMYFUNCTION("SPLIT(A13437,"" "")"),"FCc1ncccc1N(Cc1ccccn1)Cc1ccccn1")</f>
        <v>FCc1ncccc1N(Cc1ccccn1)Cc1ccccn1</v>
      </c>
      <c r="C13437" s="7">
        <f>IFERROR(__xludf.DUMMYFUNCTION("""COMPUTED_VALUE"""),7.7538915)</f>
        <v>7.7538915</v>
      </c>
      <c r="D13437" s="7">
        <f>IFERROR(__xludf.DUMMYFUNCTION("""COMPUTED_VALUE"""),0.5)</f>
        <v>0.5</v>
      </c>
    </row>
    <row r="13438">
      <c r="A13438" s="10" t="s">
        <v>14877</v>
      </c>
      <c r="B13438" s="7" t="str">
        <f>IFERROR(__xludf.DUMMYFUNCTION("SPLIT(A13438,"" "")"),"CN(Cc1cccc(C2=CCC=CN2)n1)C1=CNC(C(C)(C)C)=CC1")</f>
        <v>CN(Cc1cccc(C2=CCC=CN2)n1)C1=CNC(C(C)(C)C)=CC1</v>
      </c>
      <c r="C13438" s="7">
        <f>IFERROR(__xludf.DUMMYFUNCTION("""COMPUTED_VALUE"""),7.753886)</f>
        <v>7.753886</v>
      </c>
      <c r="D13438" s="7">
        <f>IFERROR(__xludf.DUMMYFUNCTION("""COMPUTED_VALUE"""),0.3125)</f>
        <v>0.3125</v>
      </c>
    </row>
    <row r="13439">
      <c r="A13439" s="10" t="s">
        <v>14878</v>
      </c>
      <c r="B13439" s="7" t="str">
        <f>IFERROR(__xludf.DUMMYFUNCTION("SPLIT(A13439,"" "")"),"Cc1ccccc1N(Cc1ccccn1)Cc1ncccc1C(C)(C)C")</f>
        <v>Cc1ccccc1N(Cc1ccccn1)Cc1ncccc1C(C)(C)C</v>
      </c>
      <c r="C13439" s="7">
        <f>IFERROR(__xludf.DUMMYFUNCTION("""COMPUTED_VALUE"""),7.7538853)</f>
        <v>7.7538853</v>
      </c>
      <c r="D13439" s="7">
        <f>IFERROR(__xludf.DUMMYFUNCTION("""COMPUTED_VALUE"""),0.408163265306122)</f>
        <v>0.4081632653</v>
      </c>
    </row>
    <row r="13440">
      <c r="A13440" s="10" t="s">
        <v>14879</v>
      </c>
      <c r="B13440" s="7" t="str">
        <f>IFERROR(__xludf.DUMMYFUNCTION("SPLIT(A13440,"" "")"),"CC(C)c1cc(CN(Cc2ccccn2)Cc2ncccc2N(C)C)ccn1")</f>
        <v>CC(C)c1cc(CN(Cc2ccccn2)Cc2ncccc2N(C)C)ccn1</v>
      </c>
      <c r="C13440" s="7">
        <f>IFERROR(__xludf.DUMMYFUNCTION("""COMPUTED_VALUE"""),7.753881)</f>
        <v>7.753881</v>
      </c>
      <c r="D13440" s="7">
        <f>IFERROR(__xludf.DUMMYFUNCTION("""COMPUTED_VALUE"""),0.434782608695652)</f>
        <v>0.4347826087</v>
      </c>
    </row>
    <row r="13441">
      <c r="A13441" s="10" t="s">
        <v>14880</v>
      </c>
      <c r="B13441" s="7" t="str">
        <f>IFERROR(__xludf.DUMMYFUNCTION("SPLIT(A13441,"" "")"),"Cc1cc(CN(C)Cc2cccc(N(C)C3C=CC=CN3)n2)cnc1C")</f>
        <v>Cc1cc(CN(C)Cc2cccc(N(C)C3C=CC=CN3)n2)cnc1C</v>
      </c>
      <c r="C13441" s="7">
        <f>IFERROR(__xludf.DUMMYFUNCTION("""COMPUTED_VALUE"""),7.7538795)</f>
        <v>7.7538795</v>
      </c>
      <c r="D13441" s="7">
        <f>IFERROR(__xludf.DUMMYFUNCTION("""COMPUTED_VALUE"""),0.310344827586206)</f>
        <v>0.3103448276</v>
      </c>
    </row>
    <row r="13442">
      <c r="A13442" s="10" t="s">
        <v>14881</v>
      </c>
      <c r="B13442" s="7" t="str">
        <f>IFERROR(__xludf.DUMMYFUNCTION("SPLIT(A13442,"" "")"),"Cc1nc(CN(C)C2=C(CN(Cc3ccccn3)Cc3ccc(F)cn3)NC=CC2)c(C)c(C)c1C")</f>
        <v>Cc1nc(CN(C)C2=C(CN(Cc3ccccn3)Cc3ccc(F)cn3)NC=CC2)c(C)c(C)c1C</v>
      </c>
      <c r="C13442" s="7">
        <f>IFERROR(__xludf.DUMMYFUNCTION("""COMPUTED_VALUE"""),7.7538743)</f>
        <v>7.7538743</v>
      </c>
      <c r="D13442" s="7">
        <f>IFERROR(__xludf.DUMMYFUNCTION("""COMPUTED_VALUE"""),0.376811594202898)</f>
        <v>0.3768115942</v>
      </c>
    </row>
    <row r="13443">
      <c r="A13443" s="10" t="s">
        <v>14882</v>
      </c>
      <c r="B13443" s="7" t="str">
        <f>IFERROR(__xludf.DUMMYFUNCTION("SPLIT(A13443,"" "")"),"CNc1cnc(CN(Cc2ccccn2)C2CCC(N(C)c3ccc4nccc(CF)c4c3)CC2)c(C)c1")</f>
        <v>CNc1cnc(CN(Cc2ccccn2)C2CCC(N(C)c3ccc4nccc(CF)c4c3)CC2)c(C)c1</v>
      </c>
      <c r="C13443" s="7">
        <f>IFERROR(__xludf.DUMMYFUNCTION("""COMPUTED_VALUE"""),7.753872)</f>
        <v>7.753872</v>
      </c>
      <c r="D13443" s="7">
        <f>IFERROR(__xludf.DUMMYFUNCTION("""COMPUTED_VALUE"""),0.301369863013698)</f>
        <v>0.301369863</v>
      </c>
    </row>
    <row r="13444">
      <c r="A13444" s="10" t="s">
        <v>14883</v>
      </c>
      <c r="B13444" s="7" t="str">
        <f>IFERROR(__xludf.DUMMYFUNCTION("SPLIT(A13444,"" "")"),"CC1C=CC(C)C(C)(N(Cc2ccccn2)Cc2ccc(-c3cccc(N=Cc4ccccn4)c3)cn2)C1")</f>
        <v>CC1C=CC(C)C(C)(N(Cc2ccccn2)Cc2ccc(-c3cccc(N=Cc4ccccn4)c3)cn2)C1</v>
      </c>
      <c r="C13444" s="7">
        <f>IFERROR(__xludf.DUMMYFUNCTION("""COMPUTED_VALUE"""),7.753857)</f>
        <v>7.753857</v>
      </c>
      <c r="D13444" s="7">
        <f>IFERROR(__xludf.DUMMYFUNCTION("""COMPUTED_VALUE"""),0.291666666666666)</f>
        <v>0.2916666667</v>
      </c>
    </row>
    <row r="13445">
      <c r="A13445" s="10" t="s">
        <v>14884</v>
      </c>
      <c r="B13445" s="7" t="str">
        <f>IFERROR(__xludf.DUMMYFUNCTION("SPLIT(A13445,"" "")"),"CC1=CNC=CC1c1ncccc1CN(C)Cc1cccc(N)n1")</f>
        <v>CC1=CNC=CC1c1ncccc1CN(C)Cc1cccc(N)n1</v>
      </c>
      <c r="C13445" s="7">
        <f>IFERROR(__xludf.DUMMYFUNCTION("""COMPUTED_VALUE"""),7.753853)</f>
        <v>7.753853</v>
      </c>
      <c r="D13445" s="7">
        <f>IFERROR(__xludf.DUMMYFUNCTION("""COMPUTED_VALUE"""),0.35593220338983)</f>
        <v>0.3559322034</v>
      </c>
    </row>
    <row r="13446">
      <c r="A13446" s="10" t="s">
        <v>14885</v>
      </c>
      <c r="B13446" s="7" t="str">
        <f>IFERROR(__xludf.DUMMYFUNCTION("SPLIT(A13446,"" "")"),"CN(Cc1ncccc1C(C)(C)C)c1ccc(F)cc1")</f>
        <v>CN(Cc1ncccc1C(C)(C)C)c1ccc(F)cc1</v>
      </c>
      <c r="C13446" s="7">
        <f>IFERROR(__xludf.DUMMYFUNCTION("""COMPUTED_VALUE"""),7.75385)</f>
        <v>7.75385</v>
      </c>
      <c r="D13446" s="7">
        <f>IFERROR(__xludf.DUMMYFUNCTION("""COMPUTED_VALUE"""),0.291666666666666)</f>
        <v>0.2916666667</v>
      </c>
    </row>
    <row r="13447">
      <c r="A13447" s="10" t="s">
        <v>14886</v>
      </c>
      <c r="B13447" s="7" t="str">
        <f>IFERROR(__xludf.DUMMYFUNCTION("SPLIT(A13447,"" "")"),"CC1=CCC(N(C)CC2=CCC(N(C)Cc3ccccn3)=CN2)=CN1")</f>
        <v>CC1=CCC(N(C)CC2=CCC(N(C)Cc3ccccn3)=CN2)=CN1</v>
      </c>
      <c r="C13447" s="7">
        <f>IFERROR(__xludf.DUMMYFUNCTION("""COMPUTED_VALUE"""),7.753846)</f>
        <v>7.753846</v>
      </c>
      <c r="D13447" s="7">
        <f>IFERROR(__xludf.DUMMYFUNCTION("""COMPUTED_VALUE"""),0.425925925925925)</f>
        <v>0.4259259259</v>
      </c>
    </row>
    <row r="13448">
      <c r="A13448" s="10" t="s">
        <v>14887</v>
      </c>
      <c r="B13448" s="7" t="str">
        <f>IFERROR(__xludf.DUMMYFUNCTION("SPLIT(A13448,"" "")"),"Cc1ccc(CN(C)C2=CNC(CN(C)Cc3nc(C)c(C)c(C)c3C)=CC2)nc1")</f>
        <v>Cc1ccc(CN(C)C2=CNC(CN(C)Cc3nc(C)c(C)c(C)c3C)=CC2)nc1</v>
      </c>
      <c r="C13448" s="7">
        <f>IFERROR(__xludf.DUMMYFUNCTION("""COMPUTED_VALUE"""),7.753843)</f>
        <v>7.753843</v>
      </c>
      <c r="D13448" s="7">
        <f>IFERROR(__xludf.DUMMYFUNCTION("""COMPUTED_VALUE"""),0.388888888888888)</f>
        <v>0.3888888889</v>
      </c>
    </row>
    <row r="13449">
      <c r="A13449" s="10" t="s">
        <v>14888</v>
      </c>
      <c r="B13449" s="7" t="str">
        <f>IFERROR(__xludf.DUMMYFUNCTION("SPLIT(A13449,"" "")"),"Cc1nc(CN(Cc2ccccn2)C2CCC(N(C)c3ccc4nc(CN(C)C)ccc4c3)CC2)c(C)c(C)c1C")</f>
        <v>Cc1nc(CN(Cc2ccccn2)C2CCC(N(C)c3ccc4nc(CN(C)C)ccc4c3)CC2)c(C)c(C)c1C</v>
      </c>
      <c r="C13449" s="7">
        <f>IFERROR(__xludf.DUMMYFUNCTION("""COMPUTED_VALUE"""),7.753836)</f>
        <v>7.753836</v>
      </c>
      <c r="D13449" s="7">
        <f>IFERROR(__xludf.DUMMYFUNCTION("""COMPUTED_VALUE"""),0.375)</f>
        <v>0.375</v>
      </c>
    </row>
    <row r="13450">
      <c r="A13450" s="10" t="s">
        <v>14889</v>
      </c>
      <c r="B13450" s="7" t="str">
        <f>IFERROR(__xludf.DUMMYFUNCTION("SPLIT(A13450,"" "")"),"Cc1cc(C)c(CN(Cc2cccnn2)C2CCC(N(C)c3ccc4nccc(C)c4c3)CC2)cn1")</f>
        <v>Cc1cc(C)c(CN(Cc2cccnn2)C2CCC(N(C)c3ccc4nccc(C)c4c3)CC2)cn1</v>
      </c>
      <c r="C13450" s="7">
        <f>IFERROR(__xludf.DUMMYFUNCTION("""COMPUTED_VALUE"""),7.7538276)</f>
        <v>7.7538276</v>
      </c>
      <c r="D13450" s="7">
        <f>IFERROR(__xludf.DUMMYFUNCTION("""COMPUTED_VALUE"""),0.3125)</f>
        <v>0.3125</v>
      </c>
    </row>
    <row r="13451">
      <c r="A13451" s="10" t="s">
        <v>14890</v>
      </c>
      <c r="B13451" s="7" t="str">
        <f>IFERROR(__xludf.DUMMYFUNCTION("SPLIT(A13451,"" "")"),"Cc1cccnc1CN(C)C1=CNC(CN(C)Cc2cc(C)c(C)c(C)n2)=CC1")</f>
        <v>Cc1cccnc1CN(C)C1=CNC(CN(C)Cc2cc(C)c(C)c(C)n2)=CC1</v>
      </c>
      <c r="C13451" s="7">
        <f>IFERROR(__xludf.DUMMYFUNCTION("""COMPUTED_VALUE"""),7.7538266)</f>
        <v>7.7538266</v>
      </c>
      <c r="D13451" s="7">
        <f>IFERROR(__xludf.DUMMYFUNCTION("""COMPUTED_VALUE"""),0.276923076923076)</f>
        <v>0.2769230769</v>
      </c>
    </row>
    <row r="13452">
      <c r="A13452" s="10" t="s">
        <v>14891</v>
      </c>
      <c r="B13452" s="7" t="str">
        <f>IFERROR(__xludf.DUMMYFUNCTION("SPLIT(A13452,"" "")"),"C1=CNC(NCc2cc(C(c3ccccc3)c3ccccn3)ccn2)C=C1")</f>
        <v>C1=CNC(NCc2cc(C(c3ccccc3)c3ccccn3)ccn2)C=C1</v>
      </c>
      <c r="C13452" s="7">
        <f>IFERROR(__xludf.DUMMYFUNCTION("""COMPUTED_VALUE"""),7.7538233)</f>
        <v>7.7538233</v>
      </c>
      <c r="D13452" s="7">
        <f>IFERROR(__xludf.DUMMYFUNCTION("""COMPUTED_VALUE"""),0.360655737704918)</f>
        <v>0.3606557377</v>
      </c>
    </row>
    <row r="13453">
      <c r="A13453" s="10" t="s">
        <v>14892</v>
      </c>
      <c r="B13453" s="7" t="str">
        <f>IFERROR(__xludf.DUMMYFUNCTION("SPLIT(A13453,"" "")"),"Cc1nc(CN(C)Cc2cc(C(C)(C)C)ccn2)c(C)c(C)c1C")</f>
        <v>Cc1nc(CN(C)Cc2cc(C(C)(C)C)ccn2)c(C)c(C)c1C</v>
      </c>
      <c r="C13453" s="7">
        <f>IFERROR(__xludf.DUMMYFUNCTION("""COMPUTED_VALUE"""),7.7538195)</f>
        <v>7.7538195</v>
      </c>
      <c r="D13453" s="7">
        <f>IFERROR(__xludf.DUMMYFUNCTION("""COMPUTED_VALUE"""),0.320754716981132)</f>
        <v>0.320754717</v>
      </c>
    </row>
    <row r="13454">
      <c r="A13454" s="10" t="s">
        <v>14893</v>
      </c>
      <c r="B13454" s="7" t="str">
        <f>IFERROR(__xludf.DUMMYFUNCTION("SPLIT(A13454,"" "")"),"C=CCN(C)Cc1cc(C(C)(c2ccccn2)c2ccccn2)ccn1")</f>
        <v>C=CCN(C)Cc1cc(C(C)(c2ccccn2)c2ccccn2)ccn1</v>
      </c>
      <c r="C13454" s="7">
        <f>IFERROR(__xludf.DUMMYFUNCTION("""COMPUTED_VALUE"""),7.7538037)</f>
        <v>7.7538037</v>
      </c>
      <c r="D13454" s="7">
        <f>IFERROR(__xludf.DUMMYFUNCTION("""COMPUTED_VALUE"""),0.366666666666666)</f>
        <v>0.3666666667</v>
      </c>
    </row>
    <row r="13455">
      <c r="A13455" s="10" t="s">
        <v>14894</v>
      </c>
      <c r="B13455" s="7" t="str">
        <f>IFERROR(__xludf.DUMMYFUNCTION("SPLIT(A13455,"" "")"),"Cc1cccc(N(Cc2ccccn2)C2CCC(N(C)c3cccc4cc(CF)cnc34)CC2)c1")</f>
        <v>Cc1cccc(N(Cc2ccccn2)C2CCC(N(C)c3cccc4cc(CF)cnc34)CC2)c1</v>
      </c>
      <c r="C13455" s="7">
        <f>IFERROR(__xludf.DUMMYFUNCTION("""COMPUTED_VALUE"""),7.7538013)</f>
        <v>7.7538013</v>
      </c>
      <c r="D13455" s="7">
        <f>IFERROR(__xludf.DUMMYFUNCTION("""COMPUTED_VALUE"""),0.338235294117647)</f>
        <v>0.3382352941</v>
      </c>
    </row>
    <row r="13456">
      <c r="A13456" s="10" t="s">
        <v>14895</v>
      </c>
      <c r="B13456" s="7" t="str">
        <f>IFERROR(__xludf.DUMMYFUNCTION("SPLIT(A13456,"" "")"),"CN(CCN(C)c1cccc2nccc(CF)c12)CC(C)(C)C")</f>
        <v>CN(CCN(C)c1cccc2nccc(CF)c12)CC(C)(C)C</v>
      </c>
      <c r="C13456" s="7">
        <f>IFERROR(__xludf.DUMMYFUNCTION("""COMPUTED_VALUE"""),7.7537932)</f>
        <v>7.7537932</v>
      </c>
      <c r="D13456" s="7">
        <f>IFERROR(__xludf.DUMMYFUNCTION("""COMPUTED_VALUE"""),0.352941176470588)</f>
        <v>0.3529411765</v>
      </c>
    </row>
    <row r="13457">
      <c r="A13457" s="10" t="s">
        <v>14896</v>
      </c>
      <c r="B13457" s="7" t="str">
        <f>IFERROR(__xludf.DUMMYFUNCTION("SPLIT(A13457,"" "")"),"Cc1cccc(CN(Cc2cccc(CN(C)c3cccc(CN(C)Cc4ccccn4)n3)n2)Cc2cccc(C(C)(C)C)n2)n1")</f>
        <v>Cc1cccc(CN(Cc2cccc(CN(C)c3cccc(CN(C)Cc4ccccn4)n3)n2)Cc2cccc(C(C)(C)C)n2)n1</v>
      </c>
      <c r="C13457" s="7">
        <f>IFERROR(__xludf.DUMMYFUNCTION("""COMPUTED_VALUE"""),7.753792)</f>
        <v>7.753792</v>
      </c>
      <c r="D13457" s="7">
        <f>IFERROR(__xludf.DUMMYFUNCTION("""COMPUTED_VALUE"""),0.454545454545454)</f>
        <v>0.4545454545</v>
      </c>
    </row>
    <row r="13458">
      <c r="A13458" s="10" t="s">
        <v>14897</v>
      </c>
      <c r="B13458" s="7" t="str">
        <f>IFERROR(__xludf.DUMMYFUNCTION("SPLIT(A13458,"" "")"),"CN(CCN(Cc1ncccc1-c1ccc2c(c1)OCCOCCOCCOCCOCCO2)c1ccc2ncccc2c1)c1ccc2ncccc2c1")</f>
        <v>CN(CCN(Cc1ncccc1-c1ccc2c(c1)OCCOCCOCCOCCOCCO2)c1ccc2ncccc2c1)c1ccc2ncccc2c1</v>
      </c>
      <c r="C13458" s="7">
        <f>IFERROR(__xludf.DUMMYFUNCTION("""COMPUTED_VALUE"""),7.7537856)</f>
        <v>7.7537856</v>
      </c>
      <c r="D13458" s="7">
        <f>IFERROR(__xludf.DUMMYFUNCTION("""COMPUTED_VALUE"""),0.294871794871794)</f>
        <v>0.2948717949</v>
      </c>
    </row>
    <row r="13459">
      <c r="A13459" s="10" t="s">
        <v>14898</v>
      </c>
      <c r="B13459" s="7" t="str">
        <f>IFERROR(__xludf.DUMMYFUNCTION("SPLIT(A13459,"" "")"),"CC(N)C(C)(C)CN(Cc1ccccn1)c1cccc2ncccc12")</f>
        <v>CC(N)C(C)(C)CN(Cc1ccccn1)c1cccc2ncccc12</v>
      </c>
      <c r="C13459" s="7">
        <f>IFERROR(__xludf.DUMMYFUNCTION("""COMPUTED_VALUE"""),7.753785)</f>
        <v>7.753785</v>
      </c>
      <c r="D13459" s="7">
        <f>IFERROR(__xludf.DUMMYFUNCTION("""COMPUTED_VALUE"""),0.403846153846153)</f>
        <v>0.4038461538</v>
      </c>
    </row>
    <row r="13460">
      <c r="A13460" s="10" t="s">
        <v>14899</v>
      </c>
      <c r="B13460" s="7" t="str">
        <f>IFERROR(__xludf.DUMMYFUNCTION("SPLIT(A13460,"" "")"),"CC(C)CN(CCN(C)c1ccc2ncccc2c1)Cc1ccccn1")</f>
        <v>CC(C)CN(CCN(C)c1ccc2ncccc2c1)Cc1ccccn1</v>
      </c>
      <c r="C13460" s="7">
        <f>IFERROR(__xludf.DUMMYFUNCTION("""COMPUTED_VALUE"""),7.7537804)</f>
        <v>7.7537804</v>
      </c>
      <c r="D13460" s="7">
        <f>IFERROR(__xludf.DUMMYFUNCTION("""COMPUTED_VALUE"""),0.5)</f>
        <v>0.5</v>
      </c>
    </row>
    <row r="13461">
      <c r="A13461" s="10" t="s">
        <v>14900</v>
      </c>
      <c r="B13461" s="7" t="str">
        <f>IFERROR(__xludf.DUMMYFUNCTION("SPLIT(A13461,"" "")"),"Cc1ccc(CN(Cc2ccccn2)Cc2cccnc2C(C)(C)c2ccccn2)nc1C")</f>
        <v>Cc1ccc(CN(Cc2ccccn2)Cc2cccnc2C(C)(C)c2ccccn2)nc1C</v>
      </c>
      <c r="C13461" s="7">
        <f>IFERROR(__xludf.DUMMYFUNCTION("""COMPUTED_VALUE"""),7.7537737)</f>
        <v>7.7537737</v>
      </c>
      <c r="D13461" s="7">
        <f>IFERROR(__xludf.DUMMYFUNCTION("""COMPUTED_VALUE"""),0.425925925925925)</f>
        <v>0.4259259259</v>
      </c>
    </row>
    <row r="13462">
      <c r="A13462" s="10" t="s">
        <v>14901</v>
      </c>
      <c r="B13462" s="7" t="str">
        <f>IFERROR(__xludf.DUMMYFUNCTION("SPLIT(A13462,"" "")"),"Cc1cc(C)c(CN(C)Cc2cccc(N(C)C3C=CC=CN3)n2)cn1")</f>
        <v>Cc1cc(C)c(CN(C)Cc2cccc(N(C)C3C=CC=CN3)n2)cn1</v>
      </c>
      <c r="C13462" s="7">
        <f>IFERROR(__xludf.DUMMYFUNCTION("""COMPUTED_VALUE"""),7.7537723)</f>
        <v>7.7537723</v>
      </c>
      <c r="D13462" s="7">
        <f>IFERROR(__xludf.DUMMYFUNCTION("""COMPUTED_VALUE"""),0.333333333333333)</f>
        <v>0.3333333333</v>
      </c>
    </row>
    <row r="13463">
      <c r="A13463" s="10" t="s">
        <v>14902</v>
      </c>
      <c r="B13463" s="7" t="str">
        <f>IFERROR(__xludf.DUMMYFUNCTION("SPLIT(A13463,"" "")"),"CCCN(Cc1ccccn1)c1c(N(C)Cc2ccccn2)ccc(C)c1CN(C)Cc1ccccn1")</f>
        <v>CCCN(Cc1ccccn1)c1c(N(C)Cc2ccccn2)ccc(C)c1CN(C)Cc1ccccn1</v>
      </c>
      <c r="C13463" s="7">
        <f>IFERROR(__xludf.DUMMYFUNCTION("""COMPUTED_VALUE"""),7.7537713)</f>
        <v>7.7537713</v>
      </c>
      <c r="D13463" s="7">
        <f>IFERROR(__xludf.DUMMYFUNCTION("""COMPUTED_VALUE"""),0.450980392156862)</f>
        <v>0.4509803922</v>
      </c>
    </row>
    <row r="13464">
      <c r="A13464" s="10" t="s">
        <v>14903</v>
      </c>
      <c r="B13464" s="7" t="str">
        <f>IFERROR(__xludf.DUMMYFUNCTION("SPLIT(A13464,"" "")"),"CN(C)c1ccc(CN(Cc2ccccn2)Cc2cnccc2F)nc1")</f>
        <v>CN(C)c1ccc(CN(Cc2ccccn2)Cc2cnccc2F)nc1</v>
      </c>
      <c r="C13464" s="7">
        <f>IFERROR(__xludf.DUMMYFUNCTION("""COMPUTED_VALUE"""),7.753771)</f>
        <v>7.753771</v>
      </c>
      <c r="D13464" s="7">
        <f>IFERROR(__xludf.DUMMYFUNCTION("""COMPUTED_VALUE"""),0.465116279069767)</f>
        <v>0.4651162791</v>
      </c>
    </row>
    <row r="13465">
      <c r="A13465" s="10" t="s">
        <v>14904</v>
      </c>
      <c r="B13465" s="7" t="str">
        <f>IFERROR(__xludf.DUMMYFUNCTION("SPLIT(A13465,"" "")"),"CN(C)Cc1cnc2cccc(N(C)C3CCCCC3N(Cc3ccccn3)c3ccccc3F)c2c1")</f>
        <v>CN(C)Cc1cnc2cccc(N(C)C3CCCCC3N(Cc3ccccn3)c3ccccc3F)c2c1</v>
      </c>
      <c r="C13465" s="7">
        <f>IFERROR(__xludf.DUMMYFUNCTION("""COMPUTED_VALUE"""),7.753768)</f>
        <v>7.753768</v>
      </c>
      <c r="D13465" s="7">
        <f>IFERROR(__xludf.DUMMYFUNCTION("""COMPUTED_VALUE"""),0.426229508196721)</f>
        <v>0.4262295082</v>
      </c>
    </row>
    <row r="13466">
      <c r="A13466" s="10" t="s">
        <v>14905</v>
      </c>
      <c r="B13466" s="7" t="str">
        <f>IFERROR(__xludf.DUMMYFUNCTION("SPLIT(A13466,"" "")"),"CN(CCN)CCN(C)c1ccc2nccc(CF)c2c1")</f>
        <v>CN(CCN)CCN(C)c1ccc2nccc(CF)c2c1</v>
      </c>
      <c r="C13466" s="7">
        <f>IFERROR(__xludf.DUMMYFUNCTION("""COMPUTED_VALUE"""),7.753764)</f>
        <v>7.753764</v>
      </c>
      <c r="D13466" s="7">
        <f>IFERROR(__xludf.DUMMYFUNCTION("""COMPUTED_VALUE"""),0.274509803921568)</f>
        <v>0.2745098039</v>
      </c>
    </row>
    <row r="13467">
      <c r="A13467" s="10" t="s">
        <v>14906</v>
      </c>
      <c r="B13467" s="7" t="str">
        <f>IFERROR(__xludf.DUMMYFUNCTION("SPLIT(A13467,"" "")"),"CN(c1ccc2c(CF)ccnc2c1)C1CCCCC1N(Cc1ccccn1)c1ccccc1F")</f>
        <v>CN(c1ccc2c(CF)ccnc2c1)C1CCCCC1N(Cc1ccccn1)c1ccccc1F</v>
      </c>
      <c r="C13467" s="7">
        <f>IFERROR(__xludf.DUMMYFUNCTION("""COMPUTED_VALUE"""),7.7537556)</f>
        <v>7.7537556</v>
      </c>
      <c r="D13467" s="7">
        <f>IFERROR(__xludf.DUMMYFUNCTION("""COMPUTED_VALUE"""),0.426229508196721)</f>
        <v>0.4262295082</v>
      </c>
    </row>
    <row r="13468">
      <c r="A13468" s="10" t="s">
        <v>14907</v>
      </c>
      <c r="B13468" s="7" t="str">
        <f>IFERROR(__xludf.DUMMYFUNCTION("SPLIT(A13468,"" "")"),"Cc1ncccc1CN(C)CC1=CCC=C(N(C)Cc2ccccn2)N1")</f>
        <v>Cc1ncccc1CN(C)CC1=CCC=C(N(C)Cc2ccccn2)N1</v>
      </c>
      <c r="C13468" s="7">
        <f>IFERROR(__xludf.DUMMYFUNCTION("""COMPUTED_VALUE"""),7.7537527)</f>
        <v>7.7537527</v>
      </c>
      <c r="D13468" s="7">
        <f>IFERROR(__xludf.DUMMYFUNCTION("""COMPUTED_VALUE"""),0.389830508474576)</f>
        <v>0.3898305085</v>
      </c>
    </row>
    <row r="13469">
      <c r="A13469" s="10" t="s">
        <v>14908</v>
      </c>
      <c r="B13469" s="7" t="str">
        <f>IFERROR(__xludf.DUMMYFUNCTION("SPLIT(A13469,"" "")"),"CC(C)C(C)(c1cccnc1)N(C)CCN(Cc1ccccn1)c1ccc2cccnc2c1")</f>
        <v>CC(C)C(C)(c1cccnc1)N(C)CCN(Cc1ccccn1)c1ccc2cccnc2c1</v>
      </c>
      <c r="C13469" s="7">
        <f>IFERROR(__xludf.DUMMYFUNCTION("""COMPUTED_VALUE"""),7.753751)</f>
        <v>7.753751</v>
      </c>
      <c r="D13469" s="7">
        <f>IFERROR(__xludf.DUMMYFUNCTION("""COMPUTED_VALUE"""),0.387096774193548)</f>
        <v>0.3870967742</v>
      </c>
    </row>
    <row r="13470">
      <c r="A13470" s="10" t="s">
        <v>14909</v>
      </c>
      <c r="B13470" s="7" t="str">
        <f>IFERROR(__xludf.DUMMYFUNCTION("SPLIT(A13470,"" "")"),"COC(=O)C(=O)C(=O)C(C)NCc1cccc(C2=NC(C)(C)CO2)n1")</f>
        <v>COC(=O)C(=O)C(=O)C(C)NCc1cccc(C2=NC(C)(C)CO2)n1</v>
      </c>
      <c r="C13470" s="7">
        <f>IFERROR(__xludf.DUMMYFUNCTION("""COMPUTED_VALUE"""),7.7537503)</f>
        <v>7.7537503</v>
      </c>
      <c r="D13470" s="7">
        <f>IFERROR(__xludf.DUMMYFUNCTION("""COMPUTED_VALUE"""),0.48076923076923)</f>
        <v>0.4807692308</v>
      </c>
    </row>
    <row r="13471">
      <c r="A13471" s="10" t="s">
        <v>14910</v>
      </c>
      <c r="B13471" s="7" t="str">
        <f>IFERROR(__xludf.DUMMYFUNCTION("SPLIT(A13471,"" "")"),"CN(c1ccccc1F)C1CCC(N(C)c2cccc3nccc(CF)c23)CC1")</f>
        <v>CN(c1ccccc1F)C1CCC(N(C)c2cccc3nccc(CF)c23)CC1</v>
      </c>
      <c r="C13471" s="7">
        <f>IFERROR(__xludf.DUMMYFUNCTION("""COMPUTED_VALUE"""),7.75375)</f>
        <v>7.75375</v>
      </c>
      <c r="D13471" s="7">
        <f>IFERROR(__xludf.DUMMYFUNCTION("""COMPUTED_VALUE"""),0.311475409836065)</f>
        <v>0.3114754098</v>
      </c>
    </row>
    <row r="13472">
      <c r="A13472" s="10" t="s">
        <v>14911</v>
      </c>
      <c r="B13472" s="7" t="str">
        <f>IFERROR(__xludf.DUMMYFUNCTION("SPLIT(A13472,"" "")"),"CN(Cc1ccc2ncccc2c1)c1ccc2nccc(CN(Cc3ccccn3)Cc3cc(-c4ccc5c(c4)OCCOCCOCCOCCOCCO5)ccn3)c2c1")</f>
        <v>CN(Cc1ccc2ncccc2c1)c1ccc2nccc(CN(Cc3ccccn3)Cc3cc(-c4ccc5c(c4)OCCOCCOCCOCCOCCO5)ccn3)c2c1</v>
      </c>
      <c r="C13472" s="7">
        <f>IFERROR(__xludf.DUMMYFUNCTION("""COMPUTED_VALUE"""),7.7537374)</f>
        <v>7.7537374</v>
      </c>
      <c r="D13472" s="7">
        <f>IFERROR(__xludf.DUMMYFUNCTION("""COMPUTED_VALUE"""),0.302631578947368)</f>
        <v>0.3026315789</v>
      </c>
    </row>
    <row r="13473">
      <c r="A13473" s="10" t="s">
        <v>14912</v>
      </c>
      <c r="B13473" s="7" t="str">
        <f>IFERROR(__xludf.DUMMYFUNCTION("SPLIT(A13473,"" "")"),"Cc1ccc(CN(CC2=CC(N(C)Cc3ccccn3)C=CN2)c2cccc(C)c2C)nc1")</f>
        <v>Cc1ccc(CN(CC2=CC(N(C)Cc3ccccn3)C=CN2)c2cccc(C)c2C)nc1</v>
      </c>
      <c r="C13473" s="7">
        <f>IFERROR(__xludf.DUMMYFUNCTION("""COMPUTED_VALUE"""),7.7537317)</f>
        <v>7.7537317</v>
      </c>
      <c r="D13473" s="7">
        <f>IFERROR(__xludf.DUMMYFUNCTION("""COMPUTED_VALUE"""),0.353846153846153)</f>
        <v>0.3538461538</v>
      </c>
    </row>
    <row r="13474">
      <c r="A13474" s="10" t="s">
        <v>14913</v>
      </c>
      <c r="B13474" s="7" t="str">
        <f>IFERROR(__xludf.DUMMYFUNCTION("SPLIT(A13474,"" "")"),"Cc1cc(N(C)CC2=CC(N(C)Cc3ccccn3)C=CN2)cc(C)c1C")</f>
        <v>Cc1cc(N(C)CC2=CC(N(C)Cc3ccccn3)C=CN2)cc(C)c1C</v>
      </c>
      <c r="C13474" s="7">
        <f>IFERROR(__xludf.DUMMYFUNCTION("""COMPUTED_VALUE"""),7.7537284)</f>
        <v>7.7537284</v>
      </c>
      <c r="D13474" s="7">
        <f>IFERROR(__xludf.DUMMYFUNCTION("""COMPUTED_VALUE"""),0.392857142857142)</f>
        <v>0.3928571429</v>
      </c>
    </row>
    <row r="13475">
      <c r="A13475" s="10" t="s">
        <v>14914</v>
      </c>
      <c r="B13475" s="7" t="str">
        <f>IFERROR(__xludf.DUMMYFUNCTION("SPLIT(A13475,"" "")"),"Cc1cc(CN(C)C2=CNC(CN(C)Cc3cc(C)c(C)c(C)n3)=CC2)ccn1")</f>
        <v>Cc1cc(CN(C)C2=CNC(CN(C)Cc3cc(C)c(C)c(C)n3)=CC2)ccn1</v>
      </c>
      <c r="C13475" s="7">
        <f>IFERROR(__xludf.DUMMYFUNCTION("""COMPUTED_VALUE"""),7.753725)</f>
        <v>7.753725</v>
      </c>
      <c r="D13475" s="7">
        <f>IFERROR(__xludf.DUMMYFUNCTION("""COMPUTED_VALUE"""),0.241935483870967)</f>
        <v>0.2419354839</v>
      </c>
    </row>
    <row r="13476">
      <c r="A13476" s="10" t="s">
        <v>14915</v>
      </c>
      <c r="B13476" s="7" t="str">
        <f>IFERROR(__xludf.DUMMYFUNCTION("SPLIT(A13476,"" "")"),"CN(C)c1ccnc(CN(Cc2ccccn2)Cc2ccc(F)cn2)c1")</f>
        <v>CN(C)c1ccnc(CN(Cc2ccccn2)Cc2ccc(F)cn2)c1</v>
      </c>
      <c r="C13476" s="7">
        <f>IFERROR(__xludf.DUMMYFUNCTION("""COMPUTED_VALUE"""),7.7537193)</f>
        <v>7.7537193</v>
      </c>
      <c r="D13476" s="7">
        <f>IFERROR(__xludf.DUMMYFUNCTION("""COMPUTED_VALUE"""),0.5)</f>
        <v>0.5</v>
      </c>
    </row>
    <row r="13477">
      <c r="A13477" s="10" t="s">
        <v>14916</v>
      </c>
      <c r="B13477" s="7" t="str">
        <f>IFERROR(__xludf.DUMMYFUNCTION("SPLIT(A13477,"" "")"),"Cc1cc(C)c(C)c(N(C)CC2=CC(N(C)Cc3ccccn3)C=CN2)c1")</f>
        <v>Cc1cc(C)c(C)c(N(C)CC2=CC(N(C)Cc3ccccn3)C=CN2)c1</v>
      </c>
      <c r="C13477" s="7">
        <f>IFERROR(__xludf.DUMMYFUNCTION("""COMPUTED_VALUE"""),7.753712)</f>
        <v>7.753712</v>
      </c>
      <c r="D13477" s="7">
        <f>IFERROR(__xludf.DUMMYFUNCTION("""COMPUTED_VALUE"""),0.403508771929824)</f>
        <v>0.4035087719</v>
      </c>
    </row>
    <row r="13478">
      <c r="A13478" s="10" t="s">
        <v>14917</v>
      </c>
      <c r="B13478" s="7" t="str">
        <f>IFERROR(__xludf.DUMMYFUNCTION("SPLIT(A13478,"" "")"),"Cc1cc(C)c2cccc(N(C)C3CCCCC3N(C)Cc3nc(C)c(C)c(C)c3C)c2n1")</f>
        <v>Cc1cc(C)c2cccc(N(C)C3CCCCC3N(C)Cc3nc(C)c(C)c(C)c3C)c2n1</v>
      </c>
      <c r="C13478" s="7">
        <f>IFERROR(__xludf.DUMMYFUNCTION("""COMPUTED_VALUE"""),7.7537103)</f>
        <v>7.7537103</v>
      </c>
      <c r="D13478" s="7">
        <f>IFERROR(__xludf.DUMMYFUNCTION("""COMPUTED_VALUE"""),0.413793103448275)</f>
        <v>0.4137931034</v>
      </c>
    </row>
    <row r="13479">
      <c r="A13479" s="10" t="s">
        <v>14918</v>
      </c>
      <c r="B13479" s="7" t="str">
        <f>IFERROR(__xludf.DUMMYFUNCTION("SPLIT(A13479,"" "")"),"CCN(Cc1cccc(C2=NC(C)(C)CO2)n1)Cc1nc(C)c(C)c(C)c1[SiH3]")</f>
        <v>CCN(Cc1cccc(C2=NC(C)(C)CO2)n1)Cc1nc(C)c(C)c(C)c1[SiH3]</v>
      </c>
      <c r="C13479" s="7">
        <f>IFERROR(__xludf.DUMMYFUNCTION("""COMPUTED_VALUE"""),7.75371)</f>
        <v>7.75371</v>
      </c>
      <c r="D13479" s="7">
        <f>IFERROR(__xludf.DUMMYFUNCTION("""COMPUTED_VALUE"""),0.471698113207547)</f>
        <v>0.4716981132</v>
      </c>
    </row>
    <row r="13480">
      <c r="A13480" s="10" t="s">
        <v>14919</v>
      </c>
      <c r="B13480" s="7" t="str">
        <f>IFERROR(__xludf.DUMMYFUNCTION("SPLIT(A13480,"" "")"),"CCOC(=O)c1cccc(CN(Cc2ccccn2)C2CCC(N(C)c3cccc4nccc(CN(C)C)c34)CC2)n1")</f>
        <v>CCOC(=O)c1cccc(CN(Cc2ccccn2)C2CCC(N(C)c3cccc4nccc(CN(C)C)c34)CC2)n1</v>
      </c>
      <c r="C13480" s="7">
        <f>IFERROR(__xludf.DUMMYFUNCTION("""COMPUTED_VALUE"""),7.7537026)</f>
        <v>7.7537026</v>
      </c>
      <c r="D13480" s="7">
        <f>IFERROR(__xludf.DUMMYFUNCTION("""COMPUTED_VALUE"""),0.301369863013698)</f>
        <v>0.301369863</v>
      </c>
    </row>
    <row r="13481">
      <c r="A13481" s="10" t="s">
        <v>14920</v>
      </c>
      <c r="B13481" s="7" t="str">
        <f>IFERROR(__xludf.DUMMYFUNCTION("SPLIT(A13481,"" "")"),"CC(C)c1ccccc1-c1cccc(CN(Cc2ccccn2)C2CCCCC2N(C)c2ccc3nc(CF)ccc3c2)n1")</f>
        <v>CC(C)c1ccccc1-c1cccc(CN(Cc2ccccn2)C2CCCCC2N(C)c2ccc3nc(CF)ccc3c2)n1</v>
      </c>
      <c r="C13481" s="7">
        <f>IFERROR(__xludf.DUMMYFUNCTION("""COMPUTED_VALUE"""),7.7537)</f>
        <v>7.7537</v>
      </c>
      <c r="D13481" s="7">
        <f>IFERROR(__xludf.DUMMYFUNCTION("""COMPUTED_VALUE"""),0.391891891891891)</f>
        <v>0.3918918919</v>
      </c>
    </row>
    <row r="13482">
      <c r="A13482" s="10" t="s">
        <v>14921</v>
      </c>
      <c r="B13482" s="7" t="str">
        <f>IFERROR(__xludf.DUMMYFUNCTION("SPLIT(A13482,"" "")"),"Cc1cccnc1CN(C)C1=CNC(CN(C)Cc2nc(C)c(C)c(C)c2C)=CC1")</f>
        <v>Cc1cccnc1CN(C)C1=CNC(CN(C)Cc2nc(C)c(C)c(C)c2C)=CC1</v>
      </c>
      <c r="C13482" s="7">
        <f>IFERROR(__xludf.DUMMYFUNCTION("""COMPUTED_VALUE"""),7.753689)</f>
        <v>7.753689</v>
      </c>
      <c r="D13482" s="7">
        <f>IFERROR(__xludf.DUMMYFUNCTION("""COMPUTED_VALUE"""),0.253968253968253)</f>
        <v>0.253968254</v>
      </c>
    </row>
    <row r="13483">
      <c r="A13483" s="10" t="s">
        <v>14922</v>
      </c>
      <c r="B13483" s="7" t="str">
        <f>IFERROR(__xludf.DUMMYFUNCTION("SPLIT(A13483,"" "")"),"Fc1ccccc1N(Cc1ccccn1)Cc1cccnc1F")</f>
        <v>Fc1ccccc1N(Cc1ccccn1)Cc1cccnc1F</v>
      </c>
      <c r="C13483" s="7">
        <f>IFERROR(__xludf.DUMMYFUNCTION("""COMPUTED_VALUE"""),7.753679)</f>
        <v>7.753679</v>
      </c>
      <c r="D13483" s="7">
        <f>IFERROR(__xludf.DUMMYFUNCTION("""COMPUTED_VALUE"""),0.447368421052631)</f>
        <v>0.4473684211</v>
      </c>
    </row>
    <row r="13484">
      <c r="A13484" s="10" t="s">
        <v>14923</v>
      </c>
      <c r="B13484" s="7" t="str">
        <f>IFERROR(__xludf.DUMMYFUNCTION("SPLIT(A13484,"" "")"),"Cc1cccc(CN(C)C2=C(CN(Cc3ccccn3)Cc3ncccc3C)NC=CC2)n1")</f>
        <v>Cc1cccc(CN(C)C2=C(CN(Cc3ccccn3)Cc3ncccc3C)NC=CC2)n1</v>
      </c>
      <c r="C13484" s="7">
        <f>IFERROR(__xludf.DUMMYFUNCTION("""COMPUTED_VALUE"""),7.7536745)</f>
        <v>7.7536745</v>
      </c>
      <c r="D13484" s="7">
        <f>IFERROR(__xludf.DUMMYFUNCTION("""COMPUTED_VALUE"""),0.4)</f>
        <v>0.4</v>
      </c>
    </row>
    <row r="13485">
      <c r="A13485" s="10" t="s">
        <v>14924</v>
      </c>
      <c r="B13485" s="7" t="str">
        <f>IFERROR(__xludf.DUMMYFUNCTION("SPLIT(A13485,"" "")"),"Cc1ccccc1N(C)Cc1cccnc1")</f>
        <v>Cc1ccccc1N(C)Cc1cccnc1</v>
      </c>
      <c r="C13485" s="7">
        <f>IFERROR(__xludf.DUMMYFUNCTION("""COMPUTED_VALUE"""),7.753674)</f>
        <v>7.753674</v>
      </c>
      <c r="D13485" s="7">
        <f>IFERROR(__xludf.DUMMYFUNCTION("""COMPUTED_VALUE"""),0.333333333333333)</f>
        <v>0.3333333333</v>
      </c>
    </row>
    <row r="13486">
      <c r="A13486" s="10" t="s">
        <v>14925</v>
      </c>
      <c r="B13486" s="7" t="str">
        <f>IFERROR(__xludf.DUMMYFUNCTION("SPLIT(A13486,"" "")"),"Cc1cc(C)c(CNCc2cc(C(C)(C)c3ccccn3)ccn2)cc1C")</f>
        <v>Cc1cc(C)c(CNCc2cc(C(C)(C)c3ccccn3)ccn2)cc1C</v>
      </c>
      <c r="C13486" s="7">
        <f>IFERROR(__xludf.DUMMYFUNCTION("""COMPUTED_VALUE"""),7.7536616)</f>
        <v>7.7536616</v>
      </c>
      <c r="D13486" s="7">
        <f>IFERROR(__xludf.DUMMYFUNCTION("""COMPUTED_VALUE"""),0.354166666666666)</f>
        <v>0.3541666667</v>
      </c>
    </row>
    <row r="13487">
      <c r="A13487" s="10" t="s">
        <v>14926</v>
      </c>
      <c r="B13487" s="7" t="str">
        <f>IFERROR(__xludf.DUMMYFUNCTION("SPLIT(A13487,"" "")"),"Cc1cccc(N(Cc2ccccn2)C2CCC(N(C)c3cccc4ncccc34)CC2)c1")</f>
        <v>Cc1cccc(N(Cc2ccccn2)C2CCC(N(C)c3cccc4ncccc34)CC2)c1</v>
      </c>
      <c r="C13487" s="7">
        <f>IFERROR(__xludf.DUMMYFUNCTION("""COMPUTED_VALUE"""),7.7536464)</f>
        <v>7.7536464</v>
      </c>
      <c r="D13487" s="7">
        <f>IFERROR(__xludf.DUMMYFUNCTION("""COMPUTED_VALUE"""),0.366666666666666)</f>
        <v>0.3666666667</v>
      </c>
    </row>
    <row r="13488">
      <c r="A13488" s="10" t="s">
        <v>14927</v>
      </c>
      <c r="B13488" s="7" t="str">
        <f>IFERROR(__xludf.DUMMYFUNCTION("SPLIT(A13488,"" "")"),"Cc1cccc(CN(C)CC2=CCC(N(C)Cc3nc(C)c(C)c(C)c3C)=CN2)n1")</f>
        <v>Cc1cccc(CN(C)CC2=CCC(N(C)Cc3nc(C)c(C)c(C)c3C)=CN2)n1</v>
      </c>
      <c r="C13488" s="7">
        <f>IFERROR(__xludf.DUMMYFUNCTION("""COMPUTED_VALUE"""),7.7536454)</f>
        <v>7.7536454</v>
      </c>
      <c r="D13488" s="7">
        <f>IFERROR(__xludf.DUMMYFUNCTION("""COMPUTED_VALUE"""),0.423076923076923)</f>
        <v>0.4230769231</v>
      </c>
    </row>
    <row r="13489">
      <c r="A13489" s="10" t="s">
        <v>14928</v>
      </c>
      <c r="B13489" s="7" t="str">
        <f>IFERROR(__xludf.DUMMYFUNCTION("SPLIT(A13489,"" "")"),"CC1=CCC=C(N(C)Cc2ccccn2)N1")</f>
        <v>CC1=CCC=C(N(C)Cc2ccccn2)N1</v>
      </c>
      <c r="C13489" s="7">
        <f>IFERROR(__xludf.DUMMYFUNCTION("""COMPUTED_VALUE"""),7.75364)</f>
        <v>7.75364</v>
      </c>
      <c r="D13489" s="7">
        <f>IFERROR(__xludf.DUMMYFUNCTION("""COMPUTED_VALUE"""),0.477272727272727)</f>
        <v>0.4772727273</v>
      </c>
    </row>
    <row r="13490">
      <c r="A13490" s="10" t="s">
        <v>14929</v>
      </c>
      <c r="B13490" s="7" t="str">
        <f>IFERROR(__xludf.DUMMYFUNCTION("SPLIT(A13490,"" "")"),"Cc1ccc(CN(C)CC2=C(N(C)Cc3nc(C)c(C)cc3C)CC=CN2)nc1C")</f>
        <v>Cc1ccc(CN(C)CC2=C(N(C)Cc3nc(C)c(C)cc3C)CC=CN2)nc1C</v>
      </c>
      <c r="C13490" s="7">
        <f>IFERROR(__xludf.DUMMYFUNCTION("""COMPUTED_VALUE"""),7.7536387)</f>
        <v>7.7536387</v>
      </c>
      <c r="D13490" s="7">
        <f>IFERROR(__xludf.DUMMYFUNCTION("""COMPUTED_VALUE"""),0.258620689655172)</f>
        <v>0.2586206897</v>
      </c>
    </row>
    <row r="13491">
      <c r="A13491" s="10" t="s">
        <v>14930</v>
      </c>
      <c r="B13491" s="7" t="str">
        <f>IFERROR(__xludf.DUMMYFUNCTION("SPLIT(A13491,"" "")"),"Cc1cnc(CN(C)CC2=CNC=C(N(C)Cc3ncc(C)c(C)c3C)C2)c(C)c1")</f>
        <v>Cc1cnc(CN(C)CC2=CNC=C(N(C)Cc3ncc(C)c(C)c3C)C2)c(C)c1</v>
      </c>
      <c r="C13491" s="7">
        <f>IFERROR(__xludf.DUMMYFUNCTION("""COMPUTED_VALUE"""),7.753625)</f>
        <v>7.753625</v>
      </c>
      <c r="D13491" s="7">
        <f>IFERROR(__xludf.DUMMYFUNCTION("""COMPUTED_VALUE"""),0.263157894736842)</f>
        <v>0.2631578947</v>
      </c>
    </row>
    <row r="13492">
      <c r="A13492" s="10" t="s">
        <v>14931</v>
      </c>
      <c r="B13492" s="7" t="str">
        <f>IFERROR(__xludf.DUMMYFUNCTION("SPLIT(A13492,"" "")"),"Cc1cnc(CN(C)CC2=CCC(N(C)Cc3cccc(C)n3)=CN2)c(C)c1")</f>
        <v>Cc1cnc(CN(C)CC2=CCC(N(C)Cc3cccc(C)n3)=CN2)c(C)c1</v>
      </c>
      <c r="C13492" s="7">
        <f>IFERROR(__xludf.DUMMYFUNCTION("""COMPUTED_VALUE"""),7.75362)</f>
        <v>7.75362</v>
      </c>
      <c r="D13492" s="7">
        <f>IFERROR(__xludf.DUMMYFUNCTION("""COMPUTED_VALUE"""),0.375)</f>
        <v>0.375</v>
      </c>
    </row>
    <row r="13493">
      <c r="A13493" s="10" t="s">
        <v>14932</v>
      </c>
      <c r="B13493" s="7" t="str">
        <f>IFERROR(__xludf.DUMMYFUNCTION("SPLIT(A13493,"" "")"),"CC(C)C1=CC2(C=CN1)C=CC(C)C(c1cccc(CN(Cc3ccccn3)Cc3cccc(-c4cccc(N(C)C)c4)n3)n1)C2C")</f>
        <v>CC(C)C1=CC2(C=CN1)C=CC(C)C(c1cccc(CN(Cc3ccccn3)Cc3cccc(-c4cccc(N(C)C)c4)n3)n1)C2C</v>
      </c>
      <c r="C13493" s="7">
        <f>IFERROR(__xludf.DUMMYFUNCTION("""COMPUTED_VALUE"""),7.7536163)</f>
        <v>7.7536163</v>
      </c>
      <c r="D13493" s="7">
        <f>IFERROR(__xludf.DUMMYFUNCTION("""COMPUTED_VALUE"""),0.41025641025641)</f>
        <v>0.4102564103</v>
      </c>
    </row>
    <row r="13494">
      <c r="A13494" s="10" t="s">
        <v>14933</v>
      </c>
      <c r="B13494" s="7" t="str">
        <f>IFERROR(__xludf.DUMMYFUNCTION("SPLIT(A13494,"" "")"),"CN(Cc1cccnn1)C1=CNCC=C1N(C)C(C)(C)c1ccccn1")</f>
        <v>CN(Cc1cccnn1)C1=CNCC=C1N(C)C(C)(C)c1ccccn1</v>
      </c>
      <c r="C13494" s="7">
        <f>IFERROR(__xludf.DUMMYFUNCTION("""COMPUTED_VALUE"""),7.753614)</f>
        <v>7.753614</v>
      </c>
      <c r="D13494" s="7">
        <f>IFERROR(__xludf.DUMMYFUNCTION("""COMPUTED_VALUE"""),0.4)</f>
        <v>0.4</v>
      </c>
    </row>
    <row r="13495">
      <c r="A13495" s="10" t="s">
        <v>14934</v>
      </c>
      <c r="B13495" s="7" t="str">
        <f>IFERROR(__xludf.DUMMYFUNCTION("SPLIT(A13495,"" "")"),"CN(c1ccc2ccc(CF)nc2c1)C1CCCC(N(Cc2ccccn2)c2ccccc2F)C1")</f>
        <v>CN(c1ccc2ccc(CF)nc2c1)C1CCCC(N(Cc2ccccn2)c2ccccc2F)C1</v>
      </c>
      <c r="C13495" s="7">
        <f>IFERROR(__xludf.DUMMYFUNCTION("""COMPUTED_VALUE"""),7.753613)</f>
        <v>7.753613</v>
      </c>
      <c r="D13495" s="7">
        <f>IFERROR(__xludf.DUMMYFUNCTION("""COMPUTED_VALUE"""),0.36231884057971)</f>
        <v>0.3623188406</v>
      </c>
    </row>
    <row r="13496">
      <c r="A13496" s="10" t="s">
        <v>14935</v>
      </c>
      <c r="B13496" s="7" t="str">
        <f>IFERROR(__xludf.DUMMYFUNCTION("SPLIT(A13496,"" "")"),"Cc1cccc(C(C)(C)C)c1N(Cc1ccccn1)Cc1ccccn1")</f>
        <v>Cc1cccc(C(C)(C)C)c1N(Cc1ccccn1)Cc1ccccn1</v>
      </c>
      <c r="C13496" s="7">
        <f>IFERROR(__xludf.DUMMYFUNCTION("""COMPUTED_VALUE"""),7.7535944)</f>
        <v>7.7535944</v>
      </c>
      <c r="D13496" s="7">
        <f>IFERROR(__xludf.DUMMYFUNCTION("""COMPUTED_VALUE"""),0.454545454545454)</f>
        <v>0.4545454545</v>
      </c>
    </row>
    <row r="13497">
      <c r="A13497" s="10" t="s">
        <v>14936</v>
      </c>
      <c r="B13497" s="7" t="str">
        <f>IFERROR(__xludf.DUMMYFUNCTION("SPLIT(A13497,"" "")"),"Cc1cc(C)c(CN(C)C2=CNC(CN(Cc3ccccn3)Cc3cccnn3)=CC2)nc1C")</f>
        <v>Cc1cc(C)c(CN(C)C2=CNC(CN(Cc3ccccn3)Cc3cccnn3)=CC2)nc1C</v>
      </c>
      <c r="C13497" s="7">
        <f>IFERROR(__xludf.DUMMYFUNCTION("""COMPUTED_VALUE"""),7.7535934)</f>
        <v>7.7535934</v>
      </c>
      <c r="D13497" s="7">
        <f>IFERROR(__xludf.DUMMYFUNCTION("""COMPUTED_VALUE"""),0.46551724137931)</f>
        <v>0.4655172414</v>
      </c>
    </row>
    <row r="13498">
      <c r="A13498" s="10" t="s">
        <v>14937</v>
      </c>
      <c r="B13498" s="7" t="str">
        <f>IFERROR(__xludf.DUMMYFUNCTION("SPLIT(A13498,"" "")"),"CN(CCF)CCN(C)c1cccc2ncccc12")</f>
        <v>CN(CCF)CCN(C)c1cccc2ncccc12</v>
      </c>
      <c r="C13498" s="7">
        <f>IFERROR(__xludf.DUMMYFUNCTION("""COMPUTED_VALUE"""),7.75359)</f>
        <v>7.75359</v>
      </c>
      <c r="D13498" s="7">
        <f>IFERROR(__xludf.DUMMYFUNCTION("""COMPUTED_VALUE"""),0.5)</f>
        <v>0.5</v>
      </c>
    </row>
    <row r="13499">
      <c r="A13499" s="10" t="s">
        <v>14938</v>
      </c>
      <c r="B13499" s="7" t="str">
        <f>IFERROR(__xludf.DUMMYFUNCTION("SPLIT(A13499,"" "")"),"Cc1ccc(CN(C)CC2=CCC(N(C)Cc3cc(N)ccn3)=CN2)nc1")</f>
        <v>Cc1ccc(CN(C)CC2=CCC(N(C)Cc3cc(N)ccn3)=CN2)nc1</v>
      </c>
      <c r="C13499" s="7">
        <f>IFERROR(__xludf.DUMMYFUNCTION("""COMPUTED_VALUE"""),7.753584)</f>
        <v>7.753584</v>
      </c>
      <c r="D13499" s="7">
        <f>IFERROR(__xludf.DUMMYFUNCTION("""COMPUTED_VALUE"""),0.4)</f>
        <v>0.4</v>
      </c>
    </row>
    <row r="13500">
      <c r="A13500" s="10" t="s">
        <v>14939</v>
      </c>
      <c r="B13500" s="7" t="str">
        <f>IFERROR(__xludf.DUMMYFUNCTION("SPLIT(A13500,"" "")"),"CN(CC1=CCC(N(C)Cc2ccccn2)=CN1)Cc1ccon1")</f>
        <v>CN(CC1=CCC(N(C)Cc2ccccn2)=CN1)Cc1ccon1</v>
      </c>
      <c r="C13500" s="7">
        <f>IFERROR(__xludf.DUMMYFUNCTION("""COMPUTED_VALUE"""),7.753582)</f>
        <v>7.753582</v>
      </c>
      <c r="D13500" s="7">
        <f>IFERROR(__xludf.DUMMYFUNCTION("""COMPUTED_VALUE"""),0.403846153846153)</f>
        <v>0.4038461538</v>
      </c>
    </row>
    <row r="13501">
      <c r="A13501" s="10" t="s">
        <v>14940</v>
      </c>
      <c r="B13501" s="7" t="str">
        <f>IFERROR(__xludf.DUMMYFUNCTION("SPLIT(A13501,"" "")"),"CN(CCNc1ccc2ncc(CF)cc2c1)Cc1ccccn1")</f>
        <v>CN(CCNc1ccc2ncc(CF)cc2c1)Cc1ccccn1</v>
      </c>
      <c r="C13501" s="7">
        <f>IFERROR(__xludf.DUMMYFUNCTION("""COMPUTED_VALUE"""),7.7535806)</f>
        <v>7.7535806</v>
      </c>
      <c r="D13501" s="7">
        <f>IFERROR(__xludf.DUMMYFUNCTION("""COMPUTED_VALUE"""),0.392857142857142)</f>
        <v>0.3928571429</v>
      </c>
    </row>
    <row r="13502">
      <c r="A13502" s="10" t="s">
        <v>14941</v>
      </c>
      <c r="B13502" s="7" t="str">
        <f>IFERROR(__xludf.DUMMYFUNCTION("SPLIT(A13502,"" "")"),"Cc1cccc(CN(Cc2ccccn2)Cc2ncccc2C(C)(c2ccccn2)c2ccccn2)c1")</f>
        <v>Cc1cccc(CN(Cc2ccccn2)Cc2ncccc2C(C)(c2ccccn2)c2ccccn2)c1</v>
      </c>
      <c r="C13502" s="7">
        <f>IFERROR(__xludf.DUMMYFUNCTION("""COMPUTED_VALUE"""),7.753565)</f>
        <v>7.753565</v>
      </c>
      <c r="D13502" s="7">
        <f>IFERROR(__xludf.DUMMYFUNCTION("""COMPUTED_VALUE"""),0.416666666666666)</f>
        <v>0.4166666667</v>
      </c>
    </row>
    <row r="13503">
      <c r="A13503" s="10" t="s">
        <v>14942</v>
      </c>
      <c r="B13503" s="7" t="str">
        <f>IFERROR(__xludf.DUMMYFUNCTION("SPLIT(A13503,"" "")"),"Cc1cccc(CN(C)CC2=C(N(Cc3ccccn3)Cc3ccc(C)c(C)n3)CC=CN2)n1")</f>
        <v>Cc1cccc(CN(C)CC2=C(N(Cc3ccccn3)Cc3ccc(C)c(C)n3)CC=CN2)n1</v>
      </c>
      <c r="C13503" s="7">
        <f>IFERROR(__xludf.DUMMYFUNCTION("""COMPUTED_VALUE"""),7.753561)</f>
        <v>7.753561</v>
      </c>
      <c r="D13503" s="7">
        <f>IFERROR(__xludf.DUMMYFUNCTION("""COMPUTED_VALUE"""),0.40983606557377)</f>
        <v>0.4098360656</v>
      </c>
    </row>
    <row r="13504">
      <c r="A13504" s="10" t="s">
        <v>14943</v>
      </c>
      <c r="B13504" s="7" t="str">
        <f>IFERROR(__xludf.DUMMYFUNCTION("SPLIT(A13504,"" "")"),"Cc1cccc(CN(CC2=CCC=C(N(C)Cc3ccccn3)N2)Cc2ccccn2)n1")</f>
        <v>Cc1cccc(CN(CC2=CCC=C(N(C)Cc3ccccn3)N2)Cc2ccccn2)n1</v>
      </c>
      <c r="C13504" s="7">
        <f>IFERROR(__xludf.DUMMYFUNCTION("""COMPUTED_VALUE"""),7.753556)</f>
        <v>7.753556</v>
      </c>
      <c r="D13504" s="7">
        <f>IFERROR(__xludf.DUMMYFUNCTION("""COMPUTED_VALUE"""),0.49090909090909)</f>
        <v>0.4909090909</v>
      </c>
    </row>
    <row r="13505">
      <c r="A13505" s="10" t="s">
        <v>14944</v>
      </c>
      <c r="B13505" s="7" t="str">
        <f>IFERROR(__xludf.DUMMYFUNCTION("SPLIT(A13505,"" "")"),"Cc1cc(CN(Cc2ccccn2)C2=CNC=C(CN(C)Cc3ncccc3C)C2)cnc1C")</f>
        <v>Cc1cc(CN(Cc2ccccn2)C2=CNC=C(CN(C)Cc3ncccc3C)C2)cnc1C</v>
      </c>
      <c r="C13505" s="7">
        <f>IFERROR(__xludf.DUMMYFUNCTION("""COMPUTED_VALUE"""),7.7535534)</f>
        <v>7.7535534</v>
      </c>
      <c r="D13505" s="7">
        <f>IFERROR(__xludf.DUMMYFUNCTION("""COMPUTED_VALUE"""),0.308823529411764)</f>
        <v>0.3088235294</v>
      </c>
    </row>
    <row r="13506">
      <c r="A13506" s="10" t="s">
        <v>14945</v>
      </c>
      <c r="B13506" s="7" t="str">
        <f>IFERROR(__xludf.DUMMYFUNCTION("SPLIT(A13506,"" "")"),"Cc1cc(CN(Cc2ccccn2)C2CCC(N(C)c3ccc4c(CN(C)C)nccc4c3)CC2)nc(C)c1C")</f>
        <v>Cc1cc(CN(Cc2ccccn2)C2CCC(N(C)c3ccc4c(CN(C)C)nccc4c3)CC2)nc(C)c1C</v>
      </c>
      <c r="C13506" s="7">
        <f>IFERROR(__xludf.DUMMYFUNCTION("""COMPUTED_VALUE"""),7.753551)</f>
        <v>7.753551</v>
      </c>
      <c r="D13506" s="7">
        <f>IFERROR(__xludf.DUMMYFUNCTION("""COMPUTED_VALUE"""),0.328358208955223)</f>
        <v>0.328358209</v>
      </c>
    </row>
    <row r="13507">
      <c r="A13507" s="10" t="s">
        <v>14946</v>
      </c>
      <c r="B13507" s="7" t="str">
        <f>IFERROR(__xludf.DUMMYFUNCTION("SPLIT(A13507,"" "")"),"CN(Cc1ccon1)C1CCC(N(Cc2ccccn2)Cc2cccc(-c3ccc4ncccc4c3)n2)CC1")</f>
        <v>CN(Cc1ccon1)C1CCC(N(Cc2ccccn2)Cc2cccc(-c3ccc4ncccc4c3)n2)CC1</v>
      </c>
      <c r="C13507" s="7">
        <f>IFERROR(__xludf.DUMMYFUNCTION("""COMPUTED_VALUE"""),7.7535458)</f>
        <v>7.7535458</v>
      </c>
      <c r="D13507" s="7">
        <f>IFERROR(__xludf.DUMMYFUNCTION("""COMPUTED_VALUE"""),0.388888888888888)</f>
        <v>0.3888888889</v>
      </c>
    </row>
    <row r="13508">
      <c r="A13508" s="10" t="s">
        <v>14947</v>
      </c>
      <c r="B13508" s="7" t="str">
        <f>IFERROR(__xludf.DUMMYFUNCTION("SPLIT(A13508,"" "")"),"CN(c1ccc2nccc(CF)c2c1)C1CCCCC1N(Cc1ccccn1)c1ccccc1F")</f>
        <v>CN(c1ccc2nccc(CF)c2c1)C1CCCCC1N(Cc1ccccn1)c1ccccc1F</v>
      </c>
      <c r="C13508" s="7">
        <f>IFERROR(__xludf.DUMMYFUNCTION("""COMPUTED_VALUE"""),7.7535415)</f>
        <v>7.7535415</v>
      </c>
      <c r="D13508" s="7">
        <f>IFERROR(__xludf.DUMMYFUNCTION("""COMPUTED_VALUE"""),0.419354838709677)</f>
        <v>0.4193548387</v>
      </c>
    </row>
    <row r="13509">
      <c r="A13509" s="10" t="s">
        <v>14948</v>
      </c>
      <c r="B13509" s="7" t="str">
        <f>IFERROR(__xludf.DUMMYFUNCTION("SPLIT(A13509,"" "")"),"CC1=C(CN(C)Cc2ccccn2)C(N(Cc2ccc3ncccc3c2)Cc2ccccn2)C(C)C=C1")</f>
        <v>CC1=C(CN(C)Cc2ccccn2)C(N(Cc2ccc3ncccc3c2)Cc2ccccn2)C(C)C=C1</v>
      </c>
      <c r="C13509" s="7">
        <f>IFERROR(__xludf.DUMMYFUNCTION("""COMPUTED_VALUE"""),7.753533)</f>
        <v>7.753533</v>
      </c>
      <c r="D13509" s="7">
        <f>IFERROR(__xludf.DUMMYFUNCTION("""COMPUTED_VALUE"""),0.365079365079365)</f>
        <v>0.3650793651</v>
      </c>
    </row>
    <row r="13510">
      <c r="A13510" s="10" t="s">
        <v>14949</v>
      </c>
      <c r="B13510" s="7" t="str">
        <f>IFERROR(__xludf.DUMMYFUNCTION("SPLIT(A13510,"" "")"),"Cc1ccccc1C(C)(c1ccccn1)c1cccc(CN(Cc2ccccn2)Cc2ccccn2)n1")</f>
        <v>Cc1ccccc1C(C)(c1ccccn1)c1cccc(CN(Cc2ccccn2)Cc2ccccn2)n1</v>
      </c>
      <c r="C13510" s="7">
        <f>IFERROR(__xludf.DUMMYFUNCTION("""COMPUTED_VALUE"""),7.7535315)</f>
        <v>7.7535315</v>
      </c>
      <c r="D13510" s="7">
        <f>IFERROR(__xludf.DUMMYFUNCTION("""COMPUTED_VALUE"""),0.48780487804878)</f>
        <v>0.487804878</v>
      </c>
    </row>
    <row r="13511">
      <c r="A13511" s="10" t="s">
        <v>14950</v>
      </c>
      <c r="B13511" s="7" t="str">
        <f>IFERROR(__xludf.DUMMYFUNCTION("SPLIT(A13511,"" "")"),"CC(N=Cc1ccccn1)C(C)(c1ccccn1)c1ccccn1")</f>
        <v>CC(N=Cc1ccccn1)C(C)(c1ccccn1)c1ccccn1</v>
      </c>
      <c r="C13511" s="7">
        <f>IFERROR(__xludf.DUMMYFUNCTION("""COMPUTED_VALUE"""),7.7535305)</f>
        <v>7.7535305</v>
      </c>
      <c r="D13511" s="7">
        <f>IFERROR(__xludf.DUMMYFUNCTION("""COMPUTED_VALUE"""),0.391304347826087)</f>
        <v>0.3913043478</v>
      </c>
    </row>
    <row r="13512">
      <c r="A13512" s="10" t="s">
        <v>14951</v>
      </c>
      <c r="B13512" s="7" t="str">
        <f>IFERROR(__xludf.DUMMYFUNCTION("SPLIT(A13512,"" "")"),"Cc1cc(C)c(CN(C)C2CCCC(N(C)c3ccc4c(CN(C)C)ccnc4c3)C2)nc1C")</f>
        <v>Cc1cc(C)c(CN(C)C2CCCC(N(C)c3ccc4c(CN(C)C)ccnc4c3)C2)nc1C</v>
      </c>
      <c r="C13512" s="7">
        <f>IFERROR(__xludf.DUMMYFUNCTION("""COMPUTED_VALUE"""),7.7535295)</f>
        <v>7.7535295</v>
      </c>
      <c r="D13512" s="7">
        <f>IFERROR(__xludf.DUMMYFUNCTION("""COMPUTED_VALUE"""),0.235294117647058)</f>
        <v>0.2352941176</v>
      </c>
    </row>
    <row r="13513">
      <c r="A13513" s="10" t="s">
        <v>14952</v>
      </c>
      <c r="B13513" s="7" t="str">
        <f>IFERROR(__xludf.DUMMYFUNCTION("SPLIT(A13513,"" "")"),"Cc1ccnc(CN(C)C2=CCC=C(CN(C)Cc3ncccc3C)N2)c1")</f>
        <v>Cc1ccnc(CN(C)C2=CCC=C(CN(C)Cc3ncccc3C)N2)c1</v>
      </c>
      <c r="C13513" s="7">
        <f>IFERROR(__xludf.DUMMYFUNCTION("""COMPUTED_VALUE"""),7.7535276)</f>
        <v>7.7535276</v>
      </c>
      <c r="D13513" s="7">
        <f>IFERROR(__xludf.DUMMYFUNCTION("""COMPUTED_VALUE"""),0.311475409836065)</f>
        <v>0.3114754098</v>
      </c>
    </row>
    <row r="13514">
      <c r="A13514" s="10" t="s">
        <v>14953</v>
      </c>
      <c r="B13514" s="7" t="str">
        <f>IFERROR(__xludf.DUMMYFUNCTION("SPLIT(A13514,"" "")"),"Cc1cnc(CN(C)CC2=C(N(C)Cc3ncc(C)c(C)c3C)CC=CN2)c(C)c1C")</f>
        <v>Cc1cnc(CN(C)CC2=C(N(C)Cc3ncc(C)c(C)c3C)CC=CN2)c(C)c1C</v>
      </c>
      <c r="C13514" s="7">
        <f>IFERROR(__xludf.DUMMYFUNCTION("""COMPUTED_VALUE"""),7.753523)</f>
        <v>7.753523</v>
      </c>
      <c r="D13514" s="7">
        <f>IFERROR(__xludf.DUMMYFUNCTION("""COMPUTED_VALUE"""),0.25)</f>
        <v>0.25</v>
      </c>
    </row>
    <row r="13515">
      <c r="A13515" s="10" t="s">
        <v>14954</v>
      </c>
      <c r="B13515" s="7" t="str">
        <f>IFERROR(__xludf.DUMMYFUNCTION("SPLIT(A13515,"" "")"),"CNc1ccc(CN(Cc2ccccn2)Cc2ncc(N)c(C)c2C)nc1")</f>
        <v>CNc1ccc(CN(Cc2ccccn2)Cc2ncc(N)c(C)c2C)nc1</v>
      </c>
      <c r="C13515" s="7">
        <f>IFERROR(__xludf.DUMMYFUNCTION("""COMPUTED_VALUE"""),7.753522)</f>
        <v>7.753522</v>
      </c>
      <c r="D13515" s="7">
        <f>IFERROR(__xludf.DUMMYFUNCTION("""COMPUTED_VALUE"""),0.444444444444444)</f>
        <v>0.4444444444</v>
      </c>
    </row>
    <row r="13516">
      <c r="A13516" s="10" t="s">
        <v>14955</v>
      </c>
      <c r="B13516" s="7" t="str">
        <f>IFERROR(__xludf.DUMMYFUNCTION("SPLIT(A13516,"" "")"),"CNCc1ncccc1N(Cc1ccccn1)C(C)(C)c1ccccn1")</f>
        <v>CNCc1ncccc1N(Cc1ccccn1)C(C)(C)c1ccccn1</v>
      </c>
      <c r="C13516" s="7">
        <f>IFERROR(__xludf.DUMMYFUNCTION("""COMPUTED_VALUE"""),7.7535214)</f>
        <v>7.7535214</v>
      </c>
      <c r="D13516" s="7">
        <f>IFERROR(__xludf.DUMMYFUNCTION("""COMPUTED_VALUE"""),0.392156862745098)</f>
        <v>0.3921568627</v>
      </c>
    </row>
    <row r="13517">
      <c r="A13517" s="10" t="s">
        <v>14956</v>
      </c>
      <c r="B13517" s="7" t="str">
        <f>IFERROR(__xludf.DUMMYFUNCTION("SPLIT(A13517,"" "")"),"Cc1cnc(CN(C)C2=CNC(CN(C)Cc3cccc(C)n3)=CC2)c(C)c1")</f>
        <v>Cc1cnc(CN(C)C2=CNC(CN(C)Cc3cccc(C)n3)=CC2)c(C)c1</v>
      </c>
      <c r="C13517" s="7">
        <f>IFERROR(__xludf.DUMMYFUNCTION("""COMPUTED_VALUE"""),7.75352)</f>
        <v>7.75352</v>
      </c>
      <c r="D13517" s="7">
        <f>IFERROR(__xludf.DUMMYFUNCTION("""COMPUTED_VALUE"""),0.4)</f>
        <v>0.4</v>
      </c>
    </row>
    <row r="13518">
      <c r="A13518" s="10" t="s">
        <v>14957</v>
      </c>
      <c r="B13518" s="7" t="str">
        <f>IFERROR(__xludf.DUMMYFUNCTION("SPLIT(A13518,"" "")"),"Cc1cccnc1CN(CC1=CNC=C(N(C)Cc2ncccc2C)C1)Cc1ccccn1")</f>
        <v>Cc1cccnc1CN(CC1=CNC=C(N(C)Cc2ncccc2C)C1)Cc1ccccn1</v>
      </c>
      <c r="C13518" s="7">
        <f>IFERROR(__xludf.DUMMYFUNCTION("""COMPUTED_VALUE"""),7.753519)</f>
        <v>7.753519</v>
      </c>
      <c r="D13518" s="7">
        <f>IFERROR(__xludf.DUMMYFUNCTION("""COMPUTED_VALUE"""),0.416666666666666)</f>
        <v>0.4166666667</v>
      </c>
    </row>
    <row r="13519">
      <c r="A13519" s="10" t="s">
        <v>14958</v>
      </c>
      <c r="B13519" s="7" t="str">
        <f>IFERROR(__xludf.DUMMYFUNCTION("SPLIT(A13519,"" "")"),"CCOC(=O)c1cccc(CN(Cc2ccccn2)C2CCCC(N(C)c3cccc4nc(CN(C)C)ccc34)C2)n1")</f>
        <v>CCOC(=O)c1cccc(CN(Cc2ccccn2)C2CCCC(N(C)c3cccc4nc(CN(C)C)ccc34)C2)n1</v>
      </c>
      <c r="C13519" s="7">
        <f>IFERROR(__xludf.DUMMYFUNCTION("""COMPUTED_VALUE"""),7.7535176)</f>
        <v>7.7535176</v>
      </c>
      <c r="D13519" s="7">
        <f>IFERROR(__xludf.DUMMYFUNCTION("""COMPUTED_VALUE"""),0.315068493150684)</f>
        <v>0.3150684932</v>
      </c>
    </row>
    <row r="13520">
      <c r="A13520" s="10" t="s">
        <v>14959</v>
      </c>
      <c r="B13520" s="7" t="str">
        <f>IFERROR(__xludf.DUMMYFUNCTION("SPLIT(A13520,"" "")"),"Cc1ccc(CN(C)C2=CNC(CN(Cc3ccccn3)Cc3cc(C)c(C)c(C)n3)=CC2)nc1")</f>
        <v>Cc1ccc(CN(C)C2=CNC(CN(Cc3ccccn3)Cc3cc(C)c(C)c(C)n3)=CC2)nc1</v>
      </c>
      <c r="C13520" s="7">
        <f>IFERROR(__xludf.DUMMYFUNCTION("""COMPUTED_VALUE"""),7.7535152)</f>
        <v>7.7535152</v>
      </c>
      <c r="D13520" s="7">
        <f>IFERROR(__xludf.DUMMYFUNCTION("""COMPUTED_VALUE"""),0.409090909090909)</f>
        <v>0.4090909091</v>
      </c>
    </row>
    <row r="13521">
      <c r="A13521" s="10" t="s">
        <v>14960</v>
      </c>
      <c r="B13521" s="7" t="str">
        <f>IFERROR(__xludf.DUMMYFUNCTION("SPLIT(A13521,"" "")"),"CN(C)c1ccnc(CN(Cc2ccc(F)nc2)Cc2ccccn2)c1")</f>
        <v>CN(C)c1ccnc(CN(Cc2ccc(F)nc2)Cc2ccccn2)c1</v>
      </c>
      <c r="C13521" s="7">
        <f>IFERROR(__xludf.DUMMYFUNCTION("""COMPUTED_VALUE"""),7.753505)</f>
        <v>7.753505</v>
      </c>
      <c r="D13521" s="7">
        <f>IFERROR(__xludf.DUMMYFUNCTION("""COMPUTED_VALUE"""),0.465116279069767)</f>
        <v>0.4651162791</v>
      </c>
    </row>
    <row r="13522">
      <c r="A13522" s="10" t="s">
        <v>14961</v>
      </c>
      <c r="B13522" s="7" t="str">
        <f>IFERROR(__xludf.DUMMYFUNCTION("SPLIT(A13522,"" "")"),"Cc1cc(C)nc(CN(C)C2=C(CN(C)C)NC=CC2)c1")</f>
        <v>Cc1cc(C)nc(CN(C)C2=C(CN(C)C)NC=CC2)c1</v>
      </c>
      <c r="C13522" s="7">
        <f>IFERROR(__xludf.DUMMYFUNCTION("""COMPUTED_VALUE"""),7.7535033)</f>
        <v>7.7535033</v>
      </c>
      <c r="D13522" s="7">
        <f>IFERROR(__xludf.DUMMYFUNCTION("""COMPUTED_VALUE"""),0.326923076923076)</f>
        <v>0.3269230769</v>
      </c>
    </row>
    <row r="13523">
      <c r="A13523" s="10" t="s">
        <v>14962</v>
      </c>
      <c r="B13523" s="7" t="str">
        <f>IFERROR(__xludf.DUMMYFUNCTION("SPLIT(A13523,"" "")"),"Cc1cccc(CN(C)CC2=CCC(N(C)Cc3cc(C)c(C)c(C)n3)=CN2)n1")</f>
        <v>Cc1cccc(CN(C)CC2=CCC(N(C)Cc3cc(C)c(C)c(C)n3)=CN2)n1</v>
      </c>
      <c r="C13523" s="7">
        <f>IFERROR(__xludf.DUMMYFUNCTION("""COMPUTED_VALUE"""),7.753497)</f>
        <v>7.753497</v>
      </c>
      <c r="D13523" s="7">
        <f>IFERROR(__xludf.DUMMYFUNCTION("""COMPUTED_VALUE"""),0.415094339622641)</f>
        <v>0.4150943396</v>
      </c>
    </row>
    <row r="13524">
      <c r="A13524" s="10" t="s">
        <v>14963</v>
      </c>
      <c r="B13524" s="7" t="str">
        <f>IFERROR(__xludf.DUMMYFUNCTION("SPLIT(A13524,"" "")"),"Cc1ccc(CN(Cc2ccccn2)Cc2ncccc2N(C)C)nc1")</f>
        <v>Cc1ccc(CN(Cc2ccccn2)Cc2ncccc2N(C)C)nc1</v>
      </c>
      <c r="C13524" s="7">
        <f>IFERROR(__xludf.DUMMYFUNCTION("""COMPUTED_VALUE"""),7.753483)</f>
        <v>7.753483</v>
      </c>
      <c r="D13524" s="7">
        <f>IFERROR(__xludf.DUMMYFUNCTION("""COMPUTED_VALUE"""),0.5)</f>
        <v>0.5</v>
      </c>
    </row>
    <row r="13525">
      <c r="A13525" s="10" t="s">
        <v>14964</v>
      </c>
      <c r="B13525" s="7" t="str">
        <f>IFERROR(__xludf.DUMMYFUNCTION("SPLIT(A13525,"" "")"),"CNCc1cccc(C2=CCC=CN2)n1")</f>
        <v>CNCc1cccc(C2=CCC=CN2)n1</v>
      </c>
      <c r="C13525" s="7">
        <f>IFERROR(__xludf.DUMMYFUNCTION("""COMPUTED_VALUE"""),7.753477)</f>
        <v>7.753477</v>
      </c>
      <c r="D13525" s="7">
        <f>IFERROR(__xludf.DUMMYFUNCTION("""COMPUTED_VALUE"""),0.339622641509433)</f>
        <v>0.3396226415</v>
      </c>
    </row>
    <row r="13526">
      <c r="A13526" s="10" t="s">
        <v>14965</v>
      </c>
      <c r="B13526" s="7" t="str">
        <f>IFERROR(__xludf.DUMMYFUNCTION("SPLIT(A13526,"" "")"),"Cc1ccc(CN(C)C2=C(CN(C)Cc3nc(C)c(C)cc3C)NC=CC2)nc1C")</f>
        <v>Cc1ccc(CN(C)C2=C(CN(C)Cc3nc(C)c(C)cc3C)NC=CC2)nc1C</v>
      </c>
      <c r="C13526" s="7">
        <f>IFERROR(__xludf.DUMMYFUNCTION("""COMPUTED_VALUE"""),7.753471)</f>
        <v>7.753471</v>
      </c>
      <c r="D13526" s="7">
        <f>IFERROR(__xludf.DUMMYFUNCTION("""COMPUTED_VALUE"""),0.23728813559322)</f>
        <v>0.2372881356</v>
      </c>
    </row>
    <row r="13527">
      <c r="A13527" s="10" t="s">
        <v>14966</v>
      </c>
      <c r="B13527" s="7" t="str">
        <f>IFERROR(__xludf.DUMMYFUNCTION("SPLIT(A13527,"" "")"),"CC1(C)COC(c2cccc(CN(Cc3cc(C(C)(C)C)ccn3)Cc3ncccc3C(C)(C)C)n2)=N1")</f>
        <v>CC1(C)COC(c2cccc(CN(Cc3cc(C(C)(C)C)ccn3)Cc3ncccc3C(C)(C)C)n2)=N1</v>
      </c>
      <c r="C13527" s="7">
        <f>IFERROR(__xludf.DUMMYFUNCTION("""COMPUTED_VALUE"""),7.7534685)</f>
        <v>7.7534685</v>
      </c>
      <c r="D13527" s="7">
        <f>IFERROR(__xludf.DUMMYFUNCTION("""COMPUTED_VALUE"""),0.416666666666666)</f>
        <v>0.4166666667</v>
      </c>
    </row>
    <row r="13528">
      <c r="A13528" s="10" t="s">
        <v>14967</v>
      </c>
      <c r="B13528" s="7" t="str">
        <f>IFERROR(__xludf.DUMMYFUNCTION("SPLIT(A13528,"" "")"),"COC(=O)c1cccc(CN(Cc2ccccn2)C2CCCCC2N(C)c2ccc3nc(CN(C)C)ccc3c2)n1")</f>
        <v>COC(=O)c1cccc(CN(Cc2ccccn2)C2CCCCC2N(C)c2ccc3nc(CN(C)C)ccc3c2)n1</v>
      </c>
      <c r="C13528" s="7">
        <f>IFERROR(__xludf.DUMMYFUNCTION("""COMPUTED_VALUE"""),7.753468)</f>
        <v>7.753468</v>
      </c>
      <c r="D13528" s="7">
        <f>IFERROR(__xludf.DUMMYFUNCTION("""COMPUTED_VALUE"""),0.388059701492537)</f>
        <v>0.3880597015</v>
      </c>
    </row>
    <row r="13529">
      <c r="A13529" s="10" t="s">
        <v>14968</v>
      </c>
      <c r="B13529" s="7" t="str">
        <f>IFERROR(__xludf.DUMMYFUNCTION("SPLIT(A13529,"" "")"),"CN(C)c1ccnc(CN(Cc2ccccn2)Cc2cccnc2F)c1")</f>
        <v>CN(C)c1ccnc(CN(Cc2ccccn2)Cc2cccnc2F)c1</v>
      </c>
      <c r="C13529" s="7">
        <f>IFERROR(__xludf.DUMMYFUNCTION("""COMPUTED_VALUE"""),7.753468)</f>
        <v>7.753468</v>
      </c>
      <c r="D13529" s="7">
        <f>IFERROR(__xludf.DUMMYFUNCTION("""COMPUTED_VALUE"""),0.5)</f>
        <v>0.5</v>
      </c>
    </row>
    <row r="13530">
      <c r="A13530" s="10" t="s">
        <v>14969</v>
      </c>
      <c r="B13530" s="7" t="str">
        <f>IFERROR(__xludf.DUMMYFUNCTION("SPLIT(A13530,"" "")"),"CN(c1ccc2c(CF)ccnc2c1)C1CCCCC1N(Cc1ccccn1)c1cccc(CF)n1")</f>
        <v>CN(c1ccc2c(CF)ccnc2c1)C1CCCCC1N(Cc1ccccn1)c1cccc(CF)n1</v>
      </c>
      <c r="C13530" s="7">
        <f>IFERROR(__xludf.DUMMYFUNCTION("""COMPUTED_VALUE"""),7.753463)</f>
        <v>7.753463</v>
      </c>
      <c r="D13530" s="7">
        <f>IFERROR(__xludf.DUMMYFUNCTION("""COMPUTED_VALUE"""),0.412698412698412)</f>
        <v>0.4126984127</v>
      </c>
    </row>
    <row r="13531">
      <c r="A13531" s="10" t="s">
        <v>14970</v>
      </c>
      <c r="B13531" s="7" t="str">
        <f>IFERROR(__xludf.DUMMYFUNCTION("SPLIT(A13531,"" "")"),"CCN(Cc1ccccn1)c1ccccc1-c1cncc(CN(Cc2ccccc2)Cc2ccccn2)c1")</f>
        <v>CCN(Cc1ccccn1)c1ccccc1-c1cncc(CN(Cc2ccccc2)Cc2ccccn2)c1</v>
      </c>
      <c r="C13531" s="7">
        <f>IFERROR(__xludf.DUMMYFUNCTION("""COMPUTED_VALUE"""),7.753462)</f>
        <v>7.753462</v>
      </c>
      <c r="D13531" s="7">
        <f>IFERROR(__xludf.DUMMYFUNCTION("""COMPUTED_VALUE"""),0.416666666666666)</f>
        <v>0.4166666667</v>
      </c>
    </row>
    <row r="13532">
      <c r="A13532" s="10" t="s">
        <v>14971</v>
      </c>
      <c r="B13532" s="7" t="str">
        <f>IFERROR(__xludf.DUMMYFUNCTION("SPLIT(A13532,"" "")"),"Cc1cncc(CN(Cc2ccccn2)Cc2cc(N(C)C)ccn2)c1")</f>
        <v>Cc1cncc(CN(Cc2ccccn2)Cc2cc(N(C)C)ccn2)c1</v>
      </c>
      <c r="C13532" s="7">
        <f>IFERROR(__xludf.DUMMYFUNCTION("""COMPUTED_VALUE"""),7.7534595)</f>
        <v>7.7534595</v>
      </c>
      <c r="D13532" s="7">
        <f>IFERROR(__xludf.DUMMYFUNCTION("""COMPUTED_VALUE"""),0.465116279069767)</f>
        <v>0.4651162791</v>
      </c>
    </row>
    <row r="13533">
      <c r="A13533" s="10" t="s">
        <v>14972</v>
      </c>
      <c r="B13533" s="7" t="str">
        <f>IFERROR(__xludf.DUMMYFUNCTION("SPLIT(A13533,"" "")"),"CCN(CC1=CCC=C(N(C)Cc2cc(C)c(C)c(C)n2)N1)Cc1cc(C)c(C)c(C)n1")</f>
        <v>CCN(CC1=CCC=C(N(C)Cc2cc(C)c(C)c(C)n2)N1)Cc1cc(C)c(C)c(C)n1</v>
      </c>
      <c r="C13533" s="7">
        <f>IFERROR(__xludf.DUMMYFUNCTION("""COMPUTED_VALUE"""),7.7534575)</f>
        <v>7.7534575</v>
      </c>
      <c r="D13533" s="7">
        <f>IFERROR(__xludf.DUMMYFUNCTION("""COMPUTED_VALUE"""),0.253968253968253)</f>
        <v>0.253968254</v>
      </c>
    </row>
    <row r="13534">
      <c r="A13534" s="10" t="s">
        <v>14973</v>
      </c>
      <c r="B13534" s="7" t="str">
        <f>IFERROR(__xludf.DUMMYFUNCTION("SPLIT(A13534,"" "")"),"CN(C)c1ccnc(CN(Cc2ccccn2)Cc2cccnc2C(C)(C)C)c1")</f>
        <v>CN(C)c1ccnc(CN(Cc2ccccn2)Cc2cccnc2C(C)(C)C)c1</v>
      </c>
      <c r="C13534" s="7">
        <f>IFERROR(__xludf.DUMMYFUNCTION("""COMPUTED_VALUE"""),7.753456)</f>
        <v>7.753456</v>
      </c>
      <c r="D13534" s="7">
        <f>IFERROR(__xludf.DUMMYFUNCTION("""COMPUTED_VALUE"""),0.465116279069767)</f>
        <v>0.4651162791</v>
      </c>
    </row>
    <row r="13535">
      <c r="A13535" s="10" t="s">
        <v>14974</v>
      </c>
      <c r="B13535" s="7" t="str">
        <f>IFERROR(__xludf.DUMMYFUNCTION("SPLIT(A13535,"" "")"),"CN(Cc1ccc(C2=NC(C)(C)CO2)cn1)Cc1cccc(C(C)(C)C)n1")</f>
        <v>CN(Cc1ccc(C2=NC(C)(C)CO2)cn1)Cc1cccc(C(C)(C)C)n1</v>
      </c>
      <c r="C13535" s="7">
        <f>IFERROR(__xludf.DUMMYFUNCTION("""COMPUTED_VALUE"""),7.753448)</f>
        <v>7.753448</v>
      </c>
      <c r="D13535" s="7">
        <f>IFERROR(__xludf.DUMMYFUNCTION("""COMPUTED_VALUE"""),0.388888888888888)</f>
        <v>0.3888888889</v>
      </c>
    </row>
    <row r="13536">
      <c r="A13536" s="10" t="s">
        <v>14975</v>
      </c>
      <c r="B13536" s="7" t="str">
        <f>IFERROR(__xludf.DUMMYFUNCTION("SPLIT(A13536,"" "")"),"COCc1ccccc1-c1cc(CN(Cc2ccccn2)Cc2ccccn2)ccn1")</f>
        <v>COCc1ccccc1-c1cc(CN(Cc2ccccn2)Cc2ccccn2)ccn1</v>
      </c>
      <c r="C13536" s="7">
        <f>IFERROR(__xludf.DUMMYFUNCTION("""COMPUTED_VALUE"""),7.753446)</f>
        <v>7.753446</v>
      </c>
      <c r="D13536" s="7">
        <f>IFERROR(__xludf.DUMMYFUNCTION("""COMPUTED_VALUE"""),0.465116279069767)</f>
        <v>0.4651162791</v>
      </c>
    </row>
    <row r="13537">
      <c r="A13537" s="10" t="s">
        <v>14976</v>
      </c>
      <c r="B13537" s="7" t="str">
        <f>IFERROR(__xludf.DUMMYFUNCTION("SPLIT(A13537,"" "")"),"Cc1cnc(CN(C)C2=CNC(CN(Cc3ccccn3)Cc3ccccn3)=CC2)c(C)c1")</f>
        <v>Cc1cnc(CN(C)C2=CNC(CN(Cc3ccccn3)Cc3ccccn3)=CC2)c(C)c1</v>
      </c>
      <c r="C13537" s="7">
        <f>IFERROR(__xludf.DUMMYFUNCTION("""COMPUTED_VALUE"""),7.7534404)</f>
        <v>7.7534404</v>
      </c>
      <c r="D13537" s="7">
        <f>IFERROR(__xludf.DUMMYFUNCTION("""COMPUTED_VALUE"""),0.45)</f>
        <v>0.45</v>
      </c>
    </row>
    <row r="13538">
      <c r="A13538" s="10" t="s">
        <v>14977</v>
      </c>
      <c r="B13538" s="7" t="str">
        <f>IFERROR(__xludf.DUMMYFUNCTION("SPLIT(A13538,"" "")"),"Cc1cc(CN(CC2=C(N(C)Cc3ccccn3)CC=CN2)Cc2ccccn2)nc(C)c1C")</f>
        <v>Cc1cc(CN(CC2=C(N(C)Cc3ccccn3)CC=CN2)Cc2ccccn2)nc(C)c1C</v>
      </c>
      <c r="C13538" s="7">
        <f>IFERROR(__xludf.DUMMYFUNCTION("""COMPUTED_VALUE"""),7.7534404)</f>
        <v>7.7534404</v>
      </c>
      <c r="D13538" s="7">
        <f>IFERROR(__xludf.DUMMYFUNCTION("""COMPUTED_VALUE"""),0.426229508196721)</f>
        <v>0.4262295082</v>
      </c>
    </row>
    <row r="13539">
      <c r="A13539" s="10" t="s">
        <v>14978</v>
      </c>
      <c r="B13539" s="7" t="str">
        <f>IFERROR(__xludf.DUMMYFUNCTION("SPLIT(A13539,"" "")"),"CCN(Cc1ccccn1)c1cncc(CN(Cc2ccccn2)Cc2nc(C)c(C)c(C)c2C)c1")</f>
        <v>CCN(Cc1ccccn1)c1cncc(CN(Cc2ccccn2)Cc2nc(C)c(C)c(C)c2C)c1</v>
      </c>
      <c r="C13539" s="7">
        <f>IFERROR(__xludf.DUMMYFUNCTION("""COMPUTED_VALUE"""),7.753436)</f>
        <v>7.753436</v>
      </c>
      <c r="D13539" s="7">
        <f>IFERROR(__xludf.DUMMYFUNCTION("""COMPUTED_VALUE"""),0.392156862745098)</f>
        <v>0.3921568627</v>
      </c>
    </row>
    <row r="13540">
      <c r="A13540" s="10" t="s">
        <v>14979</v>
      </c>
      <c r="B13540" s="7" t="str">
        <f>IFERROR(__xludf.DUMMYFUNCTION("SPLIT(A13540,"" "")"),"Cc1cccc(CN(C)C2=CCC=C(CN(C)Cc3ccccn3)N2)n1")</f>
        <v>Cc1cccc(CN(C)C2=CCC=C(CN(C)Cc3ccccn3)N2)n1</v>
      </c>
      <c r="C13540" s="7">
        <f>IFERROR(__xludf.DUMMYFUNCTION("""COMPUTED_VALUE"""),7.7534356)</f>
        <v>7.7534356</v>
      </c>
      <c r="D13540" s="7">
        <f>IFERROR(__xludf.DUMMYFUNCTION("""COMPUTED_VALUE"""),0.471698113207547)</f>
        <v>0.4716981132</v>
      </c>
    </row>
    <row r="13541">
      <c r="A13541" s="10" t="s">
        <v>14980</v>
      </c>
      <c r="B13541" s="7" t="str">
        <f>IFERROR(__xludf.DUMMYFUNCTION("SPLIT(A13541,"" "")"),"Cc1cccc(N(Cc2ccccn2)C2CCCC(N(C)c3ccc4nc(CF)ccc4c3)C2)c1")</f>
        <v>Cc1cccc(N(Cc2ccccn2)C2CCCC(N(C)c3ccc4nc(CF)ccc4c3)C2)c1</v>
      </c>
      <c r="C13541" s="7">
        <f>IFERROR(__xludf.DUMMYFUNCTION("""COMPUTED_VALUE"""),7.7534285)</f>
        <v>7.7534285</v>
      </c>
      <c r="D13541" s="7">
        <f>IFERROR(__xludf.DUMMYFUNCTION("""COMPUTED_VALUE"""),0.348484848484848)</f>
        <v>0.3484848485</v>
      </c>
    </row>
    <row r="13542">
      <c r="A13542" s="10" t="s">
        <v>14981</v>
      </c>
      <c r="B13542" s="7" t="str">
        <f>IFERROR(__xludf.DUMMYFUNCTION("SPLIT(A13542,"" "")"),"Cc1cccc(CN(C)CC2=CCC(N(C)Cc3ncccc3N)=CN2)n1")</f>
        <v>Cc1cccc(CN(C)CC2=CCC(N(C)Cc3ncccc3N)=CN2)n1</v>
      </c>
      <c r="C13542" s="7">
        <f>IFERROR(__xludf.DUMMYFUNCTION("""COMPUTED_VALUE"""),7.753424)</f>
        <v>7.753424</v>
      </c>
      <c r="D13542" s="7">
        <f>IFERROR(__xludf.DUMMYFUNCTION("""COMPUTED_VALUE"""),0.4)</f>
        <v>0.4</v>
      </c>
    </row>
    <row r="13543">
      <c r="A13543" s="10" t="s">
        <v>14982</v>
      </c>
      <c r="B13543" s="7" t="str">
        <f>IFERROR(__xludf.DUMMYFUNCTION("SPLIT(A13543,"" "")"),"CN(c1ccc2nc(CF)ccc2c1)C1CCCCC1N(Cc1ccccn1)c1cccnc1F")</f>
        <v>CN(c1ccc2nc(CF)ccc2c1)C1CCCCC1N(Cc1ccccn1)c1cccnc1F</v>
      </c>
      <c r="C13543" s="7">
        <f>IFERROR(__xludf.DUMMYFUNCTION("""COMPUTED_VALUE"""),7.7534194)</f>
        <v>7.7534194</v>
      </c>
      <c r="D13543" s="7">
        <f>IFERROR(__xludf.DUMMYFUNCTION("""COMPUTED_VALUE"""),0.453125)</f>
        <v>0.453125</v>
      </c>
    </row>
    <row r="13544">
      <c r="A13544" s="10" t="s">
        <v>14983</v>
      </c>
      <c r="B13544" s="7" t="str">
        <f>IFERROR(__xludf.DUMMYFUNCTION("SPLIT(A13544,"" "")"),"Cc1cc(C)c(C)c(NCc2ccccn2)c1")</f>
        <v>Cc1cc(C)c(C)c(NCc2ccccn2)c1</v>
      </c>
      <c r="C13544" s="7">
        <f>IFERROR(__xludf.DUMMYFUNCTION("""COMPUTED_VALUE"""),7.7534127)</f>
        <v>7.7534127</v>
      </c>
      <c r="D13544" s="7">
        <f>IFERROR(__xludf.DUMMYFUNCTION("""COMPUTED_VALUE"""),0.447368421052631)</f>
        <v>0.4473684211</v>
      </c>
    </row>
    <row r="13545">
      <c r="A13545" s="10" t="s">
        <v>14984</v>
      </c>
      <c r="B13545" s="7" t="str">
        <f>IFERROR(__xludf.DUMMYFUNCTION("SPLIT(A13545,"" "")"),"CNC1=CNCC=C1SCc1ccccn1")</f>
        <v>CNC1=CNCC=C1SCc1ccccn1</v>
      </c>
      <c r="C13545" s="7">
        <f>IFERROR(__xludf.DUMMYFUNCTION("""COMPUTED_VALUE"""),7.753406)</f>
        <v>7.753406</v>
      </c>
      <c r="D13545" s="7">
        <f>IFERROR(__xludf.DUMMYFUNCTION("""COMPUTED_VALUE"""),0.386363636363636)</f>
        <v>0.3863636364</v>
      </c>
    </row>
    <row r="13546">
      <c r="A13546" s="10" t="s">
        <v>14985</v>
      </c>
      <c r="B13546" s="7" t="str">
        <f>IFERROR(__xludf.DUMMYFUNCTION("SPLIT(A13546,"" "")"),"Cc1ccc(-c2cccc(NCc3cccc(C(C)(C)N(C)c4ccc5ncccc5c4)n3)c2)nc1-c1ccc2c(c1)OCCOCCOCCOCCOCCO2")</f>
        <v>Cc1ccc(-c2cccc(NCc3cccc(C(C)(C)N(C)c4ccc5ncccc5c4)n3)c2)nc1-c1ccc2c(c1)OCCOCCOCCOCCOCCO2</v>
      </c>
      <c r="C13546" s="7">
        <f>IFERROR(__xludf.DUMMYFUNCTION("""COMPUTED_VALUE"""),7.753405)</f>
        <v>7.753405</v>
      </c>
      <c r="D13546" s="7">
        <f>IFERROR(__xludf.DUMMYFUNCTION("""COMPUTED_VALUE"""),0.25)</f>
        <v>0.25</v>
      </c>
    </row>
    <row r="13547">
      <c r="A13547" s="10" t="s">
        <v>14986</v>
      </c>
      <c r="B13547" s="7" t="str">
        <f>IFERROR(__xludf.DUMMYFUNCTION("SPLIT(A13547,"" "")"),"C=CCN(C)Cc1cccc(CN(Cc2cccc(-c3ccc(Cl)c(Cl)c3)n2)Cc2cccc(C3CC(Cl)C3Cl)n2)n1")</f>
        <v>C=CCN(C)Cc1cccc(CN(Cc2cccc(-c3ccc(Cl)c(Cl)c3)n2)Cc2cccc(C3CC(Cl)C3Cl)n2)n1</v>
      </c>
      <c r="C13547" s="7">
        <f>IFERROR(__xludf.DUMMYFUNCTION("""COMPUTED_VALUE"""),7.753404)</f>
        <v>7.753404</v>
      </c>
      <c r="D13547" s="7">
        <f>IFERROR(__xludf.DUMMYFUNCTION("""COMPUTED_VALUE"""),0.324324324324324)</f>
        <v>0.3243243243</v>
      </c>
    </row>
    <row r="13548">
      <c r="A13548" s="10" t="s">
        <v>14987</v>
      </c>
      <c r="B13548" s="7" t="str">
        <f>IFERROR(__xludf.DUMMYFUNCTION("SPLIT(A13548,"" "")"),"CN(CCNc1cccc2ccc(CF)nc12)Cc1ccccn1")</f>
        <v>CN(CCNc1cccc2ccc(CF)nc12)Cc1ccccn1</v>
      </c>
      <c r="C13548" s="7">
        <f>IFERROR(__xludf.DUMMYFUNCTION("""COMPUTED_VALUE"""),7.753395)</f>
        <v>7.753395</v>
      </c>
      <c r="D13548" s="7">
        <f>IFERROR(__xludf.DUMMYFUNCTION("""COMPUTED_VALUE"""),0.433962264150943)</f>
        <v>0.4339622642</v>
      </c>
    </row>
    <row r="13549">
      <c r="A13549" s="10" t="s">
        <v>14988</v>
      </c>
      <c r="B13549" s="7" t="str">
        <f>IFERROR(__xludf.DUMMYFUNCTION("SPLIT(A13549,"" "")"),"Cc1ccnc(CN(Cc2nccc(C)c2C)C2CCCCC2N(C)c2ccc3c(CN(C)C)nccc3c2)c1C")</f>
        <v>Cc1ccnc(CN(Cc2nccc(C)c2C)C2CCCCC2N(C)c2ccc3c(CN(C)C)nccc3c2)c1C</v>
      </c>
      <c r="C13549" s="7">
        <f>IFERROR(__xludf.DUMMYFUNCTION("""COMPUTED_VALUE"""),7.7533917)</f>
        <v>7.7533917</v>
      </c>
      <c r="D13549" s="7">
        <f>IFERROR(__xludf.DUMMYFUNCTION("""COMPUTED_VALUE"""),0.32258064516129)</f>
        <v>0.3225806452</v>
      </c>
    </row>
    <row r="13550">
      <c r="A13550" s="10" t="s">
        <v>14989</v>
      </c>
      <c r="B13550" s="7" t="str">
        <f>IFERROR(__xludf.DUMMYFUNCTION("SPLIT(A13550,"" "")"),"CN(Cc1ccccn1)c1ccnc(CN(Cc2ccccn2)Cc2cccc(C(C)(C)C)n2)c1")</f>
        <v>CN(Cc1ccccn1)c1ccnc(CN(Cc2ccccn2)Cc2cccc(C(C)(C)C)n2)c1</v>
      </c>
      <c r="C13550" s="7">
        <f>IFERROR(__xludf.DUMMYFUNCTION("""COMPUTED_VALUE"""),7.75339)</f>
        <v>7.75339</v>
      </c>
      <c r="D13550" s="7">
        <f>IFERROR(__xludf.DUMMYFUNCTION("""COMPUTED_VALUE"""),0.46938775510204)</f>
        <v>0.4693877551</v>
      </c>
    </row>
    <row r="13551">
      <c r="A13551" s="10" t="s">
        <v>14990</v>
      </c>
      <c r="B13551" s="7" t="str">
        <f>IFERROR(__xludf.DUMMYFUNCTION("SPLIT(A13551,"" "")"),"CCOC(=O)c1ncccc1CN(Cc1ccccn1)C1CCC(N(C)c2ccc3nccc(CN(C)C)c3c2)CC1")</f>
        <v>CCOC(=O)c1ncccc1CN(Cc1ccccn1)C1CCC(N(C)c2ccc3nccc(CN(C)C)c3c2)CC1</v>
      </c>
      <c r="C13551" s="7">
        <f>IFERROR(__xludf.DUMMYFUNCTION("""COMPUTED_VALUE"""),7.7533827)</f>
        <v>7.7533827</v>
      </c>
      <c r="D13551" s="7">
        <f>IFERROR(__xludf.DUMMYFUNCTION("""COMPUTED_VALUE"""),0.293333333333333)</f>
        <v>0.2933333333</v>
      </c>
    </row>
    <row r="13552">
      <c r="A13552" s="10" t="s">
        <v>14991</v>
      </c>
      <c r="B13552" s="7" t="str">
        <f>IFERROR(__xludf.DUMMYFUNCTION("SPLIT(A13552,"" "")"),"Cc1cccc(CN(Cc2cccc(CN(Cc3nc(C)c(C)c(C)c3C)C(C)C)n2)Cc2nc(C)c(C)c(C)c2C)n1")</f>
        <v>Cc1cccc(CN(Cc2cccc(CN(Cc3nc(C)c(C)c(C)c3C)C(C)C)n2)Cc2nc(C)c(C)c(C)c2C)n1</v>
      </c>
      <c r="C13552" s="7">
        <f>IFERROR(__xludf.DUMMYFUNCTION("""COMPUTED_VALUE"""),7.753381)</f>
        <v>7.753381</v>
      </c>
      <c r="D13552" s="7">
        <f>IFERROR(__xludf.DUMMYFUNCTION("""COMPUTED_VALUE"""),0.422222222222222)</f>
        <v>0.4222222222</v>
      </c>
    </row>
    <row r="13553">
      <c r="A13553" s="10" t="s">
        <v>14992</v>
      </c>
      <c r="B13553" s="7" t="str">
        <f>IFERROR(__xludf.DUMMYFUNCTION("SPLIT(A13553,"" "")"),"Cc1cc(C)c(CN(Cc2ccccn2)Cc2ncc(C)c(C)c2C)nc1C")</f>
        <v>Cc1cc(C)c(CN(Cc2ccccn2)Cc2ncc(C)c(C)c2C)nc1C</v>
      </c>
      <c r="C13553" s="7">
        <f>IFERROR(__xludf.DUMMYFUNCTION("""COMPUTED_VALUE"""),7.75338)</f>
        <v>7.75338</v>
      </c>
      <c r="D13553" s="7">
        <f>IFERROR(__xludf.DUMMYFUNCTION("""COMPUTED_VALUE"""),0.48780487804878)</f>
        <v>0.487804878</v>
      </c>
    </row>
    <row r="13554">
      <c r="A13554" s="10" t="s">
        <v>14993</v>
      </c>
      <c r="B13554" s="7" t="str">
        <f>IFERROR(__xludf.DUMMYFUNCTION("SPLIT(A13554,"" "")"),"Cc1cc(C)c(CN(CC2=C(N(C)Cc3ccccn3)CC=CN2)Cc2ccccn2)nc1C")</f>
        <v>Cc1cc(C)c(CN(CC2=C(N(C)Cc3ccccn3)CC=CN2)Cc2ccccn2)nc1C</v>
      </c>
      <c r="C13554" s="7">
        <f>IFERROR(__xludf.DUMMYFUNCTION("""COMPUTED_VALUE"""),7.7533774)</f>
        <v>7.7533774</v>
      </c>
      <c r="D13554" s="7">
        <f>IFERROR(__xludf.DUMMYFUNCTION("""COMPUTED_VALUE"""),0.419354838709677)</f>
        <v>0.4193548387</v>
      </c>
    </row>
    <row r="13555">
      <c r="A13555" s="10" t="s">
        <v>14994</v>
      </c>
      <c r="B13555" s="7" t="str">
        <f>IFERROR(__xludf.DUMMYFUNCTION("SPLIT(A13555,"" "")"),"CCN(Cc1nc(C)c(C)c(C)c1C)Cc1nc(C)c(C)c(C)c1C")</f>
        <v>CCN(Cc1nc(C)c(C)c(C)c1C)Cc1nc(C)c(C)c(C)c1C</v>
      </c>
      <c r="C13555" s="7">
        <f>IFERROR(__xludf.DUMMYFUNCTION("""COMPUTED_VALUE"""),7.7533765)</f>
        <v>7.7533765</v>
      </c>
      <c r="D13555" s="7">
        <f>IFERROR(__xludf.DUMMYFUNCTION("""COMPUTED_VALUE"""),0.2)</f>
        <v>0.2</v>
      </c>
    </row>
    <row r="13556">
      <c r="A13556" s="10" t="s">
        <v>14995</v>
      </c>
      <c r="B13556" s="7" t="str">
        <f>IFERROR(__xludf.DUMMYFUNCTION("SPLIT(A13556,"" "")"),"Cc1nc(CN(C)Cc2ccc(C(C)(C)C)cn2)c(C)c(C)c1C")</f>
        <v>Cc1nc(CN(C)Cc2ccc(C(C)(C)C)cn2)c(C)c(C)c1C</v>
      </c>
      <c r="C13556" s="7">
        <f>IFERROR(__xludf.DUMMYFUNCTION("""COMPUTED_VALUE"""),7.753372)</f>
        <v>7.753372</v>
      </c>
      <c r="D13556" s="7">
        <f>IFERROR(__xludf.DUMMYFUNCTION("""COMPUTED_VALUE"""),0.4)</f>
        <v>0.4</v>
      </c>
    </row>
    <row r="13557">
      <c r="A13557" s="10" t="s">
        <v>14996</v>
      </c>
      <c r="B13557" s="7" t="str">
        <f>IFERROR(__xludf.DUMMYFUNCTION("SPLIT(A13557,"" "")"),"CC1CCC1N(C)Cc1cccc(-c2cccc(N=Cc3ccccn3)c2)n1")</f>
        <v>CC1CCC1N(C)Cc1cccc(-c2cccc(N=Cc3ccccn3)c2)n1</v>
      </c>
      <c r="C13557" s="7">
        <f>IFERROR(__xludf.DUMMYFUNCTION("""COMPUTED_VALUE"""),7.7533693)</f>
        <v>7.7533693</v>
      </c>
      <c r="D13557" s="7">
        <f>IFERROR(__xludf.DUMMYFUNCTION("""COMPUTED_VALUE"""),0.397058823529411)</f>
        <v>0.3970588235</v>
      </c>
    </row>
    <row r="13558">
      <c r="A13558" s="10" t="s">
        <v>14997</v>
      </c>
      <c r="B13558" s="7" t="str">
        <f>IFERROR(__xludf.DUMMYFUNCTION("SPLIT(A13558,"" "")"),"CN(CCF)CCN(C)c1ccc2c(CF)ccnc2c1")</f>
        <v>CN(CCF)CCN(C)c1ccc2c(CF)ccnc2c1</v>
      </c>
      <c r="C13558" s="7">
        <f>IFERROR(__xludf.DUMMYFUNCTION("""COMPUTED_VALUE"""),7.753368)</f>
        <v>7.753368</v>
      </c>
      <c r="D13558" s="7">
        <f>IFERROR(__xludf.DUMMYFUNCTION("""COMPUTED_VALUE"""),0.265306122448979)</f>
        <v>0.2653061224</v>
      </c>
    </row>
    <row r="13559">
      <c r="A13559" s="10" t="s">
        <v>14998</v>
      </c>
      <c r="B13559" s="7" t="str">
        <f>IFERROR(__xludf.DUMMYFUNCTION("SPLIT(A13559,"" "")"),"Cc1ccc(C)c(CN(C)CC2=CCC(N(C)Cc3nc(C)cc(C)c3C)=CN2)n1")</f>
        <v>Cc1ccc(C)c(CN(C)CC2=CCC(N(C)Cc3nc(C)cc(C)c3C)=CN2)n1</v>
      </c>
      <c r="C13559" s="7">
        <f>IFERROR(__xludf.DUMMYFUNCTION("""COMPUTED_VALUE"""),7.753367)</f>
        <v>7.753367</v>
      </c>
      <c r="D13559" s="7">
        <f>IFERROR(__xludf.DUMMYFUNCTION("""COMPUTED_VALUE"""),0.241379310344827)</f>
        <v>0.2413793103</v>
      </c>
    </row>
    <row r="13560">
      <c r="A13560" s="10" t="s">
        <v>14999</v>
      </c>
      <c r="B13560" s="7" t="str">
        <f>IFERROR(__xludf.DUMMYFUNCTION("SPLIT(A13560,"" "")"),"Cc1cc(C)c(CN(C)C2=C(CN(C)C3=C(C(C)N)NC=CC3)NC=CC2)nc1C")</f>
        <v>Cc1cc(C)c(CN(C)C2=C(CN(C)C3=C(C(C)N)NC=CC3)NC=CC2)nc1C</v>
      </c>
      <c r="C13560" s="7">
        <f>IFERROR(__xludf.DUMMYFUNCTION("""COMPUTED_VALUE"""),7.7533636)</f>
        <v>7.7533636</v>
      </c>
      <c r="D13560" s="7">
        <f>IFERROR(__xludf.DUMMYFUNCTION("""COMPUTED_VALUE"""),0.171428571428571)</f>
        <v>0.1714285714</v>
      </c>
    </row>
    <row r="13561">
      <c r="A13561" s="10" t="s">
        <v>15000</v>
      </c>
      <c r="B13561" s="7" t="str">
        <f>IFERROR(__xludf.DUMMYFUNCTION("SPLIT(A13561,"" "")"),"CCNC1=CCc2ncccc2C1c1ncccc1CN(Cc1ccccn1)C1CCC(N(C)c2ccc3c(CF)ccnc3c2)CC1")</f>
        <v>CCNC1=CCc2ncccc2C1c1ncccc1CN(Cc1ccccn1)C1CCC(N(C)c2ccc3c(CF)ccnc3c2)CC1</v>
      </c>
      <c r="C13561" s="7">
        <f>IFERROR(__xludf.DUMMYFUNCTION("""COMPUTED_VALUE"""),7.753361)</f>
        <v>7.753361</v>
      </c>
      <c r="D13561" s="7">
        <f>IFERROR(__xludf.DUMMYFUNCTION("""COMPUTED_VALUE"""),0.268292682926829)</f>
        <v>0.2682926829</v>
      </c>
    </row>
    <row r="13562">
      <c r="A13562" s="10" t="s">
        <v>15001</v>
      </c>
      <c r="B13562" s="7" t="str">
        <f>IFERROR(__xludf.DUMMYFUNCTION("SPLIT(A13562,"" "")"),"CNCC1=CCC=C(N(C)Cc2ncc(C)c(C)c2C)N1")</f>
        <v>CNCC1=CCC=C(N(C)Cc2ncc(C)c(C)c2C)N1</v>
      </c>
      <c r="C13562" s="7">
        <f>IFERROR(__xludf.DUMMYFUNCTION("""COMPUTED_VALUE"""),7.7533555)</f>
        <v>7.7533555</v>
      </c>
      <c r="D13562" s="7">
        <f>IFERROR(__xludf.DUMMYFUNCTION("""COMPUTED_VALUE"""),0.23728813559322)</f>
        <v>0.2372881356</v>
      </c>
    </row>
    <row r="13563">
      <c r="A13563" s="10" t="s">
        <v>15002</v>
      </c>
      <c r="B13563" s="7" t="str">
        <f>IFERROR(__xludf.DUMMYFUNCTION("SPLIT(A13563,"" "")"),"CN(C)c1ccnc(CN(Cc2ccccn2)Cc2cccc(F)n2)c1")</f>
        <v>CN(C)c1ccnc(CN(Cc2ccccn2)Cc2cccc(F)n2)c1</v>
      </c>
      <c r="C13563" s="7">
        <f>IFERROR(__xludf.DUMMYFUNCTION("""COMPUTED_VALUE"""),7.753354)</f>
        <v>7.753354</v>
      </c>
      <c r="D13563" s="7">
        <f>IFERROR(__xludf.DUMMYFUNCTION("""COMPUTED_VALUE"""),0.5)</f>
        <v>0.5</v>
      </c>
    </row>
    <row r="13564">
      <c r="A13564" s="10" t="s">
        <v>15003</v>
      </c>
      <c r="B13564" s="7" t="str">
        <f>IFERROR(__xludf.DUMMYFUNCTION("SPLIT(A13564,"" "")"),"Cc1ccc(CN(C)CC2=CCC=C(N(C)Cc3ncccc3C)N2)cn1")</f>
        <v>Cc1ccc(CN(C)CC2=CCC=C(N(C)Cc3ncccc3C)N2)cn1</v>
      </c>
      <c r="C13564" s="7">
        <f>IFERROR(__xludf.DUMMYFUNCTION("""COMPUTED_VALUE"""),7.7533464)</f>
        <v>7.7533464</v>
      </c>
      <c r="D13564" s="7">
        <f>IFERROR(__xludf.DUMMYFUNCTION("""COMPUTED_VALUE"""),0.257575757575757)</f>
        <v>0.2575757576</v>
      </c>
    </row>
    <row r="13565">
      <c r="A13565" s="10" t="s">
        <v>15004</v>
      </c>
      <c r="B13565" s="7" t="str">
        <f>IFERROR(__xludf.DUMMYFUNCTION("SPLIT(A13565,"" "")"),"CC1=CC(C)C(C)(C)C(C)C1N(C)Cc1ccc(-c2cc(C)c(Cl)cc2N(C)Cc2ccc(C)cn2)cn1")</f>
        <v>CC1=CC(C)C(C)(C)C(C)C1N(C)Cc1ccc(-c2cc(C)c(Cl)cc2N(C)Cc2ccc(C)cn2)cn1</v>
      </c>
      <c r="C13565" s="7">
        <f>IFERROR(__xludf.DUMMYFUNCTION("""COMPUTED_VALUE"""),7.753346)</f>
        <v>7.753346</v>
      </c>
      <c r="D13565" s="7">
        <f>IFERROR(__xludf.DUMMYFUNCTION("""COMPUTED_VALUE"""),0.348484848484848)</f>
        <v>0.3484848485</v>
      </c>
    </row>
    <row r="13566">
      <c r="A13566" s="10" t="s">
        <v>15005</v>
      </c>
      <c r="B13566" s="7" t="str">
        <f>IFERROR(__xludf.DUMMYFUNCTION("SPLIT(A13566,"" "")"),"Cc1ccc(CN(C)C2=C(CN(C)Cc3cc(C)c(C)c(C)n3)NC=CC2)nc1C")</f>
        <v>Cc1ccc(CN(C)C2=C(CN(C)Cc3cc(C)c(C)c(C)n3)NC=CC2)nc1C</v>
      </c>
      <c r="C13566" s="7">
        <f>IFERROR(__xludf.DUMMYFUNCTION("""COMPUTED_VALUE"""),7.753342)</f>
        <v>7.753342</v>
      </c>
      <c r="D13566" s="7">
        <f>IFERROR(__xludf.DUMMYFUNCTION("""COMPUTED_VALUE"""),0.258620689655172)</f>
        <v>0.2586206897</v>
      </c>
    </row>
    <row r="13567">
      <c r="A13567" s="10" t="s">
        <v>15006</v>
      </c>
      <c r="B13567" s="7" t="str">
        <f>IFERROR(__xludf.DUMMYFUNCTION("SPLIT(A13567,"" "")"),"Cc1cnc(CN(C)CC2=CCC=C(N(C)Cc3ccccn3)N2)cc1C")</f>
        <v>Cc1cnc(CN(C)CC2=CCC=C(N(C)Cc3ccccn3)N2)cc1C</v>
      </c>
      <c r="C13567" s="7">
        <f>IFERROR(__xludf.DUMMYFUNCTION("""COMPUTED_VALUE"""),7.753342)</f>
        <v>7.753342</v>
      </c>
      <c r="D13567" s="7">
        <f>IFERROR(__xludf.DUMMYFUNCTION("""COMPUTED_VALUE"""),0.4)</f>
        <v>0.4</v>
      </c>
    </row>
    <row r="13568">
      <c r="A13568" s="10" t="s">
        <v>15007</v>
      </c>
      <c r="B13568" s="7" t="str">
        <f>IFERROR(__xludf.DUMMYFUNCTION("SPLIT(A13568,"" "")"),"Cc1cc(C)c(C)c(CN(C)CCN(C)Cc2ccc3cccnc3c2)c1")</f>
        <v>Cc1cc(C)c(C)c(CN(C)CCN(C)Cc2ccc3cccnc3c2)c1</v>
      </c>
      <c r="C13568" s="7">
        <f>IFERROR(__xludf.DUMMYFUNCTION("""COMPUTED_VALUE"""),7.7533355)</f>
        <v>7.7533355</v>
      </c>
      <c r="D13568" s="7">
        <f>IFERROR(__xludf.DUMMYFUNCTION("""COMPUTED_VALUE"""),0.44)</f>
        <v>0.44</v>
      </c>
    </row>
    <row r="13569">
      <c r="A13569" s="10" t="s">
        <v>15008</v>
      </c>
      <c r="B13569" s="7" t="str">
        <f>IFERROR(__xludf.DUMMYFUNCTION("SPLIT(A13569,"" "")"),"Cc1ccc(C)c(CN(C)C2=C(CN(C)Cc3nc(C)c(C)c(C)c3C)NC=CC2)n1")</f>
        <v>Cc1ccc(C)c(CN(C)C2=C(CN(C)Cc3nc(C)c(C)c(C)c3C)NC=CC2)n1</v>
      </c>
      <c r="C13569" s="7">
        <f>IFERROR(__xludf.DUMMYFUNCTION("""COMPUTED_VALUE"""),7.7533345)</f>
        <v>7.7533345</v>
      </c>
      <c r="D13569" s="7">
        <f>IFERROR(__xludf.DUMMYFUNCTION("""COMPUTED_VALUE"""),0.233333333333333)</f>
        <v>0.2333333333</v>
      </c>
    </row>
    <row r="13570">
      <c r="A13570" s="10" t="s">
        <v>15009</v>
      </c>
      <c r="B13570" s="7" t="str">
        <f>IFERROR(__xludf.DUMMYFUNCTION("SPLIT(A13570,"" "")"),"C=Nc1ccc(-c2cccc(CN(Cc3ccccn3)Cc3cccc(CNCC)n3)n2)cc1")</f>
        <v>C=Nc1ccc(-c2cccc(CN(Cc3ccccn3)Cc3cccc(CNCC)n3)n2)cc1</v>
      </c>
      <c r="C13570" s="7">
        <f>IFERROR(__xludf.DUMMYFUNCTION("""COMPUTED_VALUE"""),7.753331)</f>
        <v>7.753331</v>
      </c>
      <c r="D13570" s="7">
        <f>IFERROR(__xludf.DUMMYFUNCTION("""COMPUTED_VALUE"""),0.483333333333333)</f>
        <v>0.4833333333</v>
      </c>
    </row>
    <row r="13571">
      <c r="A13571" s="10" t="s">
        <v>15010</v>
      </c>
      <c r="B13571" s="7" t="str">
        <f>IFERROR(__xludf.DUMMYFUNCTION("SPLIT(A13571,"" "")"),"Cc1cnc(CN(C)Cc2cccc(N(C)C3C=CC=CN3)n2)c(C)c1C")</f>
        <v>Cc1cnc(CN(C)Cc2cccc(N(C)C3C=CC=CN3)n2)c(C)c1C</v>
      </c>
      <c r="C13571" s="7">
        <f>IFERROR(__xludf.DUMMYFUNCTION("""COMPUTED_VALUE"""),7.7533298)</f>
        <v>7.7533298</v>
      </c>
      <c r="D13571" s="7">
        <f>IFERROR(__xludf.DUMMYFUNCTION("""COMPUTED_VALUE"""),0.328125)</f>
        <v>0.328125</v>
      </c>
    </row>
    <row r="13572">
      <c r="A13572" s="10" t="s">
        <v>15011</v>
      </c>
      <c r="B13572" s="7" t="str">
        <f>IFERROR(__xludf.DUMMYFUNCTION("SPLIT(A13572,"" "")"),"CN(CCF)CCN(Cc1ccccn1)c1ccc2nccc(CF)c2c1")</f>
        <v>CN(CCF)CCN(Cc1ccccn1)c1ccc2nccc(CF)c2c1</v>
      </c>
      <c r="C13572" s="7">
        <f>IFERROR(__xludf.DUMMYFUNCTION("""COMPUTED_VALUE"""),7.753327)</f>
        <v>7.753327</v>
      </c>
      <c r="D13572" s="7">
        <f>IFERROR(__xludf.DUMMYFUNCTION("""COMPUTED_VALUE"""),0.363636363636363)</f>
        <v>0.3636363636</v>
      </c>
    </row>
    <row r="13573">
      <c r="A13573" s="10" t="s">
        <v>15012</v>
      </c>
      <c r="B13573" s="7" t="str">
        <f>IFERROR(__xludf.DUMMYFUNCTION("SPLIT(A13573,"" "")"),"Cc1cccnc1CN(C)C1=CCC=C(CN(Cc2ccccn2)Cc2ccccn2)N1")</f>
        <v>Cc1cccnc1CN(C)C1=CCC=C(CN(Cc2ccccn2)Cc2ccccn2)N1</v>
      </c>
      <c r="C13573" s="7">
        <f>IFERROR(__xludf.DUMMYFUNCTION("""COMPUTED_VALUE"""),7.753313)</f>
        <v>7.753313</v>
      </c>
      <c r="D13573" s="7">
        <f>IFERROR(__xludf.DUMMYFUNCTION("""COMPUTED_VALUE"""),0.49090909090909)</f>
        <v>0.4909090909</v>
      </c>
    </row>
    <row r="13574">
      <c r="A13574" s="10" t="s">
        <v>15013</v>
      </c>
      <c r="B13574" s="7" t="str">
        <f>IFERROR(__xludf.DUMMYFUNCTION("SPLIT(A13574,"" "")"),"Cc1ccc(-c2ccc(N=Cc3ccccn3)c(-c3ccccc3)c2)c(NCc2ccccn2)c1-c1ccc2c(c1)OCCOCCOCCOCCOCCO2")</f>
        <v>Cc1ccc(-c2ccc(N=Cc3ccccn3)c(-c3ccccc3)c2)c(NCc2ccccn2)c1-c1ccc2c(c1)OCCOCCOCCOCCOCCO2</v>
      </c>
      <c r="C13574" s="7">
        <f>IFERROR(__xludf.DUMMYFUNCTION("""COMPUTED_VALUE"""),7.7533045)</f>
        <v>7.7533045</v>
      </c>
      <c r="D13574" s="7">
        <f>IFERROR(__xludf.DUMMYFUNCTION("""COMPUTED_VALUE"""),0.371794871794871)</f>
        <v>0.3717948718</v>
      </c>
    </row>
    <row r="13575">
      <c r="A13575" s="10" t="s">
        <v>15014</v>
      </c>
      <c r="B13575" s="7" t="str">
        <f>IFERROR(__xludf.DUMMYFUNCTION("SPLIT(A13575,"" "")"),"Cc1cc(C)c(C)c(CN(C)C2=C(CN(C)Cc3ncc(C)c(C)c3C)NC=CC2)n1")</f>
        <v>Cc1cc(C)c(C)c(CN(C)C2=C(CN(C)Cc3ncc(C)c(C)c3C)NC=CC2)n1</v>
      </c>
      <c r="C13575" s="7">
        <f>IFERROR(__xludf.DUMMYFUNCTION("""COMPUTED_VALUE"""),7.7533035)</f>
        <v>7.7533035</v>
      </c>
      <c r="D13575" s="7">
        <f>IFERROR(__xludf.DUMMYFUNCTION("""COMPUTED_VALUE"""),0.217391304347826)</f>
        <v>0.2173913043</v>
      </c>
    </row>
    <row r="13576">
      <c r="A13576" s="10" t="s">
        <v>15015</v>
      </c>
      <c r="B13576" s="7" t="str">
        <f>IFERROR(__xludf.DUMMYFUNCTION("SPLIT(A13576,"" "")"),"CN(C)c1ncccc1CN(Cc1cccc(F)n1)Cc1cccc(F)n1")</f>
        <v>CN(C)c1ncccc1CN(Cc1cccc(F)n1)Cc1cccc(F)n1</v>
      </c>
      <c r="C13576" s="7">
        <f>IFERROR(__xludf.DUMMYFUNCTION("""COMPUTED_VALUE"""),7.7533)</f>
        <v>7.7533</v>
      </c>
      <c r="D13576" s="7">
        <f>IFERROR(__xludf.DUMMYFUNCTION("""COMPUTED_VALUE"""),0.413793103448275)</f>
        <v>0.4137931034</v>
      </c>
    </row>
    <row r="13577">
      <c r="A13577" s="10" t="s">
        <v>15016</v>
      </c>
      <c r="B13577" s="7" t="str">
        <f>IFERROR(__xludf.DUMMYFUNCTION("SPLIT(A13577,"" "")"),"CN(C)Cc1ncccc1N(C)C1CCCC(N(C)c2ccc3ccc(CF)nc3c2)C1")</f>
        <v>CN(C)Cc1ncccc1N(C)C1CCCC(N(C)c2ccc3ccc(CF)nc3c2)C1</v>
      </c>
      <c r="C13577" s="7">
        <f>IFERROR(__xludf.DUMMYFUNCTION("""COMPUTED_VALUE"""),7.753296)</f>
        <v>7.753296</v>
      </c>
      <c r="D13577" s="7">
        <f>IFERROR(__xludf.DUMMYFUNCTION("""COMPUTED_VALUE"""),0.390625)</f>
        <v>0.390625</v>
      </c>
    </row>
    <row r="13578">
      <c r="A13578" s="10" t="s">
        <v>15017</v>
      </c>
      <c r="B13578" s="7" t="str">
        <f>IFERROR(__xludf.DUMMYFUNCTION("SPLIT(A13578,"" "")"),"CN(Cc1cc(N)ccn1)C1=CCNC=C1")</f>
        <v>CN(Cc1cc(N)ccn1)C1=CCNC=C1</v>
      </c>
      <c r="C13578" s="7">
        <f>IFERROR(__xludf.DUMMYFUNCTION("""COMPUTED_VALUE"""),7.753295)</f>
        <v>7.753295</v>
      </c>
      <c r="D13578" s="7">
        <f>IFERROR(__xludf.DUMMYFUNCTION("""COMPUTED_VALUE"""),0.313725490196078)</f>
        <v>0.3137254902</v>
      </c>
    </row>
    <row r="13579">
      <c r="A13579" s="10" t="s">
        <v>15018</v>
      </c>
      <c r="B13579" s="7" t="str">
        <f>IFERROR(__xludf.DUMMYFUNCTION("SPLIT(A13579,"" "")"),"CN(Cc1ccccn1)c1ccc(CN(Cc2ccccn2)Cc2ncccc2F)nc1")</f>
        <v>CN(Cc1ccccn1)c1ccc(CN(Cc2ccccn2)Cc2ncccc2F)nc1</v>
      </c>
      <c r="C13579" s="7">
        <f>IFERROR(__xludf.DUMMYFUNCTION("""COMPUTED_VALUE"""),7.753294)</f>
        <v>7.753294</v>
      </c>
      <c r="D13579" s="7">
        <f>IFERROR(__xludf.DUMMYFUNCTION("""COMPUTED_VALUE"""),0.476190476190476)</f>
        <v>0.4761904762</v>
      </c>
    </row>
    <row r="13580">
      <c r="A13580" s="10" t="s">
        <v>15019</v>
      </c>
      <c r="B13580" s="7" t="str">
        <f>IFERROR(__xludf.DUMMYFUNCTION("SPLIT(A13580,"" "")"),"Cc1cccnc1CN(CC1=CNC(N(C)Cc2ccccn2)=CC1)Cc1ncccc1C")</f>
        <v>Cc1cccnc1CN(CC1=CNC(N(C)Cc2ccccn2)=CC1)Cc1ncccc1C</v>
      </c>
      <c r="C13580" s="7">
        <f>IFERROR(__xludf.DUMMYFUNCTION("""COMPUTED_VALUE"""),7.7532916)</f>
        <v>7.7532916</v>
      </c>
      <c r="D13580" s="7">
        <f>IFERROR(__xludf.DUMMYFUNCTION("""COMPUTED_VALUE"""),0.387755102040816)</f>
        <v>0.387755102</v>
      </c>
    </row>
    <row r="13581">
      <c r="A13581" s="10" t="s">
        <v>15020</v>
      </c>
      <c r="B13581" s="7" t="str">
        <f>IFERROR(__xludf.DUMMYFUNCTION("SPLIT(A13581,"" "")"),"Cc1cccc(CN(C)CC2=CCC=C(N(C)Cc3ccccn3)N2)n1")</f>
        <v>Cc1cccc(CN(C)CC2=CCC=C(N(C)Cc3ccccn3)N2)n1</v>
      </c>
      <c r="C13581" s="7">
        <f>IFERROR(__xludf.DUMMYFUNCTION("""COMPUTED_VALUE"""),7.7532864)</f>
        <v>7.7532864</v>
      </c>
      <c r="D13581" s="7">
        <f>IFERROR(__xludf.DUMMYFUNCTION("""COMPUTED_VALUE"""),0.471698113207547)</f>
        <v>0.4716981132</v>
      </c>
    </row>
    <row r="13582">
      <c r="A13582" s="10" t="s">
        <v>15021</v>
      </c>
      <c r="B13582" s="7" t="str">
        <f>IFERROR(__xludf.DUMMYFUNCTION("SPLIT(A13582,"" "")"),"Cc1ccc(NCc2ccccn2)cc1CN(C)Cc1cc(C)c(C)c(C)n1")</f>
        <v>Cc1ccc(NCc2ccccn2)cc1CN(C)Cc1cc(C)c(C)c(C)n1</v>
      </c>
      <c r="C13582" s="7">
        <f>IFERROR(__xludf.DUMMYFUNCTION("""COMPUTED_VALUE"""),7.7532763)</f>
        <v>7.7532763</v>
      </c>
      <c r="D13582" s="7">
        <f>IFERROR(__xludf.DUMMYFUNCTION("""COMPUTED_VALUE"""),0.392857142857142)</f>
        <v>0.3928571429</v>
      </c>
    </row>
    <row r="13583">
      <c r="A13583" s="10" t="s">
        <v>15022</v>
      </c>
      <c r="B13583" s="7" t="str">
        <f>IFERROR(__xludf.DUMMYFUNCTION("SPLIT(A13583,"" "")"),"COC(=O)C(=O)C(C)C1(C)COC(c2cccnc2CN(Cc2ccccn2)Cc2ccccn2)=N1")</f>
        <v>COC(=O)C(=O)C(C)C1(C)COC(c2cccnc2CN(Cc2ccccn2)Cc2ccccn2)=N1</v>
      </c>
      <c r="C13583" s="7">
        <f>IFERROR(__xludf.DUMMYFUNCTION("""COMPUTED_VALUE"""),7.75327)</f>
        <v>7.75327</v>
      </c>
      <c r="D13583" s="7">
        <f>IFERROR(__xludf.DUMMYFUNCTION("""COMPUTED_VALUE"""),0.344827586206896)</f>
        <v>0.3448275862</v>
      </c>
    </row>
    <row r="13584">
      <c r="A13584" s="10" t="s">
        <v>15023</v>
      </c>
      <c r="B13584" s="7" t="str">
        <f>IFERROR(__xludf.DUMMYFUNCTION("SPLIT(A13584,"" "")"),"Cc1cccc(CN(C)CC2=CCC(N(Cc3ccccn3)Cc3ccc(C)c(C)n3)=CN2)n1")</f>
        <v>Cc1cccc(CN(C)CC2=CCC(N(Cc3ccccn3)Cc3ccc(C)c(C)n3)=CN2)n1</v>
      </c>
      <c r="C13584" s="7">
        <f>IFERROR(__xludf.DUMMYFUNCTION("""COMPUTED_VALUE"""),7.7532625)</f>
        <v>7.7532625</v>
      </c>
      <c r="D13584" s="7">
        <f>IFERROR(__xludf.DUMMYFUNCTION("""COMPUTED_VALUE"""),0.423728813559322)</f>
        <v>0.4237288136</v>
      </c>
    </row>
    <row r="13585">
      <c r="A13585" s="10" t="s">
        <v>15024</v>
      </c>
      <c r="B13585" s="7" t="str">
        <f>IFERROR(__xludf.DUMMYFUNCTION("SPLIT(A13585,"" "")"),"Cc1ccc(N(C)CC2=CCC(N(C)C(C)C)=CN2)c(C)c1C")</f>
        <v>Cc1ccc(N(C)CC2=CCC(N(C)C(C)C)=CN2)c(C)c1C</v>
      </c>
      <c r="C13585" s="7">
        <f>IFERROR(__xludf.DUMMYFUNCTION("""COMPUTED_VALUE"""),7.7532587)</f>
        <v>7.7532587</v>
      </c>
      <c r="D13585" s="7">
        <f>IFERROR(__xludf.DUMMYFUNCTION("""COMPUTED_VALUE"""),0.2)</f>
        <v>0.2</v>
      </c>
    </row>
    <row r="13586">
      <c r="A13586" s="10" t="s">
        <v>15025</v>
      </c>
      <c r="B13586" s="7" t="str">
        <f>IFERROR(__xludf.DUMMYFUNCTION("SPLIT(A13586,"" "")"),"CC1=NCC(c2cc(CN(C)Cc3ccc(N)cn3)ccn2)O1")</f>
        <v>CC1=NCC(c2cc(CN(C)Cc3ccc(N)cn3)ccn2)O1</v>
      </c>
      <c r="C13586" s="7">
        <f>IFERROR(__xludf.DUMMYFUNCTION("""COMPUTED_VALUE"""),7.753258)</f>
        <v>7.753258</v>
      </c>
      <c r="D13586" s="7">
        <f>IFERROR(__xludf.DUMMYFUNCTION("""COMPUTED_VALUE"""),0.327272727272727)</f>
        <v>0.3272727273</v>
      </c>
    </row>
    <row r="13587">
      <c r="A13587" s="10" t="s">
        <v>15026</v>
      </c>
      <c r="B13587" s="7" t="str">
        <f>IFERROR(__xludf.DUMMYFUNCTION("SPLIT(A13587,"" "")"),"CN(c1ccc2nccc(CF)c2c1)C1CCCCC1N(Cc1ccccn1)c1cccc(CF)n1")</f>
        <v>CN(c1ccc2nccc(CF)c2c1)C1CCCCC1N(Cc1ccccn1)c1cccc(CF)n1</v>
      </c>
      <c r="C13587" s="7">
        <f>IFERROR(__xludf.DUMMYFUNCTION("""COMPUTED_VALUE"""),7.7532578)</f>
        <v>7.7532578</v>
      </c>
      <c r="D13587" s="7">
        <f>IFERROR(__xludf.DUMMYFUNCTION("""COMPUTED_VALUE"""),0.40625)</f>
        <v>0.40625</v>
      </c>
    </row>
    <row r="13588">
      <c r="A13588" s="10" t="s">
        <v>15027</v>
      </c>
      <c r="B13588" s="7" t="str">
        <f>IFERROR(__xludf.DUMMYFUNCTION("SPLIT(A13588,"" "")"),"COC(=O)C1CN(C)C(c2cccc(CN(Cc3ccccn3)Cc3cc(C(C)(C)c4ccccn4)ccn3)n2)C(c2ccccn2)C1c1ccccn1")</f>
        <v>COC(=O)C1CN(C)C(c2cccc(CN(Cc3ccccn3)Cc3cc(C(C)(C)c4ccccn4)ccn3)n2)C(c2ccccn2)C1c1ccccn1</v>
      </c>
      <c r="C13588" s="7">
        <f>IFERROR(__xludf.DUMMYFUNCTION("""COMPUTED_VALUE"""),7.753254)</f>
        <v>7.753254</v>
      </c>
      <c r="D13588" s="7">
        <f>IFERROR(__xludf.DUMMYFUNCTION("""COMPUTED_VALUE"""),0.35)</f>
        <v>0.35</v>
      </c>
    </row>
    <row r="13589">
      <c r="A13589" s="10" t="s">
        <v>15028</v>
      </c>
      <c r="B13589" s="7" t="str">
        <f>IFERROR(__xludf.DUMMYFUNCTION("SPLIT(A13589,"" "")"),"CN(Cc1ccc(N(C)C)cn1)Cc1cccnc1F")</f>
        <v>CN(Cc1ccc(N(C)C)cn1)Cc1cccnc1F</v>
      </c>
      <c r="C13589" s="7">
        <f>IFERROR(__xludf.DUMMYFUNCTION("""COMPUTED_VALUE"""),7.7532487)</f>
        <v>7.7532487</v>
      </c>
      <c r="D13589" s="7">
        <f>IFERROR(__xludf.DUMMYFUNCTION("""COMPUTED_VALUE"""),0.422222222222222)</f>
        <v>0.4222222222</v>
      </c>
    </row>
    <row r="13590">
      <c r="A13590" s="10" t="s">
        <v>15029</v>
      </c>
      <c r="B13590" s="7" t="str">
        <f>IFERROR(__xludf.DUMMYFUNCTION("SPLIT(A13590,"" "")"),"Cc1cccnc1CN(C)CC1=CCC(N(C)Cc2ncccc2N)=CN1")</f>
        <v>Cc1cccnc1CN(C)CC1=CCC(N(C)Cc2ncccc2N)=CN1</v>
      </c>
      <c r="C13590" s="7">
        <f>IFERROR(__xludf.DUMMYFUNCTION("""COMPUTED_VALUE"""),7.7532477)</f>
        <v>7.7532477</v>
      </c>
      <c r="D13590" s="7">
        <f>IFERROR(__xludf.DUMMYFUNCTION("""COMPUTED_VALUE"""),0.262295081967213)</f>
        <v>0.262295082</v>
      </c>
    </row>
    <row r="13591">
      <c r="A13591" s="10" t="s">
        <v>15030</v>
      </c>
      <c r="B13591" s="7" t="str">
        <f>IFERROR(__xludf.DUMMYFUNCTION("SPLIT(A13591,"" "")"),"CN(Cc1cccc(F)n1)Cc1ncccc1N(C)C")</f>
        <v>CN(Cc1cccc(F)n1)Cc1ncccc1N(C)C</v>
      </c>
      <c r="C13591" s="7">
        <f>IFERROR(__xludf.DUMMYFUNCTION("""COMPUTED_VALUE"""),7.7532387)</f>
        <v>7.7532387</v>
      </c>
      <c r="D13591" s="7">
        <f>IFERROR(__xludf.DUMMYFUNCTION("""COMPUTED_VALUE"""),0.456521739130434)</f>
        <v>0.4565217391</v>
      </c>
    </row>
    <row r="13592">
      <c r="A13592" s="10" t="s">
        <v>15031</v>
      </c>
      <c r="B13592" s="7" t="str">
        <f>IFERROR(__xludf.DUMMYFUNCTION("SPLIT(A13592,"" "")"),"Cc1cccnc1CN(C)CC1=CCC=C(N(C)Cc2ccccn2)N1")</f>
        <v>Cc1cccnc1CN(C)CC1=CCC=C(N(C)Cc2ccccn2)N1</v>
      </c>
      <c r="C13592" s="7">
        <f>IFERROR(__xludf.DUMMYFUNCTION("""COMPUTED_VALUE"""),7.753232)</f>
        <v>7.753232</v>
      </c>
      <c r="D13592" s="7">
        <f>IFERROR(__xludf.DUMMYFUNCTION("""COMPUTED_VALUE"""),0.389830508474576)</f>
        <v>0.3898305085</v>
      </c>
    </row>
    <row r="13593">
      <c r="A13593" s="10" t="s">
        <v>15032</v>
      </c>
      <c r="B13593" s="7" t="str">
        <f>IFERROR(__xludf.DUMMYFUNCTION("SPLIT(A13593,"" "")"),"Cc1cnc(CN(C)c2ccc(C)c(C)c2-c2cc(CN(C)C3CCC(N(C)Cc4ccon4)CC3)ccn2)c(C)c1")</f>
        <v>Cc1cnc(CN(C)c2ccc(C)c(C)c2-c2cc(CN(C)C3CCC(N(C)Cc4ccon4)CC3)ccn2)c(C)c1</v>
      </c>
      <c r="C13593" s="7">
        <f>IFERROR(__xludf.DUMMYFUNCTION("""COMPUTED_VALUE"""),7.7532244)</f>
        <v>7.7532244</v>
      </c>
      <c r="D13593" s="7">
        <f>IFERROR(__xludf.DUMMYFUNCTION("""COMPUTED_VALUE"""),0.283582089552238)</f>
        <v>0.2835820896</v>
      </c>
    </row>
    <row r="13594">
      <c r="A13594" s="10" t="s">
        <v>15033</v>
      </c>
      <c r="B13594" s="7" t="str">
        <f>IFERROR(__xludf.DUMMYFUNCTION("SPLIT(A13594,"" "")"),"Cc1cccnc1CN(C)C1=CCC=C(CN(C)Cc2ccccn2)N1")</f>
        <v>Cc1cccnc1CN(C)C1=CCC=C(CN(C)Cc2ccccn2)N1</v>
      </c>
      <c r="C13594" s="7">
        <f>IFERROR(__xludf.DUMMYFUNCTION("""COMPUTED_VALUE"""),7.7532244)</f>
        <v>7.7532244</v>
      </c>
      <c r="D13594" s="7">
        <f>IFERROR(__xludf.DUMMYFUNCTION("""COMPUTED_VALUE"""),0.392857142857142)</f>
        <v>0.3928571429</v>
      </c>
    </row>
    <row r="13595">
      <c r="A13595" s="10" t="s">
        <v>15034</v>
      </c>
      <c r="B13595" s="7" t="str">
        <f>IFERROR(__xludf.DUMMYFUNCTION("SPLIT(A13595,"" "")"),"CC1=C(C)C(C)C(N(C)Cc2cc(-c3cccc(N=Cc4ccccn4)c3)ccn2)CC1")</f>
        <v>CC1=C(C)C(C)C(N(C)Cc2cc(-c3cccc(N=Cc4ccccn4)c3)ccn2)CC1</v>
      </c>
      <c r="C13595" s="7">
        <f>IFERROR(__xludf.DUMMYFUNCTION("""COMPUTED_VALUE"""),7.7532086)</f>
        <v>7.7532086</v>
      </c>
      <c r="D13595" s="7">
        <f>IFERROR(__xludf.DUMMYFUNCTION("""COMPUTED_VALUE"""),0.369230769230769)</f>
        <v>0.3692307692</v>
      </c>
    </row>
    <row r="13596">
      <c r="A13596" s="10" t="s">
        <v>15035</v>
      </c>
      <c r="B13596" s="7" t="str">
        <f>IFERROR(__xludf.DUMMYFUNCTION("SPLIT(A13596,"" "")"),"C=Nc1ccccc1-c1ccnc(CN(Cc2ccnc(CNCC)c2)Cc2ccccn2)c1")</f>
        <v>C=Nc1ccccc1-c1ccnc(CN(Cc2ccnc(CNCC)c2)Cc2ccccn2)c1</v>
      </c>
      <c r="C13596" s="7">
        <f>IFERROR(__xludf.DUMMYFUNCTION("""COMPUTED_VALUE"""),7.7532067)</f>
        <v>7.7532067</v>
      </c>
      <c r="D13596" s="7">
        <f>IFERROR(__xludf.DUMMYFUNCTION("""COMPUTED_VALUE"""),0.384615384615384)</f>
        <v>0.3846153846</v>
      </c>
    </row>
    <row r="13597">
      <c r="A13597" s="10" t="s">
        <v>15036</v>
      </c>
      <c r="B13597" s="7" t="str">
        <f>IFERROR(__xludf.DUMMYFUNCTION("SPLIT(A13597,"" "")"),"COC(=O)c1cccc(CN(Cc2cc(C(C)(C)C)ccn2)Cc2cc(C(C)(C)C)ccn2)n1")</f>
        <v>COC(=O)c1cccc(CN(Cc2cc(C(C)(C)C)ccn2)Cc2cc(C(C)(C)C)ccn2)n1</v>
      </c>
      <c r="C13597" s="7">
        <f>IFERROR(__xludf.DUMMYFUNCTION("""COMPUTED_VALUE"""),7.753204)</f>
        <v>7.753204</v>
      </c>
      <c r="D13597" s="7">
        <f>IFERROR(__xludf.DUMMYFUNCTION("""COMPUTED_VALUE"""),0.377049180327868)</f>
        <v>0.3770491803</v>
      </c>
    </row>
    <row r="13598">
      <c r="A13598" s="10" t="s">
        <v>15037</v>
      </c>
      <c r="B13598" s="7" t="str">
        <f>IFERROR(__xludf.DUMMYFUNCTION("SPLIT(A13598,"" "")"),"Cc1nc(CN(C)C2=CCC=C(CN(C)CC(C)(C)C)N2)c(C)c(C)c1C")</f>
        <v>Cc1nc(CN(C)C2=CCC=C(CN(C)CC(C)(C)C)N2)c(C)c(C)c1C</v>
      </c>
      <c r="C13598" s="7">
        <f>IFERROR(__xludf.DUMMYFUNCTION("""COMPUTED_VALUE"""),7.753194)</f>
        <v>7.753194</v>
      </c>
      <c r="D13598" s="7">
        <f>IFERROR(__xludf.DUMMYFUNCTION("""COMPUTED_VALUE"""),0.2)</f>
        <v>0.2</v>
      </c>
    </row>
    <row r="13599">
      <c r="A13599" s="10" t="s">
        <v>15038</v>
      </c>
      <c r="B13599" s="7" t="str">
        <f>IFERROR(__xludf.DUMMYFUNCTION("SPLIT(A13599,"" "")"),"Cc1cnc(C)c(CN(C)Cc2ccc(N(C)C3C=CC=CN3)cn2)c1")</f>
        <v>Cc1cnc(C)c(CN(C)Cc2ccc(N(C)C3C=CC=CN3)cn2)c1</v>
      </c>
      <c r="C13599" s="7">
        <f>IFERROR(__xludf.DUMMYFUNCTION("""COMPUTED_VALUE"""),7.7531934)</f>
        <v>7.7531934</v>
      </c>
      <c r="D13599" s="7">
        <f>IFERROR(__xludf.DUMMYFUNCTION("""COMPUTED_VALUE"""),0.37037037037037)</f>
        <v>0.3703703704</v>
      </c>
    </row>
    <row r="13600">
      <c r="A13600" s="10" t="s">
        <v>15039</v>
      </c>
      <c r="B13600" s="7" t="str">
        <f>IFERROR(__xludf.DUMMYFUNCTION("SPLIT(A13600,"" "")"),"Cc1cc(C)c(CN(C)C2=C(CN(C)Cc3nc(C)c(C)c(C)c3C)NC=CC2)cn1")</f>
        <v>Cc1cc(C)c(CN(C)C2=C(CN(C)Cc3nc(C)c(C)c(C)c3C)NC=CC2)cn1</v>
      </c>
      <c r="C13600" s="7">
        <f>IFERROR(__xludf.DUMMYFUNCTION("""COMPUTED_VALUE"""),7.7531934)</f>
        <v>7.7531934</v>
      </c>
      <c r="D13600" s="7">
        <f>IFERROR(__xludf.DUMMYFUNCTION("""COMPUTED_VALUE"""),0.184615384615384)</f>
        <v>0.1846153846</v>
      </c>
    </row>
    <row r="13601">
      <c r="A13601" s="10" t="s">
        <v>15040</v>
      </c>
      <c r="B13601" s="7" t="str">
        <f>IFERROR(__xludf.DUMMYFUNCTION("SPLIT(A13601,"" "")"),"Cc1cncc(CN(C)Cc2ncccc2N(C)C)c1")</f>
        <v>Cc1cncc(CN(C)Cc2ncccc2N(C)C)c1</v>
      </c>
      <c r="C13601" s="7">
        <f>IFERROR(__xludf.DUMMYFUNCTION("""COMPUTED_VALUE"""),7.7531886)</f>
        <v>7.7531886</v>
      </c>
      <c r="D13601" s="7">
        <f>IFERROR(__xludf.DUMMYFUNCTION("""COMPUTED_VALUE"""),0.3)</f>
        <v>0.3</v>
      </c>
    </row>
    <row r="13602">
      <c r="A13602" s="10" t="s">
        <v>15041</v>
      </c>
      <c r="B13602" s="7" t="str">
        <f>IFERROR(__xludf.DUMMYFUNCTION("SPLIT(A13602,"" "")"),"CC1(c2ccccn2)C=CC=C(NCc2ccccn2)N1")</f>
        <v>CC1(c2ccccn2)C=CC=C(NCc2ccccn2)N1</v>
      </c>
      <c r="C13602" s="7">
        <f>IFERROR(__xludf.DUMMYFUNCTION("""COMPUTED_VALUE"""),7.7531815)</f>
        <v>7.7531815</v>
      </c>
      <c r="D13602" s="7">
        <f>IFERROR(__xludf.DUMMYFUNCTION("""COMPUTED_VALUE"""),0.377777777777777)</f>
        <v>0.3777777778</v>
      </c>
    </row>
    <row r="13603">
      <c r="A13603" s="10" t="s">
        <v>15042</v>
      </c>
      <c r="B13603" s="7" t="str">
        <f>IFERROR(__xludf.DUMMYFUNCTION("SPLIT(A13603,"" "")"),"Cc1cccnc1N(Cc1ccccn1)CN(C)Cc1ncc(C)c(C)c1C")</f>
        <v>Cc1cccnc1N(Cc1ccccn1)CN(C)Cc1ncc(C)c(C)c1C</v>
      </c>
      <c r="C13603" s="7">
        <f>IFERROR(__xludf.DUMMYFUNCTION("""COMPUTED_VALUE"""),7.753178)</f>
        <v>7.753178</v>
      </c>
      <c r="D13603" s="7">
        <f>IFERROR(__xludf.DUMMYFUNCTION("""COMPUTED_VALUE"""),0.372549019607843)</f>
        <v>0.3725490196</v>
      </c>
    </row>
    <row r="13604">
      <c r="A13604" s="10" t="s">
        <v>15043</v>
      </c>
      <c r="B13604" s="7" t="str">
        <f>IFERROR(__xludf.DUMMYFUNCTION("SPLIT(A13604,"" "")"),"C1=CNC(SCc2ccccn2)C(SCc2ccccn2)=C1")</f>
        <v>C1=CNC(SCc2ccccn2)C(SCc2ccccn2)=C1</v>
      </c>
      <c r="C13604" s="7">
        <f>IFERROR(__xludf.DUMMYFUNCTION("""COMPUTED_VALUE"""),7.7531767)</f>
        <v>7.7531767</v>
      </c>
      <c r="D13604" s="7">
        <f>IFERROR(__xludf.DUMMYFUNCTION("""COMPUTED_VALUE"""),0.404761904761904)</f>
        <v>0.4047619048</v>
      </c>
    </row>
    <row r="13605">
      <c r="A13605" s="10" t="s">
        <v>15044</v>
      </c>
      <c r="B13605" s="7" t="str">
        <f>IFERROR(__xludf.DUMMYFUNCTION("SPLIT(A13605,"" "")"),"Cc1ccc(C(C)(C)c2cc(CN(Cc3ccccn3)Cc3ccccn3)ccn2)c(C)c1C")</f>
        <v>Cc1ccc(C(C)(C)c2cc(CN(Cc3ccccn3)Cc3ccccn3)ccn2)c(C)c1C</v>
      </c>
      <c r="C13605" s="7">
        <f>IFERROR(__xludf.DUMMYFUNCTION("""COMPUTED_VALUE"""),7.75317)</f>
        <v>7.75317</v>
      </c>
      <c r="D13605" s="7">
        <f>IFERROR(__xludf.DUMMYFUNCTION("""COMPUTED_VALUE"""),0.444444444444444)</f>
        <v>0.4444444444</v>
      </c>
    </row>
    <row r="13606">
      <c r="A13606" s="10" t="s">
        <v>15045</v>
      </c>
      <c r="B13606" s="7" t="str">
        <f>IFERROR(__xludf.DUMMYFUNCTION("SPLIT(A13606,"" "")"),"Cc1cnc2cccc(N(C)C3CCCCC3N(Cc3ccccn3)c3ccccc3F)c2c1")</f>
        <v>Cc1cnc2cccc(N(C)C3CCCCC3N(Cc3ccccn3)c3ccccc3F)c2c1</v>
      </c>
      <c r="C13606" s="7">
        <f>IFERROR(__xludf.DUMMYFUNCTION("""COMPUTED_VALUE"""),7.753162)</f>
        <v>7.753162</v>
      </c>
      <c r="D13606" s="7">
        <f>IFERROR(__xludf.DUMMYFUNCTION("""COMPUTED_VALUE"""),0.440677966101694)</f>
        <v>0.4406779661</v>
      </c>
    </row>
    <row r="13607">
      <c r="A13607" s="10" t="s">
        <v>15046</v>
      </c>
      <c r="B13607" s="7" t="str">
        <f>IFERROR(__xludf.DUMMYFUNCTION("SPLIT(A13607,"" "")"),"Cc1cncc(CN(C)CC2=CCC=C(N(C)Cc3ncccc3C)N2)c1")</f>
        <v>Cc1cncc(CN(C)CC2=CCC=C(N(C)Cc3ncccc3C)N2)c1</v>
      </c>
      <c r="C13607" s="7">
        <f>IFERROR(__xludf.DUMMYFUNCTION("""COMPUTED_VALUE"""),7.753151)</f>
        <v>7.753151</v>
      </c>
      <c r="D13607" s="7">
        <f>IFERROR(__xludf.DUMMYFUNCTION("""COMPUTED_VALUE"""),0.242857142857142)</f>
        <v>0.2428571429</v>
      </c>
    </row>
    <row r="13608">
      <c r="A13608" s="10" t="s">
        <v>15047</v>
      </c>
      <c r="B13608" s="7" t="str">
        <f>IFERROR(__xludf.DUMMYFUNCTION("SPLIT(A13608,"" "")"),"CN1CCN(C)CCN(c2ccc3cc(C4=CCC=CN4)cnc3c2)CC1")</f>
        <v>CN1CCN(C)CCN(c2ccc3cc(C4=CCC=CN4)cnc3c2)CC1</v>
      </c>
      <c r="C13608" s="7">
        <f>IFERROR(__xludf.DUMMYFUNCTION("""COMPUTED_VALUE"""),7.7531343)</f>
        <v>7.7531343</v>
      </c>
      <c r="D13608" s="7">
        <f>IFERROR(__xludf.DUMMYFUNCTION("""COMPUTED_VALUE"""),0.24074074074074)</f>
        <v>0.2407407407</v>
      </c>
    </row>
    <row r="13609">
      <c r="A13609" s="10" t="s">
        <v>15048</v>
      </c>
      <c r="B13609" s="7" t="str">
        <f>IFERROR(__xludf.DUMMYFUNCTION("SPLIT(A13609,"" "")"),"Cc1ccc(CN(Cc2ccccn2)Cc2cccc(CNCc3cc(C(C)(c4ccccn4)c4ccccn4)ccn3)n2)nc1")</f>
        <v>Cc1ccc(CN(Cc2ccccn2)Cc2cccc(CNCc3cc(C(C)(c4ccccn4)c4ccccn4)ccn3)n2)nc1</v>
      </c>
      <c r="C13609" s="7">
        <f>IFERROR(__xludf.DUMMYFUNCTION("""COMPUTED_VALUE"""),7.753134)</f>
        <v>7.753134</v>
      </c>
      <c r="D13609" s="7">
        <f>IFERROR(__xludf.DUMMYFUNCTION("""COMPUTED_VALUE"""),0.377049180327868)</f>
        <v>0.3770491803</v>
      </c>
    </row>
    <row r="13610">
      <c r="A13610" s="10" t="s">
        <v>15049</v>
      </c>
      <c r="B13610" s="7" t="str">
        <f>IFERROR(__xludf.DUMMYFUNCTION("SPLIT(A13610,"" "")"),"Cc1ccc(CN(C)CC2=CCC=C(N(C)Cc3cccc(C)n3)N2)nc1")</f>
        <v>Cc1ccc(CN(C)CC2=CCC=C(N(C)Cc3cccc(C)n3)N2)nc1</v>
      </c>
      <c r="C13610" s="7">
        <f>IFERROR(__xludf.DUMMYFUNCTION("""COMPUTED_VALUE"""),7.753126)</f>
        <v>7.753126</v>
      </c>
      <c r="D13610" s="7">
        <f>IFERROR(__xludf.DUMMYFUNCTION("""COMPUTED_VALUE"""),0.423076923076923)</f>
        <v>0.4230769231</v>
      </c>
    </row>
    <row r="13611">
      <c r="A13611" s="10" t="s">
        <v>15050</v>
      </c>
      <c r="B13611" s="7" t="str">
        <f>IFERROR(__xludf.DUMMYFUNCTION("SPLIT(A13611,"" "")"),"CC(C)c1cccc(-c2ccc(CN(Cc3ccccn3)C3CCCCC3N(C)c3ccc4nc(CF)ccc4c3)cn2)c1")</f>
        <v>CC(C)c1cccc(-c2ccc(CN(Cc3ccccn3)C3CCCCC3N(C)c3ccc4nc(CF)ccc4c3)cn2)c1</v>
      </c>
      <c r="C13611" s="7">
        <f>IFERROR(__xludf.DUMMYFUNCTION("""COMPUTED_VALUE"""),7.75312)</f>
        <v>7.75312</v>
      </c>
      <c r="D13611" s="7">
        <f>IFERROR(__xludf.DUMMYFUNCTION("""COMPUTED_VALUE"""),0.3625)</f>
        <v>0.3625</v>
      </c>
    </row>
    <row r="13612">
      <c r="A13612" s="10" t="s">
        <v>15051</v>
      </c>
      <c r="B13612" s="7" t="str">
        <f>IFERROR(__xludf.DUMMYFUNCTION("SPLIT(A13612,"" "")"),"COC(=O)c1cccc(CN(Cc2ccccn2)C2CCCCC2N(C)c2ccc3ccc(CN(C)C)nc3c2)n1")</f>
        <v>COC(=O)c1cccc(CN(Cc2ccccn2)C2CCCCC2N(C)c2ccc3ccc(CN(C)C)nc3c2)n1</v>
      </c>
      <c r="C13612" s="7">
        <f>IFERROR(__xludf.DUMMYFUNCTION("""COMPUTED_VALUE"""),7.753118)</f>
        <v>7.753118</v>
      </c>
      <c r="D13612" s="7">
        <f>IFERROR(__xludf.DUMMYFUNCTION("""COMPUTED_VALUE"""),0.393939393939393)</f>
        <v>0.3939393939</v>
      </c>
    </row>
    <row r="13613">
      <c r="A13613" s="10" t="s">
        <v>15052</v>
      </c>
      <c r="B13613" s="7" t="str">
        <f>IFERROR(__xludf.DUMMYFUNCTION("SPLIT(A13613,"" "")"),"CC1(C)CN=C(c2cccnc2C2OC=NC2(C)C)O1")</f>
        <v>CC1(C)CN=C(c2cccnc2C2OC=NC2(C)C)O1</v>
      </c>
      <c r="C13613" s="7">
        <f>IFERROR(__xludf.DUMMYFUNCTION("""COMPUTED_VALUE"""),7.7531176)</f>
        <v>7.7531176</v>
      </c>
      <c r="D13613" s="7">
        <f>IFERROR(__xludf.DUMMYFUNCTION("""COMPUTED_VALUE"""),0.216666666666666)</f>
        <v>0.2166666667</v>
      </c>
    </row>
    <row r="13614">
      <c r="A13614" s="10" t="s">
        <v>15053</v>
      </c>
      <c r="B13614" s="7" t="str">
        <f>IFERROR(__xludf.DUMMYFUNCTION("SPLIT(A13614,"" "")"),"Cc1cc(C)c(CN(Cc2ccccn2)C2CCC(N(C)c3ccc4nccc(CN(C)C)c4c3)CC2)nc1C")</f>
        <v>Cc1cc(C)c(CN(Cc2ccccn2)C2CCC(N(C)c3ccc4nccc(CN(C)C)c4c3)CC2)nc1C</v>
      </c>
      <c r="C13614" s="7">
        <f>IFERROR(__xludf.DUMMYFUNCTION("""COMPUTED_VALUE"""),7.753115)</f>
        <v>7.753115</v>
      </c>
      <c r="D13614" s="7">
        <f>IFERROR(__xludf.DUMMYFUNCTION("""COMPUTED_VALUE"""),0.318840579710144)</f>
        <v>0.3188405797</v>
      </c>
    </row>
    <row r="13615">
      <c r="A13615" s="10" t="s">
        <v>15054</v>
      </c>
      <c r="B13615" s="7" t="str">
        <f>IFERROR(__xludf.DUMMYFUNCTION("SPLIT(A13615,"" "")"),"CCN(Cc1ccccn1)Cc1ncccc1N(C)Cc1nc(C)c(C)cc1C")</f>
        <v>CCN(Cc1ccccn1)Cc1ncccc1N(C)Cc1nc(C)c(C)cc1C</v>
      </c>
      <c r="C13615" s="7">
        <f>IFERROR(__xludf.DUMMYFUNCTION("""COMPUTED_VALUE"""),7.753108)</f>
        <v>7.753108</v>
      </c>
      <c r="D13615" s="7">
        <f>IFERROR(__xludf.DUMMYFUNCTION("""COMPUTED_VALUE"""),0.433962264150943)</f>
        <v>0.4339622642</v>
      </c>
    </row>
    <row r="13616">
      <c r="A13616" s="10" t="s">
        <v>15055</v>
      </c>
      <c r="B13616" s="7" t="str">
        <f>IFERROR(__xludf.DUMMYFUNCTION("SPLIT(A13616,"" "")"),"CN(C)Cc1ccc2cccc(N(C)CCN(C)CC(C)(C)C)c2n1")</f>
        <v>CN(C)Cc1ccc2cccc(N(C)CCN(C)CC(C)(C)C)c2n1</v>
      </c>
      <c r="C13616" s="7">
        <f>IFERROR(__xludf.DUMMYFUNCTION("""COMPUTED_VALUE"""),7.753106)</f>
        <v>7.753106</v>
      </c>
      <c r="D13616" s="7">
        <f>IFERROR(__xludf.DUMMYFUNCTION("""COMPUTED_VALUE"""),0.456521739130434)</f>
        <v>0.4565217391</v>
      </c>
    </row>
    <row r="13617">
      <c r="A13617" s="10" t="s">
        <v>15056</v>
      </c>
      <c r="B13617" s="7" t="str">
        <f>IFERROR(__xludf.DUMMYFUNCTION("SPLIT(A13617,"" "")"),"Cc1ccc2nccc(CN(C)C3CCC(N(C)Cc4ccc5cccnc5c4)CC3)c2c1")</f>
        <v>Cc1ccc2nccc(CN(C)C3CCC(N(C)Cc4ccc5cccnc5c4)CC3)c2c1</v>
      </c>
      <c r="C13617" s="7">
        <f>IFERROR(__xludf.DUMMYFUNCTION("""COMPUTED_VALUE"""),7.7531047)</f>
        <v>7.7531047</v>
      </c>
      <c r="D13617" s="7">
        <f>IFERROR(__xludf.DUMMYFUNCTION("""COMPUTED_VALUE"""),0.285714285714285)</f>
        <v>0.2857142857</v>
      </c>
    </row>
    <row r="13618">
      <c r="A13618" s="10" t="s">
        <v>15057</v>
      </c>
      <c r="B13618" s="7" t="str">
        <f>IFERROR(__xludf.DUMMYFUNCTION("SPLIT(A13618,"" "")"),"CC(C)c1cc(CN(Cc2ccccn2)Cc2ccc(N(C)C)cn2)ccn1")</f>
        <v>CC(C)c1cc(CN(Cc2ccccn2)Cc2ccc(N(C)C)cn2)ccn1</v>
      </c>
      <c r="C13618" s="7">
        <f>IFERROR(__xludf.DUMMYFUNCTION("""COMPUTED_VALUE"""),7.753102)</f>
        <v>7.753102</v>
      </c>
      <c r="D13618" s="7">
        <f>IFERROR(__xludf.DUMMYFUNCTION("""COMPUTED_VALUE"""),0.444444444444444)</f>
        <v>0.4444444444</v>
      </c>
    </row>
    <row r="13619">
      <c r="A13619" s="10" t="s">
        <v>15058</v>
      </c>
      <c r="B13619" s="7" t="str">
        <f>IFERROR(__xludf.DUMMYFUNCTION("SPLIT(A13619,"" "")"),"CN(CCN(C)c1ccc2nccc(CF)c2c1)CC(C)(C)C")</f>
        <v>CN(CCN(C)c1ccc2nccc(CF)c2c1)CC(C)(C)C</v>
      </c>
      <c r="C13619" s="7">
        <f>IFERROR(__xludf.DUMMYFUNCTION("""COMPUTED_VALUE"""),7.7531)</f>
        <v>7.7531</v>
      </c>
      <c r="D13619" s="7">
        <f>IFERROR(__xludf.DUMMYFUNCTION("""COMPUTED_VALUE"""),0.269230769230769)</f>
        <v>0.2692307692</v>
      </c>
    </row>
    <row r="13620">
      <c r="A13620" s="10" t="s">
        <v>15059</v>
      </c>
      <c r="B13620" s="7" t="str">
        <f>IFERROR(__xludf.DUMMYFUNCTION("SPLIT(A13620,"" "")"),"Cc1cncc(CN(C)C2=C(CN(Cc3ccccn3)Cc3nc(C)c(C)c(C)c3C)NC=CC2)c1")</f>
        <v>Cc1cncc(CN(C)C2=C(CN(Cc3ccccn3)Cc3nc(C)c(C)c(C)c3C)NC=CC2)c1</v>
      </c>
      <c r="C13620" s="7">
        <f>IFERROR(__xludf.DUMMYFUNCTION("""COMPUTED_VALUE"""),7.753098)</f>
        <v>7.753098</v>
      </c>
      <c r="D13620" s="7">
        <f>IFERROR(__xludf.DUMMYFUNCTION("""COMPUTED_VALUE"""),0.361111111111111)</f>
        <v>0.3611111111</v>
      </c>
    </row>
    <row r="13621">
      <c r="A13621" s="10" t="s">
        <v>15060</v>
      </c>
      <c r="B13621" s="7" t="str">
        <f>IFERROR(__xludf.DUMMYFUNCTION("SPLIT(A13621,"" "")"),"CNCC1=CCC=C(N(C)Cc2ncc(C)cc2C)N1")</f>
        <v>CNCC1=CCC=C(N(C)Cc2ncc(C)cc2C)N1</v>
      </c>
      <c r="C13621" s="7">
        <f>IFERROR(__xludf.DUMMYFUNCTION("""COMPUTED_VALUE"""),7.7530966)</f>
        <v>7.7530966</v>
      </c>
      <c r="D13621" s="7">
        <f>IFERROR(__xludf.DUMMYFUNCTION("""COMPUTED_VALUE"""),0.254237288135593)</f>
        <v>0.2542372881</v>
      </c>
    </row>
    <row r="13622">
      <c r="A13622" s="10" t="s">
        <v>15061</v>
      </c>
      <c r="B13622" s="7" t="str">
        <f>IFERROR(__xludf.DUMMYFUNCTION("SPLIT(A13622,"" "")"),"CCCN(CC1=CCC(N(C)Cc2ccccn2)=CN1)c1cc(C)cc(N)c1")</f>
        <v>CCCN(CC1=CCC(N(C)Cc2ccccn2)=CN1)c1cc(C)cc(N)c1</v>
      </c>
      <c r="C13622" s="7">
        <f>IFERROR(__xludf.DUMMYFUNCTION("""COMPUTED_VALUE"""),7.7530875)</f>
        <v>7.7530875</v>
      </c>
      <c r="D13622" s="7">
        <f>IFERROR(__xludf.DUMMYFUNCTION("""COMPUTED_VALUE"""),0.34375)</f>
        <v>0.34375</v>
      </c>
    </row>
    <row r="13623">
      <c r="A13623" s="10" t="s">
        <v>15062</v>
      </c>
      <c r="B13623" s="7" t="str">
        <f>IFERROR(__xludf.DUMMYFUNCTION("SPLIT(A13623,"" "")"),"Cc1ccc(CN(C)C2CCC(N(C)Cc3cc(-c4ccc5ncccc5c4)ccn3)CC2)nc1C")</f>
        <v>Cc1ccc(CN(C)C2CCC(N(C)Cc3cc(-c4ccc5ncccc5c4)ccn3)CC2)nc1C</v>
      </c>
      <c r="C13623" s="7">
        <f>IFERROR(__xludf.DUMMYFUNCTION("""COMPUTED_VALUE"""),7.7530828)</f>
        <v>7.7530828</v>
      </c>
      <c r="D13623" s="7">
        <f>IFERROR(__xludf.DUMMYFUNCTION("""COMPUTED_VALUE"""),0.333333333333333)</f>
        <v>0.3333333333</v>
      </c>
    </row>
    <row r="13624">
      <c r="A13624" s="10" t="s">
        <v>15063</v>
      </c>
      <c r="B13624" s="7" t="str">
        <f>IFERROR(__xludf.DUMMYFUNCTION("SPLIT(A13624,"" "")"),"Cc1ccc(CN(C)C2=CCC=C(CN(C)Cc3ncccc3C)N2)nc1")</f>
        <v>Cc1ccc(CN(C)C2=CCC=C(CN(C)Cc3ncccc3C)N2)nc1</v>
      </c>
      <c r="C13624" s="7">
        <f>IFERROR(__xludf.DUMMYFUNCTION("""COMPUTED_VALUE"""),7.753079)</f>
        <v>7.753079</v>
      </c>
      <c r="D13624" s="7">
        <f>IFERROR(__xludf.DUMMYFUNCTION("""COMPUTED_VALUE"""),0.388888888888888)</f>
        <v>0.3888888889</v>
      </c>
    </row>
    <row r="13625">
      <c r="A13625" s="10" t="s">
        <v>15064</v>
      </c>
      <c r="B13625" s="7" t="str">
        <f>IFERROR(__xludf.DUMMYFUNCTION("SPLIT(A13625,"" "")"),"Cc1cc(C)c(C)c(CN(Cc2ncc(C)c(C)c2C)C2CCCCC2N(C)c2ccc3cc(CN(C)C)cnc3c2)n1")</f>
        <v>Cc1cc(C)c(C)c(CN(Cc2ncc(C)c(C)c2C)C2CCCCC2N(C)c2ccc3cc(CN(C)C)cnc3c2)n1</v>
      </c>
      <c r="C13625" s="7">
        <f>IFERROR(__xludf.DUMMYFUNCTION("""COMPUTED_VALUE"""),7.753071)</f>
        <v>7.753071</v>
      </c>
      <c r="D13625" s="7">
        <f>IFERROR(__xludf.DUMMYFUNCTION("""COMPUTED_VALUE"""),0.285714285714285)</f>
        <v>0.2857142857</v>
      </c>
    </row>
    <row r="13626">
      <c r="A13626" s="10" t="s">
        <v>15065</v>
      </c>
      <c r="B13626" s="7" t="str">
        <f>IFERROR(__xludf.DUMMYFUNCTION("SPLIT(A13626,"" "")"),"C1=CNC(c2ccccc2NCc2ccccn2)C=C1")</f>
        <v>C1=CNC(c2ccccc2NCc2ccccn2)C=C1</v>
      </c>
      <c r="C13626" s="7">
        <f>IFERROR(__xludf.DUMMYFUNCTION("""COMPUTED_VALUE"""),7.753064)</f>
        <v>7.753064</v>
      </c>
      <c r="D13626" s="7">
        <f>IFERROR(__xludf.DUMMYFUNCTION("""COMPUTED_VALUE"""),0.450980392156862)</f>
        <v>0.4509803922</v>
      </c>
    </row>
    <row r="13627">
      <c r="A13627" s="10" t="s">
        <v>15066</v>
      </c>
      <c r="B13627" s="7" t="str">
        <f>IFERROR(__xludf.DUMMYFUNCTION("SPLIT(A13627,"" "")"),"CN(CCN)CCN(C)c1ccc2cccnc2c1")</f>
        <v>CN(CCN)CCN(C)c1ccc2cccnc2c1</v>
      </c>
      <c r="C13627" s="7">
        <f>IFERROR(__xludf.DUMMYFUNCTION("""COMPUTED_VALUE"""),7.7530637)</f>
        <v>7.7530637</v>
      </c>
      <c r="D13627" s="7">
        <f>IFERROR(__xludf.DUMMYFUNCTION("""COMPUTED_VALUE"""),0.391304347826087)</f>
        <v>0.3913043478</v>
      </c>
    </row>
    <row r="13628">
      <c r="A13628" s="10" t="s">
        <v>15067</v>
      </c>
      <c r="B13628" s="7" t="str">
        <f>IFERROR(__xludf.DUMMYFUNCTION("SPLIT(A13628,"" "")"),"Cc1nc(C)c(CN(C)Cc2ccc([Si](C(C)C)(C(C)C)C(C)C)nc2)c(C)c1C")</f>
        <v>Cc1nc(C)c(CN(C)Cc2ccc([Si](C(C)C)(C(C)C)C(C)C)nc2)c(C)c1C</v>
      </c>
      <c r="C13628" s="7">
        <f>IFERROR(__xludf.DUMMYFUNCTION("""COMPUTED_VALUE"""),7.7530613)</f>
        <v>7.7530613</v>
      </c>
      <c r="D13628" s="7">
        <f>IFERROR(__xludf.DUMMYFUNCTION("""COMPUTED_VALUE"""),0.288461538461538)</f>
        <v>0.2884615385</v>
      </c>
    </row>
    <row r="13629">
      <c r="A13629" s="10" t="s">
        <v>15068</v>
      </c>
      <c r="B13629" s="7" t="str">
        <f>IFERROR(__xludf.DUMMYFUNCTION("SPLIT(A13629,"" "")"),"Cc1ccnc(CN(C)CC2=CCC=C(N(C)Cc3cccc(C)n3)N2)c1")</f>
        <v>Cc1ccnc(CN(C)CC2=CCC=C(N(C)Cc3cccc(C)n3)N2)c1</v>
      </c>
      <c r="C13629" s="7">
        <f>IFERROR(__xludf.DUMMYFUNCTION("""COMPUTED_VALUE"""),7.7530584)</f>
        <v>7.7530584</v>
      </c>
      <c r="D13629" s="7">
        <f>IFERROR(__xludf.DUMMYFUNCTION("""COMPUTED_VALUE"""),0.415094339622641)</f>
        <v>0.4150943396</v>
      </c>
    </row>
    <row r="13630">
      <c r="A13630" s="10" t="s">
        <v>15069</v>
      </c>
      <c r="B13630" s="7" t="str">
        <f>IFERROR(__xludf.DUMMYFUNCTION("SPLIT(A13630,"" "")"),"CCNC1=CC(c2ccc(CN(Cc3ccccn3)Cc3ccccn3)cn2)C(C)c2ncccc21")</f>
        <v>CCNC1=CC(c2ccc(CN(Cc3ccccn3)Cc3ccccn3)cn2)C(C)c2ncccc21</v>
      </c>
      <c r="C13630" s="7">
        <f>IFERROR(__xludf.DUMMYFUNCTION("""COMPUTED_VALUE"""),7.753051)</f>
        <v>7.753051</v>
      </c>
      <c r="D13630" s="7">
        <f>IFERROR(__xludf.DUMMYFUNCTION("""COMPUTED_VALUE"""),0.37037037037037)</f>
        <v>0.3703703704</v>
      </c>
    </row>
    <row r="13631">
      <c r="A13631" s="10" t="s">
        <v>15070</v>
      </c>
      <c r="B13631" s="7" t="str">
        <f>IFERROR(__xludf.DUMMYFUNCTION("SPLIT(A13631,"" "")"),"Cc1cc(C)c(CN(Cc2ccccn2)Cc2cc(C)c(C)c(C)n2)nc1C")</f>
        <v>Cc1cc(C)c(CN(Cc2ccccn2)Cc2cc(C)c(C)c(C)n2)nc1C</v>
      </c>
      <c r="C13631" s="7">
        <f>IFERROR(__xludf.DUMMYFUNCTION("""COMPUTED_VALUE"""),7.753042)</f>
        <v>7.753042</v>
      </c>
      <c r="D13631" s="7">
        <f>IFERROR(__xludf.DUMMYFUNCTION("""COMPUTED_VALUE"""),0.48780487804878)</f>
        <v>0.487804878</v>
      </c>
    </row>
    <row r="13632">
      <c r="A13632" s="10" t="s">
        <v>15071</v>
      </c>
      <c r="B13632" s="7" t="str">
        <f>IFERROR(__xludf.DUMMYFUNCTION("SPLIT(A13632,"" "")"),"Cc1ccnc(CN(Cc2ccnc(CN(C)Cc3nc(C)ccc3C)c2)C2CCC(N(C)Cc3cc(-c4ccc5ncccc5c4)ccn3)CC2)c1")</f>
        <v>Cc1ccnc(CN(Cc2ccnc(CN(C)Cc3nc(C)ccc3C)c2)C2CCC(N(C)Cc3cc(-c4ccc5ncccc5c4)ccn3)CC2)c1</v>
      </c>
      <c r="C13632" s="7">
        <f>IFERROR(__xludf.DUMMYFUNCTION("""COMPUTED_VALUE"""),7.7530417)</f>
        <v>7.7530417</v>
      </c>
      <c r="D13632" s="7">
        <f>IFERROR(__xludf.DUMMYFUNCTION("""COMPUTED_VALUE"""),0.259740259740259)</f>
        <v>0.2597402597</v>
      </c>
    </row>
    <row r="13633">
      <c r="A13633" s="10" t="s">
        <v>15072</v>
      </c>
      <c r="B13633" s="7" t="str">
        <f>IFERROR(__xludf.DUMMYFUNCTION("SPLIT(A13633,"" "")"),"CCN(CCNCc1ccccn1)c1cccc2ncccc12")</f>
        <v>CCN(CCNCc1ccccn1)c1cccc2ncccc12</v>
      </c>
      <c r="C13633" s="7">
        <f>IFERROR(__xludf.DUMMYFUNCTION("""COMPUTED_VALUE"""),7.7530255)</f>
        <v>7.7530255</v>
      </c>
      <c r="D13633" s="7">
        <f>IFERROR(__xludf.DUMMYFUNCTION("""COMPUTED_VALUE"""),0.477272727272727)</f>
        <v>0.4772727273</v>
      </c>
    </row>
    <row r="13634">
      <c r="A13634" s="10" t="s">
        <v>15073</v>
      </c>
      <c r="B13634" s="7" t="str">
        <f>IFERROR(__xludf.DUMMYFUNCTION("SPLIT(A13634,"" "")"),"CC1(C)COC(c2ncccc2CN(Cc2ccccn2)Cc2ncccc2C(C)(C)C)=N1")</f>
        <v>CC1(C)COC(c2ncccc2CN(Cc2ccccn2)Cc2ncccc2C(C)(C)C)=N1</v>
      </c>
      <c r="C13634" s="7">
        <f>IFERROR(__xludf.DUMMYFUNCTION("""COMPUTED_VALUE"""),7.7530246)</f>
        <v>7.7530246</v>
      </c>
      <c r="D13634" s="7">
        <f>IFERROR(__xludf.DUMMYFUNCTION("""COMPUTED_VALUE"""),0.377358490566037)</f>
        <v>0.3773584906</v>
      </c>
    </row>
    <row r="13635">
      <c r="A13635" s="10" t="s">
        <v>15074</v>
      </c>
      <c r="B13635" s="7" t="str">
        <f>IFERROR(__xludf.DUMMYFUNCTION("SPLIT(A13635,"" "")"),"CC1=CC(N(C)CC2=CC(N(C)c3ccc4nccc(C)c4c3)C=CN2)C(C)CC1C")</f>
        <v>CC1=CC(N(C)CC2=CC(N(C)c3ccc4nccc(C)c4c3)C=CN2)C(C)CC1C</v>
      </c>
      <c r="C13635" s="7">
        <f>IFERROR(__xludf.DUMMYFUNCTION("""COMPUTED_VALUE"""),7.753021)</f>
        <v>7.753021</v>
      </c>
      <c r="D13635" s="7">
        <f>IFERROR(__xludf.DUMMYFUNCTION("""COMPUTED_VALUE"""),0.277777777777777)</f>
        <v>0.2777777778</v>
      </c>
    </row>
    <row r="13636">
      <c r="A13636" s="10" t="s">
        <v>15075</v>
      </c>
      <c r="B13636" s="7" t="str">
        <f>IFERROR(__xludf.DUMMYFUNCTION("SPLIT(A13636,"" "")"),"CN(CCN(C)C(C)(C)C)c1ccc2cccnc2c1")</f>
        <v>CN(CCN(C)C(C)(C)C)c1ccc2cccnc2c1</v>
      </c>
      <c r="C13636" s="7">
        <f>IFERROR(__xludf.DUMMYFUNCTION("""COMPUTED_VALUE"""),7.7530203)</f>
        <v>7.7530203</v>
      </c>
      <c r="D13636" s="7">
        <f>IFERROR(__xludf.DUMMYFUNCTION("""COMPUTED_VALUE"""),0.4)</f>
        <v>0.4</v>
      </c>
    </row>
    <row r="13637">
      <c r="A13637" s="10" t="s">
        <v>15076</v>
      </c>
      <c r="B13637" s="7" t="str">
        <f>IFERROR(__xludf.DUMMYFUNCTION("SPLIT(A13637,"" "")"),"CC(N)(c1cccc(NCc2ccccn2)c1)c1ccccn1")</f>
        <v>CC(N)(c1cccc(NCc2ccccn2)c1)c1ccccn1</v>
      </c>
      <c r="C13637" s="7">
        <f>IFERROR(__xludf.DUMMYFUNCTION("""COMPUTED_VALUE"""),7.7530155)</f>
        <v>7.7530155</v>
      </c>
      <c r="D13637" s="7">
        <f>IFERROR(__xludf.DUMMYFUNCTION("""COMPUTED_VALUE"""),0.377777777777777)</f>
        <v>0.3777777778</v>
      </c>
    </row>
    <row r="13638">
      <c r="A13638" s="10" t="s">
        <v>15077</v>
      </c>
      <c r="B13638" s="7" t="str">
        <f>IFERROR(__xludf.DUMMYFUNCTION("SPLIT(A13638,"" "")"),"Cc1ccc(CN(C)CC2=C(N(C)Cc3nc(C)c(C)c(C)c3C)CC=CN2)nc1C")</f>
        <v>Cc1ccc(CN(C)CC2=C(N(C)Cc3nc(C)c(C)c(C)c3C)CC=CN2)nc1C</v>
      </c>
      <c r="C13638" s="7">
        <f>IFERROR(__xludf.DUMMYFUNCTION("""COMPUTED_VALUE"""),7.75301)</f>
        <v>7.75301</v>
      </c>
      <c r="D13638" s="7">
        <f>IFERROR(__xludf.DUMMYFUNCTION("""COMPUTED_VALUE"""),0.254237288135593)</f>
        <v>0.2542372881</v>
      </c>
    </row>
    <row r="13639">
      <c r="A13639" s="10" t="s">
        <v>15078</v>
      </c>
      <c r="B13639" s="7" t="str">
        <f>IFERROR(__xludf.DUMMYFUNCTION("SPLIT(A13639,"" "")"),"Cc1cc(C)c(CN(C)Cc2nc(C)c(C)cc2C)cn1")</f>
        <v>Cc1cc(C)c(CN(C)Cc2nc(C)c(C)cc2C)cn1</v>
      </c>
      <c r="C13639" s="7">
        <f>IFERROR(__xludf.DUMMYFUNCTION("""COMPUTED_VALUE"""),7.753009)</f>
        <v>7.753009</v>
      </c>
      <c r="D13639" s="7">
        <f>IFERROR(__xludf.DUMMYFUNCTION("""COMPUTED_VALUE"""),0.26)</f>
        <v>0.26</v>
      </c>
    </row>
    <row r="13640">
      <c r="A13640" s="10" t="s">
        <v>15079</v>
      </c>
      <c r="B13640" s="7" t="str">
        <f>IFERROR(__xludf.DUMMYFUNCTION("SPLIT(A13640,"" "")"),"CC(c1ccnc(C2CCC2(C)C)c1)C1(C)COC(c2cccc(C3=NC(C)(C)CO3)n2)=N1")</f>
        <v>CC(c1ccnc(C2CCC2(C)C)c1)C1(C)COC(c2cccc(C3=NC(C)(C)CO3)n2)=N1</v>
      </c>
      <c r="C13640" s="7">
        <f>IFERROR(__xludf.DUMMYFUNCTION("""COMPUTED_VALUE"""),7.7530046)</f>
        <v>7.7530046</v>
      </c>
      <c r="D13640" s="7">
        <f>IFERROR(__xludf.DUMMYFUNCTION("""COMPUTED_VALUE"""),0.490566037735849)</f>
        <v>0.4905660377</v>
      </c>
    </row>
    <row r="13641">
      <c r="A13641" s="10" t="s">
        <v>15080</v>
      </c>
      <c r="B13641" s="7" t="str">
        <f>IFERROR(__xludf.DUMMYFUNCTION("SPLIT(A13641,"" "")"),"Cc1cccnc1CN(C)c1ccc(-c2cccc(CN(Cc3ccccn3)Cc3cccc(-c4ccc5c(c4)OCCOCCOCCOCCOCCO5)n3)n2)c2ncccc12")</f>
        <v>Cc1cccnc1CN(C)c1ccc(-c2cccc(CN(Cc3ccccn3)Cc3cccc(-c4ccc5c(c4)OCCOCCOCCOCCOCCO5)n3)n2)c2ncccc12</v>
      </c>
      <c r="C13641" s="7">
        <f>IFERROR(__xludf.DUMMYFUNCTION("""COMPUTED_VALUE"""),7.7530046)</f>
        <v>7.7530046</v>
      </c>
      <c r="D13641" s="7">
        <f>IFERROR(__xludf.DUMMYFUNCTION("""COMPUTED_VALUE"""),0.392405063291139)</f>
        <v>0.3924050633</v>
      </c>
    </row>
    <row r="13642">
      <c r="A13642" s="10" t="s">
        <v>15081</v>
      </c>
      <c r="B13642" s="7" t="str">
        <f>IFERROR(__xludf.DUMMYFUNCTION("SPLIT(A13642,"" "")"),"Cc1cccc(CN(C)C2=CCC=C(CN(C)Cc3ccncc3C)N2)n1")</f>
        <v>Cc1cccc(CN(C)C2=CCC=C(CN(C)Cc3ccncc3C)N2)n1</v>
      </c>
      <c r="C13642" s="7">
        <f>IFERROR(__xludf.DUMMYFUNCTION("""COMPUTED_VALUE"""),7.7529874)</f>
        <v>7.7529874</v>
      </c>
      <c r="D13642" s="7">
        <f>IFERROR(__xludf.DUMMYFUNCTION("""COMPUTED_VALUE"""),0.381818181818181)</f>
        <v>0.3818181818</v>
      </c>
    </row>
    <row r="13643">
      <c r="A13643" s="10" t="s">
        <v>15082</v>
      </c>
      <c r="B13643" s="7" t="str">
        <f>IFERROR(__xludf.DUMMYFUNCTION("SPLIT(A13643,"" "")"),"CN(CCN(C)C(C)(C)C)c1ccc2ncccc2c1")</f>
        <v>CN(CCN(C)C(C)(C)C)c1ccc2ncccc2c1</v>
      </c>
      <c r="C13643" s="7">
        <f>IFERROR(__xludf.DUMMYFUNCTION("""COMPUTED_VALUE"""),7.7529855)</f>
        <v>7.7529855</v>
      </c>
      <c r="D13643" s="7">
        <f>IFERROR(__xludf.DUMMYFUNCTION("""COMPUTED_VALUE"""),0.409090909090909)</f>
        <v>0.4090909091</v>
      </c>
    </row>
    <row r="13644">
      <c r="A13644" s="10" t="s">
        <v>15083</v>
      </c>
      <c r="B13644" s="7" t="str">
        <f>IFERROR(__xludf.DUMMYFUNCTION("SPLIT(A13644,"" "")"),"CN(C)c1cncc(CN(Cc2cccc(F)n2)Cc2cccc(F)n2)c1")</f>
        <v>CN(C)c1cncc(CN(Cc2cccc(F)n2)Cc2cccc(F)n2)c1</v>
      </c>
      <c r="C13644" s="7">
        <f>IFERROR(__xludf.DUMMYFUNCTION("""COMPUTED_VALUE"""),7.752976)</f>
        <v>7.752976</v>
      </c>
      <c r="D13644" s="7">
        <f>IFERROR(__xludf.DUMMYFUNCTION("""COMPUTED_VALUE"""),0.381818181818181)</f>
        <v>0.3818181818</v>
      </c>
    </row>
    <row r="13645">
      <c r="A13645" s="10" t="s">
        <v>15084</v>
      </c>
      <c r="B13645" s="7" t="str">
        <f>IFERROR(__xludf.DUMMYFUNCTION("SPLIT(A13645,"" "")"),"Cc1nc(CN(Cc2ccccn2)C2CCCC(N(C)c3ccc4cc(CN(C)C)cnc4c3)C2)c(C)c(C)c1C")</f>
        <v>Cc1nc(CN(Cc2ccccn2)C2CCCC(N(C)c3ccc4cc(CN(C)C)cnc4c3)C2)c(C)c(C)c1C</v>
      </c>
      <c r="C13645" s="7">
        <f>IFERROR(__xludf.DUMMYFUNCTION("""COMPUTED_VALUE"""),7.752975)</f>
        <v>7.752975</v>
      </c>
      <c r="D13645" s="7">
        <f>IFERROR(__xludf.DUMMYFUNCTION("""COMPUTED_VALUE"""),0.328571428571428)</f>
        <v>0.3285714286</v>
      </c>
    </row>
    <row r="13646">
      <c r="A13646" s="10" t="s">
        <v>15085</v>
      </c>
      <c r="B13646" s="7" t="str">
        <f>IFERROR(__xludf.DUMMYFUNCTION("SPLIT(A13646,"" "")"),"COC(C)c1cccc(CNCc2cccc(C(C)(c3ccccn3)c3ccccn3)n2)n1")</f>
        <v>COC(C)c1cccc(CNCc2cccc(C(C)(c3ccccn3)c3ccccn3)n2)n1</v>
      </c>
      <c r="C13646" s="7">
        <f>IFERROR(__xludf.DUMMYFUNCTION("""COMPUTED_VALUE"""),7.752967)</f>
        <v>7.752967</v>
      </c>
      <c r="D13646" s="7">
        <f>IFERROR(__xludf.DUMMYFUNCTION("""COMPUTED_VALUE"""),0.421052631578947)</f>
        <v>0.4210526316</v>
      </c>
    </row>
    <row r="13647">
      <c r="A13647" s="10" t="s">
        <v>15086</v>
      </c>
      <c r="B13647" s="7" t="str">
        <f>IFERROR(__xludf.DUMMYFUNCTION("SPLIT(A13647,"" "")"),"Cc1cncc(CN(C)c2cccnc2CN(C)Cc2ccccn2)c1")</f>
        <v>Cc1cncc(CN(C)c2cccnc2CN(C)Cc2ccccn2)c1</v>
      </c>
      <c r="C13647" s="7">
        <f>IFERROR(__xludf.DUMMYFUNCTION("""COMPUTED_VALUE"""),7.7529664)</f>
        <v>7.7529664</v>
      </c>
      <c r="D13647" s="7">
        <f>IFERROR(__xludf.DUMMYFUNCTION("""COMPUTED_VALUE"""),0.450980392156862)</f>
        <v>0.4509803922</v>
      </c>
    </row>
    <row r="13648">
      <c r="A13648" s="10" t="s">
        <v>15087</v>
      </c>
      <c r="B13648" s="7" t="str">
        <f>IFERROR(__xludf.DUMMYFUNCTION("SPLIT(A13648,"" "")"),"Cc1ccc(CN(C)CC2=CCC=C(N(C)Cc3nc(C)ccc3C)N2)nc1")</f>
        <v>Cc1ccc(CN(C)CC2=CCC=C(N(C)Cc3nc(C)ccc3C)N2)nc1</v>
      </c>
      <c r="C13648" s="7">
        <f>IFERROR(__xludf.DUMMYFUNCTION("""COMPUTED_VALUE"""),7.752964)</f>
        <v>7.752964</v>
      </c>
      <c r="D13648" s="7">
        <f>IFERROR(__xludf.DUMMYFUNCTION("""COMPUTED_VALUE"""),0.415094339622641)</f>
        <v>0.4150943396</v>
      </c>
    </row>
    <row r="13649">
      <c r="A13649" s="10" t="s">
        <v>15088</v>
      </c>
      <c r="B13649" s="7" t="str">
        <f>IFERROR(__xludf.DUMMYFUNCTION("SPLIT(A13649,"" "")"),"Cc1ccc(CN(C)CC2=CCC=C(N(C)Cc3ncccc3C)N2)nc1")</f>
        <v>Cc1ccc(CN(C)CC2=CCC=C(N(C)Cc3ncccc3C)N2)nc1</v>
      </c>
      <c r="C13649" s="7">
        <f>IFERROR(__xludf.DUMMYFUNCTION("""COMPUTED_VALUE"""),7.752951)</f>
        <v>7.752951</v>
      </c>
      <c r="D13649" s="7">
        <f>IFERROR(__xludf.DUMMYFUNCTION("""COMPUTED_VALUE"""),0.415094339622641)</f>
        <v>0.4150943396</v>
      </c>
    </row>
    <row r="13650">
      <c r="A13650" s="10" t="s">
        <v>15089</v>
      </c>
      <c r="B13650" s="7" t="str">
        <f>IFERROR(__xludf.DUMMYFUNCTION("SPLIT(A13650,"" "")"),"Cc1ccc(C)c(CN(C)C2=CCC=C(CN(C)Cc3ccccn3)N2)n1")</f>
        <v>Cc1ccc(C)c(CN(C)C2=CCC=C(CN(C)Cc3ccccn3)N2)n1</v>
      </c>
      <c r="C13650" s="7">
        <f>IFERROR(__xludf.DUMMYFUNCTION("""COMPUTED_VALUE"""),7.7529416)</f>
        <v>7.7529416</v>
      </c>
      <c r="D13650" s="7">
        <f>IFERROR(__xludf.DUMMYFUNCTION("""COMPUTED_VALUE"""),0.396551724137931)</f>
        <v>0.3965517241</v>
      </c>
    </row>
    <row r="13651">
      <c r="A13651" s="10" t="s">
        <v>15090</v>
      </c>
      <c r="B13651" s="7" t="str">
        <f>IFERROR(__xludf.DUMMYFUNCTION("SPLIT(A13651,"" "")"),"CCOC(=O)c1cc(CN(Cc2ccccn2)C2CCC(N(C)c3cccc4nccc(CN(C)C)c34)CC2)ccn1")</f>
        <v>CCOC(=O)c1cc(CN(Cc2ccccn2)C2CCC(N(C)c3cccc4nccc(CN(C)C)c34)CC2)ccn1</v>
      </c>
      <c r="C13651" s="7">
        <f>IFERROR(__xludf.DUMMYFUNCTION("""COMPUTED_VALUE"""),7.7529416)</f>
        <v>7.7529416</v>
      </c>
      <c r="D13651" s="7">
        <f>IFERROR(__xludf.DUMMYFUNCTION("""COMPUTED_VALUE"""),0.301204819277108)</f>
        <v>0.3012048193</v>
      </c>
    </row>
    <row r="13652">
      <c r="A13652" s="10" t="s">
        <v>15091</v>
      </c>
      <c r="B13652" s="7" t="str">
        <f>IFERROR(__xludf.DUMMYFUNCTION("SPLIT(A13652,"" "")"),"CCN(Cc1ccccn1)c1ccc(C)c(C)c1N(C)C(C)C")</f>
        <v>CCN(Cc1ccccn1)c1ccc(C)c(C)c1N(C)C(C)C</v>
      </c>
      <c r="C13652" s="7">
        <f>IFERROR(__xludf.DUMMYFUNCTION("""COMPUTED_VALUE"""),7.752941)</f>
        <v>7.752941</v>
      </c>
      <c r="D13652" s="7">
        <f>IFERROR(__xludf.DUMMYFUNCTION("""COMPUTED_VALUE"""),0.468085106382978)</f>
        <v>0.4680851064</v>
      </c>
    </row>
    <row r="13653">
      <c r="A13653" s="10" t="s">
        <v>15092</v>
      </c>
      <c r="B13653" s="7" t="str">
        <f>IFERROR(__xludf.DUMMYFUNCTION("SPLIT(A13653,"" "")"),"Cc1ncccc1CN(C)Cc1ncccc1N(C)C")</f>
        <v>Cc1ncccc1CN(C)Cc1ncccc1N(C)C</v>
      </c>
      <c r="C13653" s="7">
        <f>IFERROR(__xludf.DUMMYFUNCTION("""COMPUTED_VALUE"""),7.7529407)</f>
        <v>7.7529407</v>
      </c>
      <c r="D13653" s="7">
        <f>IFERROR(__xludf.DUMMYFUNCTION("""COMPUTED_VALUE"""),0.409090909090909)</f>
        <v>0.4090909091</v>
      </c>
    </row>
    <row r="13654">
      <c r="A13654" s="10" t="s">
        <v>15093</v>
      </c>
      <c r="B13654" s="7" t="str">
        <f>IFERROR(__xludf.DUMMYFUNCTION("SPLIT(A13654,"" "")"),"CN(Cc1ncccc1F)Cc1ncccc1N(C)C")</f>
        <v>CN(Cc1ncccc1F)Cc1ncccc1N(C)C</v>
      </c>
      <c r="C13654" s="7">
        <f>IFERROR(__xludf.DUMMYFUNCTION("""COMPUTED_VALUE"""),7.752934)</f>
        <v>7.752934</v>
      </c>
      <c r="D13654" s="7">
        <f>IFERROR(__xludf.DUMMYFUNCTION("""COMPUTED_VALUE"""),0.348837209302325)</f>
        <v>0.3488372093</v>
      </c>
    </row>
    <row r="13655">
      <c r="A13655" s="10" t="s">
        <v>15094</v>
      </c>
      <c r="B13655" s="7" t="str">
        <f>IFERROR(__xludf.DUMMYFUNCTION("SPLIT(A13655,"" "")"),"Cc1cnc(CN(C)C2=C(CN(C)C)NC=CC2)c(C)c1C")</f>
        <v>Cc1cnc(CN(C)C2=C(CN(C)C)NC=CC2)c(C)c1C</v>
      </c>
      <c r="C13655" s="7">
        <f>IFERROR(__xludf.DUMMYFUNCTION("""COMPUTED_VALUE"""),7.752933)</f>
        <v>7.752933</v>
      </c>
      <c r="D13655" s="7">
        <f>IFERROR(__xludf.DUMMYFUNCTION("""COMPUTED_VALUE"""),0.233333333333333)</f>
        <v>0.2333333333</v>
      </c>
    </row>
    <row r="13656">
      <c r="A13656" s="10" t="s">
        <v>15095</v>
      </c>
      <c r="B13656" s="7" t="str">
        <f>IFERROR(__xludf.DUMMYFUNCTION("SPLIT(A13656,"" "")"),"Cc1cccnc1CN(Cc1cccc(C(C)(C)C)n1)C1CCC(N(C)Cc2cc(-c3ccc4ncccc4c3)ccn2)CC1")</f>
        <v>Cc1cccnc1CN(Cc1cccc(C(C)(C)C)n1)C1CCC(N(C)Cc2cc(-c3ccc4ncccc4c3)ccn2)CC1</v>
      </c>
      <c r="C13656" s="7">
        <f>IFERROR(__xludf.DUMMYFUNCTION("""COMPUTED_VALUE"""),7.75293)</f>
        <v>7.75293</v>
      </c>
      <c r="D13656" s="7">
        <f>IFERROR(__xludf.DUMMYFUNCTION("""COMPUTED_VALUE"""),0.287671232876712)</f>
        <v>0.2876712329</v>
      </c>
    </row>
    <row r="13657">
      <c r="A13657" s="10" t="s">
        <v>15096</v>
      </c>
      <c r="B13657" s="7" t="str">
        <f>IFERROR(__xludf.DUMMYFUNCTION("SPLIT(A13657,"" "")"),"Cc1cc(CN(CC2=CNC=C(N(C)Cc3ccccn3)C2)Cc2ccccn2)nc(C)c1C")</f>
        <v>Cc1cc(CN(CC2=CNC=C(N(C)Cc3ccccn3)C2)Cc2ccccn2)nc(C)c1C</v>
      </c>
      <c r="C13657" s="7">
        <f>IFERROR(__xludf.DUMMYFUNCTION("""COMPUTED_VALUE"""),7.7529297)</f>
        <v>7.7529297</v>
      </c>
      <c r="D13657" s="7">
        <f>IFERROR(__xludf.DUMMYFUNCTION("""COMPUTED_VALUE"""),0.392156862745098)</f>
        <v>0.3921568627</v>
      </c>
    </row>
    <row r="13658">
      <c r="A13658" s="10" t="s">
        <v>15097</v>
      </c>
      <c r="B13658" s="7" t="str">
        <f>IFERROR(__xludf.DUMMYFUNCTION("SPLIT(A13658,"" "")"),"Cc1cccc(N(Cc2ccccn2)C2CCCC(N(C)c3ccc4ccc(CF)nc4c3)C2)c1")</f>
        <v>Cc1cccc(N(Cc2ccccn2)C2CCCC(N(C)c3ccc4ccc(CF)nc4c3)C2)c1</v>
      </c>
      <c r="C13658" s="7">
        <f>IFERROR(__xludf.DUMMYFUNCTION("""COMPUTED_VALUE"""),7.752919)</f>
        <v>7.752919</v>
      </c>
      <c r="D13658" s="7">
        <f>IFERROR(__xludf.DUMMYFUNCTION("""COMPUTED_VALUE"""),0.353846153846153)</f>
        <v>0.3538461538</v>
      </c>
    </row>
    <row r="13659">
      <c r="A13659" s="10" t="s">
        <v>15098</v>
      </c>
      <c r="B13659" s="7" t="str">
        <f>IFERROR(__xludf.DUMMYFUNCTION("SPLIT(A13659,"" "")"),"Cc1cccc(CN(Cc2ccccn2)Cc2ncccc2N(C)C)n1")</f>
        <v>Cc1cccc(CN(Cc2ccccn2)Cc2ncccc2N(C)C)n1</v>
      </c>
      <c r="C13659" s="7">
        <f>IFERROR(__xludf.DUMMYFUNCTION("""COMPUTED_VALUE"""),7.7529187)</f>
        <v>7.7529187</v>
      </c>
      <c r="D13659" s="7">
        <f>IFERROR(__xludf.DUMMYFUNCTION("""COMPUTED_VALUE"""),0.5)</f>
        <v>0.5</v>
      </c>
    </row>
    <row r="13660">
      <c r="A13660" s="10" t="s">
        <v>15099</v>
      </c>
      <c r="B13660" s="7" t="str">
        <f>IFERROR(__xludf.DUMMYFUNCTION("SPLIT(A13660,"" "")"),"Cc1cc(CN(C)C2CCCCC2N(C)Cc2cc(-c3ccc4ncccc4c3)ccn2)nc(C)c1C")</f>
        <v>Cc1cc(CN(C)C2CCCCC2N(C)Cc2cc(-c3ccc4ncccc4c3)ccn2)nc(C)c1C</v>
      </c>
      <c r="C13660" s="7">
        <f>IFERROR(__xludf.DUMMYFUNCTION("""COMPUTED_VALUE"""),7.752913)</f>
        <v>7.752913</v>
      </c>
      <c r="D13660" s="7">
        <f>IFERROR(__xludf.DUMMYFUNCTION("""COMPUTED_VALUE"""),0.456140350877192)</f>
        <v>0.4561403509</v>
      </c>
    </row>
    <row r="13661">
      <c r="A13661" s="10" t="s">
        <v>15100</v>
      </c>
      <c r="B13661" s="7" t="str">
        <f>IFERROR(__xludf.DUMMYFUNCTION("SPLIT(A13661,"" "")"),"Cc1cccc(N(Cc2ccccn2)C2CCCC(N(C)c3ccc4cc(CF)cnc4c3)C2)c1")</f>
        <v>Cc1cccc(N(Cc2ccccn2)C2CCCC(N(C)c3ccc4cc(CF)cnc4c3)C2)c1</v>
      </c>
      <c r="C13661" s="7">
        <f>IFERROR(__xludf.DUMMYFUNCTION("""COMPUTED_VALUE"""),7.7529073)</f>
        <v>7.7529073</v>
      </c>
      <c r="D13661" s="7">
        <f>IFERROR(__xludf.DUMMYFUNCTION("""COMPUTED_VALUE"""),0.338235294117647)</f>
        <v>0.3382352941</v>
      </c>
    </row>
    <row r="13662">
      <c r="A13662" s="10" t="s">
        <v>15101</v>
      </c>
      <c r="B13662" s="7" t="str">
        <f>IFERROR(__xludf.DUMMYFUNCTION("SPLIT(A13662,"" "")"),"Cc1ccc(CN(Cc2ccccn2)C2=CNC(CN(C)Cc3ncccc3C)=CC2)nc1C")</f>
        <v>Cc1ccc(CN(Cc2ccccn2)C2=CNC(CN(C)Cc3ncccc3C)=CC2)nc1C</v>
      </c>
      <c r="C13662" s="7">
        <f>IFERROR(__xludf.DUMMYFUNCTION("""COMPUTED_VALUE"""),7.752898)</f>
        <v>7.752898</v>
      </c>
      <c r="D13662" s="7">
        <f>IFERROR(__xludf.DUMMYFUNCTION("""COMPUTED_VALUE"""),0.370967741935483)</f>
        <v>0.3709677419</v>
      </c>
    </row>
    <row r="13663">
      <c r="A13663" s="10" t="s">
        <v>15102</v>
      </c>
      <c r="B13663" s="7" t="str">
        <f>IFERROR(__xludf.DUMMYFUNCTION("SPLIT(A13663,"" "")"),"CN(C)c1cccnc1CN(Cc1cccc(F)n1)Cc1cccc(F)n1")</f>
        <v>CN(C)c1cccnc1CN(Cc1cccc(F)n1)Cc1cccc(F)n1</v>
      </c>
      <c r="C13663" s="7">
        <f>IFERROR(__xludf.DUMMYFUNCTION("""COMPUTED_VALUE"""),7.752888)</f>
        <v>7.752888</v>
      </c>
      <c r="D13663" s="7">
        <f>IFERROR(__xludf.DUMMYFUNCTION("""COMPUTED_VALUE"""),0.413793103448275)</f>
        <v>0.4137931034</v>
      </c>
    </row>
    <row r="13664">
      <c r="A13664" s="10" t="s">
        <v>15103</v>
      </c>
      <c r="B13664" s="7" t="str">
        <f>IFERROR(__xludf.DUMMYFUNCTION("SPLIT(A13664,"" "")"),"Cc1cnc(CN(Cc2ccc(N(Cc3ccccn3)C(C)(C)c3ccccn3)cc2)Cc2ccccn2)cc1C")</f>
        <v>Cc1cnc(CN(Cc2ccc(N(Cc3ccccn3)C(C)(C)c3ccccn3)cc2)Cc2ccccn2)cc1C</v>
      </c>
      <c r="C13664" s="7">
        <f>IFERROR(__xludf.DUMMYFUNCTION("""COMPUTED_VALUE"""),7.7528844)</f>
        <v>7.7528844</v>
      </c>
      <c r="D13664" s="7">
        <f>IFERROR(__xludf.DUMMYFUNCTION("""COMPUTED_VALUE"""),0.416666666666666)</f>
        <v>0.4166666667</v>
      </c>
    </row>
    <row r="13665">
      <c r="A13665" s="10" t="s">
        <v>15104</v>
      </c>
      <c r="B13665" s="7" t="str">
        <f>IFERROR(__xludf.DUMMYFUNCTION("SPLIT(A13665,"" "")"),"CCN(Cc1ccccn1)c1ccc(CN(Cc2ccccn2)Cc2nc(C)c(C)c(C)c2C)c(C)c1")</f>
        <v>CCN(Cc1ccccn1)c1ccc(CN(Cc2ccccn2)Cc2nc(C)c(C)c(C)c2C)c(C)c1</v>
      </c>
      <c r="C13665" s="7">
        <f>IFERROR(__xludf.DUMMYFUNCTION("""COMPUTED_VALUE"""),7.752884)</f>
        <v>7.752884</v>
      </c>
      <c r="D13665" s="7">
        <f>IFERROR(__xludf.DUMMYFUNCTION("""COMPUTED_VALUE"""),0.4)</f>
        <v>0.4</v>
      </c>
    </row>
    <row r="13666">
      <c r="A13666" s="10" t="s">
        <v>15105</v>
      </c>
      <c r="B13666" s="7" t="str">
        <f>IFERROR(__xludf.DUMMYFUNCTION("SPLIT(A13666,"" "")"),"Cc1ccc(C)c(CN(CC2=C(N(C)Cc3ccccn3)NC=CC2)Cc2ccccn2)n1")</f>
        <v>Cc1ccc(C)c(CN(CC2=C(N(C)Cc3ccccn3)NC=CC2)Cc2ccccn2)n1</v>
      </c>
      <c r="C13666" s="7">
        <f>IFERROR(__xludf.DUMMYFUNCTION("""COMPUTED_VALUE"""),7.752877)</f>
        <v>7.752877</v>
      </c>
      <c r="D13666" s="7">
        <f>IFERROR(__xludf.DUMMYFUNCTION("""COMPUTED_VALUE"""),0.426229508196721)</f>
        <v>0.4262295082</v>
      </c>
    </row>
    <row r="13667">
      <c r="A13667" s="10" t="s">
        <v>15106</v>
      </c>
      <c r="B13667" s="7" t="str">
        <f>IFERROR(__xludf.DUMMYFUNCTION("SPLIT(A13667,"" "")"),"CC1=CCC(c2ncccc2CN(Cc2ccccn2)Cc2cc(-c3cccc(N(C)C)c3)ccn2)C(N(C)Cc2ccccn2)C1C")</f>
        <v>CC1=CCC(c2ncccc2CN(Cc2ccccn2)Cc2cc(-c3cccc(N(C)C)c3)ccn2)C(N(C)Cc2ccccn2)C1C</v>
      </c>
      <c r="C13667" s="7">
        <f>IFERROR(__xludf.DUMMYFUNCTION("""COMPUTED_VALUE"""),7.7528725)</f>
        <v>7.7528725</v>
      </c>
      <c r="D13667" s="7">
        <f>IFERROR(__xludf.DUMMYFUNCTION("""COMPUTED_VALUE"""),0.323943661971831)</f>
        <v>0.323943662</v>
      </c>
    </row>
    <row r="13668">
      <c r="A13668" s="10" t="s">
        <v>15107</v>
      </c>
      <c r="B13668" s="7" t="str">
        <f>IFERROR(__xludf.DUMMYFUNCTION("SPLIT(A13668,"" "")"),"Cc1ccc(NCc2ccccn2)c(C)c1C")</f>
        <v>Cc1ccc(NCc2ccccn2)c(C)c1C</v>
      </c>
      <c r="C13668" s="7">
        <f>IFERROR(__xludf.DUMMYFUNCTION("""COMPUTED_VALUE"""),7.752866)</f>
        <v>7.752866</v>
      </c>
      <c r="D13668" s="7">
        <f>IFERROR(__xludf.DUMMYFUNCTION("""COMPUTED_VALUE"""),0.472222222222222)</f>
        <v>0.4722222222</v>
      </c>
    </row>
    <row r="13669">
      <c r="A13669" s="10" t="s">
        <v>15108</v>
      </c>
      <c r="B13669" s="7" t="str">
        <f>IFERROR(__xludf.DUMMYFUNCTION("SPLIT(A13669,"" "")"),"COC(=O)C1CC(c2ccccn2)C(c2ccccn2)N(C)C1c1cccc(CN(Cc2ccccn2)Cc2cccc(C(C)(C)c3ccccn3)n2)n1")</f>
        <v>COC(=O)C1CC(c2ccccn2)C(c2ccccn2)N(C)C1c1cccc(CN(Cc2ccccn2)Cc2cccc(C(C)(C)c3ccccn3)n2)n1</v>
      </c>
      <c r="C13669" s="7">
        <f>IFERROR(__xludf.DUMMYFUNCTION("""COMPUTED_VALUE"""),7.752865)</f>
        <v>7.752865</v>
      </c>
      <c r="D13669" s="7">
        <f>IFERROR(__xludf.DUMMYFUNCTION("""COMPUTED_VALUE"""),0.346153846153846)</f>
        <v>0.3461538462</v>
      </c>
    </row>
    <row r="13670">
      <c r="A13670" s="10" t="s">
        <v>15109</v>
      </c>
      <c r="B13670" s="7" t="str">
        <f>IFERROR(__xludf.DUMMYFUNCTION("SPLIT(A13670,"" "")"),"Cc1ccnc(CN(C)Cc2cccc(N(C)C)n2)c1")</f>
        <v>Cc1ccnc(CN(C)Cc2cccc(N(C)C)n2)c1</v>
      </c>
      <c r="C13670" s="7">
        <f>IFERROR(__xludf.DUMMYFUNCTION("""COMPUTED_VALUE"""),7.7528634)</f>
        <v>7.7528634</v>
      </c>
      <c r="D13670" s="7">
        <f>IFERROR(__xludf.DUMMYFUNCTION("""COMPUTED_VALUE"""),0.466666666666666)</f>
        <v>0.4666666667</v>
      </c>
    </row>
    <row r="13671">
      <c r="A13671" s="10" t="s">
        <v>15110</v>
      </c>
      <c r="B13671" s="7" t="str">
        <f>IFERROR(__xludf.DUMMYFUNCTION("SPLIT(A13671,"" "")"),"CCc1cccc(N=Cc2ccccn2)c1")</f>
        <v>CCc1cccc(N=Cc2ccccn2)c1</v>
      </c>
      <c r="C13671" s="7">
        <f>IFERROR(__xludf.DUMMYFUNCTION("""COMPUTED_VALUE"""),7.752863)</f>
        <v>7.752863</v>
      </c>
      <c r="D13671" s="7">
        <f>IFERROR(__xludf.DUMMYFUNCTION("""COMPUTED_VALUE"""),0.477272727272727)</f>
        <v>0.4772727273</v>
      </c>
    </row>
    <row r="13672">
      <c r="A13672" s="10" t="s">
        <v>15111</v>
      </c>
      <c r="B13672" s="7" t="str">
        <f>IFERROR(__xludf.DUMMYFUNCTION("SPLIT(A13672,"" "")"),"CN(CCN(Cc1ccccn1)c1cccc2nccc(CF)c12)CC(C)(C)C")</f>
        <v>CN(CCN(Cc1ccccn1)c1cccc2nccc(CF)c12)CC(C)(C)C</v>
      </c>
      <c r="C13672" s="7">
        <f>IFERROR(__xludf.DUMMYFUNCTION("""COMPUTED_VALUE"""),7.7528596)</f>
        <v>7.7528596</v>
      </c>
      <c r="D13672" s="7">
        <f>IFERROR(__xludf.DUMMYFUNCTION("""COMPUTED_VALUE"""),0.428571428571428)</f>
        <v>0.4285714286</v>
      </c>
    </row>
    <row r="13673">
      <c r="A13673" s="10" t="s">
        <v>15112</v>
      </c>
      <c r="B13673" s="7" t="str">
        <f>IFERROR(__xludf.DUMMYFUNCTION("SPLIT(A13673,"" "")"),"CNCc1cc(N(C)Cc2cccc(C(C)(C)C)n2)ccn1")</f>
        <v>CNCc1cc(N(C)Cc2cccc(C(C)(C)C)n2)ccn1</v>
      </c>
      <c r="C13673" s="7">
        <f>IFERROR(__xludf.DUMMYFUNCTION("""COMPUTED_VALUE"""),7.752854)</f>
        <v>7.752854</v>
      </c>
      <c r="D13673" s="7">
        <f>IFERROR(__xludf.DUMMYFUNCTION("""COMPUTED_VALUE"""),0.365384615384615)</f>
        <v>0.3653846154</v>
      </c>
    </row>
    <row r="13674">
      <c r="A13674" s="10" t="s">
        <v>15113</v>
      </c>
      <c r="B13674" s="7" t="str">
        <f>IFERROR(__xludf.DUMMYFUNCTION("SPLIT(A13674,"" "")"),"Cc1cccnc1CN(Cc1cncc(N(C)C)c1)Cc1ccccn1")</f>
        <v>Cc1cccnc1CN(Cc1cncc(N(C)C)c1)Cc1ccccn1</v>
      </c>
      <c r="C13674" s="7">
        <f>IFERROR(__xludf.DUMMYFUNCTION("""COMPUTED_VALUE"""),7.7528496)</f>
        <v>7.7528496</v>
      </c>
      <c r="D13674" s="7">
        <f>IFERROR(__xludf.DUMMYFUNCTION("""COMPUTED_VALUE"""),0.444444444444444)</f>
        <v>0.4444444444</v>
      </c>
    </row>
    <row r="13675">
      <c r="A13675" s="10" t="s">
        <v>15114</v>
      </c>
      <c r="B13675" s="7" t="str">
        <f>IFERROR(__xludf.DUMMYFUNCTION("SPLIT(A13675,"" "")"),"Cc1cc(C)c(CN(C)Cc2cc(C)c(C)c(C)n2)cn1")</f>
        <v>Cc1cc(C)c(CN(C)Cc2cc(C)c(C)c(C)n2)cn1</v>
      </c>
      <c r="C13675" s="7">
        <f>IFERROR(__xludf.DUMMYFUNCTION("""COMPUTED_VALUE"""),7.752844)</f>
        <v>7.752844</v>
      </c>
      <c r="D13675" s="7">
        <f>IFERROR(__xludf.DUMMYFUNCTION("""COMPUTED_VALUE"""),0.304347826086956)</f>
        <v>0.3043478261</v>
      </c>
    </row>
    <row r="13676">
      <c r="A13676" s="10" t="s">
        <v>15115</v>
      </c>
      <c r="B13676" s="7" t="str">
        <f>IFERROR(__xludf.DUMMYFUNCTION("SPLIT(A13676,"" "")"),"Cc1cccnc1CN(CC1=CCC=C(N(C)Cc2ccccn2)N1)Cc1ccccn1")</f>
        <v>Cc1cccnc1CN(CC1=CCC=C(N(C)Cc2ccccn2)N1)Cc1ccccn1</v>
      </c>
      <c r="C13676" s="7">
        <f>IFERROR(__xludf.DUMMYFUNCTION("""COMPUTED_VALUE"""),7.7528415)</f>
        <v>7.7528415</v>
      </c>
      <c r="D13676" s="7">
        <f>IFERROR(__xludf.DUMMYFUNCTION("""COMPUTED_VALUE"""),0.482142857142857)</f>
        <v>0.4821428571</v>
      </c>
    </row>
    <row r="13677">
      <c r="A13677" s="10" t="s">
        <v>15116</v>
      </c>
      <c r="B13677" s="7" t="str">
        <f>IFERROR(__xludf.DUMMYFUNCTION("SPLIT(A13677,"" "")"),"Cc1ccc(C)c(NCc2ccccn2)c1C")</f>
        <v>Cc1ccc(C)c(NCc2ccccn2)c1C</v>
      </c>
      <c r="C13677" s="7">
        <f>IFERROR(__xludf.DUMMYFUNCTION("""COMPUTED_VALUE"""),7.752839)</f>
        <v>7.752839</v>
      </c>
      <c r="D13677" s="7">
        <f>IFERROR(__xludf.DUMMYFUNCTION("""COMPUTED_VALUE"""),0.485714285714285)</f>
        <v>0.4857142857</v>
      </c>
    </row>
    <row r="13678">
      <c r="A13678" s="10" t="s">
        <v>15117</v>
      </c>
      <c r="B13678" s="7" t="str">
        <f>IFERROR(__xludf.DUMMYFUNCTION("SPLIT(A13678,"" "")"),"Cc1ccnc(CN(C)c2cccc(-c3cccc(CN(C)C(C)C(C)C)n3)c2)c1")</f>
        <v>Cc1ccnc(CN(C)c2cccc(-c3cccc(CN(C)C(C)C(C)C)n3)c2)c1</v>
      </c>
      <c r="C13678" s="7">
        <f>IFERROR(__xludf.DUMMYFUNCTION("""COMPUTED_VALUE"""),7.7528296)</f>
        <v>7.7528296</v>
      </c>
      <c r="D13678" s="7">
        <f>IFERROR(__xludf.DUMMYFUNCTION("""COMPUTED_VALUE"""),0.390625)</f>
        <v>0.390625</v>
      </c>
    </row>
    <row r="13679">
      <c r="A13679" s="10" t="s">
        <v>15118</v>
      </c>
      <c r="B13679" s="7" t="str">
        <f>IFERROR(__xludf.DUMMYFUNCTION("SPLIT(A13679,"" "")"),"CNc1cccnc1-c1cccc(-c2cccc(CN(C)C3CCC(N(C)Cc4ccc(C)cn4)CC3)n2)n1")</f>
        <v>CNc1cccnc1-c1cccc(-c2cccc(CN(C)C3CCC(N(C)Cc4ccc(C)cn4)CC3)n2)n1</v>
      </c>
      <c r="C13679" s="7">
        <f>IFERROR(__xludf.DUMMYFUNCTION("""COMPUTED_VALUE"""),7.7528276)</f>
        <v>7.7528276</v>
      </c>
      <c r="D13679" s="7">
        <f>IFERROR(__xludf.DUMMYFUNCTION("""COMPUTED_VALUE"""),0.423728813559322)</f>
        <v>0.4237288136</v>
      </c>
    </row>
    <row r="13680">
      <c r="A13680" s="10" t="s">
        <v>15119</v>
      </c>
      <c r="B13680" s="7" t="str">
        <f>IFERROR(__xludf.DUMMYFUNCTION("SPLIT(A13680,"" "")"),"CN(CCN(C)c1ccc2cccnc2c1)CC(C)(C)C")</f>
        <v>CN(CCN(C)c1ccc2cccnc2c1)CC(C)(C)C</v>
      </c>
      <c r="C13680" s="7">
        <f>IFERROR(__xludf.DUMMYFUNCTION("""COMPUTED_VALUE"""),7.752822)</f>
        <v>7.752822</v>
      </c>
      <c r="D13680" s="7">
        <f>IFERROR(__xludf.DUMMYFUNCTION("""COMPUTED_VALUE"""),0.382978723404255)</f>
        <v>0.3829787234</v>
      </c>
    </row>
    <row r="13681">
      <c r="A13681" s="10" t="s">
        <v>15120</v>
      </c>
      <c r="B13681" s="7" t="str">
        <f>IFERROR(__xludf.DUMMYFUNCTION("SPLIT(A13681,"" "")"),"CC(C)N(C)CCN(C)c1ccc2nc(CF)ccc2c1")</f>
        <v>CC(C)N(C)CCN(C)c1ccc2nc(CF)ccc2c1</v>
      </c>
      <c r="C13681" s="7">
        <f>IFERROR(__xludf.DUMMYFUNCTION("""COMPUTED_VALUE"""),7.75282)</f>
        <v>7.75282</v>
      </c>
      <c r="D13681" s="7">
        <f>IFERROR(__xludf.DUMMYFUNCTION("""COMPUTED_VALUE"""),0.303571428571428)</f>
        <v>0.3035714286</v>
      </c>
    </row>
    <row r="13682">
      <c r="A13682" s="10" t="s">
        <v>15121</v>
      </c>
      <c r="B13682" s="7" t="str">
        <f>IFERROR(__xludf.DUMMYFUNCTION("SPLIT(A13682,"" "")"),"CC(=O)C(=O)c1cnc(C2CCC2(C)C)c(CN(C=O)C=O)c1C")</f>
        <v>CC(=O)C(=O)c1cnc(C2CCC2(C)C)c(CN(C=O)C=O)c1C</v>
      </c>
      <c r="C13682" s="7">
        <f>IFERROR(__xludf.DUMMYFUNCTION("""COMPUTED_VALUE"""),7.752814)</f>
        <v>7.752814</v>
      </c>
      <c r="D13682" s="7">
        <f>IFERROR(__xludf.DUMMYFUNCTION("""COMPUTED_VALUE"""),0.2)</f>
        <v>0.2</v>
      </c>
    </row>
    <row r="13683">
      <c r="A13683" s="10" t="s">
        <v>15122</v>
      </c>
      <c r="B13683" s="7" t="str">
        <f>IFERROR(__xludf.DUMMYFUNCTION("SPLIT(A13683,"" "")"),"CC(C)(C1=NC(c2ccccn2)CO1)c1ccccn1")</f>
        <v>CC(C)(C1=NC(c2ccccn2)CO1)c1ccccn1</v>
      </c>
      <c r="C13683" s="7">
        <f>IFERROR(__xludf.DUMMYFUNCTION("""COMPUTED_VALUE"""),7.752814)</f>
        <v>7.752814</v>
      </c>
      <c r="D13683" s="7">
        <f>IFERROR(__xludf.DUMMYFUNCTION("""COMPUTED_VALUE"""),0.313725490196078)</f>
        <v>0.3137254902</v>
      </c>
    </row>
    <row r="13684">
      <c r="A13684" s="10" t="s">
        <v>15123</v>
      </c>
      <c r="B13684" s="7" t="str">
        <f>IFERROR(__xludf.DUMMYFUNCTION("SPLIT(A13684,"" "")"),"CCCN(Cc1ccccn1)Cc1ccc2cccc(N(C)Cc3cccc(C4CCC4(C)C)n3)c2n1")</f>
        <v>CCCN(Cc1ccccn1)Cc1ccc2cccc(N(C)Cc3cccc(C4CCC4(C)C)n3)c2n1</v>
      </c>
      <c r="C13684" s="7">
        <f>IFERROR(__xludf.DUMMYFUNCTION("""COMPUTED_VALUE"""),7.7528043)</f>
        <v>7.7528043</v>
      </c>
      <c r="D13684" s="7">
        <f>IFERROR(__xludf.DUMMYFUNCTION("""COMPUTED_VALUE"""),0.390625)</f>
        <v>0.390625</v>
      </c>
    </row>
    <row r="13685">
      <c r="A13685" s="10" t="s">
        <v>15124</v>
      </c>
      <c r="B13685" s="7" t="str">
        <f>IFERROR(__xludf.DUMMYFUNCTION("SPLIT(A13685,"" "")"),"CNC1C=C(N(C)Cc2ncc(C)c(C)c2C)C=CN1")</f>
        <v>CNC1C=C(N(C)Cc2ncc(C)c(C)c2C)C=CN1</v>
      </c>
      <c r="C13685" s="7">
        <f>IFERROR(__xludf.DUMMYFUNCTION("""COMPUTED_VALUE"""),7.7528014)</f>
        <v>7.7528014</v>
      </c>
      <c r="D13685" s="7">
        <f>IFERROR(__xludf.DUMMYFUNCTION("""COMPUTED_VALUE"""),0.226415094339622)</f>
        <v>0.2264150943</v>
      </c>
    </row>
    <row r="13686">
      <c r="A13686" s="10" t="s">
        <v>15125</v>
      </c>
      <c r="B13686" s="7" t="str">
        <f>IFERROR(__xludf.DUMMYFUNCTION("SPLIT(A13686,"" "")"),"CC1(C)COC(c2cccc(CN(Cc3ccccn3)Cc3cccc(C(C)(C)C)n3)n2)=N1")</f>
        <v>CC1(C)COC(c2cccc(CN(Cc3ccccn3)Cc3cccc(C(C)(C)C)n3)n2)=N1</v>
      </c>
      <c r="C13686" s="7">
        <f>IFERROR(__xludf.DUMMYFUNCTION("""COMPUTED_VALUE"""),7.7527947)</f>
        <v>7.7527947</v>
      </c>
      <c r="D13686" s="7">
        <f>IFERROR(__xludf.DUMMYFUNCTION("""COMPUTED_VALUE"""),0.490196078431372)</f>
        <v>0.4901960784</v>
      </c>
    </row>
    <row r="13687">
      <c r="A13687" s="10" t="s">
        <v>15126</v>
      </c>
      <c r="B13687" s="7" t="str">
        <f>IFERROR(__xludf.DUMMYFUNCTION("SPLIT(A13687,"" "")"),"Cc1ccc(CN(CC2=CCC=C(N(C)Cc3ccccn3)N2)C(C)(C)c2ccccn2)nc1")</f>
        <v>Cc1ccc(CN(CC2=CCC=C(N(C)Cc3ccccn3)N2)C(C)(C)c2ccccn2)nc1</v>
      </c>
      <c r="C13687" s="7">
        <f>IFERROR(__xludf.DUMMYFUNCTION("""COMPUTED_VALUE"""),7.7527947)</f>
        <v>7.7527947</v>
      </c>
      <c r="D13687" s="7">
        <f>IFERROR(__xludf.DUMMYFUNCTION("""COMPUTED_VALUE"""),0.354838709677419)</f>
        <v>0.3548387097</v>
      </c>
    </row>
    <row r="13688">
      <c r="A13688" s="10" t="s">
        <v>15127</v>
      </c>
      <c r="B13688" s="7" t="str">
        <f>IFERROR(__xludf.DUMMYFUNCTION("SPLIT(A13688,"" "")"),"Cc1ccc(N=Cc2ccccn2)cc1CNCc1ccccn1")</f>
        <v>Cc1ccc(N=Cc2ccccn2)cc1CNCc1ccccn1</v>
      </c>
      <c r="C13688" s="7">
        <f>IFERROR(__xludf.DUMMYFUNCTION("""COMPUTED_VALUE"""),7.7527905)</f>
        <v>7.7527905</v>
      </c>
      <c r="D13688" s="7">
        <f>IFERROR(__xludf.DUMMYFUNCTION("""COMPUTED_VALUE"""),0.423076923076923)</f>
        <v>0.4230769231</v>
      </c>
    </row>
    <row r="13689">
      <c r="A13689" s="10" t="s">
        <v>15128</v>
      </c>
      <c r="B13689" s="7" t="str">
        <f>IFERROR(__xludf.DUMMYFUNCTION("SPLIT(A13689,"" "")"),"CN(C)c1cccc(-c2cccnc2CN(C)C2CCCCC2N(C)Cc2ccc3cccnc3c2)c1")</f>
        <v>CN(C)c1cccc(-c2cccnc2CN(C)C2CCCCC2N(C)Cc2ccc3cccnc3c2)c1</v>
      </c>
      <c r="C13689" s="7">
        <f>IFERROR(__xludf.DUMMYFUNCTION("""COMPUTED_VALUE"""),7.7527795)</f>
        <v>7.7527795</v>
      </c>
      <c r="D13689" s="7">
        <f>IFERROR(__xludf.DUMMYFUNCTION("""COMPUTED_VALUE"""),0.377049180327868)</f>
        <v>0.3770491803</v>
      </c>
    </row>
    <row r="13690">
      <c r="A13690" s="10" t="s">
        <v>15129</v>
      </c>
      <c r="B13690" s="7" t="str">
        <f>IFERROR(__xludf.DUMMYFUNCTION("SPLIT(A13690,"" "")"),"Cc1cc(NCc2ccccn2)cc(C)c1C")</f>
        <v>Cc1cc(NCc2ccccn2)cc(C)c1C</v>
      </c>
      <c r="C13690" s="7">
        <f>IFERROR(__xludf.DUMMYFUNCTION("""COMPUTED_VALUE"""),7.75277)</f>
        <v>7.75277</v>
      </c>
      <c r="D13690" s="7">
        <f>IFERROR(__xludf.DUMMYFUNCTION("""COMPUTED_VALUE"""),0.5)</f>
        <v>0.5</v>
      </c>
    </row>
    <row r="13691">
      <c r="A13691" s="10" t="s">
        <v>15130</v>
      </c>
      <c r="B13691" s="7" t="str">
        <f>IFERROR(__xludf.DUMMYFUNCTION("SPLIT(A13691,"" "")"),"CC(N)C(C)N(C)Cc1ncccc1-c1cc(N)ccc1N(C)C1CCCC(N(C)c2cccc3ncccc23)C1")</f>
        <v>CC(N)C(C)N(C)Cc1ncccc1-c1cc(N)ccc1N(C)C1CCCC(N(C)c2cccc3ncccc23)C1</v>
      </c>
      <c r="C13691" s="7">
        <f>IFERROR(__xludf.DUMMYFUNCTION("""COMPUTED_VALUE"""),7.752769)</f>
        <v>7.752769</v>
      </c>
      <c r="D13691" s="7">
        <f>IFERROR(__xludf.DUMMYFUNCTION("""COMPUTED_VALUE"""),0.273972602739726)</f>
        <v>0.2739726027</v>
      </c>
    </row>
    <row r="13692">
      <c r="A13692" s="10" t="s">
        <v>15131</v>
      </c>
      <c r="B13692" s="7" t="str">
        <f>IFERROR(__xludf.DUMMYFUNCTION("SPLIT(A13692,"" "")"),"Cc1ccc(N(C)Cc2ccccn2)c(CN(C)Cc2ncccc2C(C)(C)C)c1")</f>
        <v>Cc1ccc(N(C)Cc2ccccn2)c(CN(C)Cc2ncccc2C(C)(C)C)c1</v>
      </c>
      <c r="C13692" s="7">
        <f>IFERROR(__xludf.DUMMYFUNCTION("""COMPUTED_VALUE"""),7.7527676)</f>
        <v>7.7527676</v>
      </c>
      <c r="D13692" s="7">
        <f>IFERROR(__xludf.DUMMYFUNCTION("""COMPUTED_VALUE"""),0.461538461538461)</f>
        <v>0.4615384615</v>
      </c>
    </row>
    <row r="13693">
      <c r="A13693" s="10" t="s">
        <v>15132</v>
      </c>
      <c r="B13693" s="7" t="str">
        <f>IFERROR(__xludf.DUMMYFUNCTION("SPLIT(A13693,"" "")"),"CN(C)Cc1ccc2cc(N(C)C3CCCCC3N(C)Cc3cccc(-c4ccccc4)n3)ccc2n1")</f>
        <v>CN(C)Cc1ccc2cc(N(C)C3CCCCC3N(C)Cc3cccc(-c4ccccc4)n3)ccc2n1</v>
      </c>
      <c r="C13693" s="7">
        <f>IFERROR(__xludf.DUMMYFUNCTION("""COMPUTED_VALUE"""),7.7527666)</f>
        <v>7.7527666</v>
      </c>
      <c r="D13693" s="7">
        <f>IFERROR(__xludf.DUMMYFUNCTION("""COMPUTED_VALUE"""),0.456140350877192)</f>
        <v>0.4561403509</v>
      </c>
    </row>
    <row r="13694">
      <c r="A13694" s="10" t="s">
        <v>15133</v>
      </c>
      <c r="B13694" s="7" t="str">
        <f>IFERROR(__xludf.DUMMYFUNCTION("SPLIT(A13694,"" "")"),"CC1(C)COC(c2ccc(CN(Cc3ccccn3)Cc3ccccn3)cn2)=N1")</f>
        <v>CC1(C)COC(c2ccc(CN(Cc3ccccn3)Cc3ccccn3)cn2)=N1</v>
      </c>
      <c r="C13694" s="7">
        <f>IFERROR(__xludf.DUMMYFUNCTION("""COMPUTED_VALUE"""),7.752765)</f>
        <v>7.752765</v>
      </c>
      <c r="D13694" s="7">
        <f>IFERROR(__xludf.DUMMYFUNCTION("""COMPUTED_VALUE"""),0.448979591836734)</f>
        <v>0.4489795918</v>
      </c>
    </row>
    <row r="13695">
      <c r="A13695" s="10" t="s">
        <v>15134</v>
      </c>
      <c r="B13695" s="7" t="str">
        <f>IFERROR(__xludf.DUMMYFUNCTION("SPLIT(A13695,"" "")"),"CCOC(=O)c1cc(CN(Cc2ccccn2)C2CCC(N(C)c3cccc4c(CN(C)C)ccnc34)CC2)ccn1")</f>
        <v>CCOC(=O)c1cc(CN(Cc2ccccn2)C2CCC(N(C)c3cccc4c(CN(C)C)ccnc34)CC2)ccn1</v>
      </c>
      <c r="C13695" s="7">
        <f>IFERROR(__xludf.DUMMYFUNCTION("""COMPUTED_VALUE"""),7.752763)</f>
        <v>7.752763</v>
      </c>
      <c r="D13695" s="7">
        <f>IFERROR(__xludf.DUMMYFUNCTION("""COMPUTED_VALUE"""),0.301204819277108)</f>
        <v>0.3012048193</v>
      </c>
    </row>
    <row r="13696">
      <c r="A13696" s="10" t="s">
        <v>15135</v>
      </c>
      <c r="B13696" s="7" t="str">
        <f>IFERROR(__xludf.DUMMYFUNCTION("SPLIT(A13696,"" "")"),"Cc1cnc(CN(C)C2CCC(N(C)Cc3cc(-c4ccc5ncccc5c4)ccn3)CC2)c(C)c1")</f>
        <v>Cc1cnc(CN(C)C2CCC(N(C)Cc3cc(-c4ccc5ncccc5c4)ccn3)CC2)c(C)c1</v>
      </c>
      <c r="C13696" s="7">
        <f>IFERROR(__xludf.DUMMYFUNCTION("""COMPUTED_VALUE"""),7.752749)</f>
        <v>7.752749</v>
      </c>
      <c r="D13696" s="7">
        <f>IFERROR(__xludf.DUMMYFUNCTION("""COMPUTED_VALUE"""),0.32258064516129)</f>
        <v>0.3225806452</v>
      </c>
    </row>
    <row r="13697">
      <c r="A13697" s="10" t="s">
        <v>15136</v>
      </c>
      <c r="B13697" s="7" t="str">
        <f>IFERROR(__xludf.DUMMYFUNCTION("SPLIT(A13697,"" "")"),"Cc1ccnc(CN(C)Cc2ncccc2N(C)C)c1")</f>
        <v>Cc1ccnc(CN(C)Cc2ncccc2N(C)C)c1</v>
      </c>
      <c r="C13697" s="7">
        <f>IFERROR(__xludf.DUMMYFUNCTION("""COMPUTED_VALUE"""),7.7527485)</f>
        <v>7.7527485</v>
      </c>
      <c r="D13697" s="7">
        <f>IFERROR(__xludf.DUMMYFUNCTION("""COMPUTED_VALUE"""),0.375)</f>
        <v>0.375</v>
      </c>
    </row>
    <row r="13698">
      <c r="A13698" s="10" t="s">
        <v>15137</v>
      </c>
      <c r="B13698" s="7" t="str">
        <f>IFERROR(__xludf.DUMMYFUNCTION("SPLIT(A13698,"" "")"),"C1=CC(NCc2ccccn2)=C(SCc2ccccn2)CN1")</f>
        <v>C1=CC(NCc2ccccn2)=C(SCc2ccccn2)CN1</v>
      </c>
      <c r="C13698" s="7">
        <f>IFERROR(__xludf.DUMMYFUNCTION("""COMPUTED_VALUE"""),7.7527432)</f>
        <v>7.7527432</v>
      </c>
      <c r="D13698" s="7">
        <f>IFERROR(__xludf.DUMMYFUNCTION("""COMPUTED_VALUE"""),0.377777777777777)</f>
        <v>0.3777777778</v>
      </c>
    </row>
    <row r="13699">
      <c r="A13699" s="10" t="s">
        <v>15138</v>
      </c>
      <c r="B13699" s="7" t="str">
        <f>IFERROR(__xludf.DUMMYFUNCTION("SPLIT(A13699,"" "")"),"C=Cc1ccc(NCc2ccccn2)c(C(C)(C)C)c1")</f>
        <v>C=Cc1ccc(NCc2ccccn2)c(C(C)(C)C)c1</v>
      </c>
      <c r="C13699" s="7">
        <f>IFERROR(__xludf.DUMMYFUNCTION("""COMPUTED_VALUE"""),7.752742)</f>
        <v>7.752742</v>
      </c>
      <c r="D13699" s="7">
        <f>IFERROR(__xludf.DUMMYFUNCTION("""COMPUTED_VALUE"""),0.379310344827586)</f>
        <v>0.3793103448</v>
      </c>
    </row>
    <row r="13700">
      <c r="A13700" s="10" t="s">
        <v>15139</v>
      </c>
      <c r="B13700" s="7" t="str">
        <f>IFERROR(__xludf.DUMMYFUNCTION("SPLIT(A13700,"" "")"),"CC(C)C1=CC2(C=CN1)C=CC(C)C(c1cc(CN(Cc3ccccn3)Cc3ccc(-c4cccc(N(C)C)c4)cn3)ccn1)C2(C)C")</f>
        <v>CC(C)C1=CC2(C=CN1)C=CC(C)C(c1cc(CN(Cc3ccccn3)Cc3ccc(-c4cccc(N(C)C)c4)cn3)ccn1)C2(C)C</v>
      </c>
      <c r="C13700" s="7">
        <f>IFERROR(__xludf.DUMMYFUNCTION("""COMPUTED_VALUE"""),7.752736)</f>
        <v>7.752736</v>
      </c>
      <c r="D13700" s="7">
        <f>IFERROR(__xludf.DUMMYFUNCTION("""COMPUTED_VALUE"""),0.292134831460674)</f>
        <v>0.2921348315</v>
      </c>
    </row>
    <row r="13701">
      <c r="A13701" s="10" t="s">
        <v>15140</v>
      </c>
      <c r="B13701" s="7" t="str">
        <f>IFERROR(__xludf.DUMMYFUNCTION("SPLIT(A13701,"" "")"),"CCN(Cc1ccccn1)Cc1cc(N(C)Cc2nc(C)c(C)cc2C)ccn1")</f>
        <v>CCN(Cc1ccccn1)Cc1cc(N(C)Cc2nc(C)c(C)cc2C)ccn1</v>
      </c>
      <c r="C13701" s="7">
        <f>IFERROR(__xludf.DUMMYFUNCTION("""COMPUTED_VALUE"""),7.752736)</f>
        <v>7.752736</v>
      </c>
      <c r="D13701" s="7">
        <f>IFERROR(__xludf.DUMMYFUNCTION("""COMPUTED_VALUE"""),0.404255319148936)</f>
        <v>0.4042553191</v>
      </c>
    </row>
    <row r="13702">
      <c r="A13702" s="10" t="s">
        <v>15141</v>
      </c>
      <c r="B13702" s="7" t="str">
        <f>IFERROR(__xludf.DUMMYFUNCTION("SPLIT(A13702,"" "")"),"Cc1cc(C)nc(CN(C)C2=C(CN(C)Cc3nc(C)cc(C)c3C)NC=CC2)c1")</f>
        <v>Cc1cc(C)nc(CN(C)C2=C(CN(C)Cc3nc(C)cc(C)c3C)NC=CC2)c1</v>
      </c>
      <c r="C13702" s="7">
        <f>IFERROR(__xludf.DUMMYFUNCTION("""COMPUTED_VALUE"""),7.752734)</f>
        <v>7.752734</v>
      </c>
      <c r="D13702" s="7">
        <f>IFERROR(__xludf.DUMMYFUNCTION("""COMPUTED_VALUE"""),0.3)</f>
        <v>0.3</v>
      </c>
    </row>
    <row r="13703">
      <c r="A13703" s="10" t="s">
        <v>15142</v>
      </c>
      <c r="B13703" s="7" t="str">
        <f>IFERROR(__xludf.DUMMYFUNCTION("SPLIT(A13703,"" "")"),"Cc1cnc(C)c(CN(C)CC2=CCC=C(N(C)Cc3ccccn3)N2)c1")</f>
        <v>Cc1cnc(C)c(CN(C)CC2=CCC=C(N(C)Cc3ccccn3)N2)c1</v>
      </c>
      <c r="C13703" s="7">
        <f>IFERROR(__xludf.DUMMYFUNCTION("""COMPUTED_VALUE"""),7.752731)</f>
        <v>7.752731</v>
      </c>
      <c r="D13703" s="7">
        <f>IFERROR(__xludf.DUMMYFUNCTION("""COMPUTED_VALUE"""),0.379310344827586)</f>
        <v>0.3793103448</v>
      </c>
    </row>
    <row r="13704">
      <c r="A13704" s="10" t="s">
        <v>15143</v>
      </c>
      <c r="B13704" s="7" t="str">
        <f>IFERROR(__xludf.DUMMYFUNCTION("SPLIT(A13704,"" "")"),"Cc1cc(CN(C)C2=CCC=C(CN(C)Cc3cccnc3F)N2)nc(C)c1C")</f>
        <v>Cc1cc(CN(C)C2=CCC=C(CN(C)Cc3cccnc3F)N2)nc(C)c1C</v>
      </c>
      <c r="C13704" s="7">
        <f>IFERROR(__xludf.DUMMYFUNCTION("""COMPUTED_VALUE"""),7.75272)</f>
        <v>7.75272</v>
      </c>
      <c r="D13704" s="7">
        <f>IFERROR(__xludf.DUMMYFUNCTION("""COMPUTED_VALUE"""),0.296875)</f>
        <v>0.296875</v>
      </c>
    </row>
    <row r="13705">
      <c r="A13705" s="10" t="s">
        <v>15144</v>
      </c>
      <c r="B13705" s="7" t="str">
        <f>IFERROR(__xludf.DUMMYFUNCTION("SPLIT(A13705,"" "")"),"CN(CCN(Cc1ccccn1)c1ccc2c(CF)ccnc2c1)C(C)(C)C")</f>
        <v>CN(CCN(Cc1ccccn1)c1ccc2c(CF)ccnc2c1)C(C)(C)C</v>
      </c>
      <c r="C13705" s="7">
        <f>IFERROR(__xludf.DUMMYFUNCTION("""COMPUTED_VALUE"""),7.752717)</f>
        <v>7.752717</v>
      </c>
      <c r="D13705" s="7">
        <f>IFERROR(__xludf.DUMMYFUNCTION("""COMPUTED_VALUE"""),0.375)</f>
        <v>0.375</v>
      </c>
    </row>
    <row r="13706">
      <c r="A13706" s="10" t="s">
        <v>15145</v>
      </c>
      <c r="B13706" s="7" t="str">
        <f>IFERROR(__xludf.DUMMYFUNCTION("SPLIT(A13706,"" "")"),"Cc1cccnc1CN(Cc1ncccc1C)C1CCC(N(C)Cc2cc(-c3ccc4ncccc4c3)ccn2)CC1")</f>
        <v>Cc1cccnc1CN(Cc1ncccc1C)C1CCC(N(C)Cc2cc(-c3ccc4ncccc4c3)ccn2)CC1</v>
      </c>
      <c r="C13706" s="7">
        <f>IFERROR(__xludf.DUMMYFUNCTION("""COMPUTED_VALUE"""),7.752714)</f>
        <v>7.752714</v>
      </c>
      <c r="D13706" s="7">
        <f>IFERROR(__xludf.DUMMYFUNCTION("""COMPUTED_VALUE"""),0.32258064516129)</f>
        <v>0.3225806452</v>
      </c>
    </row>
    <row r="13707">
      <c r="A13707" s="10" t="s">
        <v>15146</v>
      </c>
      <c r="B13707" s="7" t="str">
        <f>IFERROR(__xludf.DUMMYFUNCTION("SPLIT(A13707,"" "")"),"CC(C)C1=CC2(C=CN1)C=C(c1ccccn1)C1C=CC=NC1C2c1ncccc1CN(Cc1ccccn1)C1CCC(N(C)c2ccc3nccc(CF)c3c2)CC1")</f>
        <v>CC(C)C1=CC2(C=CN1)C=C(c1ccccn1)C1C=CC=NC1C2c1ncccc1CN(Cc1ccccn1)C1CCC(N(C)c2ccc3nccc(CF)c3c2)CC1</v>
      </c>
      <c r="C13707" s="7">
        <f>IFERROR(__xludf.DUMMYFUNCTION("""COMPUTED_VALUE"""),7.7527113)</f>
        <v>7.7527113</v>
      </c>
      <c r="D13707" s="7">
        <f>IFERROR(__xludf.DUMMYFUNCTION("""COMPUTED_VALUE"""),0.225490196078431)</f>
        <v>0.2254901961</v>
      </c>
    </row>
    <row r="13708">
      <c r="A13708" s="10" t="s">
        <v>15147</v>
      </c>
      <c r="B13708" s="7" t="str">
        <f>IFERROR(__xludf.DUMMYFUNCTION("SPLIT(A13708,"" "")"),"Cc1cnc(CN(C)CC2=CCC(N(C)Cc3nc(C)c(C)cc3C)=CN2)cc1C")</f>
        <v>Cc1cnc(CN(C)CC2=CCC(N(C)Cc3nc(C)c(C)cc3C)=CN2)cc1C</v>
      </c>
      <c r="C13708" s="7">
        <f>IFERROR(__xludf.DUMMYFUNCTION("""COMPUTED_VALUE"""),7.752711)</f>
        <v>7.752711</v>
      </c>
      <c r="D13708" s="7">
        <f>IFERROR(__xludf.DUMMYFUNCTION("""COMPUTED_VALUE"""),0.275862068965517)</f>
        <v>0.275862069</v>
      </c>
    </row>
    <row r="13709">
      <c r="A13709" s="10" t="s">
        <v>15148</v>
      </c>
      <c r="B13709" s="7" t="str">
        <f>IFERROR(__xludf.DUMMYFUNCTION("SPLIT(A13709,"" "")"),"CN(CCN(Cc1ccccn1)c1ccc2nccc(CF)c2c1)C(C)(C)C")</f>
        <v>CN(CCN(Cc1ccccn1)c1ccc2nccc(CF)c2c1)C(C)(C)C</v>
      </c>
      <c r="C13709" s="7">
        <f>IFERROR(__xludf.DUMMYFUNCTION("""COMPUTED_VALUE"""),7.7527103)</f>
        <v>7.7527103</v>
      </c>
      <c r="D13709" s="7">
        <f>IFERROR(__xludf.DUMMYFUNCTION("""COMPUTED_VALUE"""),0.368421052631578)</f>
        <v>0.3684210526</v>
      </c>
    </row>
    <row r="13710">
      <c r="A13710" s="10" t="s">
        <v>15149</v>
      </c>
      <c r="B13710" s="7" t="str">
        <f>IFERROR(__xludf.DUMMYFUNCTION("SPLIT(A13710,"" "")"),"CC(C)N(Cc1ccccn1)C1CCCC(N(C)c2cccc3nc(C4=CCC=CN4)ccc23)C1")</f>
        <v>CC(C)N(Cc1ccccn1)C1CCCC(N(C)c2cccc3nc(C4=CCC=CN4)ccc23)C1</v>
      </c>
      <c r="C13710" s="7">
        <f>IFERROR(__xludf.DUMMYFUNCTION("""COMPUTED_VALUE"""),7.7527065)</f>
        <v>7.7527065</v>
      </c>
      <c r="D13710" s="7">
        <f>IFERROR(__xludf.DUMMYFUNCTION("""COMPUTED_VALUE"""),0.364864864864864)</f>
        <v>0.3648648649</v>
      </c>
    </row>
    <row r="13711">
      <c r="A13711" s="10" t="s">
        <v>15150</v>
      </c>
      <c r="B13711" s="7" t="str">
        <f>IFERROR(__xludf.DUMMYFUNCTION("SPLIT(A13711,"" "")"),"CNC1C(N(C)c2cccc3cc4c(nc23)CCC4)CCCC1N(Cc1nc(C)c(C)cc1C)C(c1ccccc1)c1ccccn1")</f>
        <v>CNC1C(N(C)c2cccc3cc4c(nc23)CCC4)CCCC1N(Cc1nc(C)c(C)cc1C)C(c1ccccc1)c1ccccn1</v>
      </c>
      <c r="C13711" s="7">
        <f>IFERROR(__xludf.DUMMYFUNCTION("""COMPUTED_VALUE"""),7.7527056)</f>
        <v>7.7527056</v>
      </c>
      <c r="D13711" s="7">
        <f>IFERROR(__xludf.DUMMYFUNCTION("""COMPUTED_VALUE"""),0.473684210526315)</f>
        <v>0.4736842105</v>
      </c>
    </row>
    <row r="13712">
      <c r="A13712" s="10" t="s">
        <v>15151</v>
      </c>
      <c r="B13712" s="7" t="str">
        <f>IFERROR(__xludf.DUMMYFUNCTION("SPLIT(A13712,"" "")"),"CC1(C)COC(c2ccc(CN(Cc3ccccn3)Cc3cccc(C(C)(C)C)n3)cn2)=N1")</f>
        <v>CC1(C)COC(c2ccc(CN(Cc3ccccn3)Cc3cccc(C(C)(C)C)n3)cn2)=N1</v>
      </c>
      <c r="C13712" s="7">
        <f>IFERROR(__xludf.DUMMYFUNCTION("""COMPUTED_VALUE"""),7.7527003)</f>
        <v>7.7527003</v>
      </c>
      <c r="D13712" s="7">
        <f>IFERROR(__xludf.DUMMYFUNCTION("""COMPUTED_VALUE"""),0.413793103448275)</f>
        <v>0.4137931034</v>
      </c>
    </row>
    <row r="13713">
      <c r="A13713" s="10" t="s">
        <v>15152</v>
      </c>
      <c r="B13713" s="7" t="str">
        <f>IFERROR(__xludf.DUMMYFUNCTION("SPLIT(A13713,"" "")"),"Fc1ccccc1N(Cc1ccccn1)C1=CC=CNC1NCc1ccccn1")</f>
        <v>Fc1ccccc1N(Cc1ccccn1)C1=CC=CNC1NCc1ccccn1</v>
      </c>
      <c r="C13713" s="7">
        <f>IFERROR(__xludf.DUMMYFUNCTION("""COMPUTED_VALUE"""),7.752695)</f>
        <v>7.752695</v>
      </c>
      <c r="D13713" s="7">
        <f>IFERROR(__xludf.DUMMYFUNCTION("""COMPUTED_VALUE"""),0.383333333333333)</f>
        <v>0.3833333333</v>
      </c>
    </row>
    <row r="13714">
      <c r="A13714" s="10" t="s">
        <v>15153</v>
      </c>
      <c r="B13714" s="7" t="str">
        <f>IFERROR(__xludf.DUMMYFUNCTION("SPLIT(A13714,"" "")"),"Cc1cc(C)c(CN(C)C2=CCC=C(CN(C)Cc3cccnc3F)N2)nc1C")</f>
        <v>Cc1cc(C)c(CN(C)C2=CCC=C(CN(C)Cc3cccnc3F)N2)nc1C</v>
      </c>
      <c r="C13714" s="7">
        <f>IFERROR(__xludf.DUMMYFUNCTION("""COMPUTED_VALUE"""),7.7526927)</f>
        <v>7.7526927</v>
      </c>
      <c r="D13714" s="7">
        <f>IFERROR(__xludf.DUMMYFUNCTION("""COMPUTED_VALUE"""),0.301587301587301)</f>
        <v>0.3015873016</v>
      </c>
    </row>
    <row r="13715">
      <c r="A13715" s="10" t="s">
        <v>15154</v>
      </c>
      <c r="B13715" s="7" t="str">
        <f>IFERROR(__xludf.DUMMYFUNCTION("SPLIT(A13715,"" "")"),"Cc1cnc(CN(C)CC2=CCC(N(C)Cc3ncc(C)c(C)c3C)=CN2)c(C)c1")</f>
        <v>Cc1cnc(CN(C)CC2=CCC(N(C)Cc3ncc(C)c(C)c3C)=CN2)c(C)c1</v>
      </c>
      <c r="C13715" s="7">
        <f>IFERROR(__xludf.DUMMYFUNCTION("""COMPUTED_VALUE"""),7.7526927)</f>
        <v>7.7526927</v>
      </c>
      <c r="D13715" s="7">
        <f>IFERROR(__xludf.DUMMYFUNCTION("""COMPUTED_VALUE"""),0.258620689655172)</f>
        <v>0.2586206897</v>
      </c>
    </row>
    <row r="13716">
      <c r="A13716" s="10" t="s">
        <v>15155</v>
      </c>
      <c r="B13716" s="7" t="str">
        <f>IFERROR(__xludf.DUMMYFUNCTION("SPLIT(A13716,"" "")"),"CN(CCCN(Cc1ccccn1)c1cccc2cc(CF)cnc12)Cc1ccccn1")</f>
        <v>CN(CCCN(Cc1ccccn1)c1cccc2cc(CF)cnc12)Cc1ccccn1</v>
      </c>
      <c r="C13716" s="7">
        <f>IFERROR(__xludf.DUMMYFUNCTION("""COMPUTED_VALUE"""),7.752689)</f>
        <v>7.752689</v>
      </c>
      <c r="D13716" s="7">
        <f>IFERROR(__xludf.DUMMYFUNCTION("""COMPUTED_VALUE"""),0.403508771929824)</f>
        <v>0.4035087719</v>
      </c>
    </row>
    <row r="13717">
      <c r="A13717" s="10" t="s">
        <v>15156</v>
      </c>
      <c r="B13717" s="7" t="str">
        <f>IFERROR(__xludf.DUMMYFUNCTION("SPLIT(A13717,"" "")"),"Cc1ccccc1CN(C)Cc1cccc(C(C)(c2ccccn2)c2ccccn2)n1")</f>
        <v>Cc1ccccc1CN(C)Cc1cccc(C(C)(c2ccccn2)c2ccccn2)n1</v>
      </c>
      <c r="C13717" s="7">
        <f>IFERROR(__xludf.DUMMYFUNCTION("""COMPUTED_VALUE"""),7.752682)</f>
        <v>7.752682</v>
      </c>
      <c r="D13717" s="7">
        <f>IFERROR(__xludf.DUMMYFUNCTION("""COMPUTED_VALUE"""),0.46938775510204)</f>
        <v>0.4693877551</v>
      </c>
    </row>
    <row r="13718">
      <c r="A13718" s="10" t="s">
        <v>15157</v>
      </c>
      <c r="B13718" s="7" t="str">
        <f>IFERROR(__xludf.DUMMYFUNCTION("SPLIT(A13718,"" "")"),"Cc1cnc(CN(C)C2=C(CN(C)Cc3nc(C)c(C)cc3C)NC=CC2)c(C)c1")</f>
        <v>Cc1cnc(CN(C)C2=C(CN(C)Cc3nc(C)c(C)cc3C)NC=CC2)c(C)c1</v>
      </c>
      <c r="C13718" s="7">
        <f>IFERROR(__xludf.DUMMYFUNCTION("""COMPUTED_VALUE"""),7.7526703)</f>
        <v>7.7526703</v>
      </c>
      <c r="D13718" s="7">
        <f>IFERROR(__xludf.DUMMYFUNCTION("""COMPUTED_VALUE"""),0.233333333333333)</f>
        <v>0.2333333333</v>
      </c>
    </row>
    <row r="13719">
      <c r="A13719" s="10" t="s">
        <v>15158</v>
      </c>
      <c r="B13719" s="7" t="str">
        <f>IFERROR(__xludf.DUMMYFUNCTION("SPLIT(A13719,"" "")"),"COC(=O)c1ncccc1CN(Cc1ccccn1)C1CCCCC1N(C)c1cccc2ncc(CN(C)C)cc12")</f>
        <v>COC(=O)c1ncccc1CN(Cc1ccccn1)C1CCCCC1N(C)c1cccc2ncc(CN(C)C)cc12</v>
      </c>
      <c r="C13719" s="7">
        <f>IFERROR(__xludf.DUMMYFUNCTION("""COMPUTED_VALUE"""),7.75267)</f>
        <v>7.75267</v>
      </c>
      <c r="D13719" s="7">
        <f>IFERROR(__xludf.DUMMYFUNCTION("""COMPUTED_VALUE"""),0.356164383561643)</f>
        <v>0.3561643836</v>
      </c>
    </row>
    <row r="13720">
      <c r="A13720" s="10" t="s">
        <v>15159</v>
      </c>
      <c r="B13720" s="7" t="str">
        <f>IFERROR(__xludf.DUMMYFUNCTION("SPLIT(A13720,"" "")"),"CC1C=CC(C)C(C)(c2cc(CN(Cc3ccccn3)Cc3cccc(-c4cccc(N=Cc5ccccn5)c4)n3)ccn2)C1C")</f>
        <v>CC1C=CC(C)C(C)(c2cc(CN(Cc3ccccn3)Cc3cccc(-c4cccc(N=Cc5ccccn5)c4)n3)ccn2)C1C</v>
      </c>
      <c r="C13720" s="7">
        <f>IFERROR(__xludf.DUMMYFUNCTION("""COMPUTED_VALUE"""),7.7526655)</f>
        <v>7.7526655</v>
      </c>
      <c r="D13720" s="7">
        <f>IFERROR(__xludf.DUMMYFUNCTION("""COMPUTED_VALUE"""),0.415584415584415)</f>
        <v>0.4155844156</v>
      </c>
    </row>
    <row r="13721">
      <c r="A13721" s="10" t="s">
        <v>15160</v>
      </c>
      <c r="B13721" s="7" t="str">
        <f>IFERROR(__xludf.DUMMYFUNCTION("SPLIT(A13721,"" "")"),"CN(Cc1cccc(-c2ccccc2)n1)C1CCC(N(C)c2ccc3cc(CF)cnc3c2)CC1")</f>
        <v>CN(Cc1cccc(-c2ccccc2)n1)C1CCC(N(C)c2ccc3cc(CF)cnc3c2)CC1</v>
      </c>
      <c r="C13721" s="7">
        <f>IFERROR(__xludf.DUMMYFUNCTION("""COMPUTED_VALUE"""),7.7526617)</f>
        <v>7.7526617</v>
      </c>
      <c r="D13721" s="7">
        <f>IFERROR(__xludf.DUMMYFUNCTION("""COMPUTED_VALUE"""),0.323076923076923)</f>
        <v>0.3230769231</v>
      </c>
    </row>
    <row r="13722">
      <c r="A13722" s="10" t="s">
        <v>15161</v>
      </c>
      <c r="B13722" s="7" t="str">
        <f>IFERROR(__xludf.DUMMYFUNCTION("SPLIT(A13722,"" "")"),"Cc1ccnc(C2CCC2(C)C)c1C(C)(C)c1cccc(C2=NC(C)(C)CO2)n1")</f>
        <v>Cc1ccnc(C2CCC2(C)C)c1C(C)(C)c1cccc(C2=NC(C)(C)CO2)n1</v>
      </c>
      <c r="C13722" s="7">
        <f>IFERROR(__xludf.DUMMYFUNCTION("""COMPUTED_VALUE"""),7.752649)</f>
        <v>7.752649</v>
      </c>
      <c r="D13722" s="7">
        <f>IFERROR(__xludf.DUMMYFUNCTION("""COMPUTED_VALUE"""),0.462962962962962)</f>
        <v>0.462962963</v>
      </c>
    </row>
    <row r="13723">
      <c r="A13723" s="10" t="s">
        <v>15162</v>
      </c>
      <c r="B13723" s="7" t="str">
        <f>IFERROR(__xludf.DUMMYFUNCTION("SPLIT(A13723,"" "")"),"CC1(C)COC(c2ncccc2CN(Cc2ccccn2)Cc2ccccn2)=N1")</f>
        <v>CC1(C)COC(c2ncccc2CN(Cc2ccccn2)Cc2ccccn2)=N1</v>
      </c>
      <c r="C13723" s="7">
        <f>IFERROR(__xludf.DUMMYFUNCTION("""COMPUTED_VALUE"""),7.752648)</f>
        <v>7.752648</v>
      </c>
      <c r="D13723" s="7">
        <f>IFERROR(__xludf.DUMMYFUNCTION("""COMPUTED_VALUE"""),0.476190476190476)</f>
        <v>0.4761904762</v>
      </c>
    </row>
    <row r="13724">
      <c r="A13724" s="10" t="s">
        <v>15163</v>
      </c>
      <c r="B13724" s="7" t="str">
        <f>IFERROR(__xludf.DUMMYFUNCTION("SPLIT(A13724,"" "")"),"CNc1cc(C)c(CN(Cc2cc(C)ccn2)C2CCC(N(C)c3ccc4nccc(CF)c4c3)CC2)cn1")</f>
        <v>CNc1cc(C)c(CN(Cc2cc(C)ccn2)C2CCC(N(C)c3ccc4nccc(CF)c4c3)CC2)cn1</v>
      </c>
      <c r="C13724" s="7">
        <f>IFERROR(__xludf.DUMMYFUNCTION("""COMPUTED_VALUE"""),7.7526464)</f>
        <v>7.7526464</v>
      </c>
      <c r="D13724" s="7">
        <f>IFERROR(__xludf.DUMMYFUNCTION("""COMPUTED_VALUE"""),0.236842105263157)</f>
        <v>0.2368421053</v>
      </c>
    </row>
    <row r="13725">
      <c r="A13725" s="10" t="s">
        <v>15164</v>
      </c>
      <c r="B13725" s="7" t="str">
        <f>IFERROR(__xludf.DUMMYFUNCTION("SPLIT(A13725,"" "")"),"Cc1cccc(N(Cc2ccccn2)C2CCC(N(C)c3ccc4nc(CN(C)C)ccc4c3)CC2)c1")</f>
        <v>Cc1cccc(N(Cc2ccccn2)C2CCC(N(C)c3ccc4nc(CN(C)C)ccc4c3)CC2)c1</v>
      </c>
      <c r="C13725" s="7">
        <f>IFERROR(__xludf.DUMMYFUNCTION("""COMPUTED_VALUE"""),7.7526436)</f>
        <v>7.7526436</v>
      </c>
      <c r="D13725" s="7">
        <f>IFERROR(__xludf.DUMMYFUNCTION("""COMPUTED_VALUE"""),0.393442622950819)</f>
        <v>0.393442623</v>
      </c>
    </row>
    <row r="13726">
      <c r="A13726" s="10" t="s">
        <v>15165</v>
      </c>
      <c r="B13726" s="7" t="str">
        <f>IFERROR(__xludf.DUMMYFUNCTION("SPLIT(A13726,"" "")"),"CCN(Cc1cc(C2=NC(C)(C)CO2)ccn1)Cc1nc(C)c(C)c(C)c1C")</f>
        <v>CCN(Cc1cc(C2=NC(C)(C)CO2)ccn1)Cc1nc(C)c(C)c(C)c1C</v>
      </c>
      <c r="C13726" s="7">
        <f>IFERROR(__xludf.DUMMYFUNCTION("""COMPUTED_VALUE"""),7.7526436)</f>
        <v>7.7526436</v>
      </c>
      <c r="D13726" s="7">
        <f>IFERROR(__xludf.DUMMYFUNCTION("""COMPUTED_VALUE"""),0.327586206896551)</f>
        <v>0.3275862069</v>
      </c>
    </row>
    <row r="13727">
      <c r="A13727" s="10" t="s">
        <v>15166</v>
      </c>
      <c r="B13727" s="7" t="str">
        <f>IFERROR(__xludf.DUMMYFUNCTION("SPLIT(A13727,"" "")"),"CN(Cc1ccccn1)C1=CNC=C(CN(C)C(C)(c2cccnc2)c2ccccn2)C1")</f>
        <v>CN(Cc1ccccn1)C1=CNC=C(CN(C)C(C)(c2cccnc2)c2ccccn2)C1</v>
      </c>
      <c r="C13727" s="7">
        <f>IFERROR(__xludf.DUMMYFUNCTION("""COMPUTED_VALUE"""),7.7526436)</f>
        <v>7.7526436</v>
      </c>
      <c r="D13727" s="7">
        <f>IFERROR(__xludf.DUMMYFUNCTION("""COMPUTED_VALUE"""),0.360655737704918)</f>
        <v>0.3606557377</v>
      </c>
    </row>
    <row r="13728">
      <c r="A13728" s="10" t="s">
        <v>15167</v>
      </c>
      <c r="B13728" s="7" t="str">
        <f>IFERROR(__xludf.DUMMYFUNCTION("SPLIT(A13728,"" "")"),"Cc1c(NCc2ccccn2)ccc(C(C)(C)C)c1C")</f>
        <v>Cc1c(NCc2ccccn2)ccc(C(C)(C)C)c1C</v>
      </c>
      <c r="C13728" s="7">
        <f>IFERROR(__xludf.DUMMYFUNCTION("""COMPUTED_VALUE"""),7.752641)</f>
        <v>7.752641</v>
      </c>
      <c r="D13728" s="7">
        <f>IFERROR(__xludf.DUMMYFUNCTION("""COMPUTED_VALUE"""),0.425)</f>
        <v>0.425</v>
      </c>
    </row>
    <row r="13729">
      <c r="A13729" s="10" t="s">
        <v>15168</v>
      </c>
      <c r="B13729" s="7" t="str">
        <f>IFERROR(__xludf.DUMMYFUNCTION("SPLIT(A13729,"" "")"),"CNC1=CNC2(CCC2C)C(NCc2ccccn2)=C1N(C)Cc1ccccn1")</f>
        <v>CNC1=CNC2(CCC2C)C(NCc2ccccn2)=C1N(C)Cc1ccccn1</v>
      </c>
      <c r="C13729" s="7">
        <f>IFERROR(__xludf.DUMMYFUNCTION("""COMPUTED_VALUE"""),7.7526383)</f>
        <v>7.7526383</v>
      </c>
      <c r="D13729" s="7">
        <f>IFERROR(__xludf.DUMMYFUNCTION("""COMPUTED_VALUE"""),0.354838709677419)</f>
        <v>0.3548387097</v>
      </c>
    </row>
    <row r="13730">
      <c r="A13730" s="10" t="s">
        <v>15169</v>
      </c>
      <c r="B13730" s="7" t="str">
        <f>IFERROR(__xludf.DUMMYFUNCTION("SPLIT(A13730,"" "")"),"Cc1cc(CN(C)C2=CNC(CN(Cc3cc(C)c(C)c(C)n3)C(C)C)=CC2)nc(C)c1C")</f>
        <v>Cc1cc(CN(C)C2=CNC(CN(Cc3cc(C)c(C)c(C)n3)C(C)C)=CC2)nc(C)c1C</v>
      </c>
      <c r="C13730" s="7">
        <f>IFERROR(__xludf.DUMMYFUNCTION("""COMPUTED_VALUE"""),7.7526336)</f>
        <v>7.7526336</v>
      </c>
      <c r="D13730" s="7">
        <f>IFERROR(__xludf.DUMMYFUNCTION("""COMPUTED_VALUE"""),0.241379310344827)</f>
        <v>0.2413793103</v>
      </c>
    </row>
    <row r="13731">
      <c r="A13731" s="10" t="s">
        <v>15170</v>
      </c>
      <c r="B13731" s="7" t="str">
        <f>IFERROR(__xludf.DUMMYFUNCTION("SPLIT(A13731,"" "")"),"Cc1cc(C)c2cccc(N(C)C3CCC(N(C)Cc4ccon4)CC3)c2n1")</f>
        <v>Cc1cc(C)c2cccc(N(C)C3CCC(N(C)Cc4ccon4)CC3)c2n1</v>
      </c>
      <c r="C13731" s="7">
        <f>IFERROR(__xludf.DUMMYFUNCTION("""COMPUTED_VALUE"""),7.75263)</f>
        <v>7.75263</v>
      </c>
      <c r="D13731" s="7">
        <f>IFERROR(__xludf.DUMMYFUNCTION("""COMPUTED_VALUE"""),0.345454545454545)</f>
        <v>0.3454545455</v>
      </c>
    </row>
    <row r="13732">
      <c r="A13732" s="10" t="s">
        <v>15171</v>
      </c>
      <c r="B13732" s="7" t="str">
        <f>IFERROR(__xludf.DUMMYFUNCTION("SPLIT(A13732,"" "")"),"Cc1nc(CN(C)C2=C(CN(Cc3ccccn3)Cc3ccccn3)NC=CC2)c(C)c(C)c1C")</f>
        <v>Cc1nc(CN(C)C2=C(CN(Cc3ccccn3)Cc3ccccn3)NC=CC2)c(C)c(C)c1C</v>
      </c>
      <c r="C13732" s="7">
        <f>IFERROR(__xludf.DUMMYFUNCTION("""COMPUTED_VALUE"""),7.7526298)</f>
        <v>7.7526298</v>
      </c>
      <c r="D13732" s="7">
        <f>IFERROR(__xludf.DUMMYFUNCTION("""COMPUTED_VALUE"""),0.433333333333333)</f>
        <v>0.4333333333</v>
      </c>
    </row>
    <row r="13733">
      <c r="A13733" s="10" t="s">
        <v>15172</v>
      </c>
      <c r="B13733" s="7" t="str">
        <f>IFERROR(__xludf.DUMMYFUNCTION("SPLIT(A13733,"" "")"),"Cc1ccc(C)c(CN(C)C2=CNC(CN(C)Cc3cc(C)c(C)c(C)n3)=CC2)n1")</f>
        <v>Cc1ccc(C)c(CN(C)C2=CNC(CN(C)Cc3cc(C)c(C)c(C)n3)=CC2)n1</v>
      </c>
      <c r="C13733" s="7">
        <f>IFERROR(__xludf.DUMMYFUNCTION("""COMPUTED_VALUE"""),7.752614)</f>
        <v>7.752614</v>
      </c>
      <c r="D13733" s="7">
        <f>IFERROR(__xludf.DUMMYFUNCTION("""COMPUTED_VALUE"""),0.271186440677966)</f>
        <v>0.2711864407</v>
      </c>
    </row>
    <row r="13734">
      <c r="A13734" s="10" t="s">
        <v>15173</v>
      </c>
      <c r="B13734" s="7" t="str">
        <f>IFERROR(__xludf.DUMMYFUNCTION("SPLIT(A13734,"" "")"),"COC1(C)N=COC1c1ncccc1C1=NCC(C)(C)O1")</f>
        <v>COC1(C)N=COC1c1ncccc1C1=NCC(C)(C)O1</v>
      </c>
      <c r="C13734" s="7">
        <f>IFERROR(__xludf.DUMMYFUNCTION("""COMPUTED_VALUE"""),7.7526093)</f>
        <v>7.7526093</v>
      </c>
      <c r="D13734" s="7">
        <f>IFERROR(__xludf.DUMMYFUNCTION("""COMPUTED_VALUE"""),0.203125)</f>
        <v>0.203125</v>
      </c>
    </row>
    <row r="13735">
      <c r="A13735" s="10" t="s">
        <v>15174</v>
      </c>
      <c r="B13735" s="7" t="str">
        <f>IFERROR(__xludf.DUMMYFUNCTION("SPLIT(A13735,"" "")"),"CN(Cc1cccc(C2=CCC=CN2)n1)C1CCC(N(C)c2cccc3nc(CF)ccc23)CC1")</f>
        <v>CN(Cc1cccc(C2=CCC=CN2)n1)C1CCC(N(C)c2cccc3nc(CF)ccc23)CC1</v>
      </c>
      <c r="C13735" s="7">
        <f>IFERROR(__xludf.DUMMYFUNCTION("""COMPUTED_VALUE"""),7.752594)</f>
        <v>7.752594</v>
      </c>
      <c r="D13735" s="7">
        <f>IFERROR(__xludf.DUMMYFUNCTION("""COMPUTED_VALUE"""),0.333333333333333)</f>
        <v>0.3333333333</v>
      </c>
    </row>
    <row r="13736">
      <c r="A13736" s="10" t="s">
        <v>15175</v>
      </c>
      <c r="B13736" s="7" t="str">
        <f>IFERROR(__xludf.DUMMYFUNCTION("SPLIT(A13736,"" "")"),"Cc1cnc(CN(C)C2=CNC(CN(Cc3ccccn3)Cc3nc(C)ccc3C)=CC2)c(C)c1")</f>
        <v>Cc1cnc(CN(C)C2=CNC(CN(Cc3ccccn3)Cc3nc(C)ccc3C)=CC2)c(C)c1</v>
      </c>
      <c r="C13736" s="7">
        <f>IFERROR(__xludf.DUMMYFUNCTION("""COMPUTED_VALUE"""),7.752593)</f>
        <v>7.752593</v>
      </c>
      <c r="D13736" s="7">
        <f>IFERROR(__xludf.DUMMYFUNCTION("""COMPUTED_VALUE"""),0.397058823529411)</f>
        <v>0.3970588235</v>
      </c>
    </row>
    <row r="13737">
      <c r="A13737" s="10" t="s">
        <v>15176</v>
      </c>
      <c r="B13737" s="7" t="str">
        <f>IFERROR(__xludf.DUMMYFUNCTION("SPLIT(A13737,"" "")"),"CN(C)c1ccccc1-c1cc(CN(Cc2ccccn2)C2(C)CCC2)ccn1")</f>
        <v>CN(C)c1ccccc1-c1cc(CN(Cc2ccccn2)C2(C)CCC2)ccn1</v>
      </c>
      <c r="C13737" s="7">
        <f>IFERROR(__xludf.DUMMYFUNCTION("""COMPUTED_VALUE"""),7.7525883)</f>
        <v>7.7525883</v>
      </c>
      <c r="D13737" s="7">
        <f>IFERROR(__xludf.DUMMYFUNCTION("""COMPUTED_VALUE"""),0.392857142857142)</f>
        <v>0.3928571429</v>
      </c>
    </row>
    <row r="13738">
      <c r="A13738" s="10" t="s">
        <v>15177</v>
      </c>
      <c r="B13738" s="7" t="str">
        <f>IFERROR(__xludf.DUMMYFUNCTION("SPLIT(A13738,"" "")"),"Cc1ccc2nc(CN(C)c3ccc4nc(CN(C)Cc5ncccc5-c5ccc6c(c5)OCCOCCOCCOCCOCCO6)ccc4c3)ccc2c1")</f>
        <v>Cc1ccc2nc(CN(C)c3ccc4nc(CN(C)Cc5ncccc5-c5ccc6c(c5)OCCOCCOCCOCCOCCO6)ccc4c3)ccc2c1</v>
      </c>
      <c r="C13738" s="7">
        <f>IFERROR(__xludf.DUMMYFUNCTION("""COMPUTED_VALUE"""),7.752587)</f>
        <v>7.752587</v>
      </c>
      <c r="D13738" s="7">
        <f>IFERROR(__xludf.DUMMYFUNCTION("""COMPUTED_VALUE"""),0.304878048780487)</f>
        <v>0.3048780488</v>
      </c>
    </row>
    <row r="13739">
      <c r="A13739" s="10" t="s">
        <v>15178</v>
      </c>
      <c r="B13739" s="7" t="str">
        <f>IFERROR(__xludf.DUMMYFUNCTION("SPLIT(A13739,"" "")"),"CC(C)c1cccc(CN(Cc2cccc(C3=NC(C)(C)CO3)n2)Cc2cccc(C(C)(C)C)n2)n1")</f>
        <v>CC(C)c1cccc(CN(Cc2cccc(C3=NC(C)(C)CO3)n2)Cc2cccc(C(C)(C)C)n2)n1</v>
      </c>
      <c r="C13739" s="7">
        <f>IFERROR(__xludf.DUMMYFUNCTION("""COMPUTED_VALUE"""),7.752586)</f>
        <v>7.752586</v>
      </c>
      <c r="D13739" s="7">
        <f>IFERROR(__xludf.DUMMYFUNCTION("""COMPUTED_VALUE"""),0.48076923076923)</f>
        <v>0.4807692308</v>
      </c>
    </row>
    <row r="13740">
      <c r="A13740" s="10" t="s">
        <v>15179</v>
      </c>
      <c r="B13740" s="7" t="str">
        <f>IFERROR(__xludf.DUMMYFUNCTION("SPLIT(A13740,"" "")"),"CCNc1ccccc1-c1ncccc1C(C)c1ccccc1")</f>
        <v>CCNc1ccccc1-c1ncccc1C(C)c1ccccc1</v>
      </c>
      <c r="C13740" s="7">
        <f>IFERROR(__xludf.DUMMYFUNCTION("""COMPUTED_VALUE"""),7.7525854)</f>
        <v>7.7525854</v>
      </c>
      <c r="D13740" s="7">
        <f>IFERROR(__xludf.DUMMYFUNCTION("""COMPUTED_VALUE"""),0.271186440677966)</f>
        <v>0.2711864407</v>
      </c>
    </row>
    <row r="13741">
      <c r="A13741" s="10" t="s">
        <v>15180</v>
      </c>
      <c r="B13741" s="7" t="str">
        <f>IFERROR(__xludf.DUMMYFUNCTION("SPLIT(A13741,"" "")"),"Cc1ccc(CN(C)C2=C(CN(C)Cc3nc(C)c(C)c(C)c3C)NC=CC2)nc1C")</f>
        <v>Cc1ccc(CN(C)C2=C(CN(C)Cc3nc(C)c(C)c(C)c3C)NC=CC2)nc1C</v>
      </c>
      <c r="C13741" s="7">
        <f>IFERROR(__xludf.DUMMYFUNCTION("""COMPUTED_VALUE"""),7.752574)</f>
        <v>7.752574</v>
      </c>
      <c r="D13741" s="7">
        <f>IFERROR(__xludf.DUMMYFUNCTION("""COMPUTED_VALUE"""),0.233333333333333)</f>
        <v>0.2333333333</v>
      </c>
    </row>
    <row r="13742">
      <c r="A13742" s="10" t="s">
        <v>15181</v>
      </c>
      <c r="B13742" s="7" t="str">
        <f>IFERROR(__xludf.DUMMYFUNCTION("SPLIT(A13742,"" "")"),"CN(CCN(C)c1cccc2ncccc12)CC(C)(C)C")</f>
        <v>CN(CCN(C)c1cccc2ncccc12)CC(C)(C)C</v>
      </c>
      <c r="C13742" s="7">
        <f>IFERROR(__xludf.DUMMYFUNCTION("""COMPUTED_VALUE"""),7.752574)</f>
        <v>7.752574</v>
      </c>
      <c r="D13742" s="7">
        <f>IFERROR(__xludf.DUMMYFUNCTION("""COMPUTED_VALUE"""),0.488372093023255)</f>
        <v>0.488372093</v>
      </c>
    </row>
    <row r="13743">
      <c r="A13743" s="10" t="s">
        <v>15182</v>
      </c>
      <c r="B13743" s="7" t="str">
        <f>IFERROR(__xludf.DUMMYFUNCTION("SPLIT(A13743,"" "")"),"Cc1cnc(CN(C)C2=C(CN(C)Cc3cc(C)c(C)c(C)n3)NC=CC2)c(C)c1")</f>
        <v>Cc1cnc(CN(C)C2=C(CN(C)Cc3cc(C)c(C)c(C)n3)NC=CC2)c(C)c1</v>
      </c>
      <c r="C13743" s="7">
        <f>IFERROR(__xludf.DUMMYFUNCTION("""COMPUTED_VALUE"""),7.7525716)</f>
        <v>7.7525716</v>
      </c>
      <c r="D13743" s="7">
        <f>IFERROR(__xludf.DUMMYFUNCTION("""COMPUTED_VALUE"""),0.262295081967213)</f>
        <v>0.262295082</v>
      </c>
    </row>
    <row r="13744">
      <c r="A13744" s="10" t="s">
        <v>15183</v>
      </c>
      <c r="B13744" s="7" t="str">
        <f>IFERROR(__xludf.DUMMYFUNCTION("SPLIT(A13744,"" "")"),"Cc1ncccc1CN(C)Cc1cccnc1N(C)O")</f>
        <v>Cc1ncccc1CN(C)Cc1cccnc1N(C)O</v>
      </c>
      <c r="C13744" s="7">
        <f>IFERROR(__xludf.DUMMYFUNCTION("""COMPUTED_VALUE"""),7.7525673)</f>
        <v>7.7525673</v>
      </c>
      <c r="D13744" s="7">
        <f>IFERROR(__xludf.DUMMYFUNCTION("""COMPUTED_VALUE"""),0.41860465116279)</f>
        <v>0.4186046512</v>
      </c>
    </row>
    <row r="13745">
      <c r="A13745" s="10" t="s">
        <v>15184</v>
      </c>
      <c r="B13745" s="7" t="str">
        <f>IFERROR(__xludf.DUMMYFUNCTION("SPLIT(A13745,"" "")"),"COC(=O)c1cccc(CNCc2cc(C(=O)C(C)NCc3ccccn3)ccn2)n1")</f>
        <v>COC(=O)c1cccc(CNCc2cc(C(=O)C(C)NCc3ccccn3)ccn2)n1</v>
      </c>
      <c r="C13745" s="7">
        <f>IFERROR(__xludf.DUMMYFUNCTION("""COMPUTED_VALUE"""),7.7525606)</f>
        <v>7.7525606</v>
      </c>
      <c r="D13745" s="7">
        <f>IFERROR(__xludf.DUMMYFUNCTION("""COMPUTED_VALUE"""),0.345454545454545)</f>
        <v>0.3454545455</v>
      </c>
    </row>
    <row r="13746">
      <c r="A13746" s="10" t="s">
        <v>15185</v>
      </c>
      <c r="B13746" s="7" t="str">
        <f>IFERROR(__xludf.DUMMYFUNCTION("SPLIT(A13746,"" "")"),"CC1=CC(C)C(N(Cc2ccccn2)Cc2cccc(-c3cccc(N=Cc4ccccn4)c3)n2)C(C)C1")</f>
        <v>CC1=CC(C)C(N(Cc2ccccn2)Cc2cccc(-c3cccc(N=Cc4ccccn4)c3)n2)C(C)C1</v>
      </c>
      <c r="C13746" s="7">
        <f>IFERROR(__xludf.DUMMYFUNCTION("""COMPUTED_VALUE"""),7.752559)</f>
        <v>7.752559</v>
      </c>
      <c r="D13746" s="7">
        <f>IFERROR(__xludf.DUMMYFUNCTION("""COMPUTED_VALUE"""),0.397260273972602)</f>
        <v>0.397260274</v>
      </c>
    </row>
    <row r="13747">
      <c r="A13747" s="10" t="s">
        <v>15186</v>
      </c>
      <c r="B13747" s="7" t="str">
        <f>IFERROR(__xludf.DUMMYFUNCTION("SPLIT(A13747,"" "")"),"Cc1cc(N(Cc2ccccn2)C2CCCC(N(C)Cc3nc(C)c(C)c(C)c3C)C2)c2cccnc2c1")</f>
        <v>Cc1cc(N(Cc2ccccn2)C2CCCC(N(C)Cc3nc(C)c(C)c(C)c3C)C2)c2cccnc2c1</v>
      </c>
      <c r="C13747" s="7">
        <f>IFERROR(__xludf.DUMMYFUNCTION("""COMPUTED_VALUE"""),7.7525587)</f>
        <v>7.7525587</v>
      </c>
      <c r="D13747" s="7">
        <f>IFERROR(__xludf.DUMMYFUNCTION("""COMPUTED_VALUE"""),0.363636363636363)</f>
        <v>0.3636363636</v>
      </c>
    </row>
    <row r="13748">
      <c r="A13748" s="10" t="s">
        <v>15187</v>
      </c>
      <c r="B13748" s="7" t="str">
        <f>IFERROR(__xludf.DUMMYFUNCTION("SPLIT(A13748,"" "")"),"CN(c1cccc2ncccc12)C1CCCC(N(Cc2ccccn2)c2ccccc2F)C1")</f>
        <v>CN(c1cccc2ncccc12)C1CCCC(N(Cc2ccccn2)c2ccccc2F)C1</v>
      </c>
      <c r="C13748" s="7">
        <f>IFERROR(__xludf.DUMMYFUNCTION("""COMPUTED_VALUE"""),7.752555)</f>
        <v>7.752555</v>
      </c>
      <c r="D13748" s="7">
        <f>IFERROR(__xludf.DUMMYFUNCTION("""COMPUTED_VALUE"""),0.389830508474576)</f>
        <v>0.3898305085</v>
      </c>
    </row>
    <row r="13749">
      <c r="A13749" s="10" t="s">
        <v>15188</v>
      </c>
      <c r="B13749" s="7" t="str">
        <f>IFERROR(__xludf.DUMMYFUNCTION("SPLIT(A13749,"" "")"),"Cc1cc(C)c(C)c(CN(C)C2C=CNC(CN(C)c3ccccc3C)=C2)n1")</f>
        <v>Cc1cc(C)c(C)c(CN(C)C2C=CNC(CN(C)c3ccccc3C)=C2)n1</v>
      </c>
      <c r="C13749" s="7">
        <f>IFERROR(__xludf.DUMMYFUNCTION("""COMPUTED_VALUE"""),7.752553)</f>
        <v>7.752553</v>
      </c>
      <c r="D13749" s="7">
        <f>IFERROR(__xludf.DUMMYFUNCTION("""COMPUTED_VALUE"""),0.296875)</f>
        <v>0.296875</v>
      </c>
    </row>
    <row r="13750">
      <c r="A13750" s="10" t="s">
        <v>15189</v>
      </c>
      <c r="B13750" s="7" t="str">
        <f>IFERROR(__xludf.DUMMYFUNCTION("SPLIT(A13750,"" "")"),"Cc1cccnc1CN(C)C1=CCC=C(CN(C)Cc2cccnc2C)N1")</f>
        <v>Cc1cccnc1CN(C)C1=CCC=C(CN(C)Cc2cccnc2C)N1</v>
      </c>
      <c r="C13750" s="7">
        <f>IFERROR(__xludf.DUMMYFUNCTION("""COMPUTED_VALUE"""),7.752549)</f>
        <v>7.752549</v>
      </c>
      <c r="D13750" s="7">
        <f>IFERROR(__xludf.DUMMYFUNCTION("""COMPUTED_VALUE"""),0.310344827586206)</f>
        <v>0.3103448276</v>
      </c>
    </row>
    <row r="13751">
      <c r="A13751" s="10" t="s">
        <v>15190</v>
      </c>
      <c r="B13751" s="7" t="str">
        <f>IFERROR(__xludf.DUMMYFUNCTION("SPLIT(A13751,"" "")"),"CC1=CC(C)CC(N(C)Cc2cc(-c3cccc(N=Cc4ccccn4)c3)ccn2)C1C")</f>
        <v>CC1=CC(C)CC(N(C)Cc2cc(-c3cccc(N=Cc4ccccn4)c3)ccn2)C1C</v>
      </c>
      <c r="C13751" s="7">
        <f>IFERROR(__xludf.DUMMYFUNCTION("""COMPUTED_VALUE"""),7.752541)</f>
        <v>7.752541</v>
      </c>
      <c r="D13751" s="7">
        <f>IFERROR(__xludf.DUMMYFUNCTION("""COMPUTED_VALUE"""),0.348484848484848)</f>
        <v>0.3484848485</v>
      </c>
    </row>
    <row r="13752">
      <c r="A13752" s="10" t="s">
        <v>15191</v>
      </c>
      <c r="B13752" s="7" t="str">
        <f>IFERROR(__xludf.DUMMYFUNCTION("SPLIT(A13752,"" "")"),"CN(C)Cc1ccc2cc(N(C)CCN(C)CCF)ccc2n1")</f>
        <v>CN(C)Cc1ccc2cc(N(C)CCN(C)CCF)ccc2n1</v>
      </c>
      <c r="C13752" s="7">
        <f>IFERROR(__xludf.DUMMYFUNCTION("""COMPUTED_VALUE"""),7.752539)</f>
        <v>7.752539</v>
      </c>
      <c r="D13752" s="7">
        <f>IFERROR(__xludf.DUMMYFUNCTION("""COMPUTED_VALUE"""),0.347826086956521)</f>
        <v>0.347826087</v>
      </c>
    </row>
    <row r="13753">
      <c r="A13753" s="10" t="s">
        <v>15192</v>
      </c>
      <c r="B13753" s="7" t="str">
        <f>IFERROR(__xludf.DUMMYFUNCTION("SPLIT(A13753,"" "")"),"CCCN(CCN(Cc1ccccn1)c1ccc2nccc(C)c2c1)C(C)(C)C")</f>
        <v>CCCN(CCN(Cc1ccccn1)c1ccc2nccc(C)c2c1)C(C)(C)C</v>
      </c>
      <c r="C13753" s="7">
        <f>IFERROR(__xludf.DUMMYFUNCTION("""COMPUTED_VALUE"""),7.7525363)</f>
        <v>7.7525363</v>
      </c>
      <c r="D13753" s="7">
        <f>IFERROR(__xludf.DUMMYFUNCTION("""COMPUTED_VALUE"""),0.362068965517241)</f>
        <v>0.3620689655</v>
      </c>
    </row>
    <row r="13754">
      <c r="A13754" s="10" t="s">
        <v>15193</v>
      </c>
      <c r="B13754" s="7" t="str">
        <f>IFERROR(__xludf.DUMMYFUNCTION("SPLIT(A13754,"" "")"),"CCOC(=O)c1cccc(CN(Cc2ccccn2)Cc2cccc(C(C)(C)c3ccccn3)n2)n1")</f>
        <v>CCOC(=O)c1cccc(CN(Cc2ccccn2)Cc2cccc(C(C)(C)c3ccccn3)n2)n1</v>
      </c>
      <c r="C13754" s="7">
        <f>IFERROR(__xludf.DUMMYFUNCTION("""COMPUTED_VALUE"""),7.7525263)</f>
        <v>7.7525263</v>
      </c>
      <c r="D13754" s="7">
        <f>IFERROR(__xludf.DUMMYFUNCTION("""COMPUTED_VALUE"""),0.408163265306122)</f>
        <v>0.4081632653</v>
      </c>
    </row>
    <row r="13755">
      <c r="A13755" s="10" t="s">
        <v>15194</v>
      </c>
      <c r="B13755" s="7" t="str">
        <f>IFERROR(__xludf.DUMMYFUNCTION("SPLIT(A13755,"" "")"),"Cc1cnc(CN(C)Cc2nc(C)c(C)cc2C)c(C)c1")</f>
        <v>Cc1cnc(CN(C)Cc2nc(C)c(C)cc2C)c(C)c1</v>
      </c>
      <c r="C13755" s="7">
        <f>IFERROR(__xludf.DUMMYFUNCTION("""COMPUTED_VALUE"""),7.7525163)</f>
        <v>7.7525163</v>
      </c>
      <c r="D13755" s="7">
        <f>IFERROR(__xludf.DUMMYFUNCTION("""COMPUTED_VALUE"""),0.333333333333333)</f>
        <v>0.3333333333</v>
      </c>
    </row>
    <row r="13756">
      <c r="A13756" s="10" t="s">
        <v>15195</v>
      </c>
      <c r="B13756" s="7" t="str">
        <f>IFERROR(__xludf.DUMMYFUNCTION("SPLIT(A13756,"" "")"),"FCc1ccc(N(Cc2ccccn2)C2CCCCC2N(Cc2ccccn2)c2cccc3c(CF)ccnc23)cn1")</f>
        <v>FCc1ccc(N(Cc2ccccn2)C2CCCCC2N(Cc2ccccn2)c2cccc3c(CF)ccnc23)cn1</v>
      </c>
      <c r="C13756" s="7">
        <f>IFERROR(__xludf.DUMMYFUNCTION("""COMPUTED_VALUE"""),7.752511)</f>
        <v>7.752511</v>
      </c>
      <c r="D13756" s="7">
        <f>IFERROR(__xludf.DUMMYFUNCTION("""COMPUTED_VALUE"""),0.393442622950819)</f>
        <v>0.393442623</v>
      </c>
    </row>
    <row r="13757">
      <c r="A13757" s="10" t="s">
        <v>15196</v>
      </c>
      <c r="B13757" s="7" t="str">
        <f>IFERROR(__xludf.DUMMYFUNCTION("SPLIT(A13757,"" "")"),"CC1=CCc2cccnc2C12C=CNC(C(C)C)=C2")</f>
        <v>CC1=CCc2cccnc2C12C=CNC(C(C)C)=C2</v>
      </c>
      <c r="C13757" s="7">
        <f>IFERROR(__xludf.DUMMYFUNCTION("""COMPUTED_VALUE"""),7.752509)</f>
        <v>7.752509</v>
      </c>
      <c r="D13757" s="7">
        <f>IFERROR(__xludf.DUMMYFUNCTION("""COMPUTED_VALUE"""),0.224137931034482)</f>
        <v>0.224137931</v>
      </c>
    </row>
    <row r="13758">
      <c r="A13758" s="10" t="s">
        <v>15197</v>
      </c>
      <c r="B13758" s="7" t="str">
        <f>IFERROR(__xludf.DUMMYFUNCTION("SPLIT(A13758,"" "")"),"Cc1ccc(C2CCC2(C)C)nc1CN(Cc1ccccn1)C1CCC(N(C)c2ccc3nc(-c4ccccn4)ccc3c2)CC1")</f>
        <v>Cc1ccc(C2CCC2(C)C)nc1CN(Cc1ccccn1)C1CCC(N(C)c2ccc3nc(-c4ccccn4)ccc3c2)CC1</v>
      </c>
      <c r="C13758" s="7">
        <f>IFERROR(__xludf.DUMMYFUNCTION("""COMPUTED_VALUE"""),7.7525053)</f>
        <v>7.7525053</v>
      </c>
      <c r="D13758" s="7">
        <f>IFERROR(__xludf.DUMMYFUNCTION("""COMPUTED_VALUE"""),0.347222222222222)</f>
        <v>0.3472222222</v>
      </c>
    </row>
    <row r="13759">
      <c r="A13759" s="10" t="s">
        <v>15198</v>
      </c>
      <c r="B13759" s="7" t="str">
        <f>IFERROR(__xludf.DUMMYFUNCTION("SPLIT(A13759,"" "")"),"CC(C)N(CCN(C)c1ccc2ncccc2c1)Cc1ccccc1")</f>
        <v>CC(C)N(CCN(C)c1ccc2ncccc2c1)Cc1ccccc1</v>
      </c>
      <c r="C13759" s="7">
        <f>IFERROR(__xludf.DUMMYFUNCTION("""COMPUTED_VALUE"""),7.7524996)</f>
        <v>7.7524996</v>
      </c>
      <c r="D13759" s="7">
        <f>IFERROR(__xludf.DUMMYFUNCTION("""COMPUTED_VALUE"""),0.4375)</f>
        <v>0.4375</v>
      </c>
    </row>
    <row r="13760">
      <c r="A13760" s="10" t="s">
        <v>15199</v>
      </c>
      <c r="B13760" s="7" t="str">
        <f>IFERROR(__xludf.DUMMYFUNCTION("SPLIT(A13760,"" "")"),"Cc1cccnc1CN(C)Cc1cccc(N(C)C)n1")</f>
        <v>Cc1cccnc1CN(C)Cc1cccc(N(C)C)n1</v>
      </c>
      <c r="C13760" s="7">
        <f>IFERROR(__xludf.DUMMYFUNCTION("""COMPUTED_VALUE"""),7.7524977)</f>
        <v>7.7524977</v>
      </c>
      <c r="D13760" s="7">
        <f>IFERROR(__xludf.DUMMYFUNCTION("""COMPUTED_VALUE"""),0.456521739130434)</f>
        <v>0.4565217391</v>
      </c>
    </row>
    <row r="13761">
      <c r="A13761" s="10" t="s">
        <v>15200</v>
      </c>
      <c r="B13761" s="7" t="str">
        <f>IFERROR(__xludf.DUMMYFUNCTION("SPLIT(A13761,"" "")"),"Cc1ccc(CN(C)CC2=CCC(N(C)Cc3nc(C)c(C)c(C)c3C)=CN2)c(C)c1C")</f>
        <v>Cc1ccc(CN(C)CC2=CCC(N(C)Cc3nc(C)c(C)c(C)c3C)=CN2)c(C)c1C</v>
      </c>
      <c r="C13761" s="7">
        <f>IFERROR(__xludf.DUMMYFUNCTION("""COMPUTED_VALUE"""),7.7524943)</f>
        <v>7.7524943</v>
      </c>
      <c r="D13761" s="7">
        <f>IFERROR(__xludf.DUMMYFUNCTION("""COMPUTED_VALUE"""),0.203125)</f>
        <v>0.203125</v>
      </c>
    </row>
    <row r="13762">
      <c r="A13762" s="10" t="s">
        <v>15201</v>
      </c>
      <c r="B13762" s="7" t="str">
        <f>IFERROR(__xludf.DUMMYFUNCTION("SPLIT(A13762,"" "")"),"Cc1cnc(CN(C)Cc2cccc(N(C)C3C=CC=CN3)n2)c(C)c1")</f>
        <v>Cc1cnc(CN(C)Cc2cccc(N(C)C3C=CC=CN3)n2)c(C)c1</v>
      </c>
      <c r="C13762" s="7">
        <f>IFERROR(__xludf.DUMMYFUNCTION("""COMPUTED_VALUE"""),7.7524934)</f>
        <v>7.7524934</v>
      </c>
      <c r="D13762" s="7">
        <f>IFERROR(__xludf.DUMMYFUNCTION("""COMPUTED_VALUE"""),0.310344827586206)</f>
        <v>0.3103448276</v>
      </c>
    </row>
    <row r="13763">
      <c r="A13763" s="10" t="s">
        <v>15202</v>
      </c>
      <c r="B13763" s="7" t="str">
        <f>IFERROR(__xludf.DUMMYFUNCTION("SPLIT(A13763,"" "")"),"CC1=C(C)C(C)C(N(Cc2ccccn2)Cc2cc(-c3cccc(N=Cc4ccccn4)c3)ccn2)CC1")</f>
        <v>CC1=C(C)C(C)C(N(Cc2ccccn2)Cc2cc(-c3cccc(N=Cc4ccccn4)c3)ccn2)CC1</v>
      </c>
      <c r="C13763" s="7">
        <f>IFERROR(__xludf.DUMMYFUNCTION("""COMPUTED_VALUE"""),7.7524934)</f>
        <v>7.7524934</v>
      </c>
      <c r="D13763" s="7">
        <f>IFERROR(__xludf.DUMMYFUNCTION("""COMPUTED_VALUE"""),0.323529411764705)</f>
        <v>0.3235294118</v>
      </c>
    </row>
    <row r="13764">
      <c r="A13764" s="10" t="s">
        <v>15203</v>
      </c>
      <c r="B13764" s="7" t="str">
        <f>IFERROR(__xludf.DUMMYFUNCTION("SPLIT(A13764,"" "")"),"CN(CCN(C)C(C)(C)C)c1ccc2nccc(CF)c2c1")</f>
        <v>CN(CCN(C)C(C)(C)C)c1ccc2nccc(CF)c2c1</v>
      </c>
      <c r="C13764" s="7">
        <f>IFERROR(__xludf.DUMMYFUNCTION("""COMPUTED_VALUE"""),7.752486)</f>
        <v>7.752486</v>
      </c>
      <c r="D13764" s="7">
        <f>IFERROR(__xludf.DUMMYFUNCTION("""COMPUTED_VALUE"""),0.24074074074074)</f>
        <v>0.2407407407</v>
      </c>
    </row>
    <row r="13765">
      <c r="A13765" s="10" t="s">
        <v>15204</v>
      </c>
      <c r="B13765" s="7" t="str">
        <f>IFERROR(__xludf.DUMMYFUNCTION("SPLIT(A13765,"" "")"),"Cc1cc(NCc2ccccn2)ccc1-c1ccc(CN(C)C2CCCC(N(C)Cc3ccc4cccnc4c3)C2)cn1")</f>
        <v>Cc1cc(NCc2ccccn2)ccc1-c1ccc(CN(C)C2CCCC(N(C)Cc3ccc4cccnc4c3)C2)cn1</v>
      </c>
      <c r="C13765" s="7">
        <f>IFERROR(__xludf.DUMMYFUNCTION("""COMPUTED_VALUE"""),7.7524786)</f>
        <v>7.7524786</v>
      </c>
      <c r="D13765" s="7">
        <f>IFERROR(__xludf.DUMMYFUNCTION("""COMPUTED_VALUE"""),0.315068493150684)</f>
        <v>0.3150684932</v>
      </c>
    </row>
    <row r="13766">
      <c r="A13766" s="10" t="s">
        <v>15205</v>
      </c>
      <c r="B13766" s="7" t="str">
        <f>IFERROR(__xludf.DUMMYFUNCTION("SPLIT(A13766,"" "")"),"CN(Cc1ccccn1)c1ccc(CF)nc1")</f>
        <v>CN(Cc1ccccn1)c1ccc(CF)nc1</v>
      </c>
      <c r="C13766" s="7">
        <f>IFERROR(__xludf.DUMMYFUNCTION("""COMPUTED_VALUE"""),7.7524767)</f>
        <v>7.7524767</v>
      </c>
      <c r="D13766" s="7">
        <f>IFERROR(__xludf.DUMMYFUNCTION("""COMPUTED_VALUE"""),0.5)</f>
        <v>0.5</v>
      </c>
    </row>
    <row r="13767">
      <c r="A13767" s="10" t="s">
        <v>15206</v>
      </c>
      <c r="B13767" s="7" t="str">
        <f>IFERROR(__xludf.DUMMYFUNCTION("SPLIT(A13767,"" "")"),"Cc1ccc(C)c(CN(C)CC2=CCC=C(N(C)Cc3ccccn3)N2)n1")</f>
        <v>Cc1ccc(C)c(CN(C)CC2=CCC=C(N(C)Cc3ccccn3)N2)n1</v>
      </c>
      <c r="C13767" s="7">
        <f>IFERROR(__xludf.DUMMYFUNCTION("""COMPUTED_VALUE"""),7.752475)</f>
        <v>7.752475</v>
      </c>
      <c r="D13767" s="7">
        <f>IFERROR(__xludf.DUMMYFUNCTION("""COMPUTED_VALUE"""),0.372881355932203)</f>
        <v>0.3728813559</v>
      </c>
    </row>
    <row r="13768">
      <c r="A13768" s="10" t="s">
        <v>15207</v>
      </c>
      <c r="B13768" s="7" t="str">
        <f>IFERROR(__xludf.DUMMYFUNCTION("SPLIT(A13768,"" "")"),"Cc1cccc2ccc(CN(C)c3ccc4nc(CN(C)Cc5cc(-c6ccc7c(c6)OCCOCCOCCOCCOCCO7)ccn5)ccc4c3)nc12")</f>
        <v>Cc1cccc2ccc(CN(C)c3ccc4nc(CN(C)Cc5cc(-c6ccc7c(c6)OCCOCCOCCOCCOCCO7)ccn5)ccc4c3)nc12</v>
      </c>
      <c r="C13768" s="7">
        <f>IFERROR(__xludf.DUMMYFUNCTION("""COMPUTED_VALUE"""),7.752474)</f>
        <v>7.752474</v>
      </c>
      <c r="D13768" s="7">
        <f>IFERROR(__xludf.DUMMYFUNCTION("""COMPUTED_VALUE"""),0.317073170731707)</f>
        <v>0.3170731707</v>
      </c>
    </row>
    <row r="13769">
      <c r="A13769" s="10" t="s">
        <v>15208</v>
      </c>
      <c r="B13769" s="7" t="str">
        <f>IFERROR(__xludf.DUMMYFUNCTION("SPLIT(A13769,"" "")"),"Cc1cnc(CN(C)C2=CNC=CC2)c(C)c1C")</f>
        <v>Cc1cnc(CN(C)C2=CNC=CC2)c(C)c1C</v>
      </c>
      <c r="C13769" s="7">
        <f>IFERROR(__xludf.DUMMYFUNCTION("""COMPUTED_VALUE"""),7.7524734)</f>
        <v>7.7524734</v>
      </c>
      <c r="D13769" s="7">
        <f>IFERROR(__xludf.DUMMYFUNCTION("""COMPUTED_VALUE"""),0.245614035087719)</f>
        <v>0.2456140351</v>
      </c>
    </row>
    <row r="13770">
      <c r="A13770" s="10" t="s">
        <v>15209</v>
      </c>
      <c r="B13770" s="7" t="str">
        <f>IFERROR(__xludf.DUMMYFUNCTION("SPLIT(A13770,"" "")"),"Cc1cnc(CN(C)C2=CNC(CN(C)Cc3ncc(C)c(C)c3C)=CC2)c(C)c1")</f>
        <v>Cc1cnc(CN(C)C2=CNC(CN(C)Cc3ncc(C)c(C)c3C)=CC2)c(C)c1</v>
      </c>
      <c r="C13770" s="7">
        <f>IFERROR(__xludf.DUMMYFUNCTION("""COMPUTED_VALUE"""),7.7524714)</f>
        <v>7.7524714</v>
      </c>
      <c r="D13770" s="7">
        <f>IFERROR(__xludf.DUMMYFUNCTION("""COMPUTED_VALUE"""),0.258620689655172)</f>
        <v>0.2586206897</v>
      </c>
    </row>
    <row r="13771">
      <c r="A13771" s="10" t="s">
        <v>15210</v>
      </c>
      <c r="B13771" s="7" t="str">
        <f>IFERROR(__xludf.DUMMYFUNCTION("SPLIT(A13771,"" "")"),"Cc1ccc(CN(Cc2cccnc2F)Cc2ncccc2N(C)C)nc1")</f>
        <v>Cc1ccc(CN(Cc2cccnc2F)Cc2ncccc2N(C)C)nc1</v>
      </c>
      <c r="C13771" s="7">
        <f>IFERROR(__xludf.DUMMYFUNCTION("""COMPUTED_VALUE"""),7.752462)</f>
        <v>7.752462</v>
      </c>
      <c r="D13771" s="7">
        <f>IFERROR(__xludf.DUMMYFUNCTION("""COMPUTED_VALUE"""),0.4375)</f>
        <v>0.4375</v>
      </c>
    </row>
    <row r="13772">
      <c r="A13772" s="10" t="s">
        <v>15211</v>
      </c>
      <c r="B13772" s="7" t="str">
        <f>IFERROR(__xludf.DUMMYFUNCTION("SPLIT(A13772,"" "")"),"Cc1ccc(N)c(C)c1NCc1ccccn1")</f>
        <v>Cc1ccc(N)c(C)c1NCc1ccccn1</v>
      </c>
      <c r="C13772" s="7">
        <f>IFERROR(__xludf.DUMMYFUNCTION("""COMPUTED_VALUE"""),7.7524548)</f>
        <v>7.7524548</v>
      </c>
      <c r="D13772" s="7">
        <f>IFERROR(__xludf.DUMMYFUNCTION("""COMPUTED_VALUE"""),0.435897435897435)</f>
        <v>0.4358974359</v>
      </c>
    </row>
    <row r="13773">
      <c r="A13773" s="10" t="s">
        <v>15212</v>
      </c>
      <c r="B13773" s="7" t="str">
        <f>IFERROR(__xludf.DUMMYFUNCTION("SPLIT(A13773,"" "")"),"Cc1ccc(CN(C)c2cccnc2CN(Cc2ccccn2)Cc2ncccc2F)cn1")</f>
        <v>Cc1ccc(CN(C)c2cccnc2CN(Cc2ccccn2)Cc2ncccc2F)cn1</v>
      </c>
      <c r="C13773" s="7">
        <f>IFERROR(__xludf.DUMMYFUNCTION("""COMPUTED_VALUE"""),7.7524414)</f>
        <v>7.7524414</v>
      </c>
      <c r="D13773" s="7">
        <f>IFERROR(__xludf.DUMMYFUNCTION("""COMPUTED_VALUE"""),0.416666666666666)</f>
        <v>0.4166666667</v>
      </c>
    </row>
    <row r="13774">
      <c r="A13774" s="10" t="s">
        <v>15213</v>
      </c>
      <c r="B13774" s="7" t="str">
        <f>IFERROR(__xludf.DUMMYFUNCTION("SPLIT(A13774,"" "")"),"Cc1cc(CN(C)C2=C(CN(C)Cc3nc(C)c(C)c(C)c3C)NC=CC2)cnc1C")</f>
        <v>Cc1cc(CN(C)C2=C(CN(C)Cc3nc(C)c(C)c(C)c3C)NC=CC2)cnc1C</v>
      </c>
      <c r="C13774" s="7">
        <f>IFERROR(__xludf.DUMMYFUNCTION("""COMPUTED_VALUE"""),7.752439)</f>
        <v>7.752439</v>
      </c>
      <c r="D13774" s="7">
        <f>IFERROR(__xludf.DUMMYFUNCTION("""COMPUTED_VALUE"""),0.1875)</f>
        <v>0.1875</v>
      </c>
    </row>
    <row r="13775">
      <c r="A13775" s="10" t="s">
        <v>15214</v>
      </c>
      <c r="B13775" s="7" t="str">
        <f>IFERROR(__xludf.DUMMYFUNCTION("SPLIT(A13775,"" "")"),"Cc1cccc(CNCc2ccc(C(C)(c3ccccn3)c3ccccn3)cn2)c1")</f>
        <v>Cc1cccc(CNCc2ccc(C(C)(c3ccccn3)c3ccccn3)cn2)c1</v>
      </c>
      <c r="C13775" s="7">
        <f>IFERROR(__xludf.DUMMYFUNCTION("""COMPUTED_VALUE"""),7.752427)</f>
        <v>7.752427</v>
      </c>
      <c r="D13775" s="7">
        <f>IFERROR(__xludf.DUMMYFUNCTION("""COMPUTED_VALUE"""),0.35)</f>
        <v>0.35</v>
      </c>
    </row>
    <row r="13776">
      <c r="A13776" s="10" t="s">
        <v>15215</v>
      </c>
      <c r="B13776" s="7" t="str">
        <f>IFERROR(__xludf.DUMMYFUNCTION("SPLIT(A13776,"" "")"),"Cc1cncc(CN(C)c2cccnc2CN(Cc2ccccn2)Cc2ncccc2F)c1")</f>
        <v>Cc1cncc(CN(C)c2cccnc2CN(Cc2ccccn2)Cc2ncccc2F)c1</v>
      </c>
      <c r="C13776" s="7">
        <f>IFERROR(__xludf.DUMMYFUNCTION("""COMPUTED_VALUE"""),7.7524214)</f>
        <v>7.7524214</v>
      </c>
      <c r="D13776" s="7">
        <f>IFERROR(__xludf.DUMMYFUNCTION("""COMPUTED_VALUE"""),0.403508771929824)</f>
        <v>0.4035087719</v>
      </c>
    </row>
    <row r="13777">
      <c r="A13777" s="10" t="s">
        <v>15216</v>
      </c>
      <c r="B13777" s="7" t="str">
        <f>IFERROR(__xludf.DUMMYFUNCTION("SPLIT(A13777,"" "")"),"CN(C)Cc1ccc2cc(N(C)C3CCCC(N(Cc4ccccn4)c4cccc(F)c4)C3)ccc2n1")</f>
        <v>CN(C)Cc1ccc2cc(N(C)C3CCCC(N(Cc4ccccn4)c4cccc(F)c4)C3)ccc2n1</v>
      </c>
      <c r="C13777" s="7">
        <f>IFERROR(__xludf.DUMMYFUNCTION("""COMPUTED_VALUE"""),7.7524137)</f>
        <v>7.7524137</v>
      </c>
      <c r="D13777" s="7">
        <f>IFERROR(__xludf.DUMMYFUNCTION("""COMPUTED_VALUE"""),0.369230769230769)</f>
        <v>0.3692307692</v>
      </c>
    </row>
    <row r="13778">
      <c r="A13778" s="10" t="s">
        <v>15217</v>
      </c>
      <c r="B13778" s="7" t="str">
        <f>IFERROR(__xludf.DUMMYFUNCTION("SPLIT(A13778,"" "")"),"Cc1ccc(CN(C)CC2=CCC=C(N(O)Cc3ccccn3)N2)nc1")</f>
        <v>Cc1ccc(CN(C)CC2=CCC=C(N(O)Cc3ccccn3)N2)nc1</v>
      </c>
      <c r="C13778" s="7">
        <f>IFERROR(__xludf.DUMMYFUNCTION("""COMPUTED_VALUE"""),7.7524137)</f>
        <v>7.7524137</v>
      </c>
      <c r="D13778" s="7">
        <f>IFERROR(__xludf.DUMMYFUNCTION("""COMPUTED_VALUE"""),0.431372549019607)</f>
        <v>0.431372549</v>
      </c>
    </row>
    <row r="13779">
      <c r="A13779" s="10" t="s">
        <v>15218</v>
      </c>
      <c r="B13779" s="7" t="str">
        <f>IFERROR(__xludf.DUMMYFUNCTION("SPLIT(A13779,"" "")"),"Cc1ccc(CN(C)c2ccc3cccnc3c2-c2cccc(CN(Cc3ccccn3)Cc3ccc(-c4ccc5c(c4)OCCOCCOCCOCCOCCO5)cn3)n2)nc1C")</f>
        <v>Cc1ccc(CN(C)c2ccc3cccnc3c2-c2cccc(CN(Cc3ccccn3)Cc3ccc(-c4ccc5c(c4)OCCOCCOCCOCCOCCO5)cn3)n2)nc1C</v>
      </c>
      <c r="C13779" s="7">
        <f>IFERROR(__xludf.DUMMYFUNCTION("""COMPUTED_VALUE"""),7.752402)</f>
        <v>7.752402</v>
      </c>
      <c r="D13779" s="7">
        <f>IFERROR(__xludf.DUMMYFUNCTION("""COMPUTED_VALUE"""),0.341176470588235)</f>
        <v>0.3411764706</v>
      </c>
    </row>
    <row r="13780">
      <c r="A13780" s="10" t="s">
        <v>15219</v>
      </c>
      <c r="B13780" s="7" t="str">
        <f>IFERROR(__xludf.DUMMYFUNCTION("SPLIT(A13780,"" "")"),"Cc1ccccc1N(C)C1CCCC(N(C)c2cccc3nc(CF)ccc23)C1")</f>
        <v>Cc1ccccc1N(C)C1CCCC(N(C)c2cccc3nc(CF)ccc23)C1</v>
      </c>
      <c r="C13780" s="7">
        <f>IFERROR(__xludf.DUMMYFUNCTION("""COMPUTED_VALUE"""),7.7523947)</f>
        <v>7.7523947</v>
      </c>
      <c r="D13780" s="7">
        <f>IFERROR(__xludf.DUMMYFUNCTION("""COMPUTED_VALUE"""),0.43859649122807)</f>
        <v>0.4385964912</v>
      </c>
    </row>
    <row r="13781">
      <c r="A13781" s="10" t="s">
        <v>15220</v>
      </c>
      <c r="B13781" s="7" t="str">
        <f>IFERROR(__xludf.DUMMYFUNCTION("SPLIT(A13781,"" "")"),"Cc1cnc(CN(C)c2ccc3cccnc3c2-c2cccc(CN(Cc3ccccn3)Cc3cccc(-c4ccc5c(c4)OCCOCCOCCOCCOCCO5)n3)n2)c(C)c1")</f>
        <v>Cc1cnc(CN(C)c2ccc3cccnc3c2-c2cccc(CN(Cc3ccccn3)Cc3cccc(-c4ccc5c(c4)OCCOCCOCCOCCOCCO5)n3)n2)c(C)c1</v>
      </c>
      <c r="C13781" s="7">
        <f>IFERROR(__xludf.DUMMYFUNCTION("""COMPUTED_VALUE"""),7.752392)</f>
        <v>7.752392</v>
      </c>
      <c r="D13781" s="7">
        <f>IFERROR(__xludf.DUMMYFUNCTION("""COMPUTED_VALUE"""),0.373493975903614)</f>
        <v>0.3734939759</v>
      </c>
    </row>
    <row r="13782">
      <c r="A13782" s="10" t="s">
        <v>15221</v>
      </c>
      <c r="B13782" s="7" t="str">
        <f>IFERROR(__xludf.DUMMYFUNCTION("SPLIT(A13782,"" "")"),"CN(CCN)CCN(C)c1cccc2ncccc12")</f>
        <v>CN(CCN)CCN(C)c1cccc2ncccc12</v>
      </c>
      <c r="C13782" s="7">
        <f>IFERROR(__xludf.DUMMYFUNCTION("""COMPUTED_VALUE"""),7.7523866)</f>
        <v>7.7523866</v>
      </c>
      <c r="D13782" s="7">
        <f>IFERROR(__xludf.DUMMYFUNCTION("""COMPUTED_VALUE"""),0.5)</f>
        <v>0.5</v>
      </c>
    </row>
    <row r="13783">
      <c r="A13783" s="10" t="s">
        <v>15222</v>
      </c>
      <c r="B13783" s="7" t="str">
        <f>IFERROR(__xludf.DUMMYFUNCTION("SPLIT(A13783,"" "")"),"CC(C)C(C)N(CC1=CC(N(C)Cc2ccccn2)C=CN1)c1ccc2ncccc2c1")</f>
        <v>CC(C)C(C)N(CC1=CC(N(C)Cc2ccccn2)C=CN1)c1ccc2ncccc2c1</v>
      </c>
      <c r="C13783" s="7">
        <f>IFERROR(__xludf.DUMMYFUNCTION("""COMPUTED_VALUE"""),7.7523823)</f>
        <v>7.7523823</v>
      </c>
      <c r="D13783" s="7">
        <f>IFERROR(__xludf.DUMMYFUNCTION("""COMPUTED_VALUE"""),0.338461538461538)</f>
        <v>0.3384615385</v>
      </c>
    </row>
    <row r="13784">
      <c r="A13784" s="10" t="s">
        <v>15223</v>
      </c>
      <c r="B13784" s="7" t="str">
        <f>IFERROR(__xludf.DUMMYFUNCTION("SPLIT(A13784,"" "")"),"CC1C(Cl)=CC(N(C)Cc2ccccn2)c2ncccc21")</f>
        <v>CC1C(Cl)=CC(N(C)Cc2ccccn2)c2ncccc21</v>
      </c>
      <c r="C13784" s="7">
        <f>IFERROR(__xludf.DUMMYFUNCTION("""COMPUTED_VALUE"""),7.7523813)</f>
        <v>7.7523813</v>
      </c>
      <c r="D13784" s="7">
        <f>IFERROR(__xludf.DUMMYFUNCTION("""COMPUTED_VALUE"""),0.448979591836734)</f>
        <v>0.4489795918</v>
      </c>
    </row>
    <row r="13785">
      <c r="A13785" s="10" t="s">
        <v>15224</v>
      </c>
      <c r="B13785" s="7" t="str">
        <f>IFERROR(__xludf.DUMMYFUNCTION("SPLIT(A13785,"" "")"),"CC1=C(N(C)Cc2ncccc2N)CC=CN1")</f>
        <v>CC1=C(N(C)Cc2ncccc2N)CC=CN1</v>
      </c>
      <c r="C13785" s="7">
        <f>IFERROR(__xludf.DUMMYFUNCTION("""COMPUTED_VALUE"""),7.7523766)</f>
        <v>7.7523766</v>
      </c>
      <c r="D13785" s="7">
        <f>IFERROR(__xludf.DUMMYFUNCTION("""COMPUTED_VALUE"""),0.293103448275862)</f>
        <v>0.2931034483</v>
      </c>
    </row>
    <row r="13786">
      <c r="A13786" s="10" t="s">
        <v>15225</v>
      </c>
      <c r="B13786" s="7" t="str">
        <f>IFERROR(__xludf.DUMMYFUNCTION("SPLIT(A13786,"" "")"),"CC1=CC(C)CC(C)C1N(C)Cc1cc(-c2cccc(N(C)C)c2)ccn1")</f>
        <v>CC1=CC(C)CC(C)C1N(C)Cc1cc(-c2cccc(N(C)C)c2)ccn1</v>
      </c>
      <c r="C13786" s="7">
        <f>IFERROR(__xludf.DUMMYFUNCTION("""COMPUTED_VALUE"""),7.7523746)</f>
        <v>7.7523746</v>
      </c>
      <c r="D13786" s="7">
        <f>IFERROR(__xludf.DUMMYFUNCTION("""COMPUTED_VALUE"""),0.322033898305084)</f>
        <v>0.3220338983</v>
      </c>
    </row>
    <row r="13787">
      <c r="A13787" s="10" t="s">
        <v>15226</v>
      </c>
      <c r="B13787" s="7" t="str">
        <f>IFERROR(__xludf.DUMMYFUNCTION("SPLIT(A13787,"" "")"),"Cc1cccnc1CN(Cc1ccccn1)Cc1ccc(N(C)C)cn1")</f>
        <v>Cc1cccnc1CN(Cc1ccccn1)Cc1ccc(N(C)C)cn1</v>
      </c>
      <c r="C13787" s="7">
        <f>IFERROR(__xludf.DUMMYFUNCTION("""COMPUTED_VALUE"""),7.752374)</f>
        <v>7.752374</v>
      </c>
      <c r="D13787" s="7">
        <f>IFERROR(__xludf.DUMMYFUNCTION("""COMPUTED_VALUE"""),0.5)</f>
        <v>0.5</v>
      </c>
    </row>
    <row r="13788">
      <c r="A13788" s="10" t="s">
        <v>15227</v>
      </c>
      <c r="B13788" s="7" t="str">
        <f>IFERROR(__xludf.DUMMYFUNCTION("SPLIT(A13788,"" "")"),"Cc1ccc(CN(C)CC2=CCC=C(N(C)Cc3nccc(C)c3C)N2)nc1")</f>
        <v>Cc1ccc(CN(C)CC2=CCC=C(N(C)Cc3nccc(C)c3C)N2)nc1</v>
      </c>
      <c r="C13788" s="7">
        <f>IFERROR(__xludf.DUMMYFUNCTION("""COMPUTED_VALUE"""),7.7523675)</f>
        <v>7.7523675</v>
      </c>
      <c r="D13788" s="7">
        <f>IFERROR(__xludf.DUMMYFUNCTION("""COMPUTED_VALUE"""),0.415094339622641)</f>
        <v>0.4150943396</v>
      </c>
    </row>
    <row r="13789">
      <c r="A13789" s="10" t="s">
        <v>15228</v>
      </c>
      <c r="B13789" s="7" t="str">
        <f>IFERROR(__xludf.DUMMYFUNCTION("SPLIT(A13789,"" "")"),"CC1(C)CC(c2ccc(CN(Cc3ccccn3)Cc3ncccc3C(C)(c3ccccn3)c3ccccn3)cn2)C1")</f>
        <v>CC1(C)CC(c2ccc(CN(Cc3ccccn3)Cc3ncccc3C(C)(c3ccccn3)c3ccccn3)cn2)C1</v>
      </c>
      <c r="C13789" s="7">
        <f>IFERROR(__xludf.DUMMYFUNCTION("""COMPUTED_VALUE"""),7.7523656)</f>
        <v>7.7523656</v>
      </c>
      <c r="D13789" s="7">
        <f>IFERROR(__xludf.DUMMYFUNCTION("""COMPUTED_VALUE"""),0.350877192982456)</f>
        <v>0.350877193</v>
      </c>
    </row>
    <row r="13790">
      <c r="A13790" s="10" t="s">
        <v>15229</v>
      </c>
      <c r="B13790" s="7" t="str">
        <f>IFERROR(__xludf.DUMMYFUNCTION("SPLIT(A13790,"" "")"),"CCOC(=O)c1cc(CN(Cc2ccccn2)C2CCC(N(C)c3ccc4nccc(CN(C)C)c4c3)CC2)ccn1")</f>
        <v>CCOC(=O)c1cc(CN(Cc2ccccn2)C2CCC(N(C)c3ccc4nccc(CN(C)C)c4c3)CC2)ccn1</v>
      </c>
      <c r="C13790" s="7">
        <f>IFERROR(__xludf.DUMMYFUNCTION("""COMPUTED_VALUE"""),7.752363)</f>
        <v>7.752363</v>
      </c>
      <c r="D13790" s="7">
        <f>IFERROR(__xludf.DUMMYFUNCTION("""COMPUTED_VALUE"""),0.301204819277108)</f>
        <v>0.3012048193</v>
      </c>
    </row>
    <row r="13791">
      <c r="A13791" s="10" t="s">
        <v>15230</v>
      </c>
      <c r="B13791" s="7" t="str">
        <f>IFERROR(__xludf.DUMMYFUNCTION("SPLIT(A13791,"" "")"),"Cc1ccc2nc(CN(C)c3cccc4ccc(CN(C)Cc5ncccc5-c5ccc6c(c5)OCCOCCOCCOCCOCCO6)nc34)ccc2c1")</f>
        <v>Cc1ccc2nc(CN(C)c3cccc4ccc(CN(C)Cc5ncccc5-c5ccc6c(c5)OCCOCCOCCOCCOCCO6)nc34)ccc2c1</v>
      </c>
      <c r="C13791" s="7">
        <f>IFERROR(__xludf.DUMMYFUNCTION("""COMPUTED_VALUE"""),7.7523623)</f>
        <v>7.7523623</v>
      </c>
      <c r="D13791" s="7">
        <f>IFERROR(__xludf.DUMMYFUNCTION("""COMPUTED_VALUE"""),0.315068493150684)</f>
        <v>0.3150684932</v>
      </c>
    </row>
    <row r="13792">
      <c r="A13792" s="10" t="s">
        <v>15231</v>
      </c>
      <c r="B13792" s="7" t="str">
        <f>IFERROR(__xludf.DUMMYFUNCTION("SPLIT(A13792,"" "")"),"CN(Cc1ccon1)C1CCC(N(C)Cc2cccc(-c3ccc4ncccc4c3)n2)CC1")</f>
        <v>CN(Cc1ccon1)C1CCC(N(C)Cc2cccc(-c3ccc4ncccc4c3)n2)CC1</v>
      </c>
      <c r="C13792" s="7">
        <f>IFERROR(__xludf.DUMMYFUNCTION("""COMPUTED_VALUE"""),7.752358)</f>
        <v>7.752358</v>
      </c>
      <c r="D13792" s="7">
        <f>IFERROR(__xludf.DUMMYFUNCTION("""COMPUTED_VALUE"""),0.352941176470588)</f>
        <v>0.3529411765</v>
      </c>
    </row>
    <row r="13793">
      <c r="A13793" s="10" t="s">
        <v>15232</v>
      </c>
      <c r="B13793" s="7" t="str">
        <f>IFERROR(__xludf.DUMMYFUNCTION("SPLIT(A13793,"" "")"),"Cc1cc(C)c(CN(C)Cc2cccc(N(C)C(C)(C)c3cccnc3)n2)nc1C")</f>
        <v>Cc1cc(C)c(CN(C)Cc2cccc(N(C)C(C)(C)c3cccnc3)n2)nc1C</v>
      </c>
      <c r="C13793" s="7">
        <f>IFERROR(__xludf.DUMMYFUNCTION("""COMPUTED_VALUE"""),7.7523556)</f>
        <v>7.7523556</v>
      </c>
      <c r="D13793" s="7">
        <f>IFERROR(__xludf.DUMMYFUNCTION("""COMPUTED_VALUE"""),0.31578947368421)</f>
        <v>0.3157894737</v>
      </c>
    </row>
    <row r="13794">
      <c r="A13794" s="10" t="s">
        <v>15233</v>
      </c>
      <c r="B13794" s="7" t="str">
        <f>IFERROR(__xludf.DUMMYFUNCTION("SPLIT(A13794,"" "")"),"Cc1cc(C)c(CN(C)CCN(C)Cc2cccc3ncccc23)cn1")</f>
        <v>Cc1cc(C)c(CN(C)CCN(C)Cc2cccc3ncccc23)cn1</v>
      </c>
      <c r="C13794" s="7">
        <f>IFERROR(__xludf.DUMMYFUNCTION("""COMPUTED_VALUE"""),7.7523513)</f>
        <v>7.7523513</v>
      </c>
      <c r="D13794" s="7">
        <f>IFERROR(__xludf.DUMMYFUNCTION("""COMPUTED_VALUE"""),0.468085106382978)</f>
        <v>0.4680851064</v>
      </c>
    </row>
    <row r="13795">
      <c r="A13795" s="10" t="s">
        <v>15234</v>
      </c>
      <c r="B13795" s="7" t="str">
        <f>IFERROR(__xludf.DUMMYFUNCTION("SPLIT(A13795,"" "")"),"Cc1ccccc1N(C)CC1=CC(N(C)Cc2cc(C)c(C)c(C)n2)C=CN1")</f>
        <v>Cc1ccccc1N(C)CC1=CC(N(C)Cc2cc(C)c(C)c(C)n2)C=CN1</v>
      </c>
      <c r="C13795" s="7">
        <f>IFERROR(__xludf.DUMMYFUNCTION("""COMPUTED_VALUE"""),7.752346)</f>
        <v>7.752346</v>
      </c>
      <c r="D13795" s="7">
        <f>IFERROR(__xludf.DUMMYFUNCTION("""COMPUTED_VALUE"""),0.296875)</f>
        <v>0.296875</v>
      </c>
    </row>
    <row r="13796">
      <c r="A13796" s="10" t="s">
        <v>15235</v>
      </c>
      <c r="B13796" s="7" t="str">
        <f>IFERROR(__xludf.DUMMYFUNCTION("SPLIT(A13796,"" "")"),"CC1=CCC(N(C)CCN(C)c2ccc3nc(CF)ccc3c2)N=C1")</f>
        <v>CC1=CCC(N(C)CCN(C)c2ccc3nc(CF)ccc3c2)N=C1</v>
      </c>
      <c r="C13796" s="7">
        <f>IFERROR(__xludf.DUMMYFUNCTION("""COMPUTED_VALUE"""),7.752331)</f>
        <v>7.752331</v>
      </c>
      <c r="D13796" s="7">
        <f>IFERROR(__xludf.DUMMYFUNCTION("""COMPUTED_VALUE"""),0.296875)</f>
        <v>0.296875</v>
      </c>
    </row>
    <row r="13797">
      <c r="A13797" s="10" t="s">
        <v>15236</v>
      </c>
      <c r="B13797" s="7" t="str">
        <f>IFERROR(__xludf.DUMMYFUNCTION("SPLIT(A13797,"" "")"),"Cc1cncc(CN(CC2=CCC=C(N(C)Cc3ccccn3)N2)Cc2ncccc2C)c1")</f>
        <v>Cc1cncc(CN(CC2=CCC=C(N(C)Cc3ccccn3)N2)Cc2ncccc2C)c1</v>
      </c>
      <c r="C13797" s="7">
        <f>IFERROR(__xludf.DUMMYFUNCTION("""COMPUTED_VALUE"""),7.75233)</f>
        <v>7.75233</v>
      </c>
      <c r="D13797" s="7">
        <f>IFERROR(__xludf.DUMMYFUNCTION("""COMPUTED_VALUE"""),0.38235294117647)</f>
        <v>0.3823529412</v>
      </c>
    </row>
    <row r="13798">
      <c r="A13798" s="10" t="s">
        <v>15237</v>
      </c>
      <c r="B13798" s="7" t="str">
        <f>IFERROR(__xludf.DUMMYFUNCTION("SPLIT(A13798,"" "")"),"CC(C)(c1ccnc(CN(Cc2ccnc(C3OC=NC3(C)C)c2)Cc2ccccn2)c1)c1ccccn1")</f>
        <v>CC(C)(c1ccnc(CN(Cc2ccnc(C3OC=NC3(C)C)c2)Cc2ccccn2)c1)c1ccccn1</v>
      </c>
      <c r="C13798" s="7">
        <f>IFERROR(__xludf.DUMMYFUNCTION("""COMPUTED_VALUE"""),7.752318)</f>
        <v>7.752318</v>
      </c>
      <c r="D13798" s="7">
        <f>IFERROR(__xludf.DUMMYFUNCTION("""COMPUTED_VALUE"""),0.344827586206896)</f>
        <v>0.3448275862</v>
      </c>
    </row>
    <row r="13799">
      <c r="A13799" s="10" t="s">
        <v>15238</v>
      </c>
      <c r="B13799" s="7" t="str">
        <f>IFERROR(__xludf.DUMMYFUNCTION("SPLIT(A13799,"" "")"),"C=Cc1ccccc1NCc1ccccn1")</f>
        <v>C=Cc1ccccc1NCc1ccccn1</v>
      </c>
      <c r="C13799" s="7">
        <f>IFERROR(__xludf.DUMMYFUNCTION("""COMPUTED_VALUE"""),7.752317)</f>
        <v>7.752317</v>
      </c>
      <c r="D13799" s="7">
        <f>IFERROR(__xludf.DUMMYFUNCTION("""COMPUTED_VALUE"""),0.472222222222222)</f>
        <v>0.4722222222</v>
      </c>
    </row>
    <row r="13800">
      <c r="A13800" s="10" t="s">
        <v>15239</v>
      </c>
      <c r="B13800" s="7" t="str">
        <f>IFERROR(__xludf.DUMMYFUNCTION("SPLIT(A13800,"" "")"),"Cc1cnc(CN(C)C2=CCC=C(CN(C)Cc3cccnc3C)N2)c(C)c1C")</f>
        <v>Cc1cnc(CN(C)C2=CCC=C(CN(C)Cc3cccnc3C)N2)c(C)c1C</v>
      </c>
      <c r="C13800" s="7">
        <f>IFERROR(__xludf.DUMMYFUNCTION("""COMPUTED_VALUE"""),7.752308)</f>
        <v>7.752308</v>
      </c>
      <c r="D13800" s="7">
        <f>IFERROR(__xludf.DUMMYFUNCTION("""COMPUTED_VALUE"""),0.290322580645161)</f>
        <v>0.2903225806</v>
      </c>
    </row>
    <row r="13801">
      <c r="A13801" s="10" t="s">
        <v>15240</v>
      </c>
      <c r="B13801" s="7" t="str">
        <f>IFERROR(__xludf.DUMMYFUNCTION("SPLIT(A13801,"" "")"),"CN(C)CCN(C)Cc1ccc2cccnc2c1")</f>
        <v>CN(C)CCN(C)Cc1ccc2cccnc2c1</v>
      </c>
      <c r="C13801" s="7">
        <f>IFERROR(__xludf.DUMMYFUNCTION("""COMPUTED_VALUE"""),7.7523017)</f>
        <v>7.7523017</v>
      </c>
      <c r="D13801" s="7">
        <f>IFERROR(__xludf.DUMMYFUNCTION("""COMPUTED_VALUE"""),0.465116279069767)</f>
        <v>0.4651162791</v>
      </c>
    </row>
    <row r="13802">
      <c r="A13802" s="10" t="s">
        <v>15241</v>
      </c>
      <c r="B13802" s="7" t="str">
        <f>IFERROR(__xludf.DUMMYFUNCTION("SPLIT(A13802,"" "")"),"Cc1ccc(CN(C)C2=CCC=C(CN(C)C)N2)nc1")</f>
        <v>Cc1ccc(CN(C)C2=CCC=C(CN(C)C)N2)nc1</v>
      </c>
      <c r="C13802" s="7">
        <f>IFERROR(__xludf.DUMMYFUNCTION("""COMPUTED_VALUE"""),7.752295)</f>
        <v>7.752295</v>
      </c>
      <c r="D13802" s="7">
        <f>IFERROR(__xludf.DUMMYFUNCTION("""COMPUTED_VALUE"""),0.454545454545454)</f>
        <v>0.4545454545</v>
      </c>
    </row>
    <row r="13803">
      <c r="A13803" s="10" t="s">
        <v>15242</v>
      </c>
      <c r="B13803" s="7" t="str">
        <f>IFERROR(__xludf.DUMMYFUNCTION("SPLIT(A13803,"" "")"),"C1=CN(Cc2ccccn2)C(N(Cc2ccccn2)Cc2ccccn2)=CC1")</f>
        <v>C1=CN(Cc2ccccn2)C(N(Cc2ccccn2)Cc2ccccn2)=CC1</v>
      </c>
      <c r="C13803" s="7">
        <f>IFERROR(__xludf.DUMMYFUNCTION("""COMPUTED_VALUE"""),7.752286)</f>
        <v>7.752286</v>
      </c>
      <c r="D13803" s="7">
        <f>IFERROR(__xludf.DUMMYFUNCTION("""COMPUTED_VALUE"""),0.44)</f>
        <v>0.44</v>
      </c>
    </row>
    <row r="13804">
      <c r="A13804" s="10" t="s">
        <v>15243</v>
      </c>
      <c r="B13804" s="7" t="str">
        <f>IFERROR(__xludf.DUMMYFUNCTION("SPLIT(A13804,"" "")"),"Cc1cc(CN(C)Cc2cc(N(C)C3C=CC=CN3)ccn2)cnc1C")</f>
        <v>Cc1cc(CN(C)Cc2cc(N(C)C3C=CC=CN3)ccn2)cnc1C</v>
      </c>
      <c r="C13804" s="7">
        <f>IFERROR(__xludf.DUMMYFUNCTION("""COMPUTED_VALUE"""),7.7522855)</f>
        <v>7.7522855</v>
      </c>
      <c r="D13804" s="7">
        <f>IFERROR(__xludf.DUMMYFUNCTION("""COMPUTED_VALUE"""),0.307692307692307)</f>
        <v>0.3076923077</v>
      </c>
    </row>
    <row r="13805">
      <c r="A13805" s="10" t="s">
        <v>15244</v>
      </c>
      <c r="B13805" s="7" t="str">
        <f>IFERROR(__xludf.DUMMYFUNCTION("SPLIT(A13805,"" "")"),"Cc1cnc(CN(C)Cc2cc(C(C)(C)c3ccccn3)ccn2)c(C)c1")</f>
        <v>Cc1cnc(CN(C)Cc2cc(C(C)(C)c3ccccn3)ccn2)c(C)c1</v>
      </c>
      <c r="C13805" s="7">
        <f>IFERROR(__xludf.DUMMYFUNCTION("""COMPUTED_VALUE"""),7.7522826)</f>
        <v>7.7522826</v>
      </c>
      <c r="D13805" s="7">
        <f>IFERROR(__xludf.DUMMYFUNCTION("""COMPUTED_VALUE"""),0.344827586206896)</f>
        <v>0.3448275862</v>
      </c>
    </row>
    <row r="13806">
      <c r="A13806" s="10" t="s">
        <v>15245</v>
      </c>
      <c r="B13806" s="7" t="str">
        <f>IFERROR(__xludf.DUMMYFUNCTION("SPLIT(A13806,"" "")"),"CN(C)Cc1ccc2ccc(N(C)C3CCCCC3N(C)Cc3cccc(-c4ccccc4)n3)cc2n1")</f>
        <v>CN(C)Cc1ccc2ccc(N(C)C3CCCCC3N(C)Cc3cccc(-c4ccccc4)n3)cc2n1</v>
      </c>
      <c r="C13806" s="7">
        <f>IFERROR(__xludf.DUMMYFUNCTION("""COMPUTED_VALUE"""),7.7522798)</f>
        <v>7.7522798</v>
      </c>
      <c r="D13806" s="7">
        <f>IFERROR(__xludf.DUMMYFUNCTION("""COMPUTED_VALUE"""),0.464285714285714)</f>
        <v>0.4642857143</v>
      </c>
    </row>
    <row r="13807">
      <c r="A13807" s="10" t="s">
        <v>15246</v>
      </c>
      <c r="B13807" s="7" t="str">
        <f>IFERROR(__xludf.DUMMYFUNCTION("SPLIT(A13807,"" "")"),"CN(O)C1=CNC(C2=CC(NCc3ccccn3)C=CN2)=CC1")</f>
        <v>CN(O)C1=CNC(C2=CC(NCc3ccccn3)C=CN2)=CC1</v>
      </c>
      <c r="C13807" s="7">
        <f>IFERROR(__xludf.DUMMYFUNCTION("""COMPUTED_VALUE"""),7.7522783)</f>
        <v>7.7522783</v>
      </c>
      <c r="D13807" s="7">
        <f>IFERROR(__xludf.DUMMYFUNCTION("""COMPUTED_VALUE"""),0.32258064516129)</f>
        <v>0.3225806452</v>
      </c>
    </row>
    <row r="13808">
      <c r="A13808" s="10" t="s">
        <v>15247</v>
      </c>
      <c r="B13808" s="7" t="str">
        <f>IFERROR(__xludf.DUMMYFUNCTION("SPLIT(A13808,"" "")"),"Cc1ccc(C)c(CN(C)CC2=CCC=C(N(C)Cc3ncccc3C)N2)n1")</f>
        <v>Cc1ccc(C)c(CN(C)CC2=CCC=C(N(C)Cc3ncccc3C)N2)n1</v>
      </c>
      <c r="C13808" s="7">
        <f>IFERROR(__xludf.DUMMYFUNCTION("""COMPUTED_VALUE"""),7.7522726)</f>
        <v>7.7522726</v>
      </c>
      <c r="D13808" s="7">
        <f>IFERROR(__xludf.DUMMYFUNCTION("""COMPUTED_VALUE"""),0.262295081967213)</f>
        <v>0.262295082</v>
      </c>
    </row>
    <row r="13809">
      <c r="A13809" s="10" t="s">
        <v>15248</v>
      </c>
      <c r="B13809" s="7" t="str">
        <f>IFERROR(__xludf.DUMMYFUNCTION("SPLIT(A13809,"" "")"),"Cc1ccc(CN(C)CC2=CCC=C(N(C)Cc3ncc(C)c(C)c3C)N2)nc1")</f>
        <v>Cc1ccc(CN(C)CC2=CCC=C(N(C)Cc3ncc(C)c(C)c3C)N2)nc1</v>
      </c>
      <c r="C13809" s="7">
        <f>IFERROR(__xludf.DUMMYFUNCTION("""COMPUTED_VALUE"""),7.752268)</f>
        <v>7.752268</v>
      </c>
      <c r="D13809" s="7">
        <f>IFERROR(__xludf.DUMMYFUNCTION("""COMPUTED_VALUE"""),0.431372549019607)</f>
        <v>0.431372549</v>
      </c>
    </row>
    <row r="13810">
      <c r="A13810" s="10" t="s">
        <v>15249</v>
      </c>
      <c r="B13810" s="7" t="str">
        <f>IFERROR(__xludf.DUMMYFUNCTION("SPLIT(A13810,"" "")"),"Cc1ccc(NCc2ccccn2)c(C(C)(C)C)c1C")</f>
        <v>Cc1ccc(NCc2ccccn2)c(C(C)(C)C)c1C</v>
      </c>
      <c r="C13810" s="7">
        <f>IFERROR(__xludf.DUMMYFUNCTION("""COMPUTED_VALUE"""),7.752268)</f>
        <v>7.752268</v>
      </c>
      <c r="D13810" s="7">
        <f>IFERROR(__xludf.DUMMYFUNCTION("""COMPUTED_VALUE"""),0.414634146341463)</f>
        <v>0.4146341463</v>
      </c>
    </row>
    <row r="13811">
      <c r="A13811" s="10" t="s">
        <v>15250</v>
      </c>
      <c r="B13811" s="7" t="str">
        <f>IFERROR(__xludf.DUMMYFUNCTION("SPLIT(A13811,"" "")"),"CC(C)C(C)N(C)CC1=C(N(C)c2ccc3nc(CF)ccc3c2)CC=CN1")</f>
        <v>CC(C)C(C)N(C)CC1=C(N(C)c2ccc3nc(CF)ccc3c2)CC=CN1</v>
      </c>
      <c r="C13811" s="7">
        <f>IFERROR(__xludf.DUMMYFUNCTION("""COMPUTED_VALUE"""),7.7522645)</f>
        <v>7.7522645</v>
      </c>
      <c r="D13811" s="7">
        <f>IFERROR(__xludf.DUMMYFUNCTION("""COMPUTED_VALUE"""),0.257142857142857)</f>
        <v>0.2571428571</v>
      </c>
    </row>
    <row r="13812">
      <c r="A13812" s="10" t="s">
        <v>15251</v>
      </c>
      <c r="B13812" s="7" t="str">
        <f>IFERROR(__xludf.DUMMYFUNCTION("SPLIT(A13812,"" "")"),"CC(C)(C)c1cccc(CN(Cc2ccccn2)c2cccc(CF)n2)n1")</f>
        <v>CC(C)(C)c1cccc(CN(Cc2ccccn2)c2cccc(CF)n2)n1</v>
      </c>
      <c r="C13812" s="7">
        <f>IFERROR(__xludf.DUMMYFUNCTION("""COMPUTED_VALUE"""),7.75226)</f>
        <v>7.75226</v>
      </c>
      <c r="D13812" s="7">
        <f>IFERROR(__xludf.DUMMYFUNCTION("""COMPUTED_VALUE"""),0.44)</f>
        <v>0.44</v>
      </c>
    </row>
    <row r="13813">
      <c r="A13813" s="10" t="s">
        <v>15252</v>
      </c>
      <c r="B13813" s="7" t="str">
        <f>IFERROR(__xludf.DUMMYFUNCTION("SPLIT(A13813,"" "")"),"Cc1cc(C)c(C)c(CN(C)CC2=C(N(C)Cc3nc(C)cc(C)c3C)CC=CN2)n1")</f>
        <v>Cc1cc(C)c(C)c(CN(C)CC2=C(N(C)Cc3nc(C)cc(C)c3C)CC=CN2)n1</v>
      </c>
      <c r="C13813" s="7">
        <f>IFERROR(__xludf.DUMMYFUNCTION("""COMPUTED_VALUE"""),7.752258)</f>
        <v>7.752258</v>
      </c>
      <c r="D13813" s="7">
        <f>IFERROR(__xludf.DUMMYFUNCTION("""COMPUTED_VALUE"""),0.218181818181818)</f>
        <v>0.2181818182</v>
      </c>
    </row>
    <row r="13814">
      <c r="A13814" s="10" t="s">
        <v>15253</v>
      </c>
      <c r="B13814" s="7" t="str">
        <f>IFERROR(__xludf.DUMMYFUNCTION("SPLIT(A13814,"" "")"),"Cc1cccc(CN(CC2=CCC=C(N(C)Cc3ccccn3)N2)C(C)(C)c2ccccn2)n1")</f>
        <v>Cc1cccc(CN(CC2=CCC=C(N(C)Cc3ccccn3)N2)C(C)(C)c2ccccn2)n1</v>
      </c>
      <c r="C13814" s="7">
        <f>IFERROR(__xludf.DUMMYFUNCTION("""COMPUTED_VALUE"""),7.752249)</f>
        <v>7.752249</v>
      </c>
      <c r="D13814" s="7">
        <f>IFERROR(__xludf.DUMMYFUNCTION("""COMPUTED_VALUE"""),0.354838709677419)</f>
        <v>0.3548387097</v>
      </c>
    </row>
    <row r="13815">
      <c r="A13815" s="10" t="s">
        <v>15254</v>
      </c>
      <c r="B13815" s="7" t="str">
        <f>IFERROR(__xludf.DUMMYFUNCTION("SPLIT(A13815,"" "")"),"Cc1cc(N(C)C)nc(CN(Cc2ccccn2)Cc2cccnc2F)c1C")</f>
        <v>Cc1cc(N(C)C)nc(CN(Cc2ccccn2)Cc2cccnc2F)c1C</v>
      </c>
      <c r="C13815" s="7">
        <f>IFERROR(__xludf.DUMMYFUNCTION("""COMPUTED_VALUE"""),7.752244)</f>
        <v>7.752244</v>
      </c>
      <c r="D13815" s="7">
        <f>IFERROR(__xludf.DUMMYFUNCTION("""COMPUTED_VALUE"""),0.425531914893617)</f>
        <v>0.4255319149</v>
      </c>
    </row>
    <row r="13816">
      <c r="A13816" s="10" t="s">
        <v>15255</v>
      </c>
      <c r="B13816" s="7" t="str">
        <f>IFERROR(__xludf.DUMMYFUNCTION("SPLIT(A13816,"" "")"),"Cc1cnc(CN(C)Cc2cc(C)c(C)c(C)n2)c(C)c1")</f>
        <v>Cc1cnc(CN(C)Cc2cc(C)c(C)c(C)n2)c(C)c1</v>
      </c>
      <c r="C13816" s="7">
        <f>IFERROR(__xludf.DUMMYFUNCTION("""COMPUTED_VALUE"""),7.7522416)</f>
        <v>7.7522416</v>
      </c>
      <c r="D13816" s="7">
        <f>IFERROR(__xludf.DUMMYFUNCTION("""COMPUTED_VALUE"""),0.363636363636363)</f>
        <v>0.3636363636</v>
      </c>
    </row>
    <row r="13817">
      <c r="A13817" s="10" t="s">
        <v>15256</v>
      </c>
      <c r="B13817" s="7" t="str">
        <f>IFERROR(__xludf.DUMMYFUNCTION("SPLIT(A13817,"" "")"),"CC1(C)COC(c2cccc(CN(Cc3ccccn3)Cc3cc(C(C)(C)C)ccn3)n2)=N1")</f>
        <v>CC1(C)COC(c2cccc(CN(Cc3ccccn3)Cc3cc(C(C)(C)C)ccn3)n2)=N1</v>
      </c>
      <c r="C13817" s="7">
        <f>IFERROR(__xludf.DUMMYFUNCTION("""COMPUTED_VALUE"""),7.7522383)</f>
        <v>7.7522383</v>
      </c>
      <c r="D13817" s="7">
        <f>IFERROR(__xludf.DUMMYFUNCTION("""COMPUTED_VALUE"""),0.462962962962962)</f>
        <v>0.462962963</v>
      </c>
    </row>
    <row r="13818">
      <c r="A13818" s="10" t="s">
        <v>15257</v>
      </c>
      <c r="B13818" s="7" t="str">
        <f>IFERROR(__xludf.DUMMYFUNCTION("SPLIT(A13818,"" "")"),"CC(C)N(C)C1=C(CN(C)c2ccc(Cl)c(Cl)c2)NC=CC1")</f>
        <v>CC(C)N(C)C1=C(CN(C)c2ccc(Cl)c(Cl)c2)NC=CC1</v>
      </c>
      <c r="C13818" s="7">
        <f>IFERROR(__xludf.DUMMYFUNCTION("""COMPUTED_VALUE"""),7.7522373)</f>
        <v>7.7522373</v>
      </c>
      <c r="D13818" s="7">
        <f>IFERROR(__xludf.DUMMYFUNCTION("""COMPUTED_VALUE"""),0.25)</f>
        <v>0.25</v>
      </c>
    </row>
    <row r="13819">
      <c r="A13819" s="10" t="s">
        <v>15258</v>
      </c>
      <c r="B13819" s="7" t="str">
        <f>IFERROR(__xludf.DUMMYFUNCTION("SPLIT(A13819,"" "")"),"Cc1cccnc1CN(Cc1cc(C(C)(C)C)ccn1)C1CCC(N(C)Cc2cc(-c3ccc4ncccc4c3)ccn2)CC1")</f>
        <v>Cc1cccnc1CN(Cc1cc(C(C)(C)C)ccn1)C1CCC(N(C)Cc2cc(-c3ccc4ncccc4c3)ccn2)CC1</v>
      </c>
      <c r="C13819" s="7">
        <f>IFERROR(__xludf.DUMMYFUNCTION("""COMPUTED_VALUE"""),7.7522373)</f>
        <v>7.7522373</v>
      </c>
      <c r="D13819" s="7">
        <f>IFERROR(__xludf.DUMMYFUNCTION("""COMPUTED_VALUE"""),0.285714285714285)</f>
        <v>0.2857142857</v>
      </c>
    </row>
    <row r="13820">
      <c r="A13820" s="10" t="s">
        <v>15259</v>
      </c>
      <c r="B13820" s="7" t="str">
        <f>IFERROR(__xludf.DUMMYFUNCTION("SPLIT(A13820,"" "")"),"COC(=O)c1cc(CNCc2ccccn2)ccn1")</f>
        <v>COC(=O)c1cc(CNCc2ccccn2)ccn1</v>
      </c>
      <c r="C13820" s="7">
        <f>IFERROR(__xludf.DUMMYFUNCTION("""COMPUTED_VALUE"""),7.752236)</f>
        <v>7.752236</v>
      </c>
      <c r="D13820" s="7">
        <f>IFERROR(__xludf.DUMMYFUNCTION("""COMPUTED_VALUE"""),0.452380952380952)</f>
        <v>0.4523809524</v>
      </c>
    </row>
    <row r="13821">
      <c r="A13821" s="10" t="s">
        <v>15260</v>
      </c>
      <c r="B13821" s="7" t="str">
        <f>IFERROR(__xludf.DUMMYFUNCTION("SPLIT(A13821,"" "")"),"Cc1cccc(N(C)Cc2ncccc2C(C)(C)C)c1")</f>
        <v>Cc1cccc(N(C)Cc2ncccc2C(C)(C)C)c1</v>
      </c>
      <c r="C13821" s="7">
        <f>IFERROR(__xludf.DUMMYFUNCTION("""COMPUTED_VALUE"""),7.752232)</f>
        <v>7.752232</v>
      </c>
      <c r="D13821" s="7">
        <f>IFERROR(__xludf.DUMMYFUNCTION("""COMPUTED_VALUE"""),0.306122448979591)</f>
        <v>0.306122449</v>
      </c>
    </row>
    <row r="13822">
      <c r="A13822" s="10" t="s">
        <v>15261</v>
      </c>
      <c r="B13822" s="7" t="str">
        <f>IFERROR(__xludf.DUMMYFUNCTION("SPLIT(A13822,"" "")"),"CC(C)N(C)Cc1ccc2ncccc2c1")</f>
        <v>CC(C)N(C)Cc1ccc2ncccc2c1</v>
      </c>
      <c r="C13822" s="7">
        <f>IFERROR(__xludf.DUMMYFUNCTION("""COMPUTED_VALUE"""),7.7522273)</f>
        <v>7.7522273</v>
      </c>
      <c r="D13822" s="7">
        <f>IFERROR(__xludf.DUMMYFUNCTION("""COMPUTED_VALUE"""),0.347826086956521)</f>
        <v>0.347826087</v>
      </c>
    </row>
    <row r="13823">
      <c r="A13823" s="10" t="s">
        <v>15262</v>
      </c>
      <c r="B13823" s="7" t="str">
        <f>IFERROR(__xludf.DUMMYFUNCTION("SPLIT(A13823,"" "")"),"Cc1ccc(CN(Cc2cccc(F)n2)Cc2ncccc2N(C)C)nc1")</f>
        <v>Cc1ccc(CN(Cc2cccc(F)n2)Cc2ncccc2N(C)C)nc1</v>
      </c>
      <c r="C13823" s="7">
        <f>IFERROR(__xludf.DUMMYFUNCTION("""COMPUTED_VALUE"""),7.7522225)</f>
        <v>7.7522225</v>
      </c>
      <c r="D13823" s="7">
        <f>IFERROR(__xludf.DUMMYFUNCTION("""COMPUTED_VALUE"""),0.42)</f>
        <v>0.42</v>
      </c>
    </row>
    <row r="13824">
      <c r="A13824" s="10" t="s">
        <v>15263</v>
      </c>
      <c r="B13824" s="7" t="str">
        <f>IFERROR(__xludf.DUMMYFUNCTION("SPLIT(A13824,"" "")"),"Cc1cnc(CN(C)Cc2ncc(C)c(C)c2C)c(C)c1C")</f>
        <v>Cc1cnc(CN(C)Cc2ncc(C)c(C)c2C)c(C)c1C</v>
      </c>
      <c r="C13824" s="7">
        <f>IFERROR(__xludf.DUMMYFUNCTION("""COMPUTED_VALUE"""),7.75222)</f>
        <v>7.75222</v>
      </c>
      <c r="D13824" s="7">
        <f>IFERROR(__xludf.DUMMYFUNCTION("""COMPUTED_VALUE"""),0.371428571428571)</f>
        <v>0.3714285714</v>
      </c>
    </row>
    <row r="13825">
      <c r="A13825" s="10" t="s">
        <v>15264</v>
      </c>
      <c r="B13825" s="7" t="str">
        <f>IFERROR(__xludf.DUMMYFUNCTION("SPLIT(A13825,"" "")"),"CN(C)c1cccnc1CN(Cc1cccc(F)n1)Cc1ncccc1F")</f>
        <v>CN(C)c1cccnc1CN(Cc1cccc(F)n1)Cc1ncccc1F</v>
      </c>
      <c r="C13825" s="7">
        <f>IFERROR(__xludf.DUMMYFUNCTION("""COMPUTED_VALUE"""),7.7522163)</f>
        <v>7.7522163</v>
      </c>
      <c r="D13825" s="7">
        <f>IFERROR(__xludf.DUMMYFUNCTION("""COMPUTED_VALUE"""),0.387096774193548)</f>
        <v>0.3870967742</v>
      </c>
    </row>
    <row r="13826">
      <c r="A13826" s="10" t="s">
        <v>15265</v>
      </c>
      <c r="B13826" s="7" t="str">
        <f>IFERROR(__xludf.DUMMYFUNCTION("SPLIT(A13826,"" "")"),"Cc1cc(CN(C)C2CCCC(N(Cc3ccccn3)c3ccc4c(C)ccnc4c3)C2)cnc1C")</f>
        <v>Cc1cc(CN(C)C2CCCC(N(Cc3ccccn3)c3ccc4c(C)ccnc4c3)C2)cnc1C</v>
      </c>
      <c r="C13826" s="7">
        <f>IFERROR(__xludf.DUMMYFUNCTION("""COMPUTED_VALUE"""),7.7522135)</f>
        <v>7.7522135</v>
      </c>
      <c r="D13826" s="7">
        <f>IFERROR(__xludf.DUMMYFUNCTION("""COMPUTED_VALUE"""),0.363636363636363)</f>
        <v>0.3636363636</v>
      </c>
    </row>
    <row r="13827">
      <c r="A13827" s="10" t="s">
        <v>15266</v>
      </c>
      <c r="B13827" s="7" t="str">
        <f>IFERROR(__xludf.DUMMYFUNCTION("SPLIT(A13827,"" "")"),"Cc1cccc(-c2nccc(CN(C)C3CCCC(N(C)Cc4ccc5cccnc5c4)C3)c2C)c1N")</f>
        <v>Cc1cccc(-c2nccc(CN(C)C3CCCC(N(C)Cc4ccc5cccnc5c4)C3)c2C)c1N</v>
      </c>
      <c r="C13827" s="7">
        <f>IFERROR(__xludf.DUMMYFUNCTION("""COMPUTED_VALUE"""),7.75221)</f>
        <v>7.75221</v>
      </c>
      <c r="D13827" s="7">
        <f>IFERROR(__xludf.DUMMYFUNCTION("""COMPUTED_VALUE"""),0.260273972602739)</f>
        <v>0.2602739726</v>
      </c>
    </row>
    <row r="13828">
      <c r="A13828" s="10" t="s">
        <v>15267</v>
      </c>
      <c r="B13828" s="7" t="str">
        <f>IFERROR(__xludf.DUMMYFUNCTION("SPLIT(A13828,"" "")"),"CCNCc1cccc(-c2cccc(C(C)(C)C)n2)n1")</f>
        <v>CCNCc1cccc(-c2cccc(C(C)(C)C)n2)n1</v>
      </c>
      <c r="C13828" s="7">
        <f>IFERROR(__xludf.DUMMYFUNCTION("""COMPUTED_VALUE"""),7.752194)</f>
        <v>7.752194</v>
      </c>
      <c r="D13828" s="7">
        <f>IFERROR(__xludf.DUMMYFUNCTION("""COMPUTED_VALUE"""),0.408163265306122)</f>
        <v>0.4081632653</v>
      </c>
    </row>
    <row r="13829">
      <c r="A13829" s="10" t="s">
        <v>15268</v>
      </c>
      <c r="B13829" s="7" t="str">
        <f>IFERROR(__xludf.DUMMYFUNCTION("SPLIT(A13829,"" "")"),"Cc1cnc(CN(Cc2cccnc2F)Cc2ncc(C)c(C)c2C)c(C)c1C")</f>
        <v>Cc1cnc(CN(Cc2cccnc2F)Cc2ncc(C)c(C)c2C)c(C)c1C</v>
      </c>
      <c r="C13829" s="7">
        <f>IFERROR(__xludf.DUMMYFUNCTION("""COMPUTED_VALUE"""),7.7521935)</f>
        <v>7.7521935</v>
      </c>
      <c r="D13829" s="7">
        <f>IFERROR(__xludf.DUMMYFUNCTION("""COMPUTED_VALUE"""),0.347826086956521)</f>
        <v>0.347826087</v>
      </c>
    </row>
    <row r="13830">
      <c r="A13830" s="10" t="s">
        <v>15269</v>
      </c>
      <c r="B13830" s="7" t="str">
        <f>IFERROR(__xludf.DUMMYFUNCTION("SPLIT(A13830,"" "")"),"Cc1cnc(CN(C)CC2=CCC(N(C)Cc3ncc(C)c(C)c3C)=CN2)c(C)c1C")</f>
        <v>Cc1cnc(CN(C)CC2=CCC(N(C)Cc3ncc(C)c(C)c3C)=CN2)c(C)c1C</v>
      </c>
      <c r="C13830" s="7">
        <f>IFERROR(__xludf.DUMMYFUNCTION("""COMPUTED_VALUE"""),7.75219)</f>
        <v>7.75219</v>
      </c>
      <c r="D13830" s="7">
        <f>IFERROR(__xludf.DUMMYFUNCTION("""COMPUTED_VALUE"""),0.25)</f>
        <v>0.25</v>
      </c>
    </row>
    <row r="13831">
      <c r="A13831" s="10" t="s">
        <v>15270</v>
      </c>
      <c r="B13831" s="7" t="str">
        <f>IFERROR(__xludf.DUMMYFUNCTION("SPLIT(A13831,"" "")"),"Cc1ccccc1N(C)Cc1ncccc1C(C)(C)C")</f>
        <v>Cc1ccccc1N(C)Cc1ncccc1C(C)(C)C</v>
      </c>
      <c r="C13831" s="7">
        <f>IFERROR(__xludf.DUMMYFUNCTION("""COMPUTED_VALUE"""),7.752188)</f>
        <v>7.752188</v>
      </c>
      <c r="D13831" s="7">
        <f>IFERROR(__xludf.DUMMYFUNCTION("""COMPUTED_VALUE"""),0.361702127659574)</f>
        <v>0.3617021277</v>
      </c>
    </row>
    <row r="13832">
      <c r="A13832" s="10" t="s">
        <v>15271</v>
      </c>
      <c r="B13832" s="7" t="str">
        <f>IFERROR(__xludf.DUMMYFUNCTION("SPLIT(A13832,"" "")"),"Cc1cc(CN(Cc2ccnc(C3=C(c4cc(CN(Cc5ccccn5)Cc5ccccn5)ccn4)C4(C=CNC(C(C)C)=C4)CCC3(C)C)c2)Cc2ccccn2)nc(C)c1C")</f>
        <v>Cc1cc(CN(Cc2ccnc(C3=C(c4cc(CN(Cc5ccccn5)Cc5ccccn5)ccn4)C4(C=CNC(C(C)C)=C4)CCC3(C)C)c2)Cc2ccccn2)nc(C)c1C</v>
      </c>
      <c r="C13832" s="7">
        <f>IFERROR(__xludf.DUMMYFUNCTION("""COMPUTED_VALUE"""),7.752183)</f>
        <v>7.752183</v>
      </c>
      <c r="D13832" s="7">
        <f>IFERROR(__xludf.DUMMYFUNCTION("""COMPUTED_VALUE"""),0.3)</f>
        <v>0.3</v>
      </c>
    </row>
    <row r="13833">
      <c r="A13833" s="10" t="s">
        <v>15272</v>
      </c>
      <c r="B13833" s="7" t="str">
        <f>IFERROR(__xludf.DUMMYFUNCTION("SPLIT(A13833,"" "")"),"CC1C=CC(C)C(N(C)Cc2ccc(-c3cccc(N=Cc4ccccn4)c3)cn2)C1")</f>
        <v>CC1C=CC(C)C(N(C)Cc2ccc(-c3cccc(N=Cc4ccccn4)c3)cn2)C1</v>
      </c>
      <c r="C13833" s="7">
        <f>IFERROR(__xludf.DUMMYFUNCTION("""COMPUTED_VALUE"""),7.7521567)</f>
        <v>7.7521567</v>
      </c>
      <c r="D13833" s="7">
        <f>IFERROR(__xludf.DUMMYFUNCTION("""COMPUTED_VALUE"""),0.348484848484848)</f>
        <v>0.3484848485</v>
      </c>
    </row>
    <row r="13834">
      <c r="A13834" s="10" t="s">
        <v>15273</v>
      </c>
      <c r="B13834" s="7" t="str">
        <f>IFERROR(__xludf.DUMMYFUNCTION("SPLIT(A13834,"" "")"),"Cc1cc(C)nc(CN(C)C2=CNC(CN(C)Cc3cnc(C)cc3C)=CC2)c1")</f>
        <v>Cc1cc(C)nc(CN(C)C2=CNC(CN(C)Cc3cnc(C)cc3C)=CC2)c1</v>
      </c>
      <c r="C13834" s="7">
        <f>IFERROR(__xludf.DUMMYFUNCTION("""COMPUTED_VALUE"""),7.752149)</f>
        <v>7.752149</v>
      </c>
      <c r="D13834" s="7">
        <f>IFERROR(__xludf.DUMMYFUNCTION("""COMPUTED_VALUE"""),0.295081967213114)</f>
        <v>0.2950819672</v>
      </c>
    </row>
    <row r="13835">
      <c r="A13835" s="10" t="s">
        <v>15274</v>
      </c>
      <c r="B13835" s="7" t="str">
        <f>IFERROR(__xludf.DUMMYFUNCTION("SPLIT(A13835,"" "")"),"Cc1cc(C)c(C)c(CN(C)CC2=CCC(N(C)Cc3cnc(C)c(C)c3)=CN2)n1")</f>
        <v>Cc1cc(C)c(C)c(CN(C)CC2=CCC(N(C)Cc3cnc(C)c(C)c3)=CN2)n1</v>
      </c>
      <c r="C13835" s="7">
        <f>IFERROR(__xludf.DUMMYFUNCTION("""COMPUTED_VALUE"""),7.752149)</f>
        <v>7.752149</v>
      </c>
      <c r="D13835" s="7">
        <f>IFERROR(__xludf.DUMMYFUNCTION("""COMPUTED_VALUE"""),0.1875)</f>
        <v>0.1875</v>
      </c>
    </row>
    <row r="13836">
      <c r="A13836" s="10" t="s">
        <v>15275</v>
      </c>
      <c r="B13836" s="7" t="str">
        <f>IFERROR(__xludf.DUMMYFUNCTION("SPLIT(A13836,"" "")"),"Cc1cc(C)c(CN(CC2=CCC(N(C)Cc3cc(C)c(C)c(C)n3)=CN2)C(C)C)nc1C")</f>
        <v>Cc1cc(C)c(CN(CC2=CCC(N(C)Cc3cc(C)c(C)c(C)n3)=CN2)C(C)C)nc1C</v>
      </c>
      <c r="C13836" s="7">
        <f>IFERROR(__xludf.DUMMYFUNCTION("""COMPUTED_VALUE"""),7.7521443)</f>
        <v>7.7521443</v>
      </c>
      <c r="D13836" s="7">
        <f>IFERROR(__xludf.DUMMYFUNCTION("""COMPUTED_VALUE"""),0.2)</f>
        <v>0.2</v>
      </c>
    </row>
    <row r="13837">
      <c r="A13837" s="10" t="s">
        <v>15276</v>
      </c>
      <c r="B13837" s="7" t="str">
        <f>IFERROR(__xludf.DUMMYFUNCTION("SPLIT(A13837,"" "")"),"Cc1cccc(N(Cc2ccccn2)C2CCCC(N(C)c3cccc4ncccc34)C2)c1")</f>
        <v>Cc1cccc(N(Cc2ccccn2)C2CCCC(N(C)c3cccc4ncccc34)C2)c1</v>
      </c>
      <c r="C13837" s="7">
        <f>IFERROR(__xludf.DUMMYFUNCTION("""COMPUTED_VALUE"""),7.752133)</f>
        <v>7.752133</v>
      </c>
      <c r="D13837" s="7">
        <f>IFERROR(__xludf.DUMMYFUNCTION("""COMPUTED_VALUE"""),0.370967741935483)</f>
        <v>0.3709677419</v>
      </c>
    </row>
    <row r="13838">
      <c r="A13838" s="10" t="s">
        <v>15277</v>
      </c>
      <c r="B13838" s="7" t="str">
        <f>IFERROR(__xludf.DUMMYFUNCTION("SPLIT(A13838,"" "")"),"COC(=O)C(=O)C(=O)C(C)NCc1cccc(CN=Cc2ccccn2)n1")</f>
        <v>COC(=O)C(=O)C(=O)C(C)NCc1cccc(CN=Cc2ccccn2)n1</v>
      </c>
      <c r="C13838" s="7">
        <f>IFERROR(__xludf.DUMMYFUNCTION("""COMPUTED_VALUE"""),7.7521296)</f>
        <v>7.7521296</v>
      </c>
      <c r="D13838" s="7">
        <f>IFERROR(__xludf.DUMMYFUNCTION("""COMPUTED_VALUE"""),0.296875)</f>
        <v>0.296875</v>
      </c>
    </row>
    <row r="13839">
      <c r="A13839" s="10" t="s">
        <v>15278</v>
      </c>
      <c r="B13839" s="7" t="str">
        <f>IFERROR(__xludf.DUMMYFUNCTION("SPLIT(A13839,"" "")"),"CC(c1ccccn1)C1COC(c2cccnc2)=N1")</f>
        <v>CC(c1ccccn1)C1COC(c2cccnc2)=N1</v>
      </c>
      <c r="C13839" s="7">
        <f>IFERROR(__xludf.DUMMYFUNCTION("""COMPUTED_VALUE"""),7.752124)</f>
        <v>7.752124</v>
      </c>
      <c r="D13839" s="7">
        <f>IFERROR(__xludf.DUMMYFUNCTION("""COMPUTED_VALUE"""),0.293103448275862)</f>
        <v>0.2931034483</v>
      </c>
    </row>
    <row r="13840">
      <c r="A13840" s="10" t="s">
        <v>15279</v>
      </c>
      <c r="B13840" s="7" t="str">
        <f>IFERROR(__xludf.DUMMYFUNCTION("SPLIT(A13840,"" "")"),"Cc1ccc(CN(C)c2cccnc2CN(Cc2ccccn2)Cc2cccc(F)n2)nc1")</f>
        <v>Cc1ccc(CN(C)c2cccnc2CN(Cc2ccccn2)Cc2cccc(F)n2)nc1</v>
      </c>
      <c r="C13840" s="7">
        <f>IFERROR(__xludf.DUMMYFUNCTION("""COMPUTED_VALUE"""),7.7521205)</f>
        <v>7.7521205</v>
      </c>
      <c r="D13840" s="7">
        <f>IFERROR(__xludf.DUMMYFUNCTION("""COMPUTED_VALUE"""),0.417910447761194)</f>
        <v>0.4179104478</v>
      </c>
    </row>
    <row r="13841">
      <c r="A13841" s="10" t="s">
        <v>15280</v>
      </c>
      <c r="B13841" s="7" t="str">
        <f>IFERROR(__xludf.DUMMYFUNCTION("SPLIT(A13841,"" "")"),"COc1ccnc(CN(Cc2cccc(C)n2)Cc2cc(C)c(C)c(C)n2)c1")</f>
        <v>COc1ccnc(CN(Cc2cccc(C)n2)Cc2cc(C)c(C)c(C)n2)c1</v>
      </c>
      <c r="C13841" s="7">
        <f>IFERROR(__xludf.DUMMYFUNCTION("""COMPUTED_VALUE"""),7.7521114)</f>
        <v>7.7521114</v>
      </c>
      <c r="D13841" s="7">
        <f>IFERROR(__xludf.DUMMYFUNCTION("""COMPUTED_VALUE"""),0.46551724137931)</f>
        <v>0.4655172414</v>
      </c>
    </row>
    <row r="13842">
      <c r="A13842" s="10" t="s">
        <v>15281</v>
      </c>
      <c r="B13842" s="7" t="str">
        <f>IFERROR(__xludf.DUMMYFUNCTION("SPLIT(A13842,"" "")"),"CCOC(C)NCc1cc(CN(Cc2ccccn2)Cc2cc(-c3ccc(Cl)c(N)c3)ccn2)ccn1")</f>
        <v>CCOC(C)NCc1cc(CN(Cc2ccccn2)Cc2cc(-c3ccc(Cl)c(N)c3)ccn2)ccn1</v>
      </c>
      <c r="C13842" s="7">
        <f>IFERROR(__xludf.DUMMYFUNCTION("""COMPUTED_VALUE"""),7.752107)</f>
        <v>7.752107</v>
      </c>
      <c r="D13842" s="7">
        <f>IFERROR(__xludf.DUMMYFUNCTION("""COMPUTED_VALUE"""),0.338983050847457)</f>
        <v>0.3389830508</v>
      </c>
    </row>
    <row r="13843">
      <c r="A13843" s="10" t="s">
        <v>15282</v>
      </c>
      <c r="B13843" s="7" t="str">
        <f>IFERROR(__xludf.DUMMYFUNCTION("SPLIT(A13843,"" "")"),"Cc1cc(C)nc(CN(C)C2=CNC(CN(C)C)=CC2)c1")</f>
        <v>Cc1cc(C)nc(CN(C)C2=CNC(CN(C)C)=CC2)c1</v>
      </c>
      <c r="C13843" s="7">
        <f>IFERROR(__xludf.DUMMYFUNCTION("""COMPUTED_VALUE"""),7.752105)</f>
        <v>7.752105</v>
      </c>
      <c r="D13843" s="7">
        <f>IFERROR(__xludf.DUMMYFUNCTION("""COMPUTED_VALUE"""),0.333333333333333)</f>
        <v>0.3333333333</v>
      </c>
    </row>
    <row r="13844">
      <c r="A13844" s="10" t="s">
        <v>15283</v>
      </c>
      <c r="B13844" s="7" t="str">
        <f>IFERROR(__xludf.DUMMYFUNCTION("SPLIT(A13844,"" "")"),"Cc1cccc(CN(C)C2=CCC=C(CN(C)Cc3ncccc3C)N2)n1")</f>
        <v>Cc1cccc(CN(C)C2=CCC=C(CN(C)Cc3ncccc3C)N2)n1</v>
      </c>
      <c r="C13844" s="7">
        <f>IFERROR(__xludf.DUMMYFUNCTION("""COMPUTED_VALUE"""),7.752101)</f>
        <v>7.752101</v>
      </c>
      <c r="D13844" s="7">
        <f>IFERROR(__xludf.DUMMYFUNCTION("""COMPUTED_VALUE"""),0.388888888888888)</f>
        <v>0.3888888889</v>
      </c>
    </row>
    <row r="13845">
      <c r="A13845" s="10" t="s">
        <v>15284</v>
      </c>
      <c r="B13845" s="7" t="str">
        <f>IFERROR(__xludf.DUMMYFUNCTION("SPLIT(A13845,"" "")"),"Cc1cncc(CN(C)CC2=CCC=C(N(C)Cc3nccc(C)c3C)N2)c1")</f>
        <v>Cc1cncc(CN(C)CC2=CCC=C(N(C)Cc3nccc(C)c3C)N2)c1</v>
      </c>
      <c r="C13845" s="7">
        <f>IFERROR(__xludf.DUMMYFUNCTION("""COMPUTED_VALUE"""),7.7520957)</f>
        <v>7.7520957</v>
      </c>
      <c r="D13845" s="7">
        <f>IFERROR(__xludf.DUMMYFUNCTION("""COMPUTED_VALUE"""),0.222222222222222)</f>
        <v>0.2222222222</v>
      </c>
    </row>
    <row r="13846">
      <c r="A13846" s="10" t="s">
        <v>15285</v>
      </c>
      <c r="B13846" s="7" t="str">
        <f>IFERROR(__xludf.DUMMYFUNCTION("SPLIT(A13846,"" "")"),"Cc1cccnc1CN(C)c1cc(-c2cccnc2CN(C)C(C)(C)c2cccnc2-c2ccc3c(c2)OCCOCCOCCOCCOCCO3)cc2ncccc12")</f>
        <v>Cc1cccnc1CN(C)c1cc(-c2cccnc2CN(C)C(C)(C)c2cccnc2-c2ccc3c(c2)OCCOCCOCCOCCOCCO3)cc2ncccc12</v>
      </c>
      <c r="C13846" s="7">
        <f>IFERROR(__xludf.DUMMYFUNCTION("""COMPUTED_VALUE"""),7.752092)</f>
        <v>7.752092</v>
      </c>
      <c r="D13846" s="7">
        <f>IFERROR(__xludf.DUMMYFUNCTION("""COMPUTED_VALUE"""),0.252747252747252)</f>
        <v>0.2527472527</v>
      </c>
    </row>
    <row r="13847">
      <c r="A13847" s="10" t="s">
        <v>15286</v>
      </c>
      <c r="B13847" s="7" t="str">
        <f>IFERROR(__xludf.DUMMYFUNCTION("SPLIT(A13847,"" "")"),"COC(=O)c1cc(CN(Cc2ccccn2)Cc2ccccn2)ccn1")</f>
        <v>COC(=O)c1cc(CN(Cc2ccccn2)Cc2ccccn2)ccn1</v>
      </c>
      <c r="C13847" s="7">
        <f>IFERROR(__xludf.DUMMYFUNCTION("""COMPUTED_VALUE"""),7.7520905)</f>
        <v>7.7520905</v>
      </c>
      <c r="D13847" s="7">
        <f>IFERROR(__xludf.DUMMYFUNCTION("""COMPUTED_VALUE"""),0.5)</f>
        <v>0.5</v>
      </c>
    </row>
    <row r="13848">
      <c r="A13848" s="10" t="s">
        <v>15287</v>
      </c>
      <c r="B13848" s="7" t="str">
        <f>IFERROR(__xludf.DUMMYFUNCTION("SPLIT(A13848,"" "")"),"Cc1ccnc(CN(C)C2=CCC=C(CN(C)Cc3ncccc3F)N2)c1C")</f>
        <v>Cc1ccnc(CN(C)C2=CCC=C(CN(C)Cc3ncccc3F)N2)c1C</v>
      </c>
      <c r="C13848" s="7">
        <f>IFERROR(__xludf.DUMMYFUNCTION("""COMPUTED_VALUE"""),7.75208)</f>
        <v>7.75208</v>
      </c>
      <c r="D13848" s="7">
        <f>IFERROR(__xludf.DUMMYFUNCTION("""COMPUTED_VALUE"""),0.25)</f>
        <v>0.25</v>
      </c>
    </row>
    <row r="13849">
      <c r="A13849" s="10" t="s">
        <v>15288</v>
      </c>
      <c r="B13849" s="7" t="str">
        <f>IFERROR(__xludf.DUMMYFUNCTION("SPLIT(A13849,"" "")"),"CNC12N=C3CCCCC3=CC1(N(Cc1nc(C)c(C)c(C)c1C)Cc1nc(C)c(C)c(C)c1C)CC(N(Cc1nc(C)c(C)c(C)c1C)Cc1nc(C)c(C)c(C)c1C)CC2N(Cc1nc(C)c(C)c(C)c1C)Cc1nc(C)c(C)c(C)c1C")</f>
        <v>CNC12N=C3CCCCC3=CC1(N(Cc1nc(C)c(C)c(C)c1C)Cc1nc(C)c(C)c(C)c1C)CC(N(Cc1nc(C)c(C)c(C)c1C)Cc1nc(C)c(C)c(C)c1C)CC2N(Cc1nc(C)c(C)c(C)c1C)Cc1nc(C)c(C)c(C)c1C</v>
      </c>
      <c r="C13849" s="7">
        <f>IFERROR(__xludf.DUMMYFUNCTION("""COMPUTED_VALUE"""),7.752078)</f>
        <v>7.752078</v>
      </c>
      <c r="D13849" s="7">
        <f>IFERROR(__xludf.DUMMYFUNCTION("""COMPUTED_VALUE"""),0.157894736842105)</f>
        <v>0.1578947368</v>
      </c>
    </row>
    <row r="13850">
      <c r="A13850" s="10" t="s">
        <v>15289</v>
      </c>
      <c r="B13850" s="7" t="str">
        <f>IFERROR(__xludf.DUMMYFUNCTION("SPLIT(A13850,"" "")"),"CN(Cc1ccon1)Cc1ncccc1C(C)(C)c1ccccn1")</f>
        <v>CN(Cc1ccon1)Cc1ncccc1C(C)(C)c1ccccn1</v>
      </c>
      <c r="C13850" s="7">
        <f>IFERROR(__xludf.DUMMYFUNCTION("""COMPUTED_VALUE"""),7.75207)</f>
        <v>7.75207</v>
      </c>
      <c r="D13850" s="7">
        <f>IFERROR(__xludf.DUMMYFUNCTION("""COMPUTED_VALUE"""),0.446808510638297)</f>
        <v>0.4468085106</v>
      </c>
    </row>
    <row r="13851">
      <c r="A13851" s="10" t="s">
        <v>15290</v>
      </c>
      <c r="B13851" s="7" t="str">
        <f>IFERROR(__xludf.DUMMYFUNCTION("SPLIT(A13851,"" "")"),"Cc1nc(CN(C)C2=CCC=C(CN(C)Cc3ccccn3)N2)c(C)c(C)c1C")</f>
        <v>Cc1nc(CN(C)C2=CCC=C(CN(C)Cc3ccccn3)N2)c(C)c(C)c1C</v>
      </c>
      <c r="C13851" s="7">
        <f>IFERROR(__xludf.DUMMYFUNCTION("""COMPUTED_VALUE"""),7.7520638)</f>
        <v>7.7520638</v>
      </c>
      <c r="D13851" s="7">
        <f>IFERROR(__xludf.DUMMYFUNCTION("""COMPUTED_VALUE"""),0.396551724137931)</f>
        <v>0.3965517241</v>
      </c>
    </row>
    <row r="13852">
      <c r="A13852" s="10" t="s">
        <v>15291</v>
      </c>
      <c r="B13852" s="7" t="str">
        <f>IFERROR(__xludf.DUMMYFUNCTION("SPLIT(A13852,"" "")"),"CN(Cc1ccccn1)c1cccnc1CN(Cc1cccc(F)n1)Cc1cccnc1F")</f>
        <v>CN(Cc1ccccn1)c1cccnc1CN(Cc1cccc(F)n1)Cc1cccnc1F</v>
      </c>
      <c r="C13852" s="7">
        <f>IFERROR(__xludf.DUMMYFUNCTION("""COMPUTED_VALUE"""),7.7520633)</f>
        <v>7.7520633</v>
      </c>
      <c r="D13852" s="7">
        <f>IFERROR(__xludf.DUMMYFUNCTION("""COMPUTED_VALUE"""),0.43076923076923)</f>
        <v>0.4307692308</v>
      </c>
    </row>
    <row r="13853">
      <c r="A13853" s="10" t="s">
        <v>15292</v>
      </c>
      <c r="B13853" s="7" t="str">
        <f>IFERROR(__xludf.DUMMYFUNCTION("SPLIT(A13853,"" "")"),"Cc1cc(C)c(NCc2ccccn2)cc1C")</f>
        <v>Cc1cc(C)c(NCc2ccccn2)cc1C</v>
      </c>
      <c r="C13853" s="7">
        <f>IFERROR(__xludf.DUMMYFUNCTION("""COMPUTED_VALUE"""),7.752056)</f>
        <v>7.752056</v>
      </c>
      <c r="D13853" s="7">
        <f>IFERROR(__xludf.DUMMYFUNCTION("""COMPUTED_VALUE"""),0.485714285714285)</f>
        <v>0.4857142857</v>
      </c>
    </row>
    <row r="13854">
      <c r="A13854" s="10" t="s">
        <v>15293</v>
      </c>
      <c r="B13854" s="7" t="str">
        <f>IFERROR(__xludf.DUMMYFUNCTION("SPLIT(A13854,"" "")"),"Cc1cccc(CN(C)c2ccc(-c3cccc(CN(C)C(C)C(C)C)n3)cc2)n1")</f>
        <v>Cc1cccc(CN(C)c2ccc(-c3cccc(CN(C)C(C)C(C)C)n3)cc2)n1</v>
      </c>
      <c r="C13854" s="7">
        <f>IFERROR(__xludf.DUMMYFUNCTION("""COMPUTED_VALUE"""),7.752055)</f>
        <v>7.752055</v>
      </c>
      <c r="D13854" s="7">
        <f>IFERROR(__xludf.DUMMYFUNCTION("""COMPUTED_VALUE"""),0.425531914893617)</f>
        <v>0.4255319149</v>
      </c>
    </row>
    <row r="13855">
      <c r="A13855" s="10" t="s">
        <v>15294</v>
      </c>
      <c r="B13855" s="7" t="str">
        <f>IFERROR(__xludf.DUMMYFUNCTION("SPLIT(A13855,"" "")"),"Cc1cc(C)c(CN(C)C2=CNC(CN(C)Cc3ccnc(C)c3C)=CC2)nc1C")</f>
        <v>Cc1cc(C)c(CN(C)C2=CNC(CN(C)Cc3ccnc(C)c3C)=CC2)nc1C</v>
      </c>
      <c r="C13855" s="7">
        <f>IFERROR(__xludf.DUMMYFUNCTION("""COMPUTED_VALUE"""),7.7520437)</f>
        <v>7.7520437</v>
      </c>
      <c r="D13855" s="7">
        <f>IFERROR(__xludf.DUMMYFUNCTION("""COMPUTED_VALUE"""),0.23076923076923)</f>
        <v>0.2307692308</v>
      </c>
    </row>
    <row r="13856">
      <c r="A13856" s="10" t="s">
        <v>15295</v>
      </c>
      <c r="B13856" s="7" t="str">
        <f>IFERROR(__xludf.DUMMYFUNCTION("SPLIT(A13856,"" "")"),"Cc1ccc(CN(CC2=CCC=C(N(C)Cc3cccc(C)n3)N2)Cc2ccccn2)nc1")</f>
        <v>Cc1ccc(CN(CC2=CCC=C(N(C)Cc3cccc(C)n3)N2)Cc2ccccn2)nc1</v>
      </c>
      <c r="C13856" s="7">
        <f>IFERROR(__xludf.DUMMYFUNCTION("""COMPUTED_VALUE"""),7.752042)</f>
        <v>7.752042</v>
      </c>
      <c r="D13856" s="7">
        <f>IFERROR(__xludf.DUMMYFUNCTION("""COMPUTED_VALUE"""),0.435483870967741)</f>
        <v>0.435483871</v>
      </c>
    </row>
    <row r="13857">
      <c r="A13857" s="10" t="s">
        <v>15296</v>
      </c>
      <c r="B13857" s="7" t="str">
        <f>IFERROR(__xludf.DUMMYFUNCTION("SPLIT(A13857,"" "")"),"Cc1cc(C)c(CN(C)CC2=C(N(C)Cc3ncc(C)c(C)c3C)CC=CN2)nc1C")</f>
        <v>Cc1cc(C)c(CN(C)CC2=C(N(C)Cc3ncc(C)c(C)c3C)CC=CN2)nc1C</v>
      </c>
      <c r="C13857" s="7">
        <f>IFERROR(__xludf.DUMMYFUNCTION("""COMPUTED_VALUE"""),7.7520404)</f>
        <v>7.7520404</v>
      </c>
      <c r="D13857" s="7">
        <f>IFERROR(__xludf.DUMMYFUNCTION("""COMPUTED_VALUE"""),0.217391304347826)</f>
        <v>0.2173913043</v>
      </c>
    </row>
    <row r="13858">
      <c r="A13858" s="10" t="s">
        <v>15297</v>
      </c>
      <c r="B13858" s="7" t="str">
        <f>IFERROR(__xludf.DUMMYFUNCTION("SPLIT(A13858,"" "")"),"Cc1cnc(CN(C)C2CCC(N(C)Cc3cc(-c4cccc5ncccc45)ccn3)CC2)c(C)c1")</f>
        <v>Cc1cnc(CN(C)C2CCC(N(C)Cc3cc(-c4cccc5ncccc45)ccn3)CC2)c(C)c1</v>
      </c>
      <c r="C13858" s="7">
        <f>IFERROR(__xludf.DUMMYFUNCTION("""COMPUTED_VALUE"""),7.75204)</f>
        <v>7.75204</v>
      </c>
      <c r="D13858" s="7">
        <f>IFERROR(__xludf.DUMMYFUNCTION("""COMPUTED_VALUE"""),0.307692307692307)</f>
        <v>0.3076923077</v>
      </c>
    </row>
    <row r="13859">
      <c r="A13859" s="10" t="s">
        <v>15298</v>
      </c>
      <c r="B13859" s="7" t="str">
        <f>IFERROR(__xludf.DUMMYFUNCTION("SPLIT(A13859,"" "")"),"Cc1ccc(CN(C)Cc2cccc(N(C)C3CCCC(N(C)c4cccc5ncc(CF)cc45)C3)n2)nc1")</f>
        <v>Cc1ccc(CN(C)Cc2cccc(N(C)C3CCCC(N(C)c4cccc5ncc(CF)cc45)C3)n2)nc1</v>
      </c>
      <c r="C13859" s="7">
        <f>IFERROR(__xludf.DUMMYFUNCTION("""COMPUTED_VALUE"""),7.752037)</f>
        <v>7.752037</v>
      </c>
      <c r="D13859" s="7">
        <f>IFERROR(__xludf.DUMMYFUNCTION("""COMPUTED_VALUE"""),0.35820895522388)</f>
        <v>0.3582089552</v>
      </c>
    </row>
    <row r="13860">
      <c r="A13860" s="10" t="s">
        <v>15299</v>
      </c>
      <c r="B13860" s="7" t="str">
        <f>IFERROR(__xludf.DUMMYFUNCTION("SPLIT(A13860,"" "")"),"CC(C)N(C)CCN(C)c1ccc2cc(CF)cnc2c1")</f>
        <v>CC(C)N(C)CCN(C)c1ccc2cc(CF)cnc2c1</v>
      </c>
      <c r="C13860" s="7">
        <f>IFERROR(__xludf.DUMMYFUNCTION("""COMPUTED_VALUE"""),7.7520337)</f>
        <v>7.7520337</v>
      </c>
      <c r="D13860" s="7">
        <f>IFERROR(__xludf.DUMMYFUNCTION("""COMPUTED_VALUE"""),0.245283018867924)</f>
        <v>0.2452830189</v>
      </c>
    </row>
    <row r="13861">
      <c r="A13861" s="10" t="s">
        <v>15300</v>
      </c>
      <c r="B13861" s="7" t="str">
        <f>IFERROR(__xludf.DUMMYFUNCTION("SPLIT(A13861,"" "")"),"Cc1cccnc1CN(C)Cc1ncccc1N(C)C")</f>
        <v>Cc1cccnc1CN(C)Cc1ncccc1N(C)C</v>
      </c>
      <c r="C13861" s="7">
        <f>IFERROR(__xludf.DUMMYFUNCTION("""COMPUTED_VALUE"""),7.7520328)</f>
        <v>7.7520328</v>
      </c>
      <c r="D13861" s="7">
        <f>IFERROR(__xludf.DUMMYFUNCTION("""COMPUTED_VALUE"""),0.357142857142857)</f>
        <v>0.3571428571</v>
      </c>
    </row>
    <row r="13862">
      <c r="A13862" s="10" t="s">
        <v>15301</v>
      </c>
      <c r="B13862" s="7" t="str">
        <f>IFERROR(__xludf.DUMMYFUNCTION("SPLIT(A13862,"" "")"),"CCN(Cc1ccccn1)Cc1cccc(N(C)Cc2nc(C)c(C)c(C)c2C)n1")</f>
        <v>CCN(Cc1ccccn1)Cc1cccc(N(C)Cc2nc(C)c(C)c(C)c2C)n1</v>
      </c>
      <c r="C13862" s="7">
        <f>IFERROR(__xludf.DUMMYFUNCTION("""COMPUTED_VALUE"""),7.7520313)</f>
        <v>7.7520313</v>
      </c>
      <c r="D13862" s="7">
        <f>IFERROR(__xludf.DUMMYFUNCTION("""COMPUTED_VALUE"""),0.413043478260869)</f>
        <v>0.4130434783</v>
      </c>
    </row>
    <row r="13863">
      <c r="A13863" s="10" t="s">
        <v>15302</v>
      </c>
      <c r="B13863" s="7" t="str">
        <f>IFERROR(__xludf.DUMMYFUNCTION("SPLIT(A13863,"" "")"),"CN(c1ccc2ccc(C3=CCC=CN3)nc2c1)C1CCCC(N(CC2=CCC=CN2)Cc2ccccn2)C1")</f>
        <v>CN(c1ccc2ccc(C3=CCC=CN3)nc2c1)C1CCCC(N(CC2=CCC=CN2)Cc2ccccn2)C1</v>
      </c>
      <c r="C13863" s="7">
        <f>IFERROR(__xludf.DUMMYFUNCTION("""COMPUTED_VALUE"""),7.752031)</f>
        <v>7.752031</v>
      </c>
      <c r="D13863" s="7">
        <f>IFERROR(__xludf.DUMMYFUNCTION("""COMPUTED_VALUE"""),0.442857142857142)</f>
        <v>0.4428571429</v>
      </c>
    </row>
    <row r="13864">
      <c r="A13864" s="10" t="s">
        <v>15303</v>
      </c>
      <c r="B13864" s="7" t="str">
        <f>IFERROR(__xludf.DUMMYFUNCTION("SPLIT(A13864,"" "")"),"Cc1cc(C)nc(CN(C)C2=C(CN(C)Cc3cc(C)c(C)c(C)n3)NC=CC2)c1")</f>
        <v>Cc1cc(C)nc(CN(C)C2=C(CN(C)Cc3cc(C)c(C)c(C)n3)NC=CC2)c1</v>
      </c>
      <c r="C13864" s="7">
        <f>IFERROR(__xludf.DUMMYFUNCTION("""COMPUTED_VALUE"""),7.7520256)</f>
        <v>7.7520256</v>
      </c>
      <c r="D13864" s="7">
        <f>IFERROR(__xludf.DUMMYFUNCTION("""COMPUTED_VALUE"""),0.3)</f>
        <v>0.3</v>
      </c>
    </row>
    <row r="13865">
      <c r="A13865" s="10" t="s">
        <v>15304</v>
      </c>
      <c r="B13865" s="7" t="str">
        <f>IFERROR(__xludf.DUMMYFUNCTION("SPLIT(A13865,"" "")"),"Cc1ccc(-c2cc(CN(C)C3CCCC(N(C)Cc4ccccn4)C3)ccn2)c2ncccc12")</f>
        <v>Cc1ccc(-c2cc(CN(C)C3CCCC(N(C)Cc4ccccn4)C3)ccn2)c2ncccc12</v>
      </c>
      <c r="C13865" s="7">
        <f>IFERROR(__xludf.DUMMYFUNCTION("""COMPUTED_VALUE"""),7.752024)</f>
        <v>7.752024</v>
      </c>
      <c r="D13865" s="7">
        <f>IFERROR(__xludf.DUMMYFUNCTION("""COMPUTED_VALUE"""),0.416666666666666)</f>
        <v>0.4166666667</v>
      </c>
    </row>
    <row r="13866">
      <c r="A13866" s="10" t="s">
        <v>15305</v>
      </c>
      <c r="B13866" s="7" t="str">
        <f>IFERROR(__xludf.DUMMYFUNCTION("SPLIT(A13866,"" "")"),"Cc1ccc(-c2cccc(CNCc3ccccn3)c2)nc1")</f>
        <v>Cc1ccc(-c2cccc(CNCc3ccccn3)c2)nc1</v>
      </c>
      <c r="C13866" s="7">
        <f>IFERROR(__xludf.DUMMYFUNCTION("""COMPUTED_VALUE"""),7.752019)</f>
        <v>7.752019</v>
      </c>
      <c r="D13866" s="7">
        <f>IFERROR(__xludf.DUMMYFUNCTION("""COMPUTED_VALUE"""),0.431818181818181)</f>
        <v>0.4318181818</v>
      </c>
    </row>
    <row r="13867">
      <c r="A13867" s="10" t="s">
        <v>15306</v>
      </c>
      <c r="B13867" s="7" t="str">
        <f>IFERROR(__xludf.DUMMYFUNCTION("SPLIT(A13867,"" "")"),"CN(c1cccc2ncc(CF)cc12)C1CCCC(N(Cc2ccccn2)c2ccccc2F)C1")</f>
        <v>CN(c1cccc2ncc(CF)cc12)C1CCCC(N(Cc2ccccn2)c2ccccc2F)C1</v>
      </c>
      <c r="C13867" s="7">
        <f>IFERROR(__xludf.DUMMYFUNCTION("""COMPUTED_VALUE"""),7.7520146)</f>
        <v>7.7520146</v>
      </c>
      <c r="D13867" s="7">
        <f>IFERROR(__xludf.DUMMYFUNCTION("""COMPUTED_VALUE"""),0.353846153846153)</f>
        <v>0.3538461538</v>
      </c>
    </row>
    <row r="13868">
      <c r="A13868" s="10" t="s">
        <v>15307</v>
      </c>
      <c r="B13868" s="7" t="str">
        <f>IFERROR(__xludf.DUMMYFUNCTION("SPLIT(A13868,"" "")"),"C1=C(NCc2ccccn2)C=C(SCc2ccccn2)NC1")</f>
        <v>C1=C(NCc2ccccn2)C=C(SCc2ccccn2)NC1</v>
      </c>
      <c r="C13868" s="7">
        <f>IFERROR(__xludf.DUMMYFUNCTION("""COMPUTED_VALUE"""),7.752012)</f>
        <v>7.752012</v>
      </c>
      <c r="D13868" s="7">
        <f>IFERROR(__xludf.DUMMYFUNCTION("""COMPUTED_VALUE"""),0.386363636363636)</f>
        <v>0.3863636364</v>
      </c>
    </row>
    <row r="13869">
      <c r="A13869" s="10" t="s">
        <v>15308</v>
      </c>
      <c r="B13869" s="7" t="str">
        <f>IFERROR(__xludf.DUMMYFUNCTION("SPLIT(A13869,"" "")"),"COC(=O)c1ncccc1CN(Cc1ccccn1)C1CCCCC1N(C)c1cccc2nccc(CN(C)C)c12")</f>
        <v>COC(=O)c1ncccc1CN(Cc1ccccn1)C1CCCCC1N(C)c1cccc2nccc(CN(C)C)c12</v>
      </c>
      <c r="C13869" s="7">
        <f>IFERROR(__xludf.DUMMYFUNCTION("""COMPUTED_VALUE"""),7.7520094)</f>
        <v>7.7520094</v>
      </c>
      <c r="D13869" s="7">
        <f>IFERROR(__xludf.DUMMYFUNCTION("""COMPUTED_VALUE"""),0.376811594202898)</f>
        <v>0.3768115942</v>
      </c>
    </row>
    <row r="13870">
      <c r="A13870" s="10" t="s">
        <v>15309</v>
      </c>
      <c r="B13870" s="7" t="str">
        <f>IFERROR(__xludf.DUMMYFUNCTION("SPLIT(A13870,"" "")"),"Cc1cc(C)c(CN(C)CC2=CCC=C(N(C)Cc3ccccn3)N2)c(C)c1C")</f>
        <v>Cc1cc(C)c(CN(C)CC2=CCC=C(N(C)Cc3ccccn3)N2)c(C)c1C</v>
      </c>
      <c r="C13870" s="7">
        <f>IFERROR(__xludf.DUMMYFUNCTION("""COMPUTED_VALUE"""),7.7519956)</f>
        <v>7.7519956</v>
      </c>
      <c r="D13870" s="7">
        <f>IFERROR(__xludf.DUMMYFUNCTION("""COMPUTED_VALUE"""),0.385964912280701)</f>
        <v>0.3859649123</v>
      </c>
    </row>
    <row r="13871">
      <c r="A13871" s="10" t="s">
        <v>15310</v>
      </c>
      <c r="B13871" s="7" t="str">
        <f>IFERROR(__xludf.DUMMYFUNCTION("SPLIT(A13871,"" "")"),"CNCc1ccc2cccc(N(C)C3CCCCC3N(Cc3ccc4ncccc4c3)Cc3ccccn3)c2n1")</f>
        <v>CNCc1ccc2cccc(N(C)C3CCCCC3N(Cc3ccc4ncccc4c3)Cc3ccccn3)c2n1</v>
      </c>
      <c r="C13871" s="7">
        <f>IFERROR(__xludf.DUMMYFUNCTION("""COMPUTED_VALUE"""),7.7519836)</f>
        <v>7.7519836</v>
      </c>
      <c r="D13871" s="7">
        <f>IFERROR(__xludf.DUMMYFUNCTION("""COMPUTED_VALUE"""),0.463768115942029)</f>
        <v>0.4637681159</v>
      </c>
    </row>
    <row r="13872">
      <c r="A13872" s="10" t="s">
        <v>15311</v>
      </c>
      <c r="B13872" s="7" t="str">
        <f>IFERROR(__xludf.DUMMYFUNCTION("SPLIT(A13872,"" "")"),"CC(C)C(C)N(Cc1ccccn1)Cc1cccc(-c2cccc(N=Cc3ccccn3)c2)n1")</f>
        <v>CC(C)C(C)N(Cc1ccccn1)Cc1cccc(-c2cccc(N=Cc3ccccn3)c2)n1</v>
      </c>
      <c r="C13872" s="7">
        <f>IFERROR(__xludf.DUMMYFUNCTION("""COMPUTED_VALUE"""),7.7519836)</f>
        <v>7.7519836</v>
      </c>
      <c r="D13872" s="7">
        <f>IFERROR(__xludf.DUMMYFUNCTION("""COMPUTED_VALUE"""),0.46774193548387)</f>
        <v>0.4677419355</v>
      </c>
    </row>
    <row r="13873">
      <c r="A13873" s="10" t="s">
        <v>15312</v>
      </c>
      <c r="B13873" s="7" t="str">
        <f>IFERROR(__xludf.DUMMYFUNCTION("SPLIT(A13873,"" "")"),"Cc1nc(CN(Cc2ccccn2)C2CCCC(N(C)c3ccc4c(CN(C)C)nccc4c3)C2)c(C)c(C)c1C")</f>
        <v>Cc1nc(CN(Cc2ccccn2)C2CCCC(N(C)c3ccc4c(CN(C)C)nccc4c3)C2)c(C)c(C)c1C</v>
      </c>
      <c r="C13873" s="7">
        <f>IFERROR(__xludf.DUMMYFUNCTION("""COMPUTED_VALUE"""),7.7519774)</f>
        <v>7.7519774</v>
      </c>
      <c r="D13873" s="7">
        <f>IFERROR(__xludf.DUMMYFUNCTION("""COMPUTED_VALUE"""),0.333333333333333)</f>
        <v>0.3333333333</v>
      </c>
    </row>
    <row r="13874">
      <c r="A13874" s="10" t="s">
        <v>15313</v>
      </c>
      <c r="B13874" s="7" t="str">
        <f>IFERROR(__xludf.DUMMYFUNCTION("SPLIT(A13874,"" "")"),"CN(Cc1cc(-c2ccc3c(c2)OCCOCCOCCOCCOCCO3)ccn1)Cc1ccnc2ccc(N(C)Cc3ccc4ncccc4c3)cc12")</f>
        <v>CN(Cc1cc(-c2ccc3c(c2)OCCOCCOCCOCCOCCO3)ccn1)Cc1ccnc2ccc(N(C)Cc3ccc4ncccc4c3)cc12</v>
      </c>
      <c r="C13874" s="7">
        <f>IFERROR(__xludf.DUMMYFUNCTION("""COMPUTED_VALUE"""),7.7519727)</f>
        <v>7.7519727</v>
      </c>
      <c r="D13874" s="7">
        <f>IFERROR(__xludf.DUMMYFUNCTION("""COMPUTED_VALUE"""),0.297619047619047)</f>
        <v>0.2976190476</v>
      </c>
    </row>
    <row r="13875">
      <c r="A13875" s="10" t="s">
        <v>15314</v>
      </c>
      <c r="B13875" s="7" t="str">
        <f>IFERROR(__xludf.DUMMYFUNCTION("SPLIT(A13875,"" "")"),"CC(C)N(C)CCN(C)c1ccc2ncc(CF)cc2c1")</f>
        <v>CC(C)N(C)CCN(C)c1ccc2ncc(CF)cc2c1</v>
      </c>
      <c r="C13875" s="7">
        <f>IFERROR(__xludf.DUMMYFUNCTION("""COMPUTED_VALUE"""),7.751972)</f>
        <v>7.751972</v>
      </c>
      <c r="D13875" s="7">
        <f>IFERROR(__xludf.DUMMYFUNCTION("""COMPUTED_VALUE"""),0.24074074074074)</f>
        <v>0.2407407407</v>
      </c>
    </row>
    <row r="13876">
      <c r="A13876" s="10" t="s">
        <v>15315</v>
      </c>
      <c r="B13876" s="7" t="str">
        <f>IFERROR(__xludf.DUMMYFUNCTION("SPLIT(A13876,"" "")"),"Cc1ccc(CN(C)Cc2ncccc2N(C)C2CCC(N(C)c3ccc4nccc(CF)c4c3)CC2)cn1")</f>
        <v>Cc1ccc(CN(C)Cc2ncccc2N(C)C2CCC(N(C)c3ccc4nccc(CF)c4c3)CC2)cn1</v>
      </c>
      <c r="C13876" s="7">
        <f>IFERROR(__xludf.DUMMYFUNCTION("""COMPUTED_VALUE"""),7.751961)</f>
        <v>7.751961</v>
      </c>
      <c r="D13876" s="7">
        <f>IFERROR(__xludf.DUMMYFUNCTION("""COMPUTED_VALUE"""),0.24)</f>
        <v>0.24</v>
      </c>
    </row>
    <row r="13877">
      <c r="A13877" s="10" t="s">
        <v>15316</v>
      </c>
      <c r="B13877" s="7" t="str">
        <f>IFERROR(__xludf.DUMMYFUNCTION("SPLIT(A13877,"" "")"),"CC1=C(c2ccccc2)C(c2cccc(CNCc3ccccn3)c2)CC=C1c1ccccc1")</f>
        <v>CC1=C(c2ccccc2)C(c2cccc(CNCc3ccccn3)c2)CC=C1c1ccccc1</v>
      </c>
      <c r="C13877" s="7">
        <f>IFERROR(__xludf.DUMMYFUNCTION("""COMPUTED_VALUE"""),7.751959)</f>
        <v>7.751959</v>
      </c>
      <c r="D13877" s="7">
        <f>IFERROR(__xludf.DUMMYFUNCTION("""COMPUTED_VALUE"""),0.351851851851851)</f>
        <v>0.3518518519</v>
      </c>
    </row>
    <row r="13878">
      <c r="A13878" s="10" t="s">
        <v>15317</v>
      </c>
      <c r="B13878" s="7" t="str">
        <f>IFERROR(__xludf.DUMMYFUNCTION("SPLIT(A13878,"" "")"),"Cc1cc(CNCc2ccccn2)cc(N=Cc2ccccn2)c1")</f>
        <v>Cc1cc(CNCc2ccccn2)cc(N=Cc2ccccn2)c1</v>
      </c>
      <c r="C13878" s="7">
        <f>IFERROR(__xludf.DUMMYFUNCTION("""COMPUTED_VALUE"""),7.7519555)</f>
        <v>7.7519555</v>
      </c>
      <c r="D13878" s="7">
        <f>IFERROR(__xludf.DUMMYFUNCTION("""COMPUTED_VALUE"""),0.413043478260869)</f>
        <v>0.4130434783</v>
      </c>
    </row>
    <row r="13879">
      <c r="A13879" s="10" t="s">
        <v>15318</v>
      </c>
      <c r="B13879" s="7" t="str">
        <f>IFERROR(__xludf.DUMMYFUNCTION("SPLIT(A13879,"" "")"),"CCOC(=O)c1cc(CN(Cc2ccccn2)C2CCCC(N(C)c3ccc4c(CN(C)C)ccnc4c3)C2)ccn1")</f>
        <v>CCOC(=O)c1cc(CN(Cc2ccccn2)C2CCCC(N(C)c3ccc4c(CN(C)C)ccnc4c3)C2)ccn1</v>
      </c>
      <c r="C13879" s="7">
        <f>IFERROR(__xludf.DUMMYFUNCTION("""COMPUTED_VALUE"""),7.7519517)</f>
        <v>7.7519517</v>
      </c>
      <c r="D13879" s="7">
        <f>IFERROR(__xludf.DUMMYFUNCTION("""COMPUTED_VALUE"""),0.298701298701298)</f>
        <v>0.2987012987</v>
      </c>
    </row>
    <row r="13880">
      <c r="A13880" s="10" t="s">
        <v>15319</v>
      </c>
      <c r="B13880" s="7" t="str">
        <f>IFERROR(__xludf.DUMMYFUNCTION("SPLIT(A13880,"" "")"),"Cc1cc(CN(Cc2cccnc2)Cc2cc(C)c(C)c(C)n2)nc(C)c1C")</f>
        <v>Cc1cc(CN(Cc2cccnc2)Cc2cc(C)c(C)c(C)n2)nc(C)c1C</v>
      </c>
      <c r="C13880" s="7">
        <f>IFERROR(__xludf.DUMMYFUNCTION("""COMPUTED_VALUE"""),7.7519455)</f>
        <v>7.7519455</v>
      </c>
      <c r="D13880" s="7">
        <f>IFERROR(__xludf.DUMMYFUNCTION("""COMPUTED_VALUE"""),0.302325581395348)</f>
        <v>0.3023255814</v>
      </c>
    </row>
    <row r="13881">
      <c r="A13881" s="10" t="s">
        <v>15320</v>
      </c>
      <c r="B13881" s="7" t="str">
        <f>IFERROR(__xludf.DUMMYFUNCTION("SPLIT(A13881,"" "")"),"CN(C)Cc1cnc2cc(N(C)CCN(C)CC(C)(C)C)ccc2c1")</f>
        <v>CN(C)Cc1cnc2cc(N(C)CCN(C)CC(C)(C)C)ccc2c1</v>
      </c>
      <c r="C13881" s="7">
        <f>IFERROR(__xludf.DUMMYFUNCTION("""COMPUTED_VALUE"""),7.7519436)</f>
        <v>7.7519436</v>
      </c>
      <c r="D13881" s="7">
        <f>IFERROR(__xludf.DUMMYFUNCTION("""COMPUTED_VALUE"""),0.272727272727272)</f>
        <v>0.2727272727</v>
      </c>
    </row>
    <row r="13882">
      <c r="A13882" s="10" t="s">
        <v>15321</v>
      </c>
      <c r="B13882" s="7" t="str">
        <f>IFERROR(__xludf.DUMMYFUNCTION("SPLIT(A13882,"" "")"),"Cc1ccccc1N(Cc1ccccn1)C1CCCC(N(C)c2cccc3ncccc23)C1")</f>
        <v>Cc1ccccc1N(Cc1ccccn1)C1CCCC(N(C)c2cccc3ncccc23)C1</v>
      </c>
      <c r="C13882" s="7">
        <f>IFERROR(__xludf.DUMMYFUNCTION("""COMPUTED_VALUE"""),7.751927)</f>
        <v>7.751927</v>
      </c>
      <c r="D13882" s="7">
        <f>IFERROR(__xludf.DUMMYFUNCTION("""COMPUTED_VALUE"""),0.396551724137931)</f>
        <v>0.3965517241</v>
      </c>
    </row>
    <row r="13883">
      <c r="A13883" s="10" t="s">
        <v>15322</v>
      </c>
      <c r="B13883" s="7" t="str">
        <f>IFERROR(__xludf.DUMMYFUNCTION("SPLIT(A13883,"" "")"),"Cc1cc(CN(C)CC2=CCC=C(N(C)Cc3ccccn3)N2)cnc1C")</f>
        <v>Cc1cc(CN(C)CC2=CCC=C(N(C)Cc3ccccn3)N2)cnc1C</v>
      </c>
      <c r="C13883" s="7">
        <f>IFERROR(__xludf.DUMMYFUNCTION("""COMPUTED_VALUE"""),7.7519236)</f>
        <v>7.7519236</v>
      </c>
      <c r="D13883" s="7">
        <f>IFERROR(__xludf.DUMMYFUNCTION("""COMPUTED_VALUE"""),0.385964912280701)</f>
        <v>0.3859649123</v>
      </c>
    </row>
    <row r="13884">
      <c r="A13884" s="10" t="s">
        <v>15323</v>
      </c>
      <c r="B13884" s="7" t="str">
        <f>IFERROR(__xludf.DUMMYFUNCTION("SPLIT(A13884,"" "")"),"CN(Cc1ccc(-c2cccc(F)c2)cn1)C1CCCCC1N(C)c1ccc2ncc(CF)cc2c1")</f>
        <v>CN(Cc1ccc(-c2cccc(F)c2)cn1)C1CCCCC1N(C)c1ccc2ncc(CF)cc2c1</v>
      </c>
      <c r="C13884" s="7">
        <f>IFERROR(__xludf.DUMMYFUNCTION("""COMPUTED_VALUE"""),7.751923)</f>
        <v>7.751923</v>
      </c>
      <c r="D13884" s="7">
        <f>IFERROR(__xludf.DUMMYFUNCTION("""COMPUTED_VALUE"""),0.4)</f>
        <v>0.4</v>
      </c>
    </row>
    <row r="13885">
      <c r="A13885" s="10" t="s">
        <v>15324</v>
      </c>
      <c r="B13885" s="7" t="str">
        <f>IFERROR(__xludf.DUMMYFUNCTION("SPLIT(A13885,"" "")"),"CC(c1ccccc1)(c1ccccn1)c1ccccn1")</f>
        <v>CC(c1ccccc1)(c1ccccn1)c1ccccn1</v>
      </c>
      <c r="C13885" s="7">
        <f>IFERROR(__xludf.DUMMYFUNCTION("""COMPUTED_VALUE"""),7.751922)</f>
        <v>7.751922</v>
      </c>
      <c r="D13885" s="7">
        <f>IFERROR(__xludf.DUMMYFUNCTION("""COMPUTED_VALUE"""),0.5)</f>
        <v>0.5</v>
      </c>
    </row>
    <row r="13886">
      <c r="A13886" s="10" t="s">
        <v>15325</v>
      </c>
      <c r="B13886" s="7" t="str">
        <f>IFERROR(__xludf.DUMMYFUNCTION("SPLIT(A13886,"" "")"),"Cc1cccnc1CN(Cc1ccccn1)c1ccc(F)cc1")</f>
        <v>Cc1cccnc1CN(Cc1ccccn1)c1ccc(F)cc1</v>
      </c>
      <c r="C13886" s="7">
        <f>IFERROR(__xludf.DUMMYFUNCTION("""COMPUTED_VALUE"""),7.7519135)</f>
        <v>7.7519135</v>
      </c>
      <c r="D13886" s="7">
        <f>IFERROR(__xludf.DUMMYFUNCTION("""COMPUTED_VALUE"""),0.414634146341463)</f>
        <v>0.4146341463</v>
      </c>
    </row>
    <row r="13887">
      <c r="A13887" s="10" t="s">
        <v>15326</v>
      </c>
      <c r="B13887" s="7" t="str">
        <f>IFERROR(__xludf.DUMMYFUNCTION("SPLIT(A13887,"" "")"),"Cc1cc(N)cc(-c2nccc(CN(C)C3CCCC(N(C)Cc4ccc5ncccc5c4)C3)c2C)c1")</f>
        <v>Cc1cc(N)cc(-c2nccc(CN(C)C3CCCC(N(C)Cc4ccc5ncccc5c4)C3)c2C)c1</v>
      </c>
      <c r="C13887" s="7">
        <f>IFERROR(__xludf.DUMMYFUNCTION("""COMPUTED_VALUE"""),7.7519097)</f>
        <v>7.7519097</v>
      </c>
      <c r="D13887" s="7">
        <f>IFERROR(__xludf.DUMMYFUNCTION("""COMPUTED_VALUE"""),0.25)</f>
        <v>0.25</v>
      </c>
    </row>
    <row r="13888">
      <c r="A13888" s="10" t="s">
        <v>15327</v>
      </c>
      <c r="B13888" s="7" t="str">
        <f>IFERROR(__xludf.DUMMYFUNCTION("SPLIT(A13888,"" "")"),"Cc1ccc(CN(C)C2=CNC(CN(C)Cc3cc(C)c(C)c(C)n3)=CC2)nc1C")</f>
        <v>Cc1ccc(CN(C)C2=CNC(CN(C)Cc3cc(C)c(C)c(C)n3)=CC2)nc1C</v>
      </c>
      <c r="C13888" s="7">
        <f>IFERROR(__xludf.DUMMYFUNCTION("""COMPUTED_VALUE"""),7.7519016)</f>
        <v>7.7519016</v>
      </c>
      <c r="D13888" s="7">
        <f>IFERROR(__xludf.DUMMYFUNCTION("""COMPUTED_VALUE"""),0.263157894736842)</f>
        <v>0.2631578947</v>
      </c>
    </row>
    <row r="13889">
      <c r="A13889" s="10" t="s">
        <v>15328</v>
      </c>
      <c r="B13889" s="7" t="str">
        <f>IFERROR(__xludf.DUMMYFUNCTION("SPLIT(A13889,"" "")"),"Cc1cc(C2CCC2(C)C)nc(C2=NC(=O)C(C3(C)CCC3C(C)(C)c3cccc(C4=NCC(C)(C)O4)n3)O2)c1C")</f>
        <v>Cc1cc(C2CCC2(C)C)nc(C2=NC(=O)C(C3(C)CCC3C(C)(C)c3cccc(C4=NCC(C)(C)O4)n3)O2)c1C</v>
      </c>
      <c r="C13889" s="7">
        <f>IFERROR(__xludf.DUMMYFUNCTION("""COMPUTED_VALUE"""),7.751901)</f>
        <v>7.751901</v>
      </c>
      <c r="D13889" s="7">
        <f>IFERROR(__xludf.DUMMYFUNCTION("""COMPUTED_VALUE"""),0.215189873417721)</f>
        <v>0.2151898734</v>
      </c>
    </row>
    <row r="13890">
      <c r="A13890" s="10" t="s">
        <v>15329</v>
      </c>
      <c r="B13890" s="7" t="str">
        <f>IFERROR(__xludf.DUMMYFUNCTION("SPLIT(A13890,"" "")"),"Cc1ccc(CN(C)Cc2cccc(N(C)Cc3ccccn3)c2C)nc1")</f>
        <v>Cc1ccc(CN(C)Cc2cccc(N(C)Cc3ccccn3)c2C)nc1</v>
      </c>
      <c r="C13890" s="7">
        <f>IFERROR(__xludf.DUMMYFUNCTION("""COMPUTED_VALUE"""),7.7518983)</f>
        <v>7.7518983</v>
      </c>
      <c r="D13890" s="7">
        <f>IFERROR(__xludf.DUMMYFUNCTION("""COMPUTED_VALUE"""),0.478260869565217)</f>
        <v>0.4782608696</v>
      </c>
    </row>
    <row r="13891">
      <c r="A13891" s="10" t="s">
        <v>15330</v>
      </c>
      <c r="B13891" s="7" t="str">
        <f>IFERROR(__xludf.DUMMYFUNCTION("SPLIT(A13891,"" "")"),"Cc1ccc(N)c(-c2ccc(CN(C)C(C)C)cn2)c1")</f>
        <v>Cc1ccc(N)c(-c2ccc(CN(C)C(C)C)cn2)c1</v>
      </c>
      <c r="C13891" s="7">
        <f>IFERROR(__xludf.DUMMYFUNCTION("""COMPUTED_VALUE"""),7.751891)</f>
        <v>7.751891</v>
      </c>
      <c r="D13891" s="7">
        <f>IFERROR(__xludf.DUMMYFUNCTION("""COMPUTED_VALUE"""),0.28)</f>
        <v>0.28</v>
      </c>
    </row>
    <row r="13892">
      <c r="A13892" s="10" t="s">
        <v>15331</v>
      </c>
      <c r="B13892" s="7" t="str">
        <f>IFERROR(__xludf.DUMMYFUNCTION("SPLIT(A13892,"" "")"),"CN(Cc1ccccn1)C1C=CNC(c2ccccn2)=C1")</f>
        <v>CN(Cc1ccccn1)C1C=CNC(c2ccccn2)=C1</v>
      </c>
      <c r="C13892" s="7">
        <f>IFERROR(__xludf.DUMMYFUNCTION("""COMPUTED_VALUE"""),7.7518883)</f>
        <v>7.7518883</v>
      </c>
      <c r="D13892" s="7">
        <f>IFERROR(__xludf.DUMMYFUNCTION("""COMPUTED_VALUE"""),0.458333333333333)</f>
        <v>0.4583333333</v>
      </c>
    </row>
    <row r="13893">
      <c r="A13893" s="10" t="s">
        <v>15332</v>
      </c>
      <c r="B13893" s="7" t="str">
        <f>IFERROR(__xludf.DUMMYFUNCTION("SPLIT(A13893,"" "")"),"CNC1=CC=C(N(C)Cc2ccccn2)CN1")</f>
        <v>CNC1=CC=C(N(C)Cc2ccccn2)CN1</v>
      </c>
      <c r="C13893" s="7">
        <f>IFERROR(__xludf.DUMMYFUNCTION("""COMPUTED_VALUE"""),7.751888)</f>
        <v>7.751888</v>
      </c>
      <c r="D13893" s="7">
        <f>IFERROR(__xludf.DUMMYFUNCTION("""COMPUTED_VALUE"""),0.456521739130434)</f>
        <v>0.4565217391</v>
      </c>
    </row>
    <row r="13894">
      <c r="A13894" s="10" t="s">
        <v>15333</v>
      </c>
      <c r="B13894" s="7" t="str">
        <f>IFERROR(__xludf.DUMMYFUNCTION("SPLIT(A13894,"" "")"),"CN(C)CCN(C)Cc1ccc2ncccc2c1")</f>
        <v>CN(C)CCN(C)Cc1ccc2ncccc2c1</v>
      </c>
      <c r="C13894" s="7">
        <f>IFERROR(__xludf.DUMMYFUNCTION("""COMPUTED_VALUE"""),7.751877)</f>
        <v>7.751877</v>
      </c>
      <c r="D13894" s="7">
        <f>IFERROR(__xludf.DUMMYFUNCTION("""COMPUTED_VALUE"""),0.465116279069767)</f>
        <v>0.4651162791</v>
      </c>
    </row>
    <row r="13895">
      <c r="A13895" s="10" t="s">
        <v>15334</v>
      </c>
      <c r="B13895" s="7" t="str">
        <f>IFERROR(__xludf.DUMMYFUNCTION("SPLIT(A13895,"" "")"),"Cc1ccnc(CN(C)c2ccc(CN(Cc3ccccn3)Cc3cccc(C(C)(C)C)n3)nc2)c1")</f>
        <v>Cc1ccnc(CN(C)c2ccc(CN(Cc3ccccn3)Cc3cccc(C(C)(C)C)n3)nc2)c1</v>
      </c>
      <c r="C13895" s="7">
        <f>IFERROR(__xludf.DUMMYFUNCTION("""COMPUTED_VALUE"""),7.751872)</f>
        <v>7.751872</v>
      </c>
      <c r="D13895" s="7">
        <f>IFERROR(__xludf.DUMMYFUNCTION("""COMPUTED_VALUE"""),0.410714285714285)</f>
        <v>0.4107142857</v>
      </c>
    </row>
    <row r="13896">
      <c r="A13896" s="10" t="s">
        <v>15335</v>
      </c>
      <c r="B13896" s="7" t="str">
        <f>IFERROR(__xludf.DUMMYFUNCTION("SPLIT(A13896,"" "")"),"CC(C)C1=NC(c2ncccc2CN(Cc2ccccn2)Cc2cc(C(C)(C)c3ccccn3)ccn2)CO1")</f>
        <v>CC(C)C1=NC(c2ncccc2CN(Cc2ccccn2)Cc2cc(C(C)(C)c3ccccn3)ccn2)CO1</v>
      </c>
      <c r="C13896" s="7">
        <f>IFERROR(__xludf.DUMMYFUNCTION("""COMPUTED_VALUE"""),7.7518697)</f>
        <v>7.7518697</v>
      </c>
      <c r="D13896" s="7">
        <f>IFERROR(__xludf.DUMMYFUNCTION("""COMPUTED_VALUE"""),0.327868852459016)</f>
        <v>0.3278688525</v>
      </c>
    </row>
    <row r="13897">
      <c r="A13897" s="10" t="s">
        <v>15336</v>
      </c>
      <c r="B13897" s="7" t="str">
        <f>IFERROR(__xludf.DUMMYFUNCTION("SPLIT(A13897,"" "")"),"Cc1cccc(N(CC2=C(N(C)Cc3ccccn3)CC=CN2)C(C)C)c1")</f>
        <v>Cc1cccc(N(CC2=C(N(C)Cc3ccccn3)CC=CN2)C(C)C)c1</v>
      </c>
      <c r="C13897" s="7">
        <f>IFERROR(__xludf.DUMMYFUNCTION("""COMPUTED_VALUE"""),7.751843)</f>
        <v>7.751843</v>
      </c>
      <c r="D13897" s="7">
        <f>IFERROR(__xludf.DUMMYFUNCTION("""COMPUTED_VALUE"""),0.379310344827586)</f>
        <v>0.3793103448</v>
      </c>
    </row>
    <row r="13898">
      <c r="A13898" s="10" t="s">
        <v>15337</v>
      </c>
      <c r="B13898" s="7" t="str">
        <f>IFERROR(__xludf.DUMMYFUNCTION("SPLIT(A13898,"" "")"),"Cc1cc(C)nc(CN(C)CC2=C(N(C)Cc3cc(C)cc(C)n3)CC=CN2)c1")</f>
        <v>Cc1cc(C)nc(CN(C)CC2=C(N(C)Cc3cc(C)cc(C)n3)CC=CN2)c1</v>
      </c>
      <c r="C13898" s="7">
        <f>IFERROR(__xludf.DUMMYFUNCTION("""COMPUTED_VALUE"""),7.751842)</f>
        <v>7.751842</v>
      </c>
      <c r="D13898" s="7">
        <f>IFERROR(__xludf.DUMMYFUNCTION("""COMPUTED_VALUE"""),0.346153846153846)</f>
        <v>0.3461538462</v>
      </c>
    </row>
    <row r="13899">
      <c r="A13899" s="10" t="s">
        <v>15338</v>
      </c>
      <c r="B13899" s="7" t="str">
        <f>IFERROR(__xludf.DUMMYFUNCTION("SPLIT(A13899,"" "")"),"Cc1ccc(C)c(CN=Cc2ccccn2)c1C")</f>
        <v>Cc1ccc(C)c(CN=Cc2ccccn2)c1C</v>
      </c>
      <c r="C13899" s="7">
        <f>IFERROR(__xludf.DUMMYFUNCTION("""COMPUTED_VALUE"""),7.7518406)</f>
        <v>7.7518406</v>
      </c>
      <c r="D13899" s="7">
        <f>IFERROR(__xludf.DUMMYFUNCTION("""COMPUTED_VALUE"""),0.454545454545454)</f>
        <v>0.4545454545</v>
      </c>
    </row>
    <row r="13900">
      <c r="A13900" s="10" t="s">
        <v>15339</v>
      </c>
      <c r="B13900" s="7" t="str">
        <f>IFERROR(__xludf.DUMMYFUNCTION("SPLIT(A13900,"" "")"),"Cc1cnc(CN(Cc2cccnc2C2OC=NC2(C)C)Cc2ncc(C)c(C)c2C)c(C)c1C")</f>
        <v>Cc1cnc(CN(Cc2cccnc2C2OC=NC2(C)C)Cc2ncc(C)c(C)c2C)c(C)c1C</v>
      </c>
      <c r="C13900" s="7">
        <f>IFERROR(__xludf.DUMMYFUNCTION("""COMPUTED_VALUE"""),7.7518396)</f>
        <v>7.7518396</v>
      </c>
      <c r="D13900" s="7">
        <f>IFERROR(__xludf.DUMMYFUNCTION("""COMPUTED_VALUE"""),0.259259259259259)</f>
        <v>0.2592592593</v>
      </c>
    </row>
    <row r="13901">
      <c r="A13901" s="10" t="s">
        <v>15340</v>
      </c>
      <c r="B13901" s="7" t="str">
        <f>IFERROR(__xludf.DUMMYFUNCTION("SPLIT(A13901,"" "")"),"CC(C)C(C)N(C)CC1=C(N(C)c2ccc3ccc(CF)nc3c2)CC=CN1")</f>
        <v>CC(C)C(C)N(C)CC1=C(N(C)c2ccc3ccc(CF)nc3c2)CC=CN1</v>
      </c>
      <c r="C13901" s="7">
        <f>IFERROR(__xludf.DUMMYFUNCTION("""COMPUTED_VALUE"""),7.7518387)</f>
        <v>7.7518387</v>
      </c>
      <c r="D13901" s="7">
        <f>IFERROR(__xludf.DUMMYFUNCTION("""COMPUTED_VALUE"""),0.260869565217391)</f>
        <v>0.2608695652</v>
      </c>
    </row>
    <row r="13902">
      <c r="A13902" s="10" t="s">
        <v>15341</v>
      </c>
      <c r="B13902" s="7" t="str">
        <f>IFERROR(__xludf.DUMMYFUNCTION("SPLIT(A13902,"" "")"),"Cc1ccc(CN(C)c2ccnc(CN(C)Cc3ccccn3)c2)cn1")</f>
        <v>Cc1ccc(CN(C)c2ccnc(CN(C)Cc3ccccn3)c2)cn1</v>
      </c>
      <c r="C13902" s="7">
        <f>IFERROR(__xludf.DUMMYFUNCTION("""COMPUTED_VALUE"""),7.7518325)</f>
        <v>7.7518325</v>
      </c>
      <c r="D13902" s="7">
        <f>IFERROR(__xludf.DUMMYFUNCTION("""COMPUTED_VALUE"""),0.431372549019607)</f>
        <v>0.431372549</v>
      </c>
    </row>
    <row r="13903">
      <c r="A13903" s="10" t="s">
        <v>15342</v>
      </c>
      <c r="B13903" s="7" t="str">
        <f>IFERROR(__xludf.DUMMYFUNCTION("SPLIT(A13903,"" "")"),"CC1=CC(C)C(N(C)Cc2ccc(-c3cccc(N=Cc4ccccn4)c3)cn2)CC1C")</f>
        <v>CC1=CC(C)C(N(C)Cc2ccc(-c3cccc(N=Cc4ccccn4)c3)cn2)CC1C</v>
      </c>
      <c r="C13903" s="7">
        <f>IFERROR(__xludf.DUMMYFUNCTION("""COMPUTED_VALUE"""),7.7518325)</f>
        <v>7.7518325</v>
      </c>
      <c r="D13903" s="7">
        <f>IFERROR(__xludf.DUMMYFUNCTION("""COMPUTED_VALUE"""),0.338235294117647)</f>
        <v>0.3382352941</v>
      </c>
    </row>
    <row r="13904">
      <c r="A13904" s="10" t="s">
        <v>15343</v>
      </c>
      <c r="B13904" s="7" t="str">
        <f>IFERROR(__xludf.DUMMYFUNCTION("SPLIT(A13904,"" "")"),"CC1(C)COC(c2cc(CN(Cc3ccccn3)Cc3ccccn3)ccn2)=N1")</f>
        <v>CC1(C)COC(c2cc(CN(Cc3ccccn3)Cc3ccccn3)ccn2)=N1</v>
      </c>
      <c r="C13904" s="7">
        <f>IFERROR(__xludf.DUMMYFUNCTION("""COMPUTED_VALUE"""),7.75183)</f>
        <v>7.75183</v>
      </c>
      <c r="D13904" s="7">
        <f>IFERROR(__xludf.DUMMYFUNCTION("""COMPUTED_VALUE"""),0.444444444444444)</f>
        <v>0.4444444444</v>
      </c>
    </row>
    <row r="13905">
      <c r="A13905" s="10" t="s">
        <v>15344</v>
      </c>
      <c r="B13905" s="7" t="str">
        <f>IFERROR(__xludf.DUMMYFUNCTION("SPLIT(A13905,"" "")"),"CCOC(=O)C(=O)C(=O)C(C)N=Cc1ncc(C)c(C)c1C")</f>
        <v>CCOC(=O)C(=O)C(=O)C(C)N=Cc1ncc(C)c(C)c1C</v>
      </c>
      <c r="C13905" s="7">
        <f>IFERROR(__xludf.DUMMYFUNCTION("""COMPUTED_VALUE"""),7.751827)</f>
        <v>7.751827</v>
      </c>
      <c r="D13905" s="7">
        <f>IFERROR(__xludf.DUMMYFUNCTION("""COMPUTED_VALUE"""),0.212121212121212)</f>
        <v>0.2121212121</v>
      </c>
    </row>
    <row r="13906">
      <c r="A13906" s="10" t="s">
        <v>15345</v>
      </c>
      <c r="B13906" s="7" t="str">
        <f>IFERROR(__xludf.DUMMYFUNCTION("SPLIT(A13906,"" "")"),"Cc1cnc(CN(C)Cc2nc(C)c(C)c(C)c2C)cc1C")</f>
        <v>Cc1cnc(CN(C)Cc2nc(C)c(C)c(C)c2C)cc1C</v>
      </c>
      <c r="C13906" s="7">
        <f>IFERROR(__xludf.DUMMYFUNCTION("""COMPUTED_VALUE"""),7.7518263)</f>
        <v>7.7518263</v>
      </c>
      <c r="D13906" s="7">
        <f>IFERROR(__xludf.DUMMYFUNCTION("""COMPUTED_VALUE"""),0.372093023255813)</f>
        <v>0.3720930233</v>
      </c>
    </row>
    <row r="13907">
      <c r="A13907" s="10" t="s">
        <v>15346</v>
      </c>
      <c r="B13907" s="7" t="str">
        <f>IFERROR(__xludf.DUMMYFUNCTION("SPLIT(A13907,"" "")"),"Cc1cnc(CN(C)CC2=C(N(C)Cc3ncc(C)c(C)c3C)NC=CC2)c(C)c1C")</f>
        <v>Cc1cnc(CN(C)CC2=C(N(C)Cc3ncc(C)c(C)c3C)NC=CC2)c(C)c1C</v>
      </c>
      <c r="C13907" s="7">
        <f>IFERROR(__xludf.DUMMYFUNCTION("""COMPUTED_VALUE"""),7.751824)</f>
        <v>7.751824</v>
      </c>
      <c r="D13907" s="7">
        <f>IFERROR(__xludf.DUMMYFUNCTION("""COMPUTED_VALUE"""),0.25)</f>
        <v>0.25</v>
      </c>
    </row>
    <row r="13908">
      <c r="A13908" s="10" t="s">
        <v>15347</v>
      </c>
      <c r="B13908" s="7" t="str">
        <f>IFERROR(__xludf.DUMMYFUNCTION("SPLIT(A13908,"" "")"),"CCC(C)N(C)CC1=CC(N(C)c2ccc3nccc(CF)c3c2)C=CN1")</f>
        <v>CCC(C)N(C)CC1=CC(N(C)c2ccc3nccc(CF)c3c2)C=CN1</v>
      </c>
      <c r="C13908" s="7">
        <f>IFERROR(__xludf.DUMMYFUNCTION("""COMPUTED_VALUE"""),7.7518225)</f>
        <v>7.7518225</v>
      </c>
      <c r="D13908" s="7">
        <f>IFERROR(__xludf.DUMMYFUNCTION("""COMPUTED_VALUE"""),0.271428571428571)</f>
        <v>0.2714285714</v>
      </c>
    </row>
    <row r="13909">
      <c r="A13909" s="10" t="s">
        <v>15348</v>
      </c>
      <c r="B13909" s="7" t="str">
        <f>IFERROR(__xludf.DUMMYFUNCTION("SPLIT(A13909,"" "")"),"Cc1cccnc1CN(C)CC1=CCC=C(N(C)Cc2ncccc2C)N1")</f>
        <v>Cc1cccnc1CN(C)CC1=CCC=C(N(C)Cc2ncccc2C)N1</v>
      </c>
      <c r="C13909" s="7">
        <f>IFERROR(__xludf.DUMMYFUNCTION("""COMPUTED_VALUE"""),7.751821)</f>
        <v>7.751821</v>
      </c>
      <c r="D13909" s="7">
        <f>IFERROR(__xludf.DUMMYFUNCTION("""COMPUTED_VALUE"""),0.288135593220339)</f>
        <v>0.2881355932</v>
      </c>
    </row>
    <row r="13910">
      <c r="A13910" s="10" t="s">
        <v>15349</v>
      </c>
      <c r="B13910" s="7" t="str">
        <f>IFERROR(__xludf.DUMMYFUNCTION("SPLIT(A13910,"" "")"),"CC1C=CCC(C)(c2ncccc2CN(Cc2ccccn2)Cc2ccc(-c3cccc(N=Cc4ccccn4)c3)cn2)C1C")</f>
        <v>CC1C=CCC(C)(c2ncccc2CN(Cc2ccccn2)Cc2ccc(-c3cccc(N=Cc4ccccn4)c3)cn2)C1C</v>
      </c>
      <c r="C13910" s="7">
        <f>IFERROR(__xludf.DUMMYFUNCTION("""COMPUTED_VALUE"""),7.7518187)</f>
        <v>7.7518187</v>
      </c>
      <c r="D13910" s="7">
        <f>IFERROR(__xludf.DUMMYFUNCTION("""COMPUTED_VALUE"""),0.294117647058823)</f>
        <v>0.2941176471</v>
      </c>
    </row>
    <row r="13911">
      <c r="A13911" s="10" t="s">
        <v>15350</v>
      </c>
      <c r="B13911" s="7" t="str">
        <f>IFERROR(__xludf.DUMMYFUNCTION("SPLIT(A13911,"" "")"),"FC1=CC(SCc2ccccn2)NC(SCc2ccccn2)=C1")</f>
        <v>FC1=CC(SCc2ccccn2)NC(SCc2ccccn2)=C1</v>
      </c>
      <c r="C13911" s="7">
        <f>IFERROR(__xludf.DUMMYFUNCTION("""COMPUTED_VALUE"""),7.751801)</f>
        <v>7.751801</v>
      </c>
      <c r="D13911" s="7">
        <f>IFERROR(__xludf.DUMMYFUNCTION("""COMPUTED_VALUE"""),0.386363636363636)</f>
        <v>0.3863636364</v>
      </c>
    </row>
    <row r="13912">
      <c r="A13912" s="10" t="s">
        <v>15351</v>
      </c>
      <c r="B13912" s="7" t="str">
        <f>IFERROR(__xludf.DUMMYFUNCTION("SPLIT(A13912,"" "")"),"Cc1cc(C)c(C)c(CN(C)C2=CCC=C(CN(C)Cc3ccncc3C)N2)n1")</f>
        <v>Cc1cc(C)c(C)c(CN(C)C2=CCC=C(CN(C)Cc3ccncc3C)N2)n1</v>
      </c>
      <c r="C13912" s="7">
        <f>IFERROR(__xludf.DUMMYFUNCTION("""COMPUTED_VALUE"""),7.7518)</f>
        <v>7.7518</v>
      </c>
      <c r="D13912" s="7">
        <f>IFERROR(__xludf.DUMMYFUNCTION("""COMPUTED_VALUE"""),0.208955223880597)</f>
        <v>0.2089552239</v>
      </c>
    </row>
    <row r="13913">
      <c r="A13913" s="10" t="s">
        <v>15352</v>
      </c>
      <c r="B13913" s="7" t="str">
        <f>IFERROR(__xludf.DUMMYFUNCTION("SPLIT(A13913,"" "")"),"CCCN(Cc1ccccn1)Cc1cc(C(C)(C)c2cc(CN(Cc3ccc(C)cn3)Cc3cc(C(C)(c4ccccn4)c4ccccn4)ccn3)ccn2)ccn1")</f>
        <v>CCCN(Cc1ccccn1)Cc1cc(C(C)(C)c2cc(CN(Cc3ccc(C)cn3)Cc3cc(C(C)(c4ccccn4)c4ccccn4)ccn3)ccn2)ccn1</v>
      </c>
      <c r="C13913" s="7">
        <f>IFERROR(__xludf.DUMMYFUNCTION("""COMPUTED_VALUE"""),7.7517977)</f>
        <v>7.7517977</v>
      </c>
      <c r="D13913" s="7">
        <f>IFERROR(__xludf.DUMMYFUNCTION("""COMPUTED_VALUE"""),0.353846153846153)</f>
        <v>0.3538461538</v>
      </c>
    </row>
    <row r="13914">
      <c r="A13914" s="10" t="s">
        <v>15353</v>
      </c>
      <c r="B13914" s="7" t="str">
        <f>IFERROR(__xludf.DUMMYFUNCTION("SPLIT(A13914,"" "")"),"CN(c1ccc2ncccc2c1)C1CCCCC1N(Cc1ccccn1)Cc1cccc(C(C)(c2ccccn2)c2ccccn2)n1")</f>
        <v>CN(c1ccc2ncccc2c1)C1CCCCC1N(Cc1ccccn1)Cc1cccc(C(C)(c2ccccn2)c2ccccn2)n1</v>
      </c>
      <c r="C13914" s="7">
        <f>IFERROR(__xludf.DUMMYFUNCTION("""COMPUTED_VALUE"""),7.7517962)</f>
        <v>7.7517962</v>
      </c>
      <c r="D13914" s="7">
        <f>IFERROR(__xludf.DUMMYFUNCTION("""COMPUTED_VALUE"""),0.426229508196721)</f>
        <v>0.4262295082</v>
      </c>
    </row>
    <row r="13915">
      <c r="A13915" s="10" t="s">
        <v>15354</v>
      </c>
      <c r="B13915" s="7" t="str">
        <f>IFERROR(__xludf.DUMMYFUNCTION("SPLIT(A13915,"" "")"),"CC(C)N(C)CCN(C)c1ccc2ccc(CF)nc2c1")</f>
        <v>CC(C)N(C)CCN(C)c1ccc2ccc(CF)nc2c1</v>
      </c>
      <c r="C13915" s="7">
        <f>IFERROR(__xludf.DUMMYFUNCTION("""COMPUTED_VALUE"""),7.7517943)</f>
        <v>7.7517943</v>
      </c>
      <c r="D13915" s="7">
        <f>IFERROR(__xludf.DUMMYFUNCTION("""COMPUTED_VALUE"""),0.311111111111111)</f>
        <v>0.3111111111</v>
      </c>
    </row>
    <row r="13916">
      <c r="A13916" s="10" t="s">
        <v>15355</v>
      </c>
      <c r="B13916" s="7" t="str">
        <f>IFERROR(__xludf.DUMMYFUNCTION("SPLIT(A13916,"" "")"),"Cc1ccc(CN(Cc2ccc(F)nc2)Cc2ccccn2)nc1N(C)C")</f>
        <v>Cc1ccc(CN(Cc2ccc(F)nc2)Cc2ccccn2)nc1N(C)C</v>
      </c>
      <c r="C13916" s="7">
        <f>IFERROR(__xludf.DUMMYFUNCTION("""COMPUTED_VALUE"""),7.7517796)</f>
        <v>7.7517796</v>
      </c>
      <c r="D13916" s="7">
        <f>IFERROR(__xludf.DUMMYFUNCTION("""COMPUTED_VALUE"""),0.434782608695652)</f>
        <v>0.4347826087</v>
      </c>
    </row>
    <row r="13917">
      <c r="A13917" s="10" t="s">
        <v>15356</v>
      </c>
      <c r="B13917" s="7" t="str">
        <f>IFERROR(__xludf.DUMMYFUNCTION("SPLIT(A13917,"" "")"),"CC(N)C1=CCC=C(N(C)CC2=CCC=C(N(C)Cc3ccccn3)N2)N1")</f>
        <v>CC(N)C1=CCC=C(N(C)CC2=CCC=C(N(C)Cc3ccccn3)N2)N1</v>
      </c>
      <c r="C13917" s="7">
        <f>IFERROR(__xludf.DUMMYFUNCTION("""COMPUTED_VALUE"""),7.751779)</f>
        <v>7.751779</v>
      </c>
      <c r="D13917" s="7">
        <f>IFERROR(__xludf.DUMMYFUNCTION("""COMPUTED_VALUE"""),0.396551724137931)</f>
        <v>0.3965517241</v>
      </c>
    </row>
    <row r="13918">
      <c r="A13918" s="10" t="s">
        <v>15357</v>
      </c>
      <c r="B13918" s="7" t="str">
        <f>IFERROR(__xludf.DUMMYFUNCTION("SPLIT(A13918,"" "")"),"Cc1c(CN(Cc2ccccn2)C(C)(N)N(Cc2ccccn2)CC(C)(C)C)cccc1N(C)Cc1ccc2ncccc2c1")</f>
        <v>Cc1c(CN(Cc2ccccn2)C(C)(N)N(Cc2ccccn2)CC(C)(C)C)cccc1N(C)Cc1ccc2ncccc2c1</v>
      </c>
      <c r="C13918" s="7">
        <f>IFERROR(__xludf.DUMMYFUNCTION("""COMPUTED_VALUE"""),7.751766)</f>
        <v>7.751766</v>
      </c>
      <c r="D13918" s="7">
        <f>IFERROR(__xludf.DUMMYFUNCTION("""COMPUTED_VALUE"""),0.348484848484848)</f>
        <v>0.3484848485</v>
      </c>
    </row>
    <row r="13919">
      <c r="A13919" s="10" t="s">
        <v>15358</v>
      </c>
      <c r="B13919" s="7" t="str">
        <f>IFERROR(__xludf.DUMMYFUNCTION("SPLIT(A13919,"" "")"),"Cc1ncccc1CN(C)Cc1nc(C)c(C)o1")</f>
        <v>Cc1ncccc1CN(C)Cc1nc(C)c(C)o1</v>
      </c>
      <c r="C13919" s="7">
        <f>IFERROR(__xludf.DUMMYFUNCTION("""COMPUTED_VALUE"""),7.7517653)</f>
        <v>7.7517653</v>
      </c>
      <c r="D13919" s="7">
        <f>IFERROR(__xludf.DUMMYFUNCTION("""COMPUTED_VALUE"""),0.422222222222222)</f>
        <v>0.4222222222</v>
      </c>
    </row>
    <row r="13920">
      <c r="A13920" s="10" t="s">
        <v>15359</v>
      </c>
      <c r="B13920" s="7" t="str">
        <f>IFERROR(__xludf.DUMMYFUNCTION("SPLIT(A13920,"" "")"),"CC(C)(C)c1cccc(NCc2cc(C(C)(C)c3ccccn3)ccn2)c1")</f>
        <v>CC(C)(C)c1cccc(NCc2cc(C(C)(C)c3ccccn3)ccn2)c1</v>
      </c>
      <c r="C13920" s="7">
        <f>IFERROR(__xludf.DUMMYFUNCTION("""COMPUTED_VALUE"""),7.751759)</f>
        <v>7.751759</v>
      </c>
      <c r="D13920" s="7">
        <f>IFERROR(__xludf.DUMMYFUNCTION("""COMPUTED_VALUE"""),0.333333333333333)</f>
        <v>0.3333333333</v>
      </c>
    </row>
    <row r="13921">
      <c r="A13921" s="10" t="s">
        <v>15360</v>
      </c>
      <c r="B13921" s="7" t="str">
        <f>IFERROR(__xludf.DUMMYFUNCTION("SPLIT(A13921,"" "")"),"Cc1cccnc1CN(C)CC1=CCC=C(N(C)Cc2nccc(C)c2C)N1")</f>
        <v>Cc1cccnc1CN(C)CC1=CCC=C(N(C)Cc2nccc(C)c2C)N1</v>
      </c>
      <c r="C13921" s="7">
        <f>IFERROR(__xludf.DUMMYFUNCTION("""COMPUTED_VALUE"""),7.7517557)</f>
        <v>7.7517557</v>
      </c>
      <c r="D13921" s="7">
        <f>IFERROR(__xludf.DUMMYFUNCTION("""COMPUTED_VALUE"""),0.261538461538461)</f>
        <v>0.2615384615</v>
      </c>
    </row>
    <row r="13922">
      <c r="A13922" s="10" t="s">
        <v>15361</v>
      </c>
      <c r="B13922" s="7" t="str">
        <f>IFERROR(__xludf.DUMMYFUNCTION("SPLIT(A13922,"" "")"),"Cc1ccnc(CN(C)C2=CCC=C(CN(C)C)N2)c1")</f>
        <v>Cc1ccnc(CN(C)C2=CCC=C(CN(C)C)N2)c1</v>
      </c>
      <c r="C13922" s="7">
        <f>IFERROR(__xludf.DUMMYFUNCTION("""COMPUTED_VALUE"""),7.751751)</f>
        <v>7.751751</v>
      </c>
      <c r="D13922" s="7">
        <f>IFERROR(__xludf.DUMMYFUNCTION("""COMPUTED_VALUE"""),0.372549019607843)</f>
        <v>0.3725490196</v>
      </c>
    </row>
    <row r="13923">
      <c r="A13923" s="10" t="s">
        <v>15362</v>
      </c>
      <c r="B13923" s="7" t="str">
        <f>IFERROR(__xludf.DUMMYFUNCTION("SPLIT(A13923,"" "")"),"Cc1cc(CN(C)C2=C(CN(C)Cc3nc(C)c(C)cc3C)CC=CN2)cnc1C")</f>
        <v>Cc1cc(CN(C)C2=C(CN(C)Cc3nc(C)c(C)cc3C)CC=CN2)cnc1C</v>
      </c>
      <c r="C13923" s="7">
        <f>IFERROR(__xludf.DUMMYFUNCTION("""COMPUTED_VALUE"""),7.7517476)</f>
        <v>7.7517476</v>
      </c>
      <c r="D13923" s="7">
        <f>IFERROR(__xludf.DUMMYFUNCTION("""COMPUTED_VALUE"""),0.193548387096774)</f>
        <v>0.1935483871</v>
      </c>
    </row>
    <row r="13924">
      <c r="A13924" s="10" t="s">
        <v>15363</v>
      </c>
      <c r="B13924" s="7" t="str">
        <f>IFERROR(__xludf.DUMMYFUNCTION("SPLIT(A13924,"" "")"),"Cc1cc(C)c(C)c(CN(C)C2=C(CN(C)Cc3cc(C)c(C)c(C)n3)NC=CC2)n1")</f>
        <v>Cc1cc(C)c(C)c(CN(C)C2=C(CN(C)Cc3cc(C)c(C)c(C)n3)NC=CC2)n1</v>
      </c>
      <c r="C13924" s="7">
        <f>IFERROR(__xludf.DUMMYFUNCTION("""COMPUTED_VALUE"""),7.7517405)</f>
        <v>7.7517405</v>
      </c>
      <c r="D13924" s="7">
        <f>IFERROR(__xludf.DUMMYFUNCTION("""COMPUTED_VALUE"""),0.233333333333333)</f>
        <v>0.2333333333</v>
      </c>
    </row>
    <row r="13925">
      <c r="A13925" s="10" t="s">
        <v>15364</v>
      </c>
      <c r="B13925" s="7" t="str">
        <f>IFERROR(__xludf.DUMMYFUNCTION("SPLIT(A13925,"" "")"),"CN(C)Cc1ccc2cccc(N(C)CCN(C)CCF)c2n1")</f>
        <v>CN(C)Cc1ccc2cccc(N(C)CCN(C)CCF)c2n1</v>
      </c>
      <c r="C13925" s="7">
        <f>IFERROR(__xludf.DUMMYFUNCTION("""COMPUTED_VALUE"""),7.751734)</f>
        <v>7.751734</v>
      </c>
      <c r="D13925" s="7">
        <f>IFERROR(__xludf.DUMMYFUNCTION("""COMPUTED_VALUE"""),0.466666666666666)</f>
        <v>0.4666666667</v>
      </c>
    </row>
    <row r="13926">
      <c r="A13926" s="10" t="s">
        <v>15365</v>
      </c>
      <c r="B13926" s="7" t="str">
        <f>IFERROR(__xludf.DUMMYFUNCTION("SPLIT(A13926,"" "")"),"CNCc1ccc(C)c(C)c1N(C)Cc1ccccn1")</f>
        <v>CNCc1ccc(C)c(C)c1N(C)Cc1ccccn1</v>
      </c>
      <c r="C13926" s="7">
        <f>IFERROR(__xludf.DUMMYFUNCTION("""COMPUTED_VALUE"""),7.7517333)</f>
        <v>7.7517333</v>
      </c>
      <c r="D13926" s="7">
        <f>IFERROR(__xludf.DUMMYFUNCTION("""COMPUTED_VALUE"""),0.446808510638297)</f>
        <v>0.4468085106</v>
      </c>
    </row>
    <row r="13927">
      <c r="A13927" s="10" t="s">
        <v>15366</v>
      </c>
      <c r="B13927" s="7" t="str">
        <f>IFERROR(__xludf.DUMMYFUNCTION("SPLIT(A13927,"" "")"),"CN(Cc1ccc(N(C)C)cn1)Cc1cccc(F)n1")</f>
        <v>CN(Cc1ccc(N(C)C)cn1)Cc1cccc(F)n1</v>
      </c>
      <c r="C13927" s="7">
        <f>IFERROR(__xludf.DUMMYFUNCTION("""COMPUTED_VALUE"""),7.7516913)</f>
        <v>7.7516913</v>
      </c>
      <c r="D13927" s="7">
        <f>IFERROR(__xludf.DUMMYFUNCTION("""COMPUTED_VALUE"""),0.454545454545454)</f>
        <v>0.4545454545</v>
      </c>
    </row>
    <row r="13928">
      <c r="A13928" s="10" t="s">
        <v>15367</v>
      </c>
      <c r="B13928" s="7" t="str">
        <f>IFERROR(__xludf.DUMMYFUNCTION("SPLIT(A13928,"" "")"),"Cc1cc(CN(C)CC2=CCC=C(N(C)Cc3ncc(C)c(C)c3C)N2)ccn1")</f>
        <v>Cc1cc(CN(C)CC2=CCC=C(N(C)Cc3ncc(C)c(C)c3C)N2)ccn1</v>
      </c>
      <c r="C13928" s="7">
        <f>IFERROR(__xludf.DUMMYFUNCTION("""COMPUTED_VALUE"""),7.751691)</f>
        <v>7.751691</v>
      </c>
      <c r="D13928" s="7">
        <f>IFERROR(__xludf.DUMMYFUNCTION("""COMPUTED_VALUE"""),0.231884057971014)</f>
        <v>0.231884058</v>
      </c>
    </row>
    <row r="13929">
      <c r="A13929" s="10" t="s">
        <v>15368</v>
      </c>
      <c r="B13929" s="7" t="str">
        <f>IFERROR(__xludf.DUMMYFUNCTION("SPLIT(A13929,"" "")"),"CCNc1ccc2nccc(CN(C)C(C)C)c2c1")</f>
        <v>CCNc1ccc2nccc(CN(C)C(C)C)c2c1</v>
      </c>
      <c r="C13929" s="7">
        <f>IFERROR(__xludf.DUMMYFUNCTION("""COMPUTED_VALUE"""),7.751685)</f>
        <v>7.751685</v>
      </c>
      <c r="D13929" s="7">
        <f>IFERROR(__xludf.DUMMYFUNCTION("""COMPUTED_VALUE"""),0.245283018867924)</f>
        <v>0.2452830189</v>
      </c>
    </row>
    <row r="13930">
      <c r="A13930" s="10" t="s">
        <v>15369</v>
      </c>
      <c r="B13930" s="7" t="str">
        <f>IFERROR(__xludf.DUMMYFUNCTION("SPLIT(A13930,"" "")"),"CN(Cc1ncccc1-c1ccc2c(c1)OCCOCCOCCOCCOCCO2)Cc1ccnc2ccc(N(C)Cc3ccc4ncccc4c3)cc12")</f>
        <v>CN(Cc1ncccc1-c1ccc2c(c1)OCCOCCOCCOCCOCCO2)Cc1ccnc2ccc(N(C)Cc3ccc4ncccc4c3)cc12</v>
      </c>
      <c r="C13930" s="7">
        <f>IFERROR(__xludf.DUMMYFUNCTION("""COMPUTED_VALUE"""),7.7516804)</f>
        <v>7.7516804</v>
      </c>
      <c r="D13930" s="7">
        <f>IFERROR(__xludf.DUMMYFUNCTION("""COMPUTED_VALUE"""),0.264367816091954)</f>
        <v>0.2643678161</v>
      </c>
    </row>
    <row r="13931">
      <c r="A13931" s="10" t="s">
        <v>15370</v>
      </c>
      <c r="B13931" s="7" t="str">
        <f>IFERROR(__xludf.DUMMYFUNCTION("SPLIT(A13931,"" "")"),"Cc1cccc(CN(C)c2ccc(CN(Cc3ccccn3)Cc3ccc(F)cn3)nc2)n1")</f>
        <v>Cc1cccc(CN(C)c2ccc(CN(Cc3ccccn3)Cc3ccc(F)cn3)nc2)n1</v>
      </c>
      <c r="C13931" s="7">
        <f>IFERROR(__xludf.DUMMYFUNCTION("""COMPUTED_VALUE"""),7.751673)</f>
        <v>7.751673</v>
      </c>
      <c r="D13931" s="7">
        <f>IFERROR(__xludf.DUMMYFUNCTION("""COMPUTED_VALUE"""),0.444444444444444)</f>
        <v>0.4444444444</v>
      </c>
    </row>
    <row r="13932">
      <c r="A13932" s="10" t="s">
        <v>15371</v>
      </c>
      <c r="B13932" s="7" t="str">
        <f>IFERROR(__xludf.DUMMYFUNCTION("SPLIT(A13932,"" "")"),"CN(C)Cc1ncccc1C1=NC(C)(C)CO1")</f>
        <v>CN(C)Cc1ncccc1C1=NC(C)(C)CO1</v>
      </c>
      <c r="C13932" s="7">
        <f>IFERROR(__xludf.DUMMYFUNCTION("""COMPUTED_VALUE"""),7.7516675)</f>
        <v>7.7516675</v>
      </c>
      <c r="D13932" s="7">
        <f>IFERROR(__xludf.DUMMYFUNCTION("""COMPUTED_VALUE"""),0.431818181818181)</f>
        <v>0.4318181818</v>
      </c>
    </row>
    <row r="13933">
      <c r="A13933" s="10" t="s">
        <v>15372</v>
      </c>
      <c r="B13933" s="7" t="str">
        <f>IFERROR(__xludf.DUMMYFUNCTION("SPLIT(A13933,"" "")"),"CC1=CC(N(C)c2ccc3nccc(CN(C)Cc4ncccc4C)c3c2)CC(C)(C)C1C")</f>
        <v>CC1=CC(N(C)c2ccc3nccc(CN(C)Cc4ncccc4C)c3c2)CC(C)(C)C1C</v>
      </c>
      <c r="C13933" s="7">
        <f>IFERROR(__xludf.DUMMYFUNCTION("""COMPUTED_VALUE"""),7.751666)</f>
        <v>7.751666</v>
      </c>
      <c r="D13933" s="7">
        <f>IFERROR(__xludf.DUMMYFUNCTION("""COMPUTED_VALUE"""),0.239436619718309)</f>
        <v>0.2394366197</v>
      </c>
    </row>
    <row r="13934">
      <c r="A13934" s="10" t="s">
        <v>15373</v>
      </c>
      <c r="B13934" s="7" t="str">
        <f>IFERROR(__xludf.DUMMYFUNCTION("SPLIT(A13934,"" "")"),"CC(C)N(Cc1ccccn1)c1ccc2ncccc2c1-c1cc(CN2CCN(C)CCN(C)CC2)ccn1")</f>
        <v>CC(C)N(Cc1ccccn1)c1ccc2ncccc2c1-c1cc(CN2CCN(C)CCN(C)CC2)ccn1</v>
      </c>
      <c r="C13934" s="7">
        <f>IFERROR(__xludf.DUMMYFUNCTION("""COMPUTED_VALUE"""),7.751666)</f>
        <v>7.751666</v>
      </c>
      <c r="D13934" s="7">
        <f>IFERROR(__xludf.DUMMYFUNCTION("""COMPUTED_VALUE"""),0.426229508196721)</f>
        <v>0.4262295082</v>
      </c>
    </row>
    <row r="13935">
      <c r="A13935" s="10" t="s">
        <v>15374</v>
      </c>
      <c r="B13935" s="7" t="str">
        <f>IFERROR(__xludf.DUMMYFUNCTION("SPLIT(A13935,"" "")"),"Cc1cnc(CN(C)CC2=CCC=C(N(C)Cc3nccc(C)c3C)N2)cc1C")</f>
        <v>Cc1cnc(CN(C)CC2=CCC=C(N(C)Cc3nccc(C)c3C)N2)cc1C</v>
      </c>
      <c r="C13935" s="7">
        <f>IFERROR(__xludf.DUMMYFUNCTION("""COMPUTED_VALUE"""),7.751666)</f>
        <v>7.751666</v>
      </c>
      <c r="D13935" s="7">
        <f>IFERROR(__xludf.DUMMYFUNCTION("""COMPUTED_VALUE"""),0.293103448275862)</f>
        <v>0.2931034483</v>
      </c>
    </row>
    <row r="13936">
      <c r="A13936" s="10" t="s">
        <v>15375</v>
      </c>
      <c r="B13936" s="7" t="str">
        <f>IFERROR(__xludf.DUMMYFUNCTION("SPLIT(A13936,"" "")"),"Cc1cc(C)c(C)c(CN(C)C2=C(CN(C)C)NC=CC2)n1")</f>
        <v>Cc1cc(C)c(C)c(CN(C)C2=C(CN(C)C)NC=CC2)n1</v>
      </c>
      <c r="C13936" s="7">
        <f>IFERROR(__xludf.DUMMYFUNCTION("""COMPUTED_VALUE"""),7.751662)</f>
        <v>7.751662</v>
      </c>
      <c r="D13936" s="7">
        <f>IFERROR(__xludf.DUMMYFUNCTION("""COMPUTED_VALUE"""),0.2)</f>
        <v>0.2</v>
      </c>
    </row>
    <row r="13937">
      <c r="A13937" s="10" t="s">
        <v>15376</v>
      </c>
      <c r="B13937" s="7" t="str">
        <f>IFERROR(__xludf.DUMMYFUNCTION("SPLIT(A13937,"" "")"),"CN(Cc1ccccn1)C1=CNC(CN(C)C(C)(c2cccnc2)c2ccccn2)=CC1")</f>
        <v>CN(Cc1ccccn1)C1=CNC(CN(C)C(C)(c2cccnc2)c2ccccn2)=CC1</v>
      </c>
      <c r="C13937" s="7">
        <f>IFERROR(__xludf.DUMMYFUNCTION("""COMPUTED_VALUE"""),7.751661)</f>
        <v>7.751661</v>
      </c>
      <c r="D13937" s="7">
        <f>IFERROR(__xludf.DUMMYFUNCTION("""COMPUTED_VALUE"""),0.354838709677419)</f>
        <v>0.3548387097</v>
      </c>
    </row>
    <row r="13938">
      <c r="A13938" s="10" t="s">
        <v>15377</v>
      </c>
      <c r="B13938" s="7" t="str">
        <f>IFERROR(__xludf.DUMMYFUNCTION("SPLIT(A13938,"" "")"),"CNCC1=CCC=C(N(C)Cc2cc(C)c(C)c(C)n2)N1")</f>
        <v>CNCC1=CCC=C(N(C)Cc2cc(C)c(C)c(C)n2)N1</v>
      </c>
      <c r="C13938" s="7">
        <f>IFERROR(__xludf.DUMMYFUNCTION("""COMPUTED_VALUE"""),7.751644)</f>
        <v>7.751644</v>
      </c>
      <c r="D13938" s="7">
        <f>IFERROR(__xludf.DUMMYFUNCTION("""COMPUTED_VALUE"""),0.21311475409836)</f>
        <v>0.2131147541</v>
      </c>
    </row>
    <row r="13939">
      <c r="A13939" s="10" t="s">
        <v>15378</v>
      </c>
      <c r="B13939" s="7" t="str">
        <f>IFERROR(__xludf.DUMMYFUNCTION("SPLIT(A13939,"" "")"),"Cc1cc(C)c(CN(C)CC2=CCC(N(C)Cc3nc(C)c(C)c(C)c3C)=CN2)cn1")</f>
        <v>Cc1cc(C)c(CN(C)CC2=CCC(N(C)Cc3nc(C)c(C)c(C)c3C)=CN2)cn1</v>
      </c>
      <c r="C13939" s="7">
        <f>IFERROR(__xludf.DUMMYFUNCTION("""COMPUTED_VALUE"""),7.7516418)</f>
        <v>7.7516418</v>
      </c>
      <c r="D13939" s="7">
        <f>IFERROR(__xludf.DUMMYFUNCTION("""COMPUTED_VALUE"""),0.194029850746268)</f>
        <v>0.1940298507</v>
      </c>
    </row>
    <row r="13940">
      <c r="A13940" s="10" t="s">
        <v>15379</v>
      </c>
      <c r="B13940" s="7" t="str">
        <f>IFERROR(__xludf.DUMMYFUNCTION("SPLIT(A13940,"" "")"),"CNc1cccnc1CN(Cc1cc(C)ccn1)Cc1nc(C)c(C)c(C)c1C")</f>
        <v>CNc1cccnc1CN(Cc1cc(C)ccn1)Cc1nc(C)c(C)c(C)c1C</v>
      </c>
      <c r="C13940" s="7">
        <f>IFERROR(__xludf.DUMMYFUNCTION("""COMPUTED_VALUE"""),7.7516418)</f>
        <v>7.7516418</v>
      </c>
      <c r="D13940" s="7">
        <f>IFERROR(__xludf.DUMMYFUNCTION("""COMPUTED_VALUE"""),0.32)</f>
        <v>0.32</v>
      </c>
    </row>
    <row r="13941">
      <c r="A13941" s="10" t="s">
        <v>15380</v>
      </c>
      <c r="B13941" s="7" t="str">
        <f>IFERROR(__xludf.DUMMYFUNCTION("SPLIT(A13941,"" "")"),"CNCc1cccc(N(C)Cc2ncccc2C)n1")</f>
        <v>CNCc1cccc(N(C)Cc2ncccc2C)n1</v>
      </c>
      <c r="C13941" s="7">
        <f>IFERROR(__xludf.DUMMYFUNCTION("""COMPUTED_VALUE"""),7.751632)</f>
        <v>7.751632</v>
      </c>
      <c r="D13941" s="7">
        <f>IFERROR(__xludf.DUMMYFUNCTION("""COMPUTED_VALUE"""),0.320754716981132)</f>
        <v>0.320754717</v>
      </c>
    </row>
    <row r="13942">
      <c r="A13942" s="10" t="s">
        <v>15381</v>
      </c>
      <c r="B13942" s="7" t="str">
        <f>IFERROR(__xludf.DUMMYFUNCTION("SPLIT(A13942,"" "")"),"CN(CCNc1cccc2cccnc12)Cc1ccccn1")</f>
        <v>CN(CCNc1cccc2cccnc12)Cc1ccccn1</v>
      </c>
      <c r="C13942" s="7">
        <f>IFERROR(__xludf.DUMMYFUNCTION("""COMPUTED_VALUE"""),7.7516317)</f>
        <v>7.7516317</v>
      </c>
      <c r="D13942" s="7">
        <f>IFERROR(__xludf.DUMMYFUNCTION("""COMPUTED_VALUE"""),0.5)</f>
        <v>0.5</v>
      </c>
    </row>
    <row r="13943">
      <c r="A13943" s="10" t="s">
        <v>15382</v>
      </c>
      <c r="B13943" s="7" t="str">
        <f>IFERROR(__xludf.DUMMYFUNCTION("SPLIT(A13943,"" "")"),"Cc1cccc(CN(C)C2=CCC=C(CN(C)C)N2)n1")</f>
        <v>Cc1cccc(CN(C)C2=CCC=C(CN(C)C)N2)n1</v>
      </c>
      <c r="C13943" s="7">
        <f>IFERROR(__xludf.DUMMYFUNCTION("""COMPUTED_VALUE"""),7.751623)</f>
        <v>7.751623</v>
      </c>
      <c r="D13943" s="7">
        <f>IFERROR(__xludf.DUMMYFUNCTION("""COMPUTED_VALUE"""),0.454545454545454)</f>
        <v>0.4545454545</v>
      </c>
    </row>
    <row r="13944">
      <c r="A13944" s="10" t="s">
        <v>15383</v>
      </c>
      <c r="B13944" s="7" t="str">
        <f>IFERROR(__xludf.DUMMYFUNCTION("SPLIT(A13944,"" "")"),"Cc1cnccc1NCc1ccc(C(C)(C)C)cn1")</f>
        <v>Cc1cnccc1NCc1ccc(C(C)(C)C)cn1</v>
      </c>
      <c r="C13944" s="7">
        <f>IFERROR(__xludf.DUMMYFUNCTION("""COMPUTED_VALUE"""),7.751618)</f>
        <v>7.751618</v>
      </c>
      <c r="D13944" s="7">
        <f>IFERROR(__xludf.DUMMYFUNCTION("""COMPUTED_VALUE"""),0.244897959183673)</f>
        <v>0.2448979592</v>
      </c>
    </row>
    <row r="13945">
      <c r="A13945" s="10" t="s">
        <v>15384</v>
      </c>
      <c r="B13945" s="7" t="str">
        <f>IFERROR(__xludf.DUMMYFUNCTION("SPLIT(A13945,"" "")"),"Cc1ccc(N(C)Cc2ccccn2)c(CN(C)Cc2ncccc2C)c1")</f>
        <v>Cc1ccc(N(C)Cc2ccccn2)c(CN(C)Cc2ncccc2C)c1</v>
      </c>
      <c r="C13945" s="7">
        <f>IFERROR(__xludf.DUMMYFUNCTION("""COMPUTED_VALUE"""),7.7516165)</f>
        <v>7.7516165</v>
      </c>
      <c r="D13945" s="7">
        <f>IFERROR(__xludf.DUMMYFUNCTION("""COMPUTED_VALUE"""),0.5)</f>
        <v>0.5</v>
      </c>
    </row>
    <row r="13946">
      <c r="A13946" s="10" t="s">
        <v>15385</v>
      </c>
      <c r="B13946" s="7" t="str">
        <f>IFERROR(__xludf.DUMMYFUNCTION("SPLIT(A13946,"" "")"),"Cc1cccc(N(C)C2CCCC(N(C)c3ccc4nccc(CF)c4c3)C2)c1")</f>
        <v>Cc1cccc(N(C)C2CCCC(N(C)c3ccc4nccc(CF)c4c3)C2)c1</v>
      </c>
      <c r="C13946" s="7">
        <f>IFERROR(__xludf.DUMMYFUNCTION("""COMPUTED_VALUE"""),7.7516117)</f>
        <v>7.7516117</v>
      </c>
      <c r="D13946" s="7">
        <f>IFERROR(__xludf.DUMMYFUNCTION("""COMPUTED_VALUE"""),0.26865671641791)</f>
        <v>0.2686567164</v>
      </c>
    </row>
    <row r="13947">
      <c r="A13947" s="10" t="s">
        <v>15386</v>
      </c>
      <c r="B13947" s="7" t="str">
        <f>IFERROR(__xludf.DUMMYFUNCTION("SPLIT(A13947,"" "")"),"Cc1cccc(CN(CC2=CCC=C(N(C)Cc3nc(C)ccc3C)N2)Cc2ccccn2)n1")</f>
        <v>Cc1cccc(CN(CC2=CCC=C(N(C)Cc3nc(C)ccc3C)N2)Cc2ccccn2)n1</v>
      </c>
      <c r="C13947" s="7">
        <f>IFERROR(__xludf.DUMMYFUNCTION("""COMPUTED_VALUE"""),7.7515917)</f>
        <v>7.7515917</v>
      </c>
      <c r="D13947" s="7">
        <f>IFERROR(__xludf.DUMMYFUNCTION("""COMPUTED_VALUE"""),0.435483870967741)</f>
        <v>0.435483871</v>
      </c>
    </row>
    <row r="13948">
      <c r="A13948" s="10" t="s">
        <v>15387</v>
      </c>
      <c r="B13948" s="7" t="str">
        <f>IFERROR(__xludf.DUMMYFUNCTION("SPLIT(A13948,"" "")"),"Cc1cnc(CN(Cc2cc(C)c(C)c(C)n2)C2CCC(N(C)c3ccc4ccc(CN(C)C)nc4c3)CC2)cc1C")</f>
        <v>Cc1cnc(CN(Cc2cc(C)c(C)c(C)n2)C2CCC(N(C)c3ccc4ccc(CN(C)C)nc4c3)CC2)cc1C</v>
      </c>
      <c r="C13948" s="7">
        <f>IFERROR(__xludf.DUMMYFUNCTION("""COMPUTED_VALUE"""),7.751591)</f>
        <v>7.751591</v>
      </c>
      <c r="D13948" s="7">
        <f>IFERROR(__xludf.DUMMYFUNCTION("""COMPUTED_VALUE"""),0.287878787878787)</f>
        <v>0.2878787879</v>
      </c>
    </row>
    <row r="13949">
      <c r="A13949" s="10" t="s">
        <v>15388</v>
      </c>
      <c r="B13949" s="7" t="str">
        <f>IFERROR(__xludf.DUMMYFUNCTION("SPLIT(A13949,"" "")"),"Cc1nc(CN(C)Cc2cc([SiH3])c([SiH3])cn2)n(C)c1C")</f>
        <v>Cc1nc(CN(C)Cc2cc([SiH3])c([SiH3])cn2)n(C)c1C</v>
      </c>
      <c r="C13949" s="7">
        <f>IFERROR(__xludf.DUMMYFUNCTION("""COMPUTED_VALUE"""),7.751589)</f>
        <v>7.751589</v>
      </c>
      <c r="D13949" s="7">
        <f>IFERROR(__xludf.DUMMYFUNCTION("""COMPUTED_VALUE"""),0.3125)</f>
        <v>0.3125</v>
      </c>
    </row>
    <row r="13950">
      <c r="A13950" s="10" t="s">
        <v>15389</v>
      </c>
      <c r="B13950" s="7" t="str">
        <f>IFERROR(__xludf.DUMMYFUNCTION("SPLIT(A13950,"" "")"),"Cc1cnc(C)c(CN(C)C2=CCC=CN2)c1")</f>
        <v>Cc1cnc(C)c(CN(C)C2=CCC=CN2)c1</v>
      </c>
      <c r="C13950" s="7">
        <f>IFERROR(__xludf.DUMMYFUNCTION("""COMPUTED_VALUE"""),7.751584)</f>
        <v>7.751584</v>
      </c>
      <c r="D13950" s="7">
        <f>IFERROR(__xludf.DUMMYFUNCTION("""COMPUTED_VALUE"""),0.303571428571428)</f>
        <v>0.3035714286</v>
      </c>
    </row>
    <row r="13951">
      <c r="A13951" s="10" t="s">
        <v>15390</v>
      </c>
      <c r="B13951" s="7" t="str">
        <f>IFERROR(__xludf.DUMMYFUNCTION("SPLIT(A13951,"" "")"),"Cc1cccnc1CN(C)c1ccccc1CN(C)C")</f>
        <v>Cc1cccnc1CN(C)c1ccccc1CN(C)C</v>
      </c>
      <c r="C13951" s="7">
        <f>IFERROR(__xludf.DUMMYFUNCTION("""COMPUTED_VALUE"""),7.7515693)</f>
        <v>7.7515693</v>
      </c>
      <c r="D13951" s="7">
        <f>IFERROR(__xludf.DUMMYFUNCTION("""COMPUTED_VALUE"""),0.4)</f>
        <v>0.4</v>
      </c>
    </row>
    <row r="13952">
      <c r="A13952" s="10" t="s">
        <v>15391</v>
      </c>
      <c r="B13952" s="7" t="str">
        <f>IFERROR(__xludf.DUMMYFUNCTION("SPLIT(A13952,"" "")"),"CCN(Cc1ccccn1)c1ccccc1-c1ccc(CN(C)C(C)C)nc1")</f>
        <v>CCN(Cc1ccccn1)c1ccccc1-c1ccc(CN(C)C(C)C)nc1</v>
      </c>
      <c r="C13952" s="7">
        <f>IFERROR(__xludf.DUMMYFUNCTION("""COMPUTED_VALUE"""),7.7515607)</f>
        <v>7.7515607</v>
      </c>
      <c r="D13952" s="7">
        <f>IFERROR(__xludf.DUMMYFUNCTION("""COMPUTED_VALUE"""),0.42)</f>
        <v>0.42</v>
      </c>
    </row>
    <row r="13953">
      <c r="A13953" s="10" t="s">
        <v>15392</v>
      </c>
      <c r="B13953" s="7" t="str">
        <f>IFERROR(__xludf.DUMMYFUNCTION("SPLIT(A13953,"" "")"),"Cc1cnc(CN(C)C2CCC(N(C)Cc3cc(-c4ccc5ncccc5c4)ccn3)CC2)c(C)c1C")</f>
        <v>Cc1cnc(CN(C)C2CCC(N(C)Cc3cc(-c4ccc5ncccc5c4)ccn3)CC2)c(C)c1C</v>
      </c>
      <c r="C13953" s="7">
        <f>IFERROR(__xludf.DUMMYFUNCTION("""COMPUTED_VALUE"""),7.7515607)</f>
        <v>7.7515607</v>
      </c>
      <c r="D13953" s="7">
        <f>IFERROR(__xludf.DUMMYFUNCTION("""COMPUTED_VALUE"""),0.338709677419354)</f>
        <v>0.3387096774</v>
      </c>
    </row>
    <row r="13954">
      <c r="A13954" s="10" t="s">
        <v>15393</v>
      </c>
      <c r="B13954" s="7" t="str">
        <f>IFERROR(__xludf.DUMMYFUNCTION("SPLIT(A13954,"" "")"),"CN(Cc1ccc(-c2cccc(NCc3ccccn3)c2)cn1)C(C)(C)C")</f>
        <v>CN(Cc1ccc(-c2cccc(NCc3ccccn3)c2)cn1)C(C)(C)C</v>
      </c>
      <c r="C13954" s="7">
        <f>IFERROR(__xludf.DUMMYFUNCTION("""COMPUTED_VALUE"""),7.7515583)</f>
        <v>7.7515583</v>
      </c>
      <c r="D13954" s="7">
        <f>IFERROR(__xludf.DUMMYFUNCTION("""COMPUTED_VALUE"""),0.357142857142857)</f>
        <v>0.3571428571</v>
      </c>
    </row>
    <row r="13955">
      <c r="A13955" s="10" t="s">
        <v>15394</v>
      </c>
      <c r="B13955" s="7" t="str">
        <f>IFERROR(__xludf.DUMMYFUNCTION("SPLIT(A13955,"" "")"),"Cc1cccnc1CN(C)CC1=CCC=C(N(C)Cc2ncc(C)c(C)c2C)N1")</f>
        <v>Cc1cccnc1CN(C)CC1=CCC=C(N(C)Cc2ncc(C)c(C)c2C)N1</v>
      </c>
      <c r="C13955" s="7">
        <f>IFERROR(__xludf.DUMMYFUNCTION("""COMPUTED_VALUE"""),7.7515554)</f>
        <v>7.7515554</v>
      </c>
      <c r="D13955" s="7">
        <f>IFERROR(__xludf.DUMMYFUNCTION("""COMPUTED_VALUE"""),0.272727272727272)</f>
        <v>0.2727272727</v>
      </c>
    </row>
    <row r="13956">
      <c r="A13956" s="10" t="s">
        <v>15395</v>
      </c>
      <c r="B13956" s="7" t="str">
        <f>IFERROR(__xludf.DUMMYFUNCTION("SPLIT(A13956,"" "")"),"CNc1cc(C)c(C)cn1")</f>
        <v>CNc1cc(C)c(C)cn1</v>
      </c>
      <c r="C13956" s="7">
        <f>IFERROR(__xludf.DUMMYFUNCTION("""COMPUTED_VALUE"""),7.751551)</f>
        <v>7.751551</v>
      </c>
      <c r="D13956" s="7">
        <f>IFERROR(__xludf.DUMMYFUNCTION("""COMPUTED_VALUE"""),0.216216216216216)</f>
        <v>0.2162162162</v>
      </c>
    </row>
    <row r="13957">
      <c r="A13957" s="10" t="s">
        <v>15396</v>
      </c>
      <c r="B13957" s="7" t="str">
        <f>IFERROR(__xludf.DUMMYFUNCTION("SPLIT(A13957,"" "")"),"Cc1ccccc1N(C)C1CCCCC1N(C)c1ccc2c(CN(C)C)ccnc2c1")</f>
        <v>Cc1ccccc1N(C)C1CCCCC1N(C)c1ccc2c(CN(C)C)ccnc2c1</v>
      </c>
      <c r="C13957" s="7">
        <f>IFERROR(__xludf.DUMMYFUNCTION("""COMPUTED_VALUE"""),7.7515497)</f>
        <v>7.7515497</v>
      </c>
      <c r="D13957" s="7">
        <f>IFERROR(__xludf.DUMMYFUNCTION("""COMPUTED_VALUE"""),0.385964912280701)</f>
        <v>0.3859649123</v>
      </c>
    </row>
    <row r="13958">
      <c r="A13958" s="10" t="s">
        <v>15397</v>
      </c>
      <c r="B13958" s="7" t="str">
        <f>IFERROR(__xludf.DUMMYFUNCTION("SPLIT(A13958,"" "")"),"Cc1ccc(N(C)CC2=CC(N(C)Cc3nccc(C)c3C)C=CN2)cc1C")</f>
        <v>Cc1ccc(N(C)CC2=CC(N(C)Cc3nccc(C)c3C)C=CN2)cc1C</v>
      </c>
      <c r="C13958" s="7">
        <f>IFERROR(__xludf.DUMMYFUNCTION("""COMPUTED_VALUE"""),7.751543)</f>
        <v>7.751543</v>
      </c>
      <c r="D13958" s="7">
        <f>IFERROR(__xludf.DUMMYFUNCTION("""COMPUTED_VALUE"""),0.276923076923076)</f>
        <v>0.2769230769</v>
      </c>
    </row>
    <row r="13959">
      <c r="A13959" s="10" t="s">
        <v>15398</v>
      </c>
      <c r="B13959" s="7" t="str">
        <f>IFERROR(__xludf.DUMMYFUNCTION("SPLIT(A13959,"" "")"),"Cc1ccnc(CN(Cc2nc(C)c(C)c(C)c2C)C2CCCCC2N(C)c2ccc3nccc(C)c3c2)c1C")</f>
        <v>Cc1ccnc(CN(Cc2nc(C)c(C)c(C)c2C)C2CCCCC2N(C)c2ccc3nccc(C)c3c2)c1C</v>
      </c>
      <c r="C13959" s="7">
        <f>IFERROR(__xludf.DUMMYFUNCTION("""COMPUTED_VALUE"""),7.751535)</f>
        <v>7.751535</v>
      </c>
      <c r="D13959" s="7">
        <f>IFERROR(__xludf.DUMMYFUNCTION("""COMPUTED_VALUE"""),0.298507462686567)</f>
        <v>0.2985074627</v>
      </c>
    </row>
    <row r="13960">
      <c r="A13960" s="10" t="s">
        <v>15399</v>
      </c>
      <c r="B13960" s="7" t="str">
        <f>IFERROR(__xludf.DUMMYFUNCTION("SPLIT(A13960,"" "")"),"Cc1cccnc1CN(C)C1=CCC=C(CN(C)C)N1")</f>
        <v>Cc1cccnc1CN(C)C1=CCC=C(CN(C)C)N1</v>
      </c>
      <c r="C13960" s="7">
        <f>IFERROR(__xludf.DUMMYFUNCTION("""COMPUTED_VALUE"""),7.7515273)</f>
        <v>7.7515273</v>
      </c>
      <c r="D13960" s="7">
        <f>IFERROR(__xludf.DUMMYFUNCTION("""COMPUTED_VALUE"""),0.293103448275862)</f>
        <v>0.2931034483</v>
      </c>
    </row>
    <row r="13961">
      <c r="A13961" s="10" t="s">
        <v>15400</v>
      </c>
      <c r="B13961" s="7" t="str">
        <f>IFERROR(__xludf.DUMMYFUNCTION("SPLIT(A13961,"" "")"),"CC1(C)COC(c2cc(CN(Cc3ccccn3)Cc3cc(C(C)(C)C)ccn3)ccn2)=N1")</f>
        <v>CC1(C)COC(c2cc(CN(Cc3ccccn3)Cc3cc(C(C)(C)C)ccn3)ccn2)=N1</v>
      </c>
      <c r="C13961" s="7">
        <f>IFERROR(__xludf.DUMMYFUNCTION("""COMPUTED_VALUE"""),7.7515225)</f>
        <v>7.7515225</v>
      </c>
      <c r="D13961" s="7">
        <f>IFERROR(__xludf.DUMMYFUNCTION("""COMPUTED_VALUE"""),0.37037037037037)</f>
        <v>0.3703703704</v>
      </c>
    </row>
    <row r="13962">
      <c r="A13962" s="10" t="s">
        <v>15401</v>
      </c>
      <c r="B13962" s="7" t="str">
        <f>IFERROR(__xludf.DUMMYFUNCTION("SPLIT(A13962,"" "")"),"Cc1nc(CN(C)CC2=CCC=C(N(C)Cc3ccccn3)N2)c(C)c(C)c1C")</f>
        <v>Cc1nc(CN(C)CC2=CCC=C(N(C)Cc3ccccn3)N2)c(C)c(C)c1C</v>
      </c>
      <c r="C13962" s="7">
        <f>IFERROR(__xludf.DUMMYFUNCTION("""COMPUTED_VALUE"""),7.751517)</f>
        <v>7.751517</v>
      </c>
      <c r="D13962" s="7">
        <f>IFERROR(__xludf.DUMMYFUNCTION("""COMPUTED_VALUE"""),0.372881355932203)</f>
        <v>0.3728813559</v>
      </c>
    </row>
    <row r="13963">
      <c r="A13963" s="10" t="s">
        <v>15402</v>
      </c>
      <c r="B13963" s="7" t="str">
        <f>IFERROR(__xludf.DUMMYFUNCTION("SPLIT(A13963,"" "")"),"Cc1cc(N=Cc2ccccn2)ccc1CNCc1ccccn1")</f>
        <v>Cc1cc(N=Cc2ccccn2)ccc1CNCc1ccccn1</v>
      </c>
      <c r="C13963" s="7">
        <f>IFERROR(__xludf.DUMMYFUNCTION("""COMPUTED_VALUE"""),7.7515135)</f>
        <v>7.7515135</v>
      </c>
      <c r="D13963" s="7">
        <f>IFERROR(__xludf.DUMMYFUNCTION("""COMPUTED_VALUE"""),0.423076923076923)</f>
        <v>0.4230769231</v>
      </c>
    </row>
    <row r="13964">
      <c r="A13964" s="10" t="s">
        <v>15403</v>
      </c>
      <c r="B13964" s="7" t="str">
        <f>IFERROR(__xludf.DUMMYFUNCTION("SPLIT(A13964,"" "")"),"CN(Cc1ncccc1-c1ccccc1)C1CCC(N(C)c2ccc3nc(CF)ccc3c2)CC1")</f>
        <v>CN(Cc1ncccc1-c1ccccc1)C1CCC(N(C)c2ccc3nc(CF)ccc3c2)CC1</v>
      </c>
      <c r="C13964" s="7">
        <f>IFERROR(__xludf.DUMMYFUNCTION("""COMPUTED_VALUE"""),7.7515097)</f>
        <v>7.7515097</v>
      </c>
      <c r="D13964" s="7">
        <f>IFERROR(__xludf.DUMMYFUNCTION("""COMPUTED_VALUE"""),0.314285714285714)</f>
        <v>0.3142857143</v>
      </c>
    </row>
    <row r="13965">
      <c r="A13965" s="10" t="s">
        <v>15404</v>
      </c>
      <c r="B13965" s="7" t="str">
        <f>IFERROR(__xludf.DUMMYFUNCTION("SPLIT(A13965,"" "")"),"CCN(CC1=CCC(N(C)Cc2ccccn2)=CN1)c1cccc(C)c1C")</f>
        <v>CCN(CC1=CCC(N(C)Cc2ccccn2)=CN1)c1cccc(C)c1C</v>
      </c>
      <c r="C13965" s="7">
        <f>IFERROR(__xludf.DUMMYFUNCTION("""COMPUTED_VALUE"""),7.751506)</f>
        <v>7.751506</v>
      </c>
      <c r="D13965" s="7">
        <f>IFERROR(__xludf.DUMMYFUNCTION("""COMPUTED_VALUE"""),0.372881355932203)</f>
        <v>0.3728813559</v>
      </c>
    </row>
    <row r="13966">
      <c r="A13966" s="10" t="s">
        <v>15405</v>
      </c>
      <c r="B13966" s="7" t="str">
        <f>IFERROR(__xludf.DUMMYFUNCTION("SPLIT(A13966,"" "")"),"CC1=C(C)C(N(C)Cc2cc(-c3cccc(N=Cc4ccccn4)c3)ccn2)CCC1C")</f>
        <v>CC1=C(C)C(N(C)Cc2cc(-c3cccc(N=Cc4ccccn4)c3)ccn2)CCC1C</v>
      </c>
      <c r="C13966" s="7">
        <f>IFERROR(__xludf.DUMMYFUNCTION("""COMPUTED_VALUE"""),7.7514873)</f>
        <v>7.7514873</v>
      </c>
      <c r="D13966" s="7">
        <f>IFERROR(__xludf.DUMMYFUNCTION("""COMPUTED_VALUE"""),0.338461538461538)</f>
        <v>0.3384615385</v>
      </c>
    </row>
    <row r="13967">
      <c r="A13967" s="10" t="s">
        <v>15406</v>
      </c>
      <c r="B13967" s="7" t="str">
        <f>IFERROR(__xludf.DUMMYFUNCTION("SPLIT(A13967,"" "")"),"Cc1cccc(CN(Cc2cncc(N(C)C)c2)Cc2cccc(F)n2)n1")</f>
        <v>Cc1cccc(CN(Cc2cncc(N(C)C)c2)Cc2cccc(F)n2)n1</v>
      </c>
      <c r="C13967" s="7">
        <f>IFERROR(__xludf.DUMMYFUNCTION("""COMPUTED_VALUE"""),7.7514844)</f>
        <v>7.7514844</v>
      </c>
      <c r="D13967" s="7">
        <f>IFERROR(__xludf.DUMMYFUNCTION("""COMPUTED_VALUE"""),0.446808510638297)</f>
        <v>0.4468085106</v>
      </c>
    </row>
    <row r="13968">
      <c r="A13968" s="10" t="s">
        <v>15407</v>
      </c>
      <c r="B13968" s="7" t="str">
        <f>IFERROR(__xludf.DUMMYFUNCTION("SPLIT(A13968,"" "")"),"Cc1cnccc1CN(C)Cc1ncccc1N(C)Cc1ccccn1")</f>
        <v>Cc1cnccc1CN(C)Cc1ncccc1N(C)Cc1ccccn1</v>
      </c>
      <c r="C13968" s="7">
        <f>IFERROR(__xludf.DUMMYFUNCTION("""COMPUTED_VALUE"""),7.751484)</f>
        <v>7.751484</v>
      </c>
      <c r="D13968" s="7">
        <f>IFERROR(__xludf.DUMMYFUNCTION("""COMPUTED_VALUE"""),0.46)</f>
        <v>0.46</v>
      </c>
    </row>
    <row r="13969">
      <c r="A13969" s="10" t="s">
        <v>15408</v>
      </c>
      <c r="B13969" s="7" t="str">
        <f>IFERROR(__xludf.DUMMYFUNCTION("SPLIT(A13969,"" "")"),"Cc1cnc(CN(Cc2cccc(N=Cc3ccccn3)c2)C(C)C)c(C)c1")</f>
        <v>Cc1cnc(CN(Cc2cccc(N=Cc3ccccn3)c2)C(C)C)c(C)c1</v>
      </c>
      <c r="C13969" s="7">
        <f>IFERROR(__xludf.DUMMYFUNCTION("""COMPUTED_VALUE"""),7.751477)</f>
        <v>7.751477</v>
      </c>
      <c r="D13969" s="7">
        <f>IFERROR(__xludf.DUMMYFUNCTION("""COMPUTED_VALUE"""),0.383333333333333)</f>
        <v>0.3833333333</v>
      </c>
    </row>
    <row r="13970">
      <c r="A13970" s="10" t="s">
        <v>15409</v>
      </c>
      <c r="B13970" s="7" t="str">
        <f>IFERROR(__xludf.DUMMYFUNCTION("SPLIT(A13970,"" "")"),"Cc1ccnc2cccc(N(C)CCN(CC(C)(C)C)C(C)C)c12")</f>
        <v>Cc1ccnc2cccc(N(C)CCN(CC(C)(C)C)C(C)C)c12</v>
      </c>
      <c r="C13970" s="7">
        <f>IFERROR(__xludf.DUMMYFUNCTION("""COMPUTED_VALUE"""),7.751475)</f>
        <v>7.751475</v>
      </c>
      <c r="D13970" s="7">
        <f>IFERROR(__xludf.DUMMYFUNCTION("""COMPUTED_VALUE"""),0.346153846153846)</f>
        <v>0.3461538462</v>
      </c>
    </row>
    <row r="13971">
      <c r="A13971" s="10" t="s">
        <v>15410</v>
      </c>
      <c r="B13971" s="7" t="str">
        <f>IFERROR(__xludf.DUMMYFUNCTION("SPLIT(A13971,"" "")"),"CN(CC1=CC(N(C)Cc2ccccn2)C=CN1)C1=C(N(O)Cc2ccccn2)NC=CC1")</f>
        <v>CN(CC1=CC(N(C)Cc2ccccn2)C=CN1)C1=C(N(O)Cc2ccccn2)NC=CC1</v>
      </c>
      <c r="C13971" s="7">
        <f>IFERROR(__xludf.DUMMYFUNCTION("""COMPUTED_VALUE"""),7.751475)</f>
        <v>7.751475</v>
      </c>
      <c r="D13971" s="7">
        <f>IFERROR(__xludf.DUMMYFUNCTION("""COMPUTED_VALUE"""),0.384615384615384)</f>
        <v>0.3846153846</v>
      </c>
    </row>
    <row r="13972">
      <c r="A13972" s="10" t="s">
        <v>15411</v>
      </c>
      <c r="B13972" s="7" t="str">
        <f>IFERROR(__xludf.DUMMYFUNCTION("SPLIT(A13972,"" "")"),"Cc1cccc(N(C)Cc2ccccn2)c1C(C)(C)C1=CC(N(C)Cc2ccccn2)C=CN1")</f>
        <v>Cc1cccc(N(C)Cc2ccccn2)c1C(C)(C)C1=CC(N(C)Cc2ccccn2)C=CN1</v>
      </c>
      <c r="C13972" s="7">
        <f>IFERROR(__xludf.DUMMYFUNCTION("""COMPUTED_VALUE"""),7.7514687)</f>
        <v>7.7514687</v>
      </c>
      <c r="D13972" s="7">
        <f>IFERROR(__xludf.DUMMYFUNCTION("""COMPUTED_VALUE"""),0.389830508474576)</f>
        <v>0.3898305085</v>
      </c>
    </row>
    <row r="13973">
      <c r="A13973" s="10" t="s">
        <v>15412</v>
      </c>
      <c r="B13973" s="7" t="str">
        <f>IFERROR(__xludf.DUMMYFUNCTION("SPLIT(A13973,"" "")"),"Cc1ccccc1N(C)Cc1cccc(C(C)(C)C)n1")</f>
        <v>Cc1ccccc1N(C)Cc1cccc(C(C)(C)C)n1</v>
      </c>
      <c r="C13973" s="7">
        <f>IFERROR(__xludf.DUMMYFUNCTION("""COMPUTED_VALUE"""),7.751467)</f>
        <v>7.751467</v>
      </c>
      <c r="D13973" s="7">
        <f>IFERROR(__xludf.DUMMYFUNCTION("""COMPUTED_VALUE"""),0.38095238095238)</f>
        <v>0.380952381</v>
      </c>
    </row>
    <row r="13974">
      <c r="A13974" s="10" t="s">
        <v>15413</v>
      </c>
      <c r="B13974" s="7" t="str">
        <f>IFERROR(__xludf.DUMMYFUNCTION("SPLIT(A13974,"" "")"),"Cc1cccnc1CN(Cc1ccccn1)C1CC(N(C)c2ccc3nc(C4=CCC=CN4)ccc3c2)CCC1N(C)Cc1ccccn1")</f>
        <v>Cc1cccnc1CN(Cc1ccccn1)C1CC(N(C)c2ccc3nc(C4=CCC=CN4)ccc3c2)CCC1N(C)Cc1ccccn1</v>
      </c>
      <c r="C13974" s="7">
        <f>IFERROR(__xludf.DUMMYFUNCTION("""COMPUTED_VALUE"""),7.751464)</f>
        <v>7.751464</v>
      </c>
      <c r="D13974" s="7">
        <f>IFERROR(__xludf.DUMMYFUNCTION("""COMPUTED_VALUE"""),0.346153846153846)</f>
        <v>0.3461538462</v>
      </c>
    </row>
    <row r="13975">
      <c r="A13975" s="10" t="s">
        <v>15414</v>
      </c>
      <c r="B13975" s="7" t="str">
        <f>IFERROR(__xludf.DUMMYFUNCTION("SPLIT(A13975,"" "")"),"Cc1cc(C)c(CN(C)Cc2ccc(N)c(C)n2)c(C)n1")</f>
        <v>Cc1cc(C)c(CN(C)Cc2ccc(N)c(C)n2)c(C)n1</v>
      </c>
      <c r="C13975" s="7">
        <f>IFERROR(__xludf.DUMMYFUNCTION("""COMPUTED_VALUE"""),7.751459)</f>
        <v>7.751459</v>
      </c>
      <c r="D13975" s="7">
        <f>IFERROR(__xludf.DUMMYFUNCTION("""COMPUTED_VALUE"""),0.355555555555555)</f>
        <v>0.3555555556</v>
      </c>
    </row>
    <row r="13976">
      <c r="A13976" s="10" t="s">
        <v>15415</v>
      </c>
      <c r="B13976" s="7" t="str">
        <f>IFERROR(__xludf.DUMMYFUNCTION("SPLIT(A13976,"" "")"),"Cc1ccc(CN(C)c2ccc(CN(Cc3ccccn3)Cc3cccc(C(C)(C)C)n3)nc2)nc1")</f>
        <v>Cc1ccc(CN(C)c2ccc(CN(Cc3ccccn3)Cc3cccc(C(C)(C)C)n3)nc2)nc1</v>
      </c>
      <c r="C13976" s="7">
        <f>IFERROR(__xludf.DUMMYFUNCTION("""COMPUTED_VALUE"""),7.751458)</f>
        <v>7.751458</v>
      </c>
      <c r="D13976" s="7">
        <f>IFERROR(__xludf.DUMMYFUNCTION("""COMPUTED_VALUE"""),0.434782608695652)</f>
        <v>0.4347826087</v>
      </c>
    </row>
    <row r="13977">
      <c r="A13977" s="10" t="s">
        <v>15416</v>
      </c>
      <c r="B13977" s="7" t="str">
        <f>IFERROR(__xludf.DUMMYFUNCTION("SPLIT(A13977,"" "")"),"CC1(C)COC(c2cccc(CN(Cc3ccccn3)Cc3ccc(C(C)(C)C)cn3)n2)=N1")</f>
        <v>CC1(C)COC(c2cccc(CN(Cc3ccccn3)Cc3ccc(C(C)(C)C)cn3)n2)=N1</v>
      </c>
      <c r="C13977" s="7">
        <f>IFERROR(__xludf.DUMMYFUNCTION("""COMPUTED_VALUE"""),7.751437)</f>
        <v>7.751437</v>
      </c>
      <c r="D13977" s="7">
        <f>IFERROR(__xludf.DUMMYFUNCTION("""COMPUTED_VALUE"""),0.462962962962962)</f>
        <v>0.462962963</v>
      </c>
    </row>
    <row r="13978">
      <c r="A13978" s="10" t="s">
        <v>15417</v>
      </c>
      <c r="B13978" s="7" t="str">
        <f>IFERROR(__xludf.DUMMYFUNCTION("SPLIT(A13978,"" "")"),"Cc1ccnc2cccc(N(C)CCCN(C)C(C)C)c12")</f>
        <v>Cc1ccnc2cccc(N(C)CCCN(C)C(C)C)c12</v>
      </c>
      <c r="C13978" s="7">
        <f>IFERROR(__xludf.DUMMYFUNCTION("""COMPUTED_VALUE"""),7.7514195)</f>
        <v>7.7514195</v>
      </c>
      <c r="D13978" s="7">
        <f>IFERROR(__xludf.DUMMYFUNCTION("""COMPUTED_VALUE"""),0.416666666666666)</f>
        <v>0.4166666667</v>
      </c>
    </row>
    <row r="13979">
      <c r="A13979" s="10" t="s">
        <v>15418</v>
      </c>
      <c r="B13979" s="7" t="str">
        <f>IFERROR(__xludf.DUMMYFUNCTION("SPLIT(A13979,"" "")"),"Cc1ccc(CN(C)c2cccnc2CN(Cc2ccccn2)Cc2ncccc2F)nc1")</f>
        <v>Cc1ccc(CN(C)c2cccnc2CN(Cc2ccccn2)Cc2ncccc2F)nc1</v>
      </c>
      <c r="C13979" s="7">
        <f>IFERROR(__xludf.DUMMYFUNCTION("""COMPUTED_VALUE"""),7.751417)</f>
        <v>7.751417</v>
      </c>
      <c r="D13979" s="7">
        <f>IFERROR(__xludf.DUMMYFUNCTION("""COMPUTED_VALUE"""),0.433962264150943)</f>
        <v>0.4339622642</v>
      </c>
    </row>
    <row r="13980">
      <c r="A13980" s="10" t="s">
        <v>15419</v>
      </c>
      <c r="B13980" s="7" t="str">
        <f>IFERROR(__xludf.DUMMYFUNCTION("SPLIT(A13980,"" "")"),"Cc1cnc2cccc(N(CCN(C)C(C)(C)C)Cc3ccccn3)c2c1")</f>
        <v>Cc1cnc2cccc(N(CCN(C)C(C)(C)C)Cc3ccccn3)c2c1</v>
      </c>
      <c r="C13980" s="7">
        <f>IFERROR(__xludf.DUMMYFUNCTION("""COMPUTED_VALUE"""),7.7514114)</f>
        <v>7.7514114</v>
      </c>
      <c r="D13980" s="7">
        <f>IFERROR(__xludf.DUMMYFUNCTION("""COMPUTED_VALUE"""),0.381818181818181)</f>
        <v>0.3818181818</v>
      </c>
    </row>
    <row r="13981">
      <c r="A13981" s="10" t="s">
        <v>15420</v>
      </c>
      <c r="B13981" s="7" t="str">
        <f>IFERROR(__xludf.DUMMYFUNCTION("SPLIT(A13981,"" "")"),"CN(CCCN(C)c1ccc2ncccc2c1)Cc1ccccn1")</f>
        <v>CN(CCCN(C)c1ccc2ncccc2c1)Cc1ccccn1</v>
      </c>
      <c r="C13981" s="7">
        <f>IFERROR(__xludf.DUMMYFUNCTION("""COMPUTED_VALUE"""),7.751406)</f>
        <v>7.751406</v>
      </c>
      <c r="D13981" s="7">
        <f>IFERROR(__xludf.DUMMYFUNCTION("""COMPUTED_VALUE"""),0.44)</f>
        <v>0.44</v>
      </c>
    </row>
    <row r="13982">
      <c r="A13982" s="10" t="s">
        <v>15421</v>
      </c>
      <c r="B13982" s="7" t="str">
        <f>IFERROR(__xludf.DUMMYFUNCTION("SPLIT(A13982,"" "")"),"CCOC(=O)C(=O)N1CCN(C)CCN(C(=O)C(=O)C(=O)C(=O)C(=O)C(=O)C(=O)C(=O)C(=O)C(=O)C(=O)C(=O)C(=O)C(=O)C(=O)C(=O)C(=O)C(=O)C=O)CC1")</f>
        <v>CCOC(=O)C(=O)N1CCN(C)CCN(C(=O)C(=O)C(=O)C(=O)C(=O)C(=O)C(=O)C(=O)C(=O)C(=O)C(=O)C(=O)C(=O)C(=O)C(=O)C(=O)C(=O)C(=O)C=O)CC1</v>
      </c>
      <c r="C13982" s="7">
        <f>IFERROR(__xludf.DUMMYFUNCTION("""COMPUTED_VALUE"""),7.7514024)</f>
        <v>7.7514024</v>
      </c>
      <c r="D13982" s="7">
        <f>IFERROR(__xludf.DUMMYFUNCTION("""COMPUTED_VALUE"""),0.288135593220339)</f>
        <v>0.2881355932</v>
      </c>
    </row>
    <row r="13983">
      <c r="A13983" s="10" t="s">
        <v>15422</v>
      </c>
      <c r="B13983" s="7" t="str">
        <f>IFERROR(__xludf.DUMMYFUNCTION("SPLIT(A13983,"" "")"),"Cc1cc(C)c(CN(C)C2=CCC=C(CN(C)Cc3ccccn3)N2)nc1C")</f>
        <v>Cc1cc(C)c(CN(C)C2=CCC=C(CN(C)Cc3ccccn3)N2)nc1C</v>
      </c>
      <c r="C13983" s="7">
        <f>IFERROR(__xludf.DUMMYFUNCTION("""COMPUTED_VALUE"""),7.7513967)</f>
        <v>7.7513967</v>
      </c>
      <c r="D13983" s="7">
        <f>IFERROR(__xludf.DUMMYFUNCTION("""COMPUTED_VALUE"""),0.389830508474576)</f>
        <v>0.3898305085</v>
      </c>
    </row>
    <row r="13984">
      <c r="A13984" s="10" t="s">
        <v>15423</v>
      </c>
      <c r="B13984" s="7" t="str">
        <f>IFERROR(__xludf.DUMMYFUNCTION("SPLIT(A13984,"" "")"),"CC1CCC=C(N(C)c2ccc3cccnc3c2)C1C")</f>
        <v>CC1CCC=C(N(C)c2ccc3cccnc3c2)C1C</v>
      </c>
      <c r="C13984" s="7">
        <f>IFERROR(__xludf.DUMMYFUNCTION("""COMPUTED_VALUE"""),7.751396)</f>
        <v>7.751396</v>
      </c>
      <c r="D13984" s="7">
        <f>IFERROR(__xludf.DUMMYFUNCTION("""COMPUTED_VALUE"""),0.303571428571428)</f>
        <v>0.3035714286</v>
      </c>
    </row>
    <row r="13985">
      <c r="A13985" s="10" t="s">
        <v>15424</v>
      </c>
      <c r="B13985" s="7" t="str">
        <f>IFERROR(__xludf.DUMMYFUNCTION("SPLIT(A13985,"" "")"),"Cc1cccnc1CN(Cc1ccnc(-c2cc(N(C)C)cc3ncccc23)c1)Cc1cc(-c2ccc3c(c2)OCCOCCOCCOCCOCCO3)ccn1")</f>
        <v>Cc1cccnc1CN(Cc1ccnc(-c2cc(N(C)C)cc3ncccc23)c1)Cc1cc(-c2ccc3c(c2)OCCOCCOCCOCCOCCO3)ccn1</v>
      </c>
      <c r="C13985" s="7">
        <f>IFERROR(__xludf.DUMMYFUNCTION("""COMPUTED_VALUE"""),7.7513943)</f>
        <v>7.7513943</v>
      </c>
      <c r="D13985" s="7">
        <f>IFERROR(__xludf.DUMMYFUNCTION("""COMPUTED_VALUE"""),0.277777777777777)</f>
        <v>0.2777777778</v>
      </c>
    </row>
    <row r="13986">
      <c r="A13986" s="10" t="s">
        <v>15425</v>
      </c>
      <c r="B13986" s="7" t="str">
        <f>IFERROR(__xludf.DUMMYFUNCTION("SPLIT(A13986,"" "")"),"Cc1nc(CN(C)Cc2cccc(N(C)C3C=CC=CN3)n2)c(C)c(C)c1C")</f>
        <v>Cc1nc(CN(C)Cc2cccc(N(C)C3C=CC=CN3)n2)c(C)c(C)c1C</v>
      </c>
      <c r="C13986" s="7">
        <f>IFERROR(__xludf.DUMMYFUNCTION("""COMPUTED_VALUE"""),7.75139)</f>
        <v>7.75139</v>
      </c>
      <c r="D13986" s="7">
        <f>IFERROR(__xludf.DUMMYFUNCTION("""COMPUTED_VALUE"""),0.327272727272727)</f>
        <v>0.3272727273</v>
      </c>
    </row>
    <row r="13987">
      <c r="A13987" s="10" t="s">
        <v>15426</v>
      </c>
      <c r="B13987" s="7" t="str">
        <f>IFERROR(__xludf.DUMMYFUNCTION("SPLIT(A13987,"" "")"),"Cc1ccc(CN(Cc2ccccn2)C2=C(CN(C)Cc3cc(C)c(C)c(C)n3)NC=CC2)nc1C")</f>
        <v>Cc1ccc(CN(Cc2ccccn2)C2=C(CN(C)Cc3cc(C)c(C)c(C)n3)NC=CC2)nc1C</v>
      </c>
      <c r="C13987" s="7">
        <f>IFERROR(__xludf.DUMMYFUNCTION("""COMPUTED_VALUE"""),7.7513895)</f>
        <v>7.7513895</v>
      </c>
      <c r="D13987" s="7">
        <f>IFERROR(__xludf.DUMMYFUNCTION("""COMPUTED_VALUE"""),0.375)</f>
        <v>0.375</v>
      </c>
    </row>
    <row r="13988">
      <c r="A13988" s="10" t="s">
        <v>15427</v>
      </c>
      <c r="B13988" s="7" t="str">
        <f>IFERROR(__xludf.DUMMYFUNCTION("SPLIT(A13988,"" "")"),"CN(Cc1ccc(-c2ccc3cccnc3c2)cn1)C1CCCC(N(C)Cc2ccon2)C1")</f>
        <v>CN(Cc1ccc(-c2ccc3cccnc3c2)cn1)C1CCCC(N(C)Cc2ccon2)C1</v>
      </c>
      <c r="C13988" s="7">
        <f>IFERROR(__xludf.DUMMYFUNCTION("""COMPUTED_VALUE"""),7.751381)</f>
        <v>7.751381</v>
      </c>
      <c r="D13988" s="7">
        <f>IFERROR(__xludf.DUMMYFUNCTION("""COMPUTED_VALUE"""),0.333333333333333)</f>
        <v>0.3333333333</v>
      </c>
    </row>
    <row r="13989">
      <c r="A13989" s="10" t="s">
        <v>15428</v>
      </c>
      <c r="B13989" s="7" t="str">
        <f>IFERROR(__xludf.DUMMYFUNCTION("SPLIT(A13989,"" "")"),"CN(c1ccc2ncccc2c1)C1CCCCC1N(Cc1ccccn1)Cc1ccc2ccccc2n1")</f>
        <v>CN(c1ccc2ncccc2c1)C1CCCCC1N(Cc1ccccn1)Cc1ccc2ccccc2n1</v>
      </c>
      <c r="C13989" s="7">
        <f>IFERROR(__xludf.DUMMYFUNCTION("""COMPUTED_VALUE"""),7.751377)</f>
        <v>7.751377</v>
      </c>
      <c r="D13989" s="7">
        <f>IFERROR(__xludf.DUMMYFUNCTION("""COMPUTED_VALUE"""),0.49090909090909)</f>
        <v>0.4909090909</v>
      </c>
    </row>
    <row r="13990">
      <c r="A13990" s="10" t="s">
        <v>15429</v>
      </c>
      <c r="B13990" s="7" t="str">
        <f>IFERROR(__xludf.DUMMYFUNCTION("SPLIT(A13990,"" "")"),"Cc1cncc(CN(C)Cc2ccc(N(C)C)cn2)c1")</f>
        <v>Cc1cncc(CN(C)Cc2ccc(N(C)C)cn2)c1</v>
      </c>
      <c r="C13990" s="7">
        <f>IFERROR(__xludf.DUMMYFUNCTION("""COMPUTED_VALUE"""),7.751375)</f>
        <v>7.751375</v>
      </c>
      <c r="D13990" s="7">
        <f>IFERROR(__xludf.DUMMYFUNCTION("""COMPUTED_VALUE"""),0.452380952380952)</f>
        <v>0.4523809524</v>
      </c>
    </row>
    <row r="13991">
      <c r="A13991" s="10" t="s">
        <v>15430</v>
      </c>
      <c r="B13991" s="7" t="str">
        <f>IFERROR(__xludf.DUMMYFUNCTION("SPLIT(A13991,"" "")"),"Cc1ccc(CN(CC2=CCC=C(N(C)Cc3ncc(C)cc3C)N2)Cc2ccccn2)nc1")</f>
        <v>Cc1ccc(CN(CC2=CCC=C(N(C)Cc3ncc(C)cc3C)N2)Cc2ccccn2)nc1</v>
      </c>
      <c r="C13991" s="7">
        <f>IFERROR(__xludf.DUMMYFUNCTION("""COMPUTED_VALUE"""),7.75137)</f>
        <v>7.75137</v>
      </c>
      <c r="D13991" s="7">
        <f>IFERROR(__xludf.DUMMYFUNCTION("""COMPUTED_VALUE"""),0.428571428571428)</f>
        <v>0.4285714286</v>
      </c>
    </row>
    <row r="13992">
      <c r="A13992" s="10" t="s">
        <v>15431</v>
      </c>
      <c r="B13992" s="7" t="str">
        <f>IFERROR(__xludf.DUMMYFUNCTION("SPLIT(A13992,"" "")"),"CN(C)Cc1ccc2cc(N(C)C3CCCCC3N(C)Cc3cc(-c4ccccc4)ccn3)ccc2n1")</f>
        <v>CN(C)Cc1ccc2cc(N(C)C3CCCCC3N(C)Cc3cc(-c4ccccc4)ccn3)ccc2n1</v>
      </c>
      <c r="C13992" s="7">
        <f>IFERROR(__xludf.DUMMYFUNCTION("""COMPUTED_VALUE"""),7.751357)</f>
        <v>7.751357</v>
      </c>
      <c r="D13992" s="7">
        <f>IFERROR(__xludf.DUMMYFUNCTION("""COMPUTED_VALUE"""),0.448275862068965)</f>
        <v>0.4482758621</v>
      </c>
    </row>
    <row r="13993">
      <c r="A13993" s="10" t="s">
        <v>15432</v>
      </c>
      <c r="B13993" s="7" t="str">
        <f>IFERROR(__xludf.DUMMYFUNCTION("SPLIT(A13993,"" "")"),"Cc1cccc(CN(Cc2ccccn2)C2=C(CN(C)Cc3nc(C)c(C)c(C)c3C)NC=CC2)n1")</f>
        <v>Cc1cccc(CN(Cc2ccccn2)C2=C(CN(C)Cc3nc(C)c(C)c(C)c3C)NC=CC2)n1</v>
      </c>
      <c r="C13993" s="7">
        <f>IFERROR(__xludf.DUMMYFUNCTION("""COMPUTED_VALUE"""),7.751356)</f>
        <v>7.751356</v>
      </c>
      <c r="D13993" s="7">
        <f>IFERROR(__xludf.DUMMYFUNCTION("""COMPUTED_VALUE"""),0.375)</f>
        <v>0.375</v>
      </c>
    </row>
    <row r="13994">
      <c r="A13994" s="10" t="s">
        <v>15433</v>
      </c>
      <c r="B13994" s="7" t="str">
        <f>IFERROR(__xludf.DUMMYFUNCTION("SPLIT(A13994,"" "")"),"Cc1ccc(N(Cc2ccccn2)C2CCCCC2N(C)c2cccc3nc(CF)ccc23)cc1C")</f>
        <v>Cc1ccc(N(Cc2ccccn2)C2CCCCC2N(C)c2cccc3nc(CF)ccc23)cc1C</v>
      </c>
      <c r="C13994" s="7">
        <f>IFERROR(__xludf.DUMMYFUNCTION("""COMPUTED_VALUE"""),7.7513556)</f>
        <v>7.7513556</v>
      </c>
      <c r="D13994" s="7">
        <f>IFERROR(__xludf.DUMMYFUNCTION("""COMPUTED_VALUE"""),0.441176470588235)</f>
        <v>0.4411764706</v>
      </c>
    </row>
    <row r="13995">
      <c r="A13995" s="10" t="s">
        <v>15434</v>
      </c>
      <c r="B13995" s="7" t="str">
        <f>IFERROR(__xludf.DUMMYFUNCTION("SPLIT(A13995,"" "")"),"CN(C)Cc1cnc2cccc(N(C)CCN(C)CC(C)(C)C)c2c1")</f>
        <v>CN(C)Cc1cnc2cccc(N(C)CCN(C)CC(C)(C)C)c2c1</v>
      </c>
      <c r="C13995" s="7">
        <f>IFERROR(__xludf.DUMMYFUNCTION("""COMPUTED_VALUE"""),7.7513175)</f>
        <v>7.7513175</v>
      </c>
      <c r="D13995" s="7">
        <f>IFERROR(__xludf.DUMMYFUNCTION("""COMPUTED_VALUE"""),0.346153846153846)</f>
        <v>0.3461538462</v>
      </c>
    </row>
    <row r="13996">
      <c r="A13996" s="10" t="s">
        <v>15435</v>
      </c>
      <c r="B13996" s="7" t="str">
        <f>IFERROR(__xludf.DUMMYFUNCTION("SPLIT(A13996,"" "")"),"Cc1ccccc1N(CC1=C(N(C)Cc2ccccn2)CC=CN1)C(C)C")</f>
        <v>Cc1ccccc1N(CC1=C(N(C)Cc2ccccn2)CC=CN1)C(C)C</v>
      </c>
      <c r="C13996" s="7">
        <f>IFERROR(__xludf.DUMMYFUNCTION("""COMPUTED_VALUE"""),7.7513175)</f>
        <v>7.7513175</v>
      </c>
      <c r="D13996" s="7">
        <f>IFERROR(__xludf.DUMMYFUNCTION("""COMPUTED_VALUE"""),0.392857142857142)</f>
        <v>0.3928571429</v>
      </c>
    </row>
    <row r="13997">
      <c r="A13997" s="10" t="s">
        <v>15436</v>
      </c>
      <c r="B13997" s="7" t="str">
        <f>IFERROR(__xludf.DUMMYFUNCTION("SPLIT(A13997,"" "")"),"Cc1cnc(CN(C)CC2=CCC=C(N(C)Cc3ccccn3)N2)c(C)c1")</f>
        <v>Cc1cnc(CN(C)CC2=CCC=C(N(C)Cc3ccccn3)N2)c(C)c1</v>
      </c>
      <c r="C13997" s="7">
        <f>IFERROR(__xludf.DUMMYFUNCTION("""COMPUTED_VALUE"""),7.751315)</f>
        <v>7.751315</v>
      </c>
      <c r="D13997" s="7">
        <f>IFERROR(__xludf.DUMMYFUNCTION("""COMPUTED_VALUE"""),0.379310344827586)</f>
        <v>0.3793103448</v>
      </c>
    </row>
    <row r="13998">
      <c r="A13998" s="10" t="s">
        <v>15437</v>
      </c>
      <c r="B13998" s="7" t="str">
        <f>IFERROR(__xludf.DUMMYFUNCTION("SPLIT(A13998,"" "")"),"Cc1ccc(-c2ccc(CNCc3ccccn3)cc2)nc1")</f>
        <v>Cc1ccc(-c2ccc(CNCc3ccccn3)cc2)nc1</v>
      </c>
      <c r="C13998" s="7">
        <f>IFERROR(__xludf.DUMMYFUNCTION("""COMPUTED_VALUE"""),7.7513137)</f>
        <v>7.7513137</v>
      </c>
      <c r="D13998" s="7">
        <f>IFERROR(__xludf.DUMMYFUNCTION("""COMPUTED_VALUE"""),0.463414634146341)</f>
        <v>0.4634146341</v>
      </c>
    </row>
    <row r="13999">
      <c r="A13999" s="10" t="s">
        <v>15438</v>
      </c>
      <c r="B13999" s="7" t="str">
        <f>IFERROR(__xludf.DUMMYFUNCTION("SPLIT(A13999,"" "")"),"CN(Cc1cccc(Cl)n1)C1CCCCC1N(C)c1cccc2cc(Cl)c(Cl)nc12")</f>
        <v>CN(Cc1cccc(Cl)n1)C1CCCCC1N(C)c1cccc2cc(Cl)c(Cl)nc12</v>
      </c>
      <c r="C13999" s="7">
        <f>IFERROR(__xludf.DUMMYFUNCTION("""COMPUTED_VALUE"""),7.751312)</f>
        <v>7.751312</v>
      </c>
      <c r="D13999" s="7">
        <f>IFERROR(__xludf.DUMMYFUNCTION("""COMPUTED_VALUE"""),0.482758620689655)</f>
        <v>0.4827586207</v>
      </c>
    </row>
    <row r="14000">
      <c r="A14000" s="10" t="s">
        <v>15439</v>
      </c>
      <c r="B14000" s="7" t="str">
        <f>IFERROR(__xludf.DUMMYFUNCTION("SPLIT(A14000,"" "")"),"CC1=CC(N(Cc2ccccn2)C2CCC(N(C)c3ccc4ncccc4c3)CC2)Cc2ncccc21")</f>
        <v>CC1=CC(N(Cc2ccccn2)C2CCC(N(C)c3ccc4ncccc4c3)CC2)Cc2ncccc21</v>
      </c>
      <c r="C14000" s="7">
        <f>IFERROR(__xludf.DUMMYFUNCTION("""COMPUTED_VALUE"""),7.75131)</f>
        <v>7.75131</v>
      </c>
      <c r="D14000" s="7">
        <f>IFERROR(__xludf.DUMMYFUNCTION("""COMPUTED_VALUE"""),0.333333333333333)</f>
        <v>0.3333333333</v>
      </c>
    </row>
    <row r="14001">
      <c r="A14001" s="10" t="s">
        <v>15440</v>
      </c>
      <c r="B14001" s="7" t="str">
        <f>IFERROR(__xludf.DUMMYFUNCTION("SPLIT(A14001,"" "")"),"Cc1cccnc1CN(Cc1cccc(N)n1)Cc1cccc(N(C)C)n1")</f>
        <v>Cc1cccnc1CN(Cc1cccc(N)n1)Cc1cccc(N(C)C)n1</v>
      </c>
      <c r="C14001" s="7">
        <f>IFERROR(__xludf.DUMMYFUNCTION("""COMPUTED_VALUE"""),7.75131)</f>
        <v>7.75131</v>
      </c>
      <c r="D14001" s="7">
        <f>IFERROR(__xludf.DUMMYFUNCTION("""COMPUTED_VALUE"""),0.347826086956521)</f>
        <v>0.347826087</v>
      </c>
    </row>
    <row r="14002">
      <c r="A14002" s="10" t="s">
        <v>15441</v>
      </c>
      <c r="B14002" s="7" t="str">
        <f>IFERROR(__xludf.DUMMYFUNCTION("SPLIT(A14002,"" "")"),"CN(Cc1ccccn1)C1C=CNC(C(C)(C)c2cccc(N=Cc3ccccn3)c2)=C1")</f>
        <v>CN(Cc1ccccn1)C1C=CNC(C(C)(C)c2cccc(N=Cc3ccccn3)c2)=C1</v>
      </c>
      <c r="C14002" s="7">
        <f>IFERROR(__xludf.DUMMYFUNCTION("""COMPUTED_VALUE"""),7.751307)</f>
        <v>7.751307</v>
      </c>
      <c r="D14002" s="7">
        <f>IFERROR(__xludf.DUMMYFUNCTION("""COMPUTED_VALUE"""),0.328358208955223)</f>
        <v>0.328358209</v>
      </c>
    </row>
    <row r="14003">
      <c r="A14003" s="10" t="s">
        <v>15442</v>
      </c>
      <c r="B14003" s="7" t="str">
        <f>IFERROR(__xludf.DUMMYFUNCTION("SPLIT(A14003,"" "")"),"Cc1ccc(CN(C)C2CCCC(N(C)Cc3ncccc3-c3cccc4ncccc34)C2)nc1C")</f>
        <v>Cc1ccc(CN(C)C2CCCC(N(C)Cc3ncccc3-c3cccc4ncccc34)C2)nc1C</v>
      </c>
      <c r="C14003" s="7">
        <f>IFERROR(__xludf.DUMMYFUNCTION("""COMPUTED_VALUE"""),7.751306)</f>
        <v>7.751306</v>
      </c>
      <c r="D14003" s="7">
        <f>IFERROR(__xludf.DUMMYFUNCTION("""COMPUTED_VALUE"""),0.333333333333333)</f>
        <v>0.3333333333</v>
      </c>
    </row>
    <row r="14004">
      <c r="A14004" s="10" t="s">
        <v>15443</v>
      </c>
      <c r="B14004" s="7" t="str">
        <f>IFERROR(__xludf.DUMMYFUNCTION("SPLIT(A14004,"" "")"),"CN(Cc1cccc(C2=CCC=CN2)n1)Cc1cccc(C(C)(C)C)n1")</f>
        <v>CN(Cc1cccc(C2=CCC=CN2)n1)Cc1cccc(C(C)(C)C)n1</v>
      </c>
      <c r="C14004" s="7">
        <f>IFERROR(__xludf.DUMMYFUNCTION("""COMPUTED_VALUE"""),7.7513056)</f>
        <v>7.7513056</v>
      </c>
      <c r="D14004" s="7">
        <f>IFERROR(__xludf.DUMMYFUNCTION("""COMPUTED_VALUE"""),0.388888888888888)</f>
        <v>0.3888888889</v>
      </c>
    </row>
    <row r="14005">
      <c r="A14005" s="10" t="s">
        <v>15444</v>
      </c>
      <c r="B14005" s="7" t="str">
        <f>IFERROR(__xludf.DUMMYFUNCTION("SPLIT(A14005,"" "")"),"CC(C)C(C)N(C)Cc1cccc(-c2cccc(N=Cc3ccccn3)c2)n1")</f>
        <v>CC(C)C(C)N(C)Cc1cccc(-c2cccc(N=Cc3ccccn3)c2)n1</v>
      </c>
      <c r="C14005" s="7">
        <f>IFERROR(__xludf.DUMMYFUNCTION("""COMPUTED_VALUE"""),7.7513037)</f>
        <v>7.7513037</v>
      </c>
      <c r="D14005" s="7">
        <f>IFERROR(__xludf.DUMMYFUNCTION("""COMPUTED_VALUE"""),0.421875)</f>
        <v>0.421875</v>
      </c>
    </row>
    <row r="14006">
      <c r="A14006" s="10" t="s">
        <v>15445</v>
      </c>
      <c r="B14006" s="7" t="str">
        <f>IFERROR(__xludf.DUMMYFUNCTION("SPLIT(A14006,"" "")"),"Cc1cccc(-c2cccc(CN(Cc3ccccn3)C3CCC(N(C)c4ccc5nc(CF)ccc5c4)CC3)n2)c1")</f>
        <v>Cc1cccc(-c2cccc(CN(Cc3ccccn3)C3CCC(N(C)c4ccc5nc(CF)ccc5c4)CC3)n2)c1</v>
      </c>
      <c r="C14006" s="7">
        <f>IFERROR(__xludf.DUMMYFUNCTION("""COMPUTED_VALUE"""),7.7513013)</f>
        <v>7.7513013</v>
      </c>
      <c r="D14006" s="7">
        <f>IFERROR(__xludf.DUMMYFUNCTION("""COMPUTED_VALUE"""),0.397260273972602)</f>
        <v>0.397260274</v>
      </c>
    </row>
    <row r="14007">
      <c r="A14007" s="10" t="s">
        <v>15446</v>
      </c>
      <c r="B14007" s="7" t="str">
        <f>IFERROR(__xludf.DUMMYFUNCTION("SPLIT(A14007,"" "")"),"Cc1cc(CN(C)Cc2ccc(F)cn2)nc(C)c1N(C)C1CCCCC1N(C)c1ccc2ccc(CF)nc2c1")</f>
        <v>Cc1cc(CN(C)Cc2ccc(F)cn2)nc(C)c1N(C)C1CCCCC1N(C)c1ccc2ccc(CF)nc2c1</v>
      </c>
      <c r="C14007" s="7">
        <f>IFERROR(__xludf.DUMMYFUNCTION("""COMPUTED_VALUE"""),7.751298)</f>
        <v>7.751298</v>
      </c>
      <c r="D14007" s="7">
        <f>IFERROR(__xludf.DUMMYFUNCTION("""COMPUTED_VALUE"""),0.402985074626865)</f>
        <v>0.4029850746</v>
      </c>
    </row>
    <row r="14008">
      <c r="A14008" s="10" t="s">
        <v>15447</v>
      </c>
      <c r="B14008" s="7" t="str">
        <f>IFERROR(__xludf.DUMMYFUNCTION("SPLIT(A14008,"" "")"),"Cc1cnc(CN(C)Cc2cccc(CN(Cc3nc(C)c(C)cc3C)Cc3ncc(C)c(C)c3C)n2)c(C)c1")</f>
        <v>Cc1cnc(CN(C)Cc2cccc(CN(Cc3nc(C)c(C)cc3C)Cc3ncc(C)c(C)c3C)n2)c(C)c1</v>
      </c>
      <c r="C14008" s="7">
        <f>IFERROR(__xludf.DUMMYFUNCTION("""COMPUTED_VALUE"""),7.7512937)</f>
        <v>7.7512937</v>
      </c>
      <c r="D14008" s="7">
        <f>IFERROR(__xludf.DUMMYFUNCTION("""COMPUTED_VALUE"""),0.333333333333333)</f>
        <v>0.3333333333</v>
      </c>
    </row>
    <row r="14009">
      <c r="A14009" s="10" t="s">
        <v>15448</v>
      </c>
      <c r="B14009" s="7" t="str">
        <f>IFERROR(__xludf.DUMMYFUNCTION("SPLIT(A14009,"" "")"),"Fc1ccccc1CN(Cc1ccccn1)Cc1cccc(-c2ccccc2NCc2ccccn2)n1")</f>
        <v>Fc1ccccc1CN(Cc1ccccn1)Cc1cccc(-c2ccccc2NCc2ccccn2)n1</v>
      </c>
      <c r="C14009" s="7">
        <f>IFERROR(__xludf.DUMMYFUNCTION("""COMPUTED_VALUE"""),7.7512817)</f>
        <v>7.7512817</v>
      </c>
      <c r="D14009" s="7">
        <f>IFERROR(__xludf.DUMMYFUNCTION("""COMPUTED_VALUE"""),0.436363636363636)</f>
        <v>0.4363636364</v>
      </c>
    </row>
    <row r="14010">
      <c r="A14010" s="10" t="s">
        <v>15449</v>
      </c>
      <c r="B14010" s="7" t="str">
        <f>IFERROR(__xludf.DUMMYFUNCTION("SPLIT(A14010,"" "")"),"Cc1cccc(N(CC2=CCC(N(C)Cc3ccccn3)=CN2)C(C)C)c1")</f>
        <v>Cc1cccc(N(CC2=CCC(N(C)Cc3ccccn3)=CN2)C(C)C)c1</v>
      </c>
      <c r="C14010" s="7">
        <f>IFERROR(__xludf.DUMMYFUNCTION("""COMPUTED_VALUE"""),7.7512813)</f>
        <v>7.7512813</v>
      </c>
      <c r="D14010" s="7">
        <f>IFERROR(__xludf.DUMMYFUNCTION("""COMPUTED_VALUE"""),0.38095238095238)</f>
        <v>0.380952381</v>
      </c>
    </row>
    <row r="14011">
      <c r="A14011" s="10" t="s">
        <v>15450</v>
      </c>
      <c r="B14011" s="7" t="str">
        <f>IFERROR(__xludf.DUMMYFUNCTION("SPLIT(A14011,"" "")"),"Cc1cnc(CN(C)C2=CCC=C(CN(C)Cc3ccccn3)N2)c(C)c1")</f>
        <v>Cc1cnc(CN(C)C2=CCC=C(CN(C)Cc3ccccn3)N2)c(C)c1</v>
      </c>
      <c r="C14011" s="7">
        <f>IFERROR(__xludf.DUMMYFUNCTION("""COMPUTED_VALUE"""),7.7512717)</f>
        <v>7.7512717</v>
      </c>
      <c r="D14011" s="7">
        <f>IFERROR(__xludf.DUMMYFUNCTION("""COMPUTED_VALUE"""),0.366666666666666)</f>
        <v>0.3666666667</v>
      </c>
    </row>
    <row r="14012">
      <c r="A14012" s="10" t="s">
        <v>15451</v>
      </c>
      <c r="B14012" s="7" t="str">
        <f>IFERROR(__xludf.DUMMYFUNCTION("SPLIT(A14012,"" "")"),"Cc1cc(C)c(C)c(CN(C)C2=CCC=C(CN(C)Cc3ncccc3C)N2)n1")</f>
        <v>Cc1cc(C)c(C)c(CN(C)C2=CCC=C(CN(C)Cc3ncccc3C)N2)n1</v>
      </c>
      <c r="C14012" s="7">
        <f>IFERROR(__xludf.DUMMYFUNCTION("""COMPUTED_VALUE"""),7.751271)</f>
        <v>7.751271</v>
      </c>
      <c r="D14012" s="7">
        <f>IFERROR(__xludf.DUMMYFUNCTION("""COMPUTED_VALUE"""),0.25)</f>
        <v>0.25</v>
      </c>
    </row>
    <row r="14013">
      <c r="A14013" s="10" t="s">
        <v>15452</v>
      </c>
      <c r="B14013" s="7" t="str">
        <f>IFERROR(__xludf.DUMMYFUNCTION("SPLIT(A14013,"" "")"),"CC(C)N(C)CCN(C)c1ccc2ncccc2c1")</f>
        <v>CC(C)N(C)CCN(C)c1ccc2ncccc2c1</v>
      </c>
      <c r="C14013" s="7">
        <f>IFERROR(__xludf.DUMMYFUNCTION("""COMPUTED_VALUE"""),7.751268)</f>
        <v>7.751268</v>
      </c>
      <c r="D14013" s="7">
        <f>IFERROR(__xludf.DUMMYFUNCTION("""COMPUTED_VALUE"""),0.409090909090909)</f>
        <v>0.4090909091</v>
      </c>
    </row>
    <row r="14014">
      <c r="A14014" s="10" t="s">
        <v>15453</v>
      </c>
      <c r="B14014" s="7" t="str">
        <f>IFERROR(__xludf.DUMMYFUNCTION("SPLIT(A14014,"" "")"),"Cc1nc(CN(Cc2nc(C)c(C)c(C)c2C)C2CCCCC2N(C)c2ccc3nc(CN(C)C)ccc3c2)c(C)c(C)c1C")</f>
        <v>Cc1nc(CN(Cc2nc(C)c(C)c(C)c2C)C2CCCCC2N(C)c2ccc3nc(CN(C)C)ccc3c2)c(C)c(C)c1C</v>
      </c>
      <c r="C14014" s="7">
        <f>IFERROR(__xludf.DUMMYFUNCTION("""COMPUTED_VALUE"""),7.7512655)</f>
        <v>7.7512655</v>
      </c>
      <c r="D14014" s="7">
        <f>IFERROR(__xludf.DUMMYFUNCTION("""COMPUTED_VALUE"""),0.338461538461538)</f>
        <v>0.3384615385</v>
      </c>
    </row>
    <row r="14015">
      <c r="A14015" s="10" t="s">
        <v>15454</v>
      </c>
      <c r="B14015" s="7" t="str">
        <f>IFERROR(__xludf.DUMMYFUNCTION("SPLIT(A14015,"" "")"),"Cc1cccnc1CN(C)C1=CCC=CN1")</f>
        <v>Cc1cccnc1CN(C)C1=CCC=CN1</v>
      </c>
      <c r="C14015" s="7">
        <f>IFERROR(__xludf.DUMMYFUNCTION("""COMPUTED_VALUE"""),7.7512646)</f>
        <v>7.7512646</v>
      </c>
      <c r="D14015" s="7">
        <f>IFERROR(__xludf.DUMMYFUNCTION("""COMPUTED_VALUE"""),0.403846153846153)</f>
        <v>0.4038461538</v>
      </c>
    </row>
    <row r="14016">
      <c r="A14016" s="10" t="s">
        <v>15455</v>
      </c>
      <c r="B14016" s="7" t="str">
        <f>IFERROR(__xludf.DUMMYFUNCTION("SPLIT(A14016,"" "")"),"Cc1cc(CN(C)C2=CCC=C(CN(C)Cc3ccccn3)N2)nc(C)c1C")</f>
        <v>Cc1cc(CN(C)C2=CCC=C(CN(C)Cc3ccccn3)N2)nc(C)c1C</v>
      </c>
      <c r="C14016" s="7">
        <f>IFERROR(__xludf.DUMMYFUNCTION("""COMPUTED_VALUE"""),7.751257)</f>
        <v>7.751257</v>
      </c>
      <c r="D14016" s="7">
        <f>IFERROR(__xludf.DUMMYFUNCTION("""COMPUTED_VALUE"""),0.389830508474576)</f>
        <v>0.3898305085</v>
      </c>
    </row>
    <row r="14017">
      <c r="A14017" s="10" t="s">
        <v>15456</v>
      </c>
      <c r="B14017" s="7" t="str">
        <f>IFERROR(__xludf.DUMMYFUNCTION("SPLIT(A14017,"" "")"),"CC(C)N(C)CCN(C)c1ccc2cccnc2c1")</f>
        <v>CC(C)N(C)CCN(C)c1ccc2cccnc2c1</v>
      </c>
      <c r="C14017" s="7">
        <f>IFERROR(__xludf.DUMMYFUNCTION("""COMPUTED_VALUE"""),7.7512493)</f>
        <v>7.7512493</v>
      </c>
      <c r="D14017" s="7">
        <f>IFERROR(__xludf.DUMMYFUNCTION("""COMPUTED_VALUE"""),0.4)</f>
        <v>0.4</v>
      </c>
    </row>
    <row r="14018">
      <c r="A14018" s="10" t="s">
        <v>15457</v>
      </c>
      <c r="B14018" s="7" t="str">
        <f>IFERROR(__xludf.DUMMYFUNCTION("SPLIT(A14018,"" "")"),"Cc1cnc(CN(C)C)c(C)c1C")</f>
        <v>Cc1cnc(CN(C)C)c(C)c1C</v>
      </c>
      <c r="C14018" s="7">
        <f>IFERROR(__xludf.DUMMYFUNCTION("""COMPUTED_VALUE"""),7.751246)</f>
        <v>7.751246</v>
      </c>
      <c r="D14018" s="7">
        <f>IFERROR(__xludf.DUMMYFUNCTION("""COMPUTED_VALUE"""),0.333333333333333)</f>
        <v>0.3333333333</v>
      </c>
    </row>
    <row r="14019">
      <c r="A14019" s="10" t="s">
        <v>15458</v>
      </c>
      <c r="B14019" s="7" t="str">
        <f>IFERROR(__xludf.DUMMYFUNCTION("SPLIT(A14019,"" "")"),"Cc1cccnc1CN(Cc1cccnc1F)Cc1ncccc1N(C)C")</f>
        <v>Cc1cccnc1CN(Cc1cccnc1F)Cc1ncccc1N(C)C</v>
      </c>
      <c r="C14019" s="7">
        <f>IFERROR(__xludf.DUMMYFUNCTION("""COMPUTED_VALUE"""),7.751244)</f>
        <v>7.751244</v>
      </c>
      <c r="D14019" s="7">
        <f>IFERROR(__xludf.DUMMYFUNCTION("""COMPUTED_VALUE"""),0.313725490196078)</f>
        <v>0.3137254902</v>
      </c>
    </row>
    <row r="14020">
      <c r="A14020" s="10" t="s">
        <v>15459</v>
      </c>
      <c r="B14020" s="7" t="str">
        <f>IFERROR(__xludf.DUMMYFUNCTION("SPLIT(A14020,"" "")"),"Cc1cccc(CN(C)C2=C(CN(Cc3ccccn3)Cc3nc(C)c(C)c(C)c3C)NC=CC2)n1")</f>
        <v>Cc1cccc(CN(C)C2=C(CN(Cc3ccccn3)Cc3nc(C)c(C)c(C)c3C)NC=CC2)n1</v>
      </c>
      <c r="C14020" s="7">
        <f>IFERROR(__xludf.DUMMYFUNCTION("""COMPUTED_VALUE"""),7.7512417)</f>
        <v>7.7512417</v>
      </c>
      <c r="D14020" s="7">
        <f>IFERROR(__xludf.DUMMYFUNCTION("""COMPUTED_VALUE"""),0.388059701492537)</f>
        <v>0.3880597015</v>
      </c>
    </row>
    <row r="14021">
      <c r="A14021" s="10" t="s">
        <v>15460</v>
      </c>
      <c r="B14021" s="7" t="str">
        <f>IFERROR(__xludf.DUMMYFUNCTION("SPLIT(A14021,"" "")"),"CN(CCCN(C)c1ccc2ncc(CF)cc2c1)Cc1ccccn1")</f>
        <v>CN(CCCN(C)c1ccc2ncc(CF)cc2c1)Cc1ccccn1</v>
      </c>
      <c r="C14021" s="7">
        <f>IFERROR(__xludf.DUMMYFUNCTION("""COMPUTED_VALUE"""),7.7512283)</f>
        <v>7.7512283</v>
      </c>
      <c r="D14021" s="7">
        <f>IFERROR(__xludf.DUMMYFUNCTION("""COMPUTED_VALUE"""),0.385964912280701)</f>
        <v>0.3859649123</v>
      </c>
    </row>
    <row r="14022">
      <c r="A14022" s="10" t="s">
        <v>15461</v>
      </c>
      <c r="B14022" s="7" t="str">
        <f>IFERROR(__xludf.DUMMYFUNCTION("SPLIT(A14022,"" "")"),"CNCc1ccc2cccc(N(C)CCN(C)C(C)(C)c3ccccn3)c2n1")</f>
        <v>CNCc1ccc2cccc(N(C)CCN(C)C(C)(C)c3ccccn3)c2n1</v>
      </c>
      <c r="C14022" s="7">
        <f>IFERROR(__xludf.DUMMYFUNCTION("""COMPUTED_VALUE"""),7.7512283)</f>
        <v>7.7512283</v>
      </c>
      <c r="D14022" s="7">
        <f>IFERROR(__xludf.DUMMYFUNCTION("""COMPUTED_VALUE"""),0.461538461538461)</f>
        <v>0.4615384615</v>
      </c>
    </row>
    <row r="14023">
      <c r="A14023" s="10" t="s">
        <v>15462</v>
      </c>
      <c r="B14023" s="7" t="str">
        <f>IFERROR(__xludf.DUMMYFUNCTION("SPLIT(A14023,"" "")"),"CCN(Cc1ccccn1)Cc1ncccc1N(C)Cc1nc(C)c(C)c(C)c1C")</f>
        <v>CCN(Cc1ccccn1)Cc1ncccc1N(C)Cc1nc(C)c(C)c(C)c1C</v>
      </c>
      <c r="C14023" s="7">
        <f>IFERROR(__xludf.DUMMYFUNCTION("""COMPUTED_VALUE"""),7.7512274)</f>
        <v>7.7512274</v>
      </c>
      <c r="D14023" s="7">
        <f>IFERROR(__xludf.DUMMYFUNCTION("""COMPUTED_VALUE"""),0.415094339622641)</f>
        <v>0.4150943396</v>
      </c>
    </row>
    <row r="14024">
      <c r="A14024" s="10" t="s">
        <v>15463</v>
      </c>
      <c r="B14024" s="7" t="str">
        <f>IFERROR(__xludf.DUMMYFUNCTION("SPLIT(A14024,"" "")"),"Cc1nc(CN(Cc2ccc([SiH3])c([SiH3])n2)Cc2ccc([SiH3])c([SiH3])n2)c(C)n1C")</f>
        <v>Cc1nc(CN(Cc2ccc([SiH3])c([SiH3])n2)Cc2ccc([SiH3])c([SiH3])n2)c(C)n1C</v>
      </c>
      <c r="C14024" s="7">
        <f>IFERROR(__xludf.DUMMYFUNCTION("""COMPUTED_VALUE"""),7.751224)</f>
        <v>7.751224</v>
      </c>
      <c r="D14024" s="7">
        <f>IFERROR(__xludf.DUMMYFUNCTION("""COMPUTED_VALUE"""),0.311111111111111)</f>
        <v>0.3111111111</v>
      </c>
    </row>
    <row r="14025">
      <c r="A14025" s="10" t="s">
        <v>15464</v>
      </c>
      <c r="B14025" s="7" t="str">
        <f>IFERROR(__xludf.DUMMYFUNCTION("SPLIT(A14025,"" "")"),"Cc1cccc(CN(CC2=CCC=C(N(C)Cc3cccc(C)n3)N2)Cc2ccccn2)n1")</f>
        <v>Cc1cccc(CN(CC2=CCC=C(N(C)Cc3cccc(C)n3)N2)Cc2ccccn2)n1</v>
      </c>
      <c r="C14025" s="7">
        <f>IFERROR(__xludf.DUMMYFUNCTION("""COMPUTED_VALUE"""),7.7512236)</f>
        <v>7.7512236</v>
      </c>
      <c r="D14025" s="7">
        <f>IFERROR(__xludf.DUMMYFUNCTION("""COMPUTED_VALUE"""),0.49090909090909)</f>
        <v>0.4909090909</v>
      </c>
    </row>
    <row r="14026">
      <c r="A14026" s="10" t="s">
        <v>15465</v>
      </c>
      <c r="B14026" s="7" t="str">
        <f>IFERROR(__xludf.DUMMYFUNCTION("SPLIT(A14026,"" "")"),"COC(=O)c1cccc(CN(Cc2ccccn2)C2CCC(N(C)c3ccc4nc(CN(C)C)ccc4c3)CC2)n1")</f>
        <v>COC(=O)c1cccc(CN(Cc2ccccn2)C2CCC(N(C)c3ccc4nc(CN(C)C)ccc4c3)CC2)n1</v>
      </c>
      <c r="C14026" s="7">
        <f>IFERROR(__xludf.DUMMYFUNCTION("""COMPUTED_VALUE"""),7.75122)</f>
        <v>7.75122</v>
      </c>
      <c r="D14026" s="7">
        <f>IFERROR(__xludf.DUMMYFUNCTION("""COMPUTED_VALUE"""),0.35820895522388)</f>
        <v>0.3582089552</v>
      </c>
    </row>
    <row r="14027">
      <c r="A14027" s="10" t="s">
        <v>15466</v>
      </c>
      <c r="B14027" s="7" t="str">
        <f>IFERROR(__xludf.DUMMYFUNCTION("SPLIT(A14027,"" "")"),"Cc1ncccc1CN(C)CC1=CCC=C(N(C)Cc2nc(C)c(C)c(C)c2C)N1")</f>
        <v>Cc1ncccc1CN(C)CC1=CCC=C(N(C)Cc2nc(C)c(C)c(C)c2C)N1</v>
      </c>
      <c r="C14027" s="7">
        <f>IFERROR(__xludf.DUMMYFUNCTION("""COMPUTED_VALUE"""),7.751216)</f>
        <v>7.751216</v>
      </c>
      <c r="D14027" s="7">
        <f>IFERROR(__xludf.DUMMYFUNCTION("""COMPUTED_VALUE"""),0.322033898305084)</f>
        <v>0.3220338983</v>
      </c>
    </row>
    <row r="14028">
      <c r="A14028" s="10" t="s">
        <v>15467</v>
      </c>
      <c r="B14028" s="7" t="str">
        <f>IFERROR(__xludf.DUMMYFUNCTION("SPLIT(A14028,"" "")"),"Cc1cc(CN(C)c2cncc(CN(Cc3ccccn3)Cc3ccccn3)c2)cnc1C")</f>
        <v>Cc1cc(CN(C)c2cncc(CN(Cc3ccccn3)Cc3ccccn3)c2)cnc1C</v>
      </c>
      <c r="C14028" s="7">
        <f>IFERROR(__xludf.DUMMYFUNCTION("""COMPUTED_VALUE"""),7.751207)</f>
        <v>7.751207</v>
      </c>
      <c r="D14028" s="7">
        <f>IFERROR(__xludf.DUMMYFUNCTION("""COMPUTED_VALUE"""),0.444444444444444)</f>
        <v>0.4444444444</v>
      </c>
    </row>
    <row r="14029">
      <c r="A14029" s="10" t="s">
        <v>15468</v>
      </c>
      <c r="B14029" s="7" t="str">
        <f>IFERROR(__xludf.DUMMYFUNCTION("SPLIT(A14029,"" "")"),"Cc1cccc(N(Cc2ccccn2)C2CCCCC2N(C)c2cccc3ncccc23)c1C")</f>
        <v>Cc1cccc(N(Cc2ccccn2)C2CCCCC2N(C)c2cccc3ncccc23)c1C</v>
      </c>
      <c r="C14029" s="7">
        <f>IFERROR(__xludf.DUMMYFUNCTION("""COMPUTED_VALUE"""),7.751204)</f>
        <v>7.751204</v>
      </c>
      <c r="D14029" s="7">
        <f>IFERROR(__xludf.DUMMYFUNCTION("""COMPUTED_VALUE"""),0.464285714285714)</f>
        <v>0.4642857143</v>
      </c>
    </row>
    <row r="14030">
      <c r="A14030" s="10" t="s">
        <v>15469</v>
      </c>
      <c r="B14030" s="7" t="str">
        <f>IFERROR(__xludf.DUMMYFUNCTION("SPLIT(A14030,"" "")"),"CC1=CC(C)C(C)(c2cc(CN(Cc3ccccn3)Cc3ccc(-c4cccc(N(C)C)c4)cn3)ccn2)C(C)(C)C1")</f>
        <v>CC1=CC(C)C(C)(c2cc(CN(Cc3ccccn3)Cc3ccc(-c4cccc(N(C)C)c4)cn3)ccn2)C(C)(C)C1</v>
      </c>
      <c r="C14030" s="7">
        <f>IFERROR(__xludf.DUMMYFUNCTION("""COMPUTED_VALUE"""),7.7512016)</f>
        <v>7.7512016</v>
      </c>
      <c r="D14030" s="7">
        <f>IFERROR(__xludf.DUMMYFUNCTION("""COMPUTED_VALUE"""),0.308641975308641)</f>
        <v>0.3086419753</v>
      </c>
    </row>
    <row r="14031">
      <c r="A14031" s="10" t="s">
        <v>15470</v>
      </c>
      <c r="B14031" s="7" t="str">
        <f>IFERROR(__xludf.DUMMYFUNCTION("SPLIT(A14031,"" "")"),"Cc1ccc(CN(CC2=CCC=C(N(C)Cc3ccccn3)N2)Cc2ncc(C)cc2C)nc1")</f>
        <v>Cc1ccc(CN(CC2=CCC=C(N(C)Cc3ccccn3)N2)Cc2ncc(C)cc2C)nc1</v>
      </c>
      <c r="C14031" s="7">
        <f>IFERROR(__xludf.DUMMYFUNCTION("""COMPUTED_VALUE"""),7.751186)</f>
        <v>7.751186</v>
      </c>
      <c r="D14031" s="7">
        <f>IFERROR(__xludf.DUMMYFUNCTION("""COMPUTED_VALUE"""),0.421875)</f>
        <v>0.421875</v>
      </c>
    </row>
    <row r="14032">
      <c r="A14032" s="10" t="s">
        <v>15471</v>
      </c>
      <c r="B14032" s="7" t="str">
        <f>IFERROR(__xludf.DUMMYFUNCTION("SPLIT(A14032,"" "")"),"CC1=CC(C)C(C)CC1(C)N(Cc1ccccn1)Cc1ccc(-c2cccc(N=Cc3ccccn3)c2)cn1")</f>
        <v>CC1=CC(C)C(C)CC1(C)N(Cc1ccccn1)Cc1ccc(-c2cccc(N=Cc3ccccn3)c2)cn1</v>
      </c>
      <c r="C14032" s="7">
        <f>IFERROR(__xludf.DUMMYFUNCTION("""COMPUTED_VALUE"""),7.751184)</f>
        <v>7.751184</v>
      </c>
      <c r="D14032" s="7">
        <f>IFERROR(__xludf.DUMMYFUNCTION("""COMPUTED_VALUE"""),0.301369863013698)</f>
        <v>0.301369863</v>
      </c>
    </row>
    <row r="14033">
      <c r="A14033" s="10" t="s">
        <v>15472</v>
      </c>
      <c r="B14033" s="7" t="str">
        <f>IFERROR(__xludf.DUMMYFUNCTION("SPLIT(A14033,"" "")"),"CC1=CCC2(C(C)=C(C)C34C(=CNC(C(C)C)=C3C=C(c3ccc(CN(Cc5ccccn5)Cc5ccccn5)cn3)C3(CC(C)=C(C)CC3C)C4C)C2c2cc(CN(Cc3ccccn3)Cc3ccccn3)ccn2)C(C)C1")</f>
        <v>CC1=CCC2(C(C)=C(C)C34C(=CNC(C(C)C)=C3C=C(c3ccc(CN(Cc5ccccn5)Cc5ccccn5)cn3)C3(CC(C)=C(C)CC3C)C4C)C2c2cc(CN(Cc3ccccn3)Cc3ccccn3)ccn2)C(C)C1</v>
      </c>
      <c r="C14033" s="7">
        <f>IFERROR(__xludf.DUMMYFUNCTION("""COMPUTED_VALUE"""),7.751179)</f>
        <v>7.751179</v>
      </c>
      <c r="D14033" s="7">
        <f>IFERROR(__xludf.DUMMYFUNCTION("""COMPUTED_VALUE"""),0.24)</f>
        <v>0.24</v>
      </c>
    </row>
    <row r="14034">
      <c r="A14034" s="10" t="s">
        <v>15473</v>
      </c>
      <c r="B14034" s="7" t="str">
        <f>IFERROR(__xludf.DUMMYFUNCTION("SPLIT(A14034,"" "")"),"Cc1cncc(CN(C)Cc2cc(N(C)Cc3ccccn3)ccn2)c1")</f>
        <v>Cc1cncc(CN(C)Cc2cc(N(C)Cc3ccccn3)ccn2)c1</v>
      </c>
      <c r="C14034" s="7">
        <f>IFERROR(__xludf.DUMMYFUNCTION("""COMPUTED_VALUE"""),7.7511744)</f>
        <v>7.7511744</v>
      </c>
      <c r="D14034" s="7">
        <f>IFERROR(__xludf.DUMMYFUNCTION("""COMPUTED_VALUE"""),0.431372549019607)</f>
        <v>0.431372549</v>
      </c>
    </row>
    <row r="14035">
      <c r="A14035" s="10" t="s">
        <v>15474</v>
      </c>
      <c r="B14035" s="7" t="str">
        <f>IFERROR(__xludf.DUMMYFUNCTION("SPLIT(A14035,"" "")"),"CNCc1nc(C(C)(C)C)c(C)c(C)c1C")</f>
        <v>CNCc1nc(C(C)(C)C)c(C)c(C)c1C</v>
      </c>
      <c r="C14035" s="7">
        <f>IFERROR(__xludf.DUMMYFUNCTION("""COMPUTED_VALUE"""),7.751172)</f>
        <v>7.751172</v>
      </c>
      <c r="D14035" s="7">
        <f>IFERROR(__xludf.DUMMYFUNCTION("""COMPUTED_VALUE"""),0.175)</f>
        <v>0.175</v>
      </c>
    </row>
    <row r="14036">
      <c r="A14036" s="10" t="s">
        <v>15475</v>
      </c>
      <c r="B14036" s="7" t="str">
        <f>IFERROR(__xludf.DUMMYFUNCTION("SPLIT(A14036,"" "")"),"Cc1cc(C)c(C)c(C(C)(C)c2ncccc2CN(Cc2ccccn2)Cc2ccccn2)c1C")</f>
        <v>Cc1cc(C)c(C)c(C(C)(C)c2ncccc2CN(Cc2ccccn2)Cc2ccccn2)c1C</v>
      </c>
      <c r="C14036" s="7">
        <f>IFERROR(__xludf.DUMMYFUNCTION("""COMPUTED_VALUE"""),7.751169)</f>
        <v>7.751169</v>
      </c>
      <c r="D14036" s="7">
        <f>IFERROR(__xludf.DUMMYFUNCTION("""COMPUTED_VALUE"""),0.476190476190476)</f>
        <v>0.4761904762</v>
      </c>
    </row>
    <row r="14037">
      <c r="A14037" s="10" t="s">
        <v>15476</v>
      </c>
      <c r="B14037" s="7" t="str">
        <f>IFERROR(__xludf.DUMMYFUNCTION("SPLIT(A14037,"" "")"),"Cc1ccc(N=Cc2ccccn2)cc1CN(C)Cc1ccccn1")</f>
        <v>Cc1ccc(N=Cc2ccccn2)cc1CN(C)Cc1ccccn1</v>
      </c>
      <c r="C14037" s="7">
        <f>IFERROR(__xludf.DUMMYFUNCTION("""COMPUTED_VALUE"""),7.7511663)</f>
        <v>7.7511663</v>
      </c>
      <c r="D14037" s="7">
        <f>IFERROR(__xludf.DUMMYFUNCTION("""COMPUTED_VALUE"""),0.423076923076923)</f>
        <v>0.4230769231</v>
      </c>
    </row>
    <row r="14038">
      <c r="A14038" s="10" t="s">
        <v>15477</v>
      </c>
      <c r="B14038" s="7" t="str">
        <f>IFERROR(__xludf.DUMMYFUNCTION("SPLIT(A14038,"" "")"),"Cc1cc(CN(C)CC2=CCC=C(N(C)Cc3ncccc3C)N2)cnc1C")</f>
        <v>Cc1cc(CN(C)CC2=CCC=C(N(C)Cc3ncccc3C)N2)cnc1C</v>
      </c>
      <c r="C14038" s="7">
        <f>IFERROR(__xludf.DUMMYFUNCTION("""COMPUTED_VALUE"""),7.7511606)</f>
        <v>7.7511606</v>
      </c>
      <c r="D14038" s="7">
        <f>IFERROR(__xludf.DUMMYFUNCTION("""COMPUTED_VALUE"""),0.25)</f>
        <v>0.25</v>
      </c>
    </row>
    <row r="14039">
      <c r="A14039" s="10" t="s">
        <v>15478</v>
      </c>
      <c r="B14039" s="7" t="str">
        <f>IFERROR(__xludf.DUMMYFUNCTION("SPLIT(A14039,"" "")"),"CN(c1cccc2ncccc12)C1CCCCC1N(Cc1ccccn1)Cc1cccc(C(C)(c2ccccn2)c2ccccn2)n1")</f>
        <v>CN(c1cccc2ncccc12)C1CCCCC1N(Cc1ccccn1)Cc1cccc(C(C)(c2ccccn2)c2ccccn2)n1</v>
      </c>
      <c r="C14039" s="7">
        <f>IFERROR(__xludf.DUMMYFUNCTION("""COMPUTED_VALUE"""),7.7511587)</f>
        <v>7.7511587</v>
      </c>
      <c r="D14039" s="7">
        <f>IFERROR(__xludf.DUMMYFUNCTION("""COMPUTED_VALUE"""),0.426229508196721)</f>
        <v>0.4262295082</v>
      </c>
    </row>
    <row r="14040">
      <c r="A14040" s="10" t="s">
        <v>15479</v>
      </c>
      <c r="B14040" s="7" t="str">
        <f>IFERROR(__xludf.DUMMYFUNCTION("SPLIT(A14040,"" "")"),"CN(Cc1ccc2ncccc2c1)Cc1ncccc1N(C)C1CCCCC1N(C)Cc1ccc2ncccc2c1")</f>
        <v>CN(Cc1ccc2ncccc2c1)Cc1ncccc1N(C)C1CCCCC1N(C)Cc1ccc2ncccc2c1</v>
      </c>
      <c r="C14040" s="7">
        <f>IFERROR(__xludf.DUMMYFUNCTION("""COMPUTED_VALUE"""),7.751158)</f>
        <v>7.751158</v>
      </c>
      <c r="D14040" s="7">
        <f>IFERROR(__xludf.DUMMYFUNCTION("""COMPUTED_VALUE"""),0.464285714285714)</f>
        <v>0.4642857143</v>
      </c>
    </row>
    <row r="14041">
      <c r="A14041" s="10" t="s">
        <v>15480</v>
      </c>
      <c r="B14041" s="7" t="str">
        <f>IFERROR(__xludf.DUMMYFUNCTION("SPLIT(A14041,"" "")"),"Cc1ccnc(CN(Cc2ccccn2)Cc2cccc(C3=NC(C)(C)CO3)n2)c1")</f>
        <v>Cc1ccnc(CN(Cc2ccccn2)Cc2cccc(C3=NC(C)(C)CO3)n2)c1</v>
      </c>
      <c r="C14041" s="7">
        <f>IFERROR(__xludf.DUMMYFUNCTION("""COMPUTED_VALUE"""),7.7511573)</f>
        <v>7.7511573</v>
      </c>
      <c r="D14041" s="7">
        <f>IFERROR(__xludf.DUMMYFUNCTION("""COMPUTED_VALUE"""),0.490196078431372)</f>
        <v>0.4901960784</v>
      </c>
    </row>
    <row r="14042">
      <c r="A14042" s="10" t="s">
        <v>15481</v>
      </c>
      <c r="B14042" s="7" t="str">
        <f>IFERROR(__xludf.DUMMYFUNCTION("SPLIT(A14042,"" "")"),"Cc1ccc(CN(CC2=CCC=C(N(C)Cc3ncccc3C)N2)Cc2ncccc2C)nc1")</f>
        <v>Cc1ccc(CN(CC2=CCC=C(N(C)Cc3ncccc3C)N2)Cc2ncccc2C)nc1</v>
      </c>
      <c r="C14042" s="7">
        <f>IFERROR(__xludf.DUMMYFUNCTION("""COMPUTED_VALUE"""),7.7511516)</f>
        <v>7.7511516</v>
      </c>
      <c r="D14042" s="7">
        <f>IFERROR(__xludf.DUMMYFUNCTION("""COMPUTED_VALUE"""),0.365079365079365)</f>
        <v>0.3650793651</v>
      </c>
    </row>
    <row r="14043">
      <c r="A14043" s="10" t="s">
        <v>15482</v>
      </c>
      <c r="B14043" s="7" t="str">
        <f>IFERROR(__xludf.DUMMYFUNCTION("SPLIT(A14043,"" "")"),"CN(Cc1cc(-c2ccc3ncccc3c2)ccn1)C1CCC(N(C)Cc2ccon2)CC1")</f>
        <v>CN(Cc1cc(-c2ccc3ncccc3c2)ccn1)C1CCC(N(C)Cc2ccon2)CC1</v>
      </c>
      <c r="C14043" s="7">
        <f>IFERROR(__xludf.DUMMYFUNCTION("""COMPUTED_VALUE"""),7.75115)</f>
        <v>7.75115</v>
      </c>
      <c r="D14043" s="7">
        <f>IFERROR(__xludf.DUMMYFUNCTION("""COMPUTED_VALUE"""),0.351851851851851)</f>
        <v>0.3518518519</v>
      </c>
    </row>
    <row r="14044">
      <c r="A14044" s="10" t="s">
        <v>15483</v>
      </c>
      <c r="B14044" s="7" t="str">
        <f>IFERROR(__xludf.DUMMYFUNCTION("SPLIT(A14044,"" "")"),"Cc1cccc(N(C)CC2=CCC=CN2)c1C")</f>
        <v>Cc1cccc(N(C)CC2=CCC=CN2)c1C</v>
      </c>
      <c r="C14044" s="7">
        <f>IFERROR(__xludf.DUMMYFUNCTION("""COMPUTED_VALUE"""),7.7511435)</f>
        <v>7.7511435</v>
      </c>
      <c r="D14044" s="7">
        <f>IFERROR(__xludf.DUMMYFUNCTION("""COMPUTED_VALUE"""),0.42)</f>
        <v>0.42</v>
      </c>
    </row>
    <row r="14045">
      <c r="A14045" s="10" t="s">
        <v>15484</v>
      </c>
      <c r="B14045" s="7" t="str">
        <f>IFERROR(__xludf.DUMMYFUNCTION("SPLIT(A14045,"" "")"),"CN(CCCNCc1ccccn1)c1ccc2nccc(CF)c2c1")</f>
        <v>CN(CCCNCc1ccccn1)c1ccc2nccc(CF)c2c1</v>
      </c>
      <c r="C14045" s="7">
        <f>IFERROR(__xludf.DUMMYFUNCTION("""COMPUTED_VALUE"""),7.751142)</f>
        <v>7.751142</v>
      </c>
      <c r="D14045" s="7">
        <f>IFERROR(__xludf.DUMMYFUNCTION("""COMPUTED_VALUE"""),0.411764705882352)</f>
        <v>0.4117647059</v>
      </c>
    </row>
    <row r="14046">
      <c r="A14046" s="10" t="s">
        <v>15485</v>
      </c>
      <c r="B14046" s="7" t="str">
        <f>IFERROR(__xludf.DUMMYFUNCTION("SPLIT(A14046,"" "")"),"Cc1cc(C)c(CN(C)CC2=CCC=C(N(C)Cc3ccccn3)N2)nc1C")</f>
        <v>Cc1cc(C)c(CN(C)CC2=CCC=C(N(C)Cc3ccccn3)N2)nc1C</v>
      </c>
      <c r="C14046" s="7">
        <f>IFERROR(__xludf.DUMMYFUNCTION("""COMPUTED_VALUE"""),7.7511344)</f>
        <v>7.7511344</v>
      </c>
      <c r="D14046" s="7">
        <f>IFERROR(__xludf.DUMMYFUNCTION("""COMPUTED_VALUE"""),0.379310344827586)</f>
        <v>0.3793103448</v>
      </c>
    </row>
    <row r="14047">
      <c r="A14047" s="10" t="s">
        <v>15486</v>
      </c>
      <c r="B14047" s="7" t="str">
        <f>IFERROR(__xludf.DUMMYFUNCTION("SPLIT(A14047,"" "")"),"Cc1cnccc1CN(C)CC1=CCC=C(N(C)Cc2nc(C)c(C)c(C)c2C)N1")</f>
        <v>Cc1cnccc1CN(C)CC1=CCC=C(N(C)Cc2nc(C)c(C)c(C)c2C)N1</v>
      </c>
      <c r="C14047" s="7">
        <f>IFERROR(__xludf.DUMMYFUNCTION("""COMPUTED_VALUE"""),7.751118)</f>
        <v>7.751118</v>
      </c>
      <c r="D14047" s="7">
        <f>IFERROR(__xludf.DUMMYFUNCTION("""COMPUTED_VALUE"""),0.212121212121212)</f>
        <v>0.2121212121</v>
      </c>
    </row>
    <row r="14048">
      <c r="A14048" s="10" t="s">
        <v>15487</v>
      </c>
      <c r="B14048" s="7" t="str">
        <f>IFERROR(__xludf.DUMMYFUNCTION("SPLIT(A14048,"" "")"),"CCN(C)Cc1ccc2cccc(N(C)C3CCC(N(Cc4ccc5ncccc5c4)Cc4ncccc4C)CC3)c2n1")</f>
        <v>CCN(C)Cc1ccc2cccc(N(C)C3CCC(N(Cc4ccc5ncccc5c4)Cc4ncccc4C)CC3)c2n1</v>
      </c>
      <c r="C14048" s="7">
        <f>IFERROR(__xludf.DUMMYFUNCTION("""COMPUTED_VALUE"""),7.7511106)</f>
        <v>7.7511106</v>
      </c>
      <c r="D14048" s="7">
        <f>IFERROR(__xludf.DUMMYFUNCTION("""COMPUTED_VALUE"""),0.364864864864864)</f>
        <v>0.3648648649</v>
      </c>
    </row>
    <row r="14049">
      <c r="A14049" s="10" t="s">
        <v>15488</v>
      </c>
      <c r="B14049" s="7" t="str">
        <f>IFERROR(__xludf.DUMMYFUNCTION("SPLIT(A14049,"" "")"),"CCC(C)N(C)Cc1ncccc1-c1ccc(Cl)cc1N")</f>
        <v>CCC(C)N(C)Cc1ncccc1-c1ccc(Cl)cc1N</v>
      </c>
      <c r="C14049" s="7">
        <f>IFERROR(__xludf.DUMMYFUNCTION("""COMPUTED_VALUE"""),7.7511053)</f>
        <v>7.7511053</v>
      </c>
      <c r="D14049" s="7">
        <f>IFERROR(__xludf.DUMMYFUNCTION("""COMPUTED_VALUE"""),0.285714285714285)</f>
        <v>0.2857142857</v>
      </c>
    </row>
    <row r="14050">
      <c r="A14050" s="10" t="s">
        <v>15489</v>
      </c>
      <c r="B14050" s="7" t="str">
        <f>IFERROR(__xludf.DUMMYFUNCTION("SPLIT(A14050,"" "")"),"Cc1cccc(CN(C)Cc2ncccc2N(C)Cc2cccc(C(C)(C)C)n2)n1")</f>
        <v>Cc1cccc(CN(C)Cc2ncccc2N(C)Cc2cccc(C(C)(C)C)n2)n1</v>
      </c>
      <c r="C14050" s="7">
        <f>IFERROR(__xludf.DUMMYFUNCTION("""COMPUTED_VALUE"""),7.7510943)</f>
        <v>7.7510943</v>
      </c>
      <c r="D14050" s="7">
        <f>IFERROR(__xludf.DUMMYFUNCTION("""COMPUTED_VALUE"""),0.468085106382978)</f>
        <v>0.4680851064</v>
      </c>
    </row>
    <row r="14051">
      <c r="A14051" s="10" t="s">
        <v>15490</v>
      </c>
      <c r="B14051" s="7" t="str">
        <f>IFERROR(__xludf.DUMMYFUNCTION("SPLIT(A14051,"" "")"),"Cc1cc(C)c(C)c(CN(C)CC2=C(N(C)Cc3nc(C)c(C)cc3C)CC=CN2)n1")</f>
        <v>Cc1cc(C)c(C)c(CN(C)CC2=C(N(C)Cc3nc(C)c(C)cc3C)CC=CN2)n1</v>
      </c>
      <c r="C14051" s="7">
        <f>IFERROR(__xludf.DUMMYFUNCTION("""COMPUTED_VALUE"""),7.7510853)</f>
        <v>7.7510853</v>
      </c>
      <c r="D14051" s="7">
        <f>IFERROR(__xludf.DUMMYFUNCTION("""COMPUTED_VALUE"""),0.193548387096774)</f>
        <v>0.1935483871</v>
      </c>
    </row>
    <row r="14052">
      <c r="A14052" s="10" t="s">
        <v>15491</v>
      </c>
      <c r="B14052" s="7" t="str">
        <f>IFERROR(__xludf.DUMMYFUNCTION("SPLIT(A14052,"" "")"),"Cc1cc(NCc2ccccn2)ccc1CN(C)C1CCCC(N(C)Cc2ncccc2-c2cccc3ncccc23)C1")</f>
        <v>Cc1cc(NCc2ccccn2)ccc1CN(C)C1CCCC(N(C)Cc2ncccc2-c2cccc3ncccc23)C1</v>
      </c>
      <c r="C14052" s="7">
        <f>IFERROR(__xludf.DUMMYFUNCTION("""COMPUTED_VALUE"""),7.751078)</f>
        <v>7.751078</v>
      </c>
      <c r="D14052" s="7">
        <f>IFERROR(__xludf.DUMMYFUNCTION("""COMPUTED_VALUE"""),0.323943661971831)</f>
        <v>0.323943662</v>
      </c>
    </row>
    <row r="14053">
      <c r="A14053" s="10" t="s">
        <v>15492</v>
      </c>
      <c r="B14053" s="7" t="str">
        <f>IFERROR(__xludf.DUMMYFUNCTION("SPLIT(A14053,"" "")"),"Cc1cccc(N(Cc2ccccn2)C2CCCC(N(C)c3ccc4cc(CN(C)C)cnc4c3)C2)c1")</f>
        <v>Cc1cccc(N(Cc2ccccn2)C2CCCC(N(C)c3ccc4cc(CN(C)C)cnc4c3)C2)c1</v>
      </c>
      <c r="C14053" s="7">
        <f>IFERROR(__xludf.DUMMYFUNCTION("""COMPUTED_VALUE"""),7.7510567)</f>
        <v>7.7510567</v>
      </c>
      <c r="D14053" s="7">
        <f>IFERROR(__xludf.DUMMYFUNCTION("""COMPUTED_VALUE"""),0.343283582089552)</f>
        <v>0.3432835821</v>
      </c>
    </row>
    <row r="14054">
      <c r="A14054" s="10" t="s">
        <v>15493</v>
      </c>
      <c r="B14054" s="7" t="str">
        <f>IFERROR(__xludf.DUMMYFUNCTION("SPLIT(A14054,"" "")"),"CC(C)N(Cc1cccnc1C(C)(c1ccccn1)c1ccccn1)C1CCC(N(C)c2ccc3cc(CF)cnc3c2)CC1")</f>
        <v>CC(C)N(Cc1cccnc1C(C)(c1ccccn1)c1ccccn1)C1CCC(N(C)c2ccc3cc(CF)cnc3c2)CC1</v>
      </c>
      <c r="C14054" s="7">
        <f>IFERROR(__xludf.DUMMYFUNCTION("""COMPUTED_VALUE"""),7.7510552)</f>
        <v>7.7510552</v>
      </c>
      <c r="D14054" s="7">
        <f>IFERROR(__xludf.DUMMYFUNCTION("""COMPUTED_VALUE"""),0.287671232876712)</f>
        <v>0.2876712329</v>
      </c>
    </row>
    <row r="14055">
      <c r="A14055" s="10" t="s">
        <v>15494</v>
      </c>
      <c r="B14055" s="7" t="str">
        <f>IFERROR(__xludf.DUMMYFUNCTION("SPLIT(A14055,"" "")"),"Cc1cccnc1CN(C)c1cccc(-c2cccnc2CN(C)C(C)C(C)C)c1")</f>
        <v>Cc1cccnc1CN(C)c1cccc(-c2cccnc2CN(C)C(C)C(C)C)c1</v>
      </c>
      <c r="C14055" s="7">
        <f>IFERROR(__xludf.DUMMYFUNCTION("""COMPUTED_VALUE"""),7.7510443)</f>
        <v>7.7510443</v>
      </c>
      <c r="D14055" s="7">
        <f>IFERROR(__xludf.DUMMYFUNCTION("""COMPUTED_VALUE"""),0.258620689655172)</f>
        <v>0.2586206897</v>
      </c>
    </row>
    <row r="14056">
      <c r="A14056" s="10" t="s">
        <v>15495</v>
      </c>
      <c r="B14056" s="7" t="str">
        <f>IFERROR(__xludf.DUMMYFUNCTION("SPLIT(A14056,"" "")"),"Cc1cnc(CN(C)C2=CNC(CN(C)Cc3nc(C)c(C)cc3C)=CC2)c(C)c1")</f>
        <v>Cc1cnc(CN(C)C2=CNC(CN(C)Cc3nc(C)c(C)cc3C)=CC2)c(C)c1</v>
      </c>
      <c r="C14056" s="7">
        <f>IFERROR(__xludf.DUMMYFUNCTION("""COMPUTED_VALUE"""),7.751042)</f>
        <v>7.751042</v>
      </c>
      <c r="D14056" s="7">
        <f>IFERROR(__xludf.DUMMYFUNCTION("""COMPUTED_VALUE"""),0.23728813559322)</f>
        <v>0.2372881356</v>
      </c>
    </row>
    <row r="14057">
      <c r="A14057" s="10" t="s">
        <v>15496</v>
      </c>
      <c r="B14057" s="7" t="str">
        <f>IFERROR(__xludf.DUMMYFUNCTION("SPLIT(A14057,"" "")"),"CN(Cc1cc(-c2ccccc2)ccn1)C1CCC(N(C)c2ccc3cc(CF)cnc3c2)CC1")</f>
        <v>CN(Cc1cc(-c2ccccc2)ccn1)C1CCC(N(C)c2ccc3cc(CF)cnc3c2)CC1</v>
      </c>
      <c r="C14057" s="7">
        <f>IFERROR(__xludf.DUMMYFUNCTION("""COMPUTED_VALUE"""),7.75103)</f>
        <v>7.75103</v>
      </c>
      <c r="D14057" s="7">
        <f>IFERROR(__xludf.DUMMYFUNCTION("""COMPUTED_VALUE"""),0.307692307692307)</f>
        <v>0.3076923077</v>
      </c>
    </row>
    <row r="14058">
      <c r="A14058" s="10" t="s">
        <v>15497</v>
      </c>
      <c r="B14058" s="7" t="str">
        <f>IFERROR(__xludf.DUMMYFUNCTION("SPLIT(A14058,"" "")"),"Cc1ccnc(CN(C)c2cccc(-c3ccnc(CN(C)C(C)C(C)C)c3)c2)c1")</f>
        <v>Cc1ccnc(CN(C)c2cccc(-c3ccnc(CN(C)C(C)C(C)C)c3)c2)c1</v>
      </c>
      <c r="C14058" s="7">
        <f>IFERROR(__xludf.DUMMYFUNCTION("""COMPUTED_VALUE"""),7.751011)</f>
        <v>7.751011</v>
      </c>
      <c r="D14058" s="7">
        <f>IFERROR(__xludf.DUMMYFUNCTION("""COMPUTED_VALUE"""),0.303571428571428)</f>
        <v>0.3035714286</v>
      </c>
    </row>
    <row r="14059">
      <c r="A14059" s="10" t="s">
        <v>15498</v>
      </c>
      <c r="B14059" s="7" t="str">
        <f>IFERROR(__xludf.DUMMYFUNCTION("SPLIT(A14059,"" "")"),"Cc1cc(CN(C)CC2=CCC=C(N(C)Cc3ccccn3)N2)nc(C)c1C")</f>
        <v>Cc1cc(CN(C)CC2=CCC=C(N(C)Cc3ccccn3)N2)nc(C)c1C</v>
      </c>
      <c r="C14059" s="7">
        <f>IFERROR(__xludf.DUMMYFUNCTION("""COMPUTED_VALUE"""),7.7510076)</f>
        <v>7.7510076</v>
      </c>
      <c r="D14059" s="7">
        <f>IFERROR(__xludf.DUMMYFUNCTION("""COMPUTED_VALUE"""),0.389830508474576)</f>
        <v>0.3898305085</v>
      </c>
    </row>
    <row r="14060">
      <c r="A14060" s="10" t="s">
        <v>15499</v>
      </c>
      <c r="B14060" s="7" t="str">
        <f>IFERROR(__xludf.DUMMYFUNCTION("SPLIT(A14060,"" "")"),"CCN(Cc1ncccc1C)Cc1ncccc1N(C)Cc1ncc(C)c(C)c1C")</f>
        <v>CCN(Cc1ncccc1C)Cc1ncccc1N(C)Cc1ncc(C)c(C)c1C</v>
      </c>
      <c r="C14060" s="7">
        <f>IFERROR(__xludf.DUMMYFUNCTION("""COMPUTED_VALUE"""),7.750999)</f>
        <v>7.750999</v>
      </c>
      <c r="D14060" s="7">
        <f>IFERROR(__xludf.DUMMYFUNCTION("""COMPUTED_VALUE"""),0.314814814814814)</f>
        <v>0.3148148148</v>
      </c>
    </row>
    <row r="14061">
      <c r="A14061" s="10" t="s">
        <v>15500</v>
      </c>
      <c r="B14061" s="7" t="str">
        <f>IFERROR(__xludf.DUMMYFUNCTION("SPLIT(A14061,"" "")"),"Cc1cc(C)c(C)c(CN(C)C2=CCC=C(CN(Cc3ccccn3)Cc3ccccn3)N2)n1")</f>
        <v>Cc1cc(C)c(C)c(CN(C)C2=CCC=C(CN(Cc3ccccn3)Cc3ccccn3)N2)n1</v>
      </c>
      <c r="C14061" s="7">
        <f>IFERROR(__xludf.DUMMYFUNCTION("""COMPUTED_VALUE"""),7.7509913)</f>
        <v>7.7509913</v>
      </c>
      <c r="D14061" s="7">
        <f>IFERROR(__xludf.DUMMYFUNCTION("""COMPUTED_VALUE"""),0.45)</f>
        <v>0.45</v>
      </c>
    </row>
    <row r="14062">
      <c r="A14062" s="10" t="s">
        <v>15501</v>
      </c>
      <c r="B14062" s="7" t="str">
        <f>IFERROR(__xludf.DUMMYFUNCTION("SPLIT(A14062,"" "")"),"Cc1cnc(CN(C)CC2=C(N(C)Cc3nc(C)c(C)c(C)c3C)CC=CN2)c(C)c1C")</f>
        <v>Cc1cnc(CN(C)CC2=C(N(C)Cc3nc(C)c(C)c(C)c3C)CC=CN2)c(C)c1C</v>
      </c>
      <c r="C14062" s="7">
        <f>IFERROR(__xludf.DUMMYFUNCTION("""COMPUTED_VALUE"""),7.750991)</f>
        <v>7.750991</v>
      </c>
      <c r="D14062" s="7">
        <f>IFERROR(__xludf.DUMMYFUNCTION("""COMPUTED_VALUE"""),0.223880597014925)</f>
        <v>0.223880597</v>
      </c>
    </row>
    <row r="14063">
      <c r="A14063" s="10" t="s">
        <v>15502</v>
      </c>
      <c r="B14063" s="7" t="str">
        <f>IFERROR(__xludf.DUMMYFUNCTION("SPLIT(A14063,"" "")"),"Cc1cnc(CN(C)C2=CNC(CN(C)C)=CC2)c(C)c1C")</f>
        <v>Cc1cnc(CN(C)C2=CNC(CN(C)C)=CC2)c(C)c1C</v>
      </c>
      <c r="C14063" s="7">
        <f>IFERROR(__xludf.DUMMYFUNCTION("""COMPUTED_VALUE"""),7.7509894)</f>
        <v>7.7509894</v>
      </c>
      <c r="D14063" s="7">
        <f>IFERROR(__xludf.DUMMYFUNCTION("""COMPUTED_VALUE"""),0.233333333333333)</f>
        <v>0.2333333333</v>
      </c>
    </row>
    <row r="14064">
      <c r="A14064" s="10" t="s">
        <v>15503</v>
      </c>
      <c r="B14064" s="7" t="str">
        <f>IFERROR(__xludf.DUMMYFUNCTION("SPLIT(A14064,"" "")"),"Cc1cccc(N(Cc2ccccn2)C2CCC(N(C)c3ccc4nccc(CF)c4c3)CC2)c1")</f>
        <v>Cc1cccc(N(Cc2ccccn2)C2CCC(N(C)c3ccc4nccc(CF)c4c3)CC2)c1</v>
      </c>
      <c r="C14064" s="7">
        <f>IFERROR(__xludf.DUMMYFUNCTION("""COMPUTED_VALUE"""),7.750984)</f>
        <v>7.750984</v>
      </c>
      <c r="D14064" s="7">
        <f>IFERROR(__xludf.DUMMYFUNCTION("""COMPUTED_VALUE"""),0.333333333333333)</f>
        <v>0.3333333333</v>
      </c>
    </row>
    <row r="14065">
      <c r="A14065" s="10" t="s">
        <v>15504</v>
      </c>
      <c r="B14065" s="7" t="str">
        <f>IFERROR(__xludf.DUMMYFUNCTION("SPLIT(A14065,"" "")"),"Cc1cnccc1CN(C)CC1=CCC=C(N(C)Cc2cc(C)c(C)c(C)n2)N1")</f>
        <v>Cc1cnccc1CN(C)CC1=CCC=C(N(C)Cc2cc(C)c(C)c(C)n2)N1</v>
      </c>
      <c r="C14065" s="7">
        <f>IFERROR(__xludf.DUMMYFUNCTION("""COMPUTED_VALUE"""),7.7509766)</f>
        <v>7.7509766</v>
      </c>
      <c r="D14065" s="7">
        <f>IFERROR(__xludf.DUMMYFUNCTION("""COMPUTED_VALUE"""),0.208955223880597)</f>
        <v>0.2089552239</v>
      </c>
    </row>
    <row r="14066">
      <c r="A14066" s="10" t="s">
        <v>15505</v>
      </c>
      <c r="B14066" s="7" t="str">
        <f>IFERROR(__xludf.DUMMYFUNCTION("SPLIT(A14066,"" "")"),"CCN(Cc1ccccn1)c1ccccc1-c1cncc(CN(Cc2ccccn2)C(C)C)c1")</f>
        <v>CCN(Cc1ccccn1)c1ccccc1-c1cncc(CN(Cc2ccccn2)C(C)C)c1</v>
      </c>
      <c r="C14066" s="7">
        <f>IFERROR(__xludf.DUMMYFUNCTION("""COMPUTED_VALUE"""),7.750974)</f>
        <v>7.750974</v>
      </c>
      <c r="D14066" s="7">
        <f>IFERROR(__xludf.DUMMYFUNCTION("""COMPUTED_VALUE"""),0.461538461538461)</f>
        <v>0.4615384615</v>
      </c>
    </row>
    <row r="14067">
      <c r="A14067" s="10" t="s">
        <v>15506</v>
      </c>
      <c r="B14067" s="7" t="str">
        <f>IFERROR(__xludf.DUMMYFUNCTION("SPLIT(A14067,"" "")"),"Cc1ccccc1N(Cc1ccccn1)C1CCC(N(C)c2ccc3c(CF)ccnc3c2)CC1")</f>
        <v>Cc1ccccc1N(Cc1ccccn1)C1CCC(N(C)c2ccc3c(CF)ccnc3c2)CC1</v>
      </c>
      <c r="C14067" s="7">
        <f>IFERROR(__xludf.DUMMYFUNCTION("""COMPUTED_VALUE"""),7.7509623)</f>
        <v>7.7509623</v>
      </c>
      <c r="D14067" s="7">
        <f>IFERROR(__xludf.DUMMYFUNCTION("""COMPUTED_VALUE"""),0.349206349206349)</f>
        <v>0.3492063492</v>
      </c>
    </row>
    <row r="14068">
      <c r="A14068" s="10" t="s">
        <v>15507</v>
      </c>
      <c r="B14068" s="7" t="str">
        <f>IFERROR(__xludf.DUMMYFUNCTION("SPLIT(A14068,"" "")"),"Cc1cccc(-c2cccc(CN(Cc3ccccn3)C3CCCCC3N(C)c3cccc4cc(CN(C)C)cnc34)n2)c1")</f>
        <v>Cc1cccc(-c2cccc(CN(Cc3ccccn3)C3CCCCC3N(C)c3cccc4cc(CN(C)C)cnc34)n2)c1</v>
      </c>
      <c r="C14068" s="7">
        <f>IFERROR(__xludf.DUMMYFUNCTION("""COMPUTED_VALUE"""),7.750958)</f>
        <v>7.750958</v>
      </c>
      <c r="D14068" s="7">
        <f>IFERROR(__xludf.DUMMYFUNCTION("""COMPUTED_VALUE"""),0.426470588235294)</f>
        <v>0.4264705882</v>
      </c>
    </row>
    <row r="14069">
      <c r="A14069" s="10" t="s">
        <v>15508</v>
      </c>
      <c r="B14069" s="7" t="str">
        <f>IFERROR(__xludf.DUMMYFUNCTION("SPLIT(A14069,"" "")"),"Cc1cc(C)c2cccc(N(C)C3CCCC(N(C)Cc4nc(C)c(C)c(C)c4C)C3)c2n1")</f>
        <v>Cc1cc(C)c2cccc(N(C)C3CCCC(N(C)Cc4nc(C)c(C)c(C)c4C)C3)c2n1</v>
      </c>
      <c r="C14069" s="7">
        <f>IFERROR(__xludf.DUMMYFUNCTION("""COMPUTED_VALUE"""),7.7509575)</f>
        <v>7.7509575</v>
      </c>
      <c r="D14069" s="7">
        <f>IFERROR(__xludf.DUMMYFUNCTION("""COMPUTED_VALUE"""),0.301587301587301)</f>
        <v>0.3015873016</v>
      </c>
    </row>
    <row r="14070">
      <c r="A14070" s="10" t="s">
        <v>15509</v>
      </c>
      <c r="B14070" s="7" t="str">
        <f>IFERROR(__xludf.DUMMYFUNCTION("SPLIT(A14070,"" "")"),"Cc1cnccc1CN(C)CC1=CCC=C(N(C)Cc2nc(C)c(C)cc2C)N1")</f>
        <v>Cc1cnccc1CN(C)CC1=CCC=C(N(C)Cc2nc(C)c(C)cc2C)N1</v>
      </c>
      <c r="C14070" s="7">
        <f>IFERROR(__xludf.DUMMYFUNCTION("""COMPUTED_VALUE"""),7.750953)</f>
        <v>7.750953</v>
      </c>
      <c r="D14070" s="7">
        <f>IFERROR(__xludf.DUMMYFUNCTION("""COMPUTED_VALUE"""),0.212121212121212)</f>
        <v>0.2121212121</v>
      </c>
    </row>
    <row r="14071">
      <c r="A14071" s="10" t="s">
        <v>15510</v>
      </c>
      <c r="B14071" s="7" t="str">
        <f>IFERROR(__xludf.DUMMYFUNCTION("SPLIT(A14071,"" "")"),"Cc1cc(C)c(CN(C)Cc2nc(C)c(C)c(C)c2C)cn1")</f>
        <v>Cc1cc(C)c(CN(C)Cc2nc(C)c(C)c(C)c2C)cn1</v>
      </c>
      <c r="C14071" s="7">
        <f>IFERROR(__xludf.DUMMYFUNCTION("""COMPUTED_VALUE"""),7.7509465)</f>
        <v>7.7509465</v>
      </c>
      <c r="D14071" s="7">
        <f>IFERROR(__xludf.DUMMYFUNCTION("""COMPUTED_VALUE"""),0.254901960784313)</f>
        <v>0.2549019608</v>
      </c>
    </row>
    <row r="14072">
      <c r="A14072" s="10" t="s">
        <v>15511</v>
      </c>
      <c r="B14072" s="7" t="str">
        <f>IFERROR(__xludf.DUMMYFUNCTION("SPLIT(A14072,"" "")"),"CN(C)c1ccnc(CN(Cc2ccnc(F)c2)Cc2cc(N)ccn2)c1")</f>
        <v>CN(C)c1ccnc(CN(Cc2ccnc(F)c2)Cc2cc(N)ccn2)c1</v>
      </c>
      <c r="C14072" s="7">
        <f>IFERROR(__xludf.DUMMYFUNCTION("""COMPUTED_VALUE"""),7.7509294)</f>
        <v>7.7509294</v>
      </c>
      <c r="D14072" s="7">
        <f>IFERROR(__xludf.DUMMYFUNCTION("""COMPUTED_VALUE"""),0.297872340425531)</f>
        <v>0.2978723404</v>
      </c>
    </row>
    <row r="14073">
      <c r="A14073" s="10" t="s">
        <v>15512</v>
      </c>
      <c r="B14073" s="7" t="str">
        <f>IFERROR(__xludf.DUMMYFUNCTION("SPLIT(A14073,"" "")"),"Cc1cnc(CN(C)C2=CNC(CN(C)Cc3cc(C)c(C)c(C)n3)=CC2)c(C)c1")</f>
        <v>Cc1cnc(CN(C)C2=CNC(CN(C)Cc3cc(C)c(C)c(C)n3)=CC2)c(C)c1</v>
      </c>
      <c r="C14073" s="7">
        <f>IFERROR(__xludf.DUMMYFUNCTION("""COMPUTED_VALUE"""),7.7509255)</f>
        <v>7.7509255</v>
      </c>
      <c r="D14073" s="7">
        <f>IFERROR(__xludf.DUMMYFUNCTION("""COMPUTED_VALUE"""),0.266666666666666)</f>
        <v>0.2666666667</v>
      </c>
    </row>
    <row r="14074">
      <c r="A14074" s="10" t="s">
        <v>15513</v>
      </c>
      <c r="B14074" s="7" t="str">
        <f>IFERROR(__xludf.DUMMYFUNCTION("SPLIT(A14074,"" "")"),"Cc1ccnc(CN(Cc2ccnc(-c3ccccc3)c2)Cc2ccccn2)c1")</f>
        <v>Cc1ccnc(CN(Cc2ccnc(-c3ccccc3)c2)Cc2ccccn2)c1</v>
      </c>
      <c r="C14074" s="7">
        <f>IFERROR(__xludf.DUMMYFUNCTION("""COMPUTED_VALUE"""),7.7509084)</f>
        <v>7.7509084</v>
      </c>
      <c r="D14074" s="7">
        <f>IFERROR(__xludf.DUMMYFUNCTION("""COMPUTED_VALUE"""),0.48780487804878)</f>
        <v>0.487804878</v>
      </c>
    </row>
    <row r="14075">
      <c r="A14075" s="10" t="s">
        <v>15514</v>
      </c>
      <c r="B14075" s="7" t="str">
        <f>IFERROR(__xludf.DUMMYFUNCTION("SPLIT(A14075,"" "")"),"CC(C)N(Cc1cc2c(cn1)C(C)(C)CC=C2)Cc1ccc2c(n1)CC(C)(C)C=C2")</f>
        <v>CC(C)N(Cc1cc2c(cn1)C(C)(C)CC=C2)Cc1ccc2c(n1)CC(C)(C)C=C2</v>
      </c>
      <c r="C14075" s="7">
        <f>IFERROR(__xludf.DUMMYFUNCTION("""COMPUTED_VALUE"""),7.750906)</f>
        <v>7.750906</v>
      </c>
      <c r="D14075" s="7">
        <f>IFERROR(__xludf.DUMMYFUNCTION("""COMPUTED_VALUE"""),0.253968253968253)</f>
        <v>0.253968254</v>
      </c>
    </row>
    <row r="14076">
      <c r="A14076" s="10" t="s">
        <v>15515</v>
      </c>
      <c r="B14076" s="7" t="str">
        <f>IFERROR(__xludf.DUMMYFUNCTION("SPLIT(A14076,"" "")"),"Cc1ccc(N(C)Cc2ccccn2)cc1C(C)(C)C1=CC(N(C)Cc2ccccn2)C=CN1")</f>
        <v>Cc1ccc(N(C)Cc2ccccn2)cc1C(C)(C)C1=CC(N(C)Cc2ccccn2)C=CN1</v>
      </c>
      <c r="C14076" s="7">
        <f>IFERROR(__xludf.DUMMYFUNCTION("""COMPUTED_VALUE"""),7.7509046)</f>
        <v>7.7509046</v>
      </c>
      <c r="D14076" s="7">
        <f>IFERROR(__xludf.DUMMYFUNCTION("""COMPUTED_VALUE"""),0.372881355932203)</f>
        <v>0.3728813559</v>
      </c>
    </row>
    <row r="14077">
      <c r="A14077" s="10" t="s">
        <v>15516</v>
      </c>
      <c r="B14077" s="7" t="str">
        <f>IFERROR(__xludf.DUMMYFUNCTION("SPLIT(A14077,"" "")"),"Cc1cc(CN(C)C2=CNC=CC2)nc(C)c1C")</f>
        <v>Cc1cc(CN(C)C2=CNC=CC2)nc(C)c1C</v>
      </c>
      <c r="C14077" s="7">
        <f>IFERROR(__xludf.DUMMYFUNCTION("""COMPUTED_VALUE"""),7.7509007)</f>
        <v>7.7509007</v>
      </c>
      <c r="D14077" s="7">
        <f>IFERROR(__xludf.DUMMYFUNCTION("""COMPUTED_VALUE"""),0.218181818181818)</f>
        <v>0.2181818182</v>
      </c>
    </row>
    <row r="14078">
      <c r="A14078" s="10" t="s">
        <v>15517</v>
      </c>
      <c r="B14078" s="7" t="str">
        <f>IFERROR(__xludf.DUMMYFUNCTION("SPLIT(A14078,"" "")"),"Cc1cnc(CN(C)C2=C(CN(Cc3ccccn3)Cc3cc(C)c(C)c(C)n3)NC=CC2)c(C)c1")</f>
        <v>Cc1cnc(CN(C)C2=C(CN(Cc3ccccn3)Cc3cc(C)c(C)c(C)n3)NC=CC2)c(C)c1</v>
      </c>
      <c r="C14078" s="7">
        <f>IFERROR(__xludf.DUMMYFUNCTION("""COMPUTED_VALUE"""),7.750895)</f>
        <v>7.750895</v>
      </c>
      <c r="D14078" s="7">
        <f>IFERROR(__xludf.DUMMYFUNCTION("""COMPUTED_VALUE"""),0.371428571428571)</f>
        <v>0.3714285714</v>
      </c>
    </row>
    <row r="14079">
      <c r="A14079" s="10" t="s">
        <v>15518</v>
      </c>
      <c r="B14079" s="7" t="str">
        <f>IFERROR(__xludf.DUMMYFUNCTION("SPLIT(A14079,"" "")"),"CNc1c(C)cc(CN(Cc2cc(C)ccn2)Cc2cccc(C)n2)nc1C")</f>
        <v>CNc1c(C)cc(CN(Cc2cc(C)ccn2)Cc2cccc(C)n2)nc1C</v>
      </c>
      <c r="C14079" s="7">
        <f>IFERROR(__xludf.DUMMYFUNCTION("""COMPUTED_VALUE"""),7.7508874)</f>
        <v>7.7508874</v>
      </c>
      <c r="D14079" s="7">
        <f>IFERROR(__xludf.DUMMYFUNCTION("""COMPUTED_VALUE"""),0.372549019607843)</f>
        <v>0.3725490196</v>
      </c>
    </row>
    <row r="14080">
      <c r="A14080" s="10" t="s">
        <v>15519</v>
      </c>
      <c r="B14080" s="7" t="str">
        <f>IFERROR(__xludf.DUMMYFUNCTION("SPLIT(A14080,"" "")"),"Cc1ccccc1N(Cc1ccccn1)C1CCC(N(C)c2cccc3nccc(CF)c23)CC1")</f>
        <v>Cc1ccccc1N(Cc1ccccn1)C1CCC(N(C)c2cccc3nccc(CF)c23)CC1</v>
      </c>
      <c r="C14080" s="7">
        <f>IFERROR(__xludf.DUMMYFUNCTION("""COMPUTED_VALUE"""),7.7508864)</f>
        <v>7.7508864</v>
      </c>
      <c r="D14080" s="7">
        <f>IFERROR(__xludf.DUMMYFUNCTION("""COMPUTED_VALUE"""),0.354838709677419)</f>
        <v>0.3548387097</v>
      </c>
    </row>
    <row r="14081">
      <c r="A14081" s="10" t="s">
        <v>15520</v>
      </c>
      <c r="B14081" s="7" t="str">
        <f>IFERROR(__xludf.DUMMYFUNCTION("SPLIT(A14081,"" "")"),"Cc1ccc(CN(Cc2cccc(N)n2)C2CCC(N(C)Cc3cc(-c4ccc5cccnc5c4)ccn3)CC2)nc1C")</f>
        <v>Cc1ccc(CN(Cc2cccc(N)n2)C2CCC(N(C)Cc3cc(-c4ccc5cccnc5c4)ccn3)CC2)nc1C</v>
      </c>
      <c r="C14081" s="7">
        <f>IFERROR(__xludf.DUMMYFUNCTION("""COMPUTED_VALUE"""),7.7508764)</f>
        <v>7.7508764</v>
      </c>
      <c r="D14081" s="7">
        <f>IFERROR(__xludf.DUMMYFUNCTION("""COMPUTED_VALUE"""),0.295774647887323)</f>
        <v>0.2957746479</v>
      </c>
    </row>
    <row r="14082">
      <c r="A14082" s="10" t="s">
        <v>15521</v>
      </c>
      <c r="B14082" s="7" t="str">
        <f>IFERROR(__xludf.DUMMYFUNCTION("SPLIT(A14082,"" "")"),"Cc1ccc(-c2cc(CN(Cc3ccccn3)Cc3ccccn3)ccn2)c(CNCc2ccccn2)c1C")</f>
        <v>Cc1ccc(-c2cc(CN(Cc3ccccn3)Cc3ccccn3)ccn2)c(CNCc2ccccn2)c1C</v>
      </c>
      <c r="C14082" s="7">
        <f>IFERROR(__xludf.DUMMYFUNCTION("""COMPUTED_VALUE"""),7.7508764)</f>
        <v>7.7508764</v>
      </c>
      <c r="D14082" s="7">
        <f>IFERROR(__xludf.DUMMYFUNCTION("""COMPUTED_VALUE"""),0.416666666666666)</f>
        <v>0.4166666667</v>
      </c>
    </row>
    <row r="14083">
      <c r="A14083" s="10" t="s">
        <v>15522</v>
      </c>
      <c r="B14083" s="7" t="str">
        <f>IFERROR(__xludf.DUMMYFUNCTION("SPLIT(A14083,"" "")"),"Cc1cnc(CN(C)Cc2cc(N(C)C3C=CC=CN3)ccn2)c(C)c1")</f>
        <v>Cc1cnc(CN(C)Cc2cc(N(C)C3C=CC=CN3)ccn2)c(C)c1</v>
      </c>
      <c r="C14083" s="7">
        <f>IFERROR(__xludf.DUMMYFUNCTION("""COMPUTED_VALUE"""),7.7508683)</f>
        <v>7.7508683</v>
      </c>
      <c r="D14083" s="7">
        <f>IFERROR(__xludf.DUMMYFUNCTION("""COMPUTED_VALUE"""),0.307692307692307)</f>
        <v>0.3076923077</v>
      </c>
    </row>
    <row r="14084">
      <c r="A14084" s="10" t="s">
        <v>15523</v>
      </c>
      <c r="B14084" s="7" t="str">
        <f>IFERROR(__xludf.DUMMYFUNCTION("SPLIT(A14084,"" "")"),"Cc1cnc2cccc(N(C)C3CC(N(C)Cc4ccccn4)CC(N(C)c4ccccc4C)C3)c2c1")</f>
        <v>Cc1cnc2cccc(N(C)C3CC(N(C)Cc4ccccn4)CC(N(C)c4ccccc4C)C3)c2c1</v>
      </c>
      <c r="C14084" s="7">
        <f>IFERROR(__xludf.DUMMYFUNCTION("""COMPUTED_VALUE"""),7.7508407)</f>
        <v>7.7508407</v>
      </c>
      <c r="D14084" s="7">
        <f>IFERROR(__xludf.DUMMYFUNCTION("""COMPUTED_VALUE"""),0.396551724137931)</f>
        <v>0.3965517241</v>
      </c>
    </row>
    <row r="14085">
      <c r="A14085" s="10" t="s">
        <v>15524</v>
      </c>
      <c r="B14085" s="7" t="str">
        <f>IFERROR(__xludf.DUMMYFUNCTION("SPLIT(A14085,"" "")"),"Cc1cc(CN(C)Cc2ccc(N(C)Cc3ccccn3)cn2)ccn1")</f>
        <v>Cc1cc(CN(C)Cc2ccc(N(C)Cc3ccccn3)cn2)ccn1</v>
      </c>
      <c r="C14085" s="7">
        <f>IFERROR(__xludf.DUMMYFUNCTION("""COMPUTED_VALUE"""),7.750825)</f>
        <v>7.750825</v>
      </c>
      <c r="D14085" s="7">
        <f>IFERROR(__xludf.DUMMYFUNCTION("""COMPUTED_VALUE"""),0.450980392156862)</f>
        <v>0.4509803922</v>
      </c>
    </row>
    <row r="14086">
      <c r="A14086" s="10" t="s">
        <v>15525</v>
      </c>
      <c r="B14086" s="7" t="str">
        <f>IFERROR(__xludf.DUMMYFUNCTION("SPLIT(A14086,"" "")"),"CNC1=CNCC=C1N(C)Cc1cc(C)ccn1")</f>
        <v>CNC1=CNCC=C1N(C)Cc1cc(C)ccn1</v>
      </c>
      <c r="C14086" s="7">
        <f>IFERROR(__xludf.DUMMYFUNCTION("""COMPUTED_VALUE"""),7.7508245)</f>
        <v>7.7508245</v>
      </c>
      <c r="D14086" s="7">
        <f>IFERROR(__xludf.DUMMYFUNCTION("""COMPUTED_VALUE"""),0.333333333333333)</f>
        <v>0.3333333333</v>
      </c>
    </row>
    <row r="14087">
      <c r="A14087" s="10" t="s">
        <v>15526</v>
      </c>
      <c r="B14087" s="7" t="str">
        <f>IFERROR(__xludf.DUMMYFUNCTION("SPLIT(A14087,"" "")"),"Cc1ccc(CN(Cc2ccccn2)Cc2ccc(N(C)C3C=CC=CN3)cn2)nc1C")</f>
        <v>Cc1ccc(CN(Cc2ccccn2)Cc2ccc(N(C)C3C=CC=CN3)cn2)nc1C</v>
      </c>
      <c r="C14087" s="7">
        <f>IFERROR(__xludf.DUMMYFUNCTION("""COMPUTED_VALUE"""),7.750821)</f>
        <v>7.750821</v>
      </c>
      <c r="D14087" s="7">
        <f>IFERROR(__xludf.DUMMYFUNCTION("""COMPUTED_VALUE"""),0.466666666666666)</f>
        <v>0.4666666667</v>
      </c>
    </row>
    <row r="14088">
      <c r="A14088" s="10" t="s">
        <v>15527</v>
      </c>
      <c r="B14088" s="7" t="str">
        <f>IFERROR(__xludf.DUMMYFUNCTION("SPLIT(A14088,"" "")"),"CC(C)C(C)N(Cc1ccccn1)Cc1cccc(-c2ccccc2N=Cc2ccccn2)n1")</f>
        <v>CC(C)C(C)N(Cc1ccccn1)Cc1cccc(-c2ccccc2N=Cc2ccccn2)n1</v>
      </c>
      <c r="C14088" s="7">
        <f>IFERROR(__xludf.DUMMYFUNCTION("""COMPUTED_VALUE"""),7.750813)</f>
        <v>7.750813</v>
      </c>
      <c r="D14088" s="7">
        <f>IFERROR(__xludf.DUMMYFUNCTION("""COMPUTED_VALUE"""),0.421052631578947)</f>
        <v>0.4210526316</v>
      </c>
    </row>
    <row r="14089">
      <c r="A14089" s="10" t="s">
        <v>15528</v>
      </c>
      <c r="B14089" s="7" t="str">
        <f>IFERROR(__xludf.DUMMYFUNCTION("SPLIT(A14089,"" "")"),"CC(CN(Cc1ccccn1)Cc1ccccn1)(c1ccccc1)c1ccc2ncccc2c1")</f>
        <v>CC(CN(Cc1ccccn1)Cc1ccccn1)(c1ccccc1)c1ccc2ncccc2c1</v>
      </c>
      <c r="C14089" s="7">
        <f>IFERROR(__xludf.DUMMYFUNCTION("""COMPUTED_VALUE"""),7.750812)</f>
        <v>7.750812</v>
      </c>
      <c r="D14089" s="7">
        <f>IFERROR(__xludf.DUMMYFUNCTION("""COMPUTED_VALUE"""),0.46938775510204)</f>
        <v>0.4693877551</v>
      </c>
    </row>
    <row r="14090">
      <c r="A14090" s="10" t="s">
        <v>15529</v>
      </c>
      <c r="B14090" s="7" t="str">
        <f>IFERROR(__xludf.DUMMYFUNCTION("SPLIT(A14090,"" "")"),"Cc1cccnc1CN(CN(C)c1c(C)c(C)c(C)c(C)c1C)C(C)C")</f>
        <v>Cc1cccnc1CN(CN(C)c1c(C)c(C)c(C)c(C)c1C)C(C)C</v>
      </c>
      <c r="C14090" s="7">
        <f>IFERROR(__xludf.DUMMYFUNCTION("""COMPUTED_VALUE"""),7.750802)</f>
        <v>7.750802</v>
      </c>
      <c r="D14090" s="7">
        <f>IFERROR(__xludf.DUMMYFUNCTION("""COMPUTED_VALUE"""),0.391304347826087)</f>
        <v>0.3913043478</v>
      </c>
    </row>
    <row r="14091">
      <c r="A14091" s="10" t="s">
        <v>15530</v>
      </c>
      <c r="B14091" s="7" t="str">
        <f>IFERROR(__xludf.DUMMYFUNCTION("SPLIT(A14091,"" "")"),"Cc1cc(CN(C)CC2=C(N(C)Cc3cc(C)c(C)c(C)n3)CC=CN2)nc(C)c1C")</f>
        <v>Cc1cc(CN(C)CC2=C(N(C)Cc3cc(C)c(C)c(C)n3)CC=CN2)nc(C)c1C</v>
      </c>
      <c r="C14091" s="7">
        <f>IFERROR(__xludf.DUMMYFUNCTION("""COMPUTED_VALUE"""),7.750799)</f>
        <v>7.750799</v>
      </c>
      <c r="D14091" s="7">
        <f>IFERROR(__xludf.DUMMYFUNCTION("""COMPUTED_VALUE"""),0.24074074074074)</f>
        <v>0.2407407407</v>
      </c>
    </row>
    <row r="14092">
      <c r="A14092" s="10" t="s">
        <v>15531</v>
      </c>
      <c r="B14092" s="7" t="str">
        <f>IFERROR(__xludf.DUMMYFUNCTION("SPLIT(A14092,"" "")"),"Cc1cccc(C(C)(C)C)c1N(C)Cc1ccccn1")</f>
        <v>Cc1cccc(C(C)(C)C)c1N(C)Cc1ccccn1</v>
      </c>
      <c r="C14092" s="7">
        <f>IFERROR(__xludf.DUMMYFUNCTION("""COMPUTED_VALUE"""),7.750792)</f>
        <v>7.750792</v>
      </c>
      <c r="D14092" s="7">
        <f>IFERROR(__xludf.DUMMYFUNCTION("""COMPUTED_VALUE"""),0.477272727272727)</f>
        <v>0.4772727273</v>
      </c>
    </row>
    <row r="14093">
      <c r="A14093" s="10" t="s">
        <v>15532</v>
      </c>
      <c r="B14093" s="7" t="str">
        <f>IFERROR(__xludf.DUMMYFUNCTION("SPLIT(A14093,"" "")"),"C1=C(NCc2ccccn2)CNC(c2ccccc2)=C1")</f>
        <v>C1=C(NCc2ccccn2)CNC(c2ccccc2)=C1</v>
      </c>
      <c r="C14093" s="7">
        <f>IFERROR(__xludf.DUMMYFUNCTION("""COMPUTED_VALUE"""),7.750789)</f>
        <v>7.750789</v>
      </c>
      <c r="D14093" s="7">
        <f>IFERROR(__xludf.DUMMYFUNCTION("""COMPUTED_VALUE"""),0.423076923076923)</f>
        <v>0.4230769231</v>
      </c>
    </row>
    <row r="14094">
      <c r="A14094" s="10" t="s">
        <v>15533</v>
      </c>
      <c r="B14094" s="7" t="str">
        <f>IFERROR(__xludf.DUMMYFUNCTION("SPLIT(A14094,"" "")"),"Cc1cc(C)c(C)c(CN(C)CC2=CCC(N(C)Cc3nc(C)cc(C)c3C)=CN2)n1")</f>
        <v>Cc1cc(C)c(C)c(CN(C)CC2=CCC(N(C)Cc3nc(C)cc(C)c3C)=CN2)n1</v>
      </c>
      <c r="C14094" s="7">
        <f>IFERROR(__xludf.DUMMYFUNCTION("""COMPUTED_VALUE"""),7.75078)</f>
        <v>7.75078</v>
      </c>
      <c r="D14094" s="7">
        <f>IFERROR(__xludf.DUMMYFUNCTION("""COMPUTED_VALUE"""),0.222222222222222)</f>
        <v>0.2222222222</v>
      </c>
    </row>
    <row r="14095">
      <c r="A14095" s="10" t="s">
        <v>15534</v>
      </c>
      <c r="B14095" s="7" t="str">
        <f>IFERROR(__xludf.DUMMYFUNCTION("SPLIT(A14095,"" "")"),"CC1=C(C)C(C)C(C)(c2ncccc2CN(Cc2ccccn2)Cc2ncccc2-c2ccccc2N(C)C)CC1C")</f>
        <v>CC1=C(C)C(C)C(C)(c2ncccc2CN(Cc2ccccn2)Cc2ncccc2-c2ccccc2N(C)C)CC1C</v>
      </c>
      <c r="C14095" s="7">
        <f>IFERROR(__xludf.DUMMYFUNCTION("""COMPUTED_VALUE"""),7.7507772)</f>
        <v>7.7507772</v>
      </c>
      <c r="D14095" s="7">
        <f>IFERROR(__xludf.DUMMYFUNCTION("""COMPUTED_VALUE"""),0.338983050847457)</f>
        <v>0.3389830508</v>
      </c>
    </row>
    <row r="14096">
      <c r="A14096" s="10" t="s">
        <v>15535</v>
      </c>
      <c r="B14096" s="7" t="str">
        <f>IFERROR(__xludf.DUMMYFUNCTION("SPLIT(A14096,"" "")"),"COC(=O)C1C(=O)N(C)C2C(C(=O)OC)C1C(c1ccccn1)N(C)C2c1ccccn1")</f>
        <v>COC(=O)C1C(=O)N(C)C2C(C(=O)OC)C1C(c1ccccn1)N(C)C2c1ccccn1</v>
      </c>
      <c r="C14096" s="7">
        <f>IFERROR(__xludf.DUMMYFUNCTION("""COMPUTED_VALUE"""),7.75075)</f>
        <v>7.75075</v>
      </c>
      <c r="D14096" s="7">
        <f>IFERROR(__xludf.DUMMYFUNCTION("""COMPUTED_VALUE"""),0.419354838709677)</f>
        <v>0.4193548387</v>
      </c>
    </row>
    <row r="14097">
      <c r="A14097" s="10" t="s">
        <v>15536</v>
      </c>
      <c r="B14097" s="7" t="str">
        <f>IFERROR(__xludf.DUMMYFUNCTION("SPLIT(A14097,"" "")"),"Cc1ccccc1N(Cc1ccccn1)C1CCC(N(C)c2ccc3nccc(CF)c3c2)CC1")</f>
        <v>Cc1ccccc1N(Cc1ccccn1)C1CCC(N(C)c2ccc3nccc(CF)c3c2)CC1</v>
      </c>
      <c r="C14097" s="7">
        <f>IFERROR(__xludf.DUMMYFUNCTION("""COMPUTED_VALUE"""),7.7507496)</f>
        <v>7.7507496</v>
      </c>
      <c r="D14097" s="7">
        <f>IFERROR(__xludf.DUMMYFUNCTION("""COMPUTED_VALUE"""),0.34375)</f>
        <v>0.34375</v>
      </c>
    </row>
    <row r="14098">
      <c r="A14098" s="10" t="s">
        <v>15537</v>
      </c>
      <c r="B14098" s="7" t="str">
        <f>IFERROR(__xludf.DUMMYFUNCTION("SPLIT(A14098,"" "")"),"CN(Cc1ncccc1-c1ccccc1)C1CCC(N(C)c2cccc3cc(CF)cnc23)CC1")</f>
        <v>CN(Cc1ncccc1-c1ccccc1)C1CCC(N(C)c2cccc3cc(CF)cnc23)CC1</v>
      </c>
      <c r="C14098" s="7">
        <f>IFERROR(__xludf.DUMMYFUNCTION("""COMPUTED_VALUE"""),7.7507415)</f>
        <v>7.7507415</v>
      </c>
      <c r="D14098" s="7">
        <f>IFERROR(__xludf.DUMMYFUNCTION("""COMPUTED_VALUE"""),0.369230769230769)</f>
        <v>0.3692307692</v>
      </c>
    </row>
    <row r="14099">
      <c r="A14099" s="10" t="s">
        <v>15538</v>
      </c>
      <c r="B14099" s="7" t="str">
        <f>IFERROR(__xludf.DUMMYFUNCTION("SPLIT(A14099,"" "")"),"Cc1cccc(CN(Cc2ccccn2)C2CCCC(N(C)c3ccc4nccc(CF)c4c3)C2)c1N(C)Cc1ccccn1")</f>
        <v>Cc1cccc(CN(Cc2ccccn2)C2CCCC(N(C)c3ccc4nccc(CF)c4c3)C2)c1N(C)Cc1ccccn1</v>
      </c>
      <c r="C14099" s="7">
        <f>IFERROR(__xludf.DUMMYFUNCTION("""COMPUTED_VALUE"""),7.750739)</f>
        <v>7.750739</v>
      </c>
      <c r="D14099" s="7">
        <f>IFERROR(__xludf.DUMMYFUNCTION("""COMPUTED_VALUE"""),0.315068493150684)</f>
        <v>0.3150684932</v>
      </c>
    </row>
    <row r="14100">
      <c r="A14100" s="10" t="s">
        <v>15539</v>
      </c>
      <c r="B14100" s="7" t="str">
        <f>IFERROR(__xludf.DUMMYFUNCTION("SPLIT(A14100,"" "")"),"Cc1cnc(C)c(CN(Cc2ccccn2)Cc2ncccc2N(C)C)c1")</f>
        <v>Cc1cnc(C)c(CN(Cc2ccccn2)Cc2ncccc2N(C)C)c1</v>
      </c>
      <c r="C14100" s="7">
        <f>IFERROR(__xludf.DUMMYFUNCTION("""COMPUTED_VALUE"""),7.7507124)</f>
        <v>7.7507124</v>
      </c>
      <c r="D14100" s="7">
        <f>IFERROR(__xludf.DUMMYFUNCTION("""COMPUTED_VALUE"""),0.444444444444444)</f>
        <v>0.4444444444</v>
      </c>
    </row>
    <row r="14101">
      <c r="A14101" s="10" t="s">
        <v>15540</v>
      </c>
      <c r="B14101" s="7" t="str">
        <f>IFERROR(__xludf.DUMMYFUNCTION("SPLIT(A14101,"" "")"),"Cc1cncc(CN(C)CC2=CCC=C(N(C)Cc3nc(C)c(C)c(C)c3C)N2)c1")</f>
        <v>Cc1cncc(CN(C)CC2=CCC=C(N(C)Cc3nc(C)c(C)c(C)c3C)N2)c1</v>
      </c>
      <c r="C14101" s="7">
        <f>IFERROR(__xludf.DUMMYFUNCTION("""COMPUTED_VALUE"""),7.750709)</f>
        <v>7.750709</v>
      </c>
      <c r="D14101" s="7">
        <f>IFERROR(__xludf.DUMMYFUNCTION("""COMPUTED_VALUE"""),0.19047619047619)</f>
        <v>0.1904761905</v>
      </c>
    </row>
    <row r="14102">
      <c r="A14102" s="10" t="s">
        <v>15541</v>
      </c>
      <c r="B14102" s="7" t="str">
        <f>IFERROR(__xludf.DUMMYFUNCTION("SPLIT(A14102,"" "")"),"Cc1cccc(CN(CC2=CCC=C(N(C)Cc3ccccn3)N2)Cc2ccc(C)c(C)n2)n1")</f>
        <v>Cc1cccc(CN(CC2=CCC=C(N(C)Cc3ccccn3)N2)Cc2ccc(C)c(C)n2)n1</v>
      </c>
      <c r="C14102" s="7">
        <f>IFERROR(__xludf.DUMMYFUNCTION("""COMPUTED_VALUE"""),7.750703)</f>
        <v>7.750703</v>
      </c>
      <c r="D14102" s="7">
        <f>IFERROR(__xludf.DUMMYFUNCTION("""COMPUTED_VALUE"""),0.435483870967741)</f>
        <v>0.435483871</v>
      </c>
    </row>
    <row r="14103">
      <c r="A14103" s="10" t="s">
        <v>15542</v>
      </c>
      <c r="B14103" s="7" t="str">
        <f>IFERROR(__xludf.DUMMYFUNCTION("SPLIT(A14103,"" "")"),"CN(Cc1cccnn1)C1=C(N(C)C(C)(C)c2ccccn2)NCC=C1")</f>
        <v>CN(Cc1cccnn1)C1=C(N(C)C(C)(C)c2ccccn2)NCC=C1</v>
      </c>
      <c r="C14103" s="7">
        <f>IFERROR(__xludf.DUMMYFUNCTION("""COMPUTED_VALUE"""),7.7506924)</f>
        <v>7.7506924</v>
      </c>
      <c r="D14103" s="7">
        <f>IFERROR(__xludf.DUMMYFUNCTION("""COMPUTED_VALUE"""),0.407407407407407)</f>
        <v>0.4074074074</v>
      </c>
    </row>
    <row r="14104">
      <c r="A14104" s="10" t="s">
        <v>15543</v>
      </c>
      <c r="B14104" s="7" t="str">
        <f>IFERROR(__xludf.DUMMYFUNCTION("SPLIT(A14104,"" "")"),"Cc1ccc(CN(C)c2cccnc2CN(Cc2ccccn2)Cc2ncccc2C)nc1")</f>
        <v>Cc1ccc(CN(C)c2cccnc2CN(Cc2ccccn2)Cc2ncccc2C)nc1</v>
      </c>
      <c r="C14104" s="7">
        <f>IFERROR(__xludf.DUMMYFUNCTION("""COMPUTED_VALUE"""),7.7506886)</f>
        <v>7.7506886</v>
      </c>
      <c r="D14104" s="7">
        <f>IFERROR(__xludf.DUMMYFUNCTION("""COMPUTED_VALUE"""),0.450980392156862)</f>
        <v>0.4509803922</v>
      </c>
    </row>
    <row r="14105">
      <c r="A14105" s="10" t="s">
        <v>15544</v>
      </c>
      <c r="B14105" s="7" t="str">
        <f>IFERROR(__xludf.DUMMYFUNCTION("SPLIT(A14105,"" "")"),"Cc1cncc(CN(C)Cc2cccc(N(C)Cc3ncccc3C)n2)c1")</f>
        <v>Cc1cncc(CN(C)Cc2cccc(N(C)Cc3ncccc3C)n2)c1</v>
      </c>
      <c r="C14105" s="7">
        <f>IFERROR(__xludf.DUMMYFUNCTION("""COMPUTED_VALUE"""),7.7506785)</f>
        <v>7.7506785</v>
      </c>
      <c r="D14105" s="7">
        <f>IFERROR(__xludf.DUMMYFUNCTION("""COMPUTED_VALUE"""),0.362068965517241)</f>
        <v>0.3620689655</v>
      </c>
    </row>
    <row r="14106">
      <c r="A14106" s="10" t="s">
        <v>15545</v>
      </c>
      <c r="B14106" s="7" t="str">
        <f>IFERROR(__xludf.DUMMYFUNCTION("SPLIT(A14106,"" "")"),"Cc1cccnc1CN(C)CC1=CCC=C(N(C)Cc2nc(C)c(C)c(C)c2C)N1")</f>
        <v>Cc1cccnc1CN(C)CC1=CCC=C(N(C)Cc2nc(C)c(C)c(C)c2C)N1</v>
      </c>
      <c r="C14106" s="7">
        <f>IFERROR(__xludf.DUMMYFUNCTION("""COMPUTED_VALUE"""),7.750675)</f>
        <v>7.750675</v>
      </c>
      <c r="D14106" s="7">
        <f>IFERROR(__xludf.DUMMYFUNCTION("""COMPUTED_VALUE"""),0.253968253968253)</f>
        <v>0.253968254</v>
      </c>
    </row>
    <row r="14107">
      <c r="A14107" s="10" t="s">
        <v>15546</v>
      </c>
      <c r="B14107" s="7" t="str">
        <f>IFERROR(__xludf.DUMMYFUNCTION("SPLIT(A14107,"" "")"),"Cc1ccc(C(C)(C)c2cccc(CN(Cc3ccccn3)C3CCC(N(C)c4ccc5cc(CN(C)C)cnc5c4)CC3)n2)c(C)c1C")</f>
        <v>Cc1ccc(C(C)(C)c2cccc(CN(Cc3ccccn3)C3CCC(N(C)c4ccc5cc(CN(C)C)cnc5c4)CC3)n2)c(C)c1C</v>
      </c>
      <c r="C14107" s="7">
        <f>IFERROR(__xludf.DUMMYFUNCTION("""COMPUTED_VALUE"""),7.75067)</f>
        <v>7.75067</v>
      </c>
      <c r="D14107" s="7">
        <f>IFERROR(__xludf.DUMMYFUNCTION("""COMPUTED_VALUE"""),0.289473684210526)</f>
        <v>0.2894736842</v>
      </c>
    </row>
    <row r="14108">
      <c r="A14108" s="10" t="s">
        <v>15547</v>
      </c>
      <c r="B14108" s="7" t="str">
        <f>IFERROR(__xludf.DUMMYFUNCTION("SPLIT(A14108,"" "")"),"CN(Cc1cc(-c2ccc3c(c2)OCCOCCOCCOCCOCCO3)ccn1)Cc1ccc2cc(N(C)c3ccc4ncccc4c3)ccc2n1")</f>
        <v>CN(Cc1cc(-c2ccc3c(c2)OCCOCCOCCOCCOCCO3)ccn1)Cc1ccc2cc(N(C)c3ccc4ncccc4c3)ccc2n1</v>
      </c>
      <c r="C14108" s="7">
        <f>IFERROR(__xludf.DUMMYFUNCTION("""COMPUTED_VALUE"""),7.7506685)</f>
        <v>7.7506685</v>
      </c>
      <c r="D14108" s="7">
        <f>IFERROR(__xludf.DUMMYFUNCTION("""COMPUTED_VALUE"""),0.342105263157894)</f>
        <v>0.3421052632</v>
      </c>
    </row>
    <row r="14109">
      <c r="A14109" s="10" t="s">
        <v>15548</v>
      </c>
      <c r="B14109" s="7" t="str">
        <f>IFERROR(__xludf.DUMMYFUNCTION("SPLIT(A14109,"" "")"),"Cc1cnc(CN(C)C2CCC(N(Cc3cc(-c4ccc5ncccc5c4)ccn3)Cc3ncccc3C)CC2)c(C)c1")</f>
        <v>Cc1cnc(CN(C)C2CCC(N(Cc3cc(-c4ccc5ncccc5c4)ccn3)Cc3ncccc3C)CC2)c(C)c1</v>
      </c>
      <c r="C14109" s="7">
        <f>IFERROR(__xludf.DUMMYFUNCTION("""COMPUTED_VALUE"""),7.750666)</f>
        <v>7.750666</v>
      </c>
      <c r="D14109" s="7">
        <f>IFERROR(__xludf.DUMMYFUNCTION("""COMPUTED_VALUE"""),0.271428571428571)</f>
        <v>0.2714285714</v>
      </c>
    </row>
    <row r="14110">
      <c r="A14110" s="10" t="s">
        <v>15549</v>
      </c>
      <c r="B14110" s="7" t="str">
        <f>IFERROR(__xludf.DUMMYFUNCTION("SPLIT(A14110,"" "")"),"CN(C)Cc1ccc2cc(N(C)C3CCC(N(C)Cc4cccc(-c5ccccc5)n4)CC3)ccc2n1")</f>
        <v>CN(C)Cc1ccc2cc(N(C)C3CCC(N(C)Cc4cccc(-c5ccccc5)n4)CC3)ccc2n1</v>
      </c>
      <c r="C14110" s="7">
        <f>IFERROR(__xludf.DUMMYFUNCTION("""COMPUTED_VALUE"""),7.750666)</f>
        <v>7.750666</v>
      </c>
      <c r="D14110" s="7">
        <f>IFERROR(__xludf.DUMMYFUNCTION("""COMPUTED_VALUE"""),0.327868852459016)</f>
        <v>0.3278688525</v>
      </c>
    </row>
    <row r="14111">
      <c r="A14111" s="10" t="s">
        <v>15550</v>
      </c>
      <c r="B14111" s="7" t="str">
        <f>IFERROR(__xludf.DUMMYFUNCTION("SPLIT(A14111,"" "")"),"CC(c1ccccc1)c1cccc(-c2ccccc2)n1")</f>
        <v>CC(c1ccccc1)c1cccc(-c2ccccc2)n1</v>
      </c>
      <c r="C14111" s="7">
        <f>IFERROR(__xludf.DUMMYFUNCTION("""COMPUTED_VALUE"""),7.7506657)</f>
        <v>7.7506657</v>
      </c>
      <c r="D14111" s="7">
        <f>IFERROR(__xludf.DUMMYFUNCTION("""COMPUTED_VALUE"""),0.270833333333333)</f>
        <v>0.2708333333</v>
      </c>
    </row>
    <row r="14112">
      <c r="A14112" s="10" t="s">
        <v>15551</v>
      </c>
      <c r="B14112" s="7" t="str">
        <f>IFERROR(__xludf.DUMMYFUNCTION("SPLIT(A14112,"" "")"),"CN(C)Cc1cnc2cc(N(C)CCN(C)C(C)(C)C)ccc2c1")</f>
        <v>CN(C)Cc1cnc2cc(N(C)CCN(C)C(C)(C)C)ccc2c1</v>
      </c>
      <c r="C14112" s="7">
        <f>IFERROR(__xludf.DUMMYFUNCTION("""COMPUTED_VALUE"""),7.750665)</f>
        <v>7.750665</v>
      </c>
      <c r="D14112" s="7">
        <f>IFERROR(__xludf.DUMMYFUNCTION("""COMPUTED_VALUE"""),0.245283018867924)</f>
        <v>0.2452830189</v>
      </c>
    </row>
    <row r="14113">
      <c r="A14113" s="10" t="s">
        <v>15552</v>
      </c>
      <c r="B14113" s="7" t="str">
        <f>IFERROR(__xludf.DUMMYFUNCTION("SPLIT(A14113,"" "")"),"CCC(C)N(Cc1ccccn1)Cc1cccc(-c2ccccc2N(C)Cc2ccccn2)n1")</f>
        <v>CCC(C)N(Cc1ccccn1)Cc1cccc(-c2ccccc2N(C)Cc2ccccn2)n1</v>
      </c>
      <c r="C14113" s="7">
        <f>IFERROR(__xludf.DUMMYFUNCTION("""COMPUTED_VALUE"""),7.7506638)</f>
        <v>7.7506638</v>
      </c>
      <c r="D14113" s="7">
        <f>IFERROR(__xludf.DUMMYFUNCTION("""COMPUTED_VALUE"""),0.490196078431372)</f>
        <v>0.4901960784</v>
      </c>
    </row>
    <row r="14114">
      <c r="A14114" s="10" t="s">
        <v>15553</v>
      </c>
      <c r="B14114" s="7" t="str">
        <f>IFERROR(__xludf.DUMMYFUNCTION("SPLIT(A14114,"" "")"),"Cc1cc(C)nc(NC2CCCCC2N(C)c2cccc3ncccc23)c1")</f>
        <v>Cc1cc(C)nc(NC2CCCCC2N(C)c2cccc3ncccc23)c1</v>
      </c>
      <c r="C14114" s="7">
        <f>IFERROR(__xludf.DUMMYFUNCTION("""COMPUTED_VALUE"""),7.7506623)</f>
        <v>7.7506623</v>
      </c>
      <c r="D14114" s="7">
        <f>IFERROR(__xludf.DUMMYFUNCTION("""COMPUTED_VALUE"""),0.43103448275862)</f>
        <v>0.4310344828</v>
      </c>
    </row>
    <row r="14115">
      <c r="A14115" s="10" t="s">
        <v>15554</v>
      </c>
      <c r="B14115" s="7" t="str">
        <f>IFERROR(__xludf.DUMMYFUNCTION("SPLIT(A14115,"" "")"),"Cc1cnc(CN(C)C2=CCC=C(CN(C)Cc3ncccc3C)N2)c(C)c1")</f>
        <v>Cc1cnc(CN(C)C2=CCC=C(CN(C)Cc3ncccc3C)N2)c(C)c1</v>
      </c>
      <c r="C14115" s="7">
        <f>IFERROR(__xludf.DUMMYFUNCTION("""COMPUTED_VALUE"""),7.7506576)</f>
        <v>7.7506576</v>
      </c>
      <c r="D14115" s="7">
        <f>IFERROR(__xludf.DUMMYFUNCTION("""COMPUTED_VALUE"""),0.254237288135593)</f>
        <v>0.2542372881</v>
      </c>
    </row>
    <row r="14116">
      <c r="A14116" s="10" t="s">
        <v>15555</v>
      </c>
      <c r="B14116" s="7" t="str">
        <f>IFERROR(__xludf.DUMMYFUNCTION("SPLIT(A14116,"" "")"),"CC1(C)COC(c2ccc(CN(Cc3cccc(-c4ccc5c(c4)OCCOCCOCCOCCOCCO5)n3)Cc3ccc4ccc5cccnc5c4n3)cn2)=N1")</f>
        <v>CC1(C)COC(c2ccc(CN(Cc3cccc(-c4ccc5c(c4)OCCOCCOCCOCCOCCO5)n3)Cc3ccc4ccc5cccnc5c4n3)cn2)=N1</v>
      </c>
      <c r="C14116" s="7">
        <f>IFERROR(__xludf.DUMMYFUNCTION("""COMPUTED_VALUE"""),7.7506356)</f>
        <v>7.7506356</v>
      </c>
      <c r="D14116" s="7">
        <f>IFERROR(__xludf.DUMMYFUNCTION("""COMPUTED_VALUE"""),0.342465753424657)</f>
        <v>0.3424657534</v>
      </c>
    </row>
    <row r="14117">
      <c r="A14117" s="10" t="s">
        <v>15556</v>
      </c>
      <c r="B14117" s="7" t="str">
        <f>IFERROR(__xludf.DUMMYFUNCTION("SPLIT(A14117,"" "")"),"CC(C)C1=CC2(C=CN1)CC(c1cccc(CN(Cc3ccccn3)C3CCC(N(C)c4ccc5nc(CF)ccc5c4)CC3)n1)C1C=CC=NC1=C2c1ccccn1")</f>
        <v>CC(C)C1=CC2(C=CN1)CC(c1cccc(CN(Cc3ccccn3)C3CCC(N(C)c4ccc5nc(CF)ccc5c4)CC3)n1)C1C=CC=NC1=C2c1ccccn1</v>
      </c>
      <c r="C14117" s="7">
        <f>IFERROR(__xludf.DUMMYFUNCTION("""COMPUTED_VALUE"""),7.7506146)</f>
        <v>7.7506146</v>
      </c>
      <c r="D14117" s="7">
        <f>IFERROR(__xludf.DUMMYFUNCTION("""COMPUTED_VALUE"""),0.270833333333333)</f>
        <v>0.2708333333</v>
      </c>
    </row>
    <row r="14118">
      <c r="A14118" s="10" t="s">
        <v>15557</v>
      </c>
      <c r="B14118" s="7" t="str">
        <f>IFERROR(__xludf.DUMMYFUNCTION("SPLIT(A14118,"" "")"),"Cc1ccc(CN(C)Cc2ncccc2N(C)Cc2ccc(C)nc2)nc1")</f>
        <v>Cc1ccc(CN(C)Cc2ncccc2N(C)Cc2ccc(C)nc2)nc1</v>
      </c>
      <c r="C14118" s="7">
        <f>IFERROR(__xludf.DUMMYFUNCTION("""COMPUTED_VALUE"""),7.7506123)</f>
        <v>7.7506123</v>
      </c>
      <c r="D14118" s="7">
        <f>IFERROR(__xludf.DUMMYFUNCTION("""COMPUTED_VALUE"""),0.468085106382978)</f>
        <v>0.4680851064</v>
      </c>
    </row>
    <row r="14119">
      <c r="A14119" s="10" t="s">
        <v>15558</v>
      </c>
      <c r="B14119" s="7" t="str">
        <f>IFERROR(__xludf.DUMMYFUNCTION("SPLIT(A14119,"" "")"),"Cc1ccnc2ccc(N(C)C3CCCCC3N(Cc3ccccn3)Cc3cccc(-c4ccccc4)n3)cc12")</f>
        <v>Cc1ccnc2ccc(N(C)C3CCCCC3N(Cc3ccccn3)Cc3cccc(-c4ccccc4)n3)cc12</v>
      </c>
      <c r="C14119" s="7">
        <f>IFERROR(__xludf.DUMMYFUNCTION("""COMPUTED_VALUE"""),7.7506065)</f>
        <v>7.7506065</v>
      </c>
      <c r="D14119" s="7">
        <f>IFERROR(__xludf.DUMMYFUNCTION("""COMPUTED_VALUE"""),0.40625)</f>
        <v>0.40625</v>
      </c>
    </row>
    <row r="14120">
      <c r="A14120" s="10" t="s">
        <v>15559</v>
      </c>
      <c r="B14120" s="7" t="str">
        <f>IFERROR(__xludf.DUMMYFUNCTION("SPLIT(A14120,"" "")"),"CC(C)N(C(C)C)C(C)(N)N(Cc1ccccn1)CN(C)c1ccc2ncccc2c1")</f>
        <v>CC(C)N(C(C)C)C(C)(N)N(Cc1ccccn1)CN(C)c1ccc2ncccc2c1</v>
      </c>
      <c r="C14120" s="7">
        <f>IFERROR(__xludf.DUMMYFUNCTION("""COMPUTED_VALUE"""),7.7506037)</f>
        <v>7.7506037</v>
      </c>
      <c r="D14120" s="7">
        <f>IFERROR(__xludf.DUMMYFUNCTION("""COMPUTED_VALUE"""),0.375)</f>
        <v>0.375</v>
      </c>
    </row>
    <row r="14121">
      <c r="A14121" s="10" t="s">
        <v>15560</v>
      </c>
      <c r="B14121" s="7" t="str">
        <f>IFERROR(__xludf.DUMMYFUNCTION("SPLIT(A14121,"" "")"),"Cc1ccnc(CN(C)c2cccc(CN(C)Cc3ncccc3C)n2)c1")</f>
        <v>Cc1ccnc(CN(C)c2cccc(CN(C)Cc3ncccc3C)n2)c1</v>
      </c>
      <c r="C14121" s="7">
        <f>IFERROR(__xludf.DUMMYFUNCTION("""COMPUTED_VALUE"""),7.750598)</f>
        <v>7.750598</v>
      </c>
      <c r="D14121" s="7">
        <f>IFERROR(__xludf.DUMMYFUNCTION("""COMPUTED_VALUE"""),0.407407407407407)</f>
        <v>0.4074074074</v>
      </c>
    </row>
    <row r="14122">
      <c r="A14122" s="10" t="s">
        <v>15561</v>
      </c>
      <c r="B14122" s="7" t="str">
        <f>IFERROR(__xludf.DUMMYFUNCTION("SPLIT(A14122,"" "")"),"Cc1ccc(CN(C)C2=CCC=C(CN(C)Cc3cc(C)c(C)c(C)n3)N2)nc1")</f>
        <v>Cc1ccc(CN(C)C2=CCC=C(CN(C)Cc3cc(C)c(C)c(C)n3)N2)nc1</v>
      </c>
      <c r="C14122" s="7">
        <f>IFERROR(__xludf.DUMMYFUNCTION("""COMPUTED_VALUE"""),7.7505817)</f>
        <v>7.7505817</v>
      </c>
      <c r="D14122" s="7">
        <f>IFERROR(__xludf.DUMMYFUNCTION("""COMPUTED_VALUE"""),0.407407407407407)</f>
        <v>0.4074074074</v>
      </c>
    </row>
    <row r="14123">
      <c r="A14123" s="10" t="s">
        <v>15562</v>
      </c>
      <c r="B14123" s="7" t="str">
        <f>IFERROR(__xludf.DUMMYFUNCTION("SPLIT(A14123,"" "")"),"Cc1ccc(CN(C)c2ccc(CN(Cc3ccccn3)Cc3ncccc3C)nc2)nc1")</f>
        <v>Cc1ccc(CN(C)c2ccc(CN(Cc3ccccn3)Cc3ncccc3C)nc2)nc1</v>
      </c>
      <c r="C14123" s="7">
        <f>IFERROR(__xludf.DUMMYFUNCTION("""COMPUTED_VALUE"""),7.750574)</f>
        <v>7.750574</v>
      </c>
      <c r="D14123" s="7">
        <f>IFERROR(__xludf.DUMMYFUNCTION("""COMPUTED_VALUE"""),0.444444444444444)</f>
        <v>0.4444444444</v>
      </c>
    </row>
    <row r="14124">
      <c r="A14124" s="10" t="s">
        <v>15563</v>
      </c>
      <c r="B14124" s="7" t="str">
        <f>IFERROR(__xludf.DUMMYFUNCTION("SPLIT(A14124,"" "")"),"Cc1ccc(CN(Cc2cccc(F)n2)Cc2ncccc2N(C)C)nc1C")</f>
        <v>Cc1ccc(CN(Cc2cccc(F)n2)Cc2ncccc2N(C)C)nc1C</v>
      </c>
      <c r="C14124" s="7">
        <f>IFERROR(__xludf.DUMMYFUNCTION("""COMPUTED_VALUE"""),7.7505693)</f>
        <v>7.7505693</v>
      </c>
      <c r="D14124" s="7">
        <f>IFERROR(__xludf.DUMMYFUNCTION("""COMPUTED_VALUE"""),0.363636363636363)</f>
        <v>0.3636363636</v>
      </c>
    </row>
    <row r="14125">
      <c r="A14125" s="10" t="s">
        <v>15564</v>
      </c>
      <c r="B14125" s="7" t="str">
        <f>IFERROR(__xludf.DUMMYFUNCTION("SPLIT(A14125,"" "")"),"Cc1cncc(CN(C)c2ccccc2F)c1")</f>
        <v>Cc1cncc(CN(C)c2ccccc2F)c1</v>
      </c>
      <c r="C14125" s="7">
        <f>IFERROR(__xludf.DUMMYFUNCTION("""COMPUTED_VALUE"""),7.7505693)</f>
        <v>7.7505693</v>
      </c>
      <c r="D14125" s="7">
        <f>IFERROR(__xludf.DUMMYFUNCTION("""COMPUTED_VALUE"""),0.3125)</f>
        <v>0.3125</v>
      </c>
    </row>
    <row r="14126">
      <c r="A14126" s="10" t="s">
        <v>15565</v>
      </c>
      <c r="B14126" s="7" t="str">
        <f>IFERROR(__xludf.DUMMYFUNCTION("SPLIT(A14126,"" "")"),"Cc1ccnc2ccc(N(C)CCN(CC(C)(C)C)C(C)C)cc12")</f>
        <v>Cc1ccnc2ccc(N(C)CCN(CC(C)(C)C)C(C)C)cc12</v>
      </c>
      <c r="C14126" s="7">
        <f>IFERROR(__xludf.DUMMYFUNCTION("""COMPUTED_VALUE"""),7.750568)</f>
        <v>7.750568</v>
      </c>
      <c r="D14126" s="7">
        <f>IFERROR(__xludf.DUMMYFUNCTION("""COMPUTED_VALUE"""),0.296296296296296)</f>
        <v>0.2962962963</v>
      </c>
    </row>
    <row r="14127">
      <c r="A14127" s="10" t="s">
        <v>15566</v>
      </c>
      <c r="B14127" s="7" t="str">
        <f>IFERROR(__xludf.DUMMYFUNCTION("SPLIT(A14127,"" "")"),"Cc1ccc(CN(C)Cc2ncccc2N(Cc2ncc(C)cc2C)C(C)C)nc1")</f>
        <v>Cc1ccc(CN(C)Cc2ncccc2N(Cc2ncc(C)cc2C)C(C)C)nc1</v>
      </c>
      <c r="C14127" s="7">
        <f>IFERROR(__xludf.DUMMYFUNCTION("""COMPUTED_VALUE"""),7.750563)</f>
        <v>7.750563</v>
      </c>
      <c r="D14127" s="7">
        <f>IFERROR(__xludf.DUMMYFUNCTION("""COMPUTED_VALUE"""),0.431372549019607)</f>
        <v>0.431372549</v>
      </c>
    </row>
    <row r="14128">
      <c r="A14128" s="10" t="s">
        <v>15567</v>
      </c>
      <c r="B14128" s="7" t="str">
        <f>IFERROR(__xludf.DUMMYFUNCTION("SPLIT(A14128,"" "")"),"Cc1cccnc1CN(C)CC1=CCC=C(N(C)Cc2cc(C)c(C)c(C)n2)N1")</f>
        <v>Cc1cccnc1CN(C)CC1=CCC=C(N(C)Cc2cc(C)c(C)c(C)n2)N1</v>
      </c>
      <c r="C14128" s="7">
        <f>IFERROR(__xludf.DUMMYFUNCTION("""COMPUTED_VALUE"""),7.7505617)</f>
        <v>7.7505617</v>
      </c>
      <c r="D14128" s="7">
        <f>IFERROR(__xludf.DUMMYFUNCTION("""COMPUTED_VALUE"""),0.265625)</f>
        <v>0.265625</v>
      </c>
    </row>
    <row r="14129">
      <c r="A14129" s="10" t="s">
        <v>15568</v>
      </c>
      <c r="B14129" s="7" t="str">
        <f>IFERROR(__xludf.DUMMYFUNCTION("SPLIT(A14129,"" "")"),"CC1=CC(C)CC(C(C)(C)c2ccccn2)=C1N(C)Cc1ccccn1")</f>
        <v>CC1=CC(C)CC(C(C)(C)c2ccccn2)=C1N(C)Cc1ccccn1</v>
      </c>
      <c r="C14129" s="7">
        <f>IFERROR(__xludf.DUMMYFUNCTION("""COMPUTED_VALUE"""),7.750554)</f>
        <v>7.750554</v>
      </c>
      <c r="D14129" s="7">
        <f>IFERROR(__xludf.DUMMYFUNCTION("""COMPUTED_VALUE"""),0.415094339622641)</f>
        <v>0.4150943396</v>
      </c>
    </row>
    <row r="14130">
      <c r="A14130" s="10" t="s">
        <v>15569</v>
      </c>
      <c r="B14130" s="7" t="str">
        <f>IFERROR(__xludf.DUMMYFUNCTION("SPLIT(A14130,"" "")"),"CN(Cc1ccccn1)c1cc(Cl)cc(Cl)c1N(C)Cc1ncccc1N(O)C1CCC(N(C)Cc2ccccn2)CC1")</f>
        <v>CN(Cc1ccccn1)c1cc(Cl)cc(Cl)c1N(C)Cc1ncccc1N(O)C1CCC(N(C)Cc2ccccn2)CC1</v>
      </c>
      <c r="C14130" s="7">
        <f>IFERROR(__xludf.DUMMYFUNCTION("""COMPUTED_VALUE"""),7.750552)</f>
        <v>7.750552</v>
      </c>
      <c r="D14130" s="7">
        <f>IFERROR(__xludf.DUMMYFUNCTION("""COMPUTED_VALUE"""),0.457627118644067)</f>
        <v>0.4576271186</v>
      </c>
    </row>
    <row r="14131">
      <c r="A14131" s="10" t="s">
        <v>15570</v>
      </c>
      <c r="B14131" s="7" t="str">
        <f>IFERROR(__xludf.DUMMYFUNCTION("SPLIT(A14131,"" "")"),"Cc1cc(C)c(CN(C)C2=C(CN(C)Cc3cc(C)c(C)c(C)n3)NC=CC2)nc1C")</f>
        <v>Cc1cc(C)c(CN(C)C2=C(CN(C)Cc3cc(C)c(C)c(C)n3)NC=CC2)nc1C</v>
      </c>
      <c r="C14131" s="7">
        <f>IFERROR(__xludf.DUMMYFUNCTION("""COMPUTED_VALUE"""),7.750542)</f>
        <v>7.750542</v>
      </c>
      <c r="D14131" s="7">
        <f>IFERROR(__xludf.DUMMYFUNCTION("""COMPUTED_VALUE"""),0.21311475409836)</f>
        <v>0.2131147541</v>
      </c>
    </row>
    <row r="14132">
      <c r="A14132" s="10" t="s">
        <v>15571</v>
      </c>
      <c r="B14132" s="7" t="str">
        <f>IFERROR(__xludf.DUMMYFUNCTION("SPLIT(A14132,"" "")"),"CCNCc1ccc2ncccc2c1")</f>
        <v>CCNCc1ccc2ncccc2c1</v>
      </c>
      <c r="C14132" s="7">
        <f>IFERROR(__xludf.DUMMYFUNCTION("""COMPUTED_VALUE"""),7.750539)</f>
        <v>7.750539</v>
      </c>
      <c r="D14132" s="7">
        <f>IFERROR(__xludf.DUMMYFUNCTION("""COMPUTED_VALUE"""),0.292682926829268)</f>
        <v>0.2926829268</v>
      </c>
    </row>
    <row r="14133">
      <c r="A14133" s="10" t="s">
        <v>15572</v>
      </c>
      <c r="B14133" s="7" t="str">
        <f>IFERROR(__xludf.DUMMYFUNCTION("SPLIT(A14133,"" "")"),"Cc1cc(CN(C)Cc2ccc(N(C)C)cn2)ccn1")</f>
        <v>Cc1cc(CN(C)Cc2ccc(N(C)C)cn2)ccn1</v>
      </c>
      <c r="C14133" s="7">
        <f>IFERROR(__xludf.DUMMYFUNCTION("""COMPUTED_VALUE"""),7.7505374)</f>
        <v>7.7505374</v>
      </c>
      <c r="D14133" s="7">
        <f>IFERROR(__xludf.DUMMYFUNCTION("""COMPUTED_VALUE"""),0.41860465116279)</f>
        <v>0.4186046512</v>
      </c>
    </row>
    <row r="14134">
      <c r="A14134" s="10" t="s">
        <v>15573</v>
      </c>
      <c r="B14134" s="7" t="str">
        <f>IFERROR(__xludf.DUMMYFUNCTION("SPLIT(A14134,"" "")"),"CN(CCF)CN(Cc1ccccn1)c1ccc2nccc(CN(C)C(C)(C)c3ccccn3)c2c1")</f>
        <v>CN(CCF)CN(Cc1ccccn1)c1ccc2nccc(CN(C)C(C)(C)c3ccccn3)c2c1</v>
      </c>
      <c r="C14134" s="7">
        <f>IFERROR(__xludf.DUMMYFUNCTION("""COMPUTED_VALUE"""),7.7505345)</f>
        <v>7.7505345</v>
      </c>
      <c r="D14134" s="7">
        <f>IFERROR(__xludf.DUMMYFUNCTION("""COMPUTED_VALUE"""),0.328125)</f>
        <v>0.328125</v>
      </c>
    </row>
    <row r="14135">
      <c r="A14135" s="10" t="s">
        <v>15574</v>
      </c>
      <c r="B14135" s="7" t="str">
        <f>IFERROR(__xludf.DUMMYFUNCTION("SPLIT(A14135,"" "")"),"Cc1cccc(CN(Cc2ccc(N(C)C)cn2)Cc2ncccc2F)n1")</f>
        <v>Cc1cccc(CN(Cc2ccc(N(C)C)cn2)Cc2ncccc2F)n1</v>
      </c>
      <c r="C14135" s="7">
        <f>IFERROR(__xludf.DUMMYFUNCTION("""COMPUTED_VALUE"""),7.750531)</f>
        <v>7.750531</v>
      </c>
      <c r="D14135" s="7">
        <f>IFERROR(__xludf.DUMMYFUNCTION("""COMPUTED_VALUE"""),0.428571428571428)</f>
        <v>0.4285714286</v>
      </c>
    </row>
    <row r="14136">
      <c r="A14136" s="10" t="s">
        <v>15575</v>
      </c>
      <c r="B14136" s="7" t="str">
        <f>IFERROR(__xludf.DUMMYFUNCTION("SPLIT(A14136,"" "")"),"Cc1ccc(CN(C)CCN(Cc2ccccn2)Cc2cc(-c3cccc(N(C)C)c3)ccn2)nc1")</f>
        <v>Cc1ccc(CN(C)CCN(Cc2ccccn2)Cc2cc(-c3cccc(N(C)C)c3)ccn2)nc1</v>
      </c>
      <c r="C14136" s="7">
        <f>IFERROR(__xludf.DUMMYFUNCTION("""COMPUTED_VALUE"""),7.750521)</f>
        <v>7.750521</v>
      </c>
      <c r="D14136" s="7">
        <f>IFERROR(__xludf.DUMMYFUNCTION("""COMPUTED_VALUE"""),0.490196078431372)</f>
        <v>0.4901960784</v>
      </c>
    </row>
    <row r="14137">
      <c r="A14137" s="10" t="s">
        <v>15576</v>
      </c>
      <c r="B14137" s="7" t="str">
        <f>IFERROR(__xludf.DUMMYFUNCTION("SPLIT(A14137,"" "")"),"CC1=CC(C)C2(C(C)C1)C(c1cccc(CN(Cc3ccccn3)C3CCC(N(C)c4ccc5ncc(CN(C)C)cc5c4)CC3)n1)C=CC1(C=C(C)C(C)CC1)C2c1ccc(CN(Cc2ccccn2)Cc2ccc(-c3ccc4ncccc4c3)cn2)cn1")</f>
        <v>CC1=CC(C)C2(C(C)C1)C(c1cccc(CN(Cc3ccccn3)C3CCC(N(C)c4ccc5ncc(CN(C)C)cc5c4)CC3)n1)C=CC1(C=C(C)C(C)CC1)C2c1ccc(CN(Cc2ccccn2)Cc2ccc(-c3ccc4ncccc4c3)cn2)cn1</v>
      </c>
      <c r="C14137" s="7">
        <f>IFERROR(__xludf.DUMMYFUNCTION("""COMPUTED_VALUE"""),7.750512)</f>
        <v>7.750512</v>
      </c>
      <c r="D14137" s="7">
        <f>IFERROR(__xludf.DUMMYFUNCTION("""COMPUTED_VALUE"""),0.223140495867768)</f>
        <v>0.2231404959</v>
      </c>
    </row>
    <row r="14138">
      <c r="A14138" s="10" t="s">
        <v>15577</v>
      </c>
      <c r="B14138" s="7" t="str">
        <f>IFERROR(__xludf.DUMMYFUNCTION("SPLIT(A14138,"" "")"),"Cc1ccc(C)c(CN(C)CC2=CCC=C(N(C)Cc3ncc(C)c(C)c3C)N2)n1")</f>
        <v>Cc1ccc(C)c(CN(C)CC2=CCC=C(N(C)Cc3ncc(C)c(C)c3C)N2)n1</v>
      </c>
      <c r="C14138" s="7">
        <f>IFERROR(__xludf.DUMMYFUNCTION("""COMPUTED_VALUE"""),7.7505107)</f>
        <v>7.7505107</v>
      </c>
      <c r="D14138" s="7">
        <f>IFERROR(__xludf.DUMMYFUNCTION("""COMPUTED_VALUE"""),0.233333333333333)</f>
        <v>0.2333333333</v>
      </c>
    </row>
    <row r="14139">
      <c r="A14139" s="10" t="s">
        <v>15578</v>
      </c>
      <c r="B14139" s="7" t="str">
        <f>IFERROR(__xludf.DUMMYFUNCTION("SPLIT(A14139,"" "")"),"Cc1cncc(CN(C)CC2=CCC=C(N(C)Cc3nc(C)c(C)cc3C)N2)c1")</f>
        <v>Cc1cncc(CN(C)CC2=CCC=C(N(C)Cc3nc(C)c(C)cc3C)N2)c1</v>
      </c>
      <c r="C14139" s="7">
        <f>IFERROR(__xludf.DUMMYFUNCTION("""COMPUTED_VALUE"""),7.7505054)</f>
        <v>7.7505054</v>
      </c>
      <c r="D14139" s="7">
        <f>IFERROR(__xludf.DUMMYFUNCTION("""COMPUTED_VALUE"""),0.19047619047619)</f>
        <v>0.1904761905</v>
      </c>
    </row>
    <row r="14140">
      <c r="A14140" s="10" t="s">
        <v>15579</v>
      </c>
      <c r="B14140" s="7" t="str">
        <f>IFERROR(__xludf.DUMMYFUNCTION("SPLIT(A14140,"" "")"),"Cc1ccc(CN(C)c2cccnc2CN(Cc2ccccn2)Cc2ccc(N)cn2)nc1")</f>
        <v>Cc1ccc(CN(C)c2cccnc2CN(Cc2ccccn2)Cc2ccc(N)cn2)nc1</v>
      </c>
      <c r="C14140" s="7">
        <f>IFERROR(__xludf.DUMMYFUNCTION("""COMPUTED_VALUE"""),7.750496)</f>
        <v>7.750496</v>
      </c>
      <c r="D14140" s="7">
        <f>IFERROR(__xludf.DUMMYFUNCTION("""COMPUTED_VALUE"""),0.433962264150943)</f>
        <v>0.4339622642</v>
      </c>
    </row>
    <row r="14141">
      <c r="A14141" s="10" t="s">
        <v>15580</v>
      </c>
      <c r="B14141" s="7" t="str">
        <f>IFERROR(__xludf.DUMMYFUNCTION("SPLIT(A14141,"" "")"),"CN(C)Cc1cncc2c(N(C)CCN(C)C(C)(C)C)cccc12")</f>
        <v>CN(C)Cc1cncc2c(N(C)CCN(C)C(C)(C)C)cccc12</v>
      </c>
      <c r="C14141" s="7">
        <f>IFERROR(__xludf.DUMMYFUNCTION("""COMPUTED_VALUE"""),7.750494)</f>
        <v>7.750494</v>
      </c>
      <c r="D14141" s="7">
        <f>IFERROR(__xludf.DUMMYFUNCTION("""COMPUTED_VALUE"""),0.346938775510204)</f>
        <v>0.3469387755</v>
      </c>
    </row>
    <row r="14142">
      <c r="A14142" s="10" t="s">
        <v>15581</v>
      </c>
      <c r="B14142" s="7" t="str">
        <f>IFERROR(__xludf.DUMMYFUNCTION("SPLIT(A14142,"" "")"),"Cc1ccc(CN(Cc2ccccn2)Cc2ncccc2N(C)C)nc1C")</f>
        <v>Cc1ccc(CN(Cc2ccccn2)Cc2ncccc2N(C)C)nc1C</v>
      </c>
      <c r="C14142" s="7">
        <f>IFERROR(__xludf.DUMMYFUNCTION("""COMPUTED_VALUE"""),7.750487)</f>
        <v>7.750487</v>
      </c>
      <c r="D14142" s="7">
        <f>IFERROR(__xludf.DUMMYFUNCTION("""COMPUTED_VALUE"""),0.476190476190476)</f>
        <v>0.4761904762</v>
      </c>
    </row>
    <row r="14143">
      <c r="A14143" s="10" t="s">
        <v>15582</v>
      </c>
      <c r="B14143" s="7" t="str">
        <f>IFERROR(__xludf.DUMMYFUNCTION("SPLIT(A14143,"" "")"),"Cc1ccnc(CN(C)Cc2ccc(N(C)C)cn2)c1")</f>
        <v>Cc1ccnc(CN(C)Cc2ccc(N(C)C)cn2)c1</v>
      </c>
      <c r="C14143" s="7">
        <f>IFERROR(__xludf.DUMMYFUNCTION("""COMPUTED_VALUE"""),7.7504864)</f>
        <v>7.7504864</v>
      </c>
      <c r="D14143" s="7">
        <f>IFERROR(__xludf.DUMMYFUNCTION("""COMPUTED_VALUE"""),0.475)</f>
        <v>0.475</v>
      </c>
    </row>
    <row r="14144">
      <c r="A14144" s="10" t="s">
        <v>15583</v>
      </c>
      <c r="B14144" s="7" t="str">
        <f>IFERROR(__xludf.DUMMYFUNCTION("SPLIT(A14144,"" "")"),"Cc1cccc(CN(C)Cc2cccc(N(C)C(C)(C)c3ccc(CN(C)Cc4ncc(C)c(C)c4C)nc3)n2)n1")</f>
        <v>Cc1cccc(CN(C)Cc2cccc(N(C)C(C)(C)c3ccc(CN(C)Cc4ncc(C)c(C)c4C)nc3)n2)n1</v>
      </c>
      <c r="C14144" s="7">
        <f>IFERROR(__xludf.DUMMYFUNCTION("""COMPUTED_VALUE"""),7.7504783)</f>
        <v>7.7504783</v>
      </c>
      <c r="D14144" s="7">
        <f>IFERROR(__xludf.DUMMYFUNCTION("""COMPUTED_VALUE"""),0.407407407407407)</f>
        <v>0.4074074074</v>
      </c>
    </row>
    <row r="14145">
      <c r="A14145" s="10" t="s">
        <v>15584</v>
      </c>
      <c r="B14145" s="7" t="str">
        <f>IFERROR(__xludf.DUMMYFUNCTION("SPLIT(A14145,"" "")"),"CNCC1=CCC=C(N(C)Cc2nc(C)c(C)c(C)c2C)N1")</f>
        <v>CNCC1=CCC=C(N(C)Cc2nc(C)c(C)c(C)c2C)N1</v>
      </c>
      <c r="C14145" s="7">
        <f>IFERROR(__xludf.DUMMYFUNCTION("""COMPUTED_VALUE"""),7.750468)</f>
        <v>7.750468</v>
      </c>
      <c r="D14145" s="7">
        <f>IFERROR(__xludf.DUMMYFUNCTION("""COMPUTED_VALUE"""),0.2)</f>
        <v>0.2</v>
      </c>
    </row>
    <row r="14146">
      <c r="A14146" s="10" t="s">
        <v>15585</v>
      </c>
      <c r="B14146" s="7" t="str">
        <f>IFERROR(__xludf.DUMMYFUNCTION("SPLIT(A14146,"" "")"),"Fc1ccccc1NCc1ncccc1C(c1ccccc1)c1ccccn1")</f>
        <v>Fc1ccccc1NCc1ncccc1C(c1ccccc1)c1ccccn1</v>
      </c>
      <c r="C14146" s="7">
        <f>IFERROR(__xludf.DUMMYFUNCTION("""COMPUTED_VALUE"""),7.7504654)</f>
        <v>7.7504654</v>
      </c>
      <c r="D14146" s="7">
        <f>IFERROR(__xludf.DUMMYFUNCTION("""COMPUTED_VALUE"""),0.288135593220339)</f>
        <v>0.2881355932</v>
      </c>
    </row>
    <row r="14147">
      <c r="A14147" s="10" t="s">
        <v>15586</v>
      </c>
      <c r="B14147" s="7" t="str">
        <f>IFERROR(__xludf.DUMMYFUNCTION("SPLIT(A14147,"" "")"),"Cc1ccc(CN(C)C2=CCC=C(CN(C)Cc3nc(C)c(C)c(C)c3C)N2)nc1")</f>
        <v>Cc1ccc(CN(C)C2=CCC=C(CN(C)Cc3nc(C)c(C)c(C)c3C)N2)nc1</v>
      </c>
      <c r="C14147" s="7">
        <f>IFERROR(__xludf.DUMMYFUNCTION("""COMPUTED_VALUE"""),7.7504554)</f>
        <v>7.7504554</v>
      </c>
      <c r="D14147" s="7">
        <f>IFERROR(__xludf.DUMMYFUNCTION("""COMPUTED_VALUE"""),0.388888888888888)</f>
        <v>0.3888888889</v>
      </c>
    </row>
    <row r="14148">
      <c r="A14148" s="10" t="s">
        <v>15587</v>
      </c>
      <c r="B14148" s="7" t="str">
        <f>IFERROR(__xludf.DUMMYFUNCTION("SPLIT(A14148,"" "")"),"CCC1=NC(c2cccc(CNCc3cccc(C(C)(c4ccccn4)c4ccccn4)n3)c2)CO1")</f>
        <v>CCC1=NC(c2cccc(CNCc3cccc(C(C)(c4ccccn4)c4ccccn4)n3)c2)CO1</v>
      </c>
      <c r="C14148" s="7">
        <f>IFERROR(__xludf.DUMMYFUNCTION("""COMPUTED_VALUE"""),7.7504396)</f>
        <v>7.7504396</v>
      </c>
      <c r="D14148" s="7">
        <f>IFERROR(__xludf.DUMMYFUNCTION("""COMPUTED_VALUE"""),0.36231884057971)</f>
        <v>0.3623188406</v>
      </c>
    </row>
    <row r="14149">
      <c r="A14149" s="10" t="s">
        <v>15588</v>
      </c>
      <c r="B14149" s="7" t="str">
        <f>IFERROR(__xludf.DUMMYFUNCTION("SPLIT(A14149,"" "")"),"Cc1cc(C)c(CN(C)C2=CCC=C(CN(C)Cc3ncccc3C)N2)nc1C")</f>
        <v>Cc1cc(C)c(CN(C)C2=CCC=C(CN(C)Cc3ncccc3C)N2)nc1C</v>
      </c>
      <c r="C14149" s="7">
        <f>IFERROR(__xludf.DUMMYFUNCTION("""COMPUTED_VALUE"""),7.7504272)</f>
        <v>7.7504272</v>
      </c>
      <c r="D14149" s="7">
        <f>IFERROR(__xludf.DUMMYFUNCTION("""COMPUTED_VALUE"""),0.253968253968253)</f>
        <v>0.253968254</v>
      </c>
    </row>
    <row r="14150">
      <c r="A14150" s="10" t="s">
        <v>15589</v>
      </c>
      <c r="B14150" s="7" t="str">
        <f>IFERROR(__xludf.DUMMYFUNCTION("SPLIT(A14150,"" "")"),"CC(C)N(C)CCN(C)c1cccc2nc(CF)ccc12")</f>
        <v>CC(C)N(C)CCN(C)c1cccc2nc(CF)ccc12</v>
      </c>
      <c r="C14150" s="7">
        <f>IFERROR(__xludf.DUMMYFUNCTION("""COMPUTED_VALUE"""),7.7504244)</f>
        <v>7.7504244</v>
      </c>
      <c r="D14150" s="7">
        <f>IFERROR(__xludf.DUMMYFUNCTION("""COMPUTED_VALUE"""),0.375)</f>
        <v>0.375</v>
      </c>
    </row>
    <row r="14151">
      <c r="A14151" s="10" t="s">
        <v>15590</v>
      </c>
      <c r="B14151" s="7" t="str">
        <f>IFERROR(__xludf.DUMMYFUNCTION("SPLIT(A14151,"" "")"),"CC1=CC(C)C(C)C2(C1)C(c1cccc(CN(Cc3ccccn3)Cc3ccccn3)n1)C(c1ccc(CN(Cc3ccccn3)c3ccc4ncccc4c3)cn1)C=CC21C=CNC(C(C)C)=C1")</f>
        <v>CC1=CC(C)C(C)C2(C1)C(c1cccc(CN(Cc3ccccn3)Cc3ccccn3)n1)C(c1ccc(CN(Cc3ccccn3)c3ccc4ncccc4c3)cn1)C=CC21C=CNC(C(C)C)=C1</v>
      </c>
      <c r="C14151" s="7">
        <f>IFERROR(__xludf.DUMMYFUNCTION("""COMPUTED_VALUE"""),7.7504177)</f>
        <v>7.7504177</v>
      </c>
      <c r="D14151" s="7">
        <f>IFERROR(__xludf.DUMMYFUNCTION("""COMPUTED_VALUE"""),0.247619047619047)</f>
        <v>0.2476190476</v>
      </c>
    </row>
    <row r="14152">
      <c r="A14152" s="10" t="s">
        <v>15591</v>
      </c>
      <c r="B14152" s="7" t="str">
        <f>IFERROR(__xludf.DUMMYFUNCTION("SPLIT(A14152,"" "")"),"Cc1cncc(CN(C)CC2=CCC=C(N(C)Cc3cc(C)c(C)c(C)n3)N2)c1")</f>
        <v>Cc1cncc(CN(C)CC2=CCC=C(N(C)Cc3cc(C)c(C)c(C)n3)N2)c1</v>
      </c>
      <c r="C14152" s="7">
        <f>IFERROR(__xludf.DUMMYFUNCTION("""COMPUTED_VALUE"""),7.7504077)</f>
        <v>7.7504077</v>
      </c>
      <c r="D14152" s="7">
        <f>IFERROR(__xludf.DUMMYFUNCTION("""COMPUTED_VALUE"""),0.206349206349206)</f>
        <v>0.2063492063</v>
      </c>
    </row>
    <row r="14153">
      <c r="A14153" s="10" t="s">
        <v>15592</v>
      </c>
      <c r="B14153" s="7" t="str">
        <f>IFERROR(__xludf.DUMMYFUNCTION("SPLIT(A14153,"" "")"),"C1=CC(NCc2ccccn2)=C(c2ccccc2)CN1")</f>
        <v>C1=CC(NCc2ccccn2)=C(c2ccccc2)CN1</v>
      </c>
      <c r="C14153" s="7">
        <f>IFERROR(__xludf.DUMMYFUNCTION("""COMPUTED_VALUE"""),7.750407)</f>
        <v>7.750407</v>
      </c>
      <c r="D14153" s="7">
        <f>IFERROR(__xludf.DUMMYFUNCTION("""COMPUTED_VALUE"""),0.407407407407407)</f>
        <v>0.4074074074</v>
      </c>
    </row>
    <row r="14154">
      <c r="A14154" s="10" t="s">
        <v>15593</v>
      </c>
      <c r="B14154" s="7" t="str">
        <f>IFERROR(__xludf.DUMMYFUNCTION("SPLIT(A14154,"" "")"),"CC(C)N(C)CCN(C)c1cccc2ncc(CF)cc12")</f>
        <v>CC(C)N(C)CCN(C)c1cccc2ncc(CF)cc12</v>
      </c>
      <c r="C14154" s="7">
        <f>IFERROR(__xludf.DUMMYFUNCTION("""COMPUTED_VALUE"""),7.7504063)</f>
        <v>7.7504063</v>
      </c>
      <c r="D14154" s="7">
        <f>IFERROR(__xludf.DUMMYFUNCTION("""COMPUTED_VALUE"""),0.36)</f>
        <v>0.36</v>
      </c>
    </row>
    <row r="14155">
      <c r="A14155" s="10" t="s">
        <v>15594</v>
      </c>
      <c r="B14155" s="7" t="str">
        <f>IFERROR(__xludf.DUMMYFUNCTION("SPLIT(A14155,"" "")"),"CCN(Cc1ccccn1)Cc1ccc2cccc(N(C)CCF)c2n1")</f>
        <v>CCN(Cc1ccccn1)Cc1ccc2cccc(N(C)CCF)c2n1</v>
      </c>
      <c r="C14155" s="7">
        <f>IFERROR(__xludf.DUMMYFUNCTION("""COMPUTED_VALUE"""),7.7503963)</f>
        <v>7.7503963</v>
      </c>
      <c r="D14155" s="7">
        <f>IFERROR(__xludf.DUMMYFUNCTION("""COMPUTED_VALUE"""),0.490196078431372)</f>
        <v>0.4901960784</v>
      </c>
    </row>
    <row r="14156">
      <c r="A14156" s="10" t="s">
        <v>15595</v>
      </c>
      <c r="B14156" s="7" t="str">
        <f>IFERROR(__xludf.DUMMYFUNCTION("SPLIT(A14156,"" "")"),"Cc1ccc(CN(C)c2ccc(CN(Cc3ccccn3)Cc3ccc(N)cn3)nc2)nc1")</f>
        <v>Cc1ccc(CN(C)c2ccc(CN(Cc3ccccn3)Cc3ccc(N)cn3)nc2)nc1</v>
      </c>
      <c r="C14156" s="7">
        <f>IFERROR(__xludf.DUMMYFUNCTION("""COMPUTED_VALUE"""),7.7503834)</f>
        <v>7.7503834</v>
      </c>
      <c r="D14156" s="7">
        <f>IFERROR(__xludf.DUMMYFUNCTION("""COMPUTED_VALUE"""),0.465116279069767)</f>
        <v>0.4651162791</v>
      </c>
    </row>
    <row r="14157">
      <c r="A14157" s="10" t="s">
        <v>15596</v>
      </c>
      <c r="B14157" s="7" t="str">
        <f>IFERROR(__xludf.DUMMYFUNCTION("SPLIT(A14157,"" "")"),"CC1C=CC(C)C(C)(c2cccc(CN(Cc3ccccn3)Cc3ccc(-c4cccc(N(C)C)c4)cn3)n2)C1")</f>
        <v>CC1C=CC(C)C(C)(c2cccc(CN(Cc3ccccn3)Cc3ccc(-c4cccc(N(C)C)c4)cn3)n2)C1</v>
      </c>
      <c r="C14157" s="7">
        <f>IFERROR(__xludf.DUMMYFUNCTION("""COMPUTED_VALUE"""),7.7503767)</f>
        <v>7.7503767</v>
      </c>
      <c r="D14157" s="7">
        <f>IFERROR(__xludf.DUMMYFUNCTION("""COMPUTED_VALUE"""),0.364864864864864)</f>
        <v>0.3648648649</v>
      </c>
    </row>
    <row r="14158">
      <c r="A14158" s="10" t="s">
        <v>15597</v>
      </c>
      <c r="B14158" s="7" t="str">
        <f>IFERROR(__xludf.DUMMYFUNCTION("SPLIT(A14158,"" "")"),"Cc1ccc(CN(C)c2ccc(CN(Cc3cccc(F)n3)Cc3cccc(F)n3)nc2)nc1")</f>
        <v>Cc1ccc(CN(C)c2ccc(CN(Cc3cccc(F)n3)Cc3cccc(F)n3)nc2)nc1</v>
      </c>
      <c r="C14158" s="7">
        <f>IFERROR(__xludf.DUMMYFUNCTION("""COMPUTED_VALUE"""),7.750375)</f>
        <v>7.750375</v>
      </c>
      <c r="D14158" s="7">
        <f>IFERROR(__xludf.DUMMYFUNCTION("""COMPUTED_VALUE"""),0.477272727272727)</f>
        <v>0.4772727273</v>
      </c>
    </row>
    <row r="14159">
      <c r="A14159" s="10" t="s">
        <v>15598</v>
      </c>
      <c r="B14159" s="7" t="str">
        <f>IFERROR(__xludf.DUMMYFUNCTION("SPLIT(A14159,"" "")"),"CC(C)N(C)CCN(Cc1ccccn1)c1cccc2ncccc12")</f>
        <v>CC(C)N(C)CCN(Cc1ccccn1)c1cccc2ncccc12</v>
      </c>
      <c r="C14159" s="7">
        <f>IFERROR(__xludf.DUMMYFUNCTION("""COMPUTED_VALUE"""),7.7503605)</f>
        <v>7.7503605</v>
      </c>
      <c r="D14159" s="7">
        <f>IFERROR(__xludf.DUMMYFUNCTION("""COMPUTED_VALUE"""),0.458333333333333)</f>
        <v>0.4583333333</v>
      </c>
    </row>
    <row r="14160">
      <c r="A14160" s="10" t="s">
        <v>15599</v>
      </c>
      <c r="B14160" s="7" t="str">
        <f>IFERROR(__xludf.DUMMYFUNCTION("SPLIT(A14160,"" "")"),"Cc1ccnc2cc(N(Cc3ccccn3)C3CCCCC3N(C)C3=CCC=CN3)ccc12")</f>
        <v>Cc1ccnc2cc(N(Cc3ccccn3)C3CCCCC3N(C)C3=CCC=CN3)ccc12</v>
      </c>
      <c r="C14160" s="7">
        <f>IFERROR(__xludf.DUMMYFUNCTION("""COMPUTED_VALUE"""),7.750359)</f>
        <v>7.750359</v>
      </c>
      <c r="D14160" s="7">
        <f>IFERROR(__xludf.DUMMYFUNCTION("""COMPUTED_VALUE"""),0.405797101449275)</f>
        <v>0.4057971014</v>
      </c>
    </row>
    <row r="14161">
      <c r="A14161" s="10" t="s">
        <v>15600</v>
      </c>
      <c r="B14161" s="7" t="str">
        <f>IFERROR(__xludf.DUMMYFUNCTION("SPLIT(A14161,"" "")"),"Cc1cncc(CN(C)CC2=CCC=C(N(C)Cc3cc(C)cc(C)n3)N2)c1")</f>
        <v>Cc1cncc(CN(C)CC2=CCC=C(N(C)Cc3cc(C)cc(C)n3)N2)c1</v>
      </c>
      <c r="C14161" s="7">
        <f>IFERROR(__xludf.DUMMYFUNCTION("""COMPUTED_VALUE"""),7.7503524)</f>
        <v>7.7503524</v>
      </c>
      <c r="D14161" s="7">
        <f>IFERROR(__xludf.DUMMYFUNCTION("""COMPUTED_VALUE"""),0.3)</f>
        <v>0.3</v>
      </c>
    </row>
    <row r="14162">
      <c r="A14162" s="10" t="s">
        <v>15601</v>
      </c>
      <c r="B14162" s="7" t="str">
        <f>IFERROR(__xludf.DUMMYFUNCTION("SPLIT(A14162,"" "")"),"Cc1ccccc1N(C)C1CCCC(N(C)c2cccc3ncc(CN(C)C)cc23)C1")</f>
        <v>Cc1ccccc1N(C)C1CCCC(N(C)c2cccc3ncc(CN(C)C)cc23)C1</v>
      </c>
      <c r="C14162" s="7">
        <f>IFERROR(__xludf.DUMMYFUNCTION("""COMPUTED_VALUE"""),7.750349)</f>
        <v>7.750349</v>
      </c>
      <c r="D14162" s="7">
        <f>IFERROR(__xludf.DUMMYFUNCTION("""COMPUTED_VALUE"""),0.274193548387096)</f>
        <v>0.2741935484</v>
      </c>
    </row>
    <row r="14163">
      <c r="A14163" s="10" t="s">
        <v>15602</v>
      </c>
      <c r="B14163" s="7" t="str">
        <f>IFERROR(__xludf.DUMMYFUNCTION("SPLIT(A14163,"" "")"),"CC(C)C1CC(c2cccc(CN(Cc3ccccn3)Cc3cccc(-c4ccccc4N=Cc4ccccn4)n3)n2)C1")</f>
        <v>CC(C)C1CC(c2cccc(CN(Cc3ccccn3)Cc3cccc(-c4ccccc4N=Cc4ccccn4)n3)n2)C1</v>
      </c>
      <c r="C14163" s="7">
        <f>IFERROR(__xludf.DUMMYFUNCTION("""COMPUTED_VALUE"""),7.750346)</f>
        <v>7.750346</v>
      </c>
      <c r="D14163" s="7">
        <f>IFERROR(__xludf.DUMMYFUNCTION("""COMPUTED_VALUE"""),0.375)</f>
        <v>0.375</v>
      </c>
    </row>
    <row r="14164">
      <c r="A14164" s="10" t="s">
        <v>15603</v>
      </c>
      <c r="B14164" s="7" t="str">
        <f>IFERROR(__xludf.DUMMYFUNCTION("SPLIT(A14164,"" "")"),"Cc1cnc(CN(C)C2=CCC=C(CN(C)Cc3cccc(C)n3)N2)c(C)c1")</f>
        <v>Cc1cnc(CN(C)C2=CCC=C(CN(C)Cc3cccc(C)n3)N2)c(C)c1</v>
      </c>
      <c r="C14164" s="7">
        <f>IFERROR(__xludf.DUMMYFUNCTION("""COMPUTED_VALUE"""),7.7503448)</f>
        <v>7.7503448</v>
      </c>
      <c r="D14164" s="7">
        <f>IFERROR(__xludf.DUMMYFUNCTION("""COMPUTED_VALUE"""),0.4)</f>
        <v>0.4</v>
      </c>
    </row>
    <row r="14165">
      <c r="A14165" s="10" t="s">
        <v>15604</v>
      </c>
      <c r="B14165" s="7" t="str">
        <f>IFERROR(__xludf.DUMMYFUNCTION("SPLIT(A14165,"" "")"),"CC(C)C1=CC(N(C)CCN(C)c2ccc3cccnc3c2)C=CN1")</f>
        <v>CC(C)C1=CC(N(C)CCN(C)c2ccc3cccnc3c2)C=CN1</v>
      </c>
      <c r="C14165" s="7">
        <f>IFERROR(__xludf.DUMMYFUNCTION("""COMPUTED_VALUE"""),7.750344)</f>
        <v>7.750344</v>
      </c>
      <c r="D14165" s="7">
        <f>IFERROR(__xludf.DUMMYFUNCTION("""COMPUTED_VALUE"""),0.310344827586206)</f>
        <v>0.3103448276</v>
      </c>
    </row>
    <row r="14166">
      <c r="A14166" s="10" t="s">
        <v>15605</v>
      </c>
      <c r="B14166" s="7" t="str">
        <f>IFERROR(__xludf.DUMMYFUNCTION("SPLIT(A14166,"" "")"),"Cc1cccc(CN(C)c2cccnc2CN(Cc2ccccn2)Cc2ncccc2C)n1")</f>
        <v>Cc1cccc(CN(C)c2cccnc2CN(Cc2ccccn2)Cc2ncccc2C)n1</v>
      </c>
      <c r="C14166" s="7">
        <f>IFERROR(__xludf.DUMMYFUNCTION("""COMPUTED_VALUE"""),7.7503247)</f>
        <v>7.7503247</v>
      </c>
      <c r="D14166" s="7">
        <f>IFERROR(__xludf.DUMMYFUNCTION("""COMPUTED_VALUE"""),0.450980392156862)</f>
        <v>0.4509803922</v>
      </c>
    </row>
    <row r="14167">
      <c r="A14167" s="10" t="s">
        <v>15606</v>
      </c>
      <c r="B14167" s="7" t="str">
        <f>IFERROR(__xludf.DUMMYFUNCTION("SPLIT(A14167,"" "")"),"Cc1cc(CN(C)C2CCCC(N(C)Cc3ccc4cccnc4c3)C2)cc(-c2cc(C)c(N)c(C)c2)n1")</f>
        <v>Cc1cc(CN(C)C2CCCC(N(C)Cc3ccc4cccnc4c3)C2)cc(-c2cc(C)c(N)c(C)c2)n1</v>
      </c>
      <c r="C14167" s="7">
        <f>IFERROR(__xludf.DUMMYFUNCTION("""COMPUTED_VALUE"""),7.750318)</f>
        <v>7.750318</v>
      </c>
      <c r="D14167" s="7">
        <f>IFERROR(__xludf.DUMMYFUNCTION("""COMPUTED_VALUE"""),0.264705882352941)</f>
        <v>0.2647058824</v>
      </c>
    </row>
    <row r="14168">
      <c r="A14168" s="10" t="s">
        <v>15607</v>
      </c>
      <c r="B14168" s="7" t="str">
        <f>IFERROR(__xludf.DUMMYFUNCTION("SPLIT(A14168,"" "")"),"Cc1cccc(CN(C)CC2=CCC=C(N(C)Cc3nc(C)c(C)c(C)c3C)N2)n1")</f>
        <v>Cc1cccc(CN(C)CC2=CCC=C(N(C)Cc3nc(C)c(C)c(C)c3C)N2)n1</v>
      </c>
      <c r="C14168" s="7">
        <f>IFERROR(__xludf.DUMMYFUNCTION("""COMPUTED_VALUE"""),7.750306)</f>
        <v>7.750306</v>
      </c>
      <c r="D14168" s="7">
        <f>IFERROR(__xludf.DUMMYFUNCTION("""COMPUTED_VALUE"""),0.423076923076923)</f>
        <v>0.4230769231</v>
      </c>
    </row>
    <row r="14169">
      <c r="A14169" s="10" t="s">
        <v>15608</v>
      </c>
      <c r="B14169" s="7" t="str">
        <f>IFERROR(__xludf.DUMMYFUNCTION("SPLIT(A14169,"" "")"),"CC1(C)CC(c2ccc(CN(Cc3ccccn3)Cc3cccc(-c4ccc(Cl)c(N)c4)n3)c(CN(Cc3ccccn3)Cc3ccccn3)n2)C1")</f>
        <v>CC1(C)CC(c2ccc(CN(Cc3ccccn3)Cc3cccc(-c4ccc(Cl)c(N)c4)n3)c(CN(Cc3ccccn3)Cc3ccccn3)n2)C1</v>
      </c>
      <c r="C14169" s="7">
        <f>IFERROR(__xludf.DUMMYFUNCTION("""COMPUTED_VALUE"""),7.750305)</f>
        <v>7.750305</v>
      </c>
      <c r="D14169" s="7">
        <f>IFERROR(__xludf.DUMMYFUNCTION("""COMPUTED_VALUE"""),0.436619718309859)</f>
        <v>0.4366197183</v>
      </c>
    </row>
    <row r="14170">
      <c r="A14170" s="10" t="s">
        <v>15609</v>
      </c>
      <c r="B14170" s="7" t="str">
        <f>IFERROR(__xludf.DUMMYFUNCTION("SPLIT(A14170,"" "")"),"CC(C)(c1cccc(CNc2cccnc2-c2cccc(-c3cccc(N=Cc4ccccn4)c3)n2)n1)c1cccc(-c2ccc3c(c2)OCCOCCOCCOCCOCCO3)n1")</f>
        <v>CC(C)(c1cccc(CNc2cccnc2-c2cccc(-c3cccc(N=Cc4ccccn4)c3)n2)n1)c1cccc(-c2ccc3c(c2)OCCOCCOCCOCCOCCO3)n1</v>
      </c>
      <c r="C14170" s="7">
        <f>IFERROR(__xludf.DUMMYFUNCTION("""COMPUTED_VALUE"""),7.750304)</f>
        <v>7.750304</v>
      </c>
      <c r="D14170" s="7">
        <f>IFERROR(__xludf.DUMMYFUNCTION("""COMPUTED_VALUE"""),0.255555555555555)</f>
        <v>0.2555555556</v>
      </c>
    </row>
    <row r="14171">
      <c r="A14171" s="10" t="s">
        <v>15610</v>
      </c>
      <c r="B14171" s="7" t="str">
        <f>IFERROR(__xludf.DUMMYFUNCTION("SPLIT(A14171,"" "")"),"Cc1c(C)c(C)c(C)c(C)c1C")</f>
        <v>Cc1c(C)c(C)c(C)c(C)c1C</v>
      </c>
      <c r="C14171" s="7">
        <f>IFERROR(__xludf.DUMMYFUNCTION("""COMPUTED_VALUE"""),7.7503023)</f>
        <v>7.7503023</v>
      </c>
      <c r="D14171" s="7">
        <f>IFERROR(__xludf.DUMMYFUNCTION("""COMPUTED_VALUE"""),0.23076923076923)</f>
        <v>0.2307692308</v>
      </c>
    </row>
    <row r="14172">
      <c r="A14172" s="10" t="s">
        <v>15611</v>
      </c>
      <c r="B14172" s="7" t="str">
        <f>IFERROR(__xludf.DUMMYFUNCTION("SPLIT(A14172,"" "")"),"Cc1cncc(C(C)(C)N(C)c2cccnc2CN(C)Cc2nc(C)c(C)cc2C)c1")</f>
        <v>Cc1cncc(C(C)(C)N(C)c2cccnc2CN(C)Cc2nc(C)c(C)cc2C)c1</v>
      </c>
      <c r="C14172" s="7">
        <f>IFERROR(__xludf.DUMMYFUNCTION("""COMPUTED_VALUE"""),7.7503023)</f>
        <v>7.7503023</v>
      </c>
      <c r="D14172" s="7">
        <f>IFERROR(__xludf.DUMMYFUNCTION("""COMPUTED_VALUE"""),0.266666666666666)</f>
        <v>0.2666666667</v>
      </c>
    </row>
    <row r="14173">
      <c r="A14173" s="10" t="s">
        <v>15612</v>
      </c>
      <c r="B14173" s="7" t="str">
        <f>IFERROR(__xludf.DUMMYFUNCTION("SPLIT(A14173,"" "")"),"Cc1ccc(CN(C)c2ccccc2-c2cncc(CN(C)C(C)C(C)C)c2)nc1C")</f>
        <v>Cc1ccc(CN(C)c2ccccc2-c2cncc(CN(C)C(C)C(C)C)c2)nc1C</v>
      </c>
      <c r="C14173" s="7">
        <f>IFERROR(__xludf.DUMMYFUNCTION("""COMPUTED_VALUE"""),7.7502937)</f>
        <v>7.7502937</v>
      </c>
      <c r="D14173" s="7">
        <f>IFERROR(__xludf.DUMMYFUNCTION("""COMPUTED_VALUE"""),0.269841269841269)</f>
        <v>0.2698412698</v>
      </c>
    </row>
    <row r="14174">
      <c r="A14174" s="10" t="s">
        <v>15613</v>
      </c>
      <c r="B14174" s="7" t="str">
        <f>IFERROR(__xludf.DUMMYFUNCTION("SPLIT(A14174,"" "")"),"C=CCN(C)CC1=CC(N(C)Cc2cccc(-c3cccc(Cl)c3Cl)n2)C=CN1")</f>
        <v>C=CCN(C)CC1=CC(N(C)Cc2cccc(-c3cccc(Cl)c3Cl)n2)C=CN1</v>
      </c>
      <c r="C14174" s="7">
        <f>IFERROR(__xludf.DUMMYFUNCTION("""COMPUTED_VALUE"""),7.750282)</f>
        <v>7.750282</v>
      </c>
      <c r="D14174" s="7">
        <f>IFERROR(__xludf.DUMMYFUNCTION("""COMPUTED_VALUE"""),0.279411764705882)</f>
        <v>0.2794117647</v>
      </c>
    </row>
    <row r="14175">
      <c r="A14175" s="10" t="s">
        <v>15614</v>
      </c>
      <c r="B14175" s="7" t="str">
        <f>IFERROR(__xludf.DUMMYFUNCTION("SPLIT(A14175,"" "")"),"CC(C)C(C)N(Cc1ccccn1)Cc1cc(-c2cccc(N=Cc3ccccn3)c2)ccn1")</f>
        <v>CC(C)C(C)N(Cc1ccccn1)Cc1cc(-c2cccc(N=Cc3ccccn3)c2)ccn1</v>
      </c>
      <c r="C14175" s="7">
        <f>IFERROR(__xludf.DUMMYFUNCTION("""COMPUTED_VALUE"""),7.750269)</f>
        <v>7.750269</v>
      </c>
      <c r="D14175" s="7">
        <f>IFERROR(__xludf.DUMMYFUNCTION("""COMPUTED_VALUE"""),0.407407407407407)</f>
        <v>0.4074074074</v>
      </c>
    </row>
    <row r="14176">
      <c r="A14176" s="10" t="s">
        <v>15615</v>
      </c>
      <c r="B14176" s="7" t="str">
        <f>IFERROR(__xludf.DUMMYFUNCTION("SPLIT(A14176,"" "")"),"Cc1ccnc2ccc(N(C)C3C=CNC(CN(C)C(C)C(C)C)=C3)cc12")</f>
        <v>Cc1ccnc2ccc(N(C)C3C=CNC(CN(C)C(C)C(C)C)=C3)cc12</v>
      </c>
      <c r="C14176" s="7">
        <f>IFERROR(__xludf.DUMMYFUNCTION("""COMPUTED_VALUE"""),7.750267)</f>
        <v>7.750267</v>
      </c>
      <c r="D14176" s="7">
        <f>IFERROR(__xludf.DUMMYFUNCTION("""COMPUTED_VALUE"""),0.287878787878787)</f>
        <v>0.2878787879</v>
      </c>
    </row>
    <row r="14177">
      <c r="A14177" s="10" t="s">
        <v>15616</v>
      </c>
      <c r="B14177" s="7" t="str">
        <f>IFERROR(__xludf.DUMMYFUNCTION("SPLIT(A14177,"" "")"),"Cc1cc(C)c(CN(C)CC2=C(N(C)Cc3nc(C)c(C)cc3C)CC=CN2)nc1C")</f>
        <v>Cc1cc(C)c(CN(C)CC2=C(N(C)Cc3nc(C)c(C)cc3C)CC=CN2)nc1C</v>
      </c>
      <c r="C14177" s="7">
        <f>IFERROR(__xludf.DUMMYFUNCTION("""COMPUTED_VALUE"""),7.750256)</f>
        <v>7.750256</v>
      </c>
      <c r="D14177" s="7">
        <f>IFERROR(__xludf.DUMMYFUNCTION("""COMPUTED_VALUE"""),0.2)</f>
        <v>0.2</v>
      </c>
    </row>
    <row r="14178">
      <c r="A14178" s="10" t="s">
        <v>15617</v>
      </c>
      <c r="B14178" s="7" t="str">
        <f>IFERROR(__xludf.DUMMYFUNCTION("SPLIT(A14178,"" "")"),"CN(Cc1cc(C(C)(C)c2ccccn2)ccn1)Cc1ccon1")</f>
        <v>CN(Cc1cc(C(C)(C)c2ccccn2)ccn1)Cc1ccon1</v>
      </c>
      <c r="C14178" s="7">
        <f>IFERROR(__xludf.DUMMYFUNCTION("""COMPUTED_VALUE"""),7.7502503)</f>
        <v>7.7502503</v>
      </c>
      <c r="D14178" s="7">
        <f>IFERROR(__xludf.DUMMYFUNCTION("""COMPUTED_VALUE"""),0.456521739130434)</f>
        <v>0.4565217391</v>
      </c>
    </row>
    <row r="14179">
      <c r="A14179" s="10" t="s">
        <v>15618</v>
      </c>
      <c r="B14179" s="7" t="str">
        <f>IFERROR(__xludf.DUMMYFUNCTION("SPLIT(A14179,"" "")"),"Cc1cccnc1CN(C)C1=CCC=C(CN(C)Cc2nc(C)c(C)c(C)c2C)N1")</f>
        <v>Cc1cccnc1CN(C)C1=CCC=C(CN(C)Cc2nc(C)c(C)c(C)c2C)N1</v>
      </c>
      <c r="C14179" s="7">
        <f>IFERROR(__xludf.DUMMYFUNCTION("""COMPUTED_VALUE"""),7.7502503)</f>
        <v>7.7502503</v>
      </c>
      <c r="D14179" s="7">
        <f>IFERROR(__xludf.DUMMYFUNCTION("""COMPUTED_VALUE"""),0.253968253968253)</f>
        <v>0.253968254</v>
      </c>
    </row>
    <row r="14180">
      <c r="A14180" s="10" t="s">
        <v>15619</v>
      </c>
      <c r="B14180" s="7" t="str">
        <f>IFERROR(__xludf.DUMMYFUNCTION("SPLIT(A14180,"" "")"),"Cc1cc(C)c(CN(C)c2ccnc(CN(Cc3ccccn3)C(C)C)c2)nc1C")</f>
        <v>Cc1cc(C)c(CN(C)c2ccnc(CN(Cc3ccccn3)C(C)C)c2)nc1C</v>
      </c>
      <c r="C14180" s="7">
        <f>IFERROR(__xludf.DUMMYFUNCTION("""COMPUTED_VALUE"""),7.7502494)</f>
        <v>7.7502494</v>
      </c>
      <c r="D14180" s="7">
        <f>IFERROR(__xludf.DUMMYFUNCTION("""COMPUTED_VALUE"""),0.48)</f>
        <v>0.48</v>
      </c>
    </row>
    <row r="14181">
      <c r="A14181" s="10" t="s">
        <v>15620</v>
      </c>
      <c r="B14181" s="7" t="str">
        <f>IFERROR(__xludf.DUMMYFUNCTION("SPLIT(A14181,"" "")"),"CNCc1cccc(CN(Cc2cccc(C)n2)Cc2cccc(-c3ccccc3N)n2)n1")</f>
        <v>CNCc1cccc(CN(Cc2cccc(C)n2)Cc2cccc(-c3ccccc3N)n2)n1</v>
      </c>
      <c r="C14181" s="7">
        <f>IFERROR(__xludf.DUMMYFUNCTION("""COMPUTED_VALUE"""),7.750249)</f>
        <v>7.750249</v>
      </c>
      <c r="D14181" s="7">
        <f>IFERROR(__xludf.DUMMYFUNCTION("""COMPUTED_VALUE"""),0.387755102040816)</f>
        <v>0.387755102</v>
      </c>
    </row>
    <row r="14182">
      <c r="A14182" s="10" t="s">
        <v>15621</v>
      </c>
      <c r="B14182" s="7" t="str">
        <f>IFERROR(__xludf.DUMMYFUNCTION("SPLIT(A14182,"" "")"),"Cc1cc(C)c(CN(C)Cc2ncc(C)c(C)c2C)nc1C")</f>
        <v>Cc1cc(C)c(CN(C)Cc2ncc(C)c(C)c2C)nc1C</v>
      </c>
      <c r="C14182" s="7">
        <f>IFERROR(__xludf.DUMMYFUNCTION("""COMPUTED_VALUE"""),7.750247)</f>
        <v>7.750247</v>
      </c>
      <c r="D14182" s="7">
        <f>IFERROR(__xludf.DUMMYFUNCTION("""COMPUTED_VALUE"""),0.295454545454545)</f>
        <v>0.2954545455</v>
      </c>
    </row>
    <row r="14183">
      <c r="A14183" s="10" t="s">
        <v>15622</v>
      </c>
      <c r="B14183" s="7" t="str">
        <f>IFERROR(__xludf.DUMMYFUNCTION("SPLIT(A14183,"" "")"),"Nc1ccnc(CN(CC2=CCC=CN2)c2ccccc2F)c1")</f>
        <v>Nc1ccnc(CN(CC2=CCC=CN2)c2ccccc2F)c1</v>
      </c>
      <c r="C14183" s="7">
        <f>IFERROR(__xludf.DUMMYFUNCTION("""COMPUTED_VALUE"""),7.7502456)</f>
        <v>7.7502456</v>
      </c>
      <c r="D14183" s="7">
        <f>IFERROR(__xludf.DUMMYFUNCTION("""COMPUTED_VALUE"""),0.482142857142857)</f>
        <v>0.4821428571</v>
      </c>
    </row>
    <row r="14184">
      <c r="A14184" s="10" t="s">
        <v>15623</v>
      </c>
      <c r="B14184" s="7" t="str">
        <f>IFERROR(__xludf.DUMMYFUNCTION("SPLIT(A14184,"" "")"),"Cc1cc(C)c(CN(C)CC2=CCC=C(N(C)Cc3ncccc3C)N2)nc1C")</f>
        <v>Cc1cc(C)c(CN(C)CC2=CCC=C(N(C)Cc3ncccc3C)N2)nc1C</v>
      </c>
      <c r="C14184" s="7">
        <f>IFERROR(__xludf.DUMMYFUNCTION("""COMPUTED_VALUE"""),7.750242)</f>
        <v>7.750242</v>
      </c>
      <c r="D14184" s="7">
        <f>IFERROR(__xludf.DUMMYFUNCTION("""COMPUTED_VALUE"""),0.253968253968253)</f>
        <v>0.253968254</v>
      </c>
    </row>
    <row r="14185">
      <c r="A14185" s="10" t="s">
        <v>15624</v>
      </c>
      <c r="B14185" s="7" t="str">
        <f>IFERROR(__xludf.DUMMYFUNCTION("SPLIT(A14185,"" "")"),"Cc1cnc(CN(Cc2nc(C)c(C)cc2C)C2CCC(N(C)c3ccc4nccc(C)c4c3)CC2)c(C)c1")</f>
        <v>Cc1cnc(CN(Cc2nc(C)c(C)cc2C)C2CCC(N(C)c3ccc4nccc(C)c4c3)CC2)c(C)c1</v>
      </c>
      <c r="C14185" s="7">
        <f>IFERROR(__xludf.DUMMYFUNCTION("""COMPUTED_VALUE"""),7.7502384)</f>
        <v>7.7502384</v>
      </c>
      <c r="D14185" s="7">
        <f>IFERROR(__xludf.DUMMYFUNCTION("""COMPUTED_VALUE"""),0.246376811594202)</f>
        <v>0.2463768116</v>
      </c>
    </row>
    <row r="14186">
      <c r="A14186" s="10" t="s">
        <v>15625</v>
      </c>
      <c r="B14186" s="7" t="str">
        <f>IFERROR(__xludf.DUMMYFUNCTION("SPLIT(A14186,"" "")"),"C1=CNC(C2=C(NCc3ccccn3)CC=CN2)=CC1")</f>
        <v>C1=CNC(C2=C(NCc3ccccn3)CC=CN2)=CC1</v>
      </c>
      <c r="C14186" s="7">
        <f>IFERROR(__xludf.DUMMYFUNCTION("""COMPUTED_VALUE"""),7.750234)</f>
        <v>7.750234</v>
      </c>
      <c r="D14186" s="7">
        <f>IFERROR(__xludf.DUMMYFUNCTION("""COMPUTED_VALUE"""),0.452830188679245)</f>
        <v>0.4528301887</v>
      </c>
    </row>
    <row r="14187">
      <c r="A14187" s="10" t="s">
        <v>15626</v>
      </c>
      <c r="B14187" s="7" t="str">
        <f>IFERROR(__xludf.DUMMYFUNCTION("SPLIT(A14187,"" "")"),"Cc1ccnc2ccc(N(C)CCN(Cc3ccccc3)CC(C)C)cc12")</f>
        <v>Cc1ccnc2ccc(N(C)CCN(Cc3ccccc3)CC(C)C)cc12</v>
      </c>
      <c r="C14187" s="7">
        <f>IFERROR(__xludf.DUMMYFUNCTION("""COMPUTED_VALUE"""),7.7502193)</f>
        <v>7.7502193</v>
      </c>
      <c r="D14187" s="7">
        <f>IFERROR(__xludf.DUMMYFUNCTION("""COMPUTED_VALUE"""),0.298245614035087)</f>
        <v>0.298245614</v>
      </c>
    </row>
    <row r="14188">
      <c r="A14188" s="10" t="s">
        <v>15627</v>
      </c>
      <c r="B14188" s="7" t="str">
        <f>IFERROR(__xludf.DUMMYFUNCTION("SPLIT(A14188,"" "")"),"Cc1cccnc1CN(C)Cc1ccc(N(C)C)cn1")</f>
        <v>Cc1cccnc1CN(C)Cc1ccc(N(C)C)cn1</v>
      </c>
      <c r="C14188" s="7">
        <f>IFERROR(__xludf.DUMMYFUNCTION("""COMPUTED_VALUE"""),7.750219)</f>
        <v>7.750219</v>
      </c>
      <c r="D14188" s="7">
        <f>IFERROR(__xludf.DUMMYFUNCTION("""COMPUTED_VALUE"""),0.41860465116279)</f>
        <v>0.4186046512</v>
      </c>
    </row>
    <row r="14189">
      <c r="A14189" s="10" t="s">
        <v>15628</v>
      </c>
      <c r="B14189" s="7" t="str">
        <f>IFERROR(__xludf.DUMMYFUNCTION("SPLIT(A14189,"" "")"),"CN(C)Cc1ccc2c(N(C)CCN(C)C(C)(C)C)cccc2n1")</f>
        <v>CN(C)Cc1ccc2c(N(C)CCN(C)C(C)(C)C)cccc2n1</v>
      </c>
      <c r="C14189" s="7">
        <f>IFERROR(__xludf.DUMMYFUNCTION("""COMPUTED_VALUE"""),7.750218)</f>
        <v>7.750218</v>
      </c>
      <c r="D14189" s="7">
        <f>IFERROR(__xludf.DUMMYFUNCTION("""COMPUTED_VALUE"""),0.375)</f>
        <v>0.375</v>
      </c>
    </row>
    <row r="14190">
      <c r="A14190" s="10" t="s">
        <v>15629</v>
      </c>
      <c r="B14190" s="7" t="str">
        <f>IFERROR(__xludf.DUMMYFUNCTION("SPLIT(A14190,"" "")"),"CNCC1=CCC=C(N(C)Cc2nc(C)c(C)cc2C)N1")</f>
        <v>CNCC1=CCC=C(N(C)Cc2nc(C)c(C)cc2C)N1</v>
      </c>
      <c r="C14190" s="7">
        <f>IFERROR(__xludf.DUMMYFUNCTION("""COMPUTED_VALUE"""),7.750215)</f>
        <v>7.750215</v>
      </c>
      <c r="D14190" s="7">
        <f>IFERROR(__xludf.DUMMYFUNCTION("""COMPUTED_VALUE"""),0.2)</f>
        <v>0.2</v>
      </c>
    </row>
    <row r="14191">
      <c r="A14191" s="10" t="s">
        <v>15630</v>
      </c>
      <c r="B14191" s="7" t="str">
        <f>IFERROR(__xludf.DUMMYFUNCTION("SPLIT(A14191,"" "")"),"Cc1cc(CN(C)Cc2ncc(C)c(C)c2C)nc(C)c1C")</f>
        <v>Cc1cc(CN(C)Cc2ncc(C)c(C)c2C)nc(C)c1C</v>
      </c>
      <c r="C14191" s="7">
        <f>IFERROR(__xludf.DUMMYFUNCTION("""COMPUTED_VALUE"""),7.750204)</f>
        <v>7.750204</v>
      </c>
      <c r="D14191" s="7">
        <f>IFERROR(__xludf.DUMMYFUNCTION("""COMPUTED_VALUE"""),0.34090909090909)</f>
        <v>0.3409090909</v>
      </c>
    </row>
    <row r="14192">
      <c r="A14192" s="10" t="s">
        <v>15631</v>
      </c>
      <c r="B14192" s="7" t="str">
        <f>IFERROR(__xludf.DUMMYFUNCTION("SPLIT(A14192,"" "")"),"Cc1cccc(C2C(NCc3ccccn3)=C(c3ccccc3)C=CC2c2ccccc2)c1NCc1ccccn1")</f>
        <v>Cc1cccc(C2C(NCc3ccccn3)=C(c3ccccc3)C=CC2c2ccccc2)c1NCc1ccccn1</v>
      </c>
      <c r="C14192" s="7">
        <f>IFERROR(__xludf.DUMMYFUNCTION("""COMPUTED_VALUE"""),7.7501893)</f>
        <v>7.7501893</v>
      </c>
      <c r="D14192" s="7">
        <f>IFERROR(__xludf.DUMMYFUNCTION("""COMPUTED_VALUE"""),0.375)</f>
        <v>0.375</v>
      </c>
    </row>
    <row r="14193">
      <c r="A14193" s="10" t="s">
        <v>15632</v>
      </c>
      <c r="B14193" s="7" t="str">
        <f>IFERROR(__xludf.DUMMYFUNCTION("SPLIT(A14193,"" "")"),"CC(C)C1=CC(N(C)CCN(C)c2ccc3ncccc3c2)C=CN1")</f>
        <v>CC(C)C1=CC(N(C)CCN(C)c2ccc3ncccc3c2)C=CN1</v>
      </c>
      <c r="C14193" s="7">
        <f>IFERROR(__xludf.DUMMYFUNCTION("""COMPUTED_VALUE"""),7.750185)</f>
        <v>7.750185</v>
      </c>
      <c r="D14193" s="7">
        <f>IFERROR(__xludf.DUMMYFUNCTION("""COMPUTED_VALUE"""),0.31578947368421)</f>
        <v>0.3157894737</v>
      </c>
    </row>
    <row r="14194">
      <c r="A14194" s="10" t="s">
        <v>15633</v>
      </c>
      <c r="B14194" s="7" t="str">
        <f>IFERROR(__xludf.DUMMYFUNCTION("SPLIT(A14194,"" "")"),"CC(C)c1cccc(CN(Cc2ccccn2)C2CCC(N(C)c3ccc4ncc(C5=CCC=CN5)cc4c3)CC2)n1")</f>
        <v>CC(C)c1cccc(CN(Cc2ccccn2)C2CCC(N(C)c3ccc4ncc(C5=CCC=CN5)cc4c3)CC2)n1</v>
      </c>
      <c r="C14194" s="7">
        <f>IFERROR(__xludf.DUMMYFUNCTION("""COMPUTED_VALUE"""),7.7501836)</f>
        <v>7.7501836</v>
      </c>
      <c r="D14194" s="7">
        <f>IFERROR(__xludf.DUMMYFUNCTION("""COMPUTED_VALUE"""),0.35064935064935)</f>
        <v>0.3506493506</v>
      </c>
    </row>
    <row r="14195">
      <c r="A14195" s="10" t="s">
        <v>15634</v>
      </c>
      <c r="B14195" s="7" t="str">
        <f>IFERROR(__xludf.DUMMYFUNCTION("SPLIT(A14195,"" "")"),"CC(NCc1ccccn1)c1cccc(C2=CCC=CN2)n1")</f>
        <v>CC(NCc1ccccn1)c1cccc(C2=CCC=CN2)n1</v>
      </c>
      <c r="C14195" s="7">
        <f>IFERROR(__xludf.DUMMYFUNCTION("""COMPUTED_VALUE"""),7.7501817)</f>
        <v>7.7501817</v>
      </c>
      <c r="D14195" s="7">
        <f>IFERROR(__xludf.DUMMYFUNCTION("""COMPUTED_VALUE"""),0.413793103448275)</f>
        <v>0.4137931034</v>
      </c>
    </row>
    <row r="14196">
      <c r="A14196" s="10" t="s">
        <v>15635</v>
      </c>
      <c r="B14196" s="7" t="str">
        <f>IFERROR(__xludf.DUMMYFUNCTION("SPLIT(A14196,"" "")"),"CC1(C)CCC1c1ccc(CN(Cc2ccccn2)Cc2cccc(-c3c(N)cccc3Cl)n2)cn1")</f>
        <v>CC1(C)CCC1c1ccc(CN(Cc2ccccn2)Cc2cccc(-c3c(N)cccc3Cl)n2)cn1</v>
      </c>
      <c r="C14196" s="7">
        <f>IFERROR(__xludf.DUMMYFUNCTION("""COMPUTED_VALUE"""),7.7501736)</f>
        <v>7.7501736</v>
      </c>
      <c r="D14196" s="7">
        <f>IFERROR(__xludf.DUMMYFUNCTION("""COMPUTED_VALUE"""),0.373134328358209)</f>
        <v>0.3731343284</v>
      </c>
    </row>
    <row r="14197">
      <c r="A14197" s="10" t="s">
        <v>15636</v>
      </c>
      <c r="B14197" s="7" t="str">
        <f>IFERROR(__xludf.DUMMYFUNCTION("SPLIT(A14197,"" "")"),"Cc1cc(CN(CC2=CCC=C(N(C)Cc3ccccn3)N2)Cc2ccccn2)nc(C)c1C")</f>
        <v>Cc1cc(CN(CC2=CCC=C(N(C)Cc3ccccn3)N2)Cc2ccccn2)nc(C)c1C</v>
      </c>
      <c r="C14197" s="7">
        <f>IFERROR(__xludf.DUMMYFUNCTION("""COMPUTED_VALUE"""),7.750169)</f>
        <v>7.750169</v>
      </c>
      <c r="D14197" s="7">
        <f>IFERROR(__xludf.DUMMYFUNCTION("""COMPUTED_VALUE"""),0.457627118644067)</f>
        <v>0.4576271186</v>
      </c>
    </row>
    <row r="14198">
      <c r="A14198" s="10" t="s">
        <v>15637</v>
      </c>
      <c r="B14198" s="7" t="str">
        <f>IFERROR(__xludf.DUMMYFUNCTION("SPLIT(A14198,"" "")"),"Cc1ccc(CN(C)c2ccc(CN(C)Cc3cccc(C)n3)nc2CN(C)Cc2cccc(C)n2)nc1")</f>
        <v>Cc1ccc(CN(C)c2ccc(CN(C)Cc3cccc(C)n3)nc2CN(C)Cc2cccc(C)n2)nc1</v>
      </c>
      <c r="C14198" s="7">
        <f>IFERROR(__xludf.DUMMYFUNCTION("""COMPUTED_VALUE"""),7.7501574)</f>
        <v>7.7501574</v>
      </c>
      <c r="D14198" s="7">
        <f>IFERROR(__xludf.DUMMYFUNCTION("""COMPUTED_VALUE"""),0.488888888888888)</f>
        <v>0.4888888889</v>
      </c>
    </row>
    <row r="14199">
      <c r="A14199" s="10" t="s">
        <v>15638</v>
      </c>
      <c r="B14199" s="7" t="str">
        <f>IFERROR(__xludf.DUMMYFUNCTION("SPLIT(A14199,"" "")"),"CNCc1ncccc1N(C)Cc1ncccc1C")</f>
        <v>CNCc1ncccc1N(C)Cc1ncccc1C</v>
      </c>
      <c r="C14199" s="7">
        <f>IFERROR(__xludf.DUMMYFUNCTION("""COMPUTED_VALUE"""),7.7501554)</f>
        <v>7.7501554</v>
      </c>
      <c r="D14199" s="7">
        <f>IFERROR(__xludf.DUMMYFUNCTION("""COMPUTED_VALUE"""),0.369565217391304)</f>
        <v>0.3695652174</v>
      </c>
    </row>
    <row r="14200">
      <c r="A14200" s="10" t="s">
        <v>15639</v>
      </c>
      <c r="B14200" s="7" t="str">
        <f>IFERROR(__xludf.DUMMYFUNCTION("SPLIT(A14200,"" "")"),"CN(C)Cc1nccc2cc(N(C)CCN(C)CC(C)(C)C)ccc12")</f>
        <v>CN(C)Cc1nccc2cc(N(C)CCN(C)CC(C)(C)C)ccc12</v>
      </c>
      <c r="C14200" s="7">
        <f>IFERROR(__xludf.DUMMYFUNCTION("""COMPUTED_VALUE"""),7.750154)</f>
        <v>7.750154</v>
      </c>
      <c r="D14200" s="7">
        <f>IFERROR(__xludf.DUMMYFUNCTION("""COMPUTED_VALUE"""),0.29090909090909)</f>
        <v>0.2909090909</v>
      </c>
    </row>
    <row r="14201">
      <c r="A14201" s="10" t="s">
        <v>15640</v>
      </c>
      <c r="B14201" s="7" t="str">
        <f>IFERROR(__xludf.DUMMYFUNCTION("SPLIT(A14201,"" "")"),"Cc1cnc(CN(C)C2CCC(N(Cc3cccc(-c4cccc(N)c4)n3)Cc3cccc(-c4cccc(N(C)C)c4)n3)CC2)c(C)c1")</f>
        <v>Cc1cnc(CN(C)C2CCC(N(Cc3cccc(-c4cccc(N)c4)n3)Cc3cccc(-c4cccc(N(C)C)c4)n3)CC2)c(C)c1</v>
      </c>
      <c r="C14201" s="7">
        <f>IFERROR(__xludf.DUMMYFUNCTION("""COMPUTED_VALUE"""),7.7501435)</f>
        <v>7.7501435</v>
      </c>
      <c r="D14201" s="7">
        <f>IFERROR(__xludf.DUMMYFUNCTION("""COMPUTED_VALUE"""),0.298701298701298)</f>
        <v>0.2987012987</v>
      </c>
    </row>
    <row r="14202">
      <c r="A14202" s="10" t="s">
        <v>15641</v>
      </c>
      <c r="B14202" s="7" t="str">
        <f>IFERROR(__xludf.DUMMYFUNCTION("SPLIT(A14202,"" "")"),"COC(=O)c1cc(CN(Cc2ccccn2)C2CCC(N(C)c3ccc4ncc(CN(C)C)cc4c3)CC2)ccn1")</f>
        <v>COC(=O)c1cc(CN(Cc2ccccn2)C2CCC(N(C)c3ccc4ncc(CN(C)C)cc4c3)CC2)ccn1</v>
      </c>
      <c r="C14202" s="7">
        <f>IFERROR(__xludf.DUMMYFUNCTION("""COMPUTED_VALUE"""),7.75014)</f>
        <v>7.75014</v>
      </c>
      <c r="D14202" s="7">
        <f>IFERROR(__xludf.DUMMYFUNCTION("""COMPUTED_VALUE"""),0.293333333333333)</f>
        <v>0.2933333333</v>
      </c>
    </row>
    <row r="14203">
      <c r="A14203" s="10" t="s">
        <v>15642</v>
      </c>
      <c r="B14203" s="7" t="str">
        <f>IFERROR(__xludf.DUMMYFUNCTION("SPLIT(A14203,"" "")"),"CN(C)Cc1cncc2cc(N(C)CCN(C)C(C)(C)C)ccc12")</f>
        <v>CN(C)Cc1cncc2cc(N(C)CCN(C)C(C)(C)C)ccc12</v>
      </c>
      <c r="C14203" s="7">
        <f>IFERROR(__xludf.DUMMYFUNCTION("""COMPUTED_VALUE"""),7.7501316)</f>
        <v>7.7501316</v>
      </c>
      <c r="D14203" s="7">
        <f>IFERROR(__xludf.DUMMYFUNCTION("""COMPUTED_VALUE"""),0.218181818181818)</f>
        <v>0.2181818182</v>
      </c>
    </row>
    <row r="14204">
      <c r="A14204" s="10" t="s">
        <v>15643</v>
      </c>
      <c r="B14204" s="7" t="str">
        <f>IFERROR(__xludf.DUMMYFUNCTION("SPLIT(A14204,"" "")"),"Cc1ccnc(CN(C)Cc2cccc(N(C)Cc3ncccc3C)n2)c1")</f>
        <v>Cc1ccnc(CN(C)Cc2cccc(N(C)Cc3ncccc3C)n2)c1</v>
      </c>
      <c r="C14204" s="7">
        <f>IFERROR(__xludf.DUMMYFUNCTION("""COMPUTED_VALUE"""),7.750127)</f>
        <v>7.750127</v>
      </c>
      <c r="D14204" s="7">
        <f>IFERROR(__xludf.DUMMYFUNCTION("""COMPUTED_VALUE"""),0.415094339622641)</f>
        <v>0.4150943396</v>
      </c>
    </row>
    <row r="14205">
      <c r="A14205" s="10" t="s">
        <v>15644</v>
      </c>
      <c r="B14205" s="7" t="str">
        <f>IFERROR(__xludf.DUMMYFUNCTION("SPLIT(A14205,"" "")"),"COC(C)c1cc(CN(Cc2ccccn2)Cc2cc(C(C)(c3ccccn3)c3ccccn3)ccn2)ccn1")</f>
        <v>COC(C)c1cc(CN(Cc2ccccn2)Cc2cc(C(C)(c3ccccn3)c3ccccn3)ccn2)ccn1</v>
      </c>
      <c r="C14205" s="7">
        <f>IFERROR(__xludf.DUMMYFUNCTION("""COMPUTED_VALUE"""),7.7501206)</f>
        <v>7.7501206</v>
      </c>
      <c r="D14205" s="7">
        <f>IFERROR(__xludf.DUMMYFUNCTION("""COMPUTED_VALUE"""),0.384615384615384)</f>
        <v>0.3846153846</v>
      </c>
    </row>
    <row r="14206">
      <c r="A14206" s="10" t="s">
        <v>15645</v>
      </c>
      <c r="B14206" s="7" t="str">
        <f>IFERROR(__xludf.DUMMYFUNCTION("SPLIT(A14206,"" "")"),"CCNCc1cccc(-c2cccc(NCc3ccccn3)c2)n1")</f>
        <v>CCNCc1cccc(-c2cccc(NCc3ccccn3)c2)n1</v>
      </c>
      <c r="C14206" s="7">
        <f>IFERROR(__xludf.DUMMYFUNCTION("""COMPUTED_VALUE"""),7.7501173)</f>
        <v>7.7501173</v>
      </c>
      <c r="D14206" s="7">
        <f>IFERROR(__xludf.DUMMYFUNCTION("""COMPUTED_VALUE"""),0.43859649122807)</f>
        <v>0.4385964912</v>
      </c>
    </row>
    <row r="14207">
      <c r="A14207" s="10" t="s">
        <v>15646</v>
      </c>
      <c r="B14207" s="7" t="str">
        <f>IFERROR(__xludf.DUMMYFUNCTION("SPLIT(A14207,"" "")"),"CC(C)C(C)N(C)Cc1ccc(-c2cccc(N=Cc3ccccn3)c2)cn1")</f>
        <v>CC(C)C(C)N(C)Cc1ccc(-c2cccc(N=Cc3ccccn3)c2)cn1</v>
      </c>
      <c r="C14207" s="7">
        <f>IFERROR(__xludf.DUMMYFUNCTION("""COMPUTED_VALUE"""),7.750111)</f>
        <v>7.750111</v>
      </c>
      <c r="D14207" s="7">
        <f>IFERROR(__xludf.DUMMYFUNCTION("""COMPUTED_VALUE"""),0.344262295081967)</f>
        <v>0.3442622951</v>
      </c>
    </row>
    <row r="14208">
      <c r="A14208" s="10" t="s">
        <v>15647</v>
      </c>
      <c r="B14208" s="7" t="str">
        <f>IFERROR(__xludf.DUMMYFUNCTION("SPLIT(A14208,"" "")"),"C=Cc1ccc(NCc2ccccn2)cc1")</f>
        <v>C=Cc1ccc(NCc2ccccn2)cc1</v>
      </c>
      <c r="C14208" s="7">
        <f>IFERROR(__xludf.DUMMYFUNCTION("""COMPUTED_VALUE"""),7.75011)</f>
        <v>7.75011</v>
      </c>
      <c r="D14208" s="7">
        <f>IFERROR(__xludf.DUMMYFUNCTION("""COMPUTED_VALUE"""),0.472222222222222)</f>
        <v>0.4722222222</v>
      </c>
    </row>
    <row r="14209">
      <c r="A14209" s="10" t="s">
        <v>15648</v>
      </c>
      <c r="B14209" s="7" t="str">
        <f>IFERROR(__xludf.DUMMYFUNCTION("SPLIT(A14209,"" "")"),"CN(Cc1cccc(-c2ccon2)n1)Cc1cccc(C2CCC2(C)C)n1")</f>
        <v>CN(Cc1cccc(-c2ccon2)n1)Cc1cccc(C2CCC2(C)C)n1</v>
      </c>
      <c r="C14209" s="7">
        <f>IFERROR(__xludf.DUMMYFUNCTION("""COMPUTED_VALUE"""),7.750106)</f>
        <v>7.750106</v>
      </c>
      <c r="D14209" s="7">
        <f>IFERROR(__xludf.DUMMYFUNCTION("""COMPUTED_VALUE"""),0.4)</f>
        <v>0.4</v>
      </c>
    </row>
    <row r="14210">
      <c r="A14210" s="10" t="s">
        <v>15649</v>
      </c>
      <c r="B14210" s="7" t="str">
        <f>IFERROR(__xludf.DUMMYFUNCTION("SPLIT(A14210,"" "")"),"Cc1ccc(CN(Cc2ccccn2)Cc2ccc(N(C)C)cn2)nc1C")</f>
        <v>Cc1ccc(CN(Cc2ccccn2)Cc2ccc(N(C)C)cn2)nc1C</v>
      </c>
      <c r="C14210" s="7">
        <f>IFERROR(__xludf.DUMMYFUNCTION("""COMPUTED_VALUE"""),7.7501)</f>
        <v>7.7501</v>
      </c>
      <c r="D14210" s="7">
        <f>IFERROR(__xludf.DUMMYFUNCTION("""COMPUTED_VALUE"""),0.5)</f>
        <v>0.5</v>
      </c>
    </row>
    <row r="14211">
      <c r="A14211" s="10" t="s">
        <v>15650</v>
      </c>
      <c r="B14211" s="7" t="str">
        <f>IFERROR(__xludf.DUMMYFUNCTION("SPLIT(A14211,"" "")"),"CN(Cc1ccccn1)C1CCC(N(C)c2cccc3nc(C4=CCC=CN4)ccc23)CC1")</f>
        <v>CN(Cc1ccccn1)C1CCC(N(C)c2cccc3nc(C4=CCC=CN4)ccc23)CC1</v>
      </c>
      <c r="C14211" s="7">
        <f>IFERROR(__xludf.DUMMYFUNCTION("""COMPUTED_VALUE"""),7.750098)</f>
        <v>7.750098</v>
      </c>
      <c r="D14211" s="7">
        <f>IFERROR(__xludf.DUMMYFUNCTION("""COMPUTED_VALUE"""),0.409090909090909)</f>
        <v>0.4090909091</v>
      </c>
    </row>
    <row r="14212">
      <c r="A14212" s="10" t="s">
        <v>15651</v>
      </c>
      <c r="B14212" s="7" t="str">
        <f>IFERROR(__xludf.DUMMYFUNCTION("SPLIT(A14212,"" "")"),"CN(c1ccc2ncccc2c1)C1CCCCC1N(Cc1ccc2ncccc2c1)Cc1ccccn1")</f>
        <v>CN(c1ccc2ncccc2c1)C1CCCCC1N(Cc1ccc2ncccc2c1)Cc1ccccn1</v>
      </c>
      <c r="C14212" s="7">
        <f>IFERROR(__xludf.DUMMYFUNCTION("""COMPUTED_VALUE"""),7.750094)</f>
        <v>7.750094</v>
      </c>
      <c r="D14212" s="7">
        <f>IFERROR(__xludf.DUMMYFUNCTION("""COMPUTED_VALUE"""),0.481481481481481)</f>
        <v>0.4814814815</v>
      </c>
    </row>
    <row r="14213">
      <c r="A14213" s="10" t="s">
        <v>15652</v>
      </c>
      <c r="B14213" s="7" t="str">
        <f>IFERROR(__xludf.DUMMYFUNCTION("SPLIT(A14213,"" "")"),"Fc1ccccc1NCc1cccc(C(c2ccccc2)c2ccccn2)n1")</f>
        <v>Fc1ccccc1NCc1cccc(C(c2ccccc2)c2ccccn2)n1</v>
      </c>
      <c r="C14213" s="7">
        <f>IFERROR(__xludf.DUMMYFUNCTION("""COMPUTED_VALUE"""),7.750075)</f>
        <v>7.750075</v>
      </c>
      <c r="D14213" s="7">
        <f>IFERROR(__xludf.DUMMYFUNCTION("""COMPUTED_VALUE"""),0.311475409836065)</f>
        <v>0.3114754098</v>
      </c>
    </row>
    <row r="14214">
      <c r="A14214" s="10" t="s">
        <v>15653</v>
      </c>
      <c r="B14214" s="7" t="str">
        <f>IFERROR(__xludf.DUMMYFUNCTION("SPLIT(A14214,"" "")"),"CNCc1ncccc1C1=CCC=CN1")</f>
        <v>CNCc1ncccc1C1=CCC=CN1</v>
      </c>
      <c r="C14214" s="7">
        <f>IFERROR(__xludf.DUMMYFUNCTION("""COMPUTED_VALUE"""),7.75007)</f>
        <v>7.75007</v>
      </c>
      <c r="D14214" s="7">
        <f>IFERROR(__xludf.DUMMYFUNCTION("""COMPUTED_VALUE"""),0.358490566037735)</f>
        <v>0.358490566</v>
      </c>
    </row>
    <row r="14215">
      <c r="A14215" s="10" t="s">
        <v>15654</v>
      </c>
      <c r="B14215" s="7" t="str">
        <f>IFERROR(__xludf.DUMMYFUNCTION("SPLIT(A14215,"" "")"),"Cc1cc(C)c(CN(C)Cc2cc(C(C)(C)c3ccccn3)ccn2)c(C)c1")</f>
        <v>Cc1cc(C)c(CN(C)Cc2cc(C(C)(C)c3ccccn3)ccn2)c(C)c1</v>
      </c>
      <c r="C14215" s="7">
        <f>IFERROR(__xludf.DUMMYFUNCTION("""COMPUTED_VALUE"""),7.7500577)</f>
        <v>7.7500577</v>
      </c>
      <c r="D14215" s="7">
        <f>IFERROR(__xludf.DUMMYFUNCTION("""COMPUTED_VALUE"""),0.363636363636363)</f>
        <v>0.3636363636</v>
      </c>
    </row>
    <row r="14216">
      <c r="A14216" s="10" t="s">
        <v>15655</v>
      </c>
      <c r="B14216" s="7" t="str">
        <f>IFERROR(__xludf.DUMMYFUNCTION("SPLIT(A14216,"" "")"),"Cc1ccc(-c2ccccc2CNCc2ccccn2)nc1")</f>
        <v>Cc1ccc(-c2ccccc2CNCc2ccccn2)nc1</v>
      </c>
      <c r="C14216" s="7">
        <f>IFERROR(__xludf.DUMMYFUNCTION("""COMPUTED_VALUE"""),7.750026)</f>
        <v>7.750026</v>
      </c>
      <c r="D14216" s="7">
        <f>IFERROR(__xludf.DUMMYFUNCTION("""COMPUTED_VALUE"""),0.463414634146341)</f>
        <v>0.4634146341</v>
      </c>
    </row>
    <row r="14217">
      <c r="A14217" s="10" t="s">
        <v>15656</v>
      </c>
      <c r="B14217" s="7" t="str">
        <f>IFERROR(__xludf.DUMMYFUNCTION("SPLIT(A14217,"" "")"),"Cc1cnc(CN(C)Cc2ccccc2N(C)C)c(C)c1C")</f>
        <v>Cc1cnc(CN(C)Cc2ccccc2N(C)C)c(C)c1C</v>
      </c>
      <c r="C14217" s="7">
        <f>IFERROR(__xludf.DUMMYFUNCTION("""COMPUTED_VALUE"""),7.75002)</f>
        <v>7.75002</v>
      </c>
      <c r="D14217" s="7">
        <f>IFERROR(__xludf.DUMMYFUNCTION("""COMPUTED_VALUE"""),0.306122448979591)</f>
        <v>0.306122449</v>
      </c>
    </row>
    <row r="14218">
      <c r="A14218" s="10" t="s">
        <v>15657</v>
      </c>
      <c r="B14218" s="7" t="str">
        <f>IFERROR(__xludf.DUMMYFUNCTION("SPLIT(A14218,"" "")"),"Cc1cccc(CN(Cc2nc(C)c(C)cc2C)Cc2nc(C)c(C)cc2C)n1")</f>
        <v>Cc1cccc(CN(Cc2nc(C)c(C)cc2C)Cc2nc(C)c(C)cc2C)n1</v>
      </c>
      <c r="C14218" s="7">
        <f>IFERROR(__xludf.DUMMYFUNCTION("""COMPUTED_VALUE"""),7.750009)</f>
        <v>7.750009</v>
      </c>
      <c r="D14218" s="7">
        <f>IFERROR(__xludf.DUMMYFUNCTION("""COMPUTED_VALUE"""),0.487179487179487)</f>
        <v>0.4871794872</v>
      </c>
    </row>
    <row r="14219">
      <c r="A14219" s="10" t="s">
        <v>15658</v>
      </c>
      <c r="B14219" s="7" t="str">
        <f>IFERROR(__xludf.DUMMYFUNCTION("SPLIT(A14219,"" "")"),"Cc1cccc(CN(C)C2=CCC=C(CN(C)Cc3cc(C)c(C)c(C)n3)N2)n1")</f>
        <v>Cc1cccc(CN(C)C2=CCC=C(CN(C)Cc3cc(C)c(C)c(C)n3)N2)n1</v>
      </c>
      <c r="C14219" s="7">
        <f>IFERROR(__xludf.DUMMYFUNCTION("""COMPUTED_VALUE"""),7.7499967)</f>
        <v>7.7499967</v>
      </c>
      <c r="D14219" s="7">
        <f>IFERROR(__xludf.DUMMYFUNCTION("""COMPUTED_VALUE"""),0.415094339622641)</f>
        <v>0.4150943396</v>
      </c>
    </row>
    <row r="14220">
      <c r="A14220" s="10" t="s">
        <v>15659</v>
      </c>
      <c r="B14220" s="7" t="str">
        <f>IFERROR(__xludf.DUMMYFUNCTION("SPLIT(A14220,"" "")"),"Cc1cc(CN(C)c2cccnc2CN(Cc2ccccn2)Cc2cccnc2F)cnc1C")</f>
        <v>Cc1cc(CN(C)c2cccnc2CN(Cc2ccccn2)Cc2cccnc2F)cnc1C</v>
      </c>
      <c r="C14220" s="7">
        <f>IFERROR(__xludf.DUMMYFUNCTION("""COMPUTED_VALUE"""),7.7499943)</f>
        <v>7.7499943</v>
      </c>
      <c r="D14220" s="7">
        <f>IFERROR(__xludf.DUMMYFUNCTION("""COMPUTED_VALUE"""),0.389830508474576)</f>
        <v>0.3898305085</v>
      </c>
    </row>
    <row r="14221">
      <c r="A14221" s="10" t="s">
        <v>15660</v>
      </c>
      <c r="B14221" s="7" t="str">
        <f>IFERROR(__xludf.DUMMYFUNCTION("SPLIT(A14221,"" "")"),"CC(C)C(C)N(C)CC1=C(N(C)c2ccc3ncccc3c2)CC=CN1")</f>
        <v>CC(C)C(C)N(C)CC1=C(N(C)c2ccc3ncccc3c2)CC=CN1</v>
      </c>
      <c r="C14221" s="7">
        <f>IFERROR(__xludf.DUMMYFUNCTION("""COMPUTED_VALUE"""),7.7499866)</f>
        <v>7.7499866</v>
      </c>
      <c r="D14221" s="7">
        <f>IFERROR(__xludf.DUMMYFUNCTION("""COMPUTED_VALUE"""),0.258064516129032)</f>
        <v>0.2580645161</v>
      </c>
    </row>
    <row r="14222">
      <c r="A14222" s="10" t="s">
        <v>15661</v>
      </c>
      <c r="B14222" s="7" t="str">
        <f>IFERROR(__xludf.DUMMYFUNCTION("SPLIT(A14222,"" "")"),"CNCc1cc(C2=CCC=CN2)ccn1")</f>
        <v>CNCc1cc(C2=CCC=CN2)ccn1</v>
      </c>
      <c r="C14222" s="7">
        <f>IFERROR(__xludf.DUMMYFUNCTION("""COMPUTED_VALUE"""),7.7499766)</f>
        <v>7.7499766</v>
      </c>
      <c r="D14222" s="7">
        <f>IFERROR(__xludf.DUMMYFUNCTION("""COMPUTED_VALUE"""),0.358490566037735)</f>
        <v>0.358490566</v>
      </c>
    </row>
    <row r="14223">
      <c r="A14223" s="10" t="s">
        <v>15662</v>
      </c>
      <c r="B14223" s="7" t="str">
        <f>IFERROR(__xludf.DUMMYFUNCTION("SPLIT(A14223,"" "")"),"CC(C)C(C)N(C)CC1=C(N(C)c2cccc3nccc(CF)c23)CC=CN1")</f>
        <v>CC(C)C(C)N(C)CC1=C(N(C)c2cccc3nccc(CF)c23)CC=CN1</v>
      </c>
      <c r="C14223" s="7">
        <f>IFERROR(__xludf.DUMMYFUNCTION("""COMPUTED_VALUE"""),7.749976)</f>
        <v>7.749976</v>
      </c>
      <c r="D14223" s="7">
        <f>IFERROR(__xludf.DUMMYFUNCTION("""COMPUTED_VALUE"""),0.220588235294117)</f>
        <v>0.2205882353</v>
      </c>
    </row>
    <row r="14224">
      <c r="A14224" s="10" t="s">
        <v>15663</v>
      </c>
      <c r="B14224" s="7" t="str">
        <f>IFERROR(__xludf.DUMMYFUNCTION("SPLIT(A14224,"" "")"),"CC1=C(C)CC(N(C)Cc2cc(-c3cccc(N(C)C)c3)ccn2)C(C)C1")</f>
        <v>CC1=C(C)CC(N(C)Cc2cc(-c3cccc(N(C)C)c3)ccn2)C(C)C1</v>
      </c>
      <c r="C14224" s="7">
        <f>IFERROR(__xludf.DUMMYFUNCTION("""COMPUTED_VALUE"""),7.749976)</f>
        <v>7.749976</v>
      </c>
      <c r="D14224" s="7">
        <f>IFERROR(__xludf.DUMMYFUNCTION("""COMPUTED_VALUE"""),0.363636363636363)</f>
        <v>0.3636363636</v>
      </c>
    </row>
    <row r="14225">
      <c r="A14225" s="10" t="s">
        <v>15664</v>
      </c>
      <c r="B14225" s="7" t="str">
        <f>IFERROR(__xludf.DUMMYFUNCTION("SPLIT(A14225,"" "")"),"CNc1ccccc1-c1ncccc1C(C)(C)N(C)C1CCC(N(C)c2ccc3ncccc3c2)CC1")</f>
        <v>CNc1ccccc1-c1ncccc1C(C)(C)N(C)C1CCC(N(C)c2ccc3ncccc3c2)CC1</v>
      </c>
      <c r="C14225" s="7">
        <f>IFERROR(__xludf.DUMMYFUNCTION("""COMPUTED_VALUE"""),7.749972)</f>
        <v>7.749972</v>
      </c>
      <c r="D14225" s="7">
        <f>IFERROR(__xludf.DUMMYFUNCTION("""COMPUTED_VALUE"""),0.260869565217391)</f>
        <v>0.2608695652</v>
      </c>
    </row>
    <row r="14226">
      <c r="A14226" s="10" t="s">
        <v>15665</v>
      </c>
      <c r="B14226" s="7" t="str">
        <f>IFERROR(__xludf.DUMMYFUNCTION("SPLIT(A14226,"" "")"),"Cc1cc(C)c(CN(C)C2CCC(N(C)Cc3cc(-c4ccc5ncccc5c4)ccn3)CC2)c(C)n1")</f>
        <v>Cc1cc(C)c(CN(C)C2CCC(N(C)Cc3cc(-c4ccc5ncccc5c4)ccn3)CC2)c(C)n1</v>
      </c>
      <c r="C14226" s="7">
        <f>IFERROR(__xludf.DUMMYFUNCTION("""COMPUTED_VALUE"""),7.74997)</f>
        <v>7.74997</v>
      </c>
      <c r="D14226" s="7">
        <f>IFERROR(__xludf.DUMMYFUNCTION("""COMPUTED_VALUE"""),0.317460317460317)</f>
        <v>0.3174603175</v>
      </c>
    </row>
    <row r="14227">
      <c r="A14227" s="10" t="s">
        <v>15666</v>
      </c>
      <c r="B14227" s="7" t="str">
        <f>IFERROR(__xludf.DUMMYFUNCTION("SPLIT(A14227,"" "")"),"CN(C)Cc1cnc2cccc(N(C)CCN(C)CCF)c2c1")</f>
        <v>CN(C)Cc1cnc2cccc(N(C)CCN(C)CCF)c2c1</v>
      </c>
      <c r="C14227" s="7">
        <f>IFERROR(__xludf.DUMMYFUNCTION("""COMPUTED_VALUE"""),7.7499657)</f>
        <v>7.7499657</v>
      </c>
      <c r="D14227" s="7">
        <f>IFERROR(__xludf.DUMMYFUNCTION("""COMPUTED_VALUE"""),0.352941176470588)</f>
        <v>0.3529411765</v>
      </c>
    </row>
    <row r="14228">
      <c r="A14228" s="10" t="s">
        <v>15667</v>
      </c>
      <c r="B14228" s="7" t="str">
        <f>IFERROR(__xludf.DUMMYFUNCTION("SPLIT(A14228,"" "")"),"Cc1cccc(CN(Cc2ncccc2C)Cc2ncccc2N(C)C)n1")</f>
        <v>Cc1cccc(CN(Cc2ncccc2C)Cc2ncccc2N(C)C)n1</v>
      </c>
      <c r="C14228" s="7">
        <f>IFERROR(__xludf.DUMMYFUNCTION("""COMPUTED_VALUE"""),7.7499566)</f>
        <v>7.7499566</v>
      </c>
      <c r="D14228" s="7">
        <f>IFERROR(__xludf.DUMMYFUNCTION("""COMPUTED_VALUE"""),0.444444444444444)</f>
        <v>0.4444444444</v>
      </c>
    </row>
    <row r="14229">
      <c r="A14229" s="10" t="s">
        <v>15668</v>
      </c>
      <c r="B14229" s="7" t="str">
        <f>IFERROR(__xludf.DUMMYFUNCTION("SPLIT(A14229,"" "")"),"CN(CCNc1ccc2ncccc2c1)Cc1cc(F)ccn1")</f>
        <v>CN(CCNc1ccc2ncccc2c1)Cc1cc(F)ccn1</v>
      </c>
      <c r="C14229" s="7">
        <f>IFERROR(__xludf.DUMMYFUNCTION("""COMPUTED_VALUE"""),7.7499537)</f>
        <v>7.7499537</v>
      </c>
      <c r="D14229" s="7">
        <f>IFERROR(__xludf.DUMMYFUNCTION("""COMPUTED_VALUE"""),0.351851851851851)</f>
        <v>0.3518518519</v>
      </c>
    </row>
    <row r="14230">
      <c r="A14230" s="10" t="s">
        <v>15669</v>
      </c>
      <c r="B14230" s="7" t="str">
        <f>IFERROR(__xludf.DUMMYFUNCTION("SPLIT(A14230,"" "")"),"Cc1cccc(-c2cccc(CNCc3ccccn3)c2)n1")</f>
        <v>Cc1cccc(-c2cccc(CNCc3ccccn3)c2)n1</v>
      </c>
      <c r="C14230" s="7">
        <f>IFERROR(__xludf.DUMMYFUNCTION("""COMPUTED_VALUE"""),7.74995)</f>
        <v>7.74995</v>
      </c>
      <c r="D14230" s="7">
        <f>IFERROR(__xludf.DUMMYFUNCTION("""COMPUTED_VALUE"""),0.441860465116279)</f>
        <v>0.4418604651</v>
      </c>
    </row>
    <row r="14231">
      <c r="A14231" s="10" t="s">
        <v>15670</v>
      </c>
      <c r="B14231" s="7" t="str">
        <f>IFERROR(__xludf.DUMMYFUNCTION("SPLIT(A14231,"" "")"),"Cc1cccnc1CN(Cc1ccnc(-c2ccccc2)c1)Cc1ccccn1")</f>
        <v>Cc1cccnc1CN(Cc1ccnc(-c2ccccc2)c1)Cc1ccccn1</v>
      </c>
      <c r="C14231" s="7">
        <f>IFERROR(__xludf.DUMMYFUNCTION("""COMPUTED_VALUE"""),7.749947)</f>
        <v>7.749947</v>
      </c>
      <c r="D14231" s="7">
        <f>IFERROR(__xludf.DUMMYFUNCTION("""COMPUTED_VALUE"""),0.454545454545454)</f>
        <v>0.4545454545</v>
      </c>
    </row>
    <row r="14232">
      <c r="A14232" s="10" t="s">
        <v>15671</v>
      </c>
      <c r="B14232" s="7" t="str">
        <f>IFERROR(__xludf.DUMMYFUNCTION("SPLIT(A14232,"" "")"),"CC1c2cc(C(C)(C)C)ccc2C=CC1N=Cc1ccccn1")</f>
        <v>CC1c2cc(C(C)(C)C)ccc2C=CC1N=Cc1ccccn1</v>
      </c>
      <c r="C14232" s="7">
        <f>IFERROR(__xludf.DUMMYFUNCTION("""COMPUTED_VALUE"""),7.7499447)</f>
        <v>7.7499447</v>
      </c>
      <c r="D14232" s="7">
        <f>IFERROR(__xludf.DUMMYFUNCTION("""COMPUTED_VALUE"""),0.310344827586206)</f>
        <v>0.3103448276</v>
      </c>
    </row>
    <row r="14233">
      <c r="A14233" s="10" t="s">
        <v>15672</v>
      </c>
      <c r="B14233" s="7" t="str">
        <f>IFERROR(__xludf.DUMMYFUNCTION("SPLIT(A14233,"" "")"),"Cc1ccc(N=Cc2ccccn2)c(CN(C)Cc2ccccn2)c1")</f>
        <v>Cc1ccc(N=Cc2ccccn2)c(CN(C)Cc2ccccn2)c1</v>
      </c>
      <c r="C14233" s="7">
        <f>IFERROR(__xludf.DUMMYFUNCTION("""COMPUTED_VALUE"""),7.7499375)</f>
        <v>7.7499375</v>
      </c>
      <c r="D14233" s="7">
        <f>IFERROR(__xludf.DUMMYFUNCTION("""COMPUTED_VALUE"""),0.450980392156862)</f>
        <v>0.4509803922</v>
      </c>
    </row>
    <row r="14234">
      <c r="A14234" s="10" t="s">
        <v>15673</v>
      </c>
      <c r="B14234" s="7" t="str">
        <f>IFERROR(__xludf.DUMMYFUNCTION("SPLIT(A14234,"" "")"),"CC1C=C(c2cnccc2CN(Cc2ccccn2)Cc2ccc(-c3cccc(N=Cc4ccccn4)c3)cn2)CC(N(C)Cc2ccccn2)C1C")</f>
        <v>CC1C=C(c2cnccc2CN(Cc2ccccn2)Cc2ccc(-c3cccc(N=Cc4ccccn4)c3)cn2)CC(N(C)Cc2ccccn2)C1C</v>
      </c>
      <c r="C14234" s="7">
        <f>IFERROR(__xludf.DUMMYFUNCTION("""COMPUTED_VALUE"""),7.7499185)</f>
        <v>7.7499185</v>
      </c>
      <c r="D14234" s="7">
        <f>IFERROR(__xludf.DUMMYFUNCTION("""COMPUTED_VALUE"""),0.316455696202531)</f>
        <v>0.3164556962</v>
      </c>
    </row>
    <row r="14235">
      <c r="A14235" s="10" t="s">
        <v>15674</v>
      </c>
      <c r="B14235" s="7" t="str">
        <f>IFERROR(__xludf.DUMMYFUNCTION("SPLIT(A14235,"" "")"),"CC1COC(c2cc(CN(C)C3CCC(N(C)c4ccc5nccc(CF)c5c4)CC3)ccn2)=N1")</f>
        <v>CC1COC(c2cc(CN(C)C3CCC(N(C)c4ccc5nccc(CF)c5c4)CC3)ccn2)=N1</v>
      </c>
      <c r="C14235" s="7">
        <f>IFERROR(__xludf.DUMMYFUNCTION("""COMPUTED_VALUE"""),7.7499146)</f>
        <v>7.7499146</v>
      </c>
      <c r="D14235" s="7">
        <f>IFERROR(__xludf.DUMMYFUNCTION("""COMPUTED_VALUE"""),0.197368421052631)</f>
        <v>0.1973684211</v>
      </c>
    </row>
    <row r="14236">
      <c r="A14236" s="10" t="s">
        <v>15675</v>
      </c>
      <c r="B14236" s="7" t="str">
        <f>IFERROR(__xludf.DUMMYFUNCTION("SPLIT(A14236,"" "")"),"CC(C)C(C)N(C)Cc1ncccc1-c1ccccc1N=Cc1ccccn1")</f>
        <v>CC(C)C(C)N(C)Cc1ncccc1-c1ccccc1N=Cc1ccccn1</v>
      </c>
      <c r="C14236" s="7">
        <f>IFERROR(__xludf.DUMMYFUNCTION("""COMPUTED_VALUE"""),7.749914)</f>
        <v>7.749914</v>
      </c>
      <c r="D14236" s="7">
        <f>IFERROR(__xludf.DUMMYFUNCTION("""COMPUTED_VALUE"""),0.433962264150943)</f>
        <v>0.4339622642</v>
      </c>
    </row>
    <row r="14237">
      <c r="A14237" s="10" t="s">
        <v>15676</v>
      </c>
      <c r="B14237" s="7" t="str">
        <f>IFERROR(__xludf.DUMMYFUNCTION("SPLIT(A14237,"" "")"),"Cc1cc(CN(C)Cc2cccc(N(C)Cc3ncccc3C)n2)ccn1")</f>
        <v>Cc1cc(CN(C)Cc2cccc(N(C)Cc3ncccc3C)n2)ccn1</v>
      </c>
      <c r="C14237" s="7">
        <f>IFERROR(__xludf.DUMMYFUNCTION("""COMPUTED_VALUE"""),7.749912)</f>
        <v>7.749912</v>
      </c>
      <c r="D14237" s="7">
        <f>IFERROR(__xludf.DUMMYFUNCTION("""COMPUTED_VALUE"""),0.375)</f>
        <v>0.375</v>
      </c>
    </row>
    <row r="14238">
      <c r="A14238" s="10" t="s">
        <v>15677</v>
      </c>
      <c r="B14238" s="7" t="str">
        <f>IFERROR(__xludf.DUMMYFUNCTION("SPLIT(A14238,"" "")"),"Cc1cc(C)c(C)c(CN(C)C2=CNC(CN(C)C)=CC2)n1")</f>
        <v>Cc1cc(C)c(C)c(CN(C)C2=CNC(CN(C)C)=CC2)n1</v>
      </c>
      <c r="C14238" s="7">
        <f>IFERROR(__xludf.DUMMYFUNCTION("""COMPUTED_VALUE"""),7.7498994)</f>
        <v>7.7498994</v>
      </c>
      <c r="D14238" s="7">
        <f>IFERROR(__xludf.DUMMYFUNCTION("""COMPUTED_VALUE"""),0.203703703703703)</f>
        <v>0.2037037037</v>
      </c>
    </row>
    <row r="14239">
      <c r="A14239" s="10" t="s">
        <v>15678</v>
      </c>
      <c r="B14239" s="7" t="str">
        <f>IFERROR(__xludf.DUMMYFUNCTION("SPLIT(A14239,"" "")"),"c1ccc(CN(CCN(Cc2ccccn2)c2cccc3cccnc23)Cc2cccnc2)nc1")</f>
        <v>c1ccc(CN(CCN(Cc2ccccn2)c2cccc3cccnc23)Cc2cccnc2)nc1</v>
      </c>
      <c r="C14239" s="7">
        <f>IFERROR(__xludf.DUMMYFUNCTION("""COMPUTED_VALUE"""),7.74989)</f>
        <v>7.74989</v>
      </c>
      <c r="D14239" s="7">
        <f>IFERROR(__xludf.DUMMYFUNCTION("""COMPUTED_VALUE"""),0.431372549019607)</f>
        <v>0.431372549</v>
      </c>
    </row>
    <row r="14240">
      <c r="A14240" s="10" t="s">
        <v>15679</v>
      </c>
      <c r="B14240" s="7" t="str">
        <f>IFERROR(__xludf.DUMMYFUNCTION("SPLIT(A14240,"" "")"),"CC(C)C(C)N(Cc1ccccn1)Cc1ncccc1-c1cccc(N=Cc2ccccn2)c1")</f>
        <v>CC(C)C(C)N(Cc1ccccn1)Cc1ncccc1-c1cccc(N=Cc2ccccn2)c1</v>
      </c>
      <c r="C14240" s="7">
        <f>IFERROR(__xludf.DUMMYFUNCTION("""COMPUTED_VALUE"""),7.749883)</f>
        <v>7.749883</v>
      </c>
      <c r="D14240" s="7">
        <f>IFERROR(__xludf.DUMMYFUNCTION("""COMPUTED_VALUE"""),0.385964912280701)</f>
        <v>0.3859649123</v>
      </c>
    </row>
    <row r="14241">
      <c r="A14241" s="10" t="s">
        <v>15680</v>
      </c>
      <c r="B14241" s="7" t="str">
        <f>IFERROR(__xludf.DUMMYFUNCTION("SPLIT(A14241,"" "")"),"Cc1cc(CN(C)C2=C(CN(Cc3nc(C)c(C)c(C)c3C)Cc3nc(C)c(C)c(C)c3C)NC=CC2)ccn1")</f>
        <v>Cc1cc(CN(C)C2=C(CN(Cc3nc(C)c(C)c(C)c3C)Cc3nc(C)c(C)c(C)c3C)NC=CC2)ccn1</v>
      </c>
      <c r="C14241" s="7">
        <f>IFERROR(__xludf.DUMMYFUNCTION("""COMPUTED_VALUE"""),7.7498693)</f>
        <v>7.7498693</v>
      </c>
      <c r="D14241" s="7">
        <f>IFERROR(__xludf.DUMMYFUNCTION("""COMPUTED_VALUE"""),0.242857142857142)</f>
        <v>0.2428571429</v>
      </c>
    </row>
    <row r="14242">
      <c r="A14242" s="10" t="s">
        <v>15681</v>
      </c>
      <c r="B14242" s="7" t="str">
        <f>IFERROR(__xludf.DUMMYFUNCTION("SPLIT(A14242,"" "")"),"CNC1C=C(N(C)Cc2nc(C)c(C)cc2C)C=CN1")</f>
        <v>CNC1C=C(N(C)Cc2nc(C)c(C)cc2C)C=CN1</v>
      </c>
      <c r="C14242" s="7">
        <f>IFERROR(__xludf.DUMMYFUNCTION("""COMPUTED_VALUE"""),7.7498693)</f>
        <v>7.7498693</v>
      </c>
      <c r="D14242" s="7">
        <f>IFERROR(__xludf.DUMMYFUNCTION("""COMPUTED_VALUE"""),0.186440677966101)</f>
        <v>0.186440678</v>
      </c>
    </row>
    <row r="14243">
      <c r="A14243" s="10" t="s">
        <v>15682</v>
      </c>
      <c r="B14243" s="7" t="str">
        <f>IFERROR(__xludf.DUMMYFUNCTION("SPLIT(A14243,"" "")"),"CC1(C)CN=C(c2cccc(C3OC=NC3(C)C)n2)O1")</f>
        <v>CC1(C)CN=C(c2cccc(C3OC=NC3(C)C)n2)O1</v>
      </c>
      <c r="C14243" s="7">
        <f>IFERROR(__xludf.DUMMYFUNCTION("""COMPUTED_VALUE"""),7.7498674)</f>
        <v>7.7498674</v>
      </c>
      <c r="D14243" s="7">
        <f>IFERROR(__xludf.DUMMYFUNCTION("""COMPUTED_VALUE"""),0.354166666666666)</f>
        <v>0.3541666667</v>
      </c>
    </row>
    <row r="14244">
      <c r="A14244" s="10" t="s">
        <v>15683</v>
      </c>
      <c r="B14244" s="7" t="str">
        <f>IFERROR(__xludf.DUMMYFUNCTION("SPLIT(A14244,"" "")"),"Cc1cc(C)c(C)c(CN(C)CC2=CCC(N(C)Cc3cc(C)c(C)c(C)n3)=CN2)n1")</f>
        <v>Cc1cc(C)c(C)c(CN(C)CC2=CCC(N(C)Cc3cc(C)c(C)c(C)n3)=CN2)n1</v>
      </c>
      <c r="C14244" s="7">
        <f>IFERROR(__xludf.DUMMYFUNCTION("""COMPUTED_VALUE"""),7.7498565)</f>
        <v>7.7498565</v>
      </c>
      <c r="D14244" s="7">
        <f>IFERROR(__xludf.DUMMYFUNCTION("""COMPUTED_VALUE"""),0.216666666666666)</f>
        <v>0.2166666667</v>
      </c>
    </row>
    <row r="14245">
      <c r="A14245" s="10" t="s">
        <v>15684</v>
      </c>
      <c r="B14245" s="7" t="str">
        <f>IFERROR(__xludf.DUMMYFUNCTION("SPLIT(A14245,"" "")"),"CCN(C)CCN(C)c1ccc2ncccc2c1")</f>
        <v>CCN(C)CCN(C)c1ccc2ncccc2c1</v>
      </c>
      <c r="C14245" s="7">
        <f>IFERROR(__xludf.DUMMYFUNCTION("""COMPUTED_VALUE"""),7.7498393)</f>
        <v>7.7498393</v>
      </c>
      <c r="D14245" s="7">
        <f>IFERROR(__xludf.DUMMYFUNCTION("""COMPUTED_VALUE"""),0.41860465116279)</f>
        <v>0.4186046512</v>
      </c>
    </row>
    <row r="14246">
      <c r="A14246" s="10" t="s">
        <v>15685</v>
      </c>
      <c r="B14246" s="7" t="str">
        <f>IFERROR(__xludf.DUMMYFUNCTION("SPLIT(A14246,"" "")"),"C=Cc1cccc(NCc2ccccn2)c1")</f>
        <v>C=Cc1cccc(NCc2ccccn2)c1</v>
      </c>
      <c r="C14246" s="7">
        <f>IFERROR(__xludf.DUMMYFUNCTION("""COMPUTED_VALUE"""),7.7498302)</f>
        <v>7.7498302</v>
      </c>
      <c r="D14246" s="7">
        <f>IFERROR(__xludf.DUMMYFUNCTION("""COMPUTED_VALUE"""),0.435897435897435)</f>
        <v>0.4358974359</v>
      </c>
    </row>
    <row r="14247">
      <c r="A14247" s="10" t="s">
        <v>15686</v>
      </c>
      <c r="B14247" s="7" t="str">
        <f>IFERROR(__xludf.DUMMYFUNCTION("SPLIT(A14247,"" "")"),"Cc1cccnc1CN(Cc1ccccn1)Cc1cccnc1C1=NC(C)(C)CO1")</f>
        <v>Cc1cccnc1CN(Cc1ccccn1)Cc1cccnc1C1=NC(C)(C)CO1</v>
      </c>
      <c r="C14247" s="7">
        <f>IFERROR(__xludf.DUMMYFUNCTION("""COMPUTED_VALUE"""),7.7498026)</f>
        <v>7.7498026</v>
      </c>
      <c r="D14247" s="7">
        <f>IFERROR(__xludf.DUMMYFUNCTION("""COMPUTED_VALUE"""),0.4)</f>
        <v>0.4</v>
      </c>
    </row>
    <row r="14248">
      <c r="A14248" s="10" t="s">
        <v>15687</v>
      </c>
      <c r="B14248" s="7" t="str">
        <f>IFERROR(__xludf.DUMMYFUNCTION("SPLIT(A14248,"" "")"),"CC1=CCC=C(N(C)CC2=CCC(N(C)Cc3ccc(C)cn3)=CN2)N1")</f>
        <v>CC1=CCC=C(N(C)CC2=CCC(N(C)Cc3ccc(C)cn3)=CN2)N1</v>
      </c>
      <c r="C14248" s="7">
        <f>IFERROR(__xludf.DUMMYFUNCTION("""COMPUTED_VALUE"""),7.7498016)</f>
        <v>7.7498016</v>
      </c>
      <c r="D14248" s="7">
        <f>IFERROR(__xludf.DUMMYFUNCTION("""COMPUTED_VALUE"""),0.37037037037037)</f>
        <v>0.3703703704</v>
      </c>
    </row>
    <row r="14249">
      <c r="A14249" s="10" t="s">
        <v>15688</v>
      </c>
      <c r="B14249" s="7" t="str">
        <f>IFERROR(__xludf.DUMMYFUNCTION("SPLIT(A14249,"" "")"),"CCN(CCN(C)c1cccc2ncccc12)Cc1cccnc1")</f>
        <v>CCN(CCN(C)c1cccc2ncccc12)Cc1cccnc1</v>
      </c>
      <c r="C14249" s="7">
        <f>IFERROR(__xludf.DUMMYFUNCTION("""COMPUTED_VALUE"""),7.749793)</f>
        <v>7.749793</v>
      </c>
      <c r="D14249" s="7">
        <f>IFERROR(__xludf.DUMMYFUNCTION("""COMPUTED_VALUE"""),0.42)</f>
        <v>0.42</v>
      </c>
    </row>
    <row r="14250">
      <c r="A14250" s="10" t="s">
        <v>15689</v>
      </c>
      <c r="B14250" s="7" t="str">
        <f>IFERROR(__xludf.DUMMYFUNCTION("SPLIT(A14250,"" "")"),"Fc1ccccc1NCc1cc(C(c2ccccc2)c2ccccn2)ccn1")</f>
        <v>Fc1ccccc1NCc1cc(C(c2ccccc2)c2ccccn2)ccn1</v>
      </c>
      <c r="C14250" s="7">
        <f>IFERROR(__xludf.DUMMYFUNCTION("""COMPUTED_VALUE"""),7.7497873)</f>
        <v>7.7497873</v>
      </c>
      <c r="D14250" s="7">
        <f>IFERROR(__xludf.DUMMYFUNCTION("""COMPUTED_VALUE"""),0.306451612903225)</f>
        <v>0.3064516129</v>
      </c>
    </row>
    <row r="14251">
      <c r="A14251" s="10" t="s">
        <v>15690</v>
      </c>
      <c r="B14251" s="7" t="str">
        <f>IFERROR(__xludf.DUMMYFUNCTION("SPLIT(A14251,"" "")"),"Cc1cnc(CN(C)CC2=CCC=C(N(C)Cc3nccc(C)c3C)N2)c(C)c1")</f>
        <v>Cc1cnc(CN(C)CC2=CCC=C(N(C)Cc3nccc(C)c3C)N2)c(C)c1</v>
      </c>
      <c r="C14251" s="7">
        <f>IFERROR(__xludf.DUMMYFUNCTION("""COMPUTED_VALUE"""),7.749778)</f>
        <v>7.749778</v>
      </c>
      <c r="D14251" s="7">
        <f>IFERROR(__xludf.DUMMYFUNCTION("""COMPUTED_VALUE"""),0.25)</f>
        <v>0.25</v>
      </c>
    </row>
    <row r="14252">
      <c r="A14252" s="10" t="s">
        <v>15691</v>
      </c>
      <c r="B14252" s="7" t="str">
        <f>IFERROR(__xludf.DUMMYFUNCTION("SPLIT(A14252,"" "")"),"Cc1cccnc1CN(C)c1cccnc1CN(Cc1ccccn1)Cc1cccc(N)n1")</f>
        <v>Cc1cccnc1CN(C)c1cccnc1CN(Cc1ccccn1)Cc1cccc(N)n1</v>
      </c>
      <c r="C14252" s="7">
        <f>IFERROR(__xludf.DUMMYFUNCTION("""COMPUTED_VALUE"""),7.749778)</f>
        <v>7.749778</v>
      </c>
      <c r="D14252" s="7">
        <f>IFERROR(__xludf.DUMMYFUNCTION("""COMPUTED_VALUE"""),0.425531914893617)</f>
        <v>0.4255319149</v>
      </c>
    </row>
    <row r="14253">
      <c r="A14253" s="10" t="s">
        <v>15692</v>
      </c>
      <c r="B14253" s="7" t="str">
        <f>IFERROR(__xludf.DUMMYFUNCTION("SPLIT(A14253,"" "")"),"CCN(C)CCN(C)c1ccc2cccnc2c1")</f>
        <v>CCN(C)CCN(C)c1ccc2cccnc2c1</v>
      </c>
      <c r="C14253" s="7">
        <f>IFERROR(__xludf.DUMMYFUNCTION("""COMPUTED_VALUE"""),7.7497745)</f>
        <v>7.7497745</v>
      </c>
      <c r="D14253" s="7">
        <f>IFERROR(__xludf.DUMMYFUNCTION("""COMPUTED_VALUE"""),0.409090909090909)</f>
        <v>0.4090909091</v>
      </c>
    </row>
    <row r="14254">
      <c r="A14254" s="10" t="s">
        <v>15693</v>
      </c>
      <c r="B14254" s="7" t="str">
        <f>IFERROR(__xludf.DUMMYFUNCTION("SPLIT(A14254,"" "")"),"Cc1cc(CN(Cc2ccccn2)Cc2ccc(N(C)C)cn2)cnc1C")</f>
        <v>Cc1cc(CN(Cc2ccccn2)Cc2ccc(N(C)C)cn2)cnc1C</v>
      </c>
      <c r="C14254" s="7">
        <f>IFERROR(__xludf.DUMMYFUNCTION("""COMPUTED_VALUE"""),7.749771)</f>
        <v>7.749771</v>
      </c>
      <c r="D14254" s="7">
        <f>IFERROR(__xludf.DUMMYFUNCTION("""COMPUTED_VALUE"""),0.465116279069767)</f>
        <v>0.4651162791</v>
      </c>
    </row>
    <row r="14255">
      <c r="A14255" s="10" t="s">
        <v>15694</v>
      </c>
      <c r="B14255" s="7" t="str">
        <f>IFERROR(__xludf.DUMMYFUNCTION("SPLIT(A14255,"" "")"),"Cc1ccc(N(Cc2ccccn2)C2CCCC(N(C)c3cccc4nccc(CF)c34)C2)cc1")</f>
        <v>Cc1ccc(N(Cc2ccccn2)C2CCCC(N(C)c3cccc4nccc(CF)c34)C2)cc1</v>
      </c>
      <c r="C14255" s="7">
        <f>IFERROR(__xludf.DUMMYFUNCTION("""COMPUTED_VALUE"""),7.7497706)</f>
        <v>7.7497706</v>
      </c>
      <c r="D14255" s="7">
        <f>IFERROR(__xludf.DUMMYFUNCTION("""COMPUTED_VALUE"""),0.348484848484848)</f>
        <v>0.3484848485</v>
      </c>
    </row>
    <row r="14256">
      <c r="A14256" s="10" t="s">
        <v>15695</v>
      </c>
      <c r="B14256" s="7" t="str">
        <f>IFERROR(__xludf.DUMMYFUNCTION("SPLIT(A14256,"" "")"),"CNCc1ccc2cccc(N(C)C3CCC(N(Cc4ccc5ncccc5c4)Cc4ccccn4)CC3)c2n1")</f>
        <v>CNCc1ccc2cccc(N(C)C3CCC(N(Cc4ccc5ncccc5c4)Cc4ccccn4)CC3)c2n1</v>
      </c>
      <c r="C14256" s="7">
        <f>IFERROR(__xludf.DUMMYFUNCTION("""COMPUTED_VALUE"""),7.749762)</f>
        <v>7.749762</v>
      </c>
      <c r="D14256" s="7">
        <f>IFERROR(__xludf.DUMMYFUNCTION("""COMPUTED_VALUE"""),0.356164383561643)</f>
        <v>0.3561643836</v>
      </c>
    </row>
    <row r="14257">
      <c r="A14257" s="10" t="s">
        <v>15696</v>
      </c>
      <c r="B14257" s="7" t="str">
        <f>IFERROR(__xludf.DUMMYFUNCTION("SPLIT(A14257,"" "")"),"Cc1ccc(CN(Cc2ccccn2)Cc2ccon2)cc1N(C)Cc1ccccn1")</f>
        <v>Cc1ccc(CN(Cc2ccccn2)Cc2ccon2)cc1N(C)Cc1ccccn1</v>
      </c>
      <c r="C14257" s="7">
        <f>IFERROR(__xludf.DUMMYFUNCTION("""COMPUTED_VALUE"""),7.7497582)</f>
        <v>7.7497582</v>
      </c>
      <c r="D14257" s="7">
        <f>IFERROR(__xludf.DUMMYFUNCTION("""COMPUTED_VALUE"""),0.470588235294117)</f>
        <v>0.4705882353</v>
      </c>
    </row>
    <row r="14258">
      <c r="A14258" s="10" t="s">
        <v>15697</v>
      </c>
      <c r="B14258" s="7" t="str">
        <f>IFERROR(__xludf.DUMMYFUNCTION("SPLIT(A14258,"" "")"),"CN(Cc1ccc2ncccc2c1)C1CCCCC1N(C)c1ccc2nc(CF)ccc2c1")</f>
        <v>CN(Cc1ccc2ncccc2c1)C1CCCCC1N(C)c1ccc2nc(CF)ccc2c1</v>
      </c>
      <c r="C14258" s="7">
        <f>IFERROR(__xludf.DUMMYFUNCTION("""COMPUTED_VALUE"""),7.749755)</f>
        <v>7.749755</v>
      </c>
      <c r="D14258" s="7">
        <f>IFERROR(__xludf.DUMMYFUNCTION("""COMPUTED_VALUE"""),0.475409836065573)</f>
        <v>0.4754098361</v>
      </c>
    </row>
    <row r="14259">
      <c r="A14259" s="10" t="s">
        <v>15698</v>
      </c>
      <c r="B14259" s="7" t="str">
        <f>IFERROR(__xludf.DUMMYFUNCTION("SPLIT(A14259,"" "")"),"Cc1ccc(CN(Cc2ccccn2)c2ccc(F)cc2)nc1CN(C)C1CCC(N(C)c2ccc3nccc(C)c3c2)CC1")</f>
        <v>Cc1ccc(CN(Cc2ccccn2)c2ccc(F)cc2)nc1CN(C)C1CCC(N(C)c2ccc3nccc(C)c3c2)CC1</v>
      </c>
      <c r="C14259" s="7">
        <f>IFERROR(__xludf.DUMMYFUNCTION("""COMPUTED_VALUE"""),7.749746)</f>
        <v>7.749746</v>
      </c>
      <c r="D14259" s="7">
        <f>IFERROR(__xludf.DUMMYFUNCTION("""COMPUTED_VALUE"""),0.323943661971831)</f>
        <v>0.323943662</v>
      </c>
    </row>
    <row r="14260">
      <c r="A14260" s="10" t="s">
        <v>15699</v>
      </c>
      <c r="B14260" s="7" t="str">
        <f>IFERROR(__xludf.DUMMYFUNCTION("SPLIT(A14260,"" "")"),"CN(C)Cc1ccc2cc(N(C)C3CCC(N(C)Cc4ccc(-c5ccccc5)cn4)CC3)ccc2n1")</f>
        <v>CN(C)Cc1ccc2cc(N(C)C3CCC(N(C)Cc4ccc(-c5ccccc5)cn4)CC3)ccc2n1</v>
      </c>
      <c r="C14260" s="7">
        <f>IFERROR(__xludf.DUMMYFUNCTION("""COMPUTED_VALUE"""),7.749743)</f>
        <v>7.749743</v>
      </c>
      <c r="D14260" s="7">
        <f>IFERROR(__xludf.DUMMYFUNCTION("""COMPUTED_VALUE"""),0.32258064516129)</f>
        <v>0.3225806452</v>
      </c>
    </row>
    <row r="14261">
      <c r="A14261" s="10" t="s">
        <v>15700</v>
      </c>
      <c r="B14261" s="7" t="str">
        <f>IFERROR(__xludf.DUMMYFUNCTION("SPLIT(A14261,"" "")"),"Cc1cncc(CN(CCN(C)C(C)C)c2cccc3ncccc23)c1")</f>
        <v>Cc1cncc(CN(CCN(C)C(C)C)c2cccc3ncccc23)c1</v>
      </c>
      <c r="C14261" s="7">
        <f>IFERROR(__xludf.DUMMYFUNCTION("""COMPUTED_VALUE"""),7.7497416)</f>
        <v>7.7497416</v>
      </c>
      <c r="D14261" s="7">
        <f>IFERROR(__xludf.DUMMYFUNCTION("""COMPUTED_VALUE"""),0.288135593220339)</f>
        <v>0.2881355932</v>
      </c>
    </row>
    <row r="14262">
      <c r="A14262" s="10" t="s">
        <v>15701</v>
      </c>
      <c r="B14262" s="7" t="str">
        <f>IFERROR(__xludf.DUMMYFUNCTION("SPLIT(A14262,"" "")"),"Cc1cccnc1CN(C)c1ccnc(CN(C)Cc2ccccn2)c1")</f>
        <v>Cc1cccnc1CN(C)c1ccnc(CN(C)Cc2ccccn2)c1</v>
      </c>
      <c r="C14262" s="7">
        <f>IFERROR(__xludf.DUMMYFUNCTION("""COMPUTED_VALUE"""),7.7497377)</f>
        <v>7.7497377</v>
      </c>
      <c r="D14262" s="7">
        <f>IFERROR(__xludf.DUMMYFUNCTION("""COMPUTED_VALUE"""),0.448979591836734)</f>
        <v>0.4489795918</v>
      </c>
    </row>
    <row r="14263">
      <c r="A14263" s="10" t="s">
        <v>15702</v>
      </c>
      <c r="B14263" s="7" t="str">
        <f>IFERROR(__xludf.DUMMYFUNCTION("SPLIT(A14263,"" "")"),"CC(C)N(C)C1=C(CN(C)Cc2ccc3ncccc3c2)NC=CC1")</f>
        <v>CC(C)N(C)C1=C(CN(C)Cc2ccc3ncccc3c2)NC=CC1</v>
      </c>
      <c r="C14263" s="7">
        <f>IFERROR(__xludf.DUMMYFUNCTION("""COMPUTED_VALUE"""),7.749734)</f>
        <v>7.749734</v>
      </c>
      <c r="D14263" s="7">
        <f>IFERROR(__xludf.DUMMYFUNCTION("""COMPUTED_VALUE"""),0.3)</f>
        <v>0.3</v>
      </c>
    </row>
    <row r="14264">
      <c r="A14264" s="10" t="s">
        <v>15703</v>
      </c>
      <c r="B14264" s="7" t="str">
        <f>IFERROR(__xludf.DUMMYFUNCTION("SPLIT(A14264,"" "")"),"Cc1ccnc(CN(Cc2ccccn2)Cc2ccc(N(C)C)cn2)c1C")</f>
        <v>Cc1ccnc(CN(Cc2ccccn2)Cc2ccc(N(C)C)cn2)c1C</v>
      </c>
      <c r="C14264" s="7">
        <f>IFERROR(__xludf.DUMMYFUNCTION("""COMPUTED_VALUE"""),7.749719)</f>
        <v>7.749719</v>
      </c>
      <c r="D14264" s="7">
        <f>IFERROR(__xludf.DUMMYFUNCTION("""COMPUTED_VALUE"""),0.476190476190476)</f>
        <v>0.4761904762</v>
      </c>
    </row>
    <row r="14265">
      <c r="A14265" s="10" t="s">
        <v>15704</v>
      </c>
      <c r="B14265" s="7" t="str">
        <f>IFERROR(__xludf.DUMMYFUNCTION("SPLIT(A14265,"" "")"),"Cc1nc(CN(Cc2ccon2)C2CCC(N(C)c3ccc4nc(CN(C)C)ccc4c3)CC2)c(C)c(C)c1C")</f>
        <v>Cc1nc(CN(Cc2ccon2)C2CCC(N(C)c3ccc4nc(CN(C)C)ccc4c3)CC2)c(C)c(C)c1C</v>
      </c>
      <c r="C14265" s="7">
        <f>IFERROR(__xludf.DUMMYFUNCTION("""COMPUTED_VALUE"""),7.7497153)</f>
        <v>7.7497153</v>
      </c>
      <c r="D14265" s="7">
        <f>IFERROR(__xludf.DUMMYFUNCTION("""COMPUTED_VALUE"""),0.32258064516129)</f>
        <v>0.3225806452</v>
      </c>
    </row>
    <row r="14266">
      <c r="A14266" s="10" t="s">
        <v>15705</v>
      </c>
      <c r="B14266" s="7" t="str">
        <f>IFERROR(__xludf.DUMMYFUNCTION("SPLIT(A14266,"" "")"),"CN(Cc1ccccn1)C1=C(CN(C)c2cccc(C(C)(C)C)c2)NC=CC1")</f>
        <v>CN(Cc1ccccn1)C1=C(CN(C)c2cccc(C(C)(C)C)c2)NC=CC1</v>
      </c>
      <c r="C14266" s="7">
        <f>IFERROR(__xludf.DUMMYFUNCTION("""COMPUTED_VALUE"""),7.749711)</f>
        <v>7.749711</v>
      </c>
      <c r="D14266" s="7">
        <f>IFERROR(__xludf.DUMMYFUNCTION("""COMPUTED_VALUE"""),0.379310344827586)</f>
        <v>0.3793103448</v>
      </c>
    </row>
    <row r="14267">
      <c r="A14267" s="10" t="s">
        <v>15706</v>
      </c>
      <c r="B14267" s="7" t="str">
        <f>IFERROR(__xludf.DUMMYFUNCTION("SPLIT(A14267,"" "")"),"CC(C)C(C)N(C)Cc1ncccc1-c1cccc(N=Cc2ccccn2)c1")</f>
        <v>CC(C)C(C)N(C)Cc1ncccc1-c1cccc(N=Cc2ccccn2)c1</v>
      </c>
      <c r="C14267" s="7">
        <f>IFERROR(__xludf.DUMMYFUNCTION("""COMPUTED_VALUE"""),7.7497034)</f>
        <v>7.7497034</v>
      </c>
      <c r="D14267" s="7">
        <f>IFERROR(__xludf.DUMMYFUNCTION("""COMPUTED_VALUE"""),0.35)</f>
        <v>0.35</v>
      </c>
    </row>
    <row r="14268">
      <c r="A14268" s="10" t="s">
        <v>15707</v>
      </c>
      <c r="B14268" s="7" t="str">
        <f>IFERROR(__xludf.DUMMYFUNCTION("SPLIT(A14268,"" "")"),"Cc1cnc(CN(C)Cc2cccc(N(C)C)n2)cc1C")</f>
        <v>Cc1cnc(CN(C)Cc2cccc(N(C)C)n2)cc1C</v>
      </c>
      <c r="C14268" s="7">
        <f>IFERROR(__xludf.DUMMYFUNCTION("""COMPUTED_VALUE"""),7.749703)</f>
        <v>7.749703</v>
      </c>
      <c r="D14268" s="7">
        <f>IFERROR(__xludf.DUMMYFUNCTION("""COMPUTED_VALUE"""),0.434782608695652)</f>
        <v>0.4347826087</v>
      </c>
    </row>
    <row r="14269">
      <c r="A14269" s="10" t="s">
        <v>15708</v>
      </c>
      <c r="B14269" s="7" t="str">
        <f>IFERROR(__xludf.DUMMYFUNCTION("SPLIT(A14269,"" "")"),"Cc1cccc(N(Cc2ccccn2)C2CCCC(N(C)c3ccc4nccc(CF)c4c3)C2)c1")</f>
        <v>Cc1cccc(N(Cc2ccccn2)C2CCCC(N(C)c3ccc4nccc(CF)c4c3)C2)c1</v>
      </c>
      <c r="C14269" s="7">
        <f>IFERROR(__xludf.DUMMYFUNCTION("""COMPUTED_VALUE"""),7.7496934)</f>
        <v>7.7496934</v>
      </c>
      <c r="D14269" s="7">
        <f>IFERROR(__xludf.DUMMYFUNCTION("""COMPUTED_VALUE"""),0.338235294117647)</f>
        <v>0.3382352941</v>
      </c>
    </row>
    <row r="14270">
      <c r="A14270" s="10" t="s">
        <v>15709</v>
      </c>
      <c r="B14270" s="7" t="str">
        <f>IFERROR(__xludf.DUMMYFUNCTION("SPLIT(A14270,"" "")"),"Cc1ccccc1N(Cc1ccccn1)C1CCCC(N(C)c2ccc3c(CF)ccnc3c2)C1")</f>
        <v>Cc1ccccc1N(Cc1ccccn1)C1CCCC(N(C)c2ccc3c(CF)ccnc3c2)C1</v>
      </c>
      <c r="C14270" s="7">
        <f>IFERROR(__xludf.DUMMYFUNCTION("""COMPUTED_VALUE"""),7.7496886)</f>
        <v>7.7496886</v>
      </c>
      <c r="D14270" s="7">
        <f>IFERROR(__xludf.DUMMYFUNCTION("""COMPUTED_VALUE"""),0.353846153846153)</f>
        <v>0.3538461538</v>
      </c>
    </row>
    <row r="14271">
      <c r="A14271" s="10" t="s">
        <v>15710</v>
      </c>
      <c r="B14271" s="7" t="str">
        <f>IFERROR(__xludf.DUMMYFUNCTION("SPLIT(A14271,"" "")"),"C=Nc1ccccc1-c1cccc(CN(C)Cc2cccc(CN(C)Cc3cccc(CC)n3)n2)n1")</f>
        <v>C=Nc1ccccc1-c1cccc(CN(C)Cc2cccc(CN(C)Cc3cccc(CC)n3)n2)n1</v>
      </c>
      <c r="C14271" s="7">
        <f>IFERROR(__xludf.DUMMYFUNCTION("""COMPUTED_VALUE"""),7.749678)</f>
        <v>7.749678</v>
      </c>
      <c r="D14271" s="7">
        <f>IFERROR(__xludf.DUMMYFUNCTION("""COMPUTED_VALUE"""),0.458333333333333)</f>
        <v>0.4583333333</v>
      </c>
    </row>
    <row r="14272">
      <c r="A14272" s="10" t="s">
        <v>15711</v>
      </c>
      <c r="B14272" s="7" t="str">
        <f>IFERROR(__xludf.DUMMYFUNCTION("SPLIT(A14272,"" "")"),"Cc1ccc(CN(Cc2ccccc2N=Cc2ccccn2)C2C=CC=CN2)nc1")</f>
        <v>Cc1ccc(CN(Cc2ccccc2N=Cc2ccccn2)C2C=CC=CN2)nc1</v>
      </c>
      <c r="C14272" s="7">
        <f>IFERROR(__xludf.DUMMYFUNCTION("""COMPUTED_VALUE"""),7.7496758)</f>
        <v>7.7496758</v>
      </c>
      <c r="D14272" s="7">
        <f>IFERROR(__xludf.DUMMYFUNCTION("""COMPUTED_VALUE"""),0.38095238095238)</f>
        <v>0.380952381</v>
      </c>
    </row>
    <row r="14273">
      <c r="A14273" s="10" t="s">
        <v>15712</v>
      </c>
      <c r="B14273" s="7" t="str">
        <f>IFERROR(__xludf.DUMMYFUNCTION("SPLIT(A14273,"" "")"),"Cc1cnc(CN(Cc2ccccn2)Cc2ncccc2N(C)C)c(C)c1")</f>
        <v>Cc1cnc(CN(Cc2ccccn2)Cc2ncccc2N(C)C)c(C)c1</v>
      </c>
      <c r="C14273" s="7">
        <f>IFERROR(__xludf.DUMMYFUNCTION("""COMPUTED_VALUE"""),7.7496724)</f>
        <v>7.7496724</v>
      </c>
      <c r="D14273" s="7">
        <f>IFERROR(__xludf.DUMMYFUNCTION("""COMPUTED_VALUE"""),0.465116279069767)</f>
        <v>0.4651162791</v>
      </c>
    </row>
    <row r="14274">
      <c r="A14274" s="10" t="s">
        <v>15713</v>
      </c>
      <c r="B14274" s="7" t="str">
        <f>IFERROR(__xludf.DUMMYFUNCTION("SPLIT(A14274,"" "")"),"Cc1ccc(CN(C)Cc2cccc(N(C)Cc3ncccc3C)n2)nc1")</f>
        <v>Cc1ccc(CN(C)Cc2cccc(N(C)Cc3ncccc3C)n2)nc1</v>
      </c>
      <c r="C14274" s="7">
        <f>IFERROR(__xludf.DUMMYFUNCTION("""COMPUTED_VALUE"""),7.749672)</f>
        <v>7.749672</v>
      </c>
      <c r="D14274" s="7">
        <f>IFERROR(__xludf.DUMMYFUNCTION("""COMPUTED_VALUE"""),0.468085106382978)</f>
        <v>0.4680851064</v>
      </c>
    </row>
    <row r="14275">
      <c r="A14275" s="10" t="s">
        <v>15714</v>
      </c>
      <c r="B14275" s="7" t="str">
        <f>IFERROR(__xludf.DUMMYFUNCTION("SPLIT(A14275,"" "")"),"CC(C)N(C)CCN(Cc1ccccn1)c1cccc2ncc(CN(C)C)cc12")</f>
        <v>CC(C)N(C)CCN(Cc1ccccn1)c1cccc2ncc(CN(C)C)cc12</v>
      </c>
      <c r="C14275" s="7">
        <f>IFERROR(__xludf.DUMMYFUNCTION("""COMPUTED_VALUE"""),7.7496667)</f>
        <v>7.7496667</v>
      </c>
      <c r="D14275" s="7">
        <f>IFERROR(__xludf.DUMMYFUNCTION("""COMPUTED_VALUE"""),0.4)</f>
        <v>0.4</v>
      </c>
    </row>
    <row r="14276">
      <c r="A14276" s="10" t="s">
        <v>15715</v>
      </c>
      <c r="B14276" s="7" t="str">
        <f>IFERROR(__xludf.DUMMYFUNCTION("SPLIT(A14276,"" "")"),"CN(CC1=CCC=C(N(C)Cc2ccccn2)N1)Cc1ccon1")</f>
        <v>CN(CC1=CCC=C(N(C)Cc2ccccn2)N1)Cc1ccon1</v>
      </c>
      <c r="C14276" s="7">
        <f>IFERROR(__xludf.DUMMYFUNCTION("""COMPUTED_VALUE"""),7.74966)</f>
        <v>7.74966</v>
      </c>
      <c r="D14276" s="7">
        <f>IFERROR(__xludf.DUMMYFUNCTION("""COMPUTED_VALUE"""),0.411764705882352)</f>
        <v>0.4117647059</v>
      </c>
    </row>
    <row r="14277">
      <c r="A14277" s="10" t="s">
        <v>15716</v>
      </c>
      <c r="B14277" s="7" t="str">
        <f>IFERROR(__xludf.DUMMYFUNCTION("SPLIT(A14277,"" "")"),"CC(C)N(C)CCN(C)c1cccc2nccc(CF)c12")</f>
        <v>CC(C)N(C)CCN(C)c1cccc2nccc(CF)c12</v>
      </c>
      <c r="C14277" s="7">
        <f>IFERROR(__xludf.DUMMYFUNCTION("""COMPUTED_VALUE"""),7.7496595)</f>
        <v>7.7496595</v>
      </c>
      <c r="D14277" s="7">
        <f>IFERROR(__xludf.DUMMYFUNCTION("""COMPUTED_VALUE"""),0.36734693877551)</f>
        <v>0.3673469388</v>
      </c>
    </row>
    <row r="14278">
      <c r="A14278" s="10" t="s">
        <v>15717</v>
      </c>
      <c r="B14278" s="7" t="str">
        <f>IFERROR(__xludf.DUMMYFUNCTION("SPLIT(A14278,"" "")"),"CNCc1ccc(N(C)Cc2cc(C)ccn2)cn1")</f>
        <v>CNCc1ccc(N(C)Cc2cc(C)ccn2)cn1</v>
      </c>
      <c r="C14278" s="7">
        <f>IFERROR(__xludf.DUMMYFUNCTION("""COMPUTED_VALUE"""),7.7496495)</f>
        <v>7.7496495</v>
      </c>
      <c r="D14278" s="7">
        <f>IFERROR(__xludf.DUMMYFUNCTION("""COMPUTED_VALUE"""),0.340425531914893)</f>
        <v>0.3404255319</v>
      </c>
    </row>
    <row r="14279">
      <c r="A14279" s="10" t="s">
        <v>15718</v>
      </c>
      <c r="B14279" s="7" t="str">
        <f>IFERROR(__xludf.DUMMYFUNCTION("SPLIT(A14279,"" "")"),"CN(CCCN(C)c1cccc2ncccc12)Cc1ccccn1")</f>
        <v>CN(CCCN(C)c1cccc2ncccc12)Cc1ccccn1</v>
      </c>
      <c r="C14279" s="7">
        <f>IFERROR(__xludf.DUMMYFUNCTION("""COMPUTED_VALUE"""),7.7496467)</f>
        <v>7.7496467</v>
      </c>
      <c r="D14279" s="7">
        <f>IFERROR(__xludf.DUMMYFUNCTION("""COMPUTED_VALUE"""),0.489361702127659)</f>
        <v>0.4893617021</v>
      </c>
    </row>
    <row r="14280">
      <c r="A14280" s="10" t="s">
        <v>15719</v>
      </c>
      <c r="B14280" s="7" t="str">
        <f>IFERROR(__xludf.DUMMYFUNCTION("SPLIT(A14280,"" "")"),"CN(CCCN(C)c1cccc2nc(CF)ccc12)Cc1ccccn1")</f>
        <v>CN(CCCN(C)c1cccc2nc(CF)ccc12)Cc1ccccn1</v>
      </c>
      <c r="C14280" s="7">
        <f>IFERROR(__xludf.DUMMYFUNCTION("""COMPUTED_VALUE"""),7.749639)</f>
        <v>7.749639</v>
      </c>
      <c r="D14280" s="7">
        <f>IFERROR(__xludf.DUMMYFUNCTION("""COMPUTED_VALUE"""),0.442307692307692)</f>
        <v>0.4423076923</v>
      </c>
    </row>
    <row r="14281">
      <c r="A14281" s="10" t="s">
        <v>15720</v>
      </c>
      <c r="B14281" s="7" t="str">
        <f>IFERROR(__xludf.DUMMYFUNCTION("SPLIT(A14281,"" "")"),"CN(CCNc1cccc2ncccc12)Cc1ccccn1")</f>
        <v>CN(CCNc1cccc2ncccc12)Cc1ccccn1</v>
      </c>
      <c r="C14281" s="7">
        <f>IFERROR(__xludf.DUMMYFUNCTION("""COMPUTED_VALUE"""),7.7496305)</f>
        <v>7.7496305</v>
      </c>
      <c r="D14281" s="7">
        <f>IFERROR(__xludf.DUMMYFUNCTION("""COMPUTED_VALUE"""),0.448979591836734)</f>
        <v>0.4489795918</v>
      </c>
    </row>
    <row r="14282">
      <c r="A14282" s="10" t="s">
        <v>15721</v>
      </c>
      <c r="B14282" s="7" t="str">
        <f>IFERROR(__xludf.DUMMYFUNCTION("SPLIT(A14282,"" "")"),"Cc1nc(CCN(C)CCc2nc(C)c(C)o2)oc1C")</f>
        <v>Cc1nc(CCN(C)CCc2nc(C)c(C)o2)oc1C</v>
      </c>
      <c r="C14282" s="7">
        <f>IFERROR(__xludf.DUMMYFUNCTION("""COMPUTED_VALUE"""),7.7496295)</f>
        <v>7.7496295</v>
      </c>
      <c r="D14282" s="7">
        <f>IFERROR(__xludf.DUMMYFUNCTION("""COMPUTED_VALUE"""),0.289473684210526)</f>
        <v>0.2894736842</v>
      </c>
    </row>
    <row r="14283">
      <c r="A14283" s="10" t="s">
        <v>15722</v>
      </c>
      <c r="B14283" s="7" t="str">
        <f>IFERROR(__xludf.DUMMYFUNCTION("SPLIT(A14283,"" "")"),"Cc1cc(CN(C)Cc2nc(C)c(C)c(C)c2C)cnc1C")</f>
        <v>Cc1cc(CN(C)Cc2nc(C)c(C)c(C)c2C)cnc1C</v>
      </c>
      <c r="C14283" s="7">
        <f>IFERROR(__xludf.DUMMYFUNCTION("""COMPUTED_VALUE"""),7.7496257)</f>
        <v>7.7496257</v>
      </c>
      <c r="D14283" s="7">
        <f>IFERROR(__xludf.DUMMYFUNCTION("""COMPUTED_VALUE"""),0.25531914893617)</f>
        <v>0.2553191489</v>
      </c>
    </row>
    <row r="14284">
      <c r="A14284" s="10" t="s">
        <v>15723</v>
      </c>
      <c r="B14284" s="7" t="str">
        <f>IFERROR(__xludf.DUMMYFUNCTION("SPLIT(A14284,"" "")"),"Cc1ccc(N(C)CC2=CCC=CN2)cc1C")</f>
        <v>Cc1ccc(N(C)CC2=CCC=CN2)cc1C</v>
      </c>
      <c r="C14284" s="7">
        <f>IFERROR(__xludf.DUMMYFUNCTION("""COMPUTED_VALUE"""),7.7496114)</f>
        <v>7.7496114</v>
      </c>
      <c r="D14284" s="7">
        <f>IFERROR(__xludf.DUMMYFUNCTION("""COMPUTED_VALUE"""),0.4)</f>
        <v>0.4</v>
      </c>
    </row>
    <row r="14285">
      <c r="A14285" s="10" t="s">
        <v>15724</v>
      </c>
      <c r="B14285" s="7" t="str">
        <f>IFERROR(__xludf.DUMMYFUNCTION("SPLIT(A14285,"" "")"),"C1=C(SCc2ccccn2)C=C(SCc2ccccn2)NC1")</f>
        <v>C1=C(SCc2ccccn2)C=C(SCc2ccccn2)NC1</v>
      </c>
      <c r="C14285" s="7">
        <f>IFERROR(__xludf.DUMMYFUNCTION("""COMPUTED_VALUE"""),7.749608)</f>
        <v>7.749608</v>
      </c>
      <c r="D14285" s="7">
        <f>IFERROR(__xludf.DUMMYFUNCTION("""COMPUTED_VALUE"""),0.435897435897435)</f>
        <v>0.4358974359</v>
      </c>
    </row>
    <row r="14286">
      <c r="A14286" s="10" t="s">
        <v>15725</v>
      </c>
      <c r="B14286" s="7" t="str">
        <f>IFERROR(__xludf.DUMMYFUNCTION("SPLIT(A14286,"" "")"),"CC(C)N(Cc1ccccn1)c1cc(-c2cc(CN3CCN(C)CCN(C)CC3)ccn2)c2cccnc2c1")</f>
        <v>CC(C)N(Cc1ccccn1)c1cc(-c2cc(CN3CCN(C)CCN(C)CC3)ccn2)c2cccnc2c1</v>
      </c>
      <c r="C14286" s="7">
        <f>IFERROR(__xludf.DUMMYFUNCTION("""COMPUTED_VALUE"""),7.7496033)</f>
        <v>7.7496033</v>
      </c>
      <c r="D14286" s="7">
        <f>IFERROR(__xludf.DUMMYFUNCTION("""COMPUTED_VALUE"""),0.426229508196721)</f>
        <v>0.4262295082</v>
      </c>
    </row>
    <row r="14287">
      <c r="A14287" s="10" t="s">
        <v>15726</v>
      </c>
      <c r="B14287" s="7" t="str">
        <f>IFERROR(__xludf.DUMMYFUNCTION("SPLIT(A14287,"" "")"),"CC1=C(C)C(N(C)Cc2ccc(-c3ccccc3N(C)C)cn2)CC(C)C1")</f>
        <v>CC1=C(C)C(N(C)Cc2ccc(-c3ccccc3N(C)C)cn2)CC(C)C1</v>
      </c>
      <c r="C14287" s="7">
        <f>IFERROR(__xludf.DUMMYFUNCTION("""COMPUTED_VALUE"""),7.749602)</f>
        <v>7.749602</v>
      </c>
      <c r="D14287" s="7">
        <f>IFERROR(__xludf.DUMMYFUNCTION("""COMPUTED_VALUE"""),0.338983050847457)</f>
        <v>0.3389830508</v>
      </c>
    </row>
    <row r="14288">
      <c r="A14288" s="10" t="s">
        <v>15727</v>
      </c>
      <c r="B14288" s="7" t="str">
        <f>IFERROR(__xludf.DUMMYFUNCTION("SPLIT(A14288,"" "")"),"CC(C)C(C)N(C)Cc1cc(-c2ccccc2N=Cc2ccccn2)ccn1")</f>
        <v>CC(C)C(C)N(C)Cc1cc(-c2ccccc2N=Cc2ccccn2)ccn1</v>
      </c>
      <c r="C14288" s="7">
        <f>IFERROR(__xludf.DUMMYFUNCTION("""COMPUTED_VALUE"""),7.749599)</f>
        <v>7.749599</v>
      </c>
      <c r="D14288" s="7">
        <f>IFERROR(__xludf.DUMMYFUNCTION("""COMPUTED_VALUE"""),0.403508771929824)</f>
        <v>0.4035087719</v>
      </c>
    </row>
    <row r="14289">
      <c r="A14289" s="10" t="s">
        <v>15728</v>
      </c>
      <c r="B14289" s="7" t="str">
        <f>IFERROR(__xludf.DUMMYFUNCTION("SPLIT(A14289,"" "")"),"CNCc1cc(CN(C)Cc2ccc3ccccc3n2)ccn1")</f>
        <v>CNCc1cc(CN(C)Cc2ccc3ccccc3n2)ccn1</v>
      </c>
      <c r="C14289" s="7">
        <f>IFERROR(__xludf.DUMMYFUNCTION("""COMPUTED_VALUE"""),7.749595)</f>
        <v>7.749595</v>
      </c>
      <c r="D14289" s="7">
        <f>IFERROR(__xludf.DUMMYFUNCTION("""COMPUTED_VALUE"""),0.479166666666666)</f>
        <v>0.4791666667</v>
      </c>
    </row>
    <row r="14290">
      <c r="A14290" s="10" t="s">
        <v>15729</v>
      </c>
      <c r="B14290" s="7" t="str">
        <f>IFERROR(__xludf.DUMMYFUNCTION("SPLIT(A14290,"" "")"),"CN(CCN(C)Cc1ccc2cccnc2c1)CCN(C)Cc1ccc2cccnc2c1")</f>
        <v>CN(CCN(C)Cc1ccc2cccnc2c1)CCN(C)Cc1ccc2cccnc2c1</v>
      </c>
      <c r="C14290" s="7">
        <f>IFERROR(__xludf.DUMMYFUNCTION("""COMPUTED_VALUE"""),7.7495937)</f>
        <v>7.7495937</v>
      </c>
      <c r="D14290" s="7">
        <f>IFERROR(__xludf.DUMMYFUNCTION("""COMPUTED_VALUE"""),0.48780487804878)</f>
        <v>0.487804878</v>
      </c>
    </row>
    <row r="14291">
      <c r="A14291" s="10" t="s">
        <v>15730</v>
      </c>
      <c r="B14291" s="7" t="str">
        <f>IFERROR(__xludf.DUMMYFUNCTION("SPLIT(A14291,"" "")"),"CC(c1ccccn1)(c1ccccn1)c1cccc(CN(Cc2ccccn2)C2C=CC=CN2)n1")</f>
        <v>CC(c1ccccn1)(c1ccccn1)c1cccc(CN(Cc2ccccn2)C2C=CC=CN2)n1</v>
      </c>
      <c r="C14291" s="7">
        <f>IFERROR(__xludf.DUMMYFUNCTION("""COMPUTED_VALUE"""),7.749582)</f>
        <v>7.749582</v>
      </c>
      <c r="D14291" s="7">
        <f>IFERROR(__xludf.DUMMYFUNCTION("""COMPUTED_VALUE"""),0.464285714285714)</f>
        <v>0.4642857143</v>
      </c>
    </row>
    <row r="14292">
      <c r="A14292" s="10" t="s">
        <v>15731</v>
      </c>
      <c r="B14292" s="7" t="str">
        <f>IFERROR(__xludf.DUMMYFUNCTION("SPLIT(A14292,"" "")"),"CN(Cc1cccc(N)n1)C1=CCC=CN1")</f>
        <v>CN(Cc1cccc(N)n1)C1=CCC=CN1</v>
      </c>
      <c r="C14292" s="7">
        <f>IFERROR(__xludf.DUMMYFUNCTION("""COMPUTED_VALUE"""),7.749576)</f>
        <v>7.749576</v>
      </c>
      <c r="D14292" s="7">
        <f>IFERROR(__xludf.DUMMYFUNCTION("""COMPUTED_VALUE"""),0.377358490566037)</f>
        <v>0.3773584906</v>
      </c>
    </row>
    <row r="14293">
      <c r="A14293" s="10" t="s">
        <v>15732</v>
      </c>
      <c r="B14293" s="7" t="str">
        <f>IFERROR(__xludf.DUMMYFUNCTION("SPLIT(A14293,"" "")"),"Cc1ccc(C(C)(C)c2cc(CN(Cc3ccccn3)C3CCCC(N(C)c4ccc5c(CN(C)C)ccnc5c4)C3)ccn2)cc1N")</f>
        <v>Cc1ccc(C(C)(C)c2cc(CN(Cc3ccccn3)C3CCCC(N(C)c4ccc5c(CN(C)C)ccnc5c4)C3)ccn2)cc1N</v>
      </c>
      <c r="C14293" s="7">
        <f>IFERROR(__xludf.DUMMYFUNCTION("""COMPUTED_VALUE"""),7.7495666)</f>
        <v>7.7495666</v>
      </c>
      <c r="D14293" s="7">
        <f>IFERROR(__xludf.DUMMYFUNCTION("""COMPUTED_VALUE"""),0.280487804878048)</f>
        <v>0.2804878049</v>
      </c>
    </row>
    <row r="14294">
      <c r="A14294" s="10" t="s">
        <v>15733</v>
      </c>
      <c r="B14294" s="7" t="str">
        <f>IFERROR(__xludf.DUMMYFUNCTION("SPLIT(A14294,"" "")"),"Cc1ccnc(CN(C)Cc2cc(N(C)C)ccn2)c1")</f>
        <v>Cc1ccnc(CN(C)Cc2cc(N(C)C)ccn2)c1</v>
      </c>
      <c r="C14294" s="7">
        <f>IFERROR(__xludf.DUMMYFUNCTION("""COMPUTED_VALUE"""),7.749557)</f>
        <v>7.749557</v>
      </c>
      <c r="D14294" s="7">
        <f>IFERROR(__xludf.DUMMYFUNCTION("""COMPUTED_VALUE"""),0.428571428571428)</f>
        <v>0.4285714286</v>
      </c>
    </row>
    <row r="14295">
      <c r="A14295" s="10" t="s">
        <v>15734</v>
      </c>
      <c r="B14295" s="7" t="str">
        <f>IFERROR(__xludf.DUMMYFUNCTION("SPLIT(A14295,"" "")"),"Cc1ccnc(CN(Cc2cc(C)ccn2)Cc2nc(C)c(Cc3ccccn3)n2C)c1")</f>
        <v>Cc1ccnc(CN(Cc2cc(C)ccn2)Cc2nc(C)c(Cc3ccccn3)n2C)c1</v>
      </c>
      <c r="C14295" s="7">
        <f>IFERROR(__xludf.DUMMYFUNCTION("""COMPUTED_VALUE"""),7.749547)</f>
        <v>7.749547</v>
      </c>
      <c r="D14295" s="7">
        <f>IFERROR(__xludf.DUMMYFUNCTION("""COMPUTED_VALUE"""),0.422222222222222)</f>
        <v>0.4222222222</v>
      </c>
    </row>
    <row r="14296">
      <c r="A14296" s="10" t="s">
        <v>15735</v>
      </c>
      <c r="B14296" s="7" t="str">
        <f>IFERROR(__xludf.DUMMYFUNCTION("SPLIT(A14296,"" "")"),"CNC1C=C(N(Cc2ccccn2)Cc2nc(C)c(C)c(C)c2C)C=CN1")</f>
        <v>CNC1C=C(N(Cc2ccccn2)Cc2nc(C)c(C)c(C)c2C)C=CN1</v>
      </c>
      <c r="C14296" s="7">
        <f>IFERROR(__xludf.DUMMYFUNCTION("""COMPUTED_VALUE"""),7.7495394)</f>
        <v>7.7495394</v>
      </c>
      <c r="D14296" s="7">
        <f>IFERROR(__xludf.DUMMYFUNCTION("""COMPUTED_VALUE"""),0.323076923076923)</f>
        <v>0.3230769231</v>
      </c>
    </row>
    <row r="14297">
      <c r="A14297" s="10" t="s">
        <v>15736</v>
      </c>
      <c r="B14297" s="7" t="str">
        <f>IFERROR(__xludf.DUMMYFUNCTION("SPLIT(A14297,"" "")"),"CCCN(Cc1ccccn1)c1cccc(-c2cccc(CN(Cc3ccccn3)Cc3ncccc3C)n2)c1C(C)(C)C")</f>
        <v>CCCN(Cc1ccccn1)c1cccc(-c2cccc(CN(Cc3ccccn3)Cc3ncccc3C)n2)c1C(C)(C)C</v>
      </c>
      <c r="C14297" s="7">
        <f>IFERROR(__xludf.DUMMYFUNCTION("""COMPUTED_VALUE"""),7.7495003)</f>
        <v>7.7495003</v>
      </c>
      <c r="D14297" s="7">
        <f>IFERROR(__xludf.DUMMYFUNCTION("""COMPUTED_VALUE"""),0.391304347826087)</f>
        <v>0.3913043478</v>
      </c>
    </row>
    <row r="14298">
      <c r="A14298" s="10" t="s">
        <v>15737</v>
      </c>
      <c r="B14298" s="7" t="str">
        <f>IFERROR(__xludf.DUMMYFUNCTION("SPLIT(A14298,"" "")"),"Cc1nc(CN(Cc2nc(C)c(C)c(C)c2C)C2CCC(N(C)c3ccc4nc(CN(C)C)ccc4c3)CC2)c(C)c(C)c1C")</f>
        <v>Cc1nc(CN(Cc2nc(C)c(C)c(C)c2C)C2CCC(N(C)c3ccc4nc(CN(C)C)ccc4c3)CC2)c(C)c(C)c1C</v>
      </c>
      <c r="C14298" s="7">
        <f>IFERROR(__xludf.DUMMYFUNCTION("""COMPUTED_VALUE"""),7.749488)</f>
        <v>7.749488</v>
      </c>
      <c r="D14298" s="7">
        <f>IFERROR(__xludf.DUMMYFUNCTION("""COMPUTED_VALUE"""),0.267857142857142)</f>
        <v>0.2678571429</v>
      </c>
    </row>
    <row r="14299">
      <c r="A14299" s="10" t="s">
        <v>15738</v>
      </c>
      <c r="B14299" s="7" t="str">
        <f>IFERROR(__xludf.DUMMYFUNCTION("SPLIT(A14299,"" "")"),"Cc1cc(CN(C)Cc2cc(N(C)C)ccn2)ccn1")</f>
        <v>Cc1cc(CN(C)Cc2cc(N(C)C)ccn2)ccn1</v>
      </c>
      <c r="C14299" s="7">
        <f>IFERROR(__xludf.DUMMYFUNCTION("""COMPUTED_VALUE"""),7.749486)</f>
        <v>7.749486</v>
      </c>
      <c r="D14299" s="7">
        <f>IFERROR(__xludf.DUMMYFUNCTION("""COMPUTED_VALUE"""),0.36)</f>
        <v>0.36</v>
      </c>
    </row>
    <row r="14300">
      <c r="A14300" s="10" t="s">
        <v>15739</v>
      </c>
      <c r="B14300" s="7" t="str">
        <f>IFERROR(__xludf.DUMMYFUNCTION("SPLIT(A14300,"" "")"),"CC(C)N(C)CN(c1ccc2cccnc2c1)C(C)C")</f>
        <v>CC(C)N(C)CN(c1ccc2cccnc2c1)C(C)C</v>
      </c>
      <c r="C14300" s="7">
        <f>IFERROR(__xludf.DUMMYFUNCTION("""COMPUTED_VALUE"""),7.749483)</f>
        <v>7.749483</v>
      </c>
      <c r="D14300" s="7">
        <f>IFERROR(__xludf.DUMMYFUNCTION("""COMPUTED_VALUE"""),0.32)</f>
        <v>0.32</v>
      </c>
    </row>
    <row r="14301">
      <c r="A14301" s="10" t="s">
        <v>15740</v>
      </c>
      <c r="B14301" s="7" t="str">
        <f>IFERROR(__xludf.DUMMYFUNCTION("SPLIT(A14301,"" "")"),"Cc1cc(C)c(CN(C)CCN(C)Cc2ccc3ncccc3c2)nc1C")</f>
        <v>Cc1cc(C)c(CN(C)CCN(C)Cc2ccc3ncccc3c2)nc1C</v>
      </c>
      <c r="C14301" s="7">
        <f>IFERROR(__xludf.DUMMYFUNCTION("""COMPUTED_VALUE"""),7.749481)</f>
        <v>7.749481</v>
      </c>
      <c r="D14301" s="7">
        <f>IFERROR(__xludf.DUMMYFUNCTION("""COMPUTED_VALUE"""),0.392156862745098)</f>
        <v>0.3921568627</v>
      </c>
    </row>
    <row r="14302">
      <c r="A14302" s="10" t="s">
        <v>15741</v>
      </c>
      <c r="B14302" s="7" t="str">
        <f>IFERROR(__xludf.DUMMYFUNCTION("SPLIT(A14302,"" "")"),"C=CCOCc1cccc(CN(Cc2cccc(C3=NC(C)(C)CO3)n2)Cc2cccc(C(C)(C)c3cccc(CN(Cc4cccc(C5=NC(C)(C)CO5)n4)Cc4cccc(C(C)(C)C)n4)n3)n2)n1")</f>
        <v>C=CCOCc1cccc(CN(Cc2cccc(C3=NC(C)(C)CO3)n2)Cc2cccc(C(C)(C)c3cccc(CN(Cc4cccc(C5=NC(C)(C)CO5)n4)Cc4cccc(C(C)(C)C)n4)n3)n2)n1</v>
      </c>
      <c r="C14302" s="7">
        <f>IFERROR(__xludf.DUMMYFUNCTION("""COMPUTED_VALUE"""),7.7494698)</f>
        <v>7.7494698</v>
      </c>
      <c r="D14302" s="7">
        <f>IFERROR(__xludf.DUMMYFUNCTION("""COMPUTED_VALUE"""),0.446153846153846)</f>
        <v>0.4461538462</v>
      </c>
    </row>
    <row r="14303">
      <c r="A14303" s="10" t="s">
        <v>15742</v>
      </c>
      <c r="B14303" s="7" t="str">
        <f>IFERROR(__xludf.DUMMYFUNCTION("SPLIT(A14303,"" "")"),"Cc1c(C)c(C)c(CN(C)CCN(C)Cc2ccc3cccnc3c2)c(C)c1C")</f>
        <v>Cc1c(C)c(C)c(CN(C)CCN(C)Cc2ccc3cccnc3c2)c(C)c1C</v>
      </c>
      <c r="C14303" s="7">
        <f>IFERROR(__xludf.DUMMYFUNCTION("""COMPUTED_VALUE"""),7.749462)</f>
        <v>7.749462</v>
      </c>
      <c r="D14303" s="7">
        <f>IFERROR(__xludf.DUMMYFUNCTION("""COMPUTED_VALUE"""),0.425531914893617)</f>
        <v>0.4255319149</v>
      </c>
    </row>
    <row r="14304">
      <c r="A14304" s="10" t="s">
        <v>15743</v>
      </c>
      <c r="B14304" s="7" t="str">
        <f>IFERROR(__xludf.DUMMYFUNCTION("SPLIT(A14304,"" "")"),"Cc1ccc(N)c(-c2nc(CN(C)CCN)c(C)c(C)c2C)c1")</f>
        <v>Cc1ccc(N)c(-c2nc(CN(C)CCN)c(C)c(C)c2C)c1</v>
      </c>
      <c r="C14304" s="7">
        <f>IFERROR(__xludf.DUMMYFUNCTION("""COMPUTED_VALUE"""),7.749455)</f>
        <v>7.749455</v>
      </c>
      <c r="D14304" s="7">
        <f>IFERROR(__xludf.DUMMYFUNCTION("""COMPUTED_VALUE"""),0.326530612244897)</f>
        <v>0.3265306122</v>
      </c>
    </row>
    <row r="14305">
      <c r="A14305" s="10" t="s">
        <v>15744</v>
      </c>
      <c r="B14305" s="7" t="str">
        <f>IFERROR(__xludf.DUMMYFUNCTION("SPLIT(A14305,"" "")"),"COC(=O)c1cccc(CN(Cc2ccccn2)C2CCC(N(C)c3cccc4c(CF)ccnc34)CC2)n1")</f>
        <v>COC(=O)c1cccc(CN(Cc2ccccn2)C2CCC(N(C)c3cccc4c(CF)ccnc34)CC2)n1</v>
      </c>
      <c r="C14305" s="7">
        <f>IFERROR(__xludf.DUMMYFUNCTION("""COMPUTED_VALUE"""),7.749446)</f>
        <v>7.749446</v>
      </c>
      <c r="D14305" s="7">
        <f>IFERROR(__xludf.DUMMYFUNCTION("""COMPUTED_VALUE"""),0.319444444444444)</f>
        <v>0.3194444444</v>
      </c>
    </row>
    <row r="14306">
      <c r="A14306" s="10" t="s">
        <v>15745</v>
      </c>
      <c r="B14306" s="7" t="str">
        <f>IFERROR(__xludf.DUMMYFUNCTION("SPLIT(A14306,"" "")"),"CN(C)c1cccc(-c2cccnc2CN(CCF)C2CCCCC2N(C)c2ccc3nccc(CF)c3c2)c1")</f>
        <v>CN(C)c1cccc(-c2cccnc2CN(CCF)C2CCCCC2N(C)c2ccc3nccc(CF)c3c2)c1</v>
      </c>
      <c r="C14306" s="7">
        <f>IFERROR(__xludf.DUMMYFUNCTION("""COMPUTED_VALUE"""),7.749446)</f>
        <v>7.749446</v>
      </c>
      <c r="D14306" s="7">
        <f>IFERROR(__xludf.DUMMYFUNCTION("""COMPUTED_VALUE"""),0.306666666666666)</f>
        <v>0.3066666667</v>
      </c>
    </row>
    <row r="14307">
      <c r="A14307" s="10" t="s">
        <v>15746</v>
      </c>
      <c r="B14307" s="7" t="str">
        <f>IFERROR(__xludf.DUMMYFUNCTION("SPLIT(A14307,"" "")"),"Cc1cc(C)c(CN(C)CC2=C(N(C)Cc3nc(C)c(C)c(C)c3C)CC=CN2)nc1C")</f>
        <v>Cc1cc(C)c(CN(C)CC2=C(N(C)Cc3nc(C)c(C)c(C)c3C)CC=CN2)nc1C</v>
      </c>
      <c r="C14307" s="7">
        <f>IFERROR(__xludf.DUMMYFUNCTION("""COMPUTED_VALUE"""),7.749444)</f>
        <v>7.749444</v>
      </c>
      <c r="D14307" s="7">
        <f>IFERROR(__xludf.DUMMYFUNCTION("""COMPUTED_VALUE"""),0.180327868852459)</f>
        <v>0.1803278689</v>
      </c>
    </row>
    <row r="14308">
      <c r="A14308" s="10" t="s">
        <v>15747</v>
      </c>
      <c r="B14308" s="7" t="str">
        <f>IFERROR(__xludf.DUMMYFUNCTION("SPLIT(A14308,"" "")"),"Cc1ccc(C)c(CN(C)C2=CCC=C(CN(C)C)N2)n1")</f>
        <v>Cc1ccc(C)c(CN(C)C2=CCC=C(CN(C)C)N2)n1</v>
      </c>
      <c r="C14308" s="7">
        <f>IFERROR(__xludf.DUMMYFUNCTION("""COMPUTED_VALUE"""),7.749443)</f>
        <v>7.749443</v>
      </c>
      <c r="D14308" s="7">
        <f>IFERROR(__xludf.DUMMYFUNCTION("""COMPUTED_VALUE"""),0.254901960784313)</f>
        <v>0.2549019608</v>
      </c>
    </row>
    <row r="14309">
      <c r="A14309" s="10" t="s">
        <v>15748</v>
      </c>
      <c r="B14309" s="7" t="str">
        <f>IFERROR(__xludf.DUMMYFUNCTION("SPLIT(A14309,"" "")"),"Cc1cccc(-c2cccc(CN(Cc3ccccn3)C3CCCCC3N(C)c3ccc4nc(CF)ccc4c3)n2)c1C")</f>
        <v>Cc1cccc(-c2cccc(CN(Cc3ccccn3)C3CCCCC3N(C)c3ccc4nc(CF)ccc4c3)n2)c1C</v>
      </c>
      <c r="C14309" s="7">
        <f>IFERROR(__xludf.DUMMYFUNCTION("""COMPUTED_VALUE"""),7.7494364)</f>
        <v>7.7494364</v>
      </c>
      <c r="D14309" s="7">
        <f>IFERROR(__xludf.DUMMYFUNCTION("""COMPUTED_VALUE"""),0.402777777777777)</f>
        <v>0.4027777778</v>
      </c>
    </row>
    <row r="14310">
      <c r="A14310" s="10" t="s">
        <v>15749</v>
      </c>
      <c r="B14310" s="7" t="str">
        <f>IFERROR(__xludf.DUMMYFUNCTION("SPLIT(A14310,"" "")"),"CNc1ccc(C)c(C)n1")</f>
        <v>CNc1ccc(C)c(C)n1</v>
      </c>
      <c r="C14310" s="7">
        <f>IFERROR(__xludf.DUMMYFUNCTION("""COMPUTED_VALUE"""),7.749416)</f>
        <v>7.749416</v>
      </c>
      <c r="D14310" s="7">
        <f>IFERROR(__xludf.DUMMYFUNCTION("""COMPUTED_VALUE"""),0.192307692307692)</f>
        <v>0.1923076923</v>
      </c>
    </row>
    <row r="14311">
      <c r="A14311" s="10" t="s">
        <v>15750</v>
      </c>
      <c r="B14311" s="7" t="str">
        <f>IFERROR(__xludf.DUMMYFUNCTION("SPLIT(A14311,"" "")"),"CCN(Cc1ccccn1)c1ccccc1-c1cc(CN(Cc2ccccn2)C(C)C)ccn1")</f>
        <v>CCN(Cc1ccccn1)c1ccccc1-c1cc(CN(Cc2ccccn2)C(C)C)ccn1</v>
      </c>
      <c r="C14311" s="7">
        <f>IFERROR(__xludf.DUMMYFUNCTION("""COMPUTED_VALUE"""),7.7493944)</f>
        <v>7.7493944</v>
      </c>
      <c r="D14311" s="7">
        <f>IFERROR(__xludf.DUMMYFUNCTION("""COMPUTED_VALUE"""),0.48)</f>
        <v>0.48</v>
      </c>
    </row>
    <row r="14312">
      <c r="A14312" s="10" t="s">
        <v>15751</v>
      </c>
      <c r="B14312" s="7" t="str">
        <f>IFERROR(__xludf.DUMMYFUNCTION("SPLIT(A14312,"" "")"),"CC(c1ccccn1)(c1ccccn1)c1cccc(CN(Cc2cccc(F)n2)Cc2cccc(CF)n2)n1")</f>
        <v>CC(c1ccccn1)(c1ccccn1)c1cccc(CN(Cc2cccc(F)n2)Cc2cccc(CF)n2)n1</v>
      </c>
      <c r="C14312" s="7">
        <f>IFERROR(__xludf.DUMMYFUNCTION("""COMPUTED_VALUE"""),7.7493906)</f>
        <v>7.7493906</v>
      </c>
      <c r="D14312" s="7">
        <f>IFERROR(__xludf.DUMMYFUNCTION("""COMPUTED_VALUE"""),0.428571428571428)</f>
        <v>0.4285714286</v>
      </c>
    </row>
    <row r="14313">
      <c r="A14313" s="10" t="s">
        <v>15752</v>
      </c>
      <c r="B14313" s="7" t="str">
        <f>IFERROR(__xludf.DUMMYFUNCTION("SPLIT(A14313,"" "")"),"C1=CNc2ccccc2C1")</f>
        <v>C1=CNc2ccccc2C1</v>
      </c>
      <c r="C14313" s="7">
        <f>IFERROR(__xludf.DUMMYFUNCTION("""COMPUTED_VALUE"""),7.7493887)</f>
        <v>7.7493887</v>
      </c>
      <c r="D14313" s="7">
        <f>IFERROR(__xludf.DUMMYFUNCTION("""COMPUTED_VALUE"""),0.272727272727272)</f>
        <v>0.2727272727</v>
      </c>
    </row>
    <row r="14314">
      <c r="A14314" s="10" t="s">
        <v>15753</v>
      </c>
      <c r="B14314" s="7" t="str">
        <f>IFERROR(__xludf.DUMMYFUNCTION("SPLIT(A14314,"" "")"),"CC(C)C(C)N(Cc1ccccn1)Cc1ncccc1-c1ccccc1N=Cc1ccccn1")</f>
        <v>CC(C)C(C)N(Cc1ccccn1)Cc1ncccc1-c1ccccc1N=Cc1ccccn1</v>
      </c>
      <c r="C14314" s="7">
        <f>IFERROR(__xludf.DUMMYFUNCTION("""COMPUTED_VALUE"""),7.7493887)</f>
        <v>7.7493887</v>
      </c>
      <c r="D14314" s="7">
        <f>IFERROR(__xludf.DUMMYFUNCTION("""COMPUTED_VALUE"""),0.415094339622641)</f>
        <v>0.4150943396</v>
      </c>
    </row>
    <row r="14315">
      <c r="A14315" s="10" t="s">
        <v>15754</v>
      </c>
      <c r="B14315" s="7" t="str">
        <f>IFERROR(__xludf.DUMMYFUNCTION("SPLIT(A14315,"" "")"),"CCNCc1ccc(-c2cccc(C(C)(C)C)n2)cn1")</f>
        <v>CCNCc1ccc(-c2cccc(C(C)(C)C)n2)cn1</v>
      </c>
      <c r="C14315" s="7">
        <f>IFERROR(__xludf.DUMMYFUNCTION("""COMPUTED_VALUE"""),7.749388)</f>
        <v>7.749388</v>
      </c>
      <c r="D14315" s="7">
        <f>IFERROR(__xludf.DUMMYFUNCTION("""COMPUTED_VALUE"""),0.363636363636363)</f>
        <v>0.3636363636</v>
      </c>
    </row>
    <row r="14316">
      <c r="A14316" s="10" t="s">
        <v>15755</v>
      </c>
      <c r="B14316" s="7" t="str">
        <f>IFERROR(__xludf.DUMMYFUNCTION("SPLIT(A14316,"" "")"),"CC(N)c1cccc(-c2ncccc2CN(Cc2ccccn2)C2CCC(N(C)c3ccc4cc(CF)cnc4c3)CC2)c1")</f>
        <v>CC(N)c1cccc(-c2ncccc2CN(Cc2ccccn2)C2CCC(N(C)c3ccc4cc(CF)cnc4c3)CC2)c1</v>
      </c>
      <c r="C14316" s="7">
        <f>IFERROR(__xludf.DUMMYFUNCTION("""COMPUTED_VALUE"""),7.749358)</f>
        <v>7.749358</v>
      </c>
      <c r="D14316" s="7">
        <f>IFERROR(__xludf.DUMMYFUNCTION("""COMPUTED_VALUE"""),0.275)</f>
        <v>0.275</v>
      </c>
    </row>
    <row r="14317">
      <c r="A14317" s="10" t="s">
        <v>15756</v>
      </c>
      <c r="B14317" s="7" t="str">
        <f>IFERROR(__xludf.DUMMYFUNCTION("SPLIT(A14317,"" "")"),"CC(C)C1=CC2(C=CN1)C=CC(c1cc(CN(Cc3ccccn3)Cc3ccccn3)ccn1)C(c1cc(CN(Cc3ccccn3)Cc3cc(-c4cccc(N(C)C)c4)ccn3)ccn1)C2(C)C")</f>
        <v>CC(C)C1=CC2(C=CN1)C=CC(c1cc(CN(Cc3ccccn3)Cc3ccccn3)ccn1)C(c1cc(CN(Cc3ccccn3)Cc3cc(-c4cccc(N(C)C)c4)ccn3)ccn1)C2(C)C</v>
      </c>
      <c r="C14317" s="7">
        <f>IFERROR(__xludf.DUMMYFUNCTION("""COMPUTED_VALUE"""),7.749355)</f>
        <v>7.749355</v>
      </c>
      <c r="D14317" s="7">
        <f>IFERROR(__xludf.DUMMYFUNCTION("""COMPUTED_VALUE"""),0.298850574712643)</f>
        <v>0.2988505747</v>
      </c>
    </row>
    <row r="14318">
      <c r="A14318" s="10" t="s">
        <v>15757</v>
      </c>
      <c r="B14318" s="7" t="str">
        <f>IFERROR(__xludf.DUMMYFUNCTION("SPLIT(A14318,"" "")"),"CC(C)N(C)c1cccc(CN(C)Cc2ccc(-c3ccccc3)nc2)n1")</f>
        <v>CC(C)N(C)c1cccc(CN(C)Cc2ccc(-c3ccccc3)nc2)n1</v>
      </c>
      <c r="C14318" s="7">
        <f>IFERROR(__xludf.DUMMYFUNCTION("""COMPUTED_VALUE"""),7.7493496)</f>
        <v>7.7493496</v>
      </c>
      <c r="D14318" s="7">
        <f>IFERROR(__xludf.DUMMYFUNCTION("""COMPUTED_VALUE"""),0.388888888888888)</f>
        <v>0.3888888889</v>
      </c>
    </row>
    <row r="14319">
      <c r="A14319" s="10" t="s">
        <v>15758</v>
      </c>
      <c r="B14319" s="7" t="str">
        <f>IFERROR(__xludf.DUMMYFUNCTION("SPLIT(A14319,"" "")"),"CNc1ccccc1-c1cccc(C(C)(C)N(C)C2CCC(N(C)c3ccc4ncccc4c3)CC2)n1")</f>
        <v>CNc1ccccc1-c1cccc(C(C)(C)N(C)C2CCC(N(C)c3ccc4ncccc4c3)CC2)n1</v>
      </c>
      <c r="C14319" s="7">
        <f>IFERROR(__xludf.DUMMYFUNCTION("""COMPUTED_VALUE"""),7.749348)</f>
        <v>7.749348</v>
      </c>
      <c r="D14319" s="7">
        <f>IFERROR(__xludf.DUMMYFUNCTION("""COMPUTED_VALUE"""),0.275362318840579)</f>
        <v>0.2753623188</v>
      </c>
    </row>
    <row r="14320">
      <c r="A14320" s="10" t="s">
        <v>15759</v>
      </c>
      <c r="B14320" s="7" t="str">
        <f>IFERROR(__xludf.DUMMYFUNCTION("SPLIT(A14320,"" "")"),"CC1(C)COC(c2cccnc2C2OC=NC2(C)C)=N1")</f>
        <v>CC1(C)COC(c2cccnc2C2OC=NC2(C)C)=N1</v>
      </c>
      <c r="C14320" s="7">
        <f>IFERROR(__xludf.DUMMYFUNCTION("""COMPUTED_VALUE"""),7.749346)</f>
        <v>7.749346</v>
      </c>
      <c r="D14320" s="7">
        <f>IFERROR(__xludf.DUMMYFUNCTION("""COMPUTED_VALUE"""),0.395833333333333)</f>
        <v>0.3958333333</v>
      </c>
    </row>
    <row r="14321">
      <c r="A14321" s="10" t="s">
        <v>15760</v>
      </c>
      <c r="B14321" s="7" t="str">
        <f>IFERROR(__xludf.DUMMYFUNCTION("SPLIT(A14321,"" "")"),"Cc1ccc(CN(Cc2ccccn2)Cc2ncccc2C(C)(c2ccccn2)c2ccccn2)nc1")</f>
        <v>Cc1ccc(CN(Cc2ccccn2)Cc2ncccc2C(C)(c2ccccn2)c2ccccn2)nc1</v>
      </c>
      <c r="C14321" s="7">
        <f>IFERROR(__xludf.DUMMYFUNCTION("""COMPUTED_VALUE"""),7.749329)</f>
        <v>7.749329</v>
      </c>
      <c r="D14321" s="7">
        <f>IFERROR(__xludf.DUMMYFUNCTION("""COMPUTED_VALUE"""),0.444444444444444)</f>
        <v>0.4444444444</v>
      </c>
    </row>
    <row r="14322">
      <c r="A14322" s="10" t="s">
        <v>15761</v>
      </c>
      <c r="B14322" s="7" t="str">
        <f>IFERROR(__xludf.DUMMYFUNCTION("SPLIT(A14322,"" "")"),"Cc1cc(CN(C)C2=CNC(CN(C)C)=CC2)nc(C)c1C")</f>
        <v>Cc1cc(CN(C)C2=CNC(CN(C)C)=CC2)nc(C)c1C</v>
      </c>
      <c r="C14322" s="7">
        <f>IFERROR(__xludf.DUMMYFUNCTION("""COMPUTED_VALUE"""),7.7493253)</f>
        <v>7.7493253</v>
      </c>
      <c r="D14322" s="7">
        <f>IFERROR(__xludf.DUMMYFUNCTION("""COMPUTED_VALUE"""),0.210526315789473)</f>
        <v>0.2105263158</v>
      </c>
    </row>
    <row r="14323">
      <c r="A14323" s="10" t="s">
        <v>15762</v>
      </c>
      <c r="B14323" s="7" t="str">
        <f>IFERROR(__xludf.DUMMYFUNCTION("SPLIT(A14323,"" "")"),"Cc1cncc(CN(C)Cc2ccc(N(C)Cc3ncccc3C)nc2)c1")</f>
        <v>Cc1cncc(CN(C)Cc2ccc(N(C)Cc3ncccc3C)nc2)c1</v>
      </c>
      <c r="C14323" s="7">
        <f>IFERROR(__xludf.DUMMYFUNCTION("""COMPUTED_VALUE"""),7.749303)</f>
        <v>7.749303</v>
      </c>
      <c r="D14323" s="7">
        <f>IFERROR(__xludf.DUMMYFUNCTION("""COMPUTED_VALUE"""),0.275862068965517)</f>
        <v>0.275862069</v>
      </c>
    </row>
    <row r="14324">
      <c r="A14324" s="10" t="s">
        <v>15763</v>
      </c>
      <c r="B14324" s="7" t="str">
        <f>IFERROR(__xludf.DUMMYFUNCTION("SPLIT(A14324,"" "")"),"Cc1cc(Cl)ccc1N(C)CC1=CC(N(C)Cc2ccccn2)C=CN1")</f>
        <v>Cc1cc(Cl)ccc1N(C)CC1=CC(N(C)Cc2ccccn2)C=CN1</v>
      </c>
      <c r="C14324" s="7">
        <f>IFERROR(__xludf.DUMMYFUNCTION("""COMPUTED_VALUE"""),7.7493)</f>
        <v>7.7493</v>
      </c>
      <c r="D14324" s="7">
        <f>IFERROR(__xludf.DUMMYFUNCTION("""COMPUTED_VALUE"""),0.446428571428571)</f>
        <v>0.4464285714</v>
      </c>
    </row>
    <row r="14325">
      <c r="A14325" s="10" t="s">
        <v>15764</v>
      </c>
      <c r="B14325" s="7" t="str">
        <f>IFERROR(__xludf.DUMMYFUNCTION("SPLIT(A14325,"" "")"),"Cc1c(C)c(C)c(CN(C)CCN(C)Cc2ccc3ncccc3c2)c(C)c1C")</f>
        <v>Cc1c(C)c(C)c(CN(C)CCN(C)Cc2ccc3ncccc3c2)c(C)c1C</v>
      </c>
      <c r="C14325" s="7">
        <f>IFERROR(__xludf.DUMMYFUNCTION("""COMPUTED_VALUE"""),7.749298)</f>
        <v>7.749298</v>
      </c>
      <c r="D14325" s="7">
        <f>IFERROR(__xludf.DUMMYFUNCTION("""COMPUTED_VALUE"""),0.425531914893617)</f>
        <v>0.4255319149</v>
      </c>
    </row>
    <row r="14326">
      <c r="A14326" s="10" t="s">
        <v>15765</v>
      </c>
      <c r="B14326" s="7" t="str">
        <f>IFERROR(__xludf.DUMMYFUNCTION("SPLIT(A14326,"" "")"),"CCN(Cc1ccccn1)Cc1ccc2cccc(N(C)CC(C)(C)C)c2n1")</f>
        <v>CCN(Cc1ccccn1)Cc1ccc2cccc(N(C)CC(C)(C)C)c2n1</v>
      </c>
      <c r="C14326" s="7">
        <f>IFERROR(__xludf.DUMMYFUNCTION("""COMPUTED_VALUE"""),7.749296)</f>
        <v>7.749296</v>
      </c>
      <c r="D14326" s="7">
        <f>IFERROR(__xludf.DUMMYFUNCTION("""COMPUTED_VALUE"""),0.5)</f>
        <v>0.5</v>
      </c>
    </row>
    <row r="14327">
      <c r="A14327" s="10" t="s">
        <v>15766</v>
      </c>
      <c r="B14327" s="7" t="str">
        <f>IFERROR(__xludf.DUMMYFUNCTION("SPLIT(A14327,"" "")"),"Cc1cnc2cccc(N(C)C3CCCC(N(Cc4ccccn4)c4ccccc4C)C3)c2c1")</f>
        <v>Cc1cnc2cccc(N(C)C3CCCC(N(Cc4ccccn4)c4ccccc4C)C3)c2c1</v>
      </c>
      <c r="C14327" s="7">
        <f>IFERROR(__xludf.DUMMYFUNCTION("""COMPUTED_VALUE"""),7.7492957)</f>
        <v>7.7492957</v>
      </c>
      <c r="D14327" s="7">
        <f>IFERROR(__xludf.DUMMYFUNCTION("""COMPUTED_VALUE"""),0.377049180327868)</f>
        <v>0.3770491803</v>
      </c>
    </row>
    <row r="14328">
      <c r="A14328" s="10" t="s">
        <v>15767</v>
      </c>
      <c r="B14328" s="7" t="str">
        <f>IFERROR(__xludf.DUMMYFUNCTION("SPLIT(A14328,"" "")"),"Cc1cccc(CN(C)c2cccc(CN(C)Cc3ncccc3C)n2)n1")</f>
        <v>Cc1cccc(CN(C)c2cccc(CN(C)Cc3ncccc3C)n2)n1</v>
      </c>
      <c r="C14328" s="7">
        <f>IFERROR(__xludf.DUMMYFUNCTION("""COMPUTED_VALUE"""),7.7492833)</f>
        <v>7.7492833</v>
      </c>
      <c r="D14328" s="7">
        <f>IFERROR(__xludf.DUMMYFUNCTION("""COMPUTED_VALUE"""),0.5)</f>
        <v>0.5</v>
      </c>
    </row>
    <row r="14329">
      <c r="A14329" s="10" t="s">
        <v>15768</v>
      </c>
      <c r="B14329" s="7" t="str">
        <f>IFERROR(__xludf.DUMMYFUNCTION("SPLIT(A14329,"" "")"),"CN(Cc1cnc2c(N(C)c3ccc4ncccc4c3)cccc2c1)Cc1ncccc1-c1ccc2c(c1)OCCOCCOCCOCCOCCO2")</f>
        <v>CN(Cc1cnc2c(N(C)c3ccc4ncccc4c3)cccc2c1)Cc1ncccc1-c1ccc2c(c1)OCCOCCOCCOCCOCCO2</v>
      </c>
      <c r="C14329" s="7">
        <f>IFERROR(__xludf.DUMMYFUNCTION("""COMPUTED_VALUE"""),7.749279)</f>
        <v>7.749279</v>
      </c>
      <c r="D14329" s="7">
        <f>IFERROR(__xludf.DUMMYFUNCTION("""COMPUTED_VALUE"""),0.275862068965517)</f>
        <v>0.275862069</v>
      </c>
    </row>
    <row r="14330">
      <c r="A14330" s="10" t="s">
        <v>15769</v>
      </c>
      <c r="B14330" s="7" t="str">
        <f>IFERROR(__xludf.DUMMYFUNCTION("SPLIT(A14330,"" "")"),"CC1C(Cl)=Cc2cccnc2C1C(C)(C)c1ncccc1CN(Cc1ccccn1)Cc1ccccn1")</f>
        <v>CC1C(Cl)=Cc2cccnc2C1C(C)(C)c1ncccc1CN(Cc1ccccn1)Cc1ccccn1</v>
      </c>
      <c r="C14330" s="7">
        <f>IFERROR(__xludf.DUMMYFUNCTION("""COMPUTED_VALUE"""),7.7492576)</f>
        <v>7.7492576</v>
      </c>
      <c r="D14330" s="7">
        <f>IFERROR(__xludf.DUMMYFUNCTION("""COMPUTED_VALUE"""),0.4)</f>
        <v>0.4</v>
      </c>
    </row>
    <row r="14331">
      <c r="A14331" s="10" t="s">
        <v>15770</v>
      </c>
      <c r="B14331" s="7" t="str">
        <f>IFERROR(__xludf.DUMMYFUNCTION("SPLIT(A14331,"" "")"),"Cc1cc(CN(C)CC2=CCC(N(C)Cc3cc(C)c(C)c(C)n3)=CN2)nc(C)c1C")</f>
        <v>Cc1cc(CN(C)CC2=CCC(N(C)Cc3cc(C)c(C)c(C)n3)=CN2)nc(C)c1C</v>
      </c>
      <c r="C14331" s="7">
        <f>IFERROR(__xludf.DUMMYFUNCTION("""COMPUTED_VALUE"""),7.749248)</f>
        <v>7.749248</v>
      </c>
      <c r="D14331" s="7">
        <f>IFERROR(__xludf.DUMMYFUNCTION("""COMPUTED_VALUE"""),0.245283018867924)</f>
        <v>0.2452830189</v>
      </c>
    </row>
    <row r="14332">
      <c r="A14332" s="10" t="s">
        <v>15771</v>
      </c>
      <c r="B14332" s="7" t="str">
        <f>IFERROR(__xludf.DUMMYFUNCTION("SPLIT(A14332,"" "")"),"CCN(Cc1ccccn1)Cc1cc(CN(Cc2ccccn2)Cc2cc(-c3cccc(N(C)C)c3)ccn2)ccn1")</f>
        <v>CCN(Cc1ccccn1)Cc1cc(CN(Cc2ccccn2)Cc2cc(-c3cccc(N(C)C)c3)ccn2)ccn1</v>
      </c>
      <c r="C14332" s="7">
        <f>IFERROR(__xludf.DUMMYFUNCTION("""COMPUTED_VALUE"""),7.7492447)</f>
        <v>7.7492447</v>
      </c>
      <c r="D14332" s="7">
        <f>IFERROR(__xludf.DUMMYFUNCTION("""COMPUTED_VALUE"""),0.444444444444444)</f>
        <v>0.4444444444</v>
      </c>
    </row>
    <row r="14333">
      <c r="A14333" s="10" t="s">
        <v>15772</v>
      </c>
      <c r="B14333" s="7" t="str">
        <f>IFERROR(__xludf.DUMMYFUNCTION("SPLIT(A14333,"" "")"),"CC1=CC(C)CC(N(C)CC2=CCC(N(C)c3cccc4ncccc34)=CN2)C1")</f>
        <v>CC1=CC(C)CC(N(C)CC2=CCC(N(C)c3cccc4ncccc34)=CN2)C1</v>
      </c>
      <c r="C14333" s="7">
        <f>IFERROR(__xludf.DUMMYFUNCTION("""COMPUTED_VALUE"""),7.749244)</f>
        <v>7.749244</v>
      </c>
      <c r="D14333" s="7">
        <f>IFERROR(__xludf.DUMMYFUNCTION("""COMPUTED_VALUE"""),0.28169014084507)</f>
        <v>0.2816901408</v>
      </c>
    </row>
    <row r="14334">
      <c r="A14334" s="10" t="s">
        <v>15773</v>
      </c>
      <c r="B14334" s="7" t="str">
        <f>IFERROR(__xludf.DUMMYFUNCTION("SPLIT(A14334,"" "")"),"Cc1cccc(-c2ccc(CNCc3ccccn3)cc2)n1")</f>
        <v>Cc1cccc(-c2ccc(CNCc3ccccn3)cc2)n1</v>
      </c>
      <c r="C14334" s="7">
        <f>IFERROR(__xludf.DUMMYFUNCTION("""COMPUTED_VALUE"""),7.7492404)</f>
        <v>7.7492404</v>
      </c>
      <c r="D14334" s="7">
        <f>IFERROR(__xludf.DUMMYFUNCTION("""COMPUTED_VALUE"""),0.463414634146341)</f>
        <v>0.4634146341</v>
      </c>
    </row>
    <row r="14335">
      <c r="A14335" s="10" t="s">
        <v>15774</v>
      </c>
      <c r="B14335" s="7" t="str">
        <f>IFERROR(__xludf.DUMMYFUNCTION("SPLIT(A14335,"" "")"),"CN(CCN(C)Cc1ccc2ncccc2c1)CCN(C)Cc1ccc2ncccc2c1")</f>
        <v>CN(CCN(C)Cc1ccc2ncccc2c1)CCN(C)Cc1ccc2ncccc2c1</v>
      </c>
      <c r="C14335" s="7">
        <f>IFERROR(__xludf.DUMMYFUNCTION("""COMPUTED_VALUE"""),7.749235)</f>
        <v>7.749235</v>
      </c>
      <c r="D14335" s="7">
        <f>IFERROR(__xludf.DUMMYFUNCTION("""COMPUTED_VALUE"""),0.48780487804878)</f>
        <v>0.487804878</v>
      </c>
    </row>
    <row r="14336">
      <c r="A14336" s="10" t="s">
        <v>15775</v>
      </c>
      <c r="B14336" s="7" t="str">
        <f>IFERROR(__xludf.DUMMYFUNCTION("SPLIT(A14336,"" "")"),"Cc1ccc(CN(C)c2cccc(CN(C)Cc3ccc(C)c(C)n3)n2)cn1")</f>
        <v>Cc1ccc(CN(C)c2cccc(CN(C)Cc3ccc(C)c(C)n3)n2)cn1</v>
      </c>
      <c r="C14336" s="7">
        <f>IFERROR(__xludf.DUMMYFUNCTION("""COMPUTED_VALUE"""),7.7492347)</f>
        <v>7.7492347</v>
      </c>
      <c r="D14336" s="7">
        <f>IFERROR(__xludf.DUMMYFUNCTION("""COMPUTED_VALUE"""),0.387755102040816)</f>
        <v>0.387755102</v>
      </c>
    </row>
    <row r="14337">
      <c r="A14337" s="10" t="s">
        <v>15776</v>
      </c>
      <c r="B14337" s="7" t="str">
        <f>IFERROR(__xludf.DUMMYFUNCTION("SPLIT(A14337,"" "")"),"CC1=CC(C)C(C)C(N(C)Cc2ccccn2)C1c1ccc(CN(Cc2ccccn2)C(C)(N)N(Cc2ccccn2)c2cc(-c3cccc(C(C)C)c3)ccc2N(C)Cc2ccccn2)cn1")</f>
        <v>CC1=CC(C)C(C)C(N(C)Cc2ccccn2)C1c1ccc(CN(Cc2ccccn2)C(C)(N)N(Cc2ccccn2)c2cc(-c3cccc(C(C)C)c3)ccc2N(C)Cc2ccccn2)cn1</v>
      </c>
      <c r="C14337" s="7">
        <f>IFERROR(__xludf.DUMMYFUNCTION("""COMPUTED_VALUE"""),7.7492323)</f>
        <v>7.7492323</v>
      </c>
      <c r="D14337" s="7">
        <f>IFERROR(__xludf.DUMMYFUNCTION("""COMPUTED_VALUE"""),0.28235294117647)</f>
        <v>0.2823529412</v>
      </c>
    </row>
    <row r="14338">
      <c r="A14338" s="10" t="s">
        <v>15777</v>
      </c>
      <c r="B14338" s="7" t="str">
        <f>IFERROR(__xludf.DUMMYFUNCTION("SPLIT(A14338,"" "")"),"CC(C)N(C)CCN(C)c1cccc2c(CF)ccnc12")</f>
        <v>CC(C)N(C)CCN(C)c1cccc2c(CF)ccnc12</v>
      </c>
      <c r="C14338" s="7">
        <f>IFERROR(__xludf.DUMMYFUNCTION("""COMPUTED_VALUE"""),7.749215)</f>
        <v>7.749215</v>
      </c>
      <c r="D14338" s="7">
        <f>IFERROR(__xludf.DUMMYFUNCTION("""COMPUTED_VALUE"""),0.456521739130434)</f>
        <v>0.4565217391</v>
      </c>
    </row>
    <row r="14339">
      <c r="A14339" s="10" t="s">
        <v>15778</v>
      </c>
      <c r="B14339" s="7" t="str">
        <f>IFERROR(__xludf.DUMMYFUNCTION("SPLIT(A14339,"" "")"),"C1=CC(SCc2ccccn2)=C(SCc2ccccn2)CN1")</f>
        <v>C1=CC(SCc2ccccn2)=C(SCc2ccccn2)CN1</v>
      </c>
      <c r="C14339" s="7">
        <f>IFERROR(__xludf.DUMMYFUNCTION("""COMPUTED_VALUE"""),7.7491937)</f>
        <v>7.7491937</v>
      </c>
      <c r="D14339" s="7">
        <f>IFERROR(__xludf.DUMMYFUNCTION("""COMPUTED_VALUE"""),0.425)</f>
        <v>0.425</v>
      </c>
    </row>
    <row r="14340">
      <c r="A14340" s="10" t="s">
        <v>15779</v>
      </c>
      <c r="B14340" s="7" t="str">
        <f>IFERROR(__xludf.DUMMYFUNCTION("SPLIT(A14340,"" "")"),"Cc1ccc(C)c(CN(C)C2=CCC=C(CN(C)Cc3nc(C)c(C)cc3C)N2)n1")</f>
        <v>Cc1ccc(C)c(CN(C)C2=CCC=C(CN(C)Cc3nc(C)c(C)cc3C)N2)n1</v>
      </c>
      <c r="C14340" s="7">
        <f>IFERROR(__xludf.DUMMYFUNCTION("""COMPUTED_VALUE"""),7.7491856)</f>
        <v>7.7491856</v>
      </c>
      <c r="D14340" s="7">
        <f>IFERROR(__xludf.DUMMYFUNCTION("""COMPUTED_VALUE"""),0.241379310344827)</f>
        <v>0.2413793103</v>
      </c>
    </row>
    <row r="14341">
      <c r="A14341" s="10" t="s">
        <v>15780</v>
      </c>
      <c r="B14341" s="7" t="str">
        <f>IFERROR(__xludf.DUMMYFUNCTION("SPLIT(A14341,"" "")"),"Cc1nc(CN(Cc2nc(C)c(C)c(C)c2C)C2CCC(N(C)c3ccc4cc(CN(C)C)cnc4c3)CC2)c(C)c(C)c1C")</f>
        <v>Cc1nc(CN(Cc2nc(C)c(C)c(C)c2C)C2CCC(N(C)c3ccc4cc(CN(C)C)cnc4c3)CC2)c(C)c(C)c1C</v>
      </c>
      <c r="C14341" s="7">
        <f>IFERROR(__xludf.DUMMYFUNCTION("""COMPUTED_VALUE"""),7.7491827)</f>
        <v>7.7491827</v>
      </c>
      <c r="D14341" s="7">
        <f>IFERROR(__xludf.DUMMYFUNCTION("""COMPUTED_VALUE"""),0.227272727272727)</f>
        <v>0.2272727273</v>
      </c>
    </row>
    <row r="14342">
      <c r="A14342" s="10" t="s">
        <v>15781</v>
      </c>
      <c r="B14342" s="7" t="str">
        <f>IFERROR(__xludf.DUMMYFUNCTION("SPLIT(A14342,"" "")"),"CC(C)N(C)Cc1cccnc1-c1cc(Cl)ccc1N")</f>
        <v>CC(C)N(C)Cc1cccnc1-c1cc(Cl)ccc1N</v>
      </c>
      <c r="C14342" s="7">
        <f>IFERROR(__xludf.DUMMYFUNCTION("""COMPUTED_VALUE"""),7.749179)</f>
        <v>7.749179</v>
      </c>
      <c r="D14342" s="7">
        <f>IFERROR(__xludf.DUMMYFUNCTION("""COMPUTED_VALUE"""),0.320754716981132)</f>
        <v>0.320754717</v>
      </c>
    </row>
    <row r="14343">
      <c r="A14343" s="10" t="s">
        <v>15782</v>
      </c>
      <c r="B14343" s="7" t="str">
        <f>IFERROR(__xludf.DUMMYFUNCTION("SPLIT(A14343,"" "")"),"CNCc1nc(C)c(CN(Cc2nc(C)c(C)cc2C)Cc2nc(C)c(C)c(C)c2C)cc1C")</f>
        <v>CNCc1nc(C)c(CN(Cc2nc(C)c(C)cc2C)Cc2nc(C)c(C)c(C)c2C)cc1C</v>
      </c>
      <c r="C14343" s="7">
        <f>IFERROR(__xludf.DUMMYFUNCTION("""COMPUTED_VALUE"""),7.7491755)</f>
        <v>7.7491755</v>
      </c>
      <c r="D14343" s="7">
        <f>IFERROR(__xludf.DUMMYFUNCTION("""COMPUTED_VALUE"""),0.18)</f>
        <v>0.18</v>
      </c>
    </row>
    <row r="14344">
      <c r="A14344" s="10" t="s">
        <v>15783</v>
      </c>
      <c r="B14344" s="7" t="str">
        <f>IFERROR(__xludf.DUMMYFUNCTION("SPLIT(A14344,"" "")"),"COC(=O)c1cccc(CN(Cc2ccccn2)C2CCC(N(C)c3ccc4nccc(CF)c4c3)CC2)n1")</f>
        <v>COC(=O)c1cccc(CN(Cc2ccccn2)C2CCC(N(C)c3ccc4nccc(CF)c4c3)CC2)n1</v>
      </c>
      <c r="C14344" s="7">
        <f>IFERROR(__xludf.DUMMYFUNCTION("""COMPUTED_VALUE"""),7.7491727)</f>
        <v>7.7491727</v>
      </c>
      <c r="D14344" s="7">
        <f>IFERROR(__xludf.DUMMYFUNCTION("""COMPUTED_VALUE"""),0.31081081081081)</f>
        <v>0.3108108108</v>
      </c>
    </row>
    <row r="14345">
      <c r="A14345" s="10" t="s">
        <v>15784</v>
      </c>
      <c r="B14345" s="7" t="str">
        <f>IFERROR(__xludf.DUMMYFUNCTION("SPLIT(A14345,"" "")"),"Cc1cnc(CN(C)CC2=CCC=C(N(C)Cc3ncc(C)c(C)c3C)N2)c(C)c1")</f>
        <v>Cc1cnc(CN(C)CC2=CCC=C(N(C)Cc3ncc(C)c(C)c3C)N2)c(C)c1</v>
      </c>
      <c r="C14345" s="7">
        <f>IFERROR(__xludf.DUMMYFUNCTION("""COMPUTED_VALUE"""),7.7491527)</f>
        <v>7.7491527</v>
      </c>
      <c r="D14345" s="7">
        <f>IFERROR(__xludf.DUMMYFUNCTION("""COMPUTED_VALUE"""),0.263157894736842)</f>
        <v>0.2631578947</v>
      </c>
    </row>
    <row r="14346">
      <c r="A14346" s="10" t="s">
        <v>15785</v>
      </c>
      <c r="B14346" s="7" t="str">
        <f>IFERROR(__xludf.DUMMYFUNCTION("SPLIT(A14346,"" "")"),"Cc1cc(C)c(C)c(CN(C)Cc2cc(C)c(C)c(C)n2)n1")</f>
        <v>Cc1cc(C)c(C)c(CN(C)Cc2cc(C)c(C)c(C)n2)n1</v>
      </c>
      <c r="C14346" s="7">
        <f>IFERROR(__xludf.DUMMYFUNCTION("""COMPUTED_VALUE"""),7.7491484)</f>
        <v>7.7491484</v>
      </c>
      <c r="D14346" s="7">
        <f>IFERROR(__xludf.DUMMYFUNCTION("""COMPUTED_VALUE"""),0.325581395348837)</f>
        <v>0.3255813953</v>
      </c>
    </row>
    <row r="14347">
      <c r="A14347" s="10" t="s">
        <v>15786</v>
      </c>
      <c r="B14347" s="7" t="str">
        <f>IFERROR(__xludf.DUMMYFUNCTION("SPLIT(A14347,"" "")"),"Cc1cccnc1CN(C)Cc1cccc(N(C)Cc2ncccc2C)n1")</f>
        <v>Cc1cccnc1CN(C)Cc1cccc(N(C)Cc2ncccc2C)n1</v>
      </c>
      <c r="C14347" s="7">
        <f>IFERROR(__xludf.DUMMYFUNCTION("""COMPUTED_VALUE"""),7.7491446)</f>
        <v>7.7491446</v>
      </c>
      <c r="D14347" s="7">
        <f>IFERROR(__xludf.DUMMYFUNCTION("""COMPUTED_VALUE"""),0.446808510638297)</f>
        <v>0.4468085106</v>
      </c>
    </row>
    <row r="14348">
      <c r="A14348" s="10" t="s">
        <v>15787</v>
      </c>
      <c r="B14348" s="7" t="str">
        <f>IFERROR(__xludf.DUMMYFUNCTION("SPLIT(A14348,"" "")"),"Cc1cncc(CN(C)Cc2ccc(N(C)Cc3cc(C(C)(C)C)ccn3)cn2)c1")</f>
        <v>Cc1cncc(CN(C)Cc2ccc(N(C)Cc3cc(C(C)(C)C)ccn3)cn2)c1</v>
      </c>
      <c r="C14348" s="7">
        <f>IFERROR(__xludf.DUMMYFUNCTION("""COMPUTED_VALUE"""),7.7491426)</f>
        <v>7.7491426</v>
      </c>
      <c r="D14348" s="7">
        <f>IFERROR(__xludf.DUMMYFUNCTION("""COMPUTED_VALUE"""),0.345454545454545)</f>
        <v>0.3454545455</v>
      </c>
    </row>
    <row r="14349">
      <c r="A14349" s="10" t="s">
        <v>15788</v>
      </c>
      <c r="B14349" s="7" t="str">
        <f>IFERROR(__xludf.DUMMYFUNCTION("SPLIT(A14349,"" "")"),"CN(Cc1ccon1)C1CCCC(N(C)Cc2ncccc2-c2cccc3ncccc23)C1")</f>
        <v>CN(Cc1ccon1)C1CCCC(N(C)Cc2ncccc2-c2cccc3ncccc23)C1</v>
      </c>
      <c r="C14349" s="7">
        <f>IFERROR(__xludf.DUMMYFUNCTION("""COMPUTED_VALUE"""),7.749142)</f>
        <v>7.749142</v>
      </c>
      <c r="D14349" s="7">
        <f>IFERROR(__xludf.DUMMYFUNCTION("""COMPUTED_VALUE"""),0.333333333333333)</f>
        <v>0.3333333333</v>
      </c>
    </row>
    <row r="14350">
      <c r="A14350" s="10" t="s">
        <v>15789</v>
      </c>
      <c r="B14350" s="7" t="str">
        <f>IFERROR(__xludf.DUMMYFUNCTION("SPLIT(A14350,"" "")"),"COC(=O)c1ncccc1CN(Cc1ccccn1)C1CCC(N(C)c2ccc3nccc(CF)c3c2)CC1")</f>
        <v>COC(=O)c1ncccc1CN(Cc1ccccn1)C1CCC(N(C)c2ccc3nccc(CF)c3c2)CC1</v>
      </c>
      <c r="C14350" s="7">
        <f>IFERROR(__xludf.DUMMYFUNCTION("""COMPUTED_VALUE"""),7.749141)</f>
        <v>7.749141</v>
      </c>
      <c r="D14350" s="7">
        <f>IFERROR(__xludf.DUMMYFUNCTION("""COMPUTED_VALUE"""),0.297297297297297)</f>
        <v>0.2972972973</v>
      </c>
    </row>
    <row r="14351">
      <c r="A14351" s="10" t="s">
        <v>15790</v>
      </c>
      <c r="B14351" s="7" t="str">
        <f>IFERROR(__xludf.DUMMYFUNCTION("SPLIT(A14351,"" "")"),"Cc1cc(CN(Cc2nc(C)c(C)c(C)c2C)C2CCCC(N(C)c3ccc4nc(CN(C)C)ccc4c3)C2)nc(C)c1C")</f>
        <v>Cc1cc(CN(Cc2nc(C)c(C)c(C)c2C)C2CCCC(N(C)c3ccc4nc(CN(C)C)ccc4c3)C2)nc(C)c1C</v>
      </c>
      <c r="C14351" s="7">
        <f>IFERROR(__xludf.DUMMYFUNCTION("""COMPUTED_VALUE"""),7.7491407)</f>
        <v>7.7491407</v>
      </c>
      <c r="D14351" s="7">
        <f>IFERROR(__xludf.DUMMYFUNCTION("""COMPUTED_VALUE"""),0.236111111111111)</f>
        <v>0.2361111111</v>
      </c>
    </row>
    <row r="14352">
      <c r="A14352" s="10" t="s">
        <v>15791</v>
      </c>
      <c r="B14352" s="7" t="str">
        <f>IFERROR(__xludf.DUMMYFUNCTION("SPLIT(A14352,"" "")"),"CN(Cc1ccccn1)Cc1ncccc1C(C)(c1ccccn1)c1ccccn1")</f>
        <v>CN(Cc1ccccn1)Cc1ncccc1C(C)(c1ccccn1)c1ccccn1</v>
      </c>
      <c r="C14352" s="7">
        <f>IFERROR(__xludf.DUMMYFUNCTION("""COMPUTED_VALUE"""),7.7491393)</f>
        <v>7.7491393</v>
      </c>
      <c r="D14352" s="7">
        <f>IFERROR(__xludf.DUMMYFUNCTION("""COMPUTED_VALUE"""),0.468085106382978)</f>
        <v>0.4680851064</v>
      </c>
    </row>
    <row r="14353">
      <c r="A14353" s="10" t="s">
        <v>15792</v>
      </c>
      <c r="B14353" s="7" t="str">
        <f>IFERROR(__xludf.DUMMYFUNCTION("SPLIT(A14353,"" "")"),"Cc1ncccc1CN(CCN(C)C(C)C)c1ccc2cccnc2c1")</f>
        <v>Cc1ncccc1CN(CCN(C)C(C)C)c1ccc2cccnc2c1</v>
      </c>
      <c r="C14353" s="7">
        <f>IFERROR(__xludf.DUMMYFUNCTION("""COMPUTED_VALUE"""),7.7491293)</f>
        <v>7.7491293</v>
      </c>
      <c r="D14353" s="7">
        <f>IFERROR(__xludf.DUMMYFUNCTION("""COMPUTED_VALUE"""),0.345454545454545)</f>
        <v>0.3454545455</v>
      </c>
    </row>
    <row r="14354">
      <c r="A14354" s="10" t="s">
        <v>15793</v>
      </c>
      <c r="B14354" s="7" t="str">
        <f>IFERROR(__xludf.DUMMYFUNCTION("SPLIT(A14354,"" "")"),"C1=C(NCc2ccccn2)NCC(c2ccccc2)=C1")</f>
        <v>C1=C(NCc2ccccn2)NCC(c2ccccc2)=C1</v>
      </c>
      <c r="C14354" s="7">
        <f>IFERROR(__xludf.DUMMYFUNCTION("""COMPUTED_VALUE"""),7.74912)</f>
        <v>7.74912</v>
      </c>
      <c r="D14354" s="7">
        <f>IFERROR(__xludf.DUMMYFUNCTION("""COMPUTED_VALUE"""),0.423076923076923)</f>
        <v>0.4230769231</v>
      </c>
    </row>
    <row r="14355">
      <c r="A14355" s="10" t="s">
        <v>15794</v>
      </c>
      <c r="B14355" s="7" t="str">
        <f>IFERROR(__xludf.DUMMYFUNCTION("SPLIT(A14355,"" "")"),"CN(CCNc1ccc2nccc(CF)c2c1)Cc1ccccn1")</f>
        <v>CN(CCNc1ccc2nccc(CF)c2c1)Cc1ccccn1</v>
      </c>
      <c r="C14355" s="7">
        <f>IFERROR(__xludf.DUMMYFUNCTION("""COMPUTED_VALUE"""),7.7491164)</f>
        <v>7.7491164</v>
      </c>
      <c r="D14355" s="7">
        <f>IFERROR(__xludf.DUMMYFUNCTION("""COMPUTED_VALUE"""),0.377358490566037)</f>
        <v>0.3773584906</v>
      </c>
    </row>
    <row r="14356">
      <c r="A14356" s="10" t="s">
        <v>15795</v>
      </c>
      <c r="B14356" s="7" t="str">
        <f>IFERROR(__xludf.DUMMYFUNCTION("SPLIT(A14356,"" "")"),"CC(NCc1ccccn1)c1ccnc(C2=CCC=CN2)c1")</f>
        <v>CC(NCc1ccccn1)c1ccnc(C2=CCC=CN2)c1</v>
      </c>
      <c r="C14356" s="7">
        <f>IFERROR(__xludf.DUMMYFUNCTION("""COMPUTED_VALUE"""),7.7490864)</f>
        <v>7.7490864</v>
      </c>
      <c r="D14356" s="7">
        <f>IFERROR(__xludf.DUMMYFUNCTION("""COMPUTED_VALUE"""),0.413793103448275)</f>
        <v>0.4137931034</v>
      </c>
    </row>
    <row r="14357">
      <c r="A14357" s="10" t="s">
        <v>15796</v>
      </c>
      <c r="B14357" s="7" t="str">
        <f>IFERROR(__xludf.DUMMYFUNCTION("SPLIT(A14357,"" "")"),"C=Cc1cccc(CN(C)Cc2ccccn2)c1N(C)Cc1ccccn1")</f>
        <v>C=Cc1cccc(CN(C)Cc2ccccn2)c1N(C)Cc1ccccn1</v>
      </c>
      <c r="C14357" s="7">
        <f>IFERROR(__xludf.DUMMYFUNCTION("""COMPUTED_VALUE"""),7.749077)</f>
        <v>7.749077</v>
      </c>
      <c r="D14357" s="7">
        <f>IFERROR(__xludf.DUMMYFUNCTION("""COMPUTED_VALUE"""),0.479166666666666)</f>
        <v>0.4791666667</v>
      </c>
    </row>
    <row r="14358">
      <c r="A14358" s="10" t="s">
        <v>15797</v>
      </c>
      <c r="B14358" s="7" t="str">
        <f>IFERROR(__xludf.DUMMYFUNCTION("SPLIT(A14358,"" "")"),"COC(=O)C(=O)C(C)C1(C)N=COC1c1cc(C2=NCC(C)(C)O2)ccn1")</f>
        <v>COC(=O)C(=O)C(C)C1(C)N=COC1c1cc(C2=NCC(C)(C)O2)ccn1</v>
      </c>
      <c r="C14358" s="7">
        <f>IFERROR(__xludf.DUMMYFUNCTION("""COMPUTED_VALUE"""),7.7490625)</f>
        <v>7.7490625</v>
      </c>
      <c r="D14358" s="7">
        <f>IFERROR(__xludf.DUMMYFUNCTION("""COMPUTED_VALUE"""),0.243589743589743)</f>
        <v>0.2435897436</v>
      </c>
    </row>
    <row r="14359">
      <c r="A14359" s="10" t="s">
        <v>15798</v>
      </c>
      <c r="B14359" s="7" t="str">
        <f>IFERROR(__xludf.DUMMYFUNCTION("SPLIT(A14359,"" "")"),"Cc1cccc(N(C)Cc2ccc(C(C)(C)C)cn2)c1")</f>
        <v>Cc1cccc(N(C)Cc2ccc(C(C)(C)C)cn2)c1</v>
      </c>
      <c r="C14359" s="7">
        <f>IFERROR(__xludf.DUMMYFUNCTION("""COMPUTED_VALUE"""),7.7490544)</f>
        <v>7.7490544</v>
      </c>
      <c r="D14359" s="7">
        <f>IFERROR(__xludf.DUMMYFUNCTION("""COMPUTED_VALUE"""),0.377777777777777)</f>
        <v>0.3777777778</v>
      </c>
    </row>
    <row r="14360">
      <c r="A14360" s="10" t="s">
        <v>15799</v>
      </c>
      <c r="B14360" s="7" t="str">
        <f>IFERROR(__xludf.DUMMYFUNCTION("SPLIT(A14360,"" "")"),"CC1C=CC(C)C(C)(c2cc(CN(Cc3ccccn3)Cc3ccc(-c4cccc(N(C)C)c4)cn3)ccn2)C1")</f>
        <v>CC1C=CC(C)C(C)(c2cc(CN(Cc3ccccn3)Cc3ccc(-c4cccc(N(C)C)c4)cn3)ccn2)C1</v>
      </c>
      <c r="C14360" s="7">
        <f>IFERROR(__xludf.DUMMYFUNCTION("""COMPUTED_VALUE"""),7.749045)</f>
        <v>7.749045</v>
      </c>
      <c r="D14360" s="7">
        <f>IFERROR(__xludf.DUMMYFUNCTION("""COMPUTED_VALUE"""),0.316455696202531)</f>
        <v>0.3164556962</v>
      </c>
    </row>
    <row r="14361">
      <c r="A14361" s="10" t="s">
        <v>15800</v>
      </c>
      <c r="B14361" s="7" t="str">
        <f>IFERROR(__xludf.DUMMYFUNCTION("SPLIT(A14361,"" "")"),"CN(Cc1cccc(C(C)(c2ccccn2)c2ccccn2)n1)C1CCC(N(C)c2ccc3cccnc3c2)CC1")</f>
        <v>CN(Cc1cccc(C(C)(c2ccccn2)c2ccccn2)n1)C1CCC(N(C)c2ccc3cccnc3c2)CC1</v>
      </c>
      <c r="C14361" s="7">
        <f>IFERROR(__xludf.DUMMYFUNCTION("""COMPUTED_VALUE"""),7.749045)</f>
        <v>7.749045</v>
      </c>
      <c r="D14361" s="7">
        <f>IFERROR(__xludf.DUMMYFUNCTION("""COMPUTED_VALUE"""),0.4)</f>
        <v>0.4</v>
      </c>
    </row>
    <row r="14362">
      <c r="A14362" s="10" t="s">
        <v>15801</v>
      </c>
      <c r="B14362" s="7" t="str">
        <f>IFERROR(__xludf.DUMMYFUNCTION("SPLIT(A14362,"" "")"),"CNCc1nccc2cccc(N(C)C3CCCCC3N(Cc3ccc4ncccc4c3)Cc3ccccn3)c12")</f>
        <v>CNCc1nccc2cccc(N(C)C3CCCCC3N(Cc3ccc4ncccc4c3)Cc3ccccn3)c12</v>
      </c>
      <c r="C14362" s="7">
        <f>IFERROR(__xludf.DUMMYFUNCTION("""COMPUTED_VALUE"""),7.7490406)</f>
        <v>7.7490406</v>
      </c>
      <c r="D14362" s="7">
        <f>IFERROR(__xludf.DUMMYFUNCTION("""COMPUTED_VALUE"""),0.385714285714285)</f>
        <v>0.3857142857</v>
      </c>
    </row>
    <row r="14363">
      <c r="A14363" s="10" t="s">
        <v>15802</v>
      </c>
      <c r="B14363" s="7" t="str">
        <f>IFERROR(__xludf.DUMMYFUNCTION("SPLIT(A14363,"" "")"),"Fc1ccc(N(Cc2ccccn2)C2=CC=CC(NCc3ccccn3)N2)cc1")</f>
        <v>Fc1ccc(N(Cc2ccccn2)C2=CC=CC(NCc3ccccn3)N2)cc1</v>
      </c>
      <c r="C14363" s="7">
        <f>IFERROR(__xludf.DUMMYFUNCTION("""COMPUTED_VALUE"""),7.7490406)</f>
        <v>7.7490406</v>
      </c>
      <c r="D14363" s="7">
        <f>IFERROR(__xludf.DUMMYFUNCTION("""COMPUTED_VALUE"""),0.338709677419354)</f>
        <v>0.3387096774</v>
      </c>
    </row>
    <row r="14364">
      <c r="A14364" s="10" t="s">
        <v>15803</v>
      </c>
      <c r="B14364" s="7" t="str">
        <f>IFERROR(__xludf.DUMMYFUNCTION("SPLIT(A14364,"" "")"),"Cc1c(C)c(NCc2ccccn2)c(C)c(C(C)(C)C(C)(CN(Cc2ccccn2)Cc2ccccn2)c2cccc(N=Cc3ccccn3)c2)c1C")</f>
        <v>Cc1c(C)c(NCc2ccccn2)c(C)c(C(C)(C)C(C)(CN(Cc2ccccn2)Cc2ccccn2)c2cccc(N=Cc3ccccn3)c2)c1C</v>
      </c>
      <c r="C14364" s="7">
        <f>IFERROR(__xludf.DUMMYFUNCTION("""COMPUTED_VALUE"""),7.7490387)</f>
        <v>7.7490387</v>
      </c>
      <c r="D14364" s="7">
        <f>IFERROR(__xludf.DUMMYFUNCTION("""COMPUTED_VALUE"""),0.328571428571428)</f>
        <v>0.3285714286</v>
      </c>
    </row>
    <row r="14365">
      <c r="A14365" s="10" t="s">
        <v>15804</v>
      </c>
      <c r="B14365" s="7" t="str">
        <f>IFERROR(__xludf.DUMMYFUNCTION("SPLIT(A14365,"" "")"),"Cc1cccc(-c2cccc(CN(Cc3cc(C)ccn3)C3CCC(N(C)c4ccc5nc(CF)ccc5c4)CC3)n2)c1")</f>
        <v>Cc1cccc(-c2cccc(CN(Cc3cc(C)ccn3)C3CCC(N(C)c4ccc5nc(CF)ccc5c4)CC3)n2)c1</v>
      </c>
      <c r="C14365" s="7">
        <f>IFERROR(__xludf.DUMMYFUNCTION("""COMPUTED_VALUE"""),7.7490387)</f>
        <v>7.7490387</v>
      </c>
      <c r="D14365" s="7">
        <f>IFERROR(__xludf.DUMMYFUNCTION("""COMPUTED_VALUE"""),0.324675324675324)</f>
        <v>0.3246753247</v>
      </c>
    </row>
    <row r="14366">
      <c r="A14366" s="10" t="s">
        <v>15805</v>
      </c>
      <c r="B14366" s="7" t="str">
        <f>IFERROR(__xludf.DUMMYFUNCTION("SPLIT(A14366,"" "")"),"COC(=O)c1cccc(CNCc2cc(C(=O)C(C)N)ccn2)n1")</f>
        <v>COC(=O)c1cccc(CNCc2cc(C(=O)C(C)N)ccn2)n1</v>
      </c>
      <c r="C14366" s="7">
        <f>IFERROR(__xludf.DUMMYFUNCTION("""COMPUTED_VALUE"""),7.749031)</f>
        <v>7.749031</v>
      </c>
      <c r="D14366" s="7">
        <f>IFERROR(__xludf.DUMMYFUNCTION("""COMPUTED_VALUE"""),0.298507462686567)</f>
        <v>0.2985074627</v>
      </c>
    </row>
    <row r="14367">
      <c r="A14367" s="10" t="s">
        <v>15806</v>
      </c>
      <c r="B14367" s="7" t="str">
        <f>IFERROR(__xludf.DUMMYFUNCTION("SPLIT(A14367,"" "")"),"Cc1ccnc(CN(C)C2=CCC=CN2)c1C")</f>
        <v>Cc1ccnc(CN(C)C2=CCC=CN2)c1C</v>
      </c>
      <c r="C14367" s="7">
        <f>IFERROR(__xludf.DUMMYFUNCTION("""COMPUTED_VALUE"""),7.7490277)</f>
        <v>7.7490277</v>
      </c>
      <c r="D14367" s="7">
        <f>IFERROR(__xludf.DUMMYFUNCTION("""COMPUTED_VALUE"""),0.351851851851851)</f>
        <v>0.3518518519</v>
      </c>
    </row>
    <row r="14368">
      <c r="A14368" s="10" t="s">
        <v>15807</v>
      </c>
      <c r="B14368" s="7" t="str">
        <f>IFERROR(__xludf.DUMMYFUNCTION("SPLIT(A14368,"" "")"),"CCc1ccc2c(c1)C(c1ccccc1C1=NC(C(C)C)C(C(C)C)O1)C(N)C(C)=C2")</f>
        <v>CCc1ccc2c(c1)C(c1ccccc1C1=NC(C(C)C)C(C(C)C)O1)C(N)C(C)=C2</v>
      </c>
      <c r="C14368" s="7">
        <f>IFERROR(__xludf.DUMMYFUNCTION("""COMPUTED_VALUE"""),7.749019)</f>
        <v>7.749019</v>
      </c>
      <c r="D14368" s="7">
        <f>IFERROR(__xludf.DUMMYFUNCTION("""COMPUTED_VALUE"""),0.172839506172839)</f>
        <v>0.1728395062</v>
      </c>
    </row>
    <row r="14369">
      <c r="A14369" s="10" t="s">
        <v>15808</v>
      </c>
      <c r="B14369" s="7" t="str">
        <f>IFERROR(__xludf.DUMMYFUNCTION("SPLIT(A14369,"" "")"),"Cc1cccc(-c2ccc(CN(C)Cc3ccccn3)cn2)c1")</f>
        <v>Cc1cccc(-c2ccc(CN(C)Cc3ccccn3)cn2)c1</v>
      </c>
      <c r="C14369" s="7">
        <f>IFERROR(__xludf.DUMMYFUNCTION("""COMPUTED_VALUE"""),7.7490096)</f>
        <v>7.7490096</v>
      </c>
      <c r="D14369" s="7">
        <f>IFERROR(__xludf.DUMMYFUNCTION("""COMPUTED_VALUE"""),0.489795918367346)</f>
        <v>0.4897959184</v>
      </c>
    </row>
    <row r="14370">
      <c r="A14370" s="10" t="s">
        <v>15809</v>
      </c>
      <c r="B14370" s="7" t="str">
        <f>IFERROR(__xludf.DUMMYFUNCTION("SPLIT(A14370,"" "")"),"CC(C)C(C)N(C)Cc1cc(-c2cccc(N=Cc3ccccn3)c2)ccn1")</f>
        <v>CC(C)C(C)N(C)Cc1cc(-c2cccc(N=Cc3ccccn3)c2)ccn1</v>
      </c>
      <c r="C14370" s="7">
        <f>IFERROR(__xludf.DUMMYFUNCTION("""COMPUTED_VALUE"""),7.7490063)</f>
        <v>7.7490063</v>
      </c>
      <c r="D14370" s="7">
        <f>IFERROR(__xludf.DUMMYFUNCTION("""COMPUTED_VALUE"""),0.35593220338983)</f>
        <v>0.3559322034</v>
      </c>
    </row>
    <row r="14371">
      <c r="A14371" s="10" t="s">
        <v>15810</v>
      </c>
      <c r="B14371" s="7" t="str">
        <f>IFERROR(__xludf.DUMMYFUNCTION("SPLIT(A14371,"" "")"),"CN(c1ccc2nc(CF)ccc2c1)C1CCC(N(Cc2ccccn2)Cc2ccc3ccccc3n2)CC1")</f>
        <v>CN(c1ccc2nc(CF)ccc2c1)C1CCC(N(Cc2ccccn2)Cc2ccc3ccccc3n2)CC1</v>
      </c>
      <c r="C14371" s="7">
        <f>IFERROR(__xludf.DUMMYFUNCTION("""COMPUTED_VALUE"""),7.749002)</f>
        <v>7.749002</v>
      </c>
      <c r="D14371" s="7">
        <f>IFERROR(__xludf.DUMMYFUNCTION("""COMPUTED_VALUE"""),0.49090909090909)</f>
        <v>0.4909090909</v>
      </c>
    </row>
    <row r="14372">
      <c r="A14372" s="10" t="s">
        <v>15811</v>
      </c>
      <c r="B14372" s="7" t="str">
        <f>IFERROR(__xludf.DUMMYFUNCTION("SPLIT(A14372,"" "")"),"Cc1cnc(CN(C)Cc2cc(C3=NC(C)(C)CO3)ccn2)cc1C")</f>
        <v>Cc1cnc(CN(C)Cc2cc(C3=NC(C)(C)CO3)ccn2)cc1C</v>
      </c>
      <c r="C14372" s="7">
        <f>IFERROR(__xludf.DUMMYFUNCTION("""COMPUTED_VALUE"""),7.748999)</f>
        <v>7.748999</v>
      </c>
      <c r="D14372" s="7">
        <f>IFERROR(__xludf.DUMMYFUNCTION("""COMPUTED_VALUE"""),0.339622641509433)</f>
        <v>0.3396226415</v>
      </c>
    </row>
    <row r="14373">
      <c r="A14373" s="10" t="s">
        <v>15812</v>
      </c>
      <c r="B14373" s="7" t="str">
        <f>IFERROR(__xludf.DUMMYFUNCTION("SPLIT(A14373,"" "")"),"Cc1cccc(-c2ccnc(CN(Cc3ccccn3)CC3C=CNC=C3)c2)c1N")</f>
        <v>Cc1cccc(-c2ccnc(CN(Cc3ccccn3)CC3C=CNC=C3)c2)c1N</v>
      </c>
      <c r="C14373" s="7">
        <f>IFERROR(__xludf.DUMMYFUNCTION("""COMPUTED_VALUE"""),7.7489905)</f>
        <v>7.7489905</v>
      </c>
      <c r="D14373" s="7">
        <f>IFERROR(__xludf.DUMMYFUNCTION("""COMPUTED_VALUE"""),0.38095238095238)</f>
        <v>0.380952381</v>
      </c>
    </row>
    <row r="14374">
      <c r="A14374" s="10" t="s">
        <v>15813</v>
      </c>
      <c r="B14374" s="7" t="str">
        <f>IFERROR(__xludf.DUMMYFUNCTION("SPLIT(A14374,"" "")"),"Cc1ccc(C)c(CN(C)CC2=CCC=C(N(C)Cc3cc(C)c(C)c(C)n3)N2)n1")</f>
        <v>Cc1ccc(C)c(CN(C)CC2=CCC=C(N(C)Cc3cc(C)c(C)c(C)n3)N2)n1</v>
      </c>
      <c r="C14374" s="7">
        <f>IFERROR(__xludf.DUMMYFUNCTION("""COMPUTED_VALUE"""),7.7489824)</f>
        <v>7.7489824</v>
      </c>
      <c r="D14374" s="7">
        <f>IFERROR(__xludf.DUMMYFUNCTION("""COMPUTED_VALUE"""),0.25)</f>
        <v>0.25</v>
      </c>
    </row>
    <row r="14375">
      <c r="A14375" s="10" t="s">
        <v>15814</v>
      </c>
      <c r="B14375" s="7" t="str">
        <f>IFERROR(__xludf.DUMMYFUNCTION("SPLIT(A14375,"" "")"),"CN(Cc1ccccn1)C1=CNC(CN(C)c2cccc(C(C)(C)C)c2)=CC1")</f>
        <v>CN(Cc1ccccn1)C1=CNC(CN(C)c2cccc(C(C)(C)C)c2)=CC1</v>
      </c>
      <c r="C14375" s="7">
        <f>IFERROR(__xludf.DUMMYFUNCTION("""COMPUTED_VALUE"""),7.748982)</f>
        <v>7.748982</v>
      </c>
      <c r="D14375" s="7">
        <f>IFERROR(__xludf.DUMMYFUNCTION("""COMPUTED_VALUE"""),0.379310344827586)</f>
        <v>0.3793103448</v>
      </c>
    </row>
    <row r="14376">
      <c r="A14376" s="10" t="s">
        <v>15815</v>
      </c>
      <c r="B14376" s="7" t="str">
        <f>IFERROR(__xludf.DUMMYFUNCTION("SPLIT(A14376,"" "")"),"CN(C)c1ccccc1-c1ncccc1CN(CCF)Cc1cccc(C(C)(C)C)n1")</f>
        <v>CN(C)c1ccccc1-c1ncccc1CN(CCF)Cc1cccc(C(C)(C)C)n1</v>
      </c>
      <c r="C14376" s="7">
        <f>IFERROR(__xludf.DUMMYFUNCTION("""COMPUTED_VALUE"""),7.7489753)</f>
        <v>7.7489753</v>
      </c>
      <c r="D14376" s="7">
        <f>IFERROR(__xludf.DUMMYFUNCTION("""COMPUTED_VALUE"""),0.338983050847457)</f>
        <v>0.3389830508</v>
      </c>
    </row>
    <row r="14377">
      <c r="A14377" s="10" t="s">
        <v>15816</v>
      </c>
      <c r="B14377" s="7" t="str">
        <f>IFERROR(__xludf.DUMMYFUNCTION("SPLIT(A14377,"" "")"),"Cc1cncc(CN(C)Cc2cc(N(C)Cc3cccc(C)n3)ccn2)c1")</f>
        <v>Cc1cncc(CN(C)Cc2cc(N(C)Cc3cccc(C)n3)ccn2)c1</v>
      </c>
      <c r="C14377" s="7">
        <f>IFERROR(__xludf.DUMMYFUNCTION("""COMPUTED_VALUE"""),7.748973)</f>
        <v>7.748973</v>
      </c>
      <c r="D14377" s="7">
        <f>IFERROR(__xludf.DUMMYFUNCTION("""COMPUTED_VALUE"""),0.44)</f>
        <v>0.44</v>
      </c>
    </row>
    <row r="14378">
      <c r="A14378" s="10" t="s">
        <v>15817</v>
      </c>
      <c r="B14378" s="7" t="str">
        <f>IFERROR(__xludf.DUMMYFUNCTION("SPLIT(A14378,"" "")"),"CC1=CC(C)CC(C)C1N(Cc1ccccn1)Cc1cc(-c2cccc(N=Cc3ccccn3)c2)ccn1")</f>
        <v>CC1=CC(C)CC(C)C1N(Cc1ccccn1)Cc1cc(-c2cccc(N=Cc3ccccn3)c2)ccn1</v>
      </c>
      <c r="C14378" s="7">
        <f>IFERROR(__xludf.DUMMYFUNCTION("""COMPUTED_VALUE"""),7.7489614)</f>
        <v>7.7489614</v>
      </c>
      <c r="D14378" s="7">
        <f>IFERROR(__xludf.DUMMYFUNCTION("""COMPUTED_VALUE"""),0.318840579710144)</f>
        <v>0.3188405797</v>
      </c>
    </row>
    <row r="14379">
      <c r="A14379" s="10" t="s">
        <v>15818</v>
      </c>
      <c r="B14379" s="7" t="str">
        <f>IFERROR(__xludf.DUMMYFUNCTION("SPLIT(A14379,"" "")"),"Cc1ccccc1N(C)Cc1ccc(C(C)(C)C)cn1")</f>
        <v>Cc1ccccc1N(C)Cc1ccc(C(C)(C)C)cn1</v>
      </c>
      <c r="C14379" s="7">
        <f>IFERROR(__xludf.DUMMYFUNCTION("""COMPUTED_VALUE"""),7.7489595)</f>
        <v>7.7489595</v>
      </c>
      <c r="D14379" s="7">
        <f>IFERROR(__xludf.DUMMYFUNCTION("""COMPUTED_VALUE"""),0.391304347826087)</f>
        <v>0.3913043478</v>
      </c>
    </row>
    <row r="14380">
      <c r="A14380" s="10" t="s">
        <v>15819</v>
      </c>
      <c r="B14380" s="7" t="str">
        <f>IFERROR(__xludf.DUMMYFUNCTION("SPLIT(A14380,"" "")"),"Cc1cc(CN(C)CCN(C)Cc2ccc3ncccc3c2)nc(C)c1C")</f>
        <v>Cc1cc(CN(C)CCN(C)Cc2ccc3ncccc3c2)nc(C)c1C</v>
      </c>
      <c r="C14380" s="7">
        <f>IFERROR(__xludf.DUMMYFUNCTION("""COMPUTED_VALUE"""),7.7489576)</f>
        <v>7.7489576</v>
      </c>
      <c r="D14380" s="7">
        <f>IFERROR(__xludf.DUMMYFUNCTION("""COMPUTED_VALUE"""),0.384615384615384)</f>
        <v>0.3846153846</v>
      </c>
    </row>
    <row r="14381">
      <c r="A14381" s="10" t="s">
        <v>15820</v>
      </c>
      <c r="B14381" s="7" t="str">
        <f>IFERROR(__xludf.DUMMYFUNCTION("SPLIT(A14381,"" "")"),"CNCc1cc(-c2cc(C)c(CN(C)C3CCC(N(C)c4ccc5ccc(CF)nc5c4)CC3)cn2)ccn1")</f>
        <v>CNCc1cc(-c2cc(C)c(CN(C)C3CCC(N(C)c4ccc5ccc(CF)nc5c4)CC3)cn2)ccn1</v>
      </c>
      <c r="C14381" s="7">
        <f>IFERROR(__xludf.DUMMYFUNCTION("""COMPUTED_VALUE"""),7.748949)</f>
        <v>7.748949</v>
      </c>
      <c r="D14381" s="7">
        <f>IFERROR(__xludf.DUMMYFUNCTION("""COMPUTED_VALUE"""),0.2625)</f>
        <v>0.2625</v>
      </c>
    </row>
    <row r="14382">
      <c r="A14382" s="10" t="s">
        <v>15821</v>
      </c>
      <c r="B14382" s="7" t="str">
        <f>IFERROR(__xludf.DUMMYFUNCTION("SPLIT(A14382,"" "")"),"Cc1ccc(-c2cccc(CN(C)Cc3ccccn3)c2)nc1")</f>
        <v>Cc1ccc(-c2cccc(CN(C)Cc3ccccn3)c2)nc1</v>
      </c>
      <c r="C14382" s="7">
        <f>IFERROR(__xludf.DUMMYFUNCTION("""COMPUTED_VALUE"""),7.748931)</f>
        <v>7.748931</v>
      </c>
      <c r="D14382" s="7">
        <f>IFERROR(__xludf.DUMMYFUNCTION("""COMPUTED_VALUE"""),0.489795918367346)</f>
        <v>0.4897959184</v>
      </c>
    </row>
    <row r="14383">
      <c r="A14383" s="10" t="s">
        <v>15822</v>
      </c>
      <c r="B14383" s="7" t="str">
        <f>IFERROR(__xludf.DUMMYFUNCTION("SPLIT(A14383,"" "")"),"CNCN(Cc1ccccn1)Cc1ncc(N(C)Cc2nc(C)c(C)cc2C)c(C)c1C")</f>
        <v>CNCN(Cc1ccccn1)Cc1ncc(N(C)Cc2nc(C)c(C)cc2C)c(C)c1C</v>
      </c>
      <c r="C14383" s="7">
        <f>IFERROR(__xludf.DUMMYFUNCTION("""COMPUTED_VALUE"""),7.7489276)</f>
        <v>7.7489276</v>
      </c>
      <c r="D14383" s="7">
        <f>IFERROR(__xludf.DUMMYFUNCTION("""COMPUTED_VALUE"""),0.396551724137931)</f>
        <v>0.3965517241</v>
      </c>
    </row>
    <row r="14384">
      <c r="A14384" s="10" t="s">
        <v>15823</v>
      </c>
      <c r="B14384" s="7" t="str">
        <f>IFERROR(__xludf.DUMMYFUNCTION("SPLIT(A14384,"" "")"),"Cc1cc(C)c(CN(C)Cc2cc(C3=NC(C)(C)CO3)ccn2)cn1")</f>
        <v>Cc1cc(C)c(CN(C)Cc2cc(C3=NC(C)(C)CO3)ccn2)cn1</v>
      </c>
      <c r="C14384" s="7">
        <f>IFERROR(__xludf.DUMMYFUNCTION("""COMPUTED_VALUE"""),7.7489266)</f>
        <v>7.7489266</v>
      </c>
      <c r="D14384" s="7">
        <f>IFERROR(__xludf.DUMMYFUNCTION("""COMPUTED_VALUE"""),0.31578947368421)</f>
        <v>0.3157894737</v>
      </c>
    </row>
    <row r="14385">
      <c r="A14385" s="10" t="s">
        <v>15824</v>
      </c>
      <c r="B14385" s="7" t="str">
        <f>IFERROR(__xludf.DUMMYFUNCTION("SPLIT(A14385,"" "")"),"CC(C)C(C)(c1cccnc1)N(C)Cc1ncccc1-c1cc(Cl)ccc1N")</f>
        <v>CC(C)C(C)(c1cccnc1)N(C)Cc1ncccc1-c1cc(Cl)ccc1N</v>
      </c>
      <c r="C14385" s="7">
        <f>IFERROR(__xludf.DUMMYFUNCTION("""COMPUTED_VALUE"""),7.748918)</f>
        <v>7.748918</v>
      </c>
      <c r="D14385" s="7">
        <f>IFERROR(__xludf.DUMMYFUNCTION("""COMPUTED_VALUE"""),0.25)</f>
        <v>0.25</v>
      </c>
    </row>
    <row r="14386">
      <c r="A14386" s="10" t="s">
        <v>15825</v>
      </c>
      <c r="B14386" s="7" t="str">
        <f>IFERROR(__xludf.DUMMYFUNCTION("SPLIT(A14386,"" "")"),"Cc1cccnc1CN(C)c1cccc(NC(C)C)c1")</f>
        <v>Cc1cccnc1CN(C)c1cccc(NC(C)C)c1</v>
      </c>
      <c r="C14386" s="7">
        <f>IFERROR(__xludf.DUMMYFUNCTION("""COMPUTED_VALUE"""),7.7489014)</f>
        <v>7.7489014</v>
      </c>
      <c r="D14386" s="7">
        <f>IFERROR(__xludf.DUMMYFUNCTION("""COMPUTED_VALUE"""),0.288461538461538)</f>
        <v>0.2884615385</v>
      </c>
    </row>
    <row r="14387">
      <c r="A14387" s="10" t="s">
        <v>15826</v>
      </c>
      <c r="B14387" s="7" t="str">
        <f>IFERROR(__xludf.DUMMYFUNCTION("SPLIT(A14387,"" "")"),"Cc1cccc(N(C)Cc2cc(N(C)C(C)C)ccn2)c1")</f>
        <v>Cc1cccc(N(C)Cc2cc(N(C)C(C)C)ccn2)c1</v>
      </c>
      <c r="C14387" s="7">
        <f>IFERROR(__xludf.DUMMYFUNCTION("""COMPUTED_VALUE"""),7.748896)</f>
        <v>7.748896</v>
      </c>
      <c r="D14387" s="7">
        <f>IFERROR(__xludf.DUMMYFUNCTION("""COMPUTED_VALUE"""),0.354166666666666)</f>
        <v>0.3541666667</v>
      </c>
    </row>
    <row r="14388">
      <c r="A14388" s="10" t="s">
        <v>15827</v>
      </c>
      <c r="B14388" s="7" t="str">
        <f>IFERROR(__xludf.DUMMYFUNCTION("SPLIT(A14388,"" "")"),"Cc1ccnc(CN(C)C2=CCC=C(CN(C)C)N2)c1C")</f>
        <v>Cc1ccnc(CN(C)C2=CCC=C(CN(C)C)N2)c1C</v>
      </c>
      <c r="C14388" s="7">
        <f>IFERROR(__xludf.DUMMYFUNCTION("""COMPUTED_VALUE"""),7.7488933)</f>
        <v>7.7488933</v>
      </c>
      <c r="D14388" s="7">
        <f>IFERROR(__xludf.DUMMYFUNCTION("""COMPUTED_VALUE"""),0.25)</f>
        <v>0.25</v>
      </c>
    </row>
    <row r="14389">
      <c r="A14389" s="10" t="s">
        <v>15828</v>
      </c>
      <c r="B14389" s="7" t="str">
        <f>IFERROR(__xludf.DUMMYFUNCTION("SPLIT(A14389,"" "")"),"Cc1ccc(CN(Cc2cc(C)ccn2)Cc2cccc(N(C)Cc3nc(C)c(C)cc3C)n2)nc1")</f>
        <v>Cc1ccc(CN(Cc2cc(C)ccn2)Cc2cccc(N(C)Cc3nc(C)c(C)cc3C)n2)nc1</v>
      </c>
      <c r="C14389" s="7">
        <f>IFERROR(__xludf.DUMMYFUNCTION("""COMPUTED_VALUE"""),7.7488856)</f>
        <v>7.7488856</v>
      </c>
      <c r="D14389" s="7">
        <f>IFERROR(__xludf.DUMMYFUNCTION("""COMPUTED_VALUE"""),0.350877192982456)</f>
        <v>0.350877193</v>
      </c>
    </row>
    <row r="14390">
      <c r="A14390" s="10" t="s">
        <v>15829</v>
      </c>
      <c r="B14390" s="7" t="str">
        <f>IFERROR(__xludf.DUMMYFUNCTION("SPLIT(A14390,"" "")"),"CC(C)C(C)N(C)CC1=C(N(C)c2ccc3nccc(CF)c3c2)CC=CN1")</f>
        <v>CC(C)C(C)N(C)CC1=C(N(C)c2ccc3nccc(CF)c3c2)CC=CN1</v>
      </c>
      <c r="C14390" s="7">
        <f>IFERROR(__xludf.DUMMYFUNCTION("""COMPUTED_VALUE"""),7.748859)</f>
        <v>7.748859</v>
      </c>
      <c r="D14390" s="7">
        <f>IFERROR(__xludf.DUMMYFUNCTION("""COMPUTED_VALUE"""),0.202702702702702)</f>
        <v>0.2027027027</v>
      </c>
    </row>
    <row r="14391">
      <c r="A14391" s="10" t="s">
        <v>15830</v>
      </c>
      <c r="B14391" s="7" t="str">
        <f>IFERROR(__xludf.DUMMYFUNCTION("SPLIT(A14391,"" "")"),"CCN(Cc1ccccn1)Cc1cccc(C2=NC(c3ccccn3)CO2)n1")</f>
        <v>CCN(Cc1ccccn1)Cc1cccc(C2=NC(c3ccccn3)CO2)n1</v>
      </c>
      <c r="C14391" s="7">
        <f>IFERROR(__xludf.DUMMYFUNCTION("""COMPUTED_VALUE"""),7.748859)</f>
        <v>7.748859</v>
      </c>
      <c r="D14391" s="7">
        <f>IFERROR(__xludf.DUMMYFUNCTION("""COMPUTED_VALUE"""),0.444444444444444)</f>
        <v>0.4444444444</v>
      </c>
    </row>
    <row r="14392">
      <c r="A14392" s="10" t="s">
        <v>15831</v>
      </c>
      <c r="B14392" s="7" t="str">
        <f>IFERROR(__xludf.DUMMYFUNCTION("SPLIT(A14392,"" "")"),"CN(CC1=CCC=C(N(C)Cc2ccccn2)N1)C1=CC(NCc2ccccn2)NC=C1")</f>
        <v>CN(CC1=CCC=C(N(C)Cc2ccccn2)N1)C1=CC(NCc2ccccn2)NC=C1</v>
      </c>
      <c r="C14392" s="7">
        <f>IFERROR(__xludf.DUMMYFUNCTION("""COMPUTED_VALUE"""),7.748858)</f>
        <v>7.748858</v>
      </c>
      <c r="D14392" s="7">
        <f>IFERROR(__xludf.DUMMYFUNCTION("""COMPUTED_VALUE"""),0.363636363636363)</f>
        <v>0.3636363636</v>
      </c>
    </row>
    <row r="14393">
      <c r="A14393" s="10" t="s">
        <v>15832</v>
      </c>
      <c r="B14393" s="7" t="str">
        <f>IFERROR(__xludf.DUMMYFUNCTION("SPLIT(A14393,"" "")"),"CNCc1cc(N(C)Cc2ncccc2C)ccn1")</f>
        <v>CNCc1cc(N(C)Cc2ncccc2C)ccn1</v>
      </c>
      <c r="C14393" s="7">
        <f>IFERROR(__xludf.DUMMYFUNCTION("""COMPUTED_VALUE"""),7.7488456)</f>
        <v>7.7488456</v>
      </c>
      <c r="D14393" s="7">
        <f>IFERROR(__xludf.DUMMYFUNCTION("""COMPUTED_VALUE"""),0.333333333333333)</f>
        <v>0.3333333333</v>
      </c>
    </row>
    <row r="14394">
      <c r="A14394" s="10" t="s">
        <v>15833</v>
      </c>
      <c r="B14394" s="7" t="str">
        <f>IFERROR(__xludf.DUMMYFUNCTION("SPLIT(A14394,"" "")"),"Cc1cc(C)c(CN(C)CC2=CCC(N(C)Cc3nc(C)c(C)cc3C)=CN2)nc1C")</f>
        <v>Cc1cc(C)c(CN(C)CC2=CCC(N(C)Cc3nc(C)c(C)cc3C)=CN2)nc1C</v>
      </c>
      <c r="C14394" s="7">
        <f>IFERROR(__xludf.DUMMYFUNCTION("""COMPUTED_VALUE"""),7.7488427)</f>
        <v>7.7488427</v>
      </c>
      <c r="D14394" s="7">
        <f>IFERROR(__xludf.DUMMYFUNCTION("""COMPUTED_VALUE"""),0.203703703703703)</f>
        <v>0.2037037037</v>
      </c>
    </row>
    <row r="14395">
      <c r="A14395" s="10" t="s">
        <v>15834</v>
      </c>
      <c r="B14395" s="7" t="str">
        <f>IFERROR(__xludf.DUMMYFUNCTION("SPLIT(A14395,"" "")"),"CN(Cc1ncccc1CF)Cc1ncccc1C(C)(c1ccccn1)c1ccccn1")</f>
        <v>CN(Cc1ncccc1CF)Cc1ncccc1C(C)(c1ccccn1)c1ccccn1</v>
      </c>
      <c r="C14395" s="7">
        <f>IFERROR(__xludf.DUMMYFUNCTION("""COMPUTED_VALUE"""),7.748833)</f>
        <v>7.748833</v>
      </c>
      <c r="D14395" s="7">
        <f>IFERROR(__xludf.DUMMYFUNCTION("""COMPUTED_VALUE"""),0.358490566037735)</f>
        <v>0.358490566</v>
      </c>
    </row>
    <row r="14396">
      <c r="A14396" s="10" t="s">
        <v>15835</v>
      </c>
      <c r="B14396" s="7" t="str">
        <f>IFERROR(__xludf.DUMMYFUNCTION("SPLIT(A14396,"" "")"),"CN(CCNc1ccc2ncccc2c1)Cc1ncccc1F")</f>
        <v>CN(CCNc1ccc2ncccc2c1)Cc1ncccc1F</v>
      </c>
      <c r="C14396" s="7">
        <f>IFERROR(__xludf.DUMMYFUNCTION("""COMPUTED_VALUE"""),7.7488036)</f>
        <v>7.7488036</v>
      </c>
      <c r="D14396" s="7">
        <f>IFERROR(__xludf.DUMMYFUNCTION("""COMPUTED_VALUE"""),0.358490566037735)</f>
        <v>0.358490566</v>
      </c>
    </row>
    <row r="14397">
      <c r="A14397" s="10" t="s">
        <v>15836</v>
      </c>
      <c r="B14397" s="7" t="str">
        <f>IFERROR(__xludf.DUMMYFUNCTION("SPLIT(A14397,"" "")"),"C1=C(c2ccccc2)C(NCc2ccccn2)=C(c2ccccc2)C(c2ccccc2)C1")</f>
        <v>C1=C(c2ccccc2)C(NCc2ccccn2)=C(c2ccccc2)C(c2ccccc2)C1</v>
      </c>
      <c r="C14397" s="7">
        <f>IFERROR(__xludf.DUMMYFUNCTION("""COMPUTED_VALUE"""),7.7487917)</f>
        <v>7.7487917</v>
      </c>
      <c r="D14397" s="7">
        <f>IFERROR(__xludf.DUMMYFUNCTION("""COMPUTED_VALUE"""),0.385964912280701)</f>
        <v>0.3859649123</v>
      </c>
    </row>
    <row r="14398">
      <c r="A14398" s="10" t="s">
        <v>15837</v>
      </c>
      <c r="B14398" s="7" t="str">
        <f>IFERROR(__xludf.DUMMYFUNCTION("SPLIT(A14398,"" "")"),"Cc1ccc(CN(C)c2ccc(CN(C)Cc3ncccc3N)nc2)cn1")</f>
        <v>Cc1ccc(CN(C)c2ccc(CN(C)Cc3ncccc3N)nc2)cn1</v>
      </c>
      <c r="C14398" s="7">
        <f>IFERROR(__xludf.DUMMYFUNCTION("""COMPUTED_VALUE"""),7.7487884)</f>
        <v>7.7487884</v>
      </c>
      <c r="D14398" s="7">
        <f>IFERROR(__xludf.DUMMYFUNCTION("""COMPUTED_VALUE"""),0.339622641509433)</f>
        <v>0.3396226415</v>
      </c>
    </row>
    <row r="14399">
      <c r="A14399" s="10" t="s">
        <v>15838</v>
      </c>
      <c r="B14399" s="7" t="str">
        <f>IFERROR(__xludf.DUMMYFUNCTION("SPLIT(A14399,"" "")"),"CN(Cc1ccccn1)C1=CCNC(NCc2ccccn2)=C1")</f>
        <v>CN(Cc1ccccn1)C1=CCNC(NCc2ccccn2)=C1</v>
      </c>
      <c r="C14399" s="7">
        <f>IFERROR(__xludf.DUMMYFUNCTION("""COMPUTED_VALUE"""),7.7487864)</f>
        <v>7.7487864</v>
      </c>
      <c r="D14399" s="7">
        <f>IFERROR(__xludf.DUMMYFUNCTION("""COMPUTED_VALUE"""),0.4375)</f>
        <v>0.4375</v>
      </c>
    </row>
    <row r="14400">
      <c r="A14400" s="10" t="s">
        <v>15839</v>
      </c>
      <c r="B14400" s="7" t="str">
        <f>IFERROR(__xludf.DUMMYFUNCTION("SPLIT(A14400,"" "")"),"Cc1cncc(CN(C)Cc2cc(N(C)Cc3ncccc3C)ccn2)c1")</f>
        <v>Cc1cncc(CN(C)Cc2cc(N(C)Cc3ncccc3C)ccn2)c1</v>
      </c>
      <c r="C14400" s="7">
        <f>IFERROR(__xludf.DUMMYFUNCTION("""COMPUTED_VALUE"""),7.7487826)</f>
        <v>7.7487826</v>
      </c>
      <c r="D14400" s="7">
        <f>IFERROR(__xludf.DUMMYFUNCTION("""COMPUTED_VALUE"""),0.3)</f>
        <v>0.3</v>
      </c>
    </row>
    <row r="14401">
      <c r="A14401" s="10" t="s">
        <v>15840</v>
      </c>
      <c r="B14401" s="7" t="str">
        <f>IFERROR(__xludf.DUMMYFUNCTION("SPLIT(A14401,"" "")"),"CN(Cc1cccc(-c2ccccn2)n1)C1CCC(N(C)c2ccc3nc(CF)ccc3c2)CC1")</f>
        <v>CN(Cc1cccc(-c2ccccn2)n1)C1CCC(N(C)c2ccc3nc(CF)ccc3c2)CC1</v>
      </c>
      <c r="C14401" s="7">
        <f>IFERROR(__xludf.DUMMYFUNCTION("""COMPUTED_VALUE"""),7.7487783)</f>
        <v>7.7487783</v>
      </c>
      <c r="D14401" s="7">
        <f>IFERROR(__xludf.DUMMYFUNCTION("""COMPUTED_VALUE"""),0.46551724137931)</f>
        <v>0.4655172414</v>
      </c>
    </row>
    <row r="14402">
      <c r="A14402" s="10" t="s">
        <v>15841</v>
      </c>
      <c r="B14402" s="7" t="str">
        <f>IFERROR(__xludf.DUMMYFUNCTION("SPLIT(A14402,"" "")"),"CC(C)C(C)C(c1ccccc1)c1cccc(-c2cccc(NC3C=CC=CN3)n2)n1")</f>
        <v>CC(C)C(C)C(c1ccccc1)c1cccc(-c2cccc(NC3C=CC=CN3)n2)n1</v>
      </c>
      <c r="C14402" s="7">
        <f>IFERROR(__xludf.DUMMYFUNCTION("""COMPUTED_VALUE"""),7.7487593)</f>
        <v>7.7487593</v>
      </c>
      <c r="D14402" s="7">
        <f>IFERROR(__xludf.DUMMYFUNCTION("""COMPUTED_VALUE"""),0.231884057971014)</f>
        <v>0.231884058</v>
      </c>
    </row>
    <row r="14403">
      <c r="A14403" s="10" t="s">
        <v>15842</v>
      </c>
      <c r="B14403" s="7" t="str">
        <f>IFERROR(__xludf.DUMMYFUNCTION("SPLIT(A14403,"" "")"),"CNC12N=CC(N(C)Cc3nc(C)c(C)c(C)c3C)=C(C)C1C(N(Cc1nc(C)c(C)c(C)c1C)Cc1nc(C)c(C)c(C)c1C)CCC2N(C)Cc1nc(C)c(C)c(C)c1C")</f>
        <v>CNC12N=CC(N(C)Cc3nc(C)c(C)c(C)c3C)=C(C)C1C(N(Cc1nc(C)c(C)c(C)c1C)Cc1nc(C)c(C)c(C)c1C)CCC2N(C)Cc1nc(C)c(C)c(C)c1C</v>
      </c>
      <c r="C14403" s="7">
        <f>IFERROR(__xludf.DUMMYFUNCTION("""COMPUTED_VALUE"""),7.7487555)</f>
        <v>7.7487555</v>
      </c>
      <c r="D14403" s="7">
        <f>IFERROR(__xludf.DUMMYFUNCTION("""COMPUTED_VALUE"""),0.214285714285714)</f>
        <v>0.2142857143</v>
      </c>
    </row>
    <row r="14404">
      <c r="A14404" s="10" t="s">
        <v>15843</v>
      </c>
      <c r="B14404" s="7" t="str">
        <f>IFERROR(__xludf.DUMMYFUNCTION("SPLIT(A14404,"" "")"),"Cc1ccc(N(C)C2CCCC(N(C)c3ccc4ccc(CN(C)C)nc4c3)C2)cc1C")</f>
        <v>Cc1ccc(N(C)C2CCCC(N(C)c3ccc4ccc(CN(C)C)nc4c3)C2)cc1C</v>
      </c>
      <c r="C14404" s="7">
        <f>IFERROR(__xludf.DUMMYFUNCTION("""COMPUTED_VALUE"""),7.748748)</f>
        <v>7.748748</v>
      </c>
      <c r="D14404" s="7">
        <f>IFERROR(__xludf.DUMMYFUNCTION("""COMPUTED_VALUE"""),0.303571428571428)</f>
        <v>0.3035714286</v>
      </c>
    </row>
    <row r="14405">
      <c r="A14405" s="10" t="s">
        <v>15844</v>
      </c>
      <c r="B14405" s="7" t="str">
        <f>IFERROR(__xludf.DUMMYFUNCTION("SPLIT(A14405,"" "")"),"CC1=CCC(C)(C)C2(C(C)C=CC(C)C2C)C1c1ccc(CN(C)Cc2cc(N(C)c3ccc4ncccc4c3)ccn2)cn1")</f>
        <v>CC1=CCC(C)(C)C2(C(C)C=CC(C)C2C)C1c1ccc(CN(C)Cc2cc(N(C)c3ccc4ncccc4c3)ccn2)cn1</v>
      </c>
      <c r="C14405" s="7">
        <f>IFERROR(__xludf.DUMMYFUNCTION("""COMPUTED_VALUE"""),7.7487473)</f>
        <v>7.7487473</v>
      </c>
      <c r="D14405" s="7">
        <f>IFERROR(__xludf.DUMMYFUNCTION("""COMPUTED_VALUE"""),0.247058823529411)</f>
        <v>0.2470588235</v>
      </c>
    </row>
    <row r="14406">
      <c r="A14406" s="10" t="s">
        <v>15845</v>
      </c>
      <c r="B14406" s="7" t="str">
        <f>IFERROR(__xludf.DUMMYFUNCTION("SPLIT(A14406,"" "")"),"Cc1ccc(-c2ccccc2CN(C)Cc2ccccn2)nc1")</f>
        <v>Cc1ccc(-c2ccccc2CN(C)Cc2ccccn2)nc1</v>
      </c>
      <c r="C14406" s="7">
        <f>IFERROR(__xludf.DUMMYFUNCTION("""COMPUTED_VALUE"""),7.748747)</f>
        <v>7.748747</v>
      </c>
      <c r="D14406" s="7">
        <f>IFERROR(__xludf.DUMMYFUNCTION("""COMPUTED_VALUE"""),0.489361702127659)</f>
        <v>0.4893617021</v>
      </c>
    </row>
    <row r="14407">
      <c r="A14407" s="10" t="s">
        <v>15846</v>
      </c>
      <c r="B14407" s="7" t="str">
        <f>IFERROR(__xludf.DUMMYFUNCTION("SPLIT(A14407,"" "")"),"Cc1cc(CN(C)c2ccccc2-c2cc(CN(C)C(C)C(C)C)ccn2)cnc1C")</f>
        <v>Cc1cc(CN(C)c2ccccc2-c2cc(CN(C)C(C)C(C)C)ccn2)cnc1C</v>
      </c>
      <c r="C14407" s="7">
        <f>IFERROR(__xludf.DUMMYFUNCTION("""COMPUTED_VALUE"""),7.7487345)</f>
        <v>7.7487345</v>
      </c>
      <c r="D14407" s="7">
        <f>IFERROR(__xludf.DUMMYFUNCTION("""COMPUTED_VALUE"""),0.274193548387096)</f>
        <v>0.2741935484</v>
      </c>
    </row>
    <row r="14408">
      <c r="A14408" s="10" t="s">
        <v>15847</v>
      </c>
      <c r="B14408" s="7" t="str">
        <f>IFERROR(__xludf.DUMMYFUNCTION("SPLIT(A14408,"" "")"),"CC(C)N(C)CCN(C)c1ccc2nccc(CF)c2c1")</f>
        <v>CC(C)N(C)CCN(C)c1ccc2nccc(CF)c2c1</v>
      </c>
      <c r="C14408" s="7">
        <f>IFERROR(__xludf.DUMMYFUNCTION("""COMPUTED_VALUE"""),7.7487335)</f>
        <v>7.7487335</v>
      </c>
      <c r="D14408" s="7">
        <f>IFERROR(__xludf.DUMMYFUNCTION("""COMPUTED_VALUE"""),0.24074074074074)</f>
        <v>0.2407407407</v>
      </c>
    </row>
    <row r="14409">
      <c r="A14409" s="10" t="s">
        <v>15848</v>
      </c>
      <c r="B14409" s="7" t="str">
        <f>IFERROR(__xludf.DUMMYFUNCTION("SPLIT(A14409,"" "")"),"Cc1cccnc1CN(C)CCNc1ccc2ncccc2c1")</f>
        <v>Cc1cccnc1CN(C)CCNc1ccc2ncccc2c1</v>
      </c>
      <c r="C14409" s="7">
        <f>IFERROR(__xludf.DUMMYFUNCTION("""COMPUTED_VALUE"""),7.748733)</f>
        <v>7.748733</v>
      </c>
      <c r="D14409" s="7">
        <f>IFERROR(__xludf.DUMMYFUNCTION("""COMPUTED_VALUE"""),0.358490566037735)</f>
        <v>0.358490566</v>
      </c>
    </row>
    <row r="14410">
      <c r="A14410" s="10" t="s">
        <v>15849</v>
      </c>
      <c r="B14410" s="7" t="str">
        <f>IFERROR(__xludf.DUMMYFUNCTION("SPLIT(A14410,"" "")"),"Cc1ccc(CN(C)c2ccc(CN(Cc3ccc(F)nc3)Cc3ccc(N)cn3)nc2)nc1")</f>
        <v>Cc1ccc(CN(C)c2ccc(CN(Cc3ccc(F)nc3)Cc3ccc(N)cn3)nc2)nc1</v>
      </c>
      <c r="C14410" s="7">
        <f>IFERROR(__xludf.DUMMYFUNCTION("""COMPUTED_VALUE"""),7.7487297)</f>
        <v>7.7487297</v>
      </c>
      <c r="D14410" s="7">
        <f>IFERROR(__xludf.DUMMYFUNCTION("""COMPUTED_VALUE"""),0.411764705882352)</f>
        <v>0.4117647059</v>
      </c>
    </row>
    <row r="14411">
      <c r="A14411" s="10" t="s">
        <v>15850</v>
      </c>
      <c r="B14411" s="7" t="str">
        <f>IFERROR(__xludf.DUMMYFUNCTION("SPLIT(A14411,"" "")"),"CC(C(=O)C(=O)C(=O)C(=O)C(=O)C(=O)C=O)C(=O)C(=O)C(=O)C(=O)C(=O)C(=O)C(C)C(=O)C(=O)C(=O)C(=O)C(=O)C(C)C(=O)c1cccc(C2CCC2(C)C)n1")</f>
        <v>CC(C(=O)C(=O)C(=O)C(=O)C(=O)C(=O)C=O)C(=O)C(=O)C(=O)C(=O)C(=O)C(=O)C(C)C(=O)C(=O)C(=O)C(=O)C(=O)C(C)C(=O)c1cccc(C2CCC2(C)C)n1</v>
      </c>
      <c r="C14411" s="7">
        <f>IFERROR(__xludf.DUMMYFUNCTION("""COMPUTED_VALUE"""),7.7487297)</f>
        <v>7.7487297</v>
      </c>
      <c r="D14411" s="7">
        <f>IFERROR(__xludf.DUMMYFUNCTION("""COMPUTED_VALUE"""),0.202702702702702)</f>
        <v>0.2027027027</v>
      </c>
    </row>
    <row r="14412">
      <c r="A14412" s="10" t="s">
        <v>15851</v>
      </c>
      <c r="B14412" s="7" t="str">
        <f>IFERROR(__xludf.DUMMYFUNCTION("SPLIT(A14412,"" "")"),"CCN(CCN(C)c1ccc2cccnc2c1)C(C)(C)C")</f>
        <v>CCN(CCN(C)c1ccc2cccnc2c1)C(C)(C)C</v>
      </c>
      <c r="C14412" s="7">
        <f>IFERROR(__xludf.DUMMYFUNCTION("""COMPUTED_VALUE"""),7.7487297)</f>
        <v>7.7487297</v>
      </c>
      <c r="D14412" s="7">
        <f>IFERROR(__xludf.DUMMYFUNCTION("""COMPUTED_VALUE"""),0.375)</f>
        <v>0.375</v>
      </c>
    </row>
    <row r="14413">
      <c r="A14413" s="10" t="s">
        <v>15852</v>
      </c>
      <c r="B14413" s="7" t="str">
        <f>IFERROR(__xludf.DUMMYFUNCTION("SPLIT(A14413,"" "")"),"CC(C(c1ccnc(C2=CCC=CN2)c1)c1ccccn1)N(Cc1ccccn1)Cc1ccccn1")</f>
        <v>CC(C(c1ccnc(C2=CCC=CN2)c1)c1ccccn1)N(Cc1ccccn1)Cc1ccccn1</v>
      </c>
      <c r="C14413" s="7">
        <f>IFERROR(__xludf.DUMMYFUNCTION("""COMPUTED_VALUE"""),7.7487283)</f>
        <v>7.7487283</v>
      </c>
      <c r="D14413" s="7">
        <f>IFERROR(__xludf.DUMMYFUNCTION("""COMPUTED_VALUE"""),0.435483870967741)</f>
        <v>0.435483871</v>
      </c>
    </row>
    <row r="14414">
      <c r="A14414" s="10" t="s">
        <v>15853</v>
      </c>
      <c r="B14414" s="7" t="str">
        <f>IFERROR(__xludf.DUMMYFUNCTION("SPLIT(A14414,"" "")"),"CC1=C(C)C(NCc2ccccn2)NC(c2ccccc2)=C1")</f>
        <v>CC1=C(C)C(NCc2ccccn2)NC(c2ccccc2)=C1</v>
      </c>
      <c r="C14414" s="7">
        <f>IFERROR(__xludf.DUMMYFUNCTION("""COMPUTED_VALUE"""),7.748728)</f>
        <v>7.748728</v>
      </c>
      <c r="D14414" s="7">
        <f>IFERROR(__xludf.DUMMYFUNCTION("""COMPUTED_VALUE"""),0.377777777777777)</f>
        <v>0.3777777778</v>
      </c>
    </row>
    <row r="14415">
      <c r="A14415" s="10" t="s">
        <v>15854</v>
      </c>
      <c r="B14415" s="7" t="str">
        <f>IFERROR(__xludf.DUMMYFUNCTION("SPLIT(A14415,"" "")"),"CN(CCNc1ccc2cccnc2c1)Cc1ncccc1F")</f>
        <v>CN(CCNc1ccc2cccnc2c1)Cc1ncccc1F</v>
      </c>
      <c r="C14415" s="7">
        <f>IFERROR(__xludf.DUMMYFUNCTION("""COMPUTED_VALUE"""),7.7487273)</f>
        <v>7.7487273</v>
      </c>
      <c r="D14415" s="7">
        <f>IFERROR(__xludf.DUMMYFUNCTION("""COMPUTED_VALUE"""),0.358490566037735)</f>
        <v>0.358490566</v>
      </c>
    </row>
    <row r="14416">
      <c r="A14416" s="10" t="s">
        <v>15855</v>
      </c>
      <c r="B14416" s="7" t="str">
        <f>IFERROR(__xludf.DUMMYFUNCTION("SPLIT(A14416,"" "")"),"CCN(CCN(C)c1cccc2ncccc12)Cc1ccccn1")</f>
        <v>CCN(CCN(C)c1cccc2ncccc12)Cc1ccccn1</v>
      </c>
      <c r="C14416" s="7">
        <f>IFERROR(__xludf.DUMMYFUNCTION("""COMPUTED_VALUE"""),7.748703)</f>
        <v>7.748703</v>
      </c>
      <c r="D14416" s="7">
        <f>IFERROR(__xludf.DUMMYFUNCTION("""COMPUTED_VALUE"""),0.5)</f>
        <v>0.5</v>
      </c>
    </row>
    <row r="14417">
      <c r="A14417" s="10" t="s">
        <v>15856</v>
      </c>
      <c r="B14417" s="7" t="str">
        <f>IFERROR(__xludf.DUMMYFUNCTION("SPLIT(A14417,"" "")"),"Cc1ccc(CN(C)Cc2ncccc2N(C)Cc2cccc(C)n2)nc1")</f>
        <v>Cc1ccc(CN(C)Cc2ncccc2N(C)Cc2cccc(C)n2)nc1</v>
      </c>
      <c r="C14417" s="7">
        <f>IFERROR(__xludf.DUMMYFUNCTION("""COMPUTED_VALUE"""),7.7487016)</f>
        <v>7.7487016</v>
      </c>
      <c r="D14417" s="7">
        <f>IFERROR(__xludf.DUMMYFUNCTION("""COMPUTED_VALUE"""),0.458333333333333)</f>
        <v>0.4583333333</v>
      </c>
    </row>
    <row r="14418">
      <c r="A14418" s="10" t="s">
        <v>15857</v>
      </c>
      <c r="B14418" s="7" t="str">
        <f>IFERROR(__xludf.DUMMYFUNCTION("SPLIT(A14418,"" "")"),"c1cncc(CN(Cc2ccon2)Cc2nccs2)c1")</f>
        <v>c1cncc(CN(Cc2ccon2)Cc2nccs2)c1</v>
      </c>
      <c r="C14418" s="7">
        <f>IFERROR(__xludf.DUMMYFUNCTION("""COMPUTED_VALUE"""),7.748691)</f>
        <v>7.748691</v>
      </c>
      <c r="D14418" s="7">
        <f>IFERROR(__xludf.DUMMYFUNCTION("""COMPUTED_VALUE"""),0.476190476190476)</f>
        <v>0.4761904762</v>
      </c>
    </row>
    <row r="14419">
      <c r="A14419" s="10" t="s">
        <v>15858</v>
      </c>
      <c r="B14419" s="7" t="str">
        <f>IFERROR(__xludf.DUMMYFUNCTION("SPLIT(A14419,"" "")"),"Cc1cc(C)c(CN(Cc2ccccn2)Cc2ncccc2N(C)C)nc1C")</f>
        <v>Cc1cc(C)c(CN(Cc2ccccn2)Cc2ncccc2N(C)C)nc1C</v>
      </c>
      <c r="C14419" s="7">
        <f>IFERROR(__xludf.DUMMYFUNCTION("""COMPUTED_VALUE"""),7.748686)</f>
        <v>7.748686</v>
      </c>
      <c r="D14419" s="7">
        <f>IFERROR(__xludf.DUMMYFUNCTION("""COMPUTED_VALUE"""),0.465116279069767)</f>
        <v>0.4651162791</v>
      </c>
    </row>
    <row r="14420">
      <c r="A14420" s="10" t="s">
        <v>15859</v>
      </c>
      <c r="B14420" s="7" t="str">
        <f>IFERROR(__xludf.DUMMYFUNCTION("SPLIT(A14420,"" "")"),"CN(CCN)Cc1cncc(-c2cccc(N)c2Cl)c1")</f>
        <v>CN(CCN)Cc1cncc(-c2cccc(N)c2Cl)c1</v>
      </c>
      <c r="C14420" s="7">
        <f>IFERROR(__xludf.DUMMYFUNCTION("""COMPUTED_VALUE"""),7.7486653)</f>
        <v>7.7486653</v>
      </c>
      <c r="D14420" s="7">
        <f>IFERROR(__xludf.DUMMYFUNCTION("""COMPUTED_VALUE"""),0.264150943396226)</f>
        <v>0.2641509434</v>
      </c>
    </row>
    <row r="14421">
      <c r="A14421" s="10" t="s">
        <v>15860</v>
      </c>
      <c r="B14421" s="7" t="str">
        <f>IFERROR(__xludf.DUMMYFUNCTION("SPLIT(A14421,"" "")"),"Cc1cnc2cc(N(C)CCCN(C)Cc3cccnc3)ccc2c1")</f>
        <v>Cc1cnc2cc(N(C)CCCN(C)Cc3cccnc3)ccc2c1</v>
      </c>
      <c r="C14421" s="7">
        <f>IFERROR(__xludf.DUMMYFUNCTION("""COMPUTED_VALUE"""),7.7486587)</f>
        <v>7.7486587</v>
      </c>
      <c r="D14421" s="7">
        <f>IFERROR(__xludf.DUMMYFUNCTION("""COMPUTED_VALUE"""),0.31578947368421)</f>
        <v>0.3157894737</v>
      </c>
    </row>
    <row r="14422">
      <c r="A14422" s="10" t="s">
        <v>15861</v>
      </c>
      <c r="B14422" s="7" t="str">
        <f>IFERROR(__xludf.DUMMYFUNCTION("SPLIT(A14422,"" "")"),"CCN(Cc1ccccn1)c1ccc(CN(Cc2nc(C)c(C)cc2C)Cc2nc(C)c(C)cc2C)nc1")</f>
        <v>CCN(Cc1ccccn1)c1ccc(CN(Cc2nc(C)c(C)cc2C)Cc2nc(C)c(C)cc2C)nc1</v>
      </c>
      <c r="C14422" s="7">
        <f>IFERROR(__xludf.DUMMYFUNCTION("""COMPUTED_VALUE"""),7.7486577)</f>
        <v>7.7486577</v>
      </c>
      <c r="D14422" s="7">
        <f>IFERROR(__xludf.DUMMYFUNCTION("""COMPUTED_VALUE"""),0.425531914893617)</f>
        <v>0.4255319149</v>
      </c>
    </row>
    <row r="14423">
      <c r="A14423" s="10" t="s">
        <v>15862</v>
      </c>
      <c r="B14423" s="7" t="str">
        <f>IFERROR(__xludf.DUMMYFUNCTION("SPLIT(A14423,"" "")"),"Cc1cccc(CN(C)Cc2cccc(C3=NC(C)CO3)n2)n1")</f>
        <v>Cc1cccc(CN(C)Cc2cccc(C3=NC(C)CO3)n2)n1</v>
      </c>
      <c r="C14423" s="7">
        <f>IFERROR(__xludf.DUMMYFUNCTION("""COMPUTED_VALUE"""),7.7486506)</f>
        <v>7.7486506</v>
      </c>
      <c r="D14423" s="7">
        <f>IFERROR(__xludf.DUMMYFUNCTION("""COMPUTED_VALUE"""),0.5)</f>
        <v>0.5</v>
      </c>
    </row>
    <row r="14424">
      <c r="A14424" s="10" t="s">
        <v>15863</v>
      </c>
      <c r="B14424" s="7" t="str">
        <f>IFERROR(__xludf.DUMMYFUNCTION("SPLIT(A14424,"" "")"),"CC(C)N(C)CCN(C)c1ccc2nc(CN(C)C)ccc2c1")</f>
        <v>CC(C)N(C)CCN(C)c1ccc2nc(CN(C)C)ccc2c1</v>
      </c>
      <c r="C14424" s="7">
        <f>IFERROR(__xludf.DUMMYFUNCTION("""COMPUTED_VALUE"""),7.748624)</f>
        <v>7.748624</v>
      </c>
      <c r="D14424" s="7">
        <f>IFERROR(__xludf.DUMMYFUNCTION("""COMPUTED_VALUE"""),0.34090909090909)</f>
        <v>0.3409090909</v>
      </c>
    </row>
    <row r="14425">
      <c r="A14425" s="10" t="s">
        <v>15864</v>
      </c>
      <c r="B14425" s="7" t="str">
        <f>IFERROR(__xludf.DUMMYFUNCTION("SPLIT(A14425,"" "")"),"Cc1cnc(CN(C)c2cccc(CN(C)Cc3ccccn3)n2)c(C)c1")</f>
        <v>Cc1cnc(CN(C)c2cccc(CN(C)Cc3ccccn3)n2)c(C)c1</v>
      </c>
      <c r="C14425" s="7">
        <f>IFERROR(__xludf.DUMMYFUNCTION("""COMPUTED_VALUE"""),7.748623)</f>
        <v>7.748623</v>
      </c>
      <c r="D14425" s="7">
        <f>IFERROR(__xludf.DUMMYFUNCTION("""COMPUTED_VALUE"""),0.5)</f>
        <v>0.5</v>
      </c>
    </row>
    <row r="14426">
      <c r="A14426" s="10" t="s">
        <v>15865</v>
      </c>
      <c r="B14426" s="7" t="str">
        <f>IFERROR(__xludf.DUMMYFUNCTION("SPLIT(A14426,"" "")"),"Cc1ccnc(CN(C)CCN(C)Cc2nc3ccccc3n2C)c1")</f>
        <v>Cc1ccnc(CN(C)CCN(C)Cc2nc3ccccc3n2C)c1</v>
      </c>
      <c r="C14426" s="7">
        <f>IFERROR(__xludf.DUMMYFUNCTION("""COMPUTED_VALUE"""),7.74862)</f>
        <v>7.74862</v>
      </c>
      <c r="D14426" s="7">
        <f>IFERROR(__xludf.DUMMYFUNCTION("""COMPUTED_VALUE"""),0.415094339622641)</f>
        <v>0.4150943396</v>
      </c>
    </row>
    <row r="14427">
      <c r="A14427" s="10" t="s">
        <v>15866</v>
      </c>
      <c r="B14427" s="7" t="str">
        <f>IFERROR(__xludf.DUMMYFUNCTION("SPLIT(A14427,"" "")"),"Cc1cncc(CN(C)Cc2ccc(N(C)Cc3ncccc3C)cn2)c1")</f>
        <v>Cc1cncc(CN(C)Cc2ccc(N(C)Cc3ncccc3C)cn2)c1</v>
      </c>
      <c r="C14427" s="7">
        <f>IFERROR(__xludf.DUMMYFUNCTION("""COMPUTED_VALUE"""),7.748616)</f>
        <v>7.748616</v>
      </c>
      <c r="D14427" s="7">
        <f>IFERROR(__xludf.DUMMYFUNCTION("""COMPUTED_VALUE"""),0.358490566037735)</f>
        <v>0.358490566</v>
      </c>
    </row>
    <row r="14428">
      <c r="A14428" s="10" t="s">
        <v>15867</v>
      </c>
      <c r="B14428" s="7" t="str">
        <f>IFERROR(__xludf.DUMMYFUNCTION("SPLIT(A14428,"" "")"),"Cc1cnc(CN(Cc2ccccn2)Cc2ncccc2N(C)Cc2ccnc(C)c2)c(C)c1")</f>
        <v>Cc1cnc(CN(Cc2ccccn2)Cc2ncccc2N(C)Cc2ccnc(C)c2)c(C)c1</v>
      </c>
      <c r="C14428" s="7">
        <f>IFERROR(__xludf.DUMMYFUNCTION("""COMPUTED_VALUE"""),7.7486095)</f>
        <v>7.7486095</v>
      </c>
      <c r="D14428" s="7">
        <f>IFERROR(__xludf.DUMMYFUNCTION("""COMPUTED_VALUE"""),0.396551724137931)</f>
        <v>0.3965517241</v>
      </c>
    </row>
    <row r="14429">
      <c r="A14429" s="10" t="s">
        <v>15868</v>
      </c>
      <c r="B14429" s="7" t="str">
        <f>IFERROR(__xludf.DUMMYFUNCTION("SPLIT(A14429,"" "")"),"CC1=C2N=CC=CC2C(C)C=C1N(C)Cc1ccccn1")</f>
        <v>CC1=C2N=CC=CC2C(C)C=C1N(C)Cc1ccccn1</v>
      </c>
      <c r="C14429" s="7">
        <f>IFERROR(__xludf.DUMMYFUNCTION("""COMPUTED_VALUE"""),7.748609)</f>
        <v>7.748609</v>
      </c>
      <c r="D14429" s="7">
        <f>IFERROR(__xludf.DUMMYFUNCTION("""COMPUTED_VALUE"""),0.396226415094339)</f>
        <v>0.3962264151</v>
      </c>
    </row>
    <row r="14430">
      <c r="A14430" s="10" t="s">
        <v>15869</v>
      </c>
      <c r="B14430" s="7" t="str">
        <f>IFERROR(__xludf.DUMMYFUNCTION("SPLIT(A14430,"" "")"),"Cc1cccc(C2(C)COC(c3cccc(CN(Cc4ccccn4)Cc4ccccn4)n3)=N2)c1")</f>
        <v>Cc1cccc(C2(C)COC(c3cccc(CN(Cc4ccccn4)Cc4ccccn4)n3)=N2)c1</v>
      </c>
      <c r="C14430" s="7">
        <f>IFERROR(__xludf.DUMMYFUNCTION("""COMPUTED_VALUE"""),7.7486)</f>
        <v>7.7486</v>
      </c>
      <c r="D14430" s="7">
        <f>IFERROR(__xludf.DUMMYFUNCTION("""COMPUTED_VALUE"""),0.444444444444444)</f>
        <v>0.4444444444</v>
      </c>
    </row>
    <row r="14431">
      <c r="A14431" s="10" t="s">
        <v>15870</v>
      </c>
      <c r="B14431" s="7" t="str">
        <f>IFERROR(__xludf.DUMMYFUNCTION("SPLIT(A14431,"" "")"),"CC(C)C(C)CN(Cc1ccccn1)c1ccc2ncccc2c1")</f>
        <v>CC(C)C(C)CN(Cc1ccccn1)c1ccc2ncccc2c1</v>
      </c>
      <c r="C14431" s="7">
        <f>IFERROR(__xludf.DUMMYFUNCTION("""COMPUTED_VALUE"""),7.748596)</f>
        <v>7.748596</v>
      </c>
      <c r="D14431" s="7">
        <f>IFERROR(__xludf.DUMMYFUNCTION("""COMPUTED_VALUE"""),0.416666666666666)</f>
        <v>0.4166666667</v>
      </c>
    </row>
    <row r="14432">
      <c r="A14432" s="10" t="s">
        <v>15871</v>
      </c>
      <c r="B14432" s="7" t="str">
        <f>IFERROR(__xludf.DUMMYFUNCTION("SPLIT(A14432,"" "")"),"COC(=O)c1cccc(CN(Cc2ccccn2)C2CCC(N(C)c3ccc4nccc(CN(C)C)c4c3)CC2)n1")</f>
        <v>COC(=O)c1cccc(CN(Cc2ccccn2)C2CCC(N(C)c3ccc4nccc(CN(C)C)c4c3)CC2)n1</v>
      </c>
      <c r="C14432" s="7">
        <f>IFERROR(__xludf.DUMMYFUNCTION("""COMPUTED_VALUE"""),7.748587)</f>
        <v>7.748587</v>
      </c>
      <c r="D14432" s="7">
        <f>IFERROR(__xludf.DUMMYFUNCTION("""COMPUTED_VALUE"""),0.3125)</f>
        <v>0.3125</v>
      </c>
    </row>
    <row r="14433">
      <c r="A14433" s="10" t="s">
        <v>15872</v>
      </c>
      <c r="B14433" s="7" t="str">
        <f>IFERROR(__xludf.DUMMYFUNCTION("SPLIT(A14433,"" "")"),"CCCN(Cc1ccccn1)c1cccc(C(C)(C)C)c1-c1cc(CN(Cc2ccccn2)Cc2ncccc2C)ccn1")</f>
        <v>CCCN(Cc1ccccn1)c1cccc(C(C)(C)C)c1-c1cc(CN(Cc2ccccn2)Cc2ncccc2C)ccn1</v>
      </c>
      <c r="C14433" s="7">
        <f>IFERROR(__xludf.DUMMYFUNCTION("""COMPUTED_VALUE"""),7.7485867)</f>
        <v>7.7485867</v>
      </c>
      <c r="D14433" s="7">
        <f>IFERROR(__xludf.DUMMYFUNCTION("""COMPUTED_VALUE"""),0.343283582089552)</f>
        <v>0.3432835821</v>
      </c>
    </row>
    <row r="14434">
      <c r="A14434" s="10" t="s">
        <v>15873</v>
      </c>
      <c r="B14434" s="7" t="str">
        <f>IFERROR(__xludf.DUMMYFUNCTION("SPLIT(A14434,"" "")"),"CC1=CCC(C(C)(C)c2ccccn2)C(C)C1N(C)c1ccc2ncccc2c1")</f>
        <v>CC1=CCC(C(C)(C)c2ccccn2)C(C)C1N(C)c1ccc2ncccc2c1</v>
      </c>
      <c r="C14434" s="7">
        <f>IFERROR(__xludf.DUMMYFUNCTION("""COMPUTED_VALUE"""),7.7485766)</f>
        <v>7.7485766</v>
      </c>
      <c r="D14434" s="7">
        <f>IFERROR(__xludf.DUMMYFUNCTION("""COMPUTED_VALUE"""),0.327868852459016)</f>
        <v>0.3278688525</v>
      </c>
    </row>
    <row r="14435">
      <c r="A14435" s="10" t="s">
        <v>15874</v>
      </c>
      <c r="B14435" s="7" t="str">
        <f>IFERROR(__xludf.DUMMYFUNCTION("SPLIT(A14435,"" "")"),"Cc1ccc(CN(C)Cc2ncccc2N(C)Cc2ncccc2C)nc1")</f>
        <v>Cc1ccc(CN(C)Cc2ncccc2N(C)Cc2ncccc2C)nc1</v>
      </c>
      <c r="C14435" s="7">
        <f>IFERROR(__xludf.DUMMYFUNCTION("""COMPUTED_VALUE"""),7.7485633)</f>
        <v>7.7485633</v>
      </c>
      <c r="D14435" s="7">
        <f>IFERROR(__xludf.DUMMYFUNCTION("""COMPUTED_VALUE"""),0.5)</f>
        <v>0.5</v>
      </c>
    </row>
    <row r="14436">
      <c r="A14436" s="10" t="s">
        <v>15875</v>
      </c>
      <c r="B14436" s="7" t="str">
        <f>IFERROR(__xludf.DUMMYFUNCTION("SPLIT(A14436,"" "")"),"CN(C)Cc1cccc(C2=CCC=CN2)n1")</f>
        <v>CN(C)Cc1cccc(C2=CCC=CN2)n1</v>
      </c>
      <c r="C14436" s="7">
        <f>IFERROR(__xludf.DUMMYFUNCTION("""COMPUTED_VALUE"""),7.748561)</f>
        <v>7.748561</v>
      </c>
      <c r="D14436" s="7">
        <f>IFERROR(__xludf.DUMMYFUNCTION("""COMPUTED_VALUE"""),0.392156862745098)</f>
        <v>0.3921568627</v>
      </c>
    </row>
    <row r="14437">
      <c r="A14437" s="10" t="s">
        <v>15876</v>
      </c>
      <c r="B14437" s="7" t="str">
        <f>IFERROR(__xludf.DUMMYFUNCTION("SPLIT(A14437,"" "")"),"Cc1cnc(CN(C)CC2=CCC=C(N(C)Cc3ncc(C)c(C)c3C)N2)c(C)c1C")</f>
        <v>Cc1cnc(CN(C)CC2=CCC=C(N(C)Cc3ncc(C)c(C)c3C)N2)c(C)c1C</v>
      </c>
      <c r="C14437" s="7">
        <f>IFERROR(__xludf.DUMMYFUNCTION("""COMPUTED_VALUE"""),7.748559)</f>
        <v>7.748559</v>
      </c>
      <c r="D14437" s="7">
        <f>IFERROR(__xludf.DUMMYFUNCTION("""COMPUTED_VALUE"""),0.254237288135593)</f>
        <v>0.2542372881</v>
      </c>
    </row>
    <row r="14438">
      <c r="A14438" s="10" t="s">
        <v>15877</v>
      </c>
      <c r="B14438" s="7" t="str">
        <f>IFERROR(__xludf.DUMMYFUNCTION("SPLIT(A14438,"" "")"),"CC(C)N(C)CCN(C)c1ccc2c(CF)ccnc2c1")</f>
        <v>CC(C)N(C)CCN(C)c1ccc2c(CF)ccnc2c1</v>
      </c>
      <c r="C14438" s="7">
        <f>IFERROR(__xludf.DUMMYFUNCTION("""COMPUTED_VALUE"""),7.74855)</f>
        <v>7.74855</v>
      </c>
      <c r="D14438" s="7">
        <f>IFERROR(__xludf.DUMMYFUNCTION("""COMPUTED_VALUE"""),0.245283018867924)</f>
        <v>0.2452830189</v>
      </c>
    </row>
    <row r="14439">
      <c r="A14439" s="10" t="s">
        <v>15878</v>
      </c>
      <c r="B14439" s="7" t="str">
        <f>IFERROR(__xludf.DUMMYFUNCTION("SPLIT(A14439,"" "")"),"Cc1cc(-c2cc(CN(Cc3ccccn3)Cc3ccccn3)ccn2)c(CNCc2ccccn2)c(C)c1C")</f>
        <v>Cc1cc(-c2cc(CN(Cc3ccccn3)Cc3ccccn3)ccn2)c(CNCc2ccccn2)c(C)c1C</v>
      </c>
      <c r="C14439" s="7">
        <f>IFERROR(__xludf.DUMMYFUNCTION("""COMPUTED_VALUE"""),7.748549)</f>
        <v>7.748549</v>
      </c>
      <c r="D14439" s="7">
        <f>IFERROR(__xludf.DUMMYFUNCTION("""COMPUTED_VALUE"""),0.416666666666666)</f>
        <v>0.4166666667</v>
      </c>
    </row>
    <row r="14440">
      <c r="A14440" s="10" t="s">
        <v>15879</v>
      </c>
      <c r="B14440" s="7" t="str">
        <f>IFERROR(__xludf.DUMMYFUNCTION("SPLIT(A14440,"" "")"),"Cc1ccnc(CN(Cc2ccc(N(C)Cc3ncccc3C)cn2)Cc2ncccc2C)c1")</f>
        <v>Cc1ccnc(CN(Cc2ccc(N(C)Cc3ncccc3C)cn2)Cc2ncccc2C)c1</v>
      </c>
      <c r="C14440" s="7">
        <f>IFERROR(__xludf.DUMMYFUNCTION("""COMPUTED_VALUE"""),7.748536)</f>
        <v>7.748536</v>
      </c>
      <c r="D14440" s="7">
        <f>IFERROR(__xludf.DUMMYFUNCTION("""COMPUTED_VALUE"""),0.354166666666666)</f>
        <v>0.3541666667</v>
      </c>
    </row>
    <row r="14441">
      <c r="A14441" s="10" t="s">
        <v>15880</v>
      </c>
      <c r="B14441" s="7" t="str">
        <f>IFERROR(__xludf.DUMMYFUNCTION("SPLIT(A14441,"" "")"),"Fc1ccccc1N(CC1=C(SCc2ccccn2)CC=CN1)Cc1ccccn1")</f>
        <v>Fc1ccccc1N(CC1=C(SCc2ccccn2)CC=CN1)Cc1ccccn1</v>
      </c>
      <c r="C14441" s="7">
        <f>IFERROR(__xludf.DUMMYFUNCTION("""COMPUTED_VALUE"""),7.748531)</f>
        <v>7.748531</v>
      </c>
      <c r="D14441" s="7">
        <f>IFERROR(__xludf.DUMMYFUNCTION("""COMPUTED_VALUE"""),0.377049180327868)</f>
        <v>0.3770491803</v>
      </c>
    </row>
    <row r="14442">
      <c r="A14442" s="10" t="s">
        <v>15881</v>
      </c>
      <c r="B14442" s="7" t="str">
        <f>IFERROR(__xludf.DUMMYFUNCTION("SPLIT(A14442,"" "")"),"Cc1ccnc(CN(C)c2cccnc2CN(C)Cc2ccc(F)cn2)c1C")</f>
        <v>Cc1ccnc(CN(C)c2cccnc2CN(C)Cc2ccc(F)cn2)c1C</v>
      </c>
      <c r="C14442" s="7">
        <f>IFERROR(__xludf.DUMMYFUNCTION("""COMPUTED_VALUE"""),7.748494)</f>
        <v>7.748494</v>
      </c>
      <c r="D14442" s="7">
        <f>IFERROR(__xludf.DUMMYFUNCTION("""COMPUTED_VALUE"""),0.346153846153846)</f>
        <v>0.3461538462</v>
      </c>
    </row>
    <row r="14443">
      <c r="A14443" s="10" t="s">
        <v>15882</v>
      </c>
      <c r="B14443" s="7" t="str">
        <f>IFERROR(__xludf.DUMMYFUNCTION("SPLIT(A14443,"" "")"),"Cc1cccc(N(C)C2C(N(C)Cc3ccccn3)CCCC2N(Cc2ccccn2)c2ccc3c(C)ccnc3c2)c1C")</f>
        <v>Cc1cccc(N(C)C2C(N(C)Cc3ccccn3)CCCC2N(Cc2ccccn2)c2ccc3c(C)ccnc3c2)c1C</v>
      </c>
      <c r="C14443" s="7">
        <f>IFERROR(__xludf.DUMMYFUNCTION("""COMPUTED_VALUE"""),7.7484865)</f>
        <v>7.7484865</v>
      </c>
      <c r="D14443" s="7">
        <f>IFERROR(__xludf.DUMMYFUNCTION("""COMPUTED_VALUE"""),0.4375)</f>
        <v>0.4375</v>
      </c>
    </row>
    <row r="14444">
      <c r="A14444" s="10" t="s">
        <v>15883</v>
      </c>
      <c r="B14444" s="7" t="str">
        <f>IFERROR(__xludf.DUMMYFUNCTION("SPLIT(A14444,"" "")"),"Cc1nc(CN(C)CC2=C(N(C)Cc3nc(C)c(C)c(C)c3C)CC=CN2)c(C)c(C)c1C")</f>
        <v>Cc1nc(CN(C)CC2=C(N(C)Cc3nc(C)c(C)c(C)c3C)CC=CN2)c(C)c(C)c1C</v>
      </c>
      <c r="C14444" s="7">
        <f>IFERROR(__xludf.DUMMYFUNCTION("""COMPUTED_VALUE"""),7.748486)</f>
        <v>7.748486</v>
      </c>
      <c r="D14444" s="7">
        <f>IFERROR(__xludf.DUMMYFUNCTION("""COMPUTED_VALUE"""),0.203703703703703)</f>
        <v>0.2037037037</v>
      </c>
    </row>
    <row r="14445">
      <c r="A14445" s="10" t="s">
        <v>15884</v>
      </c>
      <c r="B14445" s="7" t="str">
        <f>IFERROR(__xludf.DUMMYFUNCTION("SPLIT(A14445,"" "")"),"CC1=CC(C)C(N(C)Cc2cc(-c3cccc(N=Cc4ccccn4)c3)ccn2)C(C)C1")</f>
        <v>CC1=CC(C)C(N(C)Cc2cc(-c3cccc(N=Cc4ccccn4)c3)ccn2)C(C)C1</v>
      </c>
      <c r="C14445" s="7">
        <f>IFERROR(__xludf.DUMMYFUNCTION("""COMPUTED_VALUE"""),7.7484846)</f>
        <v>7.7484846</v>
      </c>
      <c r="D14445" s="7">
        <f>IFERROR(__xludf.DUMMYFUNCTION("""COMPUTED_VALUE"""),0.323529411764705)</f>
        <v>0.3235294118</v>
      </c>
    </row>
    <row r="14446">
      <c r="A14446" s="10" t="s">
        <v>15885</v>
      </c>
      <c r="B14446" s="7" t="str">
        <f>IFERROR(__xludf.DUMMYFUNCTION("SPLIT(A14446,"" "")"),"CC1C=CC(C)C(C)(c2cccc(CN(Cc3ccccn3)Cc3cccc(-c4cccc(N=Cc5ccccn5)c4)n3)n2)C1")</f>
        <v>CC1C=CC(C)C(C)(c2cccc(CN(Cc3ccccn3)Cc3cccc(-c4cccc(N=Cc5ccccn5)c4)n3)n2)C1</v>
      </c>
      <c r="C14446" s="7">
        <f>IFERROR(__xludf.DUMMYFUNCTION("""COMPUTED_VALUE"""),7.7484765)</f>
        <v>7.7484765</v>
      </c>
      <c r="D14446" s="7">
        <f>IFERROR(__xludf.DUMMYFUNCTION("""COMPUTED_VALUE"""),0.432432432432432)</f>
        <v>0.4324324324</v>
      </c>
    </row>
    <row r="14447">
      <c r="A14447" s="10" t="s">
        <v>15886</v>
      </c>
      <c r="B14447" s="7" t="str">
        <f>IFERROR(__xludf.DUMMYFUNCTION("SPLIT(A14447,"" "")"),"CN(CCN(Cc1ncccc1C(C)(C)C)Cc1ncccc1C(C)(C)c1ccccn1)Cc1ccc(-c2ccon2)cn1")</f>
        <v>CN(CCN(Cc1ncccc1C(C)(C)C)Cc1ncccc1C(C)(C)c1ccccn1)Cc1ccc(-c2ccon2)cn1</v>
      </c>
      <c r="C14447" s="7">
        <f>IFERROR(__xludf.DUMMYFUNCTION("""COMPUTED_VALUE"""),7.748469)</f>
        <v>7.748469</v>
      </c>
      <c r="D14447" s="7">
        <f>IFERROR(__xludf.DUMMYFUNCTION("""COMPUTED_VALUE"""),0.351351351351351)</f>
        <v>0.3513513514</v>
      </c>
    </row>
    <row r="14448">
      <c r="A14448" s="10" t="s">
        <v>15887</v>
      </c>
      <c r="B14448" s="7" t="str">
        <f>IFERROR(__xludf.DUMMYFUNCTION("SPLIT(A14448,"" "")"),"Cc1ccccc1N(C)C1CCC(N(C)c2ccc3nccc(C)c3c2)CC1")</f>
        <v>Cc1ccccc1N(C)C1CCC(N(C)c2ccc3nccc(C)c3c2)CC1</v>
      </c>
      <c r="C14448" s="7">
        <f>IFERROR(__xludf.DUMMYFUNCTION("""COMPUTED_VALUE"""),7.748469)</f>
        <v>7.748469</v>
      </c>
      <c r="D14448" s="7">
        <f>IFERROR(__xludf.DUMMYFUNCTION("""COMPUTED_VALUE"""),0.280701754385964)</f>
        <v>0.2807017544</v>
      </c>
    </row>
    <row r="14449">
      <c r="A14449" s="10" t="s">
        <v>15888</v>
      </c>
      <c r="B14449" s="7" t="str">
        <f>IFERROR(__xludf.DUMMYFUNCTION("SPLIT(A14449,"" "")"),"Cc1cc(N(Cc2ccccn2)C2CCCCC2N(C)c2ccc3nc(CF)ccc3c2)c(C)c(C)c1C")</f>
        <v>Cc1cc(N(Cc2ccccn2)C2CCCCC2N(C)c2ccc3nc(CF)ccc3c2)c(C)c(C)c1C</v>
      </c>
      <c r="C14449" s="7">
        <f>IFERROR(__xludf.DUMMYFUNCTION("""COMPUTED_VALUE"""),7.748465)</f>
        <v>7.748465</v>
      </c>
      <c r="D14449" s="7">
        <f>IFERROR(__xludf.DUMMYFUNCTION("""COMPUTED_VALUE"""),0.426470588235294)</f>
        <v>0.4264705882</v>
      </c>
    </row>
    <row r="14450">
      <c r="A14450" s="10" t="s">
        <v>15889</v>
      </c>
      <c r="B14450" s="7" t="str">
        <f>IFERROR(__xludf.DUMMYFUNCTION("SPLIT(A14450,"" "")"),"COC1(C)N=COC1c1ncccc1C1=NC(C)(C)CO1")</f>
        <v>COC1(C)N=COC1c1ncccc1C1=NC(C)(C)CO1</v>
      </c>
      <c r="C14450" s="7">
        <f>IFERROR(__xludf.DUMMYFUNCTION("""COMPUTED_VALUE"""),7.748443)</f>
        <v>7.748443</v>
      </c>
      <c r="D14450" s="7">
        <f>IFERROR(__xludf.DUMMYFUNCTION("""COMPUTED_VALUE"""),0.365384615384615)</f>
        <v>0.3653846154</v>
      </c>
    </row>
    <row r="14451">
      <c r="A14451" s="10" t="s">
        <v>15890</v>
      </c>
      <c r="B14451" s="7" t="str">
        <f>IFERROR(__xludf.DUMMYFUNCTION("SPLIT(A14451,"" "")"),"CCN(Cc1ccccn1)c1ccc2cccnc2c1CN(C)CC(C)(C)C")</f>
        <v>CCN(Cc1ccccn1)c1ccc2cccnc2c1CN(C)CC(C)(C)C</v>
      </c>
      <c r="C14451" s="7">
        <f>IFERROR(__xludf.DUMMYFUNCTION("""COMPUTED_VALUE"""),7.748443)</f>
        <v>7.748443</v>
      </c>
      <c r="D14451" s="7">
        <f>IFERROR(__xludf.DUMMYFUNCTION("""COMPUTED_VALUE"""),0.433962264150943)</f>
        <v>0.4339622642</v>
      </c>
    </row>
    <row r="14452">
      <c r="A14452" s="10" t="s">
        <v>15891</v>
      </c>
      <c r="B14452" s="7" t="str">
        <f>IFERROR(__xludf.DUMMYFUNCTION("SPLIT(A14452,"" "")"),"CC1=C(C)c2cccnc2C(N(C)Cc2ncccc2C(C)(C)C)C1")</f>
        <v>CC1=C(C)c2cccnc2C(N(C)Cc2ncccc2C(C)(C)C)C1</v>
      </c>
      <c r="C14452" s="7">
        <f>IFERROR(__xludf.DUMMYFUNCTION("""COMPUTED_VALUE"""),7.7484365)</f>
        <v>7.7484365</v>
      </c>
      <c r="D14452" s="7">
        <f>IFERROR(__xludf.DUMMYFUNCTION("""COMPUTED_VALUE"""),0.275862068965517)</f>
        <v>0.275862069</v>
      </c>
    </row>
    <row r="14453">
      <c r="A14453" s="10" t="s">
        <v>15892</v>
      </c>
      <c r="B14453" s="7" t="str">
        <f>IFERROR(__xludf.DUMMYFUNCTION("SPLIT(A14453,"" "")"),"Cc1cc(C)c(C)c(CN(Cc2ccon2)C2CCCC(N(C)c3ccc4c(CN(C)C)nccc4c3)C2)n1")</f>
        <v>Cc1cc(C)c(C)c(CN(Cc2ccon2)C2CCCC(N(C)c3ccc4c(CN(C)C)nccc4c3)C2)n1</v>
      </c>
      <c r="C14453" s="7">
        <f>IFERROR(__xludf.DUMMYFUNCTION("""COMPUTED_VALUE"""),7.7484345)</f>
        <v>7.7484345</v>
      </c>
      <c r="D14453" s="7">
        <f>IFERROR(__xludf.DUMMYFUNCTION("""COMPUTED_VALUE"""),0.275362318840579)</f>
        <v>0.2753623188</v>
      </c>
    </row>
    <row r="14454">
      <c r="A14454" s="10" t="s">
        <v>15893</v>
      </c>
      <c r="B14454" s="7" t="str">
        <f>IFERROR(__xludf.DUMMYFUNCTION("SPLIT(A14454,"" "")"),"Cc1ccccc1N(C)C1CCCCC1N(C)c1ccc2c(C)ccnc2c1")</f>
        <v>Cc1ccccc1N(C)C1CCCCC1N(C)c1ccc2c(C)ccnc2c1</v>
      </c>
      <c r="C14454" s="7">
        <f>IFERROR(__xludf.DUMMYFUNCTION("""COMPUTED_VALUE"""),7.7484326)</f>
        <v>7.7484326</v>
      </c>
      <c r="D14454" s="7">
        <f>IFERROR(__xludf.DUMMYFUNCTION("""COMPUTED_VALUE"""),0.423076923076923)</f>
        <v>0.4230769231</v>
      </c>
    </row>
    <row r="14455">
      <c r="A14455" s="10" t="s">
        <v>15894</v>
      </c>
      <c r="B14455" s="7" t="str">
        <f>IFERROR(__xludf.DUMMYFUNCTION("SPLIT(A14455,"" "")"),"Cc1ccc(CN(Cc2ccccn2)Cc2cccc(CN(C)Cc3cc(-c4cccc(N)c4)ccn3)n2)nc1C")</f>
        <v>Cc1ccc(CN(Cc2ccccn2)Cc2cccc(CN(C)Cc3cc(-c4cccc(N)c4)ccn3)n2)nc1C</v>
      </c>
      <c r="C14455" s="7">
        <f>IFERROR(__xludf.DUMMYFUNCTION("""COMPUTED_VALUE"""),7.7484202)</f>
        <v>7.7484202</v>
      </c>
      <c r="D14455" s="7">
        <f>IFERROR(__xludf.DUMMYFUNCTION("""COMPUTED_VALUE"""),0.43859649122807)</f>
        <v>0.4385964912</v>
      </c>
    </row>
    <row r="14456">
      <c r="A14456" s="10" t="s">
        <v>15895</v>
      </c>
      <c r="B14456" s="7" t="str">
        <f>IFERROR(__xludf.DUMMYFUNCTION("SPLIT(A14456,"" "")"),"CC(C)N(C)CCN(C)c1cccc2ccc(CN(C)C)nc12")</f>
        <v>CC(C)N(C)CCN(C)c1cccc2ccc(CN(C)C)nc12</v>
      </c>
      <c r="C14456" s="7">
        <f>IFERROR(__xludf.DUMMYFUNCTION("""COMPUTED_VALUE"""),7.748419)</f>
        <v>7.748419</v>
      </c>
      <c r="D14456" s="7">
        <f>IFERROR(__xludf.DUMMYFUNCTION("""COMPUTED_VALUE"""),0.477272727272727)</f>
        <v>0.4772727273</v>
      </c>
    </row>
    <row r="14457">
      <c r="A14457" s="10" t="s">
        <v>15896</v>
      </c>
      <c r="B14457" s="7" t="str">
        <f>IFERROR(__xludf.DUMMYFUNCTION("SPLIT(A14457,"" "")"),"CCN(Cc1cc(C23C=CC=CC2=C2C=CC=CC2N3)ccn1)C1CCCC(N(C)c2ccc3nccc(CF)c3c2)C1")</f>
        <v>CCN(Cc1cc(C23C=CC=CC2=C2C=CC=CC2N3)ccn1)C1CCCC(N(C)c2ccc3nccc(CF)c3c2)C1</v>
      </c>
      <c r="C14457" s="7">
        <f>IFERROR(__xludf.DUMMYFUNCTION("""COMPUTED_VALUE"""),7.748409)</f>
        <v>7.748409</v>
      </c>
      <c r="D14457" s="7">
        <f>IFERROR(__xludf.DUMMYFUNCTION("""COMPUTED_VALUE"""),0.195876288659793)</f>
        <v>0.1958762887</v>
      </c>
    </row>
    <row r="14458">
      <c r="A14458" s="10" t="s">
        <v>15897</v>
      </c>
      <c r="B14458" s="7" t="str">
        <f>IFERROR(__xludf.DUMMYFUNCTION("SPLIT(A14458,"" "")"),"Cc1cnccc1CN(C)Cc1cccc(N(C)Cc2nccc(C)c2C)n1")</f>
        <v>Cc1cnccc1CN(C)Cc1cccc(N(C)Cc2nccc(C)c2C)n1</v>
      </c>
      <c r="C14458" s="7">
        <f>IFERROR(__xludf.DUMMYFUNCTION("""COMPUTED_VALUE"""),7.748406)</f>
        <v>7.748406</v>
      </c>
      <c r="D14458" s="7">
        <f>IFERROR(__xludf.DUMMYFUNCTION("""COMPUTED_VALUE"""),0.344827586206896)</f>
        <v>0.3448275862</v>
      </c>
    </row>
    <row r="14459">
      <c r="A14459" s="10" t="s">
        <v>15898</v>
      </c>
      <c r="B14459" s="7" t="str">
        <f>IFERROR(__xludf.DUMMYFUNCTION("SPLIT(A14459,"" "")"),"Cc1cnc(CN(C)CC2=CCC=C(N(C)Cc3ncc(C)cc3C)N2)c(C)c1")</f>
        <v>Cc1cnc(CN(C)CC2=CCC=C(N(C)Cc3ncc(C)cc3C)N2)c(C)c1</v>
      </c>
      <c r="C14459" s="7">
        <f>IFERROR(__xludf.DUMMYFUNCTION("""COMPUTED_VALUE"""),7.7483807)</f>
        <v>7.7483807</v>
      </c>
      <c r="D14459" s="7">
        <f>IFERROR(__xludf.DUMMYFUNCTION("""COMPUTED_VALUE"""),0.269230769230769)</f>
        <v>0.2692307692</v>
      </c>
    </row>
    <row r="14460">
      <c r="A14460" s="10" t="s">
        <v>15899</v>
      </c>
      <c r="B14460" s="7" t="str">
        <f>IFERROR(__xludf.DUMMYFUNCTION("SPLIT(A14460,"" "")"),"Cc1cnc2cccc(N(CCN(C)C(C)C)Cc3ccccn3)c2c1")</f>
        <v>Cc1cnc2cccc(N(CCN(C)C(C)C)Cc3ccccn3)c2c1</v>
      </c>
      <c r="C14460" s="7">
        <f>IFERROR(__xludf.DUMMYFUNCTION("""COMPUTED_VALUE"""),7.7483745)</f>
        <v>7.7483745</v>
      </c>
      <c r="D14460" s="7">
        <f>IFERROR(__xludf.DUMMYFUNCTION("""COMPUTED_VALUE"""),0.423076923076923)</f>
        <v>0.4230769231</v>
      </c>
    </row>
    <row r="14461">
      <c r="A14461" s="10" t="s">
        <v>15900</v>
      </c>
      <c r="B14461" s="7" t="str">
        <f>IFERROR(__xludf.DUMMYFUNCTION("SPLIT(A14461,"" "")"),"Cc1cc(CN(C)Cc2ccccn2)ccc1N=Cc1ccccn1")</f>
        <v>Cc1cc(CN(C)Cc2ccccn2)ccc1N=Cc1ccccn1</v>
      </c>
      <c r="C14461" s="7">
        <f>IFERROR(__xludf.DUMMYFUNCTION("""COMPUTED_VALUE"""),7.748362)</f>
        <v>7.748362</v>
      </c>
      <c r="D14461" s="7">
        <f>IFERROR(__xludf.DUMMYFUNCTION("""COMPUTED_VALUE"""),0.470588235294117)</f>
        <v>0.4705882353</v>
      </c>
    </row>
    <row r="14462">
      <c r="A14462" s="10" t="s">
        <v>15901</v>
      </c>
      <c r="B14462" s="7" t="str">
        <f>IFERROR(__xludf.DUMMYFUNCTION("SPLIT(A14462,"" "")"),"Cc1ccc(N(Cc2ccccn2)C2CCCC(N(C)c3ccc4ncccc4c3)C2)c(C)c1")</f>
        <v>Cc1ccc(N(Cc2ccccn2)C2CCCC(N(C)c3ccc4ncccc4c3)C2)c(C)c1</v>
      </c>
      <c r="C14462" s="7">
        <f>IFERROR(__xludf.DUMMYFUNCTION("""COMPUTED_VALUE"""),7.7483616)</f>
        <v>7.7483616</v>
      </c>
      <c r="D14462" s="7">
        <f>IFERROR(__xludf.DUMMYFUNCTION("""COMPUTED_VALUE"""),0.377049180327868)</f>
        <v>0.3770491803</v>
      </c>
    </row>
    <row r="14463">
      <c r="A14463" s="10" t="s">
        <v>15902</v>
      </c>
      <c r="B14463" s="7" t="str">
        <f>IFERROR(__xludf.DUMMYFUNCTION("SPLIT(A14463,"" "")"),"C=CCN(C)CCN(Cc1ccccn1)c1ccc2nccc(CN(C)Cc3ccccn3)c2c1")</f>
        <v>C=CCN(C)CCN(Cc1ccccn1)c1ccc2nccc(CN(C)Cc3ccccn3)c2c1</v>
      </c>
      <c r="C14463" s="7">
        <f>IFERROR(__xludf.DUMMYFUNCTION("""COMPUTED_VALUE"""),7.7483487)</f>
        <v>7.7483487</v>
      </c>
      <c r="D14463" s="7">
        <f>IFERROR(__xludf.DUMMYFUNCTION("""COMPUTED_VALUE"""),0.4)</f>
        <v>0.4</v>
      </c>
    </row>
    <row r="14464">
      <c r="A14464" s="10" t="s">
        <v>15903</v>
      </c>
      <c r="B14464" s="7" t="str">
        <f>IFERROR(__xludf.DUMMYFUNCTION("SPLIT(A14464,"" "")"),"Cc1ccc(CN(Cc2ccccn2)Cc2ncccc2N(C)Cc2ncc(C)c(C)c2C)nc1")</f>
        <v>Cc1ccc(CN(Cc2ccccn2)Cc2ncccc2N(C)Cc2ncc(C)c(C)c2C)nc1</v>
      </c>
      <c r="C14464" s="7">
        <f>IFERROR(__xludf.DUMMYFUNCTION("""COMPUTED_VALUE"""),7.748324)</f>
        <v>7.748324</v>
      </c>
      <c r="D14464" s="7">
        <f>IFERROR(__xludf.DUMMYFUNCTION("""COMPUTED_VALUE"""),0.416666666666666)</f>
        <v>0.4166666667</v>
      </c>
    </row>
    <row r="14465">
      <c r="A14465" s="10" t="s">
        <v>15904</v>
      </c>
      <c r="B14465" s="7" t="str">
        <f>IFERROR(__xludf.DUMMYFUNCTION("SPLIT(A14465,"" "")"),"CN(Cc1ccc(-c2ccccc2)cn1)C1CCC(N(C)c2ccc3c(CF)ccnc3c2)CC1")</f>
        <v>CN(Cc1ccc(-c2ccccc2)cn1)C1CCC(N(C)c2ccc3c(CF)ccnc3c2)CC1</v>
      </c>
      <c r="C14465" s="7">
        <f>IFERROR(__xludf.DUMMYFUNCTION("""COMPUTED_VALUE"""),7.74832)</f>
        <v>7.74832</v>
      </c>
      <c r="D14465" s="7">
        <f>IFERROR(__xludf.DUMMYFUNCTION("""COMPUTED_VALUE"""),0.307692307692307)</f>
        <v>0.3076923077</v>
      </c>
    </row>
    <row r="14466">
      <c r="A14466" s="10" t="s">
        <v>15905</v>
      </c>
      <c r="B14466" s="7" t="str">
        <f>IFERROR(__xludf.DUMMYFUNCTION("SPLIT(A14466,"" "")"),"CN(C)Cc1ccc2cc(N(C)C3CCCCC3N(Cc3ccc4ncccc4c3)Cc3ccccn3)ccc2n1")</f>
        <v>CN(C)Cc1ccc2cc(N(C)C3CCCCC3N(Cc3ccc4ncccc4c3)Cc3ccccn3)ccc2n1</v>
      </c>
      <c r="C14466" s="7">
        <f>IFERROR(__xludf.DUMMYFUNCTION("""COMPUTED_VALUE"""),7.748303)</f>
        <v>7.748303</v>
      </c>
      <c r="D14466" s="7">
        <f>IFERROR(__xludf.DUMMYFUNCTION("""COMPUTED_VALUE"""),0.419354838709677)</f>
        <v>0.4193548387</v>
      </c>
    </row>
    <row r="14467">
      <c r="A14467" s="10" t="s">
        <v>15906</v>
      </c>
      <c r="B14467" s="7" t="str">
        <f>IFERROR(__xludf.DUMMYFUNCTION("SPLIT(A14467,"" "")"),"Cc1cc(C)c(CN(Cc2cncc(N(C)C)c2)Cc2ccccn2)nc1C")</f>
        <v>Cc1cc(C)c(CN(Cc2cncc(N(C)C)c2)Cc2ccccn2)nc1C</v>
      </c>
      <c r="C14467" s="7">
        <f>IFERROR(__xludf.DUMMYFUNCTION("""COMPUTED_VALUE"""),7.748301)</f>
        <v>7.748301</v>
      </c>
      <c r="D14467" s="7">
        <f>IFERROR(__xludf.DUMMYFUNCTION("""COMPUTED_VALUE"""),0.416666666666666)</f>
        <v>0.4166666667</v>
      </c>
    </row>
    <row r="14468">
      <c r="A14468" s="10" t="s">
        <v>15907</v>
      </c>
      <c r="B14468" s="7" t="str">
        <f>IFERROR(__xludf.DUMMYFUNCTION("SPLIT(A14468,"" "")"),"Cc1ccnc(CN(C)c2ccc(CN(C)Cc3cccc(C)n3)nc2)c1")</f>
        <v>Cc1ccnc(CN(C)c2ccc(CN(C)Cc3cccc(C)n3)nc2)c1</v>
      </c>
      <c r="C14468" s="7">
        <f>IFERROR(__xludf.DUMMYFUNCTION("""COMPUTED_VALUE"""),7.7482986)</f>
        <v>7.7482986</v>
      </c>
      <c r="D14468" s="7">
        <f>IFERROR(__xludf.DUMMYFUNCTION("""COMPUTED_VALUE"""),0.478260869565217)</f>
        <v>0.4782608696</v>
      </c>
    </row>
    <row r="14469">
      <c r="A14469" s="10" t="s">
        <v>15908</v>
      </c>
      <c r="B14469" s="7" t="str">
        <f>IFERROR(__xludf.DUMMYFUNCTION("SPLIT(A14469,"" "")"),"CC(C)(c1cccc(N=Cc2ccccn2)c1)c1ccc(CN(Cc2ccccn2)Cc2ccccn2)cn1")</f>
        <v>CC(C)(c1cccc(N=Cc2ccccn2)c1)c1ccc(CN(Cc2ccccn2)Cc2ccccn2)cn1</v>
      </c>
      <c r="C14469" s="7">
        <f>IFERROR(__xludf.DUMMYFUNCTION("""COMPUTED_VALUE"""),7.748295)</f>
        <v>7.748295</v>
      </c>
      <c r="D14469" s="7">
        <f>IFERROR(__xludf.DUMMYFUNCTION("""COMPUTED_VALUE"""),0.37037037037037)</f>
        <v>0.3703703704</v>
      </c>
    </row>
    <row r="14470">
      <c r="A14470" s="10" t="s">
        <v>15909</v>
      </c>
      <c r="B14470" s="7" t="str">
        <f>IFERROR(__xludf.DUMMYFUNCTION("SPLIT(A14470,"" "")"),"CC(C)C(C)(c1cccnc1)N(C)Cc1cccc(-c2cccc(N(C)C)c2)n1")</f>
        <v>CC(C)C(C)(c1cccnc1)N(C)Cc1cccc(-c2cccc(N(C)C)c2)n1</v>
      </c>
      <c r="C14470" s="7">
        <f>IFERROR(__xludf.DUMMYFUNCTION("""COMPUTED_VALUE"""),7.748294)</f>
        <v>7.748294</v>
      </c>
      <c r="D14470" s="7">
        <f>IFERROR(__xludf.DUMMYFUNCTION("""COMPUTED_VALUE"""),0.343283582089552)</f>
        <v>0.3432835821</v>
      </c>
    </row>
    <row r="14471">
      <c r="A14471" s="10" t="s">
        <v>15910</v>
      </c>
      <c r="B14471" s="7" t="str">
        <f>IFERROR(__xludf.DUMMYFUNCTION("SPLIT(A14471,"" "")"),"Cc1cccc(N(CC2=CCC=C(N(C)Cc3ccccn3)N2)C(C)C)c1")</f>
        <v>Cc1cccc(N(CC2=CCC=C(N(C)Cc3ccccn3)N2)C(C)C)c1</v>
      </c>
      <c r="C14471" s="7">
        <f>IFERROR(__xludf.DUMMYFUNCTION("""COMPUTED_VALUE"""),7.7482934)</f>
        <v>7.7482934</v>
      </c>
      <c r="D14471" s="7">
        <f>IFERROR(__xludf.DUMMYFUNCTION("""COMPUTED_VALUE"""),0.38095238095238)</f>
        <v>0.380952381</v>
      </c>
    </row>
    <row r="14472">
      <c r="A14472" s="10" t="s">
        <v>15911</v>
      </c>
      <c r="B14472" s="7" t="str">
        <f>IFERROR(__xludf.DUMMYFUNCTION("SPLIT(A14472,"" "")"),"CCN(CCN(C)Cc1nc2ccccc2n1C)Cc1cc(C)c(C)c(C)n1")</f>
        <v>CCN(CCN(C)Cc1nc2ccccc2n1C)Cc1cc(C)c(C)c(C)n1</v>
      </c>
      <c r="C14472" s="7">
        <f>IFERROR(__xludf.DUMMYFUNCTION("""COMPUTED_VALUE"""),7.7482824)</f>
        <v>7.7482824</v>
      </c>
      <c r="D14472" s="7">
        <f>IFERROR(__xludf.DUMMYFUNCTION("""COMPUTED_VALUE"""),0.372881355932203)</f>
        <v>0.3728813559</v>
      </c>
    </row>
    <row r="14473">
      <c r="A14473" s="10" t="s">
        <v>15912</v>
      </c>
      <c r="B14473" s="7" t="str">
        <f>IFERROR(__xludf.DUMMYFUNCTION("SPLIT(A14473,"" "")"),"Cc1ccc(-c2ccc(CN(C)Cc3ccccn3)cc2)nc1")</f>
        <v>Cc1ccc(-c2ccc(CN(C)Cc3ccccn3)cc2)nc1</v>
      </c>
      <c r="C14473" s="7">
        <f>IFERROR(__xludf.DUMMYFUNCTION("""COMPUTED_VALUE"""),7.748282)</f>
        <v>7.748282</v>
      </c>
      <c r="D14473" s="7">
        <f>IFERROR(__xludf.DUMMYFUNCTION("""COMPUTED_VALUE"""),0.489361702127659)</f>
        <v>0.4893617021</v>
      </c>
    </row>
    <row r="14474">
      <c r="A14474" s="10" t="s">
        <v>15913</v>
      </c>
      <c r="B14474" s="7" t="str">
        <f>IFERROR(__xludf.DUMMYFUNCTION("SPLIT(A14474,"" "")"),"CCN(Cc1cc(C)ccn1)Cc1cc(C2=NC(=O)C(C(C)C)O2)ccn1")</f>
        <v>CCN(Cc1cc(C)ccn1)Cc1cc(C2=NC(=O)C(C(C)C)O2)ccn1</v>
      </c>
      <c r="C14474" s="7">
        <f>IFERROR(__xludf.DUMMYFUNCTION("""COMPUTED_VALUE"""),7.74828)</f>
        <v>7.74828</v>
      </c>
      <c r="D14474" s="7">
        <f>IFERROR(__xludf.DUMMYFUNCTION("""COMPUTED_VALUE"""),0.278688524590163)</f>
        <v>0.2786885246</v>
      </c>
    </row>
    <row r="14475">
      <c r="A14475" s="10" t="s">
        <v>15914</v>
      </c>
      <c r="B14475" s="7" t="str">
        <f>IFERROR(__xludf.DUMMYFUNCTION("SPLIT(A14475,"" "")"),"CN(CCCN(C)c1ccc2nccc(CF)c2c1)Cc1cccnc1")</f>
        <v>CN(CCCN(C)c1ccc2nccc(CF)c2c1)Cc1cccnc1</v>
      </c>
      <c r="C14475" s="7">
        <f>IFERROR(__xludf.DUMMYFUNCTION("""COMPUTED_VALUE"""),7.7482796)</f>
        <v>7.7482796</v>
      </c>
      <c r="D14475" s="7">
        <f>IFERROR(__xludf.DUMMYFUNCTION("""COMPUTED_VALUE"""),0.275862068965517)</f>
        <v>0.275862069</v>
      </c>
    </row>
    <row r="14476">
      <c r="A14476" s="10" t="s">
        <v>15915</v>
      </c>
      <c r="B14476" s="7" t="str">
        <f>IFERROR(__xludf.DUMMYFUNCTION("SPLIT(A14476,"" "")"),"Cc1ccc(-c2cccc(CN(Cc3ccccn3)C3CCC(N(C)c4ccc5nc(CF)ccc5c4)CC3)n2)nc1")</f>
        <v>Cc1ccc(-c2cccc(CN(Cc3ccccn3)C3CCC(N(C)c4ccc5nc(CF)ccc5c4)CC3)n2)nc1</v>
      </c>
      <c r="C14476" s="7">
        <f>IFERROR(__xludf.DUMMYFUNCTION("""COMPUTED_VALUE"""),7.748276)</f>
        <v>7.748276</v>
      </c>
      <c r="D14476" s="7">
        <f>IFERROR(__xludf.DUMMYFUNCTION("""COMPUTED_VALUE"""),0.43076923076923)</f>
        <v>0.4307692308</v>
      </c>
    </row>
    <row r="14477">
      <c r="A14477" s="10" t="s">
        <v>15916</v>
      </c>
      <c r="B14477" s="7" t="str">
        <f>IFERROR(__xludf.DUMMYFUNCTION("SPLIT(A14477,"" "")"),"CCOC1(C)COC(c2cc(CN(Cc3ccccn3)Cc3cc(C(C)(C)c4ccccn4)ccn3)ccn2)=N1")</f>
        <v>CCOC1(C)COC(c2cc(CN(Cc3ccccn3)Cc3cc(C(C)(C)c4ccccn4)ccn3)ccn2)=N1</v>
      </c>
      <c r="C14477" s="7">
        <f>IFERROR(__xludf.DUMMYFUNCTION("""COMPUTED_VALUE"""),7.7482743)</f>
        <v>7.7482743</v>
      </c>
      <c r="D14477" s="7">
        <f>IFERROR(__xludf.DUMMYFUNCTION("""COMPUTED_VALUE"""),0.317460317460317)</f>
        <v>0.3174603175</v>
      </c>
    </row>
    <row r="14478">
      <c r="A14478" s="10" t="s">
        <v>15917</v>
      </c>
      <c r="B14478" s="7" t="str">
        <f>IFERROR(__xludf.DUMMYFUNCTION("SPLIT(A14478,"" "")"),"CN(Cc1cccc(-c2ccccn2)n1)C1CCC(N(C)c2ccc3cc(CF)cnc3c2)CC1")</f>
        <v>CN(Cc1cccc(-c2ccccn2)n1)C1CCC(N(C)c2ccc3cc(CF)cnc3c2)CC1</v>
      </c>
      <c r="C14478" s="7">
        <f>IFERROR(__xludf.DUMMYFUNCTION("""COMPUTED_VALUE"""),7.7482657)</f>
        <v>7.7482657</v>
      </c>
      <c r="D14478" s="7">
        <f>IFERROR(__xludf.DUMMYFUNCTION("""COMPUTED_VALUE"""),0.45)</f>
        <v>0.45</v>
      </c>
    </row>
    <row r="14479">
      <c r="A14479" s="10" t="s">
        <v>15918</v>
      </c>
      <c r="B14479" s="7" t="str">
        <f>IFERROR(__xludf.DUMMYFUNCTION("SPLIT(A14479,"" "")"),"CN(Cc1ccccn1)Cc1cc(C(C)(c2ccccn2)c2ccccn2)ccn1")</f>
        <v>CN(Cc1ccccn1)Cc1cc(C(C)(c2ccccn2)c2ccccn2)ccn1</v>
      </c>
      <c r="C14479" s="7">
        <f>IFERROR(__xludf.DUMMYFUNCTION("""COMPUTED_VALUE"""),7.7482634)</f>
        <v>7.7482634</v>
      </c>
      <c r="D14479" s="7">
        <f>IFERROR(__xludf.DUMMYFUNCTION("""COMPUTED_VALUE"""),0.478260869565217)</f>
        <v>0.4782608696</v>
      </c>
    </row>
    <row r="14480">
      <c r="A14480" s="10" t="s">
        <v>15919</v>
      </c>
      <c r="B14480" s="7" t="str">
        <f>IFERROR(__xludf.DUMMYFUNCTION("SPLIT(A14480,"" "")"),"CC(C)C(C)(CN(Cc1ccccn1)Cc1cc(-c2ccccc2N=Cc2ccccn2)ccn1)c1ccccn1")</f>
        <v>CC(C)C(C)(CN(Cc1ccccn1)Cc1cc(-c2ccccc2N=Cc2ccccn2)ccn1)c1ccccn1</v>
      </c>
      <c r="C14480" s="7">
        <f>IFERROR(__xludf.DUMMYFUNCTION("""COMPUTED_VALUE"""),7.7482576)</f>
        <v>7.7482576</v>
      </c>
      <c r="D14480" s="7">
        <f>IFERROR(__xludf.DUMMYFUNCTION("""COMPUTED_VALUE"""),0.365079365079365)</f>
        <v>0.3650793651</v>
      </c>
    </row>
    <row r="14481">
      <c r="A14481" s="10" t="s">
        <v>15920</v>
      </c>
      <c r="B14481" s="7" t="str">
        <f>IFERROR(__xludf.DUMMYFUNCTION("SPLIT(A14481,"" "")"),"Cc1c(NCc2ccccn2)cccc1-c1cccc(CN(C)C(C)(c2cccnc2)C(C)C)n1")</f>
        <v>Cc1c(NCc2ccccn2)cccc1-c1cccc(CN(C)C(C)(c2cccnc2)C(C)C)n1</v>
      </c>
      <c r="C14481" s="7">
        <f>IFERROR(__xludf.DUMMYFUNCTION("""COMPUTED_VALUE"""),7.7482557)</f>
        <v>7.7482557</v>
      </c>
      <c r="D14481" s="7">
        <f>IFERROR(__xludf.DUMMYFUNCTION("""COMPUTED_VALUE"""),0.35820895522388)</f>
        <v>0.3582089552</v>
      </c>
    </row>
    <row r="14482">
      <c r="A14482" s="10" t="s">
        <v>15921</v>
      </c>
      <c r="B14482" s="7" t="str">
        <f>IFERROR(__xludf.DUMMYFUNCTION("SPLIT(A14482,"" "")"),"Cc1ccnc(CN(Cc2ccnc(C3=NC(C)CO3)c2)Cc2cc(C)ccn2)c1")</f>
        <v>Cc1ccnc(CN(Cc2ccnc(C3=NC(C)CO3)c2)Cc2cc(C)ccn2)c1</v>
      </c>
      <c r="C14482" s="7">
        <f>IFERROR(__xludf.DUMMYFUNCTION("""COMPUTED_VALUE"""),7.7482553)</f>
        <v>7.7482553</v>
      </c>
      <c r="D14482" s="7">
        <f>IFERROR(__xludf.DUMMYFUNCTION("""COMPUTED_VALUE"""),0.339285714285714)</f>
        <v>0.3392857143</v>
      </c>
    </row>
    <row r="14483">
      <c r="A14483" s="10" t="s">
        <v>15922</v>
      </c>
      <c r="B14483" s="7" t="str">
        <f>IFERROR(__xludf.DUMMYFUNCTION("SPLIT(A14483,"" "")"),"Cc1ccc(CN(Cc2ccccn2)Cc2nc(N(C)C)c(C)cc2C)nc1")</f>
        <v>Cc1ccc(CN(Cc2ccccn2)Cc2nc(N(C)C)c(C)cc2C)nc1</v>
      </c>
      <c r="C14483" s="7">
        <f>IFERROR(__xludf.DUMMYFUNCTION("""COMPUTED_VALUE"""),7.748249)</f>
        <v>7.748249</v>
      </c>
      <c r="D14483" s="7">
        <f>IFERROR(__xludf.DUMMYFUNCTION("""COMPUTED_VALUE"""),0.454545454545454)</f>
        <v>0.4545454545</v>
      </c>
    </row>
    <row r="14484">
      <c r="A14484" s="10" t="s">
        <v>15923</v>
      </c>
      <c r="B14484" s="7" t="str">
        <f>IFERROR(__xludf.DUMMYFUNCTION("SPLIT(A14484,"" "")"),"Cc1cc(C)c(CN(C)C2=CNC(CN(C)C)=CC2)nc1C")</f>
        <v>Cc1cc(C)c(CN(C)C2=CNC(CN(C)C)=CC2)nc1C</v>
      </c>
      <c r="C14484" s="7">
        <f>IFERROR(__xludf.DUMMYFUNCTION("""COMPUTED_VALUE"""),7.748231)</f>
        <v>7.748231</v>
      </c>
      <c r="D14484" s="7">
        <f>IFERROR(__xludf.DUMMYFUNCTION("""COMPUTED_VALUE"""),0.193548387096774)</f>
        <v>0.1935483871</v>
      </c>
    </row>
    <row r="14485">
      <c r="A14485" s="10" t="s">
        <v>15924</v>
      </c>
      <c r="B14485" s="7" t="str">
        <f>IFERROR(__xludf.DUMMYFUNCTION("SPLIT(A14485,"" "")"),"Cc1nc(CN(C)c2cccnc2CN(Cc2ccccn2)C(C)C)c(C)c(C)c1C")</f>
        <v>Cc1nc(CN(C)c2cccnc2CN(Cc2ccccn2)C(C)C)c(C)c(C)c1C</v>
      </c>
      <c r="C14485" s="7">
        <f>IFERROR(__xludf.DUMMYFUNCTION("""COMPUTED_VALUE"""),7.748223)</f>
        <v>7.748223</v>
      </c>
      <c r="D14485" s="7">
        <f>IFERROR(__xludf.DUMMYFUNCTION("""COMPUTED_VALUE"""),0.5)</f>
        <v>0.5</v>
      </c>
    </row>
    <row r="14486">
      <c r="A14486" s="10" t="s">
        <v>15925</v>
      </c>
      <c r="B14486" s="7" t="str">
        <f>IFERROR(__xludf.DUMMYFUNCTION("SPLIT(A14486,"" "")"),"Cc1cc(C)c(CN(C)Cc2ncccc2C2=NC(C)(C)CO2)nc1C")</f>
        <v>Cc1cc(C)c(CN(C)Cc2ncccc2C2=NC(C)(C)CO2)nc1C</v>
      </c>
      <c r="C14486" s="7">
        <f>IFERROR(__xludf.DUMMYFUNCTION("""COMPUTED_VALUE"""),7.7482176)</f>
        <v>7.7482176</v>
      </c>
      <c r="D14486" s="7">
        <f>IFERROR(__xludf.DUMMYFUNCTION("""COMPUTED_VALUE"""),0.37037037037037)</f>
        <v>0.3703703704</v>
      </c>
    </row>
    <row r="14487">
      <c r="A14487" s="10" t="s">
        <v>15926</v>
      </c>
      <c r="B14487" s="7" t="str">
        <f>IFERROR(__xludf.DUMMYFUNCTION("SPLIT(A14487,"" "")"),"CCCN(Cc1ccccn1)c1cc(C)cc(C)c1-c1ncccc1CN(Cc1ccccn1)Cc1ccccn1")</f>
        <v>CCCN(Cc1ccccn1)c1cc(C)cc(C)c1-c1ncccc1CN(Cc1ccccn1)Cc1ccccn1</v>
      </c>
      <c r="C14487" s="7">
        <f>IFERROR(__xludf.DUMMYFUNCTION("""COMPUTED_VALUE"""),7.7482176)</f>
        <v>7.7482176</v>
      </c>
      <c r="D14487" s="7">
        <f>IFERROR(__xludf.DUMMYFUNCTION("""COMPUTED_VALUE"""),0.408163265306122)</f>
        <v>0.4081632653</v>
      </c>
    </row>
    <row r="14488">
      <c r="A14488" s="10" t="s">
        <v>15927</v>
      </c>
      <c r="B14488" s="7" t="str">
        <f>IFERROR(__xludf.DUMMYFUNCTION("SPLIT(A14488,"" "")"),"Cc1cccnc1CN(C)c1ccc(CN(Cc2ccc(N)cn2)Cc2cccnc2F)nc1")</f>
        <v>Cc1cccnc1CN(C)c1ccc(CN(Cc2ccc(N)cn2)Cc2cccnc2F)nc1</v>
      </c>
      <c r="C14488" s="7">
        <f>IFERROR(__xludf.DUMMYFUNCTION("""COMPUTED_VALUE"""),7.7482133)</f>
        <v>7.7482133</v>
      </c>
      <c r="D14488" s="7">
        <f>IFERROR(__xludf.DUMMYFUNCTION("""COMPUTED_VALUE"""),0.305084745762711)</f>
        <v>0.3050847458</v>
      </c>
    </row>
    <row r="14489">
      <c r="A14489" s="10" t="s">
        <v>15928</v>
      </c>
      <c r="B14489" s="7" t="str">
        <f>IFERROR(__xludf.DUMMYFUNCTION("SPLIT(A14489,"" "")"),"COC(=O)C1CN(C)C2C(=O)C1(C(=O)OC)C(c1ccccn1)N(C)C2c1ccccn1")</f>
        <v>COC(=O)C1CN(C)C2C(=O)C1(C(=O)OC)C(c1ccccn1)N(C)C2c1ccccn1</v>
      </c>
      <c r="C14489" s="7">
        <f>IFERROR(__xludf.DUMMYFUNCTION("""COMPUTED_VALUE"""),7.748213)</f>
        <v>7.748213</v>
      </c>
      <c r="D14489" s="7">
        <f>IFERROR(__xludf.DUMMYFUNCTION("""COMPUTED_VALUE"""),0.5)</f>
        <v>0.5</v>
      </c>
    </row>
    <row r="14490">
      <c r="A14490" s="10" t="s">
        <v>15929</v>
      </c>
      <c r="B14490" s="7" t="str">
        <f>IFERROR(__xludf.DUMMYFUNCTION("SPLIT(A14490,"" "")"),"CNCCN(C)Cc1nc2ccccc2n1C")</f>
        <v>CNCCN(C)Cc1nc2ccccc2n1C</v>
      </c>
      <c r="C14490" s="7">
        <f>IFERROR(__xludf.DUMMYFUNCTION("""COMPUTED_VALUE"""),7.7482076)</f>
        <v>7.7482076</v>
      </c>
      <c r="D14490" s="7">
        <f>IFERROR(__xludf.DUMMYFUNCTION("""COMPUTED_VALUE"""),0.478260869565217)</f>
        <v>0.4782608696</v>
      </c>
    </row>
    <row r="14491">
      <c r="A14491" s="10" t="s">
        <v>15930</v>
      </c>
      <c r="B14491" s="7" t="str">
        <f>IFERROR(__xludf.DUMMYFUNCTION("SPLIT(A14491,"" "")"),"Cc1cccnc1-c1ccc(CNCc2ccccn2)cc1")</f>
        <v>Cc1cccnc1-c1ccc(CNCc2ccccn2)cc1</v>
      </c>
      <c r="C14491" s="7">
        <f>IFERROR(__xludf.DUMMYFUNCTION("""COMPUTED_VALUE"""),7.7481995)</f>
        <v>7.7481995</v>
      </c>
      <c r="D14491" s="7">
        <f>IFERROR(__xludf.DUMMYFUNCTION("""COMPUTED_VALUE"""),0.487179487179487)</f>
        <v>0.4871794872</v>
      </c>
    </row>
    <row r="14492">
      <c r="A14492" s="10" t="s">
        <v>15931</v>
      </c>
      <c r="B14492" s="7" t="str">
        <f>IFERROR(__xludf.DUMMYFUNCTION("SPLIT(A14492,"" "")"),"Cc1cnc(CN(C)C2=CCC=C(CN(C)Cc3nc(C)c(C)c(C)c3C)N2)cc1C")</f>
        <v>Cc1cnc(CN(C)C2=CCC=C(CN(C)Cc3nc(C)c(C)c(C)c3C)N2)cc1C</v>
      </c>
      <c r="C14492" s="7">
        <f>IFERROR(__xludf.DUMMYFUNCTION("""COMPUTED_VALUE"""),7.748198)</f>
        <v>7.748198</v>
      </c>
      <c r="D14492" s="7">
        <f>IFERROR(__xludf.DUMMYFUNCTION("""COMPUTED_VALUE"""),0.25)</f>
        <v>0.25</v>
      </c>
    </row>
    <row r="14493">
      <c r="A14493" s="10" t="s">
        <v>15932</v>
      </c>
      <c r="B14493" s="7" t="str">
        <f>IFERROR(__xludf.DUMMYFUNCTION("SPLIT(A14493,"" "")"),"CN(c1ccnc(CN(Cc2ccccn2)C2=CC=CNC2)c1)C(C)(C)c1ccccn1")</f>
        <v>CN(c1ccnc(CN(Cc2ccccn2)C2=CC=CNC2)c1)C(C)(C)c1ccccn1</v>
      </c>
      <c r="C14493" s="7">
        <f>IFERROR(__xludf.DUMMYFUNCTION("""COMPUTED_VALUE"""),7.7481775)</f>
        <v>7.7481775</v>
      </c>
      <c r="D14493" s="7">
        <f>IFERROR(__xludf.DUMMYFUNCTION("""COMPUTED_VALUE"""),0.344262295081967)</f>
        <v>0.3442622951</v>
      </c>
    </row>
    <row r="14494">
      <c r="A14494" s="10" t="s">
        <v>15933</v>
      </c>
      <c r="B14494" s="7" t="str">
        <f>IFERROR(__xludf.DUMMYFUNCTION("SPLIT(A14494,"" "")"),"Cc1ccccc1N(Cc1ccccn1)C1CCC(N(C)c2ccc3nccc(C)c3c2)CC1")</f>
        <v>Cc1ccccc1N(Cc1ccccn1)C1CCC(N(C)c2ccc3nccc(C)c3c2)CC1</v>
      </c>
      <c r="C14494" s="7">
        <f>IFERROR(__xludf.DUMMYFUNCTION("""COMPUTED_VALUE"""),7.7481737)</f>
        <v>7.7481737</v>
      </c>
      <c r="D14494" s="7">
        <f>IFERROR(__xludf.DUMMYFUNCTION("""COMPUTED_VALUE"""),0.372881355932203)</f>
        <v>0.3728813559</v>
      </c>
    </row>
    <row r="14495">
      <c r="A14495" s="10" t="s">
        <v>15934</v>
      </c>
      <c r="B14495" s="7" t="str">
        <f>IFERROR(__xludf.DUMMYFUNCTION("SPLIT(A14495,"" "")"),"CN(CC1=CC(N(C)Cc2ccccn2)C=CN1)Cc1ccc2ncccc2c1")</f>
        <v>CN(CC1=CC(N(C)Cc2ccccn2)C=CN1)Cc1ccc2ncccc2c1</v>
      </c>
      <c r="C14495" s="7">
        <f>IFERROR(__xludf.DUMMYFUNCTION("""COMPUTED_VALUE"""),7.7481575)</f>
        <v>7.7481575</v>
      </c>
      <c r="D14495" s="7">
        <f>IFERROR(__xludf.DUMMYFUNCTION("""COMPUTED_VALUE"""),0.360655737704918)</f>
        <v>0.3606557377</v>
      </c>
    </row>
    <row r="14496">
      <c r="A14496" s="10" t="s">
        <v>15935</v>
      </c>
      <c r="B14496" s="7" t="str">
        <f>IFERROR(__xludf.DUMMYFUNCTION("SPLIT(A14496,"" "")"),"Cc1cccc(N(C)C2CCCC(N(C)c3cccc4nccc(C)c34)C2)c1")</f>
        <v>Cc1cccc(N(C)C2CCCC(N(C)c3cccc4nccc(C)c34)C2)c1</v>
      </c>
      <c r="C14496" s="7">
        <f>IFERROR(__xludf.DUMMYFUNCTION("""COMPUTED_VALUE"""),7.7481556)</f>
        <v>7.7481556</v>
      </c>
      <c r="D14496" s="7">
        <f>IFERROR(__xludf.DUMMYFUNCTION("""COMPUTED_VALUE"""),0.305084745762711)</f>
        <v>0.3050847458</v>
      </c>
    </row>
    <row r="14497">
      <c r="A14497" s="10" t="s">
        <v>15936</v>
      </c>
      <c r="B14497" s="7" t="str">
        <f>IFERROR(__xludf.DUMMYFUNCTION("SPLIT(A14497,"" "")"),"C=Cc1cccnn1")</f>
        <v>C=Cc1cccnn1</v>
      </c>
      <c r="C14497" s="7">
        <f>IFERROR(__xludf.DUMMYFUNCTION("""COMPUTED_VALUE"""),7.748137)</f>
        <v>7.748137</v>
      </c>
      <c r="D14497" s="7">
        <f>IFERROR(__xludf.DUMMYFUNCTION("""COMPUTED_VALUE"""),0.323529411764705)</f>
        <v>0.3235294118</v>
      </c>
    </row>
    <row r="14498">
      <c r="A14498" s="10" t="s">
        <v>15937</v>
      </c>
      <c r="B14498" s="7" t="str">
        <f>IFERROR(__xludf.DUMMYFUNCTION("SPLIT(A14498,"" "")"),"Cc1cc(CN(C)Cc2cc(N(C)Cc3ncccc3C)ccn2)ccn1")</f>
        <v>Cc1cc(CN(C)Cc2cc(N(C)Cc3ncccc3C)ccn2)ccn1</v>
      </c>
      <c r="C14498" s="7">
        <f>IFERROR(__xludf.DUMMYFUNCTION("""COMPUTED_VALUE"""),7.7481346)</f>
        <v>7.7481346</v>
      </c>
      <c r="D14498" s="7">
        <f>IFERROR(__xludf.DUMMYFUNCTION("""COMPUTED_VALUE"""),0.31578947368421)</f>
        <v>0.3157894737</v>
      </c>
    </row>
    <row r="14499">
      <c r="A14499" s="10" t="s">
        <v>15938</v>
      </c>
      <c r="B14499" s="7" t="str">
        <f>IFERROR(__xludf.DUMMYFUNCTION("SPLIT(A14499,"" "")"),"Cc1cnc(CN(C)C2=CNC(CN(C)C3=CCC=CN3)=CC2)c(C)c1C")</f>
        <v>Cc1cnc(CN(C)C2=CNC(CN(C)C3=CCC=CN3)=CC2)c(C)c1C</v>
      </c>
      <c r="C14499" s="7">
        <f>IFERROR(__xludf.DUMMYFUNCTION("""COMPUTED_VALUE"""),7.748132)</f>
        <v>7.748132</v>
      </c>
      <c r="D14499" s="7">
        <f>IFERROR(__xludf.DUMMYFUNCTION("""COMPUTED_VALUE"""),0.3125)</f>
        <v>0.3125</v>
      </c>
    </row>
    <row r="14500">
      <c r="A14500" s="10" t="s">
        <v>15939</v>
      </c>
      <c r="B14500" s="7" t="str">
        <f>IFERROR(__xludf.DUMMYFUNCTION("SPLIT(A14500,"" "")"),"Cc1cc(NCc2ccccn2)c(C)c(C)c1C")</f>
        <v>Cc1cc(NCc2ccccn2)c(C)c(C)c1C</v>
      </c>
      <c r="C14500" s="7">
        <f>IFERROR(__xludf.DUMMYFUNCTION("""COMPUTED_VALUE"""),7.74812)</f>
        <v>7.74812</v>
      </c>
      <c r="D14500" s="7">
        <f>IFERROR(__xludf.DUMMYFUNCTION("""COMPUTED_VALUE"""),0.459459459459459)</f>
        <v>0.4594594595</v>
      </c>
    </row>
    <row r="14501">
      <c r="A14501" s="10" t="s">
        <v>15940</v>
      </c>
      <c r="B14501" s="7" t="str">
        <f>IFERROR(__xludf.DUMMYFUNCTION("SPLIT(A14501,"" "")"),"Cc1cccnc1-c1cccc(CNCc2ccccn2)c1")</f>
        <v>Cc1cccnc1-c1cccc(CNCc2ccccn2)c1</v>
      </c>
      <c r="C14501" s="7">
        <f>IFERROR(__xludf.DUMMYFUNCTION("""COMPUTED_VALUE"""),7.7481136)</f>
        <v>7.7481136</v>
      </c>
      <c r="D14501" s="7">
        <f>IFERROR(__xludf.DUMMYFUNCTION("""COMPUTED_VALUE"""),0.452380952380952)</f>
        <v>0.4523809524</v>
      </c>
    </row>
    <row r="14502">
      <c r="A14502" s="10" t="s">
        <v>15941</v>
      </c>
      <c r="B14502" s="7" t="str">
        <f>IFERROR(__xludf.DUMMYFUNCTION("SPLIT(A14502,"" "")"),"Cc1ccnc(CN(Cc2nc(C)c(C)c(C)c2C)Cc2nc(C)c(C)c(C)c2C)c1")</f>
        <v>Cc1ccnc(CN(Cc2nc(C)c(C)c(C)c2C)Cc2nc(C)c(C)c(C)c2C)c1</v>
      </c>
      <c r="C14502" s="7">
        <f>IFERROR(__xludf.DUMMYFUNCTION("""COMPUTED_VALUE"""),7.7481036)</f>
        <v>7.7481036</v>
      </c>
      <c r="D14502" s="7">
        <f>IFERROR(__xludf.DUMMYFUNCTION("""COMPUTED_VALUE"""),0.361702127659574)</f>
        <v>0.3617021277</v>
      </c>
    </row>
    <row r="14503">
      <c r="A14503" s="10" t="s">
        <v>15942</v>
      </c>
      <c r="B14503" s="7" t="str">
        <f>IFERROR(__xludf.DUMMYFUNCTION("SPLIT(A14503,"" "")"),"COC(=O)C(=O)C(=O)C(C)N=Cc1ccccn1")</f>
        <v>COC(=O)C(=O)C(=O)C(C)N=Cc1ccccn1</v>
      </c>
      <c r="C14503" s="7">
        <f>IFERROR(__xludf.DUMMYFUNCTION("""COMPUTED_VALUE"""),7.748094)</f>
        <v>7.748094</v>
      </c>
      <c r="D14503" s="7">
        <f>IFERROR(__xludf.DUMMYFUNCTION("""COMPUTED_VALUE"""),0.352941176470588)</f>
        <v>0.3529411765</v>
      </c>
    </row>
    <row r="14504">
      <c r="A14504" s="10" t="s">
        <v>15943</v>
      </c>
      <c r="B14504" s="7" t="str">
        <f>IFERROR(__xludf.DUMMYFUNCTION("SPLIT(A14504,"" "")"),"CN(Cc1ccc2ccccc2n1)C1CCC(N(C)c2ccc3ncc(CF)cc3c2)CC1")</f>
        <v>CN(Cc1ccc2ccccc2n1)C1CCC(N(C)c2ccc3ncc(CF)cc3c2)CC1</v>
      </c>
      <c r="C14504" s="7">
        <f>IFERROR(__xludf.DUMMYFUNCTION("""COMPUTED_VALUE"""),7.7480817)</f>
        <v>7.7480817</v>
      </c>
      <c r="D14504" s="7">
        <f>IFERROR(__xludf.DUMMYFUNCTION("""COMPUTED_VALUE"""),0.357142857142857)</f>
        <v>0.3571428571</v>
      </c>
    </row>
    <row r="14505">
      <c r="A14505" s="10" t="s">
        <v>15944</v>
      </c>
      <c r="B14505" s="7" t="str">
        <f>IFERROR(__xludf.DUMMYFUNCTION("SPLIT(A14505,"" "")"),"Cc1cccnc1CN(C)Cc1ncccc1N(C)Cc1ncccc1C")</f>
        <v>Cc1cccnc1CN(C)Cc1ncccc1N(C)Cc1ncccc1C</v>
      </c>
      <c r="C14505" s="7">
        <f>IFERROR(__xludf.DUMMYFUNCTION("""COMPUTED_VALUE"""),7.74808)</f>
        <v>7.74808</v>
      </c>
      <c r="D14505" s="7">
        <f>IFERROR(__xludf.DUMMYFUNCTION("""COMPUTED_VALUE"""),0.395348837209302)</f>
        <v>0.3953488372</v>
      </c>
    </row>
    <row r="14506">
      <c r="A14506" s="10" t="s">
        <v>15945</v>
      </c>
      <c r="B14506" s="7" t="str">
        <f>IFERROR(__xludf.DUMMYFUNCTION("SPLIT(A14506,"" "")"),"CC(C)c1cc(C2=NC(C)(C)CO2)ccn1")</f>
        <v>CC(C)c1cc(C2=NC(C)(C)CO2)ccn1</v>
      </c>
      <c r="C14506" s="7">
        <f>IFERROR(__xludf.DUMMYFUNCTION("""COMPUTED_VALUE"""),7.7480555)</f>
        <v>7.7480555</v>
      </c>
      <c r="D14506" s="7">
        <f>IFERROR(__xludf.DUMMYFUNCTION("""COMPUTED_VALUE"""),0.428571428571428)</f>
        <v>0.4285714286</v>
      </c>
    </row>
    <row r="14507">
      <c r="A14507" s="10" t="s">
        <v>15946</v>
      </c>
      <c r="B14507" s="7" t="str">
        <f>IFERROR(__xludf.DUMMYFUNCTION("SPLIT(A14507,"" "")"),"Cc1cc(CN(Cc2ccccn2)Cc2ccc(N(C)C)cn2)cnc1C(C)(C)C")</f>
        <v>Cc1cc(CN(Cc2ccccn2)Cc2ccc(N(C)C)cn2)cnc1C(C)(C)C</v>
      </c>
      <c r="C14507" s="7">
        <f>IFERROR(__xludf.DUMMYFUNCTION("""COMPUTED_VALUE"""),7.748054)</f>
        <v>7.748054</v>
      </c>
      <c r="D14507" s="7">
        <f>IFERROR(__xludf.DUMMYFUNCTION("""COMPUTED_VALUE"""),0.434782608695652)</f>
        <v>0.4347826087</v>
      </c>
    </row>
    <row r="14508">
      <c r="A14508" s="10" t="s">
        <v>15947</v>
      </c>
      <c r="B14508" s="7" t="str">
        <f>IFERROR(__xludf.DUMMYFUNCTION("SPLIT(A14508,"" "")"),"Cc1ccc(C)c(CN(C)c2cccc(CN(Cc3ccccn3)Cc3nc(C)c(C)cc3C)n2)n1")</f>
        <v>Cc1ccc(C)c(CN(C)c2cccc(CN(Cc3ccccn3)Cc3nc(C)c(C)cc3C)n2)n1</v>
      </c>
      <c r="C14508" s="7">
        <f>IFERROR(__xludf.DUMMYFUNCTION("""COMPUTED_VALUE"""),7.748054)</f>
        <v>7.748054</v>
      </c>
      <c r="D14508" s="7">
        <f>IFERROR(__xludf.DUMMYFUNCTION("""COMPUTED_VALUE"""),0.4)</f>
        <v>0.4</v>
      </c>
    </row>
    <row r="14509">
      <c r="A14509" s="10" t="s">
        <v>15948</v>
      </c>
      <c r="B14509" s="7" t="str">
        <f>IFERROR(__xludf.DUMMYFUNCTION("SPLIT(A14509,"" "")"),"CN1CCN(Cc2ccc3ncccc3c2)CCN(Cc2ccc(N(C)c3ccc4cccnc4c3)cn2)CC1")</f>
        <v>CN1CCN(Cc2ccc3ncccc3c2)CCN(Cc2ccc(N(C)c3ccc4cccnc4c3)cn2)CC1</v>
      </c>
      <c r="C14509" s="7">
        <f>IFERROR(__xludf.DUMMYFUNCTION("""COMPUTED_VALUE"""),7.7480526)</f>
        <v>7.7480526</v>
      </c>
      <c r="D14509" s="7">
        <f>IFERROR(__xludf.DUMMYFUNCTION("""COMPUTED_VALUE"""),0.433333333333333)</f>
        <v>0.4333333333</v>
      </c>
    </row>
    <row r="14510">
      <c r="A14510" s="10" t="s">
        <v>15949</v>
      </c>
      <c r="B14510" s="7" t="str">
        <f>IFERROR(__xludf.DUMMYFUNCTION("SPLIT(A14510,"" "")"),"CN(CCN(Cc1ccc2ncccc2c1)CC(C)(C)C)Cc1ccc2ncccc2c1")</f>
        <v>CN(CCN(Cc1ccc2ncccc2c1)CC(C)(C)C)Cc1ccc2ncccc2c1</v>
      </c>
      <c r="C14510" s="7">
        <f>IFERROR(__xludf.DUMMYFUNCTION("""COMPUTED_VALUE"""),7.74805)</f>
        <v>7.74805</v>
      </c>
      <c r="D14510" s="7">
        <f>IFERROR(__xludf.DUMMYFUNCTION("""COMPUTED_VALUE"""),0.458333333333333)</f>
        <v>0.4583333333</v>
      </c>
    </row>
    <row r="14511">
      <c r="A14511" s="10" t="s">
        <v>15950</v>
      </c>
      <c r="B14511" s="7" t="str">
        <f>IFERROR(__xludf.DUMMYFUNCTION("SPLIT(A14511,"" "")"),"CN(CCN(C)C(C)(C)c1cccnc1)c1ccc2ncccc2c1")</f>
        <v>CN(CCN(C)C(C)(C)c1cccnc1)c1ccc2ncccc2c1</v>
      </c>
      <c r="C14511" s="7">
        <f>IFERROR(__xludf.DUMMYFUNCTION("""COMPUTED_VALUE"""),7.7480493)</f>
        <v>7.7480493</v>
      </c>
      <c r="D14511" s="7">
        <f>IFERROR(__xludf.DUMMYFUNCTION("""COMPUTED_VALUE"""),0.346153846153846)</f>
        <v>0.3461538462</v>
      </c>
    </row>
    <row r="14512">
      <c r="A14512" s="10" t="s">
        <v>15951</v>
      </c>
      <c r="B14512" s="7" t="str">
        <f>IFERROR(__xludf.DUMMYFUNCTION("SPLIT(A14512,"" "")"),"CNc1cc(CN(Cc2ccccn2)Cc2nc(C)c(C)c(C)c2C)cnc1C")</f>
        <v>CNc1cc(CN(Cc2ccccn2)Cc2nc(C)c(C)c(C)c2C)cnc1C</v>
      </c>
      <c r="C14512" s="7">
        <f>IFERROR(__xludf.DUMMYFUNCTION("""COMPUTED_VALUE"""),7.7480483)</f>
        <v>7.7480483</v>
      </c>
      <c r="D14512" s="7">
        <f>IFERROR(__xludf.DUMMYFUNCTION("""COMPUTED_VALUE"""),0.416666666666666)</f>
        <v>0.4166666667</v>
      </c>
    </row>
    <row r="14513">
      <c r="A14513" s="10" t="s">
        <v>15952</v>
      </c>
      <c r="B14513" s="7" t="str">
        <f>IFERROR(__xludf.DUMMYFUNCTION("SPLIT(A14513,"" "")"),"CNCC1CCC(N(C)Cc2nc(C)c(C)c(C)c2C)N1c1ccc2ncccc2c1")</f>
        <v>CNCC1CCC(N(C)Cc2nc(C)c(C)c(C)c2C)N1c1ccc2ncccc2c1</v>
      </c>
      <c r="C14513" s="7">
        <f>IFERROR(__xludf.DUMMYFUNCTION("""COMPUTED_VALUE"""),7.748047)</f>
        <v>7.748047</v>
      </c>
      <c r="D14513" s="7">
        <f>IFERROR(__xludf.DUMMYFUNCTION("""COMPUTED_VALUE"""),0.242857142857142)</f>
        <v>0.2428571429</v>
      </c>
    </row>
    <row r="14514">
      <c r="A14514" s="10" t="s">
        <v>15953</v>
      </c>
      <c r="B14514" s="7" t="str">
        <f>IFERROR(__xludf.DUMMYFUNCTION("SPLIT(A14514,"" "")"),"Cc1cncc(CN(C)Cc2cccc(N(C)Cc3ncc(C)cc3C)n2)c1")</f>
        <v>Cc1cncc(CN(C)Cc2cccc(N(C)Cc3ncc(C)cc3C)n2)c1</v>
      </c>
      <c r="C14514" s="7">
        <f>IFERROR(__xludf.DUMMYFUNCTION("""COMPUTED_VALUE"""),7.7480426)</f>
        <v>7.7480426</v>
      </c>
      <c r="D14514" s="7">
        <f>IFERROR(__xludf.DUMMYFUNCTION("""COMPUTED_VALUE"""),0.339622641509433)</f>
        <v>0.3396226415</v>
      </c>
    </row>
    <row r="14515">
      <c r="A14515" s="10" t="s">
        <v>15954</v>
      </c>
      <c r="B14515" s="7" t="str">
        <f>IFERROR(__xludf.DUMMYFUNCTION("SPLIT(A14515,"" "")"),"Cc1cccc(NCc2ccccn2)c1C1C(c2ccccc2)=CC=C(c2ccccc2)C1NCc1ccccn1")</f>
        <v>Cc1cccc(NCc2ccccn2)c1C1C(c2ccccc2)=CC=C(c2ccccc2)C1NCc1ccccn1</v>
      </c>
      <c r="C14515" s="7">
        <f>IFERROR(__xludf.DUMMYFUNCTION("""COMPUTED_VALUE"""),7.748038)</f>
        <v>7.748038</v>
      </c>
      <c r="D14515" s="7">
        <f>IFERROR(__xludf.DUMMYFUNCTION("""COMPUTED_VALUE"""),0.365079365079365)</f>
        <v>0.3650793651</v>
      </c>
    </row>
    <row r="14516">
      <c r="A14516" s="10" t="s">
        <v>15955</v>
      </c>
      <c r="B14516" s="7" t="str">
        <f>IFERROR(__xludf.DUMMYFUNCTION("SPLIT(A14516,"" "")"),"Cc1cc(C)c(CN(Cc2ccccn2)C2=CNC(CN(C)C(C)(c3cccnc3)c3ccccn3)=CC2)cn1")</f>
        <v>Cc1cc(C)c(CN(Cc2ccccn2)C2=CNC(CN(C)C(C)(c3cccnc3)c3ccccn3)=CC2)cn1</v>
      </c>
      <c r="C14516" s="7">
        <f>IFERROR(__xludf.DUMMYFUNCTION("""COMPUTED_VALUE"""),7.748024)</f>
        <v>7.748024</v>
      </c>
      <c r="D14516" s="7">
        <f>IFERROR(__xludf.DUMMYFUNCTION("""COMPUTED_VALUE"""),0.294871794871794)</f>
        <v>0.2948717949</v>
      </c>
    </row>
    <row r="14517">
      <c r="A14517" s="10" t="s">
        <v>15956</v>
      </c>
      <c r="B14517" s="7" t="str">
        <f>IFERROR(__xludf.DUMMYFUNCTION("SPLIT(A14517,"" "")"),"Cc1cccc(N(Cc2ccccn2)C2CCC(N(C)c3ccc4nccc(CF)c4c3)CC2)c1C")</f>
        <v>Cc1cccc(N(Cc2ccccn2)C2CCC(N(C)c3ccc4nccc(CF)c4c3)CC2)c1C</v>
      </c>
      <c r="C14517" s="7">
        <f>IFERROR(__xludf.DUMMYFUNCTION("""COMPUTED_VALUE"""),7.7480187)</f>
        <v>7.7480187</v>
      </c>
      <c r="D14517" s="7">
        <f>IFERROR(__xludf.DUMMYFUNCTION("""COMPUTED_VALUE"""),0.323529411764705)</f>
        <v>0.3235294118</v>
      </c>
    </row>
    <row r="14518">
      <c r="A14518" s="10" t="s">
        <v>15957</v>
      </c>
      <c r="B14518" s="7" t="str">
        <f>IFERROR(__xludf.DUMMYFUNCTION("SPLIT(A14518,"" "")"),"CC1(C)CCC1c1ccc(CN(Cc2ccccn2)Cc2cccc(-c3cccc(N=Cc4ccccn4)c3)n2)cn1")</f>
        <v>CC1(C)CCC1c1ccc(CN(Cc2ccccn2)Cc2cccc(-c3cccc(N=Cc4ccccn4)c3)n2)cn1</v>
      </c>
      <c r="C14518" s="7">
        <f>IFERROR(__xludf.DUMMYFUNCTION("""COMPUTED_VALUE"""),7.7480183)</f>
        <v>7.7480183</v>
      </c>
      <c r="D14518" s="7">
        <f>IFERROR(__xludf.DUMMYFUNCTION("""COMPUTED_VALUE"""),0.426666666666666)</f>
        <v>0.4266666667</v>
      </c>
    </row>
    <row r="14519">
      <c r="A14519" s="10" t="s">
        <v>15958</v>
      </c>
      <c r="B14519" s="7" t="str">
        <f>IFERROR(__xludf.DUMMYFUNCTION("SPLIT(A14519,"" "")"),"CC1(C)C=Cc2ccc(CN(Cc3cccnc3C3OC=NC3(C)C)Cc3ncccc3C(C)(C)c3ccccn3)nc2C1")</f>
        <v>CC1(C)C=Cc2ccc(CN(Cc3cccnc3C3OC=NC3(C)C)Cc3ncccc3C(C)(C)c3ccccn3)nc2C1</v>
      </c>
      <c r="C14519" s="7">
        <f>IFERROR(__xludf.DUMMYFUNCTION("""COMPUTED_VALUE"""),7.748008)</f>
        <v>7.748008</v>
      </c>
      <c r="D14519" s="7">
        <f>IFERROR(__xludf.DUMMYFUNCTION("""COMPUTED_VALUE"""),0.256097560975609)</f>
        <v>0.256097561</v>
      </c>
    </row>
    <row r="14520">
      <c r="A14520" s="10" t="s">
        <v>15959</v>
      </c>
      <c r="B14520" s="7" t="str">
        <f>IFERROR(__xludf.DUMMYFUNCTION("SPLIT(A14520,"" "")"),"CNCc1cccc(N(C)Cc2ncc(C)cc2C)n1")</f>
        <v>CNCc1cccc(N(C)Cc2ncc(C)cc2C)n1</v>
      </c>
      <c r="C14520" s="7">
        <f>IFERROR(__xludf.DUMMYFUNCTION("""COMPUTED_VALUE"""),7.748008)</f>
        <v>7.748008</v>
      </c>
      <c r="D14520" s="7">
        <f>IFERROR(__xludf.DUMMYFUNCTION("""COMPUTED_VALUE"""),0.294117647058823)</f>
        <v>0.2941176471</v>
      </c>
    </row>
    <row r="14521">
      <c r="A14521" s="10" t="s">
        <v>15960</v>
      </c>
      <c r="B14521" s="7" t="str">
        <f>IFERROR(__xludf.DUMMYFUNCTION("SPLIT(A14521,"" "")"),"CN(CCN(C)C(C)(C)c1cccnc1)c1ccc2cccnc2c1")</f>
        <v>CN(CCN(C)C(C)(C)c1cccnc1)c1ccc2cccnc2c1</v>
      </c>
      <c r="C14521" s="7">
        <f>IFERROR(__xludf.DUMMYFUNCTION("""COMPUTED_VALUE"""),7.748006)</f>
        <v>7.748006</v>
      </c>
      <c r="D14521" s="7">
        <f>IFERROR(__xludf.DUMMYFUNCTION("""COMPUTED_VALUE"""),0.339622641509433)</f>
        <v>0.3396226415</v>
      </c>
    </row>
    <row r="14522">
      <c r="A14522" s="10" t="s">
        <v>15961</v>
      </c>
      <c r="B14522" s="7" t="str">
        <f>IFERROR(__xludf.DUMMYFUNCTION("SPLIT(A14522,"" "")"),"Cc1ccc(CN(Cc2ccccn2)Cc2ccc(N(C)Cc3ncccc3C)cn2)nc1C")</f>
        <v>Cc1ccc(CN(Cc2ccccn2)Cc2ccc(N(C)Cc3ncccc3C)cn2)nc1C</v>
      </c>
      <c r="C14522" s="7">
        <f>IFERROR(__xludf.DUMMYFUNCTION("""COMPUTED_VALUE"""),7.7480025)</f>
        <v>7.7480025</v>
      </c>
      <c r="D14522" s="7">
        <f>IFERROR(__xludf.DUMMYFUNCTION("""COMPUTED_VALUE"""),0.425925925925925)</f>
        <v>0.4259259259</v>
      </c>
    </row>
    <row r="14523">
      <c r="A14523" s="10" t="s">
        <v>15962</v>
      </c>
      <c r="B14523" s="7" t="str">
        <f>IFERROR(__xludf.DUMMYFUNCTION("SPLIT(A14523,"" "")"),"Cc1ccc(CN(C)Cc2cc(N(C)Cc3cccc(C)n3)ccn2)nc1")</f>
        <v>Cc1ccc(CN(C)Cc2cc(N(C)Cc3cccc(C)n3)ccn2)nc1</v>
      </c>
      <c r="C14523" s="7">
        <f>IFERROR(__xludf.DUMMYFUNCTION("""COMPUTED_VALUE"""),7.7479944)</f>
        <v>7.7479944</v>
      </c>
      <c r="D14523" s="7">
        <f>IFERROR(__xludf.DUMMYFUNCTION("""COMPUTED_VALUE"""),0.468085106382978)</f>
        <v>0.4680851064</v>
      </c>
    </row>
    <row r="14524">
      <c r="A14524" s="10" t="s">
        <v>15963</v>
      </c>
      <c r="B14524" s="7" t="str">
        <f>IFERROR(__xludf.DUMMYFUNCTION("SPLIT(A14524,"" "")"),"CNC1C=C(N(Cc2ccccn2)Cc2ncc(C)cc2C)C=CN1")</f>
        <v>CNC1C=C(N(Cc2ccccn2)Cc2ncc(C)cc2C)C=CN1</v>
      </c>
      <c r="C14524" s="7">
        <f>IFERROR(__xludf.DUMMYFUNCTION("""COMPUTED_VALUE"""),7.7479877)</f>
        <v>7.7479877</v>
      </c>
      <c r="D14524" s="7">
        <f>IFERROR(__xludf.DUMMYFUNCTION("""COMPUTED_VALUE"""),0.318181818181818)</f>
        <v>0.3181818182</v>
      </c>
    </row>
    <row r="14525">
      <c r="A14525" s="10" t="s">
        <v>15964</v>
      </c>
      <c r="B14525" s="7" t="str">
        <f>IFERROR(__xludf.DUMMYFUNCTION("SPLIT(A14525,"" "")"),"Cc1ccnc(CN(CC2=CCC=CN2)c2cccc(F)c2)c1C")</f>
        <v>Cc1ccnc(CN(CC2=CCC=CN2)c2cccc(F)c2)c1C</v>
      </c>
      <c r="C14525" s="7">
        <f>IFERROR(__xludf.DUMMYFUNCTION("""COMPUTED_VALUE"""),7.7479863)</f>
        <v>7.7479863</v>
      </c>
      <c r="D14525" s="7">
        <f>IFERROR(__xludf.DUMMYFUNCTION("""COMPUTED_VALUE"""),0.4)</f>
        <v>0.4</v>
      </c>
    </row>
    <row r="14526">
      <c r="A14526" s="10" t="s">
        <v>15965</v>
      </c>
      <c r="B14526" s="7" t="str">
        <f>IFERROR(__xludf.DUMMYFUNCTION("SPLIT(A14526,"" "")"),"CCNCc1cc(-c2cccnc2C(C)(C)C)ccn1")</f>
        <v>CCNCc1cc(-c2cccnc2C(C)(C)C)ccn1</v>
      </c>
      <c r="C14526" s="7">
        <f>IFERROR(__xludf.DUMMYFUNCTION("""COMPUTED_VALUE"""),7.7479753)</f>
        <v>7.7479753</v>
      </c>
      <c r="D14526" s="7">
        <f>IFERROR(__xludf.DUMMYFUNCTION("""COMPUTED_VALUE"""),0.333333333333333)</f>
        <v>0.3333333333</v>
      </c>
    </row>
    <row r="14527">
      <c r="A14527" s="10" t="s">
        <v>15966</v>
      </c>
      <c r="B14527" s="7" t="str">
        <f>IFERROR(__xludf.DUMMYFUNCTION("SPLIT(A14527,"" "")"),"Cc1ccc2nccc(CN(C)CCN(C)Cc3nccc(C)c3C)c2c1")</f>
        <v>Cc1ccc2nccc(CN(C)CCN(C)Cc3nccc(C)c3C)c2c1</v>
      </c>
      <c r="C14527" s="7">
        <f>IFERROR(__xludf.DUMMYFUNCTION("""COMPUTED_VALUE"""),7.7479653)</f>
        <v>7.7479653</v>
      </c>
      <c r="D14527" s="7">
        <f>IFERROR(__xludf.DUMMYFUNCTION("""COMPUTED_VALUE"""),0.346938775510204)</f>
        <v>0.3469387755</v>
      </c>
    </row>
    <row r="14528">
      <c r="A14528" s="10" t="s">
        <v>15967</v>
      </c>
      <c r="B14528" s="7" t="str">
        <f>IFERROR(__xludf.DUMMYFUNCTION("SPLIT(A14528,"" "")"),"CNCN(Cc1ccccn1)c1cccc2nc(CN(C)C(C)(C)C)ccc12")</f>
        <v>CNCN(Cc1ccccn1)c1cccc2nc(CN(C)C(C)(C)C)ccc12</v>
      </c>
      <c r="C14528" s="7">
        <f>IFERROR(__xludf.DUMMYFUNCTION("""COMPUTED_VALUE"""),7.7479625)</f>
        <v>7.7479625</v>
      </c>
      <c r="D14528" s="7">
        <f>IFERROR(__xludf.DUMMYFUNCTION("""COMPUTED_VALUE"""),0.418181818181818)</f>
        <v>0.4181818182</v>
      </c>
    </row>
    <row r="14529">
      <c r="A14529" s="10" t="s">
        <v>15968</v>
      </c>
      <c r="B14529" s="7" t="str">
        <f>IFERROR(__xludf.DUMMYFUNCTION("SPLIT(A14529,"" "")"),"Cc1cc(CN(C)c2cccnc2CN(C)Cc2ccc(C(C)C)nc2)cnc1C")</f>
        <v>Cc1cc(CN(C)c2cccnc2CN(C)Cc2ccc(C(C)C)nc2)cnc1C</v>
      </c>
      <c r="C14529" s="7">
        <f>IFERROR(__xludf.DUMMYFUNCTION("""COMPUTED_VALUE"""),7.747956)</f>
        <v>7.747956</v>
      </c>
      <c r="D14529" s="7">
        <f>IFERROR(__xludf.DUMMYFUNCTION("""COMPUTED_VALUE"""),0.278688524590163)</f>
        <v>0.2786885246</v>
      </c>
    </row>
    <row r="14530">
      <c r="A14530" s="10" t="s">
        <v>15969</v>
      </c>
      <c r="B14530" s="7" t="str">
        <f>IFERROR(__xludf.DUMMYFUNCTION("SPLIT(A14530,"" "")"),"CN(CCNc1cccc2ncccc12)Cc1ncccc1C(C)(C)C")</f>
        <v>CN(CCNc1cccc2ncccc12)Cc1ncccc1C(C)(C)C</v>
      </c>
      <c r="C14530" s="7">
        <f>IFERROR(__xludf.DUMMYFUNCTION("""COMPUTED_VALUE"""),7.7479553)</f>
        <v>7.7479553</v>
      </c>
      <c r="D14530" s="7">
        <f>IFERROR(__xludf.DUMMYFUNCTION("""COMPUTED_VALUE"""),0.321428571428571)</f>
        <v>0.3214285714</v>
      </c>
    </row>
    <row r="14531">
      <c r="A14531" s="10" t="s">
        <v>15970</v>
      </c>
      <c r="B14531" s="7" t="str">
        <f>IFERROR(__xludf.DUMMYFUNCTION("SPLIT(A14531,"" "")"),"Cc1ccc(CN(C)c2ccc(CN(Cc3ccccn3)Cc3ccc(N)cn3)nc2)nc1C")</f>
        <v>Cc1ccc(CN(C)c2ccc(CN(Cc3ccccn3)Cc3ccc(N)cn3)nc2)nc1C</v>
      </c>
      <c r="C14531" s="7">
        <f>IFERROR(__xludf.DUMMYFUNCTION("""COMPUTED_VALUE"""),7.747955)</f>
        <v>7.747955</v>
      </c>
      <c r="D14531" s="7">
        <f>IFERROR(__xludf.DUMMYFUNCTION("""COMPUTED_VALUE"""),0.425925925925925)</f>
        <v>0.4259259259</v>
      </c>
    </row>
    <row r="14532">
      <c r="A14532" s="10" t="s">
        <v>15971</v>
      </c>
      <c r="B14532" s="7" t="str">
        <f>IFERROR(__xludf.DUMMYFUNCTION("SPLIT(A14532,"" "")"),"Cc1ccnc(CN(C)c2ccccc2C)c1")</f>
        <v>Cc1ccnc(CN(C)c2ccccc2C)c1</v>
      </c>
      <c r="C14532" s="7">
        <f>IFERROR(__xludf.DUMMYFUNCTION("""COMPUTED_VALUE"""),7.747951)</f>
        <v>7.747951</v>
      </c>
      <c r="D14532" s="7">
        <f>IFERROR(__xludf.DUMMYFUNCTION("""COMPUTED_VALUE"""),0.48780487804878)</f>
        <v>0.487804878</v>
      </c>
    </row>
    <row r="14533">
      <c r="A14533" s="10" t="s">
        <v>15972</v>
      </c>
      <c r="B14533" s="7" t="str">
        <f>IFERROR(__xludf.DUMMYFUNCTION("SPLIT(A14533,"" "")"),"CCN(C)CCN(C)c1ccc2nccc(CF)c2c1")</f>
        <v>CCN(C)CCN(C)c1ccc2nccc(CF)c2c1</v>
      </c>
      <c r="C14533" s="7">
        <f>IFERROR(__xludf.DUMMYFUNCTION("""COMPUTED_VALUE"""),7.747947)</f>
        <v>7.747947</v>
      </c>
      <c r="D14533" s="7">
        <f>IFERROR(__xludf.DUMMYFUNCTION("""COMPUTED_VALUE"""),0.285714285714285)</f>
        <v>0.2857142857</v>
      </c>
    </row>
    <row r="14534">
      <c r="A14534" s="10" t="s">
        <v>15973</v>
      </c>
      <c r="B14534" s="7" t="str">
        <f>IFERROR(__xludf.DUMMYFUNCTION("SPLIT(A14534,"" "")"),"C1=C(N(Cc2ccccn2)Cc2ccccn2)C=C(N(Cc2ccccn2)Cc2ccccn2)NC1")</f>
        <v>C1=C(N(Cc2ccccn2)Cc2ccccn2)C=C(N(Cc2ccccn2)Cc2ccccn2)NC1</v>
      </c>
      <c r="C14534" s="7">
        <f>IFERROR(__xludf.DUMMYFUNCTION("""COMPUTED_VALUE"""),7.7479453)</f>
        <v>7.7479453</v>
      </c>
      <c r="D14534" s="7">
        <f>IFERROR(__xludf.DUMMYFUNCTION("""COMPUTED_VALUE"""),0.459459459459459)</f>
        <v>0.4594594595</v>
      </c>
    </row>
    <row r="14535">
      <c r="A14535" s="10" t="s">
        <v>15974</v>
      </c>
      <c r="B14535" s="7" t="str">
        <f>IFERROR(__xludf.DUMMYFUNCTION("SPLIT(A14535,"" "")"),"CN(Cc1ccccn1)C1=C(CN(Cc2cccnc2)c2ccccc2F)NC=CC1")</f>
        <v>CN(Cc1ccccn1)C1=C(CN(Cc2cccnc2)c2ccccc2F)NC=CC1</v>
      </c>
      <c r="C14535" s="7">
        <f>IFERROR(__xludf.DUMMYFUNCTION("""COMPUTED_VALUE"""),7.747945)</f>
        <v>7.747945</v>
      </c>
      <c r="D14535" s="7">
        <f>IFERROR(__xludf.DUMMYFUNCTION("""COMPUTED_VALUE"""),0.34375)</f>
        <v>0.34375</v>
      </c>
    </row>
    <row r="14536">
      <c r="A14536" s="10" t="s">
        <v>15975</v>
      </c>
      <c r="B14536" s="7" t="str">
        <f>IFERROR(__xludf.DUMMYFUNCTION("SPLIT(A14536,"" "")"),"Cc1ccc(CN(C)Cc2cccc(N(C)Cc3nccc(C)c3C)n2)nc1")</f>
        <v>Cc1ccc(CN(C)Cc2cccc(N(C)Cc3nccc(C)c3C)n2)nc1</v>
      </c>
      <c r="C14536" s="7">
        <f>IFERROR(__xludf.DUMMYFUNCTION("""COMPUTED_VALUE"""),7.7479424)</f>
        <v>7.7479424</v>
      </c>
      <c r="D14536" s="7">
        <f>IFERROR(__xludf.DUMMYFUNCTION("""COMPUTED_VALUE"""),0.458333333333333)</f>
        <v>0.4583333333</v>
      </c>
    </row>
    <row r="14537">
      <c r="A14537" s="10" t="s">
        <v>15976</v>
      </c>
      <c r="B14537" s="7" t="str">
        <f>IFERROR(__xludf.DUMMYFUNCTION("SPLIT(A14537,"" "")"),"Cc1ccc(CN(C)c2cccnc2CN(Cc2ccccn2)Cc2ccc(N)cn2)nc1C")</f>
        <v>Cc1ccc(CN(C)c2cccnc2CN(Cc2ccccn2)Cc2ccc(N)cn2)nc1C</v>
      </c>
      <c r="C14537" s="7">
        <f>IFERROR(__xludf.DUMMYFUNCTION("""COMPUTED_VALUE"""),7.747938)</f>
        <v>7.747938</v>
      </c>
      <c r="D14537" s="7">
        <f>IFERROR(__xludf.DUMMYFUNCTION("""COMPUTED_VALUE"""),0.403508771929824)</f>
        <v>0.4035087719</v>
      </c>
    </row>
    <row r="14538">
      <c r="A14538" s="10" t="s">
        <v>15977</v>
      </c>
      <c r="B14538" s="7" t="str">
        <f>IFERROR(__xludf.DUMMYFUNCTION("SPLIT(A14538,"" "")"),"Cc1cc(CN(C)CCN(C)c2ccc3ccc(CN(Cc4ccccn4)CC(C)(C)C)nc3c2)nc(C)c1C")</f>
        <v>Cc1cc(CN(C)CCN(C)c2ccc3ccc(CN(Cc4ccccn4)CC(C)(C)C)nc3c2)nc(C)c1C</v>
      </c>
      <c r="C14538" s="7">
        <f>IFERROR(__xludf.DUMMYFUNCTION("""COMPUTED_VALUE"""),7.74793)</f>
        <v>7.74793</v>
      </c>
      <c r="D14538" s="7">
        <f>IFERROR(__xludf.DUMMYFUNCTION("""COMPUTED_VALUE"""),0.45)</f>
        <v>0.45</v>
      </c>
    </row>
    <row r="14539">
      <c r="A14539" s="10" t="s">
        <v>15978</v>
      </c>
      <c r="B14539" s="7" t="str">
        <f>IFERROR(__xludf.DUMMYFUNCTION("SPLIT(A14539,"" "")"),"CN(CCN(Cc1cccnc1)c1ccc2cccnc2c1)C(C)(C)c1ccccn1")</f>
        <v>CN(CCN(Cc1cccnc1)c1ccc2cccnc2c1)C(C)(C)c1ccccn1</v>
      </c>
      <c r="C14539" s="7">
        <f>IFERROR(__xludf.DUMMYFUNCTION("""COMPUTED_VALUE"""),7.747927)</f>
        <v>7.747927</v>
      </c>
      <c r="D14539" s="7">
        <f>IFERROR(__xludf.DUMMYFUNCTION("""COMPUTED_VALUE"""),0.338709677419354)</f>
        <v>0.3387096774</v>
      </c>
    </row>
    <row r="14540">
      <c r="A14540" s="10" t="s">
        <v>15979</v>
      </c>
      <c r="B14540" s="7" t="str">
        <f>IFERROR(__xludf.DUMMYFUNCTION("SPLIT(A14540,"" "")"),"Cc1ccc(CN(C)c2ccc(CN(Cc3ccccn3)Cc3ncc(C)c(C)c3C)nc2)nc1")</f>
        <v>Cc1ccc(CN(C)c2ccc(CN(Cc3ccccn3)Cc3ncc(C)c(C)c3C)nc2)nc1</v>
      </c>
      <c r="C14540" s="7">
        <f>IFERROR(__xludf.DUMMYFUNCTION("""COMPUTED_VALUE"""),7.747925)</f>
        <v>7.747925</v>
      </c>
      <c r="D14540" s="7">
        <f>IFERROR(__xludf.DUMMYFUNCTION("""COMPUTED_VALUE"""),0.434782608695652)</f>
        <v>0.4347826087</v>
      </c>
    </row>
    <row r="14541">
      <c r="A14541" s="10" t="s">
        <v>15980</v>
      </c>
      <c r="B14541" s="7" t="str">
        <f>IFERROR(__xludf.DUMMYFUNCTION("SPLIT(A14541,"" "")"),"CN(C)Cc1cnc2ccc(N(C)C3CCCCC3N(Cc3ccc4ncccc4c3)Cc3ccccn3)cc2c1")</f>
        <v>CN(C)Cc1cnc2ccc(N(C)C3CCCCC3N(Cc3ccc4ncccc4c3)Cc3ccccn3)cc2c1</v>
      </c>
      <c r="C14541" s="7">
        <f>IFERROR(__xludf.DUMMYFUNCTION("""COMPUTED_VALUE"""),7.7479186)</f>
        <v>7.7479186</v>
      </c>
      <c r="D14541" s="7">
        <f>IFERROR(__xludf.DUMMYFUNCTION("""COMPUTED_VALUE"""),0.419354838709677)</f>
        <v>0.4193548387</v>
      </c>
    </row>
    <row r="14542">
      <c r="A14542" s="10" t="s">
        <v>15981</v>
      </c>
      <c r="B14542" s="7" t="str">
        <f>IFERROR(__xludf.DUMMYFUNCTION("SPLIT(A14542,"" "")"),"CCN(Cc1ccccn1)Cc1cc(C2=NC(c3ccccn3)CO2)ccn1")</f>
        <v>CCN(Cc1ccccn1)Cc1cc(C2=NC(c3ccccn3)CO2)ccn1</v>
      </c>
      <c r="C14542" s="7">
        <f>IFERROR(__xludf.DUMMYFUNCTION("""COMPUTED_VALUE"""),7.747917)</f>
        <v>7.747917</v>
      </c>
      <c r="D14542" s="7">
        <f>IFERROR(__xludf.DUMMYFUNCTION("""COMPUTED_VALUE"""),0.387755102040816)</f>
        <v>0.387755102</v>
      </c>
    </row>
    <row r="14543">
      <c r="A14543" s="10" t="s">
        <v>15982</v>
      </c>
      <c r="B14543" s="7" t="str">
        <f>IFERROR(__xludf.DUMMYFUNCTION("SPLIT(A14543,"" "")"),"Cc1ccccc1CN(C)Cc1cccc(-c2cccc(NCc3ccccn3)c2)n1")</f>
        <v>Cc1ccccc1CN(C)Cc1cccc(-c2cccc(NCc3ccccn3)c2)n1</v>
      </c>
      <c r="C14543" s="7">
        <f>IFERROR(__xludf.DUMMYFUNCTION("""COMPUTED_VALUE"""),7.7479053)</f>
        <v>7.7479053</v>
      </c>
      <c r="D14543" s="7">
        <f>IFERROR(__xludf.DUMMYFUNCTION("""COMPUTED_VALUE"""),0.5)</f>
        <v>0.5</v>
      </c>
    </row>
    <row r="14544">
      <c r="A14544" s="10" t="s">
        <v>15983</v>
      </c>
      <c r="B14544" s="7" t="str">
        <f>IFERROR(__xludf.DUMMYFUNCTION("SPLIT(A14544,"" "")"),"CCNC1=Cc2cccnc2CC1c1ncccc1CN(Cc1ccccn1)Cc1cccc(C(C)(C)c2ccccn2)n1")</f>
        <v>CCNC1=Cc2cccnc2CC1c1ncccc1CN(Cc1ccccn1)Cc1cccc(C(C)(C)c2ccccn2)n1</v>
      </c>
      <c r="C14544" s="7">
        <f>IFERROR(__xludf.DUMMYFUNCTION("""COMPUTED_VALUE"""),7.747903)</f>
        <v>7.747903</v>
      </c>
      <c r="D14544" s="7">
        <f>IFERROR(__xludf.DUMMYFUNCTION("""COMPUTED_VALUE"""),0.333333333333333)</f>
        <v>0.3333333333</v>
      </c>
    </row>
    <row r="14545">
      <c r="A14545" s="10" t="s">
        <v>15984</v>
      </c>
      <c r="B14545" s="7" t="str">
        <f>IFERROR(__xludf.DUMMYFUNCTION("SPLIT(A14545,"" "")"),"CC(C)N(C)CCN(C)c1ccc2ncc(CN(C)C)cc2c1")</f>
        <v>CC(C)N(C)CCN(C)c1ccc2ncc(CN(C)C)cc2c1</v>
      </c>
      <c r="C14545" s="7">
        <f>IFERROR(__xludf.DUMMYFUNCTION("""COMPUTED_VALUE"""),7.7478995)</f>
        <v>7.7478995</v>
      </c>
      <c r="D14545" s="7">
        <f>IFERROR(__xludf.DUMMYFUNCTION("""COMPUTED_VALUE"""),0.24074074074074)</f>
        <v>0.2407407407</v>
      </c>
    </row>
    <row r="14546">
      <c r="A14546" s="10" t="s">
        <v>15985</v>
      </c>
      <c r="B14546" s="7" t="str">
        <f>IFERROR(__xludf.DUMMYFUNCTION("SPLIT(A14546,"" "")"),"CN(c1ccc2cccnc2c1)C1CCC(N(Cc2ccc3cccnc3c2)Cc2ccccn2)CC1")</f>
        <v>CN(c1ccc2cccnc2c1)C1CCC(N(Cc2ccc3cccnc3c2)Cc2ccccn2)CC1</v>
      </c>
      <c r="C14546" s="7">
        <f>IFERROR(__xludf.DUMMYFUNCTION("""COMPUTED_VALUE"""),7.7478833)</f>
        <v>7.7478833</v>
      </c>
      <c r="D14546" s="7">
        <f>IFERROR(__xludf.DUMMYFUNCTION("""COMPUTED_VALUE"""),0.410714285714285)</f>
        <v>0.4107142857</v>
      </c>
    </row>
    <row r="14547">
      <c r="A14547" s="10" t="s">
        <v>15986</v>
      </c>
      <c r="B14547" s="7" t="str">
        <f>IFERROR(__xludf.DUMMYFUNCTION("SPLIT(A14547,"" "")"),"Cc1cc(CN(C)CC2=CCC=C(N(C)Cc3cc(C)c(C)c(C)n3)N2)cnc1C")</f>
        <v>Cc1cc(CN(C)CC2=CCC=C(N(C)Cc3cc(C)c(C)c(C)n3)N2)cnc1C</v>
      </c>
      <c r="C14547" s="7">
        <f>IFERROR(__xludf.DUMMYFUNCTION("""COMPUTED_VALUE"""),7.7478776)</f>
        <v>7.7478776</v>
      </c>
      <c r="D14547" s="7">
        <f>IFERROR(__xludf.DUMMYFUNCTION("""COMPUTED_VALUE"""),0.21311475409836)</f>
        <v>0.2131147541</v>
      </c>
    </row>
    <row r="14548">
      <c r="A14548" s="10" t="s">
        <v>15987</v>
      </c>
      <c r="B14548" s="7" t="str">
        <f>IFERROR(__xludf.DUMMYFUNCTION("SPLIT(A14548,"" "")"),"CC(C)c1cccnc1-c1ccccc1")</f>
        <v>CC(C)c1cccnc1-c1ccccc1</v>
      </c>
      <c r="C14548" s="7">
        <f>IFERROR(__xludf.DUMMYFUNCTION("""COMPUTED_VALUE"""),7.7478766)</f>
        <v>7.7478766</v>
      </c>
      <c r="D14548" s="7">
        <f>IFERROR(__xludf.DUMMYFUNCTION("""COMPUTED_VALUE"""),0.3)</f>
        <v>0.3</v>
      </c>
    </row>
    <row r="14549">
      <c r="A14549" s="10" t="s">
        <v>15988</v>
      </c>
      <c r="B14549" s="7" t="str">
        <f>IFERROR(__xludf.DUMMYFUNCTION("SPLIT(A14549,"" "")"),"Cc1ccccc1N(C)Cc1cccc(N)n1")</f>
        <v>Cc1ccccc1N(C)Cc1cccc(N)n1</v>
      </c>
      <c r="C14549" s="7">
        <f>IFERROR(__xludf.DUMMYFUNCTION("""COMPUTED_VALUE"""),7.7478743)</f>
        <v>7.7478743</v>
      </c>
      <c r="D14549" s="7">
        <f>IFERROR(__xludf.DUMMYFUNCTION("""COMPUTED_VALUE"""),0.390243902439024)</f>
        <v>0.3902439024</v>
      </c>
    </row>
    <row r="14550">
      <c r="A14550" s="10" t="s">
        <v>15989</v>
      </c>
      <c r="B14550" s="7" t="str">
        <f>IFERROR(__xludf.DUMMYFUNCTION("SPLIT(A14550,"" "")"),"CN(Cc1ncccc1N)c1ccccc1F")</f>
        <v>CN(Cc1ncccc1N)c1ccccc1F</v>
      </c>
      <c r="C14550" s="7">
        <f>IFERROR(__xludf.DUMMYFUNCTION("""COMPUTED_VALUE"""),7.7478724)</f>
        <v>7.7478724</v>
      </c>
      <c r="D14550" s="7">
        <f>IFERROR(__xludf.DUMMYFUNCTION("""COMPUTED_VALUE"""),0.369565217391304)</f>
        <v>0.3695652174</v>
      </c>
    </row>
    <row r="14551">
      <c r="A14551" s="10" t="s">
        <v>15990</v>
      </c>
      <c r="B14551" s="7" t="str">
        <f>IFERROR(__xludf.DUMMYFUNCTION("SPLIT(A14551,"" "")"),"Cc1cc(CN(C)Cc2cc(CN(Cc3cc(C)c(C)c(C)n3)Cc3cc(C)c(C)c(C)n3)ccn2)nc(C)c1C")</f>
        <v>Cc1cc(CN(C)Cc2cc(CN(Cc3cc(C)c(C)c(C)n3)Cc3cc(C)c(C)c(C)n3)ccn2)nc(C)c1C</v>
      </c>
      <c r="C14551" s="7">
        <f>IFERROR(__xludf.DUMMYFUNCTION("""COMPUTED_VALUE"""),7.74787)</f>
        <v>7.74787</v>
      </c>
      <c r="D14551" s="7">
        <f>IFERROR(__xludf.DUMMYFUNCTION("""COMPUTED_VALUE"""),0.36)</f>
        <v>0.36</v>
      </c>
    </row>
    <row r="14552">
      <c r="A14552" s="10" t="s">
        <v>15991</v>
      </c>
      <c r="B14552" s="7" t="str">
        <f>IFERROR(__xludf.DUMMYFUNCTION("SPLIT(A14552,"" "")"),"C(=Nc1ccccc1-c1cccc(CN(Cc2ccccc2)Cc2ccccc2)n1)c1ccccn1")</f>
        <v>C(=Nc1ccccc1-c1cccc(CN(Cc2ccccc2)Cc2ccccc2)n1)c1ccccn1</v>
      </c>
      <c r="C14552" s="7">
        <f>IFERROR(__xludf.DUMMYFUNCTION("""COMPUTED_VALUE"""),7.7478666)</f>
        <v>7.7478666</v>
      </c>
      <c r="D14552" s="7">
        <f>IFERROR(__xludf.DUMMYFUNCTION("""COMPUTED_VALUE"""),0.425925925925925)</f>
        <v>0.4259259259</v>
      </c>
    </row>
    <row r="14553">
      <c r="A14553" s="10" t="s">
        <v>15992</v>
      </c>
      <c r="B14553" s="7" t="str">
        <f>IFERROR(__xludf.DUMMYFUNCTION("SPLIT(A14553,"" "")"),"CN(C)c1cccc(-c2cncc(CN(Cc3ccccn3)CC(C)(C)C)c2)c1")</f>
        <v>CN(C)c1cccc(-c2cncc(CN(Cc3ccccn3)CC(C)(C)C)c2)c1</v>
      </c>
      <c r="C14553" s="7">
        <f>IFERROR(__xludf.DUMMYFUNCTION("""COMPUTED_VALUE"""),7.7478604)</f>
        <v>7.7478604</v>
      </c>
      <c r="D14553" s="7">
        <f>IFERROR(__xludf.DUMMYFUNCTION("""COMPUTED_VALUE"""),0.5)</f>
        <v>0.5</v>
      </c>
    </row>
    <row r="14554">
      <c r="A14554" s="10" t="s">
        <v>15993</v>
      </c>
      <c r="B14554" s="7" t="str">
        <f>IFERROR(__xludf.DUMMYFUNCTION("SPLIT(A14554,"" "")"),"CC(N)c1cccc(C2=CCC=CN2)n1")</f>
        <v>CC(N)c1cccc(C2=CCC=CN2)n1</v>
      </c>
      <c r="C14554" s="7">
        <f>IFERROR(__xludf.DUMMYFUNCTION("""COMPUTED_VALUE"""),7.74785)</f>
        <v>7.74785</v>
      </c>
      <c r="D14554" s="7">
        <f>IFERROR(__xludf.DUMMYFUNCTION("""COMPUTED_VALUE"""),0.272727272727272)</f>
        <v>0.2727272727</v>
      </c>
    </row>
    <row r="14555">
      <c r="A14555" s="10" t="s">
        <v>15994</v>
      </c>
      <c r="B14555" s="7" t="str">
        <f>IFERROR(__xludf.DUMMYFUNCTION("SPLIT(A14555,"" "")"),"COC(=O)c1cc(CN(Cc2ccccn2)C2CCCC(N(C)c3cccc4c(CN(C)C)ccnc34)C2)ccn1")</f>
        <v>COC(=O)c1cc(CN(Cc2ccccn2)C2CCCC(N(C)c3cccc4c(CN(C)C)ccnc34)C2)ccn1</v>
      </c>
      <c r="C14555" s="7">
        <f>IFERROR(__xludf.DUMMYFUNCTION("""COMPUTED_VALUE"""),7.747825)</f>
        <v>7.747825</v>
      </c>
      <c r="D14555" s="7">
        <f>IFERROR(__xludf.DUMMYFUNCTION("""COMPUTED_VALUE"""),0.306666666666666)</f>
        <v>0.3066666667</v>
      </c>
    </row>
    <row r="14556">
      <c r="A14556" s="10" t="s">
        <v>15995</v>
      </c>
      <c r="B14556" s="7" t="str">
        <f>IFERROR(__xludf.DUMMYFUNCTION("SPLIT(A14556,"" "")"),"CC(C)C1=CC2(C=CN1)C=C(N)c1cccnc1C2C")</f>
        <v>CC(C)C1=CC2(C=CN1)C=C(N)c1cccnc1C2C</v>
      </c>
      <c r="C14556" s="7">
        <f>IFERROR(__xludf.DUMMYFUNCTION("""COMPUTED_VALUE"""),7.7478223)</f>
        <v>7.7478223</v>
      </c>
      <c r="D14556" s="7">
        <f>IFERROR(__xludf.DUMMYFUNCTION("""COMPUTED_VALUE"""),0.186440677966101)</f>
        <v>0.186440678</v>
      </c>
    </row>
    <row r="14557">
      <c r="A14557" s="10" t="s">
        <v>15996</v>
      </c>
      <c r="B14557" s="7" t="str">
        <f>IFERROR(__xludf.DUMMYFUNCTION("SPLIT(A14557,"" "")"),"CC(C(c1ccccn1)c1cccc(-c2cccc(NC3C=CC=CN3)n2)n1)C(C)N(Cc1ccccn1)Cc1ccccn1")</f>
        <v>CC(C(c1ccccn1)c1cccc(-c2cccc(NC3C=CC=CN3)n2)n1)C(C)N(Cc1ccccn1)Cc1ccccn1</v>
      </c>
      <c r="C14557" s="7">
        <f>IFERROR(__xludf.DUMMYFUNCTION("""COMPUTED_VALUE"""),7.7478123)</f>
        <v>7.7478123</v>
      </c>
      <c r="D14557" s="7">
        <f>IFERROR(__xludf.DUMMYFUNCTION("""COMPUTED_VALUE"""),0.376811594202898)</f>
        <v>0.3768115942</v>
      </c>
    </row>
    <row r="14558">
      <c r="A14558" s="10" t="s">
        <v>15997</v>
      </c>
      <c r="B14558" s="7" t="str">
        <f>IFERROR(__xludf.DUMMYFUNCTION("SPLIT(A14558,"" "")"),"Cc1cc(C)c(CN(Cc2nc(C)c(C)cc2C)C2CCC(N(C)Cc3cc(-c4ccc5ncccc5c4)ccn3)CC2)nc1C")</f>
        <v>Cc1cc(C)c(CN(Cc2nc(C)c(C)cc2C)C2CCC(N(C)Cc3cc(-c4ccc5ncccc5c4)ccn3)CC2)nc1C</v>
      </c>
      <c r="C14558" s="7">
        <f>IFERROR(__xludf.DUMMYFUNCTION("""COMPUTED_VALUE"""),7.747811)</f>
        <v>7.747811</v>
      </c>
      <c r="D14558" s="7">
        <f>IFERROR(__xludf.DUMMYFUNCTION("""COMPUTED_VALUE"""),0.307692307692307)</f>
        <v>0.3076923077</v>
      </c>
    </row>
    <row r="14559">
      <c r="A14559" s="10" t="s">
        <v>15998</v>
      </c>
      <c r="B14559" s="7" t="str">
        <f>IFERROR(__xludf.DUMMYFUNCTION("SPLIT(A14559,"" "")"),"Cc1cccc(N(C)Cc2ncccc2C)c1")</f>
        <v>Cc1cccc(N(C)Cc2ncccc2C)c1</v>
      </c>
      <c r="C14559" s="7">
        <f>IFERROR(__xludf.DUMMYFUNCTION("""COMPUTED_VALUE"""),7.747807)</f>
        <v>7.747807</v>
      </c>
      <c r="D14559" s="7">
        <f>IFERROR(__xludf.DUMMYFUNCTION("""COMPUTED_VALUE"""),0.333333333333333)</f>
        <v>0.3333333333</v>
      </c>
    </row>
    <row r="14560">
      <c r="A14560" s="10" t="s">
        <v>15999</v>
      </c>
      <c r="B14560" s="7" t="str">
        <f>IFERROR(__xludf.DUMMYFUNCTION("SPLIT(A14560,"" "")"),"CCN(C)CCN(C)c1cccc2c(CF)ccnc12")</f>
        <v>CCN(C)CCN(C)c1cccc2c(CF)ccnc12</v>
      </c>
      <c r="C14560" s="7">
        <f>IFERROR(__xludf.DUMMYFUNCTION("""COMPUTED_VALUE"""),7.7477984)</f>
        <v>7.7477984</v>
      </c>
      <c r="D14560" s="7">
        <f>IFERROR(__xludf.DUMMYFUNCTION("""COMPUTED_VALUE"""),0.466666666666666)</f>
        <v>0.4666666667</v>
      </c>
    </row>
    <row r="14561">
      <c r="A14561" s="10" t="s">
        <v>16000</v>
      </c>
      <c r="B14561" s="7" t="str">
        <f>IFERROR(__xludf.DUMMYFUNCTION("SPLIT(A14561,"" "")"),"Cc1ccc(CN(C)Cc2cc(N(C)Cc3ccccn3)ccn2)nc1C")</f>
        <v>Cc1ccc(CN(C)Cc2cc(N(C)Cc3ccccn3)ccn2)nc1C</v>
      </c>
      <c r="C14561" s="7">
        <f>IFERROR(__xludf.DUMMYFUNCTION("""COMPUTED_VALUE"""),7.7477946)</f>
        <v>7.7477946</v>
      </c>
      <c r="D14561" s="7">
        <f>IFERROR(__xludf.DUMMYFUNCTION("""COMPUTED_VALUE"""),0.489795918367346)</f>
        <v>0.4897959184</v>
      </c>
    </row>
    <row r="14562">
      <c r="A14562" s="10" t="s">
        <v>16001</v>
      </c>
      <c r="B14562" s="7" t="str">
        <f>IFERROR(__xludf.DUMMYFUNCTION("SPLIT(A14562,"" "")"),"CC1=C(C)C(N(C)Cc2cc(-c3cccc(N(C)C)c3)ccn2)CC(C)C1")</f>
        <v>CC1=C(C)C(N(C)Cc2cc(-c3cccc(N(C)C)c3)ccn2)CC(C)C1</v>
      </c>
      <c r="C14562" s="7">
        <f>IFERROR(__xludf.DUMMYFUNCTION("""COMPUTED_VALUE"""),7.7477946)</f>
        <v>7.7477946</v>
      </c>
      <c r="D14562" s="7">
        <f>IFERROR(__xludf.DUMMYFUNCTION("""COMPUTED_VALUE"""),0.3)</f>
        <v>0.3</v>
      </c>
    </row>
    <row r="14563">
      <c r="A14563" s="10" t="s">
        <v>16002</v>
      </c>
      <c r="B14563" s="7" t="str">
        <f>IFERROR(__xludf.DUMMYFUNCTION("SPLIT(A14563,"" "")"),"Cc1cccc(CN(Cc2cccc(-c3cccc(N(C)C(C)C)c3)n2)C2CCC(N(C)c3ccc4nc(CF)ccc4c3)CC2)n1")</f>
        <v>Cc1cccc(CN(Cc2cccc(-c3cccc(N(C)C(C)C)c3)n2)C2CCC(N(C)c3ccc4nc(CF)ccc4c3)CC2)n1</v>
      </c>
      <c r="C14563" s="7">
        <f>IFERROR(__xludf.DUMMYFUNCTION("""COMPUTED_VALUE"""),7.747794)</f>
        <v>7.747794</v>
      </c>
      <c r="D14563" s="7">
        <f>IFERROR(__xludf.DUMMYFUNCTION("""COMPUTED_VALUE"""),0.333333333333333)</f>
        <v>0.3333333333</v>
      </c>
    </row>
    <row r="14564">
      <c r="A14564" s="10" t="s">
        <v>16003</v>
      </c>
      <c r="B14564" s="7" t="str">
        <f>IFERROR(__xludf.DUMMYFUNCTION("SPLIT(A14564,"" "")"),"Cc1cncc(CN(C)Cc2cc(N(C)Cc3nc(C)ccc3C)ccn2)c1")</f>
        <v>Cc1cncc(CN(C)Cc2cc(N(C)Cc3nc(C)ccc3C)ccn2)c1</v>
      </c>
      <c r="C14564" s="7">
        <f>IFERROR(__xludf.DUMMYFUNCTION("""COMPUTED_VALUE"""),7.7477927)</f>
        <v>7.7477927</v>
      </c>
      <c r="D14564" s="7">
        <f>IFERROR(__xludf.DUMMYFUNCTION("""COMPUTED_VALUE"""),0.280701754385964)</f>
        <v>0.2807017544</v>
      </c>
    </row>
    <row r="14565">
      <c r="A14565" s="10" t="s">
        <v>16004</v>
      </c>
      <c r="B14565" s="7" t="str">
        <f>IFERROR(__xludf.DUMMYFUNCTION("SPLIT(A14565,"" "")"),"Cc1cc(C)c(CN(Cc2ccccn2)Cc2ccc(N(C)C)cn2)nc1C")</f>
        <v>Cc1cc(C)c(CN(Cc2ccccn2)Cc2ccc(N(C)C)cn2)nc1C</v>
      </c>
      <c r="C14565" s="7">
        <f>IFERROR(__xludf.DUMMYFUNCTION("""COMPUTED_VALUE"""),7.7477922)</f>
        <v>7.7477922</v>
      </c>
      <c r="D14565" s="7">
        <f>IFERROR(__xludf.DUMMYFUNCTION("""COMPUTED_VALUE"""),0.454545454545454)</f>
        <v>0.4545454545</v>
      </c>
    </row>
    <row r="14566">
      <c r="A14566" s="10" t="s">
        <v>16005</v>
      </c>
      <c r="B14566" s="7" t="str">
        <f>IFERROR(__xludf.DUMMYFUNCTION("SPLIT(A14566,"" "")"),"Cc1cc(CN(C)Cc2ccc(N(C)Cc3ncccc3C)cn2)ccn1")</f>
        <v>Cc1cc(CN(C)Cc2ccc(N(C)Cc3ncccc3C)cn2)ccn1</v>
      </c>
      <c r="C14566" s="7">
        <f>IFERROR(__xludf.DUMMYFUNCTION("""COMPUTED_VALUE"""),7.74779)</f>
        <v>7.74779</v>
      </c>
      <c r="D14566" s="7">
        <f>IFERROR(__xludf.DUMMYFUNCTION("""COMPUTED_VALUE"""),0.339622641509433)</f>
        <v>0.3396226415</v>
      </c>
    </row>
    <row r="14567">
      <c r="A14567" s="10" t="s">
        <v>16006</v>
      </c>
      <c r="B14567" s="7" t="str">
        <f>IFERROR(__xludf.DUMMYFUNCTION("SPLIT(A14567,"" "")"),"CCN(Cc1ccccn1)c1ccc2cccnc2c1-c1cccc(CN(Cc2ccccn2)C2CCC(N(C)Cc3ccon3)CC2)n1")</f>
        <v>CCN(Cc1ccccn1)c1ccc2cccnc2c1-c1cccc(CN(Cc2ccccn2)C2CCC(N(C)Cc3ccon3)CC2)n1</v>
      </c>
      <c r="C14567" s="7">
        <f>IFERROR(__xludf.DUMMYFUNCTION("""COMPUTED_VALUE"""),7.7477756)</f>
        <v>7.7477756</v>
      </c>
      <c r="D14567" s="7">
        <f>IFERROR(__xludf.DUMMYFUNCTION("""COMPUTED_VALUE"""),0.347222222222222)</f>
        <v>0.3472222222</v>
      </c>
    </row>
    <row r="14568">
      <c r="A14568" s="10" t="s">
        <v>16007</v>
      </c>
      <c r="B14568" s="7" t="str">
        <f>IFERROR(__xludf.DUMMYFUNCTION("SPLIT(A14568,"" "")"),"Cc1ccc(CN(C)Cc2cc(N(C)Cc3ncccc3C)ccn2)nc1")</f>
        <v>Cc1ccc(CN(C)Cc2cc(N(C)Cc3ncccc3C)ccn2)nc1</v>
      </c>
      <c r="C14568" s="7">
        <f>IFERROR(__xludf.DUMMYFUNCTION("""COMPUTED_VALUE"""),7.747774)</f>
        <v>7.747774</v>
      </c>
      <c r="D14568" s="7">
        <f>IFERROR(__xludf.DUMMYFUNCTION("""COMPUTED_VALUE"""),0.468085106382978)</f>
        <v>0.4680851064</v>
      </c>
    </row>
    <row r="14569">
      <c r="A14569" s="10" t="s">
        <v>16008</v>
      </c>
      <c r="B14569" s="7" t="str">
        <f>IFERROR(__xludf.DUMMYFUNCTION("SPLIT(A14569,"" "")"),"Cc1ccc(-c2ccccc2NCc2ccccn2)nc1CN(C)C(C)C")</f>
        <v>Cc1ccc(-c2ccccc2NCc2ccccn2)nc1CN(C)C(C)C</v>
      </c>
      <c r="C14569" s="7">
        <f>IFERROR(__xludf.DUMMYFUNCTION("""COMPUTED_VALUE"""),7.747768)</f>
        <v>7.747768</v>
      </c>
      <c r="D14569" s="7">
        <f>IFERROR(__xludf.DUMMYFUNCTION("""COMPUTED_VALUE"""),0.363636363636363)</f>
        <v>0.3636363636</v>
      </c>
    </row>
    <row r="14570">
      <c r="A14570" s="10" t="s">
        <v>16009</v>
      </c>
      <c r="B14570" s="7" t="str">
        <f>IFERROR(__xludf.DUMMYFUNCTION("SPLIT(A14570,"" "")"),"CC(C)C1=CC2(C=CN1)CCC(C)(C)C(c1cc(CN(Cc3ccccn3)Cc3cc(C(C)(C)c4ccccn4)ccn3)ccn1)=C2c1ncccc1CN(Cc1ccccn1)Cc1cc(C(C)(C)c2ccccn2)ccn1")</f>
        <v>CC(C)C1=CC2(C=CN1)CCC(C)(C)C(c1cc(CN(Cc3ccccn3)Cc3cc(C(C)(C)c4ccccn4)ccn3)ccn1)=C2c1ncccc1CN(Cc1ccccn1)Cc1cc(C(C)(C)c2ccccn2)ccn1</v>
      </c>
      <c r="C14570" s="7">
        <f>IFERROR(__xludf.DUMMYFUNCTION("""COMPUTED_VALUE"""),7.7477627)</f>
        <v>7.7477627</v>
      </c>
      <c r="D14570" s="7">
        <f>IFERROR(__xludf.DUMMYFUNCTION("""COMPUTED_VALUE"""),0.266666666666666)</f>
        <v>0.2666666667</v>
      </c>
    </row>
    <row r="14571">
      <c r="A14571" s="10" t="s">
        <v>16010</v>
      </c>
      <c r="B14571" s="7" t="str">
        <f>IFERROR(__xludf.DUMMYFUNCTION("SPLIT(A14571,"" "")"),"C=C1C=CNC(CN(Cc2ccccn2)Cc2cc(OC)ccn2)=C1")</f>
        <v>C=C1C=CNC(CN(Cc2ccccn2)Cc2cc(OC)ccn2)=C1</v>
      </c>
      <c r="C14571" s="7">
        <f>IFERROR(__xludf.DUMMYFUNCTION("""COMPUTED_VALUE"""),7.7477612)</f>
        <v>7.7477612</v>
      </c>
      <c r="D14571" s="7">
        <f>IFERROR(__xludf.DUMMYFUNCTION("""COMPUTED_VALUE"""),0.466666666666666)</f>
        <v>0.4666666667</v>
      </c>
    </row>
    <row r="14572">
      <c r="A14572" s="10" t="s">
        <v>16011</v>
      </c>
      <c r="B14572" s="7" t="str">
        <f>IFERROR(__xludf.DUMMYFUNCTION("SPLIT(A14572,"" "")"),"CC(c1ccccn1)(c1ccccn1)c1cccc(CNC2C=CC=CN2)n1")</f>
        <v>CC(c1ccccn1)(c1ccccn1)c1cccc(CNC2C=CC=CN2)n1</v>
      </c>
      <c r="C14572" s="7">
        <f>IFERROR(__xludf.DUMMYFUNCTION("""COMPUTED_VALUE"""),7.747757)</f>
        <v>7.747757</v>
      </c>
      <c r="D14572" s="7">
        <f>IFERROR(__xludf.DUMMYFUNCTION("""COMPUTED_VALUE"""),0.413793103448275)</f>
        <v>0.4137931034</v>
      </c>
    </row>
    <row r="14573">
      <c r="A14573" s="10" t="s">
        <v>16012</v>
      </c>
      <c r="B14573" s="7" t="str">
        <f>IFERROR(__xludf.DUMMYFUNCTION("SPLIT(A14573,"" "")"),"CN(Cc1ccccn1)Cc1ccc2cc(N(C)Cc3ccc4cc(N(C)Cc5cc(-c6cccc7c6OCCOCCOCCOCCOCCO7)ccn5)ccc4n3)ccc2n1")</f>
        <v>CN(Cc1ccccn1)Cc1ccc2cc(N(C)Cc3ccc4cc(N(C)Cc5cc(-c6cccc7c6OCCOCCOCCOCCOCCO7)ccn5)ccc4n3)ccc2n1</v>
      </c>
      <c r="C14573" s="7">
        <f>IFERROR(__xludf.DUMMYFUNCTION("""COMPUTED_VALUE"""),7.747754)</f>
        <v>7.747754</v>
      </c>
      <c r="D14573" s="7">
        <f>IFERROR(__xludf.DUMMYFUNCTION("""COMPUTED_VALUE"""),0.36231884057971)</f>
        <v>0.3623188406</v>
      </c>
    </row>
    <row r="14574">
      <c r="A14574" s="10" t="s">
        <v>16013</v>
      </c>
      <c r="B14574" s="7" t="str">
        <f>IFERROR(__xludf.DUMMYFUNCTION("SPLIT(A14574,"" "")"),"Cc1cc(C)c(CN(C)Cc2cccc(N(C)Cc3cccc(C)n3)n2)cn1")</f>
        <v>Cc1cc(C)c(CN(C)Cc2cccc(N(C)Cc3cccc(C)n3)n2)cn1</v>
      </c>
      <c r="C14574" s="7">
        <f>IFERROR(__xludf.DUMMYFUNCTION("""COMPUTED_VALUE"""),7.7477527)</f>
        <v>7.7477527</v>
      </c>
      <c r="D14574" s="7">
        <f>IFERROR(__xludf.DUMMYFUNCTION("""COMPUTED_VALUE"""),0.488888888888888)</f>
        <v>0.4888888889</v>
      </c>
    </row>
    <row r="14575">
      <c r="A14575" s="10" t="s">
        <v>16014</v>
      </c>
      <c r="B14575" s="7" t="str">
        <f>IFERROR(__xludf.DUMMYFUNCTION("SPLIT(A14575,"" "")"),"Cc1cc(-c2cccc(CN(Cc3ccccn3)C3CCCC(N(C)c4ccc5ncccc5c4)C3)n2)ccc1N")</f>
        <v>Cc1cc(-c2cccc(CN(Cc3ccccn3)C3CCCC(N(C)c4ccc5ncccc5c4)C3)n2)ccc1N</v>
      </c>
      <c r="C14575" s="7">
        <f>IFERROR(__xludf.DUMMYFUNCTION("""COMPUTED_VALUE"""),7.747746)</f>
        <v>7.747746</v>
      </c>
      <c r="D14575" s="7">
        <f>IFERROR(__xludf.DUMMYFUNCTION("""COMPUTED_VALUE"""),0.386666666666666)</f>
        <v>0.3866666667</v>
      </c>
    </row>
    <row r="14576">
      <c r="A14576" s="10" t="s">
        <v>16015</v>
      </c>
      <c r="B14576" s="7" t="str">
        <f>IFERROR(__xludf.DUMMYFUNCTION("SPLIT(A14576,"" "")"),"CN(Cc1ccccn1)Cc1ccc2cccc(N(C)Cc3ccc4cccc(N(C)Cc5ncccc5-c5cccc6c5OCCOCCOCCOCCOCCO6)c4n3)c2n1")</f>
        <v>CN(Cc1ccccn1)Cc1ccc2cccc(N(C)Cc3ccc4cccc(N(C)Cc5ncccc5-c5cccc6c5OCCOCCOCCOCCOCCO6)c4n3)c2n1</v>
      </c>
      <c r="C14576" s="7">
        <f>IFERROR(__xludf.DUMMYFUNCTION("""COMPUTED_VALUE"""),7.7477407)</f>
        <v>7.7477407</v>
      </c>
      <c r="D14576" s="7">
        <f>IFERROR(__xludf.DUMMYFUNCTION("""COMPUTED_VALUE"""),0.367647058823529)</f>
        <v>0.3676470588</v>
      </c>
    </row>
    <row r="14577">
      <c r="A14577" s="10" t="s">
        <v>16016</v>
      </c>
      <c r="B14577" s="7" t="str">
        <f>IFERROR(__xludf.DUMMYFUNCTION("SPLIT(A14577,"" "")"),"Cc1ccc(C2CCC2(C)C)nc1CN(Cc1ccccn1)Cc1cccc(-c2cccc(N(C)C)c2)n1")</f>
        <v>Cc1ccc(C2CCC2(C)C)nc1CN(Cc1ccccn1)Cc1cccc(-c2cccc(N(C)C)c2)n1</v>
      </c>
      <c r="C14577" s="7">
        <f>IFERROR(__xludf.DUMMYFUNCTION("""COMPUTED_VALUE"""),7.747738)</f>
        <v>7.747738</v>
      </c>
      <c r="D14577" s="7">
        <f>IFERROR(__xludf.DUMMYFUNCTION("""COMPUTED_VALUE"""),0.463768115942029)</f>
        <v>0.4637681159</v>
      </c>
    </row>
    <row r="14578">
      <c r="A14578" s="10" t="s">
        <v>16017</v>
      </c>
      <c r="B14578" s="7" t="str">
        <f>IFERROR(__xludf.DUMMYFUNCTION("SPLIT(A14578,"" "")"),"Cc1cc(CN(C)Cc2cc(C)c(C)c(C)n2)nc(C)c1C")</f>
        <v>Cc1cc(CN(C)Cc2cc(C)c(C)c(C)n2)nc(C)c1C</v>
      </c>
      <c r="C14578" s="7">
        <f>IFERROR(__xludf.DUMMYFUNCTION("""COMPUTED_VALUE"""),7.747733)</f>
        <v>7.747733</v>
      </c>
      <c r="D14578" s="7">
        <f>IFERROR(__xludf.DUMMYFUNCTION("""COMPUTED_VALUE"""),0.361111111111111)</f>
        <v>0.3611111111</v>
      </c>
    </row>
    <row r="14579">
      <c r="A14579" s="10" t="s">
        <v>16018</v>
      </c>
      <c r="B14579" s="7" t="str">
        <f>IFERROR(__xludf.DUMMYFUNCTION("SPLIT(A14579,"" "")"),"Cc1ccc(CN(C)c2ccc(CN(Cc3ccc(N)cn3)Cc3cccnc3F)nc2)nc1C")</f>
        <v>Cc1ccc(CN(C)c2ccc(CN(Cc3ccc(N)cn3)Cc3cccnc3F)nc2)nc1C</v>
      </c>
      <c r="C14579" s="7">
        <f>IFERROR(__xludf.DUMMYFUNCTION("""COMPUTED_VALUE"""),7.747725)</f>
        <v>7.747725</v>
      </c>
      <c r="D14579" s="7">
        <f>IFERROR(__xludf.DUMMYFUNCTION("""COMPUTED_VALUE"""),0.313432835820895)</f>
        <v>0.3134328358</v>
      </c>
    </row>
    <row r="14580">
      <c r="A14580" s="10" t="s">
        <v>16019</v>
      </c>
      <c r="B14580" s="7" t="str">
        <f>IFERROR(__xludf.DUMMYFUNCTION("SPLIT(A14580,"" "")"),"CN(C)c1cccc(CN(Cc2ccnc(C(C)(C)c3ccccn3)c2)Cc2ccccn2)n1")</f>
        <v>CN(C)c1cccc(CN(Cc2ccnc(C(C)(C)c3ccccn3)c2)Cc2ccccn2)n1</v>
      </c>
      <c r="C14580" s="7">
        <f>IFERROR(__xludf.DUMMYFUNCTION("""COMPUTED_VALUE"""),7.747714)</f>
        <v>7.747714</v>
      </c>
      <c r="D14580" s="7">
        <f>IFERROR(__xludf.DUMMYFUNCTION("""COMPUTED_VALUE"""),0.425531914893617)</f>
        <v>0.4255319149</v>
      </c>
    </row>
    <row r="14581">
      <c r="A14581" s="10" t="s">
        <v>16020</v>
      </c>
      <c r="B14581" s="7" t="str">
        <f>IFERROR(__xludf.DUMMYFUNCTION("SPLIT(A14581,"" "")"),"Cc1ccc(CN(Cc2cccc(N)n2)Cc2cccc(N(C)C3CCC(N(C)Cc4cc(-c5ccc6ncccc6c5)ccn4)CC3)n2)nc1")</f>
        <v>Cc1ccc(CN(Cc2cccc(N)n2)Cc2cccc(N(C)C3CCC(N(C)Cc4cc(-c5ccc6ncccc6c5)ccn4)CC3)n2)nc1</v>
      </c>
      <c r="C14581" s="7">
        <f>IFERROR(__xludf.DUMMYFUNCTION("""COMPUTED_VALUE"""),7.7476983)</f>
        <v>7.7476983</v>
      </c>
      <c r="D14581" s="7">
        <f>IFERROR(__xludf.DUMMYFUNCTION("""COMPUTED_VALUE"""),0.333333333333333)</f>
        <v>0.3333333333</v>
      </c>
    </row>
    <row r="14582">
      <c r="A14582" s="10" t="s">
        <v>16021</v>
      </c>
      <c r="B14582" s="7" t="str">
        <f>IFERROR(__xludf.DUMMYFUNCTION("SPLIT(A14582,"" "")"),"CC1=NC(c2ccccc2CN=Cc2ccccn2)CO1")</f>
        <v>CC1=NC(c2ccccc2CN=Cc2ccccn2)CO1</v>
      </c>
      <c r="C14582" s="7">
        <f>IFERROR(__xludf.DUMMYFUNCTION("""COMPUTED_VALUE"""),7.7476983)</f>
        <v>7.7476983</v>
      </c>
      <c r="D14582" s="7">
        <f>IFERROR(__xludf.DUMMYFUNCTION("""COMPUTED_VALUE"""),0.345454545454545)</f>
        <v>0.3454545455</v>
      </c>
    </row>
    <row r="14583">
      <c r="A14583" s="10" t="s">
        <v>16022</v>
      </c>
      <c r="B14583" s="7" t="str">
        <f>IFERROR(__xludf.DUMMYFUNCTION("SPLIT(A14583,"" "")"),"CNCc1cccc(CN(CN(C)c2ccc3nc(CF)ccc3c2)C2CCCCC2N(C)c2ccc3cccnc3c2)n1")</f>
        <v>CNCc1cccc(CN(CN(C)c2ccc3nc(CF)ccc3c2)C2CCCCC2N(C)c2ccc3cccnc3c2)n1</v>
      </c>
      <c r="C14583" s="7">
        <f>IFERROR(__xludf.DUMMYFUNCTION("""COMPUTED_VALUE"""),7.7476897)</f>
        <v>7.7476897</v>
      </c>
      <c r="D14583" s="7">
        <f>IFERROR(__xludf.DUMMYFUNCTION("""COMPUTED_VALUE"""),0.410958904109589)</f>
        <v>0.4109589041</v>
      </c>
    </row>
    <row r="14584">
      <c r="A14584" s="10" t="s">
        <v>16023</v>
      </c>
      <c r="B14584" s="7" t="str">
        <f>IFERROR(__xludf.DUMMYFUNCTION("SPLIT(A14584,"" "")"),"Cc1cccc(N(C)C2CCCC(N(C)c3ccc4c(C)ccnc4c3)C2)c1")</f>
        <v>Cc1cccc(N(C)C2CCCC(N(C)c3ccc4c(C)ccnc4c3)C2)c1</v>
      </c>
      <c r="C14584" s="7">
        <f>IFERROR(__xludf.DUMMYFUNCTION("""COMPUTED_VALUE"""),7.7476897)</f>
        <v>7.7476897</v>
      </c>
      <c r="D14584" s="7">
        <f>IFERROR(__xludf.DUMMYFUNCTION("""COMPUTED_VALUE"""),0.271186440677966)</f>
        <v>0.2711864407</v>
      </c>
    </row>
    <row r="14585">
      <c r="A14585" s="10" t="s">
        <v>16024</v>
      </c>
      <c r="B14585" s="7" t="str">
        <f>IFERROR(__xludf.DUMMYFUNCTION("SPLIT(A14585,"" "")"),"CCOC(C)NCc1nc(CN(Cc2ccccn2)Cc2cc(-c3ccc(Cl)c(N)c3)ccn2)c(C)cc1C")</f>
        <v>CCOC(C)NCc1nc(CN(Cc2ccccn2)Cc2cc(-c3ccc(Cl)c(N)c3)ccn2)c(C)cc1C</v>
      </c>
      <c r="C14585" s="7">
        <f>IFERROR(__xludf.DUMMYFUNCTION("""COMPUTED_VALUE"""),7.7476845)</f>
        <v>7.7476845</v>
      </c>
      <c r="D14585" s="7">
        <f>IFERROR(__xludf.DUMMYFUNCTION("""COMPUTED_VALUE"""),0.316455696202531)</f>
        <v>0.3164556962</v>
      </c>
    </row>
    <row r="14586">
      <c r="A14586" s="10" t="s">
        <v>16025</v>
      </c>
      <c r="B14586" s="7" t="str">
        <f>IFERROR(__xludf.DUMMYFUNCTION("SPLIT(A14586,"" "")"),"CC(C)(c1cccc(N=Cc2ccccn2)c1)c1cc(CN(Cc2ccccn2)Cc2ccccn2)ccn1")</f>
        <v>CC(C)(c1cccc(N=Cc2ccccn2)c1)c1cc(CN(Cc2ccccn2)Cc2ccccn2)ccn1</v>
      </c>
      <c r="C14586" s="7">
        <f>IFERROR(__xludf.DUMMYFUNCTION("""COMPUTED_VALUE"""),7.7476826)</f>
        <v>7.7476826</v>
      </c>
      <c r="D14586" s="7">
        <f>IFERROR(__xludf.DUMMYFUNCTION("""COMPUTED_VALUE"""),0.377358490566037)</f>
        <v>0.3773584906</v>
      </c>
    </row>
    <row r="14587">
      <c r="A14587" s="10" t="s">
        <v>16026</v>
      </c>
      <c r="B14587" s="7" t="str">
        <f>IFERROR(__xludf.DUMMYFUNCTION("SPLIT(A14587,"" "")"),"Cc1cc(CN(C)Cc2cc(N(C)Cc3ccccn3)ccn2)cnc1C")</f>
        <v>Cc1cc(CN(C)Cc2cc(N(C)Cc3ccccn3)ccn2)cnc1C</v>
      </c>
      <c r="C14587" s="7">
        <f>IFERROR(__xludf.DUMMYFUNCTION("""COMPUTED_VALUE"""),7.7476797)</f>
        <v>7.7476797</v>
      </c>
      <c r="D14587" s="7">
        <f>IFERROR(__xludf.DUMMYFUNCTION("""COMPUTED_VALUE"""),0.431372549019607)</f>
        <v>0.431372549</v>
      </c>
    </row>
    <row r="14588">
      <c r="A14588" s="10" t="s">
        <v>16027</v>
      </c>
      <c r="B14588" s="7" t="str">
        <f>IFERROR(__xludf.DUMMYFUNCTION("SPLIT(A14588,"" "")"),"Cc1cccnc1CN(C)c1cccnc1CN(C)Cc1cc(N)ccn1")</f>
        <v>Cc1cccnc1CN(C)c1cccnc1CN(C)Cc1cc(N)ccn1</v>
      </c>
      <c r="C14588" s="7">
        <f>IFERROR(__xludf.DUMMYFUNCTION("""COMPUTED_VALUE"""),7.747662)</f>
        <v>7.747662</v>
      </c>
      <c r="D14588" s="7">
        <f>IFERROR(__xludf.DUMMYFUNCTION("""COMPUTED_VALUE"""),0.358490566037735)</f>
        <v>0.358490566</v>
      </c>
    </row>
    <row r="14589">
      <c r="A14589" s="10" t="s">
        <v>16028</v>
      </c>
      <c r="B14589" s="7" t="str">
        <f>IFERROR(__xludf.DUMMYFUNCTION("SPLIT(A14589,"" "")"),"Cc1cc(C)c(CN(C)Cc2cccc(N(C)Cc3ncccc3C)n2)cn1")</f>
        <v>Cc1cc(C)c(CN(C)Cc2cccc(N(C)Cc3ncccc3C)n2)cn1</v>
      </c>
      <c r="C14589" s="7">
        <f>IFERROR(__xludf.DUMMYFUNCTION("""COMPUTED_VALUE"""),7.747659)</f>
        <v>7.747659</v>
      </c>
      <c r="D14589" s="7">
        <f>IFERROR(__xludf.DUMMYFUNCTION("""COMPUTED_VALUE"""),0.368421052631578)</f>
        <v>0.3684210526</v>
      </c>
    </row>
    <row r="14590">
      <c r="A14590" s="10" t="s">
        <v>16029</v>
      </c>
      <c r="B14590" s="7" t="str">
        <f>IFERROR(__xludf.DUMMYFUNCTION("SPLIT(A14590,"" "")"),"CCN(Cc1ccccn1)c1cccc(-c2cc(CN(Cc3ccccn3)C3CCC(N(C)c4ccc5nc(CF)ccc5c4)CC3)ccn2)c1")</f>
        <v>CCN(Cc1ccccn1)c1cccc(-c2cc(CN(Cc3ccccn3)C3CCC(N(C)c4ccc5nc(CF)ccc5c4)CC3)ccn2)c1</v>
      </c>
      <c r="C14590" s="7">
        <f>IFERROR(__xludf.DUMMYFUNCTION("""COMPUTED_VALUE"""),7.747656)</f>
        <v>7.747656</v>
      </c>
      <c r="D14590" s="7">
        <f>IFERROR(__xludf.DUMMYFUNCTION("""COMPUTED_VALUE"""),0.31578947368421)</f>
        <v>0.3157894737</v>
      </c>
    </row>
    <row r="14591">
      <c r="A14591" s="10" t="s">
        <v>16030</v>
      </c>
      <c r="B14591" s="7" t="str">
        <f>IFERROR(__xludf.DUMMYFUNCTION("SPLIT(A14591,"" "")"),"Cc1cc(C)c(CN(C)C2=C(CN(C)C)CC=CN2)nc1C")</f>
        <v>Cc1cc(C)c(CN(C)C2=C(CN(C)C)CC=CN2)nc1C</v>
      </c>
      <c r="C14591" s="7">
        <f>IFERROR(__xludf.DUMMYFUNCTION("""COMPUTED_VALUE"""),7.747653)</f>
        <v>7.747653</v>
      </c>
      <c r="D14591" s="7">
        <f>IFERROR(__xludf.DUMMYFUNCTION("""COMPUTED_VALUE"""),0.19047619047619)</f>
        <v>0.1904761905</v>
      </c>
    </row>
    <row r="14592">
      <c r="A14592" s="10" t="s">
        <v>16031</v>
      </c>
      <c r="B14592" s="7" t="str">
        <f>IFERROR(__xludf.DUMMYFUNCTION("SPLIT(A14592,"" "")"),"CC(C)(c1cccc(N(Cc2ccccn2)Cc2ccccn2)c1)c1ccccn1")</f>
        <v>CC(C)(c1cccc(N(Cc2ccccn2)Cc2ccccn2)c1)c1ccccn1</v>
      </c>
      <c r="C14592" s="7">
        <f>IFERROR(__xludf.DUMMYFUNCTION("""COMPUTED_VALUE"""),7.7476473)</f>
        <v>7.7476473</v>
      </c>
      <c r="D14592" s="7">
        <f>IFERROR(__xludf.DUMMYFUNCTION("""COMPUTED_VALUE"""),0.425531914893617)</f>
        <v>0.4255319149</v>
      </c>
    </row>
    <row r="14593">
      <c r="A14593" s="10" t="s">
        <v>16032</v>
      </c>
      <c r="B14593" s="7" t="str">
        <f>IFERROR(__xludf.DUMMYFUNCTION("SPLIT(A14593,"" "")"),"CC1=CC(C)C2(CCC3(CCC(C)=C(C)C3C)C(c3cc(CN(Cc4ccccn4)Cc4cc(-c5ccccc5N=Cc5ccccn5)ccn4)ccn3)=C2c2cc(CN(Cc3ccccn3)Cc3ccccn3)ccn2)C(C)C1")</f>
        <v>CC1=CC(C)C2(CCC3(CCC(C)=C(C)C3C)C(c3cc(CN(Cc4ccccn4)Cc4cc(-c5ccccc5N=Cc5ccccn5)ccn4)ccn3)=C2c2cc(CN(Cc3ccccn3)Cc3ccccn3)ccn2)C(C)C1</v>
      </c>
      <c r="C14593" s="7">
        <f>IFERROR(__xludf.DUMMYFUNCTION("""COMPUTED_VALUE"""),7.747647)</f>
        <v>7.747647</v>
      </c>
      <c r="D14593" s="7">
        <f>IFERROR(__xludf.DUMMYFUNCTION("""COMPUTED_VALUE"""),0.260869565217391)</f>
        <v>0.2608695652</v>
      </c>
    </row>
    <row r="14594">
      <c r="A14594" s="10" t="s">
        <v>16033</v>
      </c>
      <c r="B14594" s="7" t="str">
        <f>IFERROR(__xludf.DUMMYFUNCTION("SPLIT(A14594,"" "")"),"CCCN(Cc1ccccn1)c1ccc(C)cc1-c1cc(CN(Cc2ccccn2)Cc2ncccc2C)ccn1")</f>
        <v>CCCN(Cc1ccccn1)c1ccc(C)cc1-c1cc(CN(Cc2ccccn2)Cc2ncccc2C)ccn1</v>
      </c>
      <c r="C14594" s="7">
        <f>IFERROR(__xludf.DUMMYFUNCTION("""COMPUTED_VALUE"""),7.747644)</f>
        <v>7.747644</v>
      </c>
      <c r="D14594" s="7">
        <f>IFERROR(__xludf.DUMMYFUNCTION("""COMPUTED_VALUE"""),0.350877192982456)</f>
        <v>0.350877193</v>
      </c>
    </row>
    <row r="14595">
      <c r="A14595" s="10" t="s">
        <v>16034</v>
      </c>
      <c r="B14595" s="7" t="str">
        <f>IFERROR(__xludf.DUMMYFUNCTION("SPLIT(A14595,"" "")"),"CC1(C)CN=C(c2ccnc(C3OC=NC3(C)C)c2)O1")</f>
        <v>CC1(C)CN=C(c2ccnc(C3OC=NC3(C)C)c2)O1</v>
      </c>
      <c r="C14595" s="7">
        <f>IFERROR(__xludf.DUMMYFUNCTION("""COMPUTED_VALUE"""),7.747642)</f>
        <v>7.747642</v>
      </c>
      <c r="D14595" s="7">
        <f>IFERROR(__xludf.DUMMYFUNCTION("""COMPUTED_VALUE"""),0.196428571428571)</f>
        <v>0.1964285714</v>
      </c>
    </row>
    <row r="14596">
      <c r="A14596" s="10" t="s">
        <v>16035</v>
      </c>
      <c r="B14596" s="7" t="str">
        <f>IFERROR(__xludf.DUMMYFUNCTION("SPLIT(A14596,"" "")"),"CN(c1ccc2ncccc2c1)C1CCC(N(Cc2ccc3ncccc3c2)Cc2ccccn2)CC1")</f>
        <v>CN(c1ccc2ncccc2c1)C1CCC(N(Cc2ccc3ncccc3c2)Cc2ccccn2)CC1</v>
      </c>
      <c r="C14596" s="7">
        <f>IFERROR(__xludf.DUMMYFUNCTION("""COMPUTED_VALUE"""),7.747639)</f>
        <v>7.747639</v>
      </c>
      <c r="D14596" s="7">
        <f>IFERROR(__xludf.DUMMYFUNCTION("""COMPUTED_VALUE"""),0.392857142857142)</f>
        <v>0.3928571429</v>
      </c>
    </row>
    <row r="14597">
      <c r="A14597" s="10" t="s">
        <v>16036</v>
      </c>
      <c r="B14597" s="7" t="str">
        <f>IFERROR(__xludf.DUMMYFUNCTION("SPLIT(A14597,"" "")"),"CN(Cc1ccccn1)Cc1ccccc1C1COC(c2ccccn2)=N1")</f>
        <v>CN(Cc1ccccn1)Cc1ccccc1C1COC(c2ccccn2)=N1</v>
      </c>
      <c r="C14597" s="7">
        <f>IFERROR(__xludf.DUMMYFUNCTION("""COMPUTED_VALUE"""),7.747628)</f>
        <v>7.747628</v>
      </c>
      <c r="D14597" s="7">
        <f>IFERROR(__xludf.DUMMYFUNCTION("""COMPUTED_VALUE"""),0.48076923076923)</f>
        <v>0.4807692308</v>
      </c>
    </row>
    <row r="14598">
      <c r="A14598" s="10" t="s">
        <v>16037</v>
      </c>
      <c r="B14598" s="7" t="str">
        <f>IFERROR(__xludf.DUMMYFUNCTION("SPLIT(A14598,"" "")"),"Cc1cncc2c(N(C)CCN(C)C(C)(C)C)cccc12")</f>
        <v>Cc1cncc2c(N(C)CCN(C)C(C)(C)C)cccc12</v>
      </c>
      <c r="C14598" s="7">
        <f>IFERROR(__xludf.DUMMYFUNCTION("""COMPUTED_VALUE"""),7.7475863)</f>
        <v>7.7475863</v>
      </c>
      <c r="D14598" s="7">
        <f>IFERROR(__xludf.DUMMYFUNCTION("""COMPUTED_VALUE"""),0.369565217391304)</f>
        <v>0.3695652174</v>
      </c>
    </row>
    <row r="14599">
      <c r="A14599" s="10" t="s">
        <v>16038</v>
      </c>
      <c r="B14599" s="7" t="str">
        <f>IFERROR(__xludf.DUMMYFUNCTION("SPLIT(A14599,"" "")"),"CN(Cc1ccccn1)Cc1ccc2cccc(N(C)Cc3ccc4cccc(N(C)Cc5cccc(-c6ccc7c(c6)OCCOCCOCCOCCOCCO7)n5)c4n3)c2n1")</f>
        <v>CN(Cc1ccccn1)Cc1ccc2cccc(N(C)Cc3ccc4cccc(N(C)Cc5cccc(-c6ccc7c(c6)OCCOCCOCCOCCOCCO7)n5)c4n3)c2n1</v>
      </c>
      <c r="C14599" s="7">
        <f>IFERROR(__xludf.DUMMYFUNCTION("""COMPUTED_VALUE"""),7.7475686)</f>
        <v>7.7475686</v>
      </c>
      <c r="D14599" s="7">
        <f>IFERROR(__xludf.DUMMYFUNCTION("""COMPUTED_VALUE"""),0.444444444444444)</f>
        <v>0.4444444444</v>
      </c>
    </row>
    <row r="14600">
      <c r="A14600" s="10" t="s">
        <v>16039</v>
      </c>
      <c r="B14600" s="7" t="str">
        <f>IFERROR(__xludf.DUMMYFUNCTION("SPLIT(A14600,"" "")"),"Cc1nc(CN(Cc2cccc(F)n2)Cc2nc(C)c(C)c(C)c2C)c(C)c(C)c1C")</f>
        <v>Cc1nc(CN(Cc2cccc(F)n2)Cc2nc(C)c(C)c(C)c2C)c(C)c(C)c1C</v>
      </c>
      <c r="C14600" s="7">
        <f>IFERROR(__xludf.DUMMYFUNCTION("""COMPUTED_VALUE"""),7.747561)</f>
        <v>7.747561</v>
      </c>
      <c r="D14600" s="7">
        <f>IFERROR(__xludf.DUMMYFUNCTION("""COMPUTED_VALUE"""),0.411764705882352)</f>
        <v>0.4117647059</v>
      </c>
    </row>
    <row r="14601">
      <c r="A14601" s="10" t="s">
        <v>16040</v>
      </c>
      <c r="B14601" s="7" t="str">
        <f>IFERROR(__xludf.DUMMYFUNCTION("SPLIT(A14601,"" "")"),"C1=CCNC(Nc2ccccn2)=C1")</f>
        <v>C1=CCNC(Nc2ccccn2)=C1</v>
      </c>
      <c r="C14601" s="7">
        <f>IFERROR(__xludf.DUMMYFUNCTION("""COMPUTED_VALUE"""),7.747557)</f>
        <v>7.747557</v>
      </c>
      <c r="D14601" s="7">
        <f>IFERROR(__xludf.DUMMYFUNCTION("""COMPUTED_VALUE"""),0.272727272727272)</f>
        <v>0.2727272727</v>
      </c>
    </row>
    <row r="14602">
      <c r="A14602" s="10" t="s">
        <v>16041</v>
      </c>
      <c r="B14602" s="7" t="str">
        <f>IFERROR(__xludf.DUMMYFUNCTION("SPLIT(A14602,"" "")"),"CC(C)C1N=COC1c1cc(C2=NC(C)(C)CO2)ccn1")</f>
        <v>CC(C)C1N=COC1c1cc(C2=NC(C)(C)CO2)ccn1</v>
      </c>
      <c r="C14602" s="7">
        <f>IFERROR(__xludf.DUMMYFUNCTION("""COMPUTED_VALUE"""),7.747553)</f>
        <v>7.747553</v>
      </c>
      <c r="D14602" s="7">
        <f>IFERROR(__xludf.DUMMYFUNCTION("""COMPUTED_VALUE"""),0.392156862745098)</f>
        <v>0.3921568627</v>
      </c>
    </row>
    <row r="14603">
      <c r="A14603" s="10" t="s">
        <v>16042</v>
      </c>
      <c r="B14603" s="7" t="str">
        <f>IFERROR(__xludf.DUMMYFUNCTION("SPLIT(A14603,"" "")"),"Cc1cccnc1CN(C)c1ccccc1F")</f>
        <v>Cc1cccnc1CN(C)c1ccccc1F</v>
      </c>
      <c r="C14603" s="7">
        <f>IFERROR(__xludf.DUMMYFUNCTION("""COMPUTED_VALUE"""),7.7475457)</f>
        <v>7.7475457</v>
      </c>
      <c r="D14603" s="7">
        <f>IFERROR(__xludf.DUMMYFUNCTION("""COMPUTED_VALUE"""),0.377777777777777)</f>
        <v>0.3777777778</v>
      </c>
    </row>
    <row r="14604">
      <c r="A14604" s="10" t="s">
        <v>16043</v>
      </c>
      <c r="B14604" s="7" t="str">
        <f>IFERROR(__xludf.DUMMYFUNCTION("SPLIT(A14604,"" "")"),"Cc1ccnc2cc(N(CCN(C)C(C)(C)C)Cc3ccccn3)ccc12")</f>
        <v>Cc1ccnc2cc(N(CCN(C)C(C)(C)C)Cc3ccccn3)ccc12</v>
      </c>
      <c r="C14604" s="7">
        <f>IFERROR(__xludf.DUMMYFUNCTION("""COMPUTED_VALUE"""),7.747539)</f>
        <v>7.747539</v>
      </c>
      <c r="D14604" s="7">
        <f>IFERROR(__xludf.DUMMYFUNCTION("""COMPUTED_VALUE"""),0.381818181818181)</f>
        <v>0.3818181818</v>
      </c>
    </row>
    <row r="14605">
      <c r="A14605" s="10" t="s">
        <v>16044</v>
      </c>
      <c r="B14605" s="7" t="str">
        <f>IFERROR(__xludf.DUMMYFUNCTION("SPLIT(A14605,"" "")"),"Cc1cnc(CN(C)C2=CCC=C(CN(C)Cc3cc(C)c(C)c(C)n3)N2)c(C)c1")</f>
        <v>Cc1cnc(CN(C)C2=CCC=C(CN(C)Cc3cc(C)c(C)c(C)n3)N2)c(C)c1</v>
      </c>
      <c r="C14605" s="7">
        <f>IFERROR(__xludf.DUMMYFUNCTION("""COMPUTED_VALUE"""),7.747535)</f>
        <v>7.747535</v>
      </c>
      <c r="D14605" s="7">
        <f>IFERROR(__xludf.DUMMYFUNCTION("""COMPUTED_VALUE"""),0.266666666666666)</f>
        <v>0.2666666667</v>
      </c>
    </row>
    <row r="14606">
      <c r="A14606" s="10" t="s">
        <v>16045</v>
      </c>
      <c r="B14606" s="7" t="str">
        <f>IFERROR(__xludf.DUMMYFUNCTION("SPLIT(A14606,"" "")"),"Cc1ccccc1N(C)C1CCC(N(C)Cc2ncccc2-c2ccc3cccnc3c2)CC1")</f>
        <v>Cc1ccccc1N(C)C1CCC(N(C)Cc2ncccc2-c2ccc3cccnc3c2)CC1</v>
      </c>
      <c r="C14606" s="7">
        <f>IFERROR(__xludf.DUMMYFUNCTION("""COMPUTED_VALUE"""),7.7475348)</f>
        <v>7.7475348</v>
      </c>
      <c r="D14606" s="7">
        <f>IFERROR(__xludf.DUMMYFUNCTION("""COMPUTED_VALUE"""),0.3125)</f>
        <v>0.3125</v>
      </c>
    </row>
    <row r="14607">
      <c r="A14607" s="10" t="s">
        <v>16046</v>
      </c>
      <c r="B14607" s="7" t="str">
        <f>IFERROR(__xludf.DUMMYFUNCTION("SPLIT(A14607,"" "")"),"CC(C)N(C)Cc1cnccc1-c1cc(Cl)ccc1N")</f>
        <v>CC(C)N(C)Cc1cnccc1-c1cc(Cl)ccc1N</v>
      </c>
      <c r="C14607" s="7">
        <f>IFERROR(__xludf.DUMMYFUNCTION("""COMPUTED_VALUE"""),7.7475247)</f>
        <v>7.7475247</v>
      </c>
      <c r="D14607" s="7">
        <f>IFERROR(__xludf.DUMMYFUNCTION("""COMPUTED_VALUE"""),0.232142857142857)</f>
        <v>0.2321428571</v>
      </c>
    </row>
    <row r="14608">
      <c r="A14608" s="10" t="s">
        <v>16047</v>
      </c>
      <c r="B14608" s="7" t="str">
        <f>IFERROR(__xludf.DUMMYFUNCTION("SPLIT(A14608,"" "")"),"Cc1cncc(CN(C)CN(Cc2ccc3cccnc3c2)C(C)(N)N(CCN(C)C(C)C)c2ccc3cccnc3c2)c1")</f>
        <v>Cc1cncc(CN(C)CN(Cc2ccc3cccnc3c2)C(C)(N)N(CCN(C)C(C)C)c2ccc3cccnc3c2)c1</v>
      </c>
      <c r="C14608" s="7">
        <f>IFERROR(__xludf.DUMMYFUNCTION("""COMPUTED_VALUE"""),7.747522)</f>
        <v>7.747522</v>
      </c>
      <c r="D14608" s="7">
        <f>IFERROR(__xludf.DUMMYFUNCTION("""COMPUTED_VALUE"""),0.236842105263157)</f>
        <v>0.2368421053</v>
      </c>
    </row>
    <row r="14609">
      <c r="A14609" s="10" t="s">
        <v>16048</v>
      </c>
      <c r="B14609" s="7" t="str">
        <f>IFERROR(__xludf.DUMMYFUNCTION("SPLIT(A14609,"" "")"),"CC1CC(N(C)Cc2cccc(-c3cccc(N=Cc4ccccn4)c3)n2)C1")</f>
        <v>CC1CC(N(C)Cc2cccc(-c3cccc(N=Cc4ccccn4)c3)n2)C1</v>
      </c>
      <c r="C14609" s="7">
        <f>IFERROR(__xludf.DUMMYFUNCTION("""COMPUTED_VALUE"""),7.7475204)</f>
        <v>7.7475204</v>
      </c>
      <c r="D14609" s="7">
        <f>IFERROR(__xludf.DUMMYFUNCTION("""COMPUTED_VALUE"""),0.409090909090909)</f>
        <v>0.4090909091</v>
      </c>
    </row>
    <row r="14610">
      <c r="A14610" s="10" t="s">
        <v>16049</v>
      </c>
      <c r="B14610" s="7" t="str">
        <f>IFERROR(__xludf.DUMMYFUNCTION("SPLIT(A14610,"" "")"),"CC(C)NCc1cccc(-c2cccc(NCc3ccccn3)c2)n1")</f>
        <v>CC(C)NCc1cccc(-c2cccc(NCc3ccccn3)c2)n1</v>
      </c>
      <c r="C14610" s="7">
        <f>IFERROR(__xludf.DUMMYFUNCTION("""COMPUTED_VALUE"""),7.747509)</f>
        <v>7.747509</v>
      </c>
      <c r="D14610" s="7">
        <f>IFERROR(__xludf.DUMMYFUNCTION("""COMPUTED_VALUE"""),0.43103448275862)</f>
        <v>0.4310344828</v>
      </c>
    </row>
    <row r="14611">
      <c r="A14611" s="10" t="s">
        <v>16050</v>
      </c>
      <c r="B14611" s="7" t="str">
        <f>IFERROR(__xludf.DUMMYFUNCTION("SPLIT(A14611,"" "")"),"CC(C)N(C)CC1=CC(N(C)c2ccc3cc(CF)cnc3c2)C=CN1")</f>
        <v>CC(C)N(C)CC1=CC(N(C)c2ccc3cc(CF)cnc3c2)C=CN1</v>
      </c>
      <c r="C14611" s="7">
        <f>IFERROR(__xludf.DUMMYFUNCTION("""COMPUTED_VALUE"""),7.7475014)</f>
        <v>7.7475014</v>
      </c>
      <c r="D14611" s="7">
        <f>IFERROR(__xludf.DUMMYFUNCTION("""COMPUTED_VALUE"""),0.283582089552238)</f>
        <v>0.2835820896</v>
      </c>
    </row>
    <row r="14612">
      <c r="A14612" s="10" t="s">
        <v>16051</v>
      </c>
      <c r="B14612" s="7" t="str">
        <f>IFERROR(__xludf.DUMMYFUNCTION("SPLIT(A14612,"" "")"),"Cc1ccc(CN(Cc2ccccn2)Cc2cccc(CN(Cc3ccccn3)Cc3cccc(-c4c(N)cccc4Cl)n3)n2)nc1")</f>
        <v>Cc1ccc(CN(Cc2ccccn2)Cc2cccc(CN(Cc3ccccn3)Cc3cccc(-c4c(N)cccc4Cl)n3)n2)nc1</v>
      </c>
      <c r="C14612" s="7">
        <f>IFERROR(__xludf.DUMMYFUNCTION("""COMPUTED_VALUE"""),7.747491)</f>
        <v>7.747491</v>
      </c>
      <c r="D14612" s="7">
        <f>IFERROR(__xludf.DUMMYFUNCTION("""COMPUTED_VALUE"""),0.435483870967741)</f>
        <v>0.435483871</v>
      </c>
    </row>
    <row r="14613">
      <c r="A14613" s="10" t="s">
        <v>16052</v>
      </c>
      <c r="B14613" s="7" t="str">
        <f>IFERROR(__xludf.DUMMYFUNCTION("SPLIT(A14613,"" "")"),"CN(CC1=CCC=C(N(C)C(c2ccccn2)c2ccccn2)N1)Cc1ccccn1")</f>
        <v>CN(CC1=CCC=C(N(C)C(c2ccccn2)c2ccccn2)N1)Cc1ccccn1</v>
      </c>
      <c r="C14613" s="7">
        <f>IFERROR(__xludf.DUMMYFUNCTION("""COMPUTED_VALUE"""),7.74749)</f>
        <v>7.74749</v>
      </c>
      <c r="D14613" s="7">
        <f>IFERROR(__xludf.DUMMYFUNCTION("""COMPUTED_VALUE"""),0.407407407407407)</f>
        <v>0.4074074074</v>
      </c>
    </row>
    <row r="14614">
      <c r="A14614" s="10" t="s">
        <v>16053</v>
      </c>
      <c r="B14614" s="7" t="str">
        <f>IFERROR(__xludf.DUMMYFUNCTION("SPLIT(A14614,"" "")"),"CN(CCCN(C)c1ccc2nccc(CF)c2c1)Cc1ccccn1")</f>
        <v>CN(CCCN(C)c1ccc2nccc(CF)c2c1)Cc1ccccn1</v>
      </c>
      <c r="C14614" s="7">
        <f>IFERROR(__xludf.DUMMYFUNCTION("""COMPUTED_VALUE"""),7.7474647)</f>
        <v>7.7474647</v>
      </c>
      <c r="D14614" s="7">
        <f>IFERROR(__xludf.DUMMYFUNCTION("""COMPUTED_VALUE"""),0.381818181818181)</f>
        <v>0.3818181818</v>
      </c>
    </row>
    <row r="14615">
      <c r="A14615" s="10" t="s">
        <v>16054</v>
      </c>
      <c r="B14615" s="7" t="str">
        <f>IFERROR(__xludf.DUMMYFUNCTION("SPLIT(A14615,"" "")"),"Cc1cc(C)c(NCc2ccccn2)c(C)c1")</f>
        <v>Cc1cc(C)c(NCc2ccccn2)c(C)c1</v>
      </c>
      <c r="C14615" s="7">
        <f>IFERROR(__xludf.DUMMYFUNCTION("""COMPUTED_VALUE"""),7.7474647)</f>
        <v>7.7474647</v>
      </c>
      <c r="D14615" s="7">
        <f>IFERROR(__xludf.DUMMYFUNCTION("""COMPUTED_VALUE"""),0.485714285714285)</f>
        <v>0.4857142857</v>
      </c>
    </row>
    <row r="14616">
      <c r="A14616" s="10" t="s">
        <v>16055</v>
      </c>
      <c r="B14616" s="7" t="str">
        <f>IFERROR(__xludf.DUMMYFUNCTION("SPLIT(A14616,"" "")"),"Cc1ccc(CN(C)Cc2cccc(N(C)Cc3ncccc3C)n2)nc1C")</f>
        <v>Cc1ccc(CN(C)Cc2cccc(N(C)Cc3ncccc3C)n2)nc1C</v>
      </c>
      <c r="C14616" s="7">
        <f>IFERROR(__xludf.DUMMYFUNCTION("""COMPUTED_VALUE"""),7.7474566)</f>
        <v>7.7474566</v>
      </c>
      <c r="D14616" s="7">
        <f>IFERROR(__xludf.DUMMYFUNCTION("""COMPUTED_VALUE"""),0.403846153846153)</f>
        <v>0.4038461538</v>
      </c>
    </row>
    <row r="14617">
      <c r="A14617" s="10" t="s">
        <v>16056</v>
      </c>
      <c r="B14617" s="7" t="str">
        <f>IFERROR(__xludf.DUMMYFUNCTION("SPLIT(A14617,"" "")"),"Cc1cncc(CN(C)Cc2ccc(N(C)Cc3nc(C)ccc3C)cn2)c1")</f>
        <v>Cc1cncc(CN(C)Cc2ccc(N(C)Cc3nc(C)ccc3C)cn2)c1</v>
      </c>
      <c r="C14617" s="7">
        <f>IFERROR(__xludf.DUMMYFUNCTION("""COMPUTED_VALUE"""),7.7474475)</f>
        <v>7.7474475</v>
      </c>
      <c r="D14617" s="7">
        <f>IFERROR(__xludf.DUMMYFUNCTION("""COMPUTED_VALUE"""),0.358490566037735)</f>
        <v>0.358490566</v>
      </c>
    </row>
    <row r="14618">
      <c r="A14618" s="10" t="s">
        <v>16057</v>
      </c>
      <c r="B14618" s="7" t="str">
        <f>IFERROR(__xludf.DUMMYFUNCTION("SPLIT(A14618,"" "")"),"CN(Cc1cc(-c2cccc(N(C)C)c2)ccn1)Cc1ccnc2ccc(N(C)Cc3cc(-c4ccc5c(c4)OCCOCCOCCOCCOCCO5)ccn3)cc12")</f>
        <v>CN(Cc1cc(-c2cccc(N(C)C)c2)ccn1)Cc1ccnc2ccc(N(C)Cc3cc(-c4ccc5c(c4)OCCOCCOCCOCCOCCO5)ccn3)cc12</v>
      </c>
      <c r="C14618" s="7">
        <f>IFERROR(__xludf.DUMMYFUNCTION("""COMPUTED_VALUE"""),7.7474475)</f>
        <v>7.7474475</v>
      </c>
      <c r="D14618" s="7">
        <f>IFERROR(__xludf.DUMMYFUNCTION("""COMPUTED_VALUE"""),0.304878048780487)</f>
        <v>0.3048780488</v>
      </c>
    </row>
    <row r="14619">
      <c r="A14619" s="10" t="s">
        <v>16058</v>
      </c>
      <c r="B14619" s="7" t="str">
        <f>IFERROR(__xludf.DUMMYFUNCTION("SPLIT(A14619,"" "")"),"CC(C)(C)CN(Cc1ccccn1)Cc1cccc(-c2ccccc2N=Cc2ccccn2)n1")</f>
        <v>CC(C)(C)CN(Cc1ccccn1)Cc1cccc(-c2ccccc2N=Cc2ccccn2)n1</v>
      </c>
      <c r="C14619" s="7">
        <f>IFERROR(__xludf.DUMMYFUNCTION("""COMPUTED_VALUE"""),7.7474422)</f>
        <v>7.7474422</v>
      </c>
      <c r="D14619" s="7">
        <f>IFERROR(__xludf.DUMMYFUNCTION("""COMPUTED_VALUE"""),0.490566037735849)</f>
        <v>0.4905660377</v>
      </c>
    </row>
    <row r="14620">
      <c r="A14620" s="10" t="s">
        <v>16059</v>
      </c>
      <c r="B14620" s="7" t="str">
        <f>IFERROR(__xludf.DUMMYFUNCTION("SPLIT(A14620,"" "")"),"COC(=O)c1cc(CN(Cc2ccccn2)C2CCCC(N(C)c3ccc4c(CN(C)C)ccnc4c3)C2)ccn1")</f>
        <v>COC(=O)c1cc(CN(Cc2ccccn2)C2CCCC(N(C)c3ccc4c(CN(C)C)ccnc4c3)C2)ccn1</v>
      </c>
      <c r="C14620" s="7">
        <f>IFERROR(__xludf.DUMMYFUNCTION("""COMPUTED_VALUE"""),7.747437)</f>
        <v>7.747437</v>
      </c>
      <c r="D14620" s="7">
        <f>IFERROR(__xludf.DUMMYFUNCTION("""COMPUTED_VALUE"""),0.31081081081081)</f>
        <v>0.3108108108</v>
      </c>
    </row>
    <row r="14621">
      <c r="A14621" s="10" t="s">
        <v>16060</v>
      </c>
      <c r="B14621" s="7" t="str">
        <f>IFERROR(__xludf.DUMMYFUNCTION("SPLIT(A14621,"" "")"),"Cc1cnc(CN(C)c2cccnc2CN(C)Cc2ccccn2)c(C)c1")</f>
        <v>Cc1cnc(CN(C)c2cccnc2CN(C)Cc2ccccn2)c(C)c1</v>
      </c>
      <c r="C14621" s="7">
        <f>IFERROR(__xludf.DUMMYFUNCTION("""COMPUTED_VALUE"""),7.74743)</f>
        <v>7.74743</v>
      </c>
      <c r="D14621" s="7">
        <f>IFERROR(__xludf.DUMMYFUNCTION("""COMPUTED_VALUE"""),0.46)</f>
        <v>0.46</v>
      </c>
    </row>
    <row r="14622">
      <c r="A14622" s="10" t="s">
        <v>16061</v>
      </c>
      <c r="B14622" s="7" t="str">
        <f>IFERROR(__xludf.DUMMYFUNCTION("SPLIT(A14622,"" "")"),"Cc1cnc(CN(C)Cc2cc(C3=NC(C)(C)CO3)ccn2)c(C)c1C")</f>
        <v>Cc1cnc(CN(C)Cc2cc(C3=NC(C)(C)CO3)ccn2)c(C)c1C</v>
      </c>
      <c r="C14622" s="7">
        <f>IFERROR(__xludf.DUMMYFUNCTION("""COMPUTED_VALUE"""),7.747423)</f>
        <v>7.747423</v>
      </c>
      <c r="D14622" s="7">
        <f>IFERROR(__xludf.DUMMYFUNCTION("""COMPUTED_VALUE"""),0.31578947368421)</f>
        <v>0.3157894737</v>
      </c>
    </row>
    <row r="14623">
      <c r="A14623" s="10" t="s">
        <v>16062</v>
      </c>
      <c r="B14623" s="7" t="str">
        <f>IFERROR(__xludf.DUMMYFUNCTION("SPLIT(A14623,"" "")"),"CC(C)N(Cc1ccccn1)c1cccc(-c2cccc(CN(Cc3ccccn3)C3CCC(N(C)c4ccc5nc(CF)ccc5c4)CC3)n2)c1")</f>
        <v>CC(C)N(Cc1ccccn1)c1cccc(-c2cccc(CN(Cc3ccccn3)C3CCC(N(C)c4ccc5nc(CF)ccc5c4)CC3)n2)c1</v>
      </c>
      <c r="C14623" s="7">
        <f>IFERROR(__xludf.DUMMYFUNCTION("""COMPUTED_VALUE"""),7.7474074)</f>
        <v>7.7474074</v>
      </c>
      <c r="D14623" s="7">
        <f>IFERROR(__xludf.DUMMYFUNCTION("""COMPUTED_VALUE"""),0.371794871794871)</f>
        <v>0.3717948718</v>
      </c>
    </row>
    <row r="14624">
      <c r="A14624" s="10" t="s">
        <v>16063</v>
      </c>
      <c r="B14624" s="7" t="str">
        <f>IFERROR(__xludf.DUMMYFUNCTION("SPLIT(A14624,"" "")"),"CCN(C)CCN(C)c1ccc2ccc(CN(C)C)nc2c1")</f>
        <v>CCN(C)CCN(C)c1ccc2ccc(CN(C)C)nc2c1</v>
      </c>
      <c r="C14624" s="7">
        <f>IFERROR(__xludf.DUMMYFUNCTION("""COMPUTED_VALUE"""),7.747406)</f>
        <v>7.747406</v>
      </c>
      <c r="D14624" s="7">
        <f>IFERROR(__xludf.DUMMYFUNCTION("""COMPUTED_VALUE"""),0.38095238095238)</f>
        <v>0.380952381</v>
      </c>
    </row>
    <row r="14625">
      <c r="A14625" s="10" t="s">
        <v>16064</v>
      </c>
      <c r="B14625" s="7" t="str">
        <f>IFERROR(__xludf.DUMMYFUNCTION("SPLIT(A14625,"" "")"),"CC(C)C1=CC2(C=CN1)C(c1cc(CN(Cc3ccccn3)Cc3ccccn3)ccn1)=CC(C)(C)CC2c1cc(CN(Cc2ccccn2)Cc2ccc3ccccc3n2)ccn1")</f>
        <v>CC(C)C1=CC2(C=CN1)C(c1cc(CN(Cc3ccccn3)Cc3ccccn3)ccn1)=CC(C)(C)CC2c1cc(CN(Cc2ccccn2)Cc2ccc3ccccc3n2)ccn1</v>
      </c>
      <c r="C14625" s="7">
        <f>IFERROR(__xludf.DUMMYFUNCTION("""COMPUTED_VALUE"""),7.747402)</f>
        <v>7.747402</v>
      </c>
      <c r="D14625" s="7">
        <f>IFERROR(__xludf.DUMMYFUNCTION("""COMPUTED_VALUE"""),0.410958904109589)</f>
        <v>0.4109589041</v>
      </c>
    </row>
    <row r="14626">
      <c r="A14626" s="10" t="s">
        <v>16065</v>
      </c>
      <c r="B14626" s="7" t="str">
        <f>IFERROR(__xludf.DUMMYFUNCTION("SPLIT(A14626,"" "")"),"Cc1nccc(C2CC(C)C2C)c1-c1cccc(NCc2ccccn2)c1")</f>
        <v>Cc1nccc(C2CC(C)C2C)c1-c1cccc(NCc2ccccn2)c1</v>
      </c>
      <c r="C14626" s="7">
        <f>IFERROR(__xludf.DUMMYFUNCTION("""COMPUTED_VALUE"""),7.747394)</f>
        <v>7.747394</v>
      </c>
      <c r="D14626" s="7">
        <f>IFERROR(__xludf.DUMMYFUNCTION("""COMPUTED_VALUE"""),0.348484848484848)</f>
        <v>0.3484848485</v>
      </c>
    </row>
    <row r="14627">
      <c r="A14627" s="10" t="s">
        <v>16066</v>
      </c>
      <c r="B14627" s="7" t="str">
        <f>IFERROR(__xludf.DUMMYFUNCTION("SPLIT(A14627,"" "")"),"Cc1cnc(NC2C=CC=CN2)c(C)c1")</f>
        <v>Cc1cnc(NC2C=CC=CN2)c(C)c1</v>
      </c>
      <c r="C14627" s="7">
        <f>IFERROR(__xludf.DUMMYFUNCTION("""COMPUTED_VALUE"""),7.747373)</f>
        <v>7.747373</v>
      </c>
      <c r="D14627" s="7">
        <f>IFERROR(__xludf.DUMMYFUNCTION("""COMPUTED_VALUE"""),0.236363636363636)</f>
        <v>0.2363636364</v>
      </c>
    </row>
    <row r="14628">
      <c r="A14628" s="10" t="s">
        <v>16067</v>
      </c>
      <c r="B14628" s="7" t="str">
        <f>IFERROR(__xludf.DUMMYFUNCTION("SPLIT(A14628,"" "")"),"CC1COC(c2ncccc2CN(C)Cc2cc(N)ccn2)=N1")</f>
        <v>CC1COC(c2ncccc2CN(C)Cc2cc(N)ccn2)=N1</v>
      </c>
      <c r="C14628" s="7">
        <f>IFERROR(__xludf.DUMMYFUNCTION("""COMPUTED_VALUE"""),7.747371)</f>
        <v>7.747371</v>
      </c>
      <c r="D14628" s="7">
        <f>IFERROR(__xludf.DUMMYFUNCTION("""COMPUTED_VALUE"""),0.305084745762711)</f>
        <v>0.3050847458</v>
      </c>
    </row>
    <row r="14629">
      <c r="A14629" s="10" t="s">
        <v>16068</v>
      </c>
      <c r="B14629" s="7" t="str">
        <f>IFERROR(__xludf.DUMMYFUNCTION("SPLIT(A14629,"" "")"),"CNCc1ncccc1C(C)(c1ccccn1)c1ccccn1")</f>
        <v>CNCc1ncccc1C(C)(c1ccccn1)c1ccccn1</v>
      </c>
      <c r="C14629" s="7">
        <f>IFERROR(__xludf.DUMMYFUNCTION("""COMPUTED_VALUE"""),7.747366)</f>
        <v>7.747366</v>
      </c>
      <c r="D14629" s="7">
        <f>IFERROR(__xludf.DUMMYFUNCTION("""COMPUTED_VALUE"""),0.422222222222222)</f>
        <v>0.4222222222</v>
      </c>
    </row>
    <row r="14630">
      <c r="A14630" s="10" t="s">
        <v>16069</v>
      </c>
      <c r="B14630" s="7" t="str">
        <f>IFERROR(__xludf.DUMMYFUNCTION("SPLIT(A14630,"" "")"),"CN(Cc1cc(-c2ccccn2)ccn1)C1CCC(N(C)c2ccc3cc(CF)cnc3c2)CC1")</f>
        <v>CN(Cc1cc(-c2ccccn2)ccn1)C1CCC(N(C)c2ccc3cc(CF)cnc3c2)CC1</v>
      </c>
      <c r="C14630" s="7">
        <f>IFERROR(__xludf.DUMMYFUNCTION("""COMPUTED_VALUE"""),7.7473555)</f>
        <v>7.7473555</v>
      </c>
      <c r="D14630" s="7">
        <f>IFERROR(__xludf.DUMMYFUNCTION("""COMPUTED_VALUE"""),0.333333333333333)</f>
        <v>0.3333333333</v>
      </c>
    </row>
    <row r="14631">
      <c r="A14631" s="10" t="s">
        <v>16070</v>
      </c>
      <c r="B14631" s="7" t="str">
        <f>IFERROR(__xludf.DUMMYFUNCTION("SPLIT(A14631,"" "")"),"CN(CCN(Cc1cccc2ncccc12)CC(C)(C)C)Cc1cccc2ncccc12")</f>
        <v>CN(CCN(Cc1cccc2ncccc12)CC(C)(C)C)Cc1cccc2ncccc12</v>
      </c>
      <c r="C14631" s="7">
        <f>IFERROR(__xludf.DUMMYFUNCTION("""COMPUTED_VALUE"""),7.7473545)</f>
        <v>7.7473545</v>
      </c>
      <c r="D14631" s="7">
        <f>IFERROR(__xludf.DUMMYFUNCTION("""COMPUTED_VALUE"""),0.478260869565217)</f>
        <v>0.4782608696</v>
      </c>
    </row>
    <row r="14632">
      <c r="A14632" s="10" t="s">
        <v>16071</v>
      </c>
      <c r="B14632" s="7" t="str">
        <f>IFERROR(__xludf.DUMMYFUNCTION("SPLIT(A14632,"" "")"),"CN(Cc1ccccn1)C1=C(CN(Cc2ccccn2)c2ccccc2F)NC=CC1")</f>
        <v>CN(Cc1ccccn1)C1=C(CN(Cc2ccccn2)c2ccccc2F)NC=CC1</v>
      </c>
      <c r="C14632" s="7">
        <f>IFERROR(__xludf.DUMMYFUNCTION("""COMPUTED_VALUE"""),7.7473536)</f>
        <v>7.7473536</v>
      </c>
      <c r="D14632" s="7">
        <f>IFERROR(__xludf.DUMMYFUNCTION("""COMPUTED_VALUE"""),0.4)</f>
        <v>0.4</v>
      </c>
    </row>
    <row r="14633">
      <c r="A14633" s="10" t="s">
        <v>16072</v>
      </c>
      <c r="B14633" s="7" t="str">
        <f>IFERROR(__xludf.DUMMYFUNCTION("SPLIT(A14633,"" "")"),"Cc1ccc(CN(Cc2ccc(N)cn2)Cc2ncccc2N(C)Cc2ccc(C)c(C)n2)nc1")</f>
        <v>Cc1ccc(CN(Cc2ccc(N)cn2)Cc2ncccc2N(C)Cc2ccc(C)c(C)n2)nc1</v>
      </c>
      <c r="C14633" s="7">
        <f>IFERROR(__xludf.DUMMYFUNCTION("""COMPUTED_VALUE"""),7.74735)</f>
        <v>7.74735</v>
      </c>
      <c r="D14633" s="7">
        <f>IFERROR(__xludf.DUMMYFUNCTION("""COMPUTED_VALUE"""),0.357142857142857)</f>
        <v>0.3571428571</v>
      </c>
    </row>
    <row r="14634">
      <c r="A14634" s="10" t="s">
        <v>16073</v>
      </c>
      <c r="B14634" s="7" t="str">
        <f>IFERROR(__xludf.DUMMYFUNCTION("SPLIT(A14634,"" "")"),"C=CCNCc1cccc(CN(Cc2ccccn2)Cc2cccc(-c3cccc(N=Cc4ccccn4)c3)n2)n1")</f>
        <v>C=CCNCc1cccc(CN(Cc2ccccn2)Cc2cccc(-c3cccc(N=Cc4ccccn4)c3)n2)n1</v>
      </c>
      <c r="C14634" s="7">
        <f>IFERROR(__xludf.DUMMYFUNCTION("""COMPUTED_VALUE"""),7.747347)</f>
        <v>7.747347</v>
      </c>
      <c r="D14634" s="7">
        <f>IFERROR(__xludf.DUMMYFUNCTION("""COMPUTED_VALUE"""),0.462686567164179)</f>
        <v>0.4626865672</v>
      </c>
    </row>
    <row r="14635">
      <c r="A14635" s="10" t="s">
        <v>16074</v>
      </c>
      <c r="B14635" s="7" t="str">
        <f>IFERROR(__xludf.DUMMYFUNCTION("SPLIT(A14635,"" "")"),"CC1COC(c2cccc(CN(C)C)n2)=N1")</f>
        <v>CC1COC(c2cccc(CN(C)C)n2)=N1</v>
      </c>
      <c r="C14635" s="7">
        <f>IFERROR(__xludf.DUMMYFUNCTION("""COMPUTED_VALUE"""),7.7473426)</f>
        <v>7.7473426</v>
      </c>
      <c r="D14635" s="7">
        <f>IFERROR(__xludf.DUMMYFUNCTION("""COMPUTED_VALUE"""),0.36734693877551)</f>
        <v>0.3673469388</v>
      </c>
    </row>
    <row r="14636">
      <c r="A14636" s="10" t="s">
        <v>16075</v>
      </c>
      <c r="B14636" s="7" t="str">
        <f>IFERROR(__xludf.DUMMYFUNCTION("SPLIT(A14636,"" "")"),"CNCCN(Cc1ccccn1)C(C)(N)N(Cc1ccccn1)c1cccc2ncccc12")</f>
        <v>CNCCN(Cc1ccccn1)C(C)(N)N(Cc1ccccn1)c1cccc2ncccc12</v>
      </c>
      <c r="C14636" s="7">
        <f>IFERROR(__xludf.DUMMYFUNCTION("""COMPUTED_VALUE"""),7.7473297)</f>
        <v>7.7473297</v>
      </c>
      <c r="D14636" s="7">
        <f>IFERROR(__xludf.DUMMYFUNCTION("""COMPUTED_VALUE"""),0.362068965517241)</f>
        <v>0.3620689655</v>
      </c>
    </row>
    <row r="14637">
      <c r="A14637" s="10" t="s">
        <v>16076</v>
      </c>
      <c r="B14637" s="7" t="str">
        <f>IFERROR(__xludf.DUMMYFUNCTION("SPLIT(A14637,"" "")"),"Cc1cccnc1CN(CCN(C)C(C)C)c1ccc2ncccc2c1")</f>
        <v>Cc1cccnc1CN(CCN(C)C(C)C)c1ccc2ncccc2c1</v>
      </c>
      <c r="C14637" s="7">
        <f>IFERROR(__xludf.DUMMYFUNCTION("""COMPUTED_VALUE"""),7.747311)</f>
        <v>7.747311</v>
      </c>
      <c r="D14637" s="7">
        <f>IFERROR(__xludf.DUMMYFUNCTION("""COMPUTED_VALUE"""),0.303571428571428)</f>
        <v>0.3035714286</v>
      </c>
    </row>
    <row r="14638">
      <c r="A14638" s="10" t="s">
        <v>16077</v>
      </c>
      <c r="B14638" s="7" t="str">
        <f>IFERROR(__xludf.DUMMYFUNCTION("SPLIT(A14638,"" "")"),"Cc1ccc(CN(C)c2ccc(CN(C)Cc3cncc(C)c3C)nc2)nc1")</f>
        <v>Cc1ccc(CN(C)c2ccc(CN(C)Cc3cncc(C)c3C)nc2)nc1</v>
      </c>
      <c r="C14638" s="7">
        <f>IFERROR(__xludf.DUMMYFUNCTION("""COMPUTED_VALUE"""),7.747306)</f>
        <v>7.747306</v>
      </c>
      <c r="D14638" s="7">
        <f>IFERROR(__xludf.DUMMYFUNCTION("""COMPUTED_VALUE"""),0.5)</f>
        <v>0.5</v>
      </c>
    </row>
    <row r="14639">
      <c r="A14639" s="10" t="s">
        <v>16078</v>
      </c>
      <c r="B14639" s="7" t="str">
        <f>IFERROR(__xludf.DUMMYFUNCTION("SPLIT(A14639,"" "")"),"Cc1cnc(CN(C)c2cccnc2CN(C)Cc2ccccn2)c(C)c1C")</f>
        <v>Cc1cnc(CN(C)c2cccnc2CN(C)Cc2ccccn2)c(C)c1C</v>
      </c>
      <c r="C14639" s="7">
        <f>IFERROR(__xludf.DUMMYFUNCTION("""COMPUTED_VALUE"""),7.7472987)</f>
        <v>7.7472987</v>
      </c>
      <c r="D14639" s="7">
        <f>IFERROR(__xludf.DUMMYFUNCTION("""COMPUTED_VALUE"""),0.448979591836734)</f>
        <v>0.4489795918</v>
      </c>
    </row>
    <row r="14640">
      <c r="A14640" s="10" t="s">
        <v>16079</v>
      </c>
      <c r="B14640" s="7" t="str">
        <f>IFERROR(__xludf.DUMMYFUNCTION("SPLIT(A14640,"" "")"),"CC(C)N(C)CCN(Cc1ccccn1)c1ccc2c(CN(C)C)ccnc2c1")</f>
        <v>CC(C)N(C)CCN(Cc1ccccn1)c1ccc2c(CN(C)C)ccnc2c1</v>
      </c>
      <c r="C14640" s="7">
        <f>IFERROR(__xludf.DUMMYFUNCTION("""COMPUTED_VALUE"""),7.747295)</f>
        <v>7.747295</v>
      </c>
      <c r="D14640" s="7">
        <f>IFERROR(__xludf.DUMMYFUNCTION("""COMPUTED_VALUE"""),0.415094339622641)</f>
        <v>0.4150943396</v>
      </c>
    </row>
    <row r="14641">
      <c r="A14641" s="10" t="s">
        <v>16080</v>
      </c>
      <c r="B14641" s="7" t="str">
        <f>IFERROR(__xludf.DUMMYFUNCTION("SPLIT(A14641,"" "")"),"Cc1cc(CN(C)Cc2cccc(N(C)Cc3ncccc3C)n2)cnc1C")</f>
        <v>Cc1cc(CN(C)Cc2cccc(N(C)Cc3ncccc3C)n2)cnc1C</v>
      </c>
      <c r="C14641" s="7">
        <f>IFERROR(__xludf.DUMMYFUNCTION("""COMPUTED_VALUE"""),7.7472944)</f>
        <v>7.7472944</v>
      </c>
      <c r="D14641" s="7">
        <f>IFERROR(__xludf.DUMMYFUNCTION("""COMPUTED_VALUE"""),0.368421052631578)</f>
        <v>0.3684210526</v>
      </c>
    </row>
    <row r="14642">
      <c r="A14642" s="10" t="s">
        <v>16081</v>
      </c>
      <c r="B14642" s="7" t="str">
        <f>IFERROR(__xludf.DUMMYFUNCTION("SPLIT(A14642,"" "")"),"Cc1ccnc2cccc(N(C)CCN(C)C(C)(C)C)c12")</f>
        <v>Cc1ccnc2cccc(N(C)CCN(C)C(C)(C)C)c12</v>
      </c>
      <c r="C14642" s="7">
        <f>IFERROR(__xludf.DUMMYFUNCTION("""COMPUTED_VALUE"""),7.747288)</f>
        <v>7.747288</v>
      </c>
      <c r="D14642" s="7">
        <f>IFERROR(__xludf.DUMMYFUNCTION("""COMPUTED_VALUE"""),0.391304347826087)</f>
        <v>0.3913043478</v>
      </c>
    </row>
    <row r="14643">
      <c r="A14643" s="10" t="s">
        <v>16082</v>
      </c>
      <c r="B14643" s="7" t="str">
        <f>IFERROR(__xludf.DUMMYFUNCTION("SPLIT(A14643,"" "")"),"Cc1cccnc1CN(C)Cc1cc(N(C)Cc2ncccc2C)ccn1")</f>
        <v>Cc1cccnc1CN(C)Cc1cc(N(C)Cc2ncccc2C)ccn1</v>
      </c>
      <c r="C14643" s="7">
        <f>IFERROR(__xludf.DUMMYFUNCTION("""COMPUTED_VALUE"""),7.7472844)</f>
        <v>7.7472844</v>
      </c>
      <c r="D14643" s="7">
        <f>IFERROR(__xludf.DUMMYFUNCTION("""COMPUTED_VALUE"""),0.36)</f>
        <v>0.36</v>
      </c>
    </row>
    <row r="14644">
      <c r="A14644" s="10" t="s">
        <v>16083</v>
      </c>
      <c r="B14644" s="7" t="str">
        <f>IFERROR(__xludf.DUMMYFUNCTION("SPLIT(A14644,"" "")"),"CCNCc1cccc(CN(Cc2ccccn2)Cc2cccc(-c3cccc(N=Cc4ccccn4)c3)n2)n1")</f>
        <v>CCNCc1cccc(CN(Cc2ccccn2)Cc2cccc(-c3cccc(N=Cc4ccccn4)c3)n2)n1</v>
      </c>
      <c r="C14644" s="7">
        <f>IFERROR(__xludf.DUMMYFUNCTION("""COMPUTED_VALUE"""),7.7472806)</f>
        <v>7.7472806</v>
      </c>
      <c r="D14644" s="7">
        <f>IFERROR(__xludf.DUMMYFUNCTION("""COMPUTED_VALUE"""),0.5)</f>
        <v>0.5</v>
      </c>
    </row>
    <row r="14645">
      <c r="A14645" s="10" t="s">
        <v>16084</v>
      </c>
      <c r="B14645" s="7" t="str">
        <f>IFERROR(__xludf.DUMMYFUNCTION("SPLIT(A14645,"" "")"),"CC1=CC(C)CC(C)C1N(C)Cc1ccc(-c2cccc(N=Cc3ccccn3)c2)cn1")</f>
        <v>CC1=CC(C)CC(C)C1N(C)Cc1ccc(-c2cccc(N=Cc3ccccn3)c2)cn1</v>
      </c>
      <c r="C14645" s="7">
        <f>IFERROR(__xludf.DUMMYFUNCTION("""COMPUTED_VALUE"""),7.747279)</f>
        <v>7.747279</v>
      </c>
      <c r="D14645" s="7">
        <f>IFERROR(__xludf.DUMMYFUNCTION("""COMPUTED_VALUE"""),0.318840579710144)</f>
        <v>0.3188405797</v>
      </c>
    </row>
    <row r="14646">
      <c r="A14646" s="10" t="s">
        <v>16085</v>
      </c>
      <c r="B14646" s="7" t="str">
        <f>IFERROR(__xludf.DUMMYFUNCTION("SPLIT(A14646,"" "")"),"CN(CC1=CC(N(C)Cc2ccccn2)C=CN1)c1ccc(Cl)c(Cl)c1")</f>
        <v>CN(CC1=CC(N(C)Cc2ccccn2)C=CN1)c1ccc(Cl)c(Cl)c1</v>
      </c>
      <c r="C14646" s="7">
        <f>IFERROR(__xludf.DUMMYFUNCTION("""COMPUTED_VALUE"""),7.74727)</f>
        <v>7.74727</v>
      </c>
      <c r="D14646" s="7">
        <f>IFERROR(__xludf.DUMMYFUNCTION("""COMPUTED_VALUE"""),0.462962962962962)</f>
        <v>0.462962963</v>
      </c>
    </row>
    <row r="14647">
      <c r="A14647" s="10" t="s">
        <v>16086</v>
      </c>
      <c r="B14647" s="7" t="str">
        <f>IFERROR(__xludf.DUMMYFUNCTION("SPLIT(A14647,"" "")"),"Cc1cc(C)c(CN(CC2=CCC(N(C)Cc3ncc(C)c(C)c3C)=CN2)Cc2cc(C)c(C)c(C)n2)nc1C")</f>
        <v>Cc1cc(C)c(CN(CC2=CCC(N(C)Cc3ncc(C)c(C)c3C)=CN2)Cc2cc(C)c(C)c(C)n2)nc1C</v>
      </c>
      <c r="C14647" s="7">
        <f>IFERROR(__xludf.DUMMYFUNCTION("""COMPUTED_VALUE"""),7.747265)</f>
        <v>7.747265</v>
      </c>
      <c r="D14647" s="7">
        <f>IFERROR(__xludf.DUMMYFUNCTION("""COMPUTED_VALUE"""),0.260273972602739)</f>
        <v>0.2602739726</v>
      </c>
    </row>
    <row r="14648">
      <c r="A14648" s="10" t="s">
        <v>16087</v>
      </c>
      <c r="B14648" s="7" t="str">
        <f>IFERROR(__xludf.DUMMYFUNCTION("SPLIT(A14648,"" "")"),"CCNC1=C(c2cc(CN(Cc3ccccn3)C3CCC(N(C)c4ccc5nccc(CF)c5c4)CC3)ccn2)Cc2ncccc2C1")</f>
        <v>CCNC1=C(c2cc(CN(Cc3ccccn3)C3CCC(N(C)c4ccc5nccc(CF)c5c4)CC3)ccn2)Cc2ncccc2C1</v>
      </c>
      <c r="C14648" s="7">
        <f>IFERROR(__xludf.DUMMYFUNCTION("""COMPUTED_VALUE"""),7.747257)</f>
        <v>7.747257</v>
      </c>
      <c r="D14648" s="7">
        <f>IFERROR(__xludf.DUMMYFUNCTION("""COMPUTED_VALUE"""),0.270588235294117)</f>
        <v>0.2705882353</v>
      </c>
    </row>
    <row r="14649">
      <c r="A14649" s="10" t="s">
        <v>16088</v>
      </c>
      <c r="B14649" s="7" t="str">
        <f>IFERROR(__xludf.DUMMYFUNCTION("SPLIT(A14649,"" "")"),"CC(C)N(Cc1ccnc(-c2cccc(N(Cc3ccccn3)C(C)C)c2)c1)Cc1ccccn1")</f>
        <v>CC(C)N(Cc1ccnc(-c2cccc(N(Cc3ccccn3)C(C)C)c2)c1)Cc1ccccn1</v>
      </c>
      <c r="C14649" s="7">
        <f>IFERROR(__xludf.DUMMYFUNCTION("""COMPUTED_VALUE"""),7.747253)</f>
        <v>7.747253</v>
      </c>
      <c r="D14649" s="7">
        <f>IFERROR(__xludf.DUMMYFUNCTION("""COMPUTED_VALUE"""),0.48)</f>
        <v>0.48</v>
      </c>
    </row>
    <row r="14650">
      <c r="A14650" s="10" t="s">
        <v>16089</v>
      </c>
      <c r="B14650" s="7" t="str">
        <f>IFERROR(__xludf.DUMMYFUNCTION("SPLIT(A14650,"" "")"),"Cc1cc(-c2cccc(CN(C)C(C)C)n2)ccc1NCc1ccccn1")</f>
        <v>Cc1cc(-c2cccc(CN(C)C(C)C)n2)ccc1NCc1ccccn1</v>
      </c>
      <c r="C14650" s="7">
        <f>IFERROR(__xludf.DUMMYFUNCTION("""COMPUTED_VALUE"""),7.7472444)</f>
        <v>7.7472444</v>
      </c>
      <c r="D14650" s="7">
        <f>IFERROR(__xludf.DUMMYFUNCTION("""COMPUTED_VALUE"""),0.435483870967741)</f>
        <v>0.435483871</v>
      </c>
    </row>
    <row r="14651">
      <c r="A14651" s="10" t="s">
        <v>16090</v>
      </c>
      <c r="B14651" s="7" t="str">
        <f>IFERROR(__xludf.DUMMYFUNCTION("SPLIT(A14651,"" "")"),"CC1C=CC(C)C(C)(c2cc(CN(Cc3ccccn3)Cc3cccc(-c4cccc(N=Cc5ccccn5)c4)n3)ccn2)C1")</f>
        <v>CC1C=CC(C)C(C)(c2cc(CN(Cc3ccccn3)Cc3cccc(-c4cccc(N=Cc5ccccn5)c4)n3)ccn2)C1</v>
      </c>
      <c r="C14651" s="7">
        <f>IFERROR(__xludf.DUMMYFUNCTION("""COMPUTED_VALUE"""),7.747243)</f>
        <v>7.747243</v>
      </c>
      <c r="D14651" s="7">
        <f>IFERROR(__xludf.DUMMYFUNCTION("""COMPUTED_VALUE"""),0.40506329113924)</f>
        <v>0.4050632911</v>
      </c>
    </row>
    <row r="14652">
      <c r="A14652" s="10" t="s">
        <v>16091</v>
      </c>
      <c r="B14652" s="7" t="str">
        <f>IFERROR(__xludf.DUMMYFUNCTION("SPLIT(A14652,"" "")"),"CC1C=CCC(C)(c2cccc(CN(Cc3ccccn3)c3cccc4cccnc34)n2)C1C")</f>
        <v>CC1C=CCC(C)(c2cccc(CN(Cc3ccccn3)c3cccc4cccnc34)n2)C1C</v>
      </c>
      <c r="C14652" s="7">
        <f>IFERROR(__xludf.DUMMYFUNCTION("""COMPUTED_VALUE"""),7.747242)</f>
        <v>7.747242</v>
      </c>
      <c r="D14652" s="7">
        <f>IFERROR(__xludf.DUMMYFUNCTION("""COMPUTED_VALUE"""),0.35)</f>
        <v>0.35</v>
      </c>
    </row>
    <row r="14653">
      <c r="A14653" s="10" t="s">
        <v>16092</v>
      </c>
      <c r="B14653" s="7" t="str">
        <f>IFERROR(__xludf.DUMMYFUNCTION("SPLIT(A14653,"" "")"),"CN(c1ccc2nc3c(cc2c1)CCC3)C1CCC(N(Cc2ccccn2)Cc2ccc3ccccc3n2)CC1")</f>
        <v>CN(c1ccc2nc3c(cc2c1)CCC3)C1CCC(N(Cc2ccccn2)Cc2ccc3ccccc3n2)CC1</v>
      </c>
      <c r="C14653" s="7">
        <f>IFERROR(__xludf.DUMMYFUNCTION("""COMPUTED_VALUE"""),7.7472415)</f>
        <v>7.7472415</v>
      </c>
      <c r="D14653" s="7">
        <f>IFERROR(__xludf.DUMMYFUNCTION("""COMPUTED_VALUE"""),0.435483870967741)</f>
        <v>0.435483871</v>
      </c>
    </row>
    <row r="14654">
      <c r="A14654" s="10" t="s">
        <v>16093</v>
      </c>
      <c r="B14654" s="7" t="str">
        <f>IFERROR(__xludf.DUMMYFUNCTION("SPLIT(A14654,"" "")"),"Cc1cc(CN(C)c2cccnc2CN(Cc2ccccn2)Cc2ncc(C)c(C)c2C)cnc1C")</f>
        <v>Cc1cc(CN(C)c2cccnc2CN(Cc2ccccn2)Cc2ncc(C)c(C)c2C)cnc1C</v>
      </c>
      <c r="C14654" s="7">
        <f>IFERROR(__xludf.DUMMYFUNCTION("""COMPUTED_VALUE"""),7.7472386)</f>
        <v>7.7472386</v>
      </c>
      <c r="D14654" s="7">
        <f>IFERROR(__xludf.DUMMYFUNCTION("""COMPUTED_VALUE"""),0.403508771929824)</f>
        <v>0.4035087719</v>
      </c>
    </row>
    <row r="14655">
      <c r="A14655" s="10" t="s">
        <v>16094</v>
      </c>
      <c r="B14655" s="7" t="str">
        <f>IFERROR(__xludf.DUMMYFUNCTION("SPLIT(A14655,"" "")"),"Cc1cc(N(Cc2ccccn2)C2CCCCC2N(C)c2cccc3ncc(CF)cc23)c(C)c(C)c1C")</f>
        <v>Cc1cc(N(Cc2ccccn2)C2CCCCC2N(C)c2cccc3ncc(CF)cc23)c(C)c(C)c1C</v>
      </c>
      <c r="C14655" s="7">
        <f>IFERROR(__xludf.DUMMYFUNCTION("""COMPUTED_VALUE"""),7.7472296)</f>
        <v>7.7472296</v>
      </c>
      <c r="D14655" s="7">
        <f>IFERROR(__xludf.DUMMYFUNCTION("""COMPUTED_VALUE"""),0.393939393939393)</f>
        <v>0.3939393939</v>
      </c>
    </row>
    <row r="14656">
      <c r="A14656" s="10" t="s">
        <v>16095</v>
      </c>
      <c r="B14656" s="7" t="str">
        <f>IFERROR(__xludf.DUMMYFUNCTION("SPLIT(A14656,"" "")"),"Cc1cccc(CN(C)c2ccc(CN(Cc3ccccn3)Cc3ncc(C)c(C)c3C)nc2)n1")</f>
        <v>Cc1cccc(CN(C)c2ccc(CN(Cc3ccccn3)Cc3ncc(C)c(C)c3C)nc2)n1</v>
      </c>
      <c r="C14656" s="7">
        <f>IFERROR(__xludf.DUMMYFUNCTION("""COMPUTED_VALUE"""),7.747212)</f>
        <v>7.747212</v>
      </c>
      <c r="D14656" s="7">
        <f>IFERROR(__xludf.DUMMYFUNCTION("""COMPUTED_VALUE"""),0.418181818181818)</f>
        <v>0.4181818182</v>
      </c>
    </row>
    <row r="14657">
      <c r="A14657" s="10" t="s">
        <v>16096</v>
      </c>
      <c r="B14657" s="7" t="str">
        <f>IFERROR(__xludf.DUMMYFUNCTION("SPLIT(A14657,"" "")"),"Cc1ccc(C2CCC2(C)C)nc1CN(Cc1cc(-c2cccc(N(C)C)c2)ccn1)Cc1cccnc1F")</f>
        <v>Cc1ccc(C2CCC2(C)C)nc1CN(Cc1cc(-c2cccc(N(C)C)c2)ccn1)Cc1cccnc1F</v>
      </c>
      <c r="C14657" s="7">
        <f>IFERROR(__xludf.DUMMYFUNCTION("""COMPUTED_VALUE"""),7.7472095)</f>
        <v>7.7472095</v>
      </c>
      <c r="D14657" s="7">
        <f>IFERROR(__xludf.DUMMYFUNCTION("""COMPUTED_VALUE"""),0.280487804878048)</f>
        <v>0.2804878049</v>
      </c>
    </row>
    <row r="14658">
      <c r="A14658" s="10" t="s">
        <v>16097</v>
      </c>
      <c r="B14658" s="7" t="str">
        <f>IFERROR(__xludf.DUMMYFUNCTION("SPLIT(A14658,"" "")"),"Cc1cccc(-c2cnccc2CN(C)Cc2ccccn2)c1")</f>
        <v>Cc1cccc(-c2cnccc2CN(C)Cc2ccccn2)c1</v>
      </c>
      <c r="C14658" s="7">
        <f>IFERROR(__xludf.DUMMYFUNCTION("""COMPUTED_VALUE"""),7.747202)</f>
        <v>7.747202</v>
      </c>
      <c r="D14658" s="7">
        <f>IFERROR(__xludf.DUMMYFUNCTION("""COMPUTED_VALUE"""),0.450980392156862)</f>
        <v>0.4509803922</v>
      </c>
    </row>
    <row r="14659">
      <c r="A14659" s="10" t="s">
        <v>16098</v>
      </c>
      <c r="B14659" s="7" t="str">
        <f>IFERROR(__xludf.DUMMYFUNCTION("SPLIT(A14659,"" "")"),"CN(Cc1ccc2ncccc2c1)C1CCC(N(C)c2ccc3nc(CF)ccc3c2)CC1")</f>
        <v>CN(Cc1ccc2ncccc2c1)C1CCC(N(C)c2ccc3nc(CF)ccc3c2)CC1</v>
      </c>
      <c r="C14659" s="7">
        <f>IFERROR(__xludf.DUMMYFUNCTION("""COMPUTED_VALUE"""),7.747192)</f>
        <v>7.747192</v>
      </c>
      <c r="D14659" s="7">
        <f>IFERROR(__xludf.DUMMYFUNCTION("""COMPUTED_VALUE"""),0.353846153846153)</f>
        <v>0.3538461538</v>
      </c>
    </row>
    <row r="14660">
      <c r="A14660" s="10" t="s">
        <v>16099</v>
      </c>
      <c r="B14660" s="7" t="str">
        <f>IFERROR(__xludf.DUMMYFUNCTION("SPLIT(A14660,"" "")"),"Cc1cc(C)c(CN(C)Cc2cccc(N(C)Cc3ccccn3)n2)nc1C")</f>
        <v>Cc1cc(C)c(CN(C)Cc2cccc(N(C)Cc3ccccn3)n2)nc1C</v>
      </c>
      <c r="C14660" s="7">
        <f>IFERROR(__xludf.DUMMYFUNCTION("""COMPUTED_VALUE"""),7.7471795)</f>
        <v>7.7471795</v>
      </c>
      <c r="D14660" s="7">
        <f>IFERROR(__xludf.DUMMYFUNCTION("""COMPUTED_VALUE"""),0.5)</f>
        <v>0.5</v>
      </c>
    </row>
    <row r="14661">
      <c r="A14661" s="10" t="s">
        <v>16100</v>
      </c>
      <c r="B14661" s="7" t="str">
        <f>IFERROR(__xludf.DUMMYFUNCTION("SPLIT(A14661,"" "")"),"CN(Cc1cccc(C2=CCC=CN2)n1)C1CCC(N(C)Cc2cccc(-c3ccc4ncccc4c3)n2)CC1")</f>
        <v>CN(Cc1cccc(C2=CCC=CN2)n1)C1CCC(N(C)Cc2cccc(-c3ccc4ncccc4c3)n2)CC1</v>
      </c>
      <c r="C14661" s="7">
        <f>IFERROR(__xludf.DUMMYFUNCTION("""COMPUTED_VALUE"""),7.7471743)</f>
        <v>7.7471743</v>
      </c>
      <c r="D14661" s="7">
        <f>IFERROR(__xludf.DUMMYFUNCTION("""COMPUTED_VALUE"""),0.333333333333333)</f>
        <v>0.3333333333</v>
      </c>
    </row>
    <row r="14662">
      <c r="A14662" s="10" t="s">
        <v>16101</v>
      </c>
      <c r="B14662" s="7" t="str">
        <f>IFERROR(__xludf.DUMMYFUNCTION("SPLIT(A14662,"" "")"),"Cc1cc(CN(C)CC2=CCC=C(N(C)Cc3ncc(C)c(C)c3C)N2)nc(C)c1C")</f>
        <v>Cc1cc(CN(C)CC2=CCC=C(N(C)Cc3ncc(C)c(C)c3C)N2)nc(C)c1C</v>
      </c>
      <c r="C14662" s="7">
        <f>IFERROR(__xludf.DUMMYFUNCTION("""COMPUTED_VALUE"""),7.7471576)</f>
        <v>7.7471576</v>
      </c>
      <c r="D14662" s="7">
        <f>IFERROR(__xludf.DUMMYFUNCTION("""COMPUTED_VALUE"""),0.25)</f>
        <v>0.25</v>
      </c>
    </row>
    <row r="14663">
      <c r="A14663" s="10" t="s">
        <v>16102</v>
      </c>
      <c r="B14663" s="7" t="str">
        <f>IFERROR(__xludf.DUMMYFUNCTION("SPLIT(A14663,"" "")"),"CC(C)N(C)c1ccc2nc(CN(C)C(C)(C)c3cccnc3CN(C)C3CCC(N(C)c4ccc5nccc(CF)c5c4)CC3)ccc2c1")</f>
        <v>CC(C)N(C)c1ccc2nc(CN(C)C(C)(C)c3cccnc3CN(C)C3CCC(N(C)c4ccc5nccc(CF)c5c4)CC3)ccc2c1</v>
      </c>
      <c r="C14663" s="7">
        <f>IFERROR(__xludf.DUMMYFUNCTION("""COMPUTED_VALUE"""),7.7471523)</f>
        <v>7.7471523</v>
      </c>
      <c r="D14663" s="7">
        <f>IFERROR(__xludf.DUMMYFUNCTION("""COMPUTED_VALUE"""),0.228915662650602)</f>
        <v>0.2289156627</v>
      </c>
    </row>
    <row r="14664">
      <c r="A14664" s="10" t="s">
        <v>16103</v>
      </c>
      <c r="B14664" s="7" t="str">
        <f>IFERROR(__xludf.DUMMYFUNCTION("SPLIT(A14664,"" "")"),"Cc1ccc(CN(C)c2ccc(CN(Cc3ccccn3)Cc3nc(C)c(C)cc3C)nc2)nc1")</f>
        <v>Cc1ccc(CN(C)c2ccc(CN(Cc3ccccn3)Cc3nc(C)c(C)cc3C)nc2)nc1</v>
      </c>
      <c r="C14664" s="7">
        <f>IFERROR(__xludf.DUMMYFUNCTION("""COMPUTED_VALUE"""),7.74714)</f>
        <v>7.74714</v>
      </c>
      <c r="D14664" s="7">
        <f>IFERROR(__xludf.DUMMYFUNCTION("""COMPUTED_VALUE"""),0.408163265306122)</f>
        <v>0.4081632653</v>
      </c>
    </row>
    <row r="14665">
      <c r="A14665" s="10" t="s">
        <v>16104</v>
      </c>
      <c r="B14665" s="7" t="str">
        <f>IFERROR(__xludf.DUMMYFUNCTION("SPLIT(A14665,"" "")"),"Cc1cccnc1CN(C)Cc1ccc(N(C)Cc2ncccc2C)cn1")</f>
        <v>Cc1cccnc1CN(C)Cc1ccc(N(C)Cc2ncccc2C)cn1</v>
      </c>
      <c r="C14665" s="7">
        <f>IFERROR(__xludf.DUMMYFUNCTION("""COMPUTED_VALUE"""),7.747122)</f>
        <v>7.747122</v>
      </c>
      <c r="D14665" s="7">
        <f>IFERROR(__xludf.DUMMYFUNCTION("""COMPUTED_VALUE"""),0.409090909090909)</f>
        <v>0.4090909091</v>
      </c>
    </row>
    <row r="14666">
      <c r="A14666" s="10" t="s">
        <v>16105</v>
      </c>
      <c r="B14666" s="7" t="str">
        <f>IFERROR(__xludf.DUMMYFUNCTION("SPLIT(A14666,"" "")"),"CN(C)c1ccc(CN(Cc2ccccn2)Cc2ncccc2C(C)(C)c2ccccn2)nc1")</f>
        <v>CN(C)c1ccc(CN(Cc2ccccn2)Cc2ncccc2C(C)(C)c2ccccn2)nc1</v>
      </c>
      <c r="C14666" s="7">
        <f>IFERROR(__xludf.DUMMYFUNCTION("""COMPUTED_VALUE"""),7.7471194)</f>
        <v>7.7471194</v>
      </c>
      <c r="D14666" s="7">
        <f>IFERROR(__xludf.DUMMYFUNCTION("""COMPUTED_VALUE"""),0.425531914893617)</f>
        <v>0.4255319149</v>
      </c>
    </row>
    <row r="14667">
      <c r="A14667" s="10" t="s">
        <v>16106</v>
      </c>
      <c r="B14667" s="7" t="str">
        <f>IFERROR(__xludf.DUMMYFUNCTION("SPLIT(A14667,"" "")"),"Cc1cncc(C2=NC(C)(C)CO2)c1")</f>
        <v>Cc1cncc(C2=NC(C)(C)CO2)c1</v>
      </c>
      <c r="C14667" s="7">
        <f>IFERROR(__xludf.DUMMYFUNCTION("""COMPUTED_VALUE"""),7.7471175)</f>
        <v>7.7471175</v>
      </c>
      <c r="D14667" s="7">
        <f>IFERROR(__xludf.DUMMYFUNCTION("""COMPUTED_VALUE"""),0.435897435897435)</f>
        <v>0.4358974359</v>
      </c>
    </row>
    <row r="14668">
      <c r="A14668" s="10" t="s">
        <v>16107</v>
      </c>
      <c r="B14668" s="7" t="str">
        <f>IFERROR(__xludf.DUMMYFUNCTION("SPLIT(A14668,"" "")"),"CC(C)N(C)CC1=CCC(N(C)Cc2cccc3cccnc23)=CN1")</f>
        <v>CC(C)N(C)CC1=CCC(N(C)Cc2cccc3cccnc23)=CN1</v>
      </c>
      <c r="C14668" s="7">
        <f>IFERROR(__xludf.DUMMYFUNCTION("""COMPUTED_VALUE"""),7.7471066)</f>
        <v>7.7471066</v>
      </c>
      <c r="D14668" s="7">
        <f>IFERROR(__xludf.DUMMYFUNCTION("""COMPUTED_VALUE"""),0.461538461538461)</f>
        <v>0.4615384615</v>
      </c>
    </row>
    <row r="14669">
      <c r="A14669" s="10" t="s">
        <v>16108</v>
      </c>
      <c r="B14669" s="7" t="str">
        <f>IFERROR(__xludf.DUMMYFUNCTION("SPLIT(A14669,"" "")"),"CC1COC(c2cc(CN(C)C)ccn2)=N1")</f>
        <v>CC1COC(c2cc(CN(C)C)ccn2)=N1</v>
      </c>
      <c r="C14669" s="7">
        <f>IFERROR(__xludf.DUMMYFUNCTION("""COMPUTED_VALUE"""),7.747103)</f>
        <v>7.747103</v>
      </c>
      <c r="D14669" s="7">
        <f>IFERROR(__xludf.DUMMYFUNCTION("""COMPUTED_VALUE"""),0.245614035087719)</f>
        <v>0.2456140351</v>
      </c>
    </row>
    <row r="14670">
      <c r="A14670" s="10" t="s">
        <v>16109</v>
      </c>
      <c r="B14670" s="7" t="str">
        <f>IFERROR(__xludf.DUMMYFUNCTION("SPLIT(A14670,"" "")"),"Cc1nc(CN(C)C2=CNC(CN(C)C)=CC2)c(C)c(C)c1C")</f>
        <v>Cc1nc(CN(C)C2=CNC(CN(C)C)=CC2)c(C)c(C)c1C</v>
      </c>
      <c r="C14670" s="7">
        <f>IFERROR(__xludf.DUMMYFUNCTION("""COMPUTED_VALUE"""),7.747099)</f>
        <v>7.747099</v>
      </c>
      <c r="D14670" s="7">
        <f>IFERROR(__xludf.DUMMYFUNCTION("""COMPUTED_VALUE"""),0.196721311475409)</f>
        <v>0.1967213115</v>
      </c>
    </row>
    <row r="14671">
      <c r="A14671" s="10" t="s">
        <v>16110</v>
      </c>
      <c r="B14671" s="7" t="str">
        <f>IFERROR(__xludf.DUMMYFUNCTION("SPLIT(A14671,"" "")"),"Cc1ccccc1C1(C)N=COC1c1ccccn1")</f>
        <v>Cc1ccccc1C1(C)N=COC1c1ccccn1</v>
      </c>
      <c r="C14671" s="7">
        <f>IFERROR(__xludf.DUMMYFUNCTION("""COMPUTED_VALUE"""),7.7470984)</f>
        <v>7.7470984</v>
      </c>
      <c r="D14671" s="7">
        <f>IFERROR(__xludf.DUMMYFUNCTION("""COMPUTED_VALUE"""),0.283333333333333)</f>
        <v>0.2833333333</v>
      </c>
    </row>
    <row r="14672">
      <c r="A14672" s="10" t="s">
        <v>16111</v>
      </c>
      <c r="B14672" s="7" t="str">
        <f>IFERROR(__xludf.DUMMYFUNCTION("SPLIT(A14672,"" "")"),"Cc1cnc(CN(C)Cc2ccc(N(C)C)cn2)cc1C")</f>
        <v>Cc1cnc(CN(C)Cc2ccc(N(C)C)cn2)cc1C</v>
      </c>
      <c r="C14672" s="7">
        <f>IFERROR(__xludf.DUMMYFUNCTION("""COMPUTED_VALUE"""),7.747097)</f>
        <v>7.747097</v>
      </c>
      <c r="D14672" s="7">
        <f>IFERROR(__xludf.DUMMYFUNCTION("""COMPUTED_VALUE"""),0.473684210526315)</f>
        <v>0.4736842105</v>
      </c>
    </row>
    <row r="14673">
      <c r="A14673" s="10" t="s">
        <v>16112</v>
      </c>
      <c r="B14673" s="7" t="str">
        <f>IFERROR(__xludf.DUMMYFUNCTION("SPLIT(A14673,"" "")"),"Cc1cccc(CN(C)c2ccnc(CN(C)Cc3cncc(C)c3C)c2)n1")</f>
        <v>Cc1cccc(CN(C)c2ccnc(CN(C)Cc3cncc(C)c3C)c2)n1</v>
      </c>
      <c r="C14673" s="7">
        <f>IFERROR(__xludf.DUMMYFUNCTION("""COMPUTED_VALUE"""),7.747096)</f>
        <v>7.747096</v>
      </c>
      <c r="D14673" s="7">
        <f>IFERROR(__xludf.DUMMYFUNCTION("""COMPUTED_VALUE"""),0.431372549019607)</f>
        <v>0.431372549</v>
      </c>
    </row>
    <row r="14674">
      <c r="A14674" s="10" t="s">
        <v>16113</v>
      </c>
      <c r="B14674" s="7" t="str">
        <f>IFERROR(__xludf.DUMMYFUNCTION("SPLIT(A14674,"" "")"),"Cc1ccc(N(C)CC2=CC(N(C)Cc3nc(C)c(C)c(C)c3C)C=CN2)c(C)c1C")</f>
        <v>Cc1ccc(N(C)CC2=CC(N(C)Cc3nc(C)c(C)c(C)c3C)C=CN2)c(C)c1C</v>
      </c>
      <c r="C14674" s="7">
        <f>IFERROR(__xludf.DUMMYFUNCTION("""COMPUTED_VALUE"""),7.747094)</f>
        <v>7.747094</v>
      </c>
      <c r="D14674" s="7">
        <f>IFERROR(__xludf.DUMMYFUNCTION("""COMPUTED_VALUE"""),0.301587301587301)</f>
        <v>0.3015873016</v>
      </c>
    </row>
    <row r="14675">
      <c r="A14675" s="10" t="s">
        <v>16114</v>
      </c>
      <c r="B14675" s="7" t="str">
        <f>IFERROR(__xludf.DUMMYFUNCTION("SPLIT(A14675,"" "")"),"CC1=C2C=CC=NC2C(C)C=C1N(C)Cc1ccccn1")</f>
        <v>CC1=C2C=CC=NC2C(C)C=C1N(C)Cc1ccccn1</v>
      </c>
      <c r="C14675" s="7">
        <f>IFERROR(__xludf.DUMMYFUNCTION("""COMPUTED_VALUE"""),7.74709)</f>
        <v>7.74709</v>
      </c>
      <c r="D14675" s="7">
        <f>IFERROR(__xludf.DUMMYFUNCTION("""COMPUTED_VALUE"""),0.403846153846153)</f>
        <v>0.4038461538</v>
      </c>
    </row>
    <row r="14676">
      <c r="A14676" s="10" t="s">
        <v>16115</v>
      </c>
      <c r="B14676" s="7" t="str">
        <f>IFERROR(__xludf.DUMMYFUNCTION("SPLIT(A14676,"" "")"),"CCCN(Cc1ccccn1)c1cc(C)cc(C)c1N(C)Cc1ccccn1")</f>
        <v>CCCN(Cc1ccccn1)c1cc(C)cc(C)c1N(C)Cc1ccccn1</v>
      </c>
      <c r="C14676" s="7">
        <f>IFERROR(__xludf.DUMMYFUNCTION("""COMPUTED_VALUE"""),7.7470827)</f>
        <v>7.7470827</v>
      </c>
      <c r="D14676" s="7">
        <f>IFERROR(__xludf.DUMMYFUNCTION("""COMPUTED_VALUE"""),0.489361702127659)</f>
        <v>0.4893617021</v>
      </c>
    </row>
    <row r="14677">
      <c r="A14677" s="10" t="s">
        <v>16116</v>
      </c>
      <c r="B14677" s="7" t="str">
        <f>IFERROR(__xludf.DUMMYFUNCTION("SPLIT(A14677,"" "")"),"CC1=C(CN(C)c2cccc3ccnc(CN(C)Cc4ccccn4)c23)CC(C)CC1C")</f>
        <v>CC1=C(CN(C)c2cccc3ccnc(CN(C)Cc4ccccn4)c23)CC(C)CC1C</v>
      </c>
      <c r="C14677" s="7">
        <f>IFERROR(__xludf.DUMMYFUNCTION("""COMPUTED_VALUE"""),7.7470784)</f>
        <v>7.7470784</v>
      </c>
      <c r="D14677" s="7">
        <f>IFERROR(__xludf.DUMMYFUNCTION("""COMPUTED_VALUE"""),0.38095238095238)</f>
        <v>0.380952381</v>
      </c>
    </row>
    <row r="14678">
      <c r="A14678" s="10" t="s">
        <v>16117</v>
      </c>
      <c r="B14678" s="7" t="str">
        <f>IFERROR(__xludf.DUMMYFUNCTION("SPLIT(A14678,"" "")"),"CC(C)N(Cc1ccccn1)c1cccc(-c2cccc(CN(Cc3ccccn3)C3CCC(N(C)c4ccc5cc(CF)cnc5c4)CC3)n2)c1")</f>
        <v>CC(C)N(Cc1ccccn1)c1cccc(-c2cccc(CN(Cc3ccccn3)C3CCC(N(C)c4ccc5cc(CF)cnc5c4)CC3)n2)c1</v>
      </c>
      <c r="C14678" s="7">
        <f>IFERROR(__xludf.DUMMYFUNCTION("""COMPUTED_VALUE"""),7.7470694)</f>
        <v>7.7470694</v>
      </c>
      <c r="D14678" s="7">
        <f>IFERROR(__xludf.DUMMYFUNCTION("""COMPUTED_VALUE"""),0.3625)</f>
        <v>0.3625</v>
      </c>
    </row>
    <row r="14679">
      <c r="A14679" s="10" t="s">
        <v>16118</v>
      </c>
      <c r="B14679" s="7" t="str">
        <f>IFERROR(__xludf.DUMMYFUNCTION("SPLIT(A14679,"" "")"),"CC(C)N(C)CCN(C)c1ccc2nc3c(cc2c1)CCC3")</f>
        <v>CC(C)N(C)CCN(C)c1ccc2nc3c(cc2c1)CCC3</v>
      </c>
      <c r="C14679" s="7">
        <f>IFERROR(__xludf.DUMMYFUNCTION("""COMPUTED_VALUE"""),7.7470694)</f>
        <v>7.7470694</v>
      </c>
      <c r="D14679" s="7">
        <f>IFERROR(__xludf.DUMMYFUNCTION("""COMPUTED_VALUE"""),0.344827586206896)</f>
        <v>0.3448275862</v>
      </c>
    </row>
    <row r="14680">
      <c r="A14680" s="10" t="s">
        <v>16119</v>
      </c>
      <c r="B14680" s="7" t="str">
        <f>IFERROR(__xludf.DUMMYFUNCTION("SPLIT(A14680,"" "")"),"CN(CC1=CC(N(C)Cc2cccnn2)C=CN1)Cc1ccc2ncccc2c1")</f>
        <v>CN(CC1=CC(N(C)Cc2cccnn2)C=CN1)Cc1ccc2ncccc2c1</v>
      </c>
      <c r="C14680" s="7">
        <f>IFERROR(__xludf.DUMMYFUNCTION("""COMPUTED_VALUE"""),7.7470613)</f>
        <v>7.7470613</v>
      </c>
      <c r="D14680" s="7">
        <f>IFERROR(__xludf.DUMMYFUNCTION("""COMPUTED_VALUE"""),0.35593220338983)</f>
        <v>0.3559322034</v>
      </c>
    </row>
    <row r="14681">
      <c r="A14681" s="10" t="s">
        <v>16120</v>
      </c>
      <c r="B14681" s="7" t="str">
        <f>IFERROR(__xludf.DUMMYFUNCTION("SPLIT(A14681,"" "")"),"CNc1cc(CN(Cc2nc(C)c(C)c(C)c2C)Cc2nc(C)c(C)c(C)c2C)c(C(C)(C)C)c(CNCc2ncccc2C)n1")</f>
        <v>CNc1cc(CN(Cc2nc(C)c(C)c(C)c2C)Cc2nc(C)c(C)c(C)c2C)c(C(C)(C)C)c(CNCc2ncccc2C)n1</v>
      </c>
      <c r="C14681" s="7">
        <f>IFERROR(__xludf.DUMMYFUNCTION("""COMPUTED_VALUE"""),7.7470527)</f>
        <v>7.7470527</v>
      </c>
      <c r="D14681" s="7">
        <f>IFERROR(__xludf.DUMMYFUNCTION("""COMPUTED_VALUE"""),0.217391304347826)</f>
        <v>0.2173913043</v>
      </c>
    </row>
    <row r="14682">
      <c r="A14682" s="10" t="s">
        <v>16121</v>
      </c>
      <c r="B14682" s="7" t="str">
        <f>IFERROR(__xludf.DUMMYFUNCTION("SPLIT(A14682,"" "")"),"Cc1ccc(CN(Cc2cccc(CNCF)n2)Cc2cccc(-c3cccc(N=Cc4ccccn4)c3)n2)nc1")</f>
        <v>Cc1ccc(CN(Cc2cccc(CNCF)n2)Cc2cccc(-c3cccc(N=Cc4ccccn4)c3)n2)nc1</v>
      </c>
      <c r="C14682" s="7">
        <f>IFERROR(__xludf.DUMMYFUNCTION("""COMPUTED_VALUE"""),7.747048)</f>
        <v>7.747048</v>
      </c>
      <c r="D14682" s="7">
        <f>IFERROR(__xludf.DUMMYFUNCTION("""COMPUTED_VALUE"""),0.424657534246575)</f>
        <v>0.4246575342</v>
      </c>
    </row>
    <row r="14683">
      <c r="A14683" s="10" t="s">
        <v>16122</v>
      </c>
      <c r="B14683" s="7" t="str">
        <f>IFERROR(__xludf.DUMMYFUNCTION("SPLIT(A14683,"" "")"),"CN(CCN(C)c1ccc2ncccc2c1)Cc1ccccc1")</f>
        <v>CN(CCN(C)c1ccc2ncccc2c1)Cc1ccccc1</v>
      </c>
      <c r="C14683" s="7">
        <f>IFERROR(__xludf.DUMMYFUNCTION("""COMPUTED_VALUE"""),7.747039)</f>
        <v>7.747039</v>
      </c>
      <c r="D14683" s="7">
        <f>IFERROR(__xludf.DUMMYFUNCTION("""COMPUTED_VALUE"""),0.425531914893617)</f>
        <v>0.4255319149</v>
      </c>
    </row>
    <row r="14684">
      <c r="A14684" s="10" t="s">
        <v>16123</v>
      </c>
      <c r="B14684" s="7" t="str">
        <f>IFERROR(__xludf.DUMMYFUNCTION("SPLIT(A14684,"" "")"),"Cc1ccc(CN(C)c2ccc(CN(Cc3ccccn3)Cc3ccc(C)c(N)n3)nc2)nc1C")</f>
        <v>Cc1ccc(CN(C)c2ccc(CN(Cc3ccccn3)Cc3ccc(C)c(N)n3)nc2)nc1C</v>
      </c>
      <c r="C14684" s="7">
        <f>IFERROR(__xludf.DUMMYFUNCTION("""COMPUTED_VALUE"""),7.747001)</f>
        <v>7.747001</v>
      </c>
      <c r="D14684" s="7">
        <f>IFERROR(__xludf.DUMMYFUNCTION("""COMPUTED_VALUE"""),0.434782608695652)</f>
        <v>0.4347826087</v>
      </c>
    </row>
    <row r="14685">
      <c r="A14685" s="10" t="s">
        <v>16124</v>
      </c>
      <c r="B14685" s="7" t="str">
        <f>IFERROR(__xludf.DUMMYFUNCTION("SPLIT(A14685,"" "")"),"CCN(Cc1ccccn1)Cc1nccc2cccc(N(C)CC(C)(C)C)c12")</f>
        <v>CCN(Cc1ccccn1)Cc1nccc2cccc(N(C)CC(C)(C)C)c12</v>
      </c>
      <c r="C14685" s="7">
        <f>IFERROR(__xludf.DUMMYFUNCTION("""COMPUTED_VALUE"""),7.7469964)</f>
        <v>7.7469964</v>
      </c>
      <c r="D14685" s="7">
        <f>IFERROR(__xludf.DUMMYFUNCTION("""COMPUTED_VALUE"""),0.48076923076923)</f>
        <v>0.4807692308</v>
      </c>
    </row>
    <row r="14686">
      <c r="A14686" s="10" t="s">
        <v>16125</v>
      </c>
      <c r="B14686" s="7" t="str">
        <f>IFERROR(__xludf.DUMMYFUNCTION("SPLIT(A14686,"" "")"),"CN(CCN(C)C(C)(C)c1cccnc1)c1cccc2ncccc12")</f>
        <v>CN(CCN(C)C(C)(C)c1cccnc1)c1cccc2ncccc12</v>
      </c>
      <c r="C14686" s="7">
        <f>IFERROR(__xludf.DUMMYFUNCTION("""COMPUTED_VALUE"""),7.746984)</f>
        <v>7.746984</v>
      </c>
      <c r="D14686" s="7">
        <f>IFERROR(__xludf.DUMMYFUNCTION("""COMPUTED_VALUE"""),0.428571428571428)</f>
        <v>0.4285714286</v>
      </c>
    </row>
    <row r="14687">
      <c r="A14687" s="10" t="s">
        <v>16126</v>
      </c>
      <c r="B14687" s="7" t="str">
        <f>IFERROR(__xludf.DUMMYFUNCTION("SPLIT(A14687,"" "")"),"CCN(Cc1ccccn1)c1ccc2ncccc2c1CN(C)CC(C)(C)C")</f>
        <v>CCN(Cc1ccccn1)c1ccc2ncccc2c1CN(C)CC(C)(C)C</v>
      </c>
      <c r="C14687" s="7">
        <f>IFERROR(__xludf.DUMMYFUNCTION("""COMPUTED_VALUE"""),7.7469726)</f>
        <v>7.7469726</v>
      </c>
      <c r="D14687" s="7">
        <f>IFERROR(__xludf.DUMMYFUNCTION("""COMPUTED_VALUE"""),0.442307692307692)</f>
        <v>0.4423076923</v>
      </c>
    </row>
    <row r="14688">
      <c r="A14688" s="10" t="s">
        <v>16127</v>
      </c>
      <c r="B14688" s="7" t="str">
        <f>IFERROR(__xludf.DUMMYFUNCTION("SPLIT(A14688,"" "")"),"Cc1cnc(CN(C)CC2=CCC=C(N(C)Cc3nc(C)c(C)c(C)c3C)N2)c(C)c1")</f>
        <v>Cc1cnc(CN(C)CC2=CCC=C(N(C)Cc3nc(C)c(C)c(C)c3C)N2)c(C)c1</v>
      </c>
      <c r="C14688" s="7">
        <f>IFERROR(__xludf.DUMMYFUNCTION("""COMPUTED_VALUE"""),7.746972)</f>
        <v>7.746972</v>
      </c>
      <c r="D14688" s="7">
        <f>IFERROR(__xludf.DUMMYFUNCTION("""COMPUTED_VALUE"""),0.229508196721311)</f>
        <v>0.2295081967</v>
      </c>
    </row>
    <row r="14689">
      <c r="A14689" s="10" t="s">
        <v>16128</v>
      </c>
      <c r="B14689" s="7" t="str">
        <f>IFERROR(__xludf.DUMMYFUNCTION("SPLIT(A14689,"" "")"),"CC1=C(C)C(C)C(c2cc(CN(Cc3ccccn3)Cc3cc(-c4ccccc4N=Cc4ccccn4)ccn3)ccn2)CC1")</f>
        <v>CC1=C(C)C(C)C(c2cc(CN(Cc3ccccn3)Cc3cc(-c4ccccc4N=Cc4ccccn4)ccn3)ccn2)CC1</v>
      </c>
      <c r="C14689" s="7">
        <f>IFERROR(__xludf.DUMMYFUNCTION("""COMPUTED_VALUE"""),7.746969)</f>
        <v>7.746969</v>
      </c>
      <c r="D14689" s="7">
        <f>IFERROR(__xludf.DUMMYFUNCTION("""COMPUTED_VALUE"""),0.32)</f>
        <v>0.32</v>
      </c>
    </row>
    <row r="14690">
      <c r="A14690" s="10" t="s">
        <v>16129</v>
      </c>
      <c r="B14690" s="7" t="str">
        <f>IFERROR(__xludf.DUMMYFUNCTION("SPLIT(A14690,"" "")"),"CC(C)NCc1cccc(-c2ccc(NCc3ccccn3)cc2)n1")</f>
        <v>CC(C)NCc1cccc(-c2ccc(NCc3ccccn3)cc2)n1</v>
      </c>
      <c r="C14690" s="7">
        <f>IFERROR(__xludf.DUMMYFUNCTION("""COMPUTED_VALUE"""),7.746967)</f>
        <v>7.746967</v>
      </c>
      <c r="D14690" s="7">
        <f>IFERROR(__xludf.DUMMYFUNCTION("""COMPUTED_VALUE"""),0.384615384615384)</f>
        <v>0.3846153846</v>
      </c>
    </row>
    <row r="14691">
      <c r="A14691" s="10" t="s">
        <v>16130</v>
      </c>
      <c r="B14691" s="7" t="str">
        <f>IFERROR(__xludf.DUMMYFUNCTION("SPLIT(A14691,"" "")"),"Cc1cccnc1CN(C)c1ccc(CN(C)Cc2cncc(C)c2C)nc1")</f>
        <v>Cc1cccnc1CN(C)c1ccc(CN(C)Cc2cncc(C)c2C)nc1</v>
      </c>
      <c r="C14691" s="7">
        <f>IFERROR(__xludf.DUMMYFUNCTION("""COMPUTED_VALUE"""),7.746961)</f>
        <v>7.746961</v>
      </c>
      <c r="D14691" s="7">
        <f>IFERROR(__xludf.DUMMYFUNCTION("""COMPUTED_VALUE"""),0.339622641509433)</f>
        <v>0.3396226415</v>
      </c>
    </row>
    <row r="14692">
      <c r="A14692" s="10" t="s">
        <v>16131</v>
      </c>
      <c r="B14692" s="7" t="str">
        <f>IFERROR(__xludf.DUMMYFUNCTION("SPLIT(A14692,"" "")"),"CN(CCN(Cc1ccccn1)c1cccc2ncccc12)C(C)(C)c1cccnc1")</f>
        <v>CN(CCN(Cc1ccccn1)c1cccc2ncccc12)C(C)(C)c1cccnc1</v>
      </c>
      <c r="C14692" s="7">
        <f>IFERROR(__xludf.DUMMYFUNCTION("""COMPUTED_VALUE"""),7.7469525)</f>
        <v>7.7469525</v>
      </c>
      <c r="D14692" s="7">
        <f>IFERROR(__xludf.DUMMYFUNCTION("""COMPUTED_VALUE"""),0.35593220338983)</f>
        <v>0.3559322034</v>
      </c>
    </row>
    <row r="14693">
      <c r="A14693" s="10" t="s">
        <v>16132</v>
      </c>
      <c r="B14693" s="7" t="str">
        <f>IFERROR(__xludf.DUMMYFUNCTION("SPLIT(A14693,"" "")"),"CCN(CCN(C)c1ccc2nccc(C)c2c1)Cc1ccccc1")</f>
        <v>CCN(CCN(C)c1ccc2nccc(C)c2c1)Cc1ccccc1</v>
      </c>
      <c r="C14693" s="7">
        <f>IFERROR(__xludf.DUMMYFUNCTION("""COMPUTED_VALUE"""),7.7469378)</f>
        <v>7.7469378</v>
      </c>
      <c r="D14693" s="7">
        <f>IFERROR(__xludf.DUMMYFUNCTION("""COMPUTED_VALUE"""),0.292307692307692)</f>
        <v>0.2923076923</v>
      </c>
    </row>
    <row r="14694">
      <c r="A14694" s="10" t="s">
        <v>16133</v>
      </c>
      <c r="B14694" s="7" t="str">
        <f>IFERROR(__xludf.DUMMYFUNCTION("SPLIT(A14694,"" "")"),"CN(CCN(Cc1ccccn1)c1ccc2nc(CF)ccc2c1)Cc1ccccn1")</f>
        <v>CN(CCN(Cc1ccccn1)c1ccc2nc(CF)ccc2c1)Cc1ccccn1</v>
      </c>
      <c r="C14694" s="7">
        <f>IFERROR(__xludf.DUMMYFUNCTION("""COMPUTED_VALUE"""),7.746931)</f>
        <v>7.746931</v>
      </c>
      <c r="D14694" s="7">
        <f>IFERROR(__xludf.DUMMYFUNCTION("""COMPUTED_VALUE"""),0.46938775510204)</f>
        <v>0.4693877551</v>
      </c>
    </row>
    <row r="14695">
      <c r="A14695" s="10" t="s">
        <v>16134</v>
      </c>
      <c r="B14695" s="7" t="str">
        <f>IFERROR(__xludf.DUMMYFUNCTION("SPLIT(A14695,"" "")"),"Cc1cc(NCc2ccccn2)cc(-c2cccc(CN(C)C3CCCCC3N(C)c3ccc4ncccc4c3)n2)c1")</f>
        <v>Cc1cc(NCc2ccccn2)cc(-c2cccc(CN(C)C3CCCCC3N(C)c3ccc4ncccc4c3)n2)c1</v>
      </c>
      <c r="C14695" s="7">
        <f>IFERROR(__xludf.DUMMYFUNCTION("""COMPUTED_VALUE"""),7.746927)</f>
        <v>7.746927</v>
      </c>
      <c r="D14695" s="7">
        <f>IFERROR(__xludf.DUMMYFUNCTION("""COMPUTED_VALUE"""),0.439393939393939)</f>
        <v>0.4393939394</v>
      </c>
    </row>
    <row r="14696">
      <c r="A14696" s="10" t="s">
        <v>16135</v>
      </c>
      <c r="B14696" s="7" t="str">
        <f>IFERROR(__xludf.DUMMYFUNCTION("SPLIT(A14696,"" "")"),"CNC1=C(N(C)Cc2ccccn2)CC=CN1")</f>
        <v>CNC1=C(N(C)Cc2ccccn2)CC=CN1</v>
      </c>
      <c r="C14696" s="7">
        <f>IFERROR(__xludf.DUMMYFUNCTION("""COMPUTED_VALUE"""),7.746923)</f>
        <v>7.746923</v>
      </c>
      <c r="D14696" s="7">
        <f>IFERROR(__xludf.DUMMYFUNCTION("""COMPUTED_VALUE"""),0.442307692307692)</f>
        <v>0.4423076923</v>
      </c>
    </row>
    <row r="14697">
      <c r="A14697" s="10" t="s">
        <v>16136</v>
      </c>
      <c r="B14697" s="7" t="str">
        <f>IFERROR(__xludf.DUMMYFUNCTION("SPLIT(A14697,"" "")"),"CN(CC1=CC(N(C)Cc2ccccn2)C=CN1)Cc1cccc2ncccc12")</f>
        <v>CN(CC1=CC(N(C)Cc2ccccn2)C=CN1)Cc1cccc2ncccc12</v>
      </c>
      <c r="C14697" s="7">
        <f>IFERROR(__xludf.DUMMYFUNCTION("""COMPUTED_VALUE"""),7.746895)</f>
        <v>7.746895</v>
      </c>
      <c r="D14697" s="7">
        <f>IFERROR(__xludf.DUMMYFUNCTION("""COMPUTED_VALUE"""),0.372881355932203)</f>
        <v>0.3728813559</v>
      </c>
    </row>
    <row r="14698">
      <c r="A14698" s="10" t="s">
        <v>16137</v>
      </c>
      <c r="B14698" s="7" t="str">
        <f>IFERROR(__xludf.DUMMYFUNCTION("SPLIT(A14698,"" "")"),"CN(Cc1ccccn1)Cc1ccc2cccc(N(C)Cc3ccc4cccc(N(C)Cc5cc(-c6ccc7c(c6)OCCOCCOCCOCCOCCO7)ccn5)c4n3)c2n1")</f>
        <v>CN(Cc1ccccn1)Cc1ccc2cccc(N(C)Cc3ccc4cccc(N(C)Cc5cc(-c6ccc7c(c6)OCCOCCOCCOCCOCCO7)ccn5)c4n3)c2n1</v>
      </c>
      <c r="C14698" s="7">
        <f>IFERROR(__xludf.DUMMYFUNCTION("""COMPUTED_VALUE"""),7.7468934)</f>
        <v>7.7468934</v>
      </c>
      <c r="D14698" s="7">
        <f>IFERROR(__xludf.DUMMYFUNCTION("""COMPUTED_VALUE"""),0.378787878787878)</f>
        <v>0.3787878788</v>
      </c>
    </row>
    <row r="14699">
      <c r="A14699" s="10" t="s">
        <v>16138</v>
      </c>
      <c r="B14699" s="7" t="str">
        <f>IFERROR(__xludf.DUMMYFUNCTION("SPLIT(A14699,"" "")"),"Cc1cnc(CN(C)Cc2cccc(N(C)Cc3ncccc3C)n2)c(C)c1")</f>
        <v>Cc1cnc(CN(C)Cc2cccc(N(C)Cc3ncccc3C)n2)c(C)c1</v>
      </c>
      <c r="C14699" s="7">
        <f>IFERROR(__xludf.DUMMYFUNCTION("""COMPUTED_VALUE"""),7.7468934)</f>
        <v>7.7468934</v>
      </c>
      <c r="D14699" s="7">
        <f>IFERROR(__xludf.DUMMYFUNCTION("""COMPUTED_VALUE"""),0.381818181818181)</f>
        <v>0.3818181818</v>
      </c>
    </row>
    <row r="14700">
      <c r="A14700" s="10" t="s">
        <v>16139</v>
      </c>
      <c r="B14700" s="7" t="str">
        <f>IFERROR(__xludf.DUMMYFUNCTION("SPLIT(A14700,"" "")"),"CC(C)N(C)Cc1cncc(-c2ccc(Cl)c(N)c2)c1")</f>
        <v>CC(C)N(C)Cc1cncc(-c2ccc(Cl)c(N)c2)c1</v>
      </c>
      <c r="C14700" s="7">
        <f>IFERROR(__xludf.DUMMYFUNCTION("""COMPUTED_VALUE"""),7.7468934)</f>
        <v>7.7468934</v>
      </c>
      <c r="D14700" s="7">
        <f>IFERROR(__xludf.DUMMYFUNCTION("""COMPUTED_VALUE"""),0.236363636363636)</f>
        <v>0.2363636364</v>
      </c>
    </row>
    <row r="14701">
      <c r="A14701" s="10" t="s">
        <v>16140</v>
      </c>
      <c r="B14701" s="7" t="str">
        <f>IFERROR(__xludf.DUMMYFUNCTION("SPLIT(A14701,"" "")"),"CN(CCF)CC1=CC(N(C)c2ccc3cccnc3c2)C=CN1")</f>
        <v>CN(CCF)CC1=CC(N(C)c2ccc3cccnc3c2)C=CN1</v>
      </c>
      <c r="C14701" s="7">
        <f>IFERROR(__xludf.DUMMYFUNCTION("""COMPUTED_VALUE"""),7.746881)</f>
        <v>7.746881</v>
      </c>
      <c r="D14701" s="7">
        <f>IFERROR(__xludf.DUMMYFUNCTION("""COMPUTED_VALUE"""),0.311475409836065)</f>
        <v>0.3114754098</v>
      </c>
    </row>
    <row r="14702">
      <c r="A14702" s="10" t="s">
        <v>16141</v>
      </c>
      <c r="B14702" s="7" t="str">
        <f>IFERROR(__xludf.DUMMYFUNCTION("SPLIT(A14702,"" "")"),"CN(CCN(Cc1ccccn1)c1ccc2ncccc2c1)C(C)(C)c1ccccn1")</f>
        <v>CN(CCN(Cc1ccccn1)c1ccc2ncccc2c1)C(C)(C)c1ccccn1</v>
      </c>
      <c r="C14702" s="7">
        <f>IFERROR(__xludf.DUMMYFUNCTION("""COMPUTED_VALUE"""),7.746879)</f>
        <v>7.746879</v>
      </c>
      <c r="D14702" s="7">
        <f>IFERROR(__xludf.DUMMYFUNCTION("""COMPUTED_VALUE"""),0.392857142857142)</f>
        <v>0.3928571429</v>
      </c>
    </row>
    <row r="14703">
      <c r="A14703" s="10" t="s">
        <v>16142</v>
      </c>
      <c r="B14703" s="7" t="str">
        <f>IFERROR(__xludf.DUMMYFUNCTION("SPLIT(A14703,"" "")"),"Cc1cc(CN(C)c2cccnc2CN(Cc2ccc(N)cn2)Cc2ncccc2C)cnc1C")</f>
        <v>Cc1cc(CN(C)c2cccnc2CN(Cc2ccc(N)cn2)Cc2ncccc2C)cnc1C</v>
      </c>
      <c r="C14703" s="7">
        <f>IFERROR(__xludf.DUMMYFUNCTION("""COMPUTED_VALUE"""),7.746874)</f>
        <v>7.746874</v>
      </c>
      <c r="D14703" s="7">
        <f>IFERROR(__xludf.DUMMYFUNCTION("""COMPUTED_VALUE"""),0.306451612903225)</f>
        <v>0.3064516129</v>
      </c>
    </row>
    <row r="14704">
      <c r="A14704" s="10" t="s">
        <v>16143</v>
      </c>
      <c r="B14704" s="7" t="str">
        <f>IFERROR(__xludf.DUMMYFUNCTION("SPLIT(A14704,"" "")"),"Cc1cnc(CN(C)c2cccnc2CN(C)Cc2ccncc2C)c(C)c1")</f>
        <v>Cc1cnc(CN(C)c2cccnc2CN(C)Cc2ccncc2C)c(C)c1</v>
      </c>
      <c r="C14704" s="7">
        <f>IFERROR(__xludf.DUMMYFUNCTION("""COMPUTED_VALUE"""),7.7468715)</f>
        <v>7.7468715</v>
      </c>
      <c r="D14704" s="7">
        <f>IFERROR(__xludf.DUMMYFUNCTION("""COMPUTED_VALUE"""),0.293103448275862)</f>
        <v>0.2931034483</v>
      </c>
    </row>
    <row r="14705">
      <c r="A14705" s="10" t="s">
        <v>16144</v>
      </c>
      <c r="B14705" s="7" t="str">
        <f>IFERROR(__xludf.DUMMYFUNCTION("SPLIT(A14705,"" "")"),"CC1C=CCC(C)(c2cccc(CN(Cc3ccccn3)C3CCC(N(C)c4ccc5nc(-c6ccc7cccnc7c6)ccc5c4)CC3)n2)C1C")</f>
        <v>CC1C=CCC(C)(c2cccc(CN(Cc3ccccn3)C3CCC(N(C)c4ccc5nc(-c6ccc7cccnc7c6)ccc5c4)CC3)n2)C1C</v>
      </c>
      <c r="C14705" s="7">
        <f>IFERROR(__xludf.DUMMYFUNCTION("""COMPUTED_VALUE"""),7.746857)</f>
        <v>7.746857</v>
      </c>
      <c r="D14705" s="7">
        <f>IFERROR(__xludf.DUMMYFUNCTION("""COMPUTED_VALUE"""),0.3)</f>
        <v>0.3</v>
      </c>
    </row>
    <row r="14706">
      <c r="A14706" s="10" t="s">
        <v>16145</v>
      </c>
      <c r="B14706" s="7" t="str">
        <f>IFERROR(__xludf.DUMMYFUNCTION("SPLIT(A14706,"" "")"),"C=Nc1cccc(-c2cccc(CN(Cc3ccccn3)Cc3cccc(C(C)(c4cccnc4)C(C)C)n3)n2)c1")</f>
        <v>C=Nc1cccc(-c2cccc(CN(Cc3ccccn3)Cc3cccc(C(C)(c4cccnc4)C(C)C)n3)n2)c1</v>
      </c>
      <c r="C14706" s="7">
        <f>IFERROR(__xludf.DUMMYFUNCTION("""COMPUTED_VALUE"""),7.746853)</f>
        <v>7.746853</v>
      </c>
      <c r="D14706" s="7">
        <f>IFERROR(__xludf.DUMMYFUNCTION("""COMPUTED_VALUE"""),0.457142857142857)</f>
        <v>0.4571428571</v>
      </c>
    </row>
    <row r="14707">
      <c r="A14707" s="10" t="s">
        <v>16146</v>
      </c>
      <c r="B14707" s="7" t="str">
        <f>IFERROR(__xludf.DUMMYFUNCTION("SPLIT(A14707,"" "")"),"Cc1cc(C)c(CN(C)CCN(C)c2cccc3c(CN(C)CCN)cncc23)nc1C")</f>
        <v>Cc1cc(C)c(CN(C)CCN(C)c2cccc3c(CN(C)CCN)cncc23)nc1C</v>
      </c>
      <c r="C14707" s="7">
        <f>IFERROR(__xludf.DUMMYFUNCTION("""COMPUTED_VALUE"""),7.746849)</f>
        <v>7.746849</v>
      </c>
      <c r="D14707" s="7">
        <f>IFERROR(__xludf.DUMMYFUNCTION("""COMPUTED_VALUE"""),0.311475409836065)</f>
        <v>0.3114754098</v>
      </c>
    </row>
    <row r="14708">
      <c r="A14708" s="10" t="s">
        <v>16147</v>
      </c>
      <c r="B14708" s="7" t="str">
        <f>IFERROR(__xludf.DUMMYFUNCTION("SPLIT(A14708,"" "")"),"Cc1ccc(-c2ccc(CN(Cc3ccccn3)C3CCC(N(C)c4ccc5nccc(CF)c5c4)CC3)cc2)nc1")</f>
        <v>Cc1ccc(-c2ccc(CN(Cc3ccccn3)C3CCC(N(C)c4ccc5nccc(CF)c5c4)CC3)cc2)nc1</v>
      </c>
      <c r="C14708" s="7">
        <f>IFERROR(__xludf.DUMMYFUNCTION("""COMPUTED_VALUE"""),7.7468486)</f>
        <v>7.7468486</v>
      </c>
      <c r="D14708" s="7">
        <f>IFERROR(__xludf.DUMMYFUNCTION("""COMPUTED_VALUE"""),0.297297297297297)</f>
        <v>0.2972972973</v>
      </c>
    </row>
    <row r="14709">
      <c r="A14709" s="10" t="s">
        <v>16148</v>
      </c>
      <c r="B14709" s="7" t="str">
        <f>IFERROR(__xludf.DUMMYFUNCTION("SPLIT(A14709,"" "")"),"Cc1nc(CN(C)CCN(C)Cc2ccc3ncccc3c2)c(C)c(C)c1C")</f>
        <v>Cc1nc(CN(C)CCN(C)Cc2ccc3ncccc3c2)c(C)c(C)c1C</v>
      </c>
      <c r="C14709" s="7">
        <f>IFERROR(__xludf.DUMMYFUNCTION("""COMPUTED_VALUE"""),7.746845)</f>
        <v>7.746845</v>
      </c>
      <c r="D14709" s="7">
        <f>IFERROR(__xludf.DUMMYFUNCTION("""COMPUTED_VALUE"""),0.392156862745098)</f>
        <v>0.3921568627</v>
      </c>
    </row>
    <row r="14710">
      <c r="A14710" s="10" t="s">
        <v>16149</v>
      </c>
      <c r="B14710" s="7" t="str">
        <f>IFERROR(__xludf.DUMMYFUNCTION("SPLIT(A14710,"" "")"),"CNCc1nccc2cc(N(C)C3CCCCC3N(C)Cc3cccc4ncccc34)ccc12")</f>
        <v>CNCc1nccc2cc(N(C)C3CCCCC3N(C)Cc3cccc4ncccc34)ccc12</v>
      </c>
      <c r="C14710" s="7">
        <f>IFERROR(__xludf.DUMMYFUNCTION("""COMPUTED_VALUE"""),7.746844)</f>
        <v>7.746844</v>
      </c>
      <c r="D14710" s="7">
        <f>IFERROR(__xludf.DUMMYFUNCTION("""COMPUTED_VALUE"""),0.363636363636363)</f>
        <v>0.3636363636</v>
      </c>
    </row>
    <row r="14711">
      <c r="A14711" s="10" t="s">
        <v>16150</v>
      </c>
      <c r="B14711" s="7" t="str">
        <f>IFERROR(__xludf.DUMMYFUNCTION("SPLIT(A14711,"" "")"),"Cc1ccc(-c2ccc(CN3CCN(C)CCN(C)CC3)cc2)nc1-c1cc(-c2ccccc2)ccn1")</f>
        <v>Cc1ccc(-c2ccc(CN3CCN(C)CCN(C)CC3)cc2)nc1-c1cc(-c2ccccc2)ccn1</v>
      </c>
      <c r="C14711" s="7">
        <f>IFERROR(__xludf.DUMMYFUNCTION("""COMPUTED_VALUE"""),7.746839)</f>
        <v>7.746839</v>
      </c>
      <c r="D14711" s="7">
        <f>IFERROR(__xludf.DUMMYFUNCTION("""COMPUTED_VALUE"""),0.392857142857142)</f>
        <v>0.3928571429</v>
      </c>
    </row>
    <row r="14712">
      <c r="A14712" s="10" t="s">
        <v>16151</v>
      </c>
      <c r="B14712" s="7" t="str">
        <f>IFERROR(__xludf.DUMMYFUNCTION("SPLIT(A14712,"" "")"),"CN(C)Cc1ncccc1C1=CCC=CN1")</f>
        <v>CN(C)Cc1ncccc1C1=CCC=CN1</v>
      </c>
      <c r="C14712" s="7">
        <f>IFERROR(__xludf.DUMMYFUNCTION("""COMPUTED_VALUE"""),7.7468348)</f>
        <v>7.7468348</v>
      </c>
      <c r="D14712" s="7">
        <f>IFERROR(__xludf.DUMMYFUNCTION("""COMPUTED_VALUE"""),0.411764705882352)</f>
        <v>0.4117647059</v>
      </c>
    </row>
    <row r="14713">
      <c r="A14713" s="10" t="s">
        <v>16152</v>
      </c>
      <c r="B14713" s="7" t="str">
        <f>IFERROR(__xludf.DUMMYFUNCTION("SPLIT(A14713,"" "")"),"Cc1cccnc1CN(C)c1cccnc1CN(C)Cc1nccc(C)c1C")</f>
        <v>Cc1cccnc1CN(C)c1cccnc1CN(C)Cc1nccc(C)c1C</v>
      </c>
      <c r="C14713" s="7">
        <f>IFERROR(__xludf.DUMMYFUNCTION("""COMPUTED_VALUE"""),7.74682)</f>
        <v>7.74682</v>
      </c>
      <c r="D14713" s="7">
        <f>IFERROR(__xludf.DUMMYFUNCTION("""COMPUTED_VALUE"""),0.346938775510204)</f>
        <v>0.3469387755</v>
      </c>
    </row>
    <row r="14714">
      <c r="A14714" s="10" t="s">
        <v>16153</v>
      </c>
      <c r="B14714" s="7" t="str">
        <f>IFERROR(__xludf.DUMMYFUNCTION("SPLIT(A14714,"" "")"),"CC1(C)COC(c2ccncc2C2OC=NC2(C)C(=O)c2cccnc2C2CCC2(C)C)=N1")</f>
        <v>CC1(C)COC(c2ccncc2C2OC=NC2(C)C(=O)c2cccnc2C2CCC2(C)C)=N1</v>
      </c>
      <c r="C14714" s="7">
        <f>IFERROR(__xludf.DUMMYFUNCTION("""COMPUTED_VALUE"""),7.746813)</f>
        <v>7.746813</v>
      </c>
      <c r="D14714" s="7">
        <f>IFERROR(__xludf.DUMMYFUNCTION("""COMPUTED_VALUE"""),0.271428571428571)</f>
        <v>0.2714285714</v>
      </c>
    </row>
    <row r="14715">
      <c r="A14715" s="10" t="s">
        <v>16154</v>
      </c>
      <c r="B14715" s="7" t="str">
        <f>IFERROR(__xludf.DUMMYFUNCTION("SPLIT(A14715,"" "")"),"Cc1cc(C)c(C)c(N(Cc2ccccn2)C2CCCC(N(C)c3cccc4cc(CF)cnc34)C2)c1")</f>
        <v>Cc1cc(C)c(C)c(N(Cc2ccccn2)C2CCCC(N(C)c3cccc4cc(CF)cnc34)C2)c1</v>
      </c>
      <c r="C14715" s="7">
        <f>IFERROR(__xludf.DUMMYFUNCTION("""COMPUTED_VALUE"""),7.746809)</f>
        <v>7.746809</v>
      </c>
      <c r="D14715" s="7">
        <f>IFERROR(__xludf.DUMMYFUNCTION("""COMPUTED_VALUE"""),0.333333333333333)</f>
        <v>0.3333333333</v>
      </c>
    </row>
    <row r="14716">
      <c r="A14716" s="10" t="s">
        <v>16155</v>
      </c>
      <c r="B14716" s="7" t="str">
        <f>IFERROR(__xludf.DUMMYFUNCTION("SPLIT(A14716,"" "")"),"Cc1cc(C)cc(N(C)CC2=CCC=CN2)c1")</f>
        <v>Cc1cc(C)cc(N(C)CC2=CCC=CN2)c1</v>
      </c>
      <c r="C14716" s="7">
        <f>IFERROR(__xludf.DUMMYFUNCTION("""COMPUTED_VALUE"""),7.746806)</f>
        <v>7.746806</v>
      </c>
      <c r="D14716" s="7">
        <f>IFERROR(__xludf.DUMMYFUNCTION("""COMPUTED_VALUE"""),0.395833333333333)</f>
        <v>0.3958333333</v>
      </c>
    </row>
    <row r="14717">
      <c r="A14717" s="10" t="s">
        <v>16156</v>
      </c>
      <c r="B14717" s="7" t="str">
        <f>IFERROR(__xludf.DUMMYFUNCTION("SPLIT(A14717,"" "")"),"Cc1cccc(C)c1N(C)Cc1ncccc1C(C)(C)C")</f>
        <v>Cc1cccc(C)c1N(C)Cc1ncccc1C(C)(C)C</v>
      </c>
      <c r="C14717" s="7">
        <f>IFERROR(__xludf.DUMMYFUNCTION("""COMPUTED_VALUE"""),7.746804)</f>
        <v>7.746804</v>
      </c>
      <c r="D14717" s="7">
        <f>IFERROR(__xludf.DUMMYFUNCTION("""COMPUTED_VALUE"""),0.326086956521739)</f>
        <v>0.3260869565</v>
      </c>
    </row>
    <row r="14718">
      <c r="A14718" s="10" t="s">
        <v>16157</v>
      </c>
      <c r="B14718" s="7" t="str">
        <f>IFERROR(__xludf.DUMMYFUNCTION("SPLIT(A14718,"" "")"),"CCN(Cc1ccccn1)c1cc(C)c(CN(C)Cc2cc(C)c(C)c(C)n2)nc1C")</f>
        <v>CCN(Cc1ccccn1)c1cc(C)c(CN(C)Cc2cc(C)c(C)c(C)n2)nc1C</v>
      </c>
      <c r="C14718" s="7">
        <f>IFERROR(__xludf.DUMMYFUNCTION("""COMPUTED_VALUE"""),7.7467976)</f>
        <v>7.7467976</v>
      </c>
      <c r="D14718" s="7">
        <f>IFERROR(__xludf.DUMMYFUNCTION("""COMPUTED_VALUE"""),0.403508771929824)</f>
        <v>0.4035087719</v>
      </c>
    </row>
    <row r="14719">
      <c r="A14719" s="10" t="s">
        <v>16158</v>
      </c>
      <c r="B14719" s="7" t="str">
        <f>IFERROR(__xludf.DUMMYFUNCTION("SPLIT(A14719,"" "")"),"CN(c1ccc2nccc(CF)c2c1)C1CCCCC1N(Cc1ccc2cccnc2c1)Cc1ccccn1")</f>
        <v>CN(c1ccc2nccc(CF)c2c1)C1CCCCC1N(Cc1ccc2cccnc2c1)Cc1ccccn1</v>
      </c>
      <c r="C14719" s="7">
        <f>IFERROR(__xludf.DUMMYFUNCTION("""COMPUTED_VALUE"""),7.7467966)</f>
        <v>7.7467966</v>
      </c>
      <c r="D14719" s="7">
        <f>IFERROR(__xludf.DUMMYFUNCTION("""COMPUTED_VALUE"""),0.388059701492537)</f>
        <v>0.3880597015</v>
      </c>
    </row>
    <row r="14720">
      <c r="A14720" s="10" t="s">
        <v>16159</v>
      </c>
      <c r="B14720" s="7" t="str">
        <f>IFERROR(__xludf.DUMMYFUNCTION("SPLIT(A14720,"" "")"),"Cc1cc(CN(Cc2cccc(CN(C)Cc3nc(C)c(C)c(C)c3C)n2)Cc2nc(C)c(C)c(C)c2C)nc(C)c1C")</f>
        <v>Cc1cc(CN(Cc2cccc(CN(C)Cc3nc(C)c(C)c(C)c3C)n2)Cc2nc(C)c(C)c(C)c2C)nc(C)c1C</v>
      </c>
      <c r="C14720" s="7">
        <f>IFERROR(__xludf.DUMMYFUNCTION("""COMPUTED_VALUE"""),7.7467923)</f>
        <v>7.7467923</v>
      </c>
      <c r="D14720" s="7">
        <f>IFERROR(__xludf.DUMMYFUNCTION("""COMPUTED_VALUE"""),0.375)</f>
        <v>0.375</v>
      </c>
    </row>
    <row r="14721">
      <c r="A14721" s="10" t="s">
        <v>16160</v>
      </c>
      <c r="B14721" s="7" t="str">
        <f>IFERROR(__xludf.DUMMYFUNCTION("SPLIT(A14721,"" "")"),"Cc1ccc(N(C)CC2=CCC=CN2)c(C)c1")</f>
        <v>Cc1ccc(N(C)CC2=CCC=CN2)c(C)c1</v>
      </c>
      <c r="C14721" s="7">
        <f>IFERROR(__xludf.DUMMYFUNCTION("""COMPUTED_VALUE"""),7.7467895)</f>
        <v>7.7467895</v>
      </c>
      <c r="D14721" s="7">
        <f>IFERROR(__xludf.DUMMYFUNCTION("""COMPUTED_VALUE"""),0.392156862745098)</f>
        <v>0.3921568627</v>
      </c>
    </row>
    <row r="14722">
      <c r="A14722" s="10" t="s">
        <v>16161</v>
      </c>
      <c r="B14722" s="7" t="str">
        <f>IFERROR(__xludf.DUMMYFUNCTION("SPLIT(A14722,"" "")"),"Cc1cccc(CN(C)c2ccc(CN(C)Cc3cncc(C)c3C)nc2)n1")</f>
        <v>Cc1cccc(CN(C)c2ccc(CN(C)Cc3cncc(C)c3C)nc2)n1</v>
      </c>
      <c r="C14722" s="7">
        <f>IFERROR(__xludf.DUMMYFUNCTION("""COMPUTED_VALUE"""),7.746788)</f>
        <v>7.746788</v>
      </c>
      <c r="D14722" s="7">
        <f>IFERROR(__xludf.DUMMYFUNCTION("""COMPUTED_VALUE"""),0.458333333333333)</f>
        <v>0.4583333333</v>
      </c>
    </row>
    <row r="14723">
      <c r="A14723" s="10" t="s">
        <v>16162</v>
      </c>
      <c r="B14723" s="7" t="str">
        <f>IFERROR(__xludf.DUMMYFUNCTION("SPLIT(A14723,"" "")"),"CC(C)N(CCN(C)Cc1cccnc1)c1cccc2ncccc12")</f>
        <v>CC(C)N(CCN(C)Cc1cccnc1)c1cccc2ncccc12</v>
      </c>
      <c r="C14723" s="7">
        <f>IFERROR(__xludf.DUMMYFUNCTION("""COMPUTED_VALUE"""),7.7467837)</f>
        <v>7.7467837</v>
      </c>
      <c r="D14723" s="7">
        <f>IFERROR(__xludf.DUMMYFUNCTION("""COMPUTED_VALUE"""),0.345454545454545)</f>
        <v>0.3454545455</v>
      </c>
    </row>
    <row r="14724">
      <c r="A14724" s="10" t="s">
        <v>16163</v>
      </c>
      <c r="B14724" s="7" t="str">
        <f>IFERROR(__xludf.DUMMYFUNCTION("SPLIT(A14724,"" "")"),"Cc1ccc(CN(Cc2ccccn2)Cc2ccncc2-c2ccccc2N(C)C(C)C)nc1")</f>
        <v>Cc1ccc(CN(Cc2ccccn2)Cc2ccncc2-c2ccccc2N(C)C(C)C)nc1</v>
      </c>
      <c r="C14724" s="7">
        <f>IFERROR(__xludf.DUMMYFUNCTION("""COMPUTED_VALUE"""),7.7467723)</f>
        <v>7.7467723</v>
      </c>
      <c r="D14724" s="7">
        <f>IFERROR(__xludf.DUMMYFUNCTION("""COMPUTED_VALUE"""),0.418181818181818)</f>
        <v>0.4181818182</v>
      </c>
    </row>
    <row r="14725">
      <c r="A14725" s="10" t="s">
        <v>16164</v>
      </c>
      <c r="B14725" s="7" t="str">
        <f>IFERROR(__xludf.DUMMYFUNCTION("SPLIT(A14725,"" "")"),"COC(C)NCNc1cccc2ncccc12")</f>
        <v>COC(C)NCNc1cccc2ncccc12</v>
      </c>
      <c r="C14725" s="7">
        <f>IFERROR(__xludf.DUMMYFUNCTION("""COMPUTED_VALUE"""),7.746758)</f>
        <v>7.746758</v>
      </c>
      <c r="D14725" s="7">
        <f>IFERROR(__xludf.DUMMYFUNCTION("""COMPUTED_VALUE"""),0.259259259259259)</f>
        <v>0.2592592593</v>
      </c>
    </row>
    <row r="14726">
      <c r="A14726" s="10" t="s">
        <v>16165</v>
      </c>
      <c r="B14726" s="7" t="str">
        <f>IFERROR(__xludf.DUMMYFUNCTION("SPLIT(A14726,"" "")"),"CCCN(Cc1ccccn1)Cc1cccc(-c2ccc(N=Cc3ccccn3)cc2)n1")</f>
        <v>CCCN(Cc1ccccn1)Cc1cccc(-c2ccc(N=Cc3ccccn3)cc2)n1</v>
      </c>
      <c r="C14726" s="7">
        <f>IFERROR(__xludf.DUMMYFUNCTION("""COMPUTED_VALUE"""),7.746758)</f>
        <v>7.746758</v>
      </c>
      <c r="D14726" s="7">
        <f>IFERROR(__xludf.DUMMYFUNCTION("""COMPUTED_VALUE"""),0.459016393442622)</f>
        <v>0.4590163934</v>
      </c>
    </row>
    <row r="14727">
      <c r="A14727" s="10" t="s">
        <v>16166</v>
      </c>
      <c r="B14727" s="7" t="str">
        <f>IFERROR(__xludf.DUMMYFUNCTION("SPLIT(A14727,"" "")"),"Cc1cc(N(C)Cc2ncccc2C)ccc1-c1cccc(CN(Cc2ccccn2)C(C)C(C)C)n1")</f>
        <v>Cc1cc(N(C)Cc2ncccc2C)ccc1-c1cccc(CN(Cc2ccccn2)C(C)C(C)C)n1</v>
      </c>
      <c r="C14727" s="7">
        <f>IFERROR(__xludf.DUMMYFUNCTION("""COMPUTED_VALUE"""),7.7467523)</f>
        <v>7.7467523</v>
      </c>
      <c r="D14727" s="7">
        <f>IFERROR(__xludf.DUMMYFUNCTION("""COMPUTED_VALUE"""),0.40983606557377)</f>
        <v>0.4098360656</v>
      </c>
    </row>
    <row r="14728">
      <c r="A14728" s="10" t="s">
        <v>16167</v>
      </c>
      <c r="B14728" s="7" t="str">
        <f>IFERROR(__xludf.DUMMYFUNCTION("SPLIT(A14728,"" "")"),"CC(C)N(C)Cc1ncccc1-c1cc(Cl)ccc1N")</f>
        <v>CC(C)N(C)Cc1ncccc1-c1cc(Cl)ccc1N</v>
      </c>
      <c r="C14728" s="7">
        <f>IFERROR(__xludf.DUMMYFUNCTION("""COMPUTED_VALUE"""),7.7467504)</f>
        <v>7.7467504</v>
      </c>
      <c r="D14728" s="7">
        <f>IFERROR(__xludf.DUMMYFUNCTION("""COMPUTED_VALUE"""),0.30188679245283)</f>
        <v>0.3018867925</v>
      </c>
    </row>
    <row r="14729">
      <c r="A14729" s="10" t="s">
        <v>16168</v>
      </c>
      <c r="B14729" s="7" t="str">
        <f>IFERROR(__xludf.DUMMYFUNCTION("SPLIT(A14729,"" "")"),"Cc1cc(C)c(C)c(CN(C)c2cccnc2CN(C)Cc2ccccn2)n1")</f>
        <v>Cc1cc(C)c(C)c(CN(C)c2cccnc2CN(C)Cc2ccccn2)n1</v>
      </c>
      <c r="C14729" s="7">
        <f>IFERROR(__xludf.DUMMYFUNCTION("""COMPUTED_VALUE"""),7.746747)</f>
        <v>7.746747</v>
      </c>
      <c r="D14729" s="7">
        <f>IFERROR(__xludf.DUMMYFUNCTION("""COMPUTED_VALUE"""),0.450980392156862)</f>
        <v>0.4509803922</v>
      </c>
    </row>
    <row r="14730">
      <c r="A14730" s="10" t="s">
        <v>16169</v>
      </c>
      <c r="B14730" s="7" t="str">
        <f>IFERROR(__xludf.DUMMYFUNCTION("SPLIT(A14730,"" "")"),"Cc1cnc(CN(C)c2ccnc(CN(C)Cc3ccccn3)c2)c(C)c1")</f>
        <v>Cc1cnc(CN(C)c2ccnc(CN(C)Cc3ccccn3)c2)c(C)c1</v>
      </c>
      <c r="C14730" s="7">
        <f>IFERROR(__xludf.DUMMYFUNCTION("""COMPUTED_VALUE"""),7.746747)</f>
        <v>7.746747</v>
      </c>
      <c r="D14730" s="7">
        <f>IFERROR(__xludf.DUMMYFUNCTION("""COMPUTED_VALUE"""),0.423076923076923)</f>
        <v>0.4230769231</v>
      </c>
    </row>
    <row r="14731">
      <c r="A14731" s="10" t="s">
        <v>16170</v>
      </c>
      <c r="B14731" s="7" t="str">
        <f>IFERROR(__xludf.DUMMYFUNCTION("SPLIT(A14731,"" "")"),"Cc1ccnc2ccc(N(C)CCN(C)CC(C)(C)C)cc12")</f>
        <v>Cc1ccnc2ccc(N(C)CCN(C)CC(C)(C)C)cc12</v>
      </c>
      <c r="C14731" s="7">
        <f>IFERROR(__xludf.DUMMYFUNCTION("""COMPUTED_VALUE"""),7.7467303)</f>
        <v>7.7467303</v>
      </c>
      <c r="D14731" s="7">
        <f>IFERROR(__xludf.DUMMYFUNCTION("""COMPUTED_VALUE"""),0.283018867924528)</f>
        <v>0.2830188679</v>
      </c>
    </row>
    <row r="14732">
      <c r="A14732" s="10" t="s">
        <v>16171</v>
      </c>
      <c r="B14732" s="7" t="str">
        <f>IFERROR(__xludf.DUMMYFUNCTION("SPLIT(A14732,"" "")"),"CCNCc1cc(-c2cc(C(C)(C)C)ccn2)ccn1")</f>
        <v>CCNCc1cc(-c2cc(C(C)(C)C)ccn2)ccn1</v>
      </c>
      <c r="C14732" s="7">
        <f>IFERROR(__xludf.DUMMYFUNCTION("""COMPUTED_VALUE"""),7.746728)</f>
        <v>7.746728</v>
      </c>
      <c r="D14732" s="7">
        <f>IFERROR(__xludf.DUMMYFUNCTION("""COMPUTED_VALUE"""),0.288888888888888)</f>
        <v>0.2888888889</v>
      </c>
    </row>
    <row r="14733">
      <c r="A14733" s="10" t="s">
        <v>16172</v>
      </c>
      <c r="B14733" s="7" t="str">
        <f>IFERROR(__xludf.DUMMYFUNCTION("SPLIT(A14733,"" "")"),"Cc1ccccc1N(C)Cc1ncccc1N")</f>
        <v>Cc1ccccc1N(C)Cc1ncccc1N</v>
      </c>
      <c r="C14733" s="7">
        <f>IFERROR(__xludf.DUMMYFUNCTION("""COMPUTED_VALUE"""),7.7467155)</f>
        <v>7.7467155</v>
      </c>
      <c r="D14733" s="7">
        <f>IFERROR(__xludf.DUMMYFUNCTION("""COMPUTED_VALUE"""),0.377777777777777)</f>
        <v>0.3777777778</v>
      </c>
    </row>
    <row r="14734">
      <c r="A14734" s="10" t="s">
        <v>16173</v>
      </c>
      <c r="B14734" s="7" t="str">
        <f>IFERROR(__xludf.DUMMYFUNCTION("SPLIT(A14734,"" "")"),"CC1=C(C)C(N(C)Cc2cc(-c3ccccc3N=Cc3ccccn3)ccn2)C(C)CC1")</f>
        <v>CC1=C(C)C(N(C)Cc2cc(-c3ccccc3N=Cc3ccccn3)ccn2)C(C)CC1</v>
      </c>
      <c r="C14734" s="7">
        <f>IFERROR(__xludf.DUMMYFUNCTION("""COMPUTED_VALUE"""),7.746709)</f>
        <v>7.746709</v>
      </c>
      <c r="D14734" s="7">
        <f>IFERROR(__xludf.DUMMYFUNCTION("""COMPUTED_VALUE"""),0.363636363636363)</f>
        <v>0.3636363636</v>
      </c>
    </row>
    <row r="14735">
      <c r="A14735" s="10" t="s">
        <v>16174</v>
      </c>
      <c r="B14735" s="7" t="str">
        <f>IFERROR(__xludf.DUMMYFUNCTION("SPLIT(A14735,"" "")"),"Cc1cc(C)c(C)c(N(CC2=C(N(C)Cc3ncccc3C)CC=CN2)C(C)C)c1")</f>
        <v>Cc1cc(C)c(C)c(N(CC2=C(N(C)Cc3ncccc3C)CC=CN2)C(C)C)c1</v>
      </c>
      <c r="C14735" s="7">
        <f>IFERROR(__xludf.DUMMYFUNCTION("""COMPUTED_VALUE"""),7.7467046)</f>
        <v>7.7467046</v>
      </c>
      <c r="D14735" s="7">
        <f>IFERROR(__xludf.DUMMYFUNCTION("""COMPUTED_VALUE"""),0.238805970149253)</f>
        <v>0.2388059701</v>
      </c>
    </row>
    <row r="14736">
      <c r="A14736" s="10" t="s">
        <v>16175</v>
      </c>
      <c r="B14736" s="7" t="str">
        <f>IFERROR(__xludf.DUMMYFUNCTION("SPLIT(A14736,"" "")"),"CC(C)C(C)(c1cccnc1)N(C)Cc1cccc(-c2cccc(N(C)Cc3ccccn3)c2)n1")</f>
        <v>CC(C)C(C)(c1cccnc1)N(C)Cc1cccc(-c2cccc(N(C)Cc3ccccn3)c2)n1</v>
      </c>
      <c r="C14736" s="7">
        <f>IFERROR(__xludf.DUMMYFUNCTION("""COMPUTED_VALUE"""),7.746686)</f>
        <v>7.746686</v>
      </c>
      <c r="D14736" s="7">
        <f>IFERROR(__xludf.DUMMYFUNCTION("""COMPUTED_VALUE"""),0.426470588235294)</f>
        <v>0.4264705882</v>
      </c>
    </row>
    <row r="14737">
      <c r="A14737" s="10" t="s">
        <v>16176</v>
      </c>
      <c r="B14737" s="7" t="str">
        <f>IFERROR(__xludf.DUMMYFUNCTION("SPLIT(A14737,"" "")"),"CC(C)N(Cc1ccccn1)Cc1cccc(-c2ccc(Cl)c(N)c2)n1")</f>
        <v>CC(C)N(Cc1ccccn1)Cc1cccc(-c2ccc(Cl)c(N)c2)n1</v>
      </c>
      <c r="C14737" s="7">
        <f>IFERROR(__xludf.DUMMYFUNCTION("""COMPUTED_VALUE"""),7.7466836)</f>
        <v>7.7466836</v>
      </c>
      <c r="D14737" s="7">
        <f>IFERROR(__xludf.DUMMYFUNCTION("""COMPUTED_VALUE"""),0.489795918367346)</f>
        <v>0.4897959184</v>
      </c>
    </row>
    <row r="14738">
      <c r="A14738" s="10" t="s">
        <v>16177</v>
      </c>
      <c r="B14738" s="7" t="str">
        <f>IFERROR(__xludf.DUMMYFUNCTION("SPLIT(A14738,"" "")"),"CC(C)C(C)N(C)CC1=CCC=C(N(C)c2ccc3cccnc3c2)N1")</f>
        <v>CC(C)C(C)N(C)CC1=CCC=C(N(C)c2ccc3cccnc3c2)N1</v>
      </c>
      <c r="C14738" s="7">
        <f>IFERROR(__xludf.DUMMYFUNCTION("""COMPUTED_VALUE"""),7.7466836)</f>
        <v>7.7466836</v>
      </c>
      <c r="D14738" s="7">
        <f>IFERROR(__xludf.DUMMYFUNCTION("""COMPUTED_VALUE"""),0.269841269841269)</f>
        <v>0.2698412698</v>
      </c>
    </row>
    <row r="14739">
      <c r="A14739" s="10" t="s">
        <v>16178</v>
      </c>
      <c r="B14739" s="7" t="str">
        <f>IFERROR(__xludf.DUMMYFUNCTION("SPLIT(A14739,"" "")"),"CCNC1=C(N(C)Cc2ccccn2)c2ncccc2C(C)C1Cl")</f>
        <v>CCNC1=C(N(C)Cc2ccccn2)c2ncccc2C(C)C1Cl</v>
      </c>
      <c r="C14739" s="7">
        <f>IFERROR(__xludf.DUMMYFUNCTION("""COMPUTED_VALUE"""),7.746678)</f>
        <v>7.746678</v>
      </c>
      <c r="D14739" s="7">
        <f>IFERROR(__xludf.DUMMYFUNCTION("""COMPUTED_VALUE"""),0.407407407407407)</f>
        <v>0.4074074074</v>
      </c>
    </row>
    <row r="14740">
      <c r="A14740" s="10" t="s">
        <v>16179</v>
      </c>
      <c r="B14740" s="7" t="str">
        <f>IFERROR(__xludf.DUMMYFUNCTION("SPLIT(A14740,"" "")"),"FCNCc1ncccc1-c1ncccc1C(NCc1ccccn1)c1ccccn1")</f>
        <v>FCNCc1ncccc1-c1ncccc1C(NCc1ccccn1)c1ccccn1</v>
      </c>
      <c r="C14740" s="7">
        <f>IFERROR(__xludf.DUMMYFUNCTION("""COMPUTED_VALUE"""),7.746675)</f>
        <v>7.746675</v>
      </c>
      <c r="D14740" s="7">
        <f>IFERROR(__xludf.DUMMYFUNCTION("""COMPUTED_VALUE"""),0.352941176470588)</f>
        <v>0.3529411765</v>
      </c>
    </row>
    <row r="14741">
      <c r="A14741" s="10" t="s">
        <v>16180</v>
      </c>
      <c r="B14741" s="7" t="str">
        <f>IFERROR(__xludf.DUMMYFUNCTION("SPLIT(A14741,"" "")"),"CC1Cc2ccccc2C=C1N(C)Cc1ccccn1")</f>
        <v>CC1Cc2ccccc2C=C1N(C)Cc1ccccn1</v>
      </c>
      <c r="C14741" s="7">
        <f>IFERROR(__xludf.DUMMYFUNCTION("""COMPUTED_VALUE"""),7.7466583)</f>
        <v>7.7466583</v>
      </c>
      <c r="D14741" s="7">
        <f>IFERROR(__xludf.DUMMYFUNCTION("""COMPUTED_VALUE"""),0.446808510638297)</f>
        <v>0.4468085106</v>
      </c>
    </row>
    <row r="14742">
      <c r="A14742" s="10" t="s">
        <v>16181</v>
      </c>
      <c r="B14742" s="7" t="str">
        <f>IFERROR(__xludf.DUMMYFUNCTION("SPLIT(A14742,"" "")"),"Cc1ccccc1N(C)Cc1cc(N)ccn1")</f>
        <v>Cc1ccccc1N(C)Cc1cc(N)ccn1</v>
      </c>
      <c r="C14742" s="7">
        <f>IFERROR(__xludf.DUMMYFUNCTION("""COMPUTED_VALUE"""),7.7466536)</f>
        <v>7.7466536</v>
      </c>
      <c r="D14742" s="7">
        <f>IFERROR(__xludf.DUMMYFUNCTION("""COMPUTED_VALUE"""),0.465116279069767)</f>
        <v>0.4651162791</v>
      </c>
    </row>
    <row r="14743">
      <c r="A14743" s="10" t="s">
        <v>16182</v>
      </c>
      <c r="B14743" s="7" t="str">
        <f>IFERROR(__xludf.DUMMYFUNCTION("SPLIT(A14743,"" "")"),"Cc1ccc(N(C)Cc2ncc(C)c(C)c2C)cc1CN(C)Cc1ccccn1")</f>
        <v>Cc1ccc(N(C)Cc2ncc(C)c(C)c2C)cc1CN(C)Cc1ccccn1</v>
      </c>
      <c r="C14743" s="7">
        <f>IFERROR(__xludf.DUMMYFUNCTION("""COMPUTED_VALUE"""),7.746649)</f>
        <v>7.746649</v>
      </c>
      <c r="D14743" s="7">
        <f>IFERROR(__xludf.DUMMYFUNCTION("""COMPUTED_VALUE"""),0.415094339622641)</f>
        <v>0.4150943396</v>
      </c>
    </row>
    <row r="14744">
      <c r="A14744" s="10" t="s">
        <v>16183</v>
      </c>
      <c r="B14744" s="7" t="str">
        <f>IFERROR(__xludf.DUMMYFUNCTION("SPLIT(A14744,"" "")"),"Cc1ccnc2ccc(N(C)CCN(Cc3ccccn3)CC(C)C)cc12")</f>
        <v>Cc1ccnc2ccc(N(C)CCN(Cc3ccccn3)CC(C)C)cc12</v>
      </c>
      <c r="C14744" s="7">
        <f>IFERROR(__xludf.DUMMYFUNCTION("""COMPUTED_VALUE"""),7.746649)</f>
        <v>7.746649</v>
      </c>
      <c r="D14744" s="7">
        <f>IFERROR(__xludf.DUMMYFUNCTION("""COMPUTED_VALUE"""),0.461538461538461)</f>
        <v>0.4615384615</v>
      </c>
    </row>
    <row r="14745">
      <c r="A14745" s="10" t="s">
        <v>16184</v>
      </c>
      <c r="B14745" s="7" t="str">
        <f>IFERROR(__xludf.DUMMYFUNCTION("SPLIT(A14745,"" "")"),"Cc1c(C)c(C)c(C(C)(C)CN(CCN(C)Cc2ccc3ncccc3c2)Cc2ccccn2)c(N(C)Cc2ccccn2)c1C")</f>
        <v>Cc1c(C)c(C)c(C(C)(C)CN(CCN(C)Cc2ccc3ncccc3c2)Cc2ccccn2)c(N(C)Cc2ccccn2)c1C</v>
      </c>
      <c r="C14745" s="7">
        <f>IFERROR(__xludf.DUMMYFUNCTION("""COMPUTED_VALUE"""),7.7466464)</f>
        <v>7.7466464</v>
      </c>
      <c r="D14745" s="7">
        <f>IFERROR(__xludf.DUMMYFUNCTION("""COMPUTED_VALUE"""),0.419354838709677)</f>
        <v>0.4193548387</v>
      </c>
    </row>
    <row r="14746">
      <c r="A14746" s="10" t="s">
        <v>16185</v>
      </c>
      <c r="B14746" s="7" t="str">
        <f>IFERROR(__xludf.DUMMYFUNCTION("SPLIT(A14746,"" "")"),"Cc1ccnc(CN(C)C2C=CNC(CN(C)Cc3ccc4ncccc4c3)=C2)c1")</f>
        <v>Cc1ccnc(CN(C)C2C=CNC(CN(C)Cc3ccc4ncccc4c3)=C2)c1</v>
      </c>
      <c r="C14746" s="7">
        <f>IFERROR(__xludf.DUMMYFUNCTION("""COMPUTED_VALUE"""),7.7466407)</f>
        <v>7.7466407</v>
      </c>
      <c r="D14746" s="7">
        <f>IFERROR(__xludf.DUMMYFUNCTION("""COMPUTED_VALUE"""),0.285714285714285)</f>
        <v>0.2857142857</v>
      </c>
    </row>
    <row r="14747">
      <c r="A14747" s="10" t="s">
        <v>16186</v>
      </c>
      <c r="B14747" s="7" t="str">
        <f>IFERROR(__xludf.DUMMYFUNCTION("SPLIT(A14747,"" "")"),"Cc1cnc(CN(C)Cc2c(C)nc(C)c(C)c2C)c(C)c1C")</f>
        <v>Cc1cnc(CN(C)Cc2c(C)nc(C)c(C)c2C)c(C)c1C</v>
      </c>
      <c r="C14747" s="7">
        <f>IFERROR(__xludf.DUMMYFUNCTION("""COMPUTED_VALUE"""),7.7466397)</f>
        <v>7.7466397</v>
      </c>
      <c r="D14747" s="7">
        <f>IFERROR(__xludf.DUMMYFUNCTION("""COMPUTED_VALUE"""),0.288888888888888)</f>
        <v>0.2888888889</v>
      </c>
    </row>
    <row r="14748">
      <c r="A14748" s="10" t="s">
        <v>16187</v>
      </c>
      <c r="B14748" s="7" t="str">
        <f>IFERROR(__xludf.DUMMYFUNCTION("SPLIT(A14748,"" "")"),"CNc1ccc(C)nc1C")</f>
        <v>CNc1ccc(C)nc1C</v>
      </c>
      <c r="C14748" s="7">
        <f>IFERROR(__xludf.DUMMYFUNCTION("""COMPUTED_VALUE"""),7.746605)</f>
        <v>7.746605</v>
      </c>
      <c r="D14748" s="7">
        <f>IFERROR(__xludf.DUMMYFUNCTION("""COMPUTED_VALUE"""),0.25)</f>
        <v>0.25</v>
      </c>
    </row>
    <row r="14749">
      <c r="A14749" s="10" t="s">
        <v>16188</v>
      </c>
      <c r="B14749" s="7" t="str">
        <f>IFERROR(__xludf.DUMMYFUNCTION("SPLIT(A14749,"" "")"),"CC(C)N(C)CCN(C)c1cccc2ncc(CN(C)C)cc12")</f>
        <v>CC(C)N(C)CCN(C)c1cccc2ncc(CN(C)C)cc12</v>
      </c>
      <c r="C14749" s="7">
        <f>IFERROR(__xludf.DUMMYFUNCTION("""COMPUTED_VALUE"""),7.746597)</f>
        <v>7.746597</v>
      </c>
      <c r="D14749" s="7">
        <f>IFERROR(__xludf.DUMMYFUNCTION("""COMPUTED_VALUE"""),0.36)</f>
        <v>0.36</v>
      </c>
    </row>
    <row r="14750">
      <c r="A14750" s="10" t="s">
        <v>16189</v>
      </c>
      <c r="B14750" s="7" t="str">
        <f>IFERROR(__xludf.DUMMYFUNCTION("SPLIT(A14750,"" "")"),"CN(CCN(Cc1ccccn1)c1cccc2ccc(CF)nc12)Cc1ccccn1")</f>
        <v>CN(CCN(Cc1ccccn1)c1cccc2ccc(CF)nc12)Cc1ccccn1</v>
      </c>
      <c r="C14750" s="7">
        <f>IFERROR(__xludf.DUMMYFUNCTION("""COMPUTED_VALUE"""),7.746594)</f>
        <v>7.746594</v>
      </c>
      <c r="D14750" s="7">
        <f>IFERROR(__xludf.DUMMYFUNCTION("""COMPUTED_VALUE"""),0.472727272727272)</f>
        <v>0.4727272727</v>
      </c>
    </row>
    <row r="14751">
      <c r="A14751" s="10" t="s">
        <v>16190</v>
      </c>
      <c r="B14751" s="7" t="str">
        <f>IFERROR(__xludf.DUMMYFUNCTION("SPLIT(A14751,"" "")"),"Cc1cc(C)c(CN(c2ccccc2F)C2CCC(N(C)c3ccc4nccc(CF)c4c3)CC2)nc1C")</f>
        <v>Cc1cc(C)c(CN(c2ccccc2F)C2CCC(N(C)c3ccc4nccc(CF)c4c3)CC2)nc1C</v>
      </c>
      <c r="C14751" s="7">
        <f>IFERROR(__xludf.DUMMYFUNCTION("""COMPUTED_VALUE"""),7.746593)</f>
        <v>7.746593</v>
      </c>
      <c r="D14751" s="7">
        <f>IFERROR(__xludf.DUMMYFUNCTION("""COMPUTED_VALUE"""),0.2375)</f>
        <v>0.2375</v>
      </c>
    </row>
    <row r="14752">
      <c r="A14752" s="10" t="s">
        <v>16191</v>
      </c>
      <c r="B14752" s="7" t="str">
        <f>IFERROR(__xludf.DUMMYFUNCTION("SPLIT(A14752,"" "")"),"C1=CNC(NCc2ccc(C(c3ccccn3)c3ccccn3)cn2)C=C1")</f>
        <v>C1=CNC(NCc2ccc(C(c3ccccn3)c3ccccn3)cn2)C=C1</v>
      </c>
      <c r="C14752" s="7">
        <f>IFERROR(__xludf.DUMMYFUNCTION("""COMPUTED_VALUE"""),7.746572)</f>
        <v>7.746572</v>
      </c>
      <c r="D14752" s="7">
        <f>IFERROR(__xludf.DUMMYFUNCTION("""COMPUTED_VALUE"""),0.35593220338983)</f>
        <v>0.3559322034</v>
      </c>
    </row>
    <row r="14753">
      <c r="A14753" s="10" t="s">
        <v>16192</v>
      </c>
      <c r="B14753" s="7" t="str">
        <f>IFERROR(__xludf.DUMMYFUNCTION("SPLIT(A14753,"" "")"),"C1=CNC(NCc2cc(C(c3ccccn3)c3ccccn3)ccn2)C=C1")</f>
        <v>C1=CNC(NCc2cc(C(c3ccccn3)c3ccccn3)ccn2)C=C1</v>
      </c>
      <c r="C14753" s="7">
        <f>IFERROR(__xludf.DUMMYFUNCTION("""COMPUTED_VALUE"""),7.746548)</f>
        <v>7.746548</v>
      </c>
      <c r="D14753" s="7">
        <f>IFERROR(__xludf.DUMMYFUNCTION("""COMPUTED_VALUE"""),0.379310344827586)</f>
        <v>0.3793103448</v>
      </c>
    </row>
    <row r="14754">
      <c r="A14754" s="10" t="s">
        <v>16193</v>
      </c>
      <c r="B14754" s="7" t="str">
        <f>IFERROR(__xludf.DUMMYFUNCTION("SPLIT(A14754,"" "")"),"Cc1cnc(CN(C)c2cccc(-c3cc(CN(C)C(C)C(C)C)ccn3)c2)c(C)c1")</f>
        <v>Cc1cnc(CN(C)c2cccc(-c3cc(CN(C)C(C)C(C)C)ccn3)c2)c(C)c1</v>
      </c>
      <c r="C14754" s="7">
        <f>IFERROR(__xludf.DUMMYFUNCTION("""COMPUTED_VALUE"""),7.746547)</f>
        <v>7.746547</v>
      </c>
      <c r="D14754" s="7">
        <f>IFERROR(__xludf.DUMMYFUNCTION("""COMPUTED_VALUE"""),0.226666666666666)</f>
        <v>0.2266666667</v>
      </c>
    </row>
    <row r="14755">
      <c r="A14755" s="10" t="s">
        <v>16194</v>
      </c>
      <c r="B14755" s="7" t="str">
        <f>IFERROR(__xludf.DUMMYFUNCTION("SPLIT(A14755,"" "")"),"CC(C)C(C)N(C)CC1=CCC=C(N(C)c2ccc3ncccc3c2)N1")</f>
        <v>CC(C)C(C)N(C)CC1=CCC=C(N(C)c2ccc3ncccc3c2)N1</v>
      </c>
      <c r="C14755" s="7">
        <f>IFERROR(__xludf.DUMMYFUNCTION("""COMPUTED_VALUE"""),7.7465463)</f>
        <v>7.7465463</v>
      </c>
      <c r="D14755" s="7">
        <f>IFERROR(__xludf.DUMMYFUNCTION("""COMPUTED_VALUE"""),0.258064516129032)</f>
        <v>0.2580645161</v>
      </c>
    </row>
    <row r="14756">
      <c r="A14756" s="10" t="s">
        <v>16195</v>
      </c>
      <c r="B14756" s="7" t="str">
        <f>IFERROR(__xludf.DUMMYFUNCTION("SPLIT(A14756,"" "")"),"Cc1cc(CN(C)c2cccnc2CN(C)Cc2ccccn2)nc(C)c1C")</f>
        <v>Cc1cc(CN(C)c2cccnc2CN(C)Cc2ccccn2)nc(C)c1C</v>
      </c>
      <c r="C14756" s="7">
        <f>IFERROR(__xludf.DUMMYFUNCTION("""COMPUTED_VALUE"""),7.7465453)</f>
        <v>7.7465453</v>
      </c>
      <c r="D14756" s="7">
        <f>IFERROR(__xludf.DUMMYFUNCTION("""COMPUTED_VALUE"""),0.48)</f>
        <v>0.48</v>
      </c>
    </row>
    <row r="14757">
      <c r="A14757" s="10" t="s">
        <v>16196</v>
      </c>
      <c r="B14757" s="7" t="str">
        <f>IFERROR(__xludf.DUMMYFUNCTION("SPLIT(A14757,"" "")"),"Cc1cnc(CN(C)C2=CCC=C(CN(C)C)N2)c(C)c1")</f>
        <v>Cc1cnc(CN(C)C2=CCC=C(CN(C)C)N2)c(C)c1</v>
      </c>
      <c r="C14757" s="7">
        <f>IFERROR(__xludf.DUMMYFUNCTION("""COMPUTED_VALUE"""),7.746543)</f>
        <v>7.746543</v>
      </c>
      <c r="D14757" s="7">
        <f>IFERROR(__xludf.DUMMYFUNCTION("""COMPUTED_VALUE"""),0.25)</f>
        <v>0.25</v>
      </c>
    </row>
    <row r="14758">
      <c r="A14758" s="10" t="s">
        <v>16197</v>
      </c>
      <c r="B14758" s="7" t="str">
        <f>IFERROR(__xludf.DUMMYFUNCTION("SPLIT(A14758,"" "")"),"CC(c1ccccn1)(c1ccccn1)c1cccnc1CNC1C=CC=CN1")</f>
        <v>CC(c1ccccn1)(c1ccccn1)c1cccnc1CNC1C=CC=CN1</v>
      </c>
      <c r="C14758" s="7">
        <f>IFERROR(__xludf.DUMMYFUNCTION("""COMPUTED_VALUE"""),7.746539)</f>
        <v>7.746539</v>
      </c>
      <c r="D14758" s="7">
        <f>IFERROR(__xludf.DUMMYFUNCTION("""COMPUTED_VALUE"""),0.333333333333333)</f>
        <v>0.3333333333</v>
      </c>
    </row>
    <row r="14759">
      <c r="A14759" s="10" t="s">
        <v>16198</v>
      </c>
      <c r="B14759" s="7" t="str">
        <f>IFERROR(__xludf.DUMMYFUNCTION("SPLIT(A14759,"" "")"),"Cc1ccc(C(C)(c2ccccn2)c2ncccc2CN(Cc2ccccn2)Cc2ccccn2)c(C)c1C")</f>
        <v>Cc1ccc(C(C)(c2ccccn2)c2ncccc2CN(Cc2ccccn2)Cc2ccccn2)c(C)c1C</v>
      </c>
      <c r="C14759" s="7">
        <f>IFERROR(__xludf.DUMMYFUNCTION("""COMPUTED_VALUE"""),7.7465277)</f>
        <v>7.7465277</v>
      </c>
      <c r="D14759" s="7">
        <f>IFERROR(__xludf.DUMMYFUNCTION("""COMPUTED_VALUE"""),0.425531914893617)</f>
        <v>0.4255319149</v>
      </c>
    </row>
    <row r="14760">
      <c r="A14760" s="10" t="s">
        <v>16199</v>
      </c>
      <c r="B14760" s="7" t="str">
        <f>IFERROR(__xludf.DUMMYFUNCTION("SPLIT(A14760,"" "")"),"CC(C)(C)CN(Cc1ccccn1)Cc1cc(-c2cccc(N=Cc3ccccn3)c2)ccn1")</f>
        <v>CC(C)(C)CN(Cc1ccccn1)Cc1cc(-c2cccc(N=Cc3ccccn3)c2)ccn1</v>
      </c>
      <c r="C14760" s="7">
        <f>IFERROR(__xludf.DUMMYFUNCTION("""COMPUTED_VALUE"""),7.746511)</f>
        <v>7.746511</v>
      </c>
      <c r="D14760" s="7">
        <f>IFERROR(__xludf.DUMMYFUNCTION("""COMPUTED_VALUE"""),0.490566037735849)</f>
        <v>0.4905660377</v>
      </c>
    </row>
    <row r="14761">
      <c r="A14761" s="10" t="s">
        <v>16200</v>
      </c>
      <c r="B14761" s="7" t="str">
        <f>IFERROR(__xludf.DUMMYFUNCTION("SPLIT(A14761,"" "")"),"CC(C)C(C)(c1cccnc1)N(C)Cc1cc(-c2cccc(N(C)C)c2)ccn1")</f>
        <v>CC(C)C(C)(c1cccnc1)N(C)Cc1cc(-c2cccc(N(C)C)c2)ccn1</v>
      </c>
      <c r="C14761" s="7">
        <f>IFERROR(__xludf.DUMMYFUNCTION("""COMPUTED_VALUE"""),7.746505)</f>
        <v>7.746505</v>
      </c>
      <c r="D14761" s="7">
        <f>IFERROR(__xludf.DUMMYFUNCTION("""COMPUTED_VALUE"""),0.245901639344262)</f>
        <v>0.2459016393</v>
      </c>
    </row>
    <row r="14762">
      <c r="A14762" s="10" t="s">
        <v>16201</v>
      </c>
      <c r="B14762" s="7" t="str">
        <f>IFERROR(__xludf.DUMMYFUNCTION("SPLIT(A14762,"" "")"),"CNCN(CCN(C)c1ccc2c(C)ccnc2c1)Cc1ccccn1")</f>
        <v>CNCN(CCN(C)c1ccc2c(C)ccnc2c1)Cc1ccccn1</v>
      </c>
      <c r="C14762" s="7">
        <f>IFERROR(__xludf.DUMMYFUNCTION("""COMPUTED_VALUE"""),7.7465043)</f>
        <v>7.7465043</v>
      </c>
      <c r="D14762" s="7">
        <f>IFERROR(__xludf.DUMMYFUNCTION("""COMPUTED_VALUE"""),0.442307692307692)</f>
        <v>0.4423076923</v>
      </c>
    </row>
    <row r="14763">
      <c r="A14763" s="10" t="s">
        <v>16202</v>
      </c>
      <c r="B14763" s="7" t="str">
        <f>IFERROR(__xludf.DUMMYFUNCTION("SPLIT(A14763,"" "")"),"C=Cc1ccc(CN(C)CC2=CCC=C(N(C)Cc3ccccn3)N2)nc1")</f>
        <v>C=Cc1ccc(CN(C)CC2=CCC=C(N(C)Cc3ccccn3)N2)nc1</v>
      </c>
      <c r="C14763" s="7">
        <f>IFERROR(__xludf.DUMMYFUNCTION("""COMPUTED_VALUE"""),7.746501)</f>
        <v>7.746501</v>
      </c>
      <c r="D14763" s="7">
        <f>IFERROR(__xludf.DUMMYFUNCTION("""COMPUTED_VALUE"""),0.451612903225806)</f>
        <v>0.4516129032</v>
      </c>
    </row>
    <row r="14764">
      <c r="A14764" s="10" t="s">
        <v>16203</v>
      </c>
      <c r="B14764" s="7" t="str">
        <f>IFERROR(__xludf.DUMMYFUNCTION("SPLIT(A14764,"" "")"),"[SiH3]c1cccc(CN(Cc2cccc([SiH3])n2)Cc2ccc3c(n2)CC=CN3)n1")</f>
        <v>[SiH3]c1cccc(CN(Cc2cccc([SiH3])n2)Cc2ccc3c(n2)CC=CN3)n1</v>
      </c>
      <c r="C14764" s="7">
        <f>IFERROR(__xludf.DUMMYFUNCTION("""COMPUTED_VALUE"""),7.7465)</f>
        <v>7.7465</v>
      </c>
      <c r="D14764" s="7">
        <f>IFERROR(__xludf.DUMMYFUNCTION("""COMPUTED_VALUE"""),0.351851851851851)</f>
        <v>0.3518518519</v>
      </c>
    </row>
    <row r="14765">
      <c r="A14765" s="10" t="s">
        <v>16204</v>
      </c>
      <c r="B14765" s="7" t="str">
        <f>IFERROR(__xludf.DUMMYFUNCTION("SPLIT(A14765,"" "")"),"CC1=CC(C)CC(C)C1N(C)Cc1cc(-c2cccc(N=Cc3ccccn3)c2)ccn1")</f>
        <v>CC1=CC(C)CC(C)C1N(C)Cc1cc(-c2cccc(N=Cc3ccccn3)c2)ccn1</v>
      </c>
      <c r="C14765" s="7">
        <f>IFERROR(__xludf.DUMMYFUNCTION("""COMPUTED_VALUE"""),7.7465)</f>
        <v>7.7465</v>
      </c>
      <c r="D14765" s="7">
        <f>IFERROR(__xludf.DUMMYFUNCTION("""COMPUTED_VALUE"""),0.328358208955223)</f>
        <v>0.328358209</v>
      </c>
    </row>
    <row r="14766">
      <c r="A14766" s="10" t="s">
        <v>16205</v>
      </c>
      <c r="B14766" s="7" t="str">
        <f>IFERROR(__xludf.DUMMYFUNCTION("SPLIT(A14766,"" "")"),"CN(Cc1ccc2cccnc2c1)C1CCC(N(C)c2ccc3ncc(CF)cc3c2)CC1")</f>
        <v>CN(Cc1ccc2cccnc2c1)C1CCC(N(C)c2ccc3ncc(CF)cc3c2)CC1</v>
      </c>
      <c r="C14766" s="7">
        <f>IFERROR(__xludf.DUMMYFUNCTION("""COMPUTED_VALUE"""),7.7464943)</f>
        <v>7.7464943</v>
      </c>
      <c r="D14766" s="7">
        <f>IFERROR(__xludf.DUMMYFUNCTION("""COMPUTED_VALUE"""),0.264705882352941)</f>
        <v>0.2647058824</v>
      </c>
    </row>
    <row r="14767">
      <c r="A14767" s="10" t="s">
        <v>16206</v>
      </c>
      <c r="B14767" s="7" t="str">
        <f>IFERROR(__xludf.DUMMYFUNCTION("SPLIT(A14767,"" "")"),"CC1(C)COC(c2ccc(C3OC=NC3(C)C)nc2)=N1")</f>
        <v>CC1(C)COC(c2ccc(C3OC=NC3(C)C)nc2)=N1</v>
      </c>
      <c r="C14767" s="7">
        <f>IFERROR(__xludf.DUMMYFUNCTION("""COMPUTED_VALUE"""),7.7464824)</f>
        <v>7.7464824</v>
      </c>
      <c r="D14767" s="7">
        <f>IFERROR(__xludf.DUMMYFUNCTION("""COMPUTED_VALUE"""),0.404255319148936)</f>
        <v>0.4042553191</v>
      </c>
    </row>
    <row r="14768">
      <c r="A14768" s="10" t="s">
        <v>16207</v>
      </c>
      <c r="B14768" s="7" t="str">
        <f>IFERROR(__xludf.DUMMYFUNCTION("SPLIT(A14768,"" "")"),"CCN(Cc1ccccn1)Cc1cccc(-c2cccc(Cl)c2N)n1")</f>
        <v>CCN(Cc1ccccn1)Cc1cccc(-c2cccc(Cl)c2N)n1</v>
      </c>
      <c r="C14768" s="7">
        <f>IFERROR(__xludf.DUMMYFUNCTION("""COMPUTED_VALUE"""),7.746482)</f>
        <v>7.746482</v>
      </c>
      <c r="D14768" s="7">
        <f>IFERROR(__xludf.DUMMYFUNCTION("""COMPUTED_VALUE"""),0.48)</f>
        <v>0.48</v>
      </c>
    </row>
    <row r="14769">
      <c r="A14769" s="10" t="s">
        <v>16208</v>
      </c>
      <c r="B14769" s="7" t="str">
        <f>IFERROR(__xludf.DUMMYFUNCTION("SPLIT(A14769,"" "")"),"Cc1cccc(CN(Cc2cccc(C)n2)Cc2ccc3c(n2)NC=CC3)n1")</f>
        <v>Cc1cccc(CN(Cc2cccc(C)n2)Cc2ccc3c(n2)NC=CC3)n1</v>
      </c>
      <c r="C14769" s="7">
        <f>IFERROR(__xludf.DUMMYFUNCTION("""COMPUTED_VALUE"""),7.7464814)</f>
        <v>7.7464814</v>
      </c>
      <c r="D14769" s="7">
        <f>IFERROR(__xludf.DUMMYFUNCTION("""COMPUTED_VALUE"""),0.454545454545454)</f>
        <v>0.4545454545</v>
      </c>
    </row>
    <row r="14770">
      <c r="A14770" s="10" t="s">
        <v>16209</v>
      </c>
      <c r="B14770" s="7" t="str">
        <f>IFERROR(__xludf.DUMMYFUNCTION("SPLIT(A14770,"" "")"),"CC(C)N(Cc1ccccn1)c1ccccc1C1=NC(C)(C)CO1")</f>
        <v>CC(C)N(Cc1ccccn1)c1ccccc1C1=NC(C)(C)CO1</v>
      </c>
      <c r="C14770" s="7">
        <f>IFERROR(__xludf.DUMMYFUNCTION("""COMPUTED_VALUE"""),7.7464805)</f>
        <v>7.7464805</v>
      </c>
      <c r="D14770" s="7">
        <f>IFERROR(__xludf.DUMMYFUNCTION("""COMPUTED_VALUE"""),0.411764705882352)</f>
        <v>0.4117647059</v>
      </c>
    </row>
    <row r="14771">
      <c r="A14771" s="10" t="s">
        <v>16210</v>
      </c>
      <c r="B14771" s="7" t="str">
        <f>IFERROR(__xludf.DUMMYFUNCTION("SPLIT(A14771,"" "")"),"CCCN(CC1=CC(N(C)Cc2ccccn2)C=CN1)c1ccc2ncccc2c1")</f>
        <v>CCCN(CC1=CC(N(C)Cc2ccccn2)C=CN1)c1ccc2ncccc2c1</v>
      </c>
      <c r="C14771" s="7">
        <f>IFERROR(__xludf.DUMMYFUNCTION("""COMPUTED_VALUE"""),7.746476)</f>
        <v>7.746476</v>
      </c>
      <c r="D14771" s="7">
        <f>IFERROR(__xludf.DUMMYFUNCTION("""COMPUTED_VALUE"""),0.34375)</f>
        <v>0.34375</v>
      </c>
    </row>
    <row r="14772">
      <c r="A14772" s="10" t="s">
        <v>16211</v>
      </c>
      <c r="B14772" s="7" t="str">
        <f>IFERROR(__xludf.DUMMYFUNCTION("SPLIT(A14772,"" "")"),"Cc1cccnc1CN(C)c1cccc(CN(C)Cc2c(C)cncc2C)n1")</f>
        <v>Cc1cccnc1CN(C)c1cccc(CN(C)Cc2c(C)cncc2C)n1</v>
      </c>
      <c r="C14772" s="7">
        <f>IFERROR(__xludf.DUMMYFUNCTION("""COMPUTED_VALUE"""),7.7464576)</f>
        <v>7.7464576</v>
      </c>
      <c r="D14772" s="7">
        <f>IFERROR(__xludf.DUMMYFUNCTION("""COMPUTED_VALUE"""),0.388888888888888)</f>
        <v>0.3888888889</v>
      </c>
    </row>
    <row r="14773">
      <c r="A14773" s="10" t="s">
        <v>16212</v>
      </c>
      <c r="B14773" s="7" t="str">
        <f>IFERROR(__xludf.DUMMYFUNCTION("SPLIT(A14773,"" "")"),"CC(C)CN(Cc1ccccn1)Cc1ncccc1-c1ccccc1N(C)C")</f>
        <v>CC(C)CN(Cc1ccccn1)Cc1ncccc1-c1ccccc1N(C)C</v>
      </c>
      <c r="C14773" s="7">
        <f>IFERROR(__xludf.DUMMYFUNCTION("""COMPUTED_VALUE"""),7.7464542)</f>
        <v>7.7464542</v>
      </c>
      <c r="D14773" s="7">
        <f>IFERROR(__xludf.DUMMYFUNCTION("""COMPUTED_VALUE"""),0.468085106382978)</f>
        <v>0.4680851064</v>
      </c>
    </row>
    <row r="14774">
      <c r="A14774" s="10" t="s">
        <v>16213</v>
      </c>
      <c r="B14774" s="7" t="str">
        <f>IFERROR(__xludf.DUMMYFUNCTION("SPLIT(A14774,"" "")"),"CC(c1ccccn1)C1OC(c2ccc(C3CCC3(C)C)nc2)=NC1=O")</f>
        <v>CC(c1ccccn1)C1OC(c2ccc(C3CCC3(C)C)nc2)=NC1=O</v>
      </c>
      <c r="C14774" s="7">
        <f>IFERROR(__xludf.DUMMYFUNCTION("""COMPUTED_VALUE"""),7.746453)</f>
        <v>7.746453</v>
      </c>
      <c r="D14774" s="7">
        <f>IFERROR(__xludf.DUMMYFUNCTION("""COMPUTED_VALUE"""),0.260869565217391)</f>
        <v>0.2608695652</v>
      </c>
    </row>
    <row r="14775">
      <c r="A14775" s="10" t="s">
        <v>16214</v>
      </c>
      <c r="B14775" s="7" t="str">
        <f>IFERROR(__xludf.DUMMYFUNCTION("SPLIT(A14775,"" "")"),"Cc1ccc(N(Cc2ccccn2)C2CCCC(N(C)c3cccc4cccnc34)C2)c(C)c1C")</f>
        <v>Cc1ccc(N(Cc2ccccn2)C2CCCC(N(C)c3cccc4cccnc34)C2)c(C)c1C</v>
      </c>
      <c r="C14775" s="7">
        <f>IFERROR(__xludf.DUMMYFUNCTION("""COMPUTED_VALUE"""),7.7464404)</f>
        <v>7.7464404</v>
      </c>
      <c r="D14775" s="7">
        <f>IFERROR(__xludf.DUMMYFUNCTION("""COMPUTED_VALUE"""),0.457627118644067)</f>
        <v>0.4576271186</v>
      </c>
    </row>
    <row r="14776">
      <c r="A14776" s="10" t="s">
        <v>16215</v>
      </c>
      <c r="B14776" s="7" t="str">
        <f>IFERROR(__xludf.DUMMYFUNCTION("SPLIT(A14776,"" "")"),"CC(C)N(C)c1ccc2ncccc2c1-c1cc(C2=CCC=CN2)cc(CN2CCN(C)CCN(C)CC2)n1")</f>
        <v>CC(C)N(C)c1ccc2ncccc2c1-c1cc(C2=CCC=CN2)cc(CN2CCN(C)CCN(C)CC2)n1</v>
      </c>
      <c r="C14776" s="7">
        <f>IFERROR(__xludf.DUMMYFUNCTION("""COMPUTED_VALUE"""),7.746435)</f>
        <v>7.746435</v>
      </c>
      <c r="D14776" s="7">
        <f>IFERROR(__xludf.DUMMYFUNCTION("""COMPUTED_VALUE"""),0.319444444444444)</f>
        <v>0.3194444444</v>
      </c>
    </row>
    <row r="14777">
      <c r="A14777" s="10" t="s">
        <v>16216</v>
      </c>
      <c r="B14777" s="7" t="str">
        <f>IFERROR(__xludf.DUMMYFUNCTION("SPLIT(A14777,"" "")"),"Cc1ccc(NCc2ccccn2)c(-c2ccc(CN(Cc3ccccn3)Cc3ccccn3)cn2)c1")</f>
        <v>Cc1ccc(NCc2ccccn2)c(-c2ccc(CN(Cc3ccccn3)Cc3ccccn3)cn2)c1</v>
      </c>
      <c r="C14777" s="7">
        <f>IFERROR(__xludf.DUMMYFUNCTION("""COMPUTED_VALUE"""),7.746433)</f>
        <v>7.746433</v>
      </c>
      <c r="D14777" s="7">
        <f>IFERROR(__xludf.DUMMYFUNCTION("""COMPUTED_VALUE"""),0.416666666666666)</f>
        <v>0.4166666667</v>
      </c>
    </row>
    <row r="14778">
      <c r="A14778" s="10" t="s">
        <v>16217</v>
      </c>
      <c r="B14778" s="7" t="str">
        <f>IFERROR(__xludf.DUMMYFUNCTION("SPLIT(A14778,"" "")"),"CC(C)N(C)Cc1ccc(-c2cccc(N)c2Cl)cn1")</f>
        <v>CC(C)N(C)Cc1ccc(-c2cccc(N)c2Cl)cn1</v>
      </c>
      <c r="C14778" s="7">
        <f>IFERROR(__xludf.DUMMYFUNCTION("""COMPUTED_VALUE"""),7.74643)</f>
        <v>7.74643</v>
      </c>
      <c r="D14778" s="7">
        <f>IFERROR(__xludf.DUMMYFUNCTION("""COMPUTED_VALUE"""),0.313725490196078)</f>
        <v>0.3137254902</v>
      </c>
    </row>
    <row r="14779">
      <c r="A14779" s="10" t="s">
        <v>16218</v>
      </c>
      <c r="B14779" s="7" t="str">
        <f>IFERROR(__xludf.DUMMYFUNCTION("SPLIT(A14779,"" "")"),"CCCN(CC1=CC(N(C)Cc2ccccn2)C=CN1)c1ccc2cccnc2c1")</f>
        <v>CCCN(CC1=CC(N(C)Cc2ccccn2)C=CN1)c1ccc2cccnc2c1</v>
      </c>
      <c r="C14779" s="7">
        <f>IFERROR(__xludf.DUMMYFUNCTION("""COMPUTED_VALUE"""),7.7464194)</f>
        <v>7.7464194</v>
      </c>
      <c r="D14779" s="7">
        <f>IFERROR(__xludf.DUMMYFUNCTION("""COMPUTED_VALUE"""),0.38095238095238)</f>
        <v>0.380952381</v>
      </c>
    </row>
    <row r="14780">
      <c r="A14780" s="10" t="s">
        <v>16219</v>
      </c>
      <c r="B14780" s="7" t="str">
        <f>IFERROR(__xludf.DUMMYFUNCTION("SPLIT(A14780,"" "")"),"CC1=CC(C)CC(C)(c2cccc(CN(Cc3ccccn3)Cc3ccc(-c4cccc(N(C)C)c4)cn3)n2)C1")</f>
        <v>CC1=CC(C)CC(C)(c2cccc(CN(Cc3ccccn3)Cc3ccc(-c4cccc(N(C)C)c4)cn3)n2)C1</v>
      </c>
      <c r="C14780" s="7">
        <f>IFERROR(__xludf.DUMMYFUNCTION("""COMPUTED_VALUE"""),7.7464113)</f>
        <v>7.7464113</v>
      </c>
      <c r="D14780" s="7">
        <f>IFERROR(__xludf.DUMMYFUNCTION("""COMPUTED_VALUE"""),0.355263157894736)</f>
        <v>0.3552631579</v>
      </c>
    </row>
    <row r="14781">
      <c r="A14781" s="10" t="s">
        <v>16220</v>
      </c>
      <c r="B14781" s="7" t="str">
        <f>IFERROR(__xludf.DUMMYFUNCTION("SPLIT(A14781,"" "")"),"Cc1ccnc(CN(C)Cc2cc(-c3ccccc3)ccn2)c1")</f>
        <v>Cc1ccnc(CN(C)Cc2cc(-c3ccccc3)ccn2)c1</v>
      </c>
      <c r="C14781" s="7">
        <f>IFERROR(__xludf.DUMMYFUNCTION("""COMPUTED_VALUE"""),7.746411)</f>
        <v>7.746411</v>
      </c>
      <c r="D14781" s="7">
        <f>IFERROR(__xludf.DUMMYFUNCTION("""COMPUTED_VALUE"""),0.4)</f>
        <v>0.4</v>
      </c>
    </row>
    <row r="14782">
      <c r="A14782" s="10" t="s">
        <v>16221</v>
      </c>
      <c r="B14782" s="7" t="str">
        <f>IFERROR(__xludf.DUMMYFUNCTION("SPLIT(A14782,"" "")"),"CC1CC(N(C)Cc2ccon2)C(N(C)c2ccc3ncccc3c2)C1")</f>
        <v>CC1CC(N(C)Cc2ccon2)C(N(C)c2ccc3ncccc3c2)C1</v>
      </c>
      <c r="C14782" s="7">
        <f>IFERROR(__xludf.DUMMYFUNCTION("""COMPUTED_VALUE"""),7.7464037)</f>
        <v>7.7464037</v>
      </c>
      <c r="D14782" s="7">
        <f>IFERROR(__xludf.DUMMYFUNCTION("""COMPUTED_VALUE"""),0.345454545454545)</f>
        <v>0.3454545455</v>
      </c>
    </row>
    <row r="14783">
      <c r="A14783" s="10" t="s">
        <v>16222</v>
      </c>
      <c r="B14783" s="7" t="str">
        <f>IFERROR(__xludf.DUMMYFUNCTION("SPLIT(A14783,"" "")"),"CC1COC(c2cccc(CN(C)Cc3cccc(N)n3)n2)=N1")</f>
        <v>CC1COC(c2cccc(CN(C)Cc3cccc(N)n3)n2)=N1</v>
      </c>
      <c r="C14783" s="7">
        <f>IFERROR(__xludf.DUMMYFUNCTION("""COMPUTED_VALUE"""),7.746402)</f>
        <v>7.746402</v>
      </c>
      <c r="D14783" s="7">
        <f>IFERROR(__xludf.DUMMYFUNCTION("""COMPUTED_VALUE"""),0.403846153846153)</f>
        <v>0.4038461538</v>
      </c>
    </row>
    <row r="14784">
      <c r="A14784" s="10" t="s">
        <v>16223</v>
      </c>
      <c r="B14784" s="7" t="str">
        <f>IFERROR(__xludf.DUMMYFUNCTION("SPLIT(A14784,"" "")"),"Cc1cc(C)c(N(C)Cc2ccccn2)cc1CN(Cc1ccccn1)C(C)(N)c1ccccn1")</f>
        <v>Cc1cc(C)c(N(C)Cc2ccccn2)cc1CN(Cc1ccccn1)C(C)(N)c1ccccn1</v>
      </c>
      <c r="C14784" s="7">
        <f>IFERROR(__xludf.DUMMYFUNCTION("""COMPUTED_VALUE"""),7.746392)</f>
        <v>7.746392</v>
      </c>
      <c r="D14784" s="7">
        <f>IFERROR(__xludf.DUMMYFUNCTION("""COMPUTED_VALUE"""),0.470588235294117)</f>
        <v>0.4705882353</v>
      </c>
    </row>
    <row r="14785">
      <c r="A14785" s="10" t="s">
        <v>16224</v>
      </c>
      <c r="B14785" s="7" t="str">
        <f>IFERROR(__xludf.DUMMYFUNCTION("SPLIT(A14785,"" "")"),"CN(Cc1ccc(-c2ccc3ncccc3c2)cn1)C1CCC(N(C)Cc2cccc(C3=CCC=CN3)n2)CC1")</f>
        <v>CN(Cc1ccc(-c2ccc3ncccc3c2)cn1)C1CCC(N(C)Cc2cccc(C3=CCC=CN3)n2)CC1</v>
      </c>
      <c r="C14785" s="7">
        <f>IFERROR(__xludf.DUMMYFUNCTION("""COMPUTED_VALUE"""),7.7463837)</f>
        <v>7.7463837</v>
      </c>
      <c r="D14785" s="7">
        <f>IFERROR(__xludf.DUMMYFUNCTION("""COMPUTED_VALUE"""),0.328767123287671)</f>
        <v>0.3287671233</v>
      </c>
    </row>
    <row r="14786">
      <c r="A14786" s="10" t="s">
        <v>16225</v>
      </c>
      <c r="B14786" s="7" t="str">
        <f>IFERROR(__xludf.DUMMYFUNCTION("SPLIT(A14786,"" "")"),"CCN(Cc1ccccn1)c1ccc2nc(CN(Cc3ccccn3)C3CCCCC3N(C)c3ccc4ccc(CF)nc4c3)ccc2c1")</f>
        <v>CCN(Cc1ccccn1)c1ccc2nc(CN(Cc3ccccn3)C3CCCCC3N(C)c3ccc4ccc(CF)nc4c3)ccc2c1</v>
      </c>
      <c r="C14786" s="7">
        <f>IFERROR(__xludf.DUMMYFUNCTION("""COMPUTED_VALUE"""),7.746381)</f>
        <v>7.746381</v>
      </c>
      <c r="D14786" s="7">
        <f>IFERROR(__xludf.DUMMYFUNCTION("""COMPUTED_VALUE"""),0.412698412698412)</f>
        <v>0.4126984127</v>
      </c>
    </row>
    <row r="14787">
      <c r="A14787" s="10" t="s">
        <v>16226</v>
      </c>
      <c r="B14787" s="7" t="str">
        <f>IFERROR(__xludf.DUMMYFUNCTION("SPLIT(A14787,"" "")"),"Cc1cccc(C2=NC(C3=NC(C4(C)COC=N4)CO3)CO2)n1")</f>
        <v>Cc1cccc(C2=NC(C3=NC(C4(C)COC=N4)CO3)CO2)n1</v>
      </c>
      <c r="C14787" s="7">
        <f>IFERROR(__xludf.DUMMYFUNCTION("""COMPUTED_VALUE"""),7.746378)</f>
        <v>7.746378</v>
      </c>
      <c r="D14787" s="7">
        <f>IFERROR(__xludf.DUMMYFUNCTION("""COMPUTED_VALUE"""),0.321428571428571)</f>
        <v>0.3214285714</v>
      </c>
    </row>
    <row r="14788">
      <c r="A14788" s="10" t="s">
        <v>16227</v>
      </c>
      <c r="B14788" s="7" t="str">
        <f>IFERROR(__xludf.DUMMYFUNCTION("SPLIT(A14788,"" "")"),"Cc1ccc(CN(C)Cc2cccc(C(C)(c3ccccn3)c3ccccn3)n2)nc1")</f>
        <v>Cc1ccc(CN(C)Cc2cccc(C(C)(c3ccccn3)c3ccccn3)n2)nc1</v>
      </c>
      <c r="C14788" s="7">
        <f>IFERROR(__xludf.DUMMYFUNCTION("""COMPUTED_VALUE"""),7.7463775)</f>
        <v>7.7463775</v>
      </c>
      <c r="D14788" s="7">
        <f>IFERROR(__xludf.DUMMYFUNCTION("""COMPUTED_VALUE"""),0.489795918367346)</f>
        <v>0.4897959184</v>
      </c>
    </row>
    <row r="14789">
      <c r="A14789" s="10" t="s">
        <v>16228</v>
      </c>
      <c r="B14789" s="7" t="str">
        <f>IFERROR(__xludf.DUMMYFUNCTION("SPLIT(A14789,"" "")"),"CC1(C)COC(c2cccnc2C2OC=NC2(C)c2ccnc(C3CCC3(C)C)c2)=N1")</f>
        <v>CC1(C)COC(c2cccnc2C2OC=NC2(C)c2ccnc(C3CCC3(C)C)c2)=N1</v>
      </c>
      <c r="C14789" s="7">
        <f>IFERROR(__xludf.DUMMYFUNCTION("""COMPUTED_VALUE"""),7.7463713)</f>
        <v>7.7463713</v>
      </c>
      <c r="D14789" s="7">
        <f>IFERROR(__xludf.DUMMYFUNCTION("""COMPUTED_VALUE"""),0.317460317460317)</f>
        <v>0.3174603175</v>
      </c>
    </row>
    <row r="14790">
      <c r="A14790" s="10" t="s">
        <v>16229</v>
      </c>
      <c r="B14790" s="7" t="str">
        <f>IFERROR(__xludf.DUMMYFUNCTION("SPLIT(A14790,"" "")"),"CCN(Cc1ccccn1)c1ccc(CN(Cc2ccccn2)Cc2cccc(-c3ccc(N)cc3)n2)nc1")</f>
        <v>CCN(Cc1ccccn1)c1ccc(CN(Cc2ccccn2)Cc2cccc(-c3ccc(N)cc3)n2)nc1</v>
      </c>
      <c r="C14790" s="7">
        <f>IFERROR(__xludf.DUMMYFUNCTION("""COMPUTED_VALUE"""),7.7463713)</f>
        <v>7.7463713</v>
      </c>
      <c r="D14790" s="7">
        <f>IFERROR(__xludf.DUMMYFUNCTION("""COMPUTED_VALUE"""),0.491525423728813)</f>
        <v>0.4915254237</v>
      </c>
    </row>
    <row r="14791">
      <c r="A14791" s="10" t="s">
        <v>16230</v>
      </c>
      <c r="B14791" s="7" t="str">
        <f>IFERROR(__xludf.DUMMYFUNCTION("SPLIT(A14791,"" "")"),"C1=CNC(NCc2ncccc2C(c2ccccn2)c2ccccn2)C=C1")</f>
        <v>C1=CNC(NCc2ncccc2C(c2ccccn2)c2ccccn2)C=C1</v>
      </c>
      <c r="C14791" s="7">
        <f>IFERROR(__xludf.DUMMYFUNCTION("""COMPUTED_VALUE"""),7.746356)</f>
        <v>7.746356</v>
      </c>
      <c r="D14791" s="7">
        <f>IFERROR(__xludf.DUMMYFUNCTION("""COMPUTED_VALUE"""),0.368421052631578)</f>
        <v>0.3684210526</v>
      </c>
    </row>
    <row r="14792">
      <c r="A14792" s="10" t="s">
        <v>16231</v>
      </c>
      <c r="B14792" s="7" t="str">
        <f>IFERROR(__xludf.DUMMYFUNCTION("SPLIT(A14792,"" "")"),"C1=CC(Nc2cccnn2)=CCN1")</f>
        <v>C1=CC(Nc2cccnn2)=CCN1</v>
      </c>
      <c r="C14792" s="7">
        <f>IFERROR(__xludf.DUMMYFUNCTION("""COMPUTED_VALUE"""),7.74634)</f>
        <v>7.74634</v>
      </c>
      <c r="D14792" s="7">
        <f>IFERROR(__xludf.DUMMYFUNCTION("""COMPUTED_VALUE"""),0.239130434782608)</f>
        <v>0.2391304348</v>
      </c>
    </row>
    <row r="14793">
      <c r="A14793" s="10" t="s">
        <v>16232</v>
      </c>
      <c r="B14793" s="7" t="str">
        <f>IFERROR(__xludf.DUMMYFUNCTION("SPLIT(A14793,"" "")"),"Cc1cccc(CN(C)Cc2ncccc2N(C)Cc2nccc(C)c2C)n1")</f>
        <v>Cc1cccc(CN(C)Cc2ncccc2N(C)Cc2nccc(C)c2C)n1</v>
      </c>
      <c r="C14793" s="7">
        <f>IFERROR(__xludf.DUMMYFUNCTION("""COMPUTED_VALUE"""),7.74634)</f>
        <v>7.74634</v>
      </c>
      <c r="D14793" s="7">
        <f>IFERROR(__xludf.DUMMYFUNCTION("""COMPUTED_VALUE"""),0.468085106382978)</f>
        <v>0.4680851064</v>
      </c>
    </row>
    <row r="14794">
      <c r="A14794" s="10" t="s">
        <v>16233</v>
      </c>
      <c r="B14794" s="7" t="str">
        <f>IFERROR(__xludf.DUMMYFUNCTION("SPLIT(A14794,"" "")"),"Cc1cc(-c2ccc(CN(C)Cc3ccccn3)cc2)ccn1")</f>
        <v>Cc1cc(-c2ccc(CN(C)Cc3ccccn3)cc2)ccn1</v>
      </c>
      <c r="C14794" s="7">
        <f>IFERROR(__xludf.DUMMYFUNCTION("""COMPUTED_VALUE"""),7.74634)</f>
        <v>7.74634</v>
      </c>
      <c r="D14794" s="7">
        <f>IFERROR(__xludf.DUMMYFUNCTION("""COMPUTED_VALUE"""),0.468085106382978)</f>
        <v>0.4680851064</v>
      </c>
    </row>
    <row r="14795">
      <c r="A14795" s="10" t="s">
        <v>16234</v>
      </c>
      <c r="B14795" s="7" t="str">
        <f>IFERROR(__xludf.DUMMYFUNCTION("SPLIT(A14795,"" "")"),"CC(C)(C)CN(Cc1ccccn1)Cc1cc(-c2ccccc2N=Cc2ccccn2)ccn1")</f>
        <v>CC(C)(C)CN(Cc1ccccn1)Cc1cc(-c2ccccc2N=Cc2ccccn2)ccn1</v>
      </c>
      <c r="C14795" s="7">
        <f>IFERROR(__xludf.DUMMYFUNCTION("""COMPUTED_VALUE"""),7.7463355)</f>
        <v>7.7463355</v>
      </c>
      <c r="D14795" s="7">
        <f>IFERROR(__xludf.DUMMYFUNCTION("""COMPUTED_VALUE"""),0.490566037735849)</f>
        <v>0.4905660377</v>
      </c>
    </row>
    <row r="14796">
      <c r="A14796" s="10" t="s">
        <v>16235</v>
      </c>
      <c r="B14796" s="7" t="str">
        <f>IFERROR(__xludf.DUMMYFUNCTION("SPLIT(A14796,"" "")"),"CNCc1ncc(Cl)c(N(C)Cc2ccc(C)cn2)c1CN(C)Cc1cccc(C)n1")</f>
        <v>CNCc1ncc(Cl)c(N(C)Cc2ccc(C)cn2)c1CN(C)Cc1cccc(C)n1</v>
      </c>
      <c r="C14796" s="7">
        <f>IFERROR(__xludf.DUMMYFUNCTION("""COMPUTED_VALUE"""),7.7463284)</f>
        <v>7.7463284</v>
      </c>
      <c r="D14796" s="7">
        <f>IFERROR(__xludf.DUMMYFUNCTION("""COMPUTED_VALUE"""),0.385964912280701)</f>
        <v>0.3859649123</v>
      </c>
    </row>
    <row r="14797">
      <c r="A14797" s="10" t="s">
        <v>16236</v>
      </c>
      <c r="B14797" s="7" t="str">
        <f>IFERROR(__xludf.DUMMYFUNCTION("SPLIT(A14797,"" "")"),"Cc1ccccc1-c1ncccc1CN(C)Cc1ccccn1")</f>
        <v>Cc1ccccc1-c1ncccc1CN(C)Cc1ccccn1</v>
      </c>
      <c r="C14797" s="7">
        <f>IFERROR(__xludf.DUMMYFUNCTION("""COMPUTED_VALUE"""),7.7463236)</f>
        <v>7.7463236</v>
      </c>
      <c r="D14797" s="7">
        <f>IFERROR(__xludf.DUMMYFUNCTION("""COMPUTED_VALUE"""),0.478260869565217)</f>
        <v>0.4782608696</v>
      </c>
    </row>
    <row r="14798">
      <c r="A14798" s="10" t="s">
        <v>16237</v>
      </c>
      <c r="B14798" s="7" t="str">
        <f>IFERROR(__xludf.DUMMYFUNCTION("SPLIT(A14798,"" "")"),"COC(=O)C1CN(C)C(c2cc(CNCc3cc(C(C)(c4ccccn4)c4ccccn4)ccn3)ccn2)C(c2ccccn2)C1c1ccccn1")</f>
        <v>COC(=O)C1CN(C)C(c2cc(CNCc3cc(C(C)(c4ccccn4)c4ccccn4)ccn3)ccn2)C(c2ccccn2)C1c1ccccn1</v>
      </c>
      <c r="C14798" s="7">
        <f>IFERROR(__xludf.DUMMYFUNCTION("""COMPUTED_VALUE"""),7.7463202)</f>
        <v>7.7463202</v>
      </c>
      <c r="D14798" s="7">
        <f>IFERROR(__xludf.DUMMYFUNCTION("""COMPUTED_VALUE"""),0.301204819277108)</f>
        <v>0.3012048193</v>
      </c>
    </row>
    <row r="14799">
      <c r="A14799" s="10" t="s">
        <v>16238</v>
      </c>
      <c r="B14799" s="7" t="str">
        <f>IFERROR(__xludf.DUMMYFUNCTION("SPLIT(A14799,"" "")"),"Cc1cc(-c2cccc(NCc3ccccn3)c2)cnc1CN(Cc1ccccn1)C1CCC(N(C)c2ccc3ncccc3c2)CC1")</f>
        <v>Cc1cc(-c2cccc(NCc3ccccn3)c2)cnc1CN(Cc1ccccn1)C1CCC(N(C)c2ccc3ncccc3c2)CC1</v>
      </c>
      <c r="C14799" s="7">
        <f>IFERROR(__xludf.DUMMYFUNCTION("""COMPUTED_VALUE"""),7.7463155)</f>
        <v>7.7463155</v>
      </c>
      <c r="D14799" s="7">
        <f>IFERROR(__xludf.DUMMYFUNCTION("""COMPUTED_VALUE"""),0.292682926829268)</f>
        <v>0.2926829268</v>
      </c>
    </row>
    <row r="14800">
      <c r="A14800" s="10" t="s">
        <v>16239</v>
      </c>
      <c r="B14800" s="7" t="str">
        <f>IFERROR(__xludf.DUMMYFUNCTION("SPLIT(A14800,"" "")"),"CCC(C)N(C)Cc1cccc(-c2cccc(N=Cc3ccccn3)c2)n1")</f>
        <v>CCC(C)N(C)Cc1cccc(-c2cccc(N=Cc3ccccn3)c2)n1</v>
      </c>
      <c r="C14800" s="7">
        <f>IFERROR(__xludf.DUMMYFUNCTION("""COMPUTED_VALUE"""),7.746305)</f>
        <v>7.746305</v>
      </c>
      <c r="D14800" s="7">
        <f>IFERROR(__xludf.DUMMYFUNCTION("""COMPUTED_VALUE"""),0.415384615384615)</f>
        <v>0.4153846154</v>
      </c>
    </row>
    <row r="14801">
      <c r="A14801" s="10" t="s">
        <v>16240</v>
      </c>
      <c r="B14801" s="7" t="str">
        <f>IFERROR(__xludf.DUMMYFUNCTION("SPLIT(A14801,"" "")"),"CC1C=C(N(C)Cc2cccnn2)Cc2ncccc21")</f>
        <v>CC1C=C(N(C)Cc2cccnn2)Cc2ncccc21</v>
      </c>
      <c r="C14801" s="7">
        <f>IFERROR(__xludf.DUMMYFUNCTION("""COMPUTED_VALUE"""),7.746293)</f>
        <v>7.746293</v>
      </c>
      <c r="D14801" s="7">
        <f>IFERROR(__xludf.DUMMYFUNCTION("""COMPUTED_VALUE"""),0.425531914893617)</f>
        <v>0.4255319149</v>
      </c>
    </row>
    <row r="14802">
      <c r="A14802" s="10" t="s">
        <v>16241</v>
      </c>
      <c r="B14802" s="7" t="str">
        <f>IFERROR(__xludf.DUMMYFUNCTION("SPLIT(A14802,"" "")"),"CC1=CCC=C(N(C)CC2=CCC=C(N(C)Cc3ccccn3)N2)N1")</f>
        <v>CC1=CCC=C(N(C)CC2=CCC=C(N(C)Cc3ccccn3)N2)N1</v>
      </c>
      <c r="C14802" s="7">
        <f>IFERROR(__xludf.DUMMYFUNCTION("""COMPUTED_VALUE"""),7.746292)</f>
        <v>7.746292</v>
      </c>
      <c r="D14802" s="7">
        <f>IFERROR(__xludf.DUMMYFUNCTION("""COMPUTED_VALUE"""),0.433962264150943)</f>
        <v>0.4339622642</v>
      </c>
    </row>
    <row r="14803">
      <c r="A14803" s="10" t="s">
        <v>16242</v>
      </c>
      <c r="B14803" s="7" t="str">
        <f>IFERROR(__xludf.DUMMYFUNCTION("SPLIT(A14803,"" "")"),"CC1=CC(C)C(C)(c2cc(CN(Cc3ccccn3)Cc3cc(-c4cccc(N=Cc5ccccn5)c4)ccn3)ccn2)CC1")</f>
        <v>CC1=CC(C)C(C)(c2cc(CN(Cc3ccccn3)Cc3cc(-c4cccc(N=Cc5ccccn5)c4)ccn3)ccn2)CC1</v>
      </c>
      <c r="C14803" s="7">
        <f>IFERROR(__xludf.DUMMYFUNCTION("""COMPUTED_VALUE"""),7.746292)</f>
        <v>7.746292</v>
      </c>
      <c r="D14803" s="7">
        <f>IFERROR(__xludf.DUMMYFUNCTION("""COMPUTED_VALUE"""),0.297619047619047)</f>
        <v>0.2976190476</v>
      </c>
    </row>
    <row r="14804">
      <c r="A14804" s="10" t="s">
        <v>16243</v>
      </c>
      <c r="B14804" s="7" t="str">
        <f>IFERROR(__xludf.DUMMYFUNCTION("SPLIT(A14804,"" "")"),"CNc1ccc(-c2cccc(CN(C)C3CCC(N(C)c4ccc5nc(CF)ccc5c4)CC3)n2)cc1")</f>
        <v>CNc1ccc(-c2cccc(CN(C)C3CCC(N(C)c4ccc5nc(CF)ccc5c4)CC3)n2)cc1</v>
      </c>
      <c r="C14804" s="7">
        <f>IFERROR(__xludf.DUMMYFUNCTION("""COMPUTED_VALUE"""),7.746291)</f>
        <v>7.746291</v>
      </c>
      <c r="D14804" s="7">
        <f>IFERROR(__xludf.DUMMYFUNCTION("""COMPUTED_VALUE"""),0.328571428571428)</f>
        <v>0.3285714286</v>
      </c>
    </row>
    <row r="14805">
      <c r="A14805" s="10" t="s">
        <v>16244</v>
      </c>
      <c r="B14805" s="7" t="str">
        <f>IFERROR(__xludf.DUMMYFUNCTION("SPLIT(A14805,"" "")"),"CC(c1ccnc(CNC2C=CC=CN2)c1)(c1ccccn1)c1ccccn1")</f>
        <v>CC(c1ccnc(CNC2C=CC=CN2)c1)(c1ccccn1)c1ccccn1</v>
      </c>
      <c r="C14805" s="7">
        <f>IFERROR(__xludf.DUMMYFUNCTION("""COMPUTED_VALUE"""),7.7462893)</f>
        <v>7.7462893</v>
      </c>
      <c r="D14805" s="7">
        <f>IFERROR(__xludf.DUMMYFUNCTION("""COMPUTED_VALUE"""),0.366666666666666)</f>
        <v>0.3666666667</v>
      </c>
    </row>
    <row r="14806">
      <c r="A14806" s="10" t="s">
        <v>16245</v>
      </c>
      <c r="B14806" s="7" t="str">
        <f>IFERROR(__xludf.DUMMYFUNCTION("SPLIT(A14806,"" "")"),"Cc1cc(-c2ccc(NCc3cc(C(C)C(C)C)ccn3)cc2)ccn1")</f>
        <v>Cc1cc(-c2ccc(NCc3cc(C(C)C(C)C)ccn3)cc2)ccn1</v>
      </c>
      <c r="C14806" s="7">
        <f>IFERROR(__xludf.DUMMYFUNCTION("""COMPUTED_VALUE"""),7.746284)</f>
        <v>7.746284</v>
      </c>
      <c r="D14806" s="7">
        <f>IFERROR(__xludf.DUMMYFUNCTION("""COMPUTED_VALUE"""),0.253968253968253)</f>
        <v>0.253968254</v>
      </c>
    </row>
    <row r="14807">
      <c r="A14807" s="10" t="s">
        <v>16246</v>
      </c>
      <c r="B14807" s="7" t="str">
        <f>IFERROR(__xludf.DUMMYFUNCTION("SPLIT(A14807,"" "")"),"CC(C)(C)CN(Cc1ccccn1)Cc1ncccc1-c1cccc(N=Cc2ccccn2)c1")</f>
        <v>CC(C)(C)CN(Cc1ccccn1)Cc1ncccc1-c1cccc(N=Cc2ccccn2)c1</v>
      </c>
      <c r="C14807" s="7">
        <f>IFERROR(__xludf.DUMMYFUNCTION("""COMPUTED_VALUE"""),7.7462783)</f>
        <v>7.7462783</v>
      </c>
      <c r="D14807" s="7">
        <f>IFERROR(__xludf.DUMMYFUNCTION("""COMPUTED_VALUE"""),0.456140350877192)</f>
        <v>0.4561403509</v>
      </c>
    </row>
    <row r="14808">
      <c r="A14808" s="10" t="s">
        <v>16247</v>
      </c>
      <c r="B14808" s="7" t="str">
        <f>IFERROR(__xludf.DUMMYFUNCTION("SPLIT(A14808,"" "")"),"CC(C)C(=O)C(=O)C(=O)C(=O)C(=O)C(=O)C(=O)C(=O)C(=O)C(C)C(C)C(=O)C(=O)C(=O)C(=O)C(=O)C(C)C(C)C(=O)C(=O)C(=O)C(C)C(=O)C(=O)C(=O)C(C)C(=O)C(=O)C(=O)C(=O)C(=O)C(=O)C(=O)C1OC(c2cccnc2C2CCC2(C)C)=NC1=O")</f>
        <v>CC(C)C(=O)C(=O)C(=O)C(=O)C(=O)C(=O)C(=O)C(=O)C(=O)C(C)C(C)C(=O)C(=O)C(=O)C(=O)C(=O)C(C)C(C)C(=O)C(=O)C(=O)C(C)C(=O)C(=O)C(=O)C(C)C(=O)C(=O)C(=O)C(=O)C(=O)C(=O)C(=O)C1OC(c2cccnc2C2CCC2(C)C)=NC1=O</v>
      </c>
      <c r="C14808" s="7">
        <f>IFERROR(__xludf.DUMMYFUNCTION("""COMPUTED_VALUE"""),7.746277)</f>
        <v>7.746277</v>
      </c>
      <c r="D14808" s="7">
        <f>IFERROR(__xludf.DUMMYFUNCTION("""COMPUTED_VALUE"""),0.197674418604651)</f>
        <v>0.1976744186</v>
      </c>
    </row>
    <row r="14809">
      <c r="A14809" s="10" t="s">
        <v>16248</v>
      </c>
      <c r="B14809" s="7" t="str">
        <f>IFERROR(__xludf.DUMMYFUNCTION("SPLIT(A14809,"" "")"),"Cc1cc(C)c(CN(C)c2cccnc2CN(C)Cc2ccccn2)nc1C")</f>
        <v>Cc1cc(C)c(CN(C)c2cccnc2CN(C)Cc2ccccn2)nc1C</v>
      </c>
      <c r="C14809" s="7">
        <f>IFERROR(__xludf.DUMMYFUNCTION("""COMPUTED_VALUE"""),7.746269)</f>
        <v>7.746269</v>
      </c>
      <c r="D14809" s="7">
        <f>IFERROR(__xludf.DUMMYFUNCTION("""COMPUTED_VALUE"""),0.46)</f>
        <v>0.46</v>
      </c>
    </row>
    <row r="14810">
      <c r="A14810" s="10" t="s">
        <v>16249</v>
      </c>
      <c r="B14810" s="7" t="str">
        <f>IFERROR(__xludf.DUMMYFUNCTION("SPLIT(A14810,"" "")"),"CCCN(Cc1ccccn1)Cc1ccc(-c2cccc(N=Cc3ccccn3)c2)cn1")</f>
        <v>CCCN(Cc1ccccn1)Cc1ccc(-c2cccc(N=Cc3ccccn3)c2)cn1</v>
      </c>
      <c r="C14810" s="7">
        <f>IFERROR(__xludf.DUMMYFUNCTION("""COMPUTED_VALUE"""),7.746257)</f>
        <v>7.746257</v>
      </c>
      <c r="D14810" s="7">
        <f>IFERROR(__xludf.DUMMYFUNCTION("""COMPUTED_VALUE"""),0.392857142857142)</f>
        <v>0.3928571429</v>
      </c>
    </row>
    <row r="14811">
      <c r="A14811" s="10" t="s">
        <v>16250</v>
      </c>
      <c r="B14811" s="7" t="str">
        <f>IFERROR(__xludf.DUMMYFUNCTION("SPLIT(A14811,"" "")"),"Cc1cccc(N(C)Cc2ncccc2N(C)C(C)C)c1C")</f>
        <v>Cc1cccc(N(C)Cc2ncccc2N(C)C(C)C)c1C</v>
      </c>
      <c r="C14811" s="7">
        <f>IFERROR(__xludf.DUMMYFUNCTION("""COMPUTED_VALUE"""),7.746246)</f>
        <v>7.746246</v>
      </c>
      <c r="D14811" s="7">
        <f>IFERROR(__xludf.DUMMYFUNCTION("""COMPUTED_VALUE"""),0.391304347826087)</f>
        <v>0.3913043478</v>
      </c>
    </row>
    <row r="14812">
      <c r="A14812" s="10" t="s">
        <v>16251</v>
      </c>
      <c r="B14812" s="7" t="str">
        <f>IFERROR(__xludf.DUMMYFUNCTION("SPLIT(A14812,"" "")"),"Cc1cc(C)c(C)c(C)n1")</f>
        <v>Cc1cc(C)c(C)c(C)n1</v>
      </c>
      <c r="C14812" s="7">
        <f>IFERROR(__xludf.DUMMYFUNCTION("""COMPUTED_VALUE"""),7.7462435)</f>
        <v>7.7462435</v>
      </c>
      <c r="D14812" s="7">
        <f>IFERROR(__xludf.DUMMYFUNCTION("""COMPUTED_VALUE"""),0.243243243243243)</f>
        <v>0.2432432432</v>
      </c>
    </row>
    <row r="14813">
      <c r="A14813" s="10" t="s">
        <v>16252</v>
      </c>
      <c r="B14813" s="7" t="str">
        <f>IFERROR(__xludf.DUMMYFUNCTION("SPLIT(A14813,"" "")"),"CC(C)C(C)N(C)CC1=CCC=C(N(C)c2ccc3nccc(CF)c3c2)N1")</f>
        <v>CC(C)C(C)N(C)CC1=CCC=C(N(C)c2ccc3nccc(CF)c3c2)N1</v>
      </c>
      <c r="C14813" s="7">
        <f>IFERROR(__xludf.DUMMYFUNCTION("""COMPUTED_VALUE"""),7.746242)</f>
        <v>7.746242</v>
      </c>
      <c r="D14813" s="7">
        <f>IFERROR(__xludf.DUMMYFUNCTION("""COMPUTED_VALUE"""),0.202702702702702)</f>
        <v>0.2027027027</v>
      </c>
    </row>
    <row r="14814">
      <c r="A14814" s="10" t="s">
        <v>16253</v>
      </c>
      <c r="B14814" s="7" t="str">
        <f>IFERROR(__xludf.DUMMYFUNCTION("SPLIT(A14814,"" "")"),"Cc1cnc(CN(C)c2ccnc(CN(C)Cc3ccccn3)c2)c(C)c1C")</f>
        <v>Cc1cnc(CN(C)c2ccnc(CN(C)Cc3ccccn3)c2)c(C)c1C</v>
      </c>
      <c r="C14814" s="7">
        <f>IFERROR(__xludf.DUMMYFUNCTION("""COMPUTED_VALUE"""),7.7462397)</f>
        <v>7.7462397</v>
      </c>
      <c r="D14814" s="7">
        <f>IFERROR(__xludf.DUMMYFUNCTION("""COMPUTED_VALUE"""),0.431372549019607)</f>
        <v>0.431372549</v>
      </c>
    </row>
    <row r="14815">
      <c r="A14815" s="10" t="s">
        <v>16254</v>
      </c>
      <c r="B14815" s="7" t="str">
        <f>IFERROR(__xludf.DUMMYFUNCTION("SPLIT(A14815,"" "")"),"Cc1cncc(CN(C)Cc2ncccc2C(C)(c2ccccn2)c2ccccn2)c1")</f>
        <v>Cc1cncc(CN(C)Cc2ncccc2C(C)(c2ccccn2)c2ccccn2)c1</v>
      </c>
      <c r="C14815" s="7">
        <f>IFERROR(__xludf.DUMMYFUNCTION("""COMPUTED_VALUE"""),7.7462397)</f>
        <v>7.7462397</v>
      </c>
      <c r="D14815" s="7">
        <f>IFERROR(__xludf.DUMMYFUNCTION("""COMPUTED_VALUE"""),0.327586206896551)</f>
        <v>0.3275862069</v>
      </c>
    </row>
    <row r="14816">
      <c r="A14816" s="10" t="s">
        <v>16255</v>
      </c>
      <c r="B14816" s="7" t="str">
        <f>IFERROR(__xludf.DUMMYFUNCTION("SPLIT(A14816,"" "")"),"Cc1ccc(NCc2ccccn2)cc1C1=CC(c2ccccc2)C(NCc2ccccn2)C=C1c1ccccc1")</f>
        <v>Cc1ccc(NCc2ccccn2)cc1C1=CC(c2ccccc2)C(NCc2ccccn2)C=C1c1ccccc1</v>
      </c>
      <c r="C14816" s="7">
        <f>IFERROR(__xludf.DUMMYFUNCTION("""COMPUTED_VALUE"""),7.74623)</f>
        <v>7.74623</v>
      </c>
      <c r="D14816" s="7">
        <f>IFERROR(__xludf.DUMMYFUNCTION("""COMPUTED_VALUE"""),0.363636363636363)</f>
        <v>0.3636363636</v>
      </c>
    </row>
    <row r="14817">
      <c r="A14817" s="10" t="s">
        <v>16256</v>
      </c>
      <c r="B14817" s="7" t="str">
        <f>IFERROR(__xludf.DUMMYFUNCTION("SPLIT(A14817,"" "")"),"CN(CCN(Cc1cccnc1)Cc1ccccn1)c1cccc2ncc(CF)cc12")</f>
        <v>CN(CCN(Cc1cccnc1)Cc1ccccn1)c1cccc2ncc(CF)cc12</v>
      </c>
      <c r="C14817" s="7">
        <f>IFERROR(__xludf.DUMMYFUNCTION("""COMPUTED_VALUE"""),7.7462244)</f>
        <v>7.7462244</v>
      </c>
      <c r="D14817" s="7">
        <f>IFERROR(__xludf.DUMMYFUNCTION("""COMPUTED_VALUE"""),0.421052631578947)</f>
        <v>0.4210526316</v>
      </c>
    </row>
    <row r="14818">
      <c r="A14818" s="10" t="s">
        <v>16257</v>
      </c>
      <c r="B14818" s="7" t="str">
        <f>IFERROR(__xludf.DUMMYFUNCTION("SPLIT(A14818,"" "")"),"CC(c1ccccn1)C1OC(c2cccc(C3CCC3(C)C)n2)=NC1=O")</f>
        <v>CC(c1ccccn1)C1OC(c2cccc(C3CCC3(C)C)n2)=NC1=O</v>
      </c>
      <c r="C14818" s="7">
        <f>IFERROR(__xludf.DUMMYFUNCTION("""COMPUTED_VALUE"""),7.7462234)</f>
        <v>7.7462234</v>
      </c>
      <c r="D14818" s="7">
        <f>IFERROR(__xludf.DUMMYFUNCTION("""COMPUTED_VALUE"""),0.3)</f>
        <v>0.3</v>
      </c>
    </row>
    <row r="14819">
      <c r="A14819" s="10" t="s">
        <v>16258</v>
      </c>
      <c r="B14819" s="7" t="str">
        <f>IFERROR(__xludf.DUMMYFUNCTION("SPLIT(A14819,"" "")"),"Cc1cc(C(C)(C)CN(Cc2ccccn2)Cc2ccccn2)cc2cccnc12")</f>
        <v>Cc1cc(C(C)(C)CN(Cc2ccccn2)Cc2ccccn2)cc2cccnc12</v>
      </c>
      <c r="C14819" s="7">
        <f>IFERROR(__xludf.DUMMYFUNCTION("""COMPUTED_VALUE"""),7.746219)</f>
        <v>7.746219</v>
      </c>
      <c r="D14819" s="7">
        <f>IFERROR(__xludf.DUMMYFUNCTION("""COMPUTED_VALUE"""),0.489361702127659)</f>
        <v>0.4893617021</v>
      </c>
    </row>
    <row r="14820">
      <c r="A14820" s="10" t="s">
        <v>16259</v>
      </c>
      <c r="B14820" s="7" t="str">
        <f>IFERROR(__xludf.DUMMYFUNCTION("SPLIT(A14820,"" "")"),"CC(C)NCc1ccc(-c2cccc(NCc3ccccn3)c2)cn1")</f>
        <v>CC(C)NCc1ccc(-c2cccc(NCc3ccccn3)c2)cn1</v>
      </c>
      <c r="C14820" s="7">
        <f>IFERROR(__xludf.DUMMYFUNCTION("""COMPUTED_VALUE"""),7.7462125)</f>
        <v>7.7462125</v>
      </c>
      <c r="D14820" s="7">
        <f>IFERROR(__xludf.DUMMYFUNCTION("""COMPUTED_VALUE"""),0.372881355932203)</f>
        <v>0.3728813559</v>
      </c>
    </row>
    <row r="14821">
      <c r="A14821" s="10" t="s">
        <v>16260</v>
      </c>
      <c r="B14821" s="7" t="str">
        <f>IFERROR(__xludf.DUMMYFUNCTION("SPLIT(A14821,"" "")"),"CCCN(Cc1ccccn1)Cc1cccc(-c2ccccc2N=Cc2ccccn2)n1")</f>
        <v>CCCN(Cc1ccccn1)Cc1cccc(-c2ccccc2N=Cc2ccccn2)n1</v>
      </c>
      <c r="C14821" s="7">
        <f>IFERROR(__xludf.DUMMYFUNCTION("""COMPUTED_VALUE"""),7.746199)</f>
        <v>7.746199</v>
      </c>
      <c r="D14821" s="7">
        <f>IFERROR(__xludf.DUMMYFUNCTION("""COMPUTED_VALUE"""),0.428571428571428)</f>
        <v>0.4285714286</v>
      </c>
    </row>
    <row r="14822">
      <c r="A14822" s="10" t="s">
        <v>16261</v>
      </c>
      <c r="B14822" s="7" t="str">
        <f>IFERROR(__xludf.DUMMYFUNCTION("SPLIT(A14822,"" "")"),"Cc1cc(C)c(CN(C)C)nc1C")</f>
        <v>Cc1cc(C)c(CN(C)C)nc1C</v>
      </c>
      <c r="C14822" s="7">
        <f>IFERROR(__xludf.DUMMYFUNCTION("""COMPUTED_VALUE"""),7.746193)</f>
        <v>7.746193</v>
      </c>
      <c r="D14822" s="7">
        <f>IFERROR(__xludf.DUMMYFUNCTION("""COMPUTED_VALUE"""),0.263157894736842)</f>
        <v>0.2631578947</v>
      </c>
    </row>
    <row r="14823">
      <c r="A14823" s="10" t="s">
        <v>16262</v>
      </c>
      <c r="B14823" s="7" t="str">
        <f>IFERROR(__xludf.DUMMYFUNCTION("SPLIT(A14823,"" "")"),"Cc1c(NCc2ccccn2)cccc1-c1cccc(CN(Cc2ccccn2)Cc2ccccn2)n1")</f>
        <v>Cc1c(NCc2ccccn2)cccc1-c1cccc(CN(Cc2ccccn2)Cc2ccccn2)n1</v>
      </c>
      <c r="C14823" s="7">
        <f>IFERROR(__xludf.DUMMYFUNCTION("""COMPUTED_VALUE"""),7.7461753)</f>
        <v>7.7461753</v>
      </c>
      <c r="D14823" s="7">
        <f>IFERROR(__xludf.DUMMYFUNCTION("""COMPUTED_VALUE"""),0.482142857142857)</f>
        <v>0.4821428571</v>
      </c>
    </row>
    <row r="14824">
      <c r="A14824" s="10" t="s">
        <v>16263</v>
      </c>
      <c r="B14824" s="7" t="str">
        <f>IFERROR(__xludf.DUMMYFUNCTION("SPLIT(A14824,"" "")"),"Cc1cncc(CN(C)Cc2cccc(N(C)Cc3nc(C)c(C)cc3C)n2)c1")</f>
        <v>Cc1cncc(CN(C)Cc2cccc(N(C)Cc3nc(C)c(C)cc3C)n2)c1</v>
      </c>
      <c r="C14824" s="7">
        <f>IFERROR(__xludf.DUMMYFUNCTION("""COMPUTED_VALUE"""),7.7461476)</f>
        <v>7.7461476</v>
      </c>
      <c r="D14824" s="7">
        <f>IFERROR(__xludf.DUMMYFUNCTION("""COMPUTED_VALUE"""),0.333333333333333)</f>
        <v>0.3333333333</v>
      </c>
    </row>
    <row r="14825">
      <c r="A14825" s="10" t="s">
        <v>16264</v>
      </c>
      <c r="B14825" s="7" t="str">
        <f>IFERROR(__xludf.DUMMYFUNCTION("SPLIT(A14825,"" "")"),"CCCN(CC1=CC(N(C)Cc2ccccn2)C=CN1)c1cccc2cccnc12")</f>
        <v>CCCN(CC1=CC(N(C)Cc2ccccn2)C=CN1)c1cccc2cccnc12</v>
      </c>
      <c r="C14825" s="7">
        <f>IFERROR(__xludf.DUMMYFUNCTION("""COMPUTED_VALUE"""),7.7461476)</f>
        <v>7.7461476</v>
      </c>
      <c r="D14825" s="7">
        <f>IFERROR(__xludf.DUMMYFUNCTION("""COMPUTED_VALUE"""),0.406779661016949)</f>
        <v>0.406779661</v>
      </c>
    </row>
    <row r="14826">
      <c r="A14826" s="10" t="s">
        <v>16265</v>
      </c>
      <c r="B14826" s="7" t="str">
        <f>IFERROR(__xludf.DUMMYFUNCTION("SPLIT(A14826,"" "")"),"CN(Cc1cccc(C2=CCC=CN2)n1)C1=C(CN(Cc2ccccn2)Cc2cccc(F)n2)NC=CC1")</f>
        <v>CN(Cc1cccc(C2=CCC=CN2)n1)C1=C(CN(Cc2ccccn2)Cc2cccc(F)n2)NC=CC1</v>
      </c>
      <c r="C14826" s="7">
        <f>IFERROR(__xludf.DUMMYFUNCTION("""COMPUTED_VALUE"""),7.746135)</f>
        <v>7.746135</v>
      </c>
      <c r="D14826" s="7">
        <f>IFERROR(__xludf.DUMMYFUNCTION("""COMPUTED_VALUE"""),0.454545454545454)</f>
        <v>0.4545454545</v>
      </c>
    </row>
    <row r="14827">
      <c r="A14827" s="10" t="s">
        <v>16266</v>
      </c>
      <c r="B14827" s="7" t="str">
        <f>IFERROR(__xludf.DUMMYFUNCTION("SPLIT(A14827,"" "")"),"Cc1cc(C)c(C2=NC(C(C)C)C(C(C)C)O2)c(N(C)Cc2ccccn2)c1")</f>
        <v>Cc1cc(C)c(C2=NC(C(C)C)C(C(C)C)O2)c(N(C)Cc2ccccn2)c1</v>
      </c>
      <c r="C14827" s="7">
        <f>IFERROR(__xludf.DUMMYFUNCTION("""COMPUTED_VALUE"""),7.746132)</f>
        <v>7.746132</v>
      </c>
      <c r="D14827" s="7">
        <f>IFERROR(__xludf.DUMMYFUNCTION("""COMPUTED_VALUE"""),0.436363636363636)</f>
        <v>0.4363636364</v>
      </c>
    </row>
    <row r="14828">
      <c r="A14828" s="10" t="s">
        <v>16267</v>
      </c>
      <c r="B14828" s="7" t="str">
        <f>IFERROR(__xludf.DUMMYFUNCTION("SPLIT(A14828,"" "")"),"CN(c1ccc2cccnc2c1)C1CCC(N(Cc2ccc3cccnc3c2)Cc2cccnn2)CC1")</f>
        <v>CN(c1ccc2cccnc2c1)C1CCC(N(Cc2ccc3cccnc3c2)Cc2cccnn2)CC1</v>
      </c>
      <c r="C14828" s="7">
        <f>IFERROR(__xludf.DUMMYFUNCTION("""COMPUTED_VALUE"""),7.746117)</f>
        <v>7.746117</v>
      </c>
      <c r="D14828" s="7">
        <f>IFERROR(__xludf.DUMMYFUNCTION("""COMPUTED_VALUE"""),0.357142857142857)</f>
        <v>0.3571428571</v>
      </c>
    </row>
    <row r="14829">
      <c r="A14829" s="10" t="s">
        <v>16268</v>
      </c>
      <c r="B14829" s="7" t="str">
        <f>IFERROR(__xludf.DUMMYFUNCTION("SPLIT(A14829,"" "")"),"Cc1ccc(N(C)Cc2ncccc2C(C)(C)C)cc1C")</f>
        <v>Cc1ccc(N(C)Cc2ncccc2C(C)(C)C)cc1C</v>
      </c>
      <c r="C14829" s="7">
        <f>IFERROR(__xludf.DUMMYFUNCTION("""COMPUTED_VALUE"""),7.7460933)</f>
        <v>7.7460933</v>
      </c>
      <c r="D14829" s="7">
        <f>IFERROR(__xludf.DUMMYFUNCTION("""COMPUTED_VALUE"""),0.294117647058823)</f>
        <v>0.2941176471</v>
      </c>
    </row>
    <row r="14830">
      <c r="A14830" s="10" t="s">
        <v>16269</v>
      </c>
      <c r="B14830" s="7" t="str">
        <f>IFERROR(__xludf.DUMMYFUNCTION("SPLIT(A14830,"" "")"),"CC1COC(c2cccc(CN(C)Cc3cc(N)ccn3)n2)=N1")</f>
        <v>CC1COC(c2cccc(CN(C)Cc3cc(N)ccn3)n2)=N1</v>
      </c>
      <c r="C14830" s="7">
        <f>IFERROR(__xludf.DUMMYFUNCTION("""COMPUTED_VALUE"""),7.7460914)</f>
        <v>7.7460914</v>
      </c>
      <c r="D14830" s="7">
        <f>IFERROR(__xludf.DUMMYFUNCTION("""COMPUTED_VALUE"""),0.436363636363636)</f>
        <v>0.4363636364</v>
      </c>
    </row>
    <row r="14831">
      <c r="A14831" s="10" t="s">
        <v>16270</v>
      </c>
      <c r="B14831" s="7" t="str">
        <f>IFERROR(__xludf.DUMMYFUNCTION("SPLIT(A14831,"" "")"),"Cc1c(C)c(C)c(N(C)C2CCCC(N(C)c3ccc4cccnc4c3)C2)c(C)c1C")</f>
        <v>Cc1c(C)c(C)c(N(C)C2CCCC(N(C)c3ccc4cccnc4c3)C2)c(C)c1C</v>
      </c>
      <c r="C14831" s="7">
        <f>IFERROR(__xludf.DUMMYFUNCTION("""COMPUTED_VALUE"""),7.7460856)</f>
        <v>7.7460856</v>
      </c>
      <c r="D14831" s="7">
        <f>IFERROR(__xludf.DUMMYFUNCTION("""COMPUTED_VALUE"""),0.345454545454545)</f>
        <v>0.3454545455</v>
      </c>
    </row>
    <row r="14832">
      <c r="A14832" s="10" t="s">
        <v>16271</v>
      </c>
      <c r="B14832" s="7" t="str">
        <f>IFERROR(__xludf.DUMMYFUNCTION("SPLIT(A14832,"" "")"),"Cc1cc(NCc2ccccn2)cc(-c2ccc(CN(C)C(C)C)nc2)c1")</f>
        <v>Cc1cc(NCc2ccccn2)cc(-c2ccc(CN(C)C(C)C)nc2)c1</v>
      </c>
      <c r="C14832" s="7">
        <f>IFERROR(__xludf.DUMMYFUNCTION("""COMPUTED_VALUE"""),7.7460785)</f>
        <v>7.7460785</v>
      </c>
      <c r="D14832" s="7">
        <f>IFERROR(__xludf.DUMMYFUNCTION("""COMPUTED_VALUE"""),0.381818181818181)</f>
        <v>0.3818181818</v>
      </c>
    </row>
    <row r="14833">
      <c r="A14833" s="10" t="s">
        <v>16272</v>
      </c>
      <c r="B14833" s="7" t="str">
        <f>IFERROR(__xludf.DUMMYFUNCTION("SPLIT(A14833,"" "")"),"Cc1ccc(CN(Cc2ccccn2)Cc2cc(C)c(N(C)C)c(C)n2)nc1")</f>
        <v>Cc1ccc(CN(Cc2ccccn2)Cc2cc(C)c(N(C)C)c(C)n2)nc1</v>
      </c>
      <c r="C14833" s="7">
        <f>IFERROR(__xludf.DUMMYFUNCTION("""COMPUTED_VALUE"""),7.7460756)</f>
        <v>7.7460756</v>
      </c>
      <c r="D14833" s="7">
        <f>IFERROR(__xludf.DUMMYFUNCTION("""COMPUTED_VALUE"""),0.476190476190476)</f>
        <v>0.4761904762</v>
      </c>
    </row>
    <row r="14834">
      <c r="A14834" s="10" t="s">
        <v>16273</v>
      </c>
      <c r="B14834" s="7" t="str">
        <f>IFERROR(__xludf.DUMMYFUNCTION("SPLIT(A14834,"" "")"),"C1=CNC=C(CN(Cc2ccccn2)Cc2cc3ccccc3cn2)C1")</f>
        <v>C1=CNC=C(CN(Cc2ccccn2)Cc2cc3ccccc3cn2)C1</v>
      </c>
      <c r="C14834" s="7">
        <f>IFERROR(__xludf.DUMMYFUNCTION("""COMPUTED_VALUE"""),7.746072)</f>
        <v>7.746072</v>
      </c>
      <c r="D14834" s="7">
        <f>IFERROR(__xludf.DUMMYFUNCTION("""COMPUTED_VALUE"""),0.444444444444444)</f>
        <v>0.4444444444</v>
      </c>
    </row>
    <row r="14835">
      <c r="A14835" s="10" t="s">
        <v>16274</v>
      </c>
      <c r="B14835" s="7" t="str">
        <f>IFERROR(__xludf.DUMMYFUNCTION("SPLIT(A14835,"" "")"),"C1=CNC(NCc2cccc(C(c3ccccn3)c3ccccn3)n2)C=C1")</f>
        <v>C1=CNC(NCc2cccc(C(c3ccccn3)c3ccccn3)n2)C=C1</v>
      </c>
      <c r="C14835" s="7">
        <f>IFERROR(__xludf.DUMMYFUNCTION("""COMPUTED_VALUE"""),7.7460713)</f>
        <v>7.7460713</v>
      </c>
      <c r="D14835" s="7">
        <f>IFERROR(__xludf.DUMMYFUNCTION("""COMPUTED_VALUE"""),0.392857142857142)</f>
        <v>0.3928571429</v>
      </c>
    </row>
    <row r="14836">
      <c r="A14836" s="10" t="s">
        <v>16275</v>
      </c>
      <c r="B14836" s="7" t="str">
        <f>IFERROR(__xludf.DUMMYFUNCTION("SPLIT(A14836,"" "")"),"CC(C)N(C)CCN(C)c1cccc2nc(CN(C)C)ccc12")</f>
        <v>CC(C)N(C)CCN(C)c1cccc2nc(CN(C)C)ccc12</v>
      </c>
      <c r="C14836" s="7">
        <f>IFERROR(__xludf.DUMMYFUNCTION("""COMPUTED_VALUE"""),7.746069)</f>
        <v>7.746069</v>
      </c>
      <c r="D14836" s="7">
        <f>IFERROR(__xludf.DUMMYFUNCTION("""COMPUTED_VALUE"""),0.375)</f>
        <v>0.375</v>
      </c>
    </row>
    <row r="14837">
      <c r="A14837" s="10" t="s">
        <v>16276</v>
      </c>
      <c r="B14837" s="7" t="str">
        <f>IFERROR(__xludf.DUMMYFUNCTION("SPLIT(A14837,"" "")"),"CC(C)(C)CN(Cc1ccccn1)Cc1ncccc1-c1ccccc1N=Cc1ccccn1")</f>
        <v>CC(C)(C)CN(Cc1ccccn1)Cc1ncccc1-c1ccccc1N=Cc1ccccn1</v>
      </c>
      <c r="C14837" s="7">
        <f>IFERROR(__xludf.DUMMYFUNCTION("""COMPUTED_VALUE"""),7.7460613)</f>
        <v>7.7460613</v>
      </c>
      <c r="D14837" s="7">
        <f>IFERROR(__xludf.DUMMYFUNCTION("""COMPUTED_VALUE"""),0.5)</f>
        <v>0.5</v>
      </c>
    </row>
    <row r="14838">
      <c r="A14838" s="10" t="s">
        <v>16277</v>
      </c>
      <c r="B14838" s="7" t="str">
        <f>IFERROR(__xludf.DUMMYFUNCTION("SPLIT(A14838,"" "")"),"CC1=CC(NCc2ccccn2)C(c2ccc(-c3ccccc3)c(C)c2NCc2ccccn2)C=C1")</f>
        <v>CC1=CC(NCc2ccccn2)C(c2ccc(-c3ccccc3)c(C)c2NCc2ccccn2)C=C1</v>
      </c>
      <c r="C14838" s="7">
        <f>IFERROR(__xludf.DUMMYFUNCTION("""COMPUTED_VALUE"""),7.7460585)</f>
        <v>7.7460585</v>
      </c>
      <c r="D14838" s="7">
        <f>IFERROR(__xludf.DUMMYFUNCTION("""COMPUTED_VALUE"""),0.412698412698412)</f>
        <v>0.4126984127</v>
      </c>
    </row>
    <row r="14839">
      <c r="A14839" s="10" t="s">
        <v>16278</v>
      </c>
      <c r="B14839" s="7" t="str">
        <f>IFERROR(__xludf.DUMMYFUNCTION("SPLIT(A14839,"" "")"),"CC1(C)COC(c2cccc(CN(Cc3ccccn3)Cc3cccc(C(C)(C)c4ccccn4)n3)n2)=N1")</f>
        <v>CC1(C)COC(c2cccc(CN(Cc3ccccn3)Cc3cccc(C(C)(C)c4ccccn4)n3)n2)=N1</v>
      </c>
      <c r="C14839" s="7">
        <f>IFERROR(__xludf.DUMMYFUNCTION("""COMPUTED_VALUE"""),7.746052)</f>
        <v>7.746052</v>
      </c>
      <c r="D14839" s="7">
        <f>IFERROR(__xludf.DUMMYFUNCTION("""COMPUTED_VALUE"""),0.471698113207547)</f>
        <v>0.4716981132</v>
      </c>
    </row>
    <row r="14840">
      <c r="A14840" s="10" t="s">
        <v>16279</v>
      </c>
      <c r="B14840" s="7" t="str">
        <f>IFERROR(__xludf.DUMMYFUNCTION("SPLIT(A14840,"" "")"),"CC(C)NCc1ccc(CN(Cc2ccccn2)Cc2cccc(-c3cccc(N(C)C)c3)n2)cn1")</f>
        <v>CC(C)NCc1ccc(CN(Cc2ccccn2)Cc2cccc(-c3cccc(N(C)C)c3)n2)cn1</v>
      </c>
      <c r="C14840" s="7">
        <f>IFERROR(__xludf.DUMMYFUNCTION("""COMPUTED_VALUE"""),7.74605)</f>
        <v>7.74605</v>
      </c>
      <c r="D14840" s="7">
        <f>IFERROR(__xludf.DUMMYFUNCTION("""COMPUTED_VALUE"""),0.492307692307692)</f>
        <v>0.4923076923</v>
      </c>
    </row>
    <row r="14841">
      <c r="A14841" s="10" t="s">
        <v>16280</v>
      </c>
      <c r="B14841" s="7" t="str">
        <f>IFERROR(__xludf.DUMMYFUNCTION("SPLIT(A14841,"" "")"),"C1=CC(Nc2ccccn2)=CCN1")</f>
        <v>C1=CC(Nc2ccccn2)=CCN1</v>
      </c>
      <c r="C14841" s="7">
        <f>IFERROR(__xludf.DUMMYFUNCTION("""COMPUTED_VALUE"""),7.746042)</f>
        <v>7.746042</v>
      </c>
      <c r="D14841" s="7">
        <f>IFERROR(__xludf.DUMMYFUNCTION("""COMPUTED_VALUE"""),0.292682926829268)</f>
        <v>0.2926829268</v>
      </c>
    </row>
    <row r="14842">
      <c r="A14842" s="10" t="s">
        <v>16281</v>
      </c>
      <c r="B14842" s="7" t="str">
        <f>IFERROR(__xludf.DUMMYFUNCTION("SPLIT(A14842,"" "")"),"CC1=C(N=Cc2ccccn2)C(CN(C)Cc2cccnn2)c2cccnc2C1")</f>
        <v>CC1=C(N=Cc2ccccn2)C(CN(C)Cc2cccnn2)c2cccnc2C1</v>
      </c>
      <c r="C14842" s="7">
        <f>IFERROR(__xludf.DUMMYFUNCTION("""COMPUTED_VALUE"""),7.7460375)</f>
        <v>7.7460375</v>
      </c>
      <c r="D14842" s="7">
        <f>IFERROR(__xludf.DUMMYFUNCTION("""COMPUTED_VALUE"""),0.372881355932203)</f>
        <v>0.3728813559</v>
      </c>
    </row>
    <row r="14843">
      <c r="A14843" s="10" t="s">
        <v>16282</v>
      </c>
      <c r="B14843" s="7" t="str">
        <f>IFERROR(__xludf.DUMMYFUNCTION("SPLIT(A14843,"" "")"),"CNCN(Cc1ccccn1)c1cccc2ncc(CN(C)C(C)C)cc12")</f>
        <v>CNCN(Cc1ccccn1)c1cccc2ncc(CN(C)C(C)C)cc12</v>
      </c>
      <c r="C14843" s="7">
        <f>IFERROR(__xludf.DUMMYFUNCTION("""COMPUTED_VALUE"""),7.7460365)</f>
        <v>7.7460365</v>
      </c>
      <c r="D14843" s="7">
        <f>IFERROR(__xludf.DUMMYFUNCTION("""COMPUTED_VALUE"""),0.368421052631578)</f>
        <v>0.3684210526</v>
      </c>
    </row>
    <row r="14844">
      <c r="A14844" s="10" t="s">
        <v>16283</v>
      </c>
      <c r="B14844" s="7" t="str">
        <f>IFERROR(__xludf.DUMMYFUNCTION("SPLIT(A14844,"" "")"),"CC1=CC(C)CC(C)C1c1ncccc1CN(Cc1ccccn1)Cc1ccc(-c2cccc(N(C)C)c2)cn1")</f>
        <v>CC1=CC(C)CC(C)C1c1ncccc1CN(Cc1ccccn1)Cc1ccc(-c2cccc(N(C)C)c2)cn1</v>
      </c>
      <c r="C14844" s="7">
        <f>IFERROR(__xludf.DUMMYFUNCTION("""COMPUTED_VALUE"""),7.7460356)</f>
        <v>7.7460356</v>
      </c>
      <c r="D14844" s="7">
        <f>IFERROR(__xludf.DUMMYFUNCTION("""COMPUTED_VALUE"""),0.324675324675324)</f>
        <v>0.3246753247</v>
      </c>
    </row>
    <row r="14845">
      <c r="A14845" s="10" t="s">
        <v>16284</v>
      </c>
      <c r="B14845" s="7" t="str">
        <f>IFERROR(__xludf.DUMMYFUNCTION("SPLIT(A14845,"" "")"),"Cc1ccc2nc(CN(C)C3CCCCC3N(C)c3ccc4ncccc4c3)ccc2c1")</f>
        <v>Cc1ccc2nc(CN(C)C3CCCCC3N(C)c3ccc4ncccc4c3)ccc2c1</v>
      </c>
      <c r="C14845" s="7">
        <f>IFERROR(__xludf.DUMMYFUNCTION("""COMPUTED_VALUE"""),7.746033)</f>
        <v>7.746033</v>
      </c>
      <c r="D14845" s="7">
        <f>IFERROR(__xludf.DUMMYFUNCTION("""COMPUTED_VALUE"""),0.472727272727272)</f>
        <v>0.4727272727</v>
      </c>
    </row>
    <row r="14846">
      <c r="A14846" s="10" t="s">
        <v>16285</v>
      </c>
      <c r="B14846" s="7" t="str">
        <f>IFERROR(__xludf.DUMMYFUNCTION("SPLIT(A14846,"" "")"),"CC(C)CN(Cc1ccccn1)Cc1ncccc1-c1ccc(Cl)cc1N")</f>
        <v>CC(C)CN(Cc1ccccn1)Cc1ncccc1-c1ccc(Cl)cc1N</v>
      </c>
      <c r="C14846" s="7">
        <f>IFERROR(__xludf.DUMMYFUNCTION("""COMPUTED_VALUE"""),7.7460303)</f>
        <v>7.7460303</v>
      </c>
      <c r="D14846" s="7">
        <f>IFERROR(__xludf.DUMMYFUNCTION("""COMPUTED_VALUE"""),0.388888888888888)</f>
        <v>0.3888888889</v>
      </c>
    </row>
    <row r="14847">
      <c r="A14847" s="10" t="s">
        <v>16286</v>
      </c>
      <c r="B14847" s="7" t="str">
        <f>IFERROR(__xludf.DUMMYFUNCTION("SPLIT(A14847,"" "")"),"CCNCCN(C)c1cccc2nccc(CF)c12")</f>
        <v>CCNCCN(C)c1cccc2nccc(CF)c12</v>
      </c>
      <c r="C14847" s="7">
        <f>IFERROR(__xludf.DUMMYFUNCTION("""COMPUTED_VALUE"""),7.7460265)</f>
        <v>7.7460265</v>
      </c>
      <c r="D14847" s="7">
        <f>IFERROR(__xludf.DUMMYFUNCTION("""COMPUTED_VALUE"""),0.333333333333333)</f>
        <v>0.3333333333</v>
      </c>
    </row>
    <row r="14848">
      <c r="A14848" s="10" t="s">
        <v>16287</v>
      </c>
      <c r="B14848" s="7" t="str">
        <f>IFERROR(__xludf.DUMMYFUNCTION("SPLIT(A14848,"" "")"),"CCNCCN(C)c1ccc2nccc(CF)c2c1")</f>
        <v>CCNCCN(C)c1ccc2nccc(CF)c2c1</v>
      </c>
      <c r="C14848" s="7">
        <f>IFERROR(__xludf.DUMMYFUNCTION("""COMPUTED_VALUE"""),7.7460084)</f>
        <v>7.7460084</v>
      </c>
      <c r="D14848" s="7">
        <f>IFERROR(__xludf.DUMMYFUNCTION("""COMPUTED_VALUE"""),0.226415094339622)</f>
        <v>0.2264150943</v>
      </c>
    </row>
    <row r="14849">
      <c r="A14849" s="10" t="s">
        <v>16288</v>
      </c>
      <c r="B14849" s="7" t="str">
        <f>IFERROR(__xludf.DUMMYFUNCTION("SPLIT(A14849,"" "")"),"Cc1cnc(CN(C)c2cccnc2CN(C)Cc2ncccc2C)c(C)c1")</f>
        <v>Cc1cnc(CN(C)c2cccnc2CN(C)Cc2ncccc2C)c(C)c1</v>
      </c>
      <c r="C14849" s="7">
        <f>IFERROR(__xludf.DUMMYFUNCTION("""COMPUTED_VALUE"""),7.7459984)</f>
        <v>7.7459984</v>
      </c>
      <c r="D14849" s="7">
        <f>IFERROR(__xludf.DUMMYFUNCTION("""COMPUTED_VALUE"""),0.333333333333333)</f>
        <v>0.3333333333</v>
      </c>
    </row>
    <row r="14850">
      <c r="A14850" s="10" t="s">
        <v>16289</v>
      </c>
      <c r="B14850" s="7" t="str">
        <f>IFERROR(__xludf.DUMMYFUNCTION("SPLIT(A14850,"" "")"),"CN(Cc1ccccn1)C1=CNC=C(CN(C)c2cccc(F)c2)C1")</f>
        <v>CN(Cc1ccccn1)C1=CNC=C(CN(C)c2cccc(F)c2)C1</v>
      </c>
      <c r="C14850" s="7">
        <f>IFERROR(__xludf.DUMMYFUNCTION("""COMPUTED_VALUE"""),7.745995)</f>
        <v>7.745995</v>
      </c>
      <c r="D14850" s="7">
        <f>IFERROR(__xludf.DUMMYFUNCTION("""COMPUTED_VALUE"""),0.4)</f>
        <v>0.4</v>
      </c>
    </row>
    <row r="14851">
      <c r="A14851" s="10" t="s">
        <v>16290</v>
      </c>
      <c r="B14851" s="7" t="str">
        <f>IFERROR(__xludf.DUMMYFUNCTION("SPLIT(A14851,"" "")"),"COC1(C)N=COC1c1ccc(C2=NC(C)(C)CO2)cn1")</f>
        <v>COC1(C)N=COC1c1ccc(C2=NC(C)(C)CO2)cn1</v>
      </c>
      <c r="C14851" s="7">
        <f>IFERROR(__xludf.DUMMYFUNCTION("""COMPUTED_VALUE"""),7.745995)</f>
        <v>7.745995</v>
      </c>
      <c r="D14851" s="7">
        <f>IFERROR(__xludf.DUMMYFUNCTION("""COMPUTED_VALUE"""),0.372549019607843)</f>
        <v>0.3725490196</v>
      </c>
    </row>
    <row r="14852">
      <c r="A14852" s="10" t="s">
        <v>16291</v>
      </c>
      <c r="B14852" s="7" t="str">
        <f>IFERROR(__xludf.DUMMYFUNCTION("SPLIT(A14852,"" "")"),"CN(C)Cc1nccc2cc(N(C)C3CCCCC3N(Cc3ccc4cccnc4c3)Cc3ccccn3)ccc12")</f>
        <v>CN(C)Cc1nccc2cc(N(C)C3CCCCC3N(Cc3ccc4cccnc4c3)Cc3ccccn3)ccc12</v>
      </c>
      <c r="C14852" s="7">
        <f>IFERROR(__xludf.DUMMYFUNCTION("""COMPUTED_VALUE"""),7.745994)</f>
        <v>7.745994</v>
      </c>
      <c r="D14852" s="7">
        <f>IFERROR(__xludf.DUMMYFUNCTION("""COMPUTED_VALUE"""),0.388059701492537)</f>
        <v>0.3880597015</v>
      </c>
    </row>
    <row r="14853">
      <c r="A14853" s="10" t="s">
        <v>16292</v>
      </c>
      <c r="B14853" s="7" t="str">
        <f>IFERROR(__xludf.DUMMYFUNCTION("SPLIT(A14853,"" "")"),"CC1=C(C)C23C(C)=C(C)C(C)C(c4cccc(CN(Cc5ccccn5)Cc5ccccn5)n4)C2=C(C(C)(C)c2ccccn2)NC(c2cccc(CN(Cc4ccccn4)Cc4ccccn4)n2)=C3C(c2cccc(CN(Cc3ccccn3)Cc3ccccn3)n2)C1C")</f>
        <v>CC1=C(C)C23C(C)=C(C)C(C)C(c4cccc(CN(Cc5ccccn5)Cc5ccccn5)n4)C2=C(C(C)(C)c2ccccn2)NC(c2cccc(CN(Cc4ccccn4)Cc4ccccn4)n2)=C3C(c2cccc(CN(Cc3ccccn3)Cc3ccccn3)n2)C1C</v>
      </c>
      <c r="C14853" s="7">
        <f>IFERROR(__xludf.DUMMYFUNCTION("""COMPUTED_VALUE"""),7.7459927)</f>
        <v>7.7459927</v>
      </c>
      <c r="D14853" s="7">
        <f>IFERROR(__xludf.DUMMYFUNCTION("""COMPUTED_VALUE"""),0.364864864864864)</f>
        <v>0.3648648649</v>
      </c>
    </row>
    <row r="14854">
      <c r="A14854" s="10" t="s">
        <v>16293</v>
      </c>
      <c r="B14854" s="7" t="str">
        <f>IFERROR(__xludf.DUMMYFUNCTION("SPLIT(A14854,"" "")"),"Cc1cnc(C2CCC2(C)C)c(C)c1C(C)C1(C)COC(c2cccc(C3=NC(C)(C)CO3)n2)=N1")</f>
        <v>Cc1cnc(C2CCC2(C)C)c(C)c1C(C)C1(C)COC(c2cccc(C3=NC(C)(C)CO3)n2)=N1</v>
      </c>
      <c r="C14854" s="7">
        <f>IFERROR(__xludf.DUMMYFUNCTION("""COMPUTED_VALUE"""),7.745987)</f>
        <v>7.745987</v>
      </c>
      <c r="D14854" s="7">
        <f>IFERROR(__xludf.DUMMYFUNCTION("""COMPUTED_VALUE"""),0.464285714285714)</f>
        <v>0.4642857143</v>
      </c>
    </row>
    <row r="14855">
      <c r="A14855" s="10" t="s">
        <v>16294</v>
      </c>
      <c r="B14855" s="7" t="str">
        <f>IFERROR(__xludf.DUMMYFUNCTION("SPLIT(A14855,"" "")"),"CCNCc1cccc(CN(C)Cc2cccc(-c3cccc(N(C)C)c3)n2)n1")</f>
        <v>CCNCc1cccc(CN(C)Cc2cccc(-c3cccc(N(C)C)c3)n2)n1</v>
      </c>
      <c r="C14855" s="7">
        <f>IFERROR(__xludf.DUMMYFUNCTION("""COMPUTED_VALUE"""),7.7459855)</f>
        <v>7.7459855</v>
      </c>
      <c r="D14855" s="7">
        <f>IFERROR(__xludf.DUMMYFUNCTION("""COMPUTED_VALUE"""),0.403846153846153)</f>
        <v>0.4038461538</v>
      </c>
    </row>
    <row r="14856">
      <c r="A14856" s="10" t="s">
        <v>16295</v>
      </c>
      <c r="B14856" s="7" t="str">
        <f>IFERROR(__xludf.DUMMYFUNCTION("SPLIT(A14856,"" "")"),"CN(C)C1=C(N(C)Cc2ccccn2)CC=CN1")</f>
        <v>CN(C)C1=C(N(C)Cc2ccccn2)CC=CN1</v>
      </c>
      <c r="C14856" s="7">
        <f>IFERROR(__xludf.DUMMYFUNCTION("""COMPUTED_VALUE"""),7.745983)</f>
        <v>7.745983</v>
      </c>
      <c r="D14856" s="7">
        <f>IFERROR(__xludf.DUMMYFUNCTION("""COMPUTED_VALUE"""),0.46)</f>
        <v>0.46</v>
      </c>
    </row>
    <row r="14857">
      <c r="A14857" s="10" t="s">
        <v>16296</v>
      </c>
      <c r="B14857" s="7" t="str">
        <f>IFERROR(__xludf.DUMMYFUNCTION("SPLIT(A14857,"" "")"),"CC(C)N(C)Cc1ccc(-c2cc(Cl)ccc2N)cn1")</f>
        <v>CC(C)N(C)Cc1ccc(-c2cc(Cl)ccc2N)cn1</v>
      </c>
      <c r="C14857" s="7">
        <f>IFERROR(__xludf.DUMMYFUNCTION("""COMPUTED_VALUE"""),7.745979)</f>
        <v>7.745979</v>
      </c>
      <c r="D14857" s="7">
        <f>IFERROR(__xludf.DUMMYFUNCTION("""COMPUTED_VALUE"""),0.313725490196078)</f>
        <v>0.3137254902</v>
      </c>
    </row>
    <row r="14858">
      <c r="A14858" s="10" t="s">
        <v>16297</v>
      </c>
      <c r="B14858" s="7" t="str">
        <f>IFERROR(__xludf.DUMMYFUNCTION("SPLIT(A14858,"" "")"),"CCNc1ccc2nc(CN(C)C3CCC(N(C)c4ccc5nccc(CF)c5c4)CC3)ccc2c1")</f>
        <v>CCNc1ccc2nc(CN(C)C3CCC(N(C)c4ccc5nccc(CF)c5c4)CC3)ccc2c1</v>
      </c>
      <c r="C14858" s="7">
        <f>IFERROR(__xludf.DUMMYFUNCTION("""COMPUTED_VALUE"""),7.745972)</f>
        <v>7.745972</v>
      </c>
      <c r="D14858" s="7">
        <f>IFERROR(__xludf.DUMMYFUNCTION("""COMPUTED_VALUE"""),0.246753246753246)</f>
        <v>0.2467532468</v>
      </c>
    </row>
    <row r="14859">
      <c r="A14859" s="10" t="s">
        <v>16298</v>
      </c>
      <c r="B14859" s="7" t="str">
        <f>IFERROR(__xludf.DUMMYFUNCTION("SPLIT(A14859,"" "")"),"Cc1cccc(CN(C)CN(C)Cc2cccc(-c3cccc(Cl)c3N)n2)n1")</f>
        <v>Cc1cccc(CN(C)CN(C)Cc2cccc(-c3cccc(Cl)c3N)n2)n1</v>
      </c>
      <c r="C14859" s="7">
        <f>IFERROR(__xludf.DUMMYFUNCTION("""COMPUTED_VALUE"""),7.7459707)</f>
        <v>7.7459707</v>
      </c>
      <c r="D14859" s="7">
        <f>IFERROR(__xludf.DUMMYFUNCTION("""COMPUTED_VALUE"""),0.5)</f>
        <v>0.5</v>
      </c>
    </row>
    <row r="14860">
      <c r="A14860" s="10" t="s">
        <v>16299</v>
      </c>
      <c r="B14860" s="7" t="str">
        <f>IFERROR(__xludf.DUMMYFUNCTION("SPLIT(A14860,"" "")"),"CN(CCN(Cc1ccccn1)c1cccc2cccnc12)Cc1cccnc1")</f>
        <v>CN(CCN(Cc1ccccn1)c1cccc2cccnc12)Cc1cccnc1</v>
      </c>
      <c r="C14860" s="7">
        <f>IFERROR(__xludf.DUMMYFUNCTION("""COMPUTED_VALUE"""),7.7459683)</f>
        <v>7.7459683</v>
      </c>
      <c r="D14860" s="7">
        <f>IFERROR(__xludf.DUMMYFUNCTION("""COMPUTED_VALUE"""),0.461538461538461)</f>
        <v>0.4615384615</v>
      </c>
    </row>
    <row r="14861">
      <c r="A14861" s="10" t="s">
        <v>16300</v>
      </c>
      <c r="B14861" s="7" t="str">
        <f>IFERROR(__xludf.DUMMYFUNCTION("SPLIT(A14861,"" "")"),"CC(C)N(Cc1ccccn1)c1ccc(-c2cc(CN(Cc3ccccn3)C3CCC(N(C)c4ccc5ccc(CF)nc5c4)CC3)ccn2)cc1")</f>
        <v>CC(C)N(Cc1ccccn1)c1ccc(-c2cc(CN(Cc3ccccn3)C3CCC(N(C)c4ccc5ccc(CF)nc5c4)CC3)ccn2)cc1</v>
      </c>
      <c r="C14861" s="7">
        <f>IFERROR(__xludf.DUMMYFUNCTION("""COMPUTED_VALUE"""),7.745964)</f>
        <v>7.745964</v>
      </c>
      <c r="D14861" s="7">
        <f>IFERROR(__xludf.DUMMYFUNCTION("""COMPUTED_VALUE"""),0.31081081081081)</f>
        <v>0.3108108108</v>
      </c>
    </row>
    <row r="14862">
      <c r="A14862" s="10" t="s">
        <v>16301</v>
      </c>
      <c r="B14862" s="7" t="str">
        <f>IFERROR(__xludf.DUMMYFUNCTION("SPLIT(A14862,"" "")"),"Cc1cnc2c(N(C)CCN(Cc3cccnc3)Cc3ccccn3)cccc2c1")</f>
        <v>Cc1cnc2c(N(C)CCN(Cc3cccnc3)Cc3ccccn3)cccc2c1</v>
      </c>
      <c r="C14862" s="7">
        <f>IFERROR(__xludf.DUMMYFUNCTION("""COMPUTED_VALUE"""),7.7459607)</f>
        <v>7.7459607</v>
      </c>
      <c r="D14862" s="7">
        <f>IFERROR(__xludf.DUMMYFUNCTION("""COMPUTED_VALUE"""),0.454545454545454)</f>
        <v>0.4545454545</v>
      </c>
    </row>
    <row r="14863">
      <c r="A14863" s="10" t="s">
        <v>16302</v>
      </c>
      <c r="B14863" s="7" t="str">
        <f>IFERROR(__xludf.DUMMYFUNCTION("SPLIT(A14863,"" "")"),"C=Cc1ccccc1SCc1ccccn1")</f>
        <v>C=Cc1ccccc1SCc1ccccn1</v>
      </c>
      <c r="C14863" s="7">
        <f>IFERROR(__xludf.DUMMYFUNCTION("""COMPUTED_VALUE"""),7.745959)</f>
        <v>7.745959</v>
      </c>
      <c r="D14863" s="7">
        <f>IFERROR(__xludf.DUMMYFUNCTION("""COMPUTED_VALUE"""),0.472222222222222)</f>
        <v>0.4722222222</v>
      </c>
    </row>
    <row r="14864">
      <c r="A14864" s="10" t="s">
        <v>16303</v>
      </c>
      <c r="B14864" s="7" t="str">
        <f>IFERROR(__xludf.DUMMYFUNCTION("SPLIT(A14864,"" "")"),"CN(CCN(Cc1ccccn1)c1ccc2ncccc2c1)Cc1ccccn1")</f>
        <v>CN(CCN(Cc1ccccn1)c1ccc2ncccc2c1)Cc1ccccn1</v>
      </c>
      <c r="C14864" s="7">
        <f>IFERROR(__xludf.DUMMYFUNCTION("""COMPUTED_VALUE"""),7.7459574)</f>
        <v>7.7459574</v>
      </c>
      <c r="D14864" s="7">
        <f>IFERROR(__xludf.DUMMYFUNCTION("""COMPUTED_VALUE"""),0.458333333333333)</f>
        <v>0.4583333333</v>
      </c>
    </row>
    <row r="14865">
      <c r="A14865" s="10" t="s">
        <v>16304</v>
      </c>
      <c r="B14865" s="7" t="str">
        <f>IFERROR(__xludf.DUMMYFUNCTION("SPLIT(A14865,"" "")"),"Cc1cc(C)c(CN(C)Cc2cc(N(C)Cc3ncccc3C)ccn2)cn1")</f>
        <v>Cc1cc(C)c(CN(C)Cc2cc(N(C)Cc3ncccc3C)ccn2)cn1</v>
      </c>
      <c r="C14865" s="7">
        <f>IFERROR(__xludf.DUMMYFUNCTION("""COMPUTED_VALUE"""),7.7459555)</f>
        <v>7.7459555</v>
      </c>
      <c r="D14865" s="7">
        <f>IFERROR(__xludf.DUMMYFUNCTION("""COMPUTED_VALUE"""),0.305084745762711)</f>
        <v>0.3050847458</v>
      </c>
    </row>
    <row r="14866">
      <c r="A14866" s="10" t="s">
        <v>16305</v>
      </c>
      <c r="B14866" s="7" t="str">
        <f>IFERROR(__xludf.DUMMYFUNCTION("SPLIT(A14866,"" "")"),"Cc1cccnc1CN(C)Cc1cc(N(C)Cc2nccc(C)c2C)ccn1")</f>
        <v>Cc1cccnc1CN(C)Cc1cc(N(C)Cc2nccc(C)c2C)ccn1</v>
      </c>
      <c r="C14866" s="7">
        <f>IFERROR(__xludf.DUMMYFUNCTION("""COMPUTED_VALUE"""),7.7459426)</f>
        <v>7.7459426</v>
      </c>
      <c r="D14866" s="7">
        <f>IFERROR(__xludf.DUMMYFUNCTION("""COMPUTED_VALUE"""),0.327272727272727)</f>
        <v>0.3272727273</v>
      </c>
    </row>
    <row r="14867">
      <c r="A14867" s="10" t="s">
        <v>16306</v>
      </c>
      <c r="B14867" s="7" t="str">
        <f>IFERROR(__xludf.DUMMYFUNCTION("SPLIT(A14867,"" "")"),"Cc1cccc(N(C)C2=CNC=CC2)c1C")</f>
        <v>Cc1cccc(N(C)C2=CNC=CC2)c1C</v>
      </c>
      <c r="C14867" s="7">
        <f>IFERROR(__xludf.DUMMYFUNCTION("""COMPUTED_VALUE"""),7.7459373)</f>
        <v>7.7459373</v>
      </c>
      <c r="D14867" s="7">
        <f>IFERROR(__xludf.DUMMYFUNCTION("""COMPUTED_VALUE"""),0.226415094339622)</f>
        <v>0.2264150943</v>
      </c>
    </row>
    <row r="14868">
      <c r="A14868" s="10" t="s">
        <v>16307</v>
      </c>
      <c r="B14868" s="7" t="str">
        <f>IFERROR(__xludf.DUMMYFUNCTION("SPLIT(A14868,"" "")"),"Cc1ccnc(CN(C)Cc2cccnc2C2=CCC=CN2)c1")</f>
        <v>Cc1ccnc(CN(C)Cc2cccnc2C2=CCC=CN2)c1</v>
      </c>
      <c r="C14868" s="7">
        <f>IFERROR(__xludf.DUMMYFUNCTION("""COMPUTED_VALUE"""),7.745935)</f>
        <v>7.745935</v>
      </c>
      <c r="D14868" s="7">
        <f>IFERROR(__xludf.DUMMYFUNCTION("""COMPUTED_VALUE"""),0.383333333333333)</f>
        <v>0.3833333333</v>
      </c>
    </row>
    <row r="14869">
      <c r="A14869" s="10" t="s">
        <v>16308</v>
      </c>
      <c r="B14869" s="7" t="str">
        <f>IFERROR(__xludf.DUMMYFUNCTION("SPLIT(A14869,"" "")"),"Cc1cccnc1-c1ccccc1N(C)CCN(C)Cc1ccccn1")</f>
        <v>Cc1cccnc1-c1ccccc1N(C)CCN(C)Cc1ccccn1</v>
      </c>
      <c r="C14869" s="7">
        <f>IFERROR(__xludf.DUMMYFUNCTION("""COMPUTED_VALUE"""),7.7459335)</f>
        <v>7.7459335</v>
      </c>
      <c r="D14869" s="7">
        <f>IFERROR(__xludf.DUMMYFUNCTION("""COMPUTED_VALUE"""),0.428571428571428)</f>
        <v>0.4285714286</v>
      </c>
    </row>
    <row r="14870">
      <c r="A14870" s="10" t="s">
        <v>16309</v>
      </c>
      <c r="B14870" s="7" t="str">
        <f>IFERROR(__xludf.DUMMYFUNCTION("SPLIT(A14870,"" "")"),"CN(Cc1ccc2ncccc2c1)C12CCC(N(C)Cc3ccc4ncccc4c3)(CC1)C2")</f>
        <v>CN(Cc1ccc2ncccc2c1)C12CCC(N(C)Cc3ccc4ncccc4c3)(CC1)C2</v>
      </c>
      <c r="C14870" s="7">
        <f>IFERROR(__xludf.DUMMYFUNCTION("""COMPUTED_VALUE"""),7.74593)</f>
        <v>7.74593</v>
      </c>
      <c r="D14870" s="7">
        <f>IFERROR(__xludf.DUMMYFUNCTION("""COMPUTED_VALUE"""),0.32)</f>
        <v>0.32</v>
      </c>
    </row>
    <row r="14871">
      <c r="A14871" s="10" t="s">
        <v>16310</v>
      </c>
      <c r="B14871" s="7" t="str">
        <f>IFERROR(__xludf.DUMMYFUNCTION("SPLIT(A14871,"" "")"),"Cc1ccc(CN(C)c2ccc(CN(Cc3ccccn3)Cc3nc(C)c(C)cc3C)nc2)nc1C")</f>
        <v>Cc1ccc(CN(C)c2ccc(CN(Cc3ccccn3)Cc3nc(C)c(C)cc3C)nc2)nc1C</v>
      </c>
      <c r="C14871" s="7">
        <f>IFERROR(__xludf.DUMMYFUNCTION("""COMPUTED_VALUE"""),7.7459245)</f>
        <v>7.7459245</v>
      </c>
      <c r="D14871" s="7">
        <f>IFERROR(__xludf.DUMMYFUNCTION("""COMPUTED_VALUE"""),0.410714285714285)</f>
        <v>0.4107142857</v>
      </c>
    </row>
    <row r="14872">
      <c r="A14872" s="10" t="s">
        <v>16311</v>
      </c>
      <c r="B14872" s="7" t="str">
        <f>IFERROR(__xludf.DUMMYFUNCTION("SPLIT(A14872,"" "")"),"CN(C)Cc1nccc2cc(N(C)C3CCCCC3N(Cc3ccc4ncccc4c3)Cc3ccccn3)ccc12")</f>
        <v>CN(C)Cc1nccc2cc(N(C)C3CCCCC3N(Cc3ccc4ncccc4c3)Cc3ccccn3)ccc12</v>
      </c>
      <c r="C14872" s="7">
        <f>IFERROR(__xludf.DUMMYFUNCTION("""COMPUTED_VALUE"""),7.7459188)</f>
        <v>7.7459188</v>
      </c>
      <c r="D14872" s="7">
        <f>IFERROR(__xludf.DUMMYFUNCTION("""COMPUTED_VALUE"""),0.393939393939393)</f>
        <v>0.3939393939</v>
      </c>
    </row>
    <row r="14873">
      <c r="A14873" s="10" t="s">
        <v>16312</v>
      </c>
      <c r="B14873" s="7" t="str">
        <f>IFERROR(__xludf.DUMMYFUNCTION("SPLIT(A14873,"" "")"),"Cc1cncc(N(C)Cc2cccnc2N(C)C(C)C)c1")</f>
        <v>Cc1cncc(N(C)Cc2cccnc2N(C)C(C)C)c1</v>
      </c>
      <c r="C14873" s="7">
        <f>IFERROR(__xludf.DUMMYFUNCTION("""COMPUTED_VALUE"""),7.7459)</f>
        <v>7.7459</v>
      </c>
      <c r="D14873" s="7">
        <f>IFERROR(__xludf.DUMMYFUNCTION("""COMPUTED_VALUE"""),0.320754716981132)</f>
        <v>0.320754717</v>
      </c>
    </row>
    <row r="14874">
      <c r="A14874" s="10" t="s">
        <v>16313</v>
      </c>
      <c r="B14874" s="7" t="str">
        <f>IFERROR(__xludf.DUMMYFUNCTION("SPLIT(A14874,"" "")"),"CCCN(Cc1ccccn1)c1ccc2cccnc2c1CN(C)Cc1ccccn1")</f>
        <v>CCCN(Cc1ccccn1)c1ccc2cccnc2c1CN(C)Cc1ccccn1</v>
      </c>
      <c r="C14874" s="7">
        <f>IFERROR(__xludf.DUMMYFUNCTION("""COMPUTED_VALUE"""),7.7459)</f>
        <v>7.7459</v>
      </c>
      <c r="D14874" s="7">
        <f>IFERROR(__xludf.DUMMYFUNCTION("""COMPUTED_VALUE"""),0.442307692307692)</f>
        <v>0.4423076923</v>
      </c>
    </row>
    <row r="14875">
      <c r="A14875" s="10" t="s">
        <v>16314</v>
      </c>
      <c r="B14875" s="7" t="str">
        <f>IFERROR(__xludf.DUMMYFUNCTION("SPLIT(A14875,"" "")"),"CN(CCN(C)C(C)(C)c1ccccn1)c1ccc2cccnc2c1")</f>
        <v>CN(CCN(C)C(C)(C)c1ccccn1)c1ccc2cccnc2c1</v>
      </c>
      <c r="C14875" s="7">
        <f>IFERROR(__xludf.DUMMYFUNCTION("""COMPUTED_VALUE"""),7.745891)</f>
        <v>7.745891</v>
      </c>
      <c r="D14875" s="7">
        <f>IFERROR(__xludf.DUMMYFUNCTION("""COMPUTED_VALUE"""),0.403846153846153)</f>
        <v>0.4038461538</v>
      </c>
    </row>
    <row r="14876">
      <c r="A14876" s="10" t="s">
        <v>16315</v>
      </c>
      <c r="B14876" s="7" t="str">
        <f>IFERROR(__xludf.DUMMYFUNCTION("SPLIT(A14876,"" "")"),"CN(C)Cc1ccc2cc(N(C)C3CCCCC3N(Cc3ccc4ncccc4c3)Cc3cccnc3C(C)(C)C)ccc2n1")</f>
        <v>CN(C)Cc1ccc2cc(N(C)C3CCCCC3N(Cc3ccc4ncccc4c3)Cc3cccnc3C(C)(C)C)ccc2n1</v>
      </c>
      <c r="C14876" s="7">
        <f>IFERROR(__xludf.DUMMYFUNCTION("""COMPUTED_VALUE"""),7.7458897)</f>
        <v>7.7458897</v>
      </c>
      <c r="D14876" s="7">
        <f>IFERROR(__xludf.DUMMYFUNCTION("""COMPUTED_VALUE"""),0.338028169014084)</f>
        <v>0.338028169</v>
      </c>
    </row>
    <row r="14877">
      <c r="A14877" s="10" t="s">
        <v>16316</v>
      </c>
      <c r="B14877" s="7" t="str">
        <f>IFERROR(__xludf.DUMMYFUNCTION("SPLIT(A14877,"" "")"),"CCCN(Cc1ccccn1)Cc1cccc(-c2cccc(N(C)Cc3ccccn3)c2C)n1")</f>
        <v>CCCN(Cc1ccccn1)Cc1cccc(-c2cccc(N(C)Cc3ccccn3)c2C)n1</v>
      </c>
      <c r="C14877" s="7">
        <f>IFERROR(__xludf.DUMMYFUNCTION("""COMPUTED_VALUE"""),7.7458816)</f>
        <v>7.7458816</v>
      </c>
      <c r="D14877" s="7">
        <f>IFERROR(__xludf.DUMMYFUNCTION("""COMPUTED_VALUE"""),0.48076923076923)</f>
        <v>0.4807692308</v>
      </c>
    </row>
    <row r="14878">
      <c r="A14878" s="10" t="s">
        <v>16317</v>
      </c>
      <c r="B14878" s="7" t="str">
        <f>IFERROR(__xludf.DUMMYFUNCTION("SPLIT(A14878,"" "")"),"CNCc1cc(CN(CN(C)c2ccc3nc(CF)ccc3c2)C2CCC(N(C)c3ccc4cccnc4c3)CC2)ccn1")</f>
        <v>CNCc1cc(CN(CN(C)c2ccc3nc(CF)ccc3c2)C2CCC(N(C)c3ccc4cccnc4c3)CC2)ccn1</v>
      </c>
      <c r="C14878" s="7">
        <f>IFERROR(__xludf.DUMMYFUNCTION("""COMPUTED_VALUE"""),7.7458735)</f>
        <v>7.7458735</v>
      </c>
      <c r="D14878" s="7">
        <f>IFERROR(__xludf.DUMMYFUNCTION("""COMPUTED_VALUE"""),0.291139240506329)</f>
        <v>0.2911392405</v>
      </c>
    </row>
    <row r="14879">
      <c r="A14879" s="10" t="s">
        <v>16318</v>
      </c>
      <c r="B14879" s="7" t="str">
        <f>IFERROR(__xludf.DUMMYFUNCTION("SPLIT(A14879,"" "")"),"Cc1ccnc(CN(C)Cc2ncccc2N(C)Cc2ncc(C)c(C)c2C)c1")</f>
        <v>Cc1ccnc(CN(C)Cc2ncccc2N(C)Cc2ncc(C)c(C)c2C)c1</v>
      </c>
      <c r="C14879" s="7">
        <f>IFERROR(__xludf.DUMMYFUNCTION("""COMPUTED_VALUE"""),7.745871)</f>
        <v>7.745871</v>
      </c>
      <c r="D14879" s="7">
        <f>IFERROR(__xludf.DUMMYFUNCTION("""COMPUTED_VALUE"""),0.363636363636363)</f>
        <v>0.3636363636</v>
      </c>
    </row>
    <row r="14880">
      <c r="A14880" s="10" t="s">
        <v>16319</v>
      </c>
      <c r="B14880" s="7" t="str">
        <f>IFERROR(__xludf.DUMMYFUNCTION("SPLIT(A14880,"" "")"),"Cc1cc(C)nc(CN(C)c2ccnc(CN(C)Cc3ccc(C)nc3)c2)c1")</f>
        <v>Cc1cc(C)nc(CN(C)c2ccnc(CN(C)Cc3ccc(C)nc3)c2)c1</v>
      </c>
      <c r="C14880" s="7">
        <f>IFERROR(__xludf.DUMMYFUNCTION("""COMPUTED_VALUE"""),7.74587)</f>
        <v>7.74587</v>
      </c>
      <c r="D14880" s="7">
        <f>IFERROR(__xludf.DUMMYFUNCTION("""COMPUTED_VALUE"""),0.298245614035087)</f>
        <v>0.298245614</v>
      </c>
    </row>
    <row r="14881">
      <c r="A14881" s="10" t="s">
        <v>16320</v>
      </c>
      <c r="B14881" s="7" t="str">
        <f>IFERROR(__xludf.DUMMYFUNCTION("SPLIT(A14881,"" "")"),"Cc1cccnc1-c1cccc(CN(C)Cc2ccccn2)c1")</f>
        <v>Cc1cccnc1-c1cccc(CN(C)Cc2ccccn2)c1</v>
      </c>
      <c r="C14881" s="7">
        <f>IFERROR(__xludf.DUMMYFUNCTION("""COMPUTED_VALUE"""),7.7458663)</f>
        <v>7.7458663</v>
      </c>
      <c r="D14881" s="7">
        <f>IFERROR(__xludf.DUMMYFUNCTION("""COMPUTED_VALUE"""),0.479166666666666)</f>
        <v>0.4791666667</v>
      </c>
    </row>
    <row r="14882">
      <c r="A14882" s="10" t="s">
        <v>16321</v>
      </c>
      <c r="B14882" s="7" t="str">
        <f>IFERROR(__xludf.DUMMYFUNCTION("SPLIT(A14882,"" "")"),"Cc1cnc(CN(C)C2=CCC=C(CN(C)Cc3nc(C)c(C)c(C)c3C)N2)c(C)c1C")</f>
        <v>Cc1cnc(CN(C)C2=CCC=C(CN(C)Cc3nc(C)c(C)c(C)c3C)N2)c(C)c1C</v>
      </c>
      <c r="C14882" s="7">
        <f>IFERROR(__xludf.DUMMYFUNCTION("""COMPUTED_VALUE"""),7.745864)</f>
        <v>7.745864</v>
      </c>
      <c r="D14882" s="7">
        <f>IFERROR(__xludf.DUMMYFUNCTION("""COMPUTED_VALUE"""),0.227272727272727)</f>
        <v>0.2272727273</v>
      </c>
    </row>
    <row r="14883">
      <c r="A14883" s="10" t="s">
        <v>16322</v>
      </c>
      <c r="B14883" s="7" t="str">
        <f>IFERROR(__xludf.DUMMYFUNCTION("SPLIT(A14883,"" "")"),"CN(Cc1ccccc1)c1ccccc1-c1cccc(CN(Cc2ccccn2)Cc2cccc(F)n2)n1")</f>
        <v>CN(Cc1ccccc1)c1ccccc1-c1cccc(CN(Cc2ccccn2)Cc2cccc(F)n2)n1</v>
      </c>
      <c r="C14883" s="7">
        <f>IFERROR(__xludf.DUMMYFUNCTION("""COMPUTED_VALUE"""),7.7458596)</f>
        <v>7.7458596</v>
      </c>
      <c r="D14883" s="7">
        <f>IFERROR(__xludf.DUMMYFUNCTION("""COMPUTED_VALUE"""),0.490566037735849)</f>
        <v>0.4905660377</v>
      </c>
    </row>
    <row r="14884">
      <c r="A14884" s="10" t="s">
        <v>16323</v>
      </c>
      <c r="B14884" s="7" t="str">
        <f>IFERROR(__xludf.DUMMYFUNCTION("SPLIT(A14884,"" "")"),"Cc1cc(C)c(N(C)Cc2ccccn2)c(N(Cc2ccccn2)CN(C)Cc2ccccn2)c1")</f>
        <v>Cc1cc(C)c(N(C)Cc2ccccn2)c(N(Cc2ccccn2)CN(C)Cc2ccccn2)c1</v>
      </c>
      <c r="C14884" s="7">
        <f>IFERROR(__xludf.DUMMYFUNCTION("""COMPUTED_VALUE"""),7.7458563)</f>
        <v>7.7458563</v>
      </c>
      <c r="D14884" s="7">
        <f>IFERROR(__xludf.DUMMYFUNCTION("""COMPUTED_VALUE"""),0.489361702127659)</f>
        <v>0.4893617021</v>
      </c>
    </row>
    <row r="14885">
      <c r="A14885" s="10" t="s">
        <v>16324</v>
      </c>
      <c r="B14885" s="7" t="str">
        <f>IFERROR(__xludf.DUMMYFUNCTION("SPLIT(A14885,"" "")"),"CN(CCN(C)C(C)(C)c1ccccn1)c1ccc2ncccc2c1")</f>
        <v>CN(CCN(C)C(C)(C)c1ccccn1)c1ccc2ncccc2c1</v>
      </c>
      <c r="C14885" s="7">
        <f>IFERROR(__xludf.DUMMYFUNCTION("""COMPUTED_VALUE"""),7.7458506)</f>
        <v>7.7458506</v>
      </c>
      <c r="D14885" s="7">
        <f>IFERROR(__xludf.DUMMYFUNCTION("""COMPUTED_VALUE"""),0.36)</f>
        <v>0.36</v>
      </c>
    </row>
    <row r="14886">
      <c r="A14886" s="10" t="s">
        <v>16325</v>
      </c>
      <c r="B14886" s="7" t="str">
        <f>IFERROR(__xludf.DUMMYFUNCTION("SPLIT(A14886,"" "")"),"CC(C)C(C)(c1cccnc1)N(C)CC1=CC(N(C)c2ccc3cccnc3c2)C=CN1")</f>
        <v>CC(C)C(C)(c1cccnc1)N(C)CC1=CC(N(C)c2ccc3cccnc3c2)C=CN1</v>
      </c>
      <c r="C14886" s="7">
        <f>IFERROR(__xludf.DUMMYFUNCTION("""COMPUTED_VALUE"""),7.745847)</f>
        <v>7.745847</v>
      </c>
      <c r="D14886" s="7">
        <f>IFERROR(__xludf.DUMMYFUNCTION("""COMPUTED_VALUE"""),0.25)</f>
        <v>0.25</v>
      </c>
    </row>
    <row r="14887">
      <c r="A14887" s="10" t="s">
        <v>16326</v>
      </c>
      <c r="B14887" s="7" t="str">
        <f>IFERROR(__xludf.DUMMYFUNCTION("SPLIT(A14887,"" "")"),"Cc1cccnc1CN(C)C1=C(NCc2ccccn2)CNC=C1")</f>
        <v>Cc1cccnc1CN(C)C1=C(NCc2ccccn2)CNC=C1</v>
      </c>
      <c r="C14887" s="7">
        <f>IFERROR(__xludf.DUMMYFUNCTION("""COMPUTED_VALUE"""),7.7458467)</f>
        <v>7.7458467</v>
      </c>
      <c r="D14887" s="7">
        <f>IFERROR(__xludf.DUMMYFUNCTION("""COMPUTED_VALUE"""),0.322033898305084)</f>
        <v>0.3220338983</v>
      </c>
    </row>
    <row r="14888">
      <c r="A14888" s="10" t="s">
        <v>16327</v>
      </c>
      <c r="B14888" s="7" t="str">
        <f>IFERROR(__xludf.DUMMYFUNCTION("SPLIT(A14888,"" "")"),"Cc1c(C)c(C)c(N(C)CC2=CC(N(C)C(c3ccccc3)c3ccccn3)C=CN2)c(C)c1C")</f>
        <v>Cc1c(C)c(C)c(N(C)CC2=CC(N(C)C(c3ccccc3)c3ccccn3)C=CN2)c(C)c1C</v>
      </c>
      <c r="C14888" s="7">
        <f>IFERROR(__xludf.DUMMYFUNCTION("""COMPUTED_VALUE"""),7.7458367)</f>
        <v>7.7458367</v>
      </c>
      <c r="D14888" s="7">
        <f>IFERROR(__xludf.DUMMYFUNCTION("""COMPUTED_VALUE"""),0.440677966101694)</f>
        <v>0.4406779661</v>
      </c>
    </row>
    <row r="14889">
      <c r="A14889" s="10" t="s">
        <v>16328</v>
      </c>
      <c r="B14889" s="7" t="str">
        <f>IFERROR(__xludf.DUMMYFUNCTION("SPLIT(A14889,"" "")"),"Cc1nc(CN(C)Cc2cccc(CN(Cc3nc(C)c(C)c(C)c3C)Cc3nc(C)c(C)c(C)c3C)n2)c(C)c(C)c1C")</f>
        <v>Cc1nc(CN(C)Cc2cccc(CN(Cc3nc(C)c(C)c(C)c3C)Cc3nc(C)c(C)c(C)c3C)n2)c(C)c(C)c1C</v>
      </c>
      <c r="C14889" s="7">
        <f>IFERROR(__xludf.DUMMYFUNCTION("""COMPUTED_VALUE"""),7.7458353)</f>
        <v>7.7458353</v>
      </c>
      <c r="D14889" s="7">
        <f>IFERROR(__xludf.DUMMYFUNCTION("""COMPUTED_VALUE"""),0.439024390243902)</f>
        <v>0.4390243902</v>
      </c>
    </row>
    <row r="14890">
      <c r="A14890" s="10" t="s">
        <v>16329</v>
      </c>
      <c r="B14890" s="7" t="str">
        <f>IFERROR(__xludf.DUMMYFUNCTION("SPLIT(A14890,"" "")"),"CC(C)C1COC(c2cc(C(C)(C)c3ccccn3)ccn2)=N1")</f>
        <v>CC(C)C1COC(c2cc(C(C)(C)c3ccccn3)ccn2)=N1</v>
      </c>
      <c r="C14890" s="7">
        <f>IFERROR(__xludf.DUMMYFUNCTION("""COMPUTED_VALUE"""),7.745835)</f>
        <v>7.745835</v>
      </c>
      <c r="D14890" s="7">
        <f>IFERROR(__xludf.DUMMYFUNCTION("""COMPUTED_VALUE"""),0.266666666666666)</f>
        <v>0.2666666667</v>
      </c>
    </row>
    <row r="14891">
      <c r="A14891" s="10" t="s">
        <v>16330</v>
      </c>
      <c r="B14891" s="7" t="str">
        <f>IFERROR(__xludf.DUMMYFUNCTION("SPLIT(A14891,"" "")"),"Cc1ccc(CN(C)c2ccc(CN(C)Cc3cnc(C)c(C)c3)nc2)nc1")</f>
        <v>Cc1ccc(CN(C)c2ccc(CN(C)Cc3cnc(C)c(C)c3)nc2)nc1</v>
      </c>
      <c r="C14891" s="7">
        <f>IFERROR(__xludf.DUMMYFUNCTION("""COMPUTED_VALUE"""),7.7458277)</f>
        <v>7.7458277</v>
      </c>
      <c r="D14891" s="7">
        <f>IFERROR(__xludf.DUMMYFUNCTION("""COMPUTED_VALUE"""),0.5)</f>
        <v>0.5</v>
      </c>
    </row>
    <row r="14892">
      <c r="A14892" s="10" t="s">
        <v>16331</v>
      </c>
      <c r="B14892" s="7" t="str">
        <f>IFERROR(__xludf.DUMMYFUNCTION("SPLIT(A14892,"" "")"),"CN(CCN(C)C1C=CC=CN1)c1ccc2ccc(CF)nc2c1")</f>
        <v>CN(CCN(C)C1C=CC=CN1)c1ccc2ccc(CF)nc2c1</v>
      </c>
      <c r="C14892" s="7">
        <f>IFERROR(__xludf.DUMMYFUNCTION("""COMPUTED_VALUE"""),7.7458224)</f>
        <v>7.7458224</v>
      </c>
      <c r="D14892" s="7">
        <f>IFERROR(__xludf.DUMMYFUNCTION("""COMPUTED_VALUE"""),0.28125)</f>
        <v>0.28125</v>
      </c>
    </row>
    <row r="14893">
      <c r="A14893" s="10" t="s">
        <v>16332</v>
      </c>
      <c r="B14893" s="7" t="str">
        <f>IFERROR(__xludf.DUMMYFUNCTION("SPLIT(A14893,"" "")"),"Cc1cc(CN(C)Cc2nc(C)c(C)c(C)c2C)nc(C)c1C")</f>
        <v>Cc1cc(CN(C)Cc2nc(C)c(C)c(C)c2C)nc(C)c1C</v>
      </c>
      <c r="C14893" s="7">
        <f>IFERROR(__xludf.DUMMYFUNCTION("""COMPUTED_VALUE"""),7.74582)</f>
        <v>7.74582</v>
      </c>
      <c r="D14893" s="7">
        <f>IFERROR(__xludf.DUMMYFUNCTION("""COMPUTED_VALUE"""),0.302325581395348)</f>
        <v>0.3023255814</v>
      </c>
    </row>
    <row r="14894">
      <c r="A14894" s="10" t="s">
        <v>16333</v>
      </c>
      <c r="B14894" s="7" t="str">
        <f>IFERROR(__xludf.DUMMYFUNCTION("SPLIT(A14894,"" "")"),"CC(C)N(CCN(C)Cc1ccccn1)c1cccc2ncccc12")</f>
        <v>CC(C)N(CCN(C)Cc1ccccn1)c1cccc2ncccc12</v>
      </c>
      <c r="C14894" s="7">
        <f>IFERROR(__xludf.DUMMYFUNCTION("""COMPUTED_VALUE"""),7.7458196)</f>
        <v>7.7458196</v>
      </c>
      <c r="D14894" s="7">
        <f>IFERROR(__xludf.DUMMYFUNCTION("""COMPUTED_VALUE"""),0.458333333333333)</f>
        <v>0.4583333333</v>
      </c>
    </row>
    <row r="14895">
      <c r="A14895" s="10" t="s">
        <v>16334</v>
      </c>
      <c r="B14895" s="7" t="str">
        <f>IFERROR(__xludf.DUMMYFUNCTION("SPLIT(A14895,"" "")"),"CCN(CCN(C)c1ccc2nccc(CF)c2c1)C(C)C")</f>
        <v>CCN(CCN(C)c1ccc2nccc(CF)c2c1)C(C)C</v>
      </c>
      <c r="C14895" s="7">
        <f>IFERROR(__xludf.DUMMYFUNCTION("""COMPUTED_VALUE"""),7.745814)</f>
        <v>7.745814</v>
      </c>
      <c r="D14895" s="7">
        <f>IFERROR(__xludf.DUMMYFUNCTION("""COMPUTED_VALUE"""),0.296296296296296)</f>
        <v>0.2962962963</v>
      </c>
    </row>
    <row r="14896">
      <c r="A14896" s="10" t="s">
        <v>16335</v>
      </c>
      <c r="B14896" s="7" t="str">
        <f>IFERROR(__xludf.DUMMYFUNCTION("SPLIT(A14896,"" "")"),"C=CCN(Cc1ccccn1)Cc1ccc(-c2ccccc2N(C)C)cn1")</f>
        <v>C=CCN(Cc1ccccn1)Cc1ccc(-c2ccccc2N(C)C)cn1</v>
      </c>
      <c r="C14896" s="7">
        <f>IFERROR(__xludf.DUMMYFUNCTION("""COMPUTED_VALUE"""),7.7458067)</f>
        <v>7.7458067</v>
      </c>
      <c r="D14896" s="7">
        <f>IFERROR(__xludf.DUMMYFUNCTION("""COMPUTED_VALUE"""),0.422222222222222)</f>
        <v>0.4222222222</v>
      </c>
    </row>
    <row r="14897">
      <c r="A14897" s="10" t="s">
        <v>16336</v>
      </c>
      <c r="B14897" s="7" t="str">
        <f>IFERROR(__xludf.DUMMYFUNCTION("SPLIT(A14897,"" "")"),"CC(C)N(C)Cc1ncccc1-c1cccc(Cl)c1N")</f>
        <v>CC(C)N(C)Cc1ncccc1-c1cccc(Cl)c1N</v>
      </c>
      <c r="C14897" s="7">
        <f>IFERROR(__xludf.DUMMYFUNCTION("""COMPUTED_VALUE"""),7.745793)</f>
        <v>7.745793</v>
      </c>
      <c r="D14897" s="7">
        <f>IFERROR(__xludf.DUMMYFUNCTION("""COMPUTED_VALUE"""),0.32)</f>
        <v>0.32</v>
      </c>
    </row>
    <row r="14898">
      <c r="A14898" s="10" t="s">
        <v>16337</v>
      </c>
      <c r="B14898" s="7" t="str">
        <f>IFERROR(__xludf.DUMMYFUNCTION("SPLIT(A14898,"" "")"),"Cc1ccc(N(Cc2ccccn2)C2CCCCC2N(C)c2ccc3c(CN(C)C)ccnc3c2)c(C)c1C")</f>
        <v>Cc1ccc(N(Cc2ccccn2)C2CCCCC2N(C)c2ccc3c(CN(C)C)ccnc3c2)c(C)c1C</v>
      </c>
      <c r="C14898" s="7">
        <f>IFERROR(__xludf.DUMMYFUNCTION("""COMPUTED_VALUE"""),7.7457895)</f>
        <v>7.7457895</v>
      </c>
      <c r="D14898" s="7">
        <f>IFERROR(__xludf.DUMMYFUNCTION("""COMPUTED_VALUE"""),0.40625)</f>
        <v>0.40625</v>
      </c>
    </row>
    <row r="14899">
      <c r="A14899" s="10" t="s">
        <v>16338</v>
      </c>
      <c r="B14899" s="7" t="str">
        <f>IFERROR(__xludf.DUMMYFUNCTION("SPLIT(A14899,"" "")"),"CN(Cc1ccccn1)Cc1cc(N(C)Cc2ccon2)ccn1")</f>
        <v>CN(Cc1ccccn1)Cc1cc(N(C)Cc2ccon2)ccn1</v>
      </c>
      <c r="C14899" s="7">
        <f>IFERROR(__xludf.DUMMYFUNCTION("""COMPUTED_VALUE"""),7.7457805)</f>
        <v>7.7457805</v>
      </c>
      <c r="D14899" s="7">
        <f>IFERROR(__xludf.DUMMYFUNCTION("""COMPUTED_VALUE"""),0.488372093023255)</f>
        <v>0.488372093</v>
      </c>
    </row>
    <row r="14900">
      <c r="A14900" s="10" t="s">
        <v>16339</v>
      </c>
      <c r="B14900" s="7" t="str">
        <f>IFERROR(__xludf.DUMMYFUNCTION("SPLIT(A14900,"" "")"),"CN(C)Cc1nccc2cccc(N(C)C3CCCCC3N(Cc3ccc4ncccc4c3)Cc3ccccn3)c12")</f>
        <v>CN(C)Cc1nccc2cccc(N(C)C3CCCCC3N(Cc3ccc4ncccc4c3)Cc3ccccn3)c12</v>
      </c>
      <c r="C14900" s="7">
        <f>IFERROR(__xludf.DUMMYFUNCTION("""COMPUTED_VALUE"""),7.7457757)</f>
        <v>7.7457757</v>
      </c>
      <c r="D14900" s="7">
        <f>IFERROR(__xludf.DUMMYFUNCTION("""COMPUTED_VALUE"""),0.402985074626865)</f>
        <v>0.4029850746</v>
      </c>
    </row>
    <row r="14901">
      <c r="A14901" s="10" t="s">
        <v>16340</v>
      </c>
      <c r="B14901" s="7" t="str">
        <f>IFERROR(__xludf.DUMMYFUNCTION("SPLIT(A14901,"" "")"),"CCCNCc1cccc(-c2cccc(N=Cc3ccccn3)c2)n1")</f>
        <v>CCCNCc1cccc(-c2cccc(N=Cc3ccccn3)c2)n1</v>
      </c>
      <c r="C14901" s="7">
        <f>IFERROR(__xludf.DUMMYFUNCTION("""COMPUTED_VALUE"""),7.7457657)</f>
        <v>7.7457657</v>
      </c>
      <c r="D14901" s="7">
        <f>IFERROR(__xludf.DUMMYFUNCTION("""COMPUTED_VALUE"""),0.369230769230769)</f>
        <v>0.3692307692</v>
      </c>
    </row>
    <row r="14902">
      <c r="A14902" s="10" t="s">
        <v>16341</v>
      </c>
      <c r="B14902" s="7" t="str">
        <f>IFERROR(__xludf.DUMMYFUNCTION("SPLIT(A14902,"" "")"),"Cc1ccccc1N(C)Cc1ncccc1C")</f>
        <v>Cc1ccccc1N(C)Cc1ncccc1C</v>
      </c>
      <c r="C14902" s="7">
        <f>IFERROR(__xludf.DUMMYFUNCTION("""COMPUTED_VALUE"""),7.7457647)</f>
        <v>7.7457647</v>
      </c>
      <c r="D14902" s="7">
        <f>IFERROR(__xludf.DUMMYFUNCTION("""COMPUTED_VALUE"""),0.414634146341463)</f>
        <v>0.4146341463</v>
      </c>
    </row>
    <row r="14903">
      <c r="A14903" s="10" t="s">
        <v>16342</v>
      </c>
      <c r="B14903" s="7" t="str">
        <f>IFERROR(__xludf.DUMMYFUNCTION("SPLIT(A14903,"" "")"),"Cc1ccc(CN(Cc2ccccn2)Cc2cccc(CN(Cc3ccccn3)Cc3cccc(-c4c(N)cccc4Cl)n3)n2)nc1C")</f>
        <v>Cc1ccc(CN(Cc2ccccn2)Cc2cccc(CN(Cc3ccccn3)Cc3cccc(-c4c(N)cccc4Cl)n3)n2)nc1C</v>
      </c>
      <c r="C14903" s="7">
        <f>IFERROR(__xludf.DUMMYFUNCTION("""COMPUTED_VALUE"""),7.7457614)</f>
        <v>7.7457614</v>
      </c>
      <c r="D14903" s="7">
        <f>IFERROR(__xludf.DUMMYFUNCTION("""COMPUTED_VALUE"""),0.435483870967741)</f>
        <v>0.435483871</v>
      </c>
    </row>
    <row r="14904">
      <c r="A14904" s="10" t="s">
        <v>16343</v>
      </c>
      <c r="B14904" s="7" t="str">
        <f>IFERROR(__xludf.DUMMYFUNCTION("SPLIT(A14904,"" "")"),"C1=CNC(SCc2ccccn2)=C(SCc2ccccn2)C1")</f>
        <v>C1=CNC(SCc2ccccn2)=C(SCc2ccccn2)C1</v>
      </c>
      <c r="C14904" s="7">
        <f>IFERROR(__xludf.DUMMYFUNCTION("""COMPUTED_VALUE"""),7.7457604)</f>
        <v>7.7457604</v>
      </c>
      <c r="D14904" s="7">
        <f>IFERROR(__xludf.DUMMYFUNCTION("""COMPUTED_VALUE"""),0.425)</f>
        <v>0.425</v>
      </c>
    </row>
    <row r="14905">
      <c r="A14905" s="10" t="s">
        <v>16344</v>
      </c>
      <c r="B14905" s="7" t="str">
        <f>IFERROR(__xludf.DUMMYFUNCTION("SPLIT(A14905,"" "")"),"Cc1ccc(CN(C)C)c(N(C)Cc2ccccn2)n1")</f>
        <v>Cc1ccc(CN(C)C)c(N(C)Cc2ccccn2)n1</v>
      </c>
      <c r="C14905" s="7">
        <f>IFERROR(__xludf.DUMMYFUNCTION("""COMPUTED_VALUE"""),7.7457566)</f>
        <v>7.7457566</v>
      </c>
      <c r="D14905" s="7">
        <f>IFERROR(__xludf.DUMMYFUNCTION("""COMPUTED_VALUE"""),0.477272727272727)</f>
        <v>0.4772727273</v>
      </c>
    </row>
    <row r="14906">
      <c r="A14906" s="10" t="s">
        <v>16345</v>
      </c>
      <c r="B14906" s="7" t="str">
        <f>IFERROR(__xludf.DUMMYFUNCTION("SPLIT(A14906,"" "")"),"CN(Cc1cc(-c2ccccn2)ccn1)C1CCC(N(C)c2ccc3nc4c(cc3c2)CCC4)CC1")</f>
        <v>CN(Cc1cc(-c2ccccn2)ccn1)C1CCC(N(C)c2ccc3nc4c(cc3c2)CCC4)CC1</v>
      </c>
      <c r="C14906" s="7">
        <f>IFERROR(__xludf.DUMMYFUNCTION("""COMPUTED_VALUE"""),7.7457423)</f>
        <v>7.7457423</v>
      </c>
      <c r="D14906" s="7">
        <f>IFERROR(__xludf.DUMMYFUNCTION("""COMPUTED_VALUE"""),0.343283582089552)</f>
        <v>0.3432835821</v>
      </c>
    </row>
    <row r="14907">
      <c r="A14907" s="10" t="s">
        <v>16346</v>
      </c>
      <c r="B14907" s="7" t="str">
        <f>IFERROR(__xludf.DUMMYFUNCTION("SPLIT(A14907,"" "")"),"Cc1ccc(-c2cccnc2CN(Cc2ccccn2)C(C)C)c(NCc2ccccn2)c1")</f>
        <v>Cc1ccc(-c2cccnc2CN(Cc2ccccn2)C(C)C)c(NCc2ccccn2)c1</v>
      </c>
      <c r="C14907" s="7">
        <f>IFERROR(__xludf.DUMMYFUNCTION("""COMPUTED_VALUE"""),7.7457213)</f>
        <v>7.7457213</v>
      </c>
      <c r="D14907" s="7">
        <f>IFERROR(__xludf.DUMMYFUNCTION("""COMPUTED_VALUE"""),0.470588235294117)</f>
        <v>0.4705882353</v>
      </c>
    </row>
    <row r="14908">
      <c r="A14908" s="10" t="s">
        <v>16347</v>
      </c>
      <c r="B14908" s="7" t="str">
        <f>IFERROR(__xludf.DUMMYFUNCTION("SPLIT(A14908,"" "")"),"CC(C)C(C)(c1cccnc1)N(C)CC1=CC(N(C)c2ccc3ncccc3c2)C=CN1")</f>
        <v>CC(C)C(C)(c1cccnc1)N(C)CC1=CC(N(C)c2ccc3ncccc3c2)C=CN1</v>
      </c>
      <c r="C14908" s="7">
        <f>IFERROR(__xludf.DUMMYFUNCTION("""COMPUTED_VALUE"""),7.7457166)</f>
        <v>7.7457166</v>
      </c>
      <c r="D14908" s="7">
        <f>IFERROR(__xludf.DUMMYFUNCTION("""COMPUTED_VALUE"""),0.253333333333333)</f>
        <v>0.2533333333</v>
      </c>
    </row>
    <row r="14909">
      <c r="A14909" s="10" t="s">
        <v>16348</v>
      </c>
      <c r="B14909" s="7" t="str">
        <f>IFERROR(__xludf.DUMMYFUNCTION("SPLIT(A14909,"" "")"),"CC(C)N(C)Cc1cccc(-c2cccc(Cl)c2Cl)n1")</f>
        <v>CC(C)N(C)Cc1cccc(-c2cccc(Cl)c2Cl)n1</v>
      </c>
      <c r="C14909" s="7">
        <f>IFERROR(__xludf.DUMMYFUNCTION("""COMPUTED_VALUE"""),7.7457113)</f>
        <v>7.7457113</v>
      </c>
      <c r="D14909" s="7">
        <f>IFERROR(__xludf.DUMMYFUNCTION("""COMPUTED_VALUE"""),0.36734693877551)</f>
        <v>0.3673469388</v>
      </c>
    </row>
    <row r="14910">
      <c r="A14910" s="10" t="s">
        <v>16349</v>
      </c>
      <c r="B14910" s="7" t="str">
        <f>IFERROR(__xludf.DUMMYFUNCTION("SPLIT(A14910,"" "")"),"CC(C)N(C)c1ccc(Cl)c(Cl)c1N(C)C1CCCCC1N(C)c1ccc2ccc(CF)nc2c1")</f>
        <v>CC(C)N(C)c1ccc(Cl)c(Cl)c1N(C)C1CCCCC1N(C)c1ccc2ccc(CF)nc2c1</v>
      </c>
      <c r="C14910" s="7">
        <f>IFERROR(__xludf.DUMMYFUNCTION("""COMPUTED_VALUE"""),7.74571)</f>
        <v>7.74571</v>
      </c>
      <c r="D14910" s="7">
        <f>IFERROR(__xludf.DUMMYFUNCTION("""COMPUTED_VALUE"""),0.444444444444444)</f>
        <v>0.4444444444</v>
      </c>
    </row>
    <row r="14911">
      <c r="A14911" s="10" t="s">
        <v>16350</v>
      </c>
      <c r="B14911" s="7" t="str">
        <f>IFERROR(__xludf.DUMMYFUNCTION("SPLIT(A14911,"" "")"),"Cc1cc(C)c(C(C)(c2ccc(CN(Cc3ccccn3)Cc3ccccn3)cn2)c2cc(CN(C)Cc3ccccn3)ccn2)c(C)c1")</f>
        <v>Cc1cc(C)c(C(C)(c2ccc(CN(Cc3ccccn3)Cc3ccccn3)cn2)c2cc(CN(C)Cc3ccccn3)ccn2)c(C)c1</v>
      </c>
      <c r="C14911" s="7">
        <f>IFERROR(__xludf.DUMMYFUNCTION("""COMPUTED_VALUE"""),7.7457037)</f>
        <v>7.7457037</v>
      </c>
      <c r="D14911" s="7">
        <f>IFERROR(__xludf.DUMMYFUNCTION("""COMPUTED_VALUE"""),0.376811594202898)</f>
        <v>0.3768115942</v>
      </c>
    </row>
    <row r="14912">
      <c r="A14912" s="10" t="s">
        <v>16351</v>
      </c>
      <c r="B14912" s="7" t="str">
        <f>IFERROR(__xludf.DUMMYFUNCTION("SPLIT(A14912,"" "")"),"CN(CCNCc1ccccn1)c1ccc2ncccc2c1")</f>
        <v>CN(CCNCc1ccccn1)c1ccc2ncccc2c1</v>
      </c>
      <c r="C14912" s="7">
        <f>IFERROR(__xludf.DUMMYFUNCTION("""COMPUTED_VALUE"""),7.7456956)</f>
        <v>7.7456956</v>
      </c>
      <c r="D14912" s="7">
        <f>IFERROR(__xludf.DUMMYFUNCTION("""COMPUTED_VALUE"""),0.5)</f>
        <v>0.5</v>
      </c>
    </row>
    <row r="14913">
      <c r="A14913" s="10" t="s">
        <v>16352</v>
      </c>
      <c r="B14913" s="7" t="str">
        <f>IFERROR(__xludf.DUMMYFUNCTION("SPLIT(A14913,"" "")"),"Cc1ccccc1N(Cc1ccccn1)Cc1ccon1")</f>
        <v>Cc1ccccc1N(Cc1ccccn1)Cc1ccon1</v>
      </c>
      <c r="C14913" s="7">
        <f>IFERROR(__xludf.DUMMYFUNCTION("""COMPUTED_VALUE"""),7.7456794)</f>
        <v>7.7456794</v>
      </c>
      <c r="D14913" s="7">
        <f>IFERROR(__xludf.DUMMYFUNCTION("""COMPUTED_VALUE"""),0.425)</f>
        <v>0.425</v>
      </c>
    </row>
    <row r="14914">
      <c r="A14914" s="10" t="s">
        <v>16353</v>
      </c>
      <c r="B14914" s="7" t="str">
        <f>IFERROR(__xludf.DUMMYFUNCTION("SPLIT(A14914,"" "")"),"CN(Cc1ccccn1)C1=C(CN(C)c2cccc(F)c2)NC=CC1")</f>
        <v>CN(Cc1ccccn1)C1=C(CN(C)c2cccc(F)c2)NC=CC1</v>
      </c>
      <c r="C14914" s="7">
        <f>IFERROR(__xludf.DUMMYFUNCTION("""COMPUTED_VALUE"""),7.7456756)</f>
        <v>7.7456756</v>
      </c>
      <c r="D14914" s="7">
        <f>IFERROR(__xludf.DUMMYFUNCTION("""COMPUTED_VALUE"""),0.392857142857142)</f>
        <v>0.3928571429</v>
      </c>
    </row>
    <row r="14915">
      <c r="A14915" s="10" t="s">
        <v>16354</v>
      </c>
      <c r="B14915" s="7" t="str">
        <f>IFERROR(__xludf.DUMMYFUNCTION("SPLIT(A14915,"" "")"),"CN(c1ccc(N)cc1Cl)C1CCCCC1N(C)c1cccc2ncccc12")</f>
        <v>CN(c1ccc(N)cc1Cl)C1CCCCC1N(C)c1cccc2ncccc12</v>
      </c>
      <c r="C14915" s="7">
        <f>IFERROR(__xludf.DUMMYFUNCTION("""COMPUTED_VALUE"""),7.7456675)</f>
        <v>7.7456675</v>
      </c>
      <c r="D14915" s="7">
        <f>IFERROR(__xludf.DUMMYFUNCTION("""COMPUTED_VALUE"""),0.471698113207547)</f>
        <v>0.4716981132</v>
      </c>
    </row>
    <row r="14916">
      <c r="A14916" s="10" t="s">
        <v>16355</v>
      </c>
      <c r="B14916" s="7" t="str">
        <f>IFERROR(__xludf.DUMMYFUNCTION("SPLIT(A14916,"" "")"),"Cc1cccnc1-c1ccc(CN(C)Cc2ccccn2)cc1")</f>
        <v>Cc1cccnc1-c1ccc(CN(C)Cc2ccccn2)cc1</v>
      </c>
      <c r="C14916" s="7">
        <f>IFERROR(__xludf.DUMMYFUNCTION("""COMPUTED_VALUE"""),7.7456603)</f>
        <v>7.7456603</v>
      </c>
      <c r="D14916" s="7">
        <f>IFERROR(__xludf.DUMMYFUNCTION("""COMPUTED_VALUE"""),0.478260869565217)</f>
        <v>0.4782608696</v>
      </c>
    </row>
    <row r="14917">
      <c r="A14917" s="10" t="s">
        <v>16356</v>
      </c>
      <c r="B14917" s="7" t="str">
        <f>IFERROR(__xludf.DUMMYFUNCTION("SPLIT(A14917,"" "")"),"Cc1cnc(CN(C)C2=CCC=C(CN(C)C)N2)c(C)c1C")</f>
        <v>Cc1cnc(CN(C)C2=CCC=C(CN(C)C)N2)c(C)c1C</v>
      </c>
      <c r="C14917" s="7">
        <f>IFERROR(__xludf.DUMMYFUNCTION("""COMPUTED_VALUE"""),7.745659)</f>
        <v>7.745659</v>
      </c>
      <c r="D14917" s="7">
        <f>IFERROR(__xludf.DUMMYFUNCTION("""COMPUTED_VALUE"""),0.23728813559322)</f>
        <v>0.2372881356</v>
      </c>
    </row>
    <row r="14918">
      <c r="A14918" s="10" t="s">
        <v>16357</v>
      </c>
      <c r="B14918" s="7" t="str">
        <f>IFERROR(__xludf.DUMMYFUNCTION("SPLIT(A14918,"" "")"),"CNCc1cccc(CN(Cc2ccccn2)Cc2cccc(-c3ccc(Cl)cc3N)n2)n1")</f>
        <v>CNCc1cccc(CN(Cc2ccccn2)Cc2cccc(-c3ccc(Cl)cc3N)n2)n1</v>
      </c>
      <c r="C14918" s="7">
        <f>IFERROR(__xludf.DUMMYFUNCTION("""COMPUTED_VALUE"""),7.7456493)</f>
        <v>7.7456493</v>
      </c>
      <c r="D14918" s="7">
        <f>IFERROR(__xludf.DUMMYFUNCTION("""COMPUTED_VALUE"""),0.451612903225806)</f>
        <v>0.4516129032</v>
      </c>
    </row>
    <row r="14919">
      <c r="A14919" s="10" t="s">
        <v>16358</v>
      </c>
      <c r="B14919" s="7" t="str">
        <f>IFERROR(__xludf.DUMMYFUNCTION("SPLIT(A14919,"" "")"),"Cc1cnccc1CN(C)Cc1ncccc1N(C)Cc1ncc(C)c(C)c1C")</f>
        <v>Cc1cnccc1CN(C)Cc1ncccc1N(C)Cc1ncc(C)c(C)c1C</v>
      </c>
      <c r="C14919" s="7">
        <f>IFERROR(__xludf.DUMMYFUNCTION("""COMPUTED_VALUE"""),7.745644)</f>
        <v>7.745644</v>
      </c>
      <c r="D14919" s="7">
        <f>IFERROR(__xludf.DUMMYFUNCTION("""COMPUTED_VALUE"""),0.298245614035087)</f>
        <v>0.298245614</v>
      </c>
    </row>
    <row r="14920">
      <c r="A14920" s="10" t="s">
        <v>16359</v>
      </c>
      <c r="B14920" s="7" t="str">
        <f>IFERROR(__xludf.DUMMYFUNCTION("SPLIT(A14920,"" "")"),"Cc1cccnc1CN(Cc1cccnc1-c1ccccc1N(C)C)CC(C)(C)C")</f>
        <v>Cc1cccnc1CN(Cc1cccnc1-c1ccccc1N(C)C)CC(C)(C)C</v>
      </c>
      <c r="C14920" s="7">
        <f>IFERROR(__xludf.DUMMYFUNCTION("""COMPUTED_VALUE"""),7.745642)</f>
        <v>7.745642</v>
      </c>
      <c r="D14920" s="7">
        <f>IFERROR(__xludf.DUMMYFUNCTION("""COMPUTED_VALUE"""),0.363636363636363)</f>
        <v>0.3636363636</v>
      </c>
    </row>
    <row r="14921">
      <c r="A14921" s="10" t="s">
        <v>16360</v>
      </c>
      <c r="B14921" s="7" t="str">
        <f>IFERROR(__xludf.DUMMYFUNCTION("SPLIT(A14921,"" "")"),"CN(C)c1ccnc(CN(Cc2ccnc(C(C)(C)c3ccccn3)c2)Cc2ccccn2)c1")</f>
        <v>CN(C)c1ccnc(CN(Cc2ccnc(C(C)(C)c3ccccn3)c2)Cc2ccccn2)c1</v>
      </c>
      <c r="C14921" s="7">
        <f>IFERROR(__xludf.DUMMYFUNCTION("""COMPUTED_VALUE"""),7.745635)</f>
        <v>7.745635</v>
      </c>
      <c r="D14921" s="7">
        <f>IFERROR(__xludf.DUMMYFUNCTION("""COMPUTED_VALUE"""),0.444444444444444)</f>
        <v>0.4444444444</v>
      </c>
    </row>
    <row r="14922">
      <c r="A14922" s="10" t="s">
        <v>16361</v>
      </c>
      <c r="B14922" s="7" t="str">
        <f>IFERROR(__xludf.DUMMYFUNCTION("SPLIT(A14922,"" "")"),"Cc1ccnc(CN(C)Cc2cc(C(C)(c3ccccn3)c3ccccn3)ccn2)c1")</f>
        <v>Cc1ccnc(CN(C)Cc2cc(C(C)(c3ccccn3)c3ccccn3)ccn2)c1</v>
      </c>
      <c r="C14922" s="7">
        <f>IFERROR(__xludf.DUMMYFUNCTION("""COMPUTED_VALUE"""),7.745632)</f>
        <v>7.745632</v>
      </c>
      <c r="D14922" s="7">
        <f>IFERROR(__xludf.DUMMYFUNCTION("""COMPUTED_VALUE"""),0.392156862745098)</f>
        <v>0.3921568627</v>
      </c>
    </row>
    <row r="14923">
      <c r="A14923" s="10" t="s">
        <v>16362</v>
      </c>
      <c r="B14923" s="7" t="str">
        <f>IFERROR(__xludf.DUMMYFUNCTION("SPLIT(A14923,"" "")"),"CN(CCN(C)C1CCC(N(C)c2cccc3nc(CF)ccc23)CC1)c1cccc2nc(CF)ccc12")</f>
        <v>CN(CCN(C)C1CCC(N(C)c2cccc3nc(CF)ccc23)CC1)c1cccc2nc(CF)ccc12</v>
      </c>
      <c r="C14923" s="7">
        <f>IFERROR(__xludf.DUMMYFUNCTION("""COMPUTED_VALUE"""),7.7456293)</f>
        <v>7.7456293</v>
      </c>
      <c r="D14923" s="7">
        <f>IFERROR(__xludf.DUMMYFUNCTION("""COMPUTED_VALUE"""),0.413793103448275)</f>
        <v>0.4137931034</v>
      </c>
    </row>
    <row r="14924">
      <c r="A14924" s="10" t="s">
        <v>16363</v>
      </c>
      <c r="B14924" s="7" t="str">
        <f>IFERROR(__xludf.DUMMYFUNCTION("SPLIT(A14924,"" "")"),"CN(C)Cc1ccc2cccc(N(C)C3CCC(N(Cc4ccc5ncccc5c4)Cc4ccccn4)CC3)c2n1")</f>
        <v>CN(C)Cc1ccc2cccc(N(C)C3CCC(N(Cc4ccc5ncccc5c4)Cc4ccccn4)CC3)c2n1</v>
      </c>
      <c r="C14924" s="7">
        <f>IFERROR(__xludf.DUMMYFUNCTION("""COMPUTED_VALUE"""),7.745625)</f>
        <v>7.745625</v>
      </c>
      <c r="D14924" s="7">
        <f>IFERROR(__xludf.DUMMYFUNCTION("""COMPUTED_VALUE"""),0.371428571428571)</f>
        <v>0.3714285714</v>
      </c>
    </row>
    <row r="14925">
      <c r="A14925" s="10" t="s">
        <v>16364</v>
      </c>
      <c r="B14925" s="7" t="str">
        <f>IFERROR(__xludf.DUMMYFUNCTION("SPLIT(A14925,"" "")"),"Cc1cc(CN(C)CC2=CCC=C(N(C)Cc3cc(C)c(C)c(C)n3)N2)nc(C)c1C")</f>
        <v>Cc1cc(CN(C)CC2=CCC=C(N(C)Cc3cc(C)c(C)c(C)n3)N2)nc(C)c1C</v>
      </c>
      <c r="C14925" s="7">
        <f>IFERROR(__xludf.DUMMYFUNCTION("""COMPUTED_VALUE"""),7.745604)</f>
        <v>7.745604</v>
      </c>
      <c r="D14925" s="7">
        <f>IFERROR(__xludf.DUMMYFUNCTION("""COMPUTED_VALUE"""),0.245283018867924)</f>
        <v>0.2452830189</v>
      </c>
    </row>
    <row r="14926">
      <c r="A14926" s="10" t="s">
        <v>16365</v>
      </c>
      <c r="B14926" s="7" t="str">
        <f>IFERROR(__xludf.DUMMYFUNCTION("SPLIT(A14926,"" "")"),"Cc1ccnc(CN(C)c2ccc(CN(C)Cc3c(C)cncc3C)nc2)c1")</f>
        <v>Cc1ccnc(CN(C)c2ccc(CN(C)Cc3c(C)cncc3C)nc2)c1</v>
      </c>
      <c r="C14926" s="7">
        <f>IFERROR(__xludf.DUMMYFUNCTION("""COMPUTED_VALUE"""),7.7455997)</f>
        <v>7.7455997</v>
      </c>
      <c r="D14926" s="7">
        <f>IFERROR(__xludf.DUMMYFUNCTION("""COMPUTED_VALUE"""),0.387755102040816)</f>
        <v>0.387755102</v>
      </c>
    </row>
    <row r="14927">
      <c r="A14927" s="10" t="s">
        <v>16366</v>
      </c>
      <c r="B14927" s="7" t="str">
        <f>IFERROR(__xludf.DUMMYFUNCTION("SPLIT(A14927,"" "")"),"CCN(Cc1ccccn1)Cc1cccc(-c2c(N)cccc2Cl)n1")</f>
        <v>CCN(Cc1ccccn1)Cc1cccc(-c2c(N)cccc2Cl)n1</v>
      </c>
      <c r="C14927" s="7">
        <f>IFERROR(__xludf.DUMMYFUNCTION("""COMPUTED_VALUE"""),7.7455945)</f>
        <v>7.7455945</v>
      </c>
      <c r="D14927" s="7">
        <f>IFERROR(__xludf.DUMMYFUNCTION("""COMPUTED_VALUE"""),0.48)</f>
        <v>0.48</v>
      </c>
    </row>
    <row r="14928">
      <c r="A14928" s="10" t="s">
        <v>16367</v>
      </c>
      <c r="B14928" s="7" t="str">
        <f>IFERROR(__xludf.DUMMYFUNCTION("SPLIT(A14928,"" "")"),"Cc1ccc(CN(C)Cc2ncccc2N(C)Cc2nc(C)cc(C)c2C)nc1")</f>
        <v>Cc1ccc(CN(C)Cc2ncccc2N(C)Cc2nc(C)cc(C)c2C)nc1</v>
      </c>
      <c r="C14928" s="7">
        <f>IFERROR(__xludf.DUMMYFUNCTION("""COMPUTED_VALUE"""),7.74559)</f>
        <v>7.74559</v>
      </c>
      <c r="D14928" s="7">
        <f>IFERROR(__xludf.DUMMYFUNCTION("""COMPUTED_VALUE"""),0.431372549019607)</f>
        <v>0.431372549</v>
      </c>
    </row>
    <row r="14929">
      <c r="A14929" s="10" t="s">
        <v>16368</v>
      </c>
      <c r="B14929" s="7" t="str">
        <f>IFERROR(__xludf.DUMMYFUNCTION("SPLIT(A14929,"" "")"),"Cc1ccc(CN(C)Cc2ncccc2N(C)Cc2ncc(C)c(C)c2C)nc1")</f>
        <v>Cc1ccc(CN(C)Cc2ncccc2N(C)Cc2ncc(C)c(C)c2C)nc1</v>
      </c>
      <c r="C14929" s="7">
        <f>IFERROR(__xludf.DUMMYFUNCTION("""COMPUTED_VALUE"""),7.745589)</f>
        <v>7.745589</v>
      </c>
      <c r="D14929" s="7">
        <f>IFERROR(__xludf.DUMMYFUNCTION("""COMPUTED_VALUE"""),0.468085106382978)</f>
        <v>0.4680851064</v>
      </c>
    </row>
    <row r="14930">
      <c r="A14930" s="10" t="s">
        <v>16369</v>
      </c>
      <c r="B14930" s="7" t="str">
        <f>IFERROR(__xludf.DUMMYFUNCTION("SPLIT(A14930,"" "")"),"CNc1cc(C)cc(-c2cccc(CN(Cc3ccccn3)C3CCC(N(C)c4ccc5nc(CF)ccc5c4)CC3)n2)c1")</f>
        <v>CNc1cc(C)cc(-c2cccc(CN(Cc3ccccn3)C3CCC(N(C)c4ccc5nc(CF)ccc5c4)CC3)n2)c1</v>
      </c>
      <c r="C14930" s="7">
        <f>IFERROR(__xludf.DUMMYFUNCTION("""COMPUTED_VALUE"""),7.745578)</f>
        <v>7.745578</v>
      </c>
      <c r="D14930" s="7">
        <f>IFERROR(__xludf.DUMMYFUNCTION("""COMPUTED_VALUE"""),0.366197183098591)</f>
        <v>0.3661971831</v>
      </c>
    </row>
    <row r="14931">
      <c r="A14931" s="10" t="s">
        <v>16370</v>
      </c>
      <c r="B14931" s="7" t="str">
        <f>IFERROR(__xludf.DUMMYFUNCTION("SPLIT(A14931,"" "")"),"Cc1cccc(N(Cc2ccccn2)Cc2ccon2)c1")</f>
        <v>Cc1cccc(N(Cc2ccccn2)Cc2ccon2)c1</v>
      </c>
      <c r="C14931" s="7">
        <f>IFERROR(__xludf.DUMMYFUNCTION("""COMPUTED_VALUE"""),7.74557)</f>
        <v>7.74557</v>
      </c>
      <c r="D14931" s="7">
        <f>IFERROR(__xludf.DUMMYFUNCTION("""COMPUTED_VALUE"""),0.422222222222222)</f>
        <v>0.4222222222</v>
      </c>
    </row>
    <row r="14932">
      <c r="A14932" s="10" t="s">
        <v>16371</v>
      </c>
      <c r="B14932" s="7" t="str">
        <f>IFERROR(__xludf.DUMMYFUNCTION("SPLIT(A14932,"" "")"),"Cc1cncc(CN(C)Cc2ncccc2N(C)Cc2nc(C)c(C)cc2C)c1")</f>
        <v>Cc1cncc(CN(C)Cc2ncccc2N(C)Cc2nc(C)c(C)cc2C)c1</v>
      </c>
      <c r="C14932" s="7">
        <f>IFERROR(__xludf.DUMMYFUNCTION("""COMPUTED_VALUE"""),7.7455697)</f>
        <v>7.7455697</v>
      </c>
      <c r="D14932" s="7">
        <f>IFERROR(__xludf.DUMMYFUNCTION("""COMPUTED_VALUE"""),0.305084745762711)</f>
        <v>0.3050847458</v>
      </c>
    </row>
    <row r="14933">
      <c r="A14933" s="10" t="s">
        <v>16372</v>
      </c>
      <c r="B14933" s="7" t="str">
        <f>IFERROR(__xludf.DUMMYFUNCTION("SPLIT(A14933,"" "")"),"Cc1ccc(CN(C)Cc2cccc(N(C)Cc3nc(C)c(C)cc3C)n2)nc1")</f>
        <v>Cc1ccc(CN(C)Cc2cccc(N(C)Cc3nc(C)c(C)cc3C)n2)nc1</v>
      </c>
      <c r="C14933" s="7">
        <f>IFERROR(__xludf.DUMMYFUNCTION("""COMPUTED_VALUE"""),7.7455664)</f>
        <v>7.7455664</v>
      </c>
      <c r="D14933" s="7">
        <f>IFERROR(__xludf.DUMMYFUNCTION("""COMPUTED_VALUE"""),0.458333333333333)</f>
        <v>0.4583333333</v>
      </c>
    </row>
    <row r="14934">
      <c r="A14934" s="10" t="s">
        <v>16373</v>
      </c>
      <c r="B14934" s="7" t="str">
        <f>IFERROR(__xludf.DUMMYFUNCTION("SPLIT(A14934,"" "")"),"CC(C)N(Cc1ccccn1)c1ccccc1-c1cccc(CN(Cc2ccccn2)Cc2ccc(C(C)(C)C)cn2)n1")</f>
        <v>CC(C)N(Cc1ccccn1)c1ccccc1-c1cccc(CN(Cc2ccccn2)Cc2ccc(C(C)(C)C)cn2)n1</v>
      </c>
      <c r="C14934" s="7">
        <f>IFERROR(__xludf.DUMMYFUNCTION("""COMPUTED_VALUE"""),7.7455664)</f>
        <v>7.7455664</v>
      </c>
      <c r="D14934" s="7">
        <f>IFERROR(__xludf.DUMMYFUNCTION("""COMPUTED_VALUE"""),0.415384615384615)</f>
        <v>0.4153846154</v>
      </c>
    </row>
    <row r="14935">
      <c r="A14935" s="10" t="s">
        <v>16374</v>
      </c>
      <c r="B14935" s="7" t="str">
        <f>IFERROR(__xludf.DUMMYFUNCTION("SPLIT(A14935,"" "")"),"COC(C)c1cccc(CN(Cc2ccccn2)Cc2cc(C3=NC(c4ccccn4)CO3)ccn2)n1")</f>
        <v>COC(C)c1cccc(CN(Cc2ccccn2)Cc2cc(C3=NC(c4ccccn4)CO3)ccn2)n1</v>
      </c>
      <c r="C14935" s="7">
        <f>IFERROR(__xludf.DUMMYFUNCTION("""COMPUTED_VALUE"""),7.7455645)</f>
        <v>7.7455645</v>
      </c>
      <c r="D14935" s="7">
        <f>IFERROR(__xludf.DUMMYFUNCTION("""COMPUTED_VALUE"""),0.408450704225352)</f>
        <v>0.4084507042</v>
      </c>
    </row>
    <row r="14936">
      <c r="A14936" s="10" t="s">
        <v>16375</v>
      </c>
      <c r="B14936" s="7" t="str">
        <f>IFERROR(__xludf.DUMMYFUNCTION("SPLIT(A14936,"" "")"),"CN(CCNCc1ccccn1)c1ccc2cccnc2c1")</f>
        <v>CN(CCNCc1ccccn1)c1ccc2cccnc2c1</v>
      </c>
      <c r="C14936" s="7">
        <f>IFERROR(__xludf.DUMMYFUNCTION("""COMPUTED_VALUE"""),7.7455564)</f>
        <v>7.7455564</v>
      </c>
      <c r="D14936" s="7">
        <f>IFERROR(__xludf.DUMMYFUNCTION("""COMPUTED_VALUE"""),0.488372093023255)</f>
        <v>0.488372093</v>
      </c>
    </row>
    <row r="14937">
      <c r="A14937" s="10" t="s">
        <v>16376</v>
      </c>
      <c r="B14937" s="7" t="str">
        <f>IFERROR(__xludf.DUMMYFUNCTION("SPLIT(A14937,"" "")"),"CNCc1cccc(CN(Cc2ccccn2)Cc2cccc(-c3c(N)cccc3Cl)n2)n1")</f>
        <v>CNCc1cccc(CN(Cc2ccccn2)Cc2cccc(-c3c(N)cccc3Cl)n2)n1</v>
      </c>
      <c r="C14937" s="7">
        <f>IFERROR(__xludf.DUMMYFUNCTION("""COMPUTED_VALUE"""),7.7455497)</f>
        <v>7.7455497</v>
      </c>
      <c r="D14937" s="7">
        <f>IFERROR(__xludf.DUMMYFUNCTION("""COMPUTED_VALUE"""),0.442622950819672)</f>
        <v>0.4426229508</v>
      </c>
    </row>
    <row r="14938">
      <c r="A14938" s="10" t="s">
        <v>16377</v>
      </c>
      <c r="B14938" s="7" t="str">
        <f>IFERROR(__xludf.DUMMYFUNCTION("SPLIT(A14938,"" "")"),"Cc1cccnc1CN(C)Cc1cccc(N(C)Cc2ncc(C)c(C)c2C)n1")</f>
        <v>Cc1cccnc1CN(C)Cc1cccc(N(C)Cc2ncc(C)c(C)c2C)n1</v>
      </c>
      <c r="C14938" s="7">
        <f>IFERROR(__xludf.DUMMYFUNCTION("""COMPUTED_VALUE"""),7.7455444)</f>
        <v>7.7455444</v>
      </c>
      <c r="D14938" s="7">
        <f>IFERROR(__xludf.DUMMYFUNCTION("""COMPUTED_VALUE"""),0.407407407407407)</f>
        <v>0.4074074074</v>
      </c>
    </row>
    <row r="14939">
      <c r="A14939" s="10" t="s">
        <v>16378</v>
      </c>
      <c r="B14939" s="7" t="str">
        <f>IFERROR(__xludf.DUMMYFUNCTION("SPLIT(A14939,"" "")"),"Cc1cccc(NCc2ccccn2)c1-c1cccc(CN(Cc2ccccn2)Cc2ccccn2)n1")</f>
        <v>Cc1cccc(NCc2ccccn2)c1-c1cccc(CN(Cc2ccccn2)Cc2ccccn2)n1</v>
      </c>
      <c r="C14939" s="7">
        <f>IFERROR(__xludf.DUMMYFUNCTION("""COMPUTED_VALUE"""),7.7455344)</f>
        <v>7.7455344</v>
      </c>
      <c r="D14939" s="7">
        <f>IFERROR(__xludf.DUMMYFUNCTION("""COMPUTED_VALUE"""),0.482142857142857)</f>
        <v>0.4821428571</v>
      </c>
    </row>
    <row r="14940">
      <c r="A14940" s="10" t="s">
        <v>16379</v>
      </c>
      <c r="B14940" s="7" t="str">
        <f>IFERROR(__xludf.DUMMYFUNCTION("SPLIT(A14940,"" "")"),"Cc1cccc(CN(C)C2C=CNC(CN(C)Cc3ccc4ncccc4c3)=C2)n1")</f>
        <v>Cc1cccc(CN(C)C2C=CNC(CN(C)Cc3ccc4ncccc4c3)=C2)n1</v>
      </c>
      <c r="C14940" s="7">
        <f>IFERROR(__xludf.DUMMYFUNCTION("""COMPUTED_VALUE"""),7.7455277)</f>
        <v>7.7455277</v>
      </c>
      <c r="D14940" s="7">
        <f>IFERROR(__xludf.DUMMYFUNCTION("""COMPUTED_VALUE"""),0.359375)</f>
        <v>0.359375</v>
      </c>
    </row>
    <row r="14941">
      <c r="A14941" s="10" t="s">
        <v>16380</v>
      </c>
      <c r="B14941" s="7" t="str">
        <f>IFERROR(__xludf.DUMMYFUNCTION("SPLIT(A14941,"" "")"),"CN(C)c1ccccc1-c1ccc(CN(Cc2ccccn2)CC2C=CNC=C2)nc1")</f>
        <v>CN(C)c1ccccc1-c1ccc(CN(Cc2ccccn2)CC2C=CNC=C2)nc1</v>
      </c>
      <c r="C14941" s="7">
        <f>IFERROR(__xludf.DUMMYFUNCTION("""COMPUTED_VALUE"""),7.7455263)</f>
        <v>7.7455263</v>
      </c>
      <c r="D14941" s="7">
        <f>IFERROR(__xludf.DUMMYFUNCTION("""COMPUTED_VALUE"""),0.4)</f>
        <v>0.4</v>
      </c>
    </row>
    <row r="14942">
      <c r="A14942" s="10" t="s">
        <v>16381</v>
      </c>
      <c r="B14942" s="7" t="str">
        <f>IFERROR(__xludf.DUMMYFUNCTION("SPLIT(A14942,"" "")"),"CC(C)N(C)Cc1ncccc1-c1c(N)cccc1Cl")</f>
        <v>CC(C)N(C)Cc1ncccc1-c1c(N)cccc1Cl</v>
      </c>
      <c r="C14942" s="7">
        <f>IFERROR(__xludf.DUMMYFUNCTION("""COMPUTED_VALUE"""),7.745522)</f>
        <v>7.745522</v>
      </c>
      <c r="D14942" s="7">
        <f>IFERROR(__xludf.DUMMYFUNCTION("""COMPUTED_VALUE"""),0.30188679245283)</f>
        <v>0.3018867925</v>
      </c>
    </row>
    <row r="14943">
      <c r="A14943" s="10" t="s">
        <v>16382</v>
      </c>
      <c r="B14943" s="7" t="str">
        <f>IFERROR(__xludf.DUMMYFUNCTION("SPLIT(A14943,"" "")"),"CCCN(Cc1ccccn1)c1cc2ccccc2c(-c2ccc3c(c2)OCCOCCOCCOCCOCCO3)c1-c1cccc(-c2cccc(C)c2N(C)Cc2ccccn2)c1C")</f>
        <v>CCCN(Cc1ccccn1)c1cc2ccccc2c(-c2ccc3c(c2)OCCOCCOCCOCCOCCO3)c1-c1cccc(-c2cccc(C)c2N(C)Cc2ccccn2)c1C</v>
      </c>
      <c r="C14943" s="7">
        <f>IFERROR(__xludf.DUMMYFUNCTION("""COMPUTED_VALUE"""),7.7455015)</f>
        <v>7.7455015</v>
      </c>
      <c r="D14943" s="7">
        <f>IFERROR(__xludf.DUMMYFUNCTION("""COMPUTED_VALUE"""),0.291139240506329)</f>
        <v>0.2911392405</v>
      </c>
    </row>
    <row r="14944">
      <c r="A14944" s="10" t="s">
        <v>16383</v>
      </c>
      <c r="B14944" s="7" t="str">
        <f>IFERROR(__xludf.DUMMYFUNCTION("SPLIT(A14944,"" "")"),"CC(C)N(C)CCN(C)c1cccc2nccc(CN(C)C)c12")</f>
        <v>CC(C)N(C)CCN(C)c1cccc2nccc(CN(C)C)c12</v>
      </c>
      <c r="C14944" s="7">
        <f>IFERROR(__xludf.DUMMYFUNCTION("""COMPUTED_VALUE"""),7.7455)</f>
        <v>7.7455</v>
      </c>
      <c r="D14944" s="7">
        <f>IFERROR(__xludf.DUMMYFUNCTION("""COMPUTED_VALUE"""),0.36734693877551)</f>
        <v>0.3673469388</v>
      </c>
    </row>
    <row r="14945">
      <c r="A14945" s="10" t="s">
        <v>16384</v>
      </c>
      <c r="B14945" s="7" t="str">
        <f>IFERROR(__xludf.DUMMYFUNCTION("SPLIT(A14945,"" "")"),"Cc1cc(C)c(CN(C)Cc2ccc(N(C)Cc3ncccc3C)cn2)cn1")</f>
        <v>Cc1cc(C)c(CN(C)Cc2ccc(N(C)Cc3ncccc3C)cn2)cn1</v>
      </c>
      <c r="C14945" s="7">
        <f>IFERROR(__xludf.DUMMYFUNCTION("""COMPUTED_VALUE"""),7.7454944)</f>
        <v>7.7454944</v>
      </c>
      <c r="D14945" s="7">
        <f>IFERROR(__xludf.DUMMYFUNCTION("""COMPUTED_VALUE"""),0.339622641509433)</f>
        <v>0.3396226415</v>
      </c>
    </row>
    <row r="14946">
      <c r="A14946" s="10" t="s">
        <v>16385</v>
      </c>
      <c r="B14946" s="7" t="str">
        <f>IFERROR(__xludf.DUMMYFUNCTION("SPLIT(A14946,"" "")"),"CN(Cc1ccc2ncccc2c1)C1CCCCC1N(C)c1ccc2nccc(CF)c2c1")</f>
        <v>CN(Cc1ccc2ncccc2c1)C1CCCCC1N(C)c1ccc2nccc(CF)c2c1</v>
      </c>
      <c r="C14946" s="7">
        <f>IFERROR(__xludf.DUMMYFUNCTION("""COMPUTED_VALUE"""),7.7454867)</f>
        <v>7.7454867</v>
      </c>
      <c r="D14946" s="7">
        <f>IFERROR(__xludf.DUMMYFUNCTION("""COMPUTED_VALUE"""),0.387096774193548)</f>
        <v>0.3870967742</v>
      </c>
    </row>
    <row r="14947">
      <c r="A14947" s="10" t="s">
        <v>16386</v>
      </c>
      <c r="B14947" s="7" t="str">
        <f>IFERROR(__xludf.DUMMYFUNCTION("SPLIT(A14947,"" "")"),"CC(C)C(C)(c1cccnc1)N(Cc1ccccn1)Cc1ccc(-c2cccc(N(C)C)c2)cn1")</f>
        <v>CC(C)C(C)(c1cccnc1)N(Cc1ccccn1)Cc1ccc(-c2cccc(N(C)C)c2)cn1</v>
      </c>
      <c r="C14947" s="7">
        <f>IFERROR(__xludf.DUMMYFUNCTION("""COMPUTED_VALUE"""),7.7454863)</f>
        <v>7.7454863</v>
      </c>
      <c r="D14947" s="7">
        <f>IFERROR(__xludf.DUMMYFUNCTION("""COMPUTED_VALUE"""),0.344262295081967)</f>
        <v>0.3442622951</v>
      </c>
    </row>
    <row r="14948">
      <c r="A14948" s="10" t="s">
        <v>16387</v>
      </c>
      <c r="B14948" s="7" t="str">
        <f>IFERROR(__xludf.DUMMYFUNCTION("SPLIT(A14948,"" "")"),"Cc1ccc(N)cc1N(C)Cc1ncccc1C(C)(C)C")</f>
        <v>Cc1ccc(N)cc1N(C)Cc1ncccc1C(C)(C)C</v>
      </c>
      <c r="C14948" s="7">
        <f>IFERROR(__xludf.DUMMYFUNCTION("""COMPUTED_VALUE"""),7.7454786)</f>
        <v>7.7454786</v>
      </c>
      <c r="D14948" s="7">
        <f>IFERROR(__xludf.DUMMYFUNCTION("""COMPUTED_VALUE"""),0.326923076923076)</f>
        <v>0.3269230769</v>
      </c>
    </row>
    <row r="14949">
      <c r="A14949" s="10" t="s">
        <v>16388</v>
      </c>
      <c r="B14949" s="7" t="str">
        <f>IFERROR(__xludf.DUMMYFUNCTION("SPLIT(A14949,"" "")"),"Cc1cccc(CN(C)Cc2cc(N(C)Cc3nccc(C)c3C)ccn2)n1")</f>
        <v>Cc1cccc(CN(C)Cc2cc(N(C)Cc3nccc(C)c3C)ccn2)n1</v>
      </c>
      <c r="C14949" s="7">
        <f>IFERROR(__xludf.DUMMYFUNCTION("""COMPUTED_VALUE"""),7.745475)</f>
        <v>7.745475</v>
      </c>
      <c r="D14949" s="7">
        <f>IFERROR(__xludf.DUMMYFUNCTION("""COMPUTED_VALUE"""),0.468085106382978)</f>
        <v>0.4680851064</v>
      </c>
    </row>
    <row r="14950">
      <c r="A14950" s="10" t="s">
        <v>16389</v>
      </c>
      <c r="B14950" s="7" t="str">
        <f>IFERROR(__xludf.DUMMYFUNCTION("SPLIT(A14950,"" "")"),"COC(=O)c1ncccc1CN(Cc1ccccn1)Cc1cc(C(C)(C)c2ccccn2)ccn1")</f>
        <v>COC(=O)c1ncccc1CN(Cc1ccccn1)Cc1cc(C(C)(C)c2ccccn2)ccn1</v>
      </c>
      <c r="C14950" s="7">
        <f>IFERROR(__xludf.DUMMYFUNCTION("""COMPUTED_VALUE"""),7.7454596)</f>
        <v>7.7454596</v>
      </c>
      <c r="D14950" s="7">
        <f>IFERROR(__xludf.DUMMYFUNCTION("""COMPUTED_VALUE"""),0.377358490566037)</f>
        <v>0.3773584906</v>
      </c>
    </row>
    <row r="14951">
      <c r="A14951" s="10" t="s">
        <v>16390</v>
      </c>
      <c r="B14951" s="7" t="str">
        <f>IFERROR(__xludf.DUMMYFUNCTION("SPLIT(A14951,"" "")"),"Cc1cnc(CN(Cc2ccccn2)Cc2ccc(N(C)Cc3nc(C)c(C)cc3C)cn2)c(C)c1")</f>
        <v>Cc1cnc(CN(Cc2ccccn2)Cc2ccc(N(C)Cc3nc(C)c(C)cc3C)cn2)c(C)c1</v>
      </c>
      <c r="C14951" s="7">
        <f>IFERROR(__xludf.DUMMYFUNCTION("""COMPUTED_VALUE"""),7.745454)</f>
        <v>7.745454</v>
      </c>
      <c r="D14951" s="7">
        <f>IFERROR(__xludf.DUMMYFUNCTION("""COMPUTED_VALUE"""),0.392156862745098)</f>
        <v>0.3921568627</v>
      </c>
    </row>
    <row r="14952">
      <c r="A14952" s="10" t="s">
        <v>16391</v>
      </c>
      <c r="B14952" s="7" t="str">
        <f>IFERROR(__xludf.DUMMYFUNCTION("SPLIT(A14952,"" "")"),"Cc1cncc(CN(C)Cc2cnccc2N(C)Cc2nc(C)c(C)cc2C)c1")</f>
        <v>Cc1cncc(CN(C)Cc2cnccc2N(C)Cc2nc(C)c(C)cc2C)c1</v>
      </c>
      <c r="C14952" s="7">
        <f>IFERROR(__xludf.DUMMYFUNCTION("""COMPUTED_VALUE"""),7.7454486)</f>
        <v>7.7454486</v>
      </c>
      <c r="D14952" s="7">
        <f>IFERROR(__xludf.DUMMYFUNCTION("""COMPUTED_VALUE"""),0.245901639344262)</f>
        <v>0.2459016393</v>
      </c>
    </row>
    <row r="14953">
      <c r="A14953" s="10" t="s">
        <v>16392</v>
      </c>
      <c r="B14953" s="7" t="str">
        <f>IFERROR(__xludf.DUMMYFUNCTION("SPLIT(A14953,"" "")"),"CC(C)N(C)Cc1cccc(-c2cc(N)cc(Cl)c2)n1")</f>
        <v>CC(C)N(C)Cc1cccc(-c2cc(N)cc(Cl)c2)n1</v>
      </c>
      <c r="C14953" s="7">
        <f>IFERROR(__xludf.DUMMYFUNCTION("""COMPUTED_VALUE"""),7.7454457)</f>
        <v>7.7454457</v>
      </c>
      <c r="D14953" s="7">
        <f>IFERROR(__xludf.DUMMYFUNCTION("""COMPUTED_VALUE"""),0.339622641509433)</f>
        <v>0.3396226415</v>
      </c>
    </row>
    <row r="14954">
      <c r="A14954" s="10" t="s">
        <v>16393</v>
      </c>
      <c r="B14954" s="7" t="str">
        <f>IFERROR(__xludf.DUMMYFUNCTION("SPLIT(A14954,"" "")"),"Cc1c(NCc2ccccn2)cccc1-c1ncccc1CN(C)C1CCCCC1N(C)c1ccc2nc(CF)ccc2c1")</f>
        <v>Cc1c(NCc2ccccn2)cccc1-c1ncccc1CN(C)C1CCCCC1N(C)c1ccc2nc(CF)ccc2c1</v>
      </c>
      <c r="C14954" s="7">
        <f>IFERROR(__xludf.DUMMYFUNCTION("""COMPUTED_VALUE"""),7.745443)</f>
        <v>7.745443</v>
      </c>
      <c r="D14954" s="7">
        <f>IFERROR(__xludf.DUMMYFUNCTION("""COMPUTED_VALUE"""),0.378378378378378)</f>
        <v>0.3783783784</v>
      </c>
    </row>
    <row r="14955">
      <c r="A14955" s="10" t="s">
        <v>16394</v>
      </c>
      <c r="B14955" s="7" t="str">
        <f>IFERROR(__xludf.DUMMYFUNCTION("SPLIT(A14955,"" "")"),"Cc1ccnc2cccc(N(C)CCN(C)CCN)c12")</f>
        <v>Cc1ccnc2cccc(N(C)CCN(C)CCN)c12</v>
      </c>
      <c r="C14955" s="7">
        <f>IFERROR(__xludf.DUMMYFUNCTION("""COMPUTED_VALUE"""),7.7454357)</f>
        <v>7.7454357</v>
      </c>
      <c r="D14955" s="7">
        <f>IFERROR(__xludf.DUMMYFUNCTION("""COMPUTED_VALUE"""),0.382978723404255)</f>
        <v>0.3829787234</v>
      </c>
    </row>
    <row r="14956">
      <c r="A14956" s="10" t="s">
        <v>16395</v>
      </c>
      <c r="B14956" s="7" t="str">
        <f>IFERROR(__xludf.DUMMYFUNCTION("SPLIT(A14956,"" "")"),"Cc1ccc(C2=NC(=O)C(C(C)c3ccccn3)O2)nc1C1CCC1(C)C")</f>
        <v>Cc1ccc(C2=NC(=O)C(C(C)c3ccccn3)O2)nc1C1CCC1(C)C</v>
      </c>
      <c r="C14956" s="7">
        <f>IFERROR(__xludf.DUMMYFUNCTION("""COMPUTED_VALUE"""),7.745432)</f>
        <v>7.745432</v>
      </c>
      <c r="D14956" s="7">
        <f>IFERROR(__xludf.DUMMYFUNCTION("""COMPUTED_VALUE"""),0.253521126760563)</f>
        <v>0.2535211268</v>
      </c>
    </row>
    <row r="14957">
      <c r="A14957" s="10" t="s">
        <v>16396</v>
      </c>
      <c r="B14957" s="7" t="str">
        <f>IFERROR(__xludf.DUMMYFUNCTION("SPLIT(A14957,"" "")"),"Cc1cc(-c2cccc(NCc3ccccn3)c2)cnc1CN(C)C(C)C")</f>
        <v>Cc1cc(-c2cccc(NCc3ccccn3)c2)cnc1CN(C)C(C)C</v>
      </c>
      <c r="C14957" s="7">
        <f>IFERROR(__xludf.DUMMYFUNCTION("""COMPUTED_VALUE"""),7.7454305)</f>
        <v>7.7454305</v>
      </c>
      <c r="D14957" s="7">
        <f>IFERROR(__xludf.DUMMYFUNCTION("""COMPUTED_VALUE"""),0.350877192982456)</f>
        <v>0.350877193</v>
      </c>
    </row>
    <row r="14958">
      <c r="A14958" s="10" t="s">
        <v>16397</v>
      </c>
      <c r="B14958" s="7" t="str">
        <f>IFERROR(__xludf.DUMMYFUNCTION("SPLIT(A14958,"" "")"),"CN(CCN(Cc1ccccn1)c1cccc2ncccc12)C(C)(C)c1ccccn1")</f>
        <v>CN(CCN(Cc1ccccn1)c1cccc2ncccc12)C(C)(C)c1ccccn1</v>
      </c>
      <c r="C14958" s="7">
        <f>IFERROR(__xludf.DUMMYFUNCTION("""COMPUTED_VALUE"""),7.745423)</f>
        <v>7.745423</v>
      </c>
      <c r="D14958" s="7">
        <f>IFERROR(__xludf.DUMMYFUNCTION("""COMPUTED_VALUE"""),0.381818181818181)</f>
        <v>0.3818181818</v>
      </c>
    </row>
    <row r="14959">
      <c r="A14959" s="10" t="s">
        <v>16398</v>
      </c>
      <c r="B14959" s="7" t="str">
        <f>IFERROR(__xludf.DUMMYFUNCTION("SPLIT(A14959,"" "")"),"CN(CCN(C)C1CCCCC1N(C)c1cccc2ncccc12)c1cccc2ncc(CF)cc12")</f>
        <v>CN(CCN(C)C1CCCCC1N(C)c1cccc2ncccc12)c1cccc2ncc(CF)cc12</v>
      </c>
      <c r="C14959" s="7">
        <f>IFERROR(__xludf.DUMMYFUNCTION("""COMPUTED_VALUE"""),7.7454205)</f>
        <v>7.7454205</v>
      </c>
      <c r="D14959" s="7">
        <f>IFERROR(__xludf.DUMMYFUNCTION("""COMPUTED_VALUE"""),0.426229508196721)</f>
        <v>0.4262295082</v>
      </c>
    </row>
    <row r="14960">
      <c r="A14960" s="10" t="s">
        <v>16399</v>
      </c>
      <c r="B14960" s="7" t="str">
        <f>IFERROR(__xludf.DUMMYFUNCTION("SPLIT(A14960,"" "")"),"Cc1cnc(N(C)Cc2ccccn2)c(CN(C)C)c1")</f>
        <v>Cc1cnc(N(C)Cc2ccccn2)c(CN(C)C)c1</v>
      </c>
      <c r="C14960" s="7">
        <f>IFERROR(__xludf.DUMMYFUNCTION("""COMPUTED_VALUE"""),7.7454195)</f>
        <v>7.7454195</v>
      </c>
      <c r="D14960" s="7">
        <f>IFERROR(__xludf.DUMMYFUNCTION("""COMPUTED_VALUE"""),0.5)</f>
        <v>0.5</v>
      </c>
    </row>
    <row r="14961">
      <c r="A14961" s="10" t="s">
        <v>16400</v>
      </c>
      <c r="B14961" s="7" t="str">
        <f>IFERROR(__xludf.DUMMYFUNCTION("SPLIT(A14961,"" "")"),"CCCN(Cc1ccccn1)c1cc2cccnc2cc1CN(Cc1ccccn1)Cc1cccc(F)n1")</f>
        <v>CCCN(Cc1ccccn1)c1cc2cccnc2cc1CN(Cc1ccccn1)Cc1cccc(F)n1</v>
      </c>
      <c r="C14961" s="7">
        <f>IFERROR(__xludf.DUMMYFUNCTION("""COMPUTED_VALUE"""),7.745409)</f>
        <v>7.745409</v>
      </c>
      <c r="D14961" s="7">
        <f>IFERROR(__xludf.DUMMYFUNCTION("""COMPUTED_VALUE"""),0.43859649122807)</f>
        <v>0.4385964912</v>
      </c>
    </row>
    <row r="14962">
      <c r="A14962" s="10" t="s">
        <v>16401</v>
      </c>
      <c r="B14962" s="7" t="str">
        <f>IFERROR(__xludf.DUMMYFUNCTION("SPLIT(A14962,"" "")"),"CN(Cc1cccc(C2=NC(C)(C)CO2)n1)Cc1cccc(C(C)(C)c2ccccn2)n1")</f>
        <v>CN(Cc1cccc(C2=NC(C)(C)CO2)n1)Cc1cccc(C(C)(C)c2ccccn2)n1</v>
      </c>
      <c r="C14962" s="7">
        <f>IFERROR(__xludf.DUMMYFUNCTION("""COMPUTED_VALUE"""),7.7453995)</f>
        <v>7.7453995</v>
      </c>
      <c r="D14962" s="7">
        <f>IFERROR(__xludf.DUMMYFUNCTION("""COMPUTED_VALUE"""),0.48076923076923)</f>
        <v>0.4807692308</v>
      </c>
    </row>
    <row r="14963">
      <c r="A14963" s="10" t="s">
        <v>16402</v>
      </c>
      <c r="B14963" s="7" t="str">
        <f>IFERROR(__xludf.DUMMYFUNCTION("SPLIT(A14963,"" "")"),"CN(Cc1ccc(C2=NC(C)(C)CO2)cn1)Cc1cccc(C(C)(C)c2ccccn2)n1")</f>
        <v>CN(Cc1ccc(C2=NC(C)(C)CO2)cn1)Cc1cccc(C(C)(C)c2ccccn2)n1</v>
      </c>
      <c r="C14963" s="7">
        <f>IFERROR(__xludf.DUMMYFUNCTION("""COMPUTED_VALUE"""),7.745388)</f>
        <v>7.745388</v>
      </c>
      <c r="D14963" s="7">
        <f>IFERROR(__xludf.DUMMYFUNCTION("""COMPUTED_VALUE"""),0.387096774193548)</f>
        <v>0.3870967742</v>
      </c>
    </row>
    <row r="14964">
      <c r="A14964" s="10" t="s">
        <v>16403</v>
      </c>
      <c r="B14964" s="7" t="str">
        <f>IFERROR(__xludf.DUMMYFUNCTION("SPLIT(A14964,"" "")"),"CNCN(Cc1ccccn1)c1cccc2nc(CN(C)C(C)C)ccc12")</f>
        <v>CNCN(Cc1ccccn1)c1cccc2nc(CN(C)C(C)C)ccc12</v>
      </c>
      <c r="C14964" s="7">
        <f>IFERROR(__xludf.DUMMYFUNCTION("""COMPUTED_VALUE"""),7.7453837)</f>
        <v>7.7453837</v>
      </c>
      <c r="D14964" s="7">
        <f>IFERROR(__xludf.DUMMYFUNCTION("""COMPUTED_VALUE"""),0.418181818181818)</f>
        <v>0.4181818182</v>
      </c>
    </row>
    <row r="14965">
      <c r="A14965" s="10" t="s">
        <v>16404</v>
      </c>
      <c r="B14965" s="7" t="str">
        <f>IFERROR(__xludf.DUMMYFUNCTION("SPLIT(A14965,"" "")"),"COc1ccccc1-c1ccc(CN(Cc2ccccn2)Cc2ccccn2)cn1")</f>
        <v>COc1ccccc1-c1ccc(CN(Cc2ccccn2)Cc2ccccn2)cn1</v>
      </c>
      <c r="C14965" s="7">
        <f>IFERROR(__xludf.DUMMYFUNCTION("""COMPUTED_VALUE"""),7.745383)</f>
        <v>7.745383</v>
      </c>
      <c r="D14965" s="7">
        <f>IFERROR(__xludf.DUMMYFUNCTION("""COMPUTED_VALUE"""),0.48780487804878)</f>
        <v>0.487804878</v>
      </c>
    </row>
    <row r="14966">
      <c r="A14966" s="10" t="s">
        <v>16405</v>
      </c>
      <c r="B14966" s="7" t="str">
        <f>IFERROR(__xludf.DUMMYFUNCTION("SPLIT(A14966,"" "")"),"CCN(Cc1ccccn1)Cc1ccc2cccc(N(C)CCN(C)Cc3nc(C)c(C)c(C)c3C)c2n1")</f>
        <v>CCN(Cc1ccccn1)Cc1ccc2cccc(N(C)CCN(C)Cc3nc(C)c(C)c(C)c3C)c2n1</v>
      </c>
      <c r="C14966" s="7">
        <f>IFERROR(__xludf.DUMMYFUNCTION("""COMPUTED_VALUE"""),7.745382)</f>
        <v>7.745382</v>
      </c>
      <c r="D14966" s="7">
        <f>IFERROR(__xludf.DUMMYFUNCTION("""COMPUTED_VALUE"""),0.40983606557377)</f>
        <v>0.4098360656</v>
      </c>
    </row>
    <row r="14967">
      <c r="A14967" s="10" t="s">
        <v>16406</v>
      </c>
      <c r="B14967" s="7" t="str">
        <f>IFERROR(__xludf.DUMMYFUNCTION("SPLIT(A14967,"" "")"),"CC(C)N(C)Cc1ccc(-c2cc(N)ccc2Cl)cn1")</f>
        <v>CC(C)N(C)Cc1ccc(-c2cc(N)ccc2Cl)cn1</v>
      </c>
      <c r="C14967" s="7">
        <f>IFERROR(__xludf.DUMMYFUNCTION("""COMPUTED_VALUE"""),7.74538)</f>
        <v>7.74538</v>
      </c>
      <c r="D14967" s="7">
        <f>IFERROR(__xludf.DUMMYFUNCTION("""COMPUTED_VALUE"""),0.313725490196078)</f>
        <v>0.3137254902</v>
      </c>
    </row>
    <row r="14968">
      <c r="A14968" s="10" t="s">
        <v>16407</v>
      </c>
      <c r="B14968" s="7" t="str">
        <f>IFERROR(__xludf.DUMMYFUNCTION("SPLIT(A14968,"" "")"),"Cc1cccnc1CN(C)Cc1ncccc1C(C)(c1ccccn1)c1ccccn1")</f>
        <v>Cc1cccnc1CN(C)Cc1ncccc1C(C)(c1ccccn1)c1ccccn1</v>
      </c>
      <c r="C14968" s="7">
        <f>IFERROR(__xludf.DUMMYFUNCTION("""COMPUTED_VALUE"""),7.7453694)</f>
        <v>7.7453694</v>
      </c>
      <c r="D14968" s="7">
        <f>IFERROR(__xludf.DUMMYFUNCTION("""COMPUTED_VALUE"""),0.38)</f>
        <v>0.38</v>
      </c>
    </row>
    <row r="14969">
      <c r="A14969" s="10" t="s">
        <v>16408</v>
      </c>
      <c r="B14969" s="7" t="str">
        <f>IFERROR(__xludf.DUMMYFUNCTION("SPLIT(A14969,"" "")"),"CNCCN(Cc1ccccn1)c1cc(C)c(C)c(N(C)Cc2ncccc2C)c1")</f>
        <v>CNCCN(Cc1ccccn1)c1cc(C)c(C)c(N(C)Cc2ncccc2C)c1</v>
      </c>
      <c r="C14969" s="7">
        <f>IFERROR(__xludf.DUMMYFUNCTION("""COMPUTED_VALUE"""),7.7453604)</f>
        <v>7.7453604</v>
      </c>
      <c r="D14969" s="7">
        <f>IFERROR(__xludf.DUMMYFUNCTION("""COMPUTED_VALUE"""),0.403508771929824)</f>
        <v>0.4035087719</v>
      </c>
    </row>
    <row r="14970">
      <c r="A14970" s="10" t="s">
        <v>16409</v>
      </c>
      <c r="B14970" s="7" t="str">
        <f>IFERROR(__xludf.DUMMYFUNCTION("SPLIT(A14970,"" "")"),"CC(C)N(C)CCN(C)c1ccc2nccc(CN(C)C)c2c1")</f>
        <v>CC(C)N(C)CCN(C)c1ccc2nccc(CN(C)C)c2c1</v>
      </c>
      <c r="C14970" s="7">
        <f>IFERROR(__xludf.DUMMYFUNCTION("""COMPUTED_VALUE"""),7.7453585)</f>
        <v>7.7453585</v>
      </c>
      <c r="D14970" s="7">
        <f>IFERROR(__xludf.DUMMYFUNCTION("""COMPUTED_VALUE"""),0.264150943396226)</f>
        <v>0.2641509434</v>
      </c>
    </row>
    <row r="14971">
      <c r="A14971" s="10" t="s">
        <v>16410</v>
      </c>
      <c r="B14971" s="7" t="str">
        <f>IFERROR(__xludf.DUMMYFUNCTION("SPLIT(A14971,"" "")"),"CC(C)N(C)Cc1cccc(-c2ccccc2N(C)C)n1")</f>
        <v>CC(C)N(C)Cc1cccc(-c2ccccc2N(C)C)n1</v>
      </c>
      <c r="C14971" s="7">
        <f>IFERROR(__xludf.DUMMYFUNCTION("""COMPUTED_VALUE"""),7.745346)</f>
        <v>7.745346</v>
      </c>
      <c r="D14971" s="7">
        <f>IFERROR(__xludf.DUMMYFUNCTION("""COMPUTED_VALUE"""),0.404255319148936)</f>
        <v>0.4042553191</v>
      </c>
    </row>
    <row r="14972">
      <c r="A14972" s="10" t="s">
        <v>16411</v>
      </c>
      <c r="B14972" s="7" t="str">
        <f>IFERROR(__xludf.DUMMYFUNCTION("SPLIT(A14972,"" "")"),"Cc1cccc(N(C)Cc2nc(C)c(C)c(C)c2C)c1CN(C)Cc1ccccn1")</f>
        <v>Cc1cccc(N(C)Cc2nc(C)c(C)c(C)c2C)c1CN(C)Cc1ccccn1</v>
      </c>
      <c r="C14972" s="7">
        <f>IFERROR(__xludf.DUMMYFUNCTION("""COMPUTED_VALUE"""),7.7453403)</f>
        <v>7.7453403</v>
      </c>
      <c r="D14972" s="7">
        <f>IFERROR(__xludf.DUMMYFUNCTION("""COMPUTED_VALUE"""),0.452830188679245)</f>
        <v>0.4528301887</v>
      </c>
    </row>
    <row r="14973">
      <c r="A14973" s="10" t="s">
        <v>16412</v>
      </c>
      <c r="B14973" s="7" t="str">
        <f>IFERROR(__xludf.DUMMYFUNCTION("SPLIT(A14973,"" "")"),"CC1C=C(N(C)Cc2ccccn2)Cc2cccnc21")</f>
        <v>CC1C=C(N(C)Cc2ccccn2)Cc2cccnc21</v>
      </c>
      <c r="C14973" s="7">
        <f>IFERROR(__xludf.DUMMYFUNCTION("""COMPUTED_VALUE"""),7.7453175)</f>
        <v>7.7453175</v>
      </c>
      <c r="D14973" s="7">
        <f>IFERROR(__xludf.DUMMYFUNCTION("""COMPUTED_VALUE"""),0.4375)</f>
        <v>0.4375</v>
      </c>
    </row>
    <row r="14974">
      <c r="A14974" s="10" t="s">
        <v>16413</v>
      </c>
      <c r="B14974" s="7" t="str">
        <f>IFERROR(__xludf.DUMMYFUNCTION("SPLIT(A14974,"" "")"),"CCCN(Cc1ccccn1)Cc1ccc(-c2ccccc2N=Cc2ccccn2)cn1")</f>
        <v>CCCN(Cc1ccccn1)Cc1ccc(-c2ccccc2N=Cc2ccccn2)cn1</v>
      </c>
      <c r="C14974" s="7">
        <f>IFERROR(__xludf.DUMMYFUNCTION("""COMPUTED_VALUE"""),7.745314)</f>
        <v>7.745314</v>
      </c>
      <c r="D14974" s="7">
        <f>IFERROR(__xludf.DUMMYFUNCTION("""COMPUTED_VALUE"""),0.407407407407407)</f>
        <v>0.4074074074</v>
      </c>
    </row>
    <row r="14975">
      <c r="A14975" s="10" t="s">
        <v>16414</v>
      </c>
      <c r="B14975" s="7" t="str">
        <f>IFERROR(__xludf.DUMMYFUNCTION("SPLIT(A14975,"" "")"),"CC(C)N(C)CCN(C)c1cccc2c(CN(C)C)ccnc12")</f>
        <v>CC(C)N(C)CCN(C)c1cccc2c(CN(C)C)ccnc12</v>
      </c>
      <c r="C14975" s="7">
        <f>IFERROR(__xludf.DUMMYFUNCTION("""COMPUTED_VALUE"""),7.745292)</f>
        <v>7.745292</v>
      </c>
      <c r="D14975" s="7">
        <f>IFERROR(__xludf.DUMMYFUNCTION("""COMPUTED_VALUE"""),0.456521739130434)</f>
        <v>0.4565217391</v>
      </c>
    </row>
    <row r="14976">
      <c r="A14976" s="10" t="s">
        <v>16415</v>
      </c>
      <c r="B14976" s="7" t="str">
        <f>IFERROR(__xludf.DUMMYFUNCTION("SPLIT(A14976,"" "")"),"Cc1cc(C)c(C(C)(c2ccccn2)c2cc(CN(Cc3ccccn3)Cc3ccccn3)ccn2)cc1C")</f>
        <v>Cc1cc(C)c(C(C)(c2ccccn2)c2cc(CN(Cc3ccccn3)Cc3ccccn3)ccn2)cc1C</v>
      </c>
      <c r="C14976" s="7">
        <f>IFERROR(__xludf.DUMMYFUNCTION("""COMPUTED_VALUE"""),7.7452893)</f>
        <v>7.7452893</v>
      </c>
      <c r="D14976" s="7">
        <f>IFERROR(__xludf.DUMMYFUNCTION("""COMPUTED_VALUE"""),0.444444444444444)</f>
        <v>0.4444444444</v>
      </c>
    </row>
    <row r="14977">
      <c r="A14977" s="10" t="s">
        <v>16416</v>
      </c>
      <c r="B14977" s="7" t="str">
        <f>IFERROR(__xludf.DUMMYFUNCTION("SPLIT(A14977,"" "")"),"Cc1ccnc2ccc(N(C)CCN(C)CCN)cc12")</f>
        <v>Cc1ccnc2ccc(N(C)CCN(C)CCN)cc12</v>
      </c>
      <c r="C14977" s="7">
        <f>IFERROR(__xludf.DUMMYFUNCTION("""COMPUTED_VALUE"""),7.7452707)</f>
        <v>7.7452707</v>
      </c>
      <c r="D14977" s="7">
        <f>IFERROR(__xludf.DUMMYFUNCTION("""COMPUTED_VALUE"""),0.26)</f>
        <v>0.26</v>
      </c>
    </row>
    <row r="14978">
      <c r="A14978" s="10" t="s">
        <v>16417</v>
      </c>
      <c r="B14978" s="7" t="str">
        <f>IFERROR(__xludf.DUMMYFUNCTION("SPLIT(A14978,"" "")"),"CC(C)C(C)N(Cc1ccccn1)c1ccc2nc(C(C)(C)C)ccc2c1")</f>
        <v>CC(C)C(C)N(Cc1ccccn1)c1ccc2nc(C(C)(C)C)ccc2c1</v>
      </c>
      <c r="C14978" s="7">
        <f>IFERROR(__xludf.DUMMYFUNCTION("""COMPUTED_VALUE"""),7.7452693)</f>
        <v>7.7452693</v>
      </c>
      <c r="D14978" s="7">
        <f>IFERROR(__xludf.DUMMYFUNCTION("""COMPUTED_VALUE"""),0.411764705882352)</f>
        <v>0.4117647059</v>
      </c>
    </row>
    <row r="14979">
      <c r="A14979" s="10" t="s">
        <v>16418</v>
      </c>
      <c r="B14979" s="7" t="str">
        <f>IFERROR(__xludf.DUMMYFUNCTION("SPLIT(A14979,"" "")"),"CN(Cc1cc(-c2ccccn2)ccn1)C1CCC(N(C)c2ccc3cc4c(nc3c2)CCC4)CC1")</f>
        <v>CN(Cc1cc(-c2ccccn2)ccn1)C1CCC(N(C)c2ccc3cc4c(nc3c2)CCC4)CC1</v>
      </c>
      <c r="C14979" s="7">
        <f>IFERROR(__xludf.DUMMYFUNCTION("""COMPUTED_VALUE"""),7.7452683)</f>
        <v>7.7452683</v>
      </c>
      <c r="D14979" s="7">
        <f>IFERROR(__xludf.DUMMYFUNCTION("""COMPUTED_VALUE"""),0.348484848484848)</f>
        <v>0.3484848485</v>
      </c>
    </row>
    <row r="14980">
      <c r="A14980" s="10" t="s">
        <v>16419</v>
      </c>
      <c r="B14980" s="7" t="str">
        <f>IFERROR(__xludf.DUMMYFUNCTION("SPLIT(A14980,"" "")"),"Cc1cc(CN(C)Cc2ccc(N(C)Cc3ncccc3C)cn2)cnc1C")</f>
        <v>Cc1cc(CN(C)Cc2ccc(N(C)Cc3ncccc3C)cn2)cnc1C</v>
      </c>
      <c r="C14980" s="7">
        <f>IFERROR(__xludf.DUMMYFUNCTION("""COMPUTED_VALUE"""),7.745263)</f>
        <v>7.745263</v>
      </c>
      <c r="D14980" s="7">
        <f>IFERROR(__xludf.DUMMYFUNCTION("""COMPUTED_VALUE"""),0.339622641509433)</f>
        <v>0.3396226415</v>
      </c>
    </row>
    <row r="14981">
      <c r="A14981" s="10" t="s">
        <v>16420</v>
      </c>
      <c r="B14981" s="7" t="str">
        <f>IFERROR(__xludf.DUMMYFUNCTION("SPLIT(A14981,"" "")"),"Cc1ccc(CN(C)CCCN(C)c2ccc3nccc(CF)c3c2)nc1")</f>
        <v>Cc1ccc(CN(C)CCCN(C)c2ccc3nccc(CF)c3c2)nc1</v>
      </c>
      <c r="C14981" s="7">
        <f>IFERROR(__xludf.DUMMYFUNCTION("""COMPUTED_VALUE"""),7.74526)</f>
        <v>7.74526</v>
      </c>
      <c r="D14981" s="7">
        <f>IFERROR(__xludf.DUMMYFUNCTION("""COMPUTED_VALUE"""),0.48)</f>
        <v>0.48</v>
      </c>
    </row>
    <row r="14982">
      <c r="A14982" s="10" t="s">
        <v>16421</v>
      </c>
      <c r="B14982" s="7" t="str">
        <f>IFERROR(__xludf.DUMMYFUNCTION("SPLIT(A14982,"" "")"),"Cc1ccc2ccc(CN(C)C3CCC(N(C)c4ccc5nc(CF)ccc5c4)CC3)nc2c1")</f>
        <v>Cc1ccc2ccc(CN(C)C3CCC(N(C)c4ccc5nc(CF)ccc5c4)CC3)nc2c1</v>
      </c>
      <c r="C14982" s="7">
        <f>IFERROR(__xludf.DUMMYFUNCTION("""COMPUTED_VALUE"""),7.7452517)</f>
        <v>7.7452517</v>
      </c>
      <c r="D14982" s="7">
        <f>IFERROR(__xludf.DUMMYFUNCTION("""COMPUTED_VALUE"""),0.333333333333333)</f>
        <v>0.3333333333</v>
      </c>
    </row>
    <row r="14983">
      <c r="A14983" s="10" t="s">
        <v>16422</v>
      </c>
      <c r="B14983" s="7" t="str">
        <f>IFERROR(__xludf.DUMMYFUNCTION("SPLIT(A14983,"" "")"),"Cc1cc(CN(Cc2ccccn2)Cc2ncccc2-c2ccc(N(C)C)cc2)cnc1C1CCC1(C)C")</f>
        <v>Cc1cc(CN(Cc2ccccn2)Cc2ncccc2-c2ccc(N(C)C)cc2)cnc1C1CCC1(C)C</v>
      </c>
      <c r="C14983" s="7">
        <f>IFERROR(__xludf.DUMMYFUNCTION("""COMPUTED_VALUE"""),7.745249)</f>
        <v>7.745249</v>
      </c>
      <c r="D14983" s="7">
        <f>IFERROR(__xludf.DUMMYFUNCTION("""COMPUTED_VALUE"""),0.317460317460317)</f>
        <v>0.3174603175</v>
      </c>
    </row>
    <row r="14984">
      <c r="A14984" s="10" t="s">
        <v>16423</v>
      </c>
      <c r="B14984" s="7" t="str">
        <f>IFERROR(__xludf.DUMMYFUNCTION("SPLIT(A14984,"" "")"),"Cc1cccc(N(C)Cc2cc(C(C)(C)C)ccn2)c1C")</f>
        <v>Cc1cccc(N(C)Cc2cc(C(C)(C)C)ccn2)c1C</v>
      </c>
      <c r="C14984" s="7">
        <f>IFERROR(__xludf.DUMMYFUNCTION("""COMPUTED_VALUE"""),7.7452455)</f>
        <v>7.7452455</v>
      </c>
      <c r="D14984" s="7">
        <f>IFERROR(__xludf.DUMMYFUNCTION("""COMPUTED_VALUE"""),0.395833333333333)</f>
        <v>0.3958333333</v>
      </c>
    </row>
    <row r="14985">
      <c r="A14985" s="10" t="s">
        <v>16424</v>
      </c>
      <c r="B14985" s="7" t="str">
        <f>IFERROR(__xludf.DUMMYFUNCTION("SPLIT(A14985,"" "")"),"CN(C1=CNC(CN(Cc2ccccn2)Cc2ccccn2)=CC1)c1ccc(Cl)c(Cl)c1")</f>
        <v>CN(C1=CNC(CN(Cc2ccccn2)Cc2ccccn2)=CC1)c1ccc(Cl)c(Cl)c1</v>
      </c>
      <c r="C14985" s="7">
        <f>IFERROR(__xludf.DUMMYFUNCTION("""COMPUTED_VALUE"""),7.7452374)</f>
        <v>7.7452374</v>
      </c>
      <c r="D14985" s="7">
        <f>IFERROR(__xludf.DUMMYFUNCTION("""COMPUTED_VALUE"""),0.46551724137931)</f>
        <v>0.4655172414</v>
      </c>
    </row>
    <row r="14986">
      <c r="A14986" s="10" t="s">
        <v>16425</v>
      </c>
      <c r="B14986" s="7" t="str">
        <f>IFERROR(__xludf.DUMMYFUNCTION("SPLIT(A14986,"" "")"),"CC1(C)C=Cc2ccc(CN(Cc3ccnc(C4=NC(C)(C)CO4)c3)Cc3cc(C(C)(C)C)ccn3)nc2C1")</f>
        <v>CC1(C)C=Cc2ccc(CN(Cc3ccnc(C4=NC(C)(C)CO4)c3)Cc3cc(C(C)(C)C)ccn3)nc2C1</v>
      </c>
      <c r="C14986" s="7">
        <f>IFERROR(__xludf.DUMMYFUNCTION("""COMPUTED_VALUE"""),7.745222)</f>
        <v>7.745222</v>
      </c>
      <c r="D14986" s="7">
        <f>IFERROR(__xludf.DUMMYFUNCTION("""COMPUTED_VALUE"""),0.304347826086956)</f>
        <v>0.3043478261</v>
      </c>
    </row>
    <row r="14987">
      <c r="A14987" s="10" t="s">
        <v>16426</v>
      </c>
      <c r="B14987" s="7" t="str">
        <f>IFERROR(__xludf.DUMMYFUNCTION("SPLIT(A14987,"" "")"),"CCCN(Cc1ccccn1)c1ccc(C)c(C)c1-c1ncccc1CN(Cc1ccccn1)Cc1ncccc1C")</f>
        <v>CCCN(Cc1ccccn1)c1ccc(C)c(C)c1-c1ncccc1CN(Cc1ccccn1)Cc1ncccc1C</v>
      </c>
      <c r="C14987" s="7">
        <f>IFERROR(__xludf.DUMMYFUNCTION("""COMPUTED_VALUE"""),7.7452106)</f>
        <v>7.7452106</v>
      </c>
      <c r="D14987" s="7">
        <f>IFERROR(__xludf.DUMMYFUNCTION("""COMPUTED_VALUE"""),0.37037037037037)</f>
        <v>0.3703703704</v>
      </c>
    </row>
    <row r="14988">
      <c r="A14988" s="10" t="s">
        <v>16427</v>
      </c>
      <c r="B14988" s="7" t="str">
        <f>IFERROR(__xludf.DUMMYFUNCTION("SPLIT(A14988,"" "")"),"CC1COC(c2cc(CN(C)Cc3ccc(N)cn3)ccn2)=N1")</f>
        <v>CC1COC(c2cc(CN(C)Cc3ccc(N)cn3)ccn2)=N1</v>
      </c>
      <c r="C14988" s="7">
        <f>IFERROR(__xludf.DUMMYFUNCTION("""COMPUTED_VALUE"""),7.745207)</f>
        <v>7.745207</v>
      </c>
      <c r="D14988" s="7">
        <f>IFERROR(__xludf.DUMMYFUNCTION("""COMPUTED_VALUE"""),0.298245614035087)</f>
        <v>0.298245614</v>
      </c>
    </row>
    <row r="14989">
      <c r="A14989" s="10" t="s">
        <v>16428</v>
      </c>
      <c r="B14989" s="7" t="str">
        <f>IFERROR(__xludf.DUMMYFUNCTION("SPLIT(A14989,"" "")"),"Cc1cc(CN(C)c2ccc(CN(C)Cc3ccccn3)nc2)nc(C)c1C")</f>
        <v>Cc1cc(CN(C)c2ccc(CN(C)Cc3ccccn3)nc2)nc(C)c1C</v>
      </c>
      <c r="C14989" s="7">
        <f>IFERROR(__xludf.DUMMYFUNCTION("""COMPUTED_VALUE"""),7.7452025)</f>
        <v>7.7452025</v>
      </c>
      <c r="D14989" s="7">
        <f>IFERROR(__xludf.DUMMYFUNCTION("""COMPUTED_VALUE"""),0.470588235294117)</f>
        <v>0.4705882353</v>
      </c>
    </row>
    <row r="14990">
      <c r="A14990" s="10" t="s">
        <v>16429</v>
      </c>
      <c r="B14990" s="7" t="str">
        <f>IFERROR(__xludf.DUMMYFUNCTION("SPLIT(A14990,"" "")"),"CN(Cc1ccccn1)C1=C(CN(C)c2ccc(F)cc2)NC=CC1")</f>
        <v>CN(Cc1ccccn1)C1=C(CN(C)c2ccc(F)cc2)NC=CC1</v>
      </c>
      <c r="C14990" s="7">
        <f>IFERROR(__xludf.DUMMYFUNCTION("""COMPUTED_VALUE"""),7.745193)</f>
        <v>7.745193</v>
      </c>
      <c r="D14990" s="7">
        <f>IFERROR(__xludf.DUMMYFUNCTION("""COMPUTED_VALUE"""),0.396551724137931)</f>
        <v>0.3965517241</v>
      </c>
    </row>
    <row r="14991">
      <c r="A14991" s="10" t="s">
        <v>16430</v>
      </c>
      <c r="B14991" s="7" t="str">
        <f>IFERROR(__xludf.DUMMYFUNCTION("SPLIT(A14991,"" "")"),"Cc1cc(N=Cc2ccccn2)c(C)cc1CNCc1ccccn1")</f>
        <v>Cc1cc(N=Cc2ccccn2)c(C)cc1CNCc1ccccn1</v>
      </c>
      <c r="C14991" s="7">
        <f>IFERROR(__xludf.DUMMYFUNCTION("""COMPUTED_VALUE"""),7.7451916)</f>
        <v>7.7451916</v>
      </c>
      <c r="D14991" s="7">
        <f>IFERROR(__xludf.DUMMYFUNCTION("""COMPUTED_VALUE"""),0.48)</f>
        <v>0.48</v>
      </c>
    </row>
    <row r="14992">
      <c r="A14992" s="10" t="s">
        <v>16431</v>
      </c>
      <c r="B14992" s="7" t="str">
        <f>IFERROR(__xludf.DUMMYFUNCTION("SPLIT(A14992,"" "")"),"Cc1cc(-c2ccc(CN(C)Cc3ccccn3)cn2)ccc1N")</f>
        <v>Cc1cc(-c2ccc(CN(C)Cc3ccccn3)cn2)ccc1N</v>
      </c>
      <c r="C14992" s="7">
        <f>IFERROR(__xludf.DUMMYFUNCTION("""COMPUTED_VALUE"""),7.7451777)</f>
        <v>7.7451777</v>
      </c>
      <c r="D14992" s="7">
        <f>IFERROR(__xludf.DUMMYFUNCTION("""COMPUTED_VALUE"""),0.433962264150943)</f>
        <v>0.4339622642</v>
      </c>
    </row>
    <row r="14993">
      <c r="A14993" s="10" t="s">
        <v>16432</v>
      </c>
      <c r="B14993" s="7" t="str">
        <f>IFERROR(__xludf.DUMMYFUNCTION("SPLIT(A14993,"" "")"),"Cc1cc2ncccc2cc1CN(C)CC1=CC(N(C)Cc2ccccn2)C=CN1")</f>
        <v>Cc1cc2ncccc2cc1CN(C)CC1=CC(N(C)Cc2ccccn2)C=CN1</v>
      </c>
      <c r="C14993" s="7">
        <f>IFERROR(__xludf.DUMMYFUNCTION("""COMPUTED_VALUE"""),7.7451773)</f>
        <v>7.7451773</v>
      </c>
      <c r="D14993" s="7">
        <f>IFERROR(__xludf.DUMMYFUNCTION("""COMPUTED_VALUE"""),0.349206349206349)</f>
        <v>0.3492063492</v>
      </c>
    </row>
    <row r="14994">
      <c r="A14994" s="10" t="s">
        <v>16433</v>
      </c>
      <c r="B14994" s="7" t="str">
        <f>IFERROR(__xludf.DUMMYFUNCTION("SPLIT(A14994,"" "")"),"CC(C)N(C)CC1=CCC(N(C)Cc2cccc3ncccc23)=CN1")</f>
        <v>CC(C)N(C)CC1=CCC(N(C)Cc2cccc3ncccc23)=CN1</v>
      </c>
      <c r="C14994" s="7">
        <f>IFERROR(__xludf.DUMMYFUNCTION("""COMPUTED_VALUE"""),7.7451696)</f>
        <v>7.7451696</v>
      </c>
      <c r="D14994" s="7">
        <f>IFERROR(__xludf.DUMMYFUNCTION("""COMPUTED_VALUE"""),0.310344827586206)</f>
        <v>0.3103448276</v>
      </c>
    </row>
    <row r="14995">
      <c r="A14995" s="10" t="s">
        <v>16434</v>
      </c>
      <c r="B14995" s="7" t="str">
        <f>IFERROR(__xludf.DUMMYFUNCTION("SPLIT(A14995,"" "")"),"CCNc1cccc(-c2ncccc2C2(C)CC(Cl)C2Cl)n1")</f>
        <v>CCNc1cccc(-c2ncccc2C2(C)CC(Cl)C2Cl)n1</v>
      </c>
      <c r="C14995" s="7">
        <f>IFERROR(__xludf.DUMMYFUNCTION("""COMPUTED_VALUE"""),7.7451615)</f>
        <v>7.7451615</v>
      </c>
      <c r="D14995" s="7">
        <f>IFERROR(__xludf.DUMMYFUNCTION("""COMPUTED_VALUE"""),0.406779661016949)</f>
        <v>0.406779661</v>
      </c>
    </row>
    <row r="14996">
      <c r="A14996" s="10" t="s">
        <v>16435</v>
      </c>
      <c r="B14996" s="7" t="str">
        <f>IFERROR(__xludf.DUMMYFUNCTION("SPLIT(A14996,"" "")"),"CN(C)Cc1cccnc1CN(C)Cc1ncccc1-c1ccccc1N")</f>
        <v>CN(C)Cc1cccnc1CN(C)Cc1ncccc1-c1ccccc1N</v>
      </c>
      <c r="C14996" s="7">
        <f>IFERROR(__xludf.DUMMYFUNCTION("""COMPUTED_VALUE"""),7.7451563)</f>
        <v>7.7451563</v>
      </c>
      <c r="D14996" s="7">
        <f>IFERROR(__xludf.DUMMYFUNCTION("""COMPUTED_VALUE"""),0.346938775510204)</f>
        <v>0.3469387755</v>
      </c>
    </row>
    <row r="14997">
      <c r="A14997" s="10" t="s">
        <v>16436</v>
      </c>
      <c r="B14997" s="7" t="str">
        <f>IFERROR(__xludf.DUMMYFUNCTION("SPLIT(A14997,"" "")"),"CCN(Cc1ccccn1)c1ccc(C)c(C2CC(C)(C)C2)c1-c1cc(CN(Cc2ccccn2)Cc2ncccc2C)ccn1")</f>
        <v>CCN(Cc1ccccn1)c1ccc(C)c(C2CC(C)(C)C2)c1-c1cc(CN(Cc2ccccn2)Cc2ncccc2C)ccn1</v>
      </c>
      <c r="C14997" s="7">
        <f>IFERROR(__xludf.DUMMYFUNCTION("""COMPUTED_VALUE"""),7.7451487)</f>
        <v>7.7451487</v>
      </c>
      <c r="D14997" s="7">
        <f>IFERROR(__xludf.DUMMYFUNCTION("""COMPUTED_VALUE"""),0.3125)</f>
        <v>0.3125</v>
      </c>
    </row>
    <row r="14998">
      <c r="A14998" s="10" t="s">
        <v>16437</v>
      </c>
      <c r="B14998" s="7" t="str">
        <f>IFERROR(__xludf.DUMMYFUNCTION("SPLIT(A14998,"" "")"),"Cc1cccc(N(C)Cc2cc(C)c(C)cn2)c1")</f>
        <v>Cc1cccc(N(C)Cc2cc(C)c(C)cn2)c1</v>
      </c>
      <c r="C14998" s="7">
        <f>IFERROR(__xludf.DUMMYFUNCTION("""COMPUTED_VALUE"""),7.7451487)</f>
        <v>7.7451487</v>
      </c>
      <c r="D14998" s="7">
        <f>IFERROR(__xludf.DUMMYFUNCTION("""COMPUTED_VALUE"""),0.38095238095238)</f>
        <v>0.380952381</v>
      </c>
    </row>
    <row r="14999">
      <c r="A14999" s="10" t="s">
        <v>16438</v>
      </c>
      <c r="B14999" s="7" t="str">
        <f>IFERROR(__xludf.DUMMYFUNCTION("SPLIT(A14999,"" "")"),"Cc1cnc(CN(C)C2C=CNC(CN(C)Cc3ccc4ncccc4c3)=C2)cc1C")</f>
        <v>Cc1cnc(CN(C)C2C=CNC(CN(C)Cc3ccc4ncccc4c3)=C2)cc1C</v>
      </c>
      <c r="C14999" s="7">
        <f>IFERROR(__xludf.DUMMYFUNCTION("""COMPUTED_VALUE"""),7.7451453)</f>
        <v>7.7451453</v>
      </c>
      <c r="D14999" s="7">
        <f>IFERROR(__xludf.DUMMYFUNCTION("""COMPUTED_VALUE"""),0.28169014084507)</f>
        <v>0.2816901408</v>
      </c>
    </row>
    <row r="15000">
      <c r="A15000" s="10" t="s">
        <v>16439</v>
      </c>
      <c r="B15000" s="7" t="str">
        <f>IFERROR(__xludf.DUMMYFUNCTION("SPLIT(A15000,"" "")"),"CN(C)Cc1ccnc2cc(N(C)CCN(C)CC(C)(C)N)ccc12")</f>
        <v>CN(C)Cc1ccnc2cc(N(C)CCN(C)CC(C)(C)N)ccc12</v>
      </c>
      <c r="C15000" s="7">
        <f>IFERROR(__xludf.DUMMYFUNCTION("""COMPUTED_VALUE"""),7.745145)</f>
        <v>7.745145</v>
      </c>
      <c r="D15000" s="7">
        <f>IFERROR(__xludf.DUMMYFUNCTION("""COMPUTED_VALUE"""),0.263157894736842)</f>
        <v>0.2631578947</v>
      </c>
    </row>
    <row r="15001">
      <c r="A15001" s="10" t="s">
        <v>16440</v>
      </c>
      <c r="B15001" s="7" t="str">
        <f>IFERROR(__xludf.DUMMYFUNCTION("SPLIT(A15001,"" "")"),"Cc1cccnc1CN(C)c1cccnc1CN(C)C")</f>
        <v>Cc1cccnc1CN(C)c1cccnc1CN(C)C</v>
      </c>
      <c r="C15001" s="7">
        <f>IFERROR(__xludf.DUMMYFUNCTION("""COMPUTED_VALUE"""),7.745142)</f>
        <v>7.745142</v>
      </c>
      <c r="D15001" s="7">
        <f>IFERROR(__xludf.DUMMYFUNCTION("""COMPUTED_VALUE"""),0.395348837209302)</f>
        <v>0.3953488372</v>
      </c>
    </row>
    <row r="15002">
      <c r="A15002" s="10" t="s">
        <v>16441</v>
      </c>
      <c r="B15002" s="7" t="str">
        <f>IFERROR(__xludf.DUMMYFUNCTION("SPLIT(A15002,"" "")"),"CC(c1ccccn1)(c1ccccn1)c1cccnc1CN(Cc1ccccn1)Cc1cccnc1C1OC=NC1(C)C")</f>
        <v>CC(c1ccccn1)(c1ccccn1)c1cccnc1CN(Cc1ccccn1)Cc1cccnc1C1OC=NC1(C)C</v>
      </c>
      <c r="C15002" s="7">
        <f>IFERROR(__xludf.DUMMYFUNCTION("""COMPUTED_VALUE"""),7.745141)</f>
        <v>7.745141</v>
      </c>
      <c r="D15002" s="7">
        <f>IFERROR(__xludf.DUMMYFUNCTION("""COMPUTED_VALUE"""),0.344827586206896)</f>
        <v>0.3448275862</v>
      </c>
    </row>
    <row r="15003">
      <c r="A15003" s="10" t="s">
        <v>16442</v>
      </c>
      <c r="B15003" s="7" t="str">
        <f>IFERROR(__xludf.DUMMYFUNCTION("SPLIT(A15003,"" "")"),"Cc1cc(C2=NC(C(C)N=Cc3ccccn3)CO2)ccn1")</f>
        <v>Cc1cc(C2=NC(C(C)N=Cc3ccccn3)CO2)ccn1</v>
      </c>
      <c r="C15003" s="7">
        <f>IFERROR(__xludf.DUMMYFUNCTION("""COMPUTED_VALUE"""),7.745133)</f>
        <v>7.745133</v>
      </c>
      <c r="D15003" s="7">
        <f>IFERROR(__xludf.DUMMYFUNCTION("""COMPUTED_VALUE"""),0.316666666666666)</f>
        <v>0.3166666667</v>
      </c>
    </row>
    <row r="15004">
      <c r="A15004" s="10" t="s">
        <v>16443</v>
      </c>
      <c r="B15004" s="7" t="str">
        <f>IFERROR(__xludf.DUMMYFUNCTION("SPLIT(A15004,"" "")"),"Cc1cc(C)c(C)c(CN(C)c2cccnc2CN(C)Cc2ncccc2C)n1")</f>
        <v>Cc1cc(C)c(C)c(CN(C)c2cccnc2CN(C)Cc2ncccc2C)n1</v>
      </c>
      <c r="C15004" s="7">
        <f>IFERROR(__xludf.DUMMYFUNCTION("""COMPUTED_VALUE"""),7.7451224)</f>
        <v>7.7451224</v>
      </c>
      <c r="D15004" s="7">
        <f>IFERROR(__xludf.DUMMYFUNCTION("""COMPUTED_VALUE"""),0.346153846153846)</f>
        <v>0.3461538462</v>
      </c>
    </row>
    <row r="15005">
      <c r="A15005" s="10" t="s">
        <v>16444</v>
      </c>
      <c r="B15005" s="7" t="str">
        <f>IFERROR(__xludf.DUMMYFUNCTION("SPLIT(A15005,"" "")"),"CCCN(Cc1ccccn1)Cc1ncccc1-c1cccc(C)c1N(C)Cc1ccccn1")</f>
        <v>CCCN(Cc1ccccn1)Cc1ncccc1-c1cccc(C)c1N(C)Cc1ccccn1</v>
      </c>
      <c r="C15005" s="7">
        <f>IFERROR(__xludf.DUMMYFUNCTION("""COMPUTED_VALUE"""),7.7451134)</f>
        <v>7.7451134</v>
      </c>
      <c r="D15005" s="7">
        <f>IFERROR(__xludf.DUMMYFUNCTION("""COMPUTED_VALUE"""),0.46)</f>
        <v>0.46</v>
      </c>
    </row>
    <row r="15006">
      <c r="A15006" s="10" t="s">
        <v>16445</v>
      </c>
      <c r="B15006" s="7" t="str">
        <f>IFERROR(__xludf.DUMMYFUNCTION("SPLIT(A15006,"" "")"),"CC(C)NCc1ccc(CN(Cc2ccccn2)Cc2ccc(-c3cccc(N(C)C)c3)cn2)cn1")</f>
        <v>CC(C)NCc1ccc(CN(Cc2ccccn2)Cc2ccc(-c3cccc(N(C)C)c3)cn2)cn1</v>
      </c>
      <c r="C15006" s="7">
        <f>IFERROR(__xludf.DUMMYFUNCTION("""COMPUTED_VALUE"""),7.7451005)</f>
        <v>7.7451005</v>
      </c>
      <c r="D15006" s="7">
        <f>IFERROR(__xludf.DUMMYFUNCTION("""COMPUTED_VALUE"""),0.37037037037037)</f>
        <v>0.3703703704</v>
      </c>
    </row>
    <row r="15007">
      <c r="A15007" s="10" t="s">
        <v>16446</v>
      </c>
      <c r="B15007" s="7" t="str">
        <f>IFERROR(__xludf.DUMMYFUNCTION("SPLIT(A15007,"" "")"),"CN(CCN(Cc1ccccn1)c1ccc2c(CF)ccnc2c1)C1CCC(N(C)c2ccc3cccnc3c2)CC1")</f>
        <v>CN(CCN(Cc1ccccn1)c1ccc2c(CF)ccnc2c1)C1CCC(N(C)c2ccc3cccnc3c2)CC1</v>
      </c>
      <c r="C15007" s="7">
        <f>IFERROR(__xludf.DUMMYFUNCTION("""COMPUTED_VALUE"""),7.745093)</f>
        <v>7.745093</v>
      </c>
      <c r="D15007" s="7">
        <f>IFERROR(__xludf.DUMMYFUNCTION("""COMPUTED_VALUE"""),0.363636363636363)</f>
        <v>0.3636363636</v>
      </c>
    </row>
    <row r="15008">
      <c r="A15008" s="10" t="s">
        <v>16447</v>
      </c>
      <c r="B15008" s="7" t="str">
        <f>IFERROR(__xludf.DUMMYFUNCTION("SPLIT(A15008,"" "")"),"Cc1cccnc1CN(C)Cc1ncccc1N(C)Cc1ncc(C)c(C)c1C")</f>
        <v>Cc1cccnc1CN(C)Cc1ncccc1N(C)Cc1ncc(C)c(C)c1C</v>
      </c>
      <c r="C15008" s="7">
        <f>IFERROR(__xludf.DUMMYFUNCTION("""COMPUTED_VALUE"""),7.745082)</f>
        <v>7.745082</v>
      </c>
      <c r="D15008" s="7">
        <f>IFERROR(__xludf.DUMMYFUNCTION("""COMPUTED_VALUE"""),0.333333333333333)</f>
        <v>0.3333333333</v>
      </c>
    </row>
    <row r="15009">
      <c r="A15009" s="10" t="s">
        <v>16448</v>
      </c>
      <c r="B15009" s="7" t="str">
        <f>IFERROR(__xludf.DUMMYFUNCTION("SPLIT(A15009,"" "")"),"CCCN(Cc1ccccn1)Cc1cc(-c2cccc(N=Cc3ccccn3)c2)ccn1")</f>
        <v>CCCN(Cc1ccccn1)Cc1cc(-c2cccc(N=Cc3ccccn3)c2)ccn1</v>
      </c>
      <c r="C15009" s="7">
        <f>IFERROR(__xludf.DUMMYFUNCTION("""COMPUTED_VALUE"""),7.7450805)</f>
        <v>7.7450805</v>
      </c>
      <c r="D15009" s="7">
        <f>IFERROR(__xludf.DUMMYFUNCTION("""COMPUTED_VALUE"""),0.407407407407407)</f>
        <v>0.4074074074</v>
      </c>
    </row>
    <row r="15010">
      <c r="A15010" s="10" t="s">
        <v>16449</v>
      </c>
      <c r="B15010" s="7" t="str">
        <f>IFERROR(__xludf.DUMMYFUNCTION("SPLIT(A15010,"" "")"),"Cc1cc(CN(C)Cc2cccc(N(C)Cc3cc(C)c(C)c(C)n3)n2)ccn1")</f>
        <v>Cc1cc(CN(C)Cc2cccc(N(C)Cc3cc(C)c(C)c(C)n3)n2)ccn1</v>
      </c>
      <c r="C15010" s="7">
        <f>IFERROR(__xludf.DUMMYFUNCTION("""COMPUTED_VALUE"""),7.745077)</f>
        <v>7.745077</v>
      </c>
      <c r="D15010" s="7">
        <f>IFERROR(__xludf.DUMMYFUNCTION("""COMPUTED_VALUE"""),0.358490566037735)</f>
        <v>0.358490566</v>
      </c>
    </row>
    <row r="15011">
      <c r="A15011" s="10" t="s">
        <v>16450</v>
      </c>
      <c r="B15011" s="7" t="str">
        <f>IFERROR(__xludf.DUMMYFUNCTION("SPLIT(A15011,"" "")"),"CC(C)C(C)N(Cc1ccccn1)c1ccc2ncccc2c1")</f>
        <v>CC(C)C(C)N(Cc1ccccn1)c1ccc2ncccc2c1</v>
      </c>
      <c r="C15011" s="7">
        <f>IFERROR(__xludf.DUMMYFUNCTION("""COMPUTED_VALUE"""),7.745074)</f>
        <v>7.745074</v>
      </c>
      <c r="D15011" s="7">
        <f>IFERROR(__xludf.DUMMYFUNCTION("""COMPUTED_VALUE"""),0.434782608695652)</f>
        <v>0.4347826087</v>
      </c>
    </row>
    <row r="15012">
      <c r="A15012" s="10" t="s">
        <v>16451</v>
      </c>
      <c r="B15012" s="7" t="str">
        <f>IFERROR(__xludf.DUMMYFUNCTION("SPLIT(A15012,"" "")"),"Cc1cc(C)c(CN(C)c2cccc(CN(C)Cc3ncccc3C)n2)nc1C")</f>
        <v>Cc1cc(C)c(CN(C)c2cccc(CN(C)Cc3ncccc3C)n2)nc1C</v>
      </c>
      <c r="C15012" s="7">
        <f>IFERROR(__xludf.DUMMYFUNCTION("""COMPUTED_VALUE"""),7.745068)</f>
        <v>7.745068</v>
      </c>
      <c r="D15012" s="7">
        <f>IFERROR(__xludf.DUMMYFUNCTION("""COMPUTED_VALUE"""),0.381818181818181)</f>
        <v>0.3818181818</v>
      </c>
    </row>
    <row r="15013">
      <c r="A15013" s="10" t="s">
        <v>16452</v>
      </c>
      <c r="B15013" s="7" t="str">
        <f>IFERROR(__xludf.DUMMYFUNCTION("SPLIT(A15013,"" "")"),"CC1(C)COC(c2ccnc(C3OC=NC3(C)C)c2)=N1")</f>
        <v>CC1(C)COC(c2ccnc(C3OC=NC3(C)C)c2)=N1</v>
      </c>
      <c r="C15013" s="7">
        <f>IFERROR(__xludf.DUMMYFUNCTION("""COMPUTED_VALUE"""),7.7450657)</f>
        <v>7.7450657</v>
      </c>
      <c r="D15013" s="7">
        <f>IFERROR(__xludf.DUMMYFUNCTION("""COMPUTED_VALUE"""),0.395833333333333)</f>
        <v>0.3958333333</v>
      </c>
    </row>
    <row r="15014">
      <c r="A15014" s="10" t="s">
        <v>16453</v>
      </c>
      <c r="B15014" s="7" t="str">
        <f>IFERROR(__xludf.DUMMYFUNCTION("SPLIT(A15014,"" "")"),"Cc1ccc(CN(C)Cc2cccc(N(C)Cc3cc(C)c(C)c(C)n3)n2)nc1")</f>
        <v>Cc1ccc(CN(C)Cc2cccc(N(C)Cc3cc(C)c(C)c(C)n3)n2)nc1</v>
      </c>
      <c r="C15014" s="7">
        <f>IFERROR(__xludf.DUMMYFUNCTION("""COMPUTED_VALUE"""),7.7450547)</f>
        <v>7.7450547</v>
      </c>
      <c r="D15014" s="7">
        <f>IFERROR(__xludf.DUMMYFUNCTION("""COMPUTED_VALUE"""),0.458333333333333)</f>
        <v>0.4583333333</v>
      </c>
    </row>
    <row r="15015">
      <c r="A15015" s="10" t="s">
        <v>16454</v>
      </c>
      <c r="B15015" s="7" t="str">
        <f>IFERROR(__xludf.DUMMYFUNCTION("SPLIT(A15015,"" "")"),"CC(c1ccnc(CN(Cc2ccccn2)Cc2cccnc2C2OC=NC2(C)C)c1)(c1ccccn1)c1ccccn1")</f>
        <v>CC(c1ccnc(CN(Cc2ccccn2)Cc2cccnc2C2OC=NC2(C)C)c1)(c1ccccn1)c1ccccn1</v>
      </c>
      <c r="C15015" s="7">
        <f>IFERROR(__xludf.DUMMYFUNCTION("""COMPUTED_VALUE"""),7.7450457)</f>
        <v>7.7450457</v>
      </c>
      <c r="D15015" s="7">
        <f>IFERROR(__xludf.DUMMYFUNCTION("""COMPUTED_VALUE"""),0.344827586206896)</f>
        <v>0.3448275862</v>
      </c>
    </row>
    <row r="15016">
      <c r="A15016" s="10" t="s">
        <v>16455</v>
      </c>
      <c r="B15016" s="7" t="str">
        <f>IFERROR(__xludf.DUMMYFUNCTION("SPLIT(A15016,"" "")"),"CC(C)N(C)CCN(C)c1cccc2nc3c(cc12)CCC3")</f>
        <v>CC(C)N(C)CCN(C)c1cccc2nc3c(cc12)CCC3</v>
      </c>
      <c r="C15016" s="7">
        <f>IFERROR(__xludf.DUMMYFUNCTION("""COMPUTED_VALUE"""),7.7450385)</f>
        <v>7.7450385</v>
      </c>
      <c r="D15016" s="7">
        <f>IFERROR(__xludf.DUMMYFUNCTION("""COMPUTED_VALUE"""),0.396551724137931)</f>
        <v>0.3965517241</v>
      </c>
    </row>
    <row r="15017">
      <c r="A15017" s="10" t="s">
        <v>16456</v>
      </c>
      <c r="B15017" s="7" t="str">
        <f>IFERROR(__xludf.DUMMYFUNCTION("SPLIT(A15017,"" "")"),"Cc1cccnc1CN(C)C1C=CNC(CN(C)Cc2ccc3ncccc3c2)=C1")</f>
        <v>Cc1cccnc1CN(C)C1C=CNC(CN(C)Cc2ccc3ncccc3c2)=C1</v>
      </c>
      <c r="C15017" s="7">
        <f>IFERROR(__xludf.DUMMYFUNCTION("""COMPUTED_VALUE"""),7.745038)</f>
        <v>7.745038</v>
      </c>
      <c r="D15017" s="7">
        <f>IFERROR(__xludf.DUMMYFUNCTION("""COMPUTED_VALUE"""),0.294117647058823)</f>
        <v>0.2941176471</v>
      </c>
    </row>
    <row r="15018">
      <c r="A15018" s="10" t="s">
        <v>16457</v>
      </c>
      <c r="B15018" s="7" t="str">
        <f>IFERROR(__xludf.DUMMYFUNCTION("SPLIT(A15018,"" "")"),"Cc1cccc(NCc2ccccn2)c1-c1ccc(CN(Cc2ccccn2)Cc2ccccn2)cn1")</f>
        <v>Cc1cccc(NCc2ccccn2)c1-c1ccc(CN(Cc2ccccn2)Cc2ccccn2)cn1</v>
      </c>
      <c r="C15018" s="7">
        <f>IFERROR(__xludf.DUMMYFUNCTION("""COMPUTED_VALUE"""),7.745037)</f>
        <v>7.745037</v>
      </c>
      <c r="D15018" s="7">
        <f>IFERROR(__xludf.DUMMYFUNCTION("""COMPUTED_VALUE"""),0.434782608695652)</f>
        <v>0.4347826087</v>
      </c>
    </row>
    <row r="15019">
      <c r="A15019" s="10" t="s">
        <v>16458</v>
      </c>
      <c r="B15019" s="7" t="str">
        <f>IFERROR(__xludf.DUMMYFUNCTION("SPLIT(A15019,"" "")"),"Cc1cccc(NCc2ccccn2)c1-c1cccc(CN(Cc2ccccn2)C2CCC(N(C)c3ccc4nc(CF)ccc4c3)CC2)n1")</f>
        <v>Cc1cccc(NCc2ccccn2)c1-c1cccc(CN(Cc2ccccn2)C2CCC(N(C)c3ccc4nc(CF)ccc4c3)CC2)n1</v>
      </c>
      <c r="C15019" s="7">
        <f>IFERROR(__xludf.DUMMYFUNCTION("""COMPUTED_VALUE"""),7.745033)</f>
        <v>7.745033</v>
      </c>
      <c r="D15019" s="7">
        <f>IFERROR(__xludf.DUMMYFUNCTION("""COMPUTED_VALUE"""),0.351351351351351)</f>
        <v>0.3513513514</v>
      </c>
    </row>
    <row r="15020">
      <c r="A15020" s="10" t="s">
        <v>16459</v>
      </c>
      <c r="B15020" s="7" t="str">
        <f>IFERROR(__xludf.DUMMYFUNCTION("SPLIT(A15020,"" "")"),"CC(C)N(C)CCN(C)c1ccc2c(CN(C)C)ccnc2c1")</f>
        <v>CC(C)N(C)CCN(C)c1ccc2c(CN(C)C)ccnc2c1</v>
      </c>
      <c r="C15020" s="7">
        <f>IFERROR(__xludf.DUMMYFUNCTION("""COMPUTED_VALUE"""),7.7450275)</f>
        <v>7.7450275</v>
      </c>
      <c r="D15020" s="7">
        <f>IFERROR(__xludf.DUMMYFUNCTION("""COMPUTED_VALUE"""),0.269230769230769)</f>
        <v>0.2692307692</v>
      </c>
    </row>
    <row r="15021">
      <c r="A15021" s="10" t="s">
        <v>16460</v>
      </c>
      <c r="B15021" s="7" t="str">
        <f>IFERROR(__xludf.DUMMYFUNCTION("SPLIT(A15021,"" "")"),"Cc1ccc(CN(C)Cc2ncccc2N(C)Cc2nc(C)c(C)cc2C)nc1")</f>
        <v>Cc1ccc(CN(C)Cc2ncccc2N(C)Cc2nc(C)c(C)cc2C)nc1</v>
      </c>
      <c r="C15021" s="7">
        <f>IFERROR(__xludf.DUMMYFUNCTION("""COMPUTED_VALUE"""),7.7450233)</f>
        <v>7.7450233</v>
      </c>
      <c r="D15021" s="7">
        <f>IFERROR(__xludf.DUMMYFUNCTION("""COMPUTED_VALUE"""),0.44)</f>
        <v>0.44</v>
      </c>
    </row>
    <row r="15022">
      <c r="A15022" s="10" t="s">
        <v>16461</v>
      </c>
      <c r="B15022" s="7" t="str">
        <f>IFERROR(__xludf.DUMMYFUNCTION("SPLIT(A15022,"" "")"),"Cc1cccc(NCc2ccccn2)c1-c1ncccc1CN(Cc1ccccn1)Cc1ccccn1")</f>
        <v>Cc1cccc(NCc2ccccn2)c1-c1ncccc1CN(Cc1ccccn1)Cc1ccccn1</v>
      </c>
      <c r="C15022" s="7">
        <f>IFERROR(__xludf.DUMMYFUNCTION("""COMPUTED_VALUE"""),7.745023)</f>
        <v>7.745023</v>
      </c>
      <c r="D15022" s="7">
        <f>IFERROR(__xludf.DUMMYFUNCTION("""COMPUTED_VALUE"""),0.444444444444444)</f>
        <v>0.4444444444</v>
      </c>
    </row>
    <row r="15023">
      <c r="A15023" s="10" t="s">
        <v>16462</v>
      </c>
      <c r="B15023" s="7" t="str">
        <f>IFERROR(__xludf.DUMMYFUNCTION("SPLIT(A15023,"" "")"),"CN(CCN(Cc1cccnc1)c1cccc2ncccc12)Cc1ccccn1")</f>
        <v>CN(CCN(Cc1cccnc1)c1cccc2ncccc12)Cc1ccccn1</v>
      </c>
      <c r="C15023" s="7">
        <f>IFERROR(__xludf.DUMMYFUNCTION("""COMPUTED_VALUE"""),7.7450104)</f>
        <v>7.7450104</v>
      </c>
      <c r="D15023" s="7">
        <f>IFERROR(__xludf.DUMMYFUNCTION("""COMPUTED_VALUE"""),0.396825396825396)</f>
        <v>0.3968253968</v>
      </c>
    </row>
    <row r="15024">
      <c r="A15024" s="10" t="s">
        <v>16463</v>
      </c>
      <c r="B15024" s="7" t="str">
        <f>IFERROR(__xludf.DUMMYFUNCTION("SPLIT(A15024,"" "")"),"CN(Cc1ccccn1)Cc1cc(-c2ccccc2N)ccn1")</f>
        <v>CN(Cc1ccccn1)Cc1cc(-c2ccccc2N)ccn1</v>
      </c>
      <c r="C15024" s="7">
        <f>IFERROR(__xludf.DUMMYFUNCTION("""COMPUTED_VALUE"""),7.7450094)</f>
        <v>7.7450094</v>
      </c>
      <c r="D15024" s="7">
        <f>IFERROR(__xludf.DUMMYFUNCTION("""COMPUTED_VALUE"""),0.478260869565217)</f>
        <v>0.4782608696</v>
      </c>
    </row>
    <row r="15025">
      <c r="A15025" s="10" t="s">
        <v>16464</v>
      </c>
      <c r="B15025" s="7" t="str">
        <f>IFERROR(__xludf.DUMMYFUNCTION("SPLIT(A15025,"" "")"),"CC(N)C(C)CN(Cc1ccccn1)c1cccc2ncccc12")</f>
        <v>CC(N)C(C)CN(Cc1ccccn1)c1cccc2ncccc12</v>
      </c>
      <c r="C15025" s="7">
        <f>IFERROR(__xludf.DUMMYFUNCTION("""COMPUTED_VALUE"""),7.7449994)</f>
        <v>7.7449994</v>
      </c>
      <c r="D15025" s="7">
        <f>IFERROR(__xludf.DUMMYFUNCTION("""COMPUTED_VALUE"""),0.4)</f>
        <v>0.4</v>
      </c>
    </row>
    <row r="15026">
      <c r="A15026" s="10" t="s">
        <v>16465</v>
      </c>
      <c r="B15026" s="7" t="str">
        <f>IFERROR(__xludf.DUMMYFUNCTION("SPLIT(A15026,"" "")"),"Cc1ccnc2cccc(N(CCN(C)C(C)C)Cc3ccccn3)c12")</f>
        <v>Cc1ccnc2cccc(N(CCN(C)C(C)C)Cc3ccccn3)c12</v>
      </c>
      <c r="C15026" s="7">
        <f>IFERROR(__xludf.DUMMYFUNCTION("""COMPUTED_VALUE"""),7.744996)</f>
        <v>7.744996</v>
      </c>
      <c r="D15026" s="7">
        <f>IFERROR(__xludf.DUMMYFUNCTION("""COMPUTED_VALUE"""),0.431372549019607)</f>
        <v>0.431372549</v>
      </c>
    </row>
    <row r="15027">
      <c r="A15027" s="10" t="s">
        <v>16466</v>
      </c>
      <c r="B15027" s="7" t="str">
        <f>IFERROR(__xludf.DUMMYFUNCTION("SPLIT(A15027,"" "")"),"Cc1cccc(N(C)Cc2cccc(C(C)(C)c3ccccn3)n2)c1")</f>
        <v>Cc1cccc(N(C)Cc2cccc(C(C)(C)c3ccccn3)n2)c1</v>
      </c>
      <c r="C15027" s="7">
        <f>IFERROR(__xludf.DUMMYFUNCTION("""COMPUTED_VALUE"""),7.7449875)</f>
        <v>7.7449875</v>
      </c>
      <c r="D15027" s="7">
        <f>IFERROR(__xludf.DUMMYFUNCTION("""COMPUTED_VALUE"""),0.42)</f>
        <v>0.42</v>
      </c>
    </row>
    <row r="15028">
      <c r="A15028" s="10" t="s">
        <v>16467</v>
      </c>
      <c r="B15028" s="7" t="str">
        <f>IFERROR(__xludf.DUMMYFUNCTION("SPLIT(A15028,"" "")"),"Cc1ccc(-c2ccccc2NCc2ccccn2)nc1CN(C)C1CCC(N(C)c2ccc3cccnc3c2)CC1")</f>
        <v>Cc1ccc(-c2ccccc2NCc2ccccn2)nc1CN(C)C1CCC(N(C)c2ccc3cccnc3c2)CC1</v>
      </c>
      <c r="C15028" s="7">
        <f>IFERROR(__xludf.DUMMYFUNCTION("""COMPUTED_VALUE"""),7.7449865)</f>
        <v>7.7449865</v>
      </c>
      <c r="D15028" s="7">
        <f>IFERROR(__xludf.DUMMYFUNCTION("""COMPUTED_VALUE"""),0.309859154929577)</f>
        <v>0.3098591549</v>
      </c>
    </row>
    <row r="15029">
      <c r="A15029" s="10" t="s">
        <v>16468</v>
      </c>
      <c r="B15029" s="7" t="str">
        <f>IFERROR(__xludf.DUMMYFUNCTION("SPLIT(A15029,"" "")"),"Cc1ccc(C)c(C(C)(C)C)c1N(C)Cc1ccccn1")</f>
        <v>Cc1ccc(C)c(C(C)(C)C)c1N(C)Cc1ccccn1</v>
      </c>
      <c r="C15029" s="7">
        <f>IFERROR(__xludf.DUMMYFUNCTION("""COMPUTED_VALUE"""),7.744982)</f>
        <v>7.744982</v>
      </c>
      <c r="D15029" s="7">
        <f>IFERROR(__xludf.DUMMYFUNCTION("""COMPUTED_VALUE"""),0.488372093023255)</f>
        <v>0.488372093</v>
      </c>
    </row>
    <row r="15030">
      <c r="A15030" s="10" t="s">
        <v>16469</v>
      </c>
      <c r="B15030" s="7" t="str">
        <f>IFERROR(__xludf.DUMMYFUNCTION("SPLIT(A15030,"" "")"),"Cc1cccc(CN(C)Cc2ncccc2N(C)Cc2ncc(C)c(C)c2C)n1")</f>
        <v>Cc1cccc(CN(C)Cc2ncccc2N(C)Cc2ncc(C)c(C)c2C)n1</v>
      </c>
      <c r="C15030" s="7">
        <f>IFERROR(__xludf.DUMMYFUNCTION("""COMPUTED_VALUE"""),7.7449455)</f>
        <v>7.7449455</v>
      </c>
      <c r="D15030" s="7">
        <f>IFERROR(__xludf.DUMMYFUNCTION("""COMPUTED_VALUE"""),0.448979591836734)</f>
        <v>0.4489795918</v>
      </c>
    </row>
    <row r="15031">
      <c r="A15031" s="10" t="s">
        <v>16470</v>
      </c>
      <c r="B15031" s="7" t="str">
        <f>IFERROR(__xludf.DUMMYFUNCTION("SPLIT(A15031,"" "")"),"CN(C)Cc1nccc2cc(N(C)C3CCCCC3N(Cc3ccccn3)Cc3cccc4ncccc34)ccc12")</f>
        <v>CN(C)Cc1nccc2cc(N(C)C3CCCCC3N(Cc3ccccn3)Cc3cccc4ncccc34)ccc12</v>
      </c>
      <c r="C15031" s="7">
        <f>IFERROR(__xludf.DUMMYFUNCTION("""COMPUTED_VALUE"""),7.744929)</f>
        <v>7.744929</v>
      </c>
      <c r="D15031" s="7">
        <f>IFERROR(__xludf.DUMMYFUNCTION("""COMPUTED_VALUE"""),0.393939393939393)</f>
        <v>0.3939393939</v>
      </c>
    </row>
    <row r="15032">
      <c r="A15032" s="10" t="s">
        <v>16471</v>
      </c>
      <c r="B15032" s="7" t="str">
        <f>IFERROR(__xludf.DUMMYFUNCTION("SPLIT(A15032,"" "")"),"Cc1cccnc1CN(C)Cc1cccc(N(C)C(C)(c2cccnc2)c2ccccn2)c1C")</f>
        <v>Cc1cccnc1CN(C)Cc1cccc(N(C)C(C)(c2cccnc2)c2ccccn2)c1C</v>
      </c>
      <c r="C15032" s="7">
        <f>IFERROR(__xludf.DUMMYFUNCTION("""COMPUTED_VALUE"""),7.744905)</f>
        <v>7.744905</v>
      </c>
      <c r="D15032" s="7">
        <f>IFERROR(__xludf.DUMMYFUNCTION("""COMPUTED_VALUE"""),0.306451612903225)</f>
        <v>0.3064516129</v>
      </c>
    </row>
    <row r="15033">
      <c r="A15033" s="10" t="s">
        <v>16472</v>
      </c>
      <c r="B15033" s="7" t="str">
        <f>IFERROR(__xludf.DUMMYFUNCTION("SPLIT(A15033,"" "")"),"CC(C)C(C)(c1cccnc1)N(Cc1ccccn1)Cc1ncccc1-c1cccc(N(C)C)c1")</f>
        <v>CC(C)C(C)(c1cccnc1)N(Cc1ccccn1)Cc1ncccc1-c1cccc(N(C)C)c1</v>
      </c>
      <c r="C15033" s="7">
        <f>IFERROR(__xludf.DUMMYFUNCTION("""COMPUTED_VALUE"""),7.744903)</f>
        <v>7.744903</v>
      </c>
      <c r="D15033" s="7">
        <f>IFERROR(__xludf.DUMMYFUNCTION("""COMPUTED_VALUE"""),0.333333333333333)</f>
        <v>0.3333333333</v>
      </c>
    </row>
    <row r="15034">
      <c r="A15034" s="10" t="s">
        <v>16473</v>
      </c>
      <c r="B15034" s="7" t="str">
        <f>IFERROR(__xludf.DUMMYFUNCTION("SPLIT(A15034,"" "")"),"Cc1nc(CN(C)c2cccnc2CN(C)Cc2ccccn2)c(C)c(C)c1C")</f>
        <v>Cc1nc(CN(C)c2cccnc2CN(C)Cc2ccccn2)c(C)c(C)c1C</v>
      </c>
      <c r="C15034" s="7">
        <f>IFERROR(__xludf.DUMMYFUNCTION("""COMPUTED_VALUE"""),7.744897)</f>
        <v>7.744897</v>
      </c>
      <c r="D15034" s="7">
        <f>IFERROR(__xludf.DUMMYFUNCTION("""COMPUTED_VALUE"""),0.450980392156862)</f>
        <v>0.4509803922</v>
      </c>
    </row>
    <row r="15035">
      <c r="A15035" s="10" t="s">
        <v>16474</v>
      </c>
      <c r="B15035" s="7" t="str">
        <f>IFERROR(__xludf.DUMMYFUNCTION("SPLIT(A15035,"" "")"),"Cc1cccc(N(C)Cc2cccc(N(C)C(C)C)n2)c1C")</f>
        <v>Cc1cccc(N(C)Cc2cccc(N(C)C(C)C)n2)c1C</v>
      </c>
      <c r="C15035" s="7">
        <f>IFERROR(__xludf.DUMMYFUNCTION("""COMPUTED_VALUE"""),7.744897)</f>
        <v>7.744897</v>
      </c>
      <c r="D15035" s="7">
        <f>IFERROR(__xludf.DUMMYFUNCTION("""COMPUTED_VALUE"""),0.377777777777777)</f>
        <v>0.3777777778</v>
      </c>
    </row>
    <row r="15036">
      <c r="A15036" s="10" t="s">
        <v>16475</v>
      </c>
      <c r="B15036" s="7" t="str">
        <f>IFERROR(__xludf.DUMMYFUNCTION("SPLIT(A15036,"" "")"),"Cc1c(CN(C)c2cccnc2CN(C)Cc2ccccn2)nc(C(C)(C)C)c(C)c1C")</f>
        <v>Cc1c(CN(C)c2cccnc2CN(C)Cc2ccccn2)nc(C(C)(C)C)c(C)c1C</v>
      </c>
      <c r="C15036" s="7">
        <f>IFERROR(__xludf.DUMMYFUNCTION("""COMPUTED_VALUE"""),7.744895)</f>
        <v>7.744895</v>
      </c>
      <c r="D15036" s="7">
        <f>IFERROR(__xludf.DUMMYFUNCTION("""COMPUTED_VALUE"""),0.418181818181818)</f>
        <v>0.4181818182</v>
      </c>
    </row>
    <row r="15037">
      <c r="A15037" s="10" t="s">
        <v>16476</v>
      </c>
      <c r="B15037" s="7" t="str">
        <f>IFERROR(__xludf.DUMMYFUNCTION("SPLIT(A15037,"" "")"),"C=Nc1cccc(-c2cccc(CN(C)Cc3cccc(C)c3)n2)c1")</f>
        <v>C=Nc1cccc(-c2cccc(CN(C)Cc3cccc(C)c3)n2)c1</v>
      </c>
      <c r="C15037" s="7">
        <f>IFERROR(__xludf.DUMMYFUNCTION("""COMPUTED_VALUE"""),7.744892)</f>
        <v>7.744892</v>
      </c>
      <c r="D15037" s="7">
        <f>IFERROR(__xludf.DUMMYFUNCTION("""COMPUTED_VALUE"""),0.388888888888888)</f>
        <v>0.3888888889</v>
      </c>
    </row>
    <row r="15038">
      <c r="A15038" s="10" t="s">
        <v>16477</v>
      </c>
      <c r="B15038" s="7" t="str">
        <f>IFERROR(__xludf.DUMMYFUNCTION("SPLIT(A15038,"" "")"),"CC1=CC(CN(C)Cc2ccccn2)CC(C)=C1c1cccc(N=Cc2ccccn2)c1")</f>
        <v>CC1=CC(CN(C)Cc2ccccn2)CC(C)=C1c1cccc(N=Cc2ccccn2)c1</v>
      </c>
      <c r="C15038" s="7">
        <f>IFERROR(__xludf.DUMMYFUNCTION("""COMPUTED_VALUE"""),7.7448854)</f>
        <v>7.7448854</v>
      </c>
      <c r="D15038" s="7">
        <f>IFERROR(__xludf.DUMMYFUNCTION("""COMPUTED_VALUE"""),0.342465753424657)</f>
        <v>0.3424657534</v>
      </c>
    </row>
    <row r="15039">
      <c r="A15039" s="10" t="s">
        <v>16478</v>
      </c>
      <c r="B15039" s="7" t="str">
        <f>IFERROR(__xludf.DUMMYFUNCTION("SPLIT(A15039,"" "")"),"Cc1cnc(CN(C)Cc2ccc(N(C)Cc3cccc(C)n3)cn2)c(C)c1")</f>
        <v>Cc1cnc(CN(C)Cc2ccc(N(C)Cc3cccc(C)n3)cn2)c(C)c1</v>
      </c>
      <c r="C15039" s="7">
        <f>IFERROR(__xludf.DUMMYFUNCTION("""COMPUTED_VALUE"""),7.7448845)</f>
        <v>7.7448845</v>
      </c>
      <c r="D15039" s="7">
        <f>IFERROR(__xludf.DUMMYFUNCTION("""COMPUTED_VALUE"""),0.458333333333333)</f>
        <v>0.4583333333</v>
      </c>
    </row>
    <row r="15040">
      <c r="A15040" s="10" t="s">
        <v>16479</v>
      </c>
      <c r="B15040" s="7" t="str">
        <f>IFERROR(__xludf.DUMMYFUNCTION("SPLIT(A15040,"" "")"),"CC(C)NCc1ncccc1-c1cccnc1C(C)(C)C")</f>
        <v>CC(C)NCc1ncccc1-c1cccnc1C(C)(C)C</v>
      </c>
      <c r="C15040" s="7">
        <f>IFERROR(__xludf.DUMMYFUNCTION("""COMPUTED_VALUE"""),7.7448792)</f>
        <v>7.7448792</v>
      </c>
      <c r="D15040" s="7">
        <f>IFERROR(__xludf.DUMMYFUNCTION("""COMPUTED_VALUE"""),0.25)</f>
        <v>0.25</v>
      </c>
    </row>
    <row r="15041">
      <c r="A15041" s="10" t="s">
        <v>16480</v>
      </c>
      <c r="B15041" s="7" t="str">
        <f>IFERROR(__xludf.DUMMYFUNCTION("SPLIT(A15041,"" "")"),"CC(C)NCc1ncccc1-c1cccc(NCc2ccccn2)c1")</f>
        <v>CC(C)NCc1ncccc1-c1cccc(NCc2ccccn2)c1</v>
      </c>
      <c r="C15041" s="7">
        <f>IFERROR(__xludf.DUMMYFUNCTION("""COMPUTED_VALUE"""),7.7448792)</f>
        <v>7.7448792</v>
      </c>
      <c r="D15041" s="7">
        <f>IFERROR(__xludf.DUMMYFUNCTION("""COMPUTED_VALUE"""),0.389830508474576)</f>
        <v>0.3898305085</v>
      </c>
    </row>
    <row r="15042">
      <c r="A15042" s="10" t="s">
        <v>16481</v>
      </c>
      <c r="B15042" s="7" t="str">
        <f>IFERROR(__xludf.DUMMYFUNCTION("SPLIT(A15042,"" "")"),"CC(C)N(C)CCN(C)c1cccc2ncc3c(c12)CCC3")</f>
        <v>CC(C)N(C)CCN(C)c1cccc2ncc3c(c12)CCC3</v>
      </c>
      <c r="C15042" s="7">
        <f>IFERROR(__xludf.DUMMYFUNCTION("""COMPUTED_VALUE"""),7.7448754)</f>
        <v>7.7448754</v>
      </c>
      <c r="D15042" s="7">
        <f>IFERROR(__xludf.DUMMYFUNCTION("""COMPUTED_VALUE"""),0.320754716981132)</f>
        <v>0.320754717</v>
      </c>
    </row>
    <row r="15043">
      <c r="A15043" s="10" t="s">
        <v>16482</v>
      </c>
      <c r="B15043" s="7" t="str">
        <f>IFERROR(__xludf.DUMMYFUNCTION("SPLIT(A15043,"" "")"),"Cc1cc(NCc2ccccn2)ccc1-c1cccc(CN(C)C2CCCCC2N(C)c2ccc3cccnc3c2)n1")</f>
        <v>Cc1cc(NCc2ccccn2)ccc1-c1cccc(CN(C)C2CCCCC2N(C)c2ccc3cccnc3c2)n1</v>
      </c>
      <c r="C15043" s="7">
        <f>IFERROR(__xludf.DUMMYFUNCTION("""COMPUTED_VALUE"""),7.7448716)</f>
        <v>7.7448716</v>
      </c>
      <c r="D15043" s="7">
        <f>IFERROR(__xludf.DUMMYFUNCTION("""COMPUTED_VALUE"""),0.426470588235294)</f>
        <v>0.4264705882</v>
      </c>
    </row>
    <row r="15044">
      <c r="A15044" s="10" t="s">
        <v>16483</v>
      </c>
      <c r="B15044" s="7" t="str">
        <f>IFERROR(__xludf.DUMMYFUNCTION("SPLIT(A15044,"" "")"),"Cc1cc(NCc2ccccn2)ccc1-c1ccc(CN(Cc2ccccn2)Cc2ccccn2)cn1")</f>
        <v>Cc1cc(NCc2ccccn2)ccc1-c1ccc(CN(Cc2ccccn2)Cc2ccccn2)cn1</v>
      </c>
      <c r="C15044" s="7">
        <f>IFERROR(__xludf.DUMMYFUNCTION("""COMPUTED_VALUE"""),7.744869)</f>
        <v>7.744869</v>
      </c>
      <c r="D15044" s="7">
        <f>IFERROR(__xludf.DUMMYFUNCTION("""COMPUTED_VALUE"""),0.416666666666666)</f>
        <v>0.4166666667</v>
      </c>
    </row>
    <row r="15045">
      <c r="A15045" s="10" t="s">
        <v>16484</v>
      </c>
      <c r="B15045" s="7" t="str">
        <f>IFERROR(__xludf.DUMMYFUNCTION("SPLIT(A15045,"" "")"),"CCOC1(C)COC(c2ncccc2C2=NC(C)(C)CO2)=N1")</f>
        <v>CCOC1(C)COC(c2ncccc2C2=NC(C)(C)CO2)=N1</v>
      </c>
      <c r="C15045" s="7">
        <f>IFERROR(__xludf.DUMMYFUNCTION("""COMPUTED_VALUE"""),7.744868)</f>
        <v>7.744868</v>
      </c>
      <c r="D15045" s="7">
        <f>IFERROR(__xludf.DUMMYFUNCTION("""COMPUTED_VALUE"""),0.395833333333333)</f>
        <v>0.3958333333</v>
      </c>
    </row>
    <row r="15046">
      <c r="A15046" s="10" t="s">
        <v>16485</v>
      </c>
      <c r="B15046" s="7" t="str">
        <f>IFERROR(__xludf.DUMMYFUNCTION("SPLIT(A15046,"" "")"),"Cc1cccnc1CN(Cc1ccc2ncccc2c1)C1CCCCC1N(C)c1cccc2cc(CN(C)C)cnc12")</f>
        <v>Cc1cccnc1CN(Cc1ccc2ncccc2c1)C1CCCCC1N(C)c1cccc2cc(CN(C)C)cnc12</v>
      </c>
      <c r="C15046" s="7">
        <f>IFERROR(__xludf.DUMMYFUNCTION("""COMPUTED_VALUE"""),7.7448545)</f>
        <v>7.7448545</v>
      </c>
      <c r="D15046" s="7">
        <f>IFERROR(__xludf.DUMMYFUNCTION("""COMPUTED_VALUE"""),0.46875)</f>
        <v>0.46875</v>
      </c>
    </row>
    <row r="15047">
      <c r="A15047" s="10" t="s">
        <v>16486</v>
      </c>
      <c r="B15047" s="7" t="str">
        <f>IFERROR(__xludf.DUMMYFUNCTION("SPLIT(A15047,"" "")"),"Cc1ccc(C)c(N(C)Cc2ncccc2C(C)(C)C)c1C")</f>
        <v>Cc1ccc(C)c(N(C)Cc2ncccc2C(C)(C)C)c1C</v>
      </c>
      <c r="C15047" s="7">
        <f>IFERROR(__xludf.DUMMYFUNCTION("""COMPUTED_VALUE"""),7.7448454)</f>
        <v>7.7448454</v>
      </c>
      <c r="D15047" s="7">
        <f>IFERROR(__xludf.DUMMYFUNCTION("""COMPUTED_VALUE"""),0.285714285714285)</f>
        <v>0.2857142857</v>
      </c>
    </row>
    <row r="15048">
      <c r="A15048" s="10" t="s">
        <v>16487</v>
      </c>
      <c r="B15048" s="7" t="str">
        <f>IFERROR(__xludf.DUMMYFUNCTION("SPLIT(A15048,"" "")"),"Cc1cc(C)c(NCc2ccccn2)c(C)c1C")</f>
        <v>Cc1cc(C)c(NCc2ccccn2)c(C)c1C</v>
      </c>
      <c r="C15048" s="7">
        <f>IFERROR(__xludf.DUMMYFUNCTION("""COMPUTED_VALUE"""),7.744845)</f>
        <v>7.744845</v>
      </c>
      <c r="D15048" s="7">
        <f>IFERROR(__xludf.DUMMYFUNCTION("""COMPUTED_VALUE"""),0.459459459459459)</f>
        <v>0.4594594595</v>
      </c>
    </row>
    <row r="15049">
      <c r="A15049" s="10" t="s">
        <v>16488</v>
      </c>
      <c r="B15049" s="7" t="str">
        <f>IFERROR(__xludf.DUMMYFUNCTION("SPLIT(A15049,"" "")"),"Cc1cnccc1CN(C)Cc1ncccc1N(C)Cc1cc(C)c(C)c(C)n1")</f>
        <v>Cc1cnccc1CN(C)Cc1ncccc1N(C)Cc1cc(C)c(C)c(C)n1</v>
      </c>
      <c r="C15049" s="7">
        <f>IFERROR(__xludf.DUMMYFUNCTION("""COMPUTED_VALUE"""),7.7448344)</f>
        <v>7.7448344</v>
      </c>
      <c r="D15049" s="7">
        <f>IFERROR(__xludf.DUMMYFUNCTION("""COMPUTED_VALUE"""),0.322033898305084)</f>
        <v>0.3220338983</v>
      </c>
    </row>
    <row r="15050">
      <c r="A15050" s="10" t="s">
        <v>16489</v>
      </c>
      <c r="B15050" s="7" t="str">
        <f>IFERROR(__xludf.DUMMYFUNCTION("SPLIT(A15050,"" "")"),"Cc1cccnc1CN(C)c1ccnc(CN(C)Cc2c(C)cncc2C)c1")</f>
        <v>Cc1cccnc1CN(C)c1ccnc(CN(C)Cc2c(C)cncc2C)c1</v>
      </c>
      <c r="C15050" s="7">
        <f>IFERROR(__xludf.DUMMYFUNCTION("""COMPUTED_VALUE"""),7.744828)</f>
        <v>7.744828</v>
      </c>
      <c r="D15050" s="7">
        <f>IFERROR(__xludf.DUMMYFUNCTION("""COMPUTED_VALUE"""),0.31578947368421)</f>
        <v>0.3157894737</v>
      </c>
    </row>
    <row r="15051">
      <c r="A15051" s="10" t="s">
        <v>16490</v>
      </c>
      <c r="B15051" s="7" t="str">
        <f>IFERROR(__xludf.DUMMYFUNCTION("SPLIT(A15051,"" "")"),"Cc1cccc(-c2cccc(CN(C)Cc3cc(N)ccn3)n2)c1")</f>
        <v>Cc1cccc(-c2cccc(CN(C)Cc3cc(N)ccn3)n2)c1</v>
      </c>
      <c r="C15051" s="7">
        <f>IFERROR(__xludf.DUMMYFUNCTION("""COMPUTED_VALUE"""),7.7448235)</f>
        <v>7.7448235</v>
      </c>
      <c r="D15051" s="7">
        <f>IFERROR(__xludf.DUMMYFUNCTION("""COMPUTED_VALUE"""),0.489795918367346)</f>
        <v>0.4897959184</v>
      </c>
    </row>
    <row r="15052">
      <c r="A15052" s="10" t="s">
        <v>16491</v>
      </c>
      <c r="B15052" s="7" t="str">
        <f>IFERROR(__xludf.DUMMYFUNCTION("SPLIT(A15052,"" "")"),"CN(c1ccc2cc(C3=CCC=CN3)cnc2c1)C1CCC(N(Cc2ccc(C(C)(C)c3ccccn3)nc2)Cc2ccccn2)CC1")</f>
        <v>CN(c1ccc2cc(C3=CCC=CN3)cnc2c1)C1CCC(N(Cc2ccc(C(C)(C)c3ccccn3)nc2)Cc2ccccn2)CC1</v>
      </c>
      <c r="C15052" s="7">
        <f>IFERROR(__xludf.DUMMYFUNCTION("""COMPUTED_VALUE"""),7.7448215)</f>
        <v>7.7448215</v>
      </c>
      <c r="D15052" s="7">
        <f>IFERROR(__xludf.DUMMYFUNCTION("""COMPUTED_VALUE"""),0.3375)</f>
        <v>0.3375</v>
      </c>
    </row>
    <row r="15053">
      <c r="A15053" s="10" t="s">
        <v>16492</v>
      </c>
      <c r="B15053" s="7" t="str">
        <f>IFERROR(__xludf.DUMMYFUNCTION("SPLIT(A15053,"" "")"),"COC(=O)C(=O)C(C)C1(C)COC(c2ccc(CN(Cc3ccccn3)Cc3cccc(C4=NC(C)(C)CO4)n3)nc2)=N1")</f>
        <v>COC(=O)C(=O)C(C)C1(C)COC(c2ccc(CN(Cc3ccccn3)Cc3cccc(C4=NC(C)(C)CO4)n3)nc2)=N1</v>
      </c>
      <c r="C15053" s="7">
        <f>IFERROR(__xludf.DUMMYFUNCTION("""COMPUTED_VALUE"""),7.744821)</f>
        <v>7.744821</v>
      </c>
      <c r="D15053" s="7">
        <f>IFERROR(__xludf.DUMMYFUNCTION("""COMPUTED_VALUE"""),0.379746835443038)</f>
        <v>0.3797468354</v>
      </c>
    </row>
    <row r="15054">
      <c r="A15054" s="10" t="s">
        <v>16493</v>
      </c>
      <c r="B15054" s="7" t="str">
        <f>IFERROR(__xludf.DUMMYFUNCTION("SPLIT(A15054,"" "")"),"Cc1cc(CN(C)Cc2ncccc2N(C)Cc2cc(C)c(C)c(C)n2)ccn1")</f>
        <v>Cc1cc(CN(C)Cc2ncccc2N(C)Cc2cc(C)c(C)c(C)n2)ccn1</v>
      </c>
      <c r="C15054" s="7">
        <f>IFERROR(__xludf.DUMMYFUNCTION("""COMPUTED_VALUE"""),7.7448134)</f>
        <v>7.7448134</v>
      </c>
      <c r="D15054" s="7">
        <f>IFERROR(__xludf.DUMMYFUNCTION("""COMPUTED_VALUE"""),0.327586206896551)</f>
        <v>0.3275862069</v>
      </c>
    </row>
    <row r="15055">
      <c r="A15055" s="10" t="s">
        <v>16494</v>
      </c>
      <c r="B15055" s="7" t="str">
        <f>IFERROR(__xludf.DUMMYFUNCTION("SPLIT(A15055,"" "")"),"CN(C)Cc1ccc2cc(N(C)Cc3ccc4ccc(N(C)Cc5cccc(-c6ccc7c(c6)OCCOCCOCCOCCOCCO7)n5)cc4n3)ccc2n1")</f>
        <v>CN(C)Cc1ccc2cc(N(C)Cc3ccc4ccc(N(C)Cc5cccc(-c6ccc7c(c6)OCCOCCOCCOCCOCCO7)n5)cc4n3)ccc2n1</v>
      </c>
      <c r="C15055" s="7">
        <f>IFERROR(__xludf.DUMMYFUNCTION("""COMPUTED_VALUE"""),7.744811)</f>
        <v>7.744811</v>
      </c>
      <c r="D15055" s="7">
        <f>IFERROR(__xludf.DUMMYFUNCTION("""COMPUTED_VALUE"""),0.32)</f>
        <v>0.32</v>
      </c>
    </row>
    <row r="15056">
      <c r="A15056" s="10" t="s">
        <v>16495</v>
      </c>
      <c r="B15056" s="7" t="str">
        <f>IFERROR(__xludf.DUMMYFUNCTION("SPLIT(A15056,"" "")"),"CC(C)C1=CC2(C=CN1)C=C(c1ccc(CN(Cc3ccccn3)Cc3cccc(-c4ccccc4N=Cc4ccccn4)n3)cn1)CC(c1ccc(CN(Cc3ccccn3)Cc3ccccn3)cn1)C2(C)C")</f>
        <v>CC(C)C1=CC2(C=CN1)C=C(c1ccc(CN(Cc3ccccn3)Cc3cccc(-c4ccccc4N=Cc4ccccn4)n3)cn1)CC(c1ccc(CN(Cc3ccccn3)Cc3ccccn3)cn1)C2(C)C</v>
      </c>
      <c r="C15056" s="7">
        <f>IFERROR(__xludf.DUMMYFUNCTION("""COMPUTED_VALUE"""),7.744807)</f>
        <v>7.744807</v>
      </c>
      <c r="D15056" s="7">
        <f>IFERROR(__xludf.DUMMYFUNCTION("""COMPUTED_VALUE"""),0.275510204081632)</f>
        <v>0.2755102041</v>
      </c>
    </row>
    <row r="15057">
      <c r="A15057" s="10" t="s">
        <v>16496</v>
      </c>
      <c r="B15057" s="7" t="str">
        <f>IFERROR(__xludf.DUMMYFUNCTION("SPLIT(A15057,"" "")"),"Cc1ccc(C)c(N(Cc2ccccn2)C2CCCC(N(C)c3cccc4ncc(CN(C)C)cc34)C2)c1C")</f>
        <v>Cc1ccc(C)c(N(Cc2ccccn2)C2CCCC(N(C)c3cccc4ncc(CN(C)C)cc34)C2)c1C</v>
      </c>
      <c r="C15057" s="7">
        <f>IFERROR(__xludf.DUMMYFUNCTION("""COMPUTED_VALUE"""),7.7448053)</f>
        <v>7.7448053</v>
      </c>
      <c r="D15057" s="7">
        <f>IFERROR(__xludf.DUMMYFUNCTION("""COMPUTED_VALUE"""),0.338235294117647)</f>
        <v>0.3382352941</v>
      </c>
    </row>
    <row r="15058">
      <c r="A15058" s="10" t="s">
        <v>16497</v>
      </c>
      <c r="B15058" s="7" t="str">
        <f>IFERROR(__xludf.DUMMYFUNCTION("SPLIT(A15058,"" "")"),"Cc1cccnc1CN(C)Cc1cccc(N(C)Cc2cc(C)c(C)c(C)n2)n1")</f>
        <v>Cc1cccnc1CN(C)Cc1cccc(N(C)Cc2cc(C)c(C)c(C)n2)n1</v>
      </c>
      <c r="C15058" s="7">
        <f>IFERROR(__xludf.DUMMYFUNCTION("""COMPUTED_VALUE"""),7.7448025)</f>
        <v>7.7448025</v>
      </c>
      <c r="D15058" s="7">
        <f>IFERROR(__xludf.DUMMYFUNCTION("""COMPUTED_VALUE"""),0.375)</f>
        <v>0.375</v>
      </c>
    </row>
    <row r="15059">
      <c r="A15059" s="10" t="s">
        <v>16498</v>
      </c>
      <c r="B15059" s="7" t="str">
        <f>IFERROR(__xludf.DUMMYFUNCTION("SPLIT(A15059,"" "")"),"CN(CCN(C)C(C)(C)c1ccccn1)c1cccc2ncccc12")</f>
        <v>CN(CCN(C)C(C)(C)c1ccccn1)c1cccc2ncccc12</v>
      </c>
      <c r="C15059" s="7">
        <f>IFERROR(__xludf.DUMMYFUNCTION("""COMPUTED_VALUE"""),7.744795)</f>
        <v>7.744795</v>
      </c>
      <c r="D15059" s="7">
        <f>IFERROR(__xludf.DUMMYFUNCTION("""COMPUTED_VALUE"""),0.446808510638297)</f>
        <v>0.4468085106</v>
      </c>
    </row>
    <row r="15060">
      <c r="A15060" s="10" t="s">
        <v>16499</v>
      </c>
      <c r="B15060" s="7" t="str">
        <f>IFERROR(__xludf.DUMMYFUNCTION("SPLIT(A15060,"" "")"),"CNC1=C(N(C)Cc2ncccc2C)CC=CN1")</f>
        <v>CNC1=C(N(C)Cc2ncccc2C)CC=CN1</v>
      </c>
      <c r="C15060" s="7">
        <f>IFERROR(__xludf.DUMMYFUNCTION("""COMPUTED_VALUE"""),7.744791)</f>
        <v>7.744791</v>
      </c>
      <c r="D15060" s="7">
        <f>IFERROR(__xludf.DUMMYFUNCTION("""COMPUTED_VALUE"""),0.29090909090909)</f>
        <v>0.2909090909</v>
      </c>
    </row>
    <row r="15061">
      <c r="A15061" s="10" t="s">
        <v>16500</v>
      </c>
      <c r="B15061" s="7" t="str">
        <f>IFERROR(__xludf.DUMMYFUNCTION("SPLIT(A15061,"" "")"),"CN(C)c1ccccc1-c1ccnc(CN(Cc2ccccc2)Cc2cccnc2)c1")</f>
        <v>CN(C)c1ccccc1-c1ccnc(CN(Cc2ccccc2)Cc2cccnc2)c1</v>
      </c>
      <c r="C15061" s="7">
        <f>IFERROR(__xludf.DUMMYFUNCTION("""COMPUTED_VALUE"""),7.744784)</f>
        <v>7.744784</v>
      </c>
      <c r="D15061" s="7">
        <f>IFERROR(__xludf.DUMMYFUNCTION("""COMPUTED_VALUE"""),0.326530612244897)</f>
        <v>0.3265306122</v>
      </c>
    </row>
    <row r="15062">
      <c r="A15062" s="10" t="s">
        <v>16501</v>
      </c>
      <c r="B15062" s="7" t="str">
        <f>IFERROR(__xludf.DUMMYFUNCTION("SPLIT(A15062,"" "")"),"CNc1ncc(C)cc1C")</f>
        <v>CNc1ncc(C)cc1C</v>
      </c>
      <c r="C15062" s="7">
        <f>IFERROR(__xludf.DUMMYFUNCTION("""COMPUTED_VALUE"""),7.7447824)</f>
        <v>7.7447824</v>
      </c>
      <c r="D15062" s="7">
        <f>IFERROR(__xludf.DUMMYFUNCTION("""COMPUTED_VALUE"""),0.243243243243243)</f>
        <v>0.2432432432</v>
      </c>
    </row>
    <row r="15063">
      <c r="A15063" s="10" t="s">
        <v>16502</v>
      </c>
      <c r="B15063" s="7" t="str">
        <f>IFERROR(__xludf.DUMMYFUNCTION("SPLIT(A15063,"" "")"),"CC(C)N(C)Cc1cncc(-c2c(N)cccc2Cl)c1")</f>
        <v>CC(C)N(C)Cc1cncc(-c2c(N)cccc2Cl)c1</v>
      </c>
      <c r="C15063" s="7">
        <f>IFERROR(__xludf.DUMMYFUNCTION("""COMPUTED_VALUE"""),7.744775)</f>
        <v>7.744775</v>
      </c>
      <c r="D15063" s="7">
        <f>IFERROR(__xludf.DUMMYFUNCTION("""COMPUTED_VALUE"""),0.254545454545454)</f>
        <v>0.2545454545</v>
      </c>
    </row>
    <row r="15064">
      <c r="A15064" s="10" t="s">
        <v>16503</v>
      </c>
      <c r="B15064" s="7" t="str">
        <f>IFERROR(__xludf.DUMMYFUNCTION("SPLIT(A15064,"" "")"),"CN(C)c1ccccc1-c1ccnc(CN(Cc2ccccc2)Cc2ccccn2)c1")</f>
        <v>CN(C)c1ccccc1-c1ccnc(CN(Cc2ccccc2)Cc2ccccn2)c1</v>
      </c>
      <c r="C15064" s="7">
        <f>IFERROR(__xludf.DUMMYFUNCTION("""COMPUTED_VALUE"""),7.744775)</f>
        <v>7.744775</v>
      </c>
      <c r="D15064" s="7">
        <f>IFERROR(__xludf.DUMMYFUNCTION("""COMPUTED_VALUE"""),0.476190476190476)</f>
        <v>0.4761904762</v>
      </c>
    </row>
    <row r="15065">
      <c r="A15065" s="10" t="s">
        <v>16504</v>
      </c>
      <c r="B15065" s="7" t="str">
        <f>IFERROR(__xludf.DUMMYFUNCTION("SPLIT(A15065,"" "")"),"Cc1cnc(CN(C)Cc2ccc(N(C)C)nc2)c(C)c1C")</f>
        <v>Cc1cnc(CN(C)Cc2ccc(N(C)C)nc2)c(C)c1C</v>
      </c>
      <c r="C15065" s="7">
        <f>IFERROR(__xludf.DUMMYFUNCTION("""COMPUTED_VALUE"""),7.744769)</f>
        <v>7.744769</v>
      </c>
      <c r="D15065" s="7">
        <f>IFERROR(__xludf.DUMMYFUNCTION("""COMPUTED_VALUE"""),0.333333333333333)</f>
        <v>0.3333333333</v>
      </c>
    </row>
    <row r="15066">
      <c r="A15066" s="10" t="s">
        <v>16505</v>
      </c>
      <c r="B15066" s="7" t="str">
        <f>IFERROR(__xludf.DUMMYFUNCTION("SPLIT(A15066,"" "")"),"CN(C)c1ccccc1-c1ccnc(CN(CF)Cc2ccccn2)c1")</f>
        <v>CN(C)c1ccccc1-c1ccnc(CN(CF)Cc2ccccn2)c1</v>
      </c>
      <c r="C15066" s="7">
        <f>IFERROR(__xludf.DUMMYFUNCTION("""COMPUTED_VALUE"""),7.7447476)</f>
        <v>7.7447476</v>
      </c>
      <c r="D15066" s="7">
        <f>IFERROR(__xludf.DUMMYFUNCTION("""COMPUTED_VALUE"""),0.452380952380952)</f>
        <v>0.4523809524</v>
      </c>
    </row>
    <row r="15067">
      <c r="A15067" s="10" t="s">
        <v>16506</v>
      </c>
      <c r="B15067" s="7" t="str">
        <f>IFERROR(__xludf.DUMMYFUNCTION("SPLIT(A15067,"" "")"),"CCN(CC1=CCC=C(N(C)Cc2ccccn2)N1)c1cccc(N)c1N")</f>
        <v>CCN(CC1=CCC=C(N(C)Cc2ccccn2)N1)c1cccc(N)c1N</v>
      </c>
      <c r="C15067" s="7">
        <f>IFERROR(__xludf.DUMMYFUNCTION("""COMPUTED_VALUE"""),7.744735)</f>
        <v>7.744735</v>
      </c>
      <c r="D15067" s="7">
        <f>IFERROR(__xludf.DUMMYFUNCTION("""COMPUTED_VALUE"""),0.379310344827586)</f>
        <v>0.3793103448</v>
      </c>
    </row>
    <row r="15068">
      <c r="A15068" s="10" t="s">
        <v>16507</v>
      </c>
      <c r="B15068" s="7" t="str">
        <f>IFERROR(__xludf.DUMMYFUNCTION("SPLIT(A15068,"" "")"),"CN(Cc1ccccn1)Cc1nccc2cc(N(C)Cc3nccc4cc(N(C)Cc5ncccc5-c5cccc6c5OCCOCCOCCOCCOCCO6)ccc34)ccc12")</f>
        <v>CN(Cc1ccccn1)Cc1nccc2cc(N(C)Cc3nccc4cc(N(C)Cc5ncccc5-c5cccc6c5OCCOCCOCCOCCOCCO6)ccc34)ccc12</v>
      </c>
      <c r="C15068" s="7">
        <f>IFERROR(__xludf.DUMMYFUNCTION("""COMPUTED_VALUE"""),7.7447305)</f>
        <v>7.7447305</v>
      </c>
      <c r="D15068" s="7">
        <f>IFERROR(__xludf.DUMMYFUNCTION("""COMPUTED_VALUE"""),0.342857142857142)</f>
        <v>0.3428571429</v>
      </c>
    </row>
    <row r="15069">
      <c r="A15069" s="10" t="s">
        <v>16508</v>
      </c>
      <c r="B15069" s="7" t="str">
        <f>IFERROR(__xludf.DUMMYFUNCTION("SPLIT(A15069,"" "")"),"COC(=O)c1cc(CN(Cc2ccccn2)Cc2cc(C(C)(C)c3ccccn3)ccn2)ccn1")</f>
        <v>COC(=O)c1cc(CN(Cc2ccccn2)Cc2cc(C(C)(C)c3ccccn3)ccn2)ccn1</v>
      </c>
      <c r="C15069" s="7">
        <f>IFERROR(__xludf.DUMMYFUNCTION("""COMPUTED_VALUE"""),7.7447276)</f>
        <v>7.7447276</v>
      </c>
      <c r="D15069" s="7">
        <f>IFERROR(__xludf.DUMMYFUNCTION("""COMPUTED_VALUE"""),0.384615384615384)</f>
        <v>0.3846153846</v>
      </c>
    </row>
    <row r="15070">
      <c r="A15070" s="10" t="s">
        <v>16509</v>
      </c>
      <c r="B15070" s="7" t="str">
        <f>IFERROR(__xludf.DUMMYFUNCTION("SPLIT(A15070,"" "")"),"Cc1cnc2cccc(N(C)CCN(C)C(C)C)c2c1")</f>
        <v>Cc1cnc2cccc(N(C)CCN(C)C(C)C)c2c1</v>
      </c>
      <c r="C15070" s="7">
        <f>IFERROR(__xludf.DUMMYFUNCTION("""COMPUTED_VALUE"""),7.7447243)</f>
        <v>7.7447243</v>
      </c>
      <c r="D15070" s="7">
        <f>IFERROR(__xludf.DUMMYFUNCTION("""COMPUTED_VALUE"""),0.391304347826087)</f>
        <v>0.3913043478</v>
      </c>
    </row>
    <row r="15071">
      <c r="A15071" s="10" t="s">
        <v>16510</v>
      </c>
      <c r="B15071" s="7" t="str">
        <f>IFERROR(__xludf.DUMMYFUNCTION("SPLIT(A15071,"" "")"),"CN(C)c1ccccc1-c1cccnc1CN(Cc1ccccc1)Cc1ccccn1")</f>
        <v>CN(C)c1ccccc1-c1cccnc1CN(Cc1ccccc1)Cc1ccccn1</v>
      </c>
      <c r="C15071" s="7">
        <f>IFERROR(__xludf.DUMMYFUNCTION("""COMPUTED_VALUE"""),7.74472)</f>
        <v>7.74472</v>
      </c>
      <c r="D15071" s="7">
        <f>IFERROR(__xludf.DUMMYFUNCTION("""COMPUTED_VALUE"""),0.48780487804878)</f>
        <v>0.487804878</v>
      </c>
    </row>
    <row r="15072">
      <c r="A15072" s="10" t="s">
        <v>16511</v>
      </c>
      <c r="B15072" s="7" t="str">
        <f>IFERROR(__xludf.DUMMYFUNCTION("SPLIT(A15072,"" "")"),"Cc1cccc(N(C)Cc2ccc(C(C)(C)C)cn2)c1C")</f>
        <v>Cc1cccc(N(C)Cc2ccc(C(C)(C)C)cn2)c1C</v>
      </c>
      <c r="C15072" s="7">
        <f>IFERROR(__xludf.DUMMYFUNCTION("""COMPUTED_VALUE"""),7.74472)</f>
        <v>7.74472</v>
      </c>
      <c r="D15072" s="7">
        <f>IFERROR(__xludf.DUMMYFUNCTION("""COMPUTED_VALUE"""),0.347826086956521)</f>
        <v>0.347826087</v>
      </c>
    </row>
    <row r="15073">
      <c r="A15073" s="10" t="s">
        <v>16512</v>
      </c>
      <c r="B15073" s="7" t="str">
        <f>IFERROR(__xludf.DUMMYFUNCTION("SPLIT(A15073,"" "")"),"CC1(C)COC(c2cccc(CN(Cc3ccccn3)Cc3cc(C(C)(C)c4ccccn4)ccn3)n2)=N1")</f>
        <v>CC1(C)COC(c2cccc(CN(Cc3ccccn3)Cc3cc(C(C)(C)c4ccccn4)ccn3)n2)=N1</v>
      </c>
      <c r="C15073" s="7">
        <f>IFERROR(__xludf.DUMMYFUNCTION("""COMPUTED_VALUE"""),7.7447176)</f>
        <v>7.7447176</v>
      </c>
      <c r="D15073" s="7">
        <f>IFERROR(__xludf.DUMMYFUNCTION("""COMPUTED_VALUE"""),0.43103448275862)</f>
        <v>0.4310344828</v>
      </c>
    </row>
    <row r="15074">
      <c r="A15074" s="10" t="s">
        <v>16513</v>
      </c>
      <c r="B15074" s="7" t="str">
        <f>IFERROR(__xludf.DUMMYFUNCTION("SPLIT(A15074,"" "")"),"Cc1cccc(CN(C)CC2=C(N(C)Cc3cccc(C4=CCC=CN4)n3)CC=CN2)n1")</f>
        <v>Cc1cccc(CN(C)CC2=C(N(C)Cc3cccc(C4=CCC=CN4)n3)CC=CN2)n1</v>
      </c>
      <c r="C15074" s="7">
        <f>IFERROR(__xludf.DUMMYFUNCTION("""COMPUTED_VALUE"""),7.744717)</f>
        <v>7.744717</v>
      </c>
      <c r="D15074" s="7">
        <f>IFERROR(__xludf.DUMMYFUNCTION("""COMPUTED_VALUE"""),0.392857142857142)</f>
        <v>0.3928571429</v>
      </c>
    </row>
    <row r="15075">
      <c r="A15075" s="10" t="s">
        <v>16514</v>
      </c>
      <c r="B15075" s="7" t="str">
        <f>IFERROR(__xludf.DUMMYFUNCTION("SPLIT(A15075,"" "")"),"Cc1ccnc2cc(N(C)CCN(C)C(C)(C)C)ccc12")</f>
        <v>Cc1ccnc2cc(N(C)CCN(C)C(C)(C)C)ccc12</v>
      </c>
      <c r="C15075" s="7">
        <f>IFERROR(__xludf.DUMMYFUNCTION("""COMPUTED_VALUE"""),7.744712)</f>
        <v>7.744712</v>
      </c>
      <c r="D15075" s="7">
        <f>IFERROR(__xludf.DUMMYFUNCTION("""COMPUTED_VALUE"""),0.254901960784313)</f>
        <v>0.2549019608</v>
      </c>
    </row>
    <row r="15076">
      <c r="A15076" s="10" t="s">
        <v>16515</v>
      </c>
      <c r="B15076" s="7" t="str">
        <f>IFERROR(__xludf.DUMMYFUNCTION("SPLIT(A15076,"" "")"),"CC(C)N(Cc1ccccn1)c1ccccc1-c1cccc(CN(Cc2ccccn2)C2CCC(N(C)c3ccc4c(CF)ccnc4c3)CC2)n1")</f>
        <v>CC(C)N(Cc1ccccn1)c1ccccc1-c1cccc(CN(Cc2ccccn2)C2CCC(N(C)c3ccc4c(CF)ccnc4c3)CC2)n1</v>
      </c>
      <c r="C15076" s="7">
        <f>IFERROR(__xludf.DUMMYFUNCTION("""COMPUTED_VALUE"""),7.744707)</f>
        <v>7.744707</v>
      </c>
      <c r="D15076" s="7">
        <f>IFERROR(__xludf.DUMMYFUNCTION("""COMPUTED_VALUE"""),0.351351351351351)</f>
        <v>0.3513513514</v>
      </c>
    </row>
    <row r="15077">
      <c r="A15077" s="10" t="s">
        <v>16516</v>
      </c>
      <c r="B15077" s="7" t="str">
        <f>IFERROR(__xludf.DUMMYFUNCTION("SPLIT(A15077,"" "")"),"CC(c1ccccn1)C1N=C(c2ccc(C3CCC3(C)C)nc2)OC1=O")</f>
        <v>CC(c1ccccn1)C1N=C(c2ccc(C3CCC3(C)C)nc2)OC1=O</v>
      </c>
      <c r="C15077" s="7">
        <f>IFERROR(__xludf.DUMMYFUNCTION("""COMPUTED_VALUE"""),7.744703)</f>
        <v>7.744703</v>
      </c>
      <c r="D15077" s="7">
        <f>IFERROR(__xludf.DUMMYFUNCTION("""COMPUTED_VALUE"""),0.260869565217391)</f>
        <v>0.2608695652</v>
      </c>
    </row>
    <row r="15078">
      <c r="A15078" s="10" t="s">
        <v>16517</v>
      </c>
      <c r="B15078" s="7" t="str">
        <f>IFERROR(__xludf.DUMMYFUNCTION("SPLIT(A15078,"" "")"),"COC(=O)C(=O)C(C)C1(C)COC(c2cccnc2C2=NC(C)(C)CO2)=N1")</f>
        <v>COC(=O)C(=O)C(C)C1(C)COC(c2cccnc2C2=NC(C)(C)CO2)=N1</v>
      </c>
      <c r="C15078" s="7">
        <f>IFERROR(__xludf.DUMMYFUNCTION("""COMPUTED_VALUE"""),7.7447004)</f>
        <v>7.7447004</v>
      </c>
      <c r="D15078" s="7">
        <f>IFERROR(__xludf.DUMMYFUNCTION("""COMPUTED_VALUE"""),0.339285714285714)</f>
        <v>0.3392857143</v>
      </c>
    </row>
    <row r="15079">
      <c r="A15079" s="10" t="s">
        <v>16518</v>
      </c>
      <c r="B15079" s="7" t="str">
        <f>IFERROR(__xludf.DUMMYFUNCTION("SPLIT(A15079,"" "")"),"Cc1cc(C)c(CN(C)c2cccnc2CN(C)Cc2cccnc2C)nc1C")</f>
        <v>Cc1cc(C)c(CN(C)c2cccnc2CN(C)Cc2cccnc2C)nc1C</v>
      </c>
      <c r="C15079" s="7">
        <f>IFERROR(__xludf.DUMMYFUNCTION("""COMPUTED_VALUE"""),7.744699)</f>
        <v>7.744699</v>
      </c>
      <c r="D15079" s="7">
        <f>IFERROR(__xludf.DUMMYFUNCTION("""COMPUTED_VALUE"""),0.358490566037735)</f>
        <v>0.358490566</v>
      </c>
    </row>
    <row r="15080">
      <c r="A15080" s="10" t="s">
        <v>16519</v>
      </c>
      <c r="B15080" s="7" t="str">
        <f>IFERROR(__xludf.DUMMYFUNCTION("SPLIT(A15080,"" "")"),"Cc1ccc(N(C)Cc2ncccc2C(C)(C)C)c(C)c1")</f>
        <v>Cc1ccc(N(C)Cc2ncccc2C(C)(C)C)c(C)c1</v>
      </c>
      <c r="C15080" s="7">
        <f>IFERROR(__xludf.DUMMYFUNCTION("""COMPUTED_VALUE"""),7.7446976)</f>
        <v>7.7446976</v>
      </c>
      <c r="D15080" s="7">
        <f>IFERROR(__xludf.DUMMYFUNCTION("""COMPUTED_VALUE"""),0.34)</f>
        <v>0.34</v>
      </c>
    </row>
    <row r="15081">
      <c r="A15081" s="10" t="s">
        <v>16520</v>
      </c>
      <c r="B15081" s="7" t="str">
        <f>IFERROR(__xludf.DUMMYFUNCTION("SPLIT(A15081,"" "")"),"Cc1ccc(CN(Cc2ccccn2)Cc2cccc(CN(C)Cc3cccc(-c4ccc(Cl)cc4N)n3)n2)nc1")</f>
        <v>Cc1ccc(CN(Cc2ccccn2)Cc2cccc(CN(C)Cc3cccc(-c4ccc(Cl)cc4N)n3)n2)nc1</v>
      </c>
      <c r="C15081" s="7">
        <f>IFERROR(__xludf.DUMMYFUNCTION("""COMPUTED_VALUE"""),7.744697)</f>
        <v>7.744697</v>
      </c>
      <c r="D15081" s="7">
        <f>IFERROR(__xludf.DUMMYFUNCTION("""COMPUTED_VALUE"""),0.482758620689655)</f>
        <v>0.4827586207</v>
      </c>
    </row>
    <row r="15082">
      <c r="A15082" s="10" t="s">
        <v>16521</v>
      </c>
      <c r="B15082" s="7" t="str">
        <f>IFERROR(__xludf.DUMMYFUNCTION("SPLIT(A15082,"" "")"),"CC(C)N(Cc1ccccn1)Cc1ccc(-c2ccc(Cl)c(NCc3ccccn3)c2)cn1")</f>
        <v>CC(C)N(Cc1ccccn1)Cc1ccc(-c2ccc(Cl)c(NCc3ccccn3)c2)cn1</v>
      </c>
      <c r="C15082" s="7">
        <f>IFERROR(__xludf.DUMMYFUNCTION("""COMPUTED_VALUE"""),7.744688)</f>
        <v>7.744688</v>
      </c>
      <c r="D15082" s="7">
        <f>IFERROR(__xludf.DUMMYFUNCTION("""COMPUTED_VALUE"""),0.470588235294117)</f>
        <v>0.4705882353</v>
      </c>
    </row>
    <row r="15083">
      <c r="A15083" s="10" t="s">
        <v>16522</v>
      </c>
      <c r="B15083" s="7" t="str">
        <f>IFERROR(__xludf.DUMMYFUNCTION("SPLIT(A15083,"" "")"),"Fc1ncccc1CN(Cc1ccccn1)Cc1ccc(-c2cccc(NCc3ccccn3)c2)cn1")</f>
        <v>Fc1ncccc1CN(Cc1ccccn1)Cc1ccc(-c2cccc(NCc3ccccn3)c2)cn1</v>
      </c>
      <c r="C15083" s="7">
        <f>IFERROR(__xludf.DUMMYFUNCTION("""COMPUTED_VALUE"""),7.7446876)</f>
        <v>7.7446876</v>
      </c>
      <c r="D15083" s="7">
        <f>IFERROR(__xludf.DUMMYFUNCTION("""COMPUTED_VALUE"""),0.4)</f>
        <v>0.4</v>
      </c>
    </row>
    <row r="15084">
      <c r="A15084" s="10" t="s">
        <v>16523</v>
      </c>
      <c r="B15084" s="7" t="str">
        <f>IFERROR(__xludf.DUMMYFUNCTION("SPLIT(A15084,"" "")"),"CCCN(Cc1ccccn1)Cc1ncccc1-c1cccc(N=Cc2ccccn2)c1")</f>
        <v>CCCN(Cc1ccccn1)Cc1ncccc1-c1cccc(N=Cc2ccccn2)c1</v>
      </c>
      <c r="C15084" s="7">
        <f>IFERROR(__xludf.DUMMYFUNCTION("""COMPUTED_VALUE"""),7.744685)</f>
        <v>7.744685</v>
      </c>
      <c r="D15084" s="7">
        <f>IFERROR(__xludf.DUMMYFUNCTION("""COMPUTED_VALUE"""),0.379310344827586)</f>
        <v>0.3793103448</v>
      </c>
    </row>
    <row r="15085">
      <c r="A15085" s="10" t="s">
        <v>16524</v>
      </c>
      <c r="B15085" s="7" t="str">
        <f>IFERROR(__xludf.DUMMYFUNCTION("SPLIT(A15085,"" "")"),"Cc1ccc(N)c(-c2ccc(CN(C)Cc3ccccn3)cn2)c1")</f>
        <v>Cc1ccc(N)c(-c2ccc(CN(C)Cc3ccccn3)cn2)c1</v>
      </c>
      <c r="C15085" s="7">
        <f>IFERROR(__xludf.DUMMYFUNCTION("""COMPUTED_VALUE"""),7.7446704)</f>
        <v>7.7446704</v>
      </c>
      <c r="D15085" s="7">
        <f>IFERROR(__xludf.DUMMYFUNCTION("""COMPUTED_VALUE"""),0.433962264150943)</f>
        <v>0.4339622642</v>
      </c>
    </row>
    <row r="15086">
      <c r="A15086" s="10" t="s">
        <v>16525</v>
      </c>
      <c r="B15086" s="7" t="str">
        <f>IFERROR(__xludf.DUMMYFUNCTION("SPLIT(A15086,"" "")"),"Cc1ccc(CN(C)Cc2cccc(-c3cccc(N(C)C(C)C)c3)n2)nc1")</f>
        <v>Cc1ccc(CN(C)Cc2cccc(-c3cccc(N(C)C(C)C)c3)n2)nc1</v>
      </c>
      <c r="C15086" s="7">
        <f>IFERROR(__xludf.DUMMYFUNCTION("""COMPUTED_VALUE"""),7.74467)</f>
        <v>7.74467</v>
      </c>
      <c r="D15086" s="7">
        <f>IFERROR(__xludf.DUMMYFUNCTION("""COMPUTED_VALUE"""),0.479166666666666)</f>
        <v>0.4791666667</v>
      </c>
    </row>
    <row r="15087">
      <c r="A15087" s="10" t="s">
        <v>16526</v>
      </c>
      <c r="B15087" s="7" t="str">
        <f>IFERROR(__xludf.DUMMYFUNCTION("SPLIT(A15087,"" "")"),"Cc1cc(C)c(C)c(CN(C)C2=CCC=C(CN(C)C)N2)n1")</f>
        <v>Cc1cc(C)c(C)c(CN(C)C2=CCC=C(CN(C)C)N2)n1</v>
      </c>
      <c r="C15087" s="7">
        <f>IFERROR(__xludf.DUMMYFUNCTION("""COMPUTED_VALUE"""),7.7446527)</f>
        <v>7.7446527</v>
      </c>
      <c r="D15087" s="7">
        <f>IFERROR(__xludf.DUMMYFUNCTION("""COMPUTED_VALUE"""),0.203703703703703)</f>
        <v>0.2037037037</v>
      </c>
    </row>
    <row r="15088">
      <c r="A15088" s="10" t="s">
        <v>16527</v>
      </c>
      <c r="B15088" s="7" t="str">
        <f>IFERROR(__xludf.DUMMYFUNCTION("SPLIT(A15088,"" "")"),"Cc1cnc(CN(C)Cc2ccc(N(C)Cc3ncccc3C)cn2)c(C)c1")</f>
        <v>Cc1cnc(CN(C)Cc2ccc(N(C)Cc3ncccc3C)cn2)c(C)c1</v>
      </c>
      <c r="C15088" s="7">
        <f>IFERROR(__xludf.DUMMYFUNCTION("""COMPUTED_VALUE"""),7.7446523)</f>
        <v>7.7446523</v>
      </c>
      <c r="D15088" s="7">
        <f>IFERROR(__xludf.DUMMYFUNCTION("""COMPUTED_VALUE"""),0.408163265306122)</f>
        <v>0.4081632653</v>
      </c>
    </row>
    <row r="15089">
      <c r="A15089" s="10" t="s">
        <v>16528</v>
      </c>
      <c r="B15089" s="7" t="str">
        <f>IFERROR(__xludf.DUMMYFUNCTION("SPLIT(A15089,"" "")"),"CCCN(Cc1ccccn1)c1ccccc1-c1cc(C(C)(C)C)ccn1")</f>
        <v>CCCN(Cc1ccccn1)c1ccccc1-c1cc(C(C)(C)C)ccn1</v>
      </c>
      <c r="C15089" s="7">
        <f>IFERROR(__xludf.DUMMYFUNCTION("""COMPUTED_VALUE"""),7.7446404)</f>
        <v>7.7446404</v>
      </c>
      <c r="D15089" s="7">
        <f>IFERROR(__xludf.DUMMYFUNCTION("""COMPUTED_VALUE"""),0.396226415094339)</f>
        <v>0.3962264151</v>
      </c>
    </row>
    <row r="15090">
      <c r="A15090" s="10" t="s">
        <v>16529</v>
      </c>
      <c r="B15090" s="7" t="str">
        <f>IFERROR(__xludf.DUMMYFUNCTION("SPLIT(A15090,"" "")"),"CC1=C(C)C(C)C2(CC1)C(C)=C(c1c(C)c(C)cc(N(C)Cc3ccccn3)c1C)C(C)=C(C)C2N(C)Cc1ccccn1")</f>
        <v>CC1=C(C)C(C)C2(CC1)C(C)=C(c1c(C)c(C)cc(N(C)Cc3ccccn3)c1C)C(C)=C(C)C2N(C)Cc1ccccn1</v>
      </c>
      <c r="C15090" s="7">
        <f>IFERROR(__xludf.DUMMYFUNCTION("""COMPUTED_VALUE"""),7.74464)</f>
        <v>7.74464</v>
      </c>
      <c r="D15090" s="7">
        <f>IFERROR(__xludf.DUMMYFUNCTION("""COMPUTED_VALUE"""),0.35820895522388)</f>
        <v>0.3582089552</v>
      </c>
    </row>
    <row r="15091">
      <c r="A15091" s="10" t="s">
        <v>16530</v>
      </c>
      <c r="B15091" s="7" t="str">
        <f>IFERROR(__xludf.DUMMYFUNCTION("SPLIT(A15091,"" "")"),"CN(Cc1ccccn1)C1=CNC=C(SCc2ccccn2)C1")</f>
        <v>CN(Cc1ccccn1)C1=CNC=C(SCc2ccccn2)C1</v>
      </c>
      <c r="C15091" s="7">
        <f>IFERROR(__xludf.DUMMYFUNCTION("""COMPUTED_VALUE"""),7.744639)</f>
        <v>7.744639</v>
      </c>
      <c r="D15091" s="7">
        <f>IFERROR(__xludf.DUMMYFUNCTION("""COMPUTED_VALUE"""),0.428571428571428)</f>
        <v>0.4285714286</v>
      </c>
    </row>
    <row r="15092">
      <c r="A15092" s="10" t="s">
        <v>16531</v>
      </c>
      <c r="B15092" s="7" t="str">
        <f>IFERROR(__xludf.DUMMYFUNCTION("SPLIT(A15092,"" "")"),"COC(=O)C(=O)C(=O)C(C)N=Cc1ncc(C)cc1C")</f>
        <v>COC(=O)C(=O)C(=O)C(C)N=Cc1ncc(C)cc1C</v>
      </c>
      <c r="C15092" s="7">
        <f>IFERROR(__xludf.DUMMYFUNCTION("""COMPUTED_VALUE"""),7.744634)</f>
        <v>7.744634</v>
      </c>
      <c r="D15092" s="7">
        <f>IFERROR(__xludf.DUMMYFUNCTION("""COMPUTED_VALUE"""),0.171428571428571)</f>
        <v>0.1714285714</v>
      </c>
    </row>
    <row r="15093">
      <c r="A15093" s="10" t="s">
        <v>16532</v>
      </c>
      <c r="B15093" s="7" t="str">
        <f>IFERROR(__xludf.DUMMYFUNCTION("SPLIT(A15093,"" "")"),"CN(CCN(Cc1ccccn1)C(C)(N)c1ccccc1)c1cccc2ncccc12")</f>
        <v>CN(CCN(Cc1ccccn1)C(C)(N)c1ccccc1)c1cccc2ncccc12</v>
      </c>
      <c r="C15093" s="7">
        <f>IFERROR(__xludf.DUMMYFUNCTION("""COMPUTED_VALUE"""),7.7446074)</f>
        <v>7.7446074</v>
      </c>
      <c r="D15093" s="7">
        <f>IFERROR(__xludf.DUMMYFUNCTION("""COMPUTED_VALUE"""),0.381818181818181)</f>
        <v>0.3818181818</v>
      </c>
    </row>
    <row r="15094">
      <c r="A15094" s="10" t="s">
        <v>16533</v>
      </c>
      <c r="B15094" s="7" t="str">
        <f>IFERROR(__xludf.DUMMYFUNCTION("SPLIT(A15094,"" "")"),"Cc1cc(N)ccc1-c1ccc(CN(C)C2CCCCC2N(C)c2ccc3cccnc3c2)cn1")</f>
        <v>Cc1cc(N)ccc1-c1ccc(CN(C)C2CCCCC2N(C)c2ccc3cccnc3c2)cn1</v>
      </c>
      <c r="C15094" s="7">
        <f>IFERROR(__xludf.DUMMYFUNCTION("""COMPUTED_VALUE"""),7.7446012)</f>
        <v>7.7446012</v>
      </c>
      <c r="D15094" s="7">
        <f>IFERROR(__xludf.DUMMYFUNCTION("""COMPUTED_VALUE"""),0.347826086956521)</f>
        <v>0.347826087</v>
      </c>
    </row>
    <row r="15095">
      <c r="A15095" s="10" t="s">
        <v>16534</v>
      </c>
      <c r="B15095" s="7" t="str">
        <f>IFERROR(__xludf.DUMMYFUNCTION("SPLIT(A15095,"" "")"),"Cc1ccnc2ccc(N(CCN(C)C(C)C)Cc3ccccn3)cc12")</f>
        <v>Cc1ccnc2ccc(N(CCN(C)C(C)C)Cc3ccccn3)cc12</v>
      </c>
      <c r="C15095" s="7">
        <f>IFERROR(__xludf.DUMMYFUNCTION("""COMPUTED_VALUE"""),7.7446012)</f>
        <v>7.7446012</v>
      </c>
      <c r="D15095" s="7">
        <f>IFERROR(__xludf.DUMMYFUNCTION("""COMPUTED_VALUE"""),0.423076923076923)</f>
        <v>0.4230769231</v>
      </c>
    </row>
    <row r="15096">
      <c r="A15096" s="10" t="s">
        <v>16535</v>
      </c>
      <c r="B15096" s="7" t="str">
        <f>IFERROR(__xludf.DUMMYFUNCTION("SPLIT(A15096,"" "")"),"Cc1cc(CN(C)c2cccnc2CN(C)Cc2cccnc2C)nc(C)c1C")</f>
        <v>Cc1cc(CN(C)c2cccnc2CN(C)Cc2cccnc2C)nc(C)c1C</v>
      </c>
      <c r="C15096" s="7">
        <f>IFERROR(__xludf.DUMMYFUNCTION("""COMPUTED_VALUE"""),7.7445774)</f>
        <v>7.7445774</v>
      </c>
      <c r="D15096" s="7">
        <f>IFERROR(__xludf.DUMMYFUNCTION("""COMPUTED_VALUE"""),0.345454545454545)</f>
        <v>0.3454545455</v>
      </c>
    </row>
    <row r="15097">
      <c r="A15097" s="10" t="s">
        <v>16536</v>
      </c>
      <c r="B15097" s="7" t="str">
        <f>IFERROR(__xludf.DUMMYFUNCTION("SPLIT(A15097,"" "")"),"CN(CCN(Cc1ccccn1)c1cccc2ncc(CF)cc12)Cc1ccccn1")</f>
        <v>CN(CCN(Cc1ccccn1)c1cccc2ncc(CF)cc12)Cc1ccccn1</v>
      </c>
      <c r="C15097" s="7">
        <f>IFERROR(__xludf.DUMMYFUNCTION("""COMPUTED_VALUE"""),7.744576)</f>
        <v>7.744576</v>
      </c>
      <c r="D15097" s="7">
        <f>IFERROR(__xludf.DUMMYFUNCTION("""COMPUTED_VALUE"""),0.426229508196721)</f>
        <v>0.4262295082</v>
      </c>
    </row>
    <row r="15098">
      <c r="A15098" s="10" t="s">
        <v>16537</v>
      </c>
      <c r="B15098" s="7" t="str">
        <f>IFERROR(__xludf.DUMMYFUNCTION("SPLIT(A15098,"" "")"),"CN(Cc1ccccn1)C1=CNC(CN(C)c2cccc(F)c2)=CC1")</f>
        <v>CN(Cc1ccccn1)C1=CNC(CN(C)c2cccc(F)c2)=CC1</v>
      </c>
      <c r="C15098" s="7">
        <f>IFERROR(__xludf.DUMMYFUNCTION("""COMPUTED_VALUE"""),7.7445745)</f>
        <v>7.7445745</v>
      </c>
      <c r="D15098" s="7">
        <f>IFERROR(__xludf.DUMMYFUNCTION("""COMPUTED_VALUE"""),0.392857142857142)</f>
        <v>0.3928571429</v>
      </c>
    </row>
    <row r="15099">
      <c r="A15099" s="10" t="s">
        <v>16538</v>
      </c>
      <c r="B15099" s="7" t="str">
        <f>IFERROR(__xludf.DUMMYFUNCTION("SPLIT(A15099,"" "")"),"CC(C)NCc1ccc(CN(Cc2ccccn2)Cc2cccc(-c3cccc(N=Cc4ccccn4)c3)n2)cn1")</f>
        <v>CC(C)NCc1ccc(CN(Cc2ccccn2)Cc2cccc(-c3cccc(N=Cc4ccccn4)c3)n2)cn1</v>
      </c>
      <c r="C15099" s="7">
        <f>IFERROR(__xludf.DUMMYFUNCTION("""COMPUTED_VALUE"""),7.7445674)</f>
        <v>7.7445674</v>
      </c>
      <c r="D15099" s="7">
        <f>IFERROR(__xludf.DUMMYFUNCTION("""COMPUTED_VALUE"""),0.444444444444444)</f>
        <v>0.4444444444</v>
      </c>
    </row>
    <row r="15100">
      <c r="A15100" s="10" t="s">
        <v>16539</v>
      </c>
      <c r="B15100" s="7" t="str">
        <f>IFERROR(__xludf.DUMMYFUNCTION("SPLIT(A15100,"" "")"),"C1=CNC(Nc2ccccn2)C(SCc2ccccn2)=C1")</f>
        <v>C1=CNC(Nc2ccccn2)C(SCc2ccccn2)=C1</v>
      </c>
      <c r="C15100" s="7">
        <f>IFERROR(__xludf.DUMMYFUNCTION("""COMPUTED_VALUE"""),7.744563)</f>
        <v>7.744563</v>
      </c>
      <c r="D15100" s="7">
        <f>IFERROR(__xludf.DUMMYFUNCTION("""COMPUTED_VALUE"""),0.369565217391304)</f>
        <v>0.3695652174</v>
      </c>
    </row>
    <row r="15101">
      <c r="A15101" s="10" t="s">
        <v>16540</v>
      </c>
      <c r="B15101" s="7" t="str">
        <f>IFERROR(__xludf.DUMMYFUNCTION("SPLIT(A15101,"" "")"),"Cc1ccccc1N(Cc1cccc(N(C)C)c1)Cc1ccccn1")</f>
        <v>Cc1ccccc1N(Cc1cccc(N(C)C)c1)Cc1ccccn1</v>
      </c>
      <c r="C15101" s="7">
        <f>IFERROR(__xludf.DUMMYFUNCTION("""COMPUTED_VALUE"""),7.7445536)</f>
        <v>7.7445536</v>
      </c>
      <c r="D15101" s="7">
        <f>IFERROR(__xludf.DUMMYFUNCTION("""COMPUTED_VALUE"""),0.428571428571428)</f>
        <v>0.4285714286</v>
      </c>
    </row>
    <row r="15102">
      <c r="A15102" s="10" t="s">
        <v>16541</v>
      </c>
      <c r="B15102" s="7" t="str">
        <f>IFERROR(__xludf.DUMMYFUNCTION("SPLIT(A15102,"" "")"),"Cc1cnc2cccc(N(C)CCN(Cc3cccnc3)Cc3ccccn3)c2c1")</f>
        <v>Cc1cnc2cccc(N(C)CCN(Cc3cccnc3)Cc3ccccn3)c2c1</v>
      </c>
      <c r="C15102" s="7">
        <f>IFERROR(__xludf.DUMMYFUNCTION("""COMPUTED_VALUE"""),7.7445498)</f>
        <v>7.7445498</v>
      </c>
      <c r="D15102" s="7">
        <f>IFERROR(__xludf.DUMMYFUNCTION("""COMPUTED_VALUE"""),0.436363636363636)</f>
        <v>0.4363636364</v>
      </c>
    </row>
    <row r="15103">
      <c r="A15103" s="10" t="s">
        <v>16542</v>
      </c>
      <c r="B15103" s="7" t="str">
        <f>IFERROR(__xludf.DUMMYFUNCTION("SPLIT(A15103,"" "")"),"CNC1C=Cc2ccccc2N1")</f>
        <v>CNC1C=Cc2ccccc2N1</v>
      </c>
      <c r="C15103" s="7">
        <f>IFERROR(__xludf.DUMMYFUNCTION("""COMPUTED_VALUE"""),7.744545)</f>
        <v>7.744545</v>
      </c>
      <c r="D15103" s="7">
        <f>IFERROR(__xludf.DUMMYFUNCTION("""COMPUTED_VALUE"""),0.233333333333333)</f>
        <v>0.2333333333</v>
      </c>
    </row>
    <row r="15104">
      <c r="A15104" s="10" t="s">
        <v>16543</v>
      </c>
      <c r="B15104" s="7" t="str">
        <f>IFERROR(__xludf.DUMMYFUNCTION("SPLIT(A15104,"" "")"),"CC(C)C1=CC2(C=CN1)C=CC(C)(C)C(c1cccc(CN(Cc3ccccn3)Cc3ccccn3)n1)C2c1cccc(CN(Cc2ccccn2)c2ccc3ncccc3c2)n1")</f>
        <v>CC(C)C1=CC2(C=CN1)C=CC(C)(C)C(c1cccc(CN(Cc3ccccn3)Cc3ccccn3)n1)C2c1cccc(CN(Cc2ccccn2)c2ccc3ncccc3c2)n1</v>
      </c>
      <c r="C15104" s="7">
        <f>IFERROR(__xludf.DUMMYFUNCTION("""COMPUTED_VALUE"""),7.7445397)</f>
        <v>7.7445397</v>
      </c>
      <c r="D15104" s="7">
        <f>IFERROR(__xludf.DUMMYFUNCTION("""COMPUTED_VALUE"""),0.324324324324324)</f>
        <v>0.3243243243</v>
      </c>
    </row>
    <row r="15105">
      <c r="A15105" s="10" t="s">
        <v>16544</v>
      </c>
      <c r="B15105" s="7" t="str">
        <f>IFERROR(__xludf.DUMMYFUNCTION("SPLIT(A15105,"" "")"),"Cc1cnc(CN(C)C2=CCC=C(CN(C)C3=CCC=CN3)N2)c(C)c1C")</f>
        <v>Cc1cnc(CN(C)C2=CCC=C(CN(C)C3=CCC=CN3)N2)c(C)c1C</v>
      </c>
      <c r="C15105" s="7">
        <f>IFERROR(__xludf.DUMMYFUNCTION("""COMPUTED_VALUE"""),7.7445354)</f>
        <v>7.7445354</v>
      </c>
      <c r="D15105" s="7">
        <f>IFERROR(__xludf.DUMMYFUNCTION("""COMPUTED_VALUE"""),0.333333333333333)</f>
        <v>0.3333333333</v>
      </c>
    </row>
    <row r="15106">
      <c r="A15106" s="10" t="s">
        <v>16545</v>
      </c>
      <c r="B15106" s="7" t="str">
        <f>IFERROR(__xludf.DUMMYFUNCTION("SPLIT(A15106,"" "")"),"C=CCN(C)Cc1cccc(-c2cccc(C)c2NCc2ccccn2)n1")</f>
        <v>C=CCN(C)Cc1cccc(-c2cccc(C)c2NCc2ccccn2)n1</v>
      </c>
      <c r="C15106" s="7">
        <f>IFERROR(__xludf.DUMMYFUNCTION("""COMPUTED_VALUE"""),7.744522)</f>
        <v>7.744522</v>
      </c>
      <c r="D15106" s="7">
        <f>IFERROR(__xludf.DUMMYFUNCTION("""COMPUTED_VALUE"""),0.472727272727272)</f>
        <v>0.4727272727</v>
      </c>
    </row>
    <row r="15107">
      <c r="A15107" s="10" t="s">
        <v>16546</v>
      </c>
      <c r="B15107" s="7" t="str">
        <f>IFERROR(__xludf.DUMMYFUNCTION("SPLIT(A15107,"" "")"),"Cc1ccc(NCc2ccccn2)c(-c2ccc(CN(C)C3CCC(N(C)c4ccc5cccnc5c4)CC3)cn2)c1")</f>
        <v>Cc1ccc(NCc2ccccn2)c(-c2ccc(CN(C)C3CCC(N(C)c4ccc5cccnc5c4)CC3)cn2)c1</v>
      </c>
      <c r="C15107" s="7">
        <f>IFERROR(__xludf.DUMMYFUNCTION("""COMPUTED_VALUE"""),7.7445216)</f>
        <v>7.7445216</v>
      </c>
      <c r="D15107" s="7">
        <f>IFERROR(__xludf.DUMMYFUNCTION("""COMPUTED_VALUE"""),0.293333333333333)</f>
        <v>0.2933333333</v>
      </c>
    </row>
    <row r="15108">
      <c r="A15108" s="10" t="s">
        <v>16547</v>
      </c>
      <c r="B15108" s="7" t="str">
        <f>IFERROR(__xludf.DUMMYFUNCTION("SPLIT(A15108,"" "")"),"Cc1ccc(N(Cc2ccccn2)C2CCCC(N(C)c3ccc4nccc(CF)c4c3)C2)c(C)c1C")</f>
        <v>Cc1ccc(N(Cc2ccccn2)C2CCCC(N(C)c3ccc4nccc(CF)c4c3)C2)c(C)c1C</v>
      </c>
      <c r="C15108" s="7">
        <f>IFERROR(__xludf.DUMMYFUNCTION("""COMPUTED_VALUE"""),7.744509)</f>
        <v>7.744509</v>
      </c>
      <c r="D15108" s="7">
        <f>IFERROR(__xludf.DUMMYFUNCTION("""COMPUTED_VALUE"""),0.328571428571428)</f>
        <v>0.3285714286</v>
      </c>
    </row>
    <row r="15109">
      <c r="A15109" s="10" t="s">
        <v>16548</v>
      </c>
      <c r="B15109" s="7" t="str">
        <f>IFERROR(__xludf.DUMMYFUNCTION("SPLIT(A15109,"" "")"),"CC(C(=O)c1ccnc(CNc2ccnc(CF)c2)c1)c1ccccn1")</f>
        <v>CC(C(=O)c1ccnc(CNc2ccnc(CF)c2)c1)c1ccccn1</v>
      </c>
      <c r="C15109" s="7">
        <f>IFERROR(__xludf.DUMMYFUNCTION("""COMPUTED_VALUE"""),7.7445087)</f>
        <v>7.7445087</v>
      </c>
      <c r="D15109" s="7">
        <f>IFERROR(__xludf.DUMMYFUNCTION("""COMPUTED_VALUE"""),0.293103448275862)</f>
        <v>0.2931034483</v>
      </c>
    </row>
    <row r="15110">
      <c r="A15110" s="10" t="s">
        <v>16549</v>
      </c>
      <c r="B15110" s="7" t="str">
        <f>IFERROR(__xludf.DUMMYFUNCTION("SPLIT(A15110,"" "")"),"Cc1cc(NCc2ccccn2)cc(-c2ccc(C)c(CN(C)C3CCCCC3N(C)c3ccc4cccnc4c3)n2)c1")</f>
        <v>Cc1cc(NCc2ccccn2)cc(-c2ccc(C)c(CN(C)C3CCCCC3N(C)c3ccc4cccnc4c3)n2)c1</v>
      </c>
      <c r="C15110" s="7">
        <f>IFERROR(__xludf.DUMMYFUNCTION("""COMPUTED_VALUE"""),7.7445064)</f>
        <v>7.7445064</v>
      </c>
      <c r="D15110" s="7">
        <f>IFERROR(__xludf.DUMMYFUNCTION("""COMPUTED_VALUE"""),0.388888888888888)</f>
        <v>0.3888888889</v>
      </c>
    </row>
    <row r="15111">
      <c r="A15111" s="10" t="s">
        <v>16550</v>
      </c>
      <c r="B15111" s="7" t="str">
        <f>IFERROR(__xludf.DUMMYFUNCTION("SPLIT(A15111,"" "")"),"Cc1cc(C)c(C)c(CN(C)c2ccnc(CN(C)Cc3ccncc3C)c2)n1")</f>
        <v>Cc1cc(C)c(C)c(CN(C)c2ccnc(CN(C)Cc3ccncc3C)c2)n1</v>
      </c>
      <c r="C15111" s="7">
        <f>IFERROR(__xludf.DUMMYFUNCTION("""COMPUTED_VALUE"""),7.7445016)</f>
        <v>7.7445016</v>
      </c>
      <c r="D15111" s="7">
        <f>IFERROR(__xludf.DUMMYFUNCTION("""COMPUTED_VALUE"""),0.274193548387096)</f>
        <v>0.2741935484</v>
      </c>
    </row>
    <row r="15112">
      <c r="A15112" s="10" t="s">
        <v>16551</v>
      </c>
      <c r="B15112" s="7" t="str">
        <f>IFERROR(__xludf.DUMMYFUNCTION("SPLIT(A15112,"" "")"),"Cc1nc(CN(Cc2ccc3cccnc3c2)C2CCCCC2N(C)c2cccc3cc(CN(C)Cc4ccccn4)cnc23)c(C)c(C)c1C")</f>
        <v>Cc1nc(CN(Cc2ccc3cccnc3c2)C2CCCCC2N(C)c2cccc3cc(CN(C)Cc4ccccn4)cnc23)c(C)c(C)c1C</v>
      </c>
      <c r="C15112" s="7">
        <f>IFERROR(__xludf.DUMMYFUNCTION("""COMPUTED_VALUE"""),7.7444696)</f>
        <v>7.7444696</v>
      </c>
      <c r="D15112" s="7">
        <f>IFERROR(__xludf.DUMMYFUNCTION("""COMPUTED_VALUE"""),0.4)</f>
        <v>0.4</v>
      </c>
    </row>
    <row r="15113">
      <c r="A15113" s="10" t="s">
        <v>16552</v>
      </c>
      <c r="B15113" s="7" t="str">
        <f>IFERROR(__xludf.DUMMYFUNCTION("SPLIT(A15113,"" "")"),"CC1=CCC(c2cc(CN(Cc3ccccn3)Cc3cc(-c4cccc(N=Cc5ccccn5)c4)ccn3)ccn2)C(C)(C)C12C=CNC(C(C)C)=C2")</f>
        <v>CC1=CCC(c2cc(CN(Cc3ccccn3)Cc3cc(-c4cccc(N=Cc5ccccn5)c4)ccn3)ccn2)C(C)(C)C12C=CNC(C(C)C)=C2</v>
      </c>
      <c r="C15113" s="7">
        <f>IFERROR(__xludf.DUMMYFUNCTION("""COMPUTED_VALUE"""),7.7444687)</f>
        <v>7.7444687</v>
      </c>
      <c r="D15113" s="7">
        <f>IFERROR(__xludf.DUMMYFUNCTION("""COMPUTED_VALUE"""),0.274725274725274)</f>
        <v>0.2747252747</v>
      </c>
    </row>
    <row r="15114">
      <c r="A15114" s="10" t="s">
        <v>16553</v>
      </c>
      <c r="B15114" s="7" t="str">
        <f>IFERROR(__xludf.DUMMYFUNCTION("SPLIT(A15114,"" "")"),"CN(CCN(C)C(C)(C)c1ccccn1)c1ccc2nccc(CF)c2c1")</f>
        <v>CN(CCN(C)C(C)(C)c1ccccn1)c1ccc2nccc(CF)c2c1</v>
      </c>
      <c r="C15114" s="7">
        <f>IFERROR(__xludf.DUMMYFUNCTION("""COMPUTED_VALUE"""),7.744463)</f>
        <v>7.744463</v>
      </c>
      <c r="D15114" s="7">
        <f>IFERROR(__xludf.DUMMYFUNCTION("""COMPUTED_VALUE"""),0.283333333333333)</f>
        <v>0.2833333333</v>
      </c>
    </row>
    <row r="15115">
      <c r="A15115" s="10" t="s">
        <v>16554</v>
      </c>
      <c r="B15115" s="7" t="str">
        <f>IFERROR(__xludf.DUMMYFUNCTION("SPLIT(A15115,"" "")"),"Cc1cncc(-c2ccc(CN(C)C3CCC(N(C)c4ccc5nccc(CN(C)C)c5c4)CC3)cc2)c1")</f>
        <v>Cc1cncc(-c2ccc(CN(C)C3CCC(N(C)c4ccc5nccc(CN(C)C)c5c4)CC3)cc2)c1</v>
      </c>
      <c r="C15115" s="7">
        <f>IFERROR(__xludf.DUMMYFUNCTION("""COMPUTED_VALUE"""),7.744462)</f>
        <v>7.744462</v>
      </c>
      <c r="D15115" s="7">
        <f>IFERROR(__xludf.DUMMYFUNCTION("""COMPUTED_VALUE"""),0.239436619718309)</f>
        <v>0.2394366197</v>
      </c>
    </row>
    <row r="15116">
      <c r="A15116" s="10" t="s">
        <v>16555</v>
      </c>
      <c r="B15116" s="7" t="str">
        <f>IFERROR(__xludf.DUMMYFUNCTION("SPLIT(A15116,"" "")"),"Cc1cccc(N(C)Cc2ncccc2C(C)(C)c2ccccn2)c1")</f>
        <v>Cc1cccc(N(C)Cc2ncccc2C(C)(C)c2ccccn2)c1</v>
      </c>
      <c r="C15116" s="7">
        <f>IFERROR(__xludf.DUMMYFUNCTION("""COMPUTED_VALUE"""),7.7444606)</f>
        <v>7.7444606</v>
      </c>
      <c r="D15116" s="7">
        <f>IFERROR(__xludf.DUMMYFUNCTION("""COMPUTED_VALUE"""),0.333333333333333)</f>
        <v>0.3333333333</v>
      </c>
    </row>
    <row r="15117">
      <c r="A15117" s="10" t="s">
        <v>16556</v>
      </c>
      <c r="B15117" s="7" t="str">
        <f>IFERROR(__xludf.DUMMYFUNCTION("SPLIT(A15117,"" "")"),"Cc1ccccc1CN(C)CCN(C)c1ccc2cccnc2c1")</f>
        <v>Cc1ccccc1CN(C)CCN(C)c1ccc2cccnc2c1</v>
      </c>
      <c r="C15117" s="7">
        <f>IFERROR(__xludf.DUMMYFUNCTION("""COMPUTED_VALUE"""),7.744452)</f>
        <v>7.744452</v>
      </c>
      <c r="D15117" s="7">
        <f>IFERROR(__xludf.DUMMYFUNCTION("""COMPUTED_VALUE"""),0.479166666666666)</f>
        <v>0.4791666667</v>
      </c>
    </row>
    <row r="15118">
      <c r="A15118" s="10" t="s">
        <v>16557</v>
      </c>
      <c r="B15118" s="7" t="str">
        <f>IFERROR(__xludf.DUMMYFUNCTION("SPLIT(A15118,"" "")"),"CCCN(Cc1ccccn1)c1ccc(C)c(C)c1-c1cc(CN(Cc2ccccn2)Cc2ncccc2C)ccn1")</f>
        <v>CCCN(Cc1ccccn1)c1ccc(C)c(C)c1-c1cc(CN(Cc2ccccn2)Cc2ncccc2C)ccn1</v>
      </c>
      <c r="C15118" s="7">
        <f>IFERROR(__xludf.DUMMYFUNCTION("""COMPUTED_VALUE"""),7.7444463)</f>
        <v>7.7444463</v>
      </c>
      <c r="D15118" s="7">
        <f>IFERROR(__xludf.DUMMYFUNCTION("""COMPUTED_VALUE"""),0.350877192982456)</f>
        <v>0.350877193</v>
      </c>
    </row>
    <row r="15119">
      <c r="A15119" s="10" t="s">
        <v>16558</v>
      </c>
      <c r="B15119" s="7" t="str">
        <f>IFERROR(__xludf.DUMMYFUNCTION("SPLIT(A15119,"" "")"),"Cc1cc(C)c(N=Cc2ccccn2)c(CNCc2ccccn2)c1")</f>
        <v>Cc1cc(C)c(N=Cc2ccccn2)c(CNCc2ccccn2)c1</v>
      </c>
      <c r="C15119" s="7">
        <f>IFERROR(__xludf.DUMMYFUNCTION("""COMPUTED_VALUE"""),7.7444444)</f>
        <v>7.7444444</v>
      </c>
      <c r="D15119" s="7">
        <f>IFERROR(__xludf.DUMMYFUNCTION("""COMPUTED_VALUE"""),0.415094339622641)</f>
        <v>0.4150943396</v>
      </c>
    </row>
    <row r="15120">
      <c r="A15120" s="10" t="s">
        <v>16559</v>
      </c>
      <c r="B15120" s="7" t="str">
        <f>IFERROR(__xludf.DUMMYFUNCTION("SPLIT(A15120,"" "")"),"CNc1cc(-c2cccc(CN(C)C3CCC(N(C)Cc4ccon4)CC3)n2)c2cccnc2c1")</f>
        <v>CNc1cc(-c2cccc(CN(C)C3CCC(N(C)Cc4ccon4)CC3)n2)c2cccnc2c1</v>
      </c>
      <c r="C15120" s="7">
        <f>IFERROR(__xludf.DUMMYFUNCTION("""COMPUTED_VALUE"""),7.74444)</f>
        <v>7.74444</v>
      </c>
      <c r="D15120" s="7">
        <f>IFERROR(__xludf.DUMMYFUNCTION("""COMPUTED_VALUE"""),0.308823529411764)</f>
        <v>0.3088235294</v>
      </c>
    </row>
    <row r="15121">
      <c r="A15121" s="10" t="s">
        <v>16560</v>
      </c>
      <c r="B15121" s="7" t="str">
        <f>IFERROR(__xludf.DUMMYFUNCTION("SPLIT(A15121,"" "")"),"CN(c1ccc2cc3c(nc2c1)CCCC3)C1CCC(N(C)c2ccc3cc4c(nc3c2)CCCC4)CC1")</f>
        <v>CN(c1ccc2cc3c(nc2c1)CCCC3)C1CCC(N(C)c2ccc3cc4c(nc3c2)CCCC4)CC1</v>
      </c>
      <c r="C15121" s="7">
        <f>IFERROR(__xludf.DUMMYFUNCTION("""COMPUTED_VALUE"""),7.7444396)</f>
        <v>7.7444396</v>
      </c>
      <c r="D15121" s="7">
        <f>IFERROR(__xludf.DUMMYFUNCTION("""COMPUTED_VALUE"""),0.46)</f>
        <v>0.46</v>
      </c>
    </row>
    <row r="15122">
      <c r="A15122" s="10" t="s">
        <v>16561</v>
      </c>
      <c r="B15122" s="7" t="str">
        <f>IFERROR(__xludf.DUMMYFUNCTION("SPLIT(A15122,"" "")"),"CC(C)(c1cccc(CN(Cc2ccccn2)Cc2cccc(-c3cccc(N=Cc4ccccn4)c3)n2)n1)c1cccc(C2CCC2(C)C)n1")</f>
        <v>CC(C)(c1cccc(CN(Cc2ccccn2)Cc2cccc(-c3cccc(N=Cc4ccccn4)c3)n2)n1)c1cccc(C2CCC2(C)C)n1</v>
      </c>
      <c r="C15122" s="7">
        <f>IFERROR(__xludf.DUMMYFUNCTION("""COMPUTED_VALUE"""),7.74443)</f>
        <v>7.74443</v>
      </c>
      <c r="D15122" s="7">
        <f>IFERROR(__xludf.DUMMYFUNCTION("""COMPUTED_VALUE"""),0.415584415584415)</f>
        <v>0.4155844156</v>
      </c>
    </row>
    <row r="15123">
      <c r="A15123" s="10" t="s">
        <v>16562</v>
      </c>
      <c r="B15123" s="7" t="str">
        <f>IFERROR(__xludf.DUMMYFUNCTION("SPLIT(A15123,"" "")"),"CC1=CCC(N(C)c2ccc3c(CF)ccnc3c2)C(C)C1")</f>
        <v>CC1=CCC(N(C)c2ccc3c(CF)ccnc3c2)C(C)C1</v>
      </c>
      <c r="C15123" s="7">
        <f>IFERROR(__xludf.DUMMYFUNCTION("""COMPUTED_VALUE"""),7.744427)</f>
        <v>7.744427</v>
      </c>
      <c r="D15123" s="7">
        <f>IFERROR(__xludf.DUMMYFUNCTION("""COMPUTED_VALUE"""),0.261538461538461)</f>
        <v>0.2615384615</v>
      </c>
    </row>
    <row r="15124">
      <c r="A15124" s="10" t="s">
        <v>16563</v>
      </c>
      <c r="B15124" s="7" t="str">
        <f>IFERROR(__xludf.DUMMYFUNCTION("SPLIT(A15124,"" "")"),"Cc1ccc(N)c(N(C)CC2=CCC=CN2)c1C")</f>
        <v>Cc1ccc(N)c(N(C)CC2=CCC=CN2)c1C</v>
      </c>
      <c r="C15124" s="7">
        <f>IFERROR(__xludf.DUMMYFUNCTION("""COMPUTED_VALUE"""),7.7444105)</f>
        <v>7.7444105</v>
      </c>
      <c r="D15124" s="7">
        <f>IFERROR(__xludf.DUMMYFUNCTION("""COMPUTED_VALUE"""),0.377358490566037)</f>
        <v>0.3773584906</v>
      </c>
    </row>
    <row r="15125">
      <c r="A15125" s="10" t="s">
        <v>16564</v>
      </c>
      <c r="B15125" s="7" t="str">
        <f>IFERROR(__xludf.DUMMYFUNCTION("SPLIT(A15125,"" "")"),"CN(Cc1cccnn1)C1=CNCC(N(C)Cc2cccnn2)=C1")</f>
        <v>CN(Cc1cccnn1)C1=CNCC(N(C)Cc2cccnn2)=C1</v>
      </c>
      <c r="C15125" s="7">
        <f>IFERROR(__xludf.DUMMYFUNCTION("""COMPUTED_VALUE"""),7.7444005)</f>
        <v>7.7444005</v>
      </c>
      <c r="D15125" s="7">
        <f>IFERROR(__xludf.DUMMYFUNCTION("""COMPUTED_VALUE"""),0.476190476190476)</f>
        <v>0.4761904762</v>
      </c>
    </row>
    <row r="15126">
      <c r="A15126" s="10" t="s">
        <v>16565</v>
      </c>
      <c r="B15126" s="7" t="str">
        <f>IFERROR(__xludf.DUMMYFUNCTION("SPLIT(A15126,"" "")"),"CCOC(=O)c1cccc(CN(Cc2ccccn2)Cc2cccc(C(C)(c3ccccn3)c3ccccn3)n2)n1")</f>
        <v>CCOC(=O)c1cccc(CN(Cc2ccccn2)Cc2cccc(C(C)(c3ccccn3)c3ccccn3)n2)n1</v>
      </c>
      <c r="C15126" s="7">
        <f>IFERROR(__xludf.DUMMYFUNCTION("""COMPUTED_VALUE"""),7.7444)</f>
        <v>7.7444</v>
      </c>
      <c r="D15126" s="7">
        <f>IFERROR(__xludf.DUMMYFUNCTION("""COMPUTED_VALUE"""),0.40983606557377)</f>
        <v>0.4098360656</v>
      </c>
    </row>
    <row r="15127">
      <c r="A15127" s="10" t="s">
        <v>16566</v>
      </c>
      <c r="B15127" s="7" t="str">
        <f>IFERROR(__xludf.DUMMYFUNCTION("SPLIT(A15127,"" "")"),"CC(C)N(C)Cc1cnc2ccc(N(C)C(C)C)cc2c1")</f>
        <v>CC(C)N(C)Cc1cnc2ccc(N(C)C(C)C)cc2c1</v>
      </c>
      <c r="C15127" s="7">
        <f>IFERROR(__xludf.DUMMYFUNCTION("""COMPUTED_VALUE"""),7.7443953)</f>
        <v>7.7443953</v>
      </c>
      <c r="D15127" s="7">
        <f>IFERROR(__xludf.DUMMYFUNCTION("""COMPUTED_VALUE"""),0.26)</f>
        <v>0.26</v>
      </c>
    </row>
    <row r="15128">
      <c r="A15128" s="10" t="s">
        <v>16567</v>
      </c>
      <c r="B15128" s="7" t="str">
        <f>IFERROR(__xludf.DUMMYFUNCTION("SPLIT(A15128,"" "")"),"CC(C)N(C)Cc1cccnc1-c1ccccc1N(C)Cc1ccccn1")</f>
        <v>CC(C)N(C)Cc1cccnc1-c1ccccc1N(C)Cc1ccccn1</v>
      </c>
      <c r="C15128" s="7">
        <f>IFERROR(__xludf.DUMMYFUNCTION("""COMPUTED_VALUE"""),7.744388)</f>
        <v>7.744388</v>
      </c>
      <c r="D15128" s="7">
        <f>IFERROR(__xludf.DUMMYFUNCTION("""COMPUTED_VALUE"""),0.479166666666666)</f>
        <v>0.4791666667</v>
      </c>
    </row>
    <row r="15129">
      <c r="A15129" s="10" t="s">
        <v>16568</v>
      </c>
      <c r="B15129" s="7" t="str">
        <f>IFERROR(__xludf.DUMMYFUNCTION("SPLIT(A15129,"" "")"),"CCN(C)CCN(C)c1ccc2nccc(CN(C)C)c2c1")</f>
        <v>CCN(C)CCN(C)c1ccc2nccc(CN(C)C)c2c1</v>
      </c>
      <c r="C15129" s="7">
        <f>IFERROR(__xludf.DUMMYFUNCTION("""COMPUTED_VALUE"""),7.7443857)</f>
        <v>7.7443857</v>
      </c>
      <c r="D15129" s="7">
        <f>IFERROR(__xludf.DUMMYFUNCTION("""COMPUTED_VALUE"""),0.285714285714285)</f>
        <v>0.2857142857</v>
      </c>
    </row>
    <row r="15130">
      <c r="A15130" s="10" t="s">
        <v>16569</v>
      </c>
      <c r="B15130" s="7" t="str">
        <f>IFERROR(__xludf.DUMMYFUNCTION("SPLIT(A15130,"" "")"),"CCN(Cc1ccccn1)c1ccc2nc(CN(C)C(C)C)ccc2c1")</f>
        <v>CCN(Cc1ccccn1)c1ccc2nc(CN(C)C(C)C)ccc2c1</v>
      </c>
      <c r="C15130" s="7">
        <f>IFERROR(__xludf.DUMMYFUNCTION("""COMPUTED_VALUE"""),7.744383)</f>
        <v>7.744383</v>
      </c>
      <c r="D15130" s="7">
        <f>IFERROR(__xludf.DUMMYFUNCTION("""COMPUTED_VALUE"""),0.470588235294117)</f>
        <v>0.4705882353</v>
      </c>
    </row>
    <row r="15131">
      <c r="A15131" s="10" t="s">
        <v>16570</v>
      </c>
      <c r="B15131" s="7" t="str">
        <f>IFERROR(__xludf.DUMMYFUNCTION("SPLIT(A15131,"" "")"),"Cc1cc(CN(C)C2=CCC=C(CN(C)Cc3nc(C)c(C)c(C)c3C)N2)nc(C)c1C")</f>
        <v>Cc1cc(CN(C)C2=CCC=C(CN(C)Cc3nc(C)c(C)c(C)c3C)N2)nc(C)c1C</v>
      </c>
      <c r="C15131" s="7">
        <f>IFERROR(__xludf.DUMMYFUNCTION("""COMPUTED_VALUE"""),7.744365)</f>
        <v>7.744365</v>
      </c>
      <c r="D15131" s="7">
        <f>IFERROR(__xludf.DUMMYFUNCTION("""COMPUTED_VALUE"""),0.2)</f>
        <v>0.2</v>
      </c>
    </row>
    <row r="15132">
      <c r="A15132" s="10" t="s">
        <v>16571</v>
      </c>
      <c r="B15132" s="7" t="str">
        <f>IFERROR(__xludf.DUMMYFUNCTION("SPLIT(A15132,"" "")"),"CC1=C(CN(C)Cc2ccccn2)CC(C)C=C1c1cccc(N=Cc2ccccn2)c1")</f>
        <v>CC1=C(CN(C)Cc2ccccn2)CC(C)C=C1c1cccc(N=Cc2ccccn2)c1</v>
      </c>
      <c r="C15132" s="7">
        <f>IFERROR(__xludf.DUMMYFUNCTION("""COMPUTED_VALUE"""),7.744359)</f>
        <v>7.744359</v>
      </c>
      <c r="D15132" s="7">
        <f>IFERROR(__xludf.DUMMYFUNCTION("""COMPUTED_VALUE"""),0.348484848484848)</f>
        <v>0.3484848485</v>
      </c>
    </row>
    <row r="15133">
      <c r="A15133" s="10" t="s">
        <v>16572</v>
      </c>
      <c r="B15133" s="7" t="str">
        <f>IFERROR(__xludf.DUMMYFUNCTION("SPLIT(A15133,"" "")"),"Cc1cncc(CN(C)Cc2cc(N(C)Cc3nc(C)c(C)cc3C)ccn2)c1")</f>
        <v>Cc1cncc(CN(C)Cc2cc(N(C)Cc3nc(C)c(C)cc3C)ccn2)c1</v>
      </c>
      <c r="C15133" s="7">
        <f>IFERROR(__xludf.DUMMYFUNCTION("""COMPUTED_VALUE"""),7.744355)</f>
        <v>7.744355</v>
      </c>
      <c r="D15133" s="7">
        <f>IFERROR(__xludf.DUMMYFUNCTION("""COMPUTED_VALUE"""),0.280701754385964)</f>
        <v>0.2807017544</v>
      </c>
    </row>
    <row r="15134">
      <c r="A15134" s="10" t="s">
        <v>16573</v>
      </c>
      <c r="B15134" s="7" t="str">
        <f>IFERROR(__xludf.DUMMYFUNCTION("SPLIT(A15134,"" "")"),"CN(C)c1ccccc1C1=CC=CNC1NCc1ccccn1")</f>
        <v>CN(C)c1ccccc1C1=CC=CNC1NCc1ccccn1</v>
      </c>
      <c r="C15134" s="7">
        <f>IFERROR(__xludf.DUMMYFUNCTION("""COMPUTED_VALUE"""),7.744354)</f>
        <v>7.744354</v>
      </c>
      <c r="D15134" s="7">
        <f>IFERROR(__xludf.DUMMYFUNCTION("""COMPUTED_VALUE"""),0.35593220338983)</f>
        <v>0.3559322034</v>
      </c>
    </row>
    <row r="15135">
      <c r="A15135" s="10" t="s">
        <v>16574</v>
      </c>
      <c r="B15135" s="7" t="str">
        <f>IFERROR(__xludf.DUMMYFUNCTION("SPLIT(A15135,"" "")"),"CC1=C(c2ccccc2)C(CN(C)Cc2ccccn2)CC=C1c1c(C)ccc(NCc2ccccn2)c1C")</f>
        <v>CC1=C(c2ccccc2)C(CN(C)Cc2ccccn2)CC=C1c1c(C)ccc(NCc2ccccn2)c1C</v>
      </c>
      <c r="C15135" s="7">
        <f>IFERROR(__xludf.DUMMYFUNCTION("""COMPUTED_VALUE"""),7.744351)</f>
        <v>7.744351</v>
      </c>
      <c r="D15135" s="7">
        <f>IFERROR(__xludf.DUMMYFUNCTION("""COMPUTED_VALUE"""),0.337837837837837)</f>
        <v>0.3378378378</v>
      </c>
    </row>
    <row r="15136">
      <c r="A15136" s="10" t="s">
        <v>16575</v>
      </c>
      <c r="B15136" s="7" t="str">
        <f>IFERROR(__xludf.DUMMYFUNCTION("SPLIT(A15136,"" "")"),"Cc1cccnc1CN(C)Cc1ncccc1N(C)Cc1cc(C)c(C)c(C)n1")</f>
        <v>Cc1cccnc1CN(C)Cc1ncccc1N(C)Cc1cc(C)c(C)c(C)n1</v>
      </c>
      <c r="C15136" s="7">
        <f>IFERROR(__xludf.DUMMYFUNCTION("""COMPUTED_VALUE"""),7.744348)</f>
        <v>7.744348</v>
      </c>
      <c r="D15136" s="7">
        <f>IFERROR(__xludf.DUMMYFUNCTION("""COMPUTED_VALUE"""),0.365384615384615)</f>
        <v>0.3653846154</v>
      </c>
    </row>
    <row r="15137">
      <c r="A15137" s="10" t="s">
        <v>16576</v>
      </c>
      <c r="B15137" s="7" t="str">
        <f>IFERROR(__xludf.DUMMYFUNCTION("SPLIT(A15137,"" "")"),"CCCN(Cc1ccccn1)Cc1ncccc1-c1ccccc1N=Cc1ccccn1")</f>
        <v>CCCN(Cc1ccccn1)Cc1ncccc1-c1ccccc1N=Cc1ccccn1</v>
      </c>
      <c r="C15137" s="7">
        <f>IFERROR(__xludf.DUMMYFUNCTION("""COMPUTED_VALUE"""),7.74434)</f>
        <v>7.74434</v>
      </c>
      <c r="D15137" s="7">
        <f>IFERROR(__xludf.DUMMYFUNCTION("""COMPUTED_VALUE"""),0.415094339622641)</f>
        <v>0.4150943396</v>
      </c>
    </row>
    <row r="15138">
      <c r="A15138" s="10" t="s">
        <v>16577</v>
      </c>
      <c r="B15138" s="7" t="str">
        <f>IFERROR(__xludf.DUMMYFUNCTION("SPLIT(A15138,"" "")"),"Cc1cccnc1CN(CCN(C)c1ccc2ncccc2c1)Cc1ccccn1")</f>
        <v>Cc1cccnc1CN(CCN(C)c1ccc2ncccc2c1)Cc1ccccn1</v>
      </c>
      <c r="C15138" s="7">
        <f>IFERROR(__xludf.DUMMYFUNCTION("""COMPUTED_VALUE"""),7.7443266)</f>
        <v>7.7443266</v>
      </c>
      <c r="D15138" s="7">
        <f>IFERROR(__xludf.DUMMYFUNCTION("""COMPUTED_VALUE"""),0.48)</f>
        <v>0.48</v>
      </c>
    </row>
    <row r="15139">
      <c r="A15139" s="10" t="s">
        <v>16578</v>
      </c>
      <c r="B15139" s="7" t="str">
        <f>IFERROR(__xludf.DUMMYFUNCTION("SPLIT(A15139,"" "")"),"CN(CCN(Cc1ccccn1)c1ccc2nccc(CF)c2c1)C(C)(C)c1ccccn1")</f>
        <v>CN(CCN(Cc1ccccn1)c1ccc2nccc(CF)c2c1)C(C)(C)c1ccccn1</v>
      </c>
      <c r="C15139" s="7">
        <f>IFERROR(__xludf.DUMMYFUNCTION("""COMPUTED_VALUE"""),7.744326)</f>
        <v>7.744326</v>
      </c>
      <c r="D15139" s="7">
        <f>IFERROR(__xludf.DUMMYFUNCTION("""COMPUTED_VALUE"""),0.344262295081967)</f>
        <v>0.3442622951</v>
      </c>
    </row>
    <row r="15140">
      <c r="A15140" s="10" t="s">
        <v>16579</v>
      </c>
      <c r="B15140" s="7" t="str">
        <f>IFERROR(__xludf.DUMMYFUNCTION("SPLIT(A15140,"" "")"),"CN(CN(Cc1ccccn1)C1CCCCC1N(C)c1ccc2cccnc2c1)c1ccc2cccnc2c1")</f>
        <v>CN(CN(Cc1ccccn1)C1CCCCC1N(C)c1ccc2cccnc2c1)c1ccc2cccnc2c1</v>
      </c>
      <c r="C15140" s="7">
        <f>IFERROR(__xludf.DUMMYFUNCTION("""COMPUTED_VALUE"""),7.7443223)</f>
        <v>7.7443223</v>
      </c>
      <c r="D15140" s="7">
        <f>IFERROR(__xludf.DUMMYFUNCTION("""COMPUTED_VALUE"""),0.472727272727272)</f>
        <v>0.4727272727</v>
      </c>
    </row>
    <row r="15141">
      <c r="A15141" s="10" t="s">
        <v>16580</v>
      </c>
      <c r="B15141" s="7" t="str">
        <f>IFERROR(__xludf.DUMMYFUNCTION("SPLIT(A15141,"" "")"),"Cc1nc(CN(C)C2=CCC=C(CN(C)C3=CCC=CN3)N2)c(C)c(C)c1C")</f>
        <v>Cc1nc(CN(C)C2=CCC=C(CN(C)C3=CCC=CN3)N2)c(C)c(C)c1C</v>
      </c>
      <c r="C15141" s="7">
        <f>IFERROR(__xludf.DUMMYFUNCTION("""COMPUTED_VALUE"""),7.744309)</f>
        <v>7.744309</v>
      </c>
      <c r="D15141" s="7">
        <f>IFERROR(__xludf.DUMMYFUNCTION("""COMPUTED_VALUE"""),0.295081967213114)</f>
        <v>0.2950819672</v>
      </c>
    </row>
    <row r="15142">
      <c r="A15142" s="10" t="s">
        <v>16581</v>
      </c>
      <c r="B15142" s="7" t="str">
        <f>IFERROR(__xludf.DUMMYFUNCTION("SPLIT(A15142,"" "")"),"CNCc1ncc(Cl)cc1N(C)Cc1cccc(F)n1")</f>
        <v>CNCc1ncc(Cl)cc1N(C)Cc1cccc(F)n1</v>
      </c>
      <c r="C15142" s="7">
        <f>IFERROR(__xludf.DUMMYFUNCTION("""COMPUTED_VALUE"""),7.7443047)</f>
        <v>7.7443047</v>
      </c>
      <c r="D15142" s="7">
        <f>IFERROR(__xludf.DUMMYFUNCTION("""COMPUTED_VALUE"""),0.377358490566037)</f>
        <v>0.3773584906</v>
      </c>
    </row>
    <row r="15143">
      <c r="A15143" s="10" t="s">
        <v>16582</v>
      </c>
      <c r="B15143" s="7" t="str">
        <f>IFERROR(__xludf.DUMMYFUNCTION("SPLIT(A15143,"" "")"),"CC(C)N(C)CN(Cc1ccccn1)c1ccc2cccnc2c1")</f>
        <v>CC(C)N(C)CN(Cc1ccccn1)c1ccc2cccnc2c1</v>
      </c>
      <c r="C15143" s="7">
        <f>IFERROR(__xludf.DUMMYFUNCTION("""COMPUTED_VALUE"""),7.7443037)</f>
        <v>7.7443037</v>
      </c>
      <c r="D15143" s="7">
        <f>IFERROR(__xludf.DUMMYFUNCTION("""COMPUTED_VALUE"""),0.46)</f>
        <v>0.46</v>
      </c>
    </row>
    <row r="15144">
      <c r="A15144" s="10" t="s">
        <v>16583</v>
      </c>
      <c r="B15144" s="7" t="str">
        <f>IFERROR(__xludf.DUMMYFUNCTION("SPLIT(A15144,"" "")"),"CCN(C)CCN(C)c1cccc2ncc(C)cc12")</f>
        <v>CCN(C)CCN(C)c1cccc2ncc(C)cc12</v>
      </c>
      <c r="C15144" s="7">
        <f>IFERROR(__xludf.DUMMYFUNCTION("""COMPUTED_VALUE"""),7.744299)</f>
        <v>7.744299</v>
      </c>
      <c r="D15144" s="7">
        <f>IFERROR(__xludf.DUMMYFUNCTION("""COMPUTED_VALUE"""),0.4)</f>
        <v>0.4</v>
      </c>
    </row>
    <row r="15145">
      <c r="A15145" s="10" t="s">
        <v>16584</v>
      </c>
      <c r="B15145" s="7" t="str">
        <f>IFERROR(__xludf.DUMMYFUNCTION("SPLIT(A15145,"" "")"),"CCCN(Cc1ccccn1)c1ccc(-c2cc(CN(Cc3ccccn3)Cc3ncccc3C)ccn2)c(C)c1C")</f>
        <v>CCCN(Cc1ccccn1)c1ccc(-c2cc(CN(Cc3ccccn3)Cc3ncccc3C)ccn2)c(C)c1C</v>
      </c>
      <c r="C15145" s="7">
        <f>IFERROR(__xludf.DUMMYFUNCTION("""COMPUTED_VALUE"""),7.744294)</f>
        <v>7.744294</v>
      </c>
      <c r="D15145" s="7">
        <f>IFERROR(__xludf.DUMMYFUNCTION("""COMPUTED_VALUE"""),0.357142857142857)</f>
        <v>0.3571428571</v>
      </c>
    </row>
    <row r="15146">
      <c r="A15146" s="10" t="s">
        <v>16585</v>
      </c>
      <c r="B15146" s="7" t="str">
        <f>IFERROR(__xludf.DUMMYFUNCTION("SPLIT(A15146,"" "")"),"Cc1ccnc2ccc(N(C)CCN(C)C3C=CNC(C(C)C)=C3)cc12")</f>
        <v>Cc1ccnc2ccc(N(C)CCN(C)C3C=CNC(C(C)C)=C3)cc12</v>
      </c>
      <c r="C15146" s="7">
        <f>IFERROR(__xludf.DUMMYFUNCTION("""COMPUTED_VALUE"""),7.744288)</f>
        <v>7.744288</v>
      </c>
      <c r="D15146" s="7">
        <f>IFERROR(__xludf.DUMMYFUNCTION("""COMPUTED_VALUE"""),0.238805970149253)</f>
        <v>0.2388059701</v>
      </c>
    </row>
    <row r="15147">
      <c r="A15147" s="10" t="s">
        <v>16586</v>
      </c>
      <c r="B15147" s="7" t="str">
        <f>IFERROR(__xludf.DUMMYFUNCTION("SPLIT(A15147,"" "")"),"Cc1cnc(CN(Cc2ccccn2)Cc2nc(N(C)C)c(C)cc2C)c(C)c1")</f>
        <v>Cc1cnc(CN(Cc2ccccn2)Cc2nc(N(C)C)c(C)cc2C)c(C)c1</v>
      </c>
      <c r="C15147" s="7">
        <f>IFERROR(__xludf.DUMMYFUNCTION("""COMPUTED_VALUE"""),7.744265)</f>
        <v>7.744265</v>
      </c>
      <c r="D15147" s="7">
        <f>IFERROR(__xludf.DUMMYFUNCTION("""COMPUTED_VALUE"""),0.454545454545454)</f>
        <v>0.4545454545</v>
      </c>
    </row>
    <row r="15148">
      <c r="A15148" s="10" t="s">
        <v>16587</v>
      </c>
      <c r="B15148" s="7" t="str">
        <f>IFERROR(__xludf.DUMMYFUNCTION("SPLIT(A15148,"" "")"),"Cc1cccc(N(C)C)c1N(Cc1ccccc1)Cc1ccccn1")</f>
        <v>Cc1cccc(N(C)C)c1N(Cc1ccccc1)Cc1ccccn1</v>
      </c>
      <c r="C15148" s="7">
        <f>IFERROR(__xludf.DUMMYFUNCTION("""COMPUTED_VALUE"""),7.7442636)</f>
        <v>7.7442636</v>
      </c>
      <c r="D15148" s="7">
        <f>IFERROR(__xludf.DUMMYFUNCTION("""COMPUTED_VALUE"""),0.416666666666666)</f>
        <v>0.4166666667</v>
      </c>
    </row>
    <row r="15149">
      <c r="A15149" s="10" t="s">
        <v>16588</v>
      </c>
      <c r="B15149" s="7" t="str">
        <f>IFERROR(__xludf.DUMMYFUNCTION("SPLIT(A15149,"" "")"),"CCCN(Cc1ccccn1)Cc1cc(-c2ccccc2N=Cc2ccccn2)ccn1")</f>
        <v>CCCN(Cc1ccccn1)Cc1cc(-c2ccccc2N=Cc2ccccn2)ccn1</v>
      </c>
      <c r="C15149" s="7">
        <f>IFERROR(__xludf.DUMMYFUNCTION("""COMPUTED_VALUE"""),7.7442636)</f>
        <v>7.7442636</v>
      </c>
      <c r="D15149" s="7">
        <f>IFERROR(__xludf.DUMMYFUNCTION("""COMPUTED_VALUE"""),0.407407407407407)</f>
        <v>0.4074074074</v>
      </c>
    </row>
    <row r="15150">
      <c r="A15150" s="10" t="s">
        <v>16589</v>
      </c>
      <c r="B15150" s="7" t="str">
        <f>IFERROR(__xludf.DUMMYFUNCTION("SPLIT(A15150,"" "")"),"Cc1ccc(-c2ccc(NCc3ccccn3)cc2)nc1CNCc1ccccn1")</f>
        <v>Cc1ccc(-c2ccc(NCc3ccccn3)cc2)nc1CNCc1ccccn1</v>
      </c>
      <c r="C15150" s="7">
        <f>IFERROR(__xludf.DUMMYFUNCTION("""COMPUTED_VALUE"""),7.7442613)</f>
        <v>7.7442613</v>
      </c>
      <c r="D15150" s="7">
        <f>IFERROR(__xludf.DUMMYFUNCTION("""COMPUTED_VALUE"""),0.422222222222222)</f>
        <v>0.4222222222</v>
      </c>
    </row>
    <row r="15151">
      <c r="A15151" s="10" t="s">
        <v>16590</v>
      </c>
      <c r="B15151" s="7" t="str">
        <f>IFERROR(__xludf.DUMMYFUNCTION("SPLIT(A15151,"" "")"),"CC(C)N(C)Cc1ccncc1-c1ccccc1N(C)C")</f>
        <v>CC(C)N(C)Cc1ccncc1-c1ccccc1N(C)C</v>
      </c>
      <c r="C15151" s="7">
        <f>IFERROR(__xludf.DUMMYFUNCTION("""COMPUTED_VALUE"""),7.744235)</f>
        <v>7.744235</v>
      </c>
      <c r="D15151" s="7">
        <f>IFERROR(__xludf.DUMMYFUNCTION("""COMPUTED_VALUE"""),0.285714285714285)</f>
        <v>0.2857142857</v>
      </c>
    </row>
    <row r="15152">
      <c r="A15152" s="10" t="s">
        <v>16591</v>
      </c>
      <c r="B15152" s="7" t="str">
        <f>IFERROR(__xludf.DUMMYFUNCTION("SPLIT(A15152,"" "")"),"CN(C)Cc1ccc2cc(N(C)Cc3ccc4cccc(N(C)Cc5cc(-c6ccc7c(c6)OCCOCCOCCOCCOCCO7)ccn5)c4n3)ccc2n1")</f>
        <v>CN(C)Cc1ccc2cc(N(C)Cc3ccc4cccc(N(C)Cc5cc(-c6ccc7c(c6)OCCOCCOCCOCCOCCO7)ccn5)c4n3)ccc2n1</v>
      </c>
      <c r="C15152" s="7">
        <f>IFERROR(__xludf.DUMMYFUNCTION("""COMPUTED_VALUE"""),7.7442284)</f>
        <v>7.7442284</v>
      </c>
      <c r="D15152" s="7">
        <f>IFERROR(__xludf.DUMMYFUNCTION("""COMPUTED_VALUE"""),0.317073170731707)</f>
        <v>0.3170731707</v>
      </c>
    </row>
    <row r="15153">
      <c r="A15153" s="10" t="s">
        <v>16592</v>
      </c>
      <c r="B15153" s="7" t="str">
        <f>IFERROR(__xludf.DUMMYFUNCTION("SPLIT(A15153,"" "")"),"CC(C)CN(Cc1ccccn1)Cc1ccc(-c2cccc(N=Cc3ccccn3)c2)cn1")</f>
        <v>CC(C)CN(Cc1ccccn1)Cc1ccc(-c2cccc(N=Cc3ccccn3)c2)cn1</v>
      </c>
      <c r="C15153" s="7">
        <f>IFERROR(__xludf.DUMMYFUNCTION("""COMPUTED_VALUE"""),7.7442217)</f>
        <v>7.7442217</v>
      </c>
      <c r="D15153" s="7">
        <f>IFERROR(__xludf.DUMMYFUNCTION("""COMPUTED_VALUE"""),0.362068965517241)</f>
        <v>0.3620689655</v>
      </c>
    </row>
    <row r="15154">
      <c r="A15154" s="10" t="s">
        <v>16593</v>
      </c>
      <c r="B15154" s="7" t="str">
        <f>IFERROR(__xludf.DUMMYFUNCTION("SPLIT(A15154,"" "")"),"CCNCc1cccc(-c2c(C)cccc2NCc2ccccn2)n1")</f>
        <v>CCNCc1cccc(-c2c(C)cccc2NCc2ccccn2)n1</v>
      </c>
      <c r="C15154" s="7">
        <f>IFERROR(__xludf.DUMMYFUNCTION("""COMPUTED_VALUE"""),7.744221)</f>
        <v>7.744221</v>
      </c>
      <c r="D15154" s="7">
        <f>IFERROR(__xludf.DUMMYFUNCTION("""COMPUTED_VALUE"""),0.413043478260869)</f>
        <v>0.4130434783</v>
      </c>
    </row>
    <row r="15155">
      <c r="A15155" s="10" t="s">
        <v>16594</v>
      </c>
      <c r="B15155" s="7" t="str">
        <f>IFERROR(__xludf.DUMMYFUNCTION("SPLIT(A15155,"" "")"),"Cc1cc(C)c(C(C)(C)c2ccc(CN(Cc3ccccn3)C3CCCC(N(C)c4ccc5cc(CN(C)C)cnc5c4)C3)cn2)c(N(C)Cc2ccccn2)c1")</f>
        <v>Cc1cc(C)c(C(C)(C)c2ccc(CN(Cc3ccccn3)C3CCCC(N(C)c4ccc5cc(CN(C)C)cnc5c4)C3)cn2)c(N(C)Cc2ccccn2)c1</v>
      </c>
      <c r="C15155" s="7">
        <f>IFERROR(__xludf.DUMMYFUNCTION("""COMPUTED_VALUE"""),7.7442183)</f>
        <v>7.7442183</v>
      </c>
      <c r="D15155" s="7">
        <f>IFERROR(__xludf.DUMMYFUNCTION("""COMPUTED_VALUE"""),0.3)</f>
        <v>0.3</v>
      </c>
    </row>
    <row r="15156">
      <c r="A15156" s="10" t="s">
        <v>16595</v>
      </c>
      <c r="B15156" s="7" t="str">
        <f>IFERROR(__xludf.DUMMYFUNCTION("SPLIT(A15156,"" "")"),"CC(C)C1=CC2C(c3ccc(CN(Cc4ccccn4)Cc4ccc(-c5cccc(N(C)C)c5)cn4)cn3)=CC(C)(C)C(NCc3ccccn3)C2=CN1")</f>
        <v>CC(C)C1=CC2C(c3ccc(CN(Cc4ccccn4)Cc4ccc(-c5cccc(N(C)C)c5)cn4)cn3)=CC(C)(C)C(NCc3ccccn3)C2=CN1</v>
      </c>
      <c r="C15156" s="7">
        <f>IFERROR(__xludf.DUMMYFUNCTION("""COMPUTED_VALUE"""),7.744216)</f>
        <v>7.744216</v>
      </c>
      <c r="D15156" s="7">
        <f>IFERROR(__xludf.DUMMYFUNCTION("""COMPUTED_VALUE"""),0.270833333333333)</f>
        <v>0.2708333333</v>
      </c>
    </row>
    <row r="15157">
      <c r="A15157" s="10" t="s">
        <v>16596</v>
      </c>
      <c r="B15157" s="7" t="str">
        <f>IFERROR(__xludf.DUMMYFUNCTION("SPLIT(A15157,"" "")"),"CC1(C)COC(c2cc(CN(Cc3ccccn3)Cc3cc(C(C)(C)c4ccccn4)ccn3)ccn2)=N1")</f>
        <v>CC1(C)COC(c2cc(CN(Cc3ccccn3)Cc3cc(C(C)(C)c4ccccn4)ccn3)ccn2)=N1</v>
      </c>
      <c r="C15157" s="7">
        <f>IFERROR(__xludf.DUMMYFUNCTION("""COMPUTED_VALUE"""),7.744212)</f>
        <v>7.744212</v>
      </c>
      <c r="D15157" s="7">
        <f>IFERROR(__xludf.DUMMYFUNCTION("""COMPUTED_VALUE"""),0.344827586206896)</f>
        <v>0.3448275862</v>
      </c>
    </row>
    <row r="15158">
      <c r="A15158" s="10" t="s">
        <v>16597</v>
      </c>
      <c r="B15158" s="7" t="str">
        <f>IFERROR(__xludf.DUMMYFUNCTION("SPLIT(A15158,"" "")"),"CNCc1ccc2cccc(N(C)C3CCCCC3N(Cc3ccc4ncccc4c3)Cc3nc(C)c(C)c(C)c3C)c2n1")</f>
        <v>CNCc1ccc2cccc(N(C)C3CCCCC3N(Cc3ccc4ncccc4c3)Cc3nc(C)c(C)c(C)c3C)c2n1</v>
      </c>
      <c r="C15158" s="7">
        <f>IFERROR(__xludf.DUMMYFUNCTION("""COMPUTED_VALUE"""),7.7442083)</f>
        <v>7.7442083</v>
      </c>
      <c r="D15158" s="7">
        <f>IFERROR(__xludf.DUMMYFUNCTION("""COMPUTED_VALUE"""),0.432432432432432)</f>
        <v>0.4324324324</v>
      </c>
    </row>
    <row r="15159">
      <c r="A15159" s="10" t="s">
        <v>16598</v>
      </c>
      <c r="B15159" s="7" t="str">
        <f>IFERROR(__xludf.DUMMYFUNCTION("SPLIT(A15159,"" "")"),"CNC12N=CC(C)=CC1(N(Cc1nc(C)c(C)c(C)c1C)Cc1nc(C)c(C)c(C)c1C)CC(N(Cc1nc(C)c(C)c(C)c1C)Cc1nc(C)c(C)c(C)c1C)CC2N(Cc1nc(C)c(C)c(C)c1C)Cc1nc(C)c(C)c(C)c1C")</f>
        <v>CNC12N=CC(C)=CC1(N(Cc1nc(C)c(C)c(C)c1C)Cc1nc(C)c(C)c(C)c1C)CC(N(Cc1nc(C)c(C)c(C)c1C)Cc1nc(C)c(C)c(C)c1C)CC2N(Cc1nc(C)c(C)c(C)c1C)Cc1nc(C)c(C)c(C)c1C</v>
      </c>
      <c r="C15159" s="7">
        <f>IFERROR(__xludf.DUMMYFUNCTION("""COMPUTED_VALUE"""),7.744207)</f>
        <v>7.744207</v>
      </c>
      <c r="D15159" s="7">
        <f>IFERROR(__xludf.DUMMYFUNCTION("""COMPUTED_VALUE"""),0.169014084507042)</f>
        <v>0.1690140845</v>
      </c>
    </row>
    <row r="15160">
      <c r="A15160" s="10" t="s">
        <v>16599</v>
      </c>
      <c r="B15160" s="7" t="str">
        <f>IFERROR(__xludf.DUMMYFUNCTION("SPLIT(A15160,"" "")"),"CC(C)N(C)Cc1ccc2cc(N(C)C3CCC(N(C)c4ccc5nc(CF)ccc5c4)CC3)ccc2n1")</f>
        <v>CC(C)N(C)Cc1ccc2cc(N(C)C3CCC(N(C)c4ccc5nc(CF)ccc5c4)CC3)ccc2n1</v>
      </c>
      <c r="C15160" s="7">
        <f>IFERROR(__xludf.DUMMYFUNCTION("""COMPUTED_VALUE"""),7.7442017)</f>
        <v>7.7442017</v>
      </c>
      <c r="D15160" s="7">
        <f>IFERROR(__xludf.DUMMYFUNCTION("""COMPUTED_VALUE"""),0.35593220338983)</f>
        <v>0.3559322034</v>
      </c>
    </row>
    <row r="15161">
      <c r="A15161" s="10" t="s">
        <v>16600</v>
      </c>
      <c r="B15161" s="7" t="str">
        <f>IFERROR(__xludf.DUMMYFUNCTION("SPLIT(A15161,"" "")"),"CCN(Cc1ccccn1)c1cccc(C(C)(C)C)c1-c1cc(CN(Cc2ccccn2)Cc2ncccc2C)ccn1")</f>
        <v>CCN(Cc1ccccn1)c1cccc(C(C)(C)C)c1-c1cc(CN(Cc2ccccn2)Cc2ncccc2C)ccn1</v>
      </c>
      <c r="C15161" s="7">
        <f>IFERROR(__xludf.DUMMYFUNCTION("""COMPUTED_VALUE"""),7.7441993)</f>
        <v>7.7441993</v>
      </c>
      <c r="D15161" s="7">
        <f>IFERROR(__xludf.DUMMYFUNCTION("""COMPUTED_VALUE"""),0.338983050847457)</f>
        <v>0.3389830508</v>
      </c>
    </row>
    <row r="15162">
      <c r="A15162" s="10" t="s">
        <v>16601</v>
      </c>
      <c r="B15162" s="7" t="str">
        <f>IFERROR(__xludf.DUMMYFUNCTION("SPLIT(A15162,"" "")"),"Cc1ccc(-c2cccc(NCc3ccccn3)c2)nc1CNCc1ccccn1")</f>
        <v>Cc1ccc(-c2cccc(NCc3ccccn3)c2)nc1CNCc1ccccn1</v>
      </c>
      <c r="C15162" s="7">
        <f>IFERROR(__xludf.DUMMYFUNCTION("""COMPUTED_VALUE"""),7.744198)</f>
        <v>7.744198</v>
      </c>
      <c r="D15162" s="7">
        <f>IFERROR(__xludf.DUMMYFUNCTION("""COMPUTED_VALUE"""),0.395833333333333)</f>
        <v>0.3958333333</v>
      </c>
    </row>
    <row r="15163">
      <c r="A15163" s="10" t="s">
        <v>16602</v>
      </c>
      <c r="B15163" s="7" t="str">
        <f>IFERROR(__xludf.DUMMYFUNCTION("SPLIT(A15163,"" "")"),"Cc1cnc(CN(C)Cc2cccc(C3=NC(C)CO3)n2)c(C)c1C")</f>
        <v>Cc1cnc(CN(C)Cc2cccc(C3=NC(C)CO3)n2)c(C)c1C</v>
      </c>
      <c r="C15163" s="7">
        <f>IFERROR(__xludf.DUMMYFUNCTION("""COMPUTED_VALUE"""),7.7441883)</f>
        <v>7.7441883</v>
      </c>
      <c r="D15163" s="7">
        <f>IFERROR(__xludf.DUMMYFUNCTION("""COMPUTED_VALUE"""),0.403508771929824)</f>
        <v>0.4035087719</v>
      </c>
    </row>
    <row r="15164">
      <c r="A15164" s="10" t="s">
        <v>16603</v>
      </c>
      <c r="B15164" s="7" t="str">
        <f>IFERROR(__xludf.DUMMYFUNCTION("SPLIT(A15164,"" "")"),"COC(=O)C1CC(c2ccccn2)C(c2ccccn2)N(C)C1c1ncccc1CNCc1ncccc1C(C)(c1ccccn1)c1ccccn1")</f>
        <v>COC(=O)C1CC(c2ccccn2)C(c2ccccn2)N(C)C1c1ncccc1CNCc1ncccc1C(C)(c1ccccn1)c1ccccn1</v>
      </c>
      <c r="C15164" s="7">
        <f>IFERROR(__xludf.DUMMYFUNCTION("""COMPUTED_VALUE"""),7.7441835)</f>
        <v>7.7441835</v>
      </c>
      <c r="D15164" s="7">
        <f>IFERROR(__xludf.DUMMYFUNCTION("""COMPUTED_VALUE"""),0.297619047619047)</f>
        <v>0.2976190476</v>
      </c>
    </row>
    <row r="15165">
      <c r="A15165" s="10" t="s">
        <v>16604</v>
      </c>
      <c r="B15165" s="7" t="str">
        <f>IFERROR(__xludf.DUMMYFUNCTION("SPLIT(A15165,"" "")"),"Cc1ccc2ccc(CN(C)C3CCCCC3N(C)c3ccc4nc(CN(C)C)ccc4c3)nc2c1")</f>
        <v>Cc1ccc2ccc(CN(C)C3CCCCC3N(C)c3ccc4nc(CN(C)C)ccc4c3)nc2c1</v>
      </c>
      <c r="C15165" s="7">
        <f>IFERROR(__xludf.DUMMYFUNCTION("""COMPUTED_VALUE"""),7.744162)</f>
        <v>7.744162</v>
      </c>
      <c r="D15165" s="7">
        <f>IFERROR(__xludf.DUMMYFUNCTION("""COMPUTED_VALUE"""),0.471698113207547)</f>
        <v>0.4716981132</v>
      </c>
    </row>
    <row r="15166">
      <c r="A15166" s="10" t="s">
        <v>16605</v>
      </c>
      <c r="B15166" s="7" t="str">
        <f>IFERROR(__xludf.DUMMYFUNCTION("SPLIT(A15166,"" "")"),"Cc1ccc(C(C)(C)c2cc(CN(Cc3ccccn3)Cc3ccccn3)ccn2)cc1N=Cc1ccccn1")</f>
        <v>Cc1ccc(C(C)(C)c2cc(CN(Cc3ccccn3)Cc3ccccn3)ccn2)cc1N=Cc1ccccn1</v>
      </c>
      <c r="C15166" s="7">
        <f>IFERROR(__xludf.DUMMYFUNCTION("""COMPUTED_VALUE"""),7.744143)</f>
        <v>7.744143</v>
      </c>
      <c r="D15166" s="7">
        <f>IFERROR(__xludf.DUMMYFUNCTION("""COMPUTED_VALUE"""),0.387096774193548)</f>
        <v>0.3870967742</v>
      </c>
    </row>
    <row r="15167">
      <c r="A15167" s="10" t="s">
        <v>16606</v>
      </c>
      <c r="B15167" s="7" t="str">
        <f>IFERROR(__xludf.DUMMYFUNCTION("SPLIT(A15167,"" "")"),"Cc1cnc(C(C)(C)c2ccccn2)c(C)c1")</f>
        <v>Cc1cnc(C(C)(C)c2ccccn2)c(C)c1</v>
      </c>
      <c r="C15167" s="7">
        <f>IFERROR(__xludf.DUMMYFUNCTION("""COMPUTED_VALUE"""),7.74414)</f>
        <v>7.74414</v>
      </c>
      <c r="D15167" s="7">
        <f>IFERROR(__xludf.DUMMYFUNCTION("""COMPUTED_VALUE"""),0.355555555555555)</f>
        <v>0.3555555556</v>
      </c>
    </row>
    <row r="15168">
      <c r="A15168" s="10" t="s">
        <v>16607</v>
      </c>
      <c r="B15168" s="7" t="str">
        <f>IFERROR(__xludf.DUMMYFUNCTION("SPLIT(A15168,"" "")"),"CC(C)N(C)CC1=CC(N(C)c2ccc3c(CF)ccnc3c2)C=CN1")</f>
        <v>CC(C)N(C)CC1=CC(N(C)c2ccc3c(CF)ccnc3c2)C=CN1</v>
      </c>
      <c r="C15168" s="7">
        <f>IFERROR(__xludf.DUMMYFUNCTION("""COMPUTED_VALUE"""),7.7441387)</f>
        <v>7.7441387</v>
      </c>
      <c r="D15168" s="7">
        <f>IFERROR(__xludf.DUMMYFUNCTION("""COMPUTED_VALUE"""),0.287878787878787)</f>
        <v>0.2878787879</v>
      </c>
    </row>
    <row r="15169">
      <c r="A15169" s="10" t="s">
        <v>16608</v>
      </c>
      <c r="B15169" s="7" t="str">
        <f>IFERROR(__xludf.DUMMYFUNCTION("SPLIT(A15169,"" "")"),"CC1C(N(C)Cc2ccccn2)=CC(Cl)c2cccnc21")</f>
        <v>CC1C(N(C)Cc2ccccn2)=CC(Cl)c2cccnc21</v>
      </c>
      <c r="C15169" s="7">
        <f>IFERROR(__xludf.DUMMYFUNCTION("""COMPUTED_VALUE"""),7.7441373)</f>
        <v>7.7441373</v>
      </c>
      <c r="D15169" s="7">
        <f>IFERROR(__xludf.DUMMYFUNCTION("""COMPUTED_VALUE"""),0.458333333333333)</f>
        <v>0.4583333333</v>
      </c>
    </row>
    <row r="15170">
      <c r="A15170" s="10" t="s">
        <v>16609</v>
      </c>
      <c r="B15170" s="7" t="str">
        <f>IFERROR(__xludf.DUMMYFUNCTION("SPLIT(A15170,"" "")"),"CC(C)N(Cc1ccccn1)c1cccc(C2=NC(C)(C)CO2)c1")</f>
        <v>CC(C)N(Cc1ccccn1)c1cccc(C2=NC(C)(C)CO2)c1</v>
      </c>
      <c r="C15170" s="7">
        <f>IFERROR(__xludf.DUMMYFUNCTION("""COMPUTED_VALUE"""),7.744135)</f>
        <v>7.744135</v>
      </c>
      <c r="D15170" s="7">
        <f>IFERROR(__xludf.DUMMYFUNCTION("""COMPUTED_VALUE"""),0.388888888888888)</f>
        <v>0.3888888889</v>
      </c>
    </row>
    <row r="15171">
      <c r="A15171" s="10" t="s">
        <v>16610</v>
      </c>
      <c r="B15171" s="7" t="str">
        <f>IFERROR(__xludf.DUMMYFUNCTION("SPLIT(A15171,"" "")"),"CC1=C(C)C(C)CC(c2cc(CN(C)Cc3cc(-c4cccc(N(C)C)c4)ccn3)ccn2)C1")</f>
        <v>CC1=C(C)C(C)CC(c2cc(CN(C)Cc3cc(-c4cccc(N(C)C)c4)ccn3)ccn2)C1</v>
      </c>
      <c r="C15171" s="7">
        <f>IFERROR(__xludf.DUMMYFUNCTION("""COMPUTED_VALUE"""),7.744133)</f>
        <v>7.744133</v>
      </c>
      <c r="D15171" s="7">
        <f>IFERROR(__xludf.DUMMYFUNCTION("""COMPUTED_VALUE"""),0.279411764705882)</f>
        <v>0.2794117647</v>
      </c>
    </row>
    <row r="15172">
      <c r="A15172" s="10" t="s">
        <v>16611</v>
      </c>
      <c r="B15172" s="7" t="str">
        <f>IFERROR(__xludf.DUMMYFUNCTION("SPLIT(A15172,"" "")"),"CN(C)Cc1cnc2cccc(N(C)C3CCCCC3N(Cc3ccccn3)Cc3cccnc3-c3cccnc3CNc3cccnc3CF)c2c1")</f>
        <v>CN(C)Cc1cnc2cccc(N(C)C3CCCCC3N(Cc3ccccn3)Cc3cccnc3-c3cccnc3CNc3cccnc3CF)c2c1</v>
      </c>
      <c r="C15172" s="7">
        <f>IFERROR(__xludf.DUMMYFUNCTION("""COMPUTED_VALUE"""),7.744123)</f>
        <v>7.744123</v>
      </c>
      <c r="D15172" s="7">
        <f>IFERROR(__xludf.DUMMYFUNCTION("""COMPUTED_VALUE"""),0.313253012048192)</f>
        <v>0.313253012</v>
      </c>
    </row>
    <row r="15173">
      <c r="A15173" s="10" t="s">
        <v>16612</v>
      </c>
      <c r="B15173" s="7" t="str">
        <f>IFERROR(__xludf.DUMMYFUNCTION("SPLIT(A15173,"" "")"),"Cc1ccc(-c2cccc(CN(Cc3ccc([Si](C(C)C)(C(C)C)C(C)C)cn3)Cc3cccc(C4=NC(C)(C)CO4)n3)n2)cc1")</f>
        <v>Cc1ccc(-c2cccc(CN(Cc3ccc([Si](C(C)C)(C(C)C)C(C)C)cn3)Cc3cccc(C4=NC(C)(C)CO4)n3)n2)cc1</v>
      </c>
      <c r="C15173" s="7">
        <f>IFERROR(__xludf.DUMMYFUNCTION("""COMPUTED_VALUE"""),7.7441154)</f>
        <v>7.7441154</v>
      </c>
      <c r="D15173" s="7">
        <f>IFERROR(__xludf.DUMMYFUNCTION("""COMPUTED_VALUE"""),0.46551724137931)</f>
        <v>0.4655172414</v>
      </c>
    </row>
    <row r="15174">
      <c r="A15174" s="10" t="s">
        <v>16613</v>
      </c>
      <c r="B15174" s="7" t="str">
        <f>IFERROR(__xludf.DUMMYFUNCTION("SPLIT(A15174,"" "")"),"CN(C)Cc1ccc2cc(N(C)C3CCC(N(Cc4ccc5ncccc5c4)Cc4cccc(F)n4)CC3)ccc2n1")</f>
        <v>CN(C)Cc1ccc2cc(N(C)C3CCC(N(Cc4ccc5ncccc5c4)Cc4cccc(F)n4)CC3)ccc2n1</v>
      </c>
      <c r="C15174" s="7">
        <f>IFERROR(__xludf.DUMMYFUNCTION("""COMPUTED_VALUE"""),7.744114)</f>
        <v>7.744114</v>
      </c>
      <c r="D15174" s="7">
        <f>IFERROR(__xludf.DUMMYFUNCTION("""COMPUTED_VALUE"""),0.308823529411764)</f>
        <v>0.3088235294</v>
      </c>
    </row>
    <row r="15175">
      <c r="A15175" s="10" t="s">
        <v>16614</v>
      </c>
      <c r="B15175" s="7" t="str">
        <f>IFERROR(__xludf.DUMMYFUNCTION("SPLIT(A15175,"" "")"),"Cc1cncc(CN(C)Cc2ccc(N(C)Cc3nc(C)c(C)cc3C)cn2)c1")</f>
        <v>Cc1cncc(CN(C)Cc2ccc(N(C)Cc3nc(C)c(C)cc3C)cn2)c1</v>
      </c>
      <c r="C15175" s="7">
        <f>IFERROR(__xludf.DUMMYFUNCTION("""COMPUTED_VALUE"""),7.7441072)</f>
        <v>7.7441072</v>
      </c>
      <c r="D15175" s="7">
        <f>IFERROR(__xludf.DUMMYFUNCTION("""COMPUTED_VALUE"""),0.358490566037735)</f>
        <v>0.358490566</v>
      </c>
    </row>
    <row r="15176">
      <c r="A15176" s="10" t="s">
        <v>16615</v>
      </c>
      <c r="B15176" s="7" t="str">
        <f>IFERROR(__xludf.DUMMYFUNCTION("SPLIT(A15176,"" "")"),"CCN(C)CCN(C)c1ccc2c(CN(C)C)ccnc2c1")</f>
        <v>CCN(C)CCN(C)c1ccc2c(CN(C)C)ccnc2c1</v>
      </c>
      <c r="C15176" s="7">
        <f>IFERROR(__xludf.DUMMYFUNCTION("""COMPUTED_VALUE"""),7.7440953)</f>
        <v>7.7440953</v>
      </c>
      <c r="D15176" s="7">
        <f>IFERROR(__xludf.DUMMYFUNCTION("""COMPUTED_VALUE"""),0.288461538461538)</f>
        <v>0.2884615385</v>
      </c>
    </row>
    <row r="15177">
      <c r="A15177" s="10" t="s">
        <v>16616</v>
      </c>
      <c r="B15177" s="7" t="str">
        <f>IFERROR(__xludf.DUMMYFUNCTION("SPLIT(A15177,"" "")"),"CC(C)N(CCN(C)c1cccc2ncccc12)Cc1cccnn1")</f>
        <v>CC(C)N(CCN(C)c1cccc2ncccc12)Cc1cccnn1</v>
      </c>
      <c r="C15177" s="7">
        <f>IFERROR(__xludf.DUMMYFUNCTION("""COMPUTED_VALUE"""),7.744091)</f>
        <v>7.744091</v>
      </c>
      <c r="D15177" s="7">
        <f>IFERROR(__xludf.DUMMYFUNCTION("""COMPUTED_VALUE"""),0.46938775510204)</f>
        <v>0.4693877551</v>
      </c>
    </row>
    <row r="15178">
      <c r="A15178" s="10" t="s">
        <v>16617</v>
      </c>
      <c r="B15178" s="7" t="str">
        <f>IFERROR(__xludf.DUMMYFUNCTION("SPLIT(A15178,"" "")"),"CN(CCN(Cc1ccccn1)c1cccc2ncccc12)Cc1ccccn1")</f>
        <v>CN(CCN(Cc1ccccn1)c1cccc2ncccc12)Cc1ccccn1</v>
      </c>
      <c r="C15178" s="7">
        <f>IFERROR(__xludf.DUMMYFUNCTION("""COMPUTED_VALUE"""),7.744073)</f>
        <v>7.744073</v>
      </c>
      <c r="D15178" s="7">
        <f>IFERROR(__xludf.DUMMYFUNCTION("""COMPUTED_VALUE"""),0.448979591836734)</f>
        <v>0.4489795918</v>
      </c>
    </row>
    <row r="15179">
      <c r="A15179" s="10" t="s">
        <v>16618</v>
      </c>
      <c r="B15179" s="7" t="str">
        <f>IFERROR(__xludf.DUMMYFUNCTION("SPLIT(A15179,"" "")"),"CCNCc1cc(-c2ccc(C)cc2NCc2ccccn2)ccn1")</f>
        <v>CCNCc1cc(-c2ccc(C)cc2NCc2ccccn2)ccn1</v>
      </c>
      <c r="C15179" s="7">
        <f>IFERROR(__xludf.DUMMYFUNCTION("""COMPUTED_VALUE"""),7.7440443)</f>
        <v>7.7440443</v>
      </c>
      <c r="D15179" s="7">
        <f>IFERROR(__xludf.DUMMYFUNCTION("""COMPUTED_VALUE"""),0.404255319148936)</f>
        <v>0.4042553191</v>
      </c>
    </row>
    <row r="15180">
      <c r="A15180" s="10" t="s">
        <v>16619</v>
      </c>
      <c r="B15180" s="7" t="str">
        <f>IFERROR(__xludf.DUMMYFUNCTION("SPLIT(A15180,"" "")"),"Cc1cc(CN(C)C)nc(C)c1C(C)(C)C")</f>
        <v>Cc1cc(CN(C)C)nc(C)c1C(C)(C)C</v>
      </c>
      <c r="C15180" s="7">
        <f>IFERROR(__xludf.DUMMYFUNCTION("""COMPUTED_VALUE"""),7.744044)</f>
        <v>7.744044</v>
      </c>
      <c r="D15180" s="7">
        <f>IFERROR(__xludf.DUMMYFUNCTION("""COMPUTED_VALUE"""),0.261904761904761)</f>
        <v>0.2619047619</v>
      </c>
    </row>
    <row r="15181">
      <c r="A15181" s="10" t="s">
        <v>16620</v>
      </c>
      <c r="B15181" s="7" t="str">
        <f>IFERROR(__xludf.DUMMYFUNCTION("SPLIT(A15181,"" "")"),"CN(c1ccnc(CN(Cc2ccccn2)C2=CCC=CN2)c1)C(C)(C)c1ccccn1")</f>
        <v>CN(c1ccnc(CN(Cc2ccccn2)C2=CCC=CN2)c1)C(C)(C)c1ccccn1</v>
      </c>
      <c r="C15181" s="7">
        <f>IFERROR(__xludf.DUMMYFUNCTION("""COMPUTED_VALUE"""),7.74404)</f>
        <v>7.74404</v>
      </c>
      <c r="D15181" s="7">
        <f>IFERROR(__xludf.DUMMYFUNCTION("""COMPUTED_VALUE"""),0.442622950819672)</f>
        <v>0.4426229508</v>
      </c>
    </row>
    <row r="15182">
      <c r="A15182" s="10" t="s">
        <v>16621</v>
      </c>
      <c r="B15182" s="7" t="str">
        <f>IFERROR(__xludf.DUMMYFUNCTION("SPLIT(A15182,"" "")"),"CCCN(Cc1ccccn1)Cc1ncccc1-c1cccc(N(C)Cc2ccccn2)c1C")</f>
        <v>CCCN(Cc1ccccn1)Cc1ncccc1-c1cccc(N(C)Cc2ccccn2)c1C</v>
      </c>
      <c r="C15182" s="7">
        <f>IFERROR(__xludf.DUMMYFUNCTION("""COMPUTED_VALUE"""),7.74404)</f>
        <v>7.74404</v>
      </c>
      <c r="D15182" s="7">
        <f>IFERROR(__xludf.DUMMYFUNCTION("""COMPUTED_VALUE"""),0.46)</f>
        <v>0.46</v>
      </c>
    </row>
    <row r="15183">
      <c r="A15183" s="10" t="s">
        <v>16622</v>
      </c>
      <c r="B15183" s="7" t="str">
        <f>IFERROR(__xludf.DUMMYFUNCTION("SPLIT(A15183,"" "")"),"Cc1cnc(CN(Cc2ccccn2)C2=CCC=CN2)c(C)c1")</f>
        <v>Cc1cnc(CN(Cc2ccccn2)C2=CCC=CN2)c(C)c1</v>
      </c>
      <c r="C15183" s="7">
        <f>IFERROR(__xludf.DUMMYFUNCTION("""COMPUTED_VALUE"""),7.7440286)</f>
        <v>7.7440286</v>
      </c>
      <c r="D15183" s="7">
        <f>IFERROR(__xludf.DUMMYFUNCTION("""COMPUTED_VALUE"""),0.482142857142857)</f>
        <v>0.4821428571</v>
      </c>
    </row>
    <row r="15184">
      <c r="A15184" s="10" t="s">
        <v>16623</v>
      </c>
      <c r="B15184" s="7" t="str">
        <f>IFERROR(__xludf.DUMMYFUNCTION("SPLIT(A15184,"" "")"),"COC(=O)C(=O)C(C)C1(C)COC(c2cnccc2C2=NC(C)(C)CO2)=N1")</f>
        <v>COC(=O)C(=O)C(C)C1(C)COC(c2cnccc2C2=NC(C)(C)CO2)=N1</v>
      </c>
      <c r="C15184" s="7">
        <f>IFERROR(__xludf.DUMMYFUNCTION("""COMPUTED_VALUE"""),7.74402)</f>
        <v>7.74402</v>
      </c>
      <c r="D15184" s="7">
        <f>IFERROR(__xludf.DUMMYFUNCTION("""COMPUTED_VALUE"""),0.321428571428571)</f>
        <v>0.3214285714</v>
      </c>
    </row>
    <row r="15185">
      <c r="A15185" s="10" t="s">
        <v>16624</v>
      </c>
      <c r="B15185" s="7" t="str">
        <f>IFERROR(__xludf.DUMMYFUNCTION("SPLIT(A15185,"" "")"),"CCN(Cc1ccccn1)c1ccc(-c2cc(CN(C)C3CCC(N(C)Cc4nc(C)c(C)c(C)c4C)CC3)ccn2)c2cccnc12")</f>
        <v>CCN(Cc1ccccn1)c1ccc(-c2cc(CN(C)C3CCC(N(C)Cc4nc(C)c(C)c(C)c4C)CC3)ccn2)c2cccnc12</v>
      </c>
      <c r="C15185" s="7">
        <f>IFERROR(__xludf.DUMMYFUNCTION("""COMPUTED_VALUE"""),7.744015)</f>
        <v>7.744015</v>
      </c>
      <c r="D15185" s="7">
        <f>IFERROR(__xludf.DUMMYFUNCTION("""COMPUTED_VALUE"""),0.306666666666666)</f>
        <v>0.3066666667</v>
      </c>
    </row>
    <row r="15186">
      <c r="A15186" s="10" t="s">
        <v>16625</v>
      </c>
      <c r="B15186" s="7" t="str">
        <f>IFERROR(__xludf.DUMMYFUNCTION("SPLIT(A15186,"" "")"),"Cc1cc(CN(C)Cc2ccc(N(C)Cc3nc(C)cc(C)c3C)cn2)ccn1")</f>
        <v>Cc1cc(CN(C)Cc2ccc(N(C)Cc3nc(C)cc(C)c3C)cn2)ccn1</v>
      </c>
      <c r="C15186" s="7">
        <f>IFERROR(__xludf.DUMMYFUNCTION("""COMPUTED_VALUE"""),7.743989)</f>
        <v>7.743989</v>
      </c>
      <c r="D15186" s="7">
        <f>IFERROR(__xludf.DUMMYFUNCTION("""COMPUTED_VALUE"""),0.333333333333333)</f>
        <v>0.3333333333</v>
      </c>
    </row>
    <row r="15187">
      <c r="A15187" s="10" t="s">
        <v>16626</v>
      </c>
      <c r="B15187" s="7" t="str">
        <f>IFERROR(__xludf.DUMMYFUNCTION("SPLIT(A15187,"" "")"),"COc1ccnc(CN(Cc2cc(C)c(C)c(C)n2)Cc2cc(C(C)C)c(C)c(C)n2)c1")</f>
        <v>COc1ccnc(CN(Cc2cc(C)c(C)c(C)n2)Cc2cc(C(C)C)c(C)c(C)n2)c1</v>
      </c>
      <c r="C15187" s="7">
        <f>IFERROR(__xludf.DUMMYFUNCTION("""COMPUTED_VALUE"""),7.743985)</f>
        <v>7.743985</v>
      </c>
      <c r="D15187" s="7">
        <f>IFERROR(__xludf.DUMMYFUNCTION("""COMPUTED_VALUE"""),0.370967741935483)</f>
        <v>0.3709677419</v>
      </c>
    </row>
    <row r="15188">
      <c r="A15188" s="10" t="s">
        <v>16627</v>
      </c>
      <c r="B15188" s="7" t="str">
        <f>IFERROR(__xludf.DUMMYFUNCTION("SPLIT(A15188,"" "")"),"CNc1ccc2nc(CN(C)C3CCCCC3N(C)c3ccc4nc(CF)ccc4c3)ccc2c1")</f>
        <v>CNc1ccc2nc(CN(C)C3CCCCC3N(C)c3ccc4nc(CF)ccc4c3)ccc2c1</v>
      </c>
      <c r="C15188" s="7">
        <f>IFERROR(__xludf.DUMMYFUNCTION("""COMPUTED_VALUE"""),7.7439756)</f>
        <v>7.7439756</v>
      </c>
      <c r="D15188" s="7">
        <f>IFERROR(__xludf.DUMMYFUNCTION("""COMPUTED_VALUE"""),0.457627118644067)</f>
        <v>0.4576271186</v>
      </c>
    </row>
    <row r="15189">
      <c r="A15189" s="10" t="s">
        <v>16628</v>
      </c>
      <c r="B15189" s="7" t="str">
        <f>IFERROR(__xludf.DUMMYFUNCTION("SPLIT(A15189,"" "")"),"CN(CCN(C)c1ccc2nc(CF)ccc2c1)Cc1ccccn1")</f>
        <v>CN(CCN(C)c1ccc2nc(CF)ccc2c1)Cc1ccccn1</v>
      </c>
      <c r="C15189" s="7">
        <f>IFERROR(__xludf.DUMMYFUNCTION("""COMPUTED_VALUE"""),7.743975)</f>
        <v>7.743975</v>
      </c>
      <c r="D15189" s="7">
        <f>IFERROR(__xludf.DUMMYFUNCTION("""COMPUTED_VALUE"""),0.46938775510204)</f>
        <v>0.4693877551</v>
      </c>
    </row>
    <row r="15190">
      <c r="A15190" s="10" t="s">
        <v>16629</v>
      </c>
      <c r="B15190" s="7" t="str">
        <f>IFERROR(__xludf.DUMMYFUNCTION("SPLIT(A15190,"" "")"),"CCN(C)CCN(C)c1cccc2c(CN(C)C)ccnc12")</f>
        <v>CCN(C)CCN(C)c1cccc2c(CN(C)C)ccnc12</v>
      </c>
      <c r="C15190" s="7">
        <f>IFERROR(__xludf.DUMMYFUNCTION("""COMPUTED_VALUE"""),7.7439723)</f>
        <v>7.7439723</v>
      </c>
      <c r="D15190" s="7">
        <f>IFERROR(__xludf.DUMMYFUNCTION("""COMPUTED_VALUE"""),0.466666666666666)</f>
        <v>0.4666666667</v>
      </c>
    </row>
    <row r="15191">
      <c r="A15191" s="10" t="s">
        <v>16630</v>
      </c>
      <c r="B15191" s="7" t="str">
        <f>IFERROR(__xludf.DUMMYFUNCTION("SPLIT(A15191,"" "")"),"CC(C)N(C)CC1=CC(N(C)c2ccc3nccc(CF)c3c2)C=CN1")</f>
        <v>CC(C)N(C)CC1=CC(N(C)c2ccc3nccc(CF)c3c2)C=CN1</v>
      </c>
      <c r="C15191" s="7">
        <f>IFERROR(__xludf.DUMMYFUNCTION("""COMPUTED_VALUE"""),7.7439704)</f>
        <v>7.7439704</v>
      </c>
      <c r="D15191" s="7">
        <f>IFERROR(__xludf.DUMMYFUNCTION("""COMPUTED_VALUE"""),0.283582089552238)</f>
        <v>0.2835820896</v>
      </c>
    </row>
    <row r="15192">
      <c r="A15192" s="10" t="s">
        <v>16631</v>
      </c>
      <c r="B15192" s="7" t="str">
        <f>IFERROR(__xludf.DUMMYFUNCTION("SPLIT(A15192,"" "")"),"CC(C)N(CCN(C)c1ccc2cccnc2c1)C(C)C")</f>
        <v>CC(C)N(CCN(C)c1ccc2cccnc2c1)C(C)C</v>
      </c>
      <c r="C15192" s="7">
        <f>IFERROR(__xludf.DUMMYFUNCTION("""COMPUTED_VALUE"""),7.7439623)</f>
        <v>7.7439623</v>
      </c>
      <c r="D15192" s="7">
        <f>IFERROR(__xludf.DUMMYFUNCTION("""COMPUTED_VALUE"""),0.4)</f>
        <v>0.4</v>
      </c>
    </row>
    <row r="15193">
      <c r="A15193" s="10" t="s">
        <v>16632</v>
      </c>
      <c r="B15193" s="7" t="str">
        <f>IFERROR(__xludf.DUMMYFUNCTION("SPLIT(A15193,"" "")"),"Cc1ccnc(CN(C)c2ccccc2F)c1C")</f>
        <v>Cc1ccnc(CN(C)c2ccccc2F)c1C</v>
      </c>
      <c r="C15193" s="7">
        <f>IFERROR(__xludf.DUMMYFUNCTION("""COMPUTED_VALUE"""),7.743962)</f>
        <v>7.743962</v>
      </c>
      <c r="D15193" s="7">
        <f>IFERROR(__xludf.DUMMYFUNCTION("""COMPUTED_VALUE"""),0.340425531914893)</f>
        <v>0.3404255319</v>
      </c>
    </row>
    <row r="15194">
      <c r="A15194" s="10" t="s">
        <v>16633</v>
      </c>
      <c r="B15194" s="7" t="str">
        <f>IFERROR(__xludf.DUMMYFUNCTION("SPLIT(A15194,"" "")"),"CC(C)N(C)CC1=CC(N(C)c2ccc3cccnc3c2)C=CN1")</f>
        <v>CC(C)N(C)CC1=CC(N(C)c2ccc3cccnc3c2)C=CN1</v>
      </c>
      <c r="C15194" s="7">
        <f>IFERROR(__xludf.DUMMYFUNCTION("""COMPUTED_VALUE"""),7.743959)</f>
        <v>7.743959</v>
      </c>
      <c r="D15194" s="7">
        <f>IFERROR(__xludf.DUMMYFUNCTION("""COMPUTED_VALUE"""),0.296875)</f>
        <v>0.296875</v>
      </c>
    </row>
    <row r="15195">
      <c r="A15195" s="10" t="s">
        <v>16634</v>
      </c>
      <c r="B15195" s="7" t="str">
        <f>IFERROR(__xludf.DUMMYFUNCTION("SPLIT(A15195,"" "")"),"CC1=Cc2cccnc2C(N(C)Cc2cc(C(C)(C)c3ccccn3)ccn2)C1C")</f>
        <v>CC1=Cc2cccnc2C(N(C)Cc2cc(C(C)(C)c3ccccn3)ccn2)C1C</v>
      </c>
      <c r="C15195" s="7">
        <f>IFERROR(__xludf.DUMMYFUNCTION("""COMPUTED_VALUE"""),7.743957)</f>
        <v>7.743957</v>
      </c>
      <c r="D15195" s="7">
        <f>IFERROR(__xludf.DUMMYFUNCTION("""COMPUTED_VALUE"""),0.317460317460317)</f>
        <v>0.3174603175</v>
      </c>
    </row>
    <row r="15196">
      <c r="A15196" s="10" t="s">
        <v>16635</v>
      </c>
      <c r="B15196" s="7" t="str">
        <f>IFERROR(__xludf.DUMMYFUNCTION("SPLIT(A15196,"" "")"),"CNCc1nc(N(C)Cc2cccc(C)n2)ccc1Cl")</f>
        <v>CNCc1nc(N(C)Cc2cccc(C)n2)ccc1Cl</v>
      </c>
      <c r="C15196" s="7">
        <f>IFERROR(__xludf.DUMMYFUNCTION("""COMPUTED_VALUE"""),7.743956)</f>
        <v>7.743956</v>
      </c>
      <c r="D15196" s="7">
        <f>IFERROR(__xludf.DUMMYFUNCTION("""COMPUTED_VALUE"""),0.444444444444444)</f>
        <v>0.4444444444</v>
      </c>
    </row>
    <row r="15197">
      <c r="A15197" s="10" t="s">
        <v>16636</v>
      </c>
      <c r="B15197" s="7" t="str">
        <f>IFERROR(__xludf.DUMMYFUNCTION("SPLIT(A15197,"" "")"),"CC(C)N(C)Cc1ccc(-c2ccccc2N(C)Cc2ccccn2)cn1")</f>
        <v>CC(C)N(C)Cc1ccc(-c2ccccc2N(C)Cc2ccccn2)cn1</v>
      </c>
      <c r="C15197" s="7">
        <f>IFERROR(__xludf.DUMMYFUNCTION("""COMPUTED_VALUE"""),7.743946)</f>
        <v>7.743946</v>
      </c>
      <c r="D15197" s="7">
        <f>IFERROR(__xludf.DUMMYFUNCTION("""COMPUTED_VALUE"""),0.479166666666666)</f>
        <v>0.4791666667</v>
      </c>
    </row>
    <row r="15198">
      <c r="A15198" s="10" t="s">
        <v>16637</v>
      </c>
      <c r="B15198" s="7" t="str">
        <f>IFERROR(__xludf.DUMMYFUNCTION("SPLIT(A15198,"" "")"),"C=Cc1ccc(CN(Cc2ccccn2)Cc2cccc(C(C)(c3ccccn3)c3ccccn3)n2)nc1")</f>
        <v>C=Cc1ccc(CN(Cc2ccccn2)Cc2cccc(C(C)(c3ccccn3)c3ccccn3)n2)nc1</v>
      </c>
      <c r="C15198" s="7">
        <f>IFERROR(__xludf.DUMMYFUNCTION("""COMPUTED_VALUE"""),7.74394)</f>
        <v>7.74394</v>
      </c>
      <c r="D15198" s="7">
        <f>IFERROR(__xludf.DUMMYFUNCTION("""COMPUTED_VALUE"""),0.472727272727272)</f>
        <v>0.4727272727</v>
      </c>
    </row>
    <row r="15199">
      <c r="A15199" s="10" t="s">
        <v>16638</v>
      </c>
      <c r="B15199" s="7" t="str">
        <f>IFERROR(__xludf.DUMMYFUNCTION("SPLIT(A15199,"" "")"),"CC1=CCC(CN(C)Cc2cccc(-c3cccc(N=Cc4ccccn4)c3)n2)C=C1C")</f>
        <v>CC1=CCC(CN(C)Cc2cccc(-c3cccc(N=Cc4ccccn4)c3)n2)C=C1C</v>
      </c>
      <c r="C15199" s="7">
        <f>IFERROR(__xludf.DUMMYFUNCTION("""COMPUTED_VALUE"""),7.743939)</f>
        <v>7.743939</v>
      </c>
      <c r="D15199" s="7">
        <f>IFERROR(__xludf.DUMMYFUNCTION("""COMPUTED_VALUE"""),0.373134328358209)</f>
        <v>0.3731343284</v>
      </c>
    </row>
    <row r="15200">
      <c r="A15200" s="10" t="s">
        <v>16639</v>
      </c>
      <c r="B15200" s="7" t="str">
        <f>IFERROR(__xludf.DUMMYFUNCTION("SPLIT(A15200,"" "")"),"Cc1cc(NCc2ccccn2)cc(-c2ccc(CN(Cc3ccccn3)Cc3ccccn3)cn2)c1CF")</f>
        <v>Cc1cc(NCc2ccccn2)cc(-c2ccc(CN(Cc3ccccn3)Cc3ccccn3)cn2)c1CF</v>
      </c>
      <c r="C15200" s="7">
        <f>IFERROR(__xludf.DUMMYFUNCTION("""COMPUTED_VALUE"""),7.743933)</f>
        <v>7.743933</v>
      </c>
      <c r="D15200" s="7">
        <f>IFERROR(__xludf.DUMMYFUNCTION("""COMPUTED_VALUE"""),0.377358490566037)</f>
        <v>0.3773584906</v>
      </c>
    </row>
    <row r="15201">
      <c r="A15201" s="10" t="s">
        <v>16640</v>
      </c>
      <c r="B15201" s="7" t="str">
        <f>IFERROR(__xludf.DUMMYFUNCTION("SPLIT(A15201,"" "")"),"CCCN(Cc1ccccn1)c1ccc2nccc(CN(Cc3ccccn3)Cc3ncccc3F)c2c1")</f>
        <v>CCCN(Cc1ccccn1)c1ccc2nccc(CN(Cc3ccccn3)Cc3ncccc3F)c2c1</v>
      </c>
      <c r="C15201" s="7">
        <f>IFERROR(__xludf.DUMMYFUNCTION("""COMPUTED_VALUE"""),7.7439322)</f>
        <v>7.7439322</v>
      </c>
      <c r="D15201" s="7">
        <f>IFERROR(__xludf.DUMMYFUNCTION("""COMPUTED_VALUE"""),0.37037037037037)</f>
        <v>0.3703703704</v>
      </c>
    </row>
    <row r="15202">
      <c r="A15202" s="10" t="s">
        <v>16641</v>
      </c>
      <c r="B15202" s="7" t="str">
        <f>IFERROR(__xludf.DUMMYFUNCTION("SPLIT(A15202,"" "")"),"CN1CCN(CCc2nc3ccccc3o2)CCN(Cc2cc(-c3ccc4ncccc4c3)ccn2)CC1")</f>
        <v>CN1CCN(CCc2nc3ccccc3o2)CCN(Cc2cc(-c3ccc4ncccc4c3)ccn2)CC1</v>
      </c>
      <c r="C15202" s="7">
        <f>IFERROR(__xludf.DUMMYFUNCTION("""COMPUTED_VALUE"""),7.7439322)</f>
        <v>7.7439322</v>
      </c>
      <c r="D15202" s="7">
        <f>IFERROR(__xludf.DUMMYFUNCTION("""COMPUTED_VALUE"""),0.421875)</f>
        <v>0.421875</v>
      </c>
    </row>
    <row r="15203">
      <c r="A15203" s="10" t="s">
        <v>16642</v>
      </c>
      <c r="B15203" s="7" t="str">
        <f>IFERROR(__xludf.DUMMYFUNCTION("SPLIT(A15203,"" "")"),"Cc1ccccc1N(C)Cc1cccc(C(C)(C)c2ccccn2)n1")</f>
        <v>Cc1ccccc1N(C)Cc1cccc(C(C)(C)c2ccccn2)n1</v>
      </c>
      <c r="C15203" s="7">
        <f>IFERROR(__xludf.DUMMYFUNCTION("""COMPUTED_VALUE"""),7.7439265)</f>
        <v>7.7439265</v>
      </c>
      <c r="D15203" s="7">
        <f>IFERROR(__xludf.DUMMYFUNCTION("""COMPUTED_VALUE"""),0.446808510638297)</f>
        <v>0.4468085106</v>
      </c>
    </row>
    <row r="15204">
      <c r="A15204" s="10" t="s">
        <v>16643</v>
      </c>
      <c r="B15204" s="7" t="str">
        <f>IFERROR(__xludf.DUMMYFUNCTION("SPLIT(A15204,"" "")"),"CC1=CCC(C)C(CN(C)Cc2cc(-c3cccc(N(C)C)c3)ccn2)=C1")</f>
        <v>CC1=CCC(C)C(CN(C)Cc2cc(-c3cccc(N(C)C)c3)ccn2)=C1</v>
      </c>
      <c r="C15204" s="7">
        <f>IFERROR(__xludf.DUMMYFUNCTION("""COMPUTED_VALUE"""),7.7439218)</f>
        <v>7.7439218</v>
      </c>
      <c r="D15204" s="7">
        <f>IFERROR(__xludf.DUMMYFUNCTION("""COMPUTED_VALUE"""),0.295081967213114)</f>
        <v>0.2950819672</v>
      </c>
    </row>
    <row r="15205">
      <c r="A15205" s="10" t="s">
        <v>16644</v>
      </c>
      <c r="B15205" s="7" t="str">
        <f>IFERROR(__xludf.DUMMYFUNCTION("SPLIT(A15205,"" "")"),"CN(C)Cc1ccc2cccc(N(C)Cc3ccc4cccc(N(C)Cc5ncccc5-c5ccc6c(c5)OCCOCCOCCOCCOCCO6)c4n3)c2n1")</f>
        <v>CN(C)Cc1ccc2cccc(N(C)Cc3ccc4cccc(N(C)Cc5ncccc5-c5ccc6c(c5)OCCOCCOCCOCCOCCO6)c4n3)c2n1</v>
      </c>
      <c r="C15205" s="7">
        <f>IFERROR(__xludf.DUMMYFUNCTION("""COMPUTED_VALUE"""),7.7439203)</f>
        <v>7.7439203</v>
      </c>
      <c r="D15205" s="7">
        <f>IFERROR(__xludf.DUMMYFUNCTION("""COMPUTED_VALUE"""),0.34375)</f>
        <v>0.34375</v>
      </c>
    </row>
    <row r="15206">
      <c r="A15206" s="10" t="s">
        <v>16645</v>
      </c>
      <c r="B15206" s="7" t="str">
        <f>IFERROR(__xludf.DUMMYFUNCTION("SPLIT(A15206,"" "")"),"C=Nc1cccc(-c2ccc(CN(C)Cc3ccccc3C)nc2)c1")</f>
        <v>C=Nc1cccc(-c2ccc(CN(C)Cc3ccccc3C)nc2)c1</v>
      </c>
      <c r="C15206" s="7">
        <f>IFERROR(__xludf.DUMMYFUNCTION("""COMPUTED_VALUE"""),7.7439184)</f>
        <v>7.7439184</v>
      </c>
      <c r="D15206" s="7">
        <f>IFERROR(__xludf.DUMMYFUNCTION("""COMPUTED_VALUE"""),0.346153846153846)</f>
        <v>0.3461538462</v>
      </c>
    </row>
    <row r="15207">
      <c r="A15207" s="10" t="s">
        <v>16646</v>
      </c>
      <c r="B15207" s="7" t="str">
        <f>IFERROR(__xludf.DUMMYFUNCTION("SPLIT(A15207,"" "")"),"CC(C)N(Cc1ccccn1)Cc1cccc(-c2ccc(Cl)cc2N)n1")</f>
        <v>CC(C)N(Cc1ccccn1)Cc1cccc(-c2ccc(Cl)cc2N)n1</v>
      </c>
      <c r="C15207" s="7">
        <f>IFERROR(__xludf.DUMMYFUNCTION("""COMPUTED_VALUE"""),7.743916)</f>
        <v>7.743916</v>
      </c>
      <c r="D15207" s="7">
        <f>IFERROR(__xludf.DUMMYFUNCTION("""COMPUTED_VALUE"""),0.489795918367346)</f>
        <v>0.4897959184</v>
      </c>
    </row>
    <row r="15208">
      <c r="A15208" s="10" t="s">
        <v>16647</v>
      </c>
      <c r="B15208" s="7" t="str">
        <f>IFERROR(__xludf.DUMMYFUNCTION("SPLIT(A15208,"" "")"),"CC(C)N(C)Cc1ncccc1-c1ccccc1N(C)C")</f>
        <v>CC(C)N(C)Cc1ncccc1-c1ccccc1N(C)C</v>
      </c>
      <c r="C15208" s="7">
        <f>IFERROR(__xludf.DUMMYFUNCTION("""COMPUTED_VALUE"""),7.743912)</f>
        <v>7.743912</v>
      </c>
      <c r="D15208" s="7">
        <f>IFERROR(__xludf.DUMMYFUNCTION("""COMPUTED_VALUE"""),0.355555555555555)</f>
        <v>0.3555555556</v>
      </c>
    </row>
    <row r="15209">
      <c r="A15209" s="10" t="s">
        <v>16648</v>
      </c>
      <c r="B15209" s="7" t="str">
        <f>IFERROR(__xludf.DUMMYFUNCTION("SPLIT(A15209,"" "")"),"CC1=CC(N(C)Cc2ccccn2)C(c2ccc(CN(Cc3ccccn3)c3ccc4ncccc4c3)cn2)CC1C")</f>
        <v>CC1=CC(N(C)Cc2ccccn2)C(c2ccc(CN(Cc3ccccn3)c3ccc4ncccc4c3)cn2)CC1C</v>
      </c>
      <c r="C15209" s="7">
        <f>IFERROR(__xludf.DUMMYFUNCTION("""COMPUTED_VALUE"""),7.7439117)</f>
        <v>7.7439117</v>
      </c>
      <c r="D15209" s="7">
        <f>IFERROR(__xludf.DUMMYFUNCTION("""COMPUTED_VALUE"""),0.328571428571428)</f>
        <v>0.3285714286</v>
      </c>
    </row>
    <row r="15210">
      <c r="A15210" s="10" t="s">
        <v>16649</v>
      </c>
      <c r="B15210" s="7" t="str">
        <f>IFERROR(__xludf.DUMMYFUNCTION("SPLIT(A15210,"" "")"),"CN(CC1=CCC(N(C)c2ccc(Cl)c(Cl)c2)=CN1)Cc1ccccn1")</f>
        <v>CN(CC1=CCC(N(C)c2ccc(Cl)c(Cl)c2)=CN1)Cc1ccccn1</v>
      </c>
      <c r="C15210" s="7">
        <f>IFERROR(__xludf.DUMMYFUNCTION("""COMPUTED_VALUE"""),7.743909)</f>
        <v>7.743909</v>
      </c>
      <c r="D15210" s="7">
        <f>IFERROR(__xludf.DUMMYFUNCTION("""COMPUTED_VALUE"""),0.436363636363636)</f>
        <v>0.4363636364</v>
      </c>
    </row>
    <row r="15211">
      <c r="A15211" s="10" t="s">
        <v>16650</v>
      </c>
      <c r="B15211" s="7" t="str">
        <f>IFERROR(__xludf.DUMMYFUNCTION("SPLIT(A15211,"" "")"),"Cc1ccc(CN(C)Cc2cc(N(C)Cc3nc(C)c(C)cc3C)ccn2)nc1")</f>
        <v>Cc1ccc(CN(C)Cc2cc(N(C)Cc3nc(C)c(C)cc3C)ccn2)nc1</v>
      </c>
      <c r="C15211" s="7">
        <f>IFERROR(__xludf.DUMMYFUNCTION("""COMPUTED_VALUE"""),7.743905)</f>
        <v>7.743905</v>
      </c>
      <c r="D15211" s="7">
        <f>IFERROR(__xludf.DUMMYFUNCTION("""COMPUTED_VALUE"""),0.458333333333333)</f>
        <v>0.4583333333</v>
      </c>
    </row>
    <row r="15212">
      <c r="A15212" s="10" t="s">
        <v>16651</v>
      </c>
      <c r="B15212" s="7" t="str">
        <f>IFERROR(__xludf.DUMMYFUNCTION("SPLIT(A15212,"" "")"),"CCNCc1cccc(-c2cc(Cl)ccc2N)n1")</f>
        <v>CCNCc1cccc(-c2cc(Cl)ccc2N)n1</v>
      </c>
      <c r="C15212" s="7">
        <f>IFERROR(__xludf.DUMMYFUNCTION("""COMPUTED_VALUE"""),7.743903)</f>
        <v>7.743903</v>
      </c>
      <c r="D15212" s="7">
        <f>IFERROR(__xludf.DUMMYFUNCTION("""COMPUTED_VALUE"""),0.254545454545454)</f>
        <v>0.2545454545</v>
      </c>
    </row>
    <row r="15213">
      <c r="A15213" s="10" t="s">
        <v>16652</v>
      </c>
      <c r="B15213" s="7" t="str">
        <f>IFERROR(__xludf.DUMMYFUNCTION("SPLIT(A15213,"" "")"),"COc1ccccc1-c1cc(CN(Cc2ccccn2)Cc2ccccn2)ccn1")</f>
        <v>COc1ccccc1-c1cc(CN(Cc2ccccn2)Cc2ccccn2)ccn1</v>
      </c>
      <c r="C15213" s="7">
        <f>IFERROR(__xludf.DUMMYFUNCTION("""COMPUTED_VALUE"""),7.743871)</f>
        <v>7.743871</v>
      </c>
      <c r="D15213" s="7">
        <f>IFERROR(__xludf.DUMMYFUNCTION("""COMPUTED_VALUE"""),0.48780487804878)</f>
        <v>0.487804878</v>
      </c>
    </row>
    <row r="15214">
      <c r="A15214" s="10" t="s">
        <v>16653</v>
      </c>
      <c r="B15214" s="7" t="str">
        <f>IFERROR(__xludf.DUMMYFUNCTION("SPLIT(A15214,"" "")"),"Cc1cc(CN(C)C2=CCC=C(CN(C)C)N2)nc(C)c1C")</f>
        <v>Cc1cc(CN(C)C2=CCC=C(CN(C)C)N2)nc(C)c1C</v>
      </c>
      <c r="C15214" s="7">
        <f>IFERROR(__xludf.DUMMYFUNCTION("""COMPUTED_VALUE"""),7.7438664)</f>
        <v>7.7438664</v>
      </c>
      <c r="D15214" s="7">
        <f>IFERROR(__xludf.DUMMYFUNCTION("""COMPUTED_VALUE"""),0.210526315789473)</f>
        <v>0.2105263158</v>
      </c>
    </row>
    <row r="15215">
      <c r="A15215" s="10" t="s">
        <v>16654</v>
      </c>
      <c r="B15215" s="7" t="str">
        <f>IFERROR(__xludf.DUMMYFUNCTION("SPLIT(A15215,"" "")"),"Cc1ccnc(CN(Cc2cc(C(C)(c3ccccn3)c3ccccn3)ccn2)Cc2cccc(F)n2)c1C")</f>
        <v>Cc1ccnc(CN(Cc2cc(C(C)(c3ccccn3)c3ccccn3)ccn2)Cc2cccc(F)n2)c1C</v>
      </c>
      <c r="C15215" s="7">
        <f>IFERROR(__xludf.DUMMYFUNCTION("""COMPUTED_VALUE"""),7.7438626)</f>
        <v>7.7438626</v>
      </c>
      <c r="D15215" s="7">
        <f>IFERROR(__xludf.DUMMYFUNCTION("""COMPUTED_VALUE"""),0.375)</f>
        <v>0.375</v>
      </c>
    </row>
    <row r="15216">
      <c r="A15216" s="10" t="s">
        <v>16655</v>
      </c>
      <c r="B15216" s="7" t="str">
        <f>IFERROR(__xludf.DUMMYFUNCTION("SPLIT(A15216,"" "")"),"Cc1cccc(N(C)Cc2ncccc2N)c1C")</f>
        <v>Cc1cccc(N(C)Cc2ncccc2N)c1C</v>
      </c>
      <c r="C15216" s="7">
        <f>IFERROR(__xludf.DUMMYFUNCTION("""COMPUTED_VALUE"""),7.743857)</f>
        <v>7.743857</v>
      </c>
      <c r="D15216" s="7">
        <f>IFERROR(__xludf.DUMMYFUNCTION("""COMPUTED_VALUE"""),0.377777777777777)</f>
        <v>0.3777777778</v>
      </c>
    </row>
    <row r="15217">
      <c r="A15217" s="10" t="s">
        <v>16656</v>
      </c>
      <c r="B15217" s="7" t="str">
        <f>IFERROR(__xludf.DUMMYFUNCTION("SPLIT(A15217,"" "")"),"Cc1c(C)c(C)c(N(C)CCN(C)C)c(C)c1C")</f>
        <v>Cc1c(C)c(C)c(N(C)CCN(C)C)c(C)c1C</v>
      </c>
      <c r="C15217" s="7">
        <f>IFERROR(__xludf.DUMMYFUNCTION("""COMPUTED_VALUE"""),7.743856)</f>
        <v>7.743856</v>
      </c>
      <c r="D15217" s="7">
        <f>IFERROR(__xludf.DUMMYFUNCTION("""COMPUTED_VALUE"""),0.25)</f>
        <v>0.25</v>
      </c>
    </row>
    <row r="15218">
      <c r="A15218" s="10" t="s">
        <v>16657</v>
      </c>
      <c r="B15218" s="7" t="str">
        <f>IFERROR(__xludf.DUMMYFUNCTION("SPLIT(A15218,"" "")"),"C=Cc1ccc(SCc2ccccn2)cc1")</f>
        <v>C=Cc1ccc(SCc2ccccn2)cc1</v>
      </c>
      <c r="C15218" s="7">
        <f>IFERROR(__xludf.DUMMYFUNCTION("""COMPUTED_VALUE"""),7.743852)</f>
        <v>7.743852</v>
      </c>
      <c r="D15218" s="7">
        <f>IFERROR(__xludf.DUMMYFUNCTION("""COMPUTED_VALUE"""),0.472222222222222)</f>
        <v>0.4722222222</v>
      </c>
    </row>
    <row r="15219">
      <c r="A15219" s="10" t="s">
        <v>16658</v>
      </c>
      <c r="B15219" s="7" t="str">
        <f>IFERROR(__xludf.DUMMYFUNCTION("SPLIT(A15219,"" "")"),"Cc1cncc(CN(C)Cc2cc(-c3cccc(N(C)C(C)C)c3)ccn2)c1")</f>
        <v>Cc1cncc(CN(C)Cc2cc(-c3cccc(N(C)C(C)C)c3)ccn2)c1</v>
      </c>
      <c r="C15219" s="7">
        <f>IFERROR(__xludf.DUMMYFUNCTION("""COMPUTED_VALUE"""),7.7438507)</f>
        <v>7.7438507</v>
      </c>
      <c r="D15219" s="7">
        <f>IFERROR(__xludf.DUMMYFUNCTION("""COMPUTED_VALUE"""),0.303571428571428)</f>
        <v>0.3035714286</v>
      </c>
    </row>
    <row r="15220">
      <c r="A15220" s="10" t="s">
        <v>16659</v>
      </c>
      <c r="B15220" s="7" t="str">
        <f>IFERROR(__xludf.DUMMYFUNCTION("SPLIT(A15220,"" "")"),"Cc1cccnc1CN(C)CCN(Cc1ccccn1)c1ccc2nc(CF)ccc2c1")</f>
        <v>Cc1cccnc1CN(C)CCN(Cc1ccccn1)c1ccc2nc(CF)ccc2c1</v>
      </c>
      <c r="C15220" s="7">
        <f>IFERROR(__xludf.DUMMYFUNCTION("""COMPUTED_VALUE"""),7.7438345)</f>
        <v>7.7438345</v>
      </c>
      <c r="D15220" s="7">
        <f>IFERROR(__xludf.DUMMYFUNCTION("""COMPUTED_VALUE"""),0.396551724137931)</f>
        <v>0.3965517241</v>
      </c>
    </row>
    <row r="15221">
      <c r="A15221" s="10" t="s">
        <v>16660</v>
      </c>
      <c r="B15221" s="7" t="str">
        <f>IFERROR(__xludf.DUMMYFUNCTION("SPLIT(A15221,"" "")"),"Cc1c(C)c(C)c(N(C)C2CCCC(N(C)c3ccc4c(CF)ccnc4c3)C2)c(C)c1C")</f>
        <v>Cc1c(C)c(C)c(N(C)C2CCCC(N(C)c3ccc4c(CF)ccnc4c3)C2)c(C)c1C</v>
      </c>
      <c r="C15221" s="7">
        <f>IFERROR(__xludf.DUMMYFUNCTION("""COMPUTED_VALUE"""),7.743833)</f>
        <v>7.743833</v>
      </c>
      <c r="D15221" s="7">
        <f>IFERROR(__xludf.DUMMYFUNCTION("""COMPUTED_VALUE"""),0.238805970149253)</f>
        <v>0.2388059701</v>
      </c>
    </row>
    <row r="15222">
      <c r="A15222" s="10" t="s">
        <v>16661</v>
      </c>
      <c r="B15222" s="7" t="str">
        <f>IFERROR(__xludf.DUMMYFUNCTION("SPLIT(A15222,"" "")"),"Cc1ccnc2ccc(N(C)C3=C(CN(C)C(C)C(C)C)NC=CC3)cc12")</f>
        <v>Cc1ccnc2ccc(N(C)C3=C(CN(C)C(C)C(C)C)NC=CC3)cc12</v>
      </c>
      <c r="C15222" s="7">
        <f>IFERROR(__xludf.DUMMYFUNCTION("""COMPUTED_VALUE"""),7.7438254)</f>
        <v>7.7438254</v>
      </c>
      <c r="D15222" s="7">
        <f>IFERROR(__xludf.DUMMYFUNCTION("""COMPUTED_VALUE"""),0.228571428571428)</f>
        <v>0.2285714286</v>
      </c>
    </row>
    <row r="15223">
      <c r="A15223" s="10" t="s">
        <v>16662</v>
      </c>
      <c r="B15223" s="7" t="str">
        <f>IFERROR(__xludf.DUMMYFUNCTION("SPLIT(A15223,"" "")"),"Cc1cncc(CN(C)c2ccccc2-c2cccc(CN(Cc3ccccn3)C3CCC(N(C)c4ccc5nc(CF)ccc5c4)CC3)n2)c1")</f>
        <v>Cc1cncc(CN(C)c2ccccc2-c2cccc(CN(Cc3ccccn3)C3CCC(N(C)c4ccc5nc(CF)ccc5c4)CC3)n2)c1</v>
      </c>
      <c r="C15223" s="7">
        <f>IFERROR(__xludf.DUMMYFUNCTION("""COMPUTED_VALUE"""),7.7438235)</f>
        <v>7.7438235</v>
      </c>
      <c r="D15223" s="7">
        <f>IFERROR(__xludf.DUMMYFUNCTION("""COMPUTED_VALUE"""),0.329113924050632)</f>
        <v>0.3291139241</v>
      </c>
    </row>
    <row r="15224">
      <c r="A15224" s="10" t="s">
        <v>16663</v>
      </c>
      <c r="B15224" s="7" t="str">
        <f>IFERROR(__xludf.DUMMYFUNCTION("SPLIT(A15224,"" "")"),"CCCN(Cc1ccccn1)c1cc(CN(C)Cc2ccccn2)c2ncccc2c1")</f>
        <v>CCCN(Cc1ccccn1)c1cc(CN(C)Cc2ccccn2)c2ncccc2c1</v>
      </c>
      <c r="C15224" s="7">
        <f>IFERROR(__xludf.DUMMYFUNCTION("""COMPUTED_VALUE"""),7.7438235)</f>
        <v>7.7438235</v>
      </c>
      <c r="D15224" s="7">
        <f>IFERROR(__xludf.DUMMYFUNCTION("""COMPUTED_VALUE"""),0.450980392156862)</f>
        <v>0.4509803922</v>
      </c>
    </row>
    <row r="15225">
      <c r="A15225" s="10" t="s">
        <v>16664</v>
      </c>
      <c r="B15225" s="7" t="str">
        <f>IFERROR(__xludf.DUMMYFUNCTION("SPLIT(A15225,"" "")"),"CCCN(CC1=CC(N(C)Cc2ncccc2C)C=CN1)c1ccc2cccnc2c1")</f>
        <v>CCCN(CC1=CC(N(C)Cc2ncccc2C)C=CN1)c1ccc2cccnc2c1</v>
      </c>
      <c r="C15225" s="7">
        <f>IFERROR(__xludf.DUMMYFUNCTION("""COMPUTED_VALUE"""),7.743819)</f>
        <v>7.743819</v>
      </c>
      <c r="D15225" s="7">
        <f>IFERROR(__xludf.DUMMYFUNCTION("""COMPUTED_VALUE"""),0.257142857142857)</f>
        <v>0.2571428571</v>
      </c>
    </row>
    <row r="15226">
      <c r="A15226" s="10" t="s">
        <v>16665</v>
      </c>
      <c r="B15226" s="7" t="str">
        <f>IFERROR(__xludf.DUMMYFUNCTION("SPLIT(A15226,"" "")"),"CCNCc1ncccc1-c1cc(C)ccc1NCc1ccccn1")</f>
        <v>CCNCc1ncccc1-c1cc(C)ccc1NCc1ccccn1</v>
      </c>
      <c r="C15226" s="7">
        <f>IFERROR(__xludf.DUMMYFUNCTION("""COMPUTED_VALUE"""),7.7438116)</f>
        <v>7.7438116</v>
      </c>
      <c r="D15226" s="7">
        <f>IFERROR(__xludf.DUMMYFUNCTION("""COMPUTED_VALUE"""),0.375)</f>
        <v>0.375</v>
      </c>
    </row>
    <row r="15227">
      <c r="A15227" s="10" t="s">
        <v>16666</v>
      </c>
      <c r="B15227" s="7" t="str">
        <f>IFERROR(__xludf.DUMMYFUNCTION("SPLIT(A15227,"" "")"),"Cc1ccc(-c2cccc(CN(C)C3CCCCC3N(C)Cc3cc(-c4ccc5ncccc5c4)ccn3)n2)nc1")</f>
        <v>Cc1ccc(-c2cccc(CN(C)C3CCCCC3N(C)Cc3cc(-c4ccc5ncccc5c4)ccn3)n2)nc1</v>
      </c>
      <c r="C15227" s="7">
        <f>IFERROR(__xludf.DUMMYFUNCTION("""COMPUTED_VALUE"""),7.74378)</f>
        <v>7.74378</v>
      </c>
      <c r="D15227" s="7">
        <f>IFERROR(__xludf.DUMMYFUNCTION("""COMPUTED_VALUE"""),0.451612903225806)</f>
        <v>0.4516129032</v>
      </c>
    </row>
    <row r="15228">
      <c r="A15228" s="10" t="s">
        <v>16667</v>
      </c>
      <c r="B15228" s="7" t="str">
        <f>IFERROR(__xludf.DUMMYFUNCTION("SPLIT(A15228,"" "")"),"Cc1ccc(N(C)Cc2ncccc2C(C)(C)C)c(C)c1C")</f>
        <v>Cc1ccc(N(C)Cc2ncccc2C(C)(C)C)c(C)c1C</v>
      </c>
      <c r="C15228" s="7">
        <f>IFERROR(__xludf.DUMMYFUNCTION("""COMPUTED_VALUE"""),7.7437625)</f>
        <v>7.7437625</v>
      </c>
      <c r="D15228" s="7">
        <f>IFERROR(__xludf.DUMMYFUNCTION("""COMPUTED_VALUE"""),0.32)</f>
        <v>0.32</v>
      </c>
    </row>
    <row r="15229">
      <c r="A15229" s="10" t="s">
        <v>16668</v>
      </c>
      <c r="B15229" s="7" t="str">
        <f>IFERROR(__xludf.DUMMYFUNCTION("SPLIT(A15229,"" "")"),"Cc1ccc(NCc2ccccn2)cc1-c1ccc(CN(C)C2CCC(N(C)c3ccc4cccnc4c3)CC2)cn1")</f>
        <v>Cc1ccc(NCc2ccccn2)cc1-c1ccc(CN(C)C2CCC(N(C)c3ccc4cccnc4c3)CC2)cn1</v>
      </c>
      <c r="C15229" s="7">
        <f>IFERROR(__xludf.DUMMYFUNCTION("""COMPUTED_VALUE"""),7.7437572)</f>
        <v>7.7437572</v>
      </c>
      <c r="D15229" s="7">
        <f>IFERROR(__xludf.DUMMYFUNCTION("""COMPUTED_VALUE"""),0.293333333333333)</f>
        <v>0.2933333333</v>
      </c>
    </row>
    <row r="15230">
      <c r="A15230" s="10" t="s">
        <v>16669</v>
      </c>
      <c r="B15230" s="7" t="str">
        <f>IFERROR(__xludf.DUMMYFUNCTION("SPLIT(A15230,"" "")"),"CC(C)N(C)C1C=CNC(CN(C)c2ccc3cccnc3c2)=C1")</f>
        <v>CC(C)N(C)C1C=CNC(CN(C)c2ccc3cccnc3c2)=C1</v>
      </c>
      <c r="C15230" s="7">
        <f>IFERROR(__xludf.DUMMYFUNCTION("""COMPUTED_VALUE"""),7.7437572)</f>
        <v>7.7437572</v>
      </c>
      <c r="D15230" s="7">
        <f>IFERROR(__xludf.DUMMYFUNCTION("""COMPUTED_VALUE"""),0.278688524590163)</f>
        <v>0.2786885246</v>
      </c>
    </row>
    <row r="15231">
      <c r="A15231" s="10" t="s">
        <v>16670</v>
      </c>
      <c r="B15231" s="7" t="str">
        <f>IFERROR(__xludf.DUMMYFUNCTION("SPLIT(A15231,"" "")"),"CCN(C)Cc1ncccc1-c1cc(Cl)ccc1N")</f>
        <v>CCN(C)Cc1ncccc1-c1cc(Cl)ccc1N</v>
      </c>
      <c r="C15231" s="7">
        <f>IFERROR(__xludf.DUMMYFUNCTION("""COMPUTED_VALUE"""),7.743753)</f>
        <v>7.743753</v>
      </c>
      <c r="D15231" s="7">
        <f>IFERROR(__xludf.DUMMYFUNCTION("""COMPUTED_VALUE"""),0.307692307692307)</f>
        <v>0.3076923077</v>
      </c>
    </row>
    <row r="15232">
      <c r="A15232" s="10" t="s">
        <v>16671</v>
      </c>
      <c r="B15232" s="7" t="str">
        <f>IFERROR(__xludf.DUMMYFUNCTION("SPLIT(A15232,"" "")"),"CC(C)N(C)Cc1cccc(-c2cccc(N(C)C)c2)n1")</f>
        <v>CC(C)N(C)Cc1cccc(-c2cccc(N(C)C)c2)n1</v>
      </c>
      <c r="C15232" s="7">
        <f>IFERROR(__xludf.DUMMYFUNCTION("""COMPUTED_VALUE"""),7.7437477)</f>
        <v>7.7437477</v>
      </c>
      <c r="D15232" s="7">
        <f>IFERROR(__xludf.DUMMYFUNCTION("""COMPUTED_VALUE"""),0.407407407407407)</f>
        <v>0.4074074074</v>
      </c>
    </row>
    <row r="15233">
      <c r="A15233" s="10" t="s">
        <v>16672</v>
      </c>
      <c r="B15233" s="7" t="str">
        <f>IFERROR(__xludf.DUMMYFUNCTION("SPLIT(A15233,"" "")"),"CN(CCN(Cc1ccccn1)c1cccc2ccnc(CF)c12)Cc1ccccn1")</f>
        <v>CN(CCN(Cc1ccccn1)c1cccc2ccnc(CF)c12)Cc1ccccn1</v>
      </c>
      <c r="C15233" s="7">
        <f>IFERROR(__xludf.DUMMYFUNCTION("""COMPUTED_VALUE"""),7.7437406)</f>
        <v>7.7437406</v>
      </c>
      <c r="D15233" s="7">
        <f>IFERROR(__xludf.DUMMYFUNCTION("""COMPUTED_VALUE"""),0.433962264150943)</f>
        <v>0.4339622642</v>
      </c>
    </row>
    <row r="15234">
      <c r="A15234" s="10" t="s">
        <v>16673</v>
      </c>
      <c r="B15234" s="7" t="str">
        <f>IFERROR(__xludf.DUMMYFUNCTION("SPLIT(A15234,"" "")"),"CCN(Cc1ccccn1)Cc1ncccc1-c1ccccc1N(C)Cc1ccccn1")</f>
        <v>CCN(Cc1ccccn1)Cc1ncccc1-c1ccccc1N(C)Cc1ccccn1</v>
      </c>
      <c r="C15234" s="7">
        <f>IFERROR(__xludf.DUMMYFUNCTION("""COMPUTED_VALUE"""),7.7437315)</f>
        <v>7.7437315</v>
      </c>
      <c r="D15234" s="7">
        <f>IFERROR(__xludf.DUMMYFUNCTION("""COMPUTED_VALUE"""),0.5)</f>
        <v>0.5</v>
      </c>
    </row>
    <row r="15235">
      <c r="A15235" s="10" t="s">
        <v>16674</v>
      </c>
      <c r="B15235" s="7" t="str">
        <f>IFERROR(__xludf.DUMMYFUNCTION("SPLIT(A15235,"" "")"),"CN(Cc1cccc(C2=CCC=CN2)n1)Cc1cccc(C(C)(C)c2ccccn2)n1")</f>
        <v>CN(Cc1cccc(C2=CCC=CN2)n1)Cc1cccc(C(C)(C)c2ccccn2)n1</v>
      </c>
      <c r="C15235" s="7">
        <f>IFERROR(__xludf.DUMMYFUNCTION("""COMPUTED_VALUE"""),7.743718)</f>
        <v>7.743718</v>
      </c>
      <c r="D15235" s="7">
        <f>IFERROR(__xludf.DUMMYFUNCTION("""COMPUTED_VALUE"""),0.472727272727272)</f>
        <v>0.4727272727</v>
      </c>
    </row>
    <row r="15236">
      <c r="A15236" s="10" t="s">
        <v>16675</v>
      </c>
      <c r="B15236" s="7" t="str">
        <f>IFERROR(__xludf.DUMMYFUNCTION("SPLIT(A15236,"" "")"),"Cc1cc(CN(C)CCN(Cc2ccccn2)c2ccc3ncccc3c2)ccn1")</f>
        <v>Cc1cc(CN(C)CCN(Cc2ccccn2)c2ccc3ncccc3c2)ccn1</v>
      </c>
      <c r="C15236" s="7">
        <f>IFERROR(__xludf.DUMMYFUNCTION("""COMPUTED_VALUE"""),7.743707)</f>
        <v>7.743707</v>
      </c>
      <c r="D15236" s="7">
        <f>IFERROR(__xludf.DUMMYFUNCTION("""COMPUTED_VALUE"""),0.390625)</f>
        <v>0.390625</v>
      </c>
    </row>
    <row r="15237">
      <c r="A15237" s="10" t="s">
        <v>16676</v>
      </c>
      <c r="B15237" s="7" t="str">
        <f>IFERROR(__xludf.DUMMYFUNCTION("SPLIT(A15237,"" "")"),"CC(C)N(C)Cc1ccc2cc(N(C)C3CCC(N(C)c4ccc5ccc(CF)nc5c4)CC3)ccc2n1")</f>
        <v>CC(C)N(C)Cc1ccc2cc(N(C)C3CCC(N(C)c4ccc5ccc(CF)nc5c4)CC3)ccc2n1</v>
      </c>
      <c r="C15237" s="7">
        <f>IFERROR(__xludf.DUMMYFUNCTION("""COMPUTED_VALUE"""),7.743705)</f>
        <v>7.743705</v>
      </c>
      <c r="D15237" s="7">
        <f>IFERROR(__xludf.DUMMYFUNCTION("""COMPUTED_VALUE"""),0.344262295081967)</f>
        <v>0.3442622951</v>
      </c>
    </row>
    <row r="15238">
      <c r="A15238" s="10" t="s">
        <v>16677</v>
      </c>
      <c r="B15238" s="7" t="str">
        <f>IFERROR(__xludf.DUMMYFUNCTION("SPLIT(A15238,"" "")"),"Cc1ccc(C)c(CN(Cc2ccc(C(C)(c3ccccn3)c3ccccn3)cn2)Cc2cccc(F)n2)n1")</f>
        <v>Cc1ccc(C)c(CN(Cc2ccc(C(C)(c3ccccn3)c3ccccn3)cn2)Cc2cccc(F)n2)n1</v>
      </c>
      <c r="C15238" s="7">
        <f>IFERROR(__xludf.DUMMYFUNCTION("""COMPUTED_VALUE"""),7.7437024)</f>
        <v>7.7437024</v>
      </c>
      <c r="D15238" s="7">
        <f>IFERROR(__xludf.DUMMYFUNCTION("""COMPUTED_VALUE"""),0.394366197183098)</f>
        <v>0.3943661972</v>
      </c>
    </row>
    <row r="15239">
      <c r="A15239" s="10" t="s">
        <v>16678</v>
      </c>
      <c r="B15239" s="7" t="str">
        <f>IFERROR(__xludf.DUMMYFUNCTION("SPLIT(A15239,"" "")"),"CCNCc1cc(-c2cccc(NCc3ccccn3)c2C)ccn1")</f>
        <v>CCNCc1cc(-c2cccc(NCc3ccccn3)c2C)ccn1</v>
      </c>
      <c r="C15239" s="7">
        <f>IFERROR(__xludf.DUMMYFUNCTION("""COMPUTED_VALUE"""),7.7436976)</f>
        <v>7.7436976</v>
      </c>
      <c r="D15239" s="7">
        <f>IFERROR(__xludf.DUMMYFUNCTION("""COMPUTED_VALUE"""),0.404255319148936)</f>
        <v>0.4042553191</v>
      </c>
    </row>
    <row r="15240">
      <c r="A15240" s="10" t="s">
        <v>16679</v>
      </c>
      <c r="B15240" s="7" t="str">
        <f>IFERROR(__xludf.DUMMYFUNCTION("SPLIT(A15240,"" "")"),"CC(c1ccccn1)(c1ccccn1)c1cccnc1CNc1ccccc1")</f>
        <v>CC(c1ccccn1)(c1ccccn1)c1cccnc1CNc1ccccc1</v>
      </c>
      <c r="C15240" s="7">
        <f>IFERROR(__xludf.DUMMYFUNCTION("""COMPUTED_VALUE"""),7.743671)</f>
        <v>7.743671</v>
      </c>
      <c r="D15240" s="7">
        <f>IFERROR(__xludf.DUMMYFUNCTION("""COMPUTED_VALUE"""),0.403846153846153)</f>
        <v>0.4038461538</v>
      </c>
    </row>
    <row r="15241">
      <c r="A15241" s="10" t="s">
        <v>16680</v>
      </c>
      <c r="B15241" s="7" t="str">
        <f>IFERROR(__xludf.DUMMYFUNCTION("SPLIT(A15241,"" "")"),"Cc1cncc(CN(C)Cc2ccc(N(C)Cc3cc(C)c(C)c(C)n3)cn2)c1")</f>
        <v>Cc1cncc(CN(C)Cc2ccc(N(C)Cc3cc(C)c(C)c(C)n3)cn2)c1</v>
      </c>
      <c r="C15241" s="7">
        <f>IFERROR(__xludf.DUMMYFUNCTION("""COMPUTED_VALUE"""),7.7436695)</f>
        <v>7.7436695</v>
      </c>
      <c r="D15241" s="7">
        <f>IFERROR(__xludf.DUMMYFUNCTION("""COMPUTED_VALUE"""),0.358490566037735)</f>
        <v>0.358490566</v>
      </c>
    </row>
    <row r="15242">
      <c r="A15242" s="10" t="s">
        <v>16681</v>
      </c>
      <c r="B15242" s="7" t="str">
        <f>IFERROR(__xludf.DUMMYFUNCTION("SPLIT(A15242,"" "")"),"Cc1cncc(CN(C)CCN(Cc2ccccn2)c2cccc3cccnc23)c1")</f>
        <v>Cc1cncc(CN(C)CCN(Cc2ccccn2)c2cccc3cccnc23)c1</v>
      </c>
      <c r="C15242" s="7">
        <f>IFERROR(__xludf.DUMMYFUNCTION("""COMPUTED_VALUE"""),7.743658)</f>
        <v>7.743658</v>
      </c>
      <c r="D15242" s="7">
        <f>IFERROR(__xludf.DUMMYFUNCTION("""COMPUTED_VALUE"""),0.428571428571428)</f>
        <v>0.4285714286</v>
      </c>
    </row>
    <row r="15243">
      <c r="A15243" s="10" t="s">
        <v>16682</v>
      </c>
      <c r="B15243" s="7" t="str">
        <f>IFERROR(__xludf.DUMMYFUNCTION("SPLIT(A15243,"" "")"),"Cc1cnc(CN(C)Cc2ccc(N(C)Cc3nc(C)ccc3C)cn2)c(C)c1")</f>
        <v>Cc1cnc(CN(C)Cc2ccc(N(C)Cc3nc(C)ccc3C)cn2)c(C)c1</v>
      </c>
      <c r="C15243" s="7">
        <f>IFERROR(__xludf.DUMMYFUNCTION("""COMPUTED_VALUE"""),7.743653)</f>
        <v>7.743653</v>
      </c>
      <c r="D15243" s="7">
        <f>IFERROR(__xludf.DUMMYFUNCTION("""COMPUTED_VALUE"""),0.4)</f>
        <v>0.4</v>
      </c>
    </row>
    <row r="15244">
      <c r="A15244" s="10" t="s">
        <v>16683</v>
      </c>
      <c r="B15244" s="7" t="str">
        <f>IFERROR(__xludf.DUMMYFUNCTION("SPLIT(A15244,"" "")"),"COC(=O)C1CN(C)C(c2ccc(C)c(C)n2)C(CN(C)Cc2cc(-c3ccc(N(C)C)cc3)ccn2)C1c1ccc(C)c(C)n1")</f>
        <v>COC(=O)C1CN(C)C(c2ccc(C)c(C)n2)C(CN(C)Cc2cc(-c3ccc(N(C)C)cc3)ccn2)C1c1ccc(C)c(C)n1</v>
      </c>
      <c r="C15244" s="7">
        <f>IFERROR(__xludf.DUMMYFUNCTION("""COMPUTED_VALUE"""),7.743651)</f>
        <v>7.743651</v>
      </c>
      <c r="D15244" s="7">
        <f>IFERROR(__xludf.DUMMYFUNCTION("""COMPUTED_VALUE"""),0.238636363636363)</f>
        <v>0.2386363636</v>
      </c>
    </row>
    <row r="15245">
      <c r="A15245" s="10" t="s">
        <v>16684</v>
      </c>
      <c r="B15245" s="7" t="str">
        <f>IFERROR(__xludf.DUMMYFUNCTION("SPLIT(A15245,"" "")"),"Cc1cnc(CN(C)Cc2cc(C3=NC(C)CO3)ccn2)c(C)c1C")</f>
        <v>Cc1cnc(CN(C)Cc2cc(C3=NC(C)CO3)ccn2)c(C)c1C</v>
      </c>
      <c r="C15245" s="7">
        <f>IFERROR(__xludf.DUMMYFUNCTION("""COMPUTED_VALUE"""),7.74365)</f>
        <v>7.74365</v>
      </c>
      <c r="D15245" s="7">
        <f>IFERROR(__xludf.DUMMYFUNCTION("""COMPUTED_VALUE"""),0.275862068965517)</f>
        <v>0.275862069</v>
      </c>
    </row>
    <row r="15246">
      <c r="A15246" s="10" t="s">
        <v>16685</v>
      </c>
      <c r="B15246" s="7" t="str">
        <f>IFERROR(__xludf.DUMMYFUNCTION("SPLIT(A15246,"" "")"),"CC(C)N(C)CN(C)c1ccc2nc(CF)ccc2c1")</f>
        <v>CC(C)N(C)CN(C)c1ccc2nc(CF)ccc2c1</v>
      </c>
      <c r="C15246" s="7">
        <f>IFERROR(__xludf.DUMMYFUNCTION("""COMPUTED_VALUE"""),7.743646)</f>
        <v>7.743646</v>
      </c>
      <c r="D15246" s="7">
        <f>IFERROR(__xludf.DUMMYFUNCTION("""COMPUTED_VALUE"""),0.303571428571428)</f>
        <v>0.3035714286</v>
      </c>
    </row>
    <row r="15247">
      <c r="A15247" s="10" t="s">
        <v>16686</v>
      </c>
      <c r="B15247" s="7" t="str">
        <f>IFERROR(__xludf.DUMMYFUNCTION("SPLIT(A15247,"" "")"),"Cc1ccnc2cc(N(C)CCN(Cc3ccccc3)C(C)C)ccc12")</f>
        <v>Cc1ccnc2cc(N(C)CCN(Cc3ccccc3)C(C)C)ccc12</v>
      </c>
      <c r="C15247" s="7">
        <f>IFERROR(__xludf.DUMMYFUNCTION("""COMPUTED_VALUE"""),7.743646)</f>
        <v>7.743646</v>
      </c>
      <c r="D15247" s="7">
        <f>IFERROR(__xludf.DUMMYFUNCTION("""COMPUTED_VALUE"""),0.384615384615384)</f>
        <v>0.3846153846</v>
      </c>
    </row>
    <row r="15248">
      <c r="A15248" s="10" t="s">
        <v>16687</v>
      </c>
      <c r="B15248" s="7" t="str">
        <f>IFERROR(__xludf.DUMMYFUNCTION("SPLIT(A15248,"" "")"),"FCNc1cccc(-c2ncccc2C(NCc2ccccn2)c2ccccc2)n1")</f>
        <v>FCNc1cccc(-c2ncccc2C(NCc2ccccn2)c2ccccc2)n1</v>
      </c>
      <c r="C15248" s="7">
        <f>IFERROR(__xludf.DUMMYFUNCTION("""COMPUTED_VALUE"""),7.7436357)</f>
        <v>7.7436357</v>
      </c>
      <c r="D15248" s="7">
        <f>IFERROR(__xludf.DUMMYFUNCTION("""COMPUTED_VALUE"""),0.333333333333333)</f>
        <v>0.3333333333</v>
      </c>
    </row>
    <row r="15249">
      <c r="A15249" s="10" t="s">
        <v>16688</v>
      </c>
      <c r="B15249" s="7" t="str">
        <f>IFERROR(__xludf.DUMMYFUNCTION("SPLIT(A15249,"" "")"),"CC(C)N(CCN(C)c1cccc2nccc(CF)c12)C(C)C")</f>
        <v>CC(C)N(CCN(C)c1cccc2nccc(CF)c12)C(C)C</v>
      </c>
      <c r="C15249" s="7">
        <f>IFERROR(__xludf.DUMMYFUNCTION("""COMPUTED_VALUE"""),7.7436304)</f>
        <v>7.7436304</v>
      </c>
      <c r="D15249" s="7">
        <f>IFERROR(__xludf.DUMMYFUNCTION("""COMPUTED_VALUE"""),0.36734693877551)</f>
        <v>0.3673469388</v>
      </c>
    </row>
    <row r="15250">
      <c r="A15250" s="10" t="s">
        <v>16689</v>
      </c>
      <c r="B15250" s="7" t="str">
        <f>IFERROR(__xludf.DUMMYFUNCTION("SPLIT(A15250,"" "")"),"Cc1cnc(N(C)C2=C(N(C)C(C)C)CC=CN2)c(C)c1")</f>
        <v>Cc1cnc(N(C)C2=C(N(C)C(C)C)CC=CN2)c(C)c1</v>
      </c>
      <c r="C15250" s="7">
        <f>IFERROR(__xludf.DUMMYFUNCTION("""COMPUTED_VALUE"""),7.7436233)</f>
        <v>7.7436233</v>
      </c>
      <c r="D15250" s="7">
        <f>IFERROR(__xludf.DUMMYFUNCTION("""COMPUTED_VALUE"""),0.23076923076923)</f>
        <v>0.2307692308</v>
      </c>
    </row>
    <row r="15251">
      <c r="A15251" s="10" t="s">
        <v>16690</v>
      </c>
      <c r="B15251" s="7" t="str">
        <f>IFERROR(__xludf.DUMMYFUNCTION("SPLIT(A15251,"" "")"),"Cc1cncc(CN(C)Cc2cccc(N(C)Cc3nc(C)c(C)c(C)c3C)n2)c1")</f>
        <v>Cc1cncc(CN(C)Cc2cccc(N(C)Cc3nc(C)c(C)c(C)c3C)n2)c1</v>
      </c>
      <c r="C15251" s="7">
        <f>IFERROR(__xludf.DUMMYFUNCTION("""COMPUTED_VALUE"""),7.74362)</f>
        <v>7.74362</v>
      </c>
      <c r="D15251" s="7">
        <f>IFERROR(__xludf.DUMMYFUNCTION("""COMPUTED_VALUE"""),0.333333333333333)</f>
        <v>0.3333333333</v>
      </c>
    </row>
    <row r="15252">
      <c r="A15252" s="10" t="s">
        <v>16691</v>
      </c>
      <c r="B15252" s="7" t="str">
        <f>IFERROR(__xludf.DUMMYFUNCTION("SPLIT(A15252,"" "")"),"CN(Cc1ccccn1)C1=CCC=C(CN(Cc2ccccn2)c2cccc(F)c2)N1")</f>
        <v>CN(Cc1ccccn1)C1=CCC=C(CN(Cc2ccccn2)c2cccc(F)c2)N1</v>
      </c>
      <c r="C15252" s="7">
        <f>IFERROR(__xludf.DUMMYFUNCTION("""COMPUTED_VALUE"""),7.74362)</f>
        <v>7.74362</v>
      </c>
      <c r="D15252" s="7">
        <f>IFERROR(__xludf.DUMMYFUNCTION("""COMPUTED_VALUE"""),0.4)</f>
        <v>0.4</v>
      </c>
    </row>
    <row r="15253">
      <c r="A15253" s="10" t="s">
        <v>16692</v>
      </c>
      <c r="B15253" s="7" t="str">
        <f>IFERROR(__xludf.DUMMYFUNCTION("SPLIT(A15253,"" "")"),"Cc1cnc(CN(C)C2=C(CN(Cc3ccccn3)c3ccccc3F)NC=CC2)c(C)c1C")</f>
        <v>Cc1cnc(CN(C)C2=C(CN(Cc3ccccn3)c3ccccc3F)NC=CC2)c(C)c1C</v>
      </c>
      <c r="C15253" s="7">
        <f>IFERROR(__xludf.DUMMYFUNCTION("""COMPUTED_VALUE"""),7.7436175)</f>
        <v>7.7436175</v>
      </c>
      <c r="D15253" s="7">
        <f>IFERROR(__xludf.DUMMYFUNCTION("""COMPUTED_VALUE"""),0.328571428571428)</f>
        <v>0.3285714286</v>
      </c>
    </row>
    <row r="15254">
      <c r="A15254" s="10" t="s">
        <v>16693</v>
      </c>
      <c r="B15254" s="7" t="str">
        <f>IFERROR(__xludf.DUMMYFUNCTION("SPLIT(A15254,"" "")"),"Cc1ccc(N(C)Cc2cccc(C(C)(C)C)n2)c(C)c1")</f>
        <v>Cc1ccc(N(C)Cc2cccc(C(C)(C)C)n2)c(C)c1</v>
      </c>
      <c r="C15254" s="7">
        <f>IFERROR(__xludf.DUMMYFUNCTION("""COMPUTED_VALUE"""),7.7436104)</f>
        <v>7.7436104</v>
      </c>
      <c r="D15254" s="7">
        <f>IFERROR(__xludf.DUMMYFUNCTION("""COMPUTED_VALUE"""),0.363636363636363)</f>
        <v>0.3636363636</v>
      </c>
    </row>
    <row r="15255">
      <c r="A15255" s="10" t="s">
        <v>16694</v>
      </c>
      <c r="B15255" s="7" t="str">
        <f>IFERROR(__xludf.DUMMYFUNCTION("SPLIT(A15255,"" "")"),"CCCN(Cc1ccccn1)c1cc(C)cc(C)c1-c1cc(CN(Cc2ccccn2)Cc2ncccc2C)ccn1")</f>
        <v>CCCN(Cc1ccccn1)c1cc(C)cc(C)c1-c1cc(CN(Cc2ccccn2)Cc2ncccc2C)ccn1</v>
      </c>
      <c r="C15255" s="7">
        <f>IFERROR(__xludf.DUMMYFUNCTION("""COMPUTED_VALUE"""),7.743606)</f>
        <v>7.743606</v>
      </c>
      <c r="D15255" s="7">
        <f>IFERROR(__xludf.DUMMYFUNCTION("""COMPUTED_VALUE"""),0.350877192982456)</f>
        <v>0.350877193</v>
      </c>
    </row>
    <row r="15256">
      <c r="A15256" s="10" t="s">
        <v>16695</v>
      </c>
      <c r="B15256" s="7" t="str">
        <f>IFERROR(__xludf.DUMMYFUNCTION("SPLIT(A15256,"" "")"),"CCN(Cc1ccccn1)c1ccc(C)cc1-c1cnccc1CN(Cc1ccccn1)Cc1ncccc1C")</f>
        <v>CCN(Cc1ccccn1)c1ccc(C)cc1-c1cnccc1CN(Cc1ccccn1)Cc1ncccc1C</v>
      </c>
      <c r="C15256" s="7">
        <f>IFERROR(__xludf.DUMMYFUNCTION("""COMPUTED_VALUE"""),7.743605)</f>
        <v>7.743605</v>
      </c>
      <c r="D15256" s="7">
        <f>IFERROR(__xludf.DUMMYFUNCTION("""COMPUTED_VALUE"""),0.357142857142857)</f>
        <v>0.3571428571</v>
      </c>
    </row>
    <row r="15257">
      <c r="A15257" s="10" t="s">
        <v>16696</v>
      </c>
      <c r="B15257" s="7" t="str">
        <f>IFERROR(__xludf.DUMMYFUNCTION("SPLIT(A15257,"" "")"),"CC(C)N(C)C1C=CNC(CN(C)c2ccc3ncccc3c2)=C1")</f>
        <v>CC(C)N(C)C1C=CNC(CN(C)c2ccc3ncccc3c2)=C1</v>
      </c>
      <c r="C15257" s="7">
        <f>IFERROR(__xludf.DUMMYFUNCTION("""COMPUTED_VALUE"""),7.743601)</f>
        <v>7.743601</v>
      </c>
      <c r="D15257" s="7">
        <f>IFERROR(__xludf.DUMMYFUNCTION("""COMPUTED_VALUE"""),0.283333333333333)</f>
        <v>0.2833333333</v>
      </c>
    </row>
    <row r="15258">
      <c r="A15258" s="10" t="s">
        <v>16697</v>
      </c>
      <c r="B15258" s="7" t="str">
        <f>IFERROR(__xludf.DUMMYFUNCTION("SPLIT(A15258,"" "")"),"Cc1cccc(CN(Cc2cccc(CNC(C)C)n2)Cc2cccc(-c3cccc(N(C)C)c3)n2)n1")</f>
        <v>Cc1cccc(CN(Cc2cccc(CNC(C)C)n2)Cc2cccc(-c3cccc(N(C)C)c3)n2)n1</v>
      </c>
      <c r="C15258" s="7">
        <f>IFERROR(__xludf.DUMMYFUNCTION("""COMPUTED_VALUE"""),7.743599)</f>
        <v>7.743599</v>
      </c>
      <c r="D15258" s="7">
        <f>IFERROR(__xludf.DUMMYFUNCTION("""COMPUTED_VALUE"""),0.396825396825396)</f>
        <v>0.3968253968</v>
      </c>
    </row>
    <row r="15259">
      <c r="A15259" s="10" t="s">
        <v>16698</v>
      </c>
      <c r="B15259" s="7" t="str">
        <f>IFERROR(__xludf.DUMMYFUNCTION("SPLIT(A15259,"" "")"),"CCC(C)N(Cc1ccccn1)Cc1ncccc1-c1ccccc1N=Cc1ccccn1")</f>
        <v>CCC(C)N(Cc1ccccn1)Cc1ncccc1-c1ccccc1N=Cc1ccccn1</v>
      </c>
      <c r="C15259" s="7">
        <f>IFERROR(__xludf.DUMMYFUNCTION("""COMPUTED_VALUE"""),7.7435975)</f>
        <v>7.7435975</v>
      </c>
      <c r="D15259" s="7">
        <f>IFERROR(__xludf.DUMMYFUNCTION("""COMPUTED_VALUE"""),0.407407407407407)</f>
        <v>0.4074074074</v>
      </c>
    </row>
    <row r="15260">
      <c r="A15260" s="10" t="s">
        <v>16699</v>
      </c>
      <c r="B15260" s="7" t="str">
        <f>IFERROR(__xludf.DUMMYFUNCTION("SPLIT(A15260,"" "")"),"Cc1cccnc1CN(C)CC1=CCC=C(N(C)C(c2ccccn2)c2ccccn2)N1")</f>
        <v>Cc1cccnc1CN(C)CC1=CCC=C(N(C)C(c2ccccn2)c2ccccn2)N1</v>
      </c>
      <c r="C15260" s="7">
        <f>IFERROR(__xludf.DUMMYFUNCTION("""COMPUTED_VALUE"""),7.7435927)</f>
        <v>7.7435927</v>
      </c>
      <c r="D15260" s="7">
        <f>IFERROR(__xludf.DUMMYFUNCTION("""COMPUTED_VALUE"""),0.317460317460317)</f>
        <v>0.3174603175</v>
      </c>
    </row>
    <row r="15261">
      <c r="A15261" s="10" t="s">
        <v>16700</v>
      </c>
      <c r="B15261" s="7" t="str">
        <f>IFERROR(__xludf.DUMMYFUNCTION("SPLIT(A15261,"" "")"),"Cc1ccc(CN(C)Cc2ccc(N(C)Cc3nc(C)c(C)cc3C)cn2)nc1")</f>
        <v>Cc1ccc(CN(C)Cc2ccc(N(C)Cc3nc(C)c(C)cc3C)cn2)nc1</v>
      </c>
      <c r="C15261" s="7">
        <f>IFERROR(__xludf.DUMMYFUNCTION("""COMPUTED_VALUE"""),7.743588)</f>
        <v>7.743588</v>
      </c>
      <c r="D15261" s="7">
        <f>IFERROR(__xludf.DUMMYFUNCTION("""COMPUTED_VALUE"""),0.5)</f>
        <v>0.5</v>
      </c>
    </row>
    <row r="15262">
      <c r="A15262" s="10" t="s">
        <v>16701</v>
      </c>
      <c r="B15262" s="7" t="str">
        <f>IFERROR(__xludf.DUMMYFUNCTION("SPLIT(A15262,"" "")"),"CN(CCN(C)c1ccc2ncc(CF)cc2c1)Cc1cccnc1")</f>
        <v>CN(CCN(C)c1ccc2ncc(CF)cc2c1)Cc1cccnc1</v>
      </c>
      <c r="C15262" s="7">
        <f>IFERROR(__xludf.DUMMYFUNCTION("""COMPUTED_VALUE"""),7.743562)</f>
        <v>7.743562</v>
      </c>
      <c r="D15262" s="7">
        <f>IFERROR(__xludf.DUMMYFUNCTION("""COMPUTED_VALUE"""),0.310344827586206)</f>
        <v>0.3103448276</v>
      </c>
    </row>
    <row r="15263">
      <c r="A15263" s="10" t="s">
        <v>16702</v>
      </c>
      <c r="B15263" s="7" t="str">
        <f>IFERROR(__xludf.DUMMYFUNCTION("SPLIT(A15263,"" "")"),"CN(Cc1ccc(-c2cccc(N(C)C)c2)cn1)CC(C)(C)C")</f>
        <v>CN(Cc1ccc(-c2cccc(N(C)C)c2)cn1)CC(C)(C)C</v>
      </c>
      <c r="C15263" s="7">
        <f>IFERROR(__xludf.DUMMYFUNCTION("""COMPUTED_VALUE"""),7.743541)</f>
        <v>7.743541</v>
      </c>
      <c r="D15263" s="7">
        <f>IFERROR(__xludf.DUMMYFUNCTION("""COMPUTED_VALUE"""),0.361702127659574)</f>
        <v>0.3617021277</v>
      </c>
    </row>
    <row r="15264">
      <c r="A15264" s="10" t="s">
        <v>16703</v>
      </c>
      <c r="B15264" s="7" t="str">
        <f>IFERROR(__xludf.DUMMYFUNCTION("SPLIT(A15264,"" "")"),"CCNCc1ncccc1-c1cc(C(C)(C)C)ccc1NCc1ccccn1")</f>
        <v>CCNCc1ncccc1-c1cc(C(C)(C)C)ccc1NCc1ccccn1</v>
      </c>
      <c r="C15264" s="7">
        <f>IFERROR(__xludf.DUMMYFUNCTION("""COMPUTED_VALUE"""),7.743539)</f>
        <v>7.743539</v>
      </c>
      <c r="D15264" s="7">
        <f>IFERROR(__xludf.DUMMYFUNCTION("""COMPUTED_VALUE"""),0.352941176470588)</f>
        <v>0.3529411765</v>
      </c>
    </row>
    <row r="15265">
      <c r="A15265" s="10" t="s">
        <v>16704</v>
      </c>
      <c r="B15265" s="7" t="str">
        <f>IFERROR(__xludf.DUMMYFUNCTION("SPLIT(A15265,"" "")"),"Cc1cccc(N(C)Cc2ccccn2)c1CN(Cc1ccccn1)C(C)(N)N(Cc1cccc2ncccc12)C(C)C")</f>
        <v>Cc1cccc(N(C)Cc2ccccn2)c1CN(Cc1ccccn1)C(C)(N)N(Cc1cccc2ncccc12)C(C)C</v>
      </c>
      <c r="C15265" s="7">
        <f>IFERROR(__xludf.DUMMYFUNCTION("""COMPUTED_VALUE"""),7.7435384)</f>
        <v>7.7435384</v>
      </c>
      <c r="D15265" s="7">
        <f>IFERROR(__xludf.DUMMYFUNCTION("""COMPUTED_VALUE"""),0.359375)</f>
        <v>0.359375</v>
      </c>
    </row>
    <row r="15266">
      <c r="A15266" s="10" t="s">
        <v>16705</v>
      </c>
      <c r="B15266" s="7" t="str">
        <f>IFERROR(__xludf.DUMMYFUNCTION("SPLIT(A15266,"" "")"),"CC(C)C1=CC2(C=CN1)C=CC(C)(C)C(c1cc(CN(Cc3ccccn3)c3ccc4ncccc4c3)ccn1)C2c1ncccc1CN(Cc1ccccn1)Cc1ccccn1")</f>
        <v>CC(C)C1=CC2(C=CN1)C=CC(C)(C)C(c1cc(CN(Cc3ccccn3)c3ccc4ncccc4c3)ccn1)C2c1ncccc1CN(Cc1ccccn1)Cc1ccccn1</v>
      </c>
      <c r="C15266" s="7">
        <f>IFERROR(__xludf.DUMMYFUNCTION("""COMPUTED_VALUE"""),7.743528)</f>
        <v>7.743528</v>
      </c>
      <c r="D15266" s="7">
        <f>IFERROR(__xludf.DUMMYFUNCTION("""COMPUTED_VALUE"""),0.270588235294117)</f>
        <v>0.2705882353</v>
      </c>
    </row>
    <row r="15267">
      <c r="A15267" s="10" t="s">
        <v>16706</v>
      </c>
      <c r="B15267" s="7" t="str">
        <f>IFERROR(__xludf.DUMMYFUNCTION("SPLIT(A15267,"" "")"),"Cc1cc(CN(C)Cc2cccc(C3=NC(C)CO3)n2)nc(C)c1C")</f>
        <v>Cc1cc(CN(C)Cc2cccc(C3=NC(C)CO3)n2)nc(C)c1C</v>
      </c>
      <c r="C15267" s="7">
        <f>IFERROR(__xludf.DUMMYFUNCTION("""COMPUTED_VALUE"""),7.7435193)</f>
        <v>7.7435193</v>
      </c>
      <c r="D15267" s="7">
        <f>IFERROR(__xludf.DUMMYFUNCTION("""COMPUTED_VALUE"""),0.368421052631578)</f>
        <v>0.3684210526</v>
      </c>
    </row>
    <row r="15268">
      <c r="A15268" s="10" t="s">
        <v>16707</v>
      </c>
      <c r="B15268" s="7" t="str">
        <f>IFERROR(__xludf.DUMMYFUNCTION("SPLIT(A15268,"" "")"),"Cc1cccnc1CN(Cc1ccc2ncccc2c1)C1CCC(N(C)c2ccc3nc(CN(C)C)ccc3c2)CC1")</f>
        <v>Cc1cccnc1CN(Cc1ccc2ncccc2c1)C1CCC(N(C)c2ccc3nc(CN(C)C)ccc3c2)CC1</v>
      </c>
      <c r="C15268" s="7">
        <f>IFERROR(__xludf.DUMMYFUNCTION("""COMPUTED_VALUE"""),7.743515)</f>
        <v>7.743515</v>
      </c>
      <c r="D15268" s="7">
        <f>IFERROR(__xludf.DUMMYFUNCTION("""COMPUTED_VALUE"""),0.294117647058823)</f>
        <v>0.2941176471</v>
      </c>
    </row>
    <row r="15269">
      <c r="A15269" s="10" t="s">
        <v>16708</v>
      </c>
      <c r="B15269" s="7" t="str">
        <f>IFERROR(__xludf.DUMMYFUNCTION("SPLIT(A15269,"" "")"),"Cc1ccccc1N(C)CCN(C)Cc1ccc2cccnc2c1")</f>
        <v>Cc1ccccc1N(C)CCN(C)Cc1ccc2cccnc2c1</v>
      </c>
      <c r="C15269" s="7">
        <f>IFERROR(__xludf.DUMMYFUNCTION("""COMPUTED_VALUE"""),7.743495)</f>
        <v>7.743495</v>
      </c>
      <c r="D15269" s="7">
        <f>IFERROR(__xludf.DUMMYFUNCTION("""COMPUTED_VALUE"""),0.4375)</f>
        <v>0.4375</v>
      </c>
    </row>
    <row r="15270">
      <c r="A15270" s="10" t="s">
        <v>16709</v>
      </c>
      <c r="B15270" s="7" t="str">
        <f>IFERROR(__xludf.DUMMYFUNCTION("SPLIT(A15270,"" "")"),"Cc1cccnc1CN(C)Cc1ccc(N(C)Cc2cc(C)c(C)c(C)n2)nc1")</f>
        <v>Cc1cccnc1CN(C)Cc1ccc(N(C)Cc2cc(C)c(C)c(C)n2)nc1</v>
      </c>
      <c r="C15270" s="7">
        <f>IFERROR(__xludf.DUMMYFUNCTION("""COMPUTED_VALUE"""),7.7434945)</f>
        <v>7.7434945</v>
      </c>
      <c r="D15270" s="7">
        <f>IFERROR(__xludf.DUMMYFUNCTION("""COMPUTED_VALUE"""),0.288135593220339)</f>
        <v>0.2881355932</v>
      </c>
    </row>
    <row r="15271">
      <c r="A15271" s="10" t="s">
        <v>16710</v>
      </c>
      <c r="B15271" s="7" t="str">
        <f>IFERROR(__xludf.DUMMYFUNCTION("SPLIT(A15271,"" "")"),"Cc1ccccc1N(C)Cc1ncccc1C(C)(C)c1ccccn1")</f>
        <v>Cc1ccccc1N(C)Cc1ncccc1C(C)(C)c1ccccn1</v>
      </c>
      <c r="C15271" s="7">
        <f>IFERROR(__xludf.DUMMYFUNCTION("""COMPUTED_VALUE"""),7.743494)</f>
        <v>7.743494</v>
      </c>
      <c r="D15271" s="7">
        <f>IFERROR(__xludf.DUMMYFUNCTION("""COMPUTED_VALUE"""),0.36)</f>
        <v>0.36</v>
      </c>
    </row>
    <row r="15272">
      <c r="A15272" s="10" t="s">
        <v>16711</v>
      </c>
      <c r="B15272" s="7" t="str">
        <f>IFERROR(__xludf.DUMMYFUNCTION("SPLIT(A15272,"" "")"),"Cc1cccnc1CN(C)Cc1ccc(N(C)Cc2ncc(C)c(C)c2C)cn1")</f>
        <v>Cc1cccnc1CN(C)Cc1ccc(N(C)Cc2ncc(C)c(C)c2C)cn1</v>
      </c>
      <c r="C15272" s="7">
        <f>IFERROR(__xludf.DUMMYFUNCTION("""COMPUTED_VALUE"""),7.743487)</f>
        <v>7.743487</v>
      </c>
      <c r="D15272" s="7">
        <f>IFERROR(__xludf.DUMMYFUNCTION("""COMPUTED_VALUE"""),0.36)</f>
        <v>0.36</v>
      </c>
    </row>
    <row r="15273">
      <c r="A15273" s="10" t="s">
        <v>16712</v>
      </c>
      <c r="B15273" s="7" t="str">
        <f>IFERROR(__xludf.DUMMYFUNCTION("SPLIT(A15273,"" "")"),"CC(C)N(C)Cc1ccc(-c2ccccc2N(C)C)cn1")</f>
        <v>CC(C)N(C)Cc1ccc(-c2ccccc2N(C)C)cn1</v>
      </c>
      <c r="C15273" s="7">
        <f>IFERROR(__xludf.DUMMYFUNCTION("""COMPUTED_VALUE"""),7.7434793)</f>
        <v>7.7434793</v>
      </c>
      <c r="D15273" s="7">
        <f>IFERROR(__xludf.DUMMYFUNCTION("""COMPUTED_VALUE"""),0.340425531914893)</f>
        <v>0.3404255319</v>
      </c>
    </row>
    <row r="15274">
      <c r="A15274" s="10" t="s">
        <v>16713</v>
      </c>
      <c r="B15274" s="7" t="str">
        <f>IFERROR(__xludf.DUMMYFUNCTION("SPLIT(A15274,"" "")"),"Cc1ccnc(CN(C)Cc2cccc(N(C)Cc3nc(C)c(C)c(C)c3C)n2)c1")</f>
        <v>Cc1ccnc(CN(C)Cc2cccc(N(C)Cc3nc(C)c(C)c(C)c3C)n2)c1</v>
      </c>
      <c r="C15274" s="7">
        <f>IFERROR(__xludf.DUMMYFUNCTION("""COMPUTED_VALUE"""),7.743476)</f>
        <v>7.743476</v>
      </c>
      <c r="D15274" s="7">
        <f>IFERROR(__xludf.DUMMYFUNCTION("""COMPUTED_VALUE"""),0.381818181818181)</f>
        <v>0.3818181818</v>
      </c>
    </row>
    <row r="15275">
      <c r="A15275" s="10" t="s">
        <v>16714</v>
      </c>
      <c r="B15275" s="7" t="str">
        <f>IFERROR(__xludf.DUMMYFUNCTION("SPLIT(A15275,"" "")"),"CN(C)c1ccccc1-c1cccnc1CN(CF)Cc1ccccn1")</f>
        <v>CN(C)c1ccccc1-c1cccnc1CN(CF)Cc1ccccn1</v>
      </c>
      <c r="C15275" s="7">
        <f>IFERROR(__xludf.DUMMYFUNCTION("""COMPUTED_VALUE"""),7.743474)</f>
        <v>7.743474</v>
      </c>
      <c r="D15275" s="7">
        <f>IFERROR(__xludf.DUMMYFUNCTION("""COMPUTED_VALUE"""),0.463414634146341)</f>
        <v>0.4634146341</v>
      </c>
    </row>
    <row r="15276">
      <c r="A15276" s="10" t="s">
        <v>16715</v>
      </c>
      <c r="B15276" s="7" t="str">
        <f>IFERROR(__xludf.DUMMYFUNCTION("SPLIT(A15276,"" "")"),"CN(CCCN(C)Cc1ccc2cccnc2c1)Cc1ccc2ncccc2c1")</f>
        <v>CN(CCCN(C)Cc1ccc2cccnc2c1)Cc1ccc2ncccc2c1</v>
      </c>
      <c r="C15276" s="7">
        <f>IFERROR(__xludf.DUMMYFUNCTION("""COMPUTED_VALUE"""),7.7434716)</f>
        <v>7.7434716</v>
      </c>
      <c r="D15276" s="7">
        <f>IFERROR(__xludf.DUMMYFUNCTION("""COMPUTED_VALUE"""),0.404255319148936)</f>
        <v>0.4042553191</v>
      </c>
    </row>
    <row r="15277">
      <c r="A15277" s="10" t="s">
        <v>16716</v>
      </c>
      <c r="B15277" s="7" t="str">
        <f>IFERROR(__xludf.DUMMYFUNCTION("SPLIT(A15277,"" "")"),"CCOC(=O)c1cccc(CN(Cc2ccccn2)Cc2cc(C(C)(c3ccccn3)c3ccccn3)ccn2)n1")</f>
        <v>CCOC(=O)c1cccc(CN(Cc2ccccn2)Cc2cc(C(C)(c3ccccn3)c3ccccn3)ccn2)n1</v>
      </c>
      <c r="C15277" s="7">
        <f>IFERROR(__xludf.DUMMYFUNCTION("""COMPUTED_VALUE"""),7.743469)</f>
        <v>7.743469</v>
      </c>
      <c r="D15277" s="7">
        <f>IFERROR(__xludf.DUMMYFUNCTION("""COMPUTED_VALUE"""),0.38235294117647)</f>
        <v>0.3823529412</v>
      </c>
    </row>
    <row r="15278">
      <c r="A15278" s="10" t="s">
        <v>16717</v>
      </c>
      <c r="B15278" s="7" t="str">
        <f>IFERROR(__xludf.DUMMYFUNCTION("SPLIT(A15278,"" "")"),"Cc1ccc(CN(C)Cc2cc(N(C)Cc3cc(C)c(C)c(C)n3)ccn2)nc1")</f>
        <v>Cc1ccc(CN(C)Cc2cc(N(C)Cc3cc(C)c(C)c(C)n3)ccn2)nc1</v>
      </c>
      <c r="C15278" s="7">
        <f>IFERROR(__xludf.DUMMYFUNCTION("""COMPUTED_VALUE"""),7.7434688)</f>
        <v>7.7434688</v>
      </c>
      <c r="D15278" s="7">
        <f>IFERROR(__xludf.DUMMYFUNCTION("""COMPUTED_VALUE"""),0.458333333333333)</f>
        <v>0.4583333333</v>
      </c>
    </row>
    <row r="15279">
      <c r="A15279" s="10" t="s">
        <v>16718</v>
      </c>
      <c r="B15279" s="7" t="str">
        <f>IFERROR(__xludf.DUMMYFUNCTION("SPLIT(A15279,"" "")"),"Cc1ccc(N(Cc2ccccn2)C2CCCC(N(C)c3ccc4c(CF)ccnc4c3)C2)c(C(C)(C)c2ccccn2)c1")</f>
        <v>Cc1ccc(N(Cc2ccccn2)C2CCCC(N(C)c3ccc4c(CF)ccnc4c3)C2)c(C(C)(C)c2ccccn2)c1</v>
      </c>
      <c r="C15279" s="7">
        <f>IFERROR(__xludf.DUMMYFUNCTION("""COMPUTED_VALUE"""),7.7434654)</f>
        <v>7.7434654</v>
      </c>
      <c r="D15279" s="7">
        <f>IFERROR(__xludf.DUMMYFUNCTION("""COMPUTED_VALUE"""),0.298701298701298)</f>
        <v>0.2987012987</v>
      </c>
    </row>
    <row r="15280">
      <c r="A15280" s="10" t="s">
        <v>16719</v>
      </c>
      <c r="B15280" s="7" t="str">
        <f>IFERROR(__xludf.DUMMYFUNCTION("SPLIT(A15280,"" "")"),"CN(Cc1ccccn1)c1cccc(-c2cccc(C3CCC3(C)C)n2)c1")</f>
        <v>CN(Cc1ccccn1)c1cccc(-c2cccc(C3CCC3(C)C)n2)c1</v>
      </c>
      <c r="C15280" s="7">
        <f>IFERROR(__xludf.DUMMYFUNCTION("""COMPUTED_VALUE"""),7.7434626)</f>
        <v>7.7434626</v>
      </c>
      <c r="D15280" s="7">
        <f>IFERROR(__xludf.DUMMYFUNCTION("""COMPUTED_VALUE"""),0.428571428571428)</f>
        <v>0.4285714286</v>
      </c>
    </row>
    <row r="15281">
      <c r="A15281" s="10" t="s">
        <v>16720</v>
      </c>
      <c r="B15281" s="7" t="str">
        <f>IFERROR(__xludf.DUMMYFUNCTION("SPLIT(A15281,"" "")"),"Cc1cccc(-c2cc(CN(C)C3CCCC(N(C)c4ccc5nccc(CN(C)C)c5c4)C3)ccn2)c1")</f>
        <v>Cc1cccc(-c2cc(CN(C)C3CCCC(N(C)c4ccc5nccc(CN(C)C)c5c4)C3)ccn2)c1</v>
      </c>
      <c r="C15281" s="7">
        <f>IFERROR(__xludf.DUMMYFUNCTION("""COMPUTED_VALUE"""),7.7434525)</f>
        <v>7.7434525</v>
      </c>
      <c r="D15281" s="7">
        <f>IFERROR(__xludf.DUMMYFUNCTION("""COMPUTED_VALUE"""),0.229729729729729)</f>
        <v>0.2297297297</v>
      </c>
    </row>
    <row r="15282">
      <c r="A15282" s="10" t="s">
        <v>16721</v>
      </c>
      <c r="B15282" s="7" t="str">
        <f>IFERROR(__xludf.DUMMYFUNCTION("SPLIT(A15282,"" "")"),"Cc1cccc(N(C)CC2=C(N(C)Cc3ccccn3)CC=CN2)c1")</f>
        <v>Cc1cccc(N(C)CC2=C(N(C)Cc3ccccn3)CC=CN2)c1</v>
      </c>
      <c r="C15282" s="7">
        <f>IFERROR(__xludf.DUMMYFUNCTION("""COMPUTED_VALUE"""),7.743452)</f>
        <v>7.743452</v>
      </c>
      <c r="D15282" s="7">
        <f>IFERROR(__xludf.DUMMYFUNCTION("""COMPUTED_VALUE"""),0.407407407407407)</f>
        <v>0.4074074074</v>
      </c>
    </row>
    <row r="15283">
      <c r="A15283" s="10" t="s">
        <v>16722</v>
      </c>
      <c r="B15283" s="7" t="str">
        <f>IFERROR(__xludf.DUMMYFUNCTION("SPLIT(A15283,"" "")"),"Cc1cc(N(C)Cc2cc(C(C)(C)C)ccn2)ccc1N")</f>
        <v>Cc1cc(N(C)Cc2cc(C(C)(C)C)ccn2)ccc1N</v>
      </c>
      <c r="C15283" s="7">
        <f>IFERROR(__xludf.DUMMYFUNCTION("""COMPUTED_VALUE"""),7.7434487)</f>
        <v>7.7434487</v>
      </c>
      <c r="D15283" s="7">
        <f>IFERROR(__xludf.DUMMYFUNCTION("""COMPUTED_VALUE"""),0.307692307692307)</f>
        <v>0.3076923077</v>
      </c>
    </row>
    <row r="15284">
      <c r="A15284" s="10" t="s">
        <v>16723</v>
      </c>
      <c r="B15284" s="7" t="str">
        <f>IFERROR(__xludf.DUMMYFUNCTION("SPLIT(A15284,"" "")"),"CN(C)Cc1ccc2cc(N(C)C3CCCC(N(C)Cc4ccc5ncccc5c4)C3)ccc2n1")</f>
        <v>CN(C)Cc1ccc2cc(N(C)C3CCCC(N(C)Cc4ccc5ncccc5c4)C3)ccc2n1</v>
      </c>
      <c r="C15284" s="7">
        <f>IFERROR(__xludf.DUMMYFUNCTION("""COMPUTED_VALUE"""),7.743442)</f>
        <v>7.743442</v>
      </c>
      <c r="D15284" s="7">
        <f>IFERROR(__xludf.DUMMYFUNCTION("""COMPUTED_VALUE"""),0.317460317460317)</f>
        <v>0.3174603175</v>
      </c>
    </row>
    <row r="15285">
      <c r="A15285" s="10" t="s">
        <v>16724</v>
      </c>
      <c r="B15285" s="7" t="str">
        <f>IFERROR(__xludf.DUMMYFUNCTION("SPLIT(A15285,"" "")"),"FCNc1cccc(CN(Cc2ccccn2)Cc2cccc(-c3cccc(Cl)c3Cl)n2)n1")</f>
        <v>FCNc1cccc(CN(Cc2ccccn2)Cc2cccc(-c3cccc(Cl)c3Cl)n2)n1</v>
      </c>
      <c r="C15285" s="7">
        <f>IFERROR(__xludf.DUMMYFUNCTION("""COMPUTED_VALUE"""),7.7434416)</f>
        <v>7.7434416</v>
      </c>
      <c r="D15285" s="7">
        <f>IFERROR(__xludf.DUMMYFUNCTION("""COMPUTED_VALUE"""),0.444444444444444)</f>
        <v>0.4444444444</v>
      </c>
    </row>
    <row r="15286">
      <c r="A15286" s="10" t="s">
        <v>16725</v>
      </c>
      <c r="B15286" s="7" t="str">
        <f>IFERROR(__xludf.DUMMYFUNCTION("SPLIT(A15286,"" "")"),"CC(c1ccnc(CNc2ccccc2)c1)(c1ccccn1)c1ccccn1")</f>
        <v>CC(c1ccnc(CNc2ccccc2)c1)(c1ccccn1)c1ccccn1</v>
      </c>
      <c r="C15286" s="7">
        <f>IFERROR(__xludf.DUMMYFUNCTION("""COMPUTED_VALUE"""),7.74344)</f>
        <v>7.74344</v>
      </c>
      <c r="D15286" s="7">
        <f>IFERROR(__xludf.DUMMYFUNCTION("""COMPUTED_VALUE"""),0.388888888888888)</f>
        <v>0.3888888889</v>
      </c>
    </row>
    <row r="15287">
      <c r="A15287" s="10" t="s">
        <v>16726</v>
      </c>
      <c r="B15287" s="7" t="str">
        <f>IFERROR(__xludf.DUMMYFUNCTION("SPLIT(A15287,"" "")"),"CCNCc1ccc(-c2cc(NCc3ccccn3)ccc2C)cn1")</f>
        <v>CCNCc1ccc(-c2cc(NCc3ccccn3)ccc2C)cn1</v>
      </c>
      <c r="C15287" s="7">
        <f>IFERROR(__xludf.DUMMYFUNCTION("""COMPUTED_VALUE"""),7.7434373)</f>
        <v>7.7434373</v>
      </c>
      <c r="D15287" s="7">
        <f>IFERROR(__xludf.DUMMYFUNCTION("""COMPUTED_VALUE"""),0.395833333333333)</f>
        <v>0.3958333333</v>
      </c>
    </row>
    <row r="15288">
      <c r="A15288" s="10" t="s">
        <v>16727</v>
      </c>
      <c r="B15288" s="7" t="str">
        <f>IFERROR(__xludf.DUMMYFUNCTION("SPLIT(A15288,"" "")"),"Cc1ccnc(CN(C)c2cccc(-c3ccnc(CN(C)C(C)(c4cccnc4)C(C)C)c3)c2)c1")</f>
        <v>Cc1ccnc(CN(C)c2cccc(-c3ccnc(CN(C)C(C)(c4cccnc4)C(C)C)c3)c2)c1</v>
      </c>
      <c r="C15288" s="7">
        <f>IFERROR(__xludf.DUMMYFUNCTION("""COMPUTED_VALUE"""),7.743427)</f>
        <v>7.743427</v>
      </c>
      <c r="D15288" s="7">
        <f>IFERROR(__xludf.DUMMYFUNCTION("""COMPUTED_VALUE"""),0.253731343283582)</f>
        <v>0.2537313433</v>
      </c>
    </row>
    <row r="15289">
      <c r="A15289" s="10" t="s">
        <v>16728</v>
      </c>
      <c r="B15289" s="7" t="str">
        <f>IFERROR(__xludf.DUMMYFUNCTION("SPLIT(A15289,"" "")"),"Cc1ccnc(CN(C)Cc2ncccc2N(C)Cc2nc(C)c(C)c(C)c2C)c1")</f>
        <v>Cc1ccnc(CN(C)Cc2ncccc2N(C)Cc2nc(C)c(C)c(C)c2C)c1</v>
      </c>
      <c r="C15289" s="7">
        <f>IFERROR(__xludf.DUMMYFUNCTION("""COMPUTED_VALUE"""),7.743425)</f>
        <v>7.743425</v>
      </c>
      <c r="D15289" s="7">
        <f>IFERROR(__xludf.DUMMYFUNCTION("""COMPUTED_VALUE"""),0.339285714285714)</f>
        <v>0.3392857143</v>
      </c>
    </row>
    <row r="15290">
      <c r="A15290" s="10" t="s">
        <v>16729</v>
      </c>
      <c r="B15290" s="7" t="str">
        <f>IFERROR(__xludf.DUMMYFUNCTION("SPLIT(A15290,"" "")"),"FCNc1cc(-c2ncccc2C(NCc2ccccn2)c2ccccc2)ccn1")</f>
        <v>FCNc1cc(-c2ncccc2C(NCc2ccccn2)c2ccccc2)ccn1</v>
      </c>
      <c r="C15290" s="7">
        <f>IFERROR(__xludf.DUMMYFUNCTION("""COMPUTED_VALUE"""),7.7434206)</f>
        <v>7.7434206</v>
      </c>
      <c r="D15290" s="7">
        <f>IFERROR(__xludf.DUMMYFUNCTION("""COMPUTED_VALUE"""),0.338461538461538)</f>
        <v>0.3384615385</v>
      </c>
    </row>
    <row r="15291">
      <c r="A15291" s="10" t="s">
        <v>16730</v>
      </c>
      <c r="B15291" s="7" t="str">
        <f>IFERROR(__xludf.DUMMYFUNCTION("SPLIT(A15291,"" "")"),"CCN(Cc1ccccn1)c1cccc(-c2cc(CN(Cc3ccccn3)Cc3cc(C)ccn3)ccn2)c1C")</f>
        <v>CCN(Cc1ccccn1)c1cccc(-c2cc(CN(Cc3ccccn3)Cc3cc(C)ccn3)ccn2)c1C</v>
      </c>
      <c r="C15291" s="7">
        <f>IFERROR(__xludf.DUMMYFUNCTION("""COMPUTED_VALUE"""),7.7434196)</f>
        <v>7.7434196</v>
      </c>
      <c r="D15291" s="7">
        <f>IFERROR(__xludf.DUMMYFUNCTION("""COMPUTED_VALUE"""),0.384615384615384)</f>
        <v>0.3846153846</v>
      </c>
    </row>
    <row r="15292">
      <c r="A15292" s="10" t="s">
        <v>16731</v>
      </c>
      <c r="B15292" s="7" t="str">
        <f>IFERROR(__xludf.DUMMYFUNCTION("SPLIT(A15292,"" "")"),"Cc1cccnc1CN(Cc1ccc2cccnc2c1)C1CCC(N(C)c2ccc3cc(CN(C)C)cnc3c2)CC1")</f>
        <v>Cc1cccnc1CN(Cc1ccc2cccnc2c1)C1CCC(N(C)c2ccc3cc(CN(C)C)cnc3c2)CC1</v>
      </c>
      <c r="C15292" s="7">
        <f>IFERROR(__xludf.DUMMYFUNCTION("""COMPUTED_VALUE"""),7.7434177)</f>
        <v>7.7434177</v>
      </c>
      <c r="D15292" s="7">
        <f>IFERROR(__xludf.DUMMYFUNCTION("""COMPUTED_VALUE"""),0.25)</f>
        <v>0.25</v>
      </c>
    </row>
    <row r="15293">
      <c r="A15293" s="10" t="s">
        <v>16732</v>
      </c>
      <c r="B15293" s="7" t="str">
        <f>IFERROR(__xludf.DUMMYFUNCTION("SPLIT(A15293,"" "")"),"Cc1ccccc1-c1cccnc1CN(C)Cc1cccc(N(C)C(C)C)n1")</f>
        <v>Cc1ccccc1-c1cccnc1CN(C)Cc1cccc(N(C)C(C)C)n1</v>
      </c>
      <c r="C15293" s="7">
        <f>IFERROR(__xludf.DUMMYFUNCTION("""COMPUTED_VALUE"""),7.743416)</f>
        <v>7.743416</v>
      </c>
      <c r="D15293" s="7">
        <f>IFERROR(__xludf.DUMMYFUNCTION("""COMPUTED_VALUE"""),0.407407407407407)</f>
        <v>0.4074074074</v>
      </c>
    </row>
    <row r="15294">
      <c r="A15294" s="10" t="s">
        <v>16733</v>
      </c>
      <c r="B15294" s="7" t="str">
        <f>IFERROR(__xludf.DUMMYFUNCTION("SPLIT(A15294,"" "")"),"CN(CCCN(C)Cc1ncccc1-c1cccc2ncccc12)Cc1cccnc1")</f>
        <v>CN(CCCN(C)Cc1ncccc1-c1cccc2ncccc12)Cc1cccnc1</v>
      </c>
      <c r="C15294" s="7">
        <f>IFERROR(__xludf.DUMMYFUNCTION("""COMPUTED_VALUE"""),7.743416)</f>
        <v>7.743416</v>
      </c>
      <c r="D15294" s="7">
        <f>IFERROR(__xludf.DUMMYFUNCTION("""COMPUTED_VALUE"""),0.321428571428571)</f>
        <v>0.3214285714</v>
      </c>
    </row>
    <row r="15295">
      <c r="A15295" s="10" t="s">
        <v>16734</v>
      </c>
      <c r="B15295" s="7" t="str">
        <f>IFERROR(__xludf.DUMMYFUNCTION("SPLIT(A15295,"" "")"),"CN(c1ccc2cc3c(nc2c1)CCCC3)C1CCC(N(C)c2cccc3nc4c(cc23)CCCC4)CC1")</f>
        <v>CN(c1ccc2cc3c(nc2c1)CCCC3)C1CCC(N(C)c2cccc3nc4c(cc23)CCCC4)CC1</v>
      </c>
      <c r="C15295" s="7">
        <f>IFERROR(__xludf.DUMMYFUNCTION("""COMPUTED_VALUE"""),7.7434154)</f>
        <v>7.7434154</v>
      </c>
      <c r="D15295" s="7">
        <f>IFERROR(__xludf.DUMMYFUNCTION("""COMPUTED_VALUE"""),0.473684210526315)</f>
        <v>0.4736842105</v>
      </c>
    </row>
    <row r="15296">
      <c r="A15296" s="10" t="s">
        <v>16735</v>
      </c>
      <c r="B15296" s="7" t="str">
        <f>IFERROR(__xludf.DUMMYFUNCTION("SPLIT(A15296,"" "")"),"C1=CC(SCc2ccccn2)=C(SCc2ccccn2)C(SCc2ccccn2)N1")</f>
        <v>C1=CC(SCc2ccccn2)=C(SCc2ccccn2)C(SCc2ccccn2)N1</v>
      </c>
      <c r="C15296" s="7">
        <f>IFERROR(__xludf.DUMMYFUNCTION("""COMPUTED_VALUE"""),7.743412)</f>
        <v>7.743412</v>
      </c>
      <c r="D15296" s="7">
        <f>IFERROR(__xludf.DUMMYFUNCTION("""COMPUTED_VALUE"""),0.395348837209302)</f>
        <v>0.3953488372</v>
      </c>
    </row>
    <row r="15297">
      <c r="A15297" s="10" t="s">
        <v>16736</v>
      </c>
      <c r="B15297" s="7" t="str">
        <f>IFERROR(__xludf.DUMMYFUNCTION("SPLIT(A15297,"" "")"),"Cc1cnc(CN(C)CN(Cc2ccccn2)c2cc(C)cc(N(C)Cc3ccccn3)c2C)c(C)c1")</f>
        <v>Cc1cnc(CN(C)CN(Cc2ccccn2)c2cc(C)cc(N(C)Cc3ccccn3)c2C)c(C)c1</v>
      </c>
      <c r="C15297" s="7">
        <f>IFERROR(__xludf.DUMMYFUNCTION("""COMPUTED_VALUE"""),7.743402)</f>
        <v>7.743402</v>
      </c>
      <c r="D15297" s="7">
        <f>IFERROR(__xludf.DUMMYFUNCTION("""COMPUTED_VALUE"""),0.444444444444444)</f>
        <v>0.4444444444</v>
      </c>
    </row>
    <row r="15298">
      <c r="A15298" s="10" t="s">
        <v>16737</v>
      </c>
      <c r="B15298" s="7" t="str">
        <f>IFERROR(__xludf.DUMMYFUNCTION("SPLIT(A15298,"" "")"),"Cc1cc(CN(C)Cc2cc(N(C)Cc3cc(C)c(C)c(C)n3)ccn2)ccn1")</f>
        <v>Cc1cc(CN(C)Cc2cc(N(C)Cc3cc(C)c(C)c(C)n3)ccn2)ccn1</v>
      </c>
      <c r="C15298" s="7">
        <f>IFERROR(__xludf.DUMMYFUNCTION("""COMPUTED_VALUE"""),7.743394)</f>
        <v>7.743394</v>
      </c>
      <c r="D15298" s="7">
        <f>IFERROR(__xludf.DUMMYFUNCTION("""COMPUTED_VALUE"""),0.295081967213114)</f>
        <v>0.2950819672</v>
      </c>
    </row>
    <row r="15299">
      <c r="A15299" s="10" t="s">
        <v>16738</v>
      </c>
      <c r="B15299" s="7" t="str">
        <f>IFERROR(__xludf.DUMMYFUNCTION("SPLIT(A15299,"" "")"),"Cc1ccc(N(C)Cc2cc(N)ccn2)cc1C")</f>
        <v>Cc1ccc(N(C)Cc2cc(N)ccn2)cc1C</v>
      </c>
      <c r="C15299" s="7">
        <f>IFERROR(__xludf.DUMMYFUNCTION("""COMPUTED_VALUE"""),7.743368)</f>
        <v>7.743368</v>
      </c>
      <c r="D15299" s="7">
        <f>IFERROR(__xludf.DUMMYFUNCTION("""COMPUTED_VALUE"""),0.340425531914893)</f>
        <v>0.3404255319</v>
      </c>
    </row>
    <row r="15300">
      <c r="A15300" s="10" t="s">
        <v>16739</v>
      </c>
      <c r="B15300" s="7" t="str">
        <f>IFERROR(__xludf.DUMMYFUNCTION("SPLIT(A15300,"" "")"),"Cc1ccccc1-c1ccc(CN(C)Cc2cccc(N)n2)cn1")</f>
        <v>Cc1ccccc1-c1ccc(CN(C)Cc2cccc(N)n2)cn1</v>
      </c>
      <c r="C15300" s="7">
        <f>IFERROR(__xludf.DUMMYFUNCTION("""COMPUTED_VALUE"""),7.7433662)</f>
        <v>7.7433662</v>
      </c>
      <c r="D15300" s="7">
        <f>IFERROR(__xludf.DUMMYFUNCTION("""COMPUTED_VALUE"""),0.396226415094339)</f>
        <v>0.3962264151</v>
      </c>
    </row>
    <row r="15301">
      <c r="A15301" s="10" t="s">
        <v>16740</v>
      </c>
      <c r="B15301" s="7" t="str">
        <f>IFERROR(__xludf.DUMMYFUNCTION("SPLIT(A15301,"" "")"),"Cc1ccc(CN(C)Cc2ncc(N(C)Cc3cc(C)ccn3)c(C)c2C)nc1")</f>
        <v>Cc1ccc(CN(C)Cc2ncc(N(C)Cc3cc(C)ccn3)c(C)c2C)nc1</v>
      </c>
      <c r="C15301" s="7">
        <f>IFERROR(__xludf.DUMMYFUNCTION("""COMPUTED_VALUE"""),7.7433643)</f>
        <v>7.7433643</v>
      </c>
      <c r="D15301" s="7">
        <f>IFERROR(__xludf.DUMMYFUNCTION("""COMPUTED_VALUE"""),0.468085106382978)</f>
        <v>0.4680851064</v>
      </c>
    </row>
    <row r="15302">
      <c r="A15302" s="10" t="s">
        <v>16741</v>
      </c>
      <c r="B15302" s="7" t="str">
        <f>IFERROR(__xludf.DUMMYFUNCTION("SPLIT(A15302,"" "")"),"FCNc1ncccc1-c1cccc(C(NCc2ccccn2)c2ccccc2)n1")</f>
        <v>FCNc1ncccc1-c1cccc(C(NCc2ccccn2)c2ccccc2)n1</v>
      </c>
      <c r="C15302" s="7">
        <f>IFERROR(__xludf.DUMMYFUNCTION("""COMPUTED_VALUE"""),7.743364)</f>
        <v>7.743364</v>
      </c>
      <c r="D15302" s="7">
        <f>IFERROR(__xludf.DUMMYFUNCTION("""COMPUTED_VALUE"""),0.318181818181818)</f>
        <v>0.3181818182</v>
      </c>
    </row>
    <row r="15303">
      <c r="A15303" s="10" t="s">
        <v>16742</v>
      </c>
      <c r="B15303" s="7" t="str">
        <f>IFERROR(__xludf.DUMMYFUNCTION("SPLIT(A15303,"" "")"),"CCN(Cc1ccccn1)Cc1ncccc1-c1cccc(N(C)Cc2ccccn2)c1")</f>
        <v>CCN(Cc1ccccn1)Cc1ncccc1-c1cccc(N(C)Cc2ccccn2)c1</v>
      </c>
      <c r="C15303" s="7">
        <f>IFERROR(__xludf.DUMMYFUNCTION("""COMPUTED_VALUE"""),7.7433505)</f>
        <v>7.7433505</v>
      </c>
      <c r="D15303" s="7">
        <f>IFERROR(__xludf.DUMMYFUNCTION("""COMPUTED_VALUE"""),0.423076923076923)</f>
        <v>0.4230769231</v>
      </c>
    </row>
    <row r="15304">
      <c r="A15304" s="10" t="s">
        <v>16743</v>
      </c>
      <c r="B15304" s="7" t="str">
        <f>IFERROR(__xludf.DUMMYFUNCTION("SPLIT(A15304,"" "")"),"Cc1cc(C)c(C(C)(C)N=Cc2ccccn2)cc1NCc1ccccn1")</f>
        <v>Cc1cc(C)c(C(C)(C)N=Cc2ccccn2)cc1NCc1ccccn1</v>
      </c>
      <c r="C15304" s="7">
        <f>IFERROR(__xludf.DUMMYFUNCTION("""COMPUTED_VALUE"""),7.743346)</f>
        <v>7.743346</v>
      </c>
      <c r="D15304" s="7">
        <f>IFERROR(__xludf.DUMMYFUNCTION("""COMPUTED_VALUE"""),0.350877192982456)</f>
        <v>0.350877193</v>
      </c>
    </row>
    <row r="15305">
      <c r="A15305" s="10" t="s">
        <v>16744</v>
      </c>
      <c r="B15305" s="7" t="str">
        <f>IFERROR(__xludf.DUMMYFUNCTION("SPLIT(A15305,"" "")"),"COC(=O)C1C2C(c3ccccn3)N(C)C(c3ccccn3)C1(C(=O)OC)CC(=O)N2C")</f>
        <v>COC(=O)C1C2C(c3ccccn3)N(C)C(c3ccccn3)C1(C(=O)OC)CC(=O)N2C</v>
      </c>
      <c r="C15305" s="7">
        <f>IFERROR(__xludf.DUMMYFUNCTION("""COMPUTED_VALUE"""),7.743345)</f>
        <v>7.743345</v>
      </c>
      <c r="D15305" s="7">
        <f>IFERROR(__xludf.DUMMYFUNCTION("""COMPUTED_VALUE"""),0.492063492063492)</f>
        <v>0.4920634921</v>
      </c>
    </row>
    <row r="15306">
      <c r="A15306" s="10" t="s">
        <v>16745</v>
      </c>
      <c r="B15306" s="7" t="str">
        <f>IFERROR(__xludf.DUMMYFUNCTION("SPLIT(A15306,"" "")"),"CC(C)C(C)(c1cccnc1)c1cccc(CN(Cc2ccccn2)Cc2ccc(-c3ccccc3N(C)C)cn2)n1")</f>
        <v>CC(C)C(C)(c1cccnc1)c1cccc(CN(Cc2ccccn2)Cc2ccc(-c3ccccc3N(C)C)cn2)n1</v>
      </c>
      <c r="C15306" s="7">
        <f>IFERROR(__xludf.DUMMYFUNCTION("""COMPUTED_VALUE"""),7.7433352)</f>
        <v>7.7433352</v>
      </c>
      <c r="D15306" s="7">
        <f>IFERROR(__xludf.DUMMYFUNCTION("""COMPUTED_VALUE"""),0.343283582089552)</f>
        <v>0.3432835821</v>
      </c>
    </row>
    <row r="15307">
      <c r="A15307" s="10" t="s">
        <v>16746</v>
      </c>
      <c r="B15307" s="7" t="str">
        <f>IFERROR(__xludf.DUMMYFUNCTION("SPLIT(A15307,"" "")"),"Cc1cnc(-c2ccc(NCc3ccccn3)c(C)c2)c(CN(C)C2CCCCC2N(C)c2ccc3cccnc3c2)c1")</f>
        <v>Cc1cnc(-c2ccc(NCc3ccccn3)c(C)c2)c(CN(C)C2CCCCC2N(C)c2ccc3cccnc3c2)c1</v>
      </c>
      <c r="C15307" s="7">
        <f>IFERROR(__xludf.DUMMYFUNCTION("""COMPUTED_VALUE"""),7.7433352)</f>
        <v>7.7433352</v>
      </c>
      <c r="D15307" s="7">
        <f>IFERROR(__xludf.DUMMYFUNCTION("""COMPUTED_VALUE"""),0.383561643835616)</f>
        <v>0.3835616438</v>
      </c>
    </row>
    <row r="15308">
      <c r="A15308" s="10" t="s">
        <v>16747</v>
      </c>
      <c r="B15308" s="7" t="str">
        <f>IFERROR(__xludf.DUMMYFUNCTION("SPLIT(A15308,"" "")"),"FCc1ccc(SCc2ccccn2)c(SCc2ccccn2)n1")</f>
        <v>FCc1ccc(SCc2ccccn2)c(SCc2ccccn2)n1</v>
      </c>
      <c r="C15308" s="7">
        <f>IFERROR(__xludf.DUMMYFUNCTION("""COMPUTED_VALUE"""),7.7433305)</f>
        <v>7.7433305</v>
      </c>
      <c r="D15308" s="7">
        <f>IFERROR(__xludf.DUMMYFUNCTION("""COMPUTED_VALUE"""),0.435897435897435)</f>
        <v>0.4358974359</v>
      </c>
    </row>
    <row r="15309">
      <c r="A15309" s="10" t="s">
        <v>16748</v>
      </c>
      <c r="B15309" s="7" t="str">
        <f>IFERROR(__xludf.DUMMYFUNCTION("SPLIT(A15309,"" "")"),"CNCCN(Cc1ccccn1)c1ccc2nc(CF)ccc2c1")</f>
        <v>CNCCN(Cc1ccccn1)c1ccc2nc(CF)ccc2c1</v>
      </c>
      <c r="C15309" s="7">
        <f>IFERROR(__xludf.DUMMYFUNCTION("""COMPUTED_VALUE"""),7.7433267)</f>
        <v>7.7433267</v>
      </c>
      <c r="D15309" s="7">
        <f>IFERROR(__xludf.DUMMYFUNCTION("""COMPUTED_VALUE"""),0.450980392156862)</f>
        <v>0.4509803922</v>
      </c>
    </row>
    <row r="15310">
      <c r="A15310" s="10" t="s">
        <v>16749</v>
      </c>
      <c r="B15310" s="7" t="str">
        <f>IFERROR(__xludf.DUMMYFUNCTION("SPLIT(A15310,"" "")"),"CN(CCN(C)c1ccc2ccc(CF)nc2c1)Cc1ccccn1")</f>
        <v>CN(CCN(C)c1ccc2ccc(CF)nc2c1)Cc1ccccn1</v>
      </c>
      <c r="C15310" s="7">
        <f>IFERROR(__xludf.DUMMYFUNCTION("""COMPUTED_VALUE"""),7.743325)</f>
        <v>7.743325</v>
      </c>
      <c r="D15310" s="7">
        <f>IFERROR(__xludf.DUMMYFUNCTION("""COMPUTED_VALUE"""),0.5)</f>
        <v>0.5</v>
      </c>
    </row>
    <row r="15311">
      <c r="A15311" s="10" t="s">
        <v>16750</v>
      </c>
      <c r="B15311" s="7" t="str">
        <f>IFERROR(__xludf.DUMMYFUNCTION("SPLIT(A15311,"" "")"),"COC(=O)C(=O)C(=O)OC")</f>
        <v>COC(=O)C(=O)C(=O)OC</v>
      </c>
      <c r="C15311" s="7">
        <f>IFERROR(__xludf.DUMMYFUNCTION("""COMPUTED_VALUE"""),7.7433114)</f>
        <v>7.7433114</v>
      </c>
      <c r="D15311" s="7">
        <f>IFERROR(__xludf.DUMMYFUNCTION("""COMPUTED_VALUE"""),0.148936170212765)</f>
        <v>0.1489361702</v>
      </c>
    </row>
    <row r="15312">
      <c r="A15312" s="10" t="s">
        <v>16751</v>
      </c>
      <c r="B15312" s="7" t="str">
        <f>IFERROR(__xludf.DUMMYFUNCTION("SPLIT(A15312,"" "")"),"CN(CCCN(C)Cc1ccc2ncccc2c1)Cc1ccc2ncccc2c1")</f>
        <v>CN(CCCN(C)Cc1ccc2ncccc2c1)Cc1ccc2ncccc2c1</v>
      </c>
      <c r="C15312" s="7">
        <f>IFERROR(__xludf.DUMMYFUNCTION("""COMPUTED_VALUE"""),7.7433105)</f>
        <v>7.7433105</v>
      </c>
      <c r="D15312" s="7">
        <f>IFERROR(__xludf.DUMMYFUNCTION("""COMPUTED_VALUE"""),0.441860465116279)</f>
        <v>0.4418604651</v>
      </c>
    </row>
    <row r="15313">
      <c r="A15313" s="10" t="s">
        <v>16752</v>
      </c>
      <c r="B15313" s="7" t="str">
        <f>IFERROR(__xludf.DUMMYFUNCTION("SPLIT(A15313,"" "")"),"CC(C)(c1ccccn1)N(Cc1ccc2ncccc2c1)Cc1ccccn1")</f>
        <v>CC(C)(c1ccccn1)N(Cc1ccc2ncccc2c1)Cc1ccccn1</v>
      </c>
      <c r="C15313" s="7">
        <f>IFERROR(__xludf.DUMMYFUNCTION("""COMPUTED_VALUE"""),7.743304)</f>
        <v>7.743304</v>
      </c>
      <c r="D15313" s="7">
        <f>IFERROR(__xludf.DUMMYFUNCTION("""COMPUTED_VALUE"""),0.384615384615384)</f>
        <v>0.3846153846</v>
      </c>
    </row>
    <row r="15314">
      <c r="A15314" s="10" t="s">
        <v>16753</v>
      </c>
      <c r="B15314" s="7" t="str">
        <f>IFERROR(__xludf.DUMMYFUNCTION("SPLIT(A15314,"" "")"),"CC(c1ccccn1)(c1ccccn1)c1cccnc1CNC1=CC=CNC1")</f>
        <v>CC(c1ccccn1)(c1ccccn1)c1cccnc1CNC1=CC=CNC1</v>
      </c>
      <c r="C15314" s="7">
        <f>IFERROR(__xludf.DUMMYFUNCTION("""COMPUTED_VALUE"""),7.7432995)</f>
        <v>7.7432995</v>
      </c>
      <c r="D15314" s="7">
        <f>IFERROR(__xludf.DUMMYFUNCTION("""COMPUTED_VALUE"""),0.344262295081967)</f>
        <v>0.3442622951</v>
      </c>
    </row>
    <row r="15315">
      <c r="A15315" s="10" t="s">
        <v>16754</v>
      </c>
      <c r="B15315" s="7" t="str">
        <f>IFERROR(__xludf.DUMMYFUNCTION("SPLIT(A15315,"" "")"),"Cc1ccc(N)cc1-c1ccc(CN(C)Cc2ccccn2)cn1")</f>
        <v>Cc1ccc(N)cc1-c1ccc(CN(C)Cc2ccccn2)cn1</v>
      </c>
      <c r="C15315" s="7">
        <f>IFERROR(__xludf.DUMMYFUNCTION("""COMPUTED_VALUE"""),7.743297)</f>
        <v>7.743297</v>
      </c>
      <c r="D15315" s="7">
        <f>IFERROR(__xludf.DUMMYFUNCTION("""COMPUTED_VALUE"""),0.433962264150943)</f>
        <v>0.4339622642</v>
      </c>
    </row>
    <row r="15316">
      <c r="A15316" s="10" t="s">
        <v>16755</v>
      </c>
      <c r="B15316" s="7" t="str">
        <f>IFERROR(__xludf.DUMMYFUNCTION("SPLIT(A15316,"" "")"),"CCCN(Cc1ccccn1)c1cc(CN(C)Cc2ccccn2)cc2ncccc12")</f>
        <v>CCCN(Cc1ccccn1)c1cc(CN(C)Cc2ccccn2)cc2ncccc12</v>
      </c>
      <c r="C15316" s="7">
        <f>IFERROR(__xludf.DUMMYFUNCTION("""COMPUTED_VALUE"""),7.7432966)</f>
        <v>7.7432966</v>
      </c>
      <c r="D15316" s="7">
        <f>IFERROR(__xludf.DUMMYFUNCTION("""COMPUTED_VALUE"""),0.407407407407407)</f>
        <v>0.4074074074</v>
      </c>
    </row>
    <row r="15317">
      <c r="A15317" s="10" t="s">
        <v>16756</v>
      </c>
      <c r="B15317" s="7" t="str">
        <f>IFERROR(__xludf.DUMMYFUNCTION("SPLIT(A15317,"" "")"),"FCc1nc(SCc2ccccn2)ccc1SCc1ccccn1")</f>
        <v>FCc1nc(SCc2ccccn2)ccc1SCc1ccccn1</v>
      </c>
      <c r="C15317" s="7">
        <f>IFERROR(__xludf.DUMMYFUNCTION("""COMPUTED_VALUE"""),7.743295)</f>
        <v>7.743295</v>
      </c>
      <c r="D15317" s="7">
        <f>IFERROR(__xludf.DUMMYFUNCTION("""COMPUTED_VALUE"""),0.425)</f>
        <v>0.425</v>
      </c>
    </row>
    <row r="15318">
      <c r="A15318" s="10" t="s">
        <v>16757</v>
      </c>
      <c r="B15318" s="7" t="str">
        <f>IFERROR(__xludf.DUMMYFUNCTION("SPLIT(A15318,"" "")"),"CN(CCF)Cc1cccc(-c2cccc(N=Cc3ccccn3)c2)n1")</f>
        <v>CN(CCF)Cc1cccc(-c2cccc(N=Cc3ccccn3)c2)n1</v>
      </c>
      <c r="C15318" s="7">
        <f>IFERROR(__xludf.DUMMYFUNCTION("""COMPUTED_VALUE"""),7.7432923)</f>
        <v>7.7432923</v>
      </c>
      <c r="D15318" s="7">
        <f>IFERROR(__xludf.DUMMYFUNCTION("""COMPUTED_VALUE"""),0.446428571428571)</f>
        <v>0.4464285714</v>
      </c>
    </row>
    <row r="15319">
      <c r="A15319" s="10" t="s">
        <v>16758</v>
      </c>
      <c r="B15319" s="7" t="str">
        <f>IFERROR(__xludf.DUMMYFUNCTION("SPLIT(A15319,"" "")"),"Cc1nc(CN(C)Cc2nc(C)c(C)c(C)c2C)c(C)c(C)c1C")</f>
        <v>Cc1nc(CN(C)Cc2nc(C)c(C)c(C)c2C)c(C)c(C)c1C</v>
      </c>
      <c r="C15319" s="7">
        <f>IFERROR(__xludf.DUMMYFUNCTION("""COMPUTED_VALUE"""),7.74328)</f>
        <v>7.74328</v>
      </c>
      <c r="D15319" s="7">
        <f>IFERROR(__xludf.DUMMYFUNCTION("""COMPUTED_VALUE"""),0.277777777777777)</f>
        <v>0.2777777778</v>
      </c>
    </row>
    <row r="15320">
      <c r="A15320" s="10" t="s">
        <v>16759</v>
      </c>
      <c r="B15320" s="7" t="str">
        <f>IFERROR(__xludf.DUMMYFUNCTION("SPLIT(A15320,"" "")"),"FCNc1ncccc1-c1ncccc1C(NCc1ccccn1)c1ccccc1")</f>
        <v>FCNc1ncccc1-c1ncccc1C(NCc1ccccn1)c1ccccc1</v>
      </c>
      <c r="C15320" s="7">
        <f>IFERROR(__xludf.DUMMYFUNCTION("""COMPUTED_VALUE"""),7.743273)</f>
        <v>7.743273</v>
      </c>
      <c r="D15320" s="7">
        <f>IFERROR(__xludf.DUMMYFUNCTION("""COMPUTED_VALUE"""),0.333333333333333)</f>
        <v>0.3333333333</v>
      </c>
    </row>
    <row r="15321">
      <c r="A15321" s="10" t="s">
        <v>16760</v>
      </c>
      <c r="B15321" s="7" t="str">
        <f>IFERROR(__xludf.DUMMYFUNCTION("SPLIT(A15321,"" "")"),"Cc1cncc(CN(C)c2ccccc2-c2cccnc2CN(C)C(C)C)c1")</f>
        <v>Cc1cncc(CN(C)c2ccccc2-c2cccnc2CN(C)C(C)C)c1</v>
      </c>
      <c r="C15321" s="7">
        <f>IFERROR(__xludf.DUMMYFUNCTION("""COMPUTED_VALUE"""),7.743265)</f>
        <v>7.743265</v>
      </c>
      <c r="D15321" s="7">
        <f>IFERROR(__xludf.DUMMYFUNCTION("""COMPUTED_VALUE"""),0.310344827586206)</f>
        <v>0.3103448276</v>
      </c>
    </row>
    <row r="15322">
      <c r="A15322" s="10" t="s">
        <v>16761</v>
      </c>
      <c r="B15322" s="7" t="str">
        <f>IFERROR(__xludf.DUMMYFUNCTION("SPLIT(A15322,"" "")"),"C1=CNCC(NCc2ccc(C(c3ccccn3)c3ccccn3)cn2)=C1")</f>
        <v>C1=CNCC(NCc2ccc(C(c3ccccn3)c3ccccn3)cn2)=C1</v>
      </c>
      <c r="C15322" s="7">
        <f>IFERROR(__xludf.DUMMYFUNCTION("""COMPUTED_VALUE"""),7.743264)</f>
        <v>7.743264</v>
      </c>
      <c r="D15322" s="7">
        <f>IFERROR(__xludf.DUMMYFUNCTION("""COMPUTED_VALUE"""),0.288461538461538)</f>
        <v>0.2884615385</v>
      </c>
    </row>
    <row r="15323">
      <c r="A15323" s="10" t="s">
        <v>16762</v>
      </c>
      <c r="B15323" s="7" t="str">
        <f>IFERROR(__xludf.DUMMYFUNCTION("SPLIT(A15323,"" "")"),"CC(C)C1=CC(N(C)Cc2cccc(-c3cccc(N(C)C)c3)n2)C=CN1")</f>
        <v>CC(C)C1=CC(N(C)Cc2cccc(-c3cccc(N(C)C)c3)n2)C=CN1</v>
      </c>
      <c r="C15323" s="7">
        <f>IFERROR(__xludf.DUMMYFUNCTION("""COMPUTED_VALUE"""),7.743262)</f>
        <v>7.743262</v>
      </c>
      <c r="D15323" s="7">
        <f>IFERROR(__xludf.DUMMYFUNCTION("""COMPUTED_VALUE"""),0.328358208955223)</f>
        <v>0.328358209</v>
      </c>
    </row>
    <row r="15324">
      <c r="A15324" s="10" t="s">
        <v>16763</v>
      </c>
      <c r="B15324" s="7" t="str">
        <f>IFERROR(__xludf.DUMMYFUNCTION("SPLIT(A15324,"" "")"),"CC(C)C(C)(c1cccnc1)N(Cc1ccccn1)Cc1cccc(-c2cccc(N=Cc3ccccn3)c2)n1")</f>
        <v>CC(C)C(C)(c1cccnc1)N(Cc1ccccn1)Cc1cccc(-c2cccc(N=Cc3ccccn3)c2)n1</v>
      </c>
      <c r="C15324" s="7">
        <f>IFERROR(__xludf.DUMMYFUNCTION("""COMPUTED_VALUE"""),7.743256)</f>
        <v>7.743256</v>
      </c>
      <c r="D15324" s="7">
        <f>IFERROR(__xludf.DUMMYFUNCTION("""COMPUTED_VALUE"""),0.391891891891891)</f>
        <v>0.3918918919</v>
      </c>
    </row>
    <row r="15325">
      <c r="A15325" s="10" t="s">
        <v>16764</v>
      </c>
      <c r="B15325" s="7" t="str">
        <f>IFERROR(__xludf.DUMMYFUNCTION("SPLIT(A15325,"" "")"),"C=CCN(C)Cc1cccc(C(C)(C)c2cccc(CN(Cc3cccc(C)n3)Cc3cccc(-c4cccc(N(C)C)c4)n3)n2)n1")</f>
        <v>C=CCN(C)Cc1cccc(C(C)(C)c2cccc(CN(Cc3cccc(C)n3)Cc3cccc(-c4cccc(N(C)C)c4)n3)n2)n1</v>
      </c>
      <c r="C15325" s="7">
        <f>IFERROR(__xludf.DUMMYFUNCTION("""COMPUTED_VALUE"""),7.7432523)</f>
        <v>7.7432523</v>
      </c>
      <c r="D15325" s="7">
        <f>IFERROR(__xludf.DUMMYFUNCTION("""COMPUTED_VALUE"""),0.379310344827586)</f>
        <v>0.3793103448</v>
      </c>
    </row>
    <row r="15326">
      <c r="A15326" s="10" t="s">
        <v>16765</v>
      </c>
      <c r="B15326" s="7" t="str">
        <f>IFERROR(__xludf.DUMMYFUNCTION("SPLIT(A15326,"" "")"),"Cc1cc(NCc2ccccn2)ccc1-c1ccc(CN(C)C2CCC(N(C)c3ccc4cccnc4c3)CC2)cn1")</f>
        <v>Cc1cc(NCc2ccccn2)ccc1-c1ccc(CN(C)C2CCC(N(C)c3ccc4cccnc4c3)CC2)cn1</v>
      </c>
      <c r="C15326" s="7">
        <f>IFERROR(__xludf.DUMMYFUNCTION("""COMPUTED_VALUE"""),7.743242)</f>
        <v>7.743242</v>
      </c>
      <c r="D15326" s="7">
        <f>IFERROR(__xludf.DUMMYFUNCTION("""COMPUTED_VALUE"""),0.293333333333333)</f>
        <v>0.2933333333</v>
      </c>
    </row>
    <row r="15327">
      <c r="A15327" s="10" t="s">
        <v>16766</v>
      </c>
      <c r="B15327" s="7" t="str">
        <f>IFERROR(__xludf.DUMMYFUNCTION("SPLIT(A15327,"" "")"),"CCN(Cc1ccccn1)c1ccc2nc(CN(C)C3CCC(N(C)c4ccc5nc(CF)ccc5c4)CC3)ccc2c1")</f>
        <v>CCN(Cc1ccccn1)c1ccc2nc(CN(C)C3CCC(N(C)c4ccc5nc(CF)ccc5c4)CC3)ccc2c1</v>
      </c>
      <c r="C15327" s="7">
        <f>IFERROR(__xludf.DUMMYFUNCTION("""COMPUTED_VALUE"""),7.743234)</f>
        <v>7.743234</v>
      </c>
      <c r="D15327" s="7">
        <f>IFERROR(__xludf.DUMMYFUNCTION("""COMPUTED_VALUE"""),0.393442622950819)</f>
        <v>0.393442623</v>
      </c>
    </row>
    <row r="15328">
      <c r="A15328" s="10" t="s">
        <v>16767</v>
      </c>
      <c r="B15328" s="7" t="str">
        <f>IFERROR(__xludf.DUMMYFUNCTION("SPLIT(A15328,"" "")"),"CCN(C)Cc1ccc(-c2cc(Cl)ccc2N)cn1")</f>
        <v>CCN(C)Cc1ccc(-c2cc(Cl)ccc2N)cn1</v>
      </c>
      <c r="C15328" s="7">
        <f>IFERROR(__xludf.DUMMYFUNCTION("""COMPUTED_VALUE"""),7.7432275)</f>
        <v>7.7432275</v>
      </c>
      <c r="D15328" s="7">
        <f>IFERROR(__xludf.DUMMYFUNCTION("""COMPUTED_VALUE"""),0.361702127659574)</f>
        <v>0.3617021277</v>
      </c>
    </row>
    <row r="15329">
      <c r="A15329" s="10" t="s">
        <v>16768</v>
      </c>
      <c r="B15329" s="7" t="str">
        <f>IFERROR(__xludf.DUMMYFUNCTION("SPLIT(A15329,"" "")"),"c1ccc(C2=NC(c3ccccc3)C(c3ccccc3)O2)cc1")</f>
        <v>c1ccc(C2=NC(c3ccccc3)C(c3ccccc3)O2)cc1</v>
      </c>
      <c r="C15329" s="7">
        <f>IFERROR(__xludf.DUMMYFUNCTION("""COMPUTED_VALUE"""),7.7432275)</f>
        <v>7.7432275</v>
      </c>
      <c r="D15329" s="7">
        <f>IFERROR(__xludf.DUMMYFUNCTION("""COMPUTED_VALUE"""),0.2)</f>
        <v>0.2</v>
      </c>
    </row>
    <row r="15330">
      <c r="A15330" s="10" t="s">
        <v>16769</v>
      </c>
      <c r="B15330" s="7" t="str">
        <f>IFERROR(__xludf.DUMMYFUNCTION("SPLIT(A15330,"" "")"),"CN(CCN(Cc1cccnc1)c1cccc2ncccc12)Cc1cccnn1")</f>
        <v>CN(CCN(Cc1cccnc1)c1cccc2ncccc12)Cc1cccnn1</v>
      </c>
      <c r="C15330" s="7">
        <f>IFERROR(__xludf.DUMMYFUNCTION("""COMPUTED_VALUE"""),7.7432218)</f>
        <v>7.7432218</v>
      </c>
      <c r="D15330" s="7">
        <f>IFERROR(__xludf.DUMMYFUNCTION("""COMPUTED_VALUE"""),0.5)</f>
        <v>0.5</v>
      </c>
    </row>
    <row r="15331">
      <c r="A15331" s="10" t="s">
        <v>16770</v>
      </c>
      <c r="B15331" s="7" t="str">
        <f>IFERROR(__xludf.DUMMYFUNCTION("SPLIT(A15331,"" "")"),"Cc1cnc(CN(C)CCN(C)Cc2nc3ccccc3n2C)c(C)c1C")</f>
        <v>Cc1cnc(CN(C)CCN(C)Cc2nc3ccccc3n2C)c(C)c1C</v>
      </c>
      <c r="C15331" s="7">
        <f>IFERROR(__xludf.DUMMYFUNCTION("""COMPUTED_VALUE"""),7.743221)</f>
        <v>7.743221</v>
      </c>
      <c r="D15331" s="7">
        <f>IFERROR(__xludf.DUMMYFUNCTION("""COMPUTED_VALUE"""),0.415094339622641)</f>
        <v>0.4150943396</v>
      </c>
    </row>
    <row r="15332">
      <c r="A15332" s="10" t="s">
        <v>16771</v>
      </c>
      <c r="B15332" s="7" t="str">
        <f>IFERROR(__xludf.DUMMYFUNCTION("SPLIT(A15332,"" "")"),"Cc1ccc(-c2cccc(NCc3ccccn3)c2)nc1CN(C)Cc1ccccn1")</f>
        <v>Cc1ccc(-c2cccc(NCc3ccccn3)c2)nc1CN(C)Cc1ccccn1</v>
      </c>
      <c r="C15332" s="7">
        <f>IFERROR(__xludf.DUMMYFUNCTION("""COMPUTED_VALUE"""),7.7432146)</f>
        <v>7.7432146</v>
      </c>
      <c r="D15332" s="7">
        <f>IFERROR(__xludf.DUMMYFUNCTION("""COMPUTED_VALUE"""),0.454545454545454)</f>
        <v>0.4545454545</v>
      </c>
    </row>
    <row r="15333">
      <c r="A15333" s="10" t="s">
        <v>16772</v>
      </c>
      <c r="B15333" s="7" t="str">
        <f>IFERROR(__xludf.DUMMYFUNCTION("SPLIT(A15333,"" "")"),"Cc1cccnc1CN(C)CCN(c1ccc2ncccc2c1)C(C)C")</f>
        <v>Cc1cccnc1CN(C)CCN(c1ccc2ncccc2c1)C(C)C</v>
      </c>
      <c r="C15333" s="7">
        <f>IFERROR(__xludf.DUMMYFUNCTION("""COMPUTED_VALUE"""),7.743208)</f>
        <v>7.743208</v>
      </c>
      <c r="D15333" s="7">
        <f>IFERROR(__xludf.DUMMYFUNCTION("""COMPUTED_VALUE"""),0.377358490566037)</f>
        <v>0.3773584906</v>
      </c>
    </row>
    <row r="15334">
      <c r="A15334" s="10" t="s">
        <v>16773</v>
      </c>
      <c r="B15334" s="7" t="str">
        <f>IFERROR(__xludf.DUMMYFUNCTION("SPLIT(A15334,"" "")"),"CN(Cc1ccc2cccnc2c1)C1CCC(N(C)c2ccc3c(CF)ccnc3c2)CC1")</f>
        <v>CN(Cc1ccc2cccnc2c1)C1CCC(N(C)c2ccc3c(CF)ccnc3c2)CC1</v>
      </c>
      <c r="C15334" s="7">
        <f>IFERROR(__xludf.DUMMYFUNCTION("""COMPUTED_VALUE"""),7.7431984)</f>
        <v>7.7431984</v>
      </c>
      <c r="D15334" s="7">
        <f>IFERROR(__xludf.DUMMYFUNCTION("""COMPUTED_VALUE"""),0.26865671641791)</f>
        <v>0.2686567164</v>
      </c>
    </row>
    <row r="15335">
      <c r="A15335" s="10" t="s">
        <v>16774</v>
      </c>
      <c r="B15335" s="7" t="str">
        <f>IFERROR(__xludf.DUMMYFUNCTION("SPLIT(A15335,"" "")"),"Cc1cc(CN(C)CCCN(C)c2ccc3nc(CF)ccc3c2)nc(C)c1C")</f>
        <v>Cc1cc(CN(C)CCCN(C)c2ccc3nc(CF)ccc3c2)nc(C)c1C</v>
      </c>
      <c r="C15335" s="7">
        <f>IFERROR(__xludf.DUMMYFUNCTION("""COMPUTED_VALUE"""),7.7431955)</f>
        <v>7.7431955</v>
      </c>
      <c r="D15335" s="7">
        <f>IFERROR(__xludf.DUMMYFUNCTION("""COMPUTED_VALUE"""),0.296296296296296)</f>
        <v>0.2962962963</v>
      </c>
    </row>
    <row r="15336">
      <c r="A15336" s="10" t="s">
        <v>16775</v>
      </c>
      <c r="B15336" s="7" t="str">
        <f>IFERROR(__xludf.DUMMYFUNCTION("SPLIT(A15336,"" "")"),"FCNc1cccc(-c2cc(C(NCc3ccccn3)c3ccccc3)ccn2)n1")</f>
        <v>FCNc1cccc(-c2cc(C(NCc3ccccn3)c3ccccc3)ccn2)n1</v>
      </c>
      <c r="C15336" s="7">
        <f>IFERROR(__xludf.DUMMYFUNCTION("""COMPUTED_VALUE"""),7.743189)</f>
        <v>7.743189</v>
      </c>
      <c r="D15336" s="7">
        <f>IFERROR(__xludf.DUMMYFUNCTION("""COMPUTED_VALUE"""),0.379310344827586)</f>
        <v>0.3793103448</v>
      </c>
    </row>
    <row r="15337">
      <c r="A15337" s="10" t="s">
        <v>16776</v>
      </c>
      <c r="B15337" s="7" t="str">
        <f>IFERROR(__xludf.DUMMYFUNCTION("SPLIT(A15337,"" "")"),"Cc1ccc(-c2ncccc2CN(C)Cc2ncccc2C)cc1")</f>
        <v>Cc1ccc(-c2ncccc2CN(C)Cc2ncccc2C)cc1</v>
      </c>
      <c r="C15337" s="7">
        <f>IFERROR(__xludf.DUMMYFUNCTION("""COMPUTED_VALUE"""),7.743184)</f>
        <v>7.743184</v>
      </c>
      <c r="D15337" s="7">
        <f>IFERROR(__xludf.DUMMYFUNCTION("""COMPUTED_VALUE"""),0.375)</f>
        <v>0.375</v>
      </c>
    </row>
    <row r="15338">
      <c r="A15338" s="10" t="s">
        <v>16777</v>
      </c>
      <c r="B15338" s="7" t="str">
        <f>IFERROR(__xludf.DUMMYFUNCTION("SPLIT(A15338,"" "")"),"CNCc1cccc(CN(Cc2ccccn2)Cc2cc(-c3cccc(N(C)C)c3)ccn2)n1")</f>
        <v>CNCc1cccc(CN(Cc2ccccn2)Cc2cc(-c3cccc(N(C)C)c3)ccn2)n1</v>
      </c>
      <c r="C15338" s="7">
        <f>IFERROR(__xludf.DUMMYFUNCTION("""COMPUTED_VALUE"""),7.7431774)</f>
        <v>7.7431774</v>
      </c>
      <c r="D15338" s="7">
        <f>IFERROR(__xludf.DUMMYFUNCTION("""COMPUTED_VALUE"""),0.45)</f>
        <v>0.45</v>
      </c>
    </row>
    <row r="15339">
      <c r="A15339" s="10" t="s">
        <v>16778</v>
      </c>
      <c r="B15339" s="7" t="str">
        <f>IFERROR(__xludf.DUMMYFUNCTION("SPLIT(A15339,"" "")"),"CC(C)C(C)(c1cccnc1)c1cccc(CN(Cc2ccccn2)Cc2cccc(-c3cccc(N(C)C)c3)n2)n1")</f>
        <v>CC(C)C(C)(c1cccnc1)c1cccc(CN(Cc2ccccn2)Cc2cccc(-c3cccc(N(C)C)c3)n2)n1</v>
      </c>
      <c r="C15339" s="7">
        <f>IFERROR(__xludf.DUMMYFUNCTION("""COMPUTED_VALUE"""),7.743173)</f>
        <v>7.743173</v>
      </c>
      <c r="D15339" s="7">
        <f>IFERROR(__xludf.DUMMYFUNCTION("""COMPUTED_VALUE"""),0.470588235294117)</f>
        <v>0.4705882353</v>
      </c>
    </row>
    <row r="15340">
      <c r="A15340" s="10" t="s">
        <v>16779</v>
      </c>
      <c r="B15340" s="7" t="str">
        <f>IFERROR(__xludf.DUMMYFUNCTION("SPLIT(A15340,"" "")"),"Cc1ccc(N(C)c2ccc3cccnc3c2)c(-c2ccc(CN(Cc3ccccn3)C3CCCCC3)cn2)c1")</f>
        <v>Cc1ccc(N(C)c2ccc3cccnc3c2)c(-c2ccc(CN(Cc3ccccn3)C3CCCCC3)cn2)c1</v>
      </c>
      <c r="C15340" s="7">
        <f>IFERROR(__xludf.DUMMYFUNCTION("""COMPUTED_VALUE"""),7.743169)</f>
        <v>7.743169</v>
      </c>
      <c r="D15340" s="7">
        <f>IFERROR(__xludf.DUMMYFUNCTION("""COMPUTED_VALUE"""),0.333333333333333)</f>
        <v>0.3333333333</v>
      </c>
    </row>
    <row r="15341">
      <c r="A15341" s="10" t="s">
        <v>16780</v>
      </c>
      <c r="B15341" s="7" t="str">
        <f>IFERROR(__xludf.DUMMYFUNCTION("SPLIT(A15341,"" "")"),"CN(Cc1ccccn1)Cc1ncccc1-c1cccc(NCc2ccccn2)c1")</f>
        <v>CN(Cc1ccccn1)Cc1ncccc1-c1cccc(NCc2ccccn2)c1</v>
      </c>
      <c r="C15341" s="7">
        <f>IFERROR(__xludf.DUMMYFUNCTION("""COMPUTED_VALUE"""),7.7431674)</f>
        <v>7.7431674</v>
      </c>
      <c r="D15341" s="7">
        <f>IFERROR(__xludf.DUMMYFUNCTION("""COMPUTED_VALUE"""),0.433962264150943)</f>
        <v>0.4339622642</v>
      </c>
    </row>
    <row r="15342">
      <c r="A15342" s="10" t="s">
        <v>16781</v>
      </c>
      <c r="B15342" s="7" t="str">
        <f>IFERROR(__xludf.DUMMYFUNCTION("SPLIT(A15342,"" "")"),"CN(Cc1ncccc1-c1ccccn1)C1CCC(N(C)c2cccc3nccc(CF)c23)CC1")</f>
        <v>CN(Cc1ncccc1-c1ccccn1)C1CCC(N(C)c2cccc3nccc(CF)c23)CC1</v>
      </c>
      <c r="C15342" s="7">
        <f>IFERROR(__xludf.DUMMYFUNCTION("""COMPUTED_VALUE"""),7.7431498)</f>
        <v>7.7431498</v>
      </c>
      <c r="D15342" s="7">
        <f>IFERROR(__xludf.DUMMYFUNCTION("""COMPUTED_VALUE"""),0.298507462686567)</f>
        <v>0.2985074627</v>
      </c>
    </row>
    <row r="15343">
      <c r="A15343" s="10" t="s">
        <v>16782</v>
      </c>
      <c r="B15343" s="7" t="str">
        <f>IFERROR(__xludf.DUMMYFUNCTION("SPLIT(A15343,"" "")"),"Cc1ccc2ccc(CN(C)C3CCCCC3N(C)c3ccc4c(CF)ccnc4c3)nc2c1")</f>
        <v>Cc1ccc2ccc(CN(C)C3CCCCC3N(C)c3ccc4c(CF)ccnc4c3)nc2c1</v>
      </c>
      <c r="C15343" s="7">
        <f>IFERROR(__xludf.DUMMYFUNCTION("""COMPUTED_VALUE"""),7.7431445)</f>
        <v>7.7431445</v>
      </c>
      <c r="D15343" s="7">
        <f>IFERROR(__xludf.DUMMYFUNCTION("""COMPUTED_VALUE"""),0.433333333333333)</f>
        <v>0.4333333333</v>
      </c>
    </row>
    <row r="15344">
      <c r="A15344" s="10" t="s">
        <v>16783</v>
      </c>
      <c r="B15344" s="7" t="str">
        <f>IFERROR(__xludf.DUMMYFUNCTION("SPLIT(A15344,"" "")"),"CC(C)CN(Cc1ccccn1)Cc1cc(-c2cccc(N=Cc3ccccn3)c2)ccn1")</f>
        <v>CC(C)CN(Cc1ccccn1)Cc1cc(-c2cccc(N=Cc3ccccn3)c2)ccn1</v>
      </c>
      <c r="C15344" s="7">
        <f>IFERROR(__xludf.DUMMYFUNCTION("""COMPUTED_VALUE"""),7.743143)</f>
        <v>7.743143</v>
      </c>
      <c r="D15344" s="7">
        <f>IFERROR(__xludf.DUMMYFUNCTION("""COMPUTED_VALUE"""),0.375)</f>
        <v>0.375</v>
      </c>
    </row>
    <row r="15345">
      <c r="A15345" s="10" t="s">
        <v>16784</v>
      </c>
      <c r="B15345" s="7" t="str">
        <f>IFERROR(__xludf.DUMMYFUNCTION("SPLIT(A15345,"" "")"),"Cc1ccc(-c2ccc(NCc3ccccn3)cc2)nc1CN(C)Cc1ccccn1")</f>
        <v>Cc1ccc(-c2ccc(NCc3ccccn3)cc2)nc1CN(C)Cc1ccccn1</v>
      </c>
      <c r="C15345" s="7">
        <f>IFERROR(__xludf.DUMMYFUNCTION("""COMPUTED_VALUE"""),7.7431397)</f>
        <v>7.7431397</v>
      </c>
      <c r="D15345" s="7">
        <f>IFERROR(__xludf.DUMMYFUNCTION("""COMPUTED_VALUE"""),0.452830188679245)</f>
        <v>0.4528301887</v>
      </c>
    </row>
    <row r="15346">
      <c r="A15346" s="10" t="s">
        <v>16785</v>
      </c>
      <c r="B15346" s="7" t="str">
        <f>IFERROR(__xludf.DUMMYFUNCTION("SPLIT(A15346,"" "")"),"Cc1cnccc1-c1ncccc1CN(C)C1CCCCC1N(C)c1cccc2c(CN(C)C)ccnc12")</f>
        <v>Cc1cnccc1-c1ncccc1CN(C)C1CCCCC1N(C)c1cccc2c(CN(C)C)ccnc12</v>
      </c>
      <c r="C15346" s="7">
        <f>IFERROR(__xludf.DUMMYFUNCTION("""COMPUTED_VALUE"""),7.743125)</f>
        <v>7.743125</v>
      </c>
      <c r="D15346" s="7">
        <f>IFERROR(__xludf.DUMMYFUNCTION("""COMPUTED_VALUE"""),0.43076923076923)</f>
        <v>0.4307692308</v>
      </c>
    </row>
    <row r="15347">
      <c r="A15347" s="10" t="s">
        <v>16786</v>
      </c>
      <c r="B15347" s="7" t="str">
        <f>IFERROR(__xludf.DUMMYFUNCTION("SPLIT(A15347,"" "")"),"CC1CC(N)C1c1cccc(CN(Cc2ccccn2)Cc2cccc(-c3cccc(N=Cc4ccccn4)c3)n2)n1")</f>
        <v>CC1CC(N)C1c1cccc(CN(Cc2ccccn2)Cc2cccc(-c3cccc(N=Cc4ccccn4)c3)n2)n1</v>
      </c>
      <c r="C15347" s="7">
        <f>IFERROR(__xludf.DUMMYFUNCTION("""COMPUTED_VALUE"""),7.7431226)</f>
        <v>7.7431226</v>
      </c>
      <c r="D15347" s="7">
        <f>IFERROR(__xludf.DUMMYFUNCTION("""COMPUTED_VALUE"""),0.457142857142857)</f>
        <v>0.4571428571</v>
      </c>
    </row>
    <row r="15348">
      <c r="A15348" s="10" t="s">
        <v>16787</v>
      </c>
      <c r="B15348" s="7" t="str">
        <f>IFERROR(__xludf.DUMMYFUNCTION("SPLIT(A15348,"" "")"),"CC1=CCC(N(C)Cc2ccc(-c3cccc(N=Cc4ccccn4)c3)cn2)C2(C)N=CC=CC12")</f>
        <v>CC1=CCC(N(C)Cc2ccc(-c3cccc(N=Cc4ccccn4)c3)cn2)C2(C)N=CC=CC12</v>
      </c>
      <c r="C15348" s="7">
        <f>IFERROR(__xludf.DUMMYFUNCTION("""COMPUTED_VALUE"""),7.7431207)</f>
        <v>7.7431207</v>
      </c>
      <c r="D15348" s="7">
        <f>IFERROR(__xludf.DUMMYFUNCTION("""COMPUTED_VALUE"""),0.278481012658227)</f>
        <v>0.2784810127</v>
      </c>
    </row>
    <row r="15349">
      <c r="A15349" s="10" t="s">
        <v>16788</v>
      </c>
      <c r="B15349" s="7" t="str">
        <f>IFERROR(__xludf.DUMMYFUNCTION("SPLIT(A15349,"" "")"),"Cc1ccc(CN(C)Cc2ccc(N(C)Cc3cc(C)c(C)c(C)n3)cn2)nc1")</f>
        <v>Cc1ccc(CN(C)Cc2ccc(N(C)Cc3cc(C)c(C)c(C)n3)cn2)nc1</v>
      </c>
      <c r="C15349" s="7">
        <f>IFERROR(__xludf.DUMMYFUNCTION("""COMPUTED_VALUE"""),7.743112)</f>
        <v>7.743112</v>
      </c>
      <c r="D15349" s="7">
        <f>IFERROR(__xludf.DUMMYFUNCTION("""COMPUTED_VALUE"""),0.5)</f>
        <v>0.5</v>
      </c>
    </row>
    <row r="15350">
      <c r="A15350" s="10" t="s">
        <v>16789</v>
      </c>
      <c r="B15350" s="7" t="str">
        <f>IFERROR(__xludf.DUMMYFUNCTION("SPLIT(A15350,"" "")"),"CNC1=CNCC(SCc2ccccn2)=C1N(Cc1ccccn1)Cc1ccccn1")</f>
        <v>CNC1=CNCC(SCc2ccccn2)=C1N(Cc1ccccn1)Cc1ccccn1</v>
      </c>
      <c r="C15350" s="7">
        <f>IFERROR(__xludf.DUMMYFUNCTION("""COMPUTED_VALUE"""),7.743103)</f>
        <v>7.743103</v>
      </c>
      <c r="D15350" s="7">
        <f>IFERROR(__xludf.DUMMYFUNCTION("""COMPUTED_VALUE"""),0.354166666666666)</f>
        <v>0.3541666667</v>
      </c>
    </row>
    <row r="15351">
      <c r="A15351" s="10" t="s">
        <v>16790</v>
      </c>
      <c r="B15351" s="7" t="str">
        <f>IFERROR(__xludf.DUMMYFUNCTION("SPLIT(A15351,"" "")"),"CN(c1ccc2cc3c(nc2c1)CCCC3)C1CCCC(N(C)c2ccc3cc4c(nc3c2)CCCC4)C1")</f>
        <v>CN(c1ccc2cc3c(nc2c1)CCCC3)C1CCCC(N(C)c2ccc3cc4c(nc3c2)CCCC4)C1</v>
      </c>
      <c r="C15351" s="7">
        <f>IFERROR(__xludf.DUMMYFUNCTION("""COMPUTED_VALUE"""),7.7431016)</f>
        <v>7.7431016</v>
      </c>
      <c r="D15351" s="7">
        <f>IFERROR(__xludf.DUMMYFUNCTION("""COMPUTED_VALUE"""),0.442307692307692)</f>
        <v>0.4423076923</v>
      </c>
    </row>
    <row r="15352">
      <c r="A15352" s="10" t="s">
        <v>16791</v>
      </c>
      <c r="B15352" s="7" t="str">
        <f>IFERROR(__xludf.DUMMYFUNCTION("SPLIT(A15352,"" "")"),"CCCN(Cc1ccccn1)c1ccc2nc(CN(C)Cc3ncccc3C)ccc2c1")</f>
        <v>CCCN(Cc1ccccn1)c1ccc2nc(CN(C)Cc3ncccc3C)ccc2c1</v>
      </c>
      <c r="C15352" s="7">
        <f>IFERROR(__xludf.DUMMYFUNCTION("""COMPUTED_VALUE"""),7.7430997)</f>
        <v>7.7430997</v>
      </c>
      <c r="D15352" s="7">
        <f>IFERROR(__xludf.DUMMYFUNCTION("""COMPUTED_VALUE"""),0.428571428571428)</f>
        <v>0.4285714286</v>
      </c>
    </row>
    <row r="15353">
      <c r="A15353" s="10" t="s">
        <v>16792</v>
      </c>
      <c r="B15353" s="7" t="str">
        <f>IFERROR(__xludf.DUMMYFUNCTION("SPLIT(A15353,"" "")"),"Cc1ccc(-c2cccc(CN(Cc3ccccn3)Cc3ccccn3)n2)c(-c2ccc(CN(Cc3ccccn3)Cc3ccccn3)cn2)c1")</f>
        <v>Cc1ccc(-c2cccc(CN(Cc3ccccn3)Cc3ccccn3)n2)c(-c2ccc(CN(Cc3ccccn3)Cc3ccccn3)cn2)c1</v>
      </c>
      <c r="C15353" s="7">
        <f>IFERROR(__xludf.DUMMYFUNCTION("""COMPUTED_VALUE"""),7.7430997)</f>
        <v>7.7430997</v>
      </c>
      <c r="D15353" s="7">
        <f>IFERROR(__xludf.DUMMYFUNCTION("""COMPUTED_VALUE"""),0.47457627118644)</f>
        <v>0.4745762712</v>
      </c>
    </row>
    <row r="15354">
      <c r="A15354" s="10" t="s">
        <v>16793</v>
      </c>
      <c r="B15354" s="7" t="str">
        <f>IFERROR(__xludf.DUMMYFUNCTION("SPLIT(A15354,"" "")"),"CC(C)N(C)Cc1ccc2cc(N(C)C3CCC(N(C)c4ccc5cccnc5c4)CC3)ccc2n1")</f>
        <v>CC(C)N(C)Cc1ccc2cc(N(C)C3CCC(N(C)c4ccc5cccnc5c4)CC3)ccc2n1</v>
      </c>
      <c r="C15354" s="7">
        <f>IFERROR(__xludf.DUMMYFUNCTION("""COMPUTED_VALUE"""),7.743096)</f>
        <v>7.743096</v>
      </c>
      <c r="D15354" s="7">
        <f>IFERROR(__xludf.DUMMYFUNCTION("""COMPUTED_VALUE"""),0.375)</f>
        <v>0.375</v>
      </c>
    </row>
    <row r="15355">
      <c r="A15355" s="10" t="s">
        <v>16794</v>
      </c>
      <c r="B15355" s="7" t="str">
        <f>IFERROR(__xludf.DUMMYFUNCTION("SPLIT(A15355,"" "")"),"C(=Nc1ccccc1-c1cccc(CN(Cc2ccccc2)Cc2ccccn2)n1)c1ccccn1")</f>
        <v>C(=Nc1ccccc1-c1cccc(CN(Cc2ccccc2)Cc2ccccn2)n1)c1ccccn1</v>
      </c>
      <c r="C15355" s="7">
        <f>IFERROR(__xludf.DUMMYFUNCTION("""COMPUTED_VALUE"""),7.7430825)</f>
        <v>7.7430825</v>
      </c>
      <c r="D15355" s="7">
        <f>IFERROR(__xludf.DUMMYFUNCTION("""COMPUTED_VALUE"""),0.436363636363636)</f>
        <v>0.4363636364</v>
      </c>
    </row>
    <row r="15356">
      <c r="A15356" s="10" t="s">
        <v>16795</v>
      </c>
      <c r="B15356" s="7" t="str">
        <f>IFERROR(__xludf.DUMMYFUNCTION("SPLIT(A15356,"" "")"),"CN(C)c1ccccc1-c1cccc(CN(Cc2ccccn2)C2CCC(N(C)c3ccc4nc(CF)ccc4c3)CC2)n1")</f>
        <v>CN(C)c1ccccc1-c1cccc(CN(Cc2ccccn2)C2CCC(N(C)c3ccc4nc(CF)ccc4c3)CC2)n1</v>
      </c>
      <c r="C15356" s="7">
        <f>IFERROR(__xludf.DUMMYFUNCTION("""COMPUTED_VALUE"""),7.7430806)</f>
        <v>7.7430806</v>
      </c>
      <c r="D15356" s="7">
        <f>IFERROR(__xludf.DUMMYFUNCTION("""COMPUTED_VALUE"""),0.388059701492537)</f>
        <v>0.3880597015</v>
      </c>
    </row>
    <row r="15357">
      <c r="A15357" s="10" t="s">
        <v>16796</v>
      </c>
      <c r="B15357" s="7" t="str">
        <f>IFERROR(__xludf.DUMMYFUNCTION("SPLIT(A15357,"" "")"),"CN(Cc1ccc2ncccc2c1)C1CCC(N(C)c2ccc3c(CF)ccnc3c2)CC1")</f>
        <v>CN(Cc1ccc2ncccc2c1)C1CCC(N(C)c2ccc3c(CF)ccnc3c2)CC1</v>
      </c>
      <c r="C15357" s="7">
        <f>IFERROR(__xludf.DUMMYFUNCTION("""COMPUTED_VALUE"""),7.743077)</f>
        <v>7.743077</v>
      </c>
      <c r="D15357" s="7">
        <f>IFERROR(__xludf.DUMMYFUNCTION("""COMPUTED_VALUE"""),0.272727272727272)</f>
        <v>0.2727272727</v>
      </c>
    </row>
    <row r="15358">
      <c r="A15358" s="10" t="s">
        <v>16797</v>
      </c>
      <c r="B15358" s="7" t="str">
        <f>IFERROR(__xludf.DUMMYFUNCTION("SPLIT(A15358,"" "")"),"Cc1cccc(NCc2ccccn2)c1-c1cccc(CN(C)C2CCC(N(C)c3ccc4cccnc4c3)CC2)n1")</f>
        <v>Cc1cccc(NCc2ccccn2)c1-c1cccc(CN(C)C2CCC(N(C)c3ccc4cccnc4c3)CC2)n1</v>
      </c>
      <c r="C15358" s="7">
        <f>IFERROR(__xludf.DUMMYFUNCTION("""COMPUTED_VALUE"""),7.7430725)</f>
        <v>7.7430725</v>
      </c>
      <c r="D15358" s="7">
        <f>IFERROR(__xludf.DUMMYFUNCTION("""COMPUTED_VALUE"""),0.338028169014084)</f>
        <v>0.338028169</v>
      </c>
    </row>
    <row r="15359">
      <c r="A15359" s="10" t="s">
        <v>16798</v>
      </c>
      <c r="B15359" s="7" t="str">
        <f>IFERROR(__xludf.DUMMYFUNCTION("SPLIT(A15359,"" "")"),"CNc1ccc(Cl)cn1")</f>
        <v>CNc1ccc(Cl)cn1</v>
      </c>
      <c r="C15359" s="7">
        <f>IFERROR(__xludf.DUMMYFUNCTION("""COMPUTED_VALUE"""),7.7430673)</f>
        <v>7.7430673</v>
      </c>
      <c r="D15359" s="7">
        <f>IFERROR(__xludf.DUMMYFUNCTION("""COMPUTED_VALUE"""),0.19047619047619)</f>
        <v>0.1904761905</v>
      </c>
    </row>
    <row r="15360">
      <c r="A15360" s="10" t="s">
        <v>16799</v>
      </c>
      <c r="B15360" s="7" t="str">
        <f>IFERROR(__xludf.DUMMYFUNCTION("SPLIT(A15360,"" "")"),"Cc1ccc2ccc(CN(C)C3CCCCC3N(C)c3ccc4nccc(CF)c4c3)nc2c1")</f>
        <v>Cc1ccc2ccc(CN(C)C3CCCCC3N(C)c3ccc4nccc(CF)c4c3)nc2c1</v>
      </c>
      <c r="C15360" s="7">
        <f>IFERROR(__xludf.DUMMYFUNCTION("""COMPUTED_VALUE"""),7.743065)</f>
        <v>7.743065</v>
      </c>
      <c r="D15360" s="7">
        <f>IFERROR(__xludf.DUMMYFUNCTION("""COMPUTED_VALUE"""),0.419354838709677)</f>
        <v>0.4193548387</v>
      </c>
    </row>
    <row r="15361">
      <c r="A15361" s="10" t="s">
        <v>16800</v>
      </c>
      <c r="B15361" s="7" t="str">
        <f>IFERROR(__xludf.DUMMYFUNCTION("SPLIT(A15361,"" "")"),"Cc1ccnc2ccc(N(C)CCCN(C)Cc3ccccn3)cc12")</f>
        <v>Cc1ccnc2ccc(N(C)CCCN(C)Cc3ccccn3)cc12</v>
      </c>
      <c r="C15361" s="7">
        <f>IFERROR(__xludf.DUMMYFUNCTION("""COMPUTED_VALUE"""),7.743058)</f>
        <v>7.743058</v>
      </c>
      <c r="D15361" s="7">
        <f>IFERROR(__xludf.DUMMYFUNCTION("""COMPUTED_VALUE"""),0.396226415094339)</f>
        <v>0.3962264151</v>
      </c>
    </row>
    <row r="15362">
      <c r="A15362" s="10" t="s">
        <v>16801</v>
      </c>
      <c r="B15362" s="7" t="str">
        <f>IFERROR(__xludf.DUMMYFUNCTION("SPLIT(A15362,"" "")"),"COCc1ccc(-c2cc(CN(Cc3ccccn3)Cc3ccccn3)ccn2)cc1-c1cc(CN(Cc2ccccn2)Cc2ccccn2)ccn1")</f>
        <v>COCc1ccc(-c2cc(CN(Cc3ccccn3)Cc3ccccn3)ccn2)cc1-c1cc(CN(Cc2ccccn2)Cc2ccccn2)ccn1</v>
      </c>
      <c r="C15362" s="7">
        <f>IFERROR(__xludf.DUMMYFUNCTION("""COMPUTED_VALUE"""),7.7430563)</f>
        <v>7.7430563</v>
      </c>
      <c r="D15362" s="7">
        <f>IFERROR(__xludf.DUMMYFUNCTION("""COMPUTED_VALUE"""),0.45)</f>
        <v>0.45</v>
      </c>
    </row>
    <row r="15363">
      <c r="A15363" s="10" t="s">
        <v>16802</v>
      </c>
      <c r="B15363" s="7" t="str">
        <f>IFERROR(__xludf.DUMMYFUNCTION("SPLIT(A15363,"" "")"),"CCN(Cc1ccccn1)Cc1cc(-c2ccccc2N(C)C)ccn1")</f>
        <v>CCN(Cc1ccccn1)Cc1cc(-c2ccccc2N(C)C)ccn1</v>
      </c>
      <c r="C15363" s="7">
        <f>IFERROR(__xludf.DUMMYFUNCTION("""COMPUTED_VALUE"""),7.743051)</f>
        <v>7.743051</v>
      </c>
      <c r="D15363" s="7">
        <f>IFERROR(__xludf.DUMMYFUNCTION("""COMPUTED_VALUE"""),0.463414634146341)</f>
        <v>0.4634146341</v>
      </c>
    </row>
    <row r="15364">
      <c r="A15364" s="10" t="s">
        <v>16803</v>
      </c>
      <c r="B15364" s="7" t="str">
        <f>IFERROR(__xludf.DUMMYFUNCTION("SPLIT(A15364,"" "")"),"Cc1cc(C)c(CN(C)c2ccc(CN(C)Cc3ncccc3C)nc2)nc1C")</f>
        <v>Cc1cc(C)c(CN(C)c2ccc(CN(C)Cc3ncccc3C)nc2)nc1C</v>
      </c>
      <c r="C15364" s="7">
        <f>IFERROR(__xludf.DUMMYFUNCTION("""COMPUTED_VALUE"""),7.7430506)</f>
        <v>7.7430506</v>
      </c>
      <c r="D15364" s="7">
        <f>IFERROR(__xludf.DUMMYFUNCTION("""COMPUTED_VALUE"""),0.350877192982456)</f>
        <v>0.350877193</v>
      </c>
    </row>
    <row r="15365">
      <c r="A15365" s="10" t="s">
        <v>16804</v>
      </c>
      <c r="B15365" s="7" t="str">
        <f>IFERROR(__xludf.DUMMYFUNCTION("SPLIT(A15365,"" "")"),"Cc1cc(CN(C)Cc2ccc(N(C)Cc3cc(C)c(C)c(C)n3)cn2)ccn1")</f>
        <v>Cc1cc(CN(C)Cc2ccc(N(C)Cc3cc(C)c(C)c(C)n3)cn2)ccn1</v>
      </c>
      <c r="C15365" s="7">
        <f>IFERROR(__xludf.DUMMYFUNCTION("""COMPUTED_VALUE"""),7.743045)</f>
        <v>7.743045</v>
      </c>
      <c r="D15365" s="7">
        <f>IFERROR(__xludf.DUMMYFUNCTION("""COMPUTED_VALUE"""),0.333333333333333)</f>
        <v>0.3333333333</v>
      </c>
    </row>
    <row r="15366">
      <c r="A15366" s="10" t="s">
        <v>16805</v>
      </c>
      <c r="B15366" s="7" t="str">
        <f>IFERROR(__xludf.DUMMYFUNCTION("SPLIT(A15366,"" "")"),"CN(Cc1ccccn1)C1=CNC=CC1CN(Cc1ccccn1)Cc1cccc(-c2cccc(Cl)c2N)n1")</f>
        <v>CN(Cc1ccccn1)C1=CNC=CC1CN(Cc1ccccn1)Cc1cccc(-c2cccc(Cl)c2N)n1</v>
      </c>
      <c r="C15366" s="7">
        <f>IFERROR(__xludf.DUMMYFUNCTION("""COMPUTED_VALUE"""),7.7430325)</f>
        <v>7.7430325</v>
      </c>
      <c r="D15366" s="7">
        <f>IFERROR(__xludf.DUMMYFUNCTION("""COMPUTED_VALUE"""),0.378787878787878)</f>
        <v>0.3787878788</v>
      </c>
    </row>
    <row r="15367">
      <c r="A15367" s="10" t="s">
        <v>16806</v>
      </c>
      <c r="B15367" s="7" t="str">
        <f>IFERROR(__xludf.DUMMYFUNCTION("SPLIT(A15367,"" "")"),"Cc1ccc(CN(C)Cc2cccc(N(C)Cc3nc(C)c(C)c(C)c3C)n2)nc1")</f>
        <v>Cc1ccc(CN(C)Cc2cccc(N(C)Cc3nc(C)c(C)c(C)c3C)n2)nc1</v>
      </c>
      <c r="C15367" s="7">
        <f>IFERROR(__xludf.DUMMYFUNCTION("""COMPUTED_VALUE"""),7.7430263)</f>
        <v>7.7430263</v>
      </c>
      <c r="D15367" s="7">
        <f>IFERROR(__xludf.DUMMYFUNCTION("""COMPUTED_VALUE"""),0.468085106382978)</f>
        <v>0.4680851064</v>
      </c>
    </row>
    <row r="15368">
      <c r="A15368" s="10" t="s">
        <v>16807</v>
      </c>
      <c r="B15368" s="7" t="str">
        <f>IFERROR(__xludf.DUMMYFUNCTION("SPLIT(A15368,"" "")"),"Cc1ccc(-c2cccc(NCc3ccccn3)c2)nc1CN(Cc1ccccn1)C1CCC(N(C)c2ccc3nccc(CN(C)C)c3c2)CC1")</f>
        <v>Cc1ccc(-c2cccc(NCc3ccccn3)c2)nc1CN(Cc1ccccn1)C1CCC(N(C)c2ccc3nccc(CN(C)C)c3c2)CC1</v>
      </c>
      <c r="C15368" s="7">
        <f>IFERROR(__xludf.DUMMYFUNCTION("""COMPUTED_VALUE"""),7.7430243)</f>
        <v>7.7430243</v>
      </c>
      <c r="D15368" s="7">
        <f>IFERROR(__xludf.DUMMYFUNCTION("""COMPUTED_VALUE"""),0.302325581395348)</f>
        <v>0.3023255814</v>
      </c>
    </row>
    <row r="15369">
      <c r="A15369" s="10" t="s">
        <v>16808</v>
      </c>
      <c r="B15369" s="7" t="str">
        <f>IFERROR(__xludf.DUMMYFUNCTION("SPLIT(A15369,"" "")"),"CN(CCN(C)c1ccc2cc(CF)cnc2c1)Cc1ccccn1")</f>
        <v>CN(CCN(C)c1ccc2cc(CF)cnc2c1)Cc1ccccn1</v>
      </c>
      <c r="C15369" s="7">
        <f>IFERROR(__xludf.DUMMYFUNCTION("""COMPUTED_VALUE"""),7.743024)</f>
        <v>7.743024</v>
      </c>
      <c r="D15369" s="7">
        <f>IFERROR(__xludf.DUMMYFUNCTION("""COMPUTED_VALUE"""),0.416666666666666)</f>
        <v>0.4166666667</v>
      </c>
    </row>
    <row r="15370">
      <c r="A15370" s="10" t="s">
        <v>16809</v>
      </c>
      <c r="B15370" s="7" t="str">
        <f>IFERROR(__xludf.DUMMYFUNCTION("SPLIT(A15370,"" "")"),"Cc1cnccc1CN(C)Cc1ncccc1N(C)Cc1nc(C)c(C)c(C)c1C")</f>
        <v>Cc1cnccc1CN(C)Cc1ncccc1N(C)Cc1nc(C)c(C)c(C)c1C</v>
      </c>
      <c r="C15370" s="7">
        <f>IFERROR(__xludf.DUMMYFUNCTION("""COMPUTED_VALUE"""),7.743019)</f>
        <v>7.743019</v>
      </c>
      <c r="D15370" s="7">
        <f>IFERROR(__xludf.DUMMYFUNCTION("""COMPUTED_VALUE"""),0.310344827586206)</f>
        <v>0.3103448276</v>
      </c>
    </row>
    <row r="15371">
      <c r="A15371" s="10" t="s">
        <v>16810</v>
      </c>
      <c r="B15371" s="7" t="str">
        <f>IFERROR(__xludf.DUMMYFUNCTION("SPLIT(A15371,"" "")"),"CC1=C(C)CC(N(C)CC2=CCC=C(N(C)c3cccc4ncccc34)N2)C(C)C1")</f>
        <v>CC1=C(C)CC(N(C)CC2=CCC=C(N(C)c3cccc4ncccc34)N2)C(C)C1</v>
      </c>
      <c r="C15371" s="7">
        <f>IFERROR(__xludf.DUMMYFUNCTION("""COMPUTED_VALUE"""),7.743013)</f>
        <v>7.743013</v>
      </c>
      <c r="D15371" s="7">
        <f>IFERROR(__xludf.DUMMYFUNCTION("""COMPUTED_VALUE"""),0.272727272727272)</f>
        <v>0.2727272727</v>
      </c>
    </row>
    <row r="15372">
      <c r="A15372" s="10" t="s">
        <v>16811</v>
      </c>
      <c r="B15372" s="7" t="str">
        <f>IFERROR(__xludf.DUMMYFUNCTION("SPLIT(A15372,"" "")"),"Cc1cc(CN(C)CC2=CC(N(C)Cc3ncccc3C)C=CN2)c2ncccc2c1")</f>
        <v>Cc1cc(CN(C)CC2=CC(N(C)Cc3ncccc3C)C=CN2)c2ncccc2c1</v>
      </c>
      <c r="C15372" s="7">
        <f>IFERROR(__xludf.DUMMYFUNCTION("""COMPUTED_VALUE"""),7.7430096)</f>
        <v>7.7430096</v>
      </c>
      <c r="D15372" s="7">
        <f>IFERROR(__xludf.DUMMYFUNCTION("""COMPUTED_VALUE"""),0.354838709677419)</f>
        <v>0.3548387097</v>
      </c>
    </row>
    <row r="15373">
      <c r="A15373" s="10" t="s">
        <v>16812</v>
      </c>
      <c r="B15373" s="7" t="str">
        <f>IFERROR(__xludf.DUMMYFUNCTION("SPLIT(A15373,"" "")"),"Cc1cc(N(C)Cc2ccccn2)c(C)c(N(Cc2ccccn2)Cc2ncc(CN(Cc3ccccn3)Cc3ccccn3)cc2C)c1")</f>
        <v>Cc1cc(N(C)Cc2ccccn2)c(C)c(N(Cc2ccccn2)Cc2ncc(CN(Cc3ccccn3)Cc3ccccn3)cc2C)c1</v>
      </c>
      <c r="C15373" s="7">
        <f>IFERROR(__xludf.DUMMYFUNCTION("""COMPUTED_VALUE"""),7.7430077)</f>
        <v>7.7430077</v>
      </c>
      <c r="D15373" s="7">
        <f>IFERROR(__xludf.DUMMYFUNCTION("""COMPUTED_VALUE"""),0.444444444444444)</f>
        <v>0.4444444444</v>
      </c>
    </row>
    <row r="15374">
      <c r="A15374" s="10" t="s">
        <v>16813</v>
      </c>
      <c r="B15374" s="7" t="str">
        <f>IFERROR(__xludf.DUMMYFUNCTION("SPLIT(A15374,"" "")"),"Cc1ccc(CN(C)Cc2ncccc2N(C)Cc2nc(C)c(C)c(C)c2C)nc1")</f>
        <v>Cc1ccc(CN(C)Cc2ncccc2N(C)Cc2nc(C)c(C)c(C)c2C)nc1</v>
      </c>
      <c r="C15374" s="7">
        <f>IFERROR(__xludf.DUMMYFUNCTION("""COMPUTED_VALUE"""),7.743004)</f>
        <v>7.743004</v>
      </c>
      <c r="D15374" s="7">
        <f>IFERROR(__xludf.DUMMYFUNCTION("""COMPUTED_VALUE"""),0.448979591836734)</f>
        <v>0.4489795918</v>
      </c>
    </row>
    <row r="15375">
      <c r="A15375" s="10" t="s">
        <v>16814</v>
      </c>
      <c r="B15375" s="7" t="str">
        <f>IFERROR(__xludf.DUMMYFUNCTION("SPLIT(A15375,"" "")"),"Cc1cc(C)c(CN(C)C2=CCC=C(CN(C)C)N2)nc1C")</f>
        <v>Cc1cc(C)c(CN(C)C2=CCC=C(CN(C)C)N2)nc1C</v>
      </c>
      <c r="C15375" s="7">
        <f>IFERROR(__xludf.DUMMYFUNCTION("""COMPUTED_VALUE"""),7.743003)</f>
        <v>7.743003</v>
      </c>
      <c r="D15375" s="7">
        <f>IFERROR(__xludf.DUMMYFUNCTION("""COMPUTED_VALUE"""),0.193548387096774)</f>
        <v>0.1935483871</v>
      </c>
    </row>
    <row r="15376">
      <c r="A15376" s="10" t="s">
        <v>16815</v>
      </c>
      <c r="B15376" s="7" t="str">
        <f>IFERROR(__xludf.DUMMYFUNCTION("SPLIT(A15376,"" "")"),"CN(C1=CNC(CN(C)C(C)(C)C)=CC1)c1ccc2cc(CF)cnc2c1")</f>
        <v>CN(C1=CNC(CN(C)C(C)(C)C)=CC1)c1ccc2cc(CF)cnc2c1</v>
      </c>
      <c r="C15376" s="7">
        <f>IFERROR(__xludf.DUMMYFUNCTION("""COMPUTED_VALUE"""),7.742996)</f>
        <v>7.742996</v>
      </c>
      <c r="D15376" s="7">
        <f>IFERROR(__xludf.DUMMYFUNCTION("""COMPUTED_VALUE"""),0.222222222222222)</f>
        <v>0.2222222222</v>
      </c>
    </row>
    <row r="15377">
      <c r="A15377" s="10" t="s">
        <v>16816</v>
      </c>
      <c r="B15377" s="7" t="str">
        <f>IFERROR(__xludf.DUMMYFUNCTION("SPLIT(A15377,"" "")"),"CN(CCN(C)c1ccc2ncccc2c1)Cc1cccnc1")</f>
        <v>CN(CCN(C)c1ccc2ncccc2c1)Cc1cccnc1</v>
      </c>
      <c r="C15377" s="7">
        <f>IFERROR(__xludf.DUMMYFUNCTION("""COMPUTED_VALUE"""),7.742994)</f>
        <v>7.742994</v>
      </c>
      <c r="D15377" s="7">
        <f>IFERROR(__xludf.DUMMYFUNCTION("""COMPUTED_VALUE"""),0.4)</f>
        <v>0.4</v>
      </c>
    </row>
    <row r="15378">
      <c r="A15378" s="10" t="s">
        <v>16817</v>
      </c>
      <c r="B15378" s="7" t="str">
        <f>IFERROR(__xludf.DUMMYFUNCTION("SPLIT(A15378,"" "")"),"CC(C)CN(C)CC1=CC(N(C)c2ccc3nccc(CF)c3c2)C=CN1")</f>
        <v>CC(C)CN(C)CC1=CC(N(C)c2ccc3nccc(CF)c3c2)C=CN1</v>
      </c>
      <c r="C15378" s="7">
        <f>IFERROR(__xludf.DUMMYFUNCTION("""COMPUTED_VALUE"""),7.7429814)</f>
        <v>7.7429814</v>
      </c>
      <c r="D15378" s="7">
        <f>IFERROR(__xludf.DUMMYFUNCTION("""COMPUTED_VALUE"""),0.294117647058823)</f>
        <v>0.2941176471</v>
      </c>
    </row>
    <row r="15379">
      <c r="A15379" s="10" t="s">
        <v>16818</v>
      </c>
      <c r="B15379" s="7" t="str">
        <f>IFERROR(__xludf.DUMMYFUNCTION("SPLIT(A15379,"" "")"),"Cc1cccc(N(C)CC2=C(N(C)Cc3ncccc3C)CC=CN2)c1")</f>
        <v>Cc1cccc(N(C)CC2=C(N(C)Cc3ncccc3C)CC=CN2)c1</v>
      </c>
      <c r="C15379" s="7">
        <f>IFERROR(__xludf.DUMMYFUNCTION("""COMPUTED_VALUE"""),7.742975)</f>
        <v>7.742975</v>
      </c>
      <c r="D15379" s="7">
        <f>IFERROR(__xludf.DUMMYFUNCTION("""COMPUTED_VALUE"""),0.262295081967213)</f>
        <v>0.262295082</v>
      </c>
    </row>
    <row r="15380">
      <c r="A15380" s="10" t="s">
        <v>16819</v>
      </c>
      <c r="B15380" s="7" t="str">
        <f>IFERROR(__xludf.DUMMYFUNCTION("SPLIT(A15380,"" "")"),"Cc1ccccc1N(C)Cc1nccc(C)c1C")</f>
        <v>Cc1ccccc1N(C)Cc1nccc(C)c1C</v>
      </c>
      <c r="C15380" s="7">
        <f>IFERROR(__xludf.DUMMYFUNCTION("""COMPUTED_VALUE"""),7.74297)</f>
        <v>7.74297</v>
      </c>
      <c r="D15380" s="7">
        <f>IFERROR(__xludf.DUMMYFUNCTION("""COMPUTED_VALUE"""),0.363636363636363)</f>
        <v>0.3636363636</v>
      </c>
    </row>
    <row r="15381">
      <c r="A15381" s="10" t="s">
        <v>16820</v>
      </c>
      <c r="B15381" s="7" t="str">
        <f>IFERROR(__xludf.DUMMYFUNCTION("SPLIT(A15381,"" "")"),"C1=CNCC(NCc2cc(C(c3ccccn3)c3ccccn3)ccn2)=C1")</f>
        <v>C1=CNCC(NCc2cc(C(c3ccccn3)c3ccccn3)ccn2)=C1</v>
      </c>
      <c r="C15381" s="7">
        <f>IFERROR(__xludf.DUMMYFUNCTION("""COMPUTED_VALUE"""),7.7429667)</f>
        <v>7.7429667</v>
      </c>
      <c r="D15381" s="7">
        <f>IFERROR(__xludf.DUMMYFUNCTION("""COMPUTED_VALUE"""),0.288461538461538)</f>
        <v>0.2884615385</v>
      </c>
    </row>
    <row r="15382">
      <c r="A15382" s="10" t="s">
        <v>16821</v>
      </c>
      <c r="B15382" s="7" t="str">
        <f>IFERROR(__xludf.DUMMYFUNCTION("SPLIT(A15382,"" "")"),"CC1(C)CC(c2cccc(CN(Cc3ccccn3)Cc3cccc(-c4cccc(N=Cc5ccccn5)c4)n3)n2)C1")</f>
        <v>CC1(C)CC(c2cccc(CN(Cc3ccccn3)Cc3cccc(-c4cccc(N=Cc5ccccn5)c4)n3)n2)C1</v>
      </c>
      <c r="C15382" s="7">
        <f>IFERROR(__xludf.DUMMYFUNCTION("""COMPUTED_VALUE"""),7.7429585)</f>
        <v>7.7429585</v>
      </c>
      <c r="D15382" s="7">
        <f>IFERROR(__xludf.DUMMYFUNCTION("""COMPUTED_VALUE"""),0.477611940298507)</f>
        <v>0.4776119403</v>
      </c>
    </row>
    <row r="15383">
      <c r="A15383" s="10" t="s">
        <v>16822</v>
      </c>
      <c r="B15383" s="7" t="str">
        <f>IFERROR(__xludf.DUMMYFUNCTION("SPLIT(A15383,"" "")"),"Cc1ccccc1CN(C)CCN(C)c1cccc2ncccc12")</f>
        <v>Cc1ccccc1CN(C)CCN(C)c1cccc2ncccc12</v>
      </c>
      <c r="C15383" s="7">
        <f>IFERROR(__xludf.DUMMYFUNCTION("""COMPUTED_VALUE"""),7.742956)</f>
        <v>7.742956</v>
      </c>
      <c r="D15383" s="7">
        <f>IFERROR(__xludf.DUMMYFUNCTION("""COMPUTED_VALUE"""),0.489361702127659)</f>
        <v>0.4893617021</v>
      </c>
    </row>
    <row r="15384">
      <c r="A15384" s="10" t="s">
        <v>16823</v>
      </c>
      <c r="B15384" s="7" t="str">
        <f>IFERROR(__xludf.DUMMYFUNCTION("SPLIT(A15384,"" "")"),"CN(Cc1ccc2ncccc2c1)C1CCC(N(C)c2ccc3nccc(CF)c3c2)CC1")</f>
        <v>CN(Cc1ccc2ncccc2c1)C1CCC(N(C)c2ccc3nccc(CF)c3c2)CC1</v>
      </c>
      <c r="C15384" s="7">
        <f>IFERROR(__xludf.DUMMYFUNCTION("""COMPUTED_VALUE"""),7.742953)</f>
        <v>7.742953</v>
      </c>
      <c r="D15384" s="7">
        <f>IFERROR(__xludf.DUMMYFUNCTION("""COMPUTED_VALUE"""),0.272727272727272)</f>
        <v>0.2727272727</v>
      </c>
    </row>
    <row r="15385">
      <c r="A15385" s="10" t="s">
        <v>16824</v>
      </c>
      <c r="B15385" s="7" t="str">
        <f>IFERROR(__xludf.DUMMYFUNCTION("SPLIT(A15385,"" "")"),"CC1=C(c2ccccc2)C(CN(C)Cc2ncccc2N)CC=C1c1ccccc1N(C)C")</f>
        <v>CC1=C(c2ccccc2)C(CN(C)Cc2ncccc2N)CC=C1c1ccccc1N(C)C</v>
      </c>
      <c r="C15385" s="7">
        <f>IFERROR(__xludf.DUMMYFUNCTION("""COMPUTED_VALUE"""),7.7429447)</f>
        <v>7.7429447</v>
      </c>
      <c r="D15385" s="7">
        <f>IFERROR(__xludf.DUMMYFUNCTION("""COMPUTED_VALUE"""),0.25)</f>
        <v>0.25</v>
      </c>
    </row>
    <row r="15386">
      <c r="A15386" s="10" t="s">
        <v>16825</v>
      </c>
      <c r="B15386" s="7" t="str">
        <f>IFERROR(__xludf.DUMMYFUNCTION("SPLIT(A15386,"" "")"),"CCNCc1ncccc1-c1cccc(NCc2ccccn2)c1C")</f>
        <v>CCNCc1ncccc1-c1cccc(NCc2ccccn2)c1C</v>
      </c>
      <c r="C15386" s="7">
        <f>IFERROR(__xludf.DUMMYFUNCTION("""COMPUTED_VALUE"""),7.742944)</f>
        <v>7.742944</v>
      </c>
      <c r="D15386" s="7">
        <f>IFERROR(__xludf.DUMMYFUNCTION("""COMPUTED_VALUE"""),0.391304347826087)</f>
        <v>0.3913043478</v>
      </c>
    </row>
    <row r="15387">
      <c r="A15387" s="10" t="s">
        <v>16826</v>
      </c>
      <c r="B15387" s="7" t="str">
        <f>IFERROR(__xludf.DUMMYFUNCTION("SPLIT(A15387,"" "")"),"CC(C)N(Cc1ccccn1)c1ccc(N=Cc2ccccn2)cc1")</f>
        <v>CC(C)N(Cc1ccccn1)c1ccc(N=Cc2ccccn2)cc1</v>
      </c>
      <c r="C15387" s="7">
        <f>IFERROR(__xludf.DUMMYFUNCTION("""COMPUTED_VALUE"""),7.7429404)</f>
        <v>7.7429404</v>
      </c>
      <c r="D15387" s="7">
        <f>IFERROR(__xludf.DUMMYFUNCTION("""COMPUTED_VALUE"""),0.456521739130434)</f>
        <v>0.4565217391</v>
      </c>
    </row>
    <row r="15388">
      <c r="A15388" s="10" t="s">
        <v>16827</v>
      </c>
      <c r="B15388" s="7" t="str">
        <f>IFERROR(__xludf.DUMMYFUNCTION("SPLIT(A15388,"" "")"),"Cc1cc(CN(C)Cc2cccc(N(C)Cc3nc(C)c(C)c(C)c3C)n2)ccn1")</f>
        <v>Cc1cc(CN(C)Cc2cccc(N(C)Cc3nc(C)c(C)c(C)c3C)n2)ccn1</v>
      </c>
      <c r="C15388" s="7">
        <f>IFERROR(__xludf.DUMMYFUNCTION("""COMPUTED_VALUE"""),7.742932)</f>
        <v>7.742932</v>
      </c>
      <c r="D15388" s="7">
        <f>IFERROR(__xludf.DUMMYFUNCTION("""COMPUTED_VALUE"""),0.358490566037735)</f>
        <v>0.358490566</v>
      </c>
    </row>
    <row r="15389">
      <c r="A15389" s="10" t="s">
        <v>16828</v>
      </c>
      <c r="B15389" s="7" t="str">
        <f>IFERROR(__xludf.DUMMYFUNCTION("SPLIT(A15389,"" "")"),"CN(Cc1ccc2ccc(N(C)C3CCC(N(C)c4ccc5ncccc5c4)CC3)cc2n1)C1CCCCC1N(C)c1ccc2ccc(CF)nc2c1")</f>
        <v>CN(Cc1ccc2ccc(N(C)C3CCC(N(C)c4ccc5ncccc5c4)CC3)cc2n1)C1CCCCC1N(C)c1ccc2ccc(CF)nc2c1</v>
      </c>
      <c r="C15389" s="7">
        <f>IFERROR(__xludf.DUMMYFUNCTION("""COMPUTED_VALUE"""),7.7429314)</f>
        <v>7.7429314</v>
      </c>
      <c r="D15389" s="7">
        <f>IFERROR(__xludf.DUMMYFUNCTION("""COMPUTED_VALUE"""),0.46031746031746)</f>
        <v>0.4603174603</v>
      </c>
    </row>
    <row r="15390">
      <c r="A15390" s="10" t="s">
        <v>16829</v>
      </c>
      <c r="B15390" s="7" t="str">
        <f>IFERROR(__xludf.DUMMYFUNCTION("SPLIT(A15390,"" "")"),"CN(C)Cc1cncc2cc(N(C)CCN(Cc3ccccn3)C(C)(C)C)ccc12")</f>
        <v>CN(C)Cc1cncc2cc(N(C)CCN(Cc3ccccn3)C(C)(C)C)ccc12</v>
      </c>
      <c r="C15390" s="7">
        <f>IFERROR(__xludf.DUMMYFUNCTION("""COMPUTED_VALUE"""),7.7429233)</f>
        <v>7.7429233</v>
      </c>
      <c r="D15390" s="7">
        <f>IFERROR(__xludf.DUMMYFUNCTION("""COMPUTED_VALUE"""),0.368421052631578)</f>
        <v>0.3684210526</v>
      </c>
    </row>
    <row r="15391">
      <c r="A15391" s="10" t="s">
        <v>16830</v>
      </c>
      <c r="B15391" s="7" t="str">
        <f>IFERROR(__xludf.DUMMYFUNCTION("SPLIT(A15391,"" "")"),"CNc1ncccc1Cl")</f>
        <v>CNc1ncccc1Cl</v>
      </c>
      <c r="C15391" s="7">
        <f>IFERROR(__xludf.DUMMYFUNCTION("""COMPUTED_VALUE"""),7.7429204)</f>
        <v>7.7429204</v>
      </c>
      <c r="D15391" s="7">
        <f>IFERROR(__xludf.DUMMYFUNCTION("""COMPUTED_VALUE"""),0.307692307692307)</f>
        <v>0.3076923077</v>
      </c>
    </row>
    <row r="15392">
      <c r="A15392" s="10" t="s">
        <v>16831</v>
      </c>
      <c r="B15392" s="7" t="str">
        <f>IFERROR(__xludf.DUMMYFUNCTION("SPLIT(A15392,"" "")"),"Cc1ccccc1-c1ccc(CN(C)Cc2cc(N)ccn2)cn1")</f>
        <v>Cc1ccccc1-c1ccc(CN(C)Cc2cc(N)ccn2)cn1</v>
      </c>
      <c r="C15392" s="7">
        <f>IFERROR(__xludf.DUMMYFUNCTION("""COMPUTED_VALUE"""),7.74292)</f>
        <v>7.74292</v>
      </c>
      <c r="D15392" s="7">
        <f>IFERROR(__xludf.DUMMYFUNCTION("""COMPUTED_VALUE"""),0.339285714285714)</f>
        <v>0.3392857143</v>
      </c>
    </row>
    <row r="15393">
      <c r="A15393" s="10" t="s">
        <v>16832</v>
      </c>
      <c r="B15393" s="7" t="str">
        <f>IFERROR(__xludf.DUMMYFUNCTION("SPLIT(A15393,"" "")"),"Cc1cccc(N(C)CC2=C(N(C)Cc3ccccn3)CC=CN2)c1C")</f>
        <v>Cc1cccc(N(C)CC2=C(N(C)Cc3ccccn3)CC=CN2)c1C</v>
      </c>
      <c r="C15393" s="7">
        <f>IFERROR(__xludf.DUMMYFUNCTION("""COMPUTED_VALUE"""),7.7429104)</f>
        <v>7.7429104</v>
      </c>
      <c r="D15393" s="7">
        <f>IFERROR(__xludf.DUMMYFUNCTION("""COMPUTED_VALUE"""),0.425925925925925)</f>
        <v>0.4259259259</v>
      </c>
    </row>
    <row r="15394">
      <c r="A15394" s="10" t="s">
        <v>16833</v>
      </c>
      <c r="B15394" s="7" t="str">
        <f>IFERROR(__xludf.DUMMYFUNCTION("SPLIT(A15394,"" "")"),"CC(C)N(CCN(C)c1cccc2nccc(C(C)(C)C)c12)C(C)C")</f>
        <v>CC(C)N(CCN(C)c1cccc2nccc(C(C)(C)C)c12)C(C)C</v>
      </c>
      <c r="C15394" s="7">
        <f>IFERROR(__xludf.DUMMYFUNCTION("""COMPUTED_VALUE"""),7.7429004)</f>
        <v>7.7429004</v>
      </c>
      <c r="D15394" s="7">
        <f>IFERROR(__xludf.DUMMYFUNCTION("""COMPUTED_VALUE"""),0.36734693877551)</f>
        <v>0.3673469388</v>
      </c>
    </row>
    <row r="15395">
      <c r="A15395" s="10" t="s">
        <v>16834</v>
      </c>
      <c r="B15395" s="7" t="str">
        <f>IFERROR(__xludf.DUMMYFUNCTION("SPLIT(A15395,"" "")"),"Fc1ccccc1NCc1ncccc1C(c1ccccn1)c1ccccn1")</f>
        <v>Fc1ccccc1NCc1ncccc1C(c1ccccn1)c1ccccn1</v>
      </c>
      <c r="C15395" s="7">
        <f>IFERROR(__xludf.DUMMYFUNCTION("""COMPUTED_VALUE"""),7.742897)</f>
        <v>7.742897</v>
      </c>
      <c r="D15395" s="7">
        <f>IFERROR(__xludf.DUMMYFUNCTION("""COMPUTED_VALUE"""),0.276595744680851)</f>
        <v>0.2765957447</v>
      </c>
    </row>
    <row r="15396">
      <c r="A15396" s="10" t="s">
        <v>16835</v>
      </c>
      <c r="B15396" s="7" t="str">
        <f>IFERROR(__xludf.DUMMYFUNCTION("SPLIT(A15396,"" "")"),"CC(c1ccccn1)c1ccc(C2=NCC(C)(C)O2)cn1")</f>
        <v>CC(c1ccccn1)c1ccc(C2=NCC(C)(C)O2)cn1</v>
      </c>
      <c r="C15396" s="7">
        <f>IFERROR(__xludf.DUMMYFUNCTION("""COMPUTED_VALUE"""),7.742895)</f>
        <v>7.742895</v>
      </c>
      <c r="D15396" s="7">
        <f>IFERROR(__xludf.DUMMYFUNCTION("""COMPUTED_VALUE"""),0.298245614035087)</f>
        <v>0.298245614</v>
      </c>
    </row>
    <row r="15397">
      <c r="A15397" s="10" t="s">
        <v>16836</v>
      </c>
      <c r="B15397" s="7" t="str">
        <f>IFERROR(__xludf.DUMMYFUNCTION("SPLIT(A15397,"" "")"),"CN(CCF)Cc1ncccc1-c1ccc(N(C)C)cc1")</f>
        <v>CN(CCF)Cc1ncccc1-c1ccc(N(C)C)cc1</v>
      </c>
      <c r="C15397" s="7">
        <f>IFERROR(__xludf.DUMMYFUNCTION("""COMPUTED_VALUE"""),7.7428846)</f>
        <v>7.7428846</v>
      </c>
      <c r="D15397" s="7">
        <f>IFERROR(__xludf.DUMMYFUNCTION("""COMPUTED_VALUE"""),0.347826086956521)</f>
        <v>0.347826087</v>
      </c>
    </row>
    <row r="15398">
      <c r="A15398" s="10" t="s">
        <v>16837</v>
      </c>
      <c r="B15398" s="7" t="str">
        <f>IFERROR(__xludf.DUMMYFUNCTION("SPLIT(A15398,"" "")"),"FCc1nccc(SCc2ccccn2)c1SCc1ccccn1")</f>
        <v>FCc1nccc(SCc2ccccn2)c1SCc1ccccn1</v>
      </c>
      <c r="C15398" s="7">
        <f>IFERROR(__xludf.DUMMYFUNCTION("""COMPUTED_VALUE"""),7.7428813)</f>
        <v>7.7428813</v>
      </c>
      <c r="D15398" s="7">
        <f>IFERROR(__xludf.DUMMYFUNCTION("""COMPUTED_VALUE"""),0.435897435897435)</f>
        <v>0.4358974359</v>
      </c>
    </row>
    <row r="15399">
      <c r="A15399" s="10" t="s">
        <v>16838</v>
      </c>
      <c r="B15399" s="7" t="str">
        <f>IFERROR(__xludf.DUMMYFUNCTION("SPLIT(A15399,"" "")"),"CN(CC1=CCC=C(N(C)Cc2cccc(C3=CCC=CN3)n2)N1)Cc1ccccn1")</f>
        <v>CN(CC1=CCC=C(N(C)Cc2cccc(C3=CCC=CN3)n2)N1)Cc1ccccn1</v>
      </c>
      <c r="C15399" s="7">
        <f>IFERROR(__xludf.DUMMYFUNCTION("""COMPUTED_VALUE"""),7.742878)</f>
        <v>7.742878</v>
      </c>
      <c r="D15399" s="7">
        <f>IFERROR(__xludf.DUMMYFUNCTION("""COMPUTED_VALUE"""),0.47457627118644)</f>
        <v>0.4745762712</v>
      </c>
    </row>
    <row r="15400">
      <c r="A15400" s="10" t="s">
        <v>16839</v>
      </c>
      <c r="B15400" s="7" t="str">
        <f>IFERROR(__xludf.DUMMYFUNCTION("SPLIT(A15400,"" "")"),"Cc1ccc(N(C)Cc2cc(C(C)(C)C)ccn2)cc1C")</f>
        <v>Cc1ccc(N(C)Cc2cc(C(C)(C)C)ccn2)cc1C</v>
      </c>
      <c r="C15400" s="7">
        <f>IFERROR(__xludf.DUMMYFUNCTION("""COMPUTED_VALUE"""),7.7428727)</f>
        <v>7.7428727</v>
      </c>
      <c r="D15400" s="7">
        <f>IFERROR(__xludf.DUMMYFUNCTION("""COMPUTED_VALUE"""),0.326530612244897)</f>
        <v>0.3265306122</v>
      </c>
    </row>
    <row r="15401">
      <c r="A15401" s="10" t="s">
        <v>16840</v>
      </c>
      <c r="B15401" s="7" t="str">
        <f>IFERROR(__xludf.DUMMYFUNCTION("SPLIT(A15401,"" "")"),"CC(C)C(C)N(C)Cc1cccc(N(C)c2ccc3nc(CF)ccc3c2)n1")</f>
        <v>CC(C)C(C)N(C)Cc1cccc(N(C)c2ccc3nc(CF)ccc3c2)n1</v>
      </c>
      <c r="C15401" s="7">
        <f>IFERROR(__xludf.DUMMYFUNCTION("""COMPUTED_VALUE"""),7.7428646)</f>
        <v>7.7428646</v>
      </c>
      <c r="D15401" s="7">
        <f>IFERROR(__xludf.DUMMYFUNCTION("""COMPUTED_VALUE"""),0.314814814814814)</f>
        <v>0.3148148148</v>
      </c>
    </row>
    <row r="15402">
      <c r="A15402" s="10" t="s">
        <v>16841</v>
      </c>
      <c r="B15402" s="7" t="str">
        <f>IFERROR(__xludf.DUMMYFUNCTION("SPLIT(A15402,"" "")"),"CCNCc1cccc(-c2cccc(Cl)c2NCc2ccccn2)n1")</f>
        <v>CCNCc1cccc(-c2cccc(Cl)c2NCc2ccccn2)n1</v>
      </c>
      <c r="C15402" s="7">
        <f>IFERROR(__xludf.DUMMYFUNCTION("""COMPUTED_VALUE"""),7.742863)</f>
        <v>7.742863</v>
      </c>
      <c r="D15402" s="7">
        <f>IFERROR(__xludf.DUMMYFUNCTION("""COMPUTED_VALUE"""),0.404255319148936)</f>
        <v>0.4042553191</v>
      </c>
    </row>
    <row r="15403">
      <c r="A15403" s="10" t="s">
        <v>16842</v>
      </c>
      <c r="B15403" s="7" t="str">
        <f>IFERROR(__xludf.DUMMYFUNCTION("SPLIT(A15403,"" "")"),"CNc1ccccc1-c1cc(C(C)(C)N(C)Cc2ccccn2)ccn1")</f>
        <v>CNc1ccccc1-c1cc(C(C)(C)N(C)Cc2ccccn2)ccn1</v>
      </c>
      <c r="C15403" s="7">
        <f>IFERROR(__xludf.DUMMYFUNCTION("""COMPUTED_VALUE"""),7.742861)</f>
        <v>7.742861</v>
      </c>
      <c r="D15403" s="7">
        <f>IFERROR(__xludf.DUMMYFUNCTION("""COMPUTED_VALUE"""),0.381818181818181)</f>
        <v>0.3818181818</v>
      </c>
    </row>
    <row r="15404">
      <c r="A15404" s="10" t="s">
        <v>16843</v>
      </c>
      <c r="B15404" s="7" t="str">
        <f>IFERROR(__xludf.DUMMYFUNCTION("SPLIT(A15404,"" "")"),"CN(C)c1ccccc1-c1ccc(CN(Cc2ccccn2)C2CCC(N(C)c3ccc4nc(CF)ccc4c3)CC2)cn1")</f>
        <v>CN(C)c1ccccc1-c1ccc(CN(Cc2ccccn2)C2CCC(N(C)c3ccc4nc(CF)ccc4c3)CC2)cn1</v>
      </c>
      <c r="C15404" s="7">
        <f>IFERROR(__xludf.DUMMYFUNCTION("""COMPUTED_VALUE"""),7.742857)</f>
        <v>7.742857</v>
      </c>
      <c r="D15404" s="7">
        <f>IFERROR(__xludf.DUMMYFUNCTION("""COMPUTED_VALUE"""),0.319444444444444)</f>
        <v>0.3194444444</v>
      </c>
    </row>
    <row r="15405">
      <c r="A15405" s="10" t="s">
        <v>16844</v>
      </c>
      <c r="B15405" s="7" t="str">
        <f>IFERROR(__xludf.DUMMYFUNCTION("SPLIT(A15405,"" "")"),"Cc1ccc2c(CN(C)C(C)C)ccnc2c1")</f>
        <v>Cc1ccc2c(CN(C)C(C)C)ccnc2c1</v>
      </c>
      <c r="C15405" s="7">
        <f>IFERROR(__xludf.DUMMYFUNCTION("""COMPUTED_VALUE"""),7.742857)</f>
        <v>7.742857</v>
      </c>
      <c r="D15405" s="7">
        <f>IFERROR(__xludf.DUMMYFUNCTION("""COMPUTED_VALUE"""),0.288888888888888)</f>
        <v>0.2888888889</v>
      </c>
    </row>
    <row r="15406">
      <c r="A15406" s="10" t="s">
        <v>16845</v>
      </c>
      <c r="B15406" s="7" t="str">
        <f>IFERROR(__xludf.DUMMYFUNCTION("SPLIT(A15406,"" "")"),"Cc1ccnc(CN(C)CCNc2ccc3nccc(CF)c3c2)c1C")</f>
        <v>Cc1ccnc(CN(C)CCNc2ccc3nccc(CF)c3c2)c1C</v>
      </c>
      <c r="C15406" s="7">
        <f>IFERROR(__xludf.DUMMYFUNCTION("""COMPUTED_VALUE"""),7.7428403)</f>
        <v>7.7428403</v>
      </c>
      <c r="D15406" s="7">
        <f>IFERROR(__xludf.DUMMYFUNCTION("""COMPUTED_VALUE"""),0.263157894736842)</f>
        <v>0.2631578947</v>
      </c>
    </row>
    <row r="15407">
      <c r="A15407" s="10" t="s">
        <v>16846</v>
      </c>
      <c r="B15407" s="7" t="str">
        <f>IFERROR(__xludf.DUMMYFUNCTION("SPLIT(A15407,"" "")"),"CN(C)c1cccc(-c2cccc(CN(Cc3ccccn3)C3CCC(N(C)c4ccc5nc(CF)ccc5c4)CC3)n2)c1")</f>
        <v>CN(C)c1cccc(-c2cccc(CN(Cc3ccccn3)C3CCC(N(C)c4ccc5nc(CF)ccc5c4)CC3)n2)c1</v>
      </c>
      <c r="C15407" s="7">
        <f>IFERROR(__xludf.DUMMYFUNCTION("""COMPUTED_VALUE"""),7.7428317)</f>
        <v>7.7428317</v>
      </c>
      <c r="D15407" s="7">
        <f>IFERROR(__xludf.DUMMYFUNCTION("""COMPUTED_VALUE"""),0.397260273972602)</f>
        <v>0.397260274</v>
      </c>
    </row>
    <row r="15408">
      <c r="A15408" s="10" t="s">
        <v>16847</v>
      </c>
      <c r="B15408" s="7" t="str">
        <f>IFERROR(__xludf.DUMMYFUNCTION("SPLIT(A15408,"" "")"),"CC(C)CN(C)Cc1cnccc1-c1cc(Cl)ccc1N")</f>
        <v>CC(C)CN(C)Cc1cnccc1-c1cc(Cl)ccc1N</v>
      </c>
      <c r="C15408" s="7">
        <f>IFERROR(__xludf.DUMMYFUNCTION("""COMPUTED_VALUE"""),7.742828)</f>
        <v>7.742828</v>
      </c>
      <c r="D15408" s="7">
        <f>IFERROR(__xludf.DUMMYFUNCTION("""COMPUTED_VALUE"""),0.224137931034482)</f>
        <v>0.224137931</v>
      </c>
    </row>
    <row r="15409">
      <c r="A15409" s="10" t="s">
        <v>16848</v>
      </c>
      <c r="B15409" s="7" t="str">
        <f>IFERROR(__xludf.DUMMYFUNCTION("SPLIT(A15409,"" "")"),"CCN(CCN(C)Cc1ccc2cccnc2c1)Cc1ccc2cccnc2c1")</f>
        <v>CCN(CCN(C)Cc1ccc2cccnc2c1)Cc1ccc2cccnc2c1</v>
      </c>
      <c r="C15409" s="7">
        <f>IFERROR(__xludf.DUMMYFUNCTION("""COMPUTED_VALUE"""),7.7428236)</f>
        <v>7.7428236</v>
      </c>
      <c r="D15409" s="7">
        <f>IFERROR(__xludf.DUMMYFUNCTION("""COMPUTED_VALUE"""),0.425531914893617)</f>
        <v>0.4255319149</v>
      </c>
    </row>
    <row r="15410">
      <c r="A15410" s="10" t="s">
        <v>16849</v>
      </c>
      <c r="B15410" s="7" t="str">
        <f>IFERROR(__xludf.DUMMYFUNCTION("SPLIT(A15410,"" "")"),"CN(CCN(Cc1ccccn1)c1ccc2nccc(CF)c2c1)Cc1ccccn1")</f>
        <v>CN(CCN(Cc1ccccn1)c1ccc2nccc(CF)c2c1)Cc1ccccn1</v>
      </c>
      <c r="C15410" s="7">
        <f>IFERROR(__xludf.DUMMYFUNCTION("""COMPUTED_VALUE"""),7.74282)</f>
        <v>7.74282</v>
      </c>
      <c r="D15410" s="7">
        <f>IFERROR(__xludf.DUMMYFUNCTION("""COMPUTED_VALUE"""),0.393442622950819)</f>
        <v>0.393442623</v>
      </c>
    </row>
    <row r="15411">
      <c r="A15411" s="10" t="s">
        <v>16850</v>
      </c>
      <c r="B15411" s="7" t="str">
        <f>IFERROR(__xludf.DUMMYFUNCTION("SPLIT(A15411,"" "")"),"Cc1cncc(CN(C)c2cc(N(C)C3CCCCC3N(C)c3ccc4ccc(CF)nc4c3)ccc2C)c1")</f>
        <v>Cc1cncc(CN(C)c2cc(N(C)C3CCCCC3N(C)c3ccc4ccc(CF)nc4c3)ccc2C)c1</v>
      </c>
      <c r="C15411" s="7">
        <f>IFERROR(__xludf.DUMMYFUNCTION("""COMPUTED_VALUE"""),7.7428193)</f>
        <v>7.7428193</v>
      </c>
      <c r="D15411" s="7">
        <f>IFERROR(__xludf.DUMMYFUNCTION("""COMPUTED_VALUE"""),0.43076923076923)</f>
        <v>0.4307692308</v>
      </c>
    </row>
    <row r="15412">
      <c r="A15412" s="10" t="s">
        <v>16851</v>
      </c>
      <c r="B15412" s="7" t="str">
        <f>IFERROR(__xludf.DUMMYFUNCTION("SPLIT(A15412,"" "")"),"Cc1ccc(CN(c2ccc(Cl)nc2)C2CCC(N(C)c3ccc4ccc(CF)nc4c3)CC2)nc1C")</f>
        <v>Cc1ccc(CN(c2ccc(Cl)nc2)C2CCC(N(C)c3ccc4ccc(CF)nc4c3)CC2)nc1C</v>
      </c>
      <c r="C15412" s="7">
        <f>IFERROR(__xludf.DUMMYFUNCTION("""COMPUTED_VALUE"""),7.7428045)</f>
        <v>7.7428045</v>
      </c>
      <c r="D15412" s="7">
        <f>IFERROR(__xludf.DUMMYFUNCTION("""COMPUTED_VALUE"""),0.309859154929577)</f>
        <v>0.3098591549</v>
      </c>
    </row>
    <row r="15413">
      <c r="A15413" s="10" t="s">
        <v>16852</v>
      </c>
      <c r="B15413" s="7" t="str">
        <f>IFERROR(__xludf.DUMMYFUNCTION("SPLIT(A15413,"" "")"),"C1=CNCC(NCc2cccc(C(c3ccccn3)c3ccccn3)n2)=C1")</f>
        <v>C1=CNCC(NCc2cccc(C(c3ccccn3)c3ccccn3)n2)=C1</v>
      </c>
      <c r="C15413" s="7">
        <f>IFERROR(__xludf.DUMMYFUNCTION("""COMPUTED_VALUE"""),7.742803)</f>
        <v>7.742803</v>
      </c>
      <c r="D15413" s="7">
        <f>IFERROR(__xludf.DUMMYFUNCTION("""COMPUTED_VALUE"""),0.3)</f>
        <v>0.3</v>
      </c>
    </row>
    <row r="15414">
      <c r="A15414" s="10" t="s">
        <v>16853</v>
      </c>
      <c r="B15414" s="7" t="str">
        <f>IFERROR(__xludf.DUMMYFUNCTION("SPLIT(A15414,"" "")"),"CN(CCN(C)c1ccc2ncc(CF)cc2c1)Cc1ccccn1")</f>
        <v>CN(CCN(C)c1ccc2ncc(CF)cc2c1)Cc1ccccn1</v>
      </c>
      <c r="C15414" s="7">
        <f>IFERROR(__xludf.DUMMYFUNCTION("""COMPUTED_VALUE"""),7.742802)</f>
        <v>7.742802</v>
      </c>
      <c r="D15414" s="7">
        <f>IFERROR(__xludf.DUMMYFUNCTION("""COMPUTED_VALUE"""),0.40983606557377)</f>
        <v>0.4098360656</v>
      </c>
    </row>
    <row r="15415">
      <c r="A15415" s="10" t="s">
        <v>16854</v>
      </c>
      <c r="B15415" s="7" t="str">
        <f>IFERROR(__xludf.DUMMYFUNCTION("SPLIT(A15415,"" "")"),"CNCCN(Cc1ccccn1)c1cccc2ccc(CF)nc12")</f>
        <v>CNCCN(Cc1ccccn1)c1cccc2ccc(CF)nc12</v>
      </c>
      <c r="C15415" s="7">
        <f>IFERROR(__xludf.DUMMYFUNCTION("""COMPUTED_VALUE"""),7.7428)</f>
        <v>7.7428</v>
      </c>
      <c r="D15415" s="7">
        <f>IFERROR(__xludf.DUMMYFUNCTION("""COMPUTED_VALUE"""),0.43103448275862)</f>
        <v>0.4310344828</v>
      </c>
    </row>
    <row r="15416">
      <c r="A15416" s="10" t="s">
        <v>16855</v>
      </c>
      <c r="B15416" s="7" t="str">
        <f>IFERROR(__xludf.DUMMYFUNCTION("SPLIT(A15416,"" "")"),"CNc1cccc(Cl)n1")</f>
        <v>CNc1cccc(Cl)n1</v>
      </c>
      <c r="C15416" s="7">
        <f>IFERROR(__xludf.DUMMYFUNCTION("""COMPUTED_VALUE"""),7.742793)</f>
        <v>7.742793</v>
      </c>
      <c r="D15416" s="7">
        <f>IFERROR(__xludf.DUMMYFUNCTION("""COMPUTED_VALUE"""),0.342105263157894)</f>
        <v>0.3421052632</v>
      </c>
    </row>
    <row r="15417">
      <c r="A15417" s="10" t="s">
        <v>16856</v>
      </c>
      <c r="B15417" s="7" t="str">
        <f>IFERROR(__xludf.DUMMYFUNCTION("SPLIT(A15417,"" "")"),"Cc1ccc(N(C)Cc2ccc(C(C)(C)C)cn2)cc1C")</f>
        <v>Cc1ccc(N(C)Cc2ccc(C(C)(C)C)cn2)cc1C</v>
      </c>
      <c r="C15417" s="7">
        <f>IFERROR(__xludf.DUMMYFUNCTION("""COMPUTED_VALUE"""),7.7427716)</f>
        <v>7.7427716</v>
      </c>
      <c r="D15417" s="7">
        <f>IFERROR(__xludf.DUMMYFUNCTION("""COMPUTED_VALUE"""),0.355555555555555)</f>
        <v>0.3555555556</v>
      </c>
    </row>
    <row r="15418">
      <c r="A15418" s="10" t="s">
        <v>16857</v>
      </c>
      <c r="B15418" s="7" t="str">
        <f>IFERROR(__xludf.DUMMYFUNCTION("SPLIT(A15418,"" "")"),"CC1C=CC(C)C(C)(c2cccc(CN(Cc3ccccn3)C3CCC(N(C)c4ccc5nc(-c6ccc7ncccc7c6)ccc5c4)CC3)n2)C1")</f>
        <v>CC1C=CC(C)C(C)(c2cccc(CN(Cc3ccccn3)C3CCC(N(C)c4ccc5nc(-c6ccc7ncccc7c6)ccc5c4)CC3)n2)C1</v>
      </c>
      <c r="C15418" s="7">
        <f>IFERROR(__xludf.DUMMYFUNCTION("""COMPUTED_VALUE"""),7.742771)</f>
        <v>7.742771</v>
      </c>
      <c r="D15418" s="7">
        <f>IFERROR(__xludf.DUMMYFUNCTION("""COMPUTED_VALUE"""),0.302325581395348)</f>
        <v>0.3023255814</v>
      </c>
    </row>
    <row r="15419">
      <c r="A15419" s="10" t="s">
        <v>16858</v>
      </c>
      <c r="B15419" s="7" t="str">
        <f>IFERROR(__xludf.DUMMYFUNCTION("SPLIT(A15419,"" "")"),"CC(C)N(Cc1ccccn1)Cc1ccc2cc(N(C)C3CCC(N(C)c4ccc5ncccc5c4)CC3)ccc2n1")</f>
        <v>CC(C)N(Cc1ccccn1)Cc1ccc2cc(N(C)C3CCC(N(C)c4ccc5ncccc5c4)CC3)ccc2n1</v>
      </c>
      <c r="C15419" s="7">
        <f>IFERROR(__xludf.DUMMYFUNCTION("""COMPUTED_VALUE"""),7.7427506)</f>
        <v>7.7427506</v>
      </c>
      <c r="D15419" s="7">
        <f>IFERROR(__xludf.DUMMYFUNCTION("""COMPUTED_VALUE"""),0.471698113207547)</f>
        <v>0.4716981132</v>
      </c>
    </row>
    <row r="15420">
      <c r="A15420" s="10" t="s">
        <v>16859</v>
      </c>
      <c r="B15420" s="7" t="str">
        <f>IFERROR(__xludf.DUMMYFUNCTION("SPLIT(A15420,"" "")"),"Cc1cc(C)c(CN(C)Cc2ccc(N(C)Cc3ncccc3C)cn2)nc1C")</f>
        <v>Cc1cc(C)c(CN(C)Cc2ccc(N(C)Cc3ncccc3C)cn2)nc1C</v>
      </c>
      <c r="C15420" s="7">
        <f>IFERROR(__xludf.DUMMYFUNCTION("""COMPUTED_VALUE"""),7.7427335)</f>
        <v>7.7427335</v>
      </c>
      <c r="D15420" s="7">
        <f>IFERROR(__xludf.DUMMYFUNCTION("""COMPUTED_VALUE"""),0.350877192982456)</f>
        <v>0.350877193</v>
      </c>
    </row>
    <row r="15421">
      <c r="A15421" s="10" t="s">
        <v>16860</v>
      </c>
      <c r="B15421" s="7" t="str">
        <f>IFERROR(__xludf.DUMMYFUNCTION("SPLIT(A15421,"" "")"),"CCN(CCN(C)Cc1nc(C)c(C)cc1C)c1cccc2cccnc12")</f>
        <v>CCN(CCN(C)Cc1nc(C)c(C)cc1C)c1cccc2cccnc12</v>
      </c>
      <c r="C15421" s="7">
        <f>IFERROR(__xludf.DUMMYFUNCTION("""COMPUTED_VALUE"""),7.7427287)</f>
        <v>7.7427287</v>
      </c>
      <c r="D15421" s="7">
        <f>IFERROR(__xludf.DUMMYFUNCTION("""COMPUTED_VALUE"""),0.470588235294117)</f>
        <v>0.4705882353</v>
      </c>
    </row>
    <row r="15422">
      <c r="A15422" s="10" t="s">
        <v>16861</v>
      </c>
      <c r="B15422" s="7" t="str">
        <f>IFERROR(__xludf.DUMMYFUNCTION("SPLIT(A15422,"" "")"),"Cc1ccc(CN(Cc2cc(N)ccn2)Cc2cccc(-c3cccc(C)c3C)n2)nc1")</f>
        <v>Cc1ccc(CN(Cc2cc(N)ccn2)Cc2cccc(-c3cccc(C)c3C)n2)nc1</v>
      </c>
      <c r="C15422" s="7">
        <f>IFERROR(__xludf.DUMMYFUNCTION("""COMPUTED_VALUE"""),7.742705)</f>
        <v>7.742705</v>
      </c>
      <c r="D15422" s="7">
        <f>IFERROR(__xludf.DUMMYFUNCTION("""COMPUTED_VALUE"""),0.384615384615384)</f>
        <v>0.3846153846</v>
      </c>
    </row>
    <row r="15423">
      <c r="A15423" s="10" t="s">
        <v>16862</v>
      </c>
      <c r="B15423" s="7" t="str">
        <f>IFERROR(__xludf.DUMMYFUNCTION("SPLIT(A15423,"" "")"),"Cc1cccnc1CN(C)Cc1cccc(N(C)Cc2nc(C)c(C)c(C)c2C)n1")</f>
        <v>Cc1cccnc1CN(C)Cc1cccc(N(C)Cc2nc(C)c(C)c(C)c2C)n1</v>
      </c>
      <c r="C15423" s="7">
        <f>IFERROR(__xludf.DUMMYFUNCTION("""COMPUTED_VALUE"""),7.7427044)</f>
        <v>7.7427044</v>
      </c>
      <c r="D15423" s="7">
        <f>IFERROR(__xludf.DUMMYFUNCTION("""COMPUTED_VALUE"""),0.381818181818181)</f>
        <v>0.3818181818</v>
      </c>
    </row>
    <row r="15424">
      <c r="A15424" s="10" t="s">
        <v>16863</v>
      </c>
      <c r="B15424" s="7" t="str">
        <f>IFERROR(__xludf.DUMMYFUNCTION("SPLIT(A15424,"" "")"),"CCN(Cc1ccccn1)c1ccccc1-c1cccnc1CN(Cc1ccccn1)C(C)(N)c1ccccn1")</f>
        <v>CCN(Cc1ccccn1)c1ccccc1-c1cccnc1CN(Cc1ccccn1)C(C)(N)c1ccccn1</v>
      </c>
      <c r="C15424" s="7">
        <f>IFERROR(__xludf.DUMMYFUNCTION("""COMPUTED_VALUE"""),7.7427)</f>
        <v>7.7427</v>
      </c>
      <c r="D15424" s="7">
        <f>IFERROR(__xludf.DUMMYFUNCTION("""COMPUTED_VALUE"""),0.344827586206896)</f>
        <v>0.3448275862</v>
      </c>
    </row>
    <row r="15425">
      <c r="A15425" s="10" t="s">
        <v>16864</v>
      </c>
      <c r="B15425" s="7" t="str">
        <f>IFERROR(__xludf.DUMMYFUNCTION("SPLIT(A15425,"" "")"),"Cc1cccc(-c2ccnc(CN(Cc3ccccn3)CC(C)(C)C)c2)c1N=Cc1ccccn1")</f>
        <v>Cc1cccc(-c2ccnc(CN(Cc3ccccn3)CC(C)(C)C)c2)c1N=Cc1ccccn1</v>
      </c>
      <c r="C15425" s="7">
        <f>IFERROR(__xludf.DUMMYFUNCTION("""COMPUTED_VALUE"""),7.7426944)</f>
        <v>7.7426944</v>
      </c>
      <c r="D15425" s="7">
        <f>IFERROR(__xludf.DUMMYFUNCTION("""COMPUTED_VALUE"""),0.456140350877192)</f>
        <v>0.4561403509</v>
      </c>
    </row>
    <row r="15426">
      <c r="A15426" s="10" t="s">
        <v>16865</v>
      </c>
      <c r="B15426" s="7" t="str">
        <f>IFERROR(__xludf.DUMMYFUNCTION("SPLIT(A15426,"" "")"),"CCN(Cc1cc(CF)ccn1)Cc1cc(-c2cccc(N(C)C)c2)ccn1")</f>
        <v>CCN(Cc1cc(CF)ccn1)Cc1cc(-c2cccc(N(C)C)c2)ccn1</v>
      </c>
      <c r="C15426" s="7">
        <f>IFERROR(__xludf.DUMMYFUNCTION("""COMPUTED_VALUE"""),7.742685)</f>
        <v>7.742685</v>
      </c>
      <c r="D15426" s="7">
        <f>IFERROR(__xludf.DUMMYFUNCTION("""COMPUTED_VALUE"""),0.30188679245283)</f>
        <v>0.3018867925</v>
      </c>
    </row>
    <row r="15427">
      <c r="A15427" s="10" t="s">
        <v>16866</v>
      </c>
      <c r="B15427" s="7" t="str">
        <f>IFERROR(__xludf.DUMMYFUNCTION("SPLIT(A15427,"" "")"),"Cc1cncc(CN(C)C2=CNC=CC2CN(C)Cc2ccc3ncccc3c2)c1")</f>
        <v>Cc1cncc(CN(C)C2=CNC=CC2CN(C)Cc2ccc3ncccc3c2)c1</v>
      </c>
      <c r="C15427" s="7">
        <f>IFERROR(__xludf.DUMMYFUNCTION("""COMPUTED_VALUE"""),7.742681)</f>
        <v>7.742681</v>
      </c>
      <c r="D15427" s="7">
        <f>IFERROR(__xludf.DUMMYFUNCTION("""COMPUTED_VALUE"""),0.242857142857142)</f>
        <v>0.2428571429</v>
      </c>
    </row>
    <row r="15428">
      <c r="A15428" s="10" t="s">
        <v>16867</v>
      </c>
      <c r="B15428" s="7" t="str">
        <f>IFERROR(__xludf.DUMMYFUNCTION("SPLIT(A15428,"" "")"),"Cc1ccc(N(C)CCN(C)Cc2cccc3ncccc23)cc1")</f>
        <v>Cc1ccc(N(C)CCN(C)Cc2cccc3ncccc23)cc1</v>
      </c>
      <c r="C15428" s="7">
        <f>IFERROR(__xludf.DUMMYFUNCTION("""COMPUTED_VALUE"""),7.742676)</f>
        <v>7.742676</v>
      </c>
      <c r="D15428" s="7">
        <f>IFERROR(__xludf.DUMMYFUNCTION("""COMPUTED_VALUE"""),0.478260869565217)</f>
        <v>0.4782608696</v>
      </c>
    </row>
    <row r="15429">
      <c r="A15429" s="10" t="s">
        <v>16868</v>
      </c>
      <c r="B15429" s="7" t="str">
        <f>IFERROR(__xludf.DUMMYFUNCTION("SPLIT(A15429,"" "")"),"CN(C)c1ccccc1-c1cccc(CN(Cc2ccccn2)C2CCC(N(C)c3ccc4ccc(CF)nc4c3)CC2)n1")</f>
        <v>CN(C)c1ccccc1-c1cccc(CN(Cc2ccccn2)C2CCC(N(C)c3ccc4ccc(CF)nc4c3)CC2)n1</v>
      </c>
      <c r="C15429" s="7">
        <f>IFERROR(__xludf.DUMMYFUNCTION("""COMPUTED_VALUE"""),7.7426643)</f>
        <v>7.7426643</v>
      </c>
      <c r="D15429" s="7">
        <f>IFERROR(__xludf.DUMMYFUNCTION("""COMPUTED_VALUE"""),0.393939393939393)</f>
        <v>0.3939393939</v>
      </c>
    </row>
    <row r="15430">
      <c r="A15430" s="10" t="s">
        <v>16869</v>
      </c>
      <c r="B15430" s="7" t="str">
        <f>IFERROR(__xludf.DUMMYFUNCTION("SPLIT(A15430,"" "")"),"Cc1ccnc2c(N(C)CCN(C)C(C)C)cccc12")</f>
        <v>Cc1ccnc2c(N(C)CCN(C)C(C)C)cccc12</v>
      </c>
      <c r="C15430" s="7">
        <f>IFERROR(__xludf.DUMMYFUNCTION("""COMPUTED_VALUE"""),7.7426553)</f>
        <v>7.7426553</v>
      </c>
      <c r="D15430" s="7">
        <f>IFERROR(__xludf.DUMMYFUNCTION("""COMPUTED_VALUE"""),0.488372093023255)</f>
        <v>0.488372093</v>
      </c>
    </row>
    <row r="15431">
      <c r="A15431" s="10" t="s">
        <v>16870</v>
      </c>
      <c r="B15431" s="7" t="str">
        <f>IFERROR(__xludf.DUMMYFUNCTION("SPLIT(A15431,"" "")"),"Cc1cccnc1CN(C)Cc1ncccc1N(C)Cc1nc(C)c(C)c(C)c1C")</f>
        <v>Cc1cccnc1CN(C)Cc1ncccc1N(C)Cc1nc(C)c(C)c(C)c1C</v>
      </c>
      <c r="C15431" s="7">
        <f>IFERROR(__xludf.DUMMYFUNCTION("""COMPUTED_VALUE"""),7.7426457)</f>
        <v>7.7426457</v>
      </c>
      <c r="D15431" s="7">
        <f>IFERROR(__xludf.DUMMYFUNCTION("""COMPUTED_VALUE"""),0.352941176470588)</f>
        <v>0.3529411765</v>
      </c>
    </row>
    <row r="15432">
      <c r="A15432" s="10" t="s">
        <v>16871</v>
      </c>
      <c r="B15432" s="7" t="str">
        <f>IFERROR(__xludf.DUMMYFUNCTION("SPLIT(A15432,"" "")"),"COC(=O)C(=O)C(=O)C1(C)N=COC1c1ccccn1")</f>
        <v>COC(=O)C(=O)C(=O)C1(C)N=COC1c1ccccn1</v>
      </c>
      <c r="C15432" s="7">
        <f>IFERROR(__xludf.DUMMYFUNCTION("""COMPUTED_VALUE"""),7.7426434)</f>
        <v>7.7426434</v>
      </c>
      <c r="D15432" s="7">
        <f>IFERROR(__xludf.DUMMYFUNCTION("""COMPUTED_VALUE"""),0.354838709677419)</f>
        <v>0.3548387097</v>
      </c>
    </row>
    <row r="15433">
      <c r="A15433" s="10" t="s">
        <v>16872</v>
      </c>
      <c r="B15433" s="7" t="str">
        <f>IFERROR(__xludf.DUMMYFUNCTION("SPLIT(A15433,"" "")"),"CN(CCCN(C)c1ccc2ncccc2c1)Cc1ccon1")</f>
        <v>CN(CCCN(C)c1ccc2ncccc2c1)Cc1ccon1</v>
      </c>
      <c r="C15433" s="7">
        <f>IFERROR(__xludf.DUMMYFUNCTION("""COMPUTED_VALUE"""),7.742639)</f>
        <v>7.742639</v>
      </c>
      <c r="D15433" s="7">
        <f>IFERROR(__xludf.DUMMYFUNCTION("""COMPUTED_VALUE"""),0.5)</f>
        <v>0.5</v>
      </c>
    </row>
    <row r="15434">
      <c r="A15434" s="10" t="s">
        <v>16873</v>
      </c>
      <c r="B15434" s="7" t="str">
        <f>IFERROR(__xludf.DUMMYFUNCTION("SPLIT(A15434,"" "")"),"CCN(Cc1cccc(-c2cccc(N=Cc3ccccn3)c2)n1)Cc1ccc2c(n1)CCC2")</f>
        <v>CCN(Cc1cccc(-c2cccc(N=Cc3ccccn3)c2)n1)Cc1ccc2c(n1)CCC2</v>
      </c>
      <c r="C15434" s="7">
        <f>IFERROR(__xludf.DUMMYFUNCTION("""COMPUTED_VALUE"""),7.742634)</f>
        <v>7.742634</v>
      </c>
      <c r="D15434" s="7">
        <f>IFERROR(__xludf.DUMMYFUNCTION("""COMPUTED_VALUE"""),0.408450704225352)</f>
        <v>0.4084507042</v>
      </c>
    </row>
    <row r="15435">
      <c r="A15435" s="10" t="s">
        <v>16874</v>
      </c>
      <c r="B15435" s="7" t="str">
        <f>IFERROR(__xludf.DUMMYFUNCTION("SPLIT(A15435,"" "")"),"CCN(CCN(C)c1cccc2nccc(C)c12)Cc1cccnc1")</f>
        <v>CCN(CCN(C)c1cccc2nccc(C)c12)Cc1cccnc1</v>
      </c>
      <c r="C15435" s="7">
        <f>IFERROR(__xludf.DUMMYFUNCTION("""COMPUTED_VALUE"""),7.7426305)</f>
        <v>7.7426305</v>
      </c>
      <c r="D15435" s="7">
        <f>IFERROR(__xludf.DUMMYFUNCTION("""COMPUTED_VALUE"""),0.345454545454545)</f>
        <v>0.3454545455</v>
      </c>
    </row>
    <row r="15436">
      <c r="A15436" s="10" t="s">
        <v>16875</v>
      </c>
      <c r="B15436" s="7" t="str">
        <f>IFERROR(__xludf.DUMMYFUNCTION("SPLIT(A15436,"" "")"),"CN(c1cccc2c3c(cnc12)CCCC3)C1CCCCC1N(C)c1cccc2ncc3c(c12)CCCC3")</f>
        <v>CN(c1cccc2c3c(cnc12)CCCC3)C1CCCCC1N(C)c1cccc2ncc3c(c12)CCCC3</v>
      </c>
      <c r="C15436" s="7">
        <f>IFERROR(__xludf.DUMMYFUNCTION("""COMPUTED_VALUE"""),7.7426295)</f>
        <v>7.7426295</v>
      </c>
      <c r="D15436" s="7">
        <f>IFERROR(__xludf.DUMMYFUNCTION("""COMPUTED_VALUE"""),0.46551724137931)</f>
        <v>0.4655172414</v>
      </c>
    </row>
    <row r="15437">
      <c r="A15437" s="10" t="s">
        <v>16876</v>
      </c>
      <c r="B15437" s="7" t="str">
        <f>IFERROR(__xludf.DUMMYFUNCTION("SPLIT(A15437,"" "")"),"CC1(C)CC(c2ccc(CN(Cc3ccccn3)Cc3cccc(-c4cccc(N=Cc5ccccn5)c4)n3)cn2)C1")</f>
        <v>CC1(C)CC(c2ccc(CN(Cc3ccccn3)Cc3cccc(-c4cccc(N=Cc5ccccn5)c4)n3)cn2)C1</v>
      </c>
      <c r="C15437" s="7">
        <f>IFERROR(__xludf.DUMMYFUNCTION("""COMPUTED_VALUE"""),7.7426267)</f>
        <v>7.7426267</v>
      </c>
      <c r="D15437" s="7">
        <f>IFERROR(__xludf.DUMMYFUNCTION("""COMPUTED_VALUE"""),0.438356164383561)</f>
        <v>0.4383561644</v>
      </c>
    </row>
    <row r="15438">
      <c r="A15438" s="10" t="s">
        <v>16877</v>
      </c>
      <c r="B15438" s="7" t="str">
        <f>IFERROR(__xludf.DUMMYFUNCTION("SPLIT(A15438,"" "")"),"Cc1ccc(-c2cc(CN(C)Cc3ccccn3)ccn2)cc1N")</f>
        <v>Cc1ccc(-c2cc(CN(C)Cc3ccccn3)ccn2)cc1N</v>
      </c>
      <c r="C15438" s="7">
        <f>IFERROR(__xludf.DUMMYFUNCTION("""COMPUTED_VALUE"""),7.7426195)</f>
        <v>7.7426195</v>
      </c>
      <c r="D15438" s="7">
        <f>IFERROR(__xludf.DUMMYFUNCTION("""COMPUTED_VALUE"""),0.470588235294117)</f>
        <v>0.4705882353</v>
      </c>
    </row>
    <row r="15439">
      <c r="A15439" s="10" t="s">
        <v>16878</v>
      </c>
      <c r="B15439" s="7" t="str">
        <f>IFERROR(__xludf.DUMMYFUNCTION("SPLIT(A15439,"" "")"),"CN(C)c1cccc(-c2cccc(CN(Cc3cccc(C(C)(C)C)n3)C3CCC(N(C)c4ccc5nc(CF)ccc5c4)CC3)n2)c1")</f>
        <v>CN(C)c1cccc(-c2cccc(CN(Cc3cccc(C(C)(C)C)n3)C3CCC(N(C)c4ccc5nc(CF)ccc5c4)CC3)n2)c1</v>
      </c>
      <c r="C15439" s="7">
        <f>IFERROR(__xludf.DUMMYFUNCTION("""COMPUTED_VALUE"""),7.74259)</f>
        <v>7.74259</v>
      </c>
      <c r="D15439" s="7">
        <f>IFERROR(__xludf.DUMMYFUNCTION("""COMPUTED_VALUE"""),0.298701298701298)</f>
        <v>0.2987012987</v>
      </c>
    </row>
    <row r="15440">
      <c r="A15440" s="10" t="s">
        <v>16879</v>
      </c>
      <c r="B15440" s="7" t="str">
        <f>IFERROR(__xludf.DUMMYFUNCTION("SPLIT(A15440,"" "")"),"CC(C)CN(C)CC1=CC(N(C)c2ccc3ncccc3c2)C=CN1")</f>
        <v>CC(C)CN(C)CC1=CC(N(C)c2ccc3ncccc3c2)C=CN1</v>
      </c>
      <c r="C15440" s="7">
        <f>IFERROR(__xludf.DUMMYFUNCTION("""COMPUTED_VALUE"""),7.74258)</f>
        <v>7.74258</v>
      </c>
      <c r="D15440" s="7">
        <f>IFERROR(__xludf.DUMMYFUNCTION("""COMPUTED_VALUE"""),0.3125)</f>
        <v>0.3125</v>
      </c>
    </row>
    <row r="15441">
      <c r="A15441" s="10" t="s">
        <v>16880</v>
      </c>
      <c r="B15441" s="7" t="str">
        <f>IFERROR(__xludf.DUMMYFUNCTION("SPLIT(A15441,"" "")"),"Cc1ccc(-c2ccc(CN(C)Cc3ccccn3)cn2)c(NCc2ccccn2)c1")</f>
        <v>Cc1ccc(-c2ccc(CN(C)Cc3ccccn3)cn2)c(NCc2ccccn2)c1</v>
      </c>
      <c r="C15441" s="7">
        <f>IFERROR(__xludf.DUMMYFUNCTION("""COMPUTED_VALUE"""),7.74258)</f>
        <v>7.74258</v>
      </c>
      <c r="D15441" s="7">
        <f>IFERROR(__xludf.DUMMYFUNCTION("""COMPUTED_VALUE"""),0.403508771929824)</f>
        <v>0.4035087719</v>
      </c>
    </row>
    <row r="15442">
      <c r="A15442" s="10" t="s">
        <v>16881</v>
      </c>
      <c r="B15442" s="7" t="str">
        <f>IFERROR(__xludf.DUMMYFUNCTION("SPLIT(A15442,"" "")"),"CCCN(C)Cc1cccc(-c2cccc(N=Cc3ccccn3)c2)n1")</f>
        <v>CCCN(C)Cc1cccc(-c2cccc(N=Cc3ccccn3)c2)n1</v>
      </c>
      <c r="C15442" s="7">
        <f>IFERROR(__xludf.DUMMYFUNCTION("""COMPUTED_VALUE"""),7.7425737)</f>
        <v>7.7425737</v>
      </c>
      <c r="D15442" s="7">
        <f>IFERROR(__xludf.DUMMYFUNCTION("""COMPUTED_VALUE"""),0.446428571428571)</f>
        <v>0.4464285714</v>
      </c>
    </row>
    <row r="15443">
      <c r="A15443" s="10" t="s">
        <v>16882</v>
      </c>
      <c r="B15443" s="7" t="str">
        <f>IFERROR(__xludf.DUMMYFUNCTION("SPLIT(A15443,"" "")"),"Cc1cc(NCc2ccccn2)ccc1-c1cncc(CN(C)C2CCCC(N(C)c3ccc4cccnc4c3)C2)c1")</f>
        <v>Cc1cc(NCc2ccccn2)ccc1-c1cncc(CN(C)C2CCCC(N(C)c3ccc4cccnc4c3)C2)c1</v>
      </c>
      <c r="C15443" s="7">
        <f>IFERROR(__xludf.DUMMYFUNCTION("""COMPUTED_VALUE"""),7.742573)</f>
        <v>7.742573</v>
      </c>
      <c r="D15443" s="7">
        <f>IFERROR(__xludf.DUMMYFUNCTION("""COMPUTED_VALUE"""),0.294871794871794)</f>
        <v>0.2948717949</v>
      </c>
    </row>
    <row r="15444">
      <c r="A15444" s="10" t="s">
        <v>16883</v>
      </c>
      <c r="B15444" s="7" t="str">
        <f>IFERROR(__xludf.DUMMYFUNCTION("SPLIT(A15444,"" "")"),"Cc1ccc(C)c(N(C)Cc2cccc(N)n2)c1")</f>
        <v>Cc1ccc(C)c(N(C)Cc2cccc(N)n2)c1</v>
      </c>
      <c r="C15444" s="7">
        <f>IFERROR(__xludf.DUMMYFUNCTION("""COMPUTED_VALUE"""),7.7425723)</f>
        <v>7.7425723</v>
      </c>
      <c r="D15444" s="7">
        <f>IFERROR(__xludf.DUMMYFUNCTION("""COMPUTED_VALUE"""),0.363636363636363)</f>
        <v>0.3636363636</v>
      </c>
    </row>
    <row r="15445">
      <c r="A15445" s="10" t="s">
        <v>16884</v>
      </c>
      <c r="B15445" s="7" t="str">
        <f>IFERROR(__xludf.DUMMYFUNCTION("SPLIT(A15445,"" "")"),"Cc1cnc(CN(CCN(C)c2ccc3nccc(CF)c3c2)CC(C)C)c(C)c1C")</f>
        <v>Cc1cnc(CN(CCN(C)c2ccc3nccc(CF)c3c2)CC(C)C)c(C)c1C</v>
      </c>
      <c r="C15445" s="7">
        <f>IFERROR(__xludf.DUMMYFUNCTION("""COMPUTED_VALUE"""),7.7425704)</f>
        <v>7.7425704</v>
      </c>
      <c r="D15445" s="7">
        <f>IFERROR(__xludf.DUMMYFUNCTION("""COMPUTED_VALUE"""),0.242424242424242)</f>
        <v>0.2424242424</v>
      </c>
    </row>
    <row r="15446">
      <c r="A15446" s="10" t="s">
        <v>16885</v>
      </c>
      <c r="B15446" s="7" t="str">
        <f>IFERROR(__xludf.DUMMYFUNCTION("SPLIT(A15446,"" "")"),"Cc1cnc(CN(C)CCNc2ccc3ncccc3c2)c(C)c1C")</f>
        <v>Cc1cnc(CN(C)CCNc2ccc3ncccc3c2)c(C)c1C</v>
      </c>
      <c r="C15446" s="7">
        <f>IFERROR(__xludf.DUMMYFUNCTION("""COMPUTED_VALUE"""),7.742569)</f>
        <v>7.742569</v>
      </c>
      <c r="D15446" s="7">
        <f>IFERROR(__xludf.DUMMYFUNCTION("""COMPUTED_VALUE"""),0.333333333333333)</f>
        <v>0.3333333333</v>
      </c>
    </row>
    <row r="15447">
      <c r="A15447" s="10" t="s">
        <v>16886</v>
      </c>
      <c r="B15447" s="7" t="str">
        <f>IFERROR(__xludf.DUMMYFUNCTION("SPLIT(A15447,"" "")"),"Cc1cc(-c2cccc(NCc3ccccn3)c2C)cnc1CN(Cc1ccccn1)C1CCC(N(C)c2cccc3ccc(CF)nc23)CC1")</f>
        <v>Cc1cc(-c2cccc(NCc3ccccn3)c2C)cnc1CN(Cc1ccccn1)C1CCC(N(C)c2cccc3ccc(CF)nc23)CC1</v>
      </c>
      <c r="C15447" s="7">
        <f>IFERROR(__xludf.DUMMYFUNCTION("""COMPUTED_VALUE"""),7.742556)</f>
        <v>7.742556</v>
      </c>
      <c r="D15447" s="7">
        <f>IFERROR(__xludf.DUMMYFUNCTION("""COMPUTED_VALUE"""),0.382716049382716)</f>
        <v>0.3827160494</v>
      </c>
    </row>
    <row r="15448">
      <c r="A15448" s="10" t="s">
        <v>16887</v>
      </c>
      <c r="B15448" s="7" t="str">
        <f>IFERROR(__xludf.DUMMYFUNCTION("SPLIT(A15448,"" "")"),"CCN(CCN(C)c1ccc2nccc(C)c2c1)Cc1ccccn1")</f>
        <v>CCN(CCN(C)c1ccc2nccc(C)c2c1)Cc1ccccn1</v>
      </c>
      <c r="C15448" s="7">
        <f>IFERROR(__xludf.DUMMYFUNCTION("""COMPUTED_VALUE"""),7.7425528)</f>
        <v>7.7425528</v>
      </c>
      <c r="D15448" s="7">
        <f>IFERROR(__xludf.DUMMYFUNCTION("""COMPUTED_VALUE"""),0.46)</f>
        <v>0.46</v>
      </c>
    </row>
    <row r="15449">
      <c r="A15449" s="10" t="s">
        <v>16888</v>
      </c>
      <c r="B15449" s="7" t="str">
        <f>IFERROR(__xludf.DUMMYFUNCTION("SPLIT(A15449,"" "")"),"CC(C)CN(Cc1ccccn1)Cc1ncccc1-c1cccc(N=Cc2ccccn2)c1")</f>
        <v>CC(C)CN(Cc1ccccn1)Cc1ncccc1-c1cccc(N=Cc2ccccn2)c1</v>
      </c>
      <c r="C15449" s="7">
        <f>IFERROR(__xludf.DUMMYFUNCTION("""COMPUTED_VALUE"""),7.7425385)</f>
        <v>7.7425385</v>
      </c>
      <c r="D15449" s="7">
        <f>IFERROR(__xludf.DUMMYFUNCTION("""COMPUTED_VALUE"""),0.35)</f>
        <v>0.35</v>
      </c>
    </row>
    <row r="15450">
      <c r="A15450" s="10" t="s">
        <v>16889</v>
      </c>
      <c r="B15450" s="7" t="str">
        <f>IFERROR(__xludf.DUMMYFUNCTION("SPLIT(A15450,"" "")"),"Cc1cc(C)c(CN(C)Cc2cccc(N(C)Cc3nc(C)c(C)cc3C)n2)cn1")</f>
        <v>Cc1cc(C)c(CN(C)Cc2cccc(N(C)Cc3nc(C)c(C)cc3C)n2)cn1</v>
      </c>
      <c r="C15450" s="7">
        <f>IFERROR(__xludf.DUMMYFUNCTION("""COMPUTED_VALUE"""),7.742529)</f>
        <v>7.742529</v>
      </c>
      <c r="D15450" s="7">
        <f>IFERROR(__xludf.DUMMYFUNCTION("""COMPUTED_VALUE"""),0.358490566037735)</f>
        <v>0.358490566</v>
      </c>
    </row>
    <row r="15451">
      <c r="A15451" s="10" t="s">
        <v>16890</v>
      </c>
      <c r="B15451" s="7" t="str">
        <f>IFERROR(__xludf.DUMMYFUNCTION("SPLIT(A15451,"" "")"),"Cc1nc(CN(C)Cc2cnccc2N(C)C)c(C)c(C)c1C")</f>
        <v>Cc1nc(CN(C)Cc2cnccc2N(C)C)c(C)c(C)c1C</v>
      </c>
      <c r="C15451" s="7">
        <f>IFERROR(__xludf.DUMMYFUNCTION("""COMPUTED_VALUE"""),7.7425275)</f>
        <v>7.7425275</v>
      </c>
      <c r="D15451" s="7">
        <f>IFERROR(__xludf.DUMMYFUNCTION("""COMPUTED_VALUE"""),0.269230769230769)</f>
        <v>0.2692307692</v>
      </c>
    </row>
    <row r="15452">
      <c r="A15452" s="10" t="s">
        <v>16891</v>
      </c>
      <c r="B15452" s="7" t="str">
        <f>IFERROR(__xludf.DUMMYFUNCTION("SPLIT(A15452,"" "")"),"Fc1ccccc1NCc1cc(C(c2ccccn2)c2ccccn2)ccn1")</f>
        <v>Fc1ccccc1NCc1cc(C(c2ccccn2)c2ccccn2)ccn1</v>
      </c>
      <c r="C15452" s="7">
        <f>IFERROR(__xludf.DUMMYFUNCTION("""COMPUTED_VALUE"""),7.7425222)</f>
        <v>7.7425222</v>
      </c>
      <c r="D15452" s="7">
        <f>IFERROR(__xludf.DUMMYFUNCTION("""COMPUTED_VALUE"""),0.319148936170212)</f>
        <v>0.3191489362</v>
      </c>
    </row>
    <row r="15453">
      <c r="A15453" s="10" t="s">
        <v>16892</v>
      </c>
      <c r="B15453" s="7" t="str">
        <f>IFERROR(__xludf.DUMMYFUNCTION("SPLIT(A15453,"" "")"),"Cc1ccc(CN(Cc2ccccn2)Cc2cc(C3=NC(=O)C(C(C)C)O3)ccn2)nc1")</f>
        <v>Cc1ccc(CN(Cc2ccccn2)Cc2cc(C3=NC(=O)C(C(C)C)O3)ccn2)nc1</v>
      </c>
      <c r="C15453" s="7">
        <f>IFERROR(__xludf.DUMMYFUNCTION("""COMPUTED_VALUE"""),7.7425075)</f>
        <v>7.7425075</v>
      </c>
      <c r="D15453" s="7">
        <f>IFERROR(__xludf.DUMMYFUNCTION("""COMPUTED_VALUE"""),0.37037037037037)</f>
        <v>0.3703703704</v>
      </c>
    </row>
    <row r="15454">
      <c r="A15454" s="10" t="s">
        <v>16893</v>
      </c>
      <c r="B15454" s="7" t="str">
        <f>IFERROR(__xludf.DUMMYFUNCTION("SPLIT(A15454,"" "")"),"CNCc1cccc(CN(C)Cc2cccc(-c3cccc(N)c3Cl)n2)n1")</f>
        <v>CNCc1cccc(CN(C)Cc2cccc(-c3cccc(N)c3Cl)n2)n1</v>
      </c>
      <c r="C15454" s="7">
        <f>IFERROR(__xludf.DUMMYFUNCTION("""COMPUTED_VALUE"""),7.7425017)</f>
        <v>7.7425017</v>
      </c>
      <c r="D15454" s="7">
        <f>IFERROR(__xludf.DUMMYFUNCTION("""COMPUTED_VALUE"""),0.403846153846153)</f>
        <v>0.4038461538</v>
      </c>
    </row>
    <row r="15455">
      <c r="A15455" s="10" t="s">
        <v>16894</v>
      </c>
      <c r="B15455" s="7" t="str">
        <f>IFERROR(__xludf.DUMMYFUNCTION("SPLIT(A15455,"" "")"),"Fc1ccccc1NCc1ccc(C(c2ccccn2)c2ccccn2)cn1")</f>
        <v>Fc1ccccc1NCc1ccc(C(c2ccccn2)c2ccccn2)cn1</v>
      </c>
      <c r="C15455" s="7">
        <f>IFERROR(__xludf.DUMMYFUNCTION("""COMPUTED_VALUE"""),7.7424974)</f>
        <v>7.7424974</v>
      </c>
      <c r="D15455" s="7">
        <f>IFERROR(__xludf.DUMMYFUNCTION("""COMPUTED_VALUE"""),0.319148936170212)</f>
        <v>0.3191489362</v>
      </c>
    </row>
    <row r="15456">
      <c r="A15456" s="10" t="s">
        <v>16895</v>
      </c>
      <c r="B15456" s="7" t="str">
        <f>IFERROR(__xludf.DUMMYFUNCTION("SPLIT(A15456,"" "")"),"Cc1ccc(CN(C)C2CCCCC2N(C)c2cccc3cccnc23)nc1-c1c(C)cccc1NCc1ccccn1")</f>
        <v>Cc1ccc(CN(C)C2CCCCC2N(C)c2cccc3cccnc23)nc1-c1c(C)cccc1NCc1ccccn1</v>
      </c>
      <c r="C15456" s="7">
        <f>IFERROR(__xludf.DUMMYFUNCTION("""COMPUTED_VALUE"""),7.742492)</f>
        <v>7.742492</v>
      </c>
      <c r="D15456" s="7">
        <f>IFERROR(__xludf.DUMMYFUNCTION("""COMPUTED_VALUE"""),0.492307692307692)</f>
        <v>0.4923076923</v>
      </c>
    </row>
    <row r="15457">
      <c r="A15457" s="10" t="s">
        <v>16896</v>
      </c>
      <c r="B15457" s="7" t="str">
        <f>IFERROR(__xludf.DUMMYFUNCTION("SPLIT(A15457,"" "")"),"Cc1cccc(N(C)CC2=CCC(N(C)Cc3ccccn3)=CN2)c1")</f>
        <v>Cc1cccc(N(C)CC2=CCC(N(C)Cc3ccccn3)=CN2)c1</v>
      </c>
      <c r="C15457" s="7">
        <f>IFERROR(__xludf.DUMMYFUNCTION("""COMPUTED_VALUE"""),7.7424726)</f>
        <v>7.7424726</v>
      </c>
      <c r="D15457" s="7">
        <f>IFERROR(__xludf.DUMMYFUNCTION("""COMPUTED_VALUE"""),0.406779661016949)</f>
        <v>0.406779661</v>
      </c>
    </row>
    <row r="15458">
      <c r="A15458" s="10" t="s">
        <v>16897</v>
      </c>
      <c r="B15458" s="7" t="str">
        <f>IFERROR(__xludf.DUMMYFUNCTION("SPLIT(A15458,"" "")"),"Cc1cncc(CN(C)c2c(Cl)ccc(N(C)C(C)(C)c3cccnc3CN(Cc3ccccn3)C3CCC(N(C)c4ccc5nc(CF)ccc5c4)CC3)c2Cl)c1")</f>
        <v>Cc1cncc(CN(C)c2c(Cl)ccc(N(C)C(C)(C)c3cccnc3CN(Cc3ccccn3)C3CCC(N(C)c4ccc5nc(CF)ccc5c4)CC3)c2Cl)c1</v>
      </c>
      <c r="C15458" s="7">
        <f>IFERROR(__xludf.DUMMYFUNCTION("""COMPUTED_VALUE"""),7.7424703)</f>
        <v>7.7424703</v>
      </c>
      <c r="D15458" s="7">
        <f>IFERROR(__xludf.DUMMYFUNCTION("""COMPUTED_VALUE"""),0.274725274725274)</f>
        <v>0.2747252747</v>
      </c>
    </row>
    <row r="15459">
      <c r="A15459" s="10" t="s">
        <v>16898</v>
      </c>
      <c r="B15459" s="7" t="str">
        <f>IFERROR(__xludf.DUMMYFUNCTION("SPLIT(A15459,"" "")"),"CC1=C(C)C2(C=C(C(C)C)NC3=C2C(C)(C)C(C)C(c2ccc(CN(Cc4ccccn4)Cc4ccccn4)cn2)=C3)C2(C(C)C=CC(C)C2C)C(c2cccc(CN(Cc3ccccn3)Cc3cccc(-c4ccc5ncccc5c4)n3)n2)C1c1cc(CN(Cc2ccccn2)Cc2ccccn2)ccn1")</f>
        <v>CC1=C(C)C2(C=C(C(C)C)NC3=C2C(C)(C)C(C)C(c2ccc(CN(Cc4ccccn4)Cc4ccccn4)cn2)=C3)C2(C(C)C=CC(C)C2C)C(c2cccc(CN(Cc3ccccn3)Cc3cccc(-c4ccc5ncccc5c4)n3)n2)C1c1cc(CN(Cc2ccccn2)Cc2ccccn2)ccn1</v>
      </c>
      <c r="C15459" s="7">
        <f>IFERROR(__xludf.DUMMYFUNCTION("""COMPUTED_VALUE"""),7.7424693)</f>
        <v>7.7424693</v>
      </c>
      <c r="D15459" s="7">
        <f>IFERROR(__xludf.DUMMYFUNCTION("""COMPUTED_VALUE"""),0.285714285714285)</f>
        <v>0.2857142857</v>
      </c>
    </row>
    <row r="15460">
      <c r="A15460" s="10" t="s">
        <v>16899</v>
      </c>
      <c r="B15460" s="7" t="str">
        <f>IFERROR(__xludf.DUMMYFUNCTION("SPLIT(A15460,"" "")"),"Cc1cc(NCc2ccccn2)ccc1-c1ccc(C)c(CN(C)C2CCCCC2N(C)c2ccc3cccnc3c2)n1")</f>
        <v>Cc1cc(NCc2ccccn2)ccc1-c1ccc(C)c(CN(C)C2CCCCC2N(C)c2ccc3cccnc3c2)n1</v>
      </c>
      <c r="C15460" s="7">
        <f>IFERROR(__xludf.DUMMYFUNCTION("""COMPUTED_VALUE"""),7.742467)</f>
        <v>7.742467</v>
      </c>
      <c r="D15460" s="7">
        <f>IFERROR(__xludf.DUMMYFUNCTION("""COMPUTED_VALUE"""),0.394366197183098)</f>
        <v>0.3943661972</v>
      </c>
    </row>
    <row r="15461">
      <c r="A15461" s="10" t="s">
        <v>16900</v>
      </c>
      <c r="B15461" s="7" t="str">
        <f>IFERROR(__xludf.DUMMYFUNCTION("SPLIT(A15461,"" "")"),"CNCc1cc(N(C)Cc2cc(C)c(C)c(C)n2)ccn1")</f>
        <v>CNCc1cc(N(C)Cc2cc(C)c(C)c(C)n2)ccn1</v>
      </c>
      <c r="C15461" s="7">
        <f>IFERROR(__xludf.DUMMYFUNCTION("""COMPUTED_VALUE"""),7.742462)</f>
        <v>7.742462</v>
      </c>
      <c r="D15461" s="7">
        <f>IFERROR(__xludf.DUMMYFUNCTION("""COMPUTED_VALUE"""),0.30188679245283)</f>
        <v>0.3018867925</v>
      </c>
    </row>
    <row r="15462">
      <c r="A15462" s="10" t="s">
        <v>16901</v>
      </c>
      <c r="B15462" s="7" t="str">
        <f>IFERROR(__xludf.DUMMYFUNCTION("SPLIT(A15462,"" "")"),"CNc1cc(Cl)ccc1C(C)(C)c1ccccn1")</f>
        <v>CNc1cc(Cl)ccc1C(C)(C)c1ccccn1</v>
      </c>
      <c r="C15462" s="7">
        <f>IFERROR(__xludf.DUMMYFUNCTION("""COMPUTED_VALUE"""),7.7424545)</f>
        <v>7.7424545</v>
      </c>
      <c r="D15462" s="7">
        <f>IFERROR(__xludf.DUMMYFUNCTION("""COMPUTED_VALUE"""),0.32)</f>
        <v>0.32</v>
      </c>
    </row>
    <row r="15463">
      <c r="A15463" s="10" t="s">
        <v>16902</v>
      </c>
      <c r="B15463" s="7" t="str">
        <f>IFERROR(__xludf.DUMMYFUNCTION("SPLIT(A15463,"" "")"),"Cc1cccc(-c2ccc(CN(Cc3ccccn3)Cc3cccc(N)n3)cn2)c1NCc1ccccn1")</f>
        <v>Cc1cccc(-c2ccc(CN(Cc3ccccn3)Cc3cccc(N)n3)cn2)c1NCc1ccccn1</v>
      </c>
      <c r="C15463" s="7">
        <f>IFERROR(__xludf.DUMMYFUNCTION("""COMPUTED_VALUE"""),7.7424483)</f>
        <v>7.7424483</v>
      </c>
      <c r="D15463" s="7">
        <f>IFERROR(__xludf.DUMMYFUNCTION("""COMPUTED_VALUE"""),0.365079365079365)</f>
        <v>0.3650793651</v>
      </c>
    </row>
    <row r="15464">
      <c r="A15464" s="10" t="s">
        <v>16903</v>
      </c>
      <c r="B15464" s="7" t="str">
        <f>IFERROR(__xludf.DUMMYFUNCTION("SPLIT(A15464,"" "")"),"CCN(CCN(C)Cc1ccc2ncccc2c1)Cc1ccc2ncccc2c1")</f>
        <v>CCN(CCN(C)Cc1ccc2ncccc2c1)Cc1ccc2ncccc2c1</v>
      </c>
      <c r="C15464" s="7">
        <f>IFERROR(__xludf.DUMMYFUNCTION("""COMPUTED_VALUE"""),7.7424383)</f>
        <v>7.7424383</v>
      </c>
      <c r="D15464" s="7">
        <f>IFERROR(__xludf.DUMMYFUNCTION("""COMPUTED_VALUE"""),0.425531914893617)</f>
        <v>0.4255319149</v>
      </c>
    </row>
    <row r="15465">
      <c r="A15465" s="10" t="s">
        <v>16904</v>
      </c>
      <c r="B15465" s="7" t="str">
        <f>IFERROR(__xludf.DUMMYFUNCTION("SPLIT(A15465,"" "")"),"Cc1cnc(CN(CCN(Cc2ccccn2)c2cccc3cccnc23)C(C)C)c(C)c1C")</f>
        <v>Cc1cnc(CN(CCN(Cc2ccccn2)c2cccc3cccnc23)C(C)C)c(C)c1C</v>
      </c>
      <c r="C15465" s="7">
        <f>IFERROR(__xludf.DUMMYFUNCTION("""COMPUTED_VALUE"""),7.7424192)</f>
        <v>7.7424192</v>
      </c>
      <c r="D15465" s="7">
        <f>IFERROR(__xludf.DUMMYFUNCTION("""COMPUTED_VALUE"""),0.5)</f>
        <v>0.5</v>
      </c>
    </row>
    <row r="15466">
      <c r="A15466" s="10" t="s">
        <v>16905</v>
      </c>
      <c r="B15466" s="7" t="str">
        <f>IFERROR(__xludf.DUMMYFUNCTION("SPLIT(A15466,"" "")"),"Cc1ccccc1-c1cc(CN(C)C2CCC(N(C)Cc3cccc(-c4cccc5cccnc45)n3)CC2)ccn1")</f>
        <v>Cc1ccccc1-c1cc(CN(C)C2CCC(N(C)Cc3cccc(-c4cccc5cccnc45)n3)CC2)ccn1</v>
      </c>
      <c r="C15466" s="7">
        <f>IFERROR(__xludf.DUMMYFUNCTION("""COMPUTED_VALUE"""),7.742419)</f>
        <v>7.742419</v>
      </c>
      <c r="D15466" s="7">
        <f>IFERROR(__xludf.DUMMYFUNCTION("""COMPUTED_VALUE"""),0.365079365079365)</f>
        <v>0.3650793651</v>
      </c>
    </row>
    <row r="15467">
      <c r="A15467" s="10" t="s">
        <v>16906</v>
      </c>
      <c r="B15467" s="7" t="str">
        <f>IFERROR(__xludf.DUMMYFUNCTION("SPLIT(A15467,"" "")"),"Cc1cncc(CN(C)c2ccccc2-c2cccc(CN(Cc3ccccn3)C(C)C)n2)c1")</f>
        <v>Cc1cncc(CN(C)c2ccccc2-c2cccc(CN(Cc3ccccn3)C(C)C)n2)c1</v>
      </c>
      <c r="C15467" s="7">
        <f>IFERROR(__xludf.DUMMYFUNCTION("""COMPUTED_VALUE"""),7.7424107)</f>
        <v>7.7424107</v>
      </c>
      <c r="D15467" s="7">
        <f>IFERROR(__xludf.DUMMYFUNCTION("""COMPUTED_VALUE"""),0.421052631578947)</f>
        <v>0.4210526316</v>
      </c>
    </row>
    <row r="15468">
      <c r="A15468" s="10" t="s">
        <v>16907</v>
      </c>
      <c r="B15468" s="7" t="str">
        <f>IFERROR(__xludf.DUMMYFUNCTION("SPLIT(A15468,"" "")"),"CN(CCN(C)c1cccc2cc(CF)cnc12)Cc1ccccn1")</f>
        <v>CN(CCN(C)c1cccc2cc(CF)cnc12)Cc1ccccn1</v>
      </c>
      <c r="C15468" s="7">
        <f>IFERROR(__xludf.DUMMYFUNCTION("""COMPUTED_VALUE"""),7.742405)</f>
        <v>7.742405</v>
      </c>
      <c r="D15468" s="7">
        <f>IFERROR(__xludf.DUMMYFUNCTION("""COMPUTED_VALUE"""),0.489795918367346)</f>
        <v>0.4897959184</v>
      </c>
    </row>
    <row r="15469">
      <c r="A15469" s="10" t="s">
        <v>16908</v>
      </c>
      <c r="B15469" s="7" t="str">
        <f>IFERROR(__xludf.DUMMYFUNCTION("SPLIT(A15469,"" "")"),"Cc1cnccc1CN(Cc1ccc2ncccc2c1)C1CCC(N(C)c2ccc3nccc(CF)c3c2)CC1")</f>
        <v>Cc1cnccc1CN(Cc1ccc2ncccc2c1)C1CCC(N(C)c2ccc3nccc(CF)c3c2)CC1</v>
      </c>
      <c r="C15469" s="7">
        <f>IFERROR(__xludf.DUMMYFUNCTION("""COMPUTED_VALUE"""),7.742403)</f>
        <v>7.742403</v>
      </c>
      <c r="D15469" s="7">
        <f>IFERROR(__xludf.DUMMYFUNCTION("""COMPUTED_VALUE"""),0.236842105263157)</f>
        <v>0.2368421053</v>
      </c>
    </row>
    <row r="15470">
      <c r="A15470" s="10" t="s">
        <v>16909</v>
      </c>
      <c r="B15470" s="7" t="str">
        <f>IFERROR(__xludf.DUMMYFUNCTION("SPLIT(A15470,"" "")"),"Cc1cnc(C2CCC2(C)C)c(C)c1CN(Cc1ccccn1)Cc1cccc(-c2cccc(N=Cc3ccccn3)c2)n1")</f>
        <v>Cc1cnc(C2CCC2(C)C)c(C)c1CN(Cc1ccccn1)Cc1cccc(-c2cccc(N=Cc3ccccn3)c2)n1</v>
      </c>
      <c r="C15470" s="7">
        <f>IFERROR(__xludf.DUMMYFUNCTION("""COMPUTED_VALUE"""),7.7423983)</f>
        <v>7.7423983</v>
      </c>
      <c r="D15470" s="7">
        <f>IFERROR(__xludf.DUMMYFUNCTION("""COMPUTED_VALUE"""),0.41025641025641)</f>
        <v>0.4102564103</v>
      </c>
    </row>
    <row r="15471">
      <c r="A15471" s="10" t="s">
        <v>16910</v>
      </c>
      <c r="B15471" s="7" t="str">
        <f>IFERROR(__xludf.DUMMYFUNCTION("SPLIT(A15471,"" "")"),"Cc1cccc(CN(C)Cc2ccc(N(C)Cc3cc(C)c(C)c(C)n3)cn2)n1")</f>
        <v>Cc1cccc(CN(C)Cc2ccc(N(C)Cc3cc(C)c(C)c(C)n3)cn2)n1</v>
      </c>
      <c r="C15471" s="7">
        <f>IFERROR(__xludf.DUMMYFUNCTION("""COMPUTED_VALUE"""),7.7423935)</f>
        <v>7.7423935</v>
      </c>
      <c r="D15471" s="7">
        <f>IFERROR(__xludf.DUMMYFUNCTION("""COMPUTED_VALUE"""),0.468085106382978)</f>
        <v>0.4680851064</v>
      </c>
    </row>
    <row r="15472">
      <c r="A15472" s="10" t="s">
        <v>16911</v>
      </c>
      <c r="B15472" s="7" t="str">
        <f>IFERROR(__xludf.DUMMYFUNCTION("SPLIT(A15472,"" "")"),"CC(C)C(C)(c1cccnc1)N(Cc1ccccn1)Cc1ccc(-c2cccc(N=Cc3ccccn3)c2)cn1")</f>
        <v>CC(C)C(C)(c1cccnc1)N(Cc1ccccn1)Cc1ccc(-c2cccc(N=Cc3ccccn3)c2)cn1</v>
      </c>
      <c r="C15472" s="7">
        <f>IFERROR(__xludf.DUMMYFUNCTION("""COMPUTED_VALUE"""),7.742391)</f>
        <v>7.742391</v>
      </c>
      <c r="D15472" s="7">
        <f>IFERROR(__xludf.DUMMYFUNCTION("""COMPUTED_VALUE"""),0.328358208955223)</f>
        <v>0.328358209</v>
      </c>
    </row>
    <row r="15473">
      <c r="A15473" s="10" t="s">
        <v>16912</v>
      </c>
      <c r="B15473" s="7" t="str">
        <f>IFERROR(__xludf.DUMMYFUNCTION("SPLIT(A15473,"" "")"),"CC(c1ccccn1)(c1ccccn1)c1cccnc1CNc1ccccc1F")</f>
        <v>CC(c1ccccn1)(c1ccccn1)c1cccnc1CNc1ccccc1F</v>
      </c>
      <c r="C15473" s="7">
        <f>IFERROR(__xludf.DUMMYFUNCTION("""COMPUTED_VALUE"""),7.742387)</f>
        <v>7.742387</v>
      </c>
      <c r="D15473" s="7">
        <f>IFERROR(__xludf.DUMMYFUNCTION("""COMPUTED_VALUE"""),0.375)</f>
        <v>0.375</v>
      </c>
    </row>
    <row r="15474">
      <c r="A15474" s="10" t="s">
        <v>16913</v>
      </c>
      <c r="B15474" s="7" t="str">
        <f>IFERROR(__xludf.DUMMYFUNCTION("SPLIT(A15474,"" "")"),"CC(C)[Si](c1cccc(CN(C)Cc2nc3ccccc3n2C)n1)(C(C)C)C(C)C")</f>
        <v>CC(C)[Si](c1cccc(CN(C)Cc2nc3ccccc3n2C)n1)(C(C)C)C(C)C</v>
      </c>
      <c r="C15474" s="7">
        <f>IFERROR(__xludf.DUMMYFUNCTION("""COMPUTED_VALUE"""),7.7423806)</f>
        <v>7.7423806</v>
      </c>
      <c r="D15474" s="7">
        <f>IFERROR(__xludf.DUMMYFUNCTION("""COMPUTED_VALUE"""),0.415094339622641)</f>
        <v>0.4150943396</v>
      </c>
    </row>
    <row r="15475">
      <c r="A15475" s="10" t="s">
        <v>16914</v>
      </c>
      <c r="B15475" s="7" t="str">
        <f>IFERROR(__xludf.DUMMYFUNCTION("SPLIT(A15475,"" "")"),"Cc1ccc(N(C)Cc2ncccc2C)cc1C")</f>
        <v>Cc1ccc(N(C)Cc2ncccc2C)cc1C</v>
      </c>
      <c r="C15475" s="7">
        <f>IFERROR(__xludf.DUMMYFUNCTION("""COMPUTED_VALUE"""),7.742372)</f>
        <v>7.742372</v>
      </c>
      <c r="D15475" s="7">
        <f>IFERROR(__xludf.DUMMYFUNCTION("""COMPUTED_VALUE"""),0.326086956521739)</f>
        <v>0.3260869565</v>
      </c>
    </row>
    <row r="15476">
      <c r="A15476" s="10" t="s">
        <v>16915</v>
      </c>
      <c r="B15476" s="7" t="str">
        <f>IFERROR(__xludf.DUMMYFUNCTION("SPLIT(A15476,"" "")"),"CN(CCNCc1ccccn1)c1cccc2ncccc12")</f>
        <v>CN(CCNCc1ccccn1)c1cccc2ncccc12</v>
      </c>
      <c r="C15476" s="7">
        <f>IFERROR(__xludf.DUMMYFUNCTION("""COMPUTED_VALUE"""),7.742362)</f>
        <v>7.742362</v>
      </c>
      <c r="D15476" s="7">
        <f>IFERROR(__xludf.DUMMYFUNCTION("""COMPUTED_VALUE"""),0.5)</f>
        <v>0.5</v>
      </c>
    </row>
    <row r="15477">
      <c r="A15477" s="10" t="s">
        <v>16916</v>
      </c>
      <c r="B15477" s="7" t="str">
        <f>IFERROR(__xludf.DUMMYFUNCTION("SPLIT(A15477,"" "")"),"Cc1ccnc(CN(C)Cc2ncccc2C(C)(c2ccccn2)c2ccccn2)c1C")</f>
        <v>Cc1ccnc(CN(C)Cc2ncccc2C(C)(c2ccccn2)c2ccccn2)c1C</v>
      </c>
      <c r="C15477" s="7">
        <f>IFERROR(__xludf.DUMMYFUNCTION("""COMPUTED_VALUE"""),7.7423615)</f>
        <v>7.7423615</v>
      </c>
      <c r="D15477" s="7">
        <f>IFERROR(__xludf.DUMMYFUNCTION("""COMPUTED_VALUE"""),0.358490566037735)</f>
        <v>0.358490566</v>
      </c>
    </row>
    <row r="15478">
      <c r="A15478" s="10" t="s">
        <v>16917</v>
      </c>
      <c r="B15478" s="7" t="str">
        <f>IFERROR(__xludf.DUMMYFUNCTION("SPLIT(A15478,"" "")"),"Cc1cc(N)ccc1-c1ccc(CN(C)C2CCCCC2N(C)c2ccc3c(CF)ccnc3c2)cn1")</f>
        <v>Cc1cc(N)ccc1-c1ccc(CN(C)C2CCCCC2N(C)c2ccc3c(CF)ccnc3c2)cn1</v>
      </c>
      <c r="C15478" s="7">
        <f>IFERROR(__xludf.DUMMYFUNCTION("""COMPUTED_VALUE"""),7.742352)</f>
        <v>7.742352</v>
      </c>
      <c r="D15478" s="7">
        <f>IFERROR(__xludf.DUMMYFUNCTION("""COMPUTED_VALUE"""),0.301369863013698)</f>
        <v>0.301369863</v>
      </c>
    </row>
    <row r="15479">
      <c r="A15479" s="10" t="s">
        <v>16918</v>
      </c>
      <c r="B15479" s="7" t="str">
        <f>IFERROR(__xludf.DUMMYFUNCTION("SPLIT(A15479,"" "")"),"CC(C)N(CC1=CC(N(C)c2ccc3ccc(CF)nc3c2)C=CN1)Cc1ccccn1")</f>
        <v>CC(C)N(CC1=CC(N(C)c2ccc3ccc(CF)nc3c2)C=CN1)Cc1ccccn1</v>
      </c>
      <c r="C15479" s="7">
        <f>IFERROR(__xludf.DUMMYFUNCTION("""COMPUTED_VALUE"""),7.7423496)</f>
        <v>7.7423496</v>
      </c>
      <c r="D15479" s="7">
        <f>IFERROR(__xludf.DUMMYFUNCTION("""COMPUTED_VALUE"""),0.387096774193548)</f>
        <v>0.3870967742</v>
      </c>
    </row>
    <row r="15480">
      <c r="A15480" s="10" t="s">
        <v>16919</v>
      </c>
      <c r="B15480" s="7" t="str">
        <f>IFERROR(__xludf.DUMMYFUNCTION("SPLIT(A15480,"" "")"),"CN(Cc1cccnn1)C1=C(N(C)Cc2cccnn2)NCC=C1")</f>
        <v>CN(Cc1cccnn1)C1=C(N(C)Cc2cccnn2)NCC=C1</v>
      </c>
      <c r="C15480" s="7">
        <f>IFERROR(__xludf.DUMMYFUNCTION("""COMPUTED_VALUE"""),7.7423444)</f>
        <v>7.7423444</v>
      </c>
      <c r="D15480" s="7">
        <f>IFERROR(__xludf.DUMMYFUNCTION("""COMPUTED_VALUE"""),0.476190476190476)</f>
        <v>0.4761904762</v>
      </c>
    </row>
    <row r="15481">
      <c r="A15481" s="10" t="s">
        <v>16920</v>
      </c>
      <c r="B15481" s="7" t="str">
        <f>IFERROR(__xludf.DUMMYFUNCTION("SPLIT(A15481,"" "")"),"C(=Nc1ccccc1-c1ccc(CN(Cc2ccccc2)Cc2ccccn2)nc1)c1ccccn1")</f>
        <v>C(=Nc1ccccc1-c1ccc(CN(Cc2ccccc2)Cc2ccccn2)nc1)c1ccccn1</v>
      </c>
      <c r="C15481" s="7">
        <f>IFERROR(__xludf.DUMMYFUNCTION("""COMPUTED_VALUE"""),7.7423387)</f>
        <v>7.7423387</v>
      </c>
      <c r="D15481" s="7">
        <f>IFERROR(__xludf.DUMMYFUNCTION("""COMPUTED_VALUE"""),0.416666666666666)</f>
        <v>0.4166666667</v>
      </c>
    </row>
    <row r="15482">
      <c r="A15482" s="10" t="s">
        <v>16921</v>
      </c>
      <c r="B15482" s="7" t="str">
        <f>IFERROR(__xludf.DUMMYFUNCTION("SPLIT(A15482,"" "")"),"Cc1cccc(N(Cc2cccc(N(C)C)c2)Cc2ccccn2)c1C(C)(C)C")</f>
        <v>Cc1cccc(N(Cc2cccc(N(C)C)c2)Cc2ccccn2)c1C(C)(C)C</v>
      </c>
      <c r="C15482" s="7">
        <f>IFERROR(__xludf.DUMMYFUNCTION("""COMPUTED_VALUE"""),7.742336)</f>
        <v>7.742336</v>
      </c>
      <c r="D15482" s="7">
        <f>IFERROR(__xludf.DUMMYFUNCTION("""COMPUTED_VALUE"""),0.381818181818181)</f>
        <v>0.3818181818</v>
      </c>
    </row>
    <row r="15483">
      <c r="A15483" s="10" t="s">
        <v>16922</v>
      </c>
      <c r="B15483" s="7" t="str">
        <f>IFERROR(__xludf.DUMMYFUNCTION("SPLIT(A15483,"" "")"),"CN(CN(Cc1ccccn1)C1CCCCC1N(C)c1cccc2ncc(CF)cc12)c1cccc2ncccc12")</f>
        <v>CN(CN(Cc1ccccn1)C1CCCCC1N(C)c1cccc2ncc(CF)cc12)c1cccc2ncccc12</v>
      </c>
      <c r="C15483" s="7">
        <f>IFERROR(__xludf.DUMMYFUNCTION("""COMPUTED_VALUE"""),7.7423353)</f>
        <v>7.7423353</v>
      </c>
      <c r="D15483" s="7">
        <f>IFERROR(__xludf.DUMMYFUNCTION("""COMPUTED_VALUE"""),0.393939393939393)</f>
        <v>0.3939393939</v>
      </c>
    </row>
    <row r="15484">
      <c r="A15484" s="10" t="s">
        <v>16923</v>
      </c>
      <c r="B15484" s="7" t="str">
        <f>IFERROR(__xludf.DUMMYFUNCTION("SPLIT(A15484,"" "")"),"CC(C)C(C)(c1cccnc1)N(C)Cc1cccc(-c2cccc(N=Cc3ccccn3)c2)n1")</f>
        <v>CC(C)C(C)(c1cccnc1)N(C)Cc1cccc(-c2cccc(N=Cc3ccccn3)c2)n1</v>
      </c>
      <c r="C15484" s="7">
        <f>IFERROR(__xludf.DUMMYFUNCTION("""COMPUTED_VALUE"""),7.742333)</f>
        <v>7.742333</v>
      </c>
      <c r="D15484" s="7">
        <f>IFERROR(__xludf.DUMMYFUNCTION("""COMPUTED_VALUE"""),0.36)</f>
        <v>0.36</v>
      </c>
    </row>
    <row r="15485">
      <c r="A15485" s="10" t="s">
        <v>16924</v>
      </c>
      <c r="B15485" s="7" t="str">
        <f>IFERROR(__xludf.DUMMYFUNCTION("SPLIT(A15485,"" "")"),"Cc1ccccc1N(C)CC1=C(N(C)Cc2ccccn2)CC=CN1")</f>
        <v>Cc1ccccc1N(C)CC1=C(N(C)Cc2ccccn2)CC=CN1</v>
      </c>
      <c r="C15485" s="7">
        <f>IFERROR(__xludf.DUMMYFUNCTION("""COMPUTED_VALUE"""),7.7423058)</f>
        <v>7.7423058</v>
      </c>
      <c r="D15485" s="7">
        <f>IFERROR(__xludf.DUMMYFUNCTION("""COMPUTED_VALUE"""),0.450980392156862)</f>
        <v>0.4509803922</v>
      </c>
    </row>
    <row r="15486">
      <c r="A15486" s="10" t="s">
        <v>16925</v>
      </c>
      <c r="B15486" s="7" t="str">
        <f>IFERROR(__xludf.DUMMYFUNCTION("SPLIT(A15486,"" "")"),"CNCCN(Cc1ccccn1)c1ccc2ncc(CF)cc2c1")</f>
        <v>CNCCN(Cc1ccccn1)c1ccc2ncc(CF)cc2c1</v>
      </c>
      <c r="C15486" s="7">
        <f>IFERROR(__xludf.DUMMYFUNCTION("""COMPUTED_VALUE"""),7.7423053)</f>
        <v>7.7423053</v>
      </c>
      <c r="D15486" s="7">
        <f>IFERROR(__xludf.DUMMYFUNCTION("""COMPUTED_VALUE"""),0.363636363636363)</f>
        <v>0.3636363636</v>
      </c>
    </row>
    <row r="15487">
      <c r="A15487" s="10" t="s">
        <v>16926</v>
      </c>
      <c r="B15487" s="7" t="str">
        <f>IFERROR(__xludf.DUMMYFUNCTION("SPLIT(A15487,"" "")"),"Cc1cnc(N(C)C2CCCC(N(C)c3ccc4c(CN(C)C)ccnc4c3)C2)c(C)c1")</f>
        <v>Cc1cnc(N(C)C2CCCC(N(C)c3ccc4c(CN(C)C)ccnc4c3)C2)c(C)c1</v>
      </c>
      <c r="C15487" s="7">
        <f>IFERROR(__xludf.DUMMYFUNCTION("""COMPUTED_VALUE"""),7.742301)</f>
        <v>7.742301</v>
      </c>
      <c r="D15487" s="7">
        <f>IFERROR(__xludf.DUMMYFUNCTION("""COMPUTED_VALUE"""),0.28125)</f>
        <v>0.28125</v>
      </c>
    </row>
    <row r="15488">
      <c r="A15488" s="10" t="s">
        <v>16927</v>
      </c>
      <c r="B15488" s="7" t="str">
        <f>IFERROR(__xludf.DUMMYFUNCTION("SPLIT(A15488,"" "")"),"COC(C)c1cccc(CN(Cc2ccccn2)Cc2cc(-c3ccccc3N(C)C)ccn2)n1")</f>
        <v>COC(C)c1cccc(CN(Cc2ccccn2)Cc2cc(-c3ccccc3N(C)C)ccn2)n1</v>
      </c>
      <c r="C15488" s="7">
        <f>IFERROR(__xludf.DUMMYFUNCTION("""COMPUTED_VALUE"""),7.7422824)</f>
        <v>7.7422824</v>
      </c>
      <c r="D15488" s="7">
        <f>IFERROR(__xludf.DUMMYFUNCTION("""COMPUTED_VALUE"""),0.4375)</f>
        <v>0.4375</v>
      </c>
    </row>
    <row r="15489">
      <c r="A15489" s="10" t="s">
        <v>16928</v>
      </c>
      <c r="B15489" s="7" t="str">
        <f>IFERROR(__xludf.DUMMYFUNCTION("SPLIT(A15489,"" "")"),"CN(C)c1ccccc1-c1ncccc1CN(Cc1ccccn1)C1CCC(N(C)c2ccc3nc(CF)ccc3c2)CC1")</f>
        <v>CN(C)c1ccccc1-c1ncccc1CN(Cc1ccccn1)C1CCC(N(C)c2ccc3nc(CF)ccc3c2)CC1</v>
      </c>
      <c r="C15489" s="7">
        <f>IFERROR(__xludf.DUMMYFUNCTION("""COMPUTED_VALUE"""),7.7422686)</f>
        <v>7.7422686</v>
      </c>
      <c r="D15489" s="7">
        <f>IFERROR(__xludf.DUMMYFUNCTION("""COMPUTED_VALUE"""),0.323943661971831)</f>
        <v>0.323943662</v>
      </c>
    </row>
    <row r="15490">
      <c r="A15490" s="10" t="s">
        <v>16929</v>
      </c>
      <c r="B15490" s="7" t="str">
        <f>IFERROR(__xludf.DUMMYFUNCTION("SPLIT(A15490,"" "")"),"Cc1ccc(C(C)(C)C)c(C)c1N(C)Cc1ccccn1")</f>
        <v>Cc1ccc(C(C)(C)C)c(C)c1N(C)Cc1ccccn1</v>
      </c>
      <c r="C15490" s="7">
        <f>IFERROR(__xludf.DUMMYFUNCTION("""COMPUTED_VALUE"""),7.742268)</f>
        <v>7.742268</v>
      </c>
      <c r="D15490" s="7">
        <f>IFERROR(__xludf.DUMMYFUNCTION("""COMPUTED_VALUE"""),0.466666666666666)</f>
        <v>0.4666666667</v>
      </c>
    </row>
    <row r="15491">
      <c r="A15491" s="10" t="s">
        <v>16930</v>
      </c>
      <c r="B15491" s="7" t="str">
        <f>IFERROR(__xludf.DUMMYFUNCTION("SPLIT(A15491,"" "")"),"Cc1nc(CN(C)CCN(C)c2cccc3ccnc(CN(Cc4ccccn4)Cc4cccnc4F)c23)c(C)c(C)c1C")</f>
        <v>Cc1nc(CN(C)CCN(C)c2cccc3ccnc(CN(Cc4ccccn4)Cc4cccnc4F)c23)c(C)c(C)c1C</v>
      </c>
      <c r="C15491" s="7">
        <f>IFERROR(__xludf.DUMMYFUNCTION("""COMPUTED_VALUE"""),7.7422657)</f>
        <v>7.7422657</v>
      </c>
      <c r="D15491" s="7">
        <f>IFERROR(__xludf.DUMMYFUNCTION("""COMPUTED_VALUE"""),0.355263157894736)</f>
        <v>0.3552631579</v>
      </c>
    </row>
    <row r="15492">
      <c r="A15492" s="10" t="s">
        <v>16931</v>
      </c>
      <c r="B15492" s="7" t="str">
        <f>IFERROR(__xludf.DUMMYFUNCTION("SPLIT(A15492,"" "")"),"CN(CCN(C)c1ccc2ncccc2c1)Cc1ccccn1")</f>
        <v>CN(CCN(C)c1ccc2ncccc2c1)Cc1ccccn1</v>
      </c>
      <c r="C15492" s="7">
        <f>IFERROR(__xludf.DUMMYFUNCTION("""COMPUTED_VALUE"""),7.7422643)</f>
        <v>7.7422643</v>
      </c>
      <c r="D15492" s="7">
        <f>IFERROR(__xludf.DUMMYFUNCTION("""COMPUTED_VALUE"""),0.458333333333333)</f>
        <v>0.4583333333</v>
      </c>
    </row>
    <row r="15493">
      <c r="A15493" s="10" t="s">
        <v>16932</v>
      </c>
      <c r="B15493" s="7" t="str">
        <f>IFERROR(__xludf.DUMMYFUNCTION("SPLIT(A15493,"" "")"),"CCN(Cc1ccccn1)c1ccc(-c2cccc(CN(Cc3ccccn3)Cc3nc(C)c(C)cc3C)n2)cc1")</f>
        <v>CCN(Cc1ccccn1)c1ccc(-c2cccc(CN(Cc3ccccn3)Cc3nc(C)c(C)cc3C)n2)cc1</v>
      </c>
      <c r="C15493" s="7">
        <f>IFERROR(__xludf.DUMMYFUNCTION("""COMPUTED_VALUE"""),7.742261)</f>
        <v>7.742261</v>
      </c>
      <c r="D15493" s="7">
        <f>IFERROR(__xludf.DUMMYFUNCTION("""COMPUTED_VALUE"""),0.483870967741935)</f>
        <v>0.4838709677</v>
      </c>
    </row>
    <row r="15494">
      <c r="A15494" s="10" t="s">
        <v>16933</v>
      </c>
      <c r="B15494" s="7" t="str">
        <f>IFERROR(__xludf.DUMMYFUNCTION("SPLIT(A15494,"" "")"),"Cc1cnc(CN(C)Cc2cccc(N(C)Cc3nc(C)c(C)cc3C)n2)c(C)c1")</f>
        <v>Cc1cnc(CN(C)Cc2cccc(N(C)Cc3nc(C)c(C)cc3C)n2)c(C)c1</v>
      </c>
      <c r="C15494" s="7">
        <f>IFERROR(__xludf.DUMMYFUNCTION("""COMPUTED_VALUE"""),7.742247)</f>
        <v>7.742247</v>
      </c>
      <c r="D15494" s="7">
        <f>IFERROR(__xludf.DUMMYFUNCTION("""COMPUTED_VALUE"""),0.346153846153846)</f>
        <v>0.3461538462</v>
      </c>
    </row>
    <row r="15495">
      <c r="A15495" s="10" t="s">
        <v>16934</v>
      </c>
      <c r="B15495" s="7" t="str">
        <f>IFERROR(__xludf.DUMMYFUNCTION("SPLIT(A15495,"" "")"),"C=CCN(C)Cc1cccc(-c2cc(Cl)ccc2N)n1")</f>
        <v>C=CCN(C)Cc1cccc(-c2cc(Cl)ccc2N)n1</v>
      </c>
      <c r="C15495" s="7">
        <f>IFERROR(__xludf.DUMMYFUNCTION("""COMPUTED_VALUE"""),7.742241)</f>
        <v>7.742241</v>
      </c>
      <c r="D15495" s="7">
        <f>IFERROR(__xludf.DUMMYFUNCTION("""COMPUTED_VALUE"""),0.37037037037037)</f>
        <v>0.3703703704</v>
      </c>
    </row>
    <row r="15496">
      <c r="A15496" s="10" t="s">
        <v>16935</v>
      </c>
      <c r="B15496" s="7" t="str">
        <f>IFERROR(__xludf.DUMMYFUNCTION("SPLIT(A15496,"" "")"),"CN(CCN(C)c1cccc2nc(CF)ccc12)Cc1cccnc1")</f>
        <v>CN(CCN(C)c1cccc2nc(CF)ccc12)Cc1cccnc1</v>
      </c>
      <c r="C15496" s="7">
        <f>IFERROR(__xludf.DUMMYFUNCTION("""COMPUTED_VALUE"""),7.7422347)</f>
        <v>7.7422347</v>
      </c>
      <c r="D15496" s="7">
        <f>IFERROR(__xludf.DUMMYFUNCTION("""COMPUTED_VALUE"""),0.377358490566037)</f>
        <v>0.3773584906</v>
      </c>
    </row>
    <row r="15497">
      <c r="A15497" s="10" t="s">
        <v>16936</v>
      </c>
      <c r="B15497" s="7" t="str">
        <f>IFERROR(__xludf.DUMMYFUNCTION("SPLIT(A15497,"" "")"),"Cc1cccnc1CN(CCN(C)c1ccc2nccc(CF)c2c1)C(C)C")</f>
        <v>Cc1cccnc1CN(CCN(C)c1ccc2nccc(CF)c2c1)C(C)C</v>
      </c>
      <c r="C15497" s="7">
        <f>IFERROR(__xludf.DUMMYFUNCTION("""COMPUTED_VALUE"""),7.7422295)</f>
        <v>7.7422295</v>
      </c>
      <c r="D15497" s="7">
        <f>IFERROR(__xludf.DUMMYFUNCTION("""COMPUTED_VALUE"""),0.362068965517241)</f>
        <v>0.3620689655</v>
      </c>
    </row>
    <row r="15498">
      <c r="A15498" s="10" t="s">
        <v>16937</v>
      </c>
      <c r="B15498" s="7" t="str">
        <f>IFERROR(__xludf.DUMMYFUNCTION("SPLIT(A15498,"" "")"),"FCNc1cc(-c2cc(C(NCc3ccccn3)c3ccccc3)ccn2)ccn1")</f>
        <v>FCNc1cc(-c2cc(C(NCc3ccccn3)c3ccccc3)ccn2)ccn1</v>
      </c>
      <c r="C15498" s="7">
        <f>IFERROR(__xludf.DUMMYFUNCTION("""COMPUTED_VALUE"""),7.7422285)</f>
        <v>7.7422285</v>
      </c>
      <c r="D15498" s="7">
        <f>IFERROR(__xludf.DUMMYFUNCTION("""COMPUTED_VALUE"""),0.323076923076923)</f>
        <v>0.3230769231</v>
      </c>
    </row>
    <row r="15499">
      <c r="A15499" s="10" t="s">
        <v>16938</v>
      </c>
      <c r="B15499" s="7" t="str">
        <f>IFERROR(__xludf.DUMMYFUNCTION("SPLIT(A15499,"" "")"),"Cc1c(NCc2ccccn2)cccc1-c1cccc(CNC(C)C)n1")</f>
        <v>Cc1c(NCc2ccccn2)cccc1-c1cccc(CNC(C)C)n1</v>
      </c>
      <c r="C15499" s="7">
        <f>IFERROR(__xludf.DUMMYFUNCTION("""COMPUTED_VALUE"""),7.742219)</f>
        <v>7.742219</v>
      </c>
      <c r="D15499" s="7">
        <f>IFERROR(__xludf.DUMMYFUNCTION("""COMPUTED_VALUE"""),0.363636363636363)</f>
        <v>0.3636363636</v>
      </c>
    </row>
    <row r="15500">
      <c r="A15500" s="10" t="s">
        <v>16939</v>
      </c>
      <c r="B15500" s="7" t="str">
        <f>IFERROR(__xludf.DUMMYFUNCTION("SPLIT(A15500,"" "")"),"CCN(C)CCN(C)c1cccc2nc(C)ccc12")</f>
        <v>CCN(C)CCN(C)c1cccc2nc(C)ccc12</v>
      </c>
      <c r="C15500" s="7">
        <f>IFERROR(__xludf.DUMMYFUNCTION("""COMPUTED_VALUE"""),7.742202)</f>
        <v>7.742202</v>
      </c>
      <c r="D15500" s="7">
        <f>IFERROR(__xludf.DUMMYFUNCTION("""COMPUTED_VALUE"""),0.409090909090909)</f>
        <v>0.4090909091</v>
      </c>
    </row>
    <row r="15501">
      <c r="A15501" s="10" t="s">
        <v>16940</v>
      </c>
      <c r="B15501" s="7" t="str">
        <f>IFERROR(__xludf.DUMMYFUNCTION("SPLIT(A15501,"" "")"),"CNc1ccc2nc(CN(C)C3CCC(N(C)c4ccc5nc(CF)ccc5c4)CC3)ccc2c1")</f>
        <v>CNc1ccc2nc(CN(C)C3CCC(N(C)c4ccc5nc(CF)ccc5c4)CC3)ccc2c1</v>
      </c>
      <c r="C15501" s="7">
        <f>IFERROR(__xludf.DUMMYFUNCTION("""COMPUTED_VALUE"""),7.7422013)</f>
        <v>7.7422013</v>
      </c>
      <c r="D15501" s="7">
        <f>IFERROR(__xludf.DUMMYFUNCTION("""COMPUTED_VALUE"""),0.333333333333333)</f>
        <v>0.3333333333</v>
      </c>
    </row>
    <row r="15502">
      <c r="A15502" s="10" t="s">
        <v>16941</v>
      </c>
      <c r="B15502" s="7" t="str">
        <f>IFERROR(__xludf.DUMMYFUNCTION("SPLIT(A15502,"" "")"),"CCNCc1ncccc1-c1cc(NCc2ccccn2)ccc1C")</f>
        <v>CCNCc1ncccc1-c1cc(NCc2ccccn2)ccc1C</v>
      </c>
      <c r="C15502" s="7">
        <f>IFERROR(__xludf.DUMMYFUNCTION("""COMPUTED_VALUE"""),7.7421937)</f>
        <v>7.7421937</v>
      </c>
      <c r="D15502" s="7">
        <f>IFERROR(__xludf.DUMMYFUNCTION("""COMPUTED_VALUE"""),0.375)</f>
        <v>0.375</v>
      </c>
    </row>
    <row r="15503">
      <c r="A15503" s="10" t="s">
        <v>16942</v>
      </c>
      <c r="B15503" s="7" t="str">
        <f>IFERROR(__xludf.DUMMYFUNCTION("SPLIT(A15503,"" "")"),"NCCNc1cccc2ncccc12")</f>
        <v>NCCNc1cccc2ncccc12</v>
      </c>
      <c r="C15503" s="7">
        <f>IFERROR(__xludf.DUMMYFUNCTION("""COMPUTED_VALUE"""),7.7421856)</f>
        <v>7.7421856</v>
      </c>
      <c r="D15503" s="7">
        <f>IFERROR(__xludf.DUMMYFUNCTION("""COMPUTED_VALUE"""),0.3)</f>
        <v>0.3</v>
      </c>
    </row>
    <row r="15504">
      <c r="A15504" s="10" t="s">
        <v>16943</v>
      </c>
      <c r="B15504" s="7" t="str">
        <f>IFERROR(__xludf.DUMMYFUNCTION("SPLIT(A15504,"" "")"),"Cc1cccnc1CN(C)Cc1cnccc1N(C)Cc1nc(C)c(C)c(C)c1C")</f>
        <v>Cc1cccnc1CN(C)Cc1cnccc1N(C)Cc1nc(C)c(C)c(C)c1C</v>
      </c>
      <c r="C15504" s="7">
        <f>IFERROR(__xludf.DUMMYFUNCTION("""COMPUTED_VALUE"""),7.7421794)</f>
        <v>7.7421794</v>
      </c>
      <c r="D15504" s="7">
        <f>IFERROR(__xludf.DUMMYFUNCTION("""COMPUTED_VALUE"""),0.310344827586206)</f>
        <v>0.3103448276</v>
      </c>
    </row>
    <row r="15505">
      <c r="A15505" s="10" t="s">
        <v>16944</v>
      </c>
      <c r="B15505" s="7" t="str">
        <f>IFERROR(__xludf.DUMMYFUNCTION("SPLIT(A15505,"" "")"),"Cc1cncc(CN(C)CCN(C)c2ccc3nc(CF)ccc3c2)c1")</f>
        <v>Cc1cncc(CN(C)CCN(C)c2ccc3nc(CF)ccc3c2)c1</v>
      </c>
      <c r="C15505" s="7">
        <f>IFERROR(__xludf.DUMMYFUNCTION("""COMPUTED_VALUE"""),7.7421474)</f>
        <v>7.7421474</v>
      </c>
      <c r="D15505" s="7">
        <f>IFERROR(__xludf.DUMMYFUNCTION("""COMPUTED_VALUE"""),0.372549019607843)</f>
        <v>0.3725490196</v>
      </c>
    </row>
    <row r="15506">
      <c r="A15506" s="10" t="s">
        <v>16945</v>
      </c>
      <c r="B15506" s="7" t="str">
        <f>IFERROR(__xludf.DUMMYFUNCTION("SPLIT(A15506,"" "")"),"Cc1ccccc1-c1ncccc1CN(C)Cc1ncccc1N")</f>
        <v>Cc1ccccc1-c1ncccc1CN(C)Cc1ncccc1N</v>
      </c>
      <c r="C15506" s="7">
        <f>IFERROR(__xludf.DUMMYFUNCTION("""COMPUTED_VALUE"""),7.7421465)</f>
        <v>7.7421465</v>
      </c>
      <c r="D15506" s="7">
        <f>IFERROR(__xludf.DUMMYFUNCTION("""COMPUTED_VALUE"""),0.352941176470588)</f>
        <v>0.3529411765</v>
      </c>
    </row>
    <row r="15507">
      <c r="A15507" s="10" t="s">
        <v>16946</v>
      </c>
      <c r="B15507" s="7" t="str">
        <f>IFERROR(__xludf.DUMMYFUNCTION("SPLIT(A15507,"" "")"),"Cc1cc(NCc2ccccn2)ccc1-c1ccc(CN(C)C2CCCCC2N(C)c2ccc3c(CF)ccnc3c2)cn1")</f>
        <v>Cc1cc(NCc2ccccn2)ccc1-c1ccc(CN(C)C2CCCCC2N(C)c2ccc3c(CF)ccnc3c2)cn1</v>
      </c>
      <c r="C15507" s="7">
        <f>IFERROR(__xludf.DUMMYFUNCTION("""COMPUTED_VALUE"""),7.7421446)</f>
        <v>7.7421446</v>
      </c>
      <c r="D15507" s="7">
        <f>IFERROR(__xludf.DUMMYFUNCTION("""COMPUTED_VALUE"""),0.363636363636363)</f>
        <v>0.3636363636</v>
      </c>
    </row>
    <row r="15508">
      <c r="A15508" s="10" t="s">
        <v>16947</v>
      </c>
      <c r="B15508" s="7" t="str">
        <f>IFERROR(__xludf.DUMMYFUNCTION("SPLIT(A15508,"" "")"),"CC(N)C(C)N(Cc1ccccn1)c1ccc2ncccc2c1")</f>
        <v>CC(N)C(C)N(Cc1ccccn1)c1ccc2ncccc2c1</v>
      </c>
      <c r="C15508" s="7">
        <f>IFERROR(__xludf.DUMMYFUNCTION("""COMPUTED_VALUE"""),7.742142)</f>
        <v>7.742142</v>
      </c>
      <c r="D15508" s="7">
        <f>IFERROR(__xludf.DUMMYFUNCTION("""COMPUTED_VALUE"""),0.416666666666666)</f>
        <v>0.4166666667</v>
      </c>
    </row>
    <row r="15509">
      <c r="A15509" s="10" t="s">
        <v>16948</v>
      </c>
      <c r="B15509" s="7" t="str">
        <f>IFERROR(__xludf.DUMMYFUNCTION("SPLIT(A15509,"" "")"),"Cc1cc(CNCc2ccccn2)cnc1-c1cccc(NCc2ccccn2)c1")</f>
        <v>Cc1cc(CNCc2ccccn2)cnc1-c1cccc(NCc2ccccn2)c1</v>
      </c>
      <c r="C15509" s="7">
        <f>IFERROR(__xludf.DUMMYFUNCTION("""COMPUTED_VALUE"""),7.742138)</f>
        <v>7.742138</v>
      </c>
      <c r="D15509" s="7">
        <f>IFERROR(__xludf.DUMMYFUNCTION("""COMPUTED_VALUE"""),0.395833333333333)</f>
        <v>0.3958333333</v>
      </c>
    </row>
    <row r="15510">
      <c r="A15510" s="10" t="s">
        <v>16949</v>
      </c>
      <c r="B15510" s="7" t="str">
        <f>IFERROR(__xludf.DUMMYFUNCTION("SPLIT(A15510,"" "")"),"CC1=CC(c2cc(CN(Cc3cc(-c4cccc(N=Cc5ccccn5)c4)ccn3)Cc3cc(C)c(C)c(C)n3)ccn2)C(C)CC1C")</f>
        <v>CC1=CC(c2cc(CN(Cc3cc(-c4cccc(N=Cc5ccccn5)c4)ccn3)Cc3cc(C)c(C)c(C)n3)ccn2)C(C)CC1C</v>
      </c>
      <c r="C15510" s="7">
        <f>IFERROR(__xludf.DUMMYFUNCTION("""COMPUTED_VALUE"""),7.742127)</f>
        <v>7.742127</v>
      </c>
      <c r="D15510" s="7">
        <f>IFERROR(__xludf.DUMMYFUNCTION("""COMPUTED_VALUE"""),0.289156626506024)</f>
        <v>0.2891566265</v>
      </c>
    </row>
    <row r="15511">
      <c r="A15511" s="10" t="s">
        <v>16950</v>
      </c>
      <c r="B15511" s="7" t="str">
        <f>IFERROR(__xludf.DUMMYFUNCTION("SPLIT(A15511,"" "")"),"FCc1ccc(C(c2ccccn2)c2ccccn2)c(NCc2ccccn2)n1")</f>
        <v>FCc1ccc(C(c2ccccn2)c2ccccn2)c(NCc2ccccn2)n1</v>
      </c>
      <c r="C15511" s="7">
        <f>IFERROR(__xludf.DUMMYFUNCTION("""COMPUTED_VALUE"""),7.742112)</f>
        <v>7.742112</v>
      </c>
      <c r="D15511" s="7">
        <f>IFERROR(__xludf.DUMMYFUNCTION("""COMPUTED_VALUE"""),0.377777777777777)</f>
        <v>0.3777777778</v>
      </c>
    </row>
    <row r="15512">
      <c r="A15512" s="10" t="s">
        <v>16951</v>
      </c>
      <c r="B15512" s="7" t="str">
        <f>IFERROR(__xludf.DUMMYFUNCTION("SPLIT(A15512,"" "")"),"CN(c1ccc2nc3c(cc2c1)CCCC3)C1CCCCC1N(C)c1ccc2cc(CF)cnc2c1")</f>
        <v>CN(c1ccc2nc3c(cc2c1)CCCC3)C1CCCCC1N(C)c1ccc2cc(CF)cnc2c1</v>
      </c>
      <c r="C15512" s="7">
        <f>IFERROR(__xludf.DUMMYFUNCTION("""COMPUTED_VALUE"""),7.742091)</f>
        <v>7.742091</v>
      </c>
      <c r="D15512" s="7">
        <f>IFERROR(__xludf.DUMMYFUNCTION("""COMPUTED_VALUE"""),0.451612903225806)</f>
        <v>0.4516129032</v>
      </c>
    </row>
    <row r="15513">
      <c r="A15513" s="10" t="s">
        <v>16952</v>
      </c>
      <c r="B15513" s="7" t="str">
        <f>IFERROR(__xludf.DUMMYFUNCTION("SPLIT(A15513,"" "")"),"CC(C)N(Cc1ccccn1)Cc1ncccc1-c1cccc(N(C)Cc2ccccn2)c1")</f>
        <v>CC(C)N(Cc1ccccn1)Cc1ncccc1-c1cccc(N(C)Cc2ccccn2)c1</v>
      </c>
      <c r="C15513" s="7">
        <f>IFERROR(__xludf.DUMMYFUNCTION("""COMPUTED_VALUE"""),7.742085)</f>
        <v>7.742085</v>
      </c>
      <c r="D15513" s="7">
        <f>IFERROR(__xludf.DUMMYFUNCTION("""COMPUTED_VALUE"""),0.5)</f>
        <v>0.5</v>
      </c>
    </row>
    <row r="15514">
      <c r="A15514" s="10" t="s">
        <v>16953</v>
      </c>
      <c r="B15514" s="7" t="str">
        <f>IFERROR(__xludf.DUMMYFUNCTION("SPLIT(A15514,"" "")"),"CN(CN(Cc1ccccn1)C1CCC(N(C)c2ccc3cccnc3c2)CC1)c1ccc2cccnc2c1")</f>
        <v>CN(CN(Cc1ccccn1)C1CCC(N(C)c2ccc3cccnc3c2)CC1)c1ccc2cccnc2c1</v>
      </c>
      <c r="C15514" s="7">
        <f>IFERROR(__xludf.DUMMYFUNCTION("""COMPUTED_VALUE"""),7.742077)</f>
        <v>7.742077</v>
      </c>
      <c r="D15514" s="7">
        <f>IFERROR(__xludf.DUMMYFUNCTION("""COMPUTED_VALUE"""),0.410714285714285)</f>
        <v>0.4107142857</v>
      </c>
    </row>
    <row r="15515">
      <c r="A15515" s="10" t="s">
        <v>16954</v>
      </c>
      <c r="B15515" s="7" t="str">
        <f>IFERROR(__xludf.DUMMYFUNCTION("SPLIT(A15515,"" "")"),"CCc1cccc(CNCc2ccc(-c3cccc(N=Cc4ccccn4)c3)cn2)c1")</f>
        <v>CCc1cccc(CNCc2ccc(-c3cccc(N=Cc4ccccn4)c3)cn2)c1</v>
      </c>
      <c r="C15515" s="7">
        <f>IFERROR(__xludf.DUMMYFUNCTION("""COMPUTED_VALUE"""),7.7420673)</f>
        <v>7.7420673</v>
      </c>
      <c r="D15515" s="7">
        <f>IFERROR(__xludf.DUMMYFUNCTION("""COMPUTED_VALUE"""),0.333333333333333)</f>
        <v>0.3333333333</v>
      </c>
    </row>
    <row r="15516">
      <c r="A15516" s="10" t="s">
        <v>16955</v>
      </c>
      <c r="B15516" s="7" t="str">
        <f>IFERROR(__xludf.DUMMYFUNCTION("SPLIT(A15516,"" "")"),"Cc1cccc(N(C)CC2=C(N(C)Cc3nccc(C)c3C)CC=CN2)c1C")</f>
        <v>Cc1cccc(N(C)CC2=C(N(C)Cc3nccc(C)c3C)CC=CN2)c1C</v>
      </c>
      <c r="C15516" s="7">
        <f>IFERROR(__xludf.DUMMYFUNCTION("""COMPUTED_VALUE"""),7.7420526)</f>
        <v>7.7420526</v>
      </c>
      <c r="D15516" s="7">
        <f>IFERROR(__xludf.DUMMYFUNCTION("""COMPUTED_VALUE"""),0.266666666666666)</f>
        <v>0.2666666667</v>
      </c>
    </row>
    <row r="15517">
      <c r="A15517" s="10" t="s">
        <v>16956</v>
      </c>
      <c r="B15517" s="7" t="str">
        <f>IFERROR(__xludf.DUMMYFUNCTION("SPLIT(A15517,"" "")"),"CN(Cc1ccc2ncccc2c1)C1CCCC(N(C)c2ccc3nccc(CF)c3c2)C1")</f>
        <v>CN(Cc1ccc2ncccc2c1)C1CCCC(N(C)c2ccc3nccc(CF)c3c2)C1</v>
      </c>
      <c r="C15517" s="7">
        <f>IFERROR(__xludf.DUMMYFUNCTION("""COMPUTED_VALUE"""),7.74205)</f>
        <v>7.74205</v>
      </c>
      <c r="D15517" s="7">
        <f>IFERROR(__xludf.DUMMYFUNCTION("""COMPUTED_VALUE"""),0.279411764705882)</f>
        <v>0.2794117647</v>
      </c>
    </row>
    <row r="15518">
      <c r="A15518" s="10" t="s">
        <v>16957</v>
      </c>
      <c r="B15518" s="7" t="str">
        <f>IFERROR(__xludf.DUMMYFUNCTION("SPLIT(A15518,"" "")"),"CCN(Cc1ccccn1)Cc1cc(-c2cccc(N(C)C)c2)ccn1")</f>
        <v>CCN(Cc1ccccn1)Cc1cc(-c2cccc(N(C)C)c2)ccn1</v>
      </c>
      <c r="C15518" s="7">
        <f>IFERROR(__xludf.DUMMYFUNCTION("""COMPUTED_VALUE"""),7.742044)</f>
        <v>7.742044</v>
      </c>
      <c r="D15518" s="7">
        <f>IFERROR(__xludf.DUMMYFUNCTION("""COMPUTED_VALUE"""),0.463414634146341)</f>
        <v>0.4634146341</v>
      </c>
    </row>
    <row r="15519">
      <c r="A15519" s="10" t="s">
        <v>16958</v>
      </c>
      <c r="B15519" s="7" t="str">
        <f>IFERROR(__xludf.DUMMYFUNCTION("SPLIT(A15519,"" "")"),"Cc1ccnc2cccc(N(C)CCN(C)C(C)C)c12")</f>
        <v>Cc1ccnc2cccc(N(C)CCN(C)C(C)C)c12</v>
      </c>
      <c r="C15519" s="7">
        <f>IFERROR(__xludf.DUMMYFUNCTION("""COMPUTED_VALUE"""),7.7420387)</f>
        <v>7.7420387</v>
      </c>
      <c r="D15519" s="7">
        <f>IFERROR(__xludf.DUMMYFUNCTION("""COMPUTED_VALUE"""),0.391304347826087)</f>
        <v>0.3913043478</v>
      </c>
    </row>
    <row r="15520">
      <c r="A15520" s="10" t="s">
        <v>16959</v>
      </c>
      <c r="B15520" s="7" t="str">
        <f>IFERROR(__xludf.DUMMYFUNCTION("SPLIT(A15520,"" "")"),"Cc1cnc(CN(C)Cc2ncccc2C(C)(c2ccccn2)c2ccccn2)c(C)c1")</f>
        <v>Cc1cnc(CN(C)Cc2ncccc2C(C)(c2ccccn2)c2ccccn2)c(C)c1</v>
      </c>
      <c r="C15520" s="7">
        <f>IFERROR(__xludf.DUMMYFUNCTION("""COMPUTED_VALUE"""),7.7420373)</f>
        <v>7.7420373</v>
      </c>
      <c r="D15520" s="7">
        <f>IFERROR(__xludf.DUMMYFUNCTION("""COMPUTED_VALUE"""),0.339285714285714)</f>
        <v>0.3392857143</v>
      </c>
    </row>
    <row r="15521">
      <c r="A15521" s="10" t="s">
        <v>16960</v>
      </c>
      <c r="B15521" s="7" t="str">
        <f>IFERROR(__xludf.DUMMYFUNCTION("SPLIT(A15521,"" "")"),"Cc1ccc(CN(Cc2ccc3ncccc3c2)C2CCCCC2N(C)c2ccc3nccc(CF)c3c2)nc1C")</f>
        <v>Cc1ccc(CN(Cc2ccc3ncccc3c2)C2CCCCC2N(C)c2ccc3nccc(CF)c3c2)nc1C</v>
      </c>
      <c r="C15521" s="7">
        <f>IFERROR(__xludf.DUMMYFUNCTION("""COMPUTED_VALUE"""),7.742036)</f>
        <v>7.742036</v>
      </c>
      <c r="D15521" s="7">
        <f>IFERROR(__xludf.DUMMYFUNCTION("""COMPUTED_VALUE"""),0.342105263157894)</f>
        <v>0.3421052632</v>
      </c>
    </row>
    <row r="15522">
      <c r="A15522" s="10" t="s">
        <v>16961</v>
      </c>
      <c r="B15522" s="7" t="str">
        <f>IFERROR(__xludf.DUMMYFUNCTION("SPLIT(A15522,"" "")"),"CCN(Cc1ccccn1)Cc1ncccc1-c1ccccc1N(C)C")</f>
        <v>CCN(Cc1ccccn1)Cc1ncccc1-c1ccccc1N(C)C</v>
      </c>
      <c r="C15522" s="7">
        <f>IFERROR(__xludf.DUMMYFUNCTION("""COMPUTED_VALUE"""),7.7420306)</f>
        <v>7.7420306</v>
      </c>
      <c r="D15522" s="7">
        <f>IFERROR(__xludf.DUMMYFUNCTION("""COMPUTED_VALUE"""),0.475)</f>
        <v>0.475</v>
      </c>
    </row>
    <row r="15523">
      <c r="A15523" s="10" t="s">
        <v>16962</v>
      </c>
      <c r="B15523" s="7" t="str">
        <f>IFERROR(__xludf.DUMMYFUNCTION("SPLIT(A15523,"" "")"),"Cc1ccc(C)c(N(C)CC2=C(N(C)Cc3ccccn3)CC=CN2)c1")</f>
        <v>Cc1ccc(C)c(N(C)CC2=C(N(C)Cc3ccccn3)CC=CN2)c1</v>
      </c>
      <c r="C15523" s="7">
        <f>IFERROR(__xludf.DUMMYFUNCTION("""COMPUTED_VALUE"""),7.7420225)</f>
        <v>7.7420225</v>
      </c>
      <c r="D15523" s="7">
        <f>IFERROR(__xludf.DUMMYFUNCTION("""COMPUTED_VALUE"""),0.444444444444444)</f>
        <v>0.4444444444</v>
      </c>
    </row>
    <row r="15524">
      <c r="A15524" s="10" t="s">
        <v>16963</v>
      </c>
      <c r="B15524" s="7" t="str">
        <f>IFERROR(__xludf.DUMMYFUNCTION("SPLIT(A15524,"" "")"),"CCNCc1ncccc1-c1c(C)cccc1NCc1ccccn1")</f>
        <v>CCNCc1ncccc1-c1c(C)cccc1NCc1ccccn1</v>
      </c>
      <c r="C15524" s="7">
        <f>IFERROR(__xludf.DUMMYFUNCTION("""COMPUTED_VALUE"""),7.742019)</f>
        <v>7.742019</v>
      </c>
      <c r="D15524" s="7">
        <f>IFERROR(__xludf.DUMMYFUNCTION("""COMPUTED_VALUE"""),0.375)</f>
        <v>0.375</v>
      </c>
    </row>
    <row r="15525">
      <c r="A15525" s="10" t="s">
        <v>16964</v>
      </c>
      <c r="B15525" s="7" t="str">
        <f>IFERROR(__xludf.DUMMYFUNCTION("SPLIT(A15525,"" "")"),"CNC1=C(N(C)Cc2nc(C)c(C)c(C)c2C)CC=CN1")</f>
        <v>CNC1=C(N(C)Cc2nc(C)c(C)c(C)c2C)CC=CN1</v>
      </c>
      <c r="C15525" s="7">
        <f>IFERROR(__xludf.DUMMYFUNCTION("""COMPUTED_VALUE"""),7.7419977)</f>
        <v>7.7419977</v>
      </c>
      <c r="D15525" s="7">
        <f>IFERROR(__xludf.DUMMYFUNCTION("""COMPUTED_VALUE"""),0.19047619047619)</f>
        <v>0.1904761905</v>
      </c>
    </row>
    <row r="15526">
      <c r="A15526" s="10" t="s">
        <v>16965</v>
      </c>
      <c r="B15526" s="7" t="str">
        <f>IFERROR(__xludf.DUMMYFUNCTION("SPLIT(A15526,"" "")"),"Cc1cccc(C2=NC(C3=NC(C(C)N=Cc4ccccn4)CO3)CO2)n1")</f>
        <v>Cc1cccc(C2=NC(C3=NC(C(C)N=Cc4ccccn4)CO3)CO2)n1</v>
      </c>
      <c r="C15526" s="7">
        <f>IFERROR(__xludf.DUMMYFUNCTION("""COMPUTED_VALUE"""),7.741981)</f>
        <v>7.741981</v>
      </c>
      <c r="D15526" s="7">
        <f>IFERROR(__xludf.DUMMYFUNCTION("""COMPUTED_VALUE"""),0.303030303030303)</f>
        <v>0.303030303</v>
      </c>
    </row>
    <row r="15527">
      <c r="A15527" s="10" t="s">
        <v>16966</v>
      </c>
      <c r="B15527" s="7" t="str">
        <f>IFERROR(__xludf.DUMMYFUNCTION("SPLIT(A15527,"" "")"),"CCOC(C)c1cccc(CN(Cc2ccccn2)Cc2cccc(-c3cccc(N=Cc4ccccn4)c3)n2)n1")</f>
        <v>CCOC(C)c1cccc(CN(Cc2ccccn2)Cc2cccc(-c3cccc(N=Cc4ccccn4)c3)n2)n1</v>
      </c>
      <c r="C15527" s="7">
        <f>IFERROR(__xludf.DUMMYFUNCTION("""COMPUTED_VALUE"""),7.7419777)</f>
        <v>7.7419777</v>
      </c>
      <c r="D15527" s="7">
        <f>IFERROR(__xludf.DUMMYFUNCTION("""COMPUTED_VALUE"""),0.5)</f>
        <v>0.5</v>
      </c>
    </row>
    <row r="15528">
      <c r="A15528" s="10" t="s">
        <v>16967</v>
      </c>
      <c r="B15528" s="7" t="str">
        <f>IFERROR(__xludf.DUMMYFUNCTION("SPLIT(A15528,"" "")"),"Clc1ccc(Cl)c(N(Cc2ccccn2)C2=CC=CNC2NCc2ccccn2)c1")</f>
        <v>Clc1ccc(Cl)c(N(Cc2ccccn2)C2=CC=CNC2NCc2ccccn2)c1</v>
      </c>
      <c r="C15528" s="7">
        <f>IFERROR(__xludf.DUMMYFUNCTION("""COMPUTED_VALUE"""),7.7419724)</f>
        <v>7.7419724</v>
      </c>
      <c r="D15528" s="7">
        <f>IFERROR(__xludf.DUMMYFUNCTION("""COMPUTED_VALUE"""),0.372881355932203)</f>
        <v>0.3728813559</v>
      </c>
    </row>
    <row r="15529">
      <c r="A15529" s="10" t="s">
        <v>16968</v>
      </c>
      <c r="B15529" s="7" t="str">
        <f>IFERROR(__xludf.DUMMYFUNCTION("SPLIT(A15529,"" "")"),"CCCN(C)Cc1cccc(-c2ccc(N=Cc3ccccn3)cc2)n1")</f>
        <v>CCCN(C)Cc1cccc(-c2ccc(N=Cc3ccccn3)cc2)n1</v>
      </c>
      <c r="C15529" s="7">
        <f>IFERROR(__xludf.DUMMYFUNCTION("""COMPUTED_VALUE"""),7.7419662)</f>
        <v>7.7419662</v>
      </c>
      <c r="D15529" s="7">
        <f>IFERROR(__xludf.DUMMYFUNCTION("""COMPUTED_VALUE"""),0.462962962962962)</f>
        <v>0.462962963</v>
      </c>
    </row>
    <row r="15530">
      <c r="A15530" s="10" t="s">
        <v>16969</v>
      </c>
      <c r="B15530" s="7" t="str">
        <f>IFERROR(__xludf.DUMMYFUNCTION("SPLIT(A15530,"" "")"),"CCN(Cc1ccccn1)c1ccc(C)c(C)c1N(C)Cc1ccccn1")</f>
        <v>CCN(Cc1ccccn1)c1ccc(C)c(C)c1N(C)Cc1ccccn1</v>
      </c>
      <c r="C15530" s="7">
        <f>IFERROR(__xludf.DUMMYFUNCTION("""COMPUTED_VALUE"""),7.741965)</f>
        <v>7.741965</v>
      </c>
      <c r="D15530" s="7">
        <f>IFERROR(__xludf.DUMMYFUNCTION("""COMPUTED_VALUE"""),0.478260869565217)</f>
        <v>0.4782608696</v>
      </c>
    </row>
    <row r="15531">
      <c r="A15531" s="10" t="s">
        <v>16970</v>
      </c>
      <c r="B15531" s="7" t="str">
        <f>IFERROR(__xludf.DUMMYFUNCTION("SPLIT(A15531,"" "")"),"Cc1ccc(N(Cc2ccccn2)Cc2ncccc2C(C)(C)c2ccccn2)cc1C")</f>
        <v>Cc1ccc(N(Cc2ccccn2)Cc2ncccc2C(C)(C)c2ccccn2)cc1C</v>
      </c>
      <c r="C15531" s="7">
        <f>IFERROR(__xludf.DUMMYFUNCTION("""COMPUTED_VALUE"""),7.741961)</f>
        <v>7.741961</v>
      </c>
      <c r="D15531" s="7">
        <f>IFERROR(__xludf.DUMMYFUNCTION("""COMPUTED_VALUE"""),0.357142857142857)</f>
        <v>0.3571428571</v>
      </c>
    </row>
    <row r="15532">
      <c r="A15532" s="10" t="s">
        <v>16971</v>
      </c>
      <c r="B15532" s="7" t="str">
        <f>IFERROR(__xludf.DUMMYFUNCTION("SPLIT(A15532,"" "")"),"CC(C)(CN(Cc1ccccn1)Cc1cccc(-c2cccc(N=Cc3ccccn3)c2)n1)c1ccccn1")</f>
        <v>CC(C)(CN(Cc1ccccn1)Cc1cccc(-c2cccc(N=Cc3ccccn3)c2)n1)c1ccccn1</v>
      </c>
      <c r="C15532" s="7">
        <f>IFERROR(__xludf.DUMMYFUNCTION("""COMPUTED_VALUE"""),7.741951)</f>
        <v>7.741951</v>
      </c>
      <c r="D15532" s="7">
        <f>IFERROR(__xludf.DUMMYFUNCTION("""COMPUTED_VALUE"""),0.476923076923076)</f>
        <v>0.4769230769</v>
      </c>
    </row>
    <row r="15533">
      <c r="A15533" s="10" t="s">
        <v>16972</v>
      </c>
      <c r="B15533" s="7" t="str">
        <f>IFERROR(__xludf.DUMMYFUNCTION("SPLIT(A15533,"" "")"),"CN(CCN(Cc1ccccn1)C(C)(C)c1ccccn1)c1cccc2ncccc12")</f>
        <v>CN(CCN(Cc1ccccn1)C(C)(C)c1ccccn1)c1cccc2ncccc12</v>
      </c>
      <c r="C15533" s="7">
        <f>IFERROR(__xludf.DUMMYFUNCTION("""COMPUTED_VALUE"""),7.74195)</f>
        <v>7.74195</v>
      </c>
      <c r="D15533" s="7">
        <f>IFERROR(__xludf.DUMMYFUNCTION("""COMPUTED_VALUE"""),0.407407407407407)</f>
        <v>0.4074074074</v>
      </c>
    </row>
    <row r="15534">
      <c r="A15534" s="10" t="s">
        <v>16973</v>
      </c>
      <c r="B15534" s="7" t="str">
        <f>IFERROR(__xludf.DUMMYFUNCTION("SPLIT(A15534,"" "")"),"CCN(CCN(C)c1cccc2nccc(C)c12)Cc1ccccn1")</f>
        <v>CCN(CCN(C)c1cccc2nccc(C)c12)Cc1ccccn1</v>
      </c>
      <c r="C15534" s="7">
        <f>IFERROR(__xludf.DUMMYFUNCTION("""COMPUTED_VALUE"""),7.7419496)</f>
        <v>7.7419496</v>
      </c>
      <c r="D15534" s="7">
        <f>IFERROR(__xludf.DUMMYFUNCTION("""COMPUTED_VALUE"""),0.46938775510204)</f>
        <v>0.4693877551</v>
      </c>
    </row>
    <row r="15535">
      <c r="A15535" s="10" t="s">
        <v>16974</v>
      </c>
      <c r="B15535" s="7" t="str">
        <f>IFERROR(__xludf.DUMMYFUNCTION("SPLIT(A15535,"" "")"),"CC(C)CN(Cc1ccccn1)Cc1ncccc1-c1ccccc1N=Cc1ccccn1")</f>
        <v>CC(C)CN(Cc1ccccn1)Cc1ncccc1-c1ccccc1N=Cc1ccccn1</v>
      </c>
      <c r="C15535" s="7">
        <f>IFERROR(__xludf.DUMMYFUNCTION("""COMPUTED_VALUE"""),7.741945)</f>
        <v>7.741945</v>
      </c>
      <c r="D15535" s="7">
        <f>IFERROR(__xludf.DUMMYFUNCTION("""COMPUTED_VALUE"""),0.403508771929824)</f>
        <v>0.4035087719</v>
      </c>
    </row>
    <row r="15536">
      <c r="A15536" s="10" t="s">
        <v>16975</v>
      </c>
      <c r="B15536" s="7" t="str">
        <f>IFERROR(__xludf.DUMMYFUNCTION("SPLIT(A15536,"" "")"),"CN(C)Cc1cccc(CN(Cc2ccccn2)Cc2cccc(-c3ccc(Cl)cc3N)n2)n1")</f>
        <v>CN(C)Cc1cccc(CN(Cc2ccccn2)Cc2cccc(-c3ccc(Cl)cc3N)n2)n1</v>
      </c>
      <c r="C15536" s="7">
        <f>IFERROR(__xludf.DUMMYFUNCTION("""COMPUTED_VALUE"""),7.7419405)</f>
        <v>7.7419405</v>
      </c>
      <c r="D15536" s="7">
        <f>IFERROR(__xludf.DUMMYFUNCTION("""COMPUTED_VALUE"""),0.47457627118644)</f>
        <v>0.4745762712</v>
      </c>
    </row>
    <row r="15537">
      <c r="A15537" s="10" t="s">
        <v>16976</v>
      </c>
      <c r="B15537" s="7" t="str">
        <f>IFERROR(__xludf.DUMMYFUNCTION("SPLIT(A15537,"" "")"),"Cc1cnc(-c2cccc(NCc3ccccn3)c2)c(CN(C)Cc2ccccn2)c1")</f>
        <v>Cc1cnc(-c2cccc(NCc3ccccn3)c2)c(CN(C)Cc2ccccn2)c1</v>
      </c>
      <c r="C15537" s="7">
        <f>IFERROR(__xludf.DUMMYFUNCTION("""COMPUTED_VALUE"""),7.74193)</f>
        <v>7.74193</v>
      </c>
      <c r="D15537" s="7">
        <f>IFERROR(__xludf.DUMMYFUNCTION("""COMPUTED_VALUE"""),0.403508771929824)</f>
        <v>0.4035087719</v>
      </c>
    </row>
    <row r="15538">
      <c r="A15538" s="10" t="s">
        <v>16977</v>
      </c>
      <c r="B15538" s="7" t="str">
        <f>IFERROR(__xludf.DUMMYFUNCTION("SPLIT(A15538,"" "")"),"Cc1ccc(C)c(N(C)Cc2ncccc2C)c1")</f>
        <v>Cc1ccc(C)c(N(C)Cc2ncccc2C)c1</v>
      </c>
      <c r="C15538" s="7">
        <f>IFERROR(__xludf.DUMMYFUNCTION("""COMPUTED_VALUE"""),7.7419205)</f>
        <v>7.7419205</v>
      </c>
      <c r="D15538" s="7">
        <f>IFERROR(__xludf.DUMMYFUNCTION("""COMPUTED_VALUE"""),0.377777777777777)</f>
        <v>0.3777777778</v>
      </c>
    </row>
    <row r="15539">
      <c r="A15539" s="10" t="s">
        <v>16978</v>
      </c>
      <c r="B15539" s="7" t="str">
        <f>IFERROR(__xludf.DUMMYFUNCTION("SPLIT(A15539,"" "")"),"CC(C)N(C)Cc1cncc(-c2cccc(N(C)C)c2)c1")</f>
        <v>CC(C)N(C)Cc1cncc(-c2cccc(N(C)C)c2)c1</v>
      </c>
      <c r="C15539" s="7">
        <f>IFERROR(__xludf.DUMMYFUNCTION("""COMPUTED_VALUE"""),7.741914)</f>
        <v>7.741914</v>
      </c>
      <c r="D15539" s="7">
        <f>IFERROR(__xludf.DUMMYFUNCTION("""COMPUTED_VALUE"""),0.23076923076923)</f>
        <v>0.2307692308</v>
      </c>
    </row>
    <row r="15540">
      <c r="A15540" s="10" t="s">
        <v>16979</v>
      </c>
      <c r="B15540" s="7" t="str">
        <f>IFERROR(__xludf.DUMMYFUNCTION("SPLIT(A15540,"" "")"),"CC(C)N(C)CN(C)c1cccc2nc(CF)ccc12")</f>
        <v>CC(C)N(C)CN(C)c1cccc2nc(CF)ccc12</v>
      </c>
      <c r="C15540" s="7">
        <f>IFERROR(__xludf.DUMMYFUNCTION("""COMPUTED_VALUE"""),7.741899)</f>
        <v>7.741899</v>
      </c>
      <c r="D15540" s="7">
        <f>IFERROR(__xludf.DUMMYFUNCTION("""COMPUTED_VALUE"""),0.363636363636363)</f>
        <v>0.3636363636</v>
      </c>
    </row>
    <row r="15541">
      <c r="A15541" s="10" t="s">
        <v>16980</v>
      </c>
      <c r="B15541" s="7" t="str">
        <f>IFERROR(__xludf.DUMMYFUNCTION("SPLIT(A15541,"" "")"),"CC(C)C1COC(c2cc(C3=NC(C)(C)CO3)ccn2)=N1")</f>
        <v>CC(C)C1COC(c2cc(C3=NC(C)(C)CO3)ccn2)=N1</v>
      </c>
      <c r="C15541" s="7">
        <f>IFERROR(__xludf.DUMMYFUNCTION("""COMPUTED_VALUE"""),7.7418847)</f>
        <v>7.7418847</v>
      </c>
      <c r="D15541" s="7">
        <f>IFERROR(__xludf.DUMMYFUNCTION("""COMPUTED_VALUE"""),0.38)</f>
        <v>0.38</v>
      </c>
    </row>
    <row r="15542">
      <c r="A15542" s="10" t="s">
        <v>16981</v>
      </c>
      <c r="B15542" s="7" t="str">
        <f>IFERROR(__xludf.DUMMYFUNCTION("SPLIT(A15542,"" "")"),"C1=CNC(NCc2cccc(-c3ccccn3)n2)C=C1")</f>
        <v>C1=CNC(NCc2cccc(-c3ccccn3)n2)C=C1</v>
      </c>
      <c r="C15542" s="7">
        <f>IFERROR(__xludf.DUMMYFUNCTION("""COMPUTED_VALUE"""),7.741883)</f>
        <v>7.741883</v>
      </c>
      <c r="D15542" s="7">
        <f>IFERROR(__xludf.DUMMYFUNCTION("""COMPUTED_VALUE"""),0.448979591836734)</f>
        <v>0.4489795918</v>
      </c>
    </row>
    <row r="15543">
      <c r="A15543" s="10" t="s">
        <v>16982</v>
      </c>
      <c r="B15543" s="7" t="str">
        <f>IFERROR(__xludf.DUMMYFUNCTION("SPLIT(A15543,"" "")"),"CC(C)N(C)Cc1ncccc1-c1cc(Cl)ccc1Cl")</f>
        <v>CC(C)N(C)Cc1ncccc1-c1cc(Cl)ccc1Cl</v>
      </c>
      <c r="C15543" s="7">
        <f>IFERROR(__xludf.DUMMYFUNCTION("""COMPUTED_VALUE"""),7.741881)</f>
        <v>7.741881</v>
      </c>
      <c r="D15543" s="7">
        <f>IFERROR(__xludf.DUMMYFUNCTION("""COMPUTED_VALUE"""),0.34)</f>
        <v>0.34</v>
      </c>
    </row>
    <row r="15544">
      <c r="A15544" s="10" t="s">
        <v>16983</v>
      </c>
      <c r="B15544" s="7" t="str">
        <f>IFERROR(__xludf.DUMMYFUNCTION("SPLIT(A15544,"" "")"),"CNc1cc(C)nc(CN(Cc2cc(C)c(C)c(C)n2)Cc2nc(C)c(C)c(C)c2C)c1")</f>
        <v>CNc1cc(C)nc(CN(Cc2cc(C)c(C)c(C)n2)Cc2nc(C)c(C)c(C)c2C)c1</v>
      </c>
      <c r="C15544" s="7">
        <f>IFERROR(__xludf.DUMMYFUNCTION("""COMPUTED_VALUE"""),7.7418776)</f>
        <v>7.7418776</v>
      </c>
      <c r="D15544" s="7">
        <f>IFERROR(__xludf.DUMMYFUNCTION("""COMPUTED_VALUE"""),0.222222222222222)</f>
        <v>0.2222222222</v>
      </c>
    </row>
    <row r="15545">
      <c r="A15545" s="10" t="s">
        <v>16984</v>
      </c>
      <c r="B15545" s="7" t="str">
        <f>IFERROR(__xludf.DUMMYFUNCTION("SPLIT(A15545,"" "")"),"CC(C)C(C)(c1cccnc1)c1cc(CN(Cc2ccccn2)Cc2ccc(-c3ccccc3N(C)C)cn2)ccn1")</f>
        <v>CC(C)C(C)(c1cccnc1)c1cc(CN(Cc2ccccn2)Cc2ccc(-c3ccccc3N(C)C)cn2)ccn1</v>
      </c>
      <c r="C15545" s="7">
        <f>IFERROR(__xludf.DUMMYFUNCTION("""COMPUTED_VALUE"""),7.741866)</f>
        <v>7.741866</v>
      </c>
      <c r="D15545" s="7">
        <f>IFERROR(__xludf.DUMMYFUNCTION("""COMPUTED_VALUE"""),0.317460317460317)</f>
        <v>0.3174603175</v>
      </c>
    </row>
    <row r="15546">
      <c r="A15546" s="10" t="s">
        <v>16985</v>
      </c>
      <c r="B15546" s="7" t="str">
        <f>IFERROR(__xludf.DUMMYFUNCTION("SPLIT(A15546,"" "")"),"CC(C)N(Cc1ccccn1)c1cccc(N=Cc2ccccn2)c1")</f>
        <v>CC(C)N(Cc1ccccn1)c1cccc(N=Cc2ccccn2)c1</v>
      </c>
      <c r="C15546" s="7">
        <f>IFERROR(__xludf.DUMMYFUNCTION("""COMPUTED_VALUE"""),7.7418456)</f>
        <v>7.7418456</v>
      </c>
      <c r="D15546" s="7">
        <f>IFERROR(__xludf.DUMMYFUNCTION("""COMPUTED_VALUE"""),0.458333333333333)</f>
        <v>0.4583333333</v>
      </c>
    </row>
    <row r="15547">
      <c r="A15547" s="10" t="s">
        <v>16986</v>
      </c>
      <c r="B15547" s="7" t="str">
        <f>IFERROR(__xludf.DUMMYFUNCTION("SPLIT(A15547,"" "")"),"C1=CC(c2cc(C(c3ccccc3)c3ccccn3)ccn2)C=CN1")</f>
        <v>C1=CC(c2cc(C(c3ccccc3)c3ccccn3)ccn2)C=CN1</v>
      </c>
      <c r="C15547" s="7">
        <f>IFERROR(__xludf.DUMMYFUNCTION("""COMPUTED_VALUE"""),7.741841)</f>
        <v>7.741841</v>
      </c>
      <c r="D15547" s="7">
        <f>IFERROR(__xludf.DUMMYFUNCTION("""COMPUTED_VALUE"""),0.327272727272727)</f>
        <v>0.3272727273</v>
      </c>
    </row>
    <row r="15548">
      <c r="A15548" s="10" t="s">
        <v>16987</v>
      </c>
      <c r="B15548" s="7" t="str">
        <f>IFERROR(__xludf.DUMMYFUNCTION("SPLIT(A15548,"" "")"),"Cc1ccccc1-c1ccc(CN(C)CC2=CCC=CN2)cn1")</f>
        <v>Cc1ccccc1-c1ccc(CN(C)CC2=CCC=CN2)cn1</v>
      </c>
      <c r="C15548" s="7">
        <f>IFERROR(__xludf.DUMMYFUNCTION("""COMPUTED_VALUE"""),7.741832)</f>
        <v>7.741832</v>
      </c>
      <c r="D15548" s="7">
        <f>IFERROR(__xludf.DUMMYFUNCTION("""COMPUTED_VALUE"""),0.421052631578947)</f>
        <v>0.4210526316</v>
      </c>
    </row>
    <row r="15549">
      <c r="A15549" s="10" t="s">
        <v>16988</v>
      </c>
      <c r="B15549" s="7" t="str">
        <f>IFERROR(__xludf.DUMMYFUNCTION("SPLIT(A15549,"" "")"),"CN(C)c1ccccc1-c1cncc(CN(Cc2ccccn2)C2CCC(N(C)c3cccc4ncc(CF)cc34)CC2)c1")</f>
        <v>CN(C)c1ccccc1-c1cncc(CN(Cc2ccccn2)C2CCC(N(C)c3cccc4ncc(CF)cc34)CC2)c1</v>
      </c>
      <c r="C15549" s="7">
        <f>IFERROR(__xludf.DUMMYFUNCTION("""COMPUTED_VALUE"""),7.7418284)</f>
        <v>7.7418284</v>
      </c>
      <c r="D15549" s="7">
        <f>IFERROR(__xludf.DUMMYFUNCTION("""COMPUTED_VALUE"""),0.297297297297297)</f>
        <v>0.2972972973</v>
      </c>
    </row>
    <row r="15550">
      <c r="A15550" s="10" t="s">
        <v>16989</v>
      </c>
      <c r="B15550" s="7" t="str">
        <f>IFERROR(__xludf.DUMMYFUNCTION("SPLIT(A15550,"" "")"),"Cc1nc(CN(C)C2=CCC=C(CN(C)C)N2)c(C)c(C)c1C")</f>
        <v>Cc1nc(CN(C)C2=CCC=C(CN(C)C)N2)c(C)c(C)c1C</v>
      </c>
      <c r="C15550" s="7">
        <f>IFERROR(__xludf.DUMMYFUNCTION("""COMPUTED_VALUE"""),7.7418175)</f>
        <v>7.7418175</v>
      </c>
      <c r="D15550" s="7">
        <f>IFERROR(__xludf.DUMMYFUNCTION("""COMPUTED_VALUE"""),0.196721311475409)</f>
        <v>0.1967213115</v>
      </c>
    </row>
    <row r="15551">
      <c r="A15551" s="10" t="s">
        <v>16990</v>
      </c>
      <c r="B15551" s="7" t="str">
        <f>IFERROR(__xludf.DUMMYFUNCTION("SPLIT(A15551,"" "")"),"Cc1cccnc1CN(Cc1ccc2ncccc2c1)C1CCC(N(C)c2ccc3nccc(CF)c3c2)CC1")</f>
        <v>Cc1cccnc1CN(Cc1ccc2ncccc2c1)C1CCC(N(C)c2ccc3nccc(CF)c3c2)CC1</v>
      </c>
      <c r="C15551" s="7">
        <f>IFERROR(__xludf.DUMMYFUNCTION("""COMPUTED_VALUE"""),7.7418165)</f>
        <v>7.7418165</v>
      </c>
      <c r="D15551" s="7">
        <f>IFERROR(__xludf.DUMMYFUNCTION("""COMPUTED_VALUE"""),0.243243243243243)</f>
        <v>0.2432432432</v>
      </c>
    </row>
    <row r="15552">
      <c r="A15552" s="10" t="s">
        <v>16991</v>
      </c>
      <c r="B15552" s="7" t="str">
        <f>IFERROR(__xludf.DUMMYFUNCTION("SPLIT(A15552,"" "")"),"CNC1=CNCC(NCc2ccccn2)=C1N(C)Cc1ccccn1")</f>
        <v>CNC1=CNCC(NCc2ccccn2)=C1N(C)Cc1ccccn1</v>
      </c>
      <c r="C15552" s="7">
        <f>IFERROR(__xludf.DUMMYFUNCTION("""COMPUTED_VALUE"""),7.741813)</f>
        <v>7.741813</v>
      </c>
      <c r="D15552" s="7">
        <f>IFERROR(__xludf.DUMMYFUNCTION("""COMPUTED_VALUE"""),0.396226415094339)</f>
        <v>0.3962264151</v>
      </c>
    </row>
    <row r="15553">
      <c r="A15553" s="10" t="s">
        <v>16992</v>
      </c>
      <c r="B15553" s="7" t="str">
        <f>IFERROR(__xludf.DUMMYFUNCTION("SPLIT(A15553,"" "")"),"CN(CN(C)C1CCCCC1N(C)c1ccc2cccnc2c1)c1ccc2cccnc2c1")</f>
        <v>CN(CN(C)C1CCCCC1N(C)c1ccc2cccnc2c1)c1ccc2cccnc2c1</v>
      </c>
      <c r="C15553" s="7">
        <f>IFERROR(__xludf.DUMMYFUNCTION("""COMPUTED_VALUE"""),7.7418065)</f>
        <v>7.7418065</v>
      </c>
      <c r="D15553" s="7">
        <f>IFERROR(__xludf.DUMMYFUNCTION("""COMPUTED_VALUE"""),0.470588235294117)</f>
        <v>0.4705882353</v>
      </c>
    </row>
    <row r="15554">
      <c r="A15554" s="10" t="s">
        <v>16993</v>
      </c>
      <c r="B15554" s="7" t="str">
        <f>IFERROR(__xludf.DUMMYFUNCTION("SPLIT(A15554,"" "")"),"CNc1cccc(Cl)c1C(C)(C)c1ccccn1")</f>
        <v>CNc1cccc(Cl)c1C(C)(C)c1ccccn1</v>
      </c>
      <c r="C15554" s="7">
        <f>IFERROR(__xludf.DUMMYFUNCTION("""COMPUTED_VALUE"""),7.7417927)</f>
        <v>7.7417927</v>
      </c>
      <c r="D15554" s="7">
        <f>IFERROR(__xludf.DUMMYFUNCTION("""COMPUTED_VALUE"""),0.339622641509433)</f>
        <v>0.3396226415</v>
      </c>
    </row>
    <row r="15555">
      <c r="A15555" s="10" t="s">
        <v>16994</v>
      </c>
      <c r="B15555" s="7" t="str">
        <f>IFERROR(__xludf.DUMMYFUNCTION("SPLIT(A15555,"" "")"),"CN1CCN(C)CC(c2ccc3ncccc3c2)N(Cc2nc3ccccc3n2C)CC1")</f>
        <v>CN1CCN(C)CC(c2ccc3ncccc3c2)N(Cc2nc3ccccc3n2C)CC1</v>
      </c>
      <c r="C15555" s="7">
        <f>IFERROR(__xludf.DUMMYFUNCTION("""COMPUTED_VALUE"""),7.741792)</f>
        <v>7.741792</v>
      </c>
      <c r="D15555" s="7">
        <f>IFERROR(__xludf.DUMMYFUNCTION("""COMPUTED_VALUE"""),0.5)</f>
        <v>0.5</v>
      </c>
    </row>
    <row r="15556">
      <c r="A15556" s="10" t="s">
        <v>16995</v>
      </c>
      <c r="B15556" s="7" t="str">
        <f>IFERROR(__xludf.DUMMYFUNCTION("SPLIT(A15556,"" "")"),"Cc1cnc(CN(C)Cc2cccc(N(C)Cc3cc(C)c(C)c(C)n3)n2)c(C)c1")</f>
        <v>Cc1cnc(CN(C)Cc2cccc(N(C)Cc3cc(C)c(C)c(C)n3)n2)c(C)c1</v>
      </c>
      <c r="C15556" s="7">
        <f>IFERROR(__xludf.DUMMYFUNCTION("""COMPUTED_VALUE"""),7.74178)</f>
        <v>7.74178</v>
      </c>
      <c r="D15556" s="7">
        <f>IFERROR(__xludf.DUMMYFUNCTION("""COMPUTED_VALUE"""),0.333333333333333)</f>
        <v>0.3333333333</v>
      </c>
    </row>
    <row r="15557">
      <c r="A15557" s="10" t="s">
        <v>16996</v>
      </c>
      <c r="B15557" s="7" t="str">
        <f>IFERROR(__xludf.DUMMYFUNCTION("SPLIT(A15557,"" "")"),"Cc1cc(NCc2ccccn2)ccc1-c1ncccc1CN(C)C1CCCC(N(C)c2ccc3cccnc3c2)C1")</f>
        <v>Cc1cc(NCc2ccccn2)ccc1-c1ncccc1CN(C)C1CCCC(N(C)c2ccc3cccnc3c2)C1</v>
      </c>
      <c r="C15557" s="7">
        <f>IFERROR(__xludf.DUMMYFUNCTION("""COMPUTED_VALUE"""),7.7417645)</f>
        <v>7.7417645</v>
      </c>
      <c r="D15557" s="7">
        <f>IFERROR(__xludf.DUMMYFUNCTION("""COMPUTED_VALUE"""),0.306666666666666)</f>
        <v>0.3066666667</v>
      </c>
    </row>
    <row r="15558">
      <c r="A15558" s="10" t="s">
        <v>16997</v>
      </c>
      <c r="B15558" s="7" t="str">
        <f>IFERROR(__xludf.DUMMYFUNCTION("SPLIT(A15558,"" "")"),"Cc1cnc(C)c(CN(Cc2ccc(N(C)Cc3ncccc3C)cn2)Cc2nc(C)c(C)c(C)c2C)c1")</f>
        <v>Cc1cnc(C)c(CN(Cc2ccc(N(C)Cc3ncccc3C)cn2)Cc2nc(C)c(C)c(C)c2C)c1</v>
      </c>
      <c r="C15558" s="7">
        <f>IFERROR(__xludf.DUMMYFUNCTION("""COMPUTED_VALUE"""),7.741759)</f>
        <v>7.741759</v>
      </c>
      <c r="D15558" s="7">
        <f>IFERROR(__xludf.DUMMYFUNCTION("""COMPUTED_VALUE"""),0.295774647887323)</f>
        <v>0.2957746479</v>
      </c>
    </row>
    <row r="15559">
      <c r="A15559" s="10" t="s">
        <v>16998</v>
      </c>
      <c r="B15559" s="7" t="str">
        <f>IFERROR(__xludf.DUMMYFUNCTION("SPLIT(A15559,"" "")"),"Cc1cncc(CN(C)Cc2cc(-c3cccc(N(C)C(C)C)c3)ccn2)c1C")</f>
        <v>Cc1cncc(CN(C)Cc2cc(-c3cccc(N(C)C(C)C)c3)ccn2)c1C</v>
      </c>
      <c r="C15559" s="7">
        <f>IFERROR(__xludf.DUMMYFUNCTION("""COMPUTED_VALUE"""),7.741754)</f>
        <v>7.741754</v>
      </c>
      <c r="D15559" s="7">
        <f>IFERROR(__xludf.DUMMYFUNCTION("""COMPUTED_VALUE"""),0.3)</f>
        <v>0.3</v>
      </c>
    </row>
    <row r="15560">
      <c r="A15560" s="10" t="s">
        <v>16999</v>
      </c>
      <c r="B15560" s="7" t="str">
        <f>IFERROR(__xludf.DUMMYFUNCTION("SPLIT(A15560,"" "")"),"CC(C)C(C)N(Cc1ccccn1)Cc1cc(N(C)c2ccc3ncccc3c2)ccn1")</f>
        <v>CC(C)C(C)N(Cc1ccccn1)Cc1cc(N(C)c2ccc3ncccc3c2)ccn1</v>
      </c>
      <c r="C15560" s="7">
        <f>IFERROR(__xludf.DUMMYFUNCTION("""COMPUTED_VALUE"""),7.7417383)</f>
        <v>7.7417383</v>
      </c>
      <c r="D15560" s="7">
        <f>IFERROR(__xludf.DUMMYFUNCTION("""COMPUTED_VALUE"""),0.431372549019607)</f>
        <v>0.431372549</v>
      </c>
    </row>
    <row r="15561">
      <c r="A15561" s="10" t="s">
        <v>17000</v>
      </c>
      <c r="B15561" s="7" t="str">
        <f>IFERROR(__xludf.DUMMYFUNCTION("SPLIT(A15561,"" "")"),"Cc1ccncc1CN(C)CCN(C)c1ccc2ccc(CF)nc2c1")</f>
        <v>Cc1ccncc1CN(C)CCN(C)c1ccc2ccc(CF)nc2c1</v>
      </c>
      <c r="C15561" s="7">
        <f>IFERROR(__xludf.DUMMYFUNCTION("""COMPUTED_VALUE"""),7.7417374)</f>
        <v>7.7417374</v>
      </c>
      <c r="D15561" s="7">
        <f>IFERROR(__xludf.DUMMYFUNCTION("""COMPUTED_VALUE"""),0.339622641509433)</f>
        <v>0.3396226415</v>
      </c>
    </row>
    <row r="15562">
      <c r="A15562" s="10" t="s">
        <v>17001</v>
      </c>
      <c r="B15562" s="7" t="str">
        <f>IFERROR(__xludf.DUMMYFUNCTION("SPLIT(A15562,"" "")"),"FCc1ncc(SCc2ccccn2)cc1SCc1ccccn1")</f>
        <v>FCc1ncc(SCc2ccccn2)cc1SCc1ccccn1</v>
      </c>
      <c r="C15562" s="7">
        <f>IFERROR(__xludf.DUMMYFUNCTION("""COMPUTED_VALUE"""),7.7417316)</f>
        <v>7.7417316</v>
      </c>
      <c r="D15562" s="7">
        <f>IFERROR(__xludf.DUMMYFUNCTION("""COMPUTED_VALUE"""),0.414634146341463)</f>
        <v>0.4146341463</v>
      </c>
    </row>
    <row r="15563">
      <c r="A15563" s="10" t="s">
        <v>17002</v>
      </c>
      <c r="B15563" s="7" t="str">
        <f>IFERROR(__xludf.DUMMYFUNCTION("SPLIT(A15563,"" "")"),"Cc1ccc(C)c(N(C)CC2=C(N(C)Cc3ccccn3)CC=CN2)c1C")</f>
        <v>Cc1ccc(C)c(N(C)CC2=C(N(C)Cc3ccccn3)CC=CN2)c1C</v>
      </c>
      <c r="C15563" s="7">
        <f>IFERROR(__xludf.DUMMYFUNCTION("""COMPUTED_VALUE"""),7.7417307)</f>
        <v>7.7417307</v>
      </c>
      <c r="D15563" s="7">
        <f>IFERROR(__xludf.DUMMYFUNCTION("""COMPUTED_VALUE"""),0.389830508474576)</f>
        <v>0.3898305085</v>
      </c>
    </row>
    <row r="15564">
      <c r="A15564" s="10" t="s">
        <v>17003</v>
      </c>
      <c r="B15564" s="7" t="str">
        <f>IFERROR(__xludf.DUMMYFUNCTION("SPLIT(A15564,"" "")"),"Cc1cc(-c2cccc(CN(C)Cc3cc(N)ccn3)n2)ccc1N")</f>
        <v>Cc1cc(-c2cccc(CN(C)Cc3cc(N)ccn3)n2)ccc1N</v>
      </c>
      <c r="C15564" s="7">
        <f>IFERROR(__xludf.DUMMYFUNCTION("""COMPUTED_VALUE"""),7.7417245)</f>
        <v>7.7417245</v>
      </c>
      <c r="D15564" s="7">
        <f>IFERROR(__xludf.DUMMYFUNCTION("""COMPUTED_VALUE"""),0.470588235294117)</f>
        <v>0.4705882353</v>
      </c>
    </row>
    <row r="15565">
      <c r="A15565" s="10" t="s">
        <v>17004</v>
      </c>
      <c r="B15565" s="7" t="str">
        <f>IFERROR(__xludf.DUMMYFUNCTION("SPLIT(A15565,"" "")"),"CCN(C)CCN(C)c1cccc2c(C)ccnc12")</f>
        <v>CCN(C)CCN(C)c1cccc2c(C)ccnc12</v>
      </c>
      <c r="C15565" s="7">
        <f>IFERROR(__xludf.DUMMYFUNCTION("""COMPUTED_VALUE"""),7.741723)</f>
        <v>7.741723</v>
      </c>
      <c r="D15565" s="7">
        <f>IFERROR(__xludf.DUMMYFUNCTION("""COMPUTED_VALUE"""),0.5)</f>
        <v>0.5</v>
      </c>
    </row>
    <row r="15566">
      <c r="A15566" s="10" t="s">
        <v>17005</v>
      </c>
      <c r="B15566" s="7" t="str">
        <f>IFERROR(__xludf.DUMMYFUNCTION("SPLIT(A15566,"" "")"),"CC(C)N(CCN(C)c1ccc2nc(CN(C)C)ccc2c1)C(C)C")</f>
        <v>CC(C)N(CCN(C)c1ccc2nc(CN(C)C)ccc2c1)C(C)C</v>
      </c>
      <c r="C15566" s="7">
        <f>IFERROR(__xludf.DUMMYFUNCTION("""COMPUTED_VALUE"""),7.7417145)</f>
        <v>7.7417145</v>
      </c>
      <c r="D15566" s="7">
        <f>IFERROR(__xludf.DUMMYFUNCTION("""COMPUTED_VALUE"""),0.34090909090909)</f>
        <v>0.3409090909</v>
      </c>
    </row>
    <row r="15567">
      <c r="A15567" s="10" t="s">
        <v>17006</v>
      </c>
      <c r="B15567" s="7" t="str">
        <f>IFERROR(__xludf.DUMMYFUNCTION("SPLIT(A15567,"" "")"),"COC(=O)C(=O)C(C)c1ccc(CNCc2cc(C(C)(c3ccccn3)c3ccccn3)ccn2)cn1")</f>
        <v>COC(=O)C(=O)C(C)c1ccc(CNCc2cc(C(C)(c3ccccn3)c3ccccn3)ccn2)cn1</v>
      </c>
      <c r="C15567" s="7">
        <f>IFERROR(__xludf.DUMMYFUNCTION("""COMPUTED_VALUE"""),7.741707)</f>
        <v>7.741707</v>
      </c>
      <c r="D15567" s="7">
        <f>IFERROR(__xludf.DUMMYFUNCTION("""COMPUTED_VALUE"""),0.269841269841269)</f>
        <v>0.2698412698</v>
      </c>
    </row>
    <row r="15568">
      <c r="A15568" s="10" t="s">
        <v>17007</v>
      </c>
      <c r="B15568" s="7" t="str">
        <f>IFERROR(__xludf.DUMMYFUNCTION("SPLIT(A15568,"" "")"),"CNc1ccc2nc(CN(C)C(C)C)ccc2c1")</f>
        <v>CNc1ccc2nc(CN(C)C(C)C)ccc2c1</v>
      </c>
      <c r="C15568" s="7">
        <f>IFERROR(__xludf.DUMMYFUNCTION("""COMPUTED_VALUE"""),7.7416935)</f>
        <v>7.7416935</v>
      </c>
      <c r="D15568" s="7">
        <f>IFERROR(__xludf.DUMMYFUNCTION("""COMPUTED_VALUE"""),0.348837209302325)</f>
        <v>0.3488372093</v>
      </c>
    </row>
    <row r="15569">
      <c r="A15569" s="10" t="s">
        <v>17008</v>
      </c>
      <c r="B15569" s="7" t="str">
        <f>IFERROR(__xludf.DUMMYFUNCTION("SPLIT(A15569,"" "")"),"Cc1cc(-c2cc(CN(C)Cc3ccccn3)ccn2)ccc1NCc1ccccn1")</f>
        <v>Cc1cc(-c2cc(CN(C)Cc3ccccn3)ccn2)ccc1NCc1ccccn1</v>
      </c>
      <c r="C15569" s="7">
        <f>IFERROR(__xludf.DUMMYFUNCTION("""COMPUTED_VALUE"""),7.741687)</f>
        <v>7.741687</v>
      </c>
      <c r="D15569" s="7">
        <f>IFERROR(__xludf.DUMMYFUNCTION("""COMPUTED_VALUE"""),0.436363636363636)</f>
        <v>0.4363636364</v>
      </c>
    </row>
    <row r="15570">
      <c r="A15570" s="10" t="s">
        <v>17009</v>
      </c>
      <c r="B15570" s="7" t="str">
        <f>IFERROR(__xludf.DUMMYFUNCTION("SPLIT(A15570,"" "")"),"Cc1cc(-c2ccc(CN(C)Cc3cc(N)ccn3)cc2)ccn1")</f>
        <v>Cc1cc(-c2ccc(CN(C)Cc3cc(N)ccn3)cc2)ccn1</v>
      </c>
      <c r="C15570" s="7">
        <f>IFERROR(__xludf.DUMMYFUNCTION("""COMPUTED_VALUE"""),7.741685)</f>
        <v>7.741685</v>
      </c>
      <c r="D15570" s="7">
        <f>IFERROR(__xludf.DUMMYFUNCTION("""COMPUTED_VALUE"""),0.296296296296296)</f>
        <v>0.2962962963</v>
      </c>
    </row>
    <row r="15571">
      <c r="A15571" s="10" t="s">
        <v>17010</v>
      </c>
      <c r="B15571" s="7" t="str">
        <f>IFERROR(__xludf.DUMMYFUNCTION("SPLIT(A15571,"" "")"),"CNC1=C(N(C)Cc2ncc(C)cc2C)CC=CN1")</f>
        <v>CNC1=C(N(C)Cc2ncc(C)cc2C)CC=CN1</v>
      </c>
      <c r="C15571" s="7">
        <f>IFERROR(__xludf.DUMMYFUNCTION("""COMPUTED_VALUE"""),7.7416835)</f>
        <v>7.7416835</v>
      </c>
      <c r="D15571" s="7">
        <f>IFERROR(__xludf.DUMMYFUNCTION("""COMPUTED_VALUE"""),0.24074074074074)</f>
        <v>0.2407407407</v>
      </c>
    </row>
    <row r="15572">
      <c r="A15572" s="10" t="s">
        <v>17011</v>
      </c>
      <c r="B15572" s="7" t="str">
        <f>IFERROR(__xludf.DUMMYFUNCTION("SPLIT(A15572,"" "")"),"CC(C)N(C)Cc1ccnc2ccc(N(C)C(C)C)cc12")</f>
        <v>CC(C)N(C)Cc1ccnc2ccc(N(C)C(C)C)cc12</v>
      </c>
      <c r="C15572" s="7">
        <f>IFERROR(__xludf.DUMMYFUNCTION("""COMPUTED_VALUE"""),7.741678)</f>
        <v>7.741678</v>
      </c>
      <c r="D15572" s="7">
        <f>IFERROR(__xludf.DUMMYFUNCTION("""COMPUTED_VALUE"""),0.285714285714285)</f>
        <v>0.2857142857</v>
      </c>
    </row>
    <row r="15573">
      <c r="A15573" s="10" t="s">
        <v>17012</v>
      </c>
      <c r="B15573" s="7" t="str">
        <f>IFERROR(__xludf.DUMMYFUNCTION("SPLIT(A15573,"" "")"),"Cc1c(N)cccc1-c1cc(CN(C)Cc2ccccn2)ccn1")</f>
        <v>Cc1c(N)cccc1-c1cc(CN(C)Cc2ccccn2)ccn1</v>
      </c>
      <c r="C15573" s="7">
        <f>IFERROR(__xludf.DUMMYFUNCTION("""COMPUTED_VALUE"""),7.741673)</f>
        <v>7.741673</v>
      </c>
      <c r="D15573" s="7">
        <f>IFERROR(__xludf.DUMMYFUNCTION("""COMPUTED_VALUE"""),0.5)</f>
        <v>0.5</v>
      </c>
    </row>
    <row r="15574">
      <c r="A15574" s="10" t="s">
        <v>17013</v>
      </c>
      <c r="B15574" s="7" t="str">
        <f>IFERROR(__xludf.DUMMYFUNCTION("SPLIT(A15574,"" "")"),"CN(CCN(C)c1cccc2ncc(CF)cc12)Cc1cccnc1")</f>
        <v>CN(CCN(C)c1cccc2ncc(CF)cc12)Cc1cccnc1</v>
      </c>
      <c r="C15574" s="7">
        <f>IFERROR(__xludf.DUMMYFUNCTION("""COMPUTED_VALUE"""),7.741672)</f>
        <v>7.741672</v>
      </c>
      <c r="D15574" s="7">
        <f>IFERROR(__xludf.DUMMYFUNCTION("""COMPUTED_VALUE"""),0.37037037037037)</f>
        <v>0.3703703704</v>
      </c>
    </row>
    <row r="15575">
      <c r="A15575" s="10" t="s">
        <v>17014</v>
      </c>
      <c r="B15575" s="7" t="str">
        <f>IFERROR(__xludf.DUMMYFUNCTION("SPLIT(A15575,"" "")"),"CC(C)C(C)N(Cc1ccccn1)Cc1cc(N(C)c2ccc3cccnc3c2)ccn1")</f>
        <v>CC(C)C(C)N(Cc1ccccn1)Cc1cc(N(C)c2ccc3cccnc3c2)ccn1</v>
      </c>
      <c r="C15575" s="7">
        <f>IFERROR(__xludf.DUMMYFUNCTION("""COMPUTED_VALUE"""),7.7416716)</f>
        <v>7.7416716</v>
      </c>
      <c r="D15575" s="7">
        <f>IFERROR(__xludf.DUMMYFUNCTION("""COMPUTED_VALUE"""),0.425925925925925)</f>
        <v>0.4259259259</v>
      </c>
    </row>
    <row r="15576">
      <c r="A15576" s="10" t="s">
        <v>17015</v>
      </c>
      <c r="B15576" s="7" t="str">
        <f>IFERROR(__xludf.DUMMYFUNCTION("SPLIT(A15576,"" "")"),"Cc1ccc2nc(CN(C)C3CCCC(N(C)c4ccc5nc(CN(C)C)ccc5c4)C3)ccc2c1")</f>
        <v>Cc1ccc2nc(CN(C)C3CCCC(N(C)c4ccc5nc(CN(C)C)ccc5c4)C3)ccc2c1</v>
      </c>
      <c r="C15576" s="7">
        <f>IFERROR(__xludf.DUMMYFUNCTION("""COMPUTED_VALUE"""),7.741656)</f>
        <v>7.741656</v>
      </c>
      <c r="D15576" s="7">
        <f>IFERROR(__xludf.DUMMYFUNCTION("""COMPUTED_VALUE"""),0.350877192982456)</f>
        <v>0.350877193</v>
      </c>
    </row>
    <row r="15577">
      <c r="A15577" s="10" t="s">
        <v>17016</v>
      </c>
      <c r="B15577" s="7" t="str">
        <f>IFERROR(__xludf.DUMMYFUNCTION("SPLIT(A15577,"" "")"),"CN(CCNC(C)(C)c1ccccn1)c1ccc2ncccc2c1")</f>
        <v>CN(CCNC(C)(C)c1ccccn1)c1ccc2ncccc2c1</v>
      </c>
      <c r="C15577" s="7">
        <f>IFERROR(__xludf.DUMMYFUNCTION("""COMPUTED_VALUE"""),7.7416368)</f>
        <v>7.7416368</v>
      </c>
      <c r="D15577" s="7">
        <f>IFERROR(__xludf.DUMMYFUNCTION("""COMPUTED_VALUE"""),0.345454545454545)</f>
        <v>0.3454545455</v>
      </c>
    </row>
    <row r="15578">
      <c r="A15578" s="10" t="s">
        <v>17017</v>
      </c>
      <c r="B15578" s="7" t="str">
        <f>IFERROR(__xludf.DUMMYFUNCTION("SPLIT(A15578,"" "")"),"CN(c1ccccc1-c1cccc(CN(Cc2ccccn2)Cc2ccccn2)n1)C1C=CC=CN1")</f>
        <v>CN(c1ccccc1-c1cccc(CN(Cc2ccccn2)Cc2ccccn2)n1)C1C=CC=CN1</v>
      </c>
      <c r="C15578" s="7">
        <f>IFERROR(__xludf.DUMMYFUNCTION("""COMPUTED_VALUE"""),7.741635)</f>
        <v>7.741635</v>
      </c>
      <c r="D15578" s="7">
        <f>IFERROR(__xludf.DUMMYFUNCTION("""COMPUTED_VALUE"""),0.491228070175438)</f>
        <v>0.4912280702</v>
      </c>
    </row>
    <row r="15579">
      <c r="A15579" s="10" t="s">
        <v>17018</v>
      </c>
      <c r="B15579" s="7" t="str">
        <f>IFERROR(__xludf.DUMMYFUNCTION("SPLIT(A15579,"" "")"),"C(=Nc1ccccc1-c1cccnc1CN(Cc1ccccc1)Cc1ccccn1)c1ccccn1")</f>
        <v>C(=Nc1ccccc1-c1cccnc1CN(Cc1ccccc1)Cc1ccccn1)c1ccccn1</v>
      </c>
      <c r="C15579" s="7">
        <f>IFERROR(__xludf.DUMMYFUNCTION("""COMPUTED_VALUE"""),7.7416334)</f>
        <v>7.7416334</v>
      </c>
      <c r="D15579" s="7">
        <f>IFERROR(__xludf.DUMMYFUNCTION("""COMPUTED_VALUE"""),0.425531914893617)</f>
        <v>0.4255319149</v>
      </c>
    </row>
    <row r="15580">
      <c r="A15580" s="10" t="s">
        <v>17019</v>
      </c>
      <c r="B15580" s="7" t="str">
        <f>IFERROR(__xludf.DUMMYFUNCTION("SPLIT(A15580,"" "")"),"CC(C)(c1cccc(N=Cc2ccccn2)c1)c1ccccn1")</f>
        <v>CC(C)(c1cccc(N=Cc2ccccn2)c1)c1ccccn1</v>
      </c>
      <c r="C15580" s="7">
        <f>IFERROR(__xludf.DUMMYFUNCTION("""COMPUTED_VALUE"""),7.7416263)</f>
        <v>7.7416263</v>
      </c>
      <c r="D15580" s="7">
        <f>IFERROR(__xludf.DUMMYFUNCTION("""COMPUTED_VALUE"""),0.4375)</f>
        <v>0.4375</v>
      </c>
    </row>
    <row r="15581">
      <c r="A15581" s="10" t="s">
        <v>17020</v>
      </c>
      <c r="B15581" s="7" t="str">
        <f>IFERROR(__xludf.DUMMYFUNCTION("SPLIT(A15581,"" "")"),"Cc1ccc(NCc2ccccn2)cc1-c1ccc(CN(C)Cc2ccccn2)cn1")</f>
        <v>Cc1ccc(NCc2ccccn2)cc1-c1ccc(CN(C)Cc2ccccn2)cn1</v>
      </c>
      <c r="C15581" s="7">
        <f>IFERROR(__xludf.DUMMYFUNCTION("""COMPUTED_VALUE"""),7.7416186)</f>
        <v>7.7416186</v>
      </c>
      <c r="D15581" s="7">
        <f>IFERROR(__xludf.DUMMYFUNCTION("""COMPUTED_VALUE"""),0.403508771929824)</f>
        <v>0.4035087719</v>
      </c>
    </row>
    <row r="15582">
      <c r="A15582" s="10" t="s">
        <v>17021</v>
      </c>
      <c r="B15582" s="7" t="str">
        <f>IFERROR(__xludf.DUMMYFUNCTION("SPLIT(A15582,"" "")"),"CCN(Cc1ccccn1)C1CCC(N(C)c2ccc3cccnc3c2)CC1N(C)c1ccc2cccnc2c1")</f>
        <v>CCN(Cc1ccccn1)C1CCC(N(C)c2ccc3cccnc3c2)CC1N(C)c1ccc2cccnc2c1</v>
      </c>
      <c r="C15582" s="7">
        <f>IFERROR(__xludf.DUMMYFUNCTION("""COMPUTED_VALUE"""),7.741601)</f>
        <v>7.741601</v>
      </c>
      <c r="D15582" s="7">
        <f>IFERROR(__xludf.DUMMYFUNCTION("""COMPUTED_VALUE"""),0.383333333333333)</f>
        <v>0.3833333333</v>
      </c>
    </row>
    <row r="15583">
      <c r="A15583" s="10" t="s">
        <v>17022</v>
      </c>
      <c r="B15583" s="7" t="str">
        <f>IFERROR(__xludf.DUMMYFUNCTION("SPLIT(A15583,"" "")"),"CCN(Cc1ccccn1)c1ccccc1-c1ncccc1C(C)(C)C")</f>
        <v>CCN(Cc1ccccn1)c1ccccc1-c1ncccc1C(C)(C)C</v>
      </c>
      <c r="C15583" s="7">
        <f>IFERROR(__xludf.DUMMYFUNCTION("""COMPUTED_VALUE"""),7.741597)</f>
        <v>7.741597</v>
      </c>
      <c r="D15583" s="7">
        <f>IFERROR(__xludf.DUMMYFUNCTION("""COMPUTED_VALUE"""),0.4)</f>
        <v>0.4</v>
      </c>
    </row>
    <row r="15584">
      <c r="A15584" s="10" t="s">
        <v>17023</v>
      </c>
      <c r="B15584" s="7" t="str">
        <f>IFERROR(__xludf.DUMMYFUNCTION("SPLIT(A15584,"" "")"),"CC(C)N(C)CN(C)c1cccc2ncc(CF)cc12")</f>
        <v>CC(C)N(C)CN(C)c1cccc2ncc(CF)cc12</v>
      </c>
      <c r="C15584" s="7">
        <f>IFERROR(__xludf.DUMMYFUNCTION("""COMPUTED_VALUE"""),7.7415943)</f>
        <v>7.7415943</v>
      </c>
      <c r="D15584" s="7">
        <f>IFERROR(__xludf.DUMMYFUNCTION("""COMPUTED_VALUE"""),0.288461538461538)</f>
        <v>0.2884615385</v>
      </c>
    </row>
    <row r="15585">
      <c r="A15585" s="10" t="s">
        <v>17024</v>
      </c>
      <c r="B15585" s="7" t="str">
        <f>IFERROR(__xludf.DUMMYFUNCTION("SPLIT(A15585,"" "")"),"Cc1nc(CN(C)C2C=CNC(CN(C)Cc3ccc4ncccc4c3)=C2)c(C)c(C)c1C")</f>
        <v>Cc1nc(CN(C)C2C=CNC(CN(C)Cc3ccc4ncccc4c3)=C2)c(C)c(C)c1C</v>
      </c>
      <c r="C15585" s="7">
        <f>IFERROR(__xludf.DUMMYFUNCTION("""COMPUTED_VALUE"""),7.7415876)</f>
        <v>7.7415876</v>
      </c>
      <c r="D15585" s="7">
        <f>IFERROR(__xludf.DUMMYFUNCTION("""COMPUTED_VALUE"""),0.28169014084507)</f>
        <v>0.2816901408</v>
      </c>
    </row>
    <row r="15586">
      <c r="A15586" s="10" t="s">
        <v>17025</v>
      </c>
      <c r="B15586" s="7" t="str">
        <f>IFERROR(__xludf.DUMMYFUNCTION("SPLIT(A15586,"" "")"),"CN(c1cccc2c3c(cnc12)CCCC3)C1CCC(N(C)c2cccc3c4c(cnc23)CCCC4)CC1")</f>
        <v>CN(c1cccc2c3c(cnc12)CCCC3)C1CCC(N(C)c2cccc3c4c(cnc23)CCCC4)CC1</v>
      </c>
      <c r="C15586" s="7">
        <f>IFERROR(__xludf.DUMMYFUNCTION("""COMPUTED_VALUE"""),7.741586)</f>
        <v>7.741586</v>
      </c>
      <c r="D15586" s="7">
        <f>IFERROR(__xludf.DUMMYFUNCTION("""COMPUTED_VALUE"""),0.407407407407407)</f>
        <v>0.4074074074</v>
      </c>
    </row>
    <row r="15587">
      <c r="A15587" s="10" t="s">
        <v>17026</v>
      </c>
      <c r="B15587" s="7" t="str">
        <f>IFERROR(__xludf.DUMMYFUNCTION("SPLIT(A15587,"" "")"),"Cc1cccnc1CN(C)c1ccccc1-c1cccc(CN(C)C(C)C)n1")</f>
        <v>Cc1cccnc1CN(C)c1ccccc1-c1cccc(CN(C)C(C)C)n1</v>
      </c>
      <c r="C15587" s="7">
        <f>IFERROR(__xludf.DUMMYFUNCTION("""COMPUTED_VALUE"""),7.741583)</f>
        <v>7.741583</v>
      </c>
      <c r="D15587" s="7">
        <f>IFERROR(__xludf.DUMMYFUNCTION("""COMPUTED_VALUE"""),0.392857142857142)</f>
        <v>0.3928571429</v>
      </c>
    </row>
    <row r="15588">
      <c r="A15588" s="10" t="s">
        <v>17027</v>
      </c>
      <c r="B15588" s="7" t="str">
        <f>IFERROR(__xludf.DUMMYFUNCTION("SPLIT(A15588,"" "")"),"CCNCc1ccc(-c2ccc(C(C)(C)c3ccccn3)nc2)cn1")</f>
        <v>CCNCc1ccc(-c2ccc(C(C)(C)c3ccccn3)nc2)cn1</v>
      </c>
      <c r="C15588" s="7">
        <f>IFERROR(__xludf.DUMMYFUNCTION("""COMPUTED_VALUE"""),7.7415586)</f>
        <v>7.7415586</v>
      </c>
      <c r="D15588" s="7">
        <f>IFERROR(__xludf.DUMMYFUNCTION("""COMPUTED_VALUE"""),0.386363636363636)</f>
        <v>0.3863636364</v>
      </c>
    </row>
    <row r="15589">
      <c r="A15589" s="10" t="s">
        <v>17028</v>
      </c>
      <c r="B15589" s="7" t="str">
        <f>IFERROR(__xludf.DUMMYFUNCTION("SPLIT(A15589,"" "")"),"Cc1ccnc2cc(N(C)CCN(C)CF)ccc12")</f>
        <v>Cc1ccnc2cc(N(C)CCN(C)CF)ccc12</v>
      </c>
      <c r="C15589" s="7">
        <f>IFERROR(__xludf.DUMMYFUNCTION("""COMPUTED_VALUE"""),7.741555)</f>
        <v>7.741555</v>
      </c>
      <c r="D15589" s="7">
        <f>IFERROR(__xludf.DUMMYFUNCTION("""COMPUTED_VALUE"""),0.291666666666666)</f>
        <v>0.2916666667</v>
      </c>
    </row>
    <row r="15590">
      <c r="A15590" s="10" t="s">
        <v>17029</v>
      </c>
      <c r="B15590" s="7" t="str">
        <f>IFERROR(__xludf.DUMMYFUNCTION("SPLIT(A15590,"" "")"),"CC1=CC(C)=C(C)C(NCc2cccc(C(C)(c3ccccn3)c3ccccn3)n2)N1")</f>
        <v>CC1=CC(C)=C(C)C(NCc2cccc(C(C)(c3ccccn3)c3ccccn3)n2)N1</v>
      </c>
      <c r="C15590" s="7">
        <f>IFERROR(__xludf.DUMMYFUNCTION("""COMPUTED_VALUE"""),7.7415543)</f>
        <v>7.7415543</v>
      </c>
      <c r="D15590" s="7">
        <f>IFERROR(__xludf.DUMMYFUNCTION("""COMPUTED_VALUE"""),0.4)</f>
        <v>0.4</v>
      </c>
    </row>
    <row r="15591">
      <c r="A15591" s="10" t="s">
        <v>17030</v>
      </c>
      <c r="B15591" s="7" t="str">
        <f>IFERROR(__xludf.DUMMYFUNCTION("SPLIT(A15591,"" "")"),"CCCNCc1ncccc1-c1ccccc1N=Cc1ccccn1")</f>
        <v>CCCNCc1ncccc1-c1ccccc1N=Cc1ccccn1</v>
      </c>
      <c r="C15591" s="7">
        <f>IFERROR(__xludf.DUMMYFUNCTION("""COMPUTED_VALUE"""),7.7415476)</f>
        <v>7.7415476</v>
      </c>
      <c r="D15591" s="7">
        <f>IFERROR(__xludf.DUMMYFUNCTION("""COMPUTED_VALUE"""),0.450980392156862)</f>
        <v>0.4509803922</v>
      </c>
    </row>
    <row r="15592">
      <c r="A15592" s="10" t="s">
        <v>17031</v>
      </c>
      <c r="B15592" s="7" t="str">
        <f>IFERROR(__xludf.DUMMYFUNCTION("SPLIT(A15592,"" "")"),"FCNc1ncccc1-c1cc(C(NCc2ccccn2)c2ccccc2)ccn1")</f>
        <v>FCNc1ncccc1-c1cc(C(NCc2ccccn2)c2ccccc2)ccn1</v>
      </c>
      <c r="C15592" s="7">
        <f>IFERROR(__xludf.DUMMYFUNCTION("""COMPUTED_VALUE"""),7.7415447)</f>
        <v>7.7415447</v>
      </c>
      <c r="D15592" s="7">
        <f>IFERROR(__xludf.DUMMYFUNCTION("""COMPUTED_VALUE"""),0.323076923076923)</f>
        <v>0.3230769231</v>
      </c>
    </row>
    <row r="15593">
      <c r="A15593" s="10" t="s">
        <v>17032</v>
      </c>
      <c r="B15593" s="7" t="str">
        <f>IFERROR(__xludf.DUMMYFUNCTION("SPLIT(A15593,"" "")"),"CC(c1ccccn1)(c1ccccn1)c1cccc(CNC2=CCNC=C2)n1")</f>
        <v>CC(c1ccccn1)(c1ccccn1)c1cccc(CNC2=CCNC=C2)n1</v>
      </c>
      <c r="C15593" s="7">
        <f>IFERROR(__xludf.DUMMYFUNCTION("""COMPUTED_VALUE"""),7.7415404)</f>
        <v>7.7415404</v>
      </c>
      <c r="D15593" s="7">
        <f>IFERROR(__xludf.DUMMYFUNCTION("""COMPUTED_VALUE"""),0.43103448275862)</f>
        <v>0.4310344828</v>
      </c>
    </row>
    <row r="15594">
      <c r="A15594" s="10" t="s">
        <v>17033</v>
      </c>
      <c r="B15594" s="7" t="str">
        <f>IFERROR(__xludf.DUMMYFUNCTION("SPLIT(A15594,"" "")"),"CC(C)C(C)(c1cccnc1)N(Cc1ccccn1)Cc1cc(-c2cccc(N=Cc3ccccn3)c2)ccn1")</f>
        <v>CC(C)C(C)(c1cccnc1)N(Cc1ccccn1)Cc1cc(-c2cccc(N=Cc3ccccn3)c2)ccn1</v>
      </c>
      <c r="C15594" s="7">
        <f>IFERROR(__xludf.DUMMYFUNCTION("""COMPUTED_VALUE"""),7.7415385)</f>
        <v>7.7415385</v>
      </c>
      <c r="D15594" s="7">
        <f>IFERROR(__xludf.DUMMYFUNCTION("""COMPUTED_VALUE"""),0.333333333333333)</f>
        <v>0.3333333333</v>
      </c>
    </row>
    <row r="15595">
      <c r="A15595" s="10" t="s">
        <v>17034</v>
      </c>
      <c r="B15595" s="7" t="str">
        <f>IFERROR(__xludf.DUMMYFUNCTION("SPLIT(A15595,"" "")"),"CN(c1ccc2ncc3c(c2c1)CCCC3)C1CCC(N(C)c2cccc3ncc4c(c23)CCCC4)CC1")</f>
        <v>CN(c1ccc2ncc3c(c2c1)CCCC3)C1CCC(N(C)c2cccc3ncc4c(c23)CCCC4)CC1</v>
      </c>
      <c r="C15595" s="7">
        <f>IFERROR(__xludf.DUMMYFUNCTION("""COMPUTED_VALUE"""),7.7415104)</f>
        <v>7.7415104</v>
      </c>
      <c r="D15595" s="7">
        <f>IFERROR(__xludf.DUMMYFUNCTION("""COMPUTED_VALUE"""),0.318181818181818)</f>
        <v>0.3181818182</v>
      </c>
    </row>
    <row r="15596">
      <c r="A15596" s="10" t="s">
        <v>17035</v>
      </c>
      <c r="B15596" s="7" t="str">
        <f>IFERROR(__xludf.DUMMYFUNCTION("SPLIT(A15596,"" "")"),"Cc1c(CN(Cc2ccccn2)Cc2ccc(-c3cccc(N)c3)cn2)cccc1N(C)Cc1ccccn1")</f>
        <v>Cc1c(CN(Cc2ccccn2)Cc2ccc(-c3cccc(N)c3)cn2)cccc1N(C)Cc1ccccn1</v>
      </c>
      <c r="C15596" s="7">
        <f>IFERROR(__xludf.DUMMYFUNCTION("""COMPUTED_VALUE"""),7.7415075)</f>
        <v>7.7415075</v>
      </c>
      <c r="D15596" s="7">
        <f>IFERROR(__xludf.DUMMYFUNCTION("""COMPUTED_VALUE"""),0.421052631578947)</f>
        <v>0.4210526316</v>
      </c>
    </row>
    <row r="15597">
      <c r="A15597" s="10" t="s">
        <v>17036</v>
      </c>
      <c r="B15597" s="7" t="str">
        <f>IFERROR(__xludf.DUMMYFUNCTION("SPLIT(A15597,"" "")"),"Cc1cc(CN(C)CCN(C)Cc2nc3ccccc3n2C)nc(C)c1C")</f>
        <v>Cc1cc(CN(C)CCN(C)Cc2nc3ccccc3n2C)nc(C)c1C</v>
      </c>
      <c r="C15597" s="7">
        <f>IFERROR(__xludf.DUMMYFUNCTION("""COMPUTED_VALUE"""),7.7415)</f>
        <v>7.7415</v>
      </c>
      <c r="D15597" s="7">
        <f>IFERROR(__xludf.DUMMYFUNCTION("""COMPUTED_VALUE"""),0.415094339622641)</f>
        <v>0.4150943396</v>
      </c>
    </row>
    <row r="15598">
      <c r="A15598" s="10" t="s">
        <v>17037</v>
      </c>
      <c r="B15598" s="7" t="str">
        <f>IFERROR(__xludf.DUMMYFUNCTION("SPLIT(A15598,"" "")"),"CN(CCF)c1cccc(-c2ccccc2)c1N(Cc1ccccn1)Cc1ccccn1")</f>
        <v>CN(CCF)c1cccc(-c2ccccc2)c1N(Cc1ccccn1)Cc1ccccn1</v>
      </c>
      <c r="C15598" s="7">
        <f>IFERROR(__xludf.DUMMYFUNCTION("""COMPUTED_VALUE"""),7.7414975)</f>
        <v>7.7414975</v>
      </c>
      <c r="D15598" s="7">
        <f>IFERROR(__xludf.DUMMYFUNCTION("""COMPUTED_VALUE"""),0.411764705882352)</f>
        <v>0.4117647059</v>
      </c>
    </row>
    <row r="15599">
      <c r="A15599" s="10" t="s">
        <v>17038</v>
      </c>
      <c r="B15599" s="7" t="str">
        <f>IFERROR(__xludf.DUMMYFUNCTION("SPLIT(A15599,"" "")"),"CN(Cc1ccccn1)C1=CCC=C(CN(C)c2cccc(F)c2)N1")</f>
        <v>CN(Cc1ccccn1)C1=CCC=C(CN(C)c2cccc(F)c2)N1</v>
      </c>
      <c r="C15599" s="7">
        <f>IFERROR(__xludf.DUMMYFUNCTION("""COMPUTED_VALUE"""),7.741495)</f>
        <v>7.741495</v>
      </c>
      <c r="D15599" s="7">
        <f>IFERROR(__xludf.DUMMYFUNCTION("""COMPUTED_VALUE"""),0.4)</f>
        <v>0.4</v>
      </c>
    </row>
    <row r="15600">
      <c r="A15600" s="10" t="s">
        <v>17039</v>
      </c>
      <c r="B15600" s="7" t="str">
        <f>IFERROR(__xludf.DUMMYFUNCTION("SPLIT(A15600,"" "")"),"Cc1cc(CN(C)C)c(N(C)Cc2ccccn2)nc1C")</f>
        <v>Cc1cc(CN(C)C)c(N(C)Cc2ccccn2)nc1C</v>
      </c>
      <c r="C15600" s="7">
        <f>IFERROR(__xludf.DUMMYFUNCTION("""COMPUTED_VALUE"""),7.741494)</f>
        <v>7.741494</v>
      </c>
      <c r="D15600" s="7">
        <f>IFERROR(__xludf.DUMMYFUNCTION("""COMPUTED_VALUE"""),0.488888888888888)</f>
        <v>0.4888888889</v>
      </c>
    </row>
    <row r="15601">
      <c r="A15601" s="10" t="s">
        <v>17040</v>
      </c>
      <c r="B15601" s="7" t="str">
        <f>IFERROR(__xludf.DUMMYFUNCTION("SPLIT(A15601,"" "")"),"CCN(Cc1cccc(-c2cccc(N=Cc3ccccn3)c2)n1)Cc1cccc(C(C)(C)C)n1")</f>
        <v>CCN(Cc1cccc(-c2cccc(N=Cc3ccccn3)c2)n1)Cc1cccc(C(C)(C)C)n1</v>
      </c>
      <c r="C15601" s="7">
        <f>IFERROR(__xludf.DUMMYFUNCTION("""COMPUTED_VALUE"""),7.7414937)</f>
        <v>7.7414937</v>
      </c>
      <c r="D15601" s="7">
        <f>IFERROR(__xludf.DUMMYFUNCTION("""COMPUTED_VALUE"""),0.439393939393939)</f>
        <v>0.4393939394</v>
      </c>
    </row>
    <row r="15602">
      <c r="A15602" s="10" t="s">
        <v>17041</v>
      </c>
      <c r="B15602" s="7" t="str">
        <f>IFERROR(__xludf.DUMMYFUNCTION("SPLIT(A15602,"" "")"),"Cc1cccnc1CN(C)CCCN(C)c1ccc2nccc(C)c2c1")</f>
        <v>Cc1cccnc1CN(C)CCCN(C)c1ccc2nccc(C)c2c1</v>
      </c>
      <c r="C15602" s="7">
        <f>IFERROR(__xludf.DUMMYFUNCTION("""COMPUTED_VALUE"""),7.7414913)</f>
        <v>7.7414913</v>
      </c>
      <c r="D15602" s="7">
        <f>IFERROR(__xludf.DUMMYFUNCTION("""COMPUTED_VALUE"""),0.321428571428571)</f>
        <v>0.3214285714</v>
      </c>
    </row>
    <row r="15603">
      <c r="A15603" s="10" t="s">
        <v>17042</v>
      </c>
      <c r="B15603" s="7" t="str">
        <f>IFERROR(__xludf.DUMMYFUNCTION("SPLIT(A15603,"" "")"),"Cc1cnc(CN(C)c2ccccc2C)c(C)c1")</f>
        <v>Cc1cnc(CN(C)c2ccccc2C)c(C)c1</v>
      </c>
      <c r="C15603" s="7">
        <f>IFERROR(__xludf.DUMMYFUNCTION("""COMPUTED_VALUE"""),7.741489)</f>
        <v>7.741489</v>
      </c>
      <c r="D15603" s="7">
        <f>IFERROR(__xludf.DUMMYFUNCTION("""COMPUTED_VALUE"""),0.355555555555555)</f>
        <v>0.3555555556</v>
      </c>
    </row>
    <row r="15604">
      <c r="A15604" s="10" t="s">
        <v>17043</v>
      </c>
      <c r="B15604" s="7" t="str">
        <f>IFERROR(__xludf.DUMMYFUNCTION("SPLIT(A15604,"" "")"),"CCOC(C)c1cc(CN(Cc2ccccn2)Cc2cc(-c3cccc(N(C)C)c3)ccn2)ccn1")</f>
        <v>CCOC(C)c1cc(CN(Cc2ccccn2)Cc2cc(-c3cccc(N(C)C)c3)ccn2)ccn1</v>
      </c>
      <c r="C15604" s="7">
        <f>IFERROR(__xludf.DUMMYFUNCTION("""COMPUTED_VALUE"""),7.7414827)</f>
        <v>7.7414827</v>
      </c>
      <c r="D15604" s="7">
        <f>IFERROR(__xludf.DUMMYFUNCTION("""COMPUTED_VALUE"""),0.376811594202898)</f>
        <v>0.3768115942</v>
      </c>
    </row>
    <row r="15605">
      <c r="A15605" s="10" t="s">
        <v>17044</v>
      </c>
      <c r="B15605" s="7" t="str">
        <f>IFERROR(__xludf.DUMMYFUNCTION("SPLIT(A15605,"" "")"),"Fc1cccc(CN(Cc2ccccn2)Cc2nccc3ccccc23)n1")</f>
        <v>Fc1cccc(CN(Cc2ccccn2)Cc2nccc3ccccc23)n1</v>
      </c>
      <c r="C15605" s="7">
        <f>IFERROR(__xludf.DUMMYFUNCTION("""COMPUTED_VALUE"""),7.7414794)</f>
        <v>7.7414794</v>
      </c>
      <c r="D15605" s="7">
        <f>IFERROR(__xludf.DUMMYFUNCTION("""COMPUTED_VALUE"""),0.5)</f>
        <v>0.5</v>
      </c>
    </row>
    <row r="15606">
      <c r="A15606" s="10" t="s">
        <v>17045</v>
      </c>
      <c r="B15606" s="7" t="str">
        <f>IFERROR(__xludf.DUMMYFUNCTION("SPLIT(A15606,"" "")"),"CN(CCN(C)c1cccc2nc(CF)ccc12)Cc1ccccn1")</f>
        <v>CN(CCN(C)c1cccc2nc(CF)ccc12)Cc1ccccn1</v>
      </c>
      <c r="C15606" s="7">
        <f>IFERROR(__xludf.DUMMYFUNCTION("""COMPUTED_VALUE"""),7.741473)</f>
        <v>7.741473</v>
      </c>
      <c r="D15606" s="7">
        <f>IFERROR(__xludf.DUMMYFUNCTION("""COMPUTED_VALUE"""),0.450980392156862)</f>
        <v>0.4509803922</v>
      </c>
    </row>
    <row r="15607">
      <c r="A15607" s="10" t="s">
        <v>17046</v>
      </c>
      <c r="B15607" s="7" t="str">
        <f>IFERROR(__xludf.DUMMYFUNCTION("SPLIT(A15607,"" "")"),"Cc1ccc(CN(C)Cc2cc(N(C)Cc3nc(C)c(C)c(C)c3C)ccn2)nc1")</f>
        <v>Cc1ccc(CN(C)Cc2cc(N(C)Cc3nc(C)c(C)c(C)c3C)ccn2)nc1</v>
      </c>
      <c r="C15607" s="7">
        <f>IFERROR(__xludf.DUMMYFUNCTION("""COMPUTED_VALUE"""),7.7414536)</f>
        <v>7.7414536</v>
      </c>
      <c r="D15607" s="7">
        <f>IFERROR(__xludf.DUMMYFUNCTION("""COMPUTED_VALUE"""),0.458333333333333)</f>
        <v>0.4583333333</v>
      </c>
    </row>
    <row r="15608">
      <c r="A15608" s="10" t="s">
        <v>17047</v>
      </c>
      <c r="B15608" s="7" t="str">
        <f>IFERROR(__xludf.DUMMYFUNCTION("SPLIT(A15608,"" "")"),"CC(C)N(C)Cc1cnccc1-c1cccc(N(C)C)c1")</f>
        <v>CC(C)N(C)Cc1cnccc1-c1cccc(N(C)C)c1</v>
      </c>
      <c r="C15608" s="7">
        <f>IFERROR(__xludf.DUMMYFUNCTION("""COMPUTED_VALUE"""),7.741446)</f>
        <v>7.741446</v>
      </c>
      <c r="D15608" s="7">
        <f>IFERROR(__xludf.DUMMYFUNCTION("""COMPUTED_VALUE"""),0.259259259259259)</f>
        <v>0.2592592593</v>
      </c>
    </row>
    <row r="15609">
      <c r="A15609" s="10" t="s">
        <v>17048</v>
      </c>
      <c r="B15609" s="7" t="str">
        <f>IFERROR(__xludf.DUMMYFUNCTION("SPLIT(A15609,"" "")"),"CNCc1nccc2c1C(N(C)Cc1ccc3ccccc3n1)CC2")</f>
        <v>CNCc1nccc2c1C(N(C)Cc1ccc3ccccc3n1)CC2</v>
      </c>
      <c r="C15609" s="7">
        <f>IFERROR(__xludf.DUMMYFUNCTION("""COMPUTED_VALUE"""),7.7414412)</f>
        <v>7.7414412</v>
      </c>
      <c r="D15609" s="7">
        <f>IFERROR(__xludf.DUMMYFUNCTION("""COMPUTED_VALUE"""),0.379310344827586)</f>
        <v>0.3793103448</v>
      </c>
    </row>
    <row r="15610">
      <c r="A15610" s="10" t="s">
        <v>17049</v>
      </c>
      <c r="B15610" s="7" t="str">
        <f>IFERROR(__xludf.DUMMYFUNCTION("SPLIT(A15610,"" "")"),"Cc1ccc(N)cc1-c1cc(CN(C)Cc2ccccn2)ccn1")</f>
        <v>Cc1ccc(N)cc1-c1cc(CN(C)Cc2ccccn2)ccn1</v>
      </c>
      <c r="C15610" s="7">
        <f>IFERROR(__xludf.DUMMYFUNCTION("""COMPUTED_VALUE"""),7.741437)</f>
        <v>7.741437</v>
      </c>
      <c r="D15610" s="7">
        <f>IFERROR(__xludf.DUMMYFUNCTION("""COMPUTED_VALUE"""),0.470588235294117)</f>
        <v>0.4705882353</v>
      </c>
    </row>
    <row r="15611">
      <c r="A15611" s="10" t="s">
        <v>17050</v>
      </c>
      <c r="B15611" s="7" t="str">
        <f>IFERROR(__xludf.DUMMYFUNCTION("SPLIT(A15611,"" "")"),"CCNCCN(C)c1ccc2c(CN(C)C)ccnc2c1")</f>
        <v>CCNCCN(C)c1ccc2c(CN(C)C)ccnc2c1</v>
      </c>
      <c r="C15611" s="7">
        <f>IFERROR(__xludf.DUMMYFUNCTION("""COMPUTED_VALUE"""),7.7414346)</f>
        <v>7.7414346</v>
      </c>
      <c r="D15611" s="7">
        <f>IFERROR(__xludf.DUMMYFUNCTION("""COMPUTED_VALUE"""),0.24074074074074)</f>
        <v>0.2407407407</v>
      </c>
    </row>
    <row r="15612">
      <c r="A15612" s="10" t="s">
        <v>17051</v>
      </c>
      <c r="B15612" s="7" t="str">
        <f>IFERROR(__xludf.DUMMYFUNCTION("SPLIT(A15612,"" "")"),"Cc1ccc(CN(C)CCN(Cc2ccccn2)c2ccc3nc(CF)ccc3c2)nc1C")</f>
        <v>Cc1ccc(CN(C)CCN(Cc2ccccn2)c2ccc3nc(CF)ccc3c2)nc1C</v>
      </c>
      <c r="C15612" s="7">
        <f>IFERROR(__xludf.DUMMYFUNCTION("""COMPUTED_VALUE"""),7.7414236)</f>
        <v>7.7414236</v>
      </c>
      <c r="D15612" s="7">
        <f>IFERROR(__xludf.DUMMYFUNCTION("""COMPUTED_VALUE"""),0.428571428571428)</f>
        <v>0.4285714286</v>
      </c>
    </row>
    <row r="15613">
      <c r="A15613" s="10" t="s">
        <v>17052</v>
      </c>
      <c r="B15613" s="7" t="str">
        <f>IFERROR(__xludf.DUMMYFUNCTION("SPLIT(A15613,"" "")"),"Cc1ccc(N(C)CC2=C(N(C)Cc3ncccc3C)CC=CN2)cc1C")</f>
        <v>Cc1ccc(N(C)CC2=C(N(C)Cc3ncccc3C)CC=CN2)cc1C</v>
      </c>
      <c r="C15613" s="7">
        <f>IFERROR(__xludf.DUMMYFUNCTION("""COMPUTED_VALUE"""),7.7414155)</f>
        <v>7.7414155</v>
      </c>
      <c r="D15613" s="7">
        <f>IFERROR(__xludf.DUMMYFUNCTION("""COMPUTED_VALUE"""),0.257575757575757)</f>
        <v>0.2575757576</v>
      </c>
    </row>
    <row r="15614">
      <c r="A15614" s="10" t="s">
        <v>17053</v>
      </c>
      <c r="B15614" s="7" t="str">
        <f>IFERROR(__xludf.DUMMYFUNCTION("SPLIT(A15614,"" "")"),"CC(C)C(C)(c1cccnc1)c1cc(CN(Cc2ccccn2)Cc2cc(-c3ccccc3N(C)C)ccn2)ccn1")</f>
        <v>CC(C)C(C)(c1cccnc1)c1cc(CN(Cc2ccccn2)Cc2cc(-c3ccccc3N(C)C)ccn2)ccn1</v>
      </c>
      <c r="C15614" s="7">
        <f>IFERROR(__xludf.DUMMYFUNCTION("""COMPUTED_VALUE"""),7.741403)</f>
        <v>7.741403</v>
      </c>
      <c r="D15614" s="7">
        <f>IFERROR(__xludf.DUMMYFUNCTION("""COMPUTED_VALUE"""),0.32258064516129)</f>
        <v>0.3225806452</v>
      </c>
    </row>
    <row r="15615">
      <c r="A15615" s="10" t="s">
        <v>17054</v>
      </c>
      <c r="B15615" s="7" t="str">
        <f>IFERROR(__xludf.DUMMYFUNCTION("SPLIT(A15615,"" "")"),"Cc1ccnc2ccc(N(C)CCN(C)C(C)C)cc12")</f>
        <v>Cc1ccnc2ccc(N(C)CCN(C)C(C)C)cc12</v>
      </c>
      <c r="C15615" s="7">
        <f>IFERROR(__xludf.DUMMYFUNCTION("""COMPUTED_VALUE"""),7.741394)</f>
        <v>7.741394</v>
      </c>
      <c r="D15615" s="7">
        <f>IFERROR(__xludf.DUMMYFUNCTION("""COMPUTED_VALUE"""),0.254901960784313)</f>
        <v>0.2549019608</v>
      </c>
    </row>
    <row r="15616">
      <c r="A15616" s="10" t="s">
        <v>17055</v>
      </c>
      <c r="B15616" s="7" t="str">
        <f>IFERROR(__xludf.DUMMYFUNCTION("SPLIT(A15616,"" "")"),"C(=Nc1ccccc1-c1ccnc(CN(Cc2ccccc2)Cc2ccccn2)c1)c1ccccn1")</f>
        <v>C(=Nc1ccccc1-c1ccnc(CN(Cc2ccccc2)Cc2ccccn2)c1)c1ccccn1</v>
      </c>
      <c r="C15616" s="7">
        <f>IFERROR(__xludf.DUMMYFUNCTION("""COMPUTED_VALUE"""),7.741391)</f>
        <v>7.741391</v>
      </c>
      <c r="D15616" s="7">
        <f>IFERROR(__xludf.DUMMYFUNCTION("""COMPUTED_VALUE"""),0.416666666666666)</f>
        <v>0.4166666667</v>
      </c>
    </row>
    <row r="15617">
      <c r="A15617" s="10" t="s">
        <v>17056</v>
      </c>
      <c r="B15617" s="7" t="str">
        <f>IFERROR(__xludf.DUMMYFUNCTION("SPLIT(A15617,"" "")"),"C1=CCNC(NCc2ncccc2C(c2ccccn2)c2ccccn2)=C1")</f>
        <v>C1=CCNC(NCc2ncccc2C(c2ccccn2)c2ccccn2)=C1</v>
      </c>
      <c r="C15617" s="7">
        <f>IFERROR(__xludf.DUMMYFUNCTION("""COMPUTED_VALUE"""),7.741383)</f>
        <v>7.741383</v>
      </c>
      <c r="D15617" s="7">
        <f>IFERROR(__xludf.DUMMYFUNCTION("""COMPUTED_VALUE"""),0.25)</f>
        <v>0.25</v>
      </c>
    </row>
    <row r="15618">
      <c r="A15618" s="10" t="s">
        <v>17057</v>
      </c>
      <c r="B15618" s="7" t="str">
        <f>IFERROR(__xludf.DUMMYFUNCTION("SPLIT(A15618,"" "")"),"Cc1cc(C)c(N(CC2=C(N(C)Cc3ccccn3)CC=CN2)Cc2cccnc2)c(C)c1C")</f>
        <v>Cc1cc(C)c(N(CC2=C(N(C)Cc3ccccn3)CC=CN2)Cc2cccnc2)c(C)c1C</v>
      </c>
      <c r="C15618" s="7">
        <f>IFERROR(__xludf.DUMMYFUNCTION("""COMPUTED_VALUE"""),7.741377)</f>
        <v>7.741377</v>
      </c>
      <c r="D15618" s="7">
        <f>IFERROR(__xludf.DUMMYFUNCTION("""COMPUTED_VALUE"""),0.333333333333333)</f>
        <v>0.3333333333</v>
      </c>
    </row>
    <row r="15619">
      <c r="A15619" s="10" t="s">
        <v>17058</v>
      </c>
      <c r="B15619" s="7" t="str">
        <f>IFERROR(__xludf.DUMMYFUNCTION("SPLIT(A15619,"" "")"),"CN(CCF)Cc1cccc(-c2ccccc2N=Cc2ccccn2)n1")</f>
        <v>CN(CCF)Cc1cccc(-c2ccccc2N=Cc2ccccn2)n1</v>
      </c>
      <c r="C15619" s="7">
        <f>IFERROR(__xludf.DUMMYFUNCTION("""COMPUTED_VALUE"""),7.7413716)</f>
        <v>7.7413716</v>
      </c>
      <c r="D15619" s="7">
        <f>IFERROR(__xludf.DUMMYFUNCTION("""COMPUTED_VALUE"""),0.462962962962962)</f>
        <v>0.462962963</v>
      </c>
    </row>
    <row r="15620">
      <c r="A15620" s="10" t="s">
        <v>17059</v>
      </c>
      <c r="B15620" s="7" t="str">
        <f>IFERROR(__xludf.DUMMYFUNCTION("SPLIT(A15620,"" "")"),"Cc1c(NCc2ccccn2)cccc1-c1ccc(CNC(C)C)nc1")</f>
        <v>Cc1c(NCc2ccccn2)cccc1-c1ccc(CNC(C)C)nc1</v>
      </c>
      <c r="C15620" s="7">
        <f>IFERROR(__xludf.DUMMYFUNCTION("""COMPUTED_VALUE"""),7.741366)</f>
        <v>7.741366</v>
      </c>
      <c r="D15620" s="7">
        <f>IFERROR(__xludf.DUMMYFUNCTION("""COMPUTED_VALUE"""),0.34)</f>
        <v>0.34</v>
      </c>
    </row>
    <row r="15621">
      <c r="A15621" s="10" t="s">
        <v>17060</v>
      </c>
      <c r="B15621" s="7" t="str">
        <f>IFERROR(__xludf.DUMMYFUNCTION("SPLIT(A15621,"" "")"),"CN1CCN(C)CC(N(C)c2ccc3ncccc3c2)N(Cc2nc3ccccc3n2C)CC1")</f>
        <v>CN1CCN(C)CC(N(C)c2ccc3ncccc3c2)N(Cc2nc3ccccc3n2C)CC1</v>
      </c>
      <c r="C15621" s="7">
        <f>IFERROR(__xludf.DUMMYFUNCTION("""COMPUTED_VALUE"""),7.7413588)</f>
        <v>7.7413588</v>
      </c>
      <c r="D15621" s="7">
        <f>IFERROR(__xludf.DUMMYFUNCTION("""COMPUTED_VALUE"""),0.47457627118644)</f>
        <v>0.4745762712</v>
      </c>
    </row>
    <row r="15622">
      <c r="A15622" s="10" t="s">
        <v>17061</v>
      </c>
      <c r="B15622" s="7" t="str">
        <f>IFERROR(__xludf.DUMMYFUNCTION("SPLIT(A15622,"" "")"),"COC(C)c1cc(CN(Cc2ccccn2)Cc2cc(-c3ccccc3N(C)C)ccn2)ccn1")</f>
        <v>COC(C)c1cc(CN(Cc2ccccn2)Cc2cc(-c3ccccc3N(C)C)ccn2)ccn1</v>
      </c>
      <c r="C15622" s="7">
        <f>IFERROR(__xludf.DUMMYFUNCTION("""COMPUTED_VALUE"""),7.741338)</f>
        <v>7.741338</v>
      </c>
      <c r="D15622" s="7">
        <f>IFERROR(__xludf.DUMMYFUNCTION("""COMPUTED_VALUE"""),0.377358490566037)</f>
        <v>0.3773584906</v>
      </c>
    </row>
    <row r="15623">
      <c r="A15623" s="10" t="s">
        <v>17062</v>
      </c>
      <c r="B15623" s="7" t="str">
        <f>IFERROR(__xludf.DUMMYFUNCTION("SPLIT(A15623,"" "")"),"CN(c1ccc2c3c(cnc2c1)CCCC3)C1CCC(N(C)c2cccc3ncc4c(c23)CCCC4)CC1")</f>
        <v>CN(c1ccc2c3c(cnc2c1)CCCC3)C1CCC(N(C)c2cccc3ncc4c(c23)CCCC4)CC1</v>
      </c>
      <c r="C15623" s="7">
        <f>IFERROR(__xludf.DUMMYFUNCTION("""COMPUTED_VALUE"""),7.741338)</f>
        <v>7.741338</v>
      </c>
      <c r="D15623" s="7">
        <f>IFERROR(__xludf.DUMMYFUNCTION("""COMPUTED_VALUE"""),0.318181818181818)</f>
        <v>0.3181818182</v>
      </c>
    </row>
    <row r="15624">
      <c r="A15624" s="10" t="s">
        <v>17063</v>
      </c>
      <c r="B15624" s="7" t="str">
        <f>IFERROR(__xludf.DUMMYFUNCTION("SPLIT(A15624,"" "")"),"Cc1ccc(N(C)Cc2ncc(C)cc2C)cc1")</f>
        <v>Cc1ccc(N(C)Cc2ncc(C)cc2C)cc1</v>
      </c>
      <c r="C15624" s="7">
        <f>IFERROR(__xludf.DUMMYFUNCTION("""COMPUTED_VALUE"""),7.7413063)</f>
        <v>7.7413063</v>
      </c>
      <c r="D15624" s="7">
        <f>IFERROR(__xludf.DUMMYFUNCTION("""COMPUTED_VALUE"""),0.375)</f>
        <v>0.375</v>
      </c>
    </row>
    <row r="15625">
      <c r="A15625" s="10" t="s">
        <v>17064</v>
      </c>
      <c r="B15625" s="7" t="str">
        <f>IFERROR(__xludf.DUMMYFUNCTION("SPLIT(A15625,"" "")"),"Cc1cc(N)cc(-c2ncccc2CN(C)Cc2ccccn2)c1")</f>
        <v>Cc1cc(N)cc(-c2ncccc2CN(C)Cc2ccccn2)c1</v>
      </c>
      <c r="C15625" s="7">
        <f>IFERROR(__xludf.DUMMYFUNCTION("""COMPUTED_VALUE"""),7.7413044)</f>
        <v>7.7413044</v>
      </c>
      <c r="D15625" s="7">
        <f>IFERROR(__xludf.DUMMYFUNCTION("""COMPUTED_VALUE"""),0.423076923076923)</f>
        <v>0.4230769231</v>
      </c>
    </row>
    <row r="15626">
      <c r="A15626" s="10" t="s">
        <v>17065</v>
      </c>
      <c r="B15626" s="7" t="str">
        <f>IFERROR(__xludf.DUMMYFUNCTION("SPLIT(A15626,"" "")"),"CCN(Cc1ccccn1)Cc1ncccc1-c1cccc(N(C)C)c1")</f>
        <v>CCN(Cc1ccccn1)Cc1ncccc1-c1cccc(N(C)C)c1</v>
      </c>
      <c r="C15626" s="7">
        <f>IFERROR(__xludf.DUMMYFUNCTION("""COMPUTED_VALUE"""),7.741301)</f>
        <v>7.741301</v>
      </c>
      <c r="D15626" s="7">
        <f>IFERROR(__xludf.DUMMYFUNCTION("""COMPUTED_VALUE"""),0.422222222222222)</f>
        <v>0.4222222222</v>
      </c>
    </row>
    <row r="15627">
      <c r="A15627" s="10" t="s">
        <v>17066</v>
      </c>
      <c r="B15627" s="7" t="str">
        <f>IFERROR(__xludf.DUMMYFUNCTION("SPLIT(A15627,"" "")"),"Cc1cc(CN(C)Cc2cc(N(C)Cc3nc(C)c(C)c(C)c3C)ccn2)ccn1")</f>
        <v>Cc1cc(CN(C)Cc2cc(N(C)Cc3nc(C)c(C)c(C)c3C)ccn2)ccn1</v>
      </c>
      <c r="C15627" s="7">
        <f>IFERROR(__xludf.DUMMYFUNCTION("""COMPUTED_VALUE"""),7.7412996)</f>
        <v>7.7412996</v>
      </c>
      <c r="D15627" s="7">
        <f>IFERROR(__xludf.DUMMYFUNCTION("""COMPUTED_VALUE"""),0.295081967213114)</f>
        <v>0.2950819672</v>
      </c>
    </row>
    <row r="15628">
      <c r="A15628" s="10" t="s">
        <v>17067</v>
      </c>
      <c r="B15628" s="7" t="str">
        <f>IFERROR(__xludf.DUMMYFUNCTION("SPLIT(A15628,"" "")"),"CC(C)C(C)(c1cccnc1)c1ncccc1CN(Cc1ccccn1)Cc1cc(-c2cccc(N(C)C)c2)ccn1")</f>
        <v>CC(C)C(C)(c1cccnc1)c1ncccc1CN(Cc1ccccn1)Cc1cc(-c2cccc(N(C)C)c2)ccn1</v>
      </c>
      <c r="C15628" s="7">
        <f>IFERROR(__xludf.DUMMYFUNCTION("""COMPUTED_VALUE"""),7.7412953)</f>
        <v>7.7412953</v>
      </c>
      <c r="D15628" s="7">
        <f>IFERROR(__xludf.DUMMYFUNCTION("""COMPUTED_VALUE"""),0.328947368421052)</f>
        <v>0.3289473684</v>
      </c>
    </row>
    <row r="15629">
      <c r="A15629" s="10" t="s">
        <v>17068</v>
      </c>
      <c r="B15629" s="7" t="str">
        <f>IFERROR(__xludf.DUMMYFUNCTION("SPLIT(A15629,"" "")"),"CC(c1ccc(CNc2ccccc2F)nc1)(c1ccccn1)c1ccccn1")</f>
        <v>CC(c1ccc(CNc2ccccc2F)nc1)(c1ccccn1)c1ccccn1</v>
      </c>
      <c r="C15629" s="7">
        <f>IFERROR(__xludf.DUMMYFUNCTION("""COMPUTED_VALUE"""),7.7412834)</f>
        <v>7.7412834</v>
      </c>
      <c r="D15629" s="7">
        <f>IFERROR(__xludf.DUMMYFUNCTION("""COMPUTED_VALUE"""),0.368421052631578)</f>
        <v>0.3684210526</v>
      </c>
    </row>
    <row r="15630">
      <c r="A15630" s="10" t="s">
        <v>17069</v>
      </c>
      <c r="B15630" s="7" t="str">
        <f>IFERROR(__xludf.DUMMYFUNCTION("SPLIT(A15630,"" "")"),"CN(c1ccc2nc3c(cc2c1)CCCC3)C1CCC(N(C)c2ccc3cc(CF)cnc3c2)CC1")</f>
        <v>CN(c1ccc2nc3c(cc2c1)CCCC3)C1CCC(N(C)c2ccc3cc(CF)cnc3c2)CC1</v>
      </c>
      <c r="C15630" s="7">
        <f>IFERROR(__xludf.DUMMYFUNCTION("""COMPUTED_VALUE"""),7.7412815)</f>
        <v>7.7412815</v>
      </c>
      <c r="D15630" s="7">
        <f>IFERROR(__xludf.DUMMYFUNCTION("""COMPUTED_VALUE"""),0.348484848484848)</f>
        <v>0.3484848485</v>
      </c>
    </row>
    <row r="15631">
      <c r="A15631" s="10" t="s">
        <v>17070</v>
      </c>
      <c r="B15631" s="7" t="str">
        <f>IFERROR(__xludf.DUMMYFUNCTION("SPLIT(A15631,"" "")"),"Cc1ccnc(CN(C)CCNc2cccc3nccc(CF)c23)c1C")</f>
        <v>Cc1ccnc(CN(C)CCNc2cccc3nccc(CF)c23)c1C</v>
      </c>
      <c r="C15631" s="7">
        <f>IFERROR(__xludf.DUMMYFUNCTION("""COMPUTED_VALUE"""),7.741273)</f>
        <v>7.741273</v>
      </c>
      <c r="D15631" s="7">
        <f>IFERROR(__xludf.DUMMYFUNCTION("""COMPUTED_VALUE"""),0.278688524590163)</f>
        <v>0.2786885246</v>
      </c>
    </row>
    <row r="15632">
      <c r="A15632" s="10" t="s">
        <v>17071</v>
      </c>
      <c r="B15632" s="7" t="str">
        <f>IFERROR(__xludf.DUMMYFUNCTION("SPLIT(A15632,"" "")"),"Cc1ccc(C)c(N(C)Cc2cc(C(C)(C)C)ccn2)c1C")</f>
        <v>Cc1ccc(C)c(N(C)Cc2cc(C(C)(C)C)ccn2)c1C</v>
      </c>
      <c r="C15632" s="7">
        <f>IFERROR(__xludf.DUMMYFUNCTION("""COMPUTED_VALUE"""),7.741268)</f>
        <v>7.741268</v>
      </c>
      <c r="D15632" s="7">
        <f>IFERROR(__xludf.DUMMYFUNCTION("""COMPUTED_VALUE"""),0.326530612244897)</f>
        <v>0.3265306122</v>
      </c>
    </row>
    <row r="15633">
      <c r="A15633" s="10" t="s">
        <v>17072</v>
      </c>
      <c r="B15633" s="7" t="str">
        <f>IFERROR(__xludf.DUMMYFUNCTION("SPLIT(A15633,"" "")"),"CCN(Cc1ccccn1)c1cccc(-c2cc(CN(Cc3ccccn3)Cc3nc(C)c(C)cc3C)ccn2)c1")</f>
        <v>CCN(Cc1ccccn1)c1cccc(-c2cc(CN(Cc3ccccn3)Cc3nc(C)c(C)cc3C)ccn2)c1</v>
      </c>
      <c r="C15633" s="7">
        <f>IFERROR(__xludf.DUMMYFUNCTION("""COMPUTED_VALUE"""),7.741251)</f>
        <v>7.741251</v>
      </c>
      <c r="D15633" s="7">
        <f>IFERROR(__xludf.DUMMYFUNCTION("""COMPUTED_VALUE"""),0.405797101449275)</f>
        <v>0.4057971014</v>
      </c>
    </row>
    <row r="15634">
      <c r="A15634" s="10" t="s">
        <v>17073</v>
      </c>
      <c r="B15634" s="7" t="str">
        <f>IFERROR(__xludf.DUMMYFUNCTION("SPLIT(A15634,"" "")"),"Cc1ccc2nccc(CN(C)C3CCC(N(C)c4ccc5ncc(CF)cc5c4)CC3)c2c1")</f>
        <v>Cc1ccc2nccc(CN(C)C3CCC(N(C)c4ccc5ncc(CF)cc5c4)CC3)c2c1</v>
      </c>
      <c r="C15634" s="7">
        <f>IFERROR(__xludf.DUMMYFUNCTION("""COMPUTED_VALUE"""),7.7412457)</f>
        <v>7.7412457</v>
      </c>
      <c r="D15634" s="7">
        <f>IFERROR(__xludf.DUMMYFUNCTION("""COMPUTED_VALUE"""),0.260869565217391)</f>
        <v>0.2608695652</v>
      </c>
    </row>
    <row r="15635">
      <c r="A15635" s="10" t="s">
        <v>17074</v>
      </c>
      <c r="B15635" s="7" t="str">
        <f>IFERROR(__xludf.DUMMYFUNCTION("SPLIT(A15635,"" "")"),"CN(C)c1ccccc1-c1cnccc1CN(C)C(C)(C)c1cccnc1")</f>
        <v>CN(C)c1ccccc1-c1cnccc1CN(C)C(C)(C)c1cccnc1</v>
      </c>
      <c r="C15635" s="7">
        <f>IFERROR(__xludf.DUMMYFUNCTION("""COMPUTED_VALUE"""),7.7412453)</f>
        <v>7.7412453</v>
      </c>
      <c r="D15635" s="7">
        <f>IFERROR(__xludf.DUMMYFUNCTION("""COMPUTED_VALUE"""),0.232142857142857)</f>
        <v>0.2321428571</v>
      </c>
    </row>
    <row r="15636">
      <c r="A15636" s="10" t="s">
        <v>17075</v>
      </c>
      <c r="B15636" s="7" t="str">
        <f>IFERROR(__xludf.DUMMYFUNCTION("SPLIT(A15636,"" "")"),"CN(c1ccc2c3c(cnc2c1)CCCC3)C1CCC(N(C)c2cccc3nc4c(cc23)CCCC4)CC1")</f>
        <v>CN(c1ccc2c3c(cnc2c1)CCCC3)C1CCC(N(C)c2cccc3nc4c(cc23)CCCC4)CC1</v>
      </c>
      <c r="C15636" s="7">
        <f>IFERROR(__xludf.DUMMYFUNCTION("""COMPUTED_VALUE"""),7.741245)</f>
        <v>7.741245</v>
      </c>
      <c r="D15636" s="7">
        <f>IFERROR(__xludf.DUMMYFUNCTION("""COMPUTED_VALUE"""),0.393939393939393)</f>
        <v>0.3939393939</v>
      </c>
    </row>
    <row r="15637">
      <c r="A15637" s="10" t="s">
        <v>17076</v>
      </c>
      <c r="B15637" s="7" t="str">
        <f>IFERROR(__xludf.DUMMYFUNCTION("SPLIT(A15637,"" "")"),"Cc1ccc(N(C)Cc2ccc(C(C)(C)c3ccccn3)cn2)cc1")</f>
        <v>Cc1ccc(N(C)Cc2ccc(C(C)(C)c3ccccn3)cn2)cc1</v>
      </c>
      <c r="C15637" s="7">
        <f>IFERROR(__xludf.DUMMYFUNCTION("""COMPUTED_VALUE"""),7.7412405)</f>
        <v>7.7412405</v>
      </c>
      <c r="D15637" s="7">
        <f>IFERROR(__xludf.DUMMYFUNCTION("""COMPUTED_VALUE"""),0.392156862745098)</f>
        <v>0.3921568627</v>
      </c>
    </row>
    <row r="15638">
      <c r="A15638" s="10" t="s">
        <v>17077</v>
      </c>
      <c r="B15638" s="7" t="str">
        <f>IFERROR(__xludf.DUMMYFUNCTION("SPLIT(A15638,"" "")"),"Cc1ccc(NCc2ccccn2)c(-c2cccc(CN(C)C3CCC(N(C)c4ccc5nccc(CN(C)C)c5c4)CC3)n2)c1")</f>
        <v>Cc1ccc(NCc2ccccn2)c(-c2cccc(CN(C)C3CCC(N(C)c4ccc5nccc(CN(C)C)c5c4)CC3)n2)c1</v>
      </c>
      <c r="C15638" s="7">
        <f>IFERROR(__xludf.DUMMYFUNCTION("""COMPUTED_VALUE"""),7.7412405)</f>
        <v>7.7412405</v>
      </c>
      <c r="D15638" s="7">
        <f>IFERROR(__xludf.DUMMYFUNCTION("""COMPUTED_VALUE"""),0.307692307692307)</f>
        <v>0.3076923077</v>
      </c>
    </row>
    <row r="15639">
      <c r="A15639" s="10" t="s">
        <v>17078</v>
      </c>
      <c r="B15639" s="7" t="str">
        <f>IFERROR(__xludf.DUMMYFUNCTION("SPLIT(A15639,"" "")"),"CN(Cc1ccccn1)C1=CNC(C(C)(c2ccccn2)c2ccccn2)=CC1")</f>
        <v>CN(Cc1ccccn1)C1=CNC(C(C)(c2ccccn2)c2ccccn2)=CC1</v>
      </c>
      <c r="C15639" s="7">
        <f>IFERROR(__xludf.DUMMYFUNCTION("""COMPUTED_VALUE"""),7.74124)</f>
        <v>7.74124</v>
      </c>
      <c r="D15639" s="7">
        <f>IFERROR(__xludf.DUMMYFUNCTION("""COMPUTED_VALUE"""),0.431372549019607)</f>
        <v>0.431372549</v>
      </c>
    </row>
    <row r="15640">
      <c r="A15640" s="10" t="s">
        <v>17079</v>
      </c>
      <c r="B15640" s="7" t="str">
        <f>IFERROR(__xludf.DUMMYFUNCTION("SPLIT(A15640,"" "")"),"Cc1ccc(-c2cccc(CN(C)C3CCC(N(C)Cc4cc(-c5ccc6ncccc6c5)ccn4)CC3)n2)nc1")</f>
        <v>Cc1ccc(-c2cccc(CN(C)C3CCC(N(C)Cc4cc(-c5ccc6ncccc6c5)ccn4)CC3)n2)nc1</v>
      </c>
      <c r="C15640" s="7">
        <f>IFERROR(__xludf.DUMMYFUNCTION("""COMPUTED_VALUE"""),7.741238)</f>
        <v>7.741238</v>
      </c>
      <c r="D15640" s="7">
        <f>IFERROR(__xludf.DUMMYFUNCTION("""COMPUTED_VALUE"""),0.375)</f>
        <v>0.375</v>
      </c>
    </row>
    <row r="15641">
      <c r="A15641" s="10" t="s">
        <v>17080</v>
      </c>
      <c r="B15641" s="7" t="str">
        <f>IFERROR(__xludf.DUMMYFUNCTION("SPLIT(A15641,"" "")"),"Cc1ccnc(C2CCC2(C)C)c1C(=O)C(C)C(=O)C(=O)C(=O)C(=O)C(=O)C(=O)C(=O)C(=O)C(=O)C(=O)C(=O)C(=O)C(=O)C(=O)C=O")</f>
        <v>Cc1ccnc(C2CCC2(C)C)c1C(=O)C(C)C(=O)C(=O)C(=O)C(=O)C(=O)C(=O)C(=O)C(=O)C(=O)C(=O)C(=O)C(=O)C(=O)C(=O)C=O</v>
      </c>
      <c r="C15641" s="7">
        <f>IFERROR(__xludf.DUMMYFUNCTION("""COMPUTED_VALUE"""),7.741237)</f>
        <v>7.741237</v>
      </c>
      <c r="D15641" s="7">
        <f>IFERROR(__xludf.DUMMYFUNCTION("""COMPUTED_VALUE"""),0.179487179487179)</f>
        <v>0.1794871795</v>
      </c>
    </row>
    <row r="15642">
      <c r="A15642" s="10" t="s">
        <v>17081</v>
      </c>
      <c r="B15642" s="7" t="str">
        <f>IFERROR(__xludf.DUMMYFUNCTION("SPLIT(A15642,"" "")"),"Cc1ccc(-c2cccc(CN(C)Cc3ccc(N)cn3)n2)cc1C")</f>
        <v>Cc1ccc(-c2cccc(CN(C)Cc3ccc(N)cn3)n2)cc1C</v>
      </c>
      <c r="C15642" s="7">
        <f>IFERROR(__xludf.DUMMYFUNCTION("""COMPUTED_VALUE"""),7.7412353)</f>
        <v>7.7412353</v>
      </c>
      <c r="D15642" s="7">
        <f>IFERROR(__xludf.DUMMYFUNCTION("""COMPUTED_VALUE"""),0.450980392156862)</f>
        <v>0.4509803922</v>
      </c>
    </row>
    <row r="15643">
      <c r="A15643" s="10" t="s">
        <v>17082</v>
      </c>
      <c r="B15643" s="7" t="str">
        <f>IFERROR(__xludf.DUMMYFUNCTION("SPLIT(A15643,"" "")"),"CNCc1nccc(N(C)Cc2cc(C)ccn2)c1Cl")</f>
        <v>CNCc1nccc(N(C)Cc2cc(C)ccn2)c1Cl</v>
      </c>
      <c r="C15643" s="7">
        <f>IFERROR(__xludf.DUMMYFUNCTION("""COMPUTED_VALUE"""),7.741231)</f>
        <v>7.741231</v>
      </c>
      <c r="D15643" s="7">
        <f>IFERROR(__xludf.DUMMYFUNCTION("""COMPUTED_VALUE"""),0.4375)</f>
        <v>0.4375</v>
      </c>
    </row>
    <row r="15644">
      <c r="A15644" s="10" t="s">
        <v>17083</v>
      </c>
      <c r="B15644" s="7" t="str">
        <f>IFERROR(__xludf.DUMMYFUNCTION("SPLIT(A15644,"" "")"),"Cc1cc(NCc2ccccn2)cc(-c2ncccc2CN(C)Cc2ccccn2)c1")</f>
        <v>Cc1cc(NCc2ccccn2)cc(-c2ncccc2CN(C)Cc2ccccn2)c1</v>
      </c>
      <c r="C15644" s="7">
        <f>IFERROR(__xludf.DUMMYFUNCTION("""COMPUTED_VALUE"""),7.7412267)</f>
        <v>7.7412267</v>
      </c>
      <c r="D15644" s="7">
        <f>IFERROR(__xludf.DUMMYFUNCTION("""COMPUTED_VALUE"""),0.418181818181818)</f>
        <v>0.4181818182</v>
      </c>
    </row>
    <row r="15645">
      <c r="A15645" s="10" t="s">
        <v>17084</v>
      </c>
      <c r="B15645" s="7" t="str">
        <f>IFERROR(__xludf.DUMMYFUNCTION("SPLIT(A15645,"" "")"),"Cc1cc(C)c(CN(CCN(Cc2ccccn2)c2cccc3ncccc23)C(C)C)nc1C")</f>
        <v>Cc1cc(C)c(CN(CCN(Cc2ccccn2)c2cccc3ncccc23)C(C)C)nc1C</v>
      </c>
      <c r="C15645" s="7">
        <f>IFERROR(__xludf.DUMMYFUNCTION("""COMPUTED_VALUE"""),7.741207)</f>
        <v>7.741207</v>
      </c>
      <c r="D15645" s="7">
        <f>IFERROR(__xludf.DUMMYFUNCTION("""COMPUTED_VALUE"""),0.472727272727272)</f>
        <v>0.4727272727</v>
      </c>
    </row>
    <row r="15646">
      <c r="A15646" s="10" t="s">
        <v>17085</v>
      </c>
      <c r="B15646" s="7" t="str">
        <f>IFERROR(__xludf.DUMMYFUNCTION("SPLIT(A15646,"" "")"),"CN(C)c1cccc(-c2cccc(CN(C)C3CCC(N(C)c4ccc5cc(CF)cnc5c4)CC3)n2)c1")</f>
        <v>CN(C)c1cccc(-c2cccc(CN(C)C3CCC(N(C)c4ccc5cc(CF)cnc5c4)CC3)n2)c1</v>
      </c>
      <c r="C15646" s="7">
        <f>IFERROR(__xludf.DUMMYFUNCTION("""COMPUTED_VALUE"""),7.7412066)</f>
        <v>7.7412066</v>
      </c>
      <c r="D15646" s="7">
        <f>IFERROR(__xludf.DUMMYFUNCTION("""COMPUTED_VALUE"""),0.306666666666666)</f>
        <v>0.3066666667</v>
      </c>
    </row>
    <row r="15647">
      <c r="A15647" s="10" t="s">
        <v>17086</v>
      </c>
      <c r="B15647" s="7" t="str">
        <f>IFERROR(__xludf.DUMMYFUNCTION("SPLIT(A15647,"" "")"),"CN(C)c1ccccc1-c1ccc(CN(Cc2ccccn2)Cc2cccc(C(C)(C)C)n2)nc1")</f>
        <v>CN(C)c1ccccc1-c1ccc(CN(Cc2ccccn2)Cc2cccc(C(C)(C)C)n2)nc1</v>
      </c>
      <c r="C15647" s="7">
        <f>IFERROR(__xludf.DUMMYFUNCTION("""COMPUTED_VALUE"""),7.7412047)</f>
        <v>7.7412047</v>
      </c>
      <c r="D15647" s="7">
        <f>IFERROR(__xludf.DUMMYFUNCTION("""COMPUTED_VALUE"""),0.418181818181818)</f>
        <v>0.4181818182</v>
      </c>
    </row>
    <row r="15648">
      <c r="A15648" s="10" t="s">
        <v>17087</v>
      </c>
      <c r="B15648" s="7" t="str">
        <f>IFERROR(__xludf.DUMMYFUNCTION("SPLIT(A15648,"" "")"),"Cc1ccnc(CN(Cc2ccc3ncccc3c2)C2CCCCC2N(C)c2ccc3c(CN(C)C)nccc3c2)c1C")</f>
        <v>Cc1ccnc(CN(Cc2ccc3ncccc3c2)C2CCCCC2N(C)c2ccc3c(CN(C)C)nccc3c2)c1C</v>
      </c>
      <c r="C15648" s="7">
        <f>IFERROR(__xludf.DUMMYFUNCTION("""COMPUTED_VALUE"""),7.7412024)</f>
        <v>7.7412024</v>
      </c>
      <c r="D15648" s="7">
        <f>IFERROR(__xludf.DUMMYFUNCTION("""COMPUTED_VALUE"""),0.338028169014084)</f>
        <v>0.338028169</v>
      </c>
    </row>
    <row r="15649">
      <c r="A15649" s="10" t="s">
        <v>17088</v>
      </c>
      <c r="B15649" s="7" t="str">
        <f>IFERROR(__xludf.DUMMYFUNCTION("SPLIT(A15649,"" "")"),"CC(C)N(C)Cc1ncccc1-c1cccc(N(C)C)c1")</f>
        <v>CC(C)N(C)Cc1ncccc1-c1cccc(N(C)C)c1</v>
      </c>
      <c r="C15649" s="7">
        <f>IFERROR(__xludf.DUMMYFUNCTION("""COMPUTED_VALUE"""),7.7411885)</f>
        <v>7.7411885</v>
      </c>
      <c r="D15649" s="7">
        <f>IFERROR(__xludf.DUMMYFUNCTION("""COMPUTED_VALUE"""),0.3)</f>
        <v>0.3</v>
      </c>
    </row>
    <row r="15650">
      <c r="A15650" s="10" t="s">
        <v>17089</v>
      </c>
      <c r="B15650" s="7" t="str">
        <f>IFERROR(__xludf.DUMMYFUNCTION("SPLIT(A15650,"" "")"),"Cc1cc(Cl)ccc1N(C)CC1=CCC=CN1")</f>
        <v>Cc1cc(Cl)ccc1N(C)CC1=CCC=CN1</v>
      </c>
      <c r="C15650" s="7">
        <f>IFERROR(__xludf.DUMMYFUNCTION("""COMPUTED_VALUE"""),7.741185)</f>
        <v>7.741185</v>
      </c>
      <c r="D15650" s="7">
        <f>IFERROR(__xludf.DUMMYFUNCTION("""COMPUTED_VALUE"""),0.377358490566037)</f>
        <v>0.3773584906</v>
      </c>
    </row>
    <row r="15651">
      <c r="A15651" s="10" t="s">
        <v>17090</v>
      </c>
      <c r="B15651" s="7" t="str">
        <f>IFERROR(__xludf.DUMMYFUNCTION("SPLIT(A15651,"" "")"),"Cc1cnc(CN(C)Cc2cccc(-c3cccc(N(C)C(C)C)c3)n2)c(C)c1")</f>
        <v>Cc1cnc(CN(C)Cc2cccc(-c3cccc(N(C)C(C)C)c3)n2)c(C)c1</v>
      </c>
      <c r="C15651" s="7">
        <f>IFERROR(__xludf.DUMMYFUNCTION("""COMPUTED_VALUE"""),7.7411833)</f>
        <v>7.7411833</v>
      </c>
      <c r="D15651" s="7">
        <f>IFERROR(__xludf.DUMMYFUNCTION("""COMPUTED_VALUE"""),0.379310344827586)</f>
        <v>0.3793103448</v>
      </c>
    </row>
    <row r="15652">
      <c r="A15652" s="10" t="s">
        <v>17091</v>
      </c>
      <c r="B15652" s="7" t="str">
        <f>IFERROR(__xludf.DUMMYFUNCTION("SPLIT(A15652,"" "")"),"Cc1cc(C)c(C(C)(C)c2ccc(CN(Cc3ccccn3)C3CCCC(N(C)c4cccc5nccc(C)c45)C3)cn2)c(N(C)Cc2ccccn2)c1")</f>
        <v>Cc1cc(C)c(C(C)(C)c2ccc(CN(Cc3ccccn3)C3CCCC(N(C)c4cccc5nccc(C)c45)C3)cn2)c(N(C)Cc2ccccn2)c1</v>
      </c>
      <c r="C15652" s="7">
        <f>IFERROR(__xludf.DUMMYFUNCTION("""COMPUTED_VALUE"""),7.741183)</f>
        <v>7.741183</v>
      </c>
      <c r="D15652" s="7">
        <f>IFERROR(__xludf.DUMMYFUNCTION("""COMPUTED_VALUE"""),0.307692307692307)</f>
        <v>0.3076923077</v>
      </c>
    </row>
    <row r="15653">
      <c r="A15653" s="10" t="s">
        <v>17092</v>
      </c>
      <c r="B15653" s="7" t="str">
        <f>IFERROR(__xludf.DUMMYFUNCTION("SPLIT(A15653,"" "")"),"CCCN(C)Cc1cccc(-c2ccccc2N=Cc2ccccn2)n1")</f>
        <v>CCCN(C)Cc1cccc(-c2ccccc2N=Cc2ccccn2)n1</v>
      </c>
      <c r="C15653" s="7">
        <f>IFERROR(__xludf.DUMMYFUNCTION("""COMPUTED_VALUE"""),7.74118)</f>
        <v>7.74118</v>
      </c>
      <c r="D15653" s="7">
        <f>IFERROR(__xludf.DUMMYFUNCTION("""COMPUTED_VALUE"""),0.462962962962962)</f>
        <v>0.462962963</v>
      </c>
    </row>
    <row r="15654">
      <c r="A15654" s="10" t="s">
        <v>17093</v>
      </c>
      <c r="B15654" s="7" t="str">
        <f>IFERROR(__xludf.DUMMYFUNCTION("SPLIT(A15654,"" "")"),"C1=CCNC(NCc2cccc(C(c3ccccn3)c3ccccn3)n2)=C1")</f>
        <v>C1=CCNC(NCc2cccc(C(c3ccccn3)c3ccccn3)n2)=C1</v>
      </c>
      <c r="C15654" s="7">
        <f>IFERROR(__xludf.DUMMYFUNCTION("""COMPUTED_VALUE"""),7.7411776)</f>
        <v>7.7411776</v>
      </c>
      <c r="D15654" s="7">
        <f>IFERROR(__xludf.DUMMYFUNCTION("""COMPUTED_VALUE"""),0.3)</f>
        <v>0.3</v>
      </c>
    </row>
    <row r="15655">
      <c r="A15655" s="10" t="s">
        <v>17094</v>
      </c>
      <c r="B15655" s="7" t="str">
        <f>IFERROR(__xludf.DUMMYFUNCTION("SPLIT(A15655,"" "")"),"Cc1ccc2cc(N(C)C3C=CNC(CN(C)C(C)C)=C3)ccc2n1")</f>
        <v>Cc1ccc2cc(N(C)C3C=CNC(CN(C)C(C)C)=C3)ccc2n1</v>
      </c>
      <c r="C15655" s="7">
        <f>IFERROR(__xludf.DUMMYFUNCTION("""COMPUTED_VALUE"""),7.741167)</f>
        <v>7.741167</v>
      </c>
      <c r="D15655" s="7">
        <f>IFERROR(__xludf.DUMMYFUNCTION("""COMPUTED_VALUE"""),0.306451612903225)</f>
        <v>0.3064516129</v>
      </c>
    </row>
    <row r="15656">
      <c r="A15656" s="10" t="s">
        <v>17095</v>
      </c>
      <c r="B15656" s="7" t="str">
        <f>IFERROR(__xludf.DUMMYFUNCTION("SPLIT(A15656,"" "")"),"CN(CCN(C)c1cccc2ncccc12)Cc1cccnc1")</f>
        <v>CN(CCN(C)c1cccc2ncccc12)Cc1cccnc1</v>
      </c>
      <c r="C15656" s="7">
        <f>IFERROR(__xludf.DUMMYFUNCTION("""COMPUTED_VALUE"""),7.7411523)</f>
        <v>7.7411523</v>
      </c>
      <c r="D15656" s="7">
        <f>IFERROR(__xludf.DUMMYFUNCTION("""COMPUTED_VALUE"""),0.446808510638297)</f>
        <v>0.4468085106</v>
      </c>
    </row>
    <row r="15657">
      <c r="A15657" s="10" t="s">
        <v>17096</v>
      </c>
      <c r="B15657" s="7" t="str">
        <f>IFERROR(__xludf.DUMMYFUNCTION("SPLIT(A15657,"" "")"),"CCc1cc(CN(Cc2ccccn2)Cc2ncccc2-c2ccccc2N(C)C)ccn1")</f>
        <v>CCc1cc(CN(Cc2ccccn2)Cc2ncccc2-c2ccccc2N(C)C)ccn1</v>
      </c>
      <c r="C15657" s="7">
        <f>IFERROR(__xludf.DUMMYFUNCTION("""COMPUTED_VALUE"""),7.7411494)</f>
        <v>7.7411494</v>
      </c>
      <c r="D15657" s="7">
        <f>IFERROR(__xludf.DUMMYFUNCTION("""COMPUTED_VALUE"""),0.434782608695652)</f>
        <v>0.4347826087</v>
      </c>
    </row>
    <row r="15658">
      <c r="A15658" s="10" t="s">
        <v>17097</v>
      </c>
      <c r="B15658" s="7" t="str">
        <f>IFERROR(__xludf.DUMMYFUNCTION("SPLIT(A15658,"" "")"),"Cc1cccnc1CN(C)Cc1ccc2cc(N(Cc3ccnc(C(C)(C)C(C)C)c3)Cc3ccccn3)ccc2n1")</f>
        <v>Cc1cccnc1CN(C)Cc1ccc2cc(N(Cc3ccnc(C(C)(C)C(C)C)c3)Cc3ccccn3)ccc2n1</v>
      </c>
      <c r="C15658" s="7">
        <f>IFERROR(__xludf.DUMMYFUNCTION("""COMPUTED_VALUE"""),7.7411475)</f>
        <v>7.7411475</v>
      </c>
      <c r="D15658" s="7">
        <f>IFERROR(__xludf.DUMMYFUNCTION("""COMPUTED_VALUE"""),0.352941176470588)</f>
        <v>0.3529411765</v>
      </c>
    </row>
    <row r="15659">
      <c r="A15659" s="10" t="s">
        <v>17098</v>
      </c>
      <c r="B15659" s="7" t="str">
        <f>IFERROR(__xludf.DUMMYFUNCTION("SPLIT(A15659,"" "")"),"CN(CC1=CCCN=C1)c1ccc2nc(CF)ccc2c1")</f>
        <v>CN(CC1=CCCN=C1)c1ccc2nc(CF)ccc2c1</v>
      </c>
      <c r="C15659" s="7">
        <f>IFERROR(__xludf.DUMMYFUNCTION("""COMPUTED_VALUE"""),7.741141)</f>
        <v>7.741141</v>
      </c>
      <c r="D15659" s="7">
        <f>IFERROR(__xludf.DUMMYFUNCTION("""COMPUTED_VALUE"""),0.295081967213114)</f>
        <v>0.2950819672</v>
      </c>
    </row>
    <row r="15660">
      <c r="A15660" s="10" t="s">
        <v>17099</v>
      </c>
      <c r="B15660" s="7" t="str">
        <f>IFERROR(__xludf.DUMMYFUNCTION("SPLIT(A15660,"" "")"),"Cc1ccc(CN(Cc2ccnc(-c3ccc(C)c(N(Cc4ccccn4)C(C)C)c3)c2)Cc2ccccn2)nc1")</f>
        <v>Cc1ccc(CN(Cc2ccnc(-c3ccc(C)c(N(Cc4ccccn4)C(C)C)c3)c2)Cc2ccccn2)nc1</v>
      </c>
      <c r="C15660" s="7">
        <f>IFERROR(__xludf.DUMMYFUNCTION("""COMPUTED_VALUE"""),7.741136)</f>
        <v>7.741136</v>
      </c>
      <c r="D15660" s="7">
        <f>IFERROR(__xludf.DUMMYFUNCTION("""COMPUTED_VALUE"""),0.363636363636363)</f>
        <v>0.3636363636</v>
      </c>
    </row>
    <row r="15661">
      <c r="A15661" s="10" t="s">
        <v>17100</v>
      </c>
      <c r="B15661" s="7" t="str">
        <f>IFERROR(__xludf.DUMMYFUNCTION("SPLIT(A15661,"" "")"),"CCN(Cc1ccccn1)Cc1nc2c(N(C)CCN(C)Cc3ccon3)cccc2c(C)c1C")</f>
        <v>CCN(Cc1ccccn1)Cc1nc2c(N(C)CCN(C)Cc3ccon3)cccc2c(C)c1C</v>
      </c>
      <c r="C15661" s="7">
        <f>IFERROR(__xludf.DUMMYFUNCTION("""COMPUTED_VALUE"""),7.741135)</f>
        <v>7.741135</v>
      </c>
      <c r="D15661" s="7">
        <f>IFERROR(__xludf.DUMMYFUNCTION("""COMPUTED_VALUE"""),0.4)</f>
        <v>0.4</v>
      </c>
    </row>
    <row r="15662">
      <c r="A15662" s="10" t="s">
        <v>17101</v>
      </c>
      <c r="B15662" s="7" t="str">
        <f>IFERROR(__xludf.DUMMYFUNCTION("SPLIT(A15662,"" "")"),"CC(c1ccccn1)(c1ccccn1)c1cccnc1CNC1=CC=CCN1")</f>
        <v>CC(c1ccccn1)(c1ccccn1)c1cccnc1CNC1=CC=CCN1</v>
      </c>
      <c r="C15662" s="7">
        <f>IFERROR(__xludf.DUMMYFUNCTION("""COMPUTED_VALUE"""),7.7411313)</f>
        <v>7.7411313</v>
      </c>
      <c r="D15662" s="7">
        <f>IFERROR(__xludf.DUMMYFUNCTION("""COMPUTED_VALUE"""),0.344262295081967)</f>
        <v>0.3442622951</v>
      </c>
    </row>
    <row r="15663">
      <c r="A15663" s="10" t="s">
        <v>17102</v>
      </c>
      <c r="B15663" s="7" t="str">
        <f>IFERROR(__xludf.DUMMYFUNCTION("SPLIT(A15663,"" "")"),"CCN(Cc1cc(CN(Cc2ccccn2)Cc2ncccc2C)ccn1)c1ccc2ncccc2c1")</f>
        <v>CCN(Cc1cc(CN(Cc2ccccn2)Cc2ncccc2C)ccn1)c1ccc2ncccc2c1</v>
      </c>
      <c r="C15663" s="7">
        <f>IFERROR(__xludf.DUMMYFUNCTION("""COMPUTED_VALUE"""),7.741104)</f>
        <v>7.741104</v>
      </c>
      <c r="D15663" s="7">
        <f>IFERROR(__xludf.DUMMYFUNCTION("""COMPUTED_VALUE"""),0.383333333333333)</f>
        <v>0.3833333333</v>
      </c>
    </row>
    <row r="15664">
      <c r="A15664" s="10" t="s">
        <v>17103</v>
      </c>
      <c r="B15664" s="7" t="str">
        <f>IFERROR(__xludf.DUMMYFUNCTION("SPLIT(A15664,"" "")"),"Cc1ccc(-c2cc(C)c(C)c(C)c2)cc1CN(C)Cc1ccccn1")</f>
        <v>Cc1ccc(-c2cc(C)c(C)c(C)c2)cc1CN(C)Cc1ccccn1</v>
      </c>
      <c r="C15664" s="7">
        <f>IFERROR(__xludf.DUMMYFUNCTION("""COMPUTED_VALUE"""),7.7411027)</f>
        <v>7.7411027</v>
      </c>
      <c r="D15664" s="7">
        <f>IFERROR(__xludf.DUMMYFUNCTION("""COMPUTED_VALUE"""),0.468085106382978)</f>
        <v>0.4680851064</v>
      </c>
    </row>
    <row r="15665">
      <c r="A15665" s="10" t="s">
        <v>17104</v>
      </c>
      <c r="B15665" s="7" t="str">
        <f>IFERROR(__xludf.DUMMYFUNCTION("SPLIT(A15665,"" "")"),"CNc1ncc(C)c(C)c1C")</f>
        <v>CNc1ncc(C)c(C)c1C</v>
      </c>
      <c r="C15665" s="7">
        <f>IFERROR(__xludf.DUMMYFUNCTION("""COMPUTED_VALUE"""),7.741102)</f>
        <v>7.741102</v>
      </c>
      <c r="D15665" s="7">
        <f>IFERROR(__xludf.DUMMYFUNCTION("""COMPUTED_VALUE"""),0.25)</f>
        <v>0.25</v>
      </c>
    </row>
    <row r="15666">
      <c r="A15666" s="10" t="s">
        <v>17105</v>
      </c>
      <c r="B15666" s="7" t="str">
        <f>IFERROR(__xludf.DUMMYFUNCTION("SPLIT(A15666,"" "")"),"CC(C)N(C)CN(C)c1ccc2ncccc2c1")</f>
        <v>CC(C)N(C)CN(C)c1ccc2ncccc2c1</v>
      </c>
      <c r="C15666" s="7">
        <f>IFERROR(__xludf.DUMMYFUNCTION("""COMPUTED_VALUE"""),7.7411)</f>
        <v>7.7411</v>
      </c>
      <c r="D15666" s="7">
        <f>IFERROR(__xludf.DUMMYFUNCTION("""COMPUTED_VALUE"""),0.355555555555555)</f>
        <v>0.3555555556</v>
      </c>
    </row>
    <row r="15667">
      <c r="A15667" s="10" t="s">
        <v>17106</v>
      </c>
      <c r="B15667" s="7" t="str">
        <f>IFERROR(__xludf.DUMMYFUNCTION("SPLIT(A15667,"" "")"),"CN(CCN(C)c1cccc2ncc(CF)cc12)Cc1ccccn1")</f>
        <v>CN(CCN(C)c1cccc2ncc(CF)cc12)Cc1ccccn1</v>
      </c>
      <c r="C15667" s="7">
        <f>IFERROR(__xludf.DUMMYFUNCTION("""COMPUTED_VALUE"""),7.741095)</f>
        <v>7.741095</v>
      </c>
      <c r="D15667" s="7">
        <f>IFERROR(__xludf.DUMMYFUNCTION("""COMPUTED_VALUE"""),0.433333333333333)</f>
        <v>0.4333333333</v>
      </c>
    </row>
    <row r="15668">
      <c r="A15668" s="10" t="s">
        <v>17107</v>
      </c>
      <c r="B15668" s="7" t="str">
        <f>IFERROR(__xludf.DUMMYFUNCTION("SPLIT(A15668,"" "")"),"Cc1cnc(C)c(CN(C)Cc2cccc(N(C)Cc3nc(C)c(C)c(C)c3C)n2)c1")</f>
        <v>Cc1cnc(C)c(CN(C)Cc2cccc(N(C)Cc3nc(C)c(C)c(C)c3C)n2)c1</v>
      </c>
      <c r="C15668" s="7">
        <f>IFERROR(__xludf.DUMMYFUNCTION("""COMPUTED_VALUE"""),7.7410874)</f>
        <v>7.7410874</v>
      </c>
      <c r="D15668" s="7">
        <f>IFERROR(__xludf.DUMMYFUNCTION("""COMPUTED_VALUE"""),0.333333333333333)</f>
        <v>0.3333333333</v>
      </c>
    </row>
    <row r="15669">
      <c r="A15669" s="10" t="s">
        <v>17108</v>
      </c>
      <c r="B15669" s="7" t="str">
        <f>IFERROR(__xludf.DUMMYFUNCTION("SPLIT(A15669,"" "")"),"CNc1cc(-c2cc(C(C)C(C)C)ccn2)ccn1")</f>
        <v>CNc1cc(-c2cc(C(C)C(C)C)ccn2)ccn1</v>
      </c>
      <c r="C15669" s="7">
        <f>IFERROR(__xludf.DUMMYFUNCTION("""COMPUTED_VALUE"""),7.7410865)</f>
        <v>7.7410865</v>
      </c>
      <c r="D15669" s="7">
        <f>IFERROR(__xludf.DUMMYFUNCTION("""COMPUTED_VALUE"""),0.20754716981132)</f>
        <v>0.2075471698</v>
      </c>
    </row>
    <row r="15670">
      <c r="A15670" s="10" t="s">
        <v>17109</v>
      </c>
      <c r="B15670" s="7" t="str">
        <f>IFERROR(__xludf.DUMMYFUNCTION("SPLIT(A15670,"" "")"),"Cc1cccnc1CN(Cc1ccccn1)Cc1ccnc(-c2cccc(NCc3ccccn3)c2)c1C")</f>
        <v>Cc1cccnc1CN(Cc1ccccn1)Cc1ccnc(-c2cccc(NCc3ccccn3)c2)c1C</v>
      </c>
      <c r="C15670" s="7">
        <f>IFERROR(__xludf.DUMMYFUNCTION("""COMPUTED_VALUE"""),7.741067)</f>
        <v>7.741067</v>
      </c>
      <c r="D15670" s="7">
        <f>IFERROR(__xludf.DUMMYFUNCTION("""COMPUTED_VALUE"""),0.376811594202898)</f>
        <v>0.3768115942</v>
      </c>
    </row>
    <row r="15671">
      <c r="A15671" s="10" t="s">
        <v>17110</v>
      </c>
      <c r="B15671" s="7" t="str">
        <f>IFERROR(__xludf.DUMMYFUNCTION("SPLIT(A15671,"" "")"),"CN(c1cccc2nc3c(cc12)CCCC3)C1CCCC(N(C)c2cccc3nc4c(cc23)CCCC4)C1")</f>
        <v>CN(c1cccc2nc3c(cc12)CCCC3)C1CCCC(N(C)c2cccc3nc4c(cc23)CCCC4)C1</v>
      </c>
      <c r="C15671" s="7">
        <f>IFERROR(__xludf.DUMMYFUNCTION("""COMPUTED_VALUE"""),7.7410436)</f>
        <v>7.7410436</v>
      </c>
      <c r="D15671" s="7">
        <f>IFERROR(__xludf.DUMMYFUNCTION("""COMPUTED_VALUE"""),0.5)</f>
        <v>0.5</v>
      </c>
    </row>
    <row r="15672">
      <c r="A15672" s="10" t="s">
        <v>17111</v>
      </c>
      <c r="B15672" s="7" t="str">
        <f>IFERROR(__xludf.DUMMYFUNCTION("SPLIT(A15672,"" "")"),"Cc1ccnc2c(N(C)C3=CCC=C(CN(Cc4ccccn4)C(C)C(C)C)N3)cccc12")</f>
        <v>Cc1ccnc2c(N(C)C3=CCC=C(CN(Cc4ccccn4)C(C)C(C)C)N3)cccc12</v>
      </c>
      <c r="C15672" s="7">
        <f>IFERROR(__xludf.DUMMYFUNCTION("""COMPUTED_VALUE"""),7.7410297)</f>
        <v>7.7410297</v>
      </c>
      <c r="D15672" s="7">
        <f>IFERROR(__xludf.DUMMYFUNCTION("""COMPUTED_VALUE"""),0.34375)</f>
        <v>0.34375</v>
      </c>
    </row>
    <row r="15673">
      <c r="A15673" s="10" t="s">
        <v>17112</v>
      </c>
      <c r="B15673" s="7" t="str">
        <f>IFERROR(__xludf.DUMMYFUNCTION("SPLIT(A15673,"" "")"),"CN(C)c1cccnc1CN(Cc1ccccn1)c1ccccc1F")</f>
        <v>CN(C)c1cccnc1CN(Cc1ccccn1)c1ccccc1F</v>
      </c>
      <c r="C15673" s="7">
        <f>IFERROR(__xludf.DUMMYFUNCTION("""COMPUTED_VALUE"""),7.741025)</f>
        <v>7.741025</v>
      </c>
      <c r="D15673" s="7">
        <f>IFERROR(__xludf.DUMMYFUNCTION("""COMPUTED_VALUE"""),0.425531914893617)</f>
        <v>0.4255319149</v>
      </c>
    </row>
    <row r="15674">
      <c r="A15674" s="10" t="s">
        <v>17113</v>
      </c>
      <c r="B15674" s="7" t="str">
        <f>IFERROR(__xludf.DUMMYFUNCTION("SPLIT(A15674,"" "")"),"Cc1ccccc1-c1cc(CN(C)Cc2cc(N)ccn2)ccn1")</f>
        <v>Cc1ccccc1-c1cc(CN(C)Cc2cc(N)ccn2)ccn1</v>
      </c>
      <c r="C15674" s="7">
        <f>IFERROR(__xludf.DUMMYFUNCTION("""COMPUTED_VALUE"""),7.7410197)</f>
        <v>7.7410197</v>
      </c>
      <c r="D15674" s="7">
        <f>IFERROR(__xludf.DUMMYFUNCTION("""COMPUTED_VALUE"""),0.377358490566037)</f>
        <v>0.3773584906</v>
      </c>
    </row>
    <row r="15675">
      <c r="A15675" s="10" t="s">
        <v>17114</v>
      </c>
      <c r="B15675" s="7" t="str">
        <f>IFERROR(__xludf.DUMMYFUNCTION("SPLIT(A15675,"" "")"),"FCc1ncccc1NCc1ncccc1C(c1ccccn1)c1ccccn1")</f>
        <v>FCc1ncccc1NCc1ncccc1C(c1ccccn1)c1ccccn1</v>
      </c>
      <c r="C15675" s="7">
        <f>IFERROR(__xludf.DUMMYFUNCTION("""COMPUTED_VALUE"""),7.741015)</f>
        <v>7.741015</v>
      </c>
      <c r="D15675" s="7">
        <f>IFERROR(__xludf.DUMMYFUNCTION("""COMPUTED_VALUE"""),0.276595744680851)</f>
        <v>0.2765957447</v>
      </c>
    </row>
    <row r="15676">
      <c r="A15676" s="10" t="s">
        <v>17115</v>
      </c>
      <c r="B15676" s="7" t="str">
        <f>IFERROR(__xludf.DUMMYFUNCTION("SPLIT(A15676,"" "")"),"FCNc1ccc(-c2ncccc2C(NCc2ccccn2)c2ccccn2)cn1")</f>
        <v>FCNc1ccc(-c2ncccc2C(NCc2ccccn2)c2ccccn2)cn1</v>
      </c>
      <c r="C15676" s="7">
        <f>IFERROR(__xludf.DUMMYFUNCTION("""COMPUTED_VALUE"""),7.7410145)</f>
        <v>7.7410145</v>
      </c>
      <c r="D15676" s="7">
        <f>IFERROR(__xludf.DUMMYFUNCTION("""COMPUTED_VALUE"""),0.339622641509433)</f>
        <v>0.3396226415</v>
      </c>
    </row>
    <row r="15677">
      <c r="A15677" s="10" t="s">
        <v>17116</v>
      </c>
      <c r="B15677" s="7" t="str">
        <f>IFERROR(__xludf.DUMMYFUNCTION("SPLIT(A15677,"" "")"),"CCN(Cc1ccccn1)c1cccc2nccc(CN(C)C(C)C)c12")</f>
        <v>CCN(Cc1ccccn1)c1cccc2nccc(CN(C)C(C)C)c12</v>
      </c>
      <c r="C15677" s="7">
        <f>IFERROR(__xludf.DUMMYFUNCTION("""COMPUTED_VALUE"""),7.7409997)</f>
        <v>7.7409997</v>
      </c>
      <c r="D15677" s="7">
        <f>IFERROR(__xludf.DUMMYFUNCTION("""COMPUTED_VALUE"""),0.403846153846153)</f>
        <v>0.4038461538</v>
      </c>
    </row>
    <row r="15678">
      <c r="A15678" s="10" t="s">
        <v>17117</v>
      </c>
      <c r="B15678" s="7" t="str">
        <f>IFERROR(__xludf.DUMMYFUNCTION("SPLIT(A15678,"" "")"),"CC1=CC(C)CC(C)(c2cc(CN(Cc3ccccn3)C3CCC(N(C)c4ccc5nc(-c6ccc7ncccc7c6)ccc5c4)CC3)ccn2)C1C")</f>
        <v>CC1=CC(C)CC(C)(c2cc(CN(Cc3ccccn3)C3CCC(N(C)c4ccc5nc(-c6ccc7ncccc7c6)ccc5c4)CC3)ccn2)C1C</v>
      </c>
      <c r="C15678" s="7">
        <f>IFERROR(__xludf.DUMMYFUNCTION("""COMPUTED_VALUE"""),7.7409916)</f>
        <v>7.7409916</v>
      </c>
      <c r="D15678" s="7">
        <f>IFERROR(__xludf.DUMMYFUNCTION("""COMPUTED_VALUE"""),0.258823529411764)</f>
        <v>0.2588235294</v>
      </c>
    </row>
    <row r="15679">
      <c r="A15679" s="10" t="s">
        <v>17118</v>
      </c>
      <c r="B15679" s="7" t="str">
        <f>IFERROR(__xludf.DUMMYFUNCTION("SPLIT(A15679,"" "")"),"CCN(Cc1ccccn1)Cc1ncccc1-c1cc(C)ccc1N(C)Cc1ccccn1")</f>
        <v>CCN(Cc1ccccn1)Cc1ncccc1-c1cc(C)ccc1N(C)Cc1ccccn1</v>
      </c>
      <c r="C15679" s="7">
        <f>IFERROR(__xludf.DUMMYFUNCTION("""COMPUTED_VALUE"""),7.740985)</f>
        <v>7.740985</v>
      </c>
      <c r="D15679" s="7">
        <f>IFERROR(__xludf.DUMMYFUNCTION("""COMPUTED_VALUE"""),0.470588235294117)</f>
        <v>0.4705882353</v>
      </c>
    </row>
    <row r="15680">
      <c r="A15680" s="10" t="s">
        <v>17119</v>
      </c>
      <c r="B15680" s="7" t="str">
        <f>IFERROR(__xludf.DUMMYFUNCTION("SPLIT(A15680,"" "")"),"Cc1ccc(N(Cc2ccccn2)Cc2ncccc2N(C)C(C)(C)c2ccccn2)cc1C")</f>
        <v>Cc1ccc(N(Cc2ccccn2)Cc2ncccc2N(C)C(C)(C)c2ccccn2)cc1C</v>
      </c>
      <c r="C15680" s="7">
        <f>IFERROR(__xludf.DUMMYFUNCTION("""COMPUTED_VALUE"""),7.7409844)</f>
        <v>7.7409844</v>
      </c>
      <c r="D15680" s="7">
        <f>IFERROR(__xludf.DUMMYFUNCTION("""COMPUTED_VALUE"""),0.385964912280701)</f>
        <v>0.3859649123</v>
      </c>
    </row>
    <row r="15681">
      <c r="A15681" s="10" t="s">
        <v>17120</v>
      </c>
      <c r="B15681" s="7" t="str">
        <f>IFERROR(__xludf.DUMMYFUNCTION("SPLIT(A15681,"" "")"),"CCN(C)CCN(C)c1cccc2nccc(C)c12")</f>
        <v>CCN(C)CCN(C)c1cccc2nccc(C)c12</v>
      </c>
      <c r="C15681" s="7">
        <f>IFERROR(__xludf.DUMMYFUNCTION("""COMPUTED_VALUE"""),7.7409716)</f>
        <v>7.7409716</v>
      </c>
      <c r="D15681" s="7">
        <f>IFERROR(__xludf.DUMMYFUNCTION("""COMPUTED_VALUE"""),0.4)</f>
        <v>0.4</v>
      </c>
    </row>
    <row r="15682">
      <c r="A15682" s="10" t="s">
        <v>17121</v>
      </c>
      <c r="B15682" s="7" t="str">
        <f>IFERROR(__xludf.DUMMYFUNCTION("SPLIT(A15682,"" "")"),"Cc1cccc(CN(C)c2cccc(-c3cccc(CN(C)C(C)C)n3)c2)n1")</f>
        <v>Cc1cccc(CN(C)c2cccc(-c3cccc(CN(C)C(C)C)n3)c2)n1</v>
      </c>
      <c r="C15682" s="7">
        <f>IFERROR(__xludf.DUMMYFUNCTION("""COMPUTED_VALUE"""),7.7409716)</f>
        <v>7.7409716</v>
      </c>
      <c r="D15682" s="7">
        <f>IFERROR(__xludf.DUMMYFUNCTION("""COMPUTED_VALUE"""),0.425531914893617)</f>
        <v>0.4255319149</v>
      </c>
    </row>
    <row r="15683">
      <c r="A15683" s="10" t="s">
        <v>17122</v>
      </c>
      <c r="B15683" s="7" t="str">
        <f>IFERROR(__xludf.DUMMYFUNCTION("SPLIT(A15683,"" "")"),"Cc1cc(-c2cccc(NCc3ccccn3)c2C)cnc1CN(C)C(C)C")</f>
        <v>Cc1cc(-c2cccc(NCc3ccccn3)c2C)cnc1CN(C)C(C)C</v>
      </c>
      <c r="C15683" s="7">
        <f>IFERROR(__xludf.DUMMYFUNCTION("""COMPUTED_VALUE"""),7.740966)</f>
        <v>7.740966</v>
      </c>
      <c r="D15683" s="7">
        <f>IFERROR(__xludf.DUMMYFUNCTION("""COMPUTED_VALUE"""),0.338983050847457)</f>
        <v>0.3389830508</v>
      </c>
    </row>
    <row r="15684">
      <c r="A15684" s="10" t="s">
        <v>17123</v>
      </c>
      <c r="B15684" s="7" t="str">
        <f>IFERROR(__xludf.DUMMYFUNCTION("SPLIT(A15684,"" "")"),"CCN(Cc1ccccn1)c1cc(-c2cc(CN(Cc3ccccn3)C3CCC(N(C)c4ccc5nccc(CF)c5c4)CC3)ccn2)cc(C)c1C")</f>
        <v>CCN(Cc1ccccn1)c1cc(-c2cc(CN(Cc3ccccn3)C3CCC(N(C)c4ccc5nccc(CF)c5c4)CC3)ccn2)cc(C)c1C</v>
      </c>
      <c r="C15684" s="7">
        <f>IFERROR(__xludf.DUMMYFUNCTION("""COMPUTED_VALUE"""),7.7409606)</f>
        <v>7.7409606</v>
      </c>
      <c r="D15684" s="7">
        <f>IFERROR(__xludf.DUMMYFUNCTION("""COMPUTED_VALUE"""),0.268292682926829)</f>
        <v>0.2682926829</v>
      </c>
    </row>
    <row r="15685">
      <c r="A15685" s="10" t="s">
        <v>17124</v>
      </c>
      <c r="B15685" s="7" t="str">
        <f>IFERROR(__xludf.DUMMYFUNCTION("SPLIT(A15685,"" "")"),"CC(C)N(Cc1cccc(-c2cccc(N(C)C)c2)n1)Cc1cccc(C(C)(C)C)n1")</f>
        <v>CC(C)N(Cc1cccc(-c2cccc(N(C)C)c2)n1)Cc1cccc(C(C)(C)C)n1</v>
      </c>
      <c r="C15685" s="7">
        <f>IFERROR(__xludf.DUMMYFUNCTION("""COMPUTED_VALUE"""),7.7409544)</f>
        <v>7.7409544</v>
      </c>
      <c r="D15685" s="7">
        <f>IFERROR(__xludf.DUMMYFUNCTION("""COMPUTED_VALUE"""),0.354838709677419)</f>
        <v>0.3548387097</v>
      </c>
    </row>
    <row r="15686">
      <c r="A15686" s="10" t="s">
        <v>17125</v>
      </c>
      <c r="B15686" s="7" t="str">
        <f>IFERROR(__xludf.DUMMYFUNCTION("SPLIT(A15686,"" "")"),"CNCCN(Cc1ccccn1)c1ccc2ncccc2c1")</f>
        <v>CNCCN(Cc1ccccn1)c1ccc2ncccc2c1</v>
      </c>
      <c r="C15686" s="7">
        <f>IFERROR(__xludf.DUMMYFUNCTION("""COMPUTED_VALUE"""),7.740948)</f>
        <v>7.740948</v>
      </c>
      <c r="D15686" s="7">
        <f>IFERROR(__xludf.DUMMYFUNCTION("""COMPUTED_VALUE"""),0.42)</f>
        <v>0.42</v>
      </c>
    </row>
    <row r="15687">
      <c r="A15687" s="10" t="s">
        <v>17126</v>
      </c>
      <c r="B15687" s="7" t="str">
        <f>IFERROR(__xludf.DUMMYFUNCTION("SPLIT(A15687,"" "")"),"Cc1ccc(NCc2ccccn2)c(-c2cccnc2CNC(C)C)c1")</f>
        <v>Cc1ccc(NCc2ccccn2)c(-c2cccnc2CNC(C)C)c1</v>
      </c>
      <c r="C15687" s="7">
        <f>IFERROR(__xludf.DUMMYFUNCTION("""COMPUTED_VALUE"""),7.740941)</f>
        <v>7.740941</v>
      </c>
      <c r="D15687" s="7">
        <f>IFERROR(__xludf.DUMMYFUNCTION("""COMPUTED_VALUE"""),0.34)</f>
        <v>0.34</v>
      </c>
    </row>
    <row r="15688">
      <c r="A15688" s="10" t="s">
        <v>17127</v>
      </c>
      <c r="B15688" s="7" t="str">
        <f>IFERROR(__xludf.DUMMYFUNCTION("SPLIT(A15688,"" "")"),"CC(C)(CN(Cc1ccccn1)c1ccc2ncccc2c1)c1ccccc1")</f>
        <v>CC(C)(CN(Cc1ccccn1)c1ccc2ncccc2c1)c1ccccc1</v>
      </c>
      <c r="C15688" s="7">
        <f>IFERROR(__xludf.DUMMYFUNCTION("""COMPUTED_VALUE"""),7.7409353)</f>
        <v>7.7409353</v>
      </c>
      <c r="D15688" s="7">
        <f>IFERROR(__xludf.DUMMYFUNCTION("""COMPUTED_VALUE"""),0.411764705882352)</f>
        <v>0.4117647059</v>
      </c>
    </row>
    <row r="15689">
      <c r="A15689" s="10" t="s">
        <v>17128</v>
      </c>
      <c r="B15689" s="7" t="str">
        <f>IFERROR(__xludf.DUMMYFUNCTION("SPLIT(A15689,"" "")"),"Cc1cccc(-c2cccnc2CN(C)Cc2ccccn2)c1N")</f>
        <v>Cc1cccc(-c2cccnc2CN(C)Cc2ccccn2)c1N</v>
      </c>
      <c r="C15689" s="7">
        <f>IFERROR(__xludf.DUMMYFUNCTION("""COMPUTED_VALUE"""),7.740931)</f>
        <v>7.740931</v>
      </c>
      <c r="D15689" s="7">
        <f>IFERROR(__xludf.DUMMYFUNCTION("""COMPUTED_VALUE"""),0.479166666666666)</f>
        <v>0.4791666667</v>
      </c>
    </row>
    <row r="15690">
      <c r="A15690" s="10" t="s">
        <v>17129</v>
      </c>
      <c r="B15690" s="7" t="str">
        <f>IFERROR(__xludf.DUMMYFUNCTION("SPLIT(A15690,"" "")"),"Cc1cncc(CN(C)c2ccccc2-c2ccc(CN(Cc3ccccn3)C3CCC(N(C)c4ccc5nccc(CF)c5c4)CC3)cn2)c1")</f>
        <v>Cc1cncc(CN(C)c2ccccc2-c2ccc(CN(Cc3ccccn3)C3CCC(N(C)c4ccc5nccc(CF)c5c4)CC3)cn2)c1</v>
      </c>
      <c r="C15690" s="7">
        <f>IFERROR(__xludf.DUMMYFUNCTION("""COMPUTED_VALUE"""),7.740924)</f>
        <v>7.740924</v>
      </c>
      <c r="D15690" s="7">
        <f>IFERROR(__xludf.DUMMYFUNCTION("""COMPUTED_VALUE"""),0.277108433734939)</f>
        <v>0.2771084337</v>
      </c>
    </row>
    <row r="15691">
      <c r="A15691" s="10" t="s">
        <v>17130</v>
      </c>
      <c r="B15691" s="7" t="str">
        <f>IFERROR(__xludf.DUMMYFUNCTION("SPLIT(A15691,"" "")"),"Cc1cnc(C)c(CN(C)Cc2ccc(N(C)Cc3cc(C)c(C)c(C)n3)cn2)c1")</f>
        <v>Cc1cnc(C)c(CN(C)Cc2ccc(N(C)Cc3cc(C)c(C)c(C)n3)cn2)c1</v>
      </c>
      <c r="C15691" s="7">
        <f>IFERROR(__xludf.DUMMYFUNCTION("""COMPUTED_VALUE"""),7.740922)</f>
        <v>7.740922</v>
      </c>
      <c r="D15691" s="7">
        <f>IFERROR(__xludf.DUMMYFUNCTION("""COMPUTED_VALUE"""),0.392156862745098)</f>
        <v>0.3921568627</v>
      </c>
    </row>
    <row r="15692">
      <c r="A15692" s="10" t="s">
        <v>17131</v>
      </c>
      <c r="B15692" s="7" t="str">
        <f>IFERROR(__xludf.DUMMYFUNCTION("SPLIT(A15692,"" "")"),"CC1(C)CC(c2cc(CN(Cc3ccccn3)Cc3cc(-c4cccc(N=Cc5ccccn5)c4)ccn3)ccn2)C1")</f>
        <v>CC1(C)CC(c2cc(CN(Cc3ccccn3)Cc3cc(-c4cccc(N=Cc5ccccn5)c4)ccn3)ccn2)C1</v>
      </c>
      <c r="C15692" s="7">
        <f>IFERROR(__xludf.DUMMYFUNCTION("""COMPUTED_VALUE"""),7.74092)</f>
        <v>7.74092</v>
      </c>
      <c r="D15692" s="7">
        <f>IFERROR(__xludf.DUMMYFUNCTION("""COMPUTED_VALUE"""),0.342105263157894)</f>
        <v>0.3421052632</v>
      </c>
    </row>
    <row r="15693">
      <c r="A15693" s="10" t="s">
        <v>17132</v>
      </c>
      <c r="B15693" s="7" t="str">
        <f>IFERROR(__xludf.DUMMYFUNCTION("SPLIT(A15693,"" "")"),"CN(C)c1cccnc1CN(Cc1ccccn1)c1cccc(F)c1")</f>
        <v>CN(C)c1cccnc1CN(Cc1ccccn1)c1cccc(F)c1</v>
      </c>
      <c r="C15693" s="7">
        <f>IFERROR(__xludf.DUMMYFUNCTION("""COMPUTED_VALUE"""),7.7409105)</f>
        <v>7.7409105</v>
      </c>
      <c r="D15693" s="7">
        <f>IFERROR(__xludf.DUMMYFUNCTION("""COMPUTED_VALUE"""),0.428571428571428)</f>
        <v>0.4285714286</v>
      </c>
    </row>
    <row r="15694">
      <c r="A15694" s="10" t="s">
        <v>17133</v>
      </c>
      <c r="B15694" s="7" t="str">
        <f>IFERROR(__xludf.DUMMYFUNCTION("SPLIT(A15694,"" "")"),"Cc1ccnc(CN(C)CCN(C)c2ccc3nc(CF)ccc3c2)c1")</f>
        <v>Cc1ccnc(CN(C)CCN(C)c2ccc3nc(CF)ccc3c2)c1</v>
      </c>
      <c r="C15694" s="7">
        <f>IFERROR(__xludf.DUMMYFUNCTION("""COMPUTED_VALUE"""),7.7409053)</f>
        <v>7.7409053</v>
      </c>
      <c r="D15694" s="7">
        <f>IFERROR(__xludf.DUMMYFUNCTION("""COMPUTED_VALUE"""),0.387755102040816)</f>
        <v>0.387755102</v>
      </c>
    </row>
    <row r="15695">
      <c r="A15695" s="10" t="s">
        <v>17134</v>
      </c>
      <c r="B15695" s="7" t="str">
        <f>IFERROR(__xludf.DUMMYFUNCTION("SPLIT(A15695,"" "")"),"CC(C)N(C)Cc1ccnc(-c2cccc(N(C)C)c2)c1")</f>
        <v>CC(C)N(C)Cc1ccnc(-c2cccc(N(C)C)c2)c1</v>
      </c>
      <c r="C15695" s="7">
        <f>IFERROR(__xludf.DUMMYFUNCTION("""COMPUTED_VALUE"""),7.7409034)</f>
        <v>7.7409034</v>
      </c>
      <c r="D15695" s="7">
        <f>IFERROR(__xludf.DUMMYFUNCTION("""COMPUTED_VALUE"""),0.278688524590163)</f>
        <v>0.2786885246</v>
      </c>
    </row>
    <row r="15696">
      <c r="A15696" s="10" t="s">
        <v>17135</v>
      </c>
      <c r="B15696" s="7" t="str">
        <f>IFERROR(__xludf.DUMMYFUNCTION("SPLIT(A15696,"" "")"),"Cc1ccc(-c2cccc(CN(C)Cc3cc(N)ccn3)n2)cc1N")</f>
        <v>Cc1ccc(-c2cccc(CN(C)Cc3cc(N)ccn3)n2)cc1N</v>
      </c>
      <c r="C15696" s="7">
        <f>IFERROR(__xludf.DUMMYFUNCTION("""COMPUTED_VALUE"""),7.7409005)</f>
        <v>7.7409005</v>
      </c>
      <c r="D15696" s="7">
        <f>IFERROR(__xludf.DUMMYFUNCTION("""COMPUTED_VALUE"""),0.470588235294117)</f>
        <v>0.4705882353</v>
      </c>
    </row>
    <row r="15697">
      <c r="A15697" s="10" t="s">
        <v>17136</v>
      </c>
      <c r="B15697" s="7" t="str">
        <f>IFERROR(__xludf.DUMMYFUNCTION("SPLIT(A15697,"" "")"),"CC(C)N(C)Cc1ccc(-c2cccc(N(C)C)c2)cn1")</f>
        <v>CC(C)N(C)Cc1ccc(-c2cccc(N(C)C)c2)cn1</v>
      </c>
      <c r="C15697" s="7">
        <f>IFERROR(__xludf.DUMMYFUNCTION("""COMPUTED_VALUE"""),7.7408895)</f>
        <v>7.7408895</v>
      </c>
      <c r="D15697" s="7">
        <f>IFERROR(__xludf.DUMMYFUNCTION("""COMPUTED_VALUE"""),0.333333333333333)</f>
        <v>0.3333333333</v>
      </c>
    </row>
    <row r="15698">
      <c r="A15698" s="10" t="s">
        <v>17137</v>
      </c>
      <c r="B15698" s="7" t="str">
        <f>IFERROR(__xludf.DUMMYFUNCTION("SPLIT(A15698,"" "")"),"CCCN(CC1=CC(N(C)Cc2nc(C)c(C)c(C)c2C)C=CN1)c1ccc2cccnc2c1")</f>
        <v>CCCN(CC1=CC(N(C)Cc2nc(C)c(C)c(C)c2C)C=CN1)c1ccc2cccnc2c1</v>
      </c>
      <c r="C15698" s="7">
        <f>IFERROR(__xludf.DUMMYFUNCTION("""COMPUTED_VALUE"""),7.7408714)</f>
        <v>7.7408714</v>
      </c>
      <c r="D15698" s="7">
        <f>IFERROR(__xludf.DUMMYFUNCTION("""COMPUTED_VALUE"""),0.246575342465753)</f>
        <v>0.2465753425</v>
      </c>
    </row>
    <row r="15699">
      <c r="A15699" s="10" t="s">
        <v>17138</v>
      </c>
      <c r="B15699" s="7" t="str">
        <f>IFERROR(__xludf.DUMMYFUNCTION("SPLIT(A15699,"" "")"),"Cc1cccnc1CN(C)CCN(C)c1ccc2nc(CF)ccc2c1")</f>
        <v>Cc1cccnc1CN(C)CCN(C)c1ccc2nc(CF)ccc2c1</v>
      </c>
      <c r="C15699" s="7">
        <f>IFERROR(__xludf.DUMMYFUNCTION("""COMPUTED_VALUE"""),7.7408695)</f>
        <v>7.7408695</v>
      </c>
      <c r="D15699" s="7">
        <f>IFERROR(__xludf.DUMMYFUNCTION("""COMPUTED_VALUE"""),0.339622641509433)</f>
        <v>0.3396226415</v>
      </c>
    </row>
    <row r="15700">
      <c r="A15700" s="10" t="s">
        <v>17139</v>
      </c>
      <c r="B15700" s="7" t="str">
        <f>IFERROR(__xludf.DUMMYFUNCTION("SPLIT(A15700,"" "")"),"CC(C)C(C)(c1cccnc1)c1cccc(CN(Cc2ccccn2)Cc2cccc(-c3cccc(N=Cc4ccccn4)c3)n2)n1")</f>
        <v>CC(C)C(C)(c1cccnc1)c1cccc(CN(Cc2ccccn2)Cc2cccc(-c3cccc(N=Cc4ccccn4)c3)n2)n1</v>
      </c>
      <c r="C15700" s="7">
        <f>IFERROR(__xludf.DUMMYFUNCTION("""COMPUTED_VALUE"""),7.740863)</f>
        <v>7.740863</v>
      </c>
      <c r="D15700" s="7">
        <f>IFERROR(__xludf.DUMMYFUNCTION("""COMPUTED_VALUE"""),0.426666666666666)</f>
        <v>0.4266666667</v>
      </c>
    </row>
    <row r="15701">
      <c r="A15701" s="10" t="s">
        <v>17140</v>
      </c>
      <c r="B15701" s="7" t="str">
        <f>IFERROR(__xludf.DUMMYFUNCTION("SPLIT(A15701,"" "")"),"Cc1ccccc1N(C)CC1=CCC(N(C)Cc2ccccn2)=CN1")</f>
        <v>Cc1ccccc1N(C)CC1=CCC(N(C)Cc2ccccn2)=CN1</v>
      </c>
      <c r="C15701" s="7">
        <f>IFERROR(__xludf.DUMMYFUNCTION("""COMPUTED_VALUE"""),7.740863)</f>
        <v>7.740863</v>
      </c>
      <c r="D15701" s="7">
        <f>IFERROR(__xludf.DUMMYFUNCTION("""COMPUTED_VALUE"""),0.450980392156862)</f>
        <v>0.4509803922</v>
      </c>
    </row>
    <row r="15702">
      <c r="A15702" s="10" t="s">
        <v>17141</v>
      </c>
      <c r="B15702" s="7" t="str">
        <f>IFERROR(__xludf.DUMMYFUNCTION("SPLIT(A15702,"" "")"),"Cc1cncc(CN(C)c2ccccc2-c2cccc(CN(Cc3ccccn3)Cc3ccc(C(C)(C)C)cn3)n2)c1")</f>
        <v>Cc1cncc(CN(C)c2ccccc2-c2cccc(CN(Cc3ccccn3)Cc3ccc(C(C)(C)C)cn3)n2)c1</v>
      </c>
      <c r="C15702" s="7">
        <f>IFERROR(__xludf.DUMMYFUNCTION("""COMPUTED_VALUE"""),7.740861)</f>
        <v>7.740861</v>
      </c>
      <c r="D15702" s="7">
        <f>IFERROR(__xludf.DUMMYFUNCTION("""COMPUTED_VALUE"""),0.388888888888888)</f>
        <v>0.3888888889</v>
      </c>
    </row>
    <row r="15703">
      <c r="A15703" s="10" t="s">
        <v>17142</v>
      </c>
      <c r="B15703" s="7" t="str">
        <f>IFERROR(__xludf.DUMMYFUNCTION("SPLIT(A15703,"" "")"),"Cc1cc(-c2ncccc2CN(C)Cc2ncccc2N)ccc1N")</f>
        <v>Cc1cc(-c2ncccc2CN(C)Cc2ncccc2N)ccc1N</v>
      </c>
      <c r="C15703" s="7">
        <f>IFERROR(__xludf.DUMMYFUNCTION("""COMPUTED_VALUE"""),7.740838)</f>
        <v>7.740838</v>
      </c>
      <c r="D15703" s="7">
        <f>IFERROR(__xludf.DUMMYFUNCTION("""COMPUTED_VALUE"""),0.339622641509433)</f>
        <v>0.3396226415</v>
      </c>
    </row>
    <row r="15704">
      <c r="A15704" s="10" t="s">
        <v>17143</v>
      </c>
      <c r="B15704" s="7" t="str">
        <f>IFERROR(__xludf.DUMMYFUNCTION("SPLIT(A15704,"" "")"),"Cc1ccc(N(C)CC2=CCC(N(C)Cc3ccccn3)=CN2)cc1C")</f>
        <v>Cc1ccc(N(C)CC2=CCC(N(C)Cc3ccccn3)=CN2)cc1C</v>
      </c>
      <c r="C15704" s="7">
        <f>IFERROR(__xludf.DUMMYFUNCTION("""COMPUTED_VALUE"""),7.740836)</f>
        <v>7.740836</v>
      </c>
      <c r="D15704" s="7">
        <f>IFERROR(__xludf.DUMMYFUNCTION("""COMPUTED_VALUE"""),0.4)</f>
        <v>0.4</v>
      </c>
    </row>
    <row r="15705">
      <c r="A15705" s="10" t="s">
        <v>17144</v>
      </c>
      <c r="B15705" s="7" t="str">
        <f>IFERROR(__xludf.DUMMYFUNCTION("SPLIT(A15705,"" "")"),"CC1C=CC(C)C(c2cc(CN(C)C3CCC(N(C)c4ccc5c(-c6ccc7ncccc7c6)ccnc5c4)CC3)ccn2)C1C")</f>
        <v>CC1C=CC(C)C(c2cc(CN(C)C3CCC(N(C)c4ccc5c(-c6ccc7ncccc7c6)ccnc5c4)CC3)ccn2)C1C</v>
      </c>
      <c r="C15705" s="7">
        <f>IFERROR(__xludf.DUMMYFUNCTION("""COMPUTED_VALUE"""),7.7408333)</f>
        <v>7.7408333</v>
      </c>
      <c r="D15705" s="7">
        <f>IFERROR(__xludf.DUMMYFUNCTION("""COMPUTED_VALUE"""),0.225)</f>
        <v>0.225</v>
      </c>
    </row>
    <row r="15706">
      <c r="A15706" s="10" t="s">
        <v>17145</v>
      </c>
      <c r="B15706" s="7" t="str">
        <f>IFERROR(__xludf.DUMMYFUNCTION("SPLIT(A15706,"" "")"),"CNCc1ccccc1-c1ncccc1C")</f>
        <v>CNCc1ccccc1-c1ncccc1C</v>
      </c>
      <c r="C15706" s="7">
        <f>IFERROR(__xludf.DUMMYFUNCTION("""COMPUTED_VALUE"""),7.740832)</f>
        <v>7.740832</v>
      </c>
      <c r="D15706" s="7">
        <f>IFERROR(__xludf.DUMMYFUNCTION("""COMPUTED_VALUE"""),0.292682926829268)</f>
        <v>0.2926829268</v>
      </c>
    </row>
    <row r="15707">
      <c r="A15707" s="10" t="s">
        <v>17146</v>
      </c>
      <c r="B15707" s="7" t="str">
        <f>IFERROR(__xludf.DUMMYFUNCTION("SPLIT(A15707,"" "")"),"C=C1C=CNC(C2=CCC(N(C)C)=CN2)=C1")</f>
        <v>C=C1C=CNC(C2=CCC(N(C)C)=CN2)=C1</v>
      </c>
      <c r="C15707" s="7">
        <f>IFERROR(__xludf.DUMMYFUNCTION("""COMPUTED_VALUE"""),7.7408285)</f>
        <v>7.7408285</v>
      </c>
      <c r="D15707" s="7">
        <f>IFERROR(__xludf.DUMMYFUNCTION("""COMPUTED_VALUE"""),0.306122448979591)</f>
        <v>0.306122449</v>
      </c>
    </row>
    <row r="15708">
      <c r="A15708" s="10" t="s">
        <v>17147</v>
      </c>
      <c r="B15708" s="7" t="str">
        <f>IFERROR(__xludf.DUMMYFUNCTION("SPLIT(A15708,"" "")"),"Cc1cc(C)c(C)c(CN(C)CCCN(C)c2ccc3nccc(CF)c3c2)n1")</f>
        <v>Cc1cc(C)c(C)c(CN(C)CCCN(C)c2ccc3nccc(CF)c3c2)n1</v>
      </c>
      <c r="C15708" s="7">
        <f>IFERROR(__xludf.DUMMYFUNCTION("""COMPUTED_VALUE"""),7.740818)</f>
        <v>7.740818</v>
      </c>
      <c r="D15708" s="7">
        <f>IFERROR(__xludf.DUMMYFUNCTION("""COMPUTED_VALUE"""),0.262295081967213)</f>
        <v>0.262295082</v>
      </c>
    </row>
    <row r="15709">
      <c r="A15709" s="10" t="s">
        <v>17148</v>
      </c>
      <c r="B15709" s="7" t="str">
        <f>IFERROR(__xludf.DUMMYFUNCTION("SPLIT(A15709,"" "")"),"CN(CCCN(C)c1cccc2ncccc12)Cc1ccon1")</f>
        <v>CN(CCCN(C)c1cccc2ncccc12)Cc1ccon1</v>
      </c>
      <c r="C15709" s="7">
        <f>IFERROR(__xludf.DUMMYFUNCTION("""COMPUTED_VALUE"""),7.740817)</f>
        <v>7.740817</v>
      </c>
      <c r="D15709" s="7">
        <f>IFERROR(__xludf.DUMMYFUNCTION("""COMPUTED_VALUE"""),0.5)</f>
        <v>0.5</v>
      </c>
    </row>
    <row r="15710">
      <c r="A15710" s="10" t="s">
        <v>17149</v>
      </c>
      <c r="B15710" s="7" t="str">
        <f>IFERROR(__xludf.DUMMYFUNCTION("SPLIT(A15710,"" "")"),"Cc1nc(C2CC3(C=CNC(C(C)C)=C3)C=C(c3ccc(CN(Cc4ccccn4)Cc4ncccc4-c4ccccc4N=Cc4ccccn4)cn3)C2(C)C)c(C)c(C)c1CN(Cc1ccccn1)Cc1ccccn1")</f>
        <v>Cc1nc(C2CC3(C=CNC(C(C)C)=C3)C=C(c3ccc(CN(Cc4ccccn4)Cc4ncccc4-c4ccccc4N=Cc4ccccn4)cn3)C2(C)C)c(C)c(C)c1CN(Cc1ccccn1)Cc1ccccn1</v>
      </c>
      <c r="C15710" s="7">
        <f>IFERROR(__xludf.DUMMYFUNCTION("""COMPUTED_VALUE"""),7.740809)</f>
        <v>7.740809</v>
      </c>
      <c r="D15710" s="7">
        <f>IFERROR(__xludf.DUMMYFUNCTION("""COMPUTED_VALUE"""),0.233009708737864)</f>
        <v>0.2330097087</v>
      </c>
    </row>
    <row r="15711">
      <c r="A15711" s="10" t="s">
        <v>17150</v>
      </c>
      <c r="B15711" s="7" t="str">
        <f>IFERROR(__xludf.DUMMYFUNCTION("SPLIT(A15711,"" "")"),"CN(c1ccc2c3c(cnc2c1)CCCC3)C1CCC(N(C)c2cccc3c4c(cnc23)CCCC4)CC1")</f>
        <v>CN(c1ccc2c3c(cnc2c1)CCCC3)C1CCC(N(C)c2cccc3c4c(cnc23)CCCC4)CC1</v>
      </c>
      <c r="C15711" s="7">
        <f>IFERROR(__xludf.DUMMYFUNCTION("""COMPUTED_VALUE"""),7.740803)</f>
        <v>7.740803</v>
      </c>
      <c r="D15711" s="7">
        <f>IFERROR(__xludf.DUMMYFUNCTION("""COMPUTED_VALUE"""),0.359375)</f>
        <v>0.359375</v>
      </c>
    </row>
    <row r="15712">
      <c r="A15712" s="10" t="s">
        <v>17151</v>
      </c>
      <c r="B15712" s="7" t="str">
        <f>IFERROR(__xludf.DUMMYFUNCTION("SPLIT(A15712,"" "")"),"Cc1cc(NCc2ccccn2)ccc1-c1ccc(CN(C)Cc2ccccn2)cn1")</f>
        <v>Cc1cc(NCc2ccccn2)ccc1-c1ccc(CN(C)Cc2ccccn2)cn1</v>
      </c>
      <c r="C15712" s="7">
        <f>IFERROR(__xludf.DUMMYFUNCTION("""COMPUTED_VALUE"""),7.740803)</f>
        <v>7.740803</v>
      </c>
      <c r="D15712" s="7">
        <f>IFERROR(__xludf.DUMMYFUNCTION("""COMPUTED_VALUE"""),0.403508771929824)</f>
        <v>0.4035087719</v>
      </c>
    </row>
    <row r="15713">
      <c r="A15713" s="10" t="s">
        <v>17152</v>
      </c>
      <c r="B15713" s="7" t="str">
        <f>IFERROR(__xludf.DUMMYFUNCTION("SPLIT(A15713,"" "")"),"CCCN(Cc1ccccn1)c1ccc2nccc(CN(Cc3ncccc3C)Cc3ncccc3F)c2c1")</f>
        <v>CCCN(Cc1ccccn1)c1ccc2nccc(CN(Cc3ncccc3C)Cc3ncccc3F)c2c1</v>
      </c>
      <c r="C15713" s="7">
        <f>IFERROR(__xludf.DUMMYFUNCTION("""COMPUTED_VALUE"""),7.740794)</f>
        <v>7.740794</v>
      </c>
      <c r="D15713" s="7">
        <f>IFERROR(__xludf.DUMMYFUNCTION("""COMPUTED_VALUE"""),0.322033898305084)</f>
        <v>0.3220338983</v>
      </c>
    </row>
    <row r="15714">
      <c r="A15714" s="10" t="s">
        <v>17153</v>
      </c>
      <c r="B15714" s="7" t="str">
        <f>IFERROR(__xludf.DUMMYFUNCTION("SPLIT(A15714,"" "")"),"CC(C)C1=CC2(C=CN1)CC(N(C)Cc1ccccn1)C(C)(C)C=C2c1ccc(CN(Cc2ccccn2)c2ccc3ncccc3c2)cn1")</f>
        <v>CC(C)C1=CC2(C=CN1)CC(N(C)Cc1ccccn1)C(C)(C)C=C2c1ccc(CN(Cc2ccccn2)c2ccc3ncccc3c2)cn1</v>
      </c>
      <c r="C15714" s="7">
        <f>IFERROR(__xludf.DUMMYFUNCTION("""COMPUTED_VALUE"""),7.7407928)</f>
        <v>7.7407928</v>
      </c>
      <c r="D15714" s="7">
        <f>IFERROR(__xludf.DUMMYFUNCTION("""COMPUTED_VALUE"""),0.273809523809523)</f>
        <v>0.2738095238</v>
      </c>
    </row>
    <row r="15715">
      <c r="A15715" s="10" t="s">
        <v>17154</v>
      </c>
      <c r="B15715" s="7" t="str">
        <f>IFERROR(__xludf.DUMMYFUNCTION("SPLIT(A15715,"" "")"),"Cc1cccnc1CN(C)C1CCC(N(Cc2cccnc2-c2ccc3nccc(C)c3c2N(C)C)Cc2ncccc2C)CC1")</f>
        <v>Cc1cccnc1CN(C)C1CCC(N(Cc2cccnc2-c2ccc3nccc(C)c3c2N(C)C)Cc2ncccc2C)CC1</v>
      </c>
      <c r="C15715" s="7">
        <f>IFERROR(__xludf.DUMMYFUNCTION("""COMPUTED_VALUE"""),7.7407885)</f>
        <v>7.7407885</v>
      </c>
      <c r="D15715" s="7">
        <f>IFERROR(__xludf.DUMMYFUNCTION("""COMPUTED_VALUE"""),0.242857142857142)</f>
        <v>0.2428571429</v>
      </c>
    </row>
    <row r="15716">
      <c r="A15716" s="10" t="s">
        <v>17155</v>
      </c>
      <c r="B15716" s="7" t="str">
        <f>IFERROR(__xludf.DUMMYFUNCTION("SPLIT(A15716,"" "")"),"Cc1cccc(CN(C)c2cccc(-c3cccc(CN(Cc4ccccn4)C(C)C)n3)c2)n1")</f>
        <v>Cc1cccc(CN(C)c2cccc(-c3cccc(CN(Cc4ccccn4)C(C)C)n3)c2)n1</v>
      </c>
      <c r="C15716" s="7">
        <f>IFERROR(__xludf.DUMMYFUNCTION("""COMPUTED_VALUE"""),7.7407856)</f>
        <v>7.7407856</v>
      </c>
      <c r="D15716" s="7">
        <f>IFERROR(__xludf.DUMMYFUNCTION("""COMPUTED_VALUE"""),0.483333333333333)</f>
        <v>0.4833333333</v>
      </c>
    </row>
    <row r="15717">
      <c r="A15717" s="10" t="s">
        <v>17156</v>
      </c>
      <c r="B15717" s="7" t="str">
        <f>IFERROR(__xludf.DUMMYFUNCTION("SPLIT(A15717,"" "")"),"Cc1ccnc(CN(C)Cc2ccc3cc(N(Cc4ccccn4)CC(C)(C)C)ccc3n2)c1C")</f>
        <v>Cc1ccnc(CN(C)Cc2ccc3cc(N(Cc4ccccn4)CC(C)(C)C)ccc3n2)c1C</v>
      </c>
      <c r="C15717" s="7">
        <f>IFERROR(__xludf.DUMMYFUNCTION("""COMPUTED_VALUE"""),7.7407737)</f>
        <v>7.7407737</v>
      </c>
      <c r="D15717" s="7">
        <f>IFERROR(__xludf.DUMMYFUNCTION("""COMPUTED_VALUE"""),0.406779661016949)</f>
        <v>0.406779661</v>
      </c>
    </row>
    <row r="15718">
      <c r="A15718" s="10" t="s">
        <v>17157</v>
      </c>
      <c r="B15718" s="7" t="str">
        <f>IFERROR(__xludf.DUMMYFUNCTION("SPLIT(A15718,"" "")"),"Cc1cccnc1CN(CCN(C)c1cccc2ncccc12)Cc1cnccc1F")</f>
        <v>Cc1cccnc1CN(CCN(C)c1cccc2ncccc12)Cc1cnccc1F</v>
      </c>
      <c r="C15718" s="7">
        <f>IFERROR(__xludf.DUMMYFUNCTION("""COMPUTED_VALUE"""),7.740748)</f>
        <v>7.740748</v>
      </c>
      <c r="D15718" s="7">
        <f>IFERROR(__xludf.DUMMYFUNCTION("""COMPUTED_VALUE"""),0.35593220338983)</f>
        <v>0.3559322034</v>
      </c>
    </row>
    <row r="15719">
      <c r="A15719" s="10" t="s">
        <v>17158</v>
      </c>
      <c r="B15719" s="7" t="str">
        <f>IFERROR(__xludf.DUMMYFUNCTION("SPLIT(A15719,"" "")"),"CC(C)(CN(Cc1ccccn1)c1ccc2cccnc2c1)c1ccccc1")</f>
        <v>CC(C)(CN(Cc1ccccn1)c1ccc2cccnc2c1)c1ccccc1</v>
      </c>
      <c r="C15719" s="7">
        <f>IFERROR(__xludf.DUMMYFUNCTION("""COMPUTED_VALUE"""),7.7407417)</f>
        <v>7.7407417</v>
      </c>
      <c r="D15719" s="7">
        <f>IFERROR(__xludf.DUMMYFUNCTION("""COMPUTED_VALUE"""),0.450980392156862)</f>
        <v>0.4509803922</v>
      </c>
    </row>
    <row r="15720">
      <c r="A15720" s="10" t="s">
        <v>17159</v>
      </c>
      <c r="B15720" s="7" t="str">
        <f>IFERROR(__xludf.DUMMYFUNCTION("SPLIT(A15720,"" "")"),"Cc1cnc2cc(N(CCN(C)Cc3ncccc3C)Cc3ccccn3)ccc2c1")</f>
        <v>Cc1cnc2cc(N(CCN(C)Cc3ncccc3C)Cc3ccccn3)ccc2c1</v>
      </c>
      <c r="C15720" s="7">
        <f>IFERROR(__xludf.DUMMYFUNCTION("""COMPUTED_VALUE"""),7.740739)</f>
        <v>7.740739</v>
      </c>
      <c r="D15720" s="7">
        <f>IFERROR(__xludf.DUMMYFUNCTION("""COMPUTED_VALUE"""),0.381818181818181)</f>
        <v>0.3818181818</v>
      </c>
    </row>
    <row r="15721">
      <c r="A15721" s="10" t="s">
        <v>17160</v>
      </c>
      <c r="B15721" s="7" t="str">
        <f>IFERROR(__xludf.DUMMYFUNCTION("SPLIT(A15721,"" "")"),"Cc1cnc(CNCc2cnccc2N(C)Cc2nc(C)c(C)cc2C)c(C)c1")</f>
        <v>Cc1cnc(CNCc2cnccc2N(C)Cc2nc(C)c(C)cc2C)c(C)c1</v>
      </c>
      <c r="C15721" s="7">
        <f>IFERROR(__xludf.DUMMYFUNCTION("""COMPUTED_VALUE"""),7.740728)</f>
        <v>7.740728</v>
      </c>
      <c r="D15721" s="7">
        <f>IFERROR(__xludf.DUMMYFUNCTION("""COMPUTED_VALUE"""),0.283333333333333)</f>
        <v>0.2833333333</v>
      </c>
    </row>
    <row r="15722">
      <c r="A15722" s="10" t="s">
        <v>17161</v>
      </c>
      <c r="B15722" s="7" t="str">
        <f>IFERROR(__xludf.DUMMYFUNCTION("SPLIT(A15722,"" "")"),"Cc1c(NCc2ccccn2)cccc1-c1ccnc(CNC(C)C)c1")</f>
        <v>Cc1c(NCc2ccccn2)cccc1-c1ccnc(CNC(C)C)c1</v>
      </c>
      <c r="C15722" s="7">
        <f>IFERROR(__xludf.DUMMYFUNCTION("""COMPUTED_VALUE"""),7.740718)</f>
        <v>7.740718</v>
      </c>
      <c r="D15722" s="7">
        <f>IFERROR(__xludf.DUMMYFUNCTION("""COMPUTED_VALUE"""),0.360655737704918)</f>
        <v>0.3606557377</v>
      </c>
    </row>
    <row r="15723">
      <c r="A15723" s="10" t="s">
        <v>17162</v>
      </c>
      <c r="B15723" s="7" t="str">
        <f>IFERROR(__xludf.DUMMYFUNCTION("SPLIT(A15723,"" "")"),"CC(C)C(C)(c1cccnc1)N(C)Cc1ncccc1-c1cccc(N=Cc2ccccn2)c1")</f>
        <v>CC(C)C(C)(c1cccnc1)N(C)Cc1ncccc1-c1cccc(N=Cc2ccccn2)c1</v>
      </c>
      <c r="C15723" s="7">
        <f>IFERROR(__xludf.DUMMYFUNCTION("""COMPUTED_VALUE"""),7.740718)</f>
        <v>7.740718</v>
      </c>
      <c r="D15723" s="7">
        <f>IFERROR(__xludf.DUMMYFUNCTION("""COMPUTED_VALUE"""),0.304347826086956)</f>
        <v>0.3043478261</v>
      </c>
    </row>
    <row r="15724">
      <c r="A15724" s="10" t="s">
        <v>17163</v>
      </c>
      <c r="B15724" s="7" t="str">
        <f>IFERROR(__xludf.DUMMYFUNCTION("SPLIT(A15724,"" "")"),"CN(CCN(C)c1ccc2nc3c(cc2c1)CCC3)Cc1ccccn1")</f>
        <v>CN(CCN(C)c1ccc2nc3c(cc2c1)CCC3)Cc1ccccn1</v>
      </c>
      <c r="C15724" s="7">
        <f>IFERROR(__xludf.DUMMYFUNCTION("""COMPUTED_VALUE"""),7.7407126)</f>
        <v>7.7407126</v>
      </c>
      <c r="D15724" s="7">
        <f>IFERROR(__xludf.DUMMYFUNCTION("""COMPUTED_VALUE"""),0.392857142857142)</f>
        <v>0.3928571429</v>
      </c>
    </row>
    <row r="15725">
      <c r="A15725" s="10" t="s">
        <v>17164</v>
      </c>
      <c r="B15725" s="7" t="str">
        <f>IFERROR(__xludf.DUMMYFUNCTION("SPLIT(A15725,"" "")"),"CN(C)c1ccccc1-c1cccc(CN(Cc2ccccn2)Cc2cccnc2C(C)(C)C)n1")</f>
        <v>CN(C)c1ccccc1-c1cccc(CN(Cc2ccccn2)Cc2cccnc2C(C)(C)C)n1</v>
      </c>
      <c r="C15725" s="7">
        <f>IFERROR(__xludf.DUMMYFUNCTION("""COMPUTED_VALUE"""),7.7407064)</f>
        <v>7.7407064</v>
      </c>
      <c r="D15725" s="7">
        <f>IFERROR(__xludf.DUMMYFUNCTION("""COMPUTED_VALUE"""),0.454545454545454)</f>
        <v>0.4545454545</v>
      </c>
    </row>
    <row r="15726">
      <c r="A15726" s="10" t="s">
        <v>17165</v>
      </c>
      <c r="B15726" s="7" t="str">
        <f>IFERROR(__xludf.DUMMYFUNCTION("SPLIT(A15726,"" "")"),"CCN(C)CC1=CC(N(C)c2ccc3cccnc3c2)C=CN1")</f>
        <v>CCN(C)CC1=CC(N(C)c2ccc3cccnc3c2)C=CN1</v>
      </c>
      <c r="C15726" s="7">
        <f>IFERROR(__xludf.DUMMYFUNCTION("""COMPUTED_VALUE"""),7.740706)</f>
        <v>7.740706</v>
      </c>
      <c r="D15726" s="7">
        <f>IFERROR(__xludf.DUMMYFUNCTION("""COMPUTED_VALUE"""),0.32258064516129)</f>
        <v>0.3225806452</v>
      </c>
    </row>
    <row r="15727">
      <c r="A15727" s="10" t="s">
        <v>17166</v>
      </c>
      <c r="B15727" s="7" t="str">
        <f>IFERROR(__xludf.DUMMYFUNCTION("SPLIT(A15727,"" "")"),"CC(C)C1=CC(N(C)Cc2cc(-c3cccc(N(C)C)c3)ccn2)C=CN1")</f>
        <v>CC(C)C1=CC(N(C)Cc2cc(-c3cccc(N(C)C)c3)ccn2)C=CN1</v>
      </c>
      <c r="C15727" s="7">
        <f>IFERROR(__xludf.DUMMYFUNCTION("""COMPUTED_VALUE"""),7.7407045)</f>
        <v>7.7407045</v>
      </c>
      <c r="D15727" s="7">
        <f>IFERROR(__xludf.DUMMYFUNCTION("""COMPUTED_VALUE"""),0.269841269841269)</f>
        <v>0.2698412698</v>
      </c>
    </row>
    <row r="15728">
      <c r="A15728" s="10" t="s">
        <v>17167</v>
      </c>
      <c r="B15728" s="7" t="str">
        <f>IFERROR(__xludf.DUMMYFUNCTION("SPLIT(A15728,"" "")"),"CN(CCF)Cc1ncccc1-c1cccc(N=Cc2ccccn2)c1")</f>
        <v>CN(CCF)Cc1ncccc1-c1cccc(N=Cc2ccccn2)c1</v>
      </c>
      <c r="C15728" s="7">
        <f>IFERROR(__xludf.DUMMYFUNCTION("""COMPUTED_VALUE"""),7.7407036)</f>
        <v>7.7407036</v>
      </c>
      <c r="D15728" s="7">
        <f>IFERROR(__xludf.DUMMYFUNCTION("""COMPUTED_VALUE"""),0.35)</f>
        <v>0.35</v>
      </c>
    </row>
    <row r="15729">
      <c r="A15729" s="10" t="s">
        <v>17168</v>
      </c>
      <c r="B15729" s="7" t="str">
        <f>IFERROR(__xludf.DUMMYFUNCTION("SPLIT(A15729,"" "")"),"Cc1ccc(C)c(N(C)Cc2ccc(C(C)(C)C)cn2)c1C")</f>
        <v>Cc1ccc(C)c(N(C)Cc2ccc(C(C)(C)C)cn2)c1C</v>
      </c>
      <c r="C15729" s="7">
        <f>IFERROR(__xludf.DUMMYFUNCTION("""COMPUTED_VALUE"""),7.7407026)</f>
        <v>7.7407026</v>
      </c>
      <c r="D15729" s="7">
        <f>IFERROR(__xludf.DUMMYFUNCTION("""COMPUTED_VALUE"""),0.363636363636363)</f>
        <v>0.3636363636</v>
      </c>
    </row>
    <row r="15730">
      <c r="A15730" s="10" t="s">
        <v>17169</v>
      </c>
      <c r="B15730" s="7" t="str">
        <f>IFERROR(__xludf.DUMMYFUNCTION("SPLIT(A15730,"" "")"),"CN(C)c1cccnc1CN(C)c1ccccc1C(C)(C)C")</f>
        <v>CN(C)c1cccnc1CN(C)c1ccccc1C(C)(C)C</v>
      </c>
      <c r="C15730" s="7">
        <f>IFERROR(__xludf.DUMMYFUNCTION("""COMPUTED_VALUE"""),7.7407007)</f>
        <v>7.7407007</v>
      </c>
      <c r="D15730" s="7">
        <f>IFERROR(__xludf.DUMMYFUNCTION("""COMPUTED_VALUE"""),0.369565217391304)</f>
        <v>0.3695652174</v>
      </c>
    </row>
    <row r="15731">
      <c r="A15731" s="10" t="s">
        <v>17170</v>
      </c>
      <c r="B15731" s="7" t="str">
        <f>IFERROR(__xludf.DUMMYFUNCTION("SPLIT(A15731,"" "")"),"CN(C)c1cccnc1CN(Cc1ccccn1)c1ccc(F)cc1")</f>
        <v>CN(C)c1cccnc1CN(Cc1ccccn1)c1ccc(F)cc1</v>
      </c>
      <c r="C15731" s="7">
        <f>IFERROR(__xludf.DUMMYFUNCTION("""COMPUTED_VALUE"""),7.7406964)</f>
        <v>7.7406964</v>
      </c>
      <c r="D15731" s="7">
        <f>IFERROR(__xludf.DUMMYFUNCTION("""COMPUTED_VALUE"""),0.408163265306122)</f>
        <v>0.4081632653</v>
      </c>
    </row>
    <row r="15732">
      <c r="A15732" s="10" t="s">
        <v>17171</v>
      </c>
      <c r="B15732" s="7" t="str">
        <f>IFERROR(__xludf.DUMMYFUNCTION("SPLIT(A15732,"" "")"),"Cc1ccc(N(C)Cc2ncccc2N)c(C)c1")</f>
        <v>Cc1ccc(N(C)Cc2ncccc2N)c(C)c1</v>
      </c>
      <c r="C15732" s="7">
        <f>IFERROR(__xludf.DUMMYFUNCTION("""COMPUTED_VALUE"""),7.740693)</f>
        <v>7.740693</v>
      </c>
      <c r="D15732" s="7">
        <f>IFERROR(__xludf.DUMMYFUNCTION("""COMPUTED_VALUE"""),0.354166666666666)</f>
        <v>0.3541666667</v>
      </c>
    </row>
    <row r="15733">
      <c r="A15733" s="10" t="s">
        <v>17172</v>
      </c>
      <c r="B15733" s="7" t="str">
        <f>IFERROR(__xludf.DUMMYFUNCTION("SPLIT(A15733,"" "")"),"CNc1ccc(C)c(-c2cccc(C(C)C(C)C)n2)n1")</f>
        <v>CNc1ccc(C)c(-c2cccc(C(C)C(C)C)n2)n1</v>
      </c>
      <c r="C15733" s="7">
        <f>IFERROR(__xludf.DUMMYFUNCTION("""COMPUTED_VALUE"""),7.7406907)</f>
        <v>7.7406907</v>
      </c>
      <c r="D15733" s="7">
        <f>IFERROR(__xludf.DUMMYFUNCTION("""COMPUTED_VALUE"""),0.20754716981132)</f>
        <v>0.2075471698</v>
      </c>
    </row>
    <row r="15734">
      <c r="A15734" s="10" t="s">
        <v>17173</v>
      </c>
      <c r="B15734" s="7" t="str">
        <f>IFERROR(__xludf.DUMMYFUNCTION("SPLIT(A15734,"" "")"),"C=CCN(C)Cc1cccc(-c2cccc(Cl)c2N)n1")</f>
        <v>C=CCN(C)Cc1cccc(-c2cccc(Cl)c2N)n1</v>
      </c>
      <c r="C15734" s="7">
        <f>IFERROR(__xludf.DUMMYFUNCTION("""COMPUTED_VALUE"""),7.7406864)</f>
        <v>7.7406864</v>
      </c>
      <c r="D15734" s="7">
        <f>IFERROR(__xludf.DUMMYFUNCTION("""COMPUTED_VALUE"""),0.384615384615384)</f>
        <v>0.3846153846</v>
      </c>
    </row>
    <row r="15735">
      <c r="A15735" s="10" t="s">
        <v>17174</v>
      </c>
      <c r="B15735" s="7" t="str">
        <f>IFERROR(__xludf.DUMMYFUNCTION("SPLIT(A15735,"" "")"),"Cc1cncc(CN(C)CN(CC2=CCC=C(N(C)C(C)C)N2)c2cccc3ncccc23)c1")</f>
        <v>Cc1cncc(CN(C)CN(CC2=CCC=C(N(C)C(C)C)N2)c2cccc3ncccc23)c1</v>
      </c>
      <c r="C15735" s="7">
        <f>IFERROR(__xludf.DUMMYFUNCTION("""COMPUTED_VALUE"""),7.7406673)</f>
        <v>7.7406673</v>
      </c>
      <c r="D15735" s="7">
        <f>IFERROR(__xludf.DUMMYFUNCTION("""COMPUTED_VALUE"""),0.229729729729729)</f>
        <v>0.2297297297</v>
      </c>
    </row>
    <row r="15736">
      <c r="A15736" s="10" t="s">
        <v>17175</v>
      </c>
      <c r="B15736" s="7" t="str">
        <f>IFERROR(__xludf.DUMMYFUNCTION("SPLIT(A15736,"" "")"),"CCNCc1cc(CN(Cc2ccccn2)c2ccc3nc(CF)ccc3c2)ccn1")</f>
        <v>CCNCc1cc(CN(Cc2ccccn2)c2ccc3nc(CF)ccc3c2)ccn1</v>
      </c>
      <c r="C15736" s="7">
        <f>IFERROR(__xludf.DUMMYFUNCTION("""COMPUTED_VALUE"""),7.740662)</f>
        <v>7.740662</v>
      </c>
      <c r="D15736" s="7">
        <f>IFERROR(__xludf.DUMMYFUNCTION("""COMPUTED_VALUE"""),0.396551724137931)</f>
        <v>0.3965517241</v>
      </c>
    </row>
    <row r="15737">
      <c r="A15737" s="10" t="s">
        <v>17176</v>
      </c>
      <c r="B15737" s="7" t="str">
        <f>IFERROR(__xludf.DUMMYFUNCTION("SPLIT(A15737,"" "")"),"CCN(Cc1ccccn1)c1ccc2nccc(CN(C)C(C)C)c2c1")</f>
        <v>CCN(Cc1ccccn1)c1ccc2nccc(CN(C)C(C)C)c2c1</v>
      </c>
      <c r="C15737" s="7">
        <f>IFERROR(__xludf.DUMMYFUNCTION("""COMPUTED_VALUE"""),7.7406607)</f>
        <v>7.7406607</v>
      </c>
      <c r="D15737" s="7">
        <f>IFERROR(__xludf.DUMMYFUNCTION("""COMPUTED_VALUE"""),0.396226415094339)</f>
        <v>0.3962264151</v>
      </c>
    </row>
    <row r="15738">
      <c r="A15738" s="10" t="s">
        <v>17177</v>
      </c>
      <c r="B15738" s="7" t="str">
        <f>IFERROR(__xludf.DUMMYFUNCTION("SPLIT(A15738,"" "")"),"CNC1=C(N(C)Cc2ncccc2Cl)CC=CN1")</f>
        <v>CNC1=C(N(C)Cc2ncccc2Cl)CC=CN1</v>
      </c>
      <c r="C15738" s="7">
        <f>IFERROR(__xludf.DUMMYFUNCTION("""COMPUTED_VALUE"""),7.7406497)</f>
        <v>7.7406497</v>
      </c>
      <c r="D15738" s="7">
        <f>IFERROR(__xludf.DUMMYFUNCTION("""COMPUTED_VALUE"""),0.309090909090909)</f>
        <v>0.3090909091</v>
      </c>
    </row>
    <row r="15739">
      <c r="A15739" s="10" t="s">
        <v>17178</v>
      </c>
      <c r="B15739" s="7" t="str">
        <f>IFERROR(__xludf.DUMMYFUNCTION("SPLIT(A15739,"" "")"),"Cc1ccc(C)c(N(C)C)c1")</f>
        <v>Cc1ccc(C)c(N(C)C)c1</v>
      </c>
      <c r="C15739" s="7">
        <f>IFERROR(__xludf.DUMMYFUNCTION("""COMPUTED_VALUE"""),7.7406473)</f>
        <v>7.7406473</v>
      </c>
      <c r="D15739" s="7">
        <f>IFERROR(__xludf.DUMMYFUNCTION("""COMPUTED_VALUE"""),0.294117647058823)</f>
        <v>0.2941176471</v>
      </c>
    </row>
    <row r="15740">
      <c r="A15740" s="10" t="s">
        <v>17179</v>
      </c>
      <c r="B15740" s="7" t="str">
        <f>IFERROR(__xludf.DUMMYFUNCTION("SPLIT(A15740,"" "")"),"Cc1cccc(CN(Cc2ccccn2)C(C)(N)N(Cc2ccc3cccnc3c2)C(C)(N)N(CCN(C)C(C)C)c2ccc3cccnc3c2)c1N(C)Cc1ccccn1")</f>
        <v>Cc1cccc(CN(Cc2ccccn2)C(C)(N)N(Cc2ccc3cccnc3c2)C(C)(N)N(CCN(C)C(C)C)c2ccc3cccnc3c2)c1N(C)Cc1ccccn1</v>
      </c>
      <c r="C15740" s="7">
        <f>IFERROR(__xludf.DUMMYFUNCTION("""COMPUTED_VALUE"""),7.740638)</f>
        <v>7.740638</v>
      </c>
      <c r="D15740" s="7">
        <f>IFERROR(__xludf.DUMMYFUNCTION("""COMPUTED_VALUE"""),0.3)</f>
        <v>0.3</v>
      </c>
    </row>
    <row r="15741">
      <c r="A15741" s="10" t="s">
        <v>17180</v>
      </c>
      <c r="B15741" s="7" t="str">
        <f>IFERROR(__xludf.DUMMYFUNCTION("SPLIT(A15741,"" "")"),"CC(c1ccccn1)(c1ccccn1)c1cccc(CN2C=CCC=C2)n1")</f>
        <v>CC(c1ccccn1)(c1ccccn1)c1cccc(CN2C=CCC=C2)n1</v>
      </c>
      <c r="C15741" s="7">
        <f>IFERROR(__xludf.DUMMYFUNCTION("""COMPUTED_VALUE"""),7.7406325)</f>
        <v>7.7406325</v>
      </c>
      <c r="D15741" s="7">
        <f>IFERROR(__xludf.DUMMYFUNCTION("""COMPUTED_VALUE"""),0.433962264150943)</f>
        <v>0.4339622642</v>
      </c>
    </row>
    <row r="15742">
      <c r="A15742" s="10" t="s">
        <v>17181</v>
      </c>
      <c r="B15742" s="7" t="str">
        <f>IFERROR(__xludf.DUMMYFUNCTION("SPLIT(A15742,"" "")"),"CC(C)C(C)(c1cccnc1)N(C)Cc1cc(-c2cccc(N=Cc3ccccn3)c2)ccn1")</f>
        <v>CC(C)C(C)(c1cccnc1)N(C)Cc1cc(-c2cccc(N=Cc3ccccn3)c2)ccn1</v>
      </c>
      <c r="C15742" s="7">
        <f>IFERROR(__xludf.DUMMYFUNCTION("""COMPUTED_VALUE"""),7.740632)</f>
        <v>7.740632</v>
      </c>
      <c r="D15742" s="7">
        <f>IFERROR(__xludf.DUMMYFUNCTION("""COMPUTED_VALUE"""),0.3)</f>
        <v>0.3</v>
      </c>
    </row>
    <row r="15743">
      <c r="A15743" s="10" t="s">
        <v>17182</v>
      </c>
      <c r="B15743" s="7" t="str">
        <f>IFERROR(__xludf.DUMMYFUNCTION("SPLIT(A15743,"" "")"),"CCC(C)c1cccc(CN(Cc2ccccn2)C2CCCCC2N(C)c2ccc3nc(-c4ccc5ncccc5c4)ccc3c2)n1")</f>
        <v>CCC(C)c1cccc(CN(Cc2ccccn2)C2CCCCC2N(C)c2ccc3nc(-c4ccc5ncccc5c4)ccc3c2)n1</v>
      </c>
      <c r="C15743" s="7">
        <f>IFERROR(__xludf.DUMMYFUNCTION("""COMPUTED_VALUE"""),7.74063)</f>
        <v>7.74063</v>
      </c>
      <c r="D15743" s="7">
        <f>IFERROR(__xludf.DUMMYFUNCTION("""COMPUTED_VALUE"""),0.361111111111111)</f>
        <v>0.3611111111</v>
      </c>
    </row>
    <row r="15744">
      <c r="A15744" s="10" t="s">
        <v>17183</v>
      </c>
      <c r="B15744" s="7" t="str">
        <f>IFERROR(__xludf.DUMMYFUNCTION("SPLIT(A15744,"" "")"),"Cc1ccc(CN(Cc2cc(C)ccn2)Cc2ccc3cc(C)ccc3n2)nc1")</f>
        <v>Cc1ccc(CN(Cc2cc(C)ccn2)Cc2ccc3cc(C)ccc3n2)nc1</v>
      </c>
      <c r="C15744" s="7">
        <f>IFERROR(__xludf.DUMMYFUNCTION("""COMPUTED_VALUE"""),7.740624)</f>
        <v>7.740624</v>
      </c>
      <c r="D15744" s="7">
        <f>IFERROR(__xludf.DUMMYFUNCTION("""COMPUTED_VALUE"""),0.468085106382978)</f>
        <v>0.4680851064</v>
      </c>
    </row>
    <row r="15745">
      <c r="A15745" s="10" t="s">
        <v>17184</v>
      </c>
      <c r="B15745" s="7" t="str">
        <f>IFERROR(__xludf.DUMMYFUNCTION("SPLIT(A15745,"" "")"),"Cc1ccnc(CN(CC2=CC=NC(n3c(CN(Cc4nc(C)c(C)cc4C)CC4CCCN4Cc4nc5ccccc5n4Cc4cc(C)ccn4)nc4ccccc43)C2)Cc2cc(C)c(C)cn2)c1")</f>
        <v>Cc1ccnc(CN(CC2=CC=NC(n3c(CN(Cc4nc(C)c(C)cc4C)CC4CCCN4Cc4nc5ccccc5n4Cc4cc(C)ccn4)nc4ccccc43)C2)Cc2cc(C)c(C)cn2)c1</v>
      </c>
      <c r="C15745" s="7">
        <f>IFERROR(__xludf.DUMMYFUNCTION("""COMPUTED_VALUE"""),7.7406197)</f>
        <v>7.7406197</v>
      </c>
      <c r="D15745" s="7">
        <f>IFERROR(__xludf.DUMMYFUNCTION("""COMPUTED_VALUE"""),0.37)</f>
        <v>0.37</v>
      </c>
    </row>
    <row r="15746">
      <c r="A15746" s="10" t="s">
        <v>17185</v>
      </c>
      <c r="B15746" s="7" t="str">
        <f>IFERROR(__xludf.DUMMYFUNCTION("SPLIT(A15746,"" "")"),"FCc1ccc(NCc2cccc(C(c3ccccn3)c3ccccn3)n2)cn1")</f>
        <v>FCc1ccc(NCc2cccc(C(c3ccccn3)c3ccccn3)n2)cn1</v>
      </c>
      <c r="C15746" s="7">
        <f>IFERROR(__xludf.DUMMYFUNCTION("""COMPUTED_VALUE"""),7.740613)</f>
        <v>7.740613</v>
      </c>
      <c r="D15746" s="7">
        <f>IFERROR(__xludf.DUMMYFUNCTION("""COMPUTED_VALUE"""),0.306122448979591)</f>
        <v>0.306122449</v>
      </c>
    </row>
    <row r="15747">
      <c r="A15747" s="10" t="s">
        <v>17186</v>
      </c>
      <c r="B15747" s="7" t="str">
        <f>IFERROR(__xludf.DUMMYFUNCTION("SPLIT(A15747,"" "")"),"CCN(Cc1cccc(N(C)C)c1)Cc1ccc2cccnc2c1")</f>
        <v>CCN(Cc1cccc(N(C)C)c1)Cc1ccc2cccnc2c1</v>
      </c>
      <c r="C15747" s="7">
        <f>IFERROR(__xludf.DUMMYFUNCTION("""COMPUTED_VALUE"""),7.7406077)</f>
        <v>7.7406077</v>
      </c>
      <c r="D15747" s="7">
        <f>IFERROR(__xludf.DUMMYFUNCTION("""COMPUTED_VALUE"""),0.326923076923076)</f>
        <v>0.3269230769</v>
      </c>
    </row>
    <row r="15748">
      <c r="A15748" s="10" t="s">
        <v>17187</v>
      </c>
      <c r="B15748" s="7" t="str">
        <f>IFERROR(__xludf.DUMMYFUNCTION("SPLIT(A15748,"" "")"),"FCNc1cccc(-c2cccc(C(NCc3ccccn3)c3ccccn3)n2)n1")</f>
        <v>FCNc1cccc(-c2cccc(C(NCc3ccccn3)c3ccccn3)n2)n1</v>
      </c>
      <c r="C15748" s="7">
        <f>IFERROR(__xludf.DUMMYFUNCTION("""COMPUTED_VALUE"""),7.7406073)</f>
        <v>7.7406073</v>
      </c>
      <c r="D15748" s="7">
        <f>IFERROR(__xludf.DUMMYFUNCTION("""COMPUTED_VALUE"""),0.388888888888888)</f>
        <v>0.3888888889</v>
      </c>
    </row>
    <row r="15749">
      <c r="A15749" s="10" t="s">
        <v>17188</v>
      </c>
      <c r="B15749" s="7" t="str">
        <f>IFERROR(__xludf.DUMMYFUNCTION("SPLIT(A15749,"" "")"),"CC(C)N(CC1=CCC(N(C)Cc2ccccn2)=CN1)c1cc(N)cc(Cl)c1")</f>
        <v>CC(C)N(CC1=CCC(N(C)Cc2ccccn2)=CN1)c1cc(N)cc(Cl)c1</v>
      </c>
      <c r="C15749" s="7">
        <f>IFERROR(__xludf.DUMMYFUNCTION("""COMPUTED_VALUE"""),7.7406063)</f>
        <v>7.7406063</v>
      </c>
      <c r="D15749" s="7">
        <f>IFERROR(__xludf.DUMMYFUNCTION("""COMPUTED_VALUE"""),0.393442622950819)</f>
        <v>0.393442623</v>
      </c>
    </row>
    <row r="15750">
      <c r="A15750" s="10" t="s">
        <v>17189</v>
      </c>
      <c r="B15750" s="7" t="str">
        <f>IFERROR(__xludf.DUMMYFUNCTION("SPLIT(A15750,"" "")"),"CC(C)N(Cc1ccccn1)c1ccccc1-c1ncccc1C(C)(C)C")</f>
        <v>CC(C)N(Cc1ccccn1)c1ccccc1-c1ncccc1C(C)(C)C</v>
      </c>
      <c r="C15750" s="7">
        <f>IFERROR(__xludf.DUMMYFUNCTION("""COMPUTED_VALUE"""),7.7405834)</f>
        <v>7.7405834</v>
      </c>
      <c r="D15750" s="7">
        <f>IFERROR(__xludf.DUMMYFUNCTION("""COMPUTED_VALUE"""),0.4375)</f>
        <v>0.4375</v>
      </c>
    </row>
    <row r="15751">
      <c r="A15751" s="10" t="s">
        <v>17190</v>
      </c>
      <c r="B15751" s="7" t="str">
        <f>IFERROR(__xludf.DUMMYFUNCTION("SPLIT(A15751,"" "")"),"CC(C)N(Cc1ccccn1)Cc1ccc(-c2cccc(N(C)Cc3ccc(C(C)(C)C)cn3)c2)cn1")</f>
        <v>CC(C)N(Cc1ccccn1)Cc1ccc(-c2cccc(N(C)Cc3ccc(C(C)(C)C)cn3)c2)cn1</v>
      </c>
      <c r="C15751" s="7">
        <f>IFERROR(__xludf.DUMMYFUNCTION("""COMPUTED_VALUE"""),7.740575)</f>
        <v>7.740575</v>
      </c>
      <c r="D15751" s="7">
        <f>IFERROR(__xludf.DUMMYFUNCTION("""COMPUTED_VALUE"""),0.436363636363636)</f>
        <v>0.4363636364</v>
      </c>
    </row>
    <row r="15752">
      <c r="A15752" s="10" t="s">
        <v>17191</v>
      </c>
      <c r="B15752" s="7" t="str">
        <f>IFERROR(__xludf.DUMMYFUNCTION("SPLIT(A15752,"" "")"),"Cc1ccc(CN(Cc2ccccn2)C2=CNC=CC2CN(C)Cc2cccc(-c3c(N)cccc3Cl)n2)nc1")</f>
        <v>Cc1ccc(CN(Cc2ccccn2)C2=CNC=CC2CN(C)Cc2cccc(-c3c(N)cccc3Cl)n2)nc1</v>
      </c>
      <c r="C15752" s="7">
        <f>IFERROR(__xludf.DUMMYFUNCTION("""COMPUTED_VALUE"""),7.740568)</f>
        <v>7.740568</v>
      </c>
      <c r="D15752" s="7">
        <f>IFERROR(__xludf.DUMMYFUNCTION("""COMPUTED_VALUE"""),0.375)</f>
        <v>0.375</v>
      </c>
    </row>
    <row r="15753">
      <c r="A15753" s="10" t="s">
        <v>17192</v>
      </c>
      <c r="B15753" s="7" t="str">
        <f>IFERROR(__xludf.DUMMYFUNCTION("SPLIT(A15753,"" "")"),"Cc1ccnc(C2=CCC(N(C)CC3=CCC=CN3)=CN2)c1")</f>
        <v>Cc1ccnc(C2=CCC(N(C)CC3=CCC=CN3)=CN2)c1</v>
      </c>
      <c r="C15753" s="7">
        <f>IFERROR(__xludf.DUMMYFUNCTION("""COMPUTED_VALUE"""),7.7405677)</f>
        <v>7.7405677</v>
      </c>
      <c r="D15753" s="7">
        <f>IFERROR(__xludf.DUMMYFUNCTION("""COMPUTED_VALUE"""),0.383333333333333)</f>
        <v>0.3833333333</v>
      </c>
    </row>
    <row r="15754">
      <c r="A15754" s="10" t="s">
        <v>17193</v>
      </c>
      <c r="B15754" s="7" t="str">
        <f>IFERROR(__xludf.DUMMYFUNCTION("SPLIT(A15754,"" "")"),"CCN(Cc1ccccn1)c1ccccc1-c1cnccc1C(C)(C)C")</f>
        <v>CCN(Cc1ccccn1)c1ccccc1-c1cnccc1C(C)(C)C</v>
      </c>
      <c r="C15754" s="7">
        <f>IFERROR(__xludf.DUMMYFUNCTION("""COMPUTED_VALUE"""),7.7405667)</f>
        <v>7.7405667</v>
      </c>
      <c r="D15754" s="7">
        <f>IFERROR(__xludf.DUMMYFUNCTION("""COMPUTED_VALUE"""),0.384615384615384)</f>
        <v>0.3846153846</v>
      </c>
    </row>
    <row r="15755">
      <c r="A15755" s="10" t="s">
        <v>17194</v>
      </c>
      <c r="B15755" s="7" t="str">
        <f>IFERROR(__xludf.DUMMYFUNCTION("SPLIT(A15755,"" "")"),"CCc1ccccc1CNCc1ccc(-c2cccc(N=Cc3ccccn3)c2)cn1")</f>
        <v>CCc1ccccc1CNCc1ccc(-c2cccc(N=Cc3ccccn3)c2)cn1</v>
      </c>
      <c r="C15755" s="7">
        <f>IFERROR(__xludf.DUMMYFUNCTION("""COMPUTED_VALUE"""),7.740556)</f>
        <v>7.740556</v>
      </c>
      <c r="D15755" s="7">
        <f>IFERROR(__xludf.DUMMYFUNCTION("""COMPUTED_VALUE"""),0.338709677419354)</f>
        <v>0.3387096774</v>
      </c>
    </row>
    <row r="15756">
      <c r="A15756" s="10" t="s">
        <v>17195</v>
      </c>
      <c r="B15756" s="7" t="str">
        <f>IFERROR(__xludf.DUMMYFUNCTION("SPLIT(A15756,"" "")"),"CN(C)c1ccccc1-c1ncccc1CN(Cc1ccccn1)C1CCC(N(C)c2cccc3nc(CF)ccc23)CC1")</f>
        <v>CN(C)c1ccccc1-c1ncccc1CN(Cc1ccccn1)C1CCC(N(C)c2cccc3nc(CF)ccc23)CC1</v>
      </c>
      <c r="C15756" s="7">
        <f>IFERROR(__xludf.DUMMYFUNCTION("""COMPUTED_VALUE"""),7.7405457)</f>
        <v>7.7405457</v>
      </c>
      <c r="D15756" s="7">
        <f>IFERROR(__xludf.DUMMYFUNCTION("""COMPUTED_VALUE"""),0.31578947368421)</f>
        <v>0.3157894737</v>
      </c>
    </row>
    <row r="15757">
      <c r="A15757" s="10" t="s">
        <v>17196</v>
      </c>
      <c r="B15757" s="7" t="str">
        <f>IFERROR(__xludf.DUMMYFUNCTION("SPLIT(A15757,"" "")"),"Cc1ccnc(CN(C)Cc2cc3ccccc3cn2)c1")</f>
        <v>Cc1ccnc(CN(C)Cc2cc3ccccc3cn2)c1</v>
      </c>
      <c r="C15757" s="7">
        <f>IFERROR(__xludf.DUMMYFUNCTION("""COMPUTED_VALUE"""),7.7405443)</f>
        <v>7.7405443</v>
      </c>
      <c r="D15757" s="7">
        <f>IFERROR(__xludf.DUMMYFUNCTION("""COMPUTED_VALUE"""),0.413043478260869)</f>
        <v>0.4130434783</v>
      </c>
    </row>
    <row r="15758">
      <c r="A15758" s="10" t="s">
        <v>17197</v>
      </c>
      <c r="B15758" s="7" t="str">
        <f>IFERROR(__xludf.DUMMYFUNCTION("SPLIT(A15758,"" "")"),"CN(C)c1ccccc1-c1cccnc1CN(Cc1ccccn1)C1CCC(N(C)c2cccc3nc(CF)ccc23)CC1")</f>
        <v>CN(C)c1ccccc1-c1cccnc1CN(Cc1ccccn1)C1CCC(N(C)c2cccc3nc(CF)ccc23)CC1</v>
      </c>
      <c r="C15758" s="7">
        <f>IFERROR(__xludf.DUMMYFUNCTION("""COMPUTED_VALUE"""),7.740527)</f>
        <v>7.740527</v>
      </c>
      <c r="D15758" s="7">
        <f>IFERROR(__xludf.DUMMYFUNCTION("""COMPUTED_VALUE"""),0.324324324324324)</f>
        <v>0.3243243243</v>
      </c>
    </row>
    <row r="15759">
      <c r="A15759" s="10" t="s">
        <v>17198</v>
      </c>
      <c r="B15759" s="7" t="str">
        <f>IFERROR(__xludf.DUMMYFUNCTION("SPLIT(A15759,"" "")"),"CN(C)c1cccc(-c2cccc(CN(Cc3ccccn3)CC(C)(C)c3cccc(N(C)Cc4ccccn4)c3)n2)c1")</f>
        <v>CN(C)c1cccc(-c2cccc(CN(Cc3ccccn3)CC(C)(C)c3cccc(N(C)Cc4ccccn4)c3)n2)c1</v>
      </c>
      <c r="C15759" s="7">
        <f>IFERROR(__xludf.DUMMYFUNCTION("""COMPUTED_VALUE"""),7.7405257)</f>
        <v>7.7405257</v>
      </c>
      <c r="D15759" s="7">
        <f>IFERROR(__xludf.DUMMYFUNCTION("""COMPUTED_VALUE"""),0.5)</f>
        <v>0.5</v>
      </c>
    </row>
    <row r="15760">
      <c r="A15760" s="10" t="s">
        <v>17199</v>
      </c>
      <c r="B15760" s="7" t="str">
        <f>IFERROR(__xludf.DUMMYFUNCTION("SPLIT(A15760,"" "")"),"Cc1ccc(C)c(CN(C)Cc2ccc(N(C)Cc3cc(C)c(C)c(C)n3)cn2)n1")</f>
        <v>Cc1ccc(C)c(CN(C)Cc2ccc(N(C)Cc3cc(C)c(C)c(C)n3)cn2)n1</v>
      </c>
      <c r="C15760" s="7">
        <f>IFERROR(__xludf.DUMMYFUNCTION("""COMPUTED_VALUE"""),7.740523)</f>
        <v>7.740523</v>
      </c>
      <c r="D15760" s="7">
        <f>IFERROR(__xludf.DUMMYFUNCTION("""COMPUTED_VALUE"""),0.339622641509433)</f>
        <v>0.3396226415</v>
      </c>
    </row>
    <row r="15761">
      <c r="A15761" s="10" t="s">
        <v>17200</v>
      </c>
      <c r="B15761" s="7" t="str">
        <f>IFERROR(__xludf.DUMMYFUNCTION("SPLIT(A15761,"" "")"),"CCN(C)Cc1ncccc1-c1ccc(Cl)cc1N")</f>
        <v>CCN(C)Cc1ncccc1-c1ccc(Cl)cc1N</v>
      </c>
      <c r="C15761" s="7">
        <f>IFERROR(__xludf.DUMMYFUNCTION("""COMPUTED_VALUE"""),7.7405186)</f>
        <v>7.7405186</v>
      </c>
      <c r="D15761" s="7">
        <f>IFERROR(__xludf.DUMMYFUNCTION("""COMPUTED_VALUE"""),0.307692307692307)</f>
        <v>0.3076923077</v>
      </c>
    </row>
    <row r="15762">
      <c r="A15762" s="10" t="s">
        <v>17201</v>
      </c>
      <c r="B15762" s="7" t="str">
        <f>IFERROR(__xludf.DUMMYFUNCTION("SPLIT(A15762,"" "")"),"Cc1ccccc1N(C)Cc1ccc(C(C)(C)c2ccccn2)cn1")</f>
        <v>Cc1ccccc1N(C)Cc1ccc(C(C)(C)c2ccccn2)cn1</v>
      </c>
      <c r="C15762" s="7">
        <f>IFERROR(__xludf.DUMMYFUNCTION("""COMPUTED_VALUE"""),7.7405043)</f>
        <v>7.7405043</v>
      </c>
      <c r="D15762" s="7">
        <f>IFERROR(__xludf.DUMMYFUNCTION("""COMPUTED_VALUE"""),0.428571428571428)</f>
        <v>0.4285714286</v>
      </c>
    </row>
    <row r="15763">
      <c r="A15763" s="10" t="s">
        <v>17202</v>
      </c>
      <c r="B15763" s="7" t="str">
        <f>IFERROR(__xludf.DUMMYFUNCTION("SPLIT(A15763,"" "")"),"Cc1ccc(C)c(N(C)Cc2cccc(C(C)(C)c3ccccn3)n2)c1")</f>
        <v>Cc1ccc(C)c(N(C)Cc2cccc(C(C)(C)c3ccccn3)n2)c1</v>
      </c>
      <c r="C15763" s="7">
        <f>IFERROR(__xludf.DUMMYFUNCTION("""COMPUTED_VALUE"""),7.7405024)</f>
        <v>7.7405024</v>
      </c>
      <c r="D15763" s="7">
        <f>IFERROR(__xludf.DUMMYFUNCTION("""COMPUTED_VALUE"""),0.44)</f>
        <v>0.44</v>
      </c>
    </row>
    <row r="15764">
      <c r="A15764" s="10" t="s">
        <v>17203</v>
      </c>
      <c r="B15764" s="7" t="str">
        <f>IFERROR(__xludf.DUMMYFUNCTION("SPLIT(A15764,"" "")"),"CCN(C)CC1=CC(N(C)c2ccc3ncccc3c2)C=CN1")</f>
        <v>CCN(C)CC1=CC(N(C)c2ccc3ncccc3c2)C=CN1</v>
      </c>
      <c r="C15764" s="7">
        <f>IFERROR(__xludf.DUMMYFUNCTION("""COMPUTED_VALUE"""),7.740502)</f>
        <v>7.740502</v>
      </c>
      <c r="D15764" s="7">
        <f>IFERROR(__xludf.DUMMYFUNCTION("""COMPUTED_VALUE"""),0.327868852459016)</f>
        <v>0.3278688525</v>
      </c>
    </row>
    <row r="15765">
      <c r="A15765" s="10" t="s">
        <v>17204</v>
      </c>
      <c r="B15765" s="7" t="str">
        <f>IFERROR(__xludf.DUMMYFUNCTION("SPLIT(A15765,"" "")"),"CC(N)C(C)N(Cc1ccccn1)c1cccc2ncccc12")</f>
        <v>CC(N)C(C)N(Cc1ccccn1)c1cccc2ncccc12</v>
      </c>
      <c r="C15765" s="7">
        <f>IFERROR(__xludf.DUMMYFUNCTION("""COMPUTED_VALUE"""),7.7404995)</f>
        <v>7.7404995</v>
      </c>
      <c r="D15765" s="7">
        <f>IFERROR(__xludf.DUMMYFUNCTION("""COMPUTED_VALUE"""),0.416666666666666)</f>
        <v>0.4166666667</v>
      </c>
    </row>
    <row r="15766">
      <c r="A15766" s="10" t="s">
        <v>17205</v>
      </c>
      <c r="B15766" s="7" t="str">
        <f>IFERROR(__xludf.DUMMYFUNCTION("SPLIT(A15766,"" "")"),"CCCN(Cc1ccccn1)c1ccc2ncccc2c1")</f>
        <v>CCCN(Cc1ccccn1)c1ccc2ncccc2c1</v>
      </c>
      <c r="C15766" s="7">
        <f>IFERROR(__xludf.DUMMYFUNCTION("""COMPUTED_VALUE"""),7.7404866)</f>
        <v>7.7404866</v>
      </c>
      <c r="D15766" s="7">
        <f>IFERROR(__xludf.DUMMYFUNCTION("""COMPUTED_VALUE"""),0.446808510638297)</f>
        <v>0.4468085106</v>
      </c>
    </row>
    <row r="15767">
      <c r="A15767" s="10" t="s">
        <v>17206</v>
      </c>
      <c r="B15767" s="7" t="str">
        <f>IFERROR(__xludf.DUMMYFUNCTION("SPLIT(A15767,"" "")"),"Cc1c(C)c(C)c(N(C)CC2=CCC(N(C)Cc3ccccn3)=CN2)c(C)c1C")</f>
        <v>Cc1c(C)c(C)c(N(C)CC2=CCC(N(C)Cc3ccccn3)=CN2)c(C)c1C</v>
      </c>
      <c r="C15767" s="7">
        <f>IFERROR(__xludf.DUMMYFUNCTION("""COMPUTED_VALUE"""),7.74048)</f>
        <v>7.74048</v>
      </c>
      <c r="D15767" s="7">
        <f>IFERROR(__xludf.DUMMYFUNCTION("""COMPUTED_VALUE"""),0.410714285714285)</f>
        <v>0.4107142857</v>
      </c>
    </row>
    <row r="15768">
      <c r="A15768" s="10" t="s">
        <v>17207</v>
      </c>
      <c r="B15768" s="7" t="str">
        <f>IFERROR(__xludf.DUMMYFUNCTION("SPLIT(A15768,"" "")"),"CN(C)c1ccccc1-c1cccnc1CN(Cc1ccccn1)Cc1cccnc1CF")</f>
        <v>CN(C)c1ccccc1-c1cccnc1CN(Cc1ccccn1)Cc1cccnc1CF</v>
      </c>
      <c r="C15768" s="7">
        <f>IFERROR(__xludf.DUMMYFUNCTION("""COMPUTED_VALUE"""),7.7404633)</f>
        <v>7.7404633</v>
      </c>
      <c r="D15768" s="7">
        <f>IFERROR(__xludf.DUMMYFUNCTION("""COMPUTED_VALUE"""),0.444444444444444)</f>
        <v>0.4444444444</v>
      </c>
    </row>
    <row r="15769">
      <c r="A15769" s="10" t="s">
        <v>17208</v>
      </c>
      <c r="B15769" s="7" t="str">
        <f>IFERROR(__xludf.DUMMYFUNCTION("SPLIT(A15769,"" "")"),"CC(C)C1=CC2(C=CN1)C=CC(c1cc(CN(Cc3ccccn3)Cc3ccccn3)ccn1)C(c1cc(CN(Cc3ccccn3)Cc3cc(-c4ccc5cccnc5c4N)ccn3)ccn1)C2(C)C")</f>
        <v>CC(C)C1=CC2(C=CN1)C=CC(c1cc(CN(Cc3ccccn3)Cc3ccccn3)ccn1)C(c1cc(CN(Cc3ccccn3)Cc3cc(-c4ccc5cccnc5c4N)ccn3)ccn1)C2(C)C</v>
      </c>
      <c r="C15769" s="7">
        <f>IFERROR(__xludf.DUMMYFUNCTION("""COMPUTED_VALUE"""),7.740457)</f>
        <v>7.740457</v>
      </c>
      <c r="D15769" s="7">
        <f>IFERROR(__xludf.DUMMYFUNCTION("""COMPUTED_VALUE"""),0.270588235294117)</f>
        <v>0.2705882353</v>
      </c>
    </row>
    <row r="15770">
      <c r="A15770" s="10" t="s">
        <v>17209</v>
      </c>
      <c r="B15770" s="7" t="str">
        <f>IFERROR(__xludf.DUMMYFUNCTION("SPLIT(A15770,"" "")"),"Cc1ccc(C2CCC2(C)C)nc1C1=NC(=O)C(C(C)C(=O)C(=O)C(=O)C(=O)C(=O)C(=O)C(=O)C(C)C(=O)C(=O)C(=O)C(=O)C(=O)C(=O)C(=O)C(=O)C(=O)C(C)C)O1")</f>
        <v>Cc1ccc(C2CCC2(C)C)nc1C1=NC(=O)C(C(C)C(=O)C(=O)C(=O)C(=O)C(=O)C(=O)C(=O)C(C)C(=O)C(=O)C(=O)C(=O)C(=O)C(=O)C(=O)C(=O)C(=O)C(C)C)O1</v>
      </c>
      <c r="C15770" s="7">
        <f>IFERROR(__xludf.DUMMYFUNCTION("""COMPUTED_VALUE"""),7.7404437)</f>
        <v>7.7404437</v>
      </c>
      <c r="D15770" s="7">
        <f>IFERROR(__xludf.DUMMYFUNCTION("""COMPUTED_VALUE"""),0.188405797101449)</f>
        <v>0.1884057971</v>
      </c>
    </row>
    <row r="15771">
      <c r="A15771" s="10" t="s">
        <v>17210</v>
      </c>
      <c r="B15771" s="7" t="str">
        <f>IFERROR(__xludf.DUMMYFUNCTION("SPLIT(A15771,"" "")"),"Cc1cncc(CN(CC2=CC(N(C)Cc3ccccn3)C=CN2)Cc2cccc(-c3cccc(N=Cc4ccccn4)c3)n2)c1")</f>
        <v>Cc1cncc(CN(CC2=CC(N(C)Cc3ccccn3)C=CN2)Cc2cccc(-c3cccc(N=Cc4ccccn4)c3)n2)c1</v>
      </c>
      <c r="C15771" s="7">
        <f>IFERROR(__xludf.DUMMYFUNCTION("""COMPUTED_VALUE"""),7.7404394)</f>
        <v>7.7404394</v>
      </c>
      <c r="D15771" s="7">
        <f>IFERROR(__xludf.DUMMYFUNCTION("""COMPUTED_VALUE"""),0.38095238095238)</f>
        <v>0.380952381</v>
      </c>
    </row>
    <row r="15772">
      <c r="A15772" s="10" t="s">
        <v>17211</v>
      </c>
      <c r="B15772" s="7" t="str">
        <f>IFERROR(__xludf.DUMMYFUNCTION("SPLIT(A15772,"" "")"),"Cc1ccc2c(CN(C)C3CCCCC3N(C)c3ccc4c(CF)ccnc4c3)ccnc2c1")</f>
        <v>Cc1ccc2c(CN(C)C3CCCCC3N(C)c3ccc4c(CF)ccnc4c3)ccnc2c1</v>
      </c>
      <c r="C15772" s="7">
        <f>IFERROR(__xludf.DUMMYFUNCTION("""COMPUTED_VALUE"""),7.740431)</f>
        <v>7.740431</v>
      </c>
      <c r="D15772" s="7">
        <f>IFERROR(__xludf.DUMMYFUNCTION("""COMPUTED_VALUE"""),0.403508771929824)</f>
        <v>0.4035087719</v>
      </c>
    </row>
    <row r="15773">
      <c r="A15773" s="10" t="s">
        <v>17212</v>
      </c>
      <c r="B15773" s="7" t="str">
        <f>IFERROR(__xludf.DUMMYFUNCTION("SPLIT(A15773,"" "")"),"CC1=CCC(C)C=C1CN(C)Cc1cccc(-c2cccc(N=Cc3ccccn3)c2)n1")</f>
        <v>CC1=CCC(C)C=C1CN(C)Cc1cccc(-c2cccc(N=Cc3ccccn3)c2)n1</v>
      </c>
      <c r="C15773" s="7">
        <f>IFERROR(__xludf.DUMMYFUNCTION("""COMPUTED_VALUE"""),7.740412)</f>
        <v>7.740412</v>
      </c>
      <c r="D15773" s="7">
        <f>IFERROR(__xludf.DUMMYFUNCTION("""COMPUTED_VALUE"""),0.388059701492537)</f>
        <v>0.3880597015</v>
      </c>
    </row>
    <row r="15774">
      <c r="A15774" s="10" t="s">
        <v>17213</v>
      </c>
      <c r="B15774" s="7" t="str">
        <f>IFERROR(__xludf.DUMMYFUNCTION("SPLIT(A15774,"" "")"),"CC(C)CN(C)Cc1cccc(-c2cccc(N=Cc3ccccn3)c2)n1")</f>
        <v>CC(C)CN(C)Cc1cccc(-c2cccc(N=Cc3ccccn3)c2)n1</v>
      </c>
      <c r="C15774" s="7">
        <f>IFERROR(__xludf.DUMMYFUNCTION("""COMPUTED_VALUE"""),7.7404118)</f>
        <v>7.7404118</v>
      </c>
      <c r="D15774" s="7">
        <f>IFERROR(__xludf.DUMMYFUNCTION("""COMPUTED_VALUE"""),0.43859649122807)</f>
        <v>0.4385964912</v>
      </c>
    </row>
    <row r="15775">
      <c r="A15775" s="10" t="s">
        <v>17214</v>
      </c>
      <c r="B15775" s="7" t="str">
        <f>IFERROR(__xludf.DUMMYFUNCTION("SPLIT(A15775,"" "")"),"CCNCc1cccc(-c2ccc(Cl)c(Cl)c2)n1")</f>
        <v>CCNCc1cccc(-c2ccc(Cl)c(Cl)c2)n1</v>
      </c>
      <c r="C15775" s="7">
        <f>IFERROR(__xludf.DUMMYFUNCTION("""COMPUTED_VALUE"""),7.7404027)</f>
        <v>7.7404027</v>
      </c>
      <c r="D15775" s="7">
        <f>IFERROR(__xludf.DUMMYFUNCTION("""COMPUTED_VALUE"""),0.31578947368421)</f>
        <v>0.3157894737</v>
      </c>
    </row>
    <row r="15776">
      <c r="A15776" s="10" t="s">
        <v>17215</v>
      </c>
      <c r="B15776" s="7" t="str">
        <f>IFERROR(__xludf.DUMMYFUNCTION("SPLIT(A15776,"" "")"),"CCNCc1cccc(-c2ccc(Cl)cc2N)n1")</f>
        <v>CCNCc1cccc(-c2ccc(Cl)cc2N)n1</v>
      </c>
      <c r="C15776" s="7">
        <f>IFERROR(__xludf.DUMMYFUNCTION("""COMPUTED_VALUE"""),7.7404)</f>
        <v>7.7404</v>
      </c>
      <c r="D15776" s="7">
        <f>IFERROR(__xludf.DUMMYFUNCTION("""COMPUTED_VALUE"""),0.254545454545454)</f>
        <v>0.2545454545</v>
      </c>
    </row>
    <row r="15777">
      <c r="A15777" s="10" t="s">
        <v>17216</v>
      </c>
      <c r="B15777" s="7" t="str">
        <f>IFERROR(__xludf.DUMMYFUNCTION("SPLIT(A15777,"" "")"),"Cc1c(NCc2ccccn2)cccc1-c1cccnc1CNC(C)C")</f>
        <v>Cc1c(NCc2ccccn2)cccc1-c1cccnc1CNC(C)C</v>
      </c>
      <c r="C15777" s="7">
        <f>IFERROR(__xludf.DUMMYFUNCTION("""COMPUTED_VALUE"""),7.7403936)</f>
        <v>7.7403936</v>
      </c>
      <c r="D15777" s="7">
        <f>IFERROR(__xludf.DUMMYFUNCTION("""COMPUTED_VALUE"""),0.354166666666666)</f>
        <v>0.3541666667</v>
      </c>
    </row>
    <row r="15778">
      <c r="A15778" s="10" t="s">
        <v>17217</v>
      </c>
      <c r="B15778" s="7" t="str">
        <f>IFERROR(__xludf.DUMMYFUNCTION("SPLIT(A15778,"" "")"),"C1=CNC(c2ccccc2NCc2ccccn2)=CC1")</f>
        <v>C1=CNC(c2ccccc2NCc2ccccn2)=CC1</v>
      </c>
      <c r="C15778" s="7">
        <f>IFERROR(__xludf.DUMMYFUNCTION("""COMPUTED_VALUE"""),7.7403836)</f>
        <v>7.7403836</v>
      </c>
      <c r="D15778" s="7">
        <f>IFERROR(__xludf.DUMMYFUNCTION("""COMPUTED_VALUE"""),0.470588235294117)</f>
        <v>0.4705882353</v>
      </c>
    </row>
    <row r="15779">
      <c r="A15779" s="10" t="s">
        <v>17218</v>
      </c>
      <c r="B15779" s="7" t="str">
        <f>IFERROR(__xludf.DUMMYFUNCTION("SPLIT(A15779,"" "")"),"CC(C)C(C)(c1cccnc1)N(C)Cc1ncccc1-c1ccc(N=Cc2ccccn2)cc1")</f>
        <v>CC(C)C(C)(c1cccnc1)N(C)Cc1ncccc1-c1ccc(N=Cc2ccccn2)cc1</v>
      </c>
      <c r="C15779" s="7">
        <f>IFERROR(__xludf.DUMMYFUNCTION("""COMPUTED_VALUE"""),7.7403703)</f>
        <v>7.7403703</v>
      </c>
      <c r="D15779" s="7">
        <f>IFERROR(__xludf.DUMMYFUNCTION("""COMPUTED_VALUE"""),0.3125)</f>
        <v>0.3125</v>
      </c>
    </row>
    <row r="15780">
      <c r="A15780" s="10" t="s">
        <v>17219</v>
      </c>
      <c r="B15780" s="7" t="str">
        <f>IFERROR(__xludf.DUMMYFUNCTION("SPLIT(A15780,"" "")"),"CC(C)N(CCN(Cc1cccnc1)c1cccc(N(C)Cc2cccc(N(C)Cc3cccc4ncccc34)c2)c1)Cc1ccccn1")</f>
        <v>CC(C)N(CCN(Cc1cccnc1)c1cccc(N(C)Cc2cccc(N(C)Cc3cccc4ncccc34)c2)c1)Cc1ccccn1</v>
      </c>
      <c r="C15780" s="7">
        <f>IFERROR(__xludf.DUMMYFUNCTION("""COMPUTED_VALUE"""),7.740361)</f>
        <v>7.740361</v>
      </c>
      <c r="D15780" s="7">
        <f>IFERROR(__xludf.DUMMYFUNCTION("""COMPUTED_VALUE"""),0.428571428571428)</f>
        <v>0.4285714286</v>
      </c>
    </row>
    <row r="15781">
      <c r="A15781" s="10" t="s">
        <v>17220</v>
      </c>
      <c r="B15781" s="7" t="str">
        <f>IFERROR(__xludf.DUMMYFUNCTION("SPLIT(A15781,"" "")"),"COC1(C)COC(c2ncccc2C2=NC(C)(C)CO2)=N1")</f>
        <v>COC1(C)COC(c2ncccc2C2=NC(C)(C)CO2)=N1</v>
      </c>
      <c r="C15781" s="7">
        <f>IFERROR(__xludf.DUMMYFUNCTION("""COMPUTED_VALUE"""),7.740352)</f>
        <v>7.740352</v>
      </c>
      <c r="D15781" s="7">
        <f>IFERROR(__xludf.DUMMYFUNCTION("""COMPUTED_VALUE"""),0.422222222222222)</f>
        <v>0.4222222222</v>
      </c>
    </row>
    <row r="15782">
      <c r="A15782" s="10" t="s">
        <v>17221</v>
      </c>
      <c r="B15782" s="7" t="str">
        <f>IFERROR(__xludf.DUMMYFUNCTION("SPLIT(A15782,"" "")"),"Cc1ccc(CN(C)c2ccc(CN(Cc3ccccn3)c3ccccc3F)nc2)nc1")</f>
        <v>Cc1ccc(CN(C)c2ccc(CN(Cc3ccccn3)c3ccccc3F)nc2)nc1</v>
      </c>
      <c r="C15782" s="7">
        <f>IFERROR(__xludf.DUMMYFUNCTION("""COMPUTED_VALUE"""),7.7403517)</f>
        <v>7.7403517</v>
      </c>
      <c r="D15782" s="7">
        <f>IFERROR(__xludf.DUMMYFUNCTION("""COMPUTED_VALUE"""),0.428571428571428)</f>
        <v>0.4285714286</v>
      </c>
    </row>
    <row r="15783">
      <c r="A15783" s="10" t="s">
        <v>17222</v>
      </c>
      <c r="B15783" s="7" t="str">
        <f>IFERROR(__xludf.DUMMYFUNCTION("SPLIT(A15783,"" "")"),"COC(C)c1ncccc1CN(Cc1ccccn1)Cc1ncccc1-c1ccccc1N(C)C")</f>
        <v>COC(C)c1ncccc1CN(Cc1ccccn1)Cc1ncccc1-c1ccccc1N(C)C</v>
      </c>
      <c r="C15783" s="7">
        <f>IFERROR(__xludf.DUMMYFUNCTION("""COMPUTED_VALUE"""),7.740347)</f>
        <v>7.740347</v>
      </c>
      <c r="D15783" s="7">
        <f>IFERROR(__xludf.DUMMYFUNCTION("""COMPUTED_VALUE"""),0.392156862745098)</f>
        <v>0.3921568627</v>
      </c>
    </row>
    <row r="15784">
      <c r="A15784" s="10" t="s">
        <v>17223</v>
      </c>
      <c r="B15784" s="7" t="str">
        <f>IFERROR(__xludf.DUMMYFUNCTION("SPLIT(A15784,"" "")"),"CC(C)N(C)c1ccc2nccc(CN(C)C(C)(C)c3ccccn3)c2c1")</f>
        <v>CC(C)N(C)c1ccc2nccc(CN(C)C(C)(C)c3ccccn3)c2c1</v>
      </c>
      <c r="C15784" s="7">
        <f>IFERROR(__xludf.DUMMYFUNCTION("""COMPUTED_VALUE"""),7.740338)</f>
        <v>7.740338</v>
      </c>
      <c r="D15784" s="7">
        <f>IFERROR(__xludf.DUMMYFUNCTION("""COMPUTED_VALUE"""),0.321428571428571)</f>
        <v>0.3214285714</v>
      </c>
    </row>
    <row r="15785">
      <c r="A15785" s="10" t="s">
        <v>17224</v>
      </c>
      <c r="B15785" s="7" t="str">
        <f>IFERROR(__xludf.DUMMYFUNCTION("SPLIT(A15785,"" "")"),"CCN(Cc1ccccn1)Cc1cccc(-c2ccc(N=Cc3ccccn3)cc2)n1")</f>
        <v>CCN(Cc1ccccn1)Cc1cccc(-c2ccc(N=Cc3ccccn3)cc2)n1</v>
      </c>
      <c r="C15785" s="7">
        <f>IFERROR(__xludf.DUMMYFUNCTION("""COMPUTED_VALUE"""),7.740325)</f>
        <v>7.740325</v>
      </c>
      <c r="D15785" s="7">
        <f>IFERROR(__xludf.DUMMYFUNCTION("""COMPUTED_VALUE"""),0.47457627118644)</f>
        <v>0.4745762712</v>
      </c>
    </row>
    <row r="15786">
      <c r="A15786" s="10" t="s">
        <v>17225</v>
      </c>
      <c r="B15786" s="7" t="str">
        <f>IFERROR(__xludf.DUMMYFUNCTION("SPLIT(A15786,"" "")"),"Cc1cccnc1CN(C)c1ccccc1-c1cc(CN(C)C(C)C)ccn1")</f>
        <v>Cc1cccnc1CN(C)c1ccccc1-c1cc(CN(C)C(C)C)ccn1</v>
      </c>
      <c r="C15786" s="7">
        <f>IFERROR(__xludf.DUMMYFUNCTION("""COMPUTED_VALUE"""),7.740322)</f>
        <v>7.740322</v>
      </c>
      <c r="D15786" s="7">
        <f>IFERROR(__xludf.DUMMYFUNCTION("""COMPUTED_VALUE"""),0.310344827586206)</f>
        <v>0.3103448276</v>
      </c>
    </row>
    <row r="15787">
      <c r="A15787" s="10" t="s">
        <v>17226</v>
      </c>
      <c r="B15787" s="7" t="str">
        <f>IFERROR(__xludf.DUMMYFUNCTION("SPLIT(A15787,"" "")"),"Cc1cccnc1CN(C)c1ccc2ccc(CN(C)C(C)C(C)C)nc2c1C")</f>
        <v>Cc1cccnc1CN(C)c1ccc2ccc(CN(C)C(C)C(C)C)nc2c1C</v>
      </c>
      <c r="C15787" s="7">
        <f>IFERROR(__xludf.DUMMYFUNCTION("""COMPUTED_VALUE"""),7.740319)</f>
        <v>7.740319</v>
      </c>
      <c r="D15787" s="7">
        <f>IFERROR(__xludf.DUMMYFUNCTION("""COMPUTED_VALUE"""),0.321428571428571)</f>
        <v>0.3214285714</v>
      </c>
    </row>
    <row r="15788">
      <c r="A15788" s="10" t="s">
        <v>17227</v>
      </c>
      <c r="B15788" s="7" t="str">
        <f>IFERROR(__xludf.DUMMYFUNCTION("SPLIT(A15788,"" "")"),"C=CCN(C)Cc1cccc(-c2cc(NCc3ccccn3)ccc2Cl)n1")</f>
        <v>C=CCN(C)Cc1cccc(-c2cc(NCc3ccccn3)ccc2Cl)n1</v>
      </c>
      <c r="C15788" s="7">
        <f>IFERROR(__xludf.DUMMYFUNCTION("""COMPUTED_VALUE"""),7.7403183)</f>
        <v>7.7403183</v>
      </c>
      <c r="D15788" s="7">
        <f>IFERROR(__xludf.DUMMYFUNCTION("""COMPUTED_VALUE"""),0.448275862068965)</f>
        <v>0.4482758621</v>
      </c>
    </row>
    <row r="15789">
      <c r="A15789" s="10" t="s">
        <v>17228</v>
      </c>
      <c r="B15789" s="7" t="str">
        <f>IFERROR(__xludf.DUMMYFUNCTION("SPLIT(A15789,"" "")"),"CN(C)c1ccccc1-c1ccc(CN(Cc2ccccn2)Cc2ccc(F)cn2)cn1")</f>
        <v>CN(C)c1ccccc1-c1ccc(CN(Cc2ccccn2)Cc2ccc(F)cn2)cn1</v>
      </c>
      <c r="C15789" s="7">
        <f>IFERROR(__xludf.DUMMYFUNCTION("""COMPUTED_VALUE"""),7.7402973)</f>
        <v>7.7402973</v>
      </c>
      <c r="D15789" s="7">
        <f>IFERROR(__xludf.DUMMYFUNCTION("""COMPUTED_VALUE"""),0.416666666666666)</f>
        <v>0.4166666667</v>
      </c>
    </row>
    <row r="15790">
      <c r="A15790" s="10" t="s">
        <v>17229</v>
      </c>
      <c r="B15790" s="7" t="str">
        <f>IFERROR(__xludf.DUMMYFUNCTION("SPLIT(A15790,"" "")"),"CC(C)N(Cc1ccccn1)CC1C=CNC=C1N(C)c1ccc2cccnc2c1")</f>
        <v>CC(C)N(Cc1ccccn1)CC1C=CNC=C1N(C)c1ccc2cccnc2c1</v>
      </c>
      <c r="C15790" s="7">
        <f>IFERROR(__xludf.DUMMYFUNCTION("""COMPUTED_VALUE"""),7.7402945)</f>
        <v>7.7402945</v>
      </c>
      <c r="D15790" s="7">
        <f>IFERROR(__xludf.DUMMYFUNCTION("""COMPUTED_VALUE"""),0.4)</f>
        <v>0.4</v>
      </c>
    </row>
    <row r="15791">
      <c r="A15791" s="10" t="s">
        <v>17230</v>
      </c>
      <c r="B15791" s="7" t="str">
        <f>IFERROR(__xludf.DUMMYFUNCTION("SPLIT(A15791,"" "")"),"Cc1cccnc1CN(Cc1ccc2ncccc2c1)C1CCC(N(C)Cc2cc(-c3ccc4ncccc4c3)ccn2)CC1")</f>
        <v>Cc1cccnc1CN(Cc1ccc2ncccc2c1)C1CCC(N(C)Cc2cc(-c3ccc4ncccc4c3)ccn2)CC1</v>
      </c>
      <c r="C15791" s="7">
        <f>IFERROR(__xludf.DUMMYFUNCTION("""COMPUTED_VALUE"""),7.7402854)</f>
        <v>7.7402854</v>
      </c>
      <c r="D15791" s="7">
        <f>IFERROR(__xludf.DUMMYFUNCTION("""COMPUTED_VALUE"""),0.298507462686567)</f>
        <v>0.2985074627</v>
      </c>
    </row>
    <row r="15792">
      <c r="A15792" s="10" t="s">
        <v>17231</v>
      </c>
      <c r="B15792" s="7" t="str">
        <f>IFERROR(__xludf.DUMMYFUNCTION("SPLIT(A15792,"" "")"),"Cc1ccnc(CN(C)CCN(C)c2ccc3ncc(CF)cc3c2)c1")</f>
        <v>Cc1ccnc(CN(C)CCN(C)c2ccc3ncc(CF)cc3c2)c1</v>
      </c>
      <c r="C15792" s="7">
        <f>IFERROR(__xludf.DUMMYFUNCTION("""COMPUTED_VALUE"""),7.7402806)</f>
        <v>7.7402806</v>
      </c>
      <c r="D15792" s="7">
        <f>IFERROR(__xludf.DUMMYFUNCTION("""COMPUTED_VALUE"""),0.358490566037735)</f>
        <v>0.358490566</v>
      </c>
    </row>
    <row r="15793">
      <c r="A15793" s="10" t="s">
        <v>17232</v>
      </c>
      <c r="B15793" s="7" t="str">
        <f>IFERROR(__xludf.DUMMYFUNCTION("SPLIT(A15793,"" "")"),"CNCCN(Cc1ccccn1)c1cccc2ncc(CF)cc12")</f>
        <v>CNCCN(Cc1ccccn1)c1cccc2ncc(CF)cc12</v>
      </c>
      <c r="C15793" s="7">
        <f>IFERROR(__xludf.DUMMYFUNCTION("""COMPUTED_VALUE"""),7.740279)</f>
        <v>7.740279</v>
      </c>
      <c r="D15793" s="7">
        <f>IFERROR(__xludf.DUMMYFUNCTION("""COMPUTED_VALUE"""),0.357142857142857)</f>
        <v>0.3571428571</v>
      </c>
    </row>
    <row r="15794">
      <c r="A15794" s="10" t="s">
        <v>17233</v>
      </c>
      <c r="B15794" s="7" t="str">
        <f>IFERROR(__xludf.DUMMYFUNCTION("SPLIT(A15794,"" "")"),"CC(C)C(C)N(Cc1ccccn1)Cc1ncccc1N(C)c1cccc2ncccc12")</f>
        <v>CC(C)C(C)N(Cc1ccccn1)Cc1ncccc1N(C)c1cccc2ncccc12</v>
      </c>
      <c r="C15794" s="7">
        <f>IFERROR(__xludf.DUMMYFUNCTION("""COMPUTED_VALUE"""),7.7402782)</f>
        <v>7.7402782</v>
      </c>
      <c r="D15794" s="7">
        <f>IFERROR(__xludf.DUMMYFUNCTION("""COMPUTED_VALUE"""),0.431372549019607)</f>
        <v>0.431372549</v>
      </c>
    </row>
    <row r="15795">
      <c r="A15795" s="10" t="s">
        <v>17234</v>
      </c>
      <c r="B15795" s="7" t="str">
        <f>IFERROR(__xludf.DUMMYFUNCTION("SPLIT(A15795,"" "")"),"CCN(CC1=CC(N(C)c2ccc3nccc(CF)c3c2)C=CN1)Cc1ccccn1")</f>
        <v>CCN(CC1=CC(N(C)c2ccc3nccc(CF)c3c2)C=CN1)Cc1ccccn1</v>
      </c>
      <c r="C15795" s="7">
        <f>IFERROR(__xludf.DUMMYFUNCTION("""COMPUTED_VALUE"""),7.7402782)</f>
        <v>7.7402782</v>
      </c>
      <c r="D15795" s="7">
        <f>IFERROR(__xludf.DUMMYFUNCTION("""COMPUTED_VALUE"""),0.357142857142857)</f>
        <v>0.3571428571</v>
      </c>
    </row>
    <row r="15796">
      <c r="A15796" s="10" t="s">
        <v>17235</v>
      </c>
      <c r="B15796" s="7" t="str">
        <f>IFERROR(__xludf.DUMMYFUNCTION("SPLIT(A15796,"" "")"),"Cc1cccnc1CN(Cc1ccc(-c2cccc(N(C)Cc3ccccn3)c2)nc1)Cc1ccccn1")</f>
        <v>Cc1cccnc1CN(Cc1ccc(-c2cccc(N(C)Cc3ccccn3)c2)nc1)Cc1ccccn1</v>
      </c>
      <c r="C15796" s="7">
        <f>IFERROR(__xludf.DUMMYFUNCTION("""COMPUTED_VALUE"""),7.740277)</f>
        <v>7.740277</v>
      </c>
      <c r="D15796" s="7">
        <f>IFERROR(__xludf.DUMMYFUNCTION("""COMPUTED_VALUE"""),0.409090909090909)</f>
        <v>0.4090909091</v>
      </c>
    </row>
    <row r="15797">
      <c r="A15797" s="10" t="s">
        <v>17236</v>
      </c>
      <c r="B15797" s="7" t="str">
        <f>IFERROR(__xludf.DUMMYFUNCTION("SPLIT(A15797,"" "")"),"CCN(Cc1ccccn1)c1ccc(C)c(-c2cc(CN(Cc3ccccn3)Cc3cc(C)c(C)cn3)ccn2)c1")</f>
        <v>CCN(Cc1ccccn1)c1ccc(C)c(-c2cc(CN(Cc3ccccn3)Cc3cc(C)c(C)cn3)ccn2)c1</v>
      </c>
      <c r="C15797" s="7">
        <f>IFERROR(__xludf.DUMMYFUNCTION("""COMPUTED_VALUE"""),7.740274)</f>
        <v>7.740274</v>
      </c>
      <c r="D15797" s="7">
        <f>IFERROR(__xludf.DUMMYFUNCTION("""COMPUTED_VALUE"""),0.377358490566037)</f>
        <v>0.3773584906</v>
      </c>
    </row>
    <row r="15798">
      <c r="A15798" s="10" t="s">
        <v>17237</v>
      </c>
      <c r="B15798" s="7" t="str">
        <f>IFERROR(__xludf.DUMMYFUNCTION("SPLIT(A15798,"" "")"),"CN(Cc1ccncc1)Cc1nccc2ccccc12")</f>
        <v>CN(Cc1ccncc1)Cc1nccc2ccccc12</v>
      </c>
      <c r="C15798" s="7">
        <f>IFERROR(__xludf.DUMMYFUNCTION("""COMPUTED_VALUE"""),7.7402663)</f>
        <v>7.7402663</v>
      </c>
      <c r="D15798" s="7">
        <f>IFERROR(__xludf.DUMMYFUNCTION("""COMPUTED_VALUE"""),0.326530612244897)</f>
        <v>0.3265306122</v>
      </c>
    </row>
    <row r="15799">
      <c r="A15799" s="10" t="s">
        <v>17238</v>
      </c>
      <c r="B15799" s="7" t="str">
        <f>IFERROR(__xludf.DUMMYFUNCTION("SPLIT(A15799,"" "")"),"CC(C)N(C)CC1=C(N(C)c2ccc3nc(CF)ccc3c2)CC=CN1")</f>
        <v>CC(C)N(C)CC1=C(N(C)c2ccc3nc(CF)ccc3c2)CC=CN1</v>
      </c>
      <c r="C15799" s="7">
        <f>IFERROR(__xludf.DUMMYFUNCTION("""COMPUTED_VALUE"""),7.7402577)</f>
        <v>7.7402577</v>
      </c>
      <c r="D15799" s="7">
        <f>IFERROR(__xludf.DUMMYFUNCTION("""COMPUTED_VALUE"""),0.264705882352941)</f>
        <v>0.2647058824</v>
      </c>
    </row>
    <row r="15800">
      <c r="A15800" s="10" t="s">
        <v>17239</v>
      </c>
      <c r="B15800" s="7" t="str">
        <f>IFERROR(__xludf.DUMMYFUNCTION("SPLIT(A15800,"" "")"),"CCN(Cc1ccc2ncccc2c1)Cc1ccccc1N(C)C")</f>
        <v>CCN(Cc1ccc2ncccc2c1)Cc1ccccc1N(C)C</v>
      </c>
      <c r="C15800" s="7">
        <f>IFERROR(__xludf.DUMMYFUNCTION("""COMPUTED_VALUE"""),7.7402573)</f>
        <v>7.7402573</v>
      </c>
      <c r="D15800" s="7">
        <f>IFERROR(__xludf.DUMMYFUNCTION("""COMPUTED_VALUE"""),0.339622641509433)</f>
        <v>0.3396226415</v>
      </c>
    </row>
    <row r="15801">
      <c r="A15801" s="10" t="s">
        <v>17240</v>
      </c>
      <c r="B15801" s="7" t="str">
        <f>IFERROR(__xludf.DUMMYFUNCTION("SPLIT(A15801,"" "")"),"CC(c1cccc(C2=NC(C)(C)CO2)n1)C1OC(c2ncccc2C2CCC2(C)C)=NC1=O")</f>
        <v>CC(c1cccc(C2=NC(C)(C)CO2)n1)C1OC(c2ncccc2C2CCC2(C)C)=NC1=O</v>
      </c>
      <c r="C15801" s="7">
        <f>IFERROR(__xludf.DUMMYFUNCTION("""COMPUTED_VALUE"""),7.740254)</f>
        <v>7.740254</v>
      </c>
      <c r="D15801" s="7">
        <f>IFERROR(__xludf.DUMMYFUNCTION("""COMPUTED_VALUE"""),0.396825396825396)</f>
        <v>0.3968253968</v>
      </c>
    </row>
    <row r="15802">
      <c r="A15802" s="10" t="s">
        <v>17241</v>
      </c>
      <c r="B15802" s="7" t="str">
        <f>IFERROR(__xludf.DUMMYFUNCTION("SPLIT(A15802,"" "")"),"CC1=CC(N(C)c2ccc(CN(C)Cc3ccccn3)nc2)c2ncccc2C1Cl")</f>
        <v>CC1=CC(N(C)c2ccc(CN(C)Cc3ccccn3)nc2)c2ncccc2C1Cl</v>
      </c>
      <c r="C15802" s="7">
        <f>IFERROR(__xludf.DUMMYFUNCTION("""COMPUTED_VALUE"""),7.7402487)</f>
        <v>7.7402487</v>
      </c>
      <c r="D15802" s="7">
        <f>IFERROR(__xludf.DUMMYFUNCTION("""COMPUTED_VALUE"""),0.403508771929824)</f>
        <v>0.4035087719</v>
      </c>
    </row>
    <row r="15803">
      <c r="A15803" s="10" t="s">
        <v>17242</v>
      </c>
      <c r="B15803" s="7" t="str">
        <f>IFERROR(__xludf.DUMMYFUNCTION("SPLIT(A15803,"" "")"),"Cc1ccc(N(C)CC2=CCC(N(C)Cc3ccccn3)=CN2)c(C)c1C")</f>
        <v>Cc1ccc(N(C)CC2=CCC(N(C)Cc3ccccn3)=CN2)c(C)c1C</v>
      </c>
      <c r="C15803" s="7">
        <f>IFERROR(__xludf.DUMMYFUNCTION("""COMPUTED_VALUE"""),7.740241)</f>
        <v>7.740241</v>
      </c>
      <c r="D15803" s="7">
        <f>IFERROR(__xludf.DUMMYFUNCTION("""COMPUTED_VALUE"""),0.425925925925925)</f>
        <v>0.4259259259</v>
      </c>
    </row>
    <row r="15804">
      <c r="A15804" s="10" t="s">
        <v>17243</v>
      </c>
      <c r="B15804" s="7" t="str">
        <f>IFERROR(__xludf.DUMMYFUNCTION("SPLIT(A15804,"" "")"),"CN1CCN(C)CCN(Cc2cnc3cc(N(C)c4ccc5cccnc5c4)ccc3c2)CC1")</f>
        <v>CN1CCN(C)CCN(Cc2cnc3cc(N(C)c4ccc5cccnc5c4)ccc3c2)CC1</v>
      </c>
      <c r="C15804" s="7">
        <f>IFERROR(__xludf.DUMMYFUNCTION("""COMPUTED_VALUE"""),7.740223)</f>
        <v>7.740223</v>
      </c>
      <c r="D15804" s="7">
        <f>IFERROR(__xludf.DUMMYFUNCTION("""COMPUTED_VALUE"""),0.410714285714285)</f>
        <v>0.4107142857</v>
      </c>
    </row>
    <row r="15805">
      <c r="A15805" s="10" t="s">
        <v>17244</v>
      </c>
      <c r="B15805" s="7" t="str">
        <f>IFERROR(__xludf.DUMMYFUNCTION("SPLIT(A15805,"" "")"),"CNCCN(Cc1ccccn1)c1cccc2nc(CF)ccc12")</f>
        <v>CNCCN(Cc1ccccn1)c1cccc2nc(CF)ccc12</v>
      </c>
      <c r="C15805" s="7">
        <f>IFERROR(__xludf.DUMMYFUNCTION("""COMPUTED_VALUE"""),7.7402205)</f>
        <v>7.7402205</v>
      </c>
      <c r="D15805" s="7">
        <f>IFERROR(__xludf.DUMMYFUNCTION("""COMPUTED_VALUE"""),0.425925925925925)</f>
        <v>0.4259259259</v>
      </c>
    </row>
    <row r="15806">
      <c r="A15806" s="10" t="s">
        <v>17245</v>
      </c>
      <c r="B15806" s="7" t="str">
        <f>IFERROR(__xludf.DUMMYFUNCTION("SPLIT(A15806,"" "")"),"Cc1c(-c2ccccc2)ccc(C2=CC=CC(NCc3ccccn3)C2)c1NCc1ccccn1")</f>
        <v>Cc1c(-c2ccccc2)ccc(C2=CC=CC(NCc3ccccn3)C2)c1NCc1ccccn1</v>
      </c>
      <c r="C15806" s="7">
        <f>IFERROR(__xludf.DUMMYFUNCTION("""COMPUTED_VALUE"""),7.7402096)</f>
        <v>7.7402096</v>
      </c>
      <c r="D15806" s="7">
        <f>IFERROR(__xludf.DUMMYFUNCTION("""COMPUTED_VALUE"""),0.412698412698412)</f>
        <v>0.4126984127</v>
      </c>
    </row>
    <row r="15807">
      <c r="A15807" s="10" t="s">
        <v>17246</v>
      </c>
      <c r="B15807" s="7" t="str">
        <f>IFERROR(__xludf.DUMMYFUNCTION("SPLIT(A15807,"" "")"),"CCCN(C)Cc1cc(-c2cccc(N=Cc3ccccn3)c2)ccn1")</f>
        <v>CCCN(C)Cc1cc(-c2cccc(N=Cc3ccccn3)c2)ccn1</v>
      </c>
      <c r="C15807" s="7">
        <f>IFERROR(__xludf.DUMMYFUNCTION("""COMPUTED_VALUE"""),7.7401915)</f>
        <v>7.7401915</v>
      </c>
      <c r="D15807" s="7">
        <f>IFERROR(__xludf.DUMMYFUNCTION("""COMPUTED_VALUE"""),0.362068965517241)</f>
        <v>0.3620689655</v>
      </c>
    </row>
    <row r="15808">
      <c r="A15808" s="10" t="s">
        <v>17247</v>
      </c>
      <c r="B15808" s="7" t="str">
        <f>IFERROR(__xludf.DUMMYFUNCTION("SPLIT(A15808,"" "")"),"Cc1cc(C)c(CN(C)Cc2ccc(N(C)Cc3cc(C)c(C)c(C)n3)cn2)cn1")</f>
        <v>Cc1cc(C)c(CN(C)Cc2ccc(N(C)Cc3cc(C)c(C)c(C)n3)cn2)cn1</v>
      </c>
      <c r="C15808" s="7">
        <f>IFERROR(__xludf.DUMMYFUNCTION("""COMPUTED_VALUE"""),7.7401757)</f>
        <v>7.7401757</v>
      </c>
      <c r="D15808" s="7">
        <f>IFERROR(__xludf.DUMMYFUNCTION("""COMPUTED_VALUE"""),0.339622641509433)</f>
        <v>0.3396226415</v>
      </c>
    </row>
    <row r="15809">
      <c r="A15809" s="10" t="s">
        <v>17248</v>
      </c>
      <c r="B15809" s="7" t="str">
        <f>IFERROR(__xludf.DUMMYFUNCTION("SPLIT(A15809,"" "")"),"Cc1ccnc2cc(N(C)CCN(C)C(C)C)ccc12")</f>
        <v>Cc1ccnc2cc(N(C)CCN(C)C(C)C)ccc12</v>
      </c>
      <c r="C15809" s="7">
        <f>IFERROR(__xludf.DUMMYFUNCTION("""COMPUTED_VALUE"""),7.7401757)</f>
        <v>7.7401757</v>
      </c>
      <c r="D15809" s="7">
        <f>IFERROR(__xludf.DUMMYFUNCTION("""COMPUTED_VALUE"""),0.254901960784313)</f>
        <v>0.2549019608</v>
      </c>
    </row>
    <row r="15810">
      <c r="A15810" s="10" t="s">
        <v>17249</v>
      </c>
      <c r="B15810" s="7" t="str">
        <f>IFERROR(__xludf.DUMMYFUNCTION("SPLIT(A15810,"" "")"),"CC1=CCCC(C)(c2cc(CN(Cc3ccccn3)C3CCC(N(C)c4ccc5nccc(-c6ccc7ncccc7c6)c5c4)CC3)ccn2)C1C")</f>
        <v>CC1=CCCC(C)(c2cc(CN(Cc3ccccn3)C3CCC(N(C)c4ccc5nccc(-c6ccc7ncccc7c6)c5c4)CC3)ccn2)C1C</v>
      </c>
      <c r="C15810" s="7">
        <f>IFERROR(__xludf.DUMMYFUNCTION("""COMPUTED_VALUE"""),7.7401643)</f>
        <v>7.7401643</v>
      </c>
      <c r="D15810" s="7">
        <f>IFERROR(__xludf.DUMMYFUNCTION("""COMPUTED_VALUE"""),0.255813953488372)</f>
        <v>0.2558139535</v>
      </c>
    </row>
    <row r="15811">
      <c r="A15811" s="10" t="s">
        <v>17250</v>
      </c>
      <c r="B15811" s="7" t="str">
        <f>IFERROR(__xludf.DUMMYFUNCTION("SPLIT(A15811,"" "")"),"Cc1cc(C)c(CN(C)Cc2cc(N(C)Cc3cc(C)c(C)c(C)n3)ccn2)cn1")</f>
        <v>Cc1cc(C)c(CN(C)Cc2cc(N(C)Cc3cc(C)c(C)c(C)n3)ccn2)cn1</v>
      </c>
      <c r="C15811" s="7">
        <f>IFERROR(__xludf.DUMMYFUNCTION("""COMPUTED_VALUE"""),7.7401605)</f>
        <v>7.7401605</v>
      </c>
      <c r="D15811" s="7">
        <f>IFERROR(__xludf.DUMMYFUNCTION("""COMPUTED_VALUE"""),0.278688524590163)</f>
        <v>0.2786885246</v>
      </c>
    </row>
    <row r="15812">
      <c r="A15812" s="10" t="s">
        <v>17251</v>
      </c>
      <c r="B15812" s="7" t="str">
        <f>IFERROR(__xludf.DUMMYFUNCTION("SPLIT(A15812,"" "")"),"CCN(Cc1ccccn1)Cc1ccc2cccc(N(Cc3ccccn3)Cc3ncccc3C)c2n1")</f>
        <v>CCN(Cc1ccccn1)Cc1ccc2cccc(N(Cc3ccccn3)Cc3ncccc3C)c2n1</v>
      </c>
      <c r="C15812" s="7">
        <f>IFERROR(__xludf.DUMMYFUNCTION("""COMPUTED_VALUE"""),7.740144)</f>
        <v>7.740144</v>
      </c>
      <c r="D15812" s="7">
        <f>IFERROR(__xludf.DUMMYFUNCTION("""COMPUTED_VALUE"""),0.436363636363636)</f>
        <v>0.4363636364</v>
      </c>
    </row>
    <row r="15813">
      <c r="A15813" s="10" t="s">
        <v>17252</v>
      </c>
      <c r="B15813" s="7" t="str">
        <f>IFERROR(__xludf.DUMMYFUNCTION("SPLIT(A15813,"" "")"),"Cc1ccc(CN(Cc2cccc(-c3cccc(N(C)C)c3)n2)C2CCCC(N(C)c3ccc4ccc(CF)nc4c3)C2)nc1")</f>
        <v>Cc1ccc(CN(Cc2cccc(-c3cccc(N(C)C)c3)n2)C2CCCC(N(C)c3ccc4ccc(CF)nc4c3)C2)nc1</v>
      </c>
      <c r="C15813" s="7">
        <f>IFERROR(__xludf.DUMMYFUNCTION("""COMPUTED_VALUE"""),7.7401414)</f>
        <v>7.7401414</v>
      </c>
      <c r="D15813" s="7">
        <f>IFERROR(__xludf.DUMMYFUNCTION("""COMPUTED_VALUE"""),0.328767123287671)</f>
        <v>0.3287671233</v>
      </c>
    </row>
    <row r="15814">
      <c r="A15814" s="10" t="s">
        <v>17253</v>
      </c>
      <c r="B15814" s="7" t="str">
        <f>IFERROR(__xludf.DUMMYFUNCTION("SPLIT(A15814,"" "")"),"CCN(Cc1ccccn1)c1ccc(C)c(N(C)Cc2ccccn2)c1C")</f>
        <v>CCN(Cc1ccccn1)c1ccc(C)c(N(C)Cc2ccccn2)c1C</v>
      </c>
      <c r="C15814" s="7">
        <f>IFERROR(__xludf.DUMMYFUNCTION("""COMPUTED_VALUE"""),7.7401404)</f>
        <v>7.7401404</v>
      </c>
      <c r="D15814" s="7">
        <f>IFERROR(__xludf.DUMMYFUNCTION("""COMPUTED_VALUE"""),0.478260869565217)</f>
        <v>0.4782608696</v>
      </c>
    </row>
    <row r="15815">
      <c r="A15815" s="10" t="s">
        <v>17254</v>
      </c>
      <c r="B15815" s="7" t="str">
        <f>IFERROR(__xludf.DUMMYFUNCTION("SPLIT(A15815,"" "")"),"CN(c1ccc2ncc3c(c2c1)CCCC3)C1CCCC(N(C)c2cccc3ncc4c(c23)CCCC4)C1")</f>
        <v>CN(c1ccc2ncc3c(c2c1)CCCC3)C1CCCC(N(C)c2cccc3ncc4c(c23)CCCC4)C1</v>
      </c>
      <c r="C15815" s="7">
        <f>IFERROR(__xludf.DUMMYFUNCTION("""COMPUTED_VALUE"""),7.740131)</f>
        <v>7.740131</v>
      </c>
      <c r="D15815" s="7">
        <f>IFERROR(__xludf.DUMMYFUNCTION("""COMPUTED_VALUE"""),0.308823529411764)</f>
        <v>0.3088235294</v>
      </c>
    </row>
    <row r="15816">
      <c r="A15816" s="10" t="s">
        <v>17255</v>
      </c>
      <c r="B15816" s="7" t="str">
        <f>IFERROR(__xludf.DUMMYFUNCTION("SPLIT(A15816,"" "")"),"CN(c1cccc2c3c(cnc12)CCCC3)C1CCCC(N(C)c2cccc3c4c(cnc23)CCCC4)C1")</f>
        <v>CN(c1cccc2c3c(cnc12)CCCC3)C1CCCC(N(C)c2cccc3c4c(cnc23)CCCC4)C1</v>
      </c>
      <c r="C15816" s="7">
        <f>IFERROR(__xludf.DUMMYFUNCTION("""COMPUTED_VALUE"""),7.740122)</f>
        <v>7.740122</v>
      </c>
      <c r="D15816" s="7">
        <f>IFERROR(__xludf.DUMMYFUNCTION("""COMPUTED_VALUE"""),0.392857142857142)</f>
        <v>0.3928571429</v>
      </c>
    </row>
    <row r="15817">
      <c r="A15817" s="10" t="s">
        <v>17256</v>
      </c>
      <c r="B15817" s="7" t="str">
        <f>IFERROR(__xludf.DUMMYFUNCTION("SPLIT(A15817,"" "")"),"CC1C=C2C=CC=NC2C(N(C)C2=CNC=CC2CN(C)c2ccc3cccnc3c2)C1")</f>
        <v>CC1C=C2C=CC=NC2C(N(C)C2=CNC=CC2CN(C)c2ccc3cccnc3c2)C1</v>
      </c>
      <c r="C15817" s="7">
        <f>IFERROR(__xludf.DUMMYFUNCTION("""COMPUTED_VALUE"""),7.7401175)</f>
        <v>7.7401175</v>
      </c>
      <c r="D15817" s="7">
        <f>IFERROR(__xludf.DUMMYFUNCTION("""COMPUTED_VALUE"""),0.23170731707317)</f>
        <v>0.2317073171</v>
      </c>
    </row>
    <row r="15818">
      <c r="A15818" s="10" t="s">
        <v>17257</v>
      </c>
      <c r="B15818" s="7" t="str">
        <f>IFERROR(__xludf.DUMMYFUNCTION("SPLIT(A15818,"" "")"),"CN(Cc1cncc(-c2ccccc2N(C)Cc2cccnc2)c1)Cc1ccccn1")</f>
        <v>CN(Cc1cncc(-c2ccccc2N(C)Cc2cccnc2)c1)Cc1ccccn1</v>
      </c>
      <c r="C15818" s="7">
        <f>IFERROR(__xludf.DUMMYFUNCTION("""COMPUTED_VALUE"""),7.7401156)</f>
        <v>7.7401156</v>
      </c>
      <c r="D15818" s="7">
        <f>IFERROR(__xludf.DUMMYFUNCTION("""COMPUTED_VALUE"""),0.425925925925925)</f>
        <v>0.4259259259</v>
      </c>
    </row>
    <row r="15819">
      <c r="A15819" s="10" t="s">
        <v>17258</v>
      </c>
      <c r="B15819" s="7" t="str">
        <f>IFERROR(__xludf.DUMMYFUNCTION("SPLIT(A15819,"" "")"),"CCN(C)Cc1cccc(-c2ccc(N(C)C)cc2)n1")</f>
        <v>CCN(C)Cc1cccc(-c2ccc(N(C)C)cc2)n1</v>
      </c>
      <c r="C15819" s="7">
        <f>IFERROR(__xludf.DUMMYFUNCTION("""COMPUTED_VALUE"""),7.7401114)</f>
        <v>7.7401114</v>
      </c>
      <c r="D15819" s="7">
        <f>IFERROR(__xludf.DUMMYFUNCTION("""COMPUTED_VALUE"""),0.454545454545454)</f>
        <v>0.4545454545</v>
      </c>
    </row>
    <row r="15820">
      <c r="A15820" s="10" t="s">
        <v>17259</v>
      </c>
      <c r="B15820" s="7" t="str">
        <f>IFERROR(__xludf.DUMMYFUNCTION("SPLIT(A15820,"" "")"),"CN(Cc1ccccn1)Cc1ncccc1C1=NC(c2ccccn2)CO1")</f>
        <v>CN(Cc1ccccn1)Cc1ncccc1C1=NC(c2ccccn2)CO1</v>
      </c>
      <c r="C15820" s="7">
        <f>IFERROR(__xludf.DUMMYFUNCTION("""COMPUTED_VALUE"""),7.7400947)</f>
        <v>7.7400947</v>
      </c>
      <c r="D15820" s="7">
        <f>IFERROR(__xludf.DUMMYFUNCTION("""COMPUTED_VALUE"""),0.418181818181818)</f>
        <v>0.4181818182</v>
      </c>
    </row>
    <row r="15821">
      <c r="A15821" s="10" t="s">
        <v>17260</v>
      </c>
      <c r="B15821" s="7" t="str">
        <f>IFERROR(__xludf.DUMMYFUNCTION("SPLIT(A15821,"" "")"),"Cc1ccc(CN(C)Cc2cc(N(C)Cc3nc(C)c(C)cc3C)ccn2)nc1C")</f>
        <v>Cc1ccc(CN(C)Cc2cc(N(C)Cc3nc(C)c(C)cc3C)ccn2)nc1C</v>
      </c>
      <c r="C15821" s="7">
        <f>IFERROR(__xludf.DUMMYFUNCTION("""COMPUTED_VALUE"""),7.740087)</f>
        <v>7.740087</v>
      </c>
      <c r="D15821" s="7">
        <f>IFERROR(__xludf.DUMMYFUNCTION("""COMPUTED_VALUE"""),0.327272727272727)</f>
        <v>0.3272727273</v>
      </c>
    </row>
    <row r="15822">
      <c r="A15822" s="10" t="s">
        <v>17261</v>
      </c>
      <c r="B15822" s="7" t="str">
        <f>IFERROR(__xludf.DUMMYFUNCTION("SPLIT(A15822,"" "")"),"CNCc1cccc(CN(C)Cc2cccc(-c3ccc(Cl)cc3N)n2)n1")</f>
        <v>CNCc1cccc(CN(C)Cc2cccc(-c3ccc(Cl)cc3N)n2)n1</v>
      </c>
      <c r="C15822" s="7">
        <f>IFERROR(__xludf.DUMMYFUNCTION("""COMPUTED_VALUE"""),7.7400804)</f>
        <v>7.7400804</v>
      </c>
      <c r="D15822" s="7">
        <f>IFERROR(__xludf.DUMMYFUNCTION("""COMPUTED_VALUE"""),0.388888888888888)</f>
        <v>0.3888888889</v>
      </c>
    </row>
    <row r="15823">
      <c r="A15823" s="10" t="s">
        <v>17262</v>
      </c>
      <c r="B15823" s="7" t="str">
        <f>IFERROR(__xludf.DUMMYFUNCTION("SPLIT(A15823,"" "")"),"Cc1cccnc1CN(C)CCN(C)c1ccc2ncc(CF)cc2c1")</f>
        <v>Cc1cccnc1CN(C)CCN(C)c1ccc2ncc(CF)cc2c1</v>
      </c>
      <c r="C15823" s="7">
        <f>IFERROR(__xludf.DUMMYFUNCTION("""COMPUTED_VALUE"""),7.7400723)</f>
        <v>7.7400723</v>
      </c>
      <c r="D15823" s="7">
        <f>IFERROR(__xludf.DUMMYFUNCTION("""COMPUTED_VALUE"""),0.322033898305084)</f>
        <v>0.3220338983</v>
      </c>
    </row>
    <row r="15824">
      <c r="A15824" s="10" t="s">
        <v>17263</v>
      </c>
      <c r="B15824" s="7" t="str">
        <f>IFERROR(__xludf.DUMMYFUNCTION("SPLIT(A15824,"" "")"),"CCN(CC1=CC(N(C)c2ccc3ncccc3c2)C=CN1)Cc1ccccn1")</f>
        <v>CCN(CC1=CC(N(C)c2ccc3ncccc3c2)C=CN1)Cc1ccccn1</v>
      </c>
      <c r="C15824" s="7">
        <f>IFERROR(__xludf.DUMMYFUNCTION("""COMPUTED_VALUE"""),7.7400365)</f>
        <v>7.7400365</v>
      </c>
      <c r="D15824" s="7">
        <f>IFERROR(__xludf.DUMMYFUNCTION("""COMPUTED_VALUE"""),0.390625)</f>
        <v>0.390625</v>
      </c>
    </row>
    <row r="15825">
      <c r="A15825" s="10" t="s">
        <v>17264</v>
      </c>
      <c r="B15825" s="7" t="str">
        <f>IFERROR(__xludf.DUMMYFUNCTION("SPLIT(A15825,"" "")"),"CN(C)Cc1ccnc2ccc(C3CN(C)CCN(C)CCN3Cc3nc4ccccc4n3C)cc12")</f>
        <v>CN(C)Cc1ccnc2ccc(C3CN(C)CCN(C)CCN3Cc3nc4ccccc4n3C)cc12</v>
      </c>
      <c r="C15825" s="7">
        <f>IFERROR(__xludf.DUMMYFUNCTION("""COMPUTED_VALUE"""),7.7400303)</f>
        <v>7.7400303</v>
      </c>
      <c r="D15825" s="7">
        <f>IFERROR(__xludf.DUMMYFUNCTION("""COMPUTED_VALUE"""),0.4375)</f>
        <v>0.4375</v>
      </c>
    </row>
    <row r="15826">
      <c r="A15826" s="10" t="s">
        <v>17265</v>
      </c>
      <c r="B15826" s="7" t="str">
        <f>IFERROR(__xludf.DUMMYFUNCTION("SPLIT(A15826,"" "")"),"C1=CC(NCc2cccc(C(c3ccccn3)c3ccccn3)n2)=CCN1")</f>
        <v>C1=CC(NCc2cccc(C(c3ccccn3)c3ccccn3)n2)=CCN1</v>
      </c>
      <c r="C15826" s="7">
        <f>IFERROR(__xludf.DUMMYFUNCTION("""COMPUTED_VALUE"""),7.740027)</f>
        <v>7.740027</v>
      </c>
      <c r="D15826" s="7">
        <f>IFERROR(__xludf.DUMMYFUNCTION("""COMPUTED_VALUE"""),0.32)</f>
        <v>0.32</v>
      </c>
    </row>
    <row r="15827">
      <c r="A15827" s="10" t="s">
        <v>17266</v>
      </c>
      <c r="B15827" s="7" t="str">
        <f>IFERROR(__xludf.DUMMYFUNCTION("SPLIT(A15827,"" "")"),"CC(C)N(C)CC1=CCC(N(C)c2ccc3cc(CF)cnc3c2)=CN1")</f>
        <v>CC(C)N(C)CC1=CCC(N(C)c2ccc3cc(CF)cnc3c2)=CN1</v>
      </c>
      <c r="C15827" s="7">
        <f>IFERROR(__xludf.DUMMYFUNCTION("""COMPUTED_VALUE"""),7.7400246)</f>
        <v>7.7400246</v>
      </c>
      <c r="D15827" s="7">
        <f>IFERROR(__xludf.DUMMYFUNCTION("""COMPUTED_VALUE"""),0.222222222222222)</f>
        <v>0.2222222222</v>
      </c>
    </row>
    <row r="15828">
      <c r="A15828" s="10" t="s">
        <v>17267</v>
      </c>
      <c r="B15828" s="7" t="str">
        <f>IFERROR(__xludf.DUMMYFUNCTION("SPLIT(A15828,"" "")"),"CN1CCN(C)CCN(Cc2cnc3ccc(N(C)c4ccc5cccnc5c4)cc3c2)CC1")</f>
        <v>CN1CCN(C)CCN(Cc2cnc3ccc(N(C)c4ccc5cccnc5c4)cc3c2)CC1</v>
      </c>
      <c r="C15828" s="7">
        <f>IFERROR(__xludf.DUMMYFUNCTION("""COMPUTED_VALUE"""),7.7400246)</f>
        <v>7.7400246</v>
      </c>
      <c r="D15828" s="7">
        <f>IFERROR(__xludf.DUMMYFUNCTION("""COMPUTED_VALUE"""),0.406779661016949)</f>
        <v>0.406779661</v>
      </c>
    </row>
    <row r="15829">
      <c r="A15829" s="10" t="s">
        <v>17268</v>
      </c>
      <c r="B15829" s="7" t="str">
        <f>IFERROR(__xludf.DUMMYFUNCTION("SPLIT(A15829,"" "")"),"CC(C)(CN(Cc1ccccn1)Cc1ncccc1-c1cccc(N=Cc2ccccn2)c1)c1ccccn1")</f>
        <v>CC(C)(CN(Cc1ccccn1)Cc1ncccc1-c1cccc(N=Cc2ccccn2)c1)c1ccccn1</v>
      </c>
      <c r="C15829" s="7">
        <f>IFERROR(__xludf.DUMMYFUNCTION("""COMPUTED_VALUE"""),7.7400208)</f>
        <v>7.7400208</v>
      </c>
      <c r="D15829" s="7">
        <f>IFERROR(__xludf.DUMMYFUNCTION("""COMPUTED_VALUE"""),0.359375)</f>
        <v>0.359375</v>
      </c>
    </row>
    <row r="15830">
      <c r="A15830" s="10" t="s">
        <v>17269</v>
      </c>
      <c r="B15830" s="7" t="str">
        <f>IFERROR(__xludf.DUMMYFUNCTION("SPLIT(A15830,"" "")"),"Cc1cc(CN(Cc2cccc3ncccc23)C2CCCCC2N(C)c2cccc3ncc(CN(C)C)cc23)nc(C)c1C")</f>
        <v>Cc1cc(CN(Cc2cccc3ncccc23)C2CCCCC2N(C)c2cccc3ncc(CN(C)C)cc23)nc(C)c1C</v>
      </c>
      <c r="C15830" s="7">
        <f>IFERROR(__xludf.DUMMYFUNCTION("""COMPUTED_VALUE"""),7.7400184)</f>
        <v>7.7400184</v>
      </c>
      <c r="D15830" s="7">
        <f>IFERROR(__xludf.DUMMYFUNCTION("""COMPUTED_VALUE"""),0.366197183098591)</f>
        <v>0.3661971831</v>
      </c>
    </row>
    <row r="15831">
      <c r="A15831" s="10" t="s">
        <v>17270</v>
      </c>
      <c r="B15831" s="7" t="str">
        <f>IFERROR(__xludf.DUMMYFUNCTION("SPLIT(A15831,"" "")"),"Cc1cnc(CN(C)Cc2cc(N(C)Cc3cc(C)c(C)c(C)n3)ccn2)c(C)c1")</f>
        <v>Cc1cnc(CN(C)Cc2cc(N(C)Cc3cc(C)c(C)c(C)n3)ccn2)c(C)c1</v>
      </c>
      <c r="C15831" s="7">
        <f>IFERROR(__xludf.DUMMYFUNCTION("""COMPUTED_VALUE"""),7.7400165)</f>
        <v>7.7400165</v>
      </c>
      <c r="D15831" s="7">
        <f>IFERROR(__xludf.DUMMYFUNCTION("""COMPUTED_VALUE"""),0.309090909090909)</f>
        <v>0.3090909091</v>
      </c>
    </row>
    <row r="15832">
      <c r="A15832" s="10" t="s">
        <v>17271</v>
      </c>
      <c r="B15832" s="7" t="str">
        <f>IFERROR(__xludf.DUMMYFUNCTION("SPLIT(A15832,"" "")"),"C=CCN(C)Cc1ncccc1-c1ccccc1N(C)Cc1ccccn1")</f>
        <v>C=CCN(C)Cc1ncccc1-c1ccccc1N(C)Cc1ccccn1</v>
      </c>
      <c r="C15832" s="7">
        <f>IFERROR(__xludf.DUMMYFUNCTION("""COMPUTED_VALUE"""),7.740015)</f>
        <v>7.740015</v>
      </c>
      <c r="D15832" s="7">
        <f>IFERROR(__xludf.DUMMYFUNCTION("""COMPUTED_VALUE"""),0.46938775510204)</f>
        <v>0.4693877551</v>
      </c>
    </row>
    <row r="15833">
      <c r="A15833" s="10" t="s">
        <v>17272</v>
      </c>
      <c r="B15833" s="7" t="str">
        <f>IFERROR(__xludf.DUMMYFUNCTION("SPLIT(A15833,"" "")"),"C1=CC(NCc2ncccc2C(c2ccccn2)c2ccccn2)=CCN1")</f>
        <v>C1=CC(NCc2ncccc2C(c2ccccn2)c2ccccn2)=CCN1</v>
      </c>
      <c r="C15833" s="7">
        <f>IFERROR(__xludf.DUMMYFUNCTION("""COMPUTED_VALUE"""),7.74001)</f>
        <v>7.74001</v>
      </c>
      <c r="D15833" s="7">
        <f>IFERROR(__xludf.DUMMYFUNCTION("""COMPUTED_VALUE"""),0.269230769230769)</f>
        <v>0.2692307692</v>
      </c>
    </row>
    <row r="15834">
      <c r="A15834" s="10" t="s">
        <v>17273</v>
      </c>
      <c r="B15834" s="7" t="str">
        <f>IFERROR(__xludf.DUMMYFUNCTION("SPLIT(A15834,"" "")"),"CCN(Cc1ccccn1)Cc1cccc(-c2ccccc2N=Cc2ccccn2)n1")</f>
        <v>CCN(Cc1ccccn1)Cc1cccc(-c2ccccc2N=Cc2ccccn2)n1</v>
      </c>
      <c r="C15834" s="7">
        <f>IFERROR(__xludf.DUMMYFUNCTION("""COMPUTED_VALUE"""),7.7400017)</f>
        <v>7.7400017</v>
      </c>
      <c r="D15834" s="7">
        <f>IFERROR(__xludf.DUMMYFUNCTION("""COMPUTED_VALUE"""),0.444444444444444)</f>
        <v>0.4444444444</v>
      </c>
    </row>
    <row r="15835">
      <c r="A15835" s="10" t="s">
        <v>17274</v>
      </c>
      <c r="B15835" s="7" t="str">
        <f>IFERROR(__xludf.DUMMYFUNCTION("SPLIT(A15835,"" "")"),"CCOC(C)c1cccc(CN(Cc2ccccn2)Cc2cc(-c3ccccc3N=Cc3ccccn3)ccn2)n1")</f>
        <v>CCOC(C)c1cccc(CN(Cc2ccccn2)Cc2cc(-c3ccccc3N=Cc3ccccn3)ccn2)n1</v>
      </c>
      <c r="C15835" s="7">
        <f>IFERROR(__xludf.DUMMYFUNCTION("""COMPUTED_VALUE"""),7.7400007)</f>
        <v>7.7400007</v>
      </c>
      <c r="D15835" s="7">
        <f>IFERROR(__xludf.DUMMYFUNCTION("""COMPUTED_VALUE"""),0.36986301369863)</f>
        <v>0.3698630137</v>
      </c>
    </row>
    <row r="15836">
      <c r="A15836" s="10" t="s">
        <v>17275</v>
      </c>
      <c r="B15836" s="7" t="str">
        <f>IFERROR(__xludf.DUMMYFUNCTION("SPLIT(A15836,"" "")"),"COC(C)c1cccc(CN(Cc2ccccn2)Cc2ccc(-c3cccc(N=Cc4ccccn4)c3)cn2)n1")</f>
        <v>COC(C)c1cccc(CN(Cc2ccccn2)Cc2ccc(-c3cccc(N=Cc4ccccn4)c3)cn2)n1</v>
      </c>
      <c r="C15836" s="7">
        <f>IFERROR(__xludf.DUMMYFUNCTION("""COMPUTED_VALUE"""),7.7399974)</f>
        <v>7.7399974</v>
      </c>
      <c r="D15836" s="7">
        <f>IFERROR(__xludf.DUMMYFUNCTION("""COMPUTED_VALUE"""),0.408450704225352)</f>
        <v>0.4084507042</v>
      </c>
    </row>
    <row r="15837">
      <c r="A15837" s="10" t="s">
        <v>17276</v>
      </c>
      <c r="B15837" s="7" t="str">
        <f>IFERROR(__xludf.DUMMYFUNCTION("SPLIT(A15837,"" "")"),"Cc1ccc(-c2ccc(C)c(CNCc3ccccn3)c2NCc2ccccn2)c(NCc2ccccn2)c1")</f>
        <v>Cc1ccc(-c2ccc(C)c(CNCc3ccccn3)c2NCc2ccccn2)c(NCc2ccccn2)c1</v>
      </c>
      <c r="C15837" s="7">
        <f>IFERROR(__xludf.DUMMYFUNCTION("""COMPUTED_VALUE"""),7.739997)</f>
        <v>7.739997</v>
      </c>
      <c r="D15837" s="7">
        <f>IFERROR(__xludf.DUMMYFUNCTION("""COMPUTED_VALUE"""),0.395833333333333)</f>
        <v>0.3958333333</v>
      </c>
    </row>
    <row r="15838">
      <c r="A15838" s="10" t="s">
        <v>17277</v>
      </c>
      <c r="B15838" s="7" t="str">
        <f>IFERROR(__xludf.DUMMYFUNCTION("SPLIT(A15838,"" "")"),"Cc1ccc(NCc2ccccn2)cc1-c1ccc(CNC(C)C)nc1")</f>
        <v>Cc1ccc(NCc2ccccn2)cc1-c1ccc(CNC(C)C)nc1</v>
      </c>
      <c r="C15838" s="7">
        <f>IFERROR(__xludf.DUMMYFUNCTION("""COMPUTED_VALUE"""),7.7399955)</f>
        <v>7.7399955</v>
      </c>
      <c r="D15838" s="7">
        <f>IFERROR(__xludf.DUMMYFUNCTION("""COMPUTED_VALUE"""),0.354838709677419)</f>
        <v>0.3548387097</v>
      </c>
    </row>
    <row r="15839">
      <c r="A15839" s="10" t="s">
        <v>17278</v>
      </c>
      <c r="B15839" s="7" t="str">
        <f>IFERROR(__xludf.DUMMYFUNCTION("SPLIT(A15839,"" "")"),"CC(C)C(C)(c1cccnc1)N(Cc1ccccn1)C1CCCCC1N(C)c1ccc2nc(-c3ccc4ncccc4c3)ccc2c1")</f>
        <v>CC(C)C(C)(c1cccnc1)N(Cc1ccccn1)C1CCCCC1N(C)c1ccc2nc(-c3ccc4ncccc4c3)ccc2c1</v>
      </c>
      <c r="C15839" s="7">
        <f>IFERROR(__xludf.DUMMYFUNCTION("""COMPUTED_VALUE"""),7.739991)</f>
        <v>7.739991</v>
      </c>
      <c r="D15839" s="7">
        <f>IFERROR(__xludf.DUMMYFUNCTION("""COMPUTED_VALUE"""),0.356164383561643)</f>
        <v>0.3561643836</v>
      </c>
    </row>
    <row r="15840">
      <c r="A15840" s="10" t="s">
        <v>17279</v>
      </c>
      <c r="B15840" s="7" t="str">
        <f>IFERROR(__xludf.DUMMYFUNCTION("SPLIT(A15840,"" "")"),"CC(c1ccccn1)(c1ccccn1)c1cccc(CNc2cccnc2CF)n1")</f>
        <v>CC(c1ccccn1)(c1ccccn1)c1cccc(CNc2cccnc2CF)n1</v>
      </c>
      <c r="C15840" s="7">
        <f>IFERROR(__xludf.DUMMYFUNCTION("""COMPUTED_VALUE"""),7.7399774)</f>
        <v>7.7399774</v>
      </c>
      <c r="D15840" s="7">
        <f>IFERROR(__xludf.DUMMYFUNCTION("""COMPUTED_VALUE"""),0.454545454545454)</f>
        <v>0.4545454545</v>
      </c>
    </row>
    <row r="15841">
      <c r="A15841" s="10" t="s">
        <v>17280</v>
      </c>
      <c r="B15841" s="7" t="str">
        <f>IFERROR(__xludf.DUMMYFUNCTION("SPLIT(A15841,"" "")"),"CC(C)N(C)c1cccc2ncc(CN(C)C3CCCC(N(C)c4cccc5ncccc45)C3)cc12")</f>
        <v>CC(C)N(C)c1cccc2ncc(CN(C)C3CCCC(N(C)c4cccc5ncccc45)C3)cc12</v>
      </c>
      <c r="C15841" s="7">
        <f>IFERROR(__xludf.DUMMYFUNCTION("""COMPUTED_VALUE"""),7.739977)</f>
        <v>7.739977</v>
      </c>
      <c r="D15841" s="7">
        <f>IFERROR(__xludf.DUMMYFUNCTION("""COMPUTED_VALUE"""),0.298507462686567)</f>
        <v>0.2985074627</v>
      </c>
    </row>
    <row r="15842">
      <c r="A15842" s="10" t="s">
        <v>17281</v>
      </c>
      <c r="B15842" s="7" t="str">
        <f>IFERROR(__xludf.DUMMYFUNCTION("SPLIT(A15842,"" "")"),"CC(C)C(C)(c1ccccn1)c1cccc(CN(Cc2ccccn2)Cc2cccc(-c3cccc(N=Cc4ccccn4)c3)n2)n1")</f>
        <v>CC(C)C(C)(c1ccccn1)c1cccc(CN(Cc2ccccn2)Cc2cccc(-c3cccc(N=Cc4ccccn4)c3)n2)n1</v>
      </c>
      <c r="C15842" s="7">
        <f>IFERROR(__xludf.DUMMYFUNCTION("""COMPUTED_VALUE"""),7.73996)</f>
        <v>7.73996</v>
      </c>
      <c r="D15842" s="7">
        <f>IFERROR(__xludf.DUMMYFUNCTION("""COMPUTED_VALUE"""),0.470588235294117)</f>
        <v>0.4705882353</v>
      </c>
    </row>
    <row r="15843">
      <c r="A15843" s="10" t="s">
        <v>17282</v>
      </c>
      <c r="B15843" s="7" t="str">
        <f>IFERROR(__xludf.DUMMYFUNCTION("SPLIT(A15843,"" "")"),"Cc1cnc(CN(C)Cc2ccc(N(C)Cc3cc(C)c(C)c(C)n3)cn2)c(C)c1")</f>
        <v>Cc1cnc(CN(C)Cc2ccc(N(C)Cc3cc(C)c(C)c(C)n3)cn2)c(C)c1</v>
      </c>
      <c r="C15843" s="7">
        <f>IFERROR(__xludf.DUMMYFUNCTION("""COMPUTED_VALUE"""),7.7399573)</f>
        <v>7.7399573</v>
      </c>
      <c r="D15843" s="7">
        <f>IFERROR(__xludf.DUMMYFUNCTION("""COMPUTED_VALUE"""),0.392156862745098)</f>
        <v>0.3921568627</v>
      </c>
    </row>
    <row r="15844">
      <c r="A15844" s="10" t="s">
        <v>17283</v>
      </c>
      <c r="B15844" s="7" t="str">
        <f>IFERROR(__xludf.DUMMYFUNCTION("SPLIT(A15844,"" "")"),"Cc1cccc(-c2ccc(C(C)C)cn2)c1")</f>
        <v>Cc1cccc(-c2ccc(C(C)C)cn2)c1</v>
      </c>
      <c r="C15844" s="7">
        <f>IFERROR(__xludf.DUMMYFUNCTION("""COMPUTED_VALUE"""),7.7399516)</f>
        <v>7.7399516</v>
      </c>
      <c r="D15844" s="7">
        <f>IFERROR(__xludf.DUMMYFUNCTION("""COMPUTED_VALUE"""),0.242424242424242)</f>
        <v>0.2424242424</v>
      </c>
    </row>
    <row r="15845">
      <c r="A15845" s="10" t="s">
        <v>17284</v>
      </c>
      <c r="B15845" s="7" t="str">
        <f>IFERROR(__xludf.DUMMYFUNCTION("SPLIT(A15845,"" "")"),"Cc1ccc(CN(Cc2ccccn2)Cc2cccc(-c3ccccc3N(C)C)n2)nc1")</f>
        <v>Cc1ccc(CN(Cc2ccccn2)Cc2cccc(-c3ccccc3N(C)C)n2)nc1</v>
      </c>
      <c r="C15845" s="7">
        <f>IFERROR(__xludf.DUMMYFUNCTION("""COMPUTED_VALUE"""),7.7399483)</f>
        <v>7.7399483</v>
      </c>
      <c r="D15845" s="7">
        <f>IFERROR(__xludf.DUMMYFUNCTION("""COMPUTED_VALUE"""),0.490196078431372)</f>
        <v>0.4901960784</v>
      </c>
    </row>
    <row r="15846">
      <c r="A15846" s="10" t="s">
        <v>17285</v>
      </c>
      <c r="B15846" s="7" t="str">
        <f>IFERROR(__xludf.DUMMYFUNCTION("SPLIT(A15846,"" "")"),"CCN(Cc1ccccn1)Cc1cc(-c2cccc(N(C)Cc3ccccn3)c2C)ccn1")</f>
        <v>CCN(Cc1ccccn1)Cc1cc(-c2cccc(N(C)Cc3ccccn3)c2C)ccn1</v>
      </c>
      <c r="C15846" s="7">
        <f>IFERROR(__xludf.DUMMYFUNCTION("""COMPUTED_VALUE"""),7.739935)</f>
        <v>7.739935</v>
      </c>
      <c r="D15846" s="7">
        <f>IFERROR(__xludf.DUMMYFUNCTION("""COMPUTED_VALUE"""),0.48)</f>
        <v>0.48</v>
      </c>
    </row>
    <row r="15847">
      <c r="A15847" s="10" t="s">
        <v>17286</v>
      </c>
      <c r="B15847" s="7" t="str">
        <f>IFERROR(__xludf.DUMMYFUNCTION("SPLIT(A15847,"" "")"),"Cc1ccccc1CN(C)Cc1cccc(-c2ccccc2N(C)C)n1")</f>
        <v>Cc1ccccc1CN(C)Cc1cccc(-c2ccccc2N(C)C)n1</v>
      </c>
      <c r="C15847" s="7">
        <f>IFERROR(__xludf.DUMMYFUNCTION("""COMPUTED_VALUE"""),7.739931)</f>
        <v>7.739931</v>
      </c>
      <c r="D15847" s="7">
        <f>IFERROR(__xludf.DUMMYFUNCTION("""COMPUTED_VALUE"""),0.458333333333333)</f>
        <v>0.4583333333</v>
      </c>
    </row>
    <row r="15848">
      <c r="A15848" s="10" t="s">
        <v>17287</v>
      </c>
      <c r="B15848" s="7" t="str">
        <f>IFERROR(__xludf.DUMMYFUNCTION("SPLIT(A15848,"" "")"),"Cc1cncc(CN(CCN(C)c2ccc3nccc(C)c3c2)C(C)C)c1")</f>
        <v>Cc1cncc(CN(CCN(C)c2ccc3nccc(C)c3c2)C(C)C)c1</v>
      </c>
      <c r="C15848" s="7">
        <f>IFERROR(__xludf.DUMMYFUNCTION("""COMPUTED_VALUE"""),7.7399306)</f>
        <v>7.7399306</v>
      </c>
      <c r="D15848" s="7">
        <f>IFERROR(__xludf.DUMMYFUNCTION("""COMPUTED_VALUE"""),0.310344827586206)</f>
        <v>0.3103448276</v>
      </c>
    </row>
    <row r="15849">
      <c r="A15849" s="10" t="s">
        <v>17288</v>
      </c>
      <c r="B15849" s="7" t="str">
        <f>IFERROR(__xludf.DUMMYFUNCTION("SPLIT(A15849,"" "")"),"CN(CCN(C)c1cccc2ncccc12)Cc1ccccn1")</f>
        <v>CN(CCN(C)c1cccc2ncccc12)Cc1ccccn1</v>
      </c>
      <c r="C15849" s="7">
        <f>IFERROR(__xludf.DUMMYFUNCTION("""COMPUTED_VALUE"""),7.7399273)</f>
        <v>7.7399273</v>
      </c>
      <c r="D15849" s="7">
        <f>IFERROR(__xludf.DUMMYFUNCTION("""COMPUTED_VALUE"""),0.466666666666666)</f>
        <v>0.4666666667</v>
      </c>
    </row>
    <row r="15850">
      <c r="A15850" s="10" t="s">
        <v>17289</v>
      </c>
      <c r="B15850" s="7" t="str">
        <f>IFERROR(__xludf.DUMMYFUNCTION("SPLIT(A15850,"" "")"),"Cc1ccc2nccc(CN(C)C3CCCCC3N(C)c3ccc4nccc(CF)c4c3)c2c1")</f>
        <v>Cc1ccc2nccc(CN(C)C3CCCCC3N(C)c3ccc4nccc(CF)c4c3)c2c1</v>
      </c>
      <c r="C15850" s="7">
        <f>IFERROR(__xludf.DUMMYFUNCTION("""COMPUTED_VALUE"""),7.739918)</f>
        <v>7.739918</v>
      </c>
      <c r="D15850" s="7">
        <f>IFERROR(__xludf.DUMMYFUNCTION("""COMPUTED_VALUE"""),0.403508771929824)</f>
        <v>0.4035087719</v>
      </c>
    </row>
    <row r="15851">
      <c r="A15851" s="10" t="s">
        <v>17290</v>
      </c>
      <c r="B15851" s="7" t="str">
        <f>IFERROR(__xludf.DUMMYFUNCTION("SPLIT(A15851,"" "")"),"Cc1cnc(CN(C)c2ccccc2-c2cccc(CN(Cc3ccccn3)C3CCC(N(C)c4ccc5cc(CF)cnc5c4)CC3)n2)c(C)c1")</f>
        <v>Cc1cnc(CN(C)c2ccccc2-c2cccc(CN(Cc3ccccn3)C3CCC(N(C)c4ccc5cc(CF)cnc5c4)CC3)n2)c(C)c1</v>
      </c>
      <c r="C15851" s="7">
        <f>IFERROR(__xludf.DUMMYFUNCTION("""COMPUTED_VALUE"""),7.739911)</f>
        <v>7.739911</v>
      </c>
      <c r="D15851" s="7">
        <f>IFERROR(__xludf.DUMMYFUNCTION("""COMPUTED_VALUE"""),0.325)</f>
        <v>0.325</v>
      </c>
    </row>
    <row r="15852">
      <c r="A15852" s="10" t="s">
        <v>17291</v>
      </c>
      <c r="B15852" s="7" t="str">
        <f>IFERROR(__xludf.DUMMYFUNCTION("SPLIT(A15852,"" "")"),"Cc1ccc(N)cc1-c1ccc(CN(C)C2C=CC=CN2)cn1")</f>
        <v>Cc1ccc(N)cc1-c1ccc(CN(C)C2C=CC=CN2)cn1</v>
      </c>
      <c r="C15852" s="7">
        <f>IFERROR(__xludf.DUMMYFUNCTION("""COMPUTED_VALUE"""),7.7399077)</f>
        <v>7.7399077</v>
      </c>
      <c r="D15852" s="7">
        <f>IFERROR(__xludf.DUMMYFUNCTION("""COMPUTED_VALUE"""),0.257575757575757)</f>
        <v>0.2575757576</v>
      </c>
    </row>
    <row r="15853">
      <c r="A15853" s="10" t="s">
        <v>17292</v>
      </c>
      <c r="B15853" s="7" t="str">
        <f>IFERROR(__xludf.DUMMYFUNCTION("SPLIT(A15853,"" "")"),"Cc1cc(NCc2ccccn2)ccc1-c1cccnc1CN(C)C1CCC(N(C)c2ccc3c(CF)ccnc3c2)CC1")</f>
        <v>Cc1cc(NCc2ccccn2)ccc1-c1cccnc1CN(C)C1CCC(N(C)c2ccc3c(CF)ccnc3c2)CC1</v>
      </c>
      <c r="C15853" s="7">
        <f>IFERROR(__xludf.DUMMYFUNCTION("""COMPUTED_VALUE"""),7.739896)</f>
        <v>7.739896</v>
      </c>
      <c r="D15853" s="7">
        <f>IFERROR(__xludf.DUMMYFUNCTION("""COMPUTED_VALUE"""),0.282051282051282)</f>
        <v>0.2820512821</v>
      </c>
    </row>
    <row r="15854">
      <c r="A15854" s="10" t="s">
        <v>17293</v>
      </c>
      <c r="B15854" s="7" t="str">
        <f>IFERROR(__xludf.DUMMYFUNCTION("SPLIT(A15854,"" "")"),"Cc1cncc(CN(C)c2cccc(-c3cccc(CN(Cc4ccccn4)C(C)C)n3)c2)c1C")</f>
        <v>Cc1cncc(CN(C)c2cccc(-c3cccc(CN(Cc4ccccn4)C(C)C)n3)c2)c1C</v>
      </c>
      <c r="C15854" s="7">
        <f>IFERROR(__xludf.DUMMYFUNCTION("""COMPUTED_VALUE"""),7.7398906)</f>
        <v>7.7398906</v>
      </c>
      <c r="D15854" s="7">
        <f>IFERROR(__xludf.DUMMYFUNCTION("""COMPUTED_VALUE"""),0.432835820895522)</f>
        <v>0.4328358209</v>
      </c>
    </row>
    <row r="15855">
      <c r="A15855" s="10" t="s">
        <v>17294</v>
      </c>
      <c r="B15855" s="7" t="str">
        <f>IFERROR(__xludf.DUMMYFUNCTION("SPLIT(A15855,"" "")"),"CN(CCN(C)C1C=CC=CN1)c1ccc2ncccc2c1")</f>
        <v>CN(CCN(C)C1C=CC=CN1)c1ccc2ncccc2c1</v>
      </c>
      <c r="C15855" s="7">
        <f>IFERROR(__xludf.DUMMYFUNCTION("""COMPUTED_VALUE"""),7.7398787)</f>
        <v>7.7398787</v>
      </c>
      <c r="D15855" s="7">
        <f>IFERROR(__xludf.DUMMYFUNCTION("""COMPUTED_VALUE"""),0.339622641509433)</f>
        <v>0.3396226415</v>
      </c>
    </row>
    <row r="15856">
      <c r="A15856" s="10" t="s">
        <v>17295</v>
      </c>
      <c r="B15856" s="7" t="str">
        <f>IFERROR(__xludf.DUMMYFUNCTION("SPLIT(A15856,"" "")"),"Fc1ccccc1CN(Cc1ccccn1)Cc1cccc(-c2ccccc2N=Cc2ccccn2)n1")</f>
        <v>Fc1ccccc1CN(Cc1ccccn1)Cc1cccc(-c2ccccc2N=Cc2ccccn2)n1</v>
      </c>
      <c r="C15856" s="7">
        <f>IFERROR(__xludf.DUMMYFUNCTION("""COMPUTED_VALUE"""),7.7398753)</f>
        <v>7.7398753</v>
      </c>
      <c r="D15856" s="7">
        <f>IFERROR(__xludf.DUMMYFUNCTION("""COMPUTED_VALUE"""),0.490566037735849)</f>
        <v>0.4905660377</v>
      </c>
    </row>
    <row r="15857">
      <c r="A15857" s="10" t="s">
        <v>17296</v>
      </c>
      <c r="B15857" s="7" t="str">
        <f>IFERROR(__xludf.DUMMYFUNCTION("SPLIT(A15857,"" "")"),"CN(C)c1ccccc1-c1cccnc1CN(Cc1cccc(F)n1)C1CCC(N(C)c2cccc3nc(CF)ccc23)CC1")</f>
        <v>CN(C)c1ccccc1-c1cccnc1CN(Cc1cccc(F)n1)C1CCC(N(C)c2cccc3nc(CF)ccc23)CC1</v>
      </c>
      <c r="C15857" s="7">
        <f>IFERROR(__xludf.DUMMYFUNCTION("""COMPUTED_VALUE"""),7.739866)</f>
        <v>7.739866</v>
      </c>
      <c r="D15857" s="7">
        <f>IFERROR(__xludf.DUMMYFUNCTION("""COMPUTED_VALUE"""),0.311688311688311)</f>
        <v>0.3116883117</v>
      </c>
    </row>
    <row r="15858">
      <c r="A15858" s="10" t="s">
        <v>17297</v>
      </c>
      <c r="B15858" s="7" t="str">
        <f>IFERROR(__xludf.DUMMYFUNCTION("SPLIT(A15858,"" "")"),"CC(C)N(C)Cc1cc(-c2cccc(N(C)C)c2)ccn1")</f>
        <v>CC(C)N(C)Cc1cc(-c2cccc(N(C)C)c2)ccn1</v>
      </c>
      <c r="C15858" s="7">
        <f>IFERROR(__xludf.DUMMYFUNCTION("""COMPUTED_VALUE"""),7.739864)</f>
        <v>7.739864</v>
      </c>
      <c r="D15858" s="7">
        <f>IFERROR(__xludf.DUMMYFUNCTION("""COMPUTED_VALUE"""),0.340425531914893)</f>
        <v>0.3404255319</v>
      </c>
    </row>
    <row r="15859">
      <c r="A15859" s="10" t="s">
        <v>17298</v>
      </c>
      <c r="B15859" s="7" t="str">
        <f>IFERROR(__xludf.DUMMYFUNCTION("SPLIT(A15859,"" "")"),"CN(CCN(C)C1C=CC=CN1)c1ccc2cccnc2c1")</f>
        <v>CN(CCN(C)C1C=CC=CN1)c1ccc2cccnc2c1</v>
      </c>
      <c r="C15859" s="7">
        <f>IFERROR(__xludf.DUMMYFUNCTION("""COMPUTED_VALUE"""),7.7398624)</f>
        <v>7.7398624</v>
      </c>
      <c r="D15859" s="7">
        <f>IFERROR(__xludf.DUMMYFUNCTION("""COMPUTED_VALUE"""),0.333333333333333)</f>
        <v>0.3333333333</v>
      </c>
    </row>
    <row r="15860">
      <c r="A15860" s="10" t="s">
        <v>17299</v>
      </c>
      <c r="B15860" s="7" t="str">
        <f>IFERROR(__xludf.DUMMYFUNCTION("SPLIT(A15860,"" "")"),"CN(CCCN(C)c1ccc2nccc(CF)c2c1)Cc1ccon1")</f>
        <v>CN(CCCN(C)c1ccc2nccc(CF)c2c1)Cc1ccon1</v>
      </c>
      <c r="C15860" s="7">
        <f>IFERROR(__xludf.DUMMYFUNCTION("""COMPUTED_VALUE"""),7.739861)</f>
        <v>7.739861</v>
      </c>
      <c r="D15860" s="7">
        <f>IFERROR(__xludf.DUMMYFUNCTION("""COMPUTED_VALUE"""),0.479166666666666)</f>
        <v>0.4791666667</v>
      </c>
    </row>
    <row r="15861">
      <c r="A15861" s="10" t="s">
        <v>17300</v>
      </c>
      <c r="B15861" s="7" t="str">
        <f>IFERROR(__xludf.DUMMYFUNCTION("SPLIT(A15861,"" "")"),"CC1(C)COC(c2cccc(CN(Cc3ccccn3)Cc3cccc(C(C)(c4ccccn4)c4ccccn4)n3)n2)=N1")</f>
        <v>CC1(C)COC(c2cccc(CN(Cc3ccccn3)Cc3cccc(C(C)(c4ccccn4)c4ccccn4)n3)n2)=N1</v>
      </c>
      <c r="C15861" s="7">
        <f>IFERROR(__xludf.DUMMYFUNCTION("""COMPUTED_VALUE"""),7.7398586)</f>
        <v>7.7398586</v>
      </c>
      <c r="D15861" s="7">
        <f>IFERROR(__xludf.DUMMYFUNCTION("""COMPUTED_VALUE"""),0.471698113207547)</f>
        <v>0.4716981132</v>
      </c>
    </row>
    <row r="15862">
      <c r="A15862" s="10" t="s">
        <v>17301</v>
      </c>
      <c r="B15862" s="7" t="str">
        <f>IFERROR(__xludf.DUMMYFUNCTION("SPLIT(A15862,"" "")"),"CN(CCN(C)c1ccc2nccc(CF)c2c1)Cc1cccnc1")</f>
        <v>CN(CCN(C)c1ccc2nccc(CF)c2c1)Cc1cccnc1</v>
      </c>
      <c r="C15862" s="7">
        <f>IFERROR(__xludf.DUMMYFUNCTION("""COMPUTED_VALUE"""),7.7398562)</f>
        <v>7.7398562</v>
      </c>
      <c r="D15862" s="7">
        <f>IFERROR(__xludf.DUMMYFUNCTION("""COMPUTED_VALUE"""),0.309090909090909)</f>
        <v>0.3090909091</v>
      </c>
    </row>
    <row r="15863">
      <c r="A15863" s="10" t="s">
        <v>17302</v>
      </c>
      <c r="B15863" s="7" t="str">
        <f>IFERROR(__xludf.DUMMYFUNCTION("SPLIT(A15863,"" "")"),"C1=CC(CN(Cc2ccccn2)Cc2cc(-c3cccc(N=Cc4ccccn4)c3)ccn2)C=CN1")</f>
        <v>C1=CC(CN(Cc2ccccn2)Cc2cc(-c3cccc(N=Cc4ccccn4)c3)ccn2)C=CN1</v>
      </c>
      <c r="C15863" s="7">
        <f>IFERROR(__xludf.DUMMYFUNCTION("""COMPUTED_VALUE"""),7.7398505)</f>
        <v>7.7398505</v>
      </c>
      <c r="D15863" s="7">
        <f>IFERROR(__xludf.DUMMYFUNCTION("""COMPUTED_VALUE"""),0.363636363636363)</f>
        <v>0.3636363636</v>
      </c>
    </row>
    <row r="15864">
      <c r="A15864" s="10" t="s">
        <v>17303</v>
      </c>
      <c r="B15864" s="7" t="str">
        <f>IFERROR(__xludf.DUMMYFUNCTION("SPLIT(A15864,"" "")"),"Cc1cccnc1CNCCN(C)c1ccc2ncccc2c1")</f>
        <v>Cc1cccnc1CNCCN(C)c1ccc2ncccc2c1</v>
      </c>
      <c r="C15864" s="7">
        <f>IFERROR(__xludf.DUMMYFUNCTION("""COMPUTED_VALUE"""),7.739844)</f>
        <v>7.739844</v>
      </c>
      <c r="D15864" s="7">
        <f>IFERROR(__xludf.DUMMYFUNCTION("""COMPUTED_VALUE"""),0.326923076923076)</f>
        <v>0.3269230769</v>
      </c>
    </row>
    <row r="15865">
      <c r="A15865" s="10" t="s">
        <v>17304</v>
      </c>
      <c r="B15865" s="7" t="str">
        <f>IFERROR(__xludf.DUMMYFUNCTION("SPLIT(A15865,"" "")"),"Cc1ccc(CN(Cc2ccccn2)Cc2cc(-c3ccccc3N=Cc3ccccn3)ccn2)cc1")</f>
        <v>Cc1ccc(CN(Cc2ccccn2)Cc2cc(-c3ccccc3N=Cc3ccccn3)ccn2)cc1</v>
      </c>
      <c r="C15865" s="7">
        <f>IFERROR(__xludf.DUMMYFUNCTION("""COMPUTED_VALUE"""),7.7398257)</f>
        <v>7.7398257</v>
      </c>
      <c r="D15865" s="7">
        <f>IFERROR(__xludf.DUMMYFUNCTION("""COMPUTED_VALUE"""),0.406779661016949)</f>
        <v>0.406779661</v>
      </c>
    </row>
    <row r="15866">
      <c r="A15866" s="10" t="s">
        <v>17305</v>
      </c>
      <c r="B15866" s="7" t="str">
        <f>IFERROR(__xludf.DUMMYFUNCTION("SPLIT(A15866,"" "")"),"Cc1ccc(N(C)C)cc1NCc1ccccn1")</f>
        <v>Cc1ccc(N(C)C)cc1NCc1ccccn1</v>
      </c>
      <c r="C15866" s="7">
        <f>IFERROR(__xludf.DUMMYFUNCTION("""COMPUTED_VALUE"""),7.739822)</f>
        <v>7.739822</v>
      </c>
      <c r="D15866" s="7">
        <f>IFERROR(__xludf.DUMMYFUNCTION("""COMPUTED_VALUE"""),0.414634146341463)</f>
        <v>0.4146341463</v>
      </c>
    </row>
    <row r="15867">
      <c r="A15867" s="10" t="s">
        <v>17306</v>
      </c>
      <c r="B15867" s="7" t="str">
        <f>IFERROR(__xludf.DUMMYFUNCTION("SPLIT(A15867,"" "")"),"Cc1cccc(-c2cccc(CN(C)Cc3cc(N)ccn3)n2)c1C")</f>
        <v>Cc1cccc(-c2cccc(CN(C)Cc3cc(N)ccn3)n2)c1C</v>
      </c>
      <c r="C15867" s="7">
        <f>IFERROR(__xludf.DUMMYFUNCTION("""COMPUTED_VALUE"""),7.739815)</f>
        <v>7.739815</v>
      </c>
      <c r="D15867" s="7">
        <f>IFERROR(__xludf.DUMMYFUNCTION("""COMPUTED_VALUE"""),0.48)</f>
        <v>0.48</v>
      </c>
    </row>
    <row r="15868">
      <c r="A15868" s="10" t="s">
        <v>17307</v>
      </c>
      <c r="B15868" s="7" t="str">
        <f>IFERROR(__xludf.DUMMYFUNCTION("SPLIT(A15868,"" "")"),"CN(CN(Cc1ccccn1)C1CCC(N(C)c2cccc3ncccc23)CC1)c1cccc2ncccc12")</f>
        <v>CN(CN(Cc1ccccn1)C1CCC(N(C)c2cccc3ncccc23)CC1)c1cccc2ncccc12</v>
      </c>
      <c r="C15868" s="7">
        <f>IFERROR(__xludf.DUMMYFUNCTION("""COMPUTED_VALUE"""),7.739806)</f>
        <v>7.739806</v>
      </c>
      <c r="D15868" s="7">
        <f>IFERROR(__xludf.DUMMYFUNCTION("""COMPUTED_VALUE"""),0.392857142857142)</f>
        <v>0.3928571429</v>
      </c>
    </row>
    <row r="15869">
      <c r="A15869" s="10" t="s">
        <v>17308</v>
      </c>
      <c r="B15869" s="7" t="str">
        <f>IFERROR(__xludf.DUMMYFUNCTION("SPLIT(A15869,"" "")"),"CN(C1=CNC(CN(C)C(C)(C)C)=CC1)c1ccc2cccnc2c1")</f>
        <v>CN(C1=CNC(CN(C)C(C)(C)C)=CC1)c1ccc2cccnc2c1</v>
      </c>
      <c r="C15869" s="7">
        <f>IFERROR(__xludf.DUMMYFUNCTION("""COMPUTED_VALUE"""),7.739797)</f>
        <v>7.739797</v>
      </c>
      <c r="D15869" s="7">
        <f>IFERROR(__xludf.DUMMYFUNCTION("""COMPUTED_VALUE"""),0.278688524590163)</f>
        <v>0.2786885246</v>
      </c>
    </row>
    <row r="15870">
      <c r="A15870" s="10" t="s">
        <v>17309</v>
      </c>
      <c r="B15870" s="7" t="str">
        <f>IFERROR(__xludf.DUMMYFUNCTION("SPLIT(A15870,"" "")"),"Cc1ccccc1-c1ncccc1C(C)C")</f>
        <v>Cc1ccccc1-c1ncccc1C(C)C</v>
      </c>
      <c r="C15870" s="7">
        <f>IFERROR(__xludf.DUMMYFUNCTION("""COMPUTED_VALUE"""),7.739783)</f>
        <v>7.739783</v>
      </c>
      <c r="D15870" s="7">
        <f>IFERROR(__xludf.DUMMYFUNCTION("""COMPUTED_VALUE"""),0.282608695652173)</f>
        <v>0.2826086957</v>
      </c>
    </row>
    <row r="15871">
      <c r="A15871" s="10" t="s">
        <v>17310</v>
      </c>
      <c r="B15871" s="7" t="str">
        <f>IFERROR(__xludf.DUMMYFUNCTION("SPLIT(A15871,"" "")"),"Cc1cccnc1CN(C)CCN(C)c1cccc2cc(CF)cnc12")</f>
        <v>Cc1cccnc1CN(C)CCN(C)c1cccc2cc(CF)cnc12</v>
      </c>
      <c r="C15871" s="7">
        <f>IFERROR(__xludf.DUMMYFUNCTION("""COMPUTED_VALUE"""),7.7397795)</f>
        <v>7.7397795</v>
      </c>
      <c r="D15871" s="7">
        <f>IFERROR(__xludf.DUMMYFUNCTION("""COMPUTED_VALUE"""),0.490196078431372)</f>
        <v>0.4901960784</v>
      </c>
    </row>
    <row r="15872">
      <c r="A15872" s="10" t="s">
        <v>17311</v>
      </c>
      <c r="B15872" s="7" t="str">
        <f>IFERROR(__xludf.DUMMYFUNCTION("SPLIT(A15872,"" "")"),"Cc1cccc(CN(Cc2ccccn2)Cc2ncccc2-c2cccc(N=Cc3ccccn3)c2)c1")</f>
        <v>Cc1cccc(CN(Cc2ccccn2)Cc2ncccc2-c2cccc(N=Cc3ccccn3)c2)c1</v>
      </c>
      <c r="C15872" s="7">
        <f>IFERROR(__xludf.DUMMYFUNCTION("""COMPUTED_VALUE"""),7.739779)</f>
        <v>7.739779</v>
      </c>
      <c r="D15872" s="7">
        <f>IFERROR(__xludf.DUMMYFUNCTION("""COMPUTED_VALUE"""),0.350877192982456)</f>
        <v>0.350877193</v>
      </c>
    </row>
    <row r="15873">
      <c r="A15873" s="10" t="s">
        <v>17312</v>
      </c>
      <c r="B15873" s="7" t="str">
        <f>IFERROR(__xludf.DUMMYFUNCTION("SPLIT(A15873,"" "")"),"CN(CCN(C)c1cccc2ncc(CF)cc12)Cc1ncccc1F")</f>
        <v>CN(CCN(C)c1cccc2ncc(CF)cc12)Cc1ncccc1F</v>
      </c>
      <c r="C15873" s="7">
        <f>IFERROR(__xludf.DUMMYFUNCTION("""COMPUTED_VALUE"""),7.7397647)</f>
        <v>7.7397647</v>
      </c>
      <c r="D15873" s="7">
        <f>IFERROR(__xludf.DUMMYFUNCTION("""COMPUTED_VALUE"""),0.381818181818181)</f>
        <v>0.3818181818</v>
      </c>
    </row>
    <row r="15874">
      <c r="A15874" s="10" t="s">
        <v>17313</v>
      </c>
      <c r="B15874" s="7" t="str">
        <f>IFERROR(__xludf.DUMMYFUNCTION("SPLIT(A15874,"" "")"),"CN(Cc1ccccn1)c1ccccc1-c1cccnc1CN(C)C(C)(C)c1cccnc1")</f>
        <v>CN(Cc1ccccn1)c1ccccc1-c1cccnc1CN(C)C(C)(C)c1cccnc1</v>
      </c>
      <c r="C15874" s="7">
        <f>IFERROR(__xludf.DUMMYFUNCTION("""COMPUTED_VALUE"""),7.7397623)</f>
        <v>7.7397623</v>
      </c>
      <c r="D15874" s="7">
        <f>IFERROR(__xludf.DUMMYFUNCTION("""COMPUTED_VALUE"""),0.425925925925925)</f>
        <v>0.4259259259</v>
      </c>
    </row>
    <row r="15875">
      <c r="A15875" s="10" t="s">
        <v>17314</v>
      </c>
      <c r="B15875" s="7" t="str">
        <f>IFERROR(__xludf.DUMMYFUNCTION("SPLIT(A15875,"" "")"),"CN(C)Cc1cccc(-c2ccccc2N)n1")</f>
        <v>CN(C)Cc1cccc(-c2ccccc2N)n1</v>
      </c>
      <c r="C15875" s="7">
        <f>IFERROR(__xludf.DUMMYFUNCTION("""COMPUTED_VALUE"""),7.7397585)</f>
        <v>7.7397585</v>
      </c>
      <c r="D15875" s="7">
        <f>IFERROR(__xludf.DUMMYFUNCTION("""COMPUTED_VALUE"""),0.441860465116279)</f>
        <v>0.4418604651</v>
      </c>
    </row>
    <row r="15876">
      <c r="A15876" s="10" t="s">
        <v>17315</v>
      </c>
      <c r="B15876" s="7" t="str">
        <f>IFERROR(__xludf.DUMMYFUNCTION("SPLIT(A15876,"" "")"),"CN(C)c1ccnc(CN(Cc2ccccn2)c2ccc(F)cc2)c1")</f>
        <v>CN(C)c1ccnc(CN(Cc2ccccn2)c2ccc(F)cc2)c1</v>
      </c>
      <c r="C15876" s="7">
        <f>IFERROR(__xludf.DUMMYFUNCTION("""COMPUTED_VALUE"""),7.739747)</f>
        <v>7.739747</v>
      </c>
      <c r="D15876" s="7">
        <f>IFERROR(__xludf.DUMMYFUNCTION("""COMPUTED_VALUE"""),0.425531914893617)</f>
        <v>0.4255319149</v>
      </c>
    </row>
    <row r="15877">
      <c r="A15877" s="10" t="s">
        <v>17316</v>
      </c>
      <c r="B15877" s="7" t="str">
        <f>IFERROR(__xludf.DUMMYFUNCTION("SPLIT(A15877,"" "")"),"Cc1ccc(N(C)Cc2ccc(C(C)(C)C)cn2)c(C)c1C")</f>
        <v>Cc1ccc(N(C)Cc2ccc(C(C)(C)C)cn2)c(C)c1C</v>
      </c>
      <c r="C15877" s="7">
        <f>IFERROR(__xludf.DUMMYFUNCTION("""COMPUTED_VALUE"""),7.739746)</f>
        <v>7.739746</v>
      </c>
      <c r="D15877" s="7">
        <f>IFERROR(__xludf.DUMMYFUNCTION("""COMPUTED_VALUE"""),0.355555555555555)</f>
        <v>0.3555555556</v>
      </c>
    </row>
    <row r="15878">
      <c r="A15878" s="10" t="s">
        <v>17317</v>
      </c>
      <c r="B15878" s="7" t="str">
        <f>IFERROR(__xludf.DUMMYFUNCTION("SPLIT(A15878,"" "")"),"Cc1ccc(NCc2ccccn2)cc1-c1cccnc1CN(C)C1CCC(N(C)c2ccc3nccc(CN(C)C)c3c2)CC1")</f>
        <v>Cc1ccc(NCc2ccccn2)cc1-c1cccnc1CN(C)C1CCC(N(C)c2ccc3nccc(CN(C)C)c3c2)CC1</v>
      </c>
      <c r="C15878" s="7">
        <f>IFERROR(__xludf.DUMMYFUNCTION("""COMPUTED_VALUE"""),7.739743)</f>
        <v>7.739743</v>
      </c>
      <c r="D15878" s="7">
        <f>IFERROR(__xludf.DUMMYFUNCTION("""COMPUTED_VALUE"""),0.282051282051282)</f>
        <v>0.2820512821</v>
      </c>
    </row>
    <row r="15879">
      <c r="A15879" s="10" t="s">
        <v>17318</v>
      </c>
      <c r="B15879" s="7" t="str">
        <f>IFERROR(__xludf.DUMMYFUNCTION("SPLIT(A15879,"" "")"),"CCNCc1cc(-c2cc(C(C)(C)c3ccccn3)ccn2)ccn1")</f>
        <v>CCNCc1cc(-c2cc(C(C)(C)c3ccccn3)ccn2)ccn1</v>
      </c>
      <c r="C15879" s="7">
        <f>IFERROR(__xludf.DUMMYFUNCTION("""COMPUTED_VALUE"""),7.739742)</f>
        <v>7.739742</v>
      </c>
      <c r="D15879" s="7">
        <f>IFERROR(__xludf.DUMMYFUNCTION("""COMPUTED_VALUE"""),0.35)</f>
        <v>0.35</v>
      </c>
    </row>
    <row r="15880">
      <c r="A15880" s="10" t="s">
        <v>17319</v>
      </c>
      <c r="B15880" s="7" t="str">
        <f>IFERROR(__xludf.DUMMYFUNCTION("SPLIT(A15880,"" "")"),"CC1C=CC(C)C(C)(c2ncccc2CN(Cc2ccccn2)C2CCC(N(C)c3ccc4c(-c5ccc6cccnc6c5)ccnc4c3)CC2)C1")</f>
        <v>CC1C=CC(C)C(C)(c2ncccc2CN(Cc2ccccn2)C2CCC(N(C)c3ccc4c(-c5ccc6cccnc6c5)ccnc4c3)CC2)C1</v>
      </c>
      <c r="C15880" s="7">
        <f>IFERROR(__xludf.DUMMYFUNCTION("""COMPUTED_VALUE"""),7.7397413)</f>
        <v>7.7397413</v>
      </c>
      <c r="D15880" s="7">
        <f>IFERROR(__xludf.DUMMYFUNCTION("""COMPUTED_VALUE"""),0.273809523809523)</f>
        <v>0.2738095238</v>
      </c>
    </row>
    <row r="15881">
      <c r="A15881" s="10" t="s">
        <v>17320</v>
      </c>
      <c r="B15881" s="7" t="str">
        <f>IFERROR(__xludf.DUMMYFUNCTION("SPLIT(A15881,"" "")"),"FCNc1cccc(-c2ncccc2C(NCc2ccccn2)c2ccccn2)n1")</f>
        <v>FCNc1cccc(-c2ncccc2C(NCc2ccccn2)c2ccccn2)n1</v>
      </c>
      <c r="C15881" s="7">
        <f>IFERROR(__xludf.DUMMYFUNCTION("""COMPUTED_VALUE"""),7.7397404)</f>
        <v>7.7397404</v>
      </c>
      <c r="D15881" s="7">
        <f>IFERROR(__xludf.DUMMYFUNCTION("""COMPUTED_VALUE"""),0.333333333333333)</f>
        <v>0.3333333333</v>
      </c>
    </row>
    <row r="15882">
      <c r="A15882" s="10" t="s">
        <v>17321</v>
      </c>
      <c r="B15882" s="7" t="str">
        <f>IFERROR(__xludf.DUMMYFUNCTION("SPLIT(A15882,"" "")"),"CCN(C)CCN(C)c1ccc2c(C)ccnc2c1")</f>
        <v>CCN(C)CCN(C)c1ccc2c(C)ccnc2c1</v>
      </c>
      <c r="C15882" s="7">
        <f>IFERROR(__xludf.DUMMYFUNCTION("""COMPUTED_VALUE"""),7.739723)</f>
        <v>7.739723</v>
      </c>
      <c r="D15882" s="7">
        <f>IFERROR(__xludf.DUMMYFUNCTION("""COMPUTED_VALUE"""),0.270833333333333)</f>
        <v>0.2708333333</v>
      </c>
    </row>
    <row r="15883">
      <c r="A15883" s="10" t="s">
        <v>17322</v>
      </c>
      <c r="B15883" s="7" t="str">
        <f>IFERROR(__xludf.DUMMYFUNCTION("SPLIT(A15883,"" "")"),"CCN(Cc1ccccn1)Cc1ccc(-c2cccc(N=Cc3ccccn3)c2)cn1")</f>
        <v>CCN(Cc1ccccn1)Cc1ccc(-c2cccc(N=Cc3ccccn3)c2)cn1</v>
      </c>
      <c r="C15883" s="7">
        <f>IFERROR(__xludf.DUMMYFUNCTION("""COMPUTED_VALUE"""),7.7397194)</f>
        <v>7.7397194</v>
      </c>
      <c r="D15883" s="7">
        <f>IFERROR(__xludf.DUMMYFUNCTION("""COMPUTED_VALUE"""),0.38)</f>
        <v>0.38</v>
      </c>
    </row>
    <row r="15884">
      <c r="A15884" s="10" t="s">
        <v>17323</v>
      </c>
      <c r="B15884" s="7" t="str">
        <f>IFERROR(__xludf.DUMMYFUNCTION("SPLIT(A15884,"" "")"),"CC1(C)COC(c2ncccc2CN(Cc2ccccn2)Cc2cccc(C(C)(c3ccccn3)c3ccccn3)n2)=N1")</f>
        <v>CC1(C)COC(c2ncccc2CN(Cc2ccccn2)Cc2cccc(C(C)(c3ccccn3)c3ccccn3)n2)=N1</v>
      </c>
      <c r="C15884" s="7">
        <f>IFERROR(__xludf.DUMMYFUNCTION("""COMPUTED_VALUE"""),7.739717)</f>
        <v>7.739717</v>
      </c>
      <c r="D15884" s="7">
        <f>IFERROR(__xludf.DUMMYFUNCTION("""COMPUTED_VALUE"""),0.378787878787878)</f>
        <v>0.3787878788</v>
      </c>
    </row>
    <row r="15885">
      <c r="A15885" s="10" t="s">
        <v>17324</v>
      </c>
      <c r="B15885" s="7" t="str">
        <f>IFERROR(__xludf.DUMMYFUNCTION("SPLIT(A15885,"" "")"),"CN(Cc1cccc(-c2cccc(Cl)c2N)n1)CC1C=CNC=C1N(C)Cc1ccccn1")</f>
        <v>CN(Cc1cccc(-c2cccc(Cl)c2N)n1)CC1C=CNC=C1N(C)Cc1ccccn1</v>
      </c>
      <c r="C15885" s="7">
        <f>IFERROR(__xludf.DUMMYFUNCTION("""COMPUTED_VALUE"""),7.7397084)</f>
        <v>7.7397084</v>
      </c>
      <c r="D15885" s="7">
        <f>IFERROR(__xludf.DUMMYFUNCTION("""COMPUTED_VALUE"""),0.421875)</f>
        <v>0.421875</v>
      </c>
    </row>
    <row r="15886">
      <c r="A15886" s="10" t="s">
        <v>17325</v>
      </c>
      <c r="B15886" s="7" t="str">
        <f>IFERROR(__xludf.DUMMYFUNCTION("SPLIT(A15886,"" "")"),"CCCN(C)Cc1ncccc1-c1ccc(N=Cc2ccccn2)cc1")</f>
        <v>CCCN(C)Cc1ncccc1-c1ccc(N=Cc2ccccn2)cc1</v>
      </c>
      <c r="C15886" s="7">
        <f>IFERROR(__xludf.DUMMYFUNCTION("""COMPUTED_VALUE"""),7.739703)</f>
        <v>7.739703</v>
      </c>
      <c r="D15886" s="7">
        <f>IFERROR(__xludf.DUMMYFUNCTION("""COMPUTED_VALUE"""),0.350877192982456)</f>
        <v>0.350877193</v>
      </c>
    </row>
    <row r="15887">
      <c r="A15887" s="10" t="s">
        <v>17326</v>
      </c>
      <c r="B15887" s="7" t="str">
        <f>IFERROR(__xludf.DUMMYFUNCTION("SPLIT(A15887,"" "")"),"CC(C)CN(C)Cc1ncccc1-c1cccc(N(C)C)c1")</f>
        <v>CC(C)CN(C)Cc1ncccc1-c1cccc(N(C)C)c1</v>
      </c>
      <c r="C15887" s="7">
        <f>IFERROR(__xludf.DUMMYFUNCTION("""COMPUTED_VALUE"""),7.7397027)</f>
        <v>7.7397027</v>
      </c>
      <c r="D15887" s="7">
        <f>IFERROR(__xludf.DUMMYFUNCTION("""COMPUTED_VALUE"""),0.30188679245283)</f>
        <v>0.3018867925</v>
      </c>
    </row>
    <row r="15888">
      <c r="A15888" s="10" t="s">
        <v>17327</v>
      </c>
      <c r="B15888" s="7" t="str">
        <f>IFERROR(__xludf.DUMMYFUNCTION("SPLIT(A15888,"" "")"),"Cc1ccccc1CN(C)Cc1cccc(-c2cccc(N(C)C)c2)n1")</f>
        <v>Cc1ccccc1CN(C)Cc1cccc(-c2cccc(N(C)C)c2)n1</v>
      </c>
      <c r="C15888" s="7">
        <f>IFERROR(__xludf.DUMMYFUNCTION("""COMPUTED_VALUE"""),7.7397027)</f>
        <v>7.7397027</v>
      </c>
      <c r="D15888" s="7">
        <f>IFERROR(__xludf.DUMMYFUNCTION("""COMPUTED_VALUE"""),0.44)</f>
        <v>0.44</v>
      </c>
    </row>
    <row r="15889">
      <c r="A15889" s="10" t="s">
        <v>17328</v>
      </c>
      <c r="B15889" s="7" t="str">
        <f>IFERROR(__xludf.DUMMYFUNCTION("SPLIT(A15889,"" "")"),"Cc1ccc2nc(CN(C)C3CCC(N(C)c4ccc5nccc(CN(C)C)c5c4)CC3)ccc2c1")</f>
        <v>Cc1ccc2nc(CN(C)C3CCC(N(C)c4ccc5nccc(CN(C)C)c5c4)CC3)ccc2c1</v>
      </c>
      <c r="C15889" s="7">
        <f>IFERROR(__xludf.DUMMYFUNCTION("""COMPUTED_VALUE"""),7.7396975)</f>
        <v>7.7396975</v>
      </c>
      <c r="D15889" s="7">
        <f>IFERROR(__xludf.DUMMYFUNCTION("""COMPUTED_VALUE"""),0.3125)</f>
        <v>0.3125</v>
      </c>
    </row>
    <row r="15890">
      <c r="A15890" s="10" t="s">
        <v>17329</v>
      </c>
      <c r="B15890" s="7" t="str">
        <f>IFERROR(__xludf.DUMMYFUNCTION("SPLIT(A15890,"" "")"),"CC(c1cccc(CN(C)c2c(CCl)c(Cl)c(CCl)c(CCl)c2N(C)Cc2ccccn2)c1)N(Cc1ccccn1)Cc1ccccn1")</f>
        <v>CC(c1cccc(CN(C)c2c(CCl)c(Cl)c(CCl)c(CCl)c2N(C)Cc2ccccn2)c1)N(Cc1ccccn1)Cc1ccccn1</v>
      </c>
      <c r="C15890" s="7">
        <f>IFERROR(__xludf.DUMMYFUNCTION("""COMPUTED_VALUE"""),7.739696)</f>
        <v>7.739696</v>
      </c>
      <c r="D15890" s="7">
        <f>IFERROR(__xludf.DUMMYFUNCTION("""COMPUTED_VALUE"""),0.421052631578947)</f>
        <v>0.4210526316</v>
      </c>
    </row>
    <row r="15891">
      <c r="A15891" s="10" t="s">
        <v>17330</v>
      </c>
      <c r="B15891" s="7" t="str">
        <f>IFERROR(__xludf.DUMMYFUNCTION("SPLIT(A15891,"" "")"),"CC(C)N(C)CC1=C(N(C)c2ccc3ccc(CF)nc3c2)CC=CN1")</f>
        <v>CC(C)N(C)CC1=C(N(C)c2ccc3ccc(CF)nc3c2)CC=CN1</v>
      </c>
      <c r="C15891" s="7">
        <f>IFERROR(__xludf.DUMMYFUNCTION("""COMPUTED_VALUE"""),7.739691)</f>
        <v>7.739691</v>
      </c>
      <c r="D15891" s="7">
        <f>IFERROR(__xludf.DUMMYFUNCTION("""COMPUTED_VALUE"""),0.26865671641791)</f>
        <v>0.2686567164</v>
      </c>
    </row>
    <row r="15892">
      <c r="A15892" s="10" t="s">
        <v>17331</v>
      </c>
      <c r="B15892" s="7" t="str">
        <f>IFERROR(__xludf.DUMMYFUNCTION("SPLIT(A15892,"" "")"),"Cc1ccc(N(C)CC2=CCC(N(C)Cc3nccc(C)c3C)=CN2)cc1C")</f>
        <v>Cc1ccc(N(C)CC2=CCC(N(C)Cc3nccc(C)c3C)=CN2)cc1C</v>
      </c>
      <c r="C15892" s="7">
        <f>IFERROR(__xludf.DUMMYFUNCTION("""COMPUTED_VALUE"""),7.7396846)</f>
        <v>7.7396846</v>
      </c>
      <c r="D15892" s="7">
        <f>IFERROR(__xludf.DUMMYFUNCTION("""COMPUTED_VALUE"""),0.220588235294117)</f>
        <v>0.2205882353</v>
      </c>
    </row>
    <row r="15893">
      <c r="A15893" s="10" t="s">
        <v>17332</v>
      </c>
      <c r="B15893" s="7" t="str">
        <f>IFERROR(__xludf.DUMMYFUNCTION("SPLIT(A15893,"" "")"),"CCC(C)(c1ccccn1)c1cccc(CN(Cc2ccccn2)Cc2cccc(-c3cccc(N=Cc4ccccn4)c3)n2)n1")</f>
        <v>CCC(C)(c1ccccn1)c1cccc(CN(Cc2ccccn2)Cc2cccc(-c3cccc(N=Cc4ccccn4)c3)n2)n1</v>
      </c>
      <c r="C15893" s="7">
        <f>IFERROR(__xludf.DUMMYFUNCTION("""COMPUTED_VALUE"""),7.7396784)</f>
        <v>7.7396784</v>
      </c>
      <c r="D15893" s="7">
        <f>IFERROR(__xludf.DUMMYFUNCTION("""COMPUTED_VALUE"""),0.477611940298507)</f>
        <v>0.4776119403</v>
      </c>
    </row>
    <row r="15894">
      <c r="A15894" s="10" t="s">
        <v>17333</v>
      </c>
      <c r="B15894" s="7" t="str">
        <f>IFERROR(__xludf.DUMMYFUNCTION("SPLIT(A15894,"" "")"),"CN(C)c1ccnc(CN(Cc2ccccn2)c2ccccc2F)c1")</f>
        <v>CN(C)c1ccnc(CN(Cc2ccccn2)c2ccccc2F)c1</v>
      </c>
      <c r="C15894" s="7">
        <f>IFERROR(__xludf.DUMMYFUNCTION("""COMPUTED_VALUE"""),7.7396607)</f>
        <v>7.7396607</v>
      </c>
      <c r="D15894" s="7">
        <f>IFERROR(__xludf.DUMMYFUNCTION("""COMPUTED_VALUE"""),0.446808510638297)</f>
        <v>0.4468085106</v>
      </c>
    </row>
    <row r="15895">
      <c r="A15895" s="10" t="s">
        <v>17334</v>
      </c>
      <c r="B15895" s="7" t="str">
        <f>IFERROR(__xludf.DUMMYFUNCTION("SPLIT(A15895,"" "")"),"CNC1=C(c2cccc(CN(C)C3CCC(N(C)c4ccc5ncccc5c4)CC3)n2)CCC(c2ccccc2)=C1c1ccccc1")</f>
        <v>CNC1=C(c2cccc(CN(C)C3CCC(N(C)c4ccc5ncccc5c4)CC3)n2)CCC(c2ccccc2)=C1c1ccccc1</v>
      </c>
      <c r="C15895" s="7">
        <f>IFERROR(__xludf.DUMMYFUNCTION("""COMPUTED_VALUE"""),7.7396517)</f>
        <v>7.7396517</v>
      </c>
      <c r="D15895" s="7">
        <f>IFERROR(__xludf.DUMMYFUNCTION("""COMPUTED_VALUE"""),0.301369863013698)</f>
        <v>0.301369863</v>
      </c>
    </row>
    <row r="15896">
      <c r="A15896" s="10" t="s">
        <v>17335</v>
      </c>
      <c r="B15896" s="7" t="str">
        <f>IFERROR(__xludf.DUMMYFUNCTION("SPLIT(A15896,"" "")"),"CC(C)(C)c1cccc(NCc2ccc(-c3cccc(NCc4ccccn4)c3)cn2)c1")</f>
        <v>CC(C)(C)c1cccc(NCc2ccc(-c3cccc(NCc4ccccn4)c3)cn2)c1</v>
      </c>
      <c r="C15896" s="7">
        <f>IFERROR(__xludf.DUMMYFUNCTION("""COMPUTED_VALUE"""),7.739648)</f>
        <v>7.739648</v>
      </c>
      <c r="D15896" s="7">
        <f>IFERROR(__xludf.DUMMYFUNCTION("""COMPUTED_VALUE"""),0.366666666666666)</f>
        <v>0.3666666667</v>
      </c>
    </row>
    <row r="15897">
      <c r="A15897" s="10" t="s">
        <v>17336</v>
      </c>
      <c r="B15897" s="7" t="str">
        <f>IFERROR(__xludf.DUMMYFUNCTION("SPLIT(A15897,"" "")"),"Cc1cnc(CN(C)Cc2cc(-c3cccc(N(C)C(C)C)c3)ccn2)c(C)c1")</f>
        <v>Cc1cnc(CN(C)Cc2cc(-c3cccc(N(C)C(C)C)c3)ccn2)c(C)c1</v>
      </c>
      <c r="C15897" s="7">
        <f>IFERROR(__xludf.DUMMYFUNCTION("""COMPUTED_VALUE"""),7.739644)</f>
        <v>7.739644</v>
      </c>
      <c r="D15897" s="7">
        <f>IFERROR(__xludf.DUMMYFUNCTION("""COMPUTED_VALUE"""),0.327272727272727)</f>
        <v>0.3272727273</v>
      </c>
    </row>
    <row r="15898">
      <c r="A15898" s="10" t="s">
        <v>17337</v>
      </c>
      <c r="B15898" s="7" t="str">
        <f>IFERROR(__xludf.DUMMYFUNCTION("SPLIT(A15898,"" "")"),"CN(CCN(C)c1cccc2nccc(CF)c12)Cc1cccnc1")</f>
        <v>CN(CCN(C)c1cccc2nccc(CF)c12)Cc1cccnc1</v>
      </c>
      <c r="C15898" s="7">
        <f>IFERROR(__xludf.DUMMYFUNCTION("""COMPUTED_VALUE"""),7.7396407)</f>
        <v>7.7396407</v>
      </c>
      <c r="D15898" s="7">
        <f>IFERROR(__xludf.DUMMYFUNCTION("""COMPUTED_VALUE"""),0.345454545454545)</f>
        <v>0.3454545455</v>
      </c>
    </row>
    <row r="15899">
      <c r="A15899" s="10" t="s">
        <v>17338</v>
      </c>
      <c r="B15899" s="7" t="str">
        <f>IFERROR(__xludf.DUMMYFUNCTION("SPLIT(A15899,"" "")"),"CC(C)N(Cc1ccccn1)Cc1cccc(-c2cccc(N=Cc3ccccn3)c2)n1")</f>
        <v>CC(C)N(Cc1ccccn1)Cc1cccc(-c2cccc(N=Cc3ccccn3)c2)n1</v>
      </c>
      <c r="C15899" s="7">
        <f>IFERROR(__xludf.DUMMYFUNCTION("""COMPUTED_VALUE"""),7.7396374)</f>
        <v>7.7396374</v>
      </c>
      <c r="D15899" s="7">
        <f>IFERROR(__xludf.DUMMYFUNCTION("""COMPUTED_VALUE"""),0.483333333333333)</f>
        <v>0.4833333333</v>
      </c>
    </row>
    <row r="15900">
      <c r="A15900" s="10" t="s">
        <v>17339</v>
      </c>
      <c r="B15900" s="7" t="str">
        <f>IFERROR(__xludf.DUMMYFUNCTION("SPLIT(A15900,"" "")"),"Cc1ccccc1CN(C)Cc1ccc(-c2ccccc2N(C)C)cn1")</f>
        <v>Cc1ccccc1CN(C)Cc1ccc(-c2ccccc2N(C)C)cn1</v>
      </c>
      <c r="C15900" s="7">
        <f>IFERROR(__xludf.DUMMYFUNCTION("""COMPUTED_VALUE"""),7.739634)</f>
        <v>7.739634</v>
      </c>
      <c r="D15900" s="7">
        <f>IFERROR(__xludf.DUMMYFUNCTION("""COMPUTED_VALUE"""),0.382978723404255)</f>
        <v>0.3829787234</v>
      </c>
    </row>
    <row r="15901">
      <c r="A15901" s="10" t="s">
        <v>17340</v>
      </c>
      <c r="B15901" s="7" t="str">
        <f>IFERROR(__xludf.DUMMYFUNCTION("SPLIT(A15901,"" "")"),"Cc1ccc(N(C)Cc2ncccc2C)c(C)c1")</f>
        <v>Cc1ccc(N(C)Cc2ncccc2C)c(C)c1</v>
      </c>
      <c r="C15901" s="7">
        <f>IFERROR(__xludf.DUMMYFUNCTION("""COMPUTED_VALUE"""),7.7396326)</f>
        <v>7.7396326</v>
      </c>
      <c r="D15901" s="7">
        <f>IFERROR(__xludf.DUMMYFUNCTION("""COMPUTED_VALUE"""),0.377777777777777)</f>
        <v>0.3777777778</v>
      </c>
    </row>
    <row r="15902">
      <c r="A15902" s="10" t="s">
        <v>17341</v>
      </c>
      <c r="B15902" s="7" t="str">
        <f>IFERROR(__xludf.DUMMYFUNCTION("SPLIT(A15902,"" "")"),"Cc1cncc(CN(C)c2ccccc2-c2cccnc2CN(Cc2ccccn2)Cc2ncccc2C(C)(C)C)c1")</f>
        <v>Cc1cncc(CN(C)c2ccccc2-c2cccnc2CN(Cc2ccccn2)Cc2ncccc2C(C)(C)C)c1</v>
      </c>
      <c r="C15902" s="7">
        <f>IFERROR(__xludf.DUMMYFUNCTION("""COMPUTED_VALUE"""),7.7396297)</f>
        <v>7.7396297</v>
      </c>
      <c r="D15902" s="7">
        <f>IFERROR(__xludf.DUMMYFUNCTION("""COMPUTED_VALUE"""),0.365079365079365)</f>
        <v>0.3650793651</v>
      </c>
    </row>
    <row r="15903">
      <c r="A15903" s="10" t="s">
        <v>17342</v>
      </c>
      <c r="B15903" s="7" t="str">
        <f>IFERROR(__xludf.DUMMYFUNCTION("SPLIT(A15903,"" "")"),"CCN(Cc1ccccn1)Cc1nccc2cccc(N(C)Cc3cccc(C4CC(C)(C)C4)n3)c12")</f>
        <v>CCN(Cc1ccccn1)Cc1nccc2cccc(N(C)Cc3cccc(C4CC(C)(C)C4)n3)c12</v>
      </c>
      <c r="C15903" s="7">
        <f>IFERROR(__xludf.DUMMYFUNCTION("""COMPUTED_VALUE"""),7.7396255)</f>
        <v>7.7396255</v>
      </c>
      <c r="D15903" s="7">
        <f>IFERROR(__xludf.DUMMYFUNCTION("""COMPUTED_VALUE"""),0.359375)</f>
        <v>0.359375</v>
      </c>
    </row>
    <row r="15904">
      <c r="A15904" s="10" t="s">
        <v>17343</v>
      </c>
      <c r="B15904" s="7" t="str">
        <f>IFERROR(__xludf.DUMMYFUNCTION("SPLIT(A15904,"" "")"),"CCOC(C)c1cc(CN(Cc2ccccn2)Cc2cc(-c3cccc(N=Cc4ccccn4)c3)ccn2)ccn1")</f>
        <v>CCOC(C)c1cc(CN(Cc2ccccn2)Cc2cc(-c3cccc(N=Cc4ccccn4)c3)ccn2)ccn1</v>
      </c>
      <c r="C15904" s="7">
        <f>IFERROR(__xludf.DUMMYFUNCTION("""COMPUTED_VALUE"""),7.7396216)</f>
        <v>7.7396216</v>
      </c>
      <c r="D15904" s="7">
        <f>IFERROR(__xludf.DUMMYFUNCTION("""COMPUTED_VALUE"""),0.346666666666666)</f>
        <v>0.3466666667</v>
      </c>
    </row>
    <row r="15905">
      <c r="A15905" s="10" t="s">
        <v>17344</v>
      </c>
      <c r="B15905" s="7" t="str">
        <f>IFERROR(__xludf.DUMMYFUNCTION("SPLIT(A15905,"" "")"),"Cc1cc(N(C)CC2=CCC(N(C)Cc3ccccn3)=CN2)cc(C)c1C")</f>
        <v>Cc1cc(N(C)CC2=CCC(N(C)Cc3ccccn3)=CN2)cc(C)c1C</v>
      </c>
      <c r="C15905" s="7">
        <f>IFERROR(__xludf.DUMMYFUNCTION("""COMPUTED_VALUE"""),7.7395988)</f>
        <v>7.7395988</v>
      </c>
      <c r="D15905" s="7">
        <f>IFERROR(__xludf.DUMMYFUNCTION("""COMPUTED_VALUE"""),0.407407407407407)</f>
        <v>0.4074074074</v>
      </c>
    </row>
    <row r="15906">
      <c r="A15906" s="10" t="s">
        <v>17345</v>
      </c>
      <c r="B15906" s="7" t="str">
        <f>IFERROR(__xludf.DUMMYFUNCTION("SPLIT(A15906,"" "")"),"CC(C)NCCN(C)c1ccc2ncccc2c1")</f>
        <v>CC(C)NCCN(C)c1ccc2ncccc2c1</v>
      </c>
      <c r="C15906" s="7">
        <f>IFERROR(__xludf.DUMMYFUNCTION("""COMPUTED_VALUE"""),7.7395964)</f>
        <v>7.7395964</v>
      </c>
      <c r="D15906" s="7">
        <f>IFERROR(__xludf.DUMMYFUNCTION("""COMPUTED_VALUE"""),0.361702127659574)</f>
        <v>0.3617021277</v>
      </c>
    </row>
    <row r="15907">
      <c r="A15907" s="10" t="s">
        <v>17346</v>
      </c>
      <c r="B15907" s="7" t="str">
        <f>IFERROR(__xludf.DUMMYFUNCTION("SPLIT(A15907,"" "")"),"Cc1c(C)c(C)c(N(C)Cc2ncccc2C(C)(C)C)c(C)c1C")</f>
        <v>Cc1c(C)c(C)c(N(C)Cc2ncccc2C(C)(C)C)c(C)c1C</v>
      </c>
      <c r="C15907" s="7">
        <f>IFERROR(__xludf.DUMMYFUNCTION("""COMPUTED_VALUE"""),7.739581)</f>
        <v>7.739581</v>
      </c>
      <c r="D15907" s="7">
        <f>IFERROR(__xludf.DUMMYFUNCTION("""COMPUTED_VALUE"""),0.304347826086956)</f>
        <v>0.3043478261</v>
      </c>
    </row>
    <row r="15908">
      <c r="A15908" s="10" t="s">
        <v>17347</v>
      </c>
      <c r="B15908" s="7" t="str">
        <f>IFERROR(__xludf.DUMMYFUNCTION("SPLIT(A15908,"" "")"),"CC(C)c1cc(CNCNc2ccc3nccc(CF)c3c2)ccn1")</f>
        <v>CC(C)c1cc(CNCNc2ccc3nccc(CF)c3c2)ccn1</v>
      </c>
      <c r="C15908" s="7">
        <f>IFERROR(__xludf.DUMMYFUNCTION("""COMPUTED_VALUE"""),7.739567)</f>
        <v>7.739567</v>
      </c>
      <c r="D15908" s="7">
        <f>IFERROR(__xludf.DUMMYFUNCTION("""COMPUTED_VALUE"""),0.172413793103448)</f>
        <v>0.1724137931</v>
      </c>
    </row>
    <row r="15909">
      <c r="A15909" s="10" t="s">
        <v>17348</v>
      </c>
      <c r="B15909" s="7" t="str">
        <f>IFERROR(__xludf.DUMMYFUNCTION("SPLIT(A15909,"" "")"),"C1=CNC(C2=NC(c3ccccn3)CO2)=CC1")</f>
        <v>C1=CNC(C2=NC(c3ccccn3)CO2)=CC1</v>
      </c>
      <c r="C15909" s="7">
        <f>IFERROR(__xludf.DUMMYFUNCTION("""COMPUTED_VALUE"""),7.7395544)</f>
        <v>7.7395544</v>
      </c>
      <c r="D15909" s="7">
        <f>IFERROR(__xludf.DUMMYFUNCTION("""COMPUTED_VALUE"""),0.388888888888888)</f>
        <v>0.3888888889</v>
      </c>
    </row>
    <row r="15910">
      <c r="A15910" s="10" t="s">
        <v>17349</v>
      </c>
      <c r="B15910" s="7" t="str">
        <f>IFERROR(__xludf.DUMMYFUNCTION("SPLIT(A15910,"" "")"),"Cc1ncccc1CN(C)Cc1ccc2ncccc2c1")</f>
        <v>Cc1ncccc1CN(C)Cc1ccc2ncccc2c1</v>
      </c>
      <c r="C15910" s="7">
        <f>IFERROR(__xludf.DUMMYFUNCTION("""COMPUTED_VALUE"""),7.739545)</f>
        <v>7.739545</v>
      </c>
      <c r="D15910" s="7">
        <f>IFERROR(__xludf.DUMMYFUNCTION("""COMPUTED_VALUE"""),0.434782608695652)</f>
        <v>0.4347826087</v>
      </c>
    </row>
    <row r="15911">
      <c r="A15911" s="10" t="s">
        <v>17350</v>
      </c>
      <c r="B15911" s="7" t="str">
        <f>IFERROR(__xludf.DUMMYFUNCTION("SPLIT(A15911,"" "")"),"FCNc1ncccc1-c1cccc(C(NCc2ccccn2)c2ccccn2)n1")</f>
        <v>FCNc1ncccc1-c1cccc(C(NCc2ccccn2)c2ccccn2)n1</v>
      </c>
      <c r="C15911" s="7">
        <f>IFERROR(__xludf.DUMMYFUNCTION("""COMPUTED_VALUE"""),7.739519)</f>
        <v>7.739519</v>
      </c>
      <c r="D15911" s="7">
        <f>IFERROR(__xludf.DUMMYFUNCTION("""COMPUTED_VALUE"""),0.326923076923076)</f>
        <v>0.3269230769</v>
      </c>
    </row>
    <row r="15912">
      <c r="A15912" s="10" t="s">
        <v>17351</v>
      </c>
      <c r="B15912" s="7" t="str">
        <f>IFERROR(__xludf.DUMMYFUNCTION("SPLIT(A15912,"" "")"),"Cc1cccc(CN(C)Cc2cccc(-c3ccccc3N(C)C)n2)c1")</f>
        <v>Cc1cccc(CN(C)Cc2cccc(-c3ccccc3N(C)C)n2)c1</v>
      </c>
      <c r="C15912" s="7">
        <f>IFERROR(__xludf.DUMMYFUNCTION("""COMPUTED_VALUE"""),7.739517)</f>
        <v>7.739517</v>
      </c>
      <c r="D15912" s="7">
        <f>IFERROR(__xludf.DUMMYFUNCTION("""COMPUTED_VALUE"""),0.44)</f>
        <v>0.44</v>
      </c>
    </row>
    <row r="15913">
      <c r="A15913" s="10" t="s">
        <v>17352</v>
      </c>
      <c r="B15913" s="7" t="str">
        <f>IFERROR(__xludf.DUMMYFUNCTION("SPLIT(A15913,"" "")"),"CC(C)N(C)CC1=C(N(C)c2ccc3cc(CF)cnc3c2)CC=CN1")</f>
        <v>CC(C)N(C)CC1=C(N(C)c2ccc3cc(CF)cnc3c2)CC=CN1</v>
      </c>
      <c r="C15913" s="7">
        <f>IFERROR(__xludf.DUMMYFUNCTION("""COMPUTED_VALUE"""),7.7395105)</f>
        <v>7.7395105</v>
      </c>
      <c r="D15913" s="7">
        <f>IFERROR(__xludf.DUMMYFUNCTION("""COMPUTED_VALUE"""),0.194444444444444)</f>
        <v>0.1944444444</v>
      </c>
    </row>
    <row r="15914">
      <c r="A15914" s="10" t="s">
        <v>17353</v>
      </c>
      <c r="B15914" s="7" t="str">
        <f>IFERROR(__xludf.DUMMYFUNCTION("SPLIT(A15914,"" "")"),"C=CCN(C)Cc1cccc(-c2ccc(Cl)c(Cl)c2)n1")</f>
        <v>C=CCN(C)Cc1cccc(-c2ccc(Cl)c(Cl)c2)n1</v>
      </c>
      <c r="C15914" s="7">
        <f>IFERROR(__xludf.DUMMYFUNCTION("""COMPUTED_VALUE"""),7.73951)</f>
        <v>7.73951</v>
      </c>
      <c r="D15914" s="7">
        <f>IFERROR(__xludf.DUMMYFUNCTION("""COMPUTED_VALUE"""),0.392156862745098)</f>
        <v>0.3921568627</v>
      </c>
    </row>
    <row r="15915">
      <c r="A15915" s="10" t="s">
        <v>17354</v>
      </c>
      <c r="B15915" s="7" t="str">
        <f>IFERROR(__xludf.DUMMYFUNCTION("SPLIT(A15915,"" "")"),"Cc1cc(C)cc(N(C)CC2=CCC(N(C)Cc3ccccn3)=CN2)c1")</f>
        <v>Cc1cc(C)cc(N(C)CC2=CCC(N(C)Cc3ccccn3)=CN2)c1</v>
      </c>
      <c r="C15915" s="7">
        <f>IFERROR(__xludf.DUMMYFUNCTION("""COMPUTED_VALUE"""),7.739499)</f>
        <v>7.739499</v>
      </c>
      <c r="D15915" s="7">
        <f>IFERROR(__xludf.DUMMYFUNCTION("""COMPUTED_VALUE"""),0.415094339622641)</f>
        <v>0.4150943396</v>
      </c>
    </row>
    <row r="15916">
      <c r="A15916" s="10" t="s">
        <v>17355</v>
      </c>
      <c r="B15916" s="7" t="str">
        <f>IFERROR(__xludf.DUMMYFUNCTION("SPLIT(A15916,"" "")"),"Cc1cnccc1CN(C)c1ccccc1-c1cccnc1CN(Cc1ccccn1)C(C)C")</f>
        <v>Cc1cnccc1CN(C)c1ccccc1-c1cccnc1CN(Cc1ccccn1)C(C)C</v>
      </c>
      <c r="C15916" s="7">
        <f>IFERROR(__xludf.DUMMYFUNCTION("""COMPUTED_VALUE"""),7.7394977)</f>
        <v>7.7394977</v>
      </c>
      <c r="D15916" s="7">
        <f>IFERROR(__xludf.DUMMYFUNCTION("""COMPUTED_VALUE"""),0.444444444444444)</f>
        <v>0.4444444444</v>
      </c>
    </row>
    <row r="15917">
      <c r="A15917" s="10" t="s">
        <v>17356</v>
      </c>
      <c r="B15917" s="7" t="str">
        <f>IFERROR(__xludf.DUMMYFUNCTION("SPLIT(A15917,"" "")"),"CN(C)c1cccc(-c2cncc(CN(Cc3ccccn3)Cc3cccc(F)n3)c2)c1")</f>
        <v>CN(C)c1cccc(-c2cncc(CN(Cc3ccccn3)Cc3cccc(F)n3)c2)c1</v>
      </c>
      <c r="C15917" s="7">
        <f>IFERROR(__xludf.DUMMYFUNCTION("""COMPUTED_VALUE"""),7.7394915)</f>
        <v>7.7394915</v>
      </c>
      <c r="D15917" s="7">
        <f>IFERROR(__xludf.DUMMYFUNCTION("""COMPUTED_VALUE"""),0.421875)</f>
        <v>0.421875</v>
      </c>
    </row>
    <row r="15918">
      <c r="A15918" s="10" t="s">
        <v>17357</v>
      </c>
      <c r="B15918" s="7" t="str">
        <f>IFERROR(__xludf.DUMMYFUNCTION("SPLIT(A15918,"" "")"),"Cc1cccnc1CN(C)c1ccc(-c2cc(CN(Cc3ccccn3)C(C)C)ccn2)cc1")</f>
        <v>Cc1cccnc1CN(C)c1ccc(-c2cc(CN(Cc3ccccn3)C(C)C)ccn2)cc1</v>
      </c>
      <c r="C15918" s="7">
        <f>IFERROR(__xludf.DUMMYFUNCTION("""COMPUTED_VALUE"""),7.7394915)</f>
        <v>7.7394915</v>
      </c>
      <c r="D15918" s="7">
        <f>IFERROR(__xludf.DUMMYFUNCTION("""COMPUTED_VALUE"""),0.428571428571428)</f>
        <v>0.4285714286</v>
      </c>
    </row>
    <row r="15919">
      <c r="A15919" s="10" t="s">
        <v>17358</v>
      </c>
      <c r="B15919" s="7" t="str">
        <f>IFERROR(__xludf.DUMMYFUNCTION("SPLIT(A15919,"" "")"),"Cc1cnc(CN(C)c2cccnc2CN(C)C)c(C)c1C")</f>
        <v>Cc1cnc(CN(C)c2cccnc2CN(C)C)c(C)c1C</v>
      </c>
      <c r="C15919" s="7">
        <f>IFERROR(__xludf.DUMMYFUNCTION("""COMPUTED_VALUE"""),7.7394867)</f>
        <v>7.7394867</v>
      </c>
      <c r="D15919" s="7">
        <f>IFERROR(__xludf.DUMMYFUNCTION("""COMPUTED_VALUE"""),0.354166666666666)</f>
        <v>0.3541666667</v>
      </c>
    </row>
    <row r="15920">
      <c r="A15920" s="10" t="s">
        <v>17359</v>
      </c>
      <c r="B15920" s="7" t="str">
        <f>IFERROR(__xludf.DUMMYFUNCTION("SPLIT(A15920,"" "")"),"Cc1cccc2nc(CN(C)C3CCCC(N(C)c4cccc5nc(CF)ccc45)C3)ccc12")</f>
        <v>Cc1cccc2nc(CN(C)C3CCCC(N(C)c4cccc5nc(CF)ccc45)C3)ccc12</v>
      </c>
      <c r="C15920" s="7">
        <f>IFERROR(__xludf.DUMMYFUNCTION("""COMPUTED_VALUE"""),7.739485)</f>
        <v>7.739485</v>
      </c>
      <c r="D15920" s="7">
        <f>IFERROR(__xludf.DUMMYFUNCTION("""COMPUTED_VALUE"""),0.403225806451612)</f>
        <v>0.4032258065</v>
      </c>
    </row>
    <row r="15921">
      <c r="A15921" s="10" t="s">
        <v>17360</v>
      </c>
      <c r="B15921" s="7" t="str">
        <f>IFERROR(__xludf.DUMMYFUNCTION("SPLIT(A15921,"" "")"),"FCNc1ncccc1-c1ncccc1C(NCc1ccccn1)c1ccccn1")</f>
        <v>FCNc1ncccc1-c1ncccc1C(NCc1ccccn1)c1ccccn1</v>
      </c>
      <c r="C15921" s="7">
        <f>IFERROR(__xludf.DUMMYFUNCTION("""COMPUTED_VALUE"""),7.739483)</f>
        <v>7.739483</v>
      </c>
      <c r="D15921" s="7">
        <f>IFERROR(__xludf.DUMMYFUNCTION("""COMPUTED_VALUE"""),0.333333333333333)</f>
        <v>0.3333333333</v>
      </c>
    </row>
    <row r="15922">
      <c r="A15922" s="10" t="s">
        <v>17361</v>
      </c>
      <c r="B15922" s="7" t="str">
        <f>IFERROR(__xludf.DUMMYFUNCTION("SPLIT(A15922,"" "")"),"C1=CNC(c2cccnn2)=CC1")</f>
        <v>C1=CNC(c2cccnn2)=CC1</v>
      </c>
      <c r="C15922" s="7">
        <f>IFERROR(__xludf.DUMMYFUNCTION("""COMPUTED_VALUE"""),7.7394814)</f>
        <v>7.7394814</v>
      </c>
      <c r="D15922" s="7">
        <f>IFERROR(__xludf.DUMMYFUNCTION("""COMPUTED_VALUE"""),0.333333333333333)</f>
        <v>0.3333333333</v>
      </c>
    </row>
    <row r="15923">
      <c r="A15923" s="10" t="s">
        <v>17362</v>
      </c>
      <c r="B15923" s="7" t="str">
        <f>IFERROR(__xludf.DUMMYFUNCTION("SPLIT(A15923,"" "")"),"Cc1ccccc1N(Cc1ccccn1)Cc1ncccc1N(C)C")</f>
        <v>Cc1ccccc1N(Cc1ccccn1)Cc1ncccc1N(C)C</v>
      </c>
      <c r="C15923" s="7">
        <f>IFERROR(__xludf.DUMMYFUNCTION("""COMPUTED_VALUE"""),7.739479)</f>
        <v>7.739479</v>
      </c>
      <c r="D15923" s="7">
        <f>IFERROR(__xludf.DUMMYFUNCTION("""COMPUTED_VALUE"""),0.434782608695652)</f>
        <v>0.4347826087</v>
      </c>
    </row>
    <row r="15924">
      <c r="A15924" s="10" t="s">
        <v>17363</v>
      </c>
      <c r="B15924" s="7" t="str">
        <f>IFERROR(__xludf.DUMMYFUNCTION("SPLIT(A15924,"" "")"),"CCN(Cc1ccccn1)c1cccc(-c2cccc(C(C)(C)C)n2)c1")</f>
        <v>CCN(Cc1ccccn1)c1cccc(-c2cccc(C(C)(C)C)n2)c1</v>
      </c>
      <c r="C15924" s="7">
        <f>IFERROR(__xludf.DUMMYFUNCTION("""COMPUTED_VALUE"""),7.739473)</f>
        <v>7.739473</v>
      </c>
      <c r="D15924" s="7">
        <f>IFERROR(__xludf.DUMMYFUNCTION("""COMPUTED_VALUE"""),0.46551724137931)</f>
        <v>0.4655172414</v>
      </c>
    </row>
    <row r="15925">
      <c r="A15925" s="10" t="s">
        <v>17364</v>
      </c>
      <c r="B15925" s="7" t="str">
        <f>IFERROR(__xludf.DUMMYFUNCTION("SPLIT(A15925,"" "")"),"Cc1cccnc1CNCCN(C)c1ccc2nc(CN(C)C)ccc2c1")</f>
        <v>Cc1cccnc1CNCCN(C)c1ccc2nc(CN(C)C)ccc2c1</v>
      </c>
      <c r="C15925" s="7">
        <f>IFERROR(__xludf.DUMMYFUNCTION("""COMPUTED_VALUE"""),7.739472)</f>
        <v>7.739472</v>
      </c>
      <c r="D15925" s="7">
        <f>IFERROR(__xludf.DUMMYFUNCTION("""COMPUTED_VALUE"""),0.322033898305084)</f>
        <v>0.3220338983</v>
      </c>
    </row>
    <row r="15926">
      <c r="A15926" s="10" t="s">
        <v>17365</v>
      </c>
      <c r="B15926" s="7" t="str">
        <f>IFERROR(__xludf.DUMMYFUNCTION("SPLIT(A15926,"" "")"),"Cc1cc(C)c(N(C)CC2=C(N(C)Cc3ccccn3)CC=CN2)cc1C")</f>
        <v>Cc1cc(C)c(N(C)CC2=C(N(C)Cc3ccccn3)CC=CN2)cc1C</v>
      </c>
      <c r="C15926" s="7">
        <f>IFERROR(__xludf.DUMMYFUNCTION("""COMPUTED_VALUE"""),7.739461)</f>
        <v>7.739461</v>
      </c>
      <c r="D15926" s="7">
        <f>IFERROR(__xludf.DUMMYFUNCTION("""COMPUTED_VALUE"""),0.461538461538461)</f>
        <v>0.4615384615</v>
      </c>
    </row>
    <row r="15927">
      <c r="A15927" s="10" t="s">
        <v>17366</v>
      </c>
      <c r="B15927" s="7" t="str">
        <f>IFERROR(__xludf.DUMMYFUNCTION("SPLIT(A15927,"" "")"),"Cc1ccc(CN(Cc2ccccn2)Cc2cccc(-c3ccc(N(C)Cc4ncccc4C)cc3)n2)nc1")</f>
        <v>Cc1ccc(CN(Cc2ccccn2)Cc2cccc(-c3ccc(N(C)Cc4ncccc4C)cc3)n2)nc1</v>
      </c>
      <c r="C15927" s="7">
        <f>IFERROR(__xludf.DUMMYFUNCTION("""COMPUTED_VALUE"""),7.739443)</f>
        <v>7.739443</v>
      </c>
      <c r="D15927" s="7">
        <f>IFERROR(__xludf.DUMMYFUNCTION("""COMPUTED_VALUE"""),0.453125)</f>
        <v>0.453125</v>
      </c>
    </row>
    <row r="15928">
      <c r="A15928" s="10" t="s">
        <v>17367</v>
      </c>
      <c r="B15928" s="7" t="str">
        <f>IFERROR(__xludf.DUMMYFUNCTION("SPLIT(A15928,"" "")"),"CCCN(C)Cc1cc(-c2ccccc2N=Cc2ccccn2)ccn1")</f>
        <v>CCCN(C)Cc1cc(-c2ccccc2N=Cc2ccccn2)ccn1</v>
      </c>
      <c r="C15928" s="7">
        <f>IFERROR(__xludf.DUMMYFUNCTION("""COMPUTED_VALUE"""),7.7394304)</f>
        <v>7.7394304</v>
      </c>
      <c r="D15928" s="7">
        <f>IFERROR(__xludf.DUMMYFUNCTION("""COMPUTED_VALUE"""),0.433962264150943)</f>
        <v>0.4339622642</v>
      </c>
    </row>
    <row r="15929">
      <c r="A15929" s="10" t="s">
        <v>17368</v>
      </c>
      <c r="B15929" s="7" t="str">
        <f>IFERROR(__xludf.DUMMYFUNCTION("SPLIT(A15929,"" "")"),"CCN(Cc1ccccn1)c1ccc2nccc(CN(C)C3CCCCC3N(C)c3ccc4c(CF)ccnc4c3)c2c1")</f>
        <v>CCN(Cc1ccccn1)c1ccc2nccc(CN(C)C3CCCCC3N(C)c3ccc4c(CF)ccnc4c3)c2c1</v>
      </c>
      <c r="C15929" s="7">
        <f>IFERROR(__xludf.DUMMYFUNCTION("""COMPUTED_VALUE"""),7.739417)</f>
        <v>7.739417</v>
      </c>
      <c r="D15929" s="7">
        <f>IFERROR(__xludf.DUMMYFUNCTION("""COMPUTED_VALUE"""),0.46031746031746)</f>
        <v>0.4603174603</v>
      </c>
    </row>
    <row r="15930">
      <c r="A15930" s="10" t="s">
        <v>17369</v>
      </c>
      <c r="B15930" s="7" t="str">
        <f>IFERROR(__xludf.DUMMYFUNCTION("SPLIT(A15930,"" "")"),"CC(C)c1cc(CN(Cc2ccccn2)Cc2ccc(-c3cccc(N(C)C)c3)cn2)ccn1")</f>
        <v>CC(C)c1cc(CN(Cc2ccccn2)Cc2ccc(-c3cccc(N(C)C)c3)cn2)ccn1</v>
      </c>
      <c r="C15930" s="7">
        <f>IFERROR(__xludf.DUMMYFUNCTION("""COMPUTED_VALUE"""),7.73941)</f>
        <v>7.73941</v>
      </c>
      <c r="D15930" s="7">
        <f>IFERROR(__xludf.DUMMYFUNCTION("""COMPUTED_VALUE"""),0.384615384615384)</f>
        <v>0.3846153846</v>
      </c>
    </row>
    <row r="15931">
      <c r="A15931" s="10" t="s">
        <v>17370</v>
      </c>
      <c r="B15931" s="7" t="str">
        <f>IFERROR(__xludf.DUMMYFUNCTION("SPLIT(A15931,"" "")"),"Cc1cc(-c2cc(CN(C)Cc3cc(N)ccn3)ccn2)ccc1N")</f>
        <v>Cc1cc(-c2cc(CN(C)Cc3cc(N)ccn3)ccn2)ccc1N</v>
      </c>
      <c r="C15931" s="7">
        <f>IFERROR(__xludf.DUMMYFUNCTION("""COMPUTED_VALUE"""),7.7394056)</f>
        <v>7.7394056</v>
      </c>
      <c r="D15931" s="7">
        <f>IFERROR(__xludf.DUMMYFUNCTION("""COMPUTED_VALUE"""),0.321428571428571)</f>
        <v>0.3214285714</v>
      </c>
    </row>
    <row r="15932">
      <c r="A15932" s="10" t="s">
        <v>17371</v>
      </c>
      <c r="B15932" s="7" t="str">
        <f>IFERROR(__xludf.DUMMYFUNCTION("SPLIT(A15932,"" "")"),"C=Nc1ccccc1-c1cccc(CN(Cc2ccccn2)Cc2cccc(C3=NC(C(C)C)CO3)n2)n1")</f>
        <v>C=Nc1ccccc1-c1cccc(CN(Cc2ccccn2)Cc2cccc(C3=NC(C(C)C)CO3)n2)n1</v>
      </c>
      <c r="C15932" s="7">
        <f>IFERROR(__xludf.DUMMYFUNCTION("""COMPUTED_VALUE"""),7.739402)</f>
        <v>7.739402</v>
      </c>
      <c r="D15932" s="7">
        <f>IFERROR(__xludf.DUMMYFUNCTION("""COMPUTED_VALUE"""),0.385714285714285)</f>
        <v>0.3857142857</v>
      </c>
    </row>
    <row r="15933">
      <c r="A15933" s="10" t="s">
        <v>17372</v>
      </c>
      <c r="B15933" s="7" t="str">
        <f>IFERROR(__xludf.DUMMYFUNCTION("SPLIT(A15933,"" "")"),"Cc1ccc(CN(Cc2ccc(-c3cccc(N(C)C)c3)nc2)Cc2ccccn2)nc1")</f>
        <v>Cc1ccc(CN(Cc2ccc(-c3cccc(N(C)C)c3)nc2)Cc2ccccn2)nc1</v>
      </c>
      <c r="C15933" s="7">
        <f>IFERROR(__xludf.DUMMYFUNCTION("""COMPUTED_VALUE"""),7.7393975)</f>
        <v>7.7393975</v>
      </c>
      <c r="D15933" s="7">
        <f>IFERROR(__xludf.DUMMYFUNCTION("""COMPUTED_VALUE"""),0.428571428571428)</f>
        <v>0.4285714286</v>
      </c>
    </row>
    <row r="15934">
      <c r="A15934" s="10" t="s">
        <v>17373</v>
      </c>
      <c r="B15934" s="7" t="str">
        <f>IFERROR(__xludf.DUMMYFUNCTION("SPLIT(A15934,"" "")"),"FCNc1ncccc1-c1ccc(C(NCc2ccccn2)c2ccccn2)cn1")</f>
        <v>FCNc1ncccc1-c1ccc(C(NCc2ccccn2)c2ccccn2)cn1</v>
      </c>
      <c r="C15934" s="7">
        <f>IFERROR(__xludf.DUMMYFUNCTION("""COMPUTED_VALUE"""),7.7393923)</f>
        <v>7.7393923</v>
      </c>
      <c r="D15934" s="7">
        <f>IFERROR(__xludf.DUMMYFUNCTION("""COMPUTED_VALUE"""),0.314814814814814)</f>
        <v>0.3148148148</v>
      </c>
    </row>
    <row r="15935">
      <c r="A15935" s="10" t="s">
        <v>17374</v>
      </c>
      <c r="B15935" s="7" t="str">
        <f>IFERROR(__xludf.DUMMYFUNCTION("SPLIT(A15935,"" "")"),"Cc1cnc(CN(C)CCN(Cc2ccccn2)c2ccc3ncccc3c2)c(C)c1")</f>
        <v>Cc1cnc(CN(C)CCN(Cc2ccccn2)c2ccc3ncccc3c2)c(C)c1</v>
      </c>
      <c r="C15935" s="7">
        <f>IFERROR(__xludf.DUMMYFUNCTION("""COMPUTED_VALUE"""),7.7393894)</f>
        <v>7.7393894</v>
      </c>
      <c r="D15935" s="7">
        <f>IFERROR(__xludf.DUMMYFUNCTION("""COMPUTED_VALUE"""),0.381818181818181)</f>
        <v>0.3818181818</v>
      </c>
    </row>
    <row r="15936">
      <c r="A15936" s="10" t="s">
        <v>17375</v>
      </c>
      <c r="B15936" s="7" t="str">
        <f>IFERROR(__xludf.DUMMYFUNCTION("SPLIT(A15936,"" "")"),"Cc1ccc(CN(C)c2ccc(CN(C)Cc3cc(C)c(C)c(C)n3)nc2)nc1C")</f>
        <v>Cc1ccc(CN(C)c2ccc(CN(C)Cc3cc(C)c(C)c(C)n3)nc2)nc1C</v>
      </c>
      <c r="C15936" s="7">
        <f>IFERROR(__xludf.DUMMYFUNCTION("""COMPUTED_VALUE"""),7.7393837)</f>
        <v>7.7393837</v>
      </c>
      <c r="D15936" s="7">
        <f>IFERROR(__xludf.DUMMYFUNCTION("""COMPUTED_VALUE"""),0.375)</f>
        <v>0.375</v>
      </c>
    </row>
    <row r="15937">
      <c r="A15937" s="10" t="s">
        <v>17376</v>
      </c>
      <c r="B15937" s="7" t="str">
        <f>IFERROR(__xludf.DUMMYFUNCTION("SPLIT(A15937,"" "")"),"Cc1ccc(C)c(CN(C)CCN(C)c2ccc3nc(CF)ccc3c2)n1")</f>
        <v>Cc1ccc(C)c(CN(C)CCN(C)c2ccc3nc(CF)ccc3c2)n1</v>
      </c>
      <c r="C15937" s="7">
        <f>IFERROR(__xludf.DUMMYFUNCTION("""COMPUTED_VALUE"""),7.739378)</f>
        <v>7.739378</v>
      </c>
      <c r="D15937" s="7">
        <f>IFERROR(__xludf.DUMMYFUNCTION("""COMPUTED_VALUE"""),0.38)</f>
        <v>0.38</v>
      </c>
    </row>
    <row r="15938">
      <c r="A15938" s="10" t="s">
        <v>17377</v>
      </c>
      <c r="B15938" s="7" t="str">
        <f>IFERROR(__xludf.DUMMYFUNCTION("SPLIT(A15938,"" "")"),"CCN(CC1=CC(N(C)Cc2ccccn2)C=CN1)c1ccc2ncccc2c1")</f>
        <v>CCN(CC1=CC(N(C)Cc2ccccn2)C=CN1)c1ccc2ncccc2c1</v>
      </c>
      <c r="C15938" s="7">
        <f>IFERROR(__xludf.DUMMYFUNCTION("""COMPUTED_VALUE"""),7.7393746)</f>
        <v>7.7393746</v>
      </c>
      <c r="D15938" s="7">
        <f>IFERROR(__xludf.DUMMYFUNCTION("""COMPUTED_VALUE"""),0.354838709677419)</f>
        <v>0.3548387097</v>
      </c>
    </row>
    <row r="15939">
      <c r="A15939" s="10" t="s">
        <v>17378</v>
      </c>
      <c r="B15939" s="7" t="str">
        <f>IFERROR(__xludf.DUMMYFUNCTION("SPLIT(A15939,"" "")"),"Cc1cccnc1CN(C)c1ccc(CN(Cc2ccccn2)c2ccccc2F)nc1")</f>
        <v>Cc1cccnc1CN(C)c1ccc(CN(Cc2ccccn2)c2ccccc2F)nc1</v>
      </c>
      <c r="C15939" s="7">
        <f>IFERROR(__xludf.DUMMYFUNCTION("""COMPUTED_VALUE"""),7.7393684)</f>
        <v>7.7393684</v>
      </c>
      <c r="D15939" s="7">
        <f>IFERROR(__xludf.DUMMYFUNCTION("""COMPUTED_VALUE"""),0.375)</f>
        <v>0.375</v>
      </c>
    </row>
    <row r="15940">
      <c r="A15940" s="10" t="s">
        <v>17379</v>
      </c>
      <c r="B15940" s="7" t="str">
        <f>IFERROR(__xludf.DUMMYFUNCTION("SPLIT(A15940,"" "")"),"Cc1ccc(-c2cc(CN(C)Cc3cc(N)ccn3)ccn2)cc1C")</f>
        <v>Cc1ccc(-c2cc(CN(C)Cc3cc(N)ccn3)ccn2)cc1C</v>
      </c>
      <c r="C15940" s="7">
        <f>IFERROR(__xludf.DUMMYFUNCTION("""COMPUTED_VALUE"""),7.739366)</f>
        <v>7.739366</v>
      </c>
      <c r="D15940" s="7">
        <f>IFERROR(__xludf.DUMMYFUNCTION("""COMPUTED_VALUE"""),0.327272727272727)</f>
        <v>0.3272727273</v>
      </c>
    </row>
    <row r="15941">
      <c r="A15941" s="10" t="s">
        <v>17380</v>
      </c>
      <c r="B15941" s="7" t="str">
        <f>IFERROR(__xludf.DUMMYFUNCTION("SPLIT(A15941,"" "")"),"Cc1cc(-c2ccc(CN(C)Cc3cc(N)ccn3)cn2)ccc1NCc1ccccn1")</f>
        <v>Cc1cc(-c2ccc(CN(C)Cc3cc(N)ccn3)cn2)ccc1NCc1ccccn1</v>
      </c>
      <c r="C15941" s="7">
        <f>IFERROR(__xludf.DUMMYFUNCTION("""COMPUTED_VALUE"""),7.739354)</f>
        <v>7.739354</v>
      </c>
      <c r="D15941" s="7">
        <f>IFERROR(__xludf.DUMMYFUNCTION("""COMPUTED_VALUE"""),0.338461538461538)</f>
        <v>0.3384615385</v>
      </c>
    </row>
    <row r="15942">
      <c r="A15942" s="10" t="s">
        <v>17381</v>
      </c>
      <c r="B15942" s="7" t="str">
        <f>IFERROR(__xludf.DUMMYFUNCTION("SPLIT(A15942,"" "")"),"CC(C)N(C)CN(C)c1ccc2nccc(CF)c2c1")</f>
        <v>CC(C)N(C)CN(C)c1ccc2nccc(CF)c2c1</v>
      </c>
      <c r="C15942" s="7">
        <f>IFERROR(__xludf.DUMMYFUNCTION("""COMPUTED_VALUE"""),7.7393527)</f>
        <v>7.7393527</v>
      </c>
      <c r="D15942" s="7">
        <f>IFERROR(__xludf.DUMMYFUNCTION("""COMPUTED_VALUE"""),0.222222222222222)</f>
        <v>0.2222222222</v>
      </c>
    </row>
    <row r="15943">
      <c r="A15943" s="10" t="s">
        <v>17382</v>
      </c>
      <c r="B15943" s="7" t="str">
        <f>IFERROR(__xludf.DUMMYFUNCTION("SPLIT(A15943,"" "")"),"Cc1ccnc(CN(C)c2cccc(-c3ccnc(CN(C)C(C)C)c3)c2)c1")</f>
        <v>Cc1ccnc(CN(C)c2cccc(-c3ccnc(CN(C)C(C)C)c3)c2)c1</v>
      </c>
      <c r="C15943" s="7">
        <f>IFERROR(__xludf.DUMMYFUNCTION("""COMPUTED_VALUE"""),7.7393517)</f>
        <v>7.7393517</v>
      </c>
      <c r="D15943" s="7">
        <f>IFERROR(__xludf.DUMMYFUNCTION("""COMPUTED_VALUE"""),0.314814814814814)</f>
        <v>0.3148148148</v>
      </c>
    </row>
    <row r="15944">
      <c r="A15944" s="10" t="s">
        <v>17383</v>
      </c>
      <c r="B15944" s="7" t="str">
        <f>IFERROR(__xludf.DUMMYFUNCTION("SPLIT(A15944,"" "")"),"c1ccc(NCc2cccc(C(c3ccccc3)(c3ccccn3)c3ccccn3)n2)cc1")</f>
        <v>c1ccc(NCc2cccc(C(c3ccccc3)(c3ccccn3)c3ccccn3)n2)cc1</v>
      </c>
      <c r="C15944" s="7">
        <f>IFERROR(__xludf.DUMMYFUNCTION("""COMPUTED_VALUE"""),7.7393465)</f>
        <v>7.7393465</v>
      </c>
      <c r="D15944" s="7">
        <f>IFERROR(__xludf.DUMMYFUNCTION("""COMPUTED_VALUE"""),0.345454545454545)</f>
        <v>0.3454545455</v>
      </c>
    </row>
    <row r="15945">
      <c r="A15945" s="10" t="s">
        <v>17384</v>
      </c>
      <c r="B15945" s="7" t="str">
        <f>IFERROR(__xludf.DUMMYFUNCTION("SPLIT(A15945,"" "")"),"CN(C)c1cccc(-c2cccc(CN(C)C(C)(C)c3ccccn3)n2)c1")</f>
        <v>CN(C)c1cccc(-c2cccc(CN(C)C(C)(C)c3ccccn3)n2)c1</v>
      </c>
      <c r="C15945" s="7">
        <f>IFERROR(__xludf.DUMMYFUNCTION("""COMPUTED_VALUE"""),7.739338)</f>
        <v>7.739338</v>
      </c>
      <c r="D15945" s="7">
        <f>IFERROR(__xludf.DUMMYFUNCTION("""COMPUTED_VALUE"""),0.46551724137931)</f>
        <v>0.4655172414</v>
      </c>
    </row>
    <row r="15946">
      <c r="A15946" s="10" t="s">
        <v>17385</v>
      </c>
      <c r="B15946" s="7" t="str">
        <f>IFERROR(__xludf.DUMMYFUNCTION("SPLIT(A15946,"" "")"),"CCN(Cc1ccccn1)c1ccc2cccnc2c1CN(C)Cc1ccccn1")</f>
        <v>CCN(Cc1ccccn1)c1ccc2cccnc2c1CN(C)Cc1ccccn1</v>
      </c>
      <c r="C15946" s="7">
        <f>IFERROR(__xludf.DUMMYFUNCTION("""COMPUTED_VALUE"""),7.739331)</f>
        <v>7.739331</v>
      </c>
      <c r="D15946" s="7">
        <f>IFERROR(__xludf.DUMMYFUNCTION("""COMPUTED_VALUE"""),0.46)</f>
        <v>0.46</v>
      </c>
    </row>
    <row r="15947">
      <c r="A15947" s="10" t="s">
        <v>17386</v>
      </c>
      <c r="B15947" s="7" t="str">
        <f>IFERROR(__xludf.DUMMYFUNCTION("SPLIT(A15947,"" "")"),"CC(C)N(CCN(C)c1cccc2nccc(CN(C)C)c12)C(C)C")</f>
        <v>CC(C)N(CCN(C)c1cccc2nccc(CN(C)C)c12)C(C)C</v>
      </c>
      <c r="C15947" s="7">
        <f>IFERROR(__xludf.DUMMYFUNCTION("""COMPUTED_VALUE"""),7.7393284)</f>
        <v>7.7393284</v>
      </c>
      <c r="D15947" s="7">
        <f>IFERROR(__xludf.DUMMYFUNCTION("""COMPUTED_VALUE"""),0.36734693877551)</f>
        <v>0.3673469388</v>
      </c>
    </row>
    <row r="15948">
      <c r="A15948" s="10" t="s">
        <v>17387</v>
      </c>
      <c r="B15948" s="7" t="str">
        <f>IFERROR(__xludf.DUMMYFUNCTION("SPLIT(A15948,"" "")"),"CCN(CC1=CC(N(C)Cc2ccccn2)C=CN1)c1ccc2cccnc2c1")</f>
        <v>CCN(CC1=CC(N(C)Cc2ccccn2)C=CN1)c1ccc2cccnc2c1</v>
      </c>
      <c r="C15948" s="7">
        <f>IFERROR(__xludf.DUMMYFUNCTION("""COMPUTED_VALUE"""),7.7393165)</f>
        <v>7.7393165</v>
      </c>
      <c r="D15948" s="7">
        <f>IFERROR(__xludf.DUMMYFUNCTION("""COMPUTED_VALUE"""),0.370967741935483)</f>
        <v>0.3709677419</v>
      </c>
    </row>
    <row r="15949">
      <c r="A15949" s="10" t="s">
        <v>17388</v>
      </c>
      <c r="B15949" s="7" t="str">
        <f>IFERROR(__xludf.DUMMYFUNCTION("SPLIT(A15949,"" "")"),"CCN(Cc1ccccn1)c1cc2ncccc2cc1CN(C)C(C)(C)c1ccccn1")</f>
        <v>CCN(Cc1ccccn1)c1cc2ncccc2cc1CN(C)C(C)(C)c1ccccn1</v>
      </c>
      <c r="C15949" s="7">
        <f>IFERROR(__xludf.DUMMYFUNCTION("""COMPUTED_VALUE"""),7.7393165)</f>
        <v>7.7393165</v>
      </c>
      <c r="D15949" s="7">
        <f>IFERROR(__xludf.DUMMYFUNCTION("""COMPUTED_VALUE"""),0.392857142857142)</f>
        <v>0.3928571429</v>
      </c>
    </row>
    <row r="15950">
      <c r="A15950" s="10" t="s">
        <v>17389</v>
      </c>
      <c r="B15950" s="7" t="str">
        <f>IFERROR(__xludf.DUMMYFUNCTION("SPLIT(A15950,"" "")"),"Cc1cnc2cc(N(C)CCN(C)Cc3ccccn3)ccc2c1")</f>
        <v>Cc1cnc2cc(N(C)CCN(C)Cc3ccccn3)ccc2c1</v>
      </c>
      <c r="C15950" s="7">
        <f>IFERROR(__xludf.DUMMYFUNCTION("""COMPUTED_VALUE"""),7.7393107)</f>
        <v>7.7393107</v>
      </c>
      <c r="D15950" s="7">
        <f>IFERROR(__xludf.DUMMYFUNCTION("""COMPUTED_VALUE"""),0.446808510638297)</f>
        <v>0.4468085106</v>
      </c>
    </row>
    <row r="15951">
      <c r="A15951" s="10" t="s">
        <v>17390</v>
      </c>
      <c r="B15951" s="7" t="str">
        <f>IFERROR(__xludf.DUMMYFUNCTION("SPLIT(A15951,"" "")"),"Cc1cc(C)nc(CN(C)Cc2ccc(-c3ccccc3C)nc2)c1")</f>
        <v>Cc1cc(C)nc(CN(C)Cc2ccc(-c3ccccc3C)nc2)c1</v>
      </c>
      <c r="C15951" s="7">
        <f>IFERROR(__xludf.DUMMYFUNCTION("""COMPUTED_VALUE"""),7.7393045)</f>
        <v>7.7393045</v>
      </c>
      <c r="D15951" s="7">
        <f>IFERROR(__xludf.DUMMYFUNCTION("""COMPUTED_VALUE"""),0.333333333333333)</f>
        <v>0.3333333333</v>
      </c>
    </row>
    <row r="15952">
      <c r="A15952" s="10" t="s">
        <v>17391</v>
      </c>
      <c r="B15952" s="7" t="str">
        <f>IFERROR(__xludf.DUMMYFUNCTION("SPLIT(A15952,"" "")"),"CN(c1cccc2nc3c(cc12)CCCC3)C1CCC(N(C)c2cccc3cc(CF)cnc23)CC1")</f>
        <v>CN(c1cccc2nc3c(cc12)CCCC3)C1CCC(N(C)c2cccc3cc(CF)cnc23)CC1</v>
      </c>
      <c r="C15952" s="7">
        <f>IFERROR(__xludf.DUMMYFUNCTION("""COMPUTED_VALUE"""),7.7393026)</f>
        <v>7.7393026</v>
      </c>
      <c r="D15952" s="7">
        <f>IFERROR(__xludf.DUMMYFUNCTION("""COMPUTED_VALUE"""),0.476190476190476)</f>
        <v>0.4761904762</v>
      </c>
    </row>
    <row r="15953">
      <c r="A15953" s="10" t="s">
        <v>17392</v>
      </c>
      <c r="B15953" s="7" t="str">
        <f>IFERROR(__xludf.DUMMYFUNCTION("SPLIT(A15953,"" "")"),"C=Nc1cccc(-c2cccc(CN(Cc3ccccn3)Cc3cccc(C4=NC(C(C)C)CO4)n3)n2)c1")</f>
        <v>C=Nc1cccc(-c2cccc(CN(Cc3ccccn3)Cc3cccc(C4=NC(C(C)C)CO4)n3)n2)c1</v>
      </c>
      <c r="C15953" s="7">
        <f>IFERROR(__xludf.DUMMYFUNCTION("""COMPUTED_VALUE"""),7.739298)</f>
        <v>7.739298</v>
      </c>
      <c r="D15953" s="7">
        <f>IFERROR(__xludf.DUMMYFUNCTION("""COMPUTED_VALUE"""),0.477611940298507)</f>
        <v>0.4776119403</v>
      </c>
    </row>
    <row r="15954">
      <c r="A15954" s="10" t="s">
        <v>17393</v>
      </c>
      <c r="B15954" s="7" t="str">
        <f>IFERROR(__xludf.DUMMYFUNCTION("SPLIT(A15954,"" "")"),"CN(CCc1nc2ccccc2o1)Cc1ccccn1")</f>
        <v>CN(CCc1nc2ccccc2o1)Cc1ccccn1</v>
      </c>
      <c r="C15954" s="7">
        <f>IFERROR(__xludf.DUMMYFUNCTION("""COMPUTED_VALUE"""),7.7392964)</f>
        <v>7.7392964</v>
      </c>
      <c r="D15954" s="7">
        <f>IFERROR(__xludf.DUMMYFUNCTION("""COMPUTED_VALUE"""),0.458333333333333)</f>
        <v>0.4583333333</v>
      </c>
    </row>
    <row r="15955">
      <c r="A15955" s="10" t="s">
        <v>17394</v>
      </c>
      <c r="B15955" s="7" t="str">
        <f>IFERROR(__xludf.DUMMYFUNCTION("SPLIT(A15955,"" "")"),"Cc1cccnc1CN(C)c1cccc(-c2ccc(CN(C)C(C)C)nc2)c1")</f>
        <v>Cc1cccnc1CN(C)c1cccc(-c2ccc(CN(C)C(C)C)nc2)c1</v>
      </c>
      <c r="C15955" s="7">
        <f>IFERROR(__xludf.DUMMYFUNCTION("""COMPUTED_VALUE"""),7.7392936)</f>
        <v>7.7392936</v>
      </c>
      <c r="D15955" s="7">
        <f>IFERROR(__xludf.DUMMYFUNCTION("""COMPUTED_VALUE"""),0.293103448275862)</f>
        <v>0.2931034483</v>
      </c>
    </row>
    <row r="15956">
      <c r="A15956" s="10" t="s">
        <v>17395</v>
      </c>
      <c r="B15956" s="7" t="str">
        <f>IFERROR(__xludf.DUMMYFUNCTION("SPLIT(A15956,"" "")"),"FCNc1cccc(-c2cc(C(NCc3ccccn3)c3ccccn3)ccn2)n1")</f>
        <v>FCNc1cccc(-c2cc(C(NCc3ccccn3)c3ccccn3)ccn2)n1</v>
      </c>
      <c r="C15956" s="7">
        <f>IFERROR(__xludf.DUMMYFUNCTION("""COMPUTED_VALUE"""),7.739292)</f>
        <v>7.739292</v>
      </c>
      <c r="D15956" s="7">
        <f>IFERROR(__xludf.DUMMYFUNCTION("""COMPUTED_VALUE"""),0.372881355932203)</f>
        <v>0.3728813559</v>
      </c>
    </row>
    <row r="15957">
      <c r="A15957" s="10" t="s">
        <v>17396</v>
      </c>
      <c r="B15957" s="7" t="str">
        <f>IFERROR(__xludf.DUMMYFUNCTION("SPLIT(A15957,"" "")"),"CC(C)N(C)CN(C)c1ccc2c(CF)ccnc2c1")</f>
        <v>CC(C)N(C)CN(C)c1ccc2c(CF)ccnc2c1</v>
      </c>
      <c r="C15957" s="7">
        <f>IFERROR(__xludf.DUMMYFUNCTION("""COMPUTED_VALUE"""),7.73929)</f>
        <v>7.73929</v>
      </c>
      <c r="D15957" s="7">
        <f>IFERROR(__xludf.DUMMYFUNCTION("""COMPUTED_VALUE"""),0.226415094339622)</f>
        <v>0.2264150943</v>
      </c>
    </row>
    <row r="15958">
      <c r="A15958" s="10" t="s">
        <v>17397</v>
      </c>
      <c r="B15958" s="7" t="str">
        <f>IFERROR(__xludf.DUMMYFUNCTION("SPLIT(A15958,"" "")"),"COc1ccnc(-c2nccc(CN(Cc3ccccn3)C3CCCCC3N(C)c3ccc4nc(CF)ccc4c3)c2C)c1")</f>
        <v>COc1ccnc(-c2nccc(CN(Cc3ccccn3)C3CCCCC3N(C)c3ccc4nc(CF)ccc4c3)c2C)c1</v>
      </c>
      <c r="C15958" s="7">
        <f>IFERROR(__xludf.DUMMYFUNCTION("""COMPUTED_VALUE"""),7.739287)</f>
        <v>7.739287</v>
      </c>
      <c r="D15958" s="7">
        <f>IFERROR(__xludf.DUMMYFUNCTION("""COMPUTED_VALUE"""),0.345679012345679)</f>
        <v>0.3456790123</v>
      </c>
    </row>
    <row r="15959">
      <c r="A15959" s="10" t="s">
        <v>17398</v>
      </c>
      <c r="B15959" s="7" t="str">
        <f>IFERROR(__xludf.DUMMYFUNCTION("SPLIT(A15959,"" "")"),"CN(CCN)C1=CNC=CC1CN(C)c1cccc2ncccc12")</f>
        <v>CN(CCN)C1=CNC=CC1CN(C)c1cccc2ncccc12</v>
      </c>
      <c r="C15959" s="7">
        <f>IFERROR(__xludf.DUMMYFUNCTION("""COMPUTED_VALUE"""),7.7392845)</f>
        <v>7.7392845</v>
      </c>
      <c r="D15959" s="7">
        <f>IFERROR(__xludf.DUMMYFUNCTION("""COMPUTED_VALUE"""),0.344827586206896)</f>
        <v>0.3448275862</v>
      </c>
    </row>
    <row r="15960">
      <c r="A15960" s="10" t="s">
        <v>17399</v>
      </c>
      <c r="B15960" s="7" t="str">
        <f>IFERROR(__xludf.DUMMYFUNCTION("SPLIT(A15960,"" "")"),"C=CCN(C)Cc1cccc(-c2ccccc2N(C)C)n1")</f>
        <v>C=CCN(C)Cc1cccc(-c2ccccc2N(C)C)n1</v>
      </c>
      <c r="C15960" s="7">
        <f>IFERROR(__xludf.DUMMYFUNCTION("""COMPUTED_VALUE"""),7.739269)</f>
        <v>7.739269</v>
      </c>
      <c r="D15960" s="7">
        <f>IFERROR(__xludf.DUMMYFUNCTION("""COMPUTED_VALUE"""),0.4375)</f>
        <v>0.4375</v>
      </c>
    </row>
    <row r="15961">
      <c r="A15961" s="10" t="s">
        <v>17400</v>
      </c>
      <c r="B15961" s="7" t="str">
        <f>IFERROR(__xludf.DUMMYFUNCTION("SPLIT(A15961,"" "")"),"Cc1cncc(CN(C)c2ccccc2-c2ncccc2CN(Cc2ccccn2)Cc2ncccc2C)c1")</f>
        <v>Cc1cncc(CN(C)c2ccccc2-c2ncccc2CN(Cc2ccccn2)Cc2ncccc2C)c1</v>
      </c>
      <c r="C15961" s="7">
        <f>IFERROR(__xludf.DUMMYFUNCTION("""COMPUTED_VALUE"""),7.7392683)</f>
        <v>7.7392683</v>
      </c>
      <c r="D15961" s="7">
        <f>IFERROR(__xludf.DUMMYFUNCTION("""COMPUTED_VALUE"""),0.359375)</f>
        <v>0.359375</v>
      </c>
    </row>
    <row r="15962">
      <c r="A15962" s="10" t="s">
        <v>17401</v>
      </c>
      <c r="B15962" s="7" t="str">
        <f>IFERROR(__xludf.DUMMYFUNCTION("SPLIT(A15962,"" "")"),"CNCCN(C)c1ccc2nc(CF)ccc2c1")</f>
        <v>CNCCN(C)c1ccc2nc(CF)ccc2c1</v>
      </c>
      <c r="C15962" s="7">
        <f>IFERROR(__xludf.DUMMYFUNCTION("""COMPUTED_VALUE"""),7.739266)</f>
        <v>7.739266</v>
      </c>
      <c r="D15962" s="7">
        <f>IFERROR(__xludf.DUMMYFUNCTION("""COMPUTED_VALUE"""),0.309090909090909)</f>
        <v>0.3090909091</v>
      </c>
    </row>
    <row r="15963">
      <c r="A15963" s="10" t="s">
        <v>17402</v>
      </c>
      <c r="B15963" s="7" t="str">
        <f>IFERROR(__xludf.DUMMYFUNCTION("SPLIT(A15963,"" "")"),"CN(C)c1ccccc1-c1ccnc(CN(Cc2ccccn2)Cc2cccnc2F)c1")</f>
        <v>CN(C)c1ccccc1-c1ccnc(CN(Cc2ccccn2)Cc2cccnc2F)c1</v>
      </c>
      <c r="C15963" s="7">
        <f>IFERROR(__xludf.DUMMYFUNCTION("""COMPUTED_VALUE"""),7.739263)</f>
        <v>7.739263</v>
      </c>
      <c r="D15963" s="7">
        <f>IFERROR(__xludf.DUMMYFUNCTION("""COMPUTED_VALUE"""),0.434782608695652)</f>
        <v>0.4347826087</v>
      </c>
    </row>
    <row r="15964">
      <c r="A15964" s="10" t="s">
        <v>17403</v>
      </c>
      <c r="B15964" s="7" t="str">
        <f>IFERROR(__xludf.DUMMYFUNCTION("SPLIT(A15964,"" "")"),"Cc1ccc(CN(Cc2ccc(CN(C)Cc3cc(-c4cccc(N(C)Cc5ccc(C)cn5)c4)ccn3)cn2)Cc2cc(C)c(C)c(C)n2)nc1")</f>
        <v>Cc1ccc(CN(Cc2ccc(CN(C)Cc3cc(-c4cccc(N(C)Cc5ccc(C)cn5)c4)ccn3)cn2)Cc2cc(C)c(C)c(C)n2)nc1</v>
      </c>
      <c r="C15964" s="7">
        <f>IFERROR(__xludf.DUMMYFUNCTION("""COMPUTED_VALUE"""),7.7392483)</f>
        <v>7.7392483</v>
      </c>
      <c r="D15964" s="7">
        <f>IFERROR(__xludf.DUMMYFUNCTION("""COMPUTED_VALUE"""),0.349206349206349)</f>
        <v>0.3492063492</v>
      </c>
    </row>
    <row r="15965">
      <c r="A15965" s="10" t="s">
        <v>17404</v>
      </c>
      <c r="B15965" s="7" t="str">
        <f>IFERROR(__xludf.DUMMYFUNCTION("SPLIT(A15965,"" "")"),"Cc1cncc(CN(C)c2ccc(C)c(C)c2C2=CC(N(C)Cc3cc(C)ccn3)C=CN2)c1")</f>
        <v>Cc1cncc(CN(C)c2ccc(C)c(C)c2C2=CC(N(C)Cc3cc(C)ccn3)C=CN2)c1</v>
      </c>
      <c r="C15965" s="7">
        <f>IFERROR(__xludf.DUMMYFUNCTION("""COMPUTED_VALUE"""),7.739247)</f>
        <v>7.739247</v>
      </c>
      <c r="D15965" s="7">
        <f>IFERROR(__xludf.DUMMYFUNCTION("""COMPUTED_VALUE"""),0.25)</f>
        <v>0.25</v>
      </c>
    </row>
    <row r="15966">
      <c r="A15966" s="10" t="s">
        <v>17405</v>
      </c>
      <c r="B15966" s="7" t="str">
        <f>IFERROR(__xludf.DUMMYFUNCTION("SPLIT(A15966,"" "")"),"CC(c1ccccn1)C1OC(c2cccnc2C2CC(C)(C)C2)=NC1=O")</f>
        <v>CC(c1ccccn1)C1OC(c2cccnc2C2CC(C)(C)C2)=NC1=O</v>
      </c>
      <c r="C15966" s="7">
        <f>IFERROR(__xludf.DUMMYFUNCTION("""COMPUTED_VALUE"""),7.739238)</f>
        <v>7.739238</v>
      </c>
      <c r="D15966" s="7">
        <f>IFERROR(__xludf.DUMMYFUNCTION("""COMPUTED_VALUE"""),0.257575757575757)</f>
        <v>0.2575757576</v>
      </c>
    </row>
    <row r="15967">
      <c r="A15967" s="10" t="s">
        <v>17406</v>
      </c>
      <c r="B15967" s="7" t="str">
        <f>IFERROR(__xludf.DUMMYFUNCTION("SPLIT(A15967,"" "")"),"Cc1cnc(CC2CN(C)CCN(C)CC(Cc3nc4ccccc4n3C)N2Cc2nc3ccccc3n2C)c(C)c1C")</f>
        <v>Cc1cnc(CC2CN(C)CCN(C)CC(Cc3nc4ccccc4n3C)N2Cc2nc3ccccc3n2C)c(C)c1C</v>
      </c>
      <c r="C15967" s="7">
        <f>IFERROR(__xludf.DUMMYFUNCTION("""COMPUTED_VALUE"""),7.739237)</f>
        <v>7.739237</v>
      </c>
      <c r="D15967" s="7">
        <f>IFERROR(__xludf.DUMMYFUNCTION("""COMPUTED_VALUE"""),0.473684210526315)</f>
        <v>0.4736842105</v>
      </c>
    </row>
    <row r="15968">
      <c r="A15968" s="10" t="s">
        <v>17407</v>
      </c>
      <c r="B15968" s="7" t="str">
        <f>IFERROR(__xludf.DUMMYFUNCTION("SPLIT(A15968,"" "")"),"CC1=CC(C)CC(CN(C)Cc2cc(-c3cccc(N=Cc4ccccn4)c3)ccn2)=C1")</f>
        <v>CC1=CC(C)CC(CN(C)Cc2cc(-c3cccc(N=Cc4ccccn4)c3)ccn2)=C1</v>
      </c>
      <c r="C15968" s="7">
        <f>IFERROR(__xludf.DUMMYFUNCTION("""COMPUTED_VALUE"""),7.739235)</f>
        <v>7.739235</v>
      </c>
      <c r="D15968" s="7">
        <f>IFERROR(__xludf.DUMMYFUNCTION("""COMPUTED_VALUE"""),0.318840579710144)</f>
        <v>0.3188405797</v>
      </c>
    </row>
    <row r="15969">
      <c r="A15969" s="10" t="s">
        <v>17408</v>
      </c>
      <c r="B15969" s="7" t="str">
        <f>IFERROR(__xludf.DUMMYFUNCTION("SPLIT(A15969,"" "")"),"CCN(Cc1ccccn1)Cc1ccc(-c2ccccc2N=Cc2ccccn2)cn1")</f>
        <v>CCN(Cc1ccccn1)Cc1ccc(-c2ccccc2N=Cc2ccccn2)cn1</v>
      </c>
      <c r="C15969" s="7">
        <f>IFERROR(__xludf.DUMMYFUNCTION("""COMPUTED_VALUE"""),7.7392297)</f>
        <v>7.7392297</v>
      </c>
      <c r="D15969" s="7">
        <f>IFERROR(__xludf.DUMMYFUNCTION("""COMPUTED_VALUE"""),0.418181818181818)</f>
        <v>0.4181818182</v>
      </c>
    </row>
    <row r="15970">
      <c r="A15970" s="10" t="s">
        <v>17409</v>
      </c>
      <c r="B15970" s="7" t="str">
        <f>IFERROR(__xludf.DUMMYFUNCTION("SPLIT(A15970,"" "")"),"CN(C)c1ccccc1-c1ccnc(CN(Cc2ccccn2)Cc2cccc(F)n2)c1")</f>
        <v>CN(C)c1ccccc1-c1ccnc(CN(Cc2ccccn2)Cc2cccc(F)n2)c1</v>
      </c>
      <c r="C15970" s="7">
        <f>IFERROR(__xludf.DUMMYFUNCTION("""COMPUTED_VALUE"""),7.739227)</f>
        <v>7.739227</v>
      </c>
      <c r="D15970" s="7">
        <f>IFERROR(__xludf.DUMMYFUNCTION("""COMPUTED_VALUE"""),0.444444444444444)</f>
        <v>0.4444444444</v>
      </c>
    </row>
    <row r="15971">
      <c r="A15971" s="10" t="s">
        <v>17410</v>
      </c>
      <c r="B15971" s="7" t="str">
        <f>IFERROR(__xludf.DUMMYFUNCTION("SPLIT(A15971,"" "")"),"CCCN(Cc1ccccn1)c1ccc2nccc(CN(C)Cc3ncccc3C)c2c1")</f>
        <v>CCCN(Cc1ccccn1)c1ccc2nccc(CN(C)Cc3ncccc3C)c2c1</v>
      </c>
      <c r="C15971" s="7">
        <f>IFERROR(__xludf.DUMMYFUNCTION("""COMPUTED_VALUE"""),7.7392235)</f>
        <v>7.7392235</v>
      </c>
      <c r="D15971" s="7">
        <f>IFERROR(__xludf.DUMMYFUNCTION("""COMPUTED_VALUE"""),0.349206349206349)</f>
        <v>0.3492063492</v>
      </c>
    </row>
    <row r="15972">
      <c r="A15972" s="10" t="s">
        <v>17411</v>
      </c>
      <c r="B15972" s="7" t="str">
        <f>IFERROR(__xludf.DUMMYFUNCTION("SPLIT(A15972,"" "")"),"CN(Cc1ccccc1)Cc1ncccc1-c1cccc(N(C)C)c1")</f>
        <v>CN(Cc1ccccc1)Cc1ncccc1-c1cccc(N(C)C)c1</v>
      </c>
      <c r="C15972" s="7">
        <f>IFERROR(__xludf.DUMMYFUNCTION("""COMPUTED_VALUE"""),7.739218)</f>
        <v>7.739218</v>
      </c>
      <c r="D15972" s="7">
        <f>IFERROR(__xludf.DUMMYFUNCTION("""COMPUTED_VALUE"""),0.314814814814814)</f>
        <v>0.3148148148</v>
      </c>
    </row>
    <row r="15973">
      <c r="A15973" s="10" t="s">
        <v>17412</v>
      </c>
      <c r="B15973" s="7" t="str">
        <f>IFERROR(__xludf.DUMMYFUNCTION("SPLIT(A15973,"" "")"),"CCNCc1cccc(-c2cccc(N(C)C)c2)n1")</f>
        <v>CCNCc1cccc(-c2cccc(N(C)C)c2)n1</v>
      </c>
      <c r="C15973" s="7">
        <f>IFERROR(__xludf.DUMMYFUNCTION("""COMPUTED_VALUE"""),7.7392163)</f>
        <v>7.7392163</v>
      </c>
      <c r="D15973" s="7">
        <f>IFERROR(__xludf.DUMMYFUNCTION("""COMPUTED_VALUE"""),0.357142857142857)</f>
        <v>0.3571428571</v>
      </c>
    </row>
    <row r="15974">
      <c r="A15974" s="10" t="s">
        <v>17413</v>
      </c>
      <c r="B15974" s="7" t="str">
        <f>IFERROR(__xludf.DUMMYFUNCTION("SPLIT(A15974,"" "")"),"CN(CCN(C)c1ccc2c(CF)ccnc2c1)Cc1ccccn1")</f>
        <v>CN(CCN(C)c1ccc2c(CF)ccnc2c1)Cc1ccccn1</v>
      </c>
      <c r="C15974" s="7">
        <f>IFERROR(__xludf.DUMMYFUNCTION("""COMPUTED_VALUE"""),7.7392125)</f>
        <v>7.7392125</v>
      </c>
      <c r="D15974" s="7">
        <f>IFERROR(__xludf.DUMMYFUNCTION("""COMPUTED_VALUE"""),0.403846153846153)</f>
        <v>0.4038461538</v>
      </c>
    </row>
    <row r="15975">
      <c r="A15975" s="10" t="s">
        <v>17414</v>
      </c>
      <c r="B15975" s="7" t="str">
        <f>IFERROR(__xludf.DUMMYFUNCTION("SPLIT(A15975,"" "")"),"Cc1ccc(-c2ccccc2)c(C2=CC(c3ccccc3)=CC(c3ccccc3)C2NCc2ccccn2)c1NCc1ccccn1")</f>
        <v>Cc1ccc(-c2ccccc2)c(C2=CC(c3ccccc3)=CC(c3ccccc3)C2NCc2ccccn2)c1NCc1ccccn1</v>
      </c>
      <c r="C15975" s="7">
        <f>IFERROR(__xludf.DUMMYFUNCTION("""COMPUTED_VALUE"""),7.73921)</f>
        <v>7.73921</v>
      </c>
      <c r="D15975" s="7">
        <f>IFERROR(__xludf.DUMMYFUNCTION("""COMPUTED_VALUE"""),0.415384615384615)</f>
        <v>0.4153846154</v>
      </c>
    </row>
    <row r="15976">
      <c r="A15976" s="10" t="s">
        <v>17415</v>
      </c>
      <c r="B15976" s="7" t="str">
        <f>IFERROR(__xludf.DUMMYFUNCTION("SPLIT(A15976,"" "")"),"CCN(Cc1cc(C)ccn1)Cc1cc(-c2cccc(N(C)C)c2)ccn1")</f>
        <v>CCN(Cc1cc(C)ccn1)Cc1cc(-c2cccc(N(C)C)c2)ccn1</v>
      </c>
      <c r="C15976" s="7">
        <f>IFERROR(__xludf.DUMMYFUNCTION("""COMPUTED_VALUE"""),7.739185)</f>
        <v>7.739185</v>
      </c>
      <c r="D15976" s="7">
        <f>IFERROR(__xludf.DUMMYFUNCTION("""COMPUTED_VALUE"""),0.320754716981132)</f>
        <v>0.320754717</v>
      </c>
    </row>
    <row r="15977">
      <c r="A15977" s="10" t="s">
        <v>17416</v>
      </c>
      <c r="B15977" s="7" t="str">
        <f>IFERROR(__xludf.DUMMYFUNCTION("SPLIT(A15977,"" "")"),"CN(CCN(C)c1ccc2nccc(CF)c2c1)Cc1ccccn1")</f>
        <v>CN(CCN(C)c1ccc2nccc(CF)c2c1)Cc1ccccn1</v>
      </c>
      <c r="C15977" s="7">
        <f>IFERROR(__xludf.DUMMYFUNCTION("""COMPUTED_VALUE"""),7.7391825)</f>
        <v>7.7391825</v>
      </c>
      <c r="D15977" s="7">
        <f>IFERROR(__xludf.DUMMYFUNCTION("""COMPUTED_VALUE"""),0.396226415094339)</f>
        <v>0.3962264151</v>
      </c>
    </row>
    <row r="15978">
      <c r="A15978" s="10" t="s">
        <v>17417</v>
      </c>
      <c r="B15978" s="7" t="str">
        <f>IFERROR(__xludf.DUMMYFUNCTION("SPLIT(A15978,"" "")"),"CCN(Cc1ccccn1)c1cc(C)c(C)c(N(C)Cc2ccccn2)c1C")</f>
        <v>CCN(Cc1ccccn1)c1cc(C)c(C)c(N(C)Cc2ccccn2)c1C</v>
      </c>
      <c r="C15978" s="7">
        <f>IFERROR(__xludf.DUMMYFUNCTION("""COMPUTED_VALUE"""),7.7391706)</f>
        <v>7.7391706</v>
      </c>
      <c r="D15978" s="7">
        <f>IFERROR(__xludf.DUMMYFUNCTION("""COMPUTED_VALUE"""),0.5)</f>
        <v>0.5</v>
      </c>
    </row>
    <row r="15979">
      <c r="A15979" s="10" t="s">
        <v>17418</v>
      </c>
      <c r="B15979" s="7" t="str">
        <f>IFERROR(__xludf.DUMMYFUNCTION("SPLIT(A15979,"" "")"),"Cc1ccc(CN(C)c2ccccc2-c2cccc(CN(C)C(C)C)n2)nc1C")</f>
        <v>Cc1ccc(CN(C)c2ccccc2-c2cccc(CN(C)C(C)C)n2)nc1C</v>
      </c>
      <c r="C15979" s="7">
        <f>IFERROR(__xludf.DUMMYFUNCTION("""COMPUTED_VALUE"""),7.739167)</f>
        <v>7.739167</v>
      </c>
      <c r="D15979" s="7">
        <f>IFERROR(__xludf.DUMMYFUNCTION("""COMPUTED_VALUE"""),0.339285714285714)</f>
        <v>0.3392857143</v>
      </c>
    </row>
    <row r="15980">
      <c r="A15980" s="10" t="s">
        <v>17419</v>
      </c>
      <c r="B15980" s="7" t="str">
        <f>IFERROR(__xludf.DUMMYFUNCTION("SPLIT(A15980,"" "")"),"CCCN(Cc1ccccn1)C1CCC(N(C)c2ccc3ncc(-c4ccc5ncccc5c4)cc3c2)CC1")</f>
        <v>CCCN(Cc1ccccn1)C1CCC(N(C)c2ccc3ncc(-c4ccc5ncccc5c4)cc3c2)CC1</v>
      </c>
      <c r="C15980" s="7">
        <f>IFERROR(__xludf.DUMMYFUNCTION("""COMPUTED_VALUE"""),7.739154)</f>
        <v>7.739154</v>
      </c>
      <c r="D15980" s="7">
        <f>IFERROR(__xludf.DUMMYFUNCTION("""COMPUTED_VALUE"""),0.338461538461538)</f>
        <v>0.3384615385</v>
      </c>
    </row>
    <row r="15981">
      <c r="A15981" s="10" t="s">
        <v>17420</v>
      </c>
      <c r="B15981" s="7" t="str">
        <f>IFERROR(__xludf.DUMMYFUNCTION("SPLIT(A15981,"" "")"),"CCN(Cc1ccccn1)c1cc2cccnc2cc1CN(C)C(C)(C)c1ccccn1")</f>
        <v>CCN(Cc1ccccn1)c1cc2cccnc2cc1CN(C)C(C)(C)c1ccccn1</v>
      </c>
      <c r="C15981" s="7">
        <f>IFERROR(__xludf.DUMMYFUNCTION("""COMPUTED_VALUE"""),7.7391534)</f>
        <v>7.7391534</v>
      </c>
      <c r="D15981" s="7">
        <f>IFERROR(__xludf.DUMMYFUNCTION("""COMPUTED_VALUE"""),0.392857142857142)</f>
        <v>0.3928571429</v>
      </c>
    </row>
    <row r="15982">
      <c r="A15982" s="10" t="s">
        <v>17421</v>
      </c>
      <c r="B15982" s="7" t="str">
        <f>IFERROR(__xludf.DUMMYFUNCTION("SPLIT(A15982,"" "")"),"CN(C)Cc1cnc2cccc(N(C)CCN(C)Cc3ccccn3)c2c1")</f>
        <v>CN(C)Cc1cnc2cccc(N(C)CCN(C)Cc3ccccn3)c2c1</v>
      </c>
      <c r="C15982" s="7">
        <f>IFERROR(__xludf.DUMMYFUNCTION("""COMPUTED_VALUE"""),7.73915)</f>
        <v>7.73915</v>
      </c>
      <c r="D15982" s="7">
        <f>IFERROR(__xludf.DUMMYFUNCTION("""COMPUTED_VALUE"""),0.433333333333333)</f>
        <v>0.4333333333</v>
      </c>
    </row>
    <row r="15983">
      <c r="A15983" s="10" t="s">
        <v>17422</v>
      </c>
      <c r="B15983" s="7" t="str">
        <f>IFERROR(__xludf.DUMMYFUNCTION("SPLIT(A15983,"" "")"),"CCN(Cc1ccccn1)c1cccc(-c2cc(CN(Cc3ccccn3)Cc3cc(C)ccn3)ccn2)c1-c1cc(C2CCC2(C)C)ccn1")</f>
        <v>CCN(Cc1ccccn1)c1cccc(-c2cc(CN(Cc3ccccn3)Cc3cc(C)ccn3)ccn2)c1-c1cc(C2CCC2(C)C)ccn1</v>
      </c>
      <c r="C15983" s="7">
        <f>IFERROR(__xludf.DUMMYFUNCTION("""COMPUTED_VALUE"""),7.739147)</f>
        <v>7.739147</v>
      </c>
      <c r="D15983" s="7">
        <f>IFERROR(__xludf.DUMMYFUNCTION("""COMPUTED_VALUE"""),0.329268292682926)</f>
        <v>0.3292682927</v>
      </c>
    </row>
    <row r="15984">
      <c r="A15984" s="10" t="s">
        <v>17423</v>
      </c>
      <c r="B15984" s="7" t="str">
        <f>IFERROR(__xludf.DUMMYFUNCTION("SPLIT(A15984,"" "")"),"CC(C)N(C)Cc1cccc(-c2cccc(N=Cc3ccccn3)c2)n1")</f>
        <v>CC(C)N(C)Cc1cccc(-c2cccc(N=Cc3ccccn3)c2)n1</v>
      </c>
      <c r="C15984" s="7">
        <f>IFERROR(__xludf.DUMMYFUNCTION("""COMPUTED_VALUE"""),7.739146)</f>
        <v>7.739146</v>
      </c>
      <c r="D15984" s="7">
        <f>IFERROR(__xludf.DUMMYFUNCTION("""COMPUTED_VALUE"""),0.435483870967741)</f>
        <v>0.435483871</v>
      </c>
    </row>
    <row r="15985">
      <c r="A15985" s="10" t="s">
        <v>17424</v>
      </c>
      <c r="B15985" s="7" t="str">
        <f>IFERROR(__xludf.DUMMYFUNCTION("SPLIT(A15985,"" "")"),"CCN(Cc1cc(-c2cccc(N(C)C)c2)ccn1)Cc1cc(C(C)(C)C)ccn1")</f>
        <v>CCN(Cc1cc(-c2cccc(N(C)C)c2)ccn1)Cc1cc(C(C)(C)C)ccn1</v>
      </c>
      <c r="C15985" s="7">
        <f>IFERROR(__xludf.DUMMYFUNCTION("""COMPUTED_VALUE"""),7.7391434)</f>
        <v>7.7391434</v>
      </c>
      <c r="D15985" s="7">
        <f>IFERROR(__xludf.DUMMYFUNCTION("""COMPUTED_VALUE"""),0.314814814814814)</f>
        <v>0.3148148148</v>
      </c>
    </row>
    <row r="15986">
      <c r="A15986" s="10" t="s">
        <v>17425</v>
      </c>
      <c r="B15986" s="7" t="str">
        <f>IFERROR(__xludf.DUMMYFUNCTION("SPLIT(A15986,"" "")"),"CN(C)Cc1ccc2cc(N(C)CC3=CCCN=C3)ccc2n1")</f>
        <v>CN(C)Cc1ccc2cc(N(C)CC3=CCCN=C3)ccc2n1</v>
      </c>
      <c r="C15986" s="7">
        <f>IFERROR(__xludf.DUMMYFUNCTION("""COMPUTED_VALUE"""),7.7391405)</f>
        <v>7.7391405</v>
      </c>
      <c r="D15986" s="7">
        <f>IFERROR(__xludf.DUMMYFUNCTION("""COMPUTED_VALUE"""),0.3)</f>
        <v>0.3</v>
      </c>
    </row>
    <row r="15987">
      <c r="A15987" s="10" t="s">
        <v>17426</v>
      </c>
      <c r="B15987" s="7" t="str">
        <f>IFERROR(__xludf.DUMMYFUNCTION("SPLIT(A15987,"" "")"),"CN(CCN(C)c1cccc2nccc(CF)c12)Cc1ccccn1")</f>
        <v>CN(CCN(C)c1cccc2nccc(CF)c12)Cc1ccccn1</v>
      </c>
      <c r="C15987" s="7">
        <f>IFERROR(__xludf.DUMMYFUNCTION("""COMPUTED_VALUE"""),7.7391386)</f>
        <v>7.7391386</v>
      </c>
      <c r="D15987" s="7">
        <f>IFERROR(__xludf.DUMMYFUNCTION("""COMPUTED_VALUE"""),0.415094339622641)</f>
        <v>0.4150943396</v>
      </c>
    </row>
    <row r="15988">
      <c r="A15988" s="10" t="s">
        <v>17427</v>
      </c>
      <c r="B15988" s="7" t="str">
        <f>IFERROR(__xludf.DUMMYFUNCTION("SPLIT(A15988,"" "")"),"Cc1ccc(N(C)Cc2cccc(C(C)(C)c3ccccn3)n2)c(C)c1")</f>
        <v>Cc1ccc(N(C)Cc2cccc(C(C)(C)c3ccccn3)n2)c(C)c1</v>
      </c>
      <c r="C15988" s="7">
        <f>IFERROR(__xludf.DUMMYFUNCTION("""COMPUTED_VALUE"""),7.7391253)</f>
        <v>7.7391253</v>
      </c>
      <c r="D15988" s="7">
        <f>IFERROR(__xludf.DUMMYFUNCTION("""COMPUTED_VALUE"""),0.44)</f>
        <v>0.44</v>
      </c>
    </row>
    <row r="15989">
      <c r="A15989" s="10" t="s">
        <v>17428</v>
      </c>
      <c r="B15989" s="7" t="str">
        <f>IFERROR(__xludf.DUMMYFUNCTION("SPLIT(A15989,"" "")"),"Cc1ccc(NCc2ccccn2)cc1-c1ccnc(CNC(C)C)c1")</f>
        <v>Cc1ccc(NCc2ccccn2)cc1-c1ccnc(CNC(C)C)c1</v>
      </c>
      <c r="C15989" s="7">
        <f>IFERROR(__xludf.DUMMYFUNCTION("""COMPUTED_VALUE"""),7.739117)</f>
        <v>7.739117</v>
      </c>
      <c r="D15989" s="7">
        <f>IFERROR(__xludf.DUMMYFUNCTION("""COMPUTED_VALUE"""),0.360655737704918)</f>
        <v>0.3606557377</v>
      </c>
    </row>
    <row r="15990">
      <c r="A15990" s="10" t="s">
        <v>17429</v>
      </c>
      <c r="B15990" s="7" t="str">
        <f>IFERROR(__xludf.DUMMYFUNCTION("SPLIT(A15990,"" "")"),"CNCc1cccc(-c2ccc(NCc3ccccn3)c(C)c2)n1")</f>
        <v>CNCc1cccc(-c2ccc(NCc3ccccn3)c(C)c2)n1</v>
      </c>
      <c r="C15990" s="7">
        <f>IFERROR(__xludf.DUMMYFUNCTION("""COMPUTED_VALUE"""),7.739116)</f>
        <v>7.739116</v>
      </c>
      <c r="D15990" s="7">
        <f>IFERROR(__xludf.DUMMYFUNCTION("""COMPUTED_VALUE"""),0.406779661016949)</f>
        <v>0.406779661</v>
      </c>
    </row>
    <row r="15991">
      <c r="A15991" s="10" t="s">
        <v>17430</v>
      </c>
      <c r="B15991" s="7" t="str">
        <f>IFERROR(__xludf.DUMMYFUNCTION("SPLIT(A15991,"" "")"),"Cc1cncc(CN(C)CCN(C)c2ccc3ccc(CN(C)C)nc3c2)c1")</f>
        <v>Cc1cncc(CN(C)CCN(C)c2ccc3ccc(CN(C)C)nc3c2)c1</v>
      </c>
      <c r="C15991" s="7">
        <f>IFERROR(__xludf.DUMMYFUNCTION("""COMPUTED_VALUE"""),7.7391148)</f>
        <v>7.7391148</v>
      </c>
      <c r="D15991" s="7">
        <f>IFERROR(__xludf.DUMMYFUNCTION("""COMPUTED_VALUE"""),0.352941176470588)</f>
        <v>0.3529411765</v>
      </c>
    </row>
    <row r="15992">
      <c r="A15992" s="10" t="s">
        <v>17431</v>
      </c>
      <c r="B15992" s="7" t="str">
        <f>IFERROR(__xludf.DUMMYFUNCTION("SPLIT(A15992,"" "")"),"C=CCN(C)Cc1cccc(-c2cccc(N(C)C)c2)n1")</f>
        <v>C=CCN(C)Cc1cccc(-c2cccc(N(C)C)c2)n1</v>
      </c>
      <c r="C15992" s="7">
        <f>IFERROR(__xludf.DUMMYFUNCTION("""COMPUTED_VALUE"""),7.739111)</f>
        <v>7.739111</v>
      </c>
      <c r="D15992" s="7">
        <f>IFERROR(__xludf.DUMMYFUNCTION("""COMPUTED_VALUE"""),0.4)</f>
        <v>0.4</v>
      </c>
    </row>
    <row r="15993">
      <c r="A15993" s="10" t="s">
        <v>17432</v>
      </c>
      <c r="B15993" s="7" t="str">
        <f>IFERROR(__xludf.DUMMYFUNCTION("SPLIT(A15993,"" "")"),"CC1=CCC(C)(c2ncccc2CN(Cc2ccccn2)c2cccc3cccnc23)C(C)C1")</f>
        <v>CC1=CCC(C)(c2ncccc2CN(Cc2ccccn2)c2cccc3cccnc23)C(C)C1</v>
      </c>
      <c r="C15993" s="7">
        <f>IFERROR(__xludf.DUMMYFUNCTION("""COMPUTED_VALUE"""),7.73911)</f>
        <v>7.73911</v>
      </c>
      <c r="D15993" s="7">
        <f>IFERROR(__xludf.DUMMYFUNCTION("""COMPUTED_VALUE"""),0.35)</f>
        <v>0.35</v>
      </c>
    </row>
    <row r="15994">
      <c r="A15994" s="10" t="s">
        <v>17433</v>
      </c>
      <c r="B15994" s="7" t="str">
        <f>IFERROR(__xludf.DUMMYFUNCTION("SPLIT(A15994,"" "")"),"Cc1cnc2ccc(N(C)CCN(C)Cc3ccccn3)cc2c1")</f>
        <v>Cc1cnc2ccc(N(C)CCN(C)Cc3ccccn3)cc2c1</v>
      </c>
      <c r="C15994" s="7">
        <f>IFERROR(__xludf.DUMMYFUNCTION("""COMPUTED_VALUE"""),7.739097)</f>
        <v>7.739097</v>
      </c>
      <c r="D15994" s="7">
        <f>IFERROR(__xludf.DUMMYFUNCTION("""COMPUTED_VALUE"""),0.4375)</f>
        <v>0.4375</v>
      </c>
    </row>
    <row r="15995">
      <c r="A15995" s="10" t="s">
        <v>17434</v>
      </c>
      <c r="B15995" s="7" t="str">
        <f>IFERROR(__xludf.DUMMYFUNCTION("SPLIT(A15995,"" "")"),"CC(C)CN(C)Cc1ccc(-c2cccc(N=Cc3ccccn3)c2)cn1")</f>
        <v>CC(C)CN(C)Cc1ccc(-c2cccc(N=Cc3ccccn3)c2)cn1</v>
      </c>
      <c r="C15995" s="7">
        <f>IFERROR(__xludf.DUMMYFUNCTION("""COMPUTED_VALUE"""),7.7390933)</f>
        <v>7.7390933</v>
      </c>
      <c r="D15995" s="7">
        <f>IFERROR(__xludf.DUMMYFUNCTION("""COMPUTED_VALUE"""),0.344262295081967)</f>
        <v>0.3442622951</v>
      </c>
    </row>
    <row r="15996">
      <c r="A15996" s="10" t="s">
        <v>17435</v>
      </c>
      <c r="B15996" s="7" t="str">
        <f>IFERROR(__xludf.DUMMYFUNCTION("SPLIT(A15996,"" "")"),"CC(C)C1=CC2(C=CN1)C=C(c1ccc(CN(Cc3ccccn3)c3ccc4ncccc4c3)cn1)CC(C)(C)C2c1cccc(CN(Cc2ccccn2)Cc2ccccn2)n1")</f>
        <v>CC(C)C1=CC2(C=CN1)C=C(c1ccc(CN(Cc3ccccn3)c3ccc4ncccc4c3)cn1)CC(C)(C)C2c1cccc(CN(Cc2ccccn2)Cc2ccccn2)n1</v>
      </c>
      <c r="C15996" s="7">
        <f>IFERROR(__xludf.DUMMYFUNCTION("""COMPUTED_VALUE"""),7.7390924)</f>
        <v>7.7390924</v>
      </c>
      <c r="D15996" s="7">
        <f>IFERROR(__xludf.DUMMYFUNCTION("""COMPUTED_VALUE"""),0.28235294117647)</f>
        <v>0.2823529412</v>
      </c>
    </row>
    <row r="15997">
      <c r="A15997" s="10" t="s">
        <v>17436</v>
      </c>
      <c r="B15997" s="7" t="str">
        <f>IFERROR(__xludf.DUMMYFUNCTION("SPLIT(A15997,"" "")"),"CC(C)CN(Cc1ccccn1)c1cccc2c(CN(C)Cc3ccccn3)ccnc12")</f>
        <v>CC(C)CN(Cc1ccccn1)c1cccc2c(CN(C)Cc3ccccn3)ccnc12</v>
      </c>
      <c r="C15997" s="7">
        <f>IFERROR(__xludf.DUMMYFUNCTION("""COMPUTED_VALUE"""),7.739088)</f>
        <v>7.739088</v>
      </c>
      <c r="D15997" s="7">
        <f>IFERROR(__xludf.DUMMYFUNCTION("""COMPUTED_VALUE"""),0.425925925925925)</f>
        <v>0.4259259259</v>
      </c>
    </row>
    <row r="15998">
      <c r="A15998" s="10" t="s">
        <v>17437</v>
      </c>
      <c r="B15998" s="7" t="str">
        <f>IFERROR(__xludf.DUMMYFUNCTION("SPLIT(A15998,"" "")"),"CN1CCN(C)CCN(Cc2cnc3c(N(C)c4ccc5ncccc5c4)cccc3c2)CC1")</f>
        <v>CN1CCN(C)CCN(Cc2cnc3c(N(C)c4ccc5ncccc5c4)cccc3c2)CC1</v>
      </c>
      <c r="C15998" s="7">
        <f>IFERROR(__xludf.DUMMYFUNCTION("""COMPUTED_VALUE"""),7.7390776)</f>
        <v>7.7390776</v>
      </c>
      <c r="D15998" s="7">
        <f>IFERROR(__xludf.DUMMYFUNCTION("""COMPUTED_VALUE"""),0.4)</f>
        <v>0.4</v>
      </c>
    </row>
    <row r="15999">
      <c r="A15999" s="10" t="s">
        <v>17438</v>
      </c>
      <c r="B15999" s="7" t="str">
        <f>IFERROR(__xludf.DUMMYFUNCTION("SPLIT(A15999,"" "")"),"Cc1cccc(N(C)CCN(C)Cc2cccc3ncccc23)c1C")</f>
        <v>Cc1cccc(N(C)CCN(C)Cc2cccc3ncccc23)c1C</v>
      </c>
      <c r="C15999" s="7">
        <f>IFERROR(__xludf.DUMMYFUNCTION("""COMPUTED_VALUE"""),7.7390733)</f>
        <v>7.7390733</v>
      </c>
      <c r="D15999" s="7">
        <f>IFERROR(__xludf.DUMMYFUNCTION("""COMPUTED_VALUE"""),0.458333333333333)</f>
        <v>0.4583333333</v>
      </c>
    </row>
    <row r="16000">
      <c r="A16000" s="10" t="s">
        <v>17439</v>
      </c>
      <c r="B16000" s="7" t="str">
        <f>IFERROR(__xludf.DUMMYFUNCTION("SPLIT(A16000,"" "")"),"Cc1cc(NCc2ccccn2)cc(-c2cccc(CN(C)Cc3cc(N)ccn3)n2)c1")</f>
        <v>Cc1cc(NCc2ccccn2)cc(-c2cccc(CN(C)Cc3cc(N)ccn3)n2)c1</v>
      </c>
      <c r="C16000" s="7">
        <f>IFERROR(__xludf.DUMMYFUNCTION("""COMPUTED_VALUE"""),7.7390704)</f>
        <v>7.7390704</v>
      </c>
      <c r="D16000" s="7">
        <f>IFERROR(__xludf.DUMMYFUNCTION("""COMPUTED_VALUE"""),0.482142857142857)</f>
        <v>0.4821428571</v>
      </c>
    </row>
    <row r="16001">
      <c r="A16001" s="10" t="s">
        <v>17440</v>
      </c>
      <c r="B16001" s="7" t="str">
        <f>IFERROR(__xludf.DUMMYFUNCTION("SPLIT(A16001,"" "")"),"CN(Cc1ccccn1)c1ccc2nc(CN(C)C3CCCCC3N(C)c3ccc4cc(CF)cnc4c3)ccc2c1")</f>
        <v>CN(Cc1ccccn1)c1ccc2nc(CN(C)C3CCCCC3N(C)c3ccc4cc(CF)cnc4c3)ccc2c1</v>
      </c>
      <c r="C16001" s="7">
        <f>IFERROR(__xludf.DUMMYFUNCTION("""COMPUTED_VALUE"""),7.739064)</f>
        <v>7.739064</v>
      </c>
      <c r="D16001" s="7">
        <f>IFERROR(__xludf.DUMMYFUNCTION("""COMPUTED_VALUE"""),0.491803278688524)</f>
        <v>0.4918032787</v>
      </c>
    </row>
    <row r="16002">
      <c r="A16002" s="10" t="s">
        <v>17441</v>
      </c>
      <c r="B16002" s="7" t="str">
        <f>IFERROR(__xludf.DUMMYFUNCTION("SPLIT(A16002,"" "")"),"CN(C)CCCN(C)c1ccc2c(CF)ccnc2c1")</f>
        <v>CN(C)CCCN(C)c1ccc2c(CF)ccnc2c1</v>
      </c>
      <c r="C16002" s="7">
        <f>IFERROR(__xludf.DUMMYFUNCTION("""COMPUTED_VALUE"""),7.7390547)</f>
        <v>7.7390547</v>
      </c>
      <c r="D16002" s="7">
        <f>IFERROR(__xludf.DUMMYFUNCTION("""COMPUTED_VALUE"""),0.294117647058823)</f>
        <v>0.2941176471</v>
      </c>
    </row>
    <row r="16003">
      <c r="A16003" s="10" t="s">
        <v>17442</v>
      </c>
      <c r="B16003" s="7" t="str">
        <f>IFERROR(__xludf.DUMMYFUNCTION("SPLIT(A16003,"" "")"),"CC(c1ccccn1)(c1ccccn1)c1cccnc1CNc1cccnc1CF")</f>
        <v>CC(c1ccccn1)(c1ccccn1)c1cccnc1CNc1cccnc1CF</v>
      </c>
      <c r="C16003" s="7">
        <f>IFERROR(__xludf.DUMMYFUNCTION("""COMPUTED_VALUE"""),7.7390437)</f>
        <v>7.7390437</v>
      </c>
      <c r="D16003" s="7">
        <f>IFERROR(__xludf.DUMMYFUNCTION("""COMPUTED_VALUE"""),0.375)</f>
        <v>0.375</v>
      </c>
    </row>
    <row r="16004">
      <c r="A16004" s="10" t="s">
        <v>17443</v>
      </c>
      <c r="B16004" s="7" t="str">
        <f>IFERROR(__xludf.DUMMYFUNCTION("SPLIT(A16004,"" "")"),"Cc1cncc(CN(Cc2ccccn2)Cc2ccc(-c3cccc(N(C)C)c3)cn2)c1")</f>
        <v>Cc1cncc(CN(Cc2ccccn2)Cc2ccc(-c3cccc(N(C)C)c3)cn2)c1</v>
      </c>
      <c r="C16004" s="7">
        <f>IFERROR(__xludf.DUMMYFUNCTION("""COMPUTED_VALUE"""),7.7390394)</f>
        <v>7.7390394</v>
      </c>
      <c r="D16004" s="7">
        <f>IFERROR(__xludf.DUMMYFUNCTION("""COMPUTED_VALUE"""),0.4)</f>
        <v>0.4</v>
      </c>
    </row>
    <row r="16005">
      <c r="A16005" s="10" t="s">
        <v>17444</v>
      </c>
      <c r="B16005" s="7" t="str">
        <f>IFERROR(__xludf.DUMMYFUNCTION("SPLIT(A16005,"" "")"),"CCc1cccc(CN(Cc2ccccn2)Cc2cc(-c3ccccc3N=Cc3ccccn3)ccn2)n1")</f>
        <v>CCc1cccc(CN(Cc2ccccn2)Cc2cc(-c3ccccc3N=Cc3ccccn3)ccn2)n1</v>
      </c>
      <c r="C16005" s="7">
        <f>IFERROR(__xludf.DUMMYFUNCTION("""COMPUTED_VALUE"""),7.739019)</f>
        <v>7.739019</v>
      </c>
      <c r="D16005" s="7">
        <f>IFERROR(__xludf.DUMMYFUNCTION("""COMPUTED_VALUE"""),0.406779661016949)</f>
        <v>0.406779661</v>
      </c>
    </row>
    <row r="16006">
      <c r="A16006" s="10" t="s">
        <v>17445</v>
      </c>
      <c r="B16006" s="7" t="str">
        <f>IFERROR(__xludf.DUMMYFUNCTION("SPLIT(A16006,"" "")"),"Cc1cccc(CN(C)Cc2cccc(-c3cccc(N(C)C)c3)n2)c1")</f>
        <v>Cc1cccc(CN(C)Cc2cccc(-c3cccc(N(C)C)c3)n2)c1</v>
      </c>
      <c r="C16006" s="7">
        <f>IFERROR(__xludf.DUMMYFUNCTION("""COMPUTED_VALUE"""),7.7390127)</f>
        <v>7.7390127</v>
      </c>
      <c r="D16006" s="7">
        <f>IFERROR(__xludf.DUMMYFUNCTION("""COMPUTED_VALUE"""),0.411764705882352)</f>
        <v>0.4117647059</v>
      </c>
    </row>
    <row r="16007">
      <c r="A16007" s="10" t="s">
        <v>17446</v>
      </c>
      <c r="B16007" s="7" t="str">
        <f>IFERROR(__xludf.DUMMYFUNCTION("SPLIT(A16007,"" "")"),"CCN(Cc1ccccn1)c1ccccc1-c1ccc(C(C)(C)C)cn1")</f>
        <v>CCN(Cc1ccccn1)c1ccccc1-c1ccc(C(C)(C)C)cn1</v>
      </c>
      <c r="C16007" s="7">
        <f>IFERROR(__xludf.DUMMYFUNCTION("""COMPUTED_VALUE"""),7.7390065)</f>
        <v>7.7390065</v>
      </c>
      <c r="D16007" s="7">
        <f>IFERROR(__xludf.DUMMYFUNCTION("""COMPUTED_VALUE"""),0.384615384615384)</f>
        <v>0.3846153846</v>
      </c>
    </row>
    <row r="16008">
      <c r="A16008" s="10" t="s">
        <v>17447</v>
      </c>
      <c r="B16008" s="7" t="str">
        <f>IFERROR(__xludf.DUMMYFUNCTION("SPLIT(A16008,"" "")"),"CC1=C(NCc2ccccn2)CC(c2cc(-c3ccccc3)cc(C)c2NCc2ccccn2)C=C1")</f>
        <v>CC1=C(NCc2ccccn2)CC(c2cc(-c3ccccc3)cc(C)c2NCc2ccccn2)C=C1</v>
      </c>
      <c r="C16008" s="7">
        <f>IFERROR(__xludf.DUMMYFUNCTION("""COMPUTED_VALUE"""),7.7390056)</f>
        <v>7.7390056</v>
      </c>
      <c r="D16008" s="7">
        <f>IFERROR(__xludf.DUMMYFUNCTION("""COMPUTED_VALUE"""),0.390625)</f>
        <v>0.390625</v>
      </c>
    </row>
    <row r="16009">
      <c r="A16009" s="10" t="s">
        <v>17448</v>
      </c>
      <c r="B16009" s="7" t="str">
        <f>IFERROR(__xludf.DUMMYFUNCTION("SPLIT(A16009,"" "")"),"Cc1ncccc1CN(C)CCN(C)c1ccc2ncccc2c1")</f>
        <v>Cc1ncccc1CN(C)CCN(C)c1ccc2ncccc2c1</v>
      </c>
      <c r="C16009" s="7">
        <f>IFERROR(__xludf.DUMMYFUNCTION("""COMPUTED_VALUE"""),7.73898)</f>
        <v>7.73898</v>
      </c>
      <c r="D16009" s="7">
        <f>IFERROR(__xludf.DUMMYFUNCTION("""COMPUTED_VALUE"""),0.5)</f>
        <v>0.5</v>
      </c>
    </row>
    <row r="16010">
      <c r="A16010" s="10" t="s">
        <v>17449</v>
      </c>
      <c r="B16010" s="7" t="str">
        <f>IFERROR(__xludf.DUMMYFUNCTION("SPLIT(A16010,"" "")"),"CN(C)Cc1ccc2c(N(C)CCN(C)Cc3ccccn3)cccc2n1")</f>
        <v>CN(C)Cc1ccc2c(N(C)CCN(C)Cc3ccccn3)cccc2n1</v>
      </c>
      <c r="C16010" s="7">
        <f>IFERROR(__xludf.DUMMYFUNCTION("""COMPUTED_VALUE"""),7.73898)</f>
        <v>7.73898</v>
      </c>
      <c r="D16010" s="7">
        <f>IFERROR(__xludf.DUMMYFUNCTION("""COMPUTED_VALUE"""),0.48)</f>
        <v>0.48</v>
      </c>
    </row>
    <row r="16011">
      <c r="A16011" s="10" t="s">
        <v>17450</v>
      </c>
      <c r="B16011" s="7" t="str">
        <f>IFERROR(__xludf.DUMMYFUNCTION("SPLIT(A16011,"" "")"),"CC(C)N(CC1=CC(N(C)c2ccc3ncccc3c2)C=CN1)Cc1ccccn1")</f>
        <v>CC(C)N(CC1=CC(N(C)c2ccc3ncccc3c2)C=CN1)Cc1ccccn1</v>
      </c>
      <c r="C16011" s="7">
        <f>IFERROR(__xludf.DUMMYFUNCTION("""COMPUTED_VALUE"""),7.7389793)</f>
        <v>7.7389793</v>
      </c>
      <c r="D16011" s="7">
        <f>IFERROR(__xludf.DUMMYFUNCTION("""COMPUTED_VALUE"""),0.413793103448275)</f>
        <v>0.4137931034</v>
      </c>
    </row>
    <row r="16012">
      <c r="A16012" s="10" t="s">
        <v>17451</v>
      </c>
      <c r="B16012" s="7" t="str">
        <f>IFERROR(__xludf.DUMMYFUNCTION("SPLIT(A16012,"" "")"),"Cc1cnccc1CN(C)CN(C)c1ccc(Cl)c(N(C)Cc2ccccn2)c1C")</f>
        <v>Cc1cnccc1CN(C)CN(C)c1ccc(Cl)c(N(C)Cc2ccccn2)c1C</v>
      </c>
      <c r="C16012" s="7">
        <f>IFERROR(__xludf.DUMMYFUNCTION("""COMPUTED_VALUE"""),7.738976)</f>
        <v>7.738976</v>
      </c>
      <c r="D16012" s="7">
        <f>IFERROR(__xludf.DUMMYFUNCTION("""COMPUTED_VALUE"""),0.454545454545454)</f>
        <v>0.4545454545</v>
      </c>
    </row>
    <row r="16013">
      <c r="A16013" s="10" t="s">
        <v>17452</v>
      </c>
      <c r="B16013" s="7" t="str">
        <f>IFERROR(__xludf.DUMMYFUNCTION("SPLIT(A16013,"" "")"),"CN(C)c1ccccc1-c1cccnc1CN(Cc1ccccn1)Cc1ccc(F)cn1")</f>
        <v>CN(C)c1ccccc1-c1cccnc1CN(Cc1ccccn1)Cc1ccc(F)cn1</v>
      </c>
      <c r="C16013" s="7">
        <f>IFERROR(__xludf.DUMMYFUNCTION("""COMPUTED_VALUE"""),7.738976)</f>
        <v>7.738976</v>
      </c>
      <c r="D16013" s="7">
        <f>IFERROR(__xludf.DUMMYFUNCTION("""COMPUTED_VALUE"""),0.444444444444444)</f>
        <v>0.4444444444</v>
      </c>
    </row>
    <row r="16014">
      <c r="A16014" s="10" t="s">
        <v>17453</v>
      </c>
      <c r="B16014" s="7" t="str">
        <f>IFERROR(__xludf.DUMMYFUNCTION("SPLIT(A16014,"" "")"),"CC(C)(C)c1cccc(NCc2cc(-c3cccc(NCc4ccccn4)c3)ccn2)c1")</f>
        <v>CC(C)(C)c1cccc(NCc2cc(-c3cccc(NCc4ccccn4)c3)ccn2)c1</v>
      </c>
      <c r="C16014" s="7">
        <f>IFERROR(__xludf.DUMMYFUNCTION("""COMPUTED_VALUE"""),7.738973)</f>
        <v>7.738973</v>
      </c>
      <c r="D16014" s="7">
        <f>IFERROR(__xludf.DUMMYFUNCTION("""COMPUTED_VALUE"""),0.379310344827586)</f>
        <v>0.3793103448</v>
      </c>
    </row>
    <row r="16015">
      <c r="A16015" s="10" t="s">
        <v>17454</v>
      </c>
      <c r="B16015" s="7" t="str">
        <f>IFERROR(__xludf.DUMMYFUNCTION("SPLIT(A16015,"" "")"),"CC(C)N(Cc1ccccn1)c1cccc(-c2cccc(C(C)(C)C)n2)c1")</f>
        <v>CC(C)N(Cc1ccccn1)c1cccc(-c2cccc(C(C)(C)C)n2)c1</v>
      </c>
      <c r="C16015" s="7">
        <f>IFERROR(__xludf.DUMMYFUNCTION("""COMPUTED_VALUE"""),7.738958)</f>
        <v>7.738958</v>
      </c>
      <c r="D16015" s="7">
        <f>IFERROR(__xludf.DUMMYFUNCTION("""COMPUTED_VALUE"""),0.457627118644067)</f>
        <v>0.4576271186</v>
      </c>
    </row>
    <row r="16016">
      <c r="A16016" s="10" t="s">
        <v>17455</v>
      </c>
      <c r="B16016" s="7" t="str">
        <f>IFERROR(__xludf.DUMMYFUNCTION("SPLIT(A16016,"" "")"),"CNCc1ccc2cccc(N(C)C3CCCCC3N(Cc3ccccn3)c3ccc4ncccc4c3)c2n1")</f>
        <v>CNCc1ccc2cccc(N(C)C3CCCCC3N(Cc3ccccn3)c3ccc4ncccc4c3)c2n1</v>
      </c>
      <c r="C16016" s="7">
        <f>IFERROR(__xludf.DUMMYFUNCTION("""COMPUTED_VALUE"""),7.738955)</f>
        <v>7.738955</v>
      </c>
      <c r="D16016" s="7">
        <f>IFERROR(__xludf.DUMMYFUNCTION("""COMPUTED_VALUE"""),0.477611940298507)</f>
        <v>0.4776119403</v>
      </c>
    </row>
    <row r="16017">
      <c r="A16017" s="10" t="s">
        <v>17456</v>
      </c>
      <c r="B16017" s="7" t="str">
        <f>IFERROR(__xludf.DUMMYFUNCTION("SPLIT(A16017,"" "")"),"CCc1ccccc1CNCc1cc(-c2ccccc2N=Cc2ccccn2)ccn1")</f>
        <v>CCc1ccccc1CNCc1cc(-c2ccccc2N=Cc2ccccn2)ccn1</v>
      </c>
      <c r="C16017" s="7">
        <f>IFERROR(__xludf.DUMMYFUNCTION("""COMPUTED_VALUE"""),7.7389536)</f>
        <v>7.7389536</v>
      </c>
      <c r="D16017" s="7">
        <f>IFERROR(__xludf.DUMMYFUNCTION("""COMPUTED_VALUE"""),0.396551724137931)</f>
        <v>0.3965517241</v>
      </c>
    </row>
    <row r="16018">
      <c r="A16018" s="10" t="s">
        <v>17457</v>
      </c>
      <c r="B16018" s="7" t="str">
        <f>IFERROR(__xludf.DUMMYFUNCTION("SPLIT(A16018,"" "")"),"Cc1ccccc1N(C)Cc1ncc(C)c(C)c1C")</f>
        <v>Cc1ccccc1N(C)Cc1ncc(C)c(C)c1C</v>
      </c>
      <c r="C16018" s="7">
        <f>IFERROR(__xludf.DUMMYFUNCTION("""COMPUTED_VALUE"""),7.7389507)</f>
        <v>7.7389507</v>
      </c>
      <c r="D16018" s="7">
        <f>IFERROR(__xludf.DUMMYFUNCTION("""COMPUTED_VALUE"""),0.363636363636363)</f>
        <v>0.3636363636</v>
      </c>
    </row>
    <row r="16019">
      <c r="A16019" s="10" t="s">
        <v>17458</v>
      </c>
      <c r="B16019" s="7" t="str">
        <f>IFERROR(__xludf.DUMMYFUNCTION("SPLIT(A16019,"" "")"),"COC(=O)C(=O)C(=O)C(C)C(C)C(=O)C(=O)C(=O)C(=O)C(=O)C(=O)C(=O)C(=O)C(C)C(=O)C(=O)C(=O)C(=O)C(=O)C(=O)C=O")</f>
        <v>COC(=O)C(=O)C(=O)C(C)C(C)C(=O)C(=O)C(=O)C(=O)C(=O)C(=O)C(=O)C(=O)C(C)C(=O)C(=O)C(=O)C(=O)C(=O)C(=O)C=O</v>
      </c>
      <c r="C16019" s="7">
        <f>IFERROR(__xludf.DUMMYFUNCTION("""COMPUTED_VALUE"""),7.7389493)</f>
        <v>7.7389493</v>
      </c>
      <c r="D16019" s="7">
        <f>IFERROR(__xludf.DUMMYFUNCTION("""COMPUTED_VALUE"""),0.125)</f>
        <v>0.125</v>
      </c>
    </row>
    <row r="16020">
      <c r="A16020" s="10" t="s">
        <v>17459</v>
      </c>
      <c r="B16020" s="7" t="str">
        <f>IFERROR(__xludf.DUMMYFUNCTION("SPLIT(A16020,"" "")"),"CN(Cc1ccc2ncccc2c1)C1NC=CC=C1N(C)C1C=CC=CN1")</f>
        <v>CN(Cc1ccc2ncccc2c1)C1NC=CC=C1N(C)C1C=CC=CN1</v>
      </c>
      <c r="C16020" s="7">
        <f>IFERROR(__xludf.DUMMYFUNCTION("""COMPUTED_VALUE"""),7.738947)</f>
        <v>7.738947</v>
      </c>
      <c r="D16020" s="7">
        <f>IFERROR(__xludf.DUMMYFUNCTION("""COMPUTED_VALUE"""),0.298507462686567)</f>
        <v>0.2985074627</v>
      </c>
    </row>
    <row r="16021">
      <c r="A16021" s="10" t="s">
        <v>17460</v>
      </c>
      <c r="B16021" s="7" t="str">
        <f>IFERROR(__xludf.DUMMYFUNCTION("SPLIT(A16021,"" "")"),"Cc1cccc(N(C)CC2=CCC=C(N(C)Cc3ccccn3)N2)c1")</f>
        <v>Cc1cccc(N(C)CC2=CCC=C(N(C)Cc3ccccn3)N2)c1</v>
      </c>
      <c r="C16021" s="7">
        <f>IFERROR(__xludf.DUMMYFUNCTION("""COMPUTED_VALUE"""),7.7389216)</f>
        <v>7.7389216</v>
      </c>
      <c r="D16021" s="7">
        <f>IFERROR(__xludf.DUMMYFUNCTION("""COMPUTED_VALUE"""),0.413793103448275)</f>
        <v>0.4137931034</v>
      </c>
    </row>
    <row r="16022">
      <c r="A16022" s="10" t="s">
        <v>17461</v>
      </c>
      <c r="B16022" s="7" t="str">
        <f>IFERROR(__xludf.DUMMYFUNCTION("SPLIT(A16022,"" "")"),"Cc1cc(C)nc(CN(C)CCN(Cc2ccccn2)c2cccc3ncc(CF)cc23)c1")</f>
        <v>Cc1cc(C)nc(CN(C)CCN(Cc2ccccn2)c2cccc3ncc(CF)cc23)c1</v>
      </c>
      <c r="C16022" s="7">
        <f>IFERROR(__xludf.DUMMYFUNCTION("""COMPUTED_VALUE"""),7.7389107)</f>
        <v>7.7389107</v>
      </c>
      <c r="D16022" s="7">
        <f>IFERROR(__xludf.DUMMYFUNCTION("""COMPUTED_VALUE"""),0.366666666666666)</f>
        <v>0.3666666667</v>
      </c>
    </row>
    <row r="16023">
      <c r="A16023" s="10" t="s">
        <v>17462</v>
      </c>
      <c r="B16023" s="7" t="str">
        <f>IFERROR(__xludf.DUMMYFUNCTION("SPLIT(A16023,"" "")"),"Cc1ccc2nc(CN(C)C3CCCC(N(C)c4ccc5nccc(CN(C)C)c5c4)C3)ccc2c1")</f>
        <v>Cc1ccc2nc(CN(C)C3CCCC(N(C)c4ccc5nccc(CN(C)C)c5c4)C3)ccc2c1</v>
      </c>
      <c r="C16023" s="7">
        <f>IFERROR(__xludf.DUMMYFUNCTION("""COMPUTED_VALUE"""),7.7389097)</f>
        <v>7.7389097</v>
      </c>
      <c r="D16023" s="7">
        <f>IFERROR(__xludf.DUMMYFUNCTION("""COMPUTED_VALUE"""),0.318181818181818)</f>
        <v>0.3181818182</v>
      </c>
    </row>
    <row r="16024">
      <c r="A16024" s="10" t="s">
        <v>17463</v>
      </c>
      <c r="B16024" s="7" t="str">
        <f>IFERROR(__xludf.DUMMYFUNCTION("SPLIT(A16024,"" "")"),"Cc1cnccc1CN(C)CCN(C)c1ccc2ncccc2c1")</f>
        <v>Cc1cnccc1CN(C)CCN(C)c1ccc2ncccc2c1</v>
      </c>
      <c r="C16024" s="7">
        <f>IFERROR(__xludf.DUMMYFUNCTION("""COMPUTED_VALUE"""),7.738905)</f>
        <v>7.738905</v>
      </c>
      <c r="D16024" s="7">
        <f>IFERROR(__xludf.DUMMYFUNCTION("""COMPUTED_VALUE"""),0.431372549019607)</f>
        <v>0.431372549</v>
      </c>
    </row>
    <row r="16025">
      <c r="A16025" s="10" t="s">
        <v>17464</v>
      </c>
      <c r="B16025" s="7" t="str">
        <f>IFERROR(__xludf.DUMMYFUNCTION("SPLIT(A16025,"" "")"),"C1=CNC(NCc2ccccn2)C(c2ccccc2N=Cc2ccccn2)=C1")</f>
        <v>C1=CNC(NCc2ccccn2)C(c2ccccc2N=Cc2ccccn2)=C1</v>
      </c>
      <c r="C16025" s="7">
        <f>IFERROR(__xludf.DUMMYFUNCTION("""COMPUTED_VALUE"""),7.738904)</f>
        <v>7.738904</v>
      </c>
      <c r="D16025" s="7">
        <f>IFERROR(__xludf.DUMMYFUNCTION("""COMPUTED_VALUE"""),0.392857142857142)</f>
        <v>0.3928571429</v>
      </c>
    </row>
    <row r="16026">
      <c r="A16026" s="10" t="s">
        <v>17465</v>
      </c>
      <c r="B16026" s="7" t="str">
        <f>IFERROR(__xludf.DUMMYFUNCTION("SPLIT(A16026,"" "")"),"Cc1ccc(CN(Cc2ccccn2)Cc2cc(-c3ccccc3N(C)C)ccn2)nc1")</f>
        <v>Cc1ccc(CN(Cc2ccccn2)Cc2cc(-c3ccccc3N(C)C)ccn2)nc1</v>
      </c>
      <c r="C16026" s="7">
        <f>IFERROR(__xludf.DUMMYFUNCTION("""COMPUTED_VALUE"""),7.7389026)</f>
        <v>7.7389026</v>
      </c>
      <c r="D16026" s="7">
        <f>IFERROR(__xludf.DUMMYFUNCTION("""COMPUTED_VALUE"""),0.444444444444444)</f>
        <v>0.4444444444</v>
      </c>
    </row>
    <row r="16027">
      <c r="A16027" s="10" t="s">
        <v>17466</v>
      </c>
      <c r="B16027" s="7" t="str">
        <f>IFERROR(__xludf.DUMMYFUNCTION("SPLIT(A16027,"" "")"),"Cc1ccc(N(C)Cc2ncccc2C(C)(C)c2ccccn2)c(C)c1")</f>
        <v>Cc1ccc(N(C)Cc2ncccc2C(C)(C)c2ccccn2)c(C)c1</v>
      </c>
      <c r="C16027" s="7">
        <f>IFERROR(__xludf.DUMMYFUNCTION("""COMPUTED_VALUE"""),7.738902)</f>
        <v>7.738902</v>
      </c>
      <c r="D16027" s="7">
        <f>IFERROR(__xludf.DUMMYFUNCTION("""COMPUTED_VALUE"""),0.358490566037735)</f>
        <v>0.358490566</v>
      </c>
    </row>
    <row r="16028">
      <c r="A16028" s="10" t="s">
        <v>17467</v>
      </c>
      <c r="B16028" s="7" t="str">
        <f>IFERROR(__xludf.DUMMYFUNCTION("SPLIT(A16028,"" "")"),"CC(C)N(C)Cc1cncc(-c2cccc(N=Cc3ccccn3)c2)c1")</f>
        <v>CC(C)N(C)Cc1cncc(-c2cccc(N=Cc3ccccn3)c2)c1</v>
      </c>
      <c r="C16028" s="7">
        <f>IFERROR(__xludf.DUMMYFUNCTION("""COMPUTED_VALUE"""),7.7389016)</f>
        <v>7.7389016</v>
      </c>
      <c r="D16028" s="7">
        <f>IFERROR(__xludf.DUMMYFUNCTION("""COMPUTED_VALUE"""),0.35)</f>
        <v>0.35</v>
      </c>
    </row>
    <row r="16029">
      <c r="A16029" s="10" t="s">
        <v>17468</v>
      </c>
      <c r="B16029" s="7" t="str">
        <f>IFERROR(__xludf.DUMMYFUNCTION("SPLIT(A16029,"" "")"),"CC(C)c1ncccc1CN(Cc1ccccn1)Cc1ccc(-c2cccc(N(C)C)c2)cn1")</f>
        <v>CC(C)c1ncccc1CN(Cc1ccccn1)Cc1ccc(-c2cccc(N(C)C)c2)cn1</v>
      </c>
      <c r="C16029" s="7">
        <f>IFERROR(__xludf.DUMMYFUNCTION("""COMPUTED_VALUE"""),7.738901)</f>
        <v>7.738901</v>
      </c>
      <c r="D16029" s="7">
        <f>IFERROR(__xludf.DUMMYFUNCTION("""COMPUTED_VALUE"""),0.4)</f>
        <v>0.4</v>
      </c>
    </row>
    <row r="16030">
      <c r="A16030" s="10" t="s">
        <v>17469</v>
      </c>
      <c r="B16030" s="7" t="str">
        <f>IFERROR(__xludf.DUMMYFUNCTION("SPLIT(A16030,"" "")"),"CNCCN(Cc1ccccn1)c1cccc2cccnc12")</f>
        <v>CNCCN(Cc1ccccn1)c1cccc2cccnc12</v>
      </c>
      <c r="C16030" s="7">
        <f>IFERROR(__xludf.DUMMYFUNCTION("""COMPUTED_VALUE"""),7.7388783)</f>
        <v>7.7388783</v>
      </c>
      <c r="D16030" s="7">
        <f>IFERROR(__xludf.DUMMYFUNCTION("""COMPUTED_VALUE"""),0.488888888888888)</f>
        <v>0.4888888889</v>
      </c>
    </row>
    <row r="16031">
      <c r="A16031" s="10" t="s">
        <v>17470</v>
      </c>
      <c r="B16031" s="7" t="str">
        <f>IFERROR(__xludf.DUMMYFUNCTION("SPLIT(A16031,"" "")"),"Cc1cccnc1CN(CCN(C)c1ccc2nccc(C)c2c1)Cc1cccnc1C(C)(C)C")</f>
        <v>Cc1cccnc1CN(CCN(C)c1ccc2nccc(C)c2c1)Cc1cccnc1C(C)(C)C</v>
      </c>
      <c r="C16031" s="7">
        <f>IFERROR(__xludf.DUMMYFUNCTION("""COMPUTED_VALUE"""),7.7388697)</f>
        <v>7.7388697</v>
      </c>
      <c r="D16031" s="7">
        <f>IFERROR(__xludf.DUMMYFUNCTION("""COMPUTED_VALUE"""),0.285714285714285)</f>
        <v>0.2857142857</v>
      </c>
    </row>
    <row r="16032">
      <c r="A16032" s="10" t="s">
        <v>17471</v>
      </c>
      <c r="B16032" s="7" t="str">
        <f>IFERROR(__xludf.DUMMYFUNCTION("SPLIT(A16032,"" "")"),"Cc1cc(N)ccc1-c1ccc(CN(C)Cc2cccnn2)cn1")</f>
        <v>Cc1cc(N)ccc1-c1ccc(CN(C)Cc2cccnn2)cn1</v>
      </c>
      <c r="C16032" s="7">
        <f>IFERROR(__xludf.DUMMYFUNCTION("""COMPUTED_VALUE"""),7.7388625)</f>
        <v>7.7388625</v>
      </c>
      <c r="D16032" s="7">
        <f>IFERROR(__xludf.DUMMYFUNCTION("""COMPUTED_VALUE"""),0.44)</f>
        <v>0.44</v>
      </c>
    </row>
    <row r="16033">
      <c r="A16033" s="10" t="s">
        <v>17472</v>
      </c>
      <c r="B16033" s="7" t="str">
        <f>IFERROR(__xludf.DUMMYFUNCTION("SPLIT(A16033,"" "")"),"Cc1cc(NCc2ccccn2)ccc1-c1cccnc1CN(C)Cc1ccccn1")</f>
        <v>Cc1cc(NCc2ccccn2)ccc1-c1cccnc1CN(C)Cc1ccccn1</v>
      </c>
      <c r="C16033" s="7">
        <f>IFERROR(__xludf.DUMMYFUNCTION("""COMPUTED_VALUE"""),7.7388544)</f>
        <v>7.7388544</v>
      </c>
      <c r="D16033" s="7">
        <f>IFERROR(__xludf.DUMMYFUNCTION("""COMPUTED_VALUE"""),0.4)</f>
        <v>0.4</v>
      </c>
    </row>
    <row r="16034">
      <c r="A16034" s="10" t="s">
        <v>17473</v>
      </c>
      <c r="B16034" s="7" t="str">
        <f>IFERROR(__xludf.DUMMYFUNCTION("SPLIT(A16034,"" "")"),"C1=CNC(c2ccccn2)=CC1")</f>
        <v>C1=CNC(c2ccccn2)=CC1</v>
      </c>
      <c r="C16034" s="7">
        <f>IFERROR(__xludf.DUMMYFUNCTION("""COMPUTED_VALUE"""),7.738853)</f>
        <v>7.738853</v>
      </c>
      <c r="D16034" s="7">
        <f>IFERROR(__xludf.DUMMYFUNCTION("""COMPUTED_VALUE"""),0.5)</f>
        <v>0.5</v>
      </c>
    </row>
    <row r="16035">
      <c r="A16035" s="10" t="s">
        <v>17474</v>
      </c>
      <c r="B16035" s="7" t="str">
        <f>IFERROR(__xludf.DUMMYFUNCTION("SPLIT(A16035,"" "")"),"CC(C)C(C)N(C)Cc1cc(N(C)c2ccc3cccnc3c2)ccn1")</f>
        <v>CC(C)C(C)N(C)Cc1cc(N(C)c2ccc3cccnc3c2)ccn1</v>
      </c>
      <c r="C16035" s="7">
        <f>IFERROR(__xludf.DUMMYFUNCTION("""COMPUTED_VALUE"""),7.7388463)</f>
        <v>7.7388463</v>
      </c>
      <c r="D16035" s="7">
        <f>IFERROR(__xludf.DUMMYFUNCTION("""COMPUTED_VALUE"""),0.351851851851851)</f>
        <v>0.3518518519</v>
      </c>
    </row>
    <row r="16036">
      <c r="A16036" s="10" t="s">
        <v>17475</v>
      </c>
      <c r="B16036" s="7" t="str">
        <f>IFERROR(__xludf.DUMMYFUNCTION("SPLIT(A16036,"" "")"),"Cc1cc(C)c(C)c(CN(C)c2ccccc2C)n1")</f>
        <v>Cc1cc(C)c(C)c(CN(C)c2ccccc2C)n1</v>
      </c>
      <c r="C16036" s="7">
        <f>IFERROR(__xludf.DUMMYFUNCTION("""COMPUTED_VALUE"""),7.7388415)</f>
        <v>7.7388415</v>
      </c>
      <c r="D16036" s="7">
        <f>IFERROR(__xludf.DUMMYFUNCTION("""COMPUTED_VALUE"""),0.326086956521739)</f>
        <v>0.3260869565</v>
      </c>
    </row>
    <row r="16037">
      <c r="A16037" s="10" t="s">
        <v>17476</v>
      </c>
      <c r="B16037" s="7" t="str">
        <f>IFERROR(__xludf.DUMMYFUNCTION("SPLIT(A16037,"" "")"),"CC(C)NCCN(C)c1cccc2ncccc12")</f>
        <v>CC(C)NCCN(C)c1cccc2ncccc12</v>
      </c>
      <c r="C16037" s="7">
        <f>IFERROR(__xludf.DUMMYFUNCTION("""COMPUTED_VALUE"""),7.738835)</f>
        <v>7.738835</v>
      </c>
      <c r="D16037" s="7">
        <f>IFERROR(__xludf.DUMMYFUNCTION("""COMPUTED_VALUE"""),0.454545454545454)</f>
        <v>0.4545454545</v>
      </c>
    </row>
    <row r="16038">
      <c r="A16038" s="10" t="s">
        <v>17477</v>
      </c>
      <c r="B16038" s="7" t="str">
        <f>IFERROR(__xludf.DUMMYFUNCTION("SPLIT(A16038,"" "")"),"CC(C)C1(C)N=COC1c1ncccc1CN(Cc1ccccn1)Cc1cc(-c2ccc(N=Cc3ccccn3)cc2)ccn1")</f>
        <v>CC(C)C1(C)N=COC1c1ncccc1CN(Cc1ccccn1)Cc1cc(-c2ccc(N=Cc3ccccn3)cc2)ccn1</v>
      </c>
      <c r="C16038" s="7">
        <f>IFERROR(__xludf.DUMMYFUNCTION("""COMPUTED_VALUE"""),7.738822)</f>
        <v>7.738822</v>
      </c>
      <c r="D16038" s="7">
        <f>IFERROR(__xludf.DUMMYFUNCTION("""COMPUTED_VALUE"""),0.294117647058823)</f>
        <v>0.2941176471</v>
      </c>
    </row>
    <row r="16039">
      <c r="A16039" s="10" t="s">
        <v>17478</v>
      </c>
      <c r="B16039" s="7" t="str">
        <f>IFERROR(__xludf.DUMMYFUNCTION("SPLIT(A16039,"" "")"),"CCNCc1ncccc1-c1ccc(N(C)C2CCC(N(C)c3ccc4c(CF)ccnc4c3)CC2)cc1C")</f>
        <v>CCNCc1ncccc1-c1ccc(N(C)C2CCC(N(C)c3ccc4c(CF)ccnc4c3)CC2)cc1C</v>
      </c>
      <c r="C16039" s="7">
        <f>IFERROR(__xludf.DUMMYFUNCTION("""COMPUTED_VALUE"""),7.7388077)</f>
        <v>7.7388077</v>
      </c>
      <c r="D16039" s="7">
        <f>IFERROR(__xludf.DUMMYFUNCTION("""COMPUTED_VALUE"""),0.213333333333333)</f>
        <v>0.2133333333</v>
      </c>
    </row>
    <row r="16040">
      <c r="A16040" s="10" t="s">
        <v>17479</v>
      </c>
      <c r="B16040" s="7" t="str">
        <f>IFERROR(__xludf.DUMMYFUNCTION("SPLIT(A16040,"" "")"),"CCN(c1ccc2ncccc2c1)C1CCCCC1N(C)c1ccc2ncccc2c1")</f>
        <v>CCN(c1ccc2ncccc2c1)C1CCCCC1N(C)c1ccc2ncccc2c1</v>
      </c>
      <c r="C16040" s="7">
        <f>IFERROR(__xludf.DUMMYFUNCTION("""COMPUTED_VALUE"""),7.7388067)</f>
        <v>7.7388067</v>
      </c>
      <c r="D16040" s="7">
        <f>IFERROR(__xludf.DUMMYFUNCTION("""COMPUTED_VALUE"""),0.489795918367346)</f>
        <v>0.4897959184</v>
      </c>
    </row>
    <row r="16041">
      <c r="A16041" s="10" t="s">
        <v>17480</v>
      </c>
      <c r="B16041" s="7" t="str">
        <f>IFERROR(__xludf.DUMMYFUNCTION("SPLIT(A16041,"" "")"),"Cc1ccccc1CN(C)Cc1cc(-c2ccccc2N(C)C)ccn1")</f>
        <v>Cc1ccccc1CN(C)Cc1cc(-c2ccccc2N(C)C)ccn1</v>
      </c>
      <c r="C16041" s="7">
        <f>IFERROR(__xludf.DUMMYFUNCTION("""COMPUTED_VALUE"""),7.738801)</f>
        <v>7.738801</v>
      </c>
      <c r="D16041" s="7">
        <f>IFERROR(__xludf.DUMMYFUNCTION("""COMPUTED_VALUE"""),0.333333333333333)</f>
        <v>0.3333333333</v>
      </c>
    </row>
    <row r="16042">
      <c r="A16042" s="10" t="s">
        <v>17481</v>
      </c>
      <c r="B16042" s="7" t="str">
        <f>IFERROR(__xludf.DUMMYFUNCTION("SPLIT(A16042,"" "")"),"CN(C)c1ccccc1-c1cccnc1CN(Cc1ccc(F)nc1)Cc1ccccn1")</f>
        <v>CN(C)c1ccccc1-c1cccnc1CN(Cc1ccc(F)nc1)Cc1ccccn1</v>
      </c>
      <c r="C16042" s="7">
        <f>IFERROR(__xludf.DUMMYFUNCTION("""COMPUTED_VALUE"""),7.738796)</f>
        <v>7.738796</v>
      </c>
      <c r="D16042" s="7">
        <f>IFERROR(__xludf.DUMMYFUNCTION("""COMPUTED_VALUE"""),0.416666666666666)</f>
        <v>0.4166666667</v>
      </c>
    </row>
    <row r="16043">
      <c r="A16043" s="10" t="s">
        <v>17482</v>
      </c>
      <c r="B16043" s="7" t="str">
        <f>IFERROR(__xludf.DUMMYFUNCTION("SPLIT(A16043,"" "")"),"Cc1cc(CN(C)CCN(C)c2ccc3cccnc3c2)ccn1")</f>
        <v>Cc1cc(CN(C)CCN(C)c2ccc3cccnc3c2)ccn1</v>
      </c>
      <c r="C16043" s="7">
        <f>IFERROR(__xludf.DUMMYFUNCTION("""COMPUTED_VALUE"""),7.7387767)</f>
        <v>7.7387767</v>
      </c>
      <c r="D16043" s="7">
        <f>IFERROR(__xludf.DUMMYFUNCTION("""COMPUTED_VALUE"""),0.384615384615384)</f>
        <v>0.3846153846</v>
      </c>
    </row>
    <row r="16044">
      <c r="A16044" s="10" t="s">
        <v>17483</v>
      </c>
      <c r="B16044" s="7" t="str">
        <f>IFERROR(__xludf.DUMMYFUNCTION("SPLIT(A16044,"" "")"),"CC(C)C(C)N(C)Cc1cc(N(C)c2ccc3ncccc3c2)ccn1")</f>
        <v>CC(C)C(C)N(C)Cc1cc(N(C)c2ccc3ncccc3c2)ccn1</v>
      </c>
      <c r="C16044" s="7">
        <f>IFERROR(__xludf.DUMMYFUNCTION("""COMPUTED_VALUE"""),7.7387743)</f>
        <v>7.7387743</v>
      </c>
      <c r="D16044" s="7">
        <f>IFERROR(__xludf.DUMMYFUNCTION("""COMPUTED_VALUE"""),0.310344827586206)</f>
        <v>0.3103448276</v>
      </c>
    </row>
    <row r="16045">
      <c r="A16045" s="10" t="s">
        <v>17484</v>
      </c>
      <c r="B16045" s="7" t="str">
        <f>IFERROR(__xludf.DUMMYFUNCTION("SPLIT(A16045,"" "")"),"CC(c1ccccn1)(c1ccccn1)c1cccc(CNC2=CCC=CN2)n1")</f>
        <v>CC(c1ccccn1)(c1ccccn1)c1cccc(CNC2=CCC=CN2)n1</v>
      </c>
      <c r="C16045" s="7">
        <f>IFERROR(__xludf.DUMMYFUNCTION("""COMPUTED_VALUE"""),7.7387605)</f>
        <v>7.7387605</v>
      </c>
      <c r="D16045" s="7">
        <f>IFERROR(__xludf.DUMMYFUNCTION("""COMPUTED_VALUE"""),0.43103448275862)</f>
        <v>0.4310344828</v>
      </c>
    </row>
    <row r="16046">
      <c r="A16046" s="10" t="s">
        <v>17485</v>
      </c>
      <c r="B16046" s="7" t="str">
        <f>IFERROR(__xludf.DUMMYFUNCTION("SPLIT(A16046,"" "")"),"Cc1ccc(N)cc1-c1ccc(CN(C)Cc2cc(N)ccn2)cn1")</f>
        <v>Cc1ccc(N)cc1-c1ccc(CN(C)Cc2cc(N)ccn2)cn1</v>
      </c>
      <c r="C16046" s="7">
        <f>IFERROR(__xludf.DUMMYFUNCTION("""COMPUTED_VALUE"""),7.7387567)</f>
        <v>7.7387567</v>
      </c>
      <c r="D16046" s="7">
        <f>IFERROR(__xludf.DUMMYFUNCTION("""COMPUTED_VALUE"""),0.298245614035087)</f>
        <v>0.298245614</v>
      </c>
    </row>
    <row r="16047">
      <c r="A16047" s="10" t="s">
        <v>17486</v>
      </c>
      <c r="B16047" s="7" t="str">
        <f>IFERROR(__xludf.DUMMYFUNCTION("SPLIT(A16047,"" "")"),"Cc1ccnc2c(C3CN(C)CCN(C)CCN3Cc3nc4ccccc4n3C)cccc12")</f>
        <v>Cc1ccnc2c(C3CN(C)CCN(C)CCN3Cc3nc4ccccc4n3C)cccc12</v>
      </c>
      <c r="C16047" s="7">
        <f>IFERROR(__xludf.DUMMYFUNCTION("""COMPUTED_VALUE"""),7.7387486)</f>
        <v>7.7387486</v>
      </c>
      <c r="D16047" s="7">
        <f>IFERROR(__xludf.DUMMYFUNCTION("""COMPUTED_VALUE"""),0.47457627118644)</f>
        <v>0.4745762712</v>
      </c>
    </row>
    <row r="16048">
      <c r="A16048" s="10" t="s">
        <v>17487</v>
      </c>
      <c r="B16048" s="7" t="str">
        <f>IFERROR(__xludf.DUMMYFUNCTION("SPLIT(A16048,"" "")"),"CC(C)N(Cc1ccccn1)Cc1ccc(-c2cccc(N=Cc3ccccn3)c2)cn1")</f>
        <v>CC(C)N(Cc1ccccn1)Cc1ccc(-c2cccc(N=Cc3ccccn3)c2)cn1</v>
      </c>
      <c r="C16048" s="7">
        <f>IFERROR(__xludf.DUMMYFUNCTION("""COMPUTED_VALUE"""),7.738746)</f>
        <v>7.738746</v>
      </c>
      <c r="D16048" s="7">
        <f>IFERROR(__xludf.DUMMYFUNCTION("""COMPUTED_VALUE"""),0.461538461538461)</f>
        <v>0.4615384615</v>
      </c>
    </row>
    <row r="16049">
      <c r="A16049" s="10" t="s">
        <v>17488</v>
      </c>
      <c r="B16049" s="7" t="str">
        <f>IFERROR(__xludf.DUMMYFUNCTION("SPLIT(A16049,"" "")"),"CN(C)c1ccccc1-c1cccc(CN(Cc2cccc(F)n2)Cc2cccc(F)n2)n1")</f>
        <v>CN(C)c1ccccc1-c1cccc(CN(Cc2cccc(F)n2)Cc2cccc(F)n2)n1</v>
      </c>
      <c r="C16049" s="7">
        <f>IFERROR(__xludf.DUMMYFUNCTION("""COMPUTED_VALUE"""),7.7387424)</f>
        <v>7.7387424</v>
      </c>
      <c r="D16049" s="7">
        <f>IFERROR(__xludf.DUMMYFUNCTION("""COMPUTED_VALUE"""),0.416666666666666)</f>
        <v>0.4166666667</v>
      </c>
    </row>
    <row r="16050">
      <c r="A16050" s="10" t="s">
        <v>17489</v>
      </c>
      <c r="B16050" s="7" t="str">
        <f>IFERROR(__xludf.DUMMYFUNCTION("SPLIT(A16050,"" "")"),"C=Nc1ccccc1-c1cccc(CN(C)Cc2cccc(C3COC(CC)=N3)n2)n1")</f>
        <v>C=Nc1ccccc1-c1cccc(CN(C)Cc2cccc(C3COC(CC)=N3)n2)n1</v>
      </c>
      <c r="C16050" s="7">
        <f>IFERROR(__xludf.DUMMYFUNCTION("""COMPUTED_VALUE"""),7.7387376)</f>
        <v>7.7387376</v>
      </c>
      <c r="D16050" s="7">
        <f>IFERROR(__xludf.DUMMYFUNCTION("""COMPUTED_VALUE"""),0.354838709677419)</f>
        <v>0.3548387097</v>
      </c>
    </row>
    <row r="16051">
      <c r="A16051" s="10" t="s">
        <v>17490</v>
      </c>
      <c r="B16051" s="7" t="str">
        <f>IFERROR(__xludf.DUMMYFUNCTION("SPLIT(A16051,"" "")"),"CN(Cc1ccccn1)C1CCC(N(C)c2ccc3ccc(CF)nc3c2)C(N(Cc2ccccn2)c2ccc3cccnc3c2)C1")</f>
        <v>CN(Cc1ccccn1)C1CCC(N(C)c2ccc3ccc(CF)nc3c2)C(N(Cc2ccccn2)c2ccc3cccnc3c2)C1</v>
      </c>
      <c r="C16051" s="7">
        <f>IFERROR(__xludf.DUMMYFUNCTION("""COMPUTED_VALUE"""),7.738731)</f>
        <v>7.738731</v>
      </c>
      <c r="D16051" s="7">
        <f>IFERROR(__xludf.DUMMYFUNCTION("""COMPUTED_VALUE"""),0.384615384615384)</f>
        <v>0.3846153846</v>
      </c>
    </row>
    <row r="16052">
      <c r="A16052" s="10" t="s">
        <v>17491</v>
      </c>
      <c r="B16052" s="7" t="str">
        <f>IFERROR(__xludf.DUMMYFUNCTION("SPLIT(A16052,"" "")"),"CC(C)N(C)C1=CNC=CC1CN(C)c1ccc2cccnc2c1")</f>
        <v>CC(C)N(C)C1=CNC=CC1CN(C)c1ccc2cccnc2c1</v>
      </c>
      <c r="C16052" s="7">
        <f>IFERROR(__xludf.DUMMYFUNCTION("""COMPUTED_VALUE"""),7.7387247)</f>
        <v>7.7387247</v>
      </c>
      <c r="D16052" s="7">
        <f>IFERROR(__xludf.DUMMYFUNCTION("""COMPUTED_VALUE"""),0.3)</f>
        <v>0.3</v>
      </c>
    </row>
    <row r="16053">
      <c r="A16053" s="10" t="s">
        <v>17492</v>
      </c>
      <c r="B16053" s="7" t="str">
        <f>IFERROR(__xludf.DUMMYFUNCTION("SPLIT(A16053,"" "")"),"Cc1cc(CN(C)Cc2ccc3ncccc3c2)ccn1")</f>
        <v>Cc1cc(CN(C)Cc2ccc3ncccc3c2)ccn1</v>
      </c>
      <c r="C16053" s="7">
        <f>IFERROR(__xludf.DUMMYFUNCTION("""COMPUTED_VALUE"""),7.7387214)</f>
        <v>7.7387214</v>
      </c>
      <c r="D16053" s="7">
        <f>IFERROR(__xludf.DUMMYFUNCTION("""COMPUTED_VALUE"""),0.354166666666666)</f>
        <v>0.3541666667</v>
      </c>
    </row>
    <row r="16054">
      <c r="A16054" s="10" t="s">
        <v>17493</v>
      </c>
      <c r="B16054" s="7" t="str">
        <f>IFERROR(__xludf.DUMMYFUNCTION("SPLIT(A16054,"" "")"),"CC(C)(c1cccc(-c2ccccc2)n1)c1ccccc1NCc1ccccn1")</f>
        <v>CC(C)(c1cccc(-c2ccccc2)n1)c1ccccc1NCc1ccccn1</v>
      </c>
      <c r="C16054" s="7">
        <f>IFERROR(__xludf.DUMMYFUNCTION("""COMPUTED_VALUE"""),7.7387195)</f>
        <v>7.7387195</v>
      </c>
      <c r="D16054" s="7">
        <f>IFERROR(__xludf.DUMMYFUNCTION("""COMPUTED_VALUE"""),0.396551724137931)</f>
        <v>0.3965517241</v>
      </c>
    </row>
    <row r="16055">
      <c r="A16055" s="10" t="s">
        <v>17494</v>
      </c>
      <c r="B16055" s="7" t="str">
        <f>IFERROR(__xludf.DUMMYFUNCTION("SPLIT(A16055,"" "")"),"Cc1cc(-c2ncccc2CN(Cc2ccccn2)C2CCCC(N(C)c3cccc4ncc(CF)cc34)C2)ccc1N(C)Cc1ccccn1")</f>
        <v>Cc1cc(-c2ncccc2CN(Cc2ccccn2)C2CCCC(N(C)c3cccc4ncc(CF)cc34)C2)ccc1N(C)Cc1ccccn1</v>
      </c>
      <c r="C16055" s="7">
        <f>IFERROR(__xludf.DUMMYFUNCTION("""COMPUTED_VALUE"""),7.7387147)</f>
        <v>7.7387147</v>
      </c>
      <c r="D16055" s="7">
        <f>IFERROR(__xludf.DUMMYFUNCTION("""COMPUTED_VALUE"""),0.307692307692307)</f>
        <v>0.3076923077</v>
      </c>
    </row>
    <row r="16056">
      <c r="A16056" s="10" t="s">
        <v>17495</v>
      </c>
      <c r="B16056" s="7" t="str">
        <f>IFERROR(__xludf.DUMMYFUNCTION("SPLIT(A16056,"" "")"),"CN(C)c1ccccc1-c1cccnc1CN(Cc1ccccn1)Cc1cccc(F)n1")</f>
        <v>CN(C)c1ccccc1-c1cccnc1CN(Cc1ccccn1)Cc1cccc(F)n1</v>
      </c>
      <c r="C16056" s="7">
        <f>IFERROR(__xludf.DUMMYFUNCTION("""COMPUTED_VALUE"""),7.7387056)</f>
        <v>7.7387056</v>
      </c>
      <c r="D16056" s="7">
        <f>IFERROR(__xludf.DUMMYFUNCTION("""COMPUTED_VALUE"""),0.451612903225806)</f>
        <v>0.4516129032</v>
      </c>
    </row>
    <row r="16057">
      <c r="A16057" s="10" t="s">
        <v>17496</v>
      </c>
      <c r="B16057" s="7" t="str">
        <f>IFERROR(__xludf.DUMMYFUNCTION("SPLIT(A16057,"" "")"),"CC(C)N(Cc1ccccn1)Cc1cccc(-c2ccccc2N=Cc2ccccn2)n1")</f>
        <v>CC(C)N(Cc1ccccn1)Cc1cccc(-c2ccccc2N=Cc2ccccn2)n1</v>
      </c>
      <c r="C16057" s="7">
        <f>IFERROR(__xludf.DUMMYFUNCTION("""COMPUTED_VALUE"""),7.7387)</f>
        <v>7.7387</v>
      </c>
      <c r="D16057" s="7">
        <f>IFERROR(__xludf.DUMMYFUNCTION("""COMPUTED_VALUE"""),0.470588235294117)</f>
        <v>0.4705882353</v>
      </c>
    </row>
    <row r="16058">
      <c r="A16058" s="10" t="s">
        <v>17497</v>
      </c>
      <c r="B16058" s="7" t="str">
        <f>IFERROR(__xludf.DUMMYFUNCTION("SPLIT(A16058,"" "")"),"CC(c1ccccn1)(c1ccccn1)c1cccnc1CN(Cc1ccccn1)c1ccc(F)cc1")</f>
        <v>CC(c1ccccn1)(c1ccccn1)c1cccnc1CN(Cc1ccccn1)c1ccc(F)cc1</v>
      </c>
      <c r="C16058" s="7">
        <f>IFERROR(__xludf.DUMMYFUNCTION("""COMPUTED_VALUE"""),7.7387)</f>
        <v>7.7387</v>
      </c>
      <c r="D16058" s="7">
        <f>IFERROR(__xludf.DUMMYFUNCTION("""COMPUTED_VALUE"""),0.37037037037037)</f>
        <v>0.3703703704</v>
      </c>
    </row>
    <row r="16059">
      <c r="A16059" s="10" t="s">
        <v>17498</v>
      </c>
      <c r="B16059" s="7" t="str">
        <f>IFERROR(__xludf.DUMMYFUNCTION("SPLIT(A16059,"" "")"),"Cc1ccc2c(CN(C)C3CCC(N(C)c4ccc5c(CF)ccnc5c4)CC3)ccnc2c1")</f>
        <v>Cc1ccc2c(CN(C)C3CCC(N(C)c4ccc5c(CF)ccnc5c4)CC3)ccnc2c1</v>
      </c>
      <c r="C16059" s="7">
        <f>IFERROR(__xludf.DUMMYFUNCTION("""COMPUTED_VALUE"""),7.738692)</f>
        <v>7.738692</v>
      </c>
      <c r="D16059" s="7">
        <f>IFERROR(__xludf.DUMMYFUNCTION("""COMPUTED_VALUE"""),0.278688524590163)</f>
        <v>0.2786885246</v>
      </c>
    </row>
    <row r="16060">
      <c r="A16060" s="10" t="s">
        <v>17499</v>
      </c>
      <c r="B16060" s="7" t="str">
        <f>IFERROR(__xludf.DUMMYFUNCTION("SPLIT(A16060,"" "")"),"C1=CNC(c2ccc(NCc3ccccn3)cc2)=CC1")</f>
        <v>C1=CNC(c2ccc(NCc3ccccn3)cc2)=CC1</v>
      </c>
      <c r="C16060" s="7">
        <f>IFERROR(__xludf.DUMMYFUNCTION("""COMPUTED_VALUE"""),7.7386775)</f>
        <v>7.7386775</v>
      </c>
      <c r="D16060" s="7">
        <f>IFERROR(__xludf.DUMMYFUNCTION("""COMPUTED_VALUE"""),0.470588235294117)</f>
        <v>0.4705882353</v>
      </c>
    </row>
    <row r="16061">
      <c r="A16061" s="10" t="s">
        <v>17500</v>
      </c>
      <c r="B16061" s="7" t="str">
        <f>IFERROR(__xludf.DUMMYFUNCTION("SPLIT(A16061,"" "")"),"CN(O)c1cccnc1CN(Cc1ccccn1)c1ccccc1F")</f>
        <v>CN(O)c1cccnc1CN(Cc1ccccn1)c1ccccc1F</v>
      </c>
      <c r="C16061" s="7">
        <f>IFERROR(__xludf.DUMMYFUNCTION("""COMPUTED_VALUE"""),7.738671)</f>
        <v>7.738671</v>
      </c>
      <c r="D16061" s="7">
        <f>IFERROR(__xludf.DUMMYFUNCTION("""COMPUTED_VALUE"""),0.408163265306122)</f>
        <v>0.4081632653</v>
      </c>
    </row>
    <row r="16062">
      <c r="A16062" s="10" t="s">
        <v>17501</v>
      </c>
      <c r="B16062" s="7" t="str">
        <f>IFERROR(__xludf.DUMMYFUNCTION("SPLIT(A16062,"" "")"),"CCNCc1cc(CN(Cc2ccccn2)c2ccc3ncccc3c2)ccn1")</f>
        <v>CCNCc1cc(CN(Cc2ccccn2)c2ccc3ncccc3c2)ccn1</v>
      </c>
      <c r="C16062" s="7">
        <f>IFERROR(__xludf.DUMMYFUNCTION("""COMPUTED_VALUE"""),7.738665)</f>
        <v>7.738665</v>
      </c>
      <c r="D16062" s="7">
        <f>IFERROR(__xludf.DUMMYFUNCTION("""COMPUTED_VALUE"""),0.352941176470588)</f>
        <v>0.3529411765</v>
      </c>
    </row>
    <row r="16063">
      <c r="A16063" s="10" t="s">
        <v>17502</v>
      </c>
      <c r="B16063" s="7" t="str">
        <f>IFERROR(__xludf.DUMMYFUNCTION("SPLIT(A16063,"" "")"),"CCN(Cc1ccccn1)Cc1cc(-c2cccc(N=Cc3ccccn3)c2)ccn1")</f>
        <v>CCN(Cc1ccccn1)Cc1cc(-c2cccc(N=Cc3ccccn3)c2)ccn1</v>
      </c>
      <c r="C16063" s="7">
        <f>IFERROR(__xludf.DUMMYFUNCTION("""COMPUTED_VALUE"""),7.738662)</f>
        <v>7.738662</v>
      </c>
      <c r="D16063" s="7">
        <f>IFERROR(__xludf.DUMMYFUNCTION("""COMPUTED_VALUE"""),0.395833333333333)</f>
        <v>0.3958333333</v>
      </c>
    </row>
    <row r="16064">
      <c r="A16064" s="10" t="s">
        <v>17503</v>
      </c>
      <c r="B16064" s="7" t="str">
        <f>IFERROR(__xludf.DUMMYFUNCTION("SPLIT(A16064,"" "")"),"Cc1cc(N(C)Cc2ccccn2)ccc1-c1ccc(CN(Cc2ccccn2)C(C)C)cn1")</f>
        <v>Cc1cc(N(C)Cc2ccccn2)ccc1-c1ccc(CN(Cc2ccccn2)C(C)C)cn1</v>
      </c>
      <c r="C16064" s="7">
        <f>IFERROR(__xludf.DUMMYFUNCTION("""COMPUTED_VALUE"""),7.738661)</f>
        <v>7.738661</v>
      </c>
      <c r="D16064" s="7">
        <f>IFERROR(__xludf.DUMMYFUNCTION("""COMPUTED_VALUE"""),0.452830188679245)</f>
        <v>0.4528301887</v>
      </c>
    </row>
    <row r="16065">
      <c r="A16065" s="10" t="s">
        <v>17504</v>
      </c>
      <c r="B16065" s="7" t="str">
        <f>IFERROR(__xludf.DUMMYFUNCTION("SPLIT(A16065,"" "")"),"Cc1cc(NCc2ccccn2)cc(-c2ccc(CN(C)Cc3cc(N)ccn3)cn2)c1")</f>
        <v>Cc1cc(NCc2ccccn2)cc(-c2ccc(CN(C)Cc3cc(N)ccn3)cn2)c1</v>
      </c>
      <c r="C16065" s="7">
        <f>IFERROR(__xludf.DUMMYFUNCTION("""COMPUTED_VALUE"""),7.7386527)</f>
        <v>7.7386527</v>
      </c>
      <c r="D16065" s="7">
        <f>IFERROR(__xludf.DUMMYFUNCTION("""COMPUTED_VALUE"""),0.359375)</f>
        <v>0.359375</v>
      </c>
    </row>
    <row r="16066">
      <c r="A16066" s="10" t="s">
        <v>17505</v>
      </c>
      <c r="B16066" s="7" t="str">
        <f>IFERROR(__xludf.DUMMYFUNCTION("SPLIT(A16066,"" "")"),"Cc1cccnc1CN(C)CCN(C)c1cccc2ncc(CF)cc12")</f>
        <v>Cc1cccnc1CN(C)CCN(C)c1cccc2ncc(CF)cc12</v>
      </c>
      <c r="C16066" s="7">
        <f>IFERROR(__xludf.DUMMYFUNCTION("""COMPUTED_VALUE"""),7.7386465)</f>
        <v>7.7386465</v>
      </c>
      <c r="D16066" s="7">
        <f>IFERROR(__xludf.DUMMYFUNCTION("""COMPUTED_VALUE"""),0.381818181818181)</f>
        <v>0.3818181818</v>
      </c>
    </row>
    <row r="16067">
      <c r="A16067" s="10" t="s">
        <v>17506</v>
      </c>
      <c r="B16067" s="7" t="str">
        <f>IFERROR(__xludf.DUMMYFUNCTION("SPLIT(A16067,"" "")"),"CC1=C(c2ccccc2)C(c2cccc(NCc3ccccn3)c2C)CC=C1c1ccccc1")</f>
        <v>CC1=C(c2ccccc2)C(c2cccc(NCc3ccccn3)c2C)CC=C1c1ccccc1</v>
      </c>
      <c r="C16067" s="7">
        <f>IFERROR(__xludf.DUMMYFUNCTION("""COMPUTED_VALUE"""),7.738642)</f>
        <v>7.738642</v>
      </c>
      <c r="D16067" s="7">
        <f>IFERROR(__xludf.DUMMYFUNCTION("""COMPUTED_VALUE"""),0.333333333333333)</f>
        <v>0.3333333333</v>
      </c>
    </row>
    <row r="16068">
      <c r="A16068" s="10" t="s">
        <v>17507</v>
      </c>
      <c r="B16068" s="7" t="str">
        <f>IFERROR(__xludf.DUMMYFUNCTION("SPLIT(A16068,"" "")"),"Cc1cncc(CN(C)c2ccc3nc(CN(C)C4CCCCC4N(C)c4ccc5ccc(CF)nc5c4)ccc3c2)c1")</f>
        <v>Cc1cncc(CN(C)c2ccc3nc(CN(C)C4CCCCC4N(C)c4ccc5ccc(CF)nc5c4)ccc3c2)c1</v>
      </c>
      <c r="C16068" s="7">
        <f>IFERROR(__xludf.DUMMYFUNCTION("""COMPUTED_VALUE"""),7.7386355)</f>
        <v>7.7386355</v>
      </c>
      <c r="D16068" s="7">
        <f>IFERROR(__xludf.DUMMYFUNCTION("""COMPUTED_VALUE"""),0.391304347826087)</f>
        <v>0.3913043478</v>
      </c>
    </row>
    <row r="16069">
      <c r="A16069" s="10" t="s">
        <v>17508</v>
      </c>
      <c r="B16069" s="7" t="str">
        <f>IFERROR(__xludf.DUMMYFUNCTION("SPLIT(A16069,"" "")"),"CCN(Cc1cc(CN(Cc2ncccc2C)Cc2ncccc2C)ccn1)c1ccc2ncccc2c1")</f>
        <v>CCN(Cc1cc(CN(Cc2ncccc2C)Cc2ncccc2C)ccn1)c1ccc2ncccc2c1</v>
      </c>
      <c r="C16069" s="7">
        <f>IFERROR(__xludf.DUMMYFUNCTION("""COMPUTED_VALUE"""),7.7386284)</f>
        <v>7.7386284</v>
      </c>
      <c r="D16069" s="7">
        <f>IFERROR(__xludf.DUMMYFUNCTION("""COMPUTED_VALUE"""),0.3)</f>
        <v>0.3</v>
      </c>
    </row>
    <row r="16070">
      <c r="A16070" s="10" t="s">
        <v>17509</v>
      </c>
      <c r="B16070" s="7" t="str">
        <f>IFERROR(__xludf.DUMMYFUNCTION("SPLIT(A16070,"" "")"),"Cc1ccnc(CN(C)CCN(C)c2ccc3cccnc3c2)c1")</f>
        <v>Cc1ccnc(CN(C)CCN(C)c2ccc3cccnc3c2)c1</v>
      </c>
      <c r="C16070" s="7">
        <f>IFERROR(__xludf.DUMMYFUNCTION("""COMPUTED_VALUE"""),7.7386236)</f>
        <v>7.7386236</v>
      </c>
      <c r="D16070" s="7">
        <f>IFERROR(__xludf.DUMMYFUNCTION("""COMPUTED_VALUE"""),0.384615384615384)</f>
        <v>0.3846153846</v>
      </c>
    </row>
    <row r="16071">
      <c r="A16071" s="10" t="s">
        <v>17510</v>
      </c>
      <c r="B16071" s="7" t="str">
        <f>IFERROR(__xludf.DUMMYFUNCTION("SPLIT(A16071,"" "")"),"CCN(Cc1ccccn1)c1ccc(C)c(-c2cc(CN(Cc3ccccn3)Cc3ncccc3C)ccn2)c1C")</f>
        <v>CCN(Cc1ccccn1)c1ccc(C)c(-c2cc(CN(Cc3ccccn3)Cc3ncccc3C)ccn2)c1C</v>
      </c>
      <c r="C16071" s="7">
        <f>IFERROR(__xludf.DUMMYFUNCTION("""COMPUTED_VALUE"""),7.738614)</f>
        <v>7.738614</v>
      </c>
      <c r="D16071" s="7">
        <f>IFERROR(__xludf.DUMMYFUNCTION("""COMPUTED_VALUE"""),0.363636363636363)</f>
        <v>0.3636363636</v>
      </c>
    </row>
    <row r="16072">
      <c r="A16072" s="10" t="s">
        <v>17511</v>
      </c>
      <c r="B16072" s="7" t="str">
        <f>IFERROR(__xludf.DUMMYFUNCTION("SPLIT(A16072,"" "")"),"CC(C)(C)c1cccc(CN(Cc2ccccn2)Cc2ccc(-c3cccc(N=Cc4ccccn4)c3)cn2)n1")</f>
        <v>CC(C)(C)c1cccc(CN(Cc2ccccn2)Cc2ccc(-c3cccc(N=Cc4ccccn4)c3)cn2)n1</v>
      </c>
      <c r="C16072" s="7">
        <f>IFERROR(__xludf.DUMMYFUNCTION("""COMPUTED_VALUE"""),7.738613)</f>
        <v>7.738613</v>
      </c>
      <c r="D16072" s="7">
        <f>IFERROR(__xludf.DUMMYFUNCTION("""COMPUTED_VALUE"""),0.391304347826087)</f>
        <v>0.3913043478</v>
      </c>
    </row>
    <row r="16073">
      <c r="A16073" s="10" t="s">
        <v>17512</v>
      </c>
      <c r="B16073" s="7" t="str">
        <f>IFERROR(__xludf.DUMMYFUNCTION("SPLIT(A16073,"" "")"),"CC1=CC(N(C)c2ccc3nccc(CN(C)Cc4ncc(C)c(C)c4C)c3c2)CC(C)C1")</f>
        <v>CC1=CC(N(C)c2ccc3nccc(CN(C)Cc4ncc(C)c(C)c4C)c3c2)CC(C)C1</v>
      </c>
      <c r="C16073" s="7">
        <f>IFERROR(__xludf.DUMMYFUNCTION("""COMPUTED_VALUE"""),7.738611)</f>
        <v>7.738611</v>
      </c>
      <c r="D16073" s="7">
        <f>IFERROR(__xludf.DUMMYFUNCTION("""COMPUTED_VALUE"""),0.210526315789473)</f>
        <v>0.2105263158</v>
      </c>
    </row>
    <row r="16074">
      <c r="A16074" s="10" t="s">
        <v>17513</v>
      </c>
      <c r="B16074" s="7" t="str">
        <f>IFERROR(__xludf.DUMMYFUNCTION("SPLIT(A16074,"" "")"),"Cc1cnc(CN(C)Cc2cc(N(C)Cc3nc(C)c(C)c(C)c3C)ccn2)c(C)c1")</f>
        <v>Cc1cnc(CN(C)Cc2cc(N(C)Cc3nc(C)c(C)c(C)c3C)ccn2)c(C)c1</v>
      </c>
      <c r="C16074" s="7">
        <f>IFERROR(__xludf.DUMMYFUNCTION("""COMPUTED_VALUE"""),7.738603)</f>
        <v>7.738603</v>
      </c>
      <c r="D16074" s="7">
        <f>IFERROR(__xludf.DUMMYFUNCTION("""COMPUTED_VALUE"""),0.309090909090909)</f>
        <v>0.3090909091</v>
      </c>
    </row>
    <row r="16075">
      <c r="A16075" s="10" t="s">
        <v>17514</v>
      </c>
      <c r="B16075" s="7" t="str">
        <f>IFERROR(__xludf.DUMMYFUNCTION("SPLIT(A16075,"" "")"),"CN1CCN(C)CCN(Cc2cc(N(C)c3ccc4ncccc4c3)cc3cccnc23)CC1")</f>
        <v>CN1CCN(C)CCN(Cc2cc(N(C)c3ccc4ncccc4c3)cc3cccnc23)CC1</v>
      </c>
      <c r="C16075" s="7">
        <f>IFERROR(__xludf.DUMMYFUNCTION("""COMPUTED_VALUE"""),7.7386007)</f>
        <v>7.7386007</v>
      </c>
      <c r="D16075" s="7">
        <f>IFERROR(__xludf.DUMMYFUNCTION("""COMPUTED_VALUE"""),0.428571428571428)</f>
        <v>0.4285714286</v>
      </c>
    </row>
    <row r="16076">
      <c r="A16076" s="10" t="s">
        <v>17515</v>
      </c>
      <c r="B16076" s="7" t="str">
        <f>IFERROR(__xludf.DUMMYFUNCTION("SPLIT(A16076,"" "")"),"CN(C)c1cccc(-c2cccc(CN(Cc3cccc(F)n3)Cc3cccc(F)n3)n2)c1")</f>
        <v>CN(C)c1cccc(-c2cccc(CN(Cc3cccc(F)n3)Cc3cccc(F)n3)n2)c1</v>
      </c>
      <c r="C16076" s="7">
        <f>IFERROR(__xludf.DUMMYFUNCTION("""COMPUTED_VALUE"""),7.7385936)</f>
        <v>7.7385936</v>
      </c>
      <c r="D16076" s="7">
        <f>IFERROR(__xludf.DUMMYFUNCTION("""COMPUTED_VALUE"""),0.471698113207547)</f>
        <v>0.4716981132</v>
      </c>
    </row>
    <row r="16077">
      <c r="A16077" s="10" t="s">
        <v>17516</v>
      </c>
      <c r="B16077" s="7" t="str">
        <f>IFERROR(__xludf.DUMMYFUNCTION("SPLIT(A16077,"" "")"),"C=CCN(C)Cc1cccc(-c2cccc(N(C)Cc3cccc(C)n3)c2)n1")</f>
        <v>C=CCN(C)Cc1cccc(-c2cccc(N(C)Cc3cccc(C)n3)c2)n1</v>
      </c>
      <c r="C16077" s="7">
        <f>IFERROR(__xludf.DUMMYFUNCTION("""COMPUTED_VALUE"""),7.7385936)</f>
        <v>7.7385936</v>
      </c>
      <c r="D16077" s="7">
        <f>IFERROR(__xludf.DUMMYFUNCTION("""COMPUTED_VALUE"""),0.458333333333333)</f>
        <v>0.4583333333</v>
      </c>
    </row>
    <row r="16078">
      <c r="A16078" s="10" t="s">
        <v>17517</v>
      </c>
      <c r="B16078" s="7" t="str">
        <f>IFERROR(__xludf.DUMMYFUNCTION("SPLIT(A16078,"" "")"),"CCN(C)c1ccc2c(CN(C)C(C)C)ccnc2c1")</f>
        <v>CCN(C)c1ccc2c(CN(C)C(C)C)ccnc2c1</v>
      </c>
      <c r="C16078" s="7">
        <f>IFERROR(__xludf.DUMMYFUNCTION("""COMPUTED_VALUE"""),7.73859)</f>
        <v>7.73859</v>
      </c>
      <c r="D16078" s="7">
        <f>IFERROR(__xludf.DUMMYFUNCTION("""COMPUTED_VALUE"""),0.254901960784313)</f>
        <v>0.2549019608</v>
      </c>
    </row>
    <row r="16079">
      <c r="A16079" s="10" t="s">
        <v>17518</v>
      </c>
      <c r="B16079" s="7" t="str">
        <f>IFERROR(__xludf.DUMMYFUNCTION("SPLIT(A16079,"" "")"),"CCN(Cc1ccccn1)c1ccc2nc(CN(C)Cc3cccnn3)ccc2c1")</f>
        <v>CCN(Cc1ccccn1)c1ccc2nc(CN(C)Cc3cccnn3)ccc2c1</v>
      </c>
      <c r="C16079" s="7">
        <f>IFERROR(__xludf.DUMMYFUNCTION("""COMPUTED_VALUE"""),7.7385664)</f>
        <v>7.7385664</v>
      </c>
      <c r="D16079" s="7">
        <f>IFERROR(__xludf.DUMMYFUNCTION("""COMPUTED_VALUE"""),0.48)</f>
        <v>0.48</v>
      </c>
    </row>
    <row r="16080">
      <c r="A16080" s="10" t="s">
        <v>17519</v>
      </c>
      <c r="B16080" s="7" t="str">
        <f>IFERROR(__xludf.DUMMYFUNCTION("SPLIT(A16080,"" "")"),"CC(C)c1cc(CN(Cc2ccccn2)Cc2cc(-c3cccc(N(C)C)c3)ccn2)ccn1")</f>
        <v>CC(C)c1cc(CN(Cc2ccccn2)Cc2cc(-c3cccc(N(C)C)c3)ccn2)ccn1</v>
      </c>
      <c r="C16080" s="7">
        <f>IFERROR(__xludf.DUMMYFUNCTION("""COMPUTED_VALUE"""),7.738555)</f>
        <v>7.738555</v>
      </c>
      <c r="D16080" s="7">
        <f>IFERROR(__xludf.DUMMYFUNCTION("""COMPUTED_VALUE"""),0.408163265306122)</f>
        <v>0.4081632653</v>
      </c>
    </row>
    <row r="16081">
      <c r="A16081" s="10" t="s">
        <v>17520</v>
      </c>
      <c r="B16081" s="7" t="str">
        <f>IFERROR(__xludf.DUMMYFUNCTION("SPLIT(A16081,"" "")"),"CCN(CC1=CC(N(C)Cc2cc(C)ccn2)C=CN1)c1ccc2ncccc2c1")</f>
        <v>CCN(CC1=CC(N(C)Cc2cc(C)ccn2)C=CN1)c1ccc2ncccc2c1</v>
      </c>
      <c r="C16081" s="7">
        <f>IFERROR(__xludf.DUMMYFUNCTION("""COMPUTED_VALUE"""),7.7385516)</f>
        <v>7.7385516</v>
      </c>
      <c r="D16081" s="7">
        <f>IFERROR(__xludf.DUMMYFUNCTION("""COMPUTED_VALUE"""),0.260869565217391)</f>
        <v>0.2608695652</v>
      </c>
    </row>
    <row r="16082">
      <c r="A16082" s="10" t="s">
        <v>17521</v>
      </c>
      <c r="B16082" s="7" t="str">
        <f>IFERROR(__xludf.DUMMYFUNCTION("SPLIT(A16082,"" "")"),"Cc1ccnc(CN(C)CCN(C)c2ccc3nc(CN(C)C)ccc3c2)c1")</f>
        <v>Cc1ccnc(CN(C)CCN(C)c2ccc3nc(CN(C)C)ccc3c2)c1</v>
      </c>
      <c r="C16082" s="7">
        <f>IFERROR(__xludf.DUMMYFUNCTION("""COMPUTED_VALUE"""),7.7385454)</f>
        <v>7.7385454</v>
      </c>
      <c r="D16082" s="7">
        <f>IFERROR(__xludf.DUMMYFUNCTION("""COMPUTED_VALUE"""),0.387755102040816)</f>
        <v>0.387755102</v>
      </c>
    </row>
    <row r="16083">
      <c r="A16083" s="10" t="s">
        <v>17522</v>
      </c>
      <c r="B16083" s="7" t="str">
        <f>IFERROR(__xludf.DUMMYFUNCTION("SPLIT(A16083,"" "")"),"COC(C)c1cccc(CN(Cc2ccccn2)Cc2cc(-c3ccccc3N=Cc3ccccn3)ccn2)n1")</f>
        <v>COC(C)c1cccc(CN(Cc2ccccn2)Cc2cc(-c3ccccc3N=Cc3ccccn3)ccn2)n1</v>
      </c>
      <c r="C16083" s="7">
        <f>IFERROR(__xludf.DUMMYFUNCTION("""COMPUTED_VALUE"""),7.7385445)</f>
        <v>7.7385445</v>
      </c>
      <c r="D16083" s="7">
        <f>IFERROR(__xludf.DUMMYFUNCTION("""COMPUTED_VALUE"""),0.4)</f>
        <v>0.4</v>
      </c>
    </row>
    <row r="16084">
      <c r="A16084" s="10" t="s">
        <v>17523</v>
      </c>
      <c r="B16084" s="7" t="str">
        <f>IFERROR(__xludf.DUMMYFUNCTION("SPLIT(A16084,"" "")"),"CN(CCN(C)c1ccc2nccc(CF)c2c1)Cc1cc(F)ccn1")</f>
        <v>CN(CCN(C)c1ccc2nccc(CF)c2c1)Cc1cc(F)ccn1</v>
      </c>
      <c r="C16084" s="7">
        <f>IFERROR(__xludf.DUMMYFUNCTION("""COMPUTED_VALUE"""),7.7385416)</f>
        <v>7.7385416</v>
      </c>
      <c r="D16084" s="7">
        <f>IFERROR(__xludf.DUMMYFUNCTION("""COMPUTED_VALUE"""),0.326923076923076)</f>
        <v>0.3269230769</v>
      </c>
    </row>
    <row r="16085">
      <c r="A16085" s="10" t="s">
        <v>17524</v>
      </c>
      <c r="B16085" s="7" t="str">
        <f>IFERROR(__xludf.DUMMYFUNCTION("SPLIT(A16085,"" "")"),"CCN(Cc1ccccn1)Cc1ncccc1-c1cccc(N=Cc2ccccn2)c1")</f>
        <v>CCN(Cc1ccccn1)Cc1ncccc1-c1cccc(N=Cc2ccccn2)c1</v>
      </c>
      <c r="C16085" s="7">
        <f>IFERROR(__xludf.DUMMYFUNCTION("""COMPUTED_VALUE"""),7.7385235)</f>
        <v>7.7385235</v>
      </c>
      <c r="D16085" s="7">
        <f>IFERROR(__xludf.DUMMYFUNCTION("""COMPUTED_VALUE"""),0.365384615384615)</f>
        <v>0.3653846154</v>
      </c>
    </row>
    <row r="16086">
      <c r="A16086" s="10" t="s">
        <v>17525</v>
      </c>
      <c r="B16086" s="7" t="str">
        <f>IFERROR(__xludf.DUMMYFUNCTION("SPLIT(A16086,"" "")"),"CCN(Cc1ccccn1)c1ccc2nccc(C3CC3N(C)Cc3ccccn3)c2c1")</f>
        <v>CCN(Cc1ccccn1)c1ccc2nccc(C3CC3N(C)Cc3ccccn3)c2c1</v>
      </c>
      <c r="C16086" s="7">
        <f>IFERROR(__xludf.DUMMYFUNCTION("""COMPUTED_VALUE"""),7.7385206)</f>
        <v>7.7385206</v>
      </c>
      <c r="D16086" s="7">
        <f>IFERROR(__xludf.DUMMYFUNCTION("""COMPUTED_VALUE"""),0.454545454545454)</f>
        <v>0.4545454545</v>
      </c>
    </row>
    <row r="16087">
      <c r="A16087" s="10" t="s">
        <v>17526</v>
      </c>
      <c r="B16087" s="7" t="str">
        <f>IFERROR(__xludf.DUMMYFUNCTION("SPLIT(A16087,"" "")"),"CN(C)c1cccc(-c2cccnc2CN(Cc2ccccn2)Cc2ccc(F)cn2)c1")</f>
        <v>CN(C)c1cccc(-c2cccnc2CN(Cc2ccccn2)Cc2ccc(F)cn2)c1</v>
      </c>
      <c r="C16087" s="7">
        <f>IFERROR(__xludf.DUMMYFUNCTION("""COMPUTED_VALUE"""),7.73851)</f>
        <v>7.73851</v>
      </c>
      <c r="D16087" s="7">
        <f>IFERROR(__xludf.DUMMYFUNCTION("""COMPUTED_VALUE"""),0.4)</f>
        <v>0.4</v>
      </c>
    </row>
    <row r="16088">
      <c r="A16088" s="10" t="s">
        <v>17527</v>
      </c>
      <c r="B16088" s="7" t="str">
        <f>IFERROR(__xludf.DUMMYFUNCTION("SPLIT(A16088,"" "")"),"CC(C)CN(C)Cc1ccc(-c2ccc(Cl)cc2N)cn1")</f>
        <v>CC(C)CN(C)Cc1ccc(-c2ccc(Cl)cc2N)cn1</v>
      </c>
      <c r="C16088" s="7">
        <f>IFERROR(__xludf.DUMMYFUNCTION("""COMPUTED_VALUE"""),7.738509)</f>
        <v>7.738509</v>
      </c>
      <c r="D16088" s="7">
        <f>IFERROR(__xludf.DUMMYFUNCTION("""COMPUTED_VALUE"""),0.34)</f>
        <v>0.34</v>
      </c>
    </row>
    <row r="16089">
      <c r="A16089" s="10" t="s">
        <v>17528</v>
      </c>
      <c r="B16089" s="7" t="str">
        <f>IFERROR(__xludf.DUMMYFUNCTION("SPLIT(A16089,"" "")"),"CCNCc1cccc(CN(Cc2ccccn2)c2ccc3ncccc3c2)n1")</f>
        <v>CCNCc1cccc(CN(Cc2ccccn2)c2ccc3ncccc3c2)n1</v>
      </c>
      <c r="C16089" s="7">
        <f>IFERROR(__xludf.DUMMYFUNCTION("""COMPUTED_VALUE"""),7.738508)</f>
        <v>7.738508</v>
      </c>
      <c r="D16089" s="7">
        <f>IFERROR(__xludf.DUMMYFUNCTION("""COMPUTED_VALUE"""),0.407407407407407)</f>
        <v>0.4074074074</v>
      </c>
    </row>
    <row r="16090">
      <c r="A16090" s="10" t="s">
        <v>17529</v>
      </c>
      <c r="B16090" s="7" t="str">
        <f>IFERROR(__xludf.DUMMYFUNCTION("SPLIT(A16090,"" "")"),"CCN(Cc1ccccn1)c1ccc2c(CN(Cc3ccccn3)Cc3ncccc3F)ccnc2c1")</f>
        <v>CCN(Cc1ccccn1)c1ccc2c(CN(Cc3ccccn3)Cc3ncccc3F)ccnc2c1</v>
      </c>
      <c r="C16090" s="7">
        <f>IFERROR(__xludf.DUMMYFUNCTION("""COMPUTED_VALUE"""),7.7385073)</f>
        <v>7.7385073</v>
      </c>
      <c r="D16090" s="7">
        <f>IFERROR(__xludf.DUMMYFUNCTION("""COMPUTED_VALUE"""),0.392156862745098)</f>
        <v>0.3921568627</v>
      </c>
    </row>
    <row r="16091">
      <c r="A16091" s="10" t="s">
        <v>17530</v>
      </c>
      <c r="B16091" s="7" t="str">
        <f>IFERROR(__xludf.DUMMYFUNCTION("SPLIT(A16091,"" "")"),"CNCc1ccc2cc(N(C)C3CCC(N(C)c4ccc5nc(CF)ccc5c4)CC3)ccc2n1")</f>
        <v>CNCc1ccc2cc(N(C)C3CCC(N(C)c4ccc5nc(CF)ccc5c4)CC3)ccc2n1</v>
      </c>
      <c r="C16091" s="7">
        <f>IFERROR(__xludf.DUMMYFUNCTION("""COMPUTED_VALUE"""),7.7385035)</f>
        <v>7.7385035</v>
      </c>
      <c r="D16091" s="7">
        <f>IFERROR(__xludf.DUMMYFUNCTION("""COMPUTED_VALUE"""),0.368421052631578)</f>
        <v>0.3684210526</v>
      </c>
    </row>
    <row r="16092">
      <c r="A16092" s="10" t="s">
        <v>17531</v>
      </c>
      <c r="B16092" s="7" t="str">
        <f>IFERROR(__xludf.DUMMYFUNCTION("SPLIT(A16092,"" "")"),"CN(CCN(C)C1C=CC=CN1)c1cccc2ncccc12")</f>
        <v>CN(CCN(C)C1C=CC=CN1)c1cccc2ncccc12</v>
      </c>
      <c r="C16092" s="7">
        <f>IFERROR(__xludf.DUMMYFUNCTION("""COMPUTED_VALUE"""),7.738503)</f>
        <v>7.738503</v>
      </c>
      <c r="D16092" s="7">
        <f>IFERROR(__xludf.DUMMYFUNCTION("""COMPUTED_VALUE"""),0.42)</f>
        <v>0.42</v>
      </c>
    </row>
    <row r="16093">
      <c r="A16093" s="10" t="s">
        <v>17532</v>
      </c>
      <c r="B16093" s="7" t="str">
        <f>IFERROR(__xludf.DUMMYFUNCTION("SPLIT(A16093,"" "")"),"Fc1ccccc1CN(Cc1ccccn1)Cc1ncccc1-c1ccccc1N=Cc1ccccn1")</f>
        <v>Fc1ccccc1CN(Cc1ccccn1)Cc1ncccc1-c1ccccc1N=Cc1ccccn1</v>
      </c>
      <c r="C16093" s="7">
        <f>IFERROR(__xludf.DUMMYFUNCTION("""COMPUTED_VALUE"""),7.7384996)</f>
        <v>7.7384996</v>
      </c>
      <c r="D16093" s="7">
        <f>IFERROR(__xludf.DUMMYFUNCTION("""COMPUTED_VALUE"""),0.5)</f>
        <v>0.5</v>
      </c>
    </row>
    <row r="16094">
      <c r="A16094" s="10" t="s">
        <v>17533</v>
      </c>
      <c r="B16094" s="7" t="str">
        <f>IFERROR(__xludf.DUMMYFUNCTION("SPLIT(A16094,"" "")"),"Cc1cccnc1CN(C)CCN(C)c1cccc2nc(CF)ccc12")</f>
        <v>Cc1cccnc1CN(C)CCN(C)c1cccc2nc(CF)ccc12</v>
      </c>
      <c r="C16094" s="7">
        <f>IFERROR(__xludf.DUMMYFUNCTION("""COMPUTED_VALUE"""),7.7384953)</f>
        <v>7.7384953</v>
      </c>
      <c r="D16094" s="7">
        <f>IFERROR(__xludf.DUMMYFUNCTION("""COMPUTED_VALUE"""),0.415094339622641)</f>
        <v>0.4150943396</v>
      </c>
    </row>
    <row r="16095">
      <c r="A16095" s="10" t="s">
        <v>17534</v>
      </c>
      <c r="B16095" s="7" t="str">
        <f>IFERROR(__xludf.DUMMYFUNCTION("SPLIT(A16095,"" "")"),"CC(C)N(Cc1cccc(CN(C)c2ccc3ncccc3c2)n1)C1CCC(N(C)c2ccc3ncccc3c2)CC1")</f>
        <v>CC(C)N(Cc1cccc(CN(C)c2ccc3ncccc3c2)n1)C1CCC(N(C)c2ccc3ncccc3c2)CC1</v>
      </c>
      <c r="C16095" s="7">
        <f>IFERROR(__xludf.DUMMYFUNCTION("""COMPUTED_VALUE"""),7.7384915)</f>
        <v>7.7384915</v>
      </c>
      <c r="D16095" s="7">
        <f>IFERROR(__xludf.DUMMYFUNCTION("""COMPUTED_VALUE"""),0.306451612903225)</f>
        <v>0.3064516129</v>
      </c>
    </row>
    <row r="16096">
      <c r="A16096" s="10" t="s">
        <v>17535</v>
      </c>
      <c r="B16096" s="7" t="str">
        <f>IFERROR(__xludf.DUMMYFUNCTION("SPLIT(A16096,"" "")"),"Cc1nc(CN(C)CCCN(C)c2ccc3nccc(CF)c3c2)c(C)c(C)c1C")</f>
        <v>Cc1nc(CN(C)CCCN(C)c2ccc3nccc(CF)c3c2)c(C)c(C)c1C</v>
      </c>
      <c r="C16096" s="7">
        <f>IFERROR(__xludf.DUMMYFUNCTION("""COMPUTED_VALUE"""),7.738482)</f>
        <v>7.738482</v>
      </c>
      <c r="D16096" s="7">
        <f>IFERROR(__xludf.DUMMYFUNCTION("""COMPUTED_VALUE"""),0.25)</f>
        <v>0.25</v>
      </c>
    </row>
    <row r="16097">
      <c r="A16097" s="10" t="s">
        <v>17536</v>
      </c>
      <c r="B16097" s="7" t="str">
        <f>IFERROR(__xludf.DUMMYFUNCTION("SPLIT(A16097,"" "")"),"FCc1cccc(-c2ccccc2NCc2ccccn2)n1")</f>
        <v>FCc1cccc(-c2ccccc2NCc2ccccn2)n1</v>
      </c>
      <c r="C16097" s="7">
        <f>IFERROR(__xludf.DUMMYFUNCTION("""COMPUTED_VALUE"""),7.7384806)</f>
        <v>7.7384806</v>
      </c>
      <c r="D16097" s="7">
        <f>IFERROR(__xludf.DUMMYFUNCTION("""COMPUTED_VALUE"""),0.416666666666666)</f>
        <v>0.4166666667</v>
      </c>
    </row>
    <row r="16098">
      <c r="A16098" s="10" t="s">
        <v>17537</v>
      </c>
      <c r="B16098" s="7" t="str">
        <f>IFERROR(__xludf.DUMMYFUNCTION("SPLIT(A16098,"" "")"),"C=CCN(C)Cc1cccc(-c2ccc(N(C)C)cc2)n1")</f>
        <v>C=CCN(C)Cc1cccc(-c2ccc(N(C)C)cc2)n1</v>
      </c>
      <c r="C16098" s="7">
        <f>IFERROR(__xludf.DUMMYFUNCTION("""COMPUTED_VALUE"""),7.7384806)</f>
        <v>7.7384806</v>
      </c>
      <c r="D16098" s="7">
        <f>IFERROR(__xludf.DUMMYFUNCTION("""COMPUTED_VALUE"""),0.416666666666666)</f>
        <v>0.4166666667</v>
      </c>
    </row>
    <row r="16099">
      <c r="A16099" s="10" t="s">
        <v>17538</v>
      </c>
      <c r="B16099" s="7" t="str">
        <f>IFERROR(__xludf.DUMMYFUNCTION("SPLIT(A16099,"" "")"),"CN(Cc1cccc(C2=CCC=CN2)n1)Cc1cccc(N(C)C)n1")</f>
        <v>CN(Cc1cccc(C2=CCC=CN2)n1)Cc1cccc(N(C)C)n1</v>
      </c>
      <c r="C16099" s="7">
        <f>IFERROR(__xludf.DUMMYFUNCTION("""COMPUTED_VALUE"""),7.7384787)</f>
        <v>7.7384787</v>
      </c>
      <c r="D16099" s="7">
        <f>IFERROR(__xludf.DUMMYFUNCTION("""COMPUTED_VALUE"""),0.403846153846153)</f>
        <v>0.4038461538</v>
      </c>
    </row>
    <row r="16100">
      <c r="A16100" s="10" t="s">
        <v>17539</v>
      </c>
      <c r="B16100" s="7" t="str">
        <f>IFERROR(__xludf.DUMMYFUNCTION("SPLIT(A16100,"" "")"),"CC1=CC(NCc2ccccn2)CC(c2cc(NCc3ccccn3)cc(C)c2-c2ccccc2)=C1")</f>
        <v>CC1=CC(NCc2ccccn2)CC(c2cc(NCc3ccccn3)cc(C)c2-c2ccccc2)=C1</v>
      </c>
      <c r="C16100" s="7">
        <f>IFERROR(__xludf.DUMMYFUNCTION("""COMPUTED_VALUE"""),7.738474)</f>
        <v>7.738474</v>
      </c>
      <c r="D16100" s="7">
        <f>IFERROR(__xludf.DUMMYFUNCTION("""COMPUTED_VALUE"""),0.373134328358209)</f>
        <v>0.3731343284</v>
      </c>
    </row>
    <row r="16101">
      <c r="A16101" s="10" t="s">
        <v>17540</v>
      </c>
      <c r="B16101" s="7" t="str">
        <f>IFERROR(__xludf.DUMMYFUNCTION("SPLIT(A16101,"" "")"),"C=CCN(C)Cc1cccc(-c2cccc(Cl)c2Cl)n1")</f>
        <v>C=CCN(C)Cc1cccc(-c2cccc(Cl)c2Cl)n1</v>
      </c>
      <c r="C16101" s="7">
        <f>IFERROR(__xludf.DUMMYFUNCTION("""COMPUTED_VALUE"""),7.7384725)</f>
        <v>7.7384725</v>
      </c>
      <c r="D16101" s="7">
        <f>IFERROR(__xludf.DUMMYFUNCTION("""COMPUTED_VALUE"""),0.4)</f>
        <v>0.4</v>
      </c>
    </row>
    <row r="16102">
      <c r="A16102" s="10" t="s">
        <v>17541</v>
      </c>
      <c r="B16102" s="7" t="str">
        <f>IFERROR(__xludf.DUMMYFUNCTION("SPLIT(A16102,"" "")"),"Cc1ccc(N)c(-c2cc(CN(C)Cc3cc(N)ccn3)ccn2)c1")</f>
        <v>Cc1ccc(N)c(-c2cc(CN(C)Cc3cc(N)ccn3)ccn2)c1</v>
      </c>
      <c r="C16102" s="7">
        <f>IFERROR(__xludf.DUMMYFUNCTION("""COMPUTED_VALUE"""),7.738464)</f>
        <v>7.738464</v>
      </c>
      <c r="D16102" s="7">
        <f>IFERROR(__xludf.DUMMYFUNCTION("""COMPUTED_VALUE"""),0.321428571428571)</f>
        <v>0.3214285714</v>
      </c>
    </row>
    <row r="16103">
      <c r="A16103" s="10" t="s">
        <v>17542</v>
      </c>
      <c r="B16103" s="7" t="str">
        <f>IFERROR(__xludf.DUMMYFUNCTION("SPLIT(A16103,"" "")"),"CCN(Cc1ccccn1)Cc1ncccc1-c1ccc(N=Cc2ccccn2)cc1")</f>
        <v>CCN(Cc1ccccn1)Cc1ncccc1-c1ccc(N=Cc2ccccn2)cc1</v>
      </c>
      <c r="C16103" s="7">
        <f>IFERROR(__xludf.DUMMYFUNCTION("""COMPUTED_VALUE"""),7.738464)</f>
        <v>7.738464</v>
      </c>
      <c r="D16103" s="7">
        <f>IFERROR(__xludf.DUMMYFUNCTION("""COMPUTED_VALUE"""),0.387755102040816)</f>
        <v>0.387755102</v>
      </c>
    </row>
    <row r="16104">
      <c r="A16104" s="10" t="s">
        <v>17543</v>
      </c>
      <c r="B16104" s="7" t="str">
        <f>IFERROR(__xludf.DUMMYFUNCTION("SPLIT(A16104,"" "")"),"Cc1cccnc1CN(C)CCN(C)c1ccc2nc(CN(C)C)ccc2c1")</f>
        <v>Cc1cccnc1CN(C)CCN(C)c1ccc2nc(CN(C)C)ccc2c1</v>
      </c>
      <c r="C16104" s="7">
        <f>IFERROR(__xludf.DUMMYFUNCTION("""COMPUTED_VALUE"""),7.7384605)</f>
        <v>7.7384605</v>
      </c>
      <c r="D16104" s="7">
        <f>IFERROR(__xludf.DUMMYFUNCTION("""COMPUTED_VALUE"""),0.346153846153846)</f>
        <v>0.3461538462</v>
      </c>
    </row>
    <row r="16105">
      <c r="A16105" s="10" t="s">
        <v>17544</v>
      </c>
      <c r="B16105" s="7" t="str">
        <f>IFERROR(__xludf.DUMMYFUNCTION("SPLIT(A16105,"" "")"),"Cc1cc(-c2ccc(CNCc3ccccn3)cc2NCc2ccccn2)cnc1C(C)(C)C")</f>
        <v>Cc1cc(-c2ccc(CNCc3ccccn3)cc2NCc2ccccn2)cnc1C(C)(C)C</v>
      </c>
      <c r="C16105" s="7">
        <f>IFERROR(__xludf.DUMMYFUNCTION("""COMPUTED_VALUE"""),7.738457)</f>
        <v>7.738457</v>
      </c>
      <c r="D16105" s="7">
        <f>IFERROR(__xludf.DUMMYFUNCTION("""COMPUTED_VALUE"""),0.365384615384615)</f>
        <v>0.3653846154</v>
      </c>
    </row>
    <row r="16106">
      <c r="A16106" s="10" t="s">
        <v>17545</v>
      </c>
      <c r="B16106" s="7" t="str">
        <f>IFERROR(__xludf.DUMMYFUNCTION("SPLIT(A16106,"" "")"),"Cc1ccnc2c(N(CCN(Cc3ccccn3)C(C)C(C)C)Cc3ccc4ncccc4c3)cccc12")</f>
        <v>Cc1ccnc2c(N(CCN(Cc3ccccn3)C(C)C(C)C)Cc3ccc4ncccc4c3)cccc12</v>
      </c>
      <c r="C16106" s="7">
        <f>IFERROR(__xludf.DUMMYFUNCTION("""COMPUTED_VALUE"""),7.7384534)</f>
        <v>7.7384534</v>
      </c>
      <c r="D16106" s="7">
        <f>IFERROR(__xludf.DUMMYFUNCTION("""COMPUTED_VALUE"""),0.375)</f>
        <v>0.375</v>
      </c>
    </row>
    <row r="16107">
      <c r="A16107" s="10" t="s">
        <v>17546</v>
      </c>
      <c r="B16107" s="7" t="str">
        <f>IFERROR(__xludf.DUMMYFUNCTION("SPLIT(A16107,"" "")"),"CN(C)c1ccccc1-c1cccnc1CN(Cc1ccccn1)Cc1cccnc1F")</f>
        <v>CN(C)c1ccccc1-c1cccnc1CN(Cc1ccccn1)Cc1cccnc1F</v>
      </c>
      <c r="C16107" s="7">
        <f>IFERROR(__xludf.DUMMYFUNCTION("""COMPUTED_VALUE"""),7.738447)</f>
        <v>7.738447</v>
      </c>
      <c r="D16107" s="7">
        <f>IFERROR(__xludf.DUMMYFUNCTION("""COMPUTED_VALUE"""),0.454545454545454)</f>
        <v>0.4545454545</v>
      </c>
    </row>
    <row r="16108">
      <c r="A16108" s="10" t="s">
        <v>17547</v>
      </c>
      <c r="B16108" s="7" t="str">
        <f>IFERROR(__xludf.DUMMYFUNCTION("SPLIT(A16108,"" "")"),"CN(C)c1ccccc1-c1cccc(CN(Cc2ccccn2)C2C=CC=CN2)n1")</f>
        <v>CN(C)c1ccccc1-c1cccc(CN(Cc2ccccn2)C2C=CC=CN2)n1</v>
      </c>
      <c r="C16108" s="7">
        <f>IFERROR(__xludf.DUMMYFUNCTION("""COMPUTED_VALUE"""),7.738429)</f>
        <v>7.738429</v>
      </c>
      <c r="D16108" s="7">
        <f>IFERROR(__xludf.DUMMYFUNCTION("""COMPUTED_VALUE"""),0.446428571428571)</f>
        <v>0.4464285714</v>
      </c>
    </row>
    <row r="16109">
      <c r="A16109" s="10" t="s">
        <v>17548</v>
      </c>
      <c r="B16109" s="7" t="str">
        <f>IFERROR(__xludf.DUMMYFUNCTION("SPLIT(A16109,"" "")"),"CN(Cc1cccc(CF)n1)Cc1cccc(-c2cccc(N(C)C)c2)n1")</f>
        <v>CN(Cc1cccc(CF)n1)Cc1cccc(-c2cccc(N(C)C)c2)n1</v>
      </c>
      <c r="C16109" s="7">
        <f>IFERROR(__xludf.DUMMYFUNCTION("""COMPUTED_VALUE"""),7.738426)</f>
        <v>7.738426</v>
      </c>
      <c r="D16109" s="7">
        <f>IFERROR(__xludf.DUMMYFUNCTION("""COMPUTED_VALUE"""),0.446808510638297)</f>
        <v>0.4468085106</v>
      </c>
    </row>
    <row r="16110">
      <c r="A16110" s="10" t="s">
        <v>17549</v>
      </c>
      <c r="B16110" s="7" t="str">
        <f>IFERROR(__xludf.DUMMYFUNCTION("SPLIT(A16110,"" "")"),"CC(C)NCc1cccc(-c2cc(NCc3ccccn3)ccc2Cl)n1")</f>
        <v>CC(C)NCc1cccc(-c2cc(NCc3ccccn3)ccc2Cl)n1</v>
      </c>
      <c r="C16110" s="7">
        <f>IFERROR(__xludf.DUMMYFUNCTION("""COMPUTED_VALUE"""),7.7384186)</f>
        <v>7.7384186</v>
      </c>
      <c r="D16110" s="7">
        <f>IFERROR(__xludf.DUMMYFUNCTION("""COMPUTED_VALUE"""),0.349206349206349)</f>
        <v>0.3492063492</v>
      </c>
    </row>
    <row r="16111">
      <c r="A16111" s="10" t="s">
        <v>17550</v>
      </c>
      <c r="B16111" s="7" t="str">
        <f>IFERROR(__xludf.DUMMYFUNCTION("SPLIT(A16111,"" "")"),"CN(Cc1ccccn1)c1cc(Cl)cc(N(Cc2ccccn2)Cc2cccc(C(C)(C)C3=CC(N(Cc4ccccn4)Cc4ccccn4)C=CN3)n2)c1Cl")</f>
        <v>CN(Cc1ccccn1)c1cc(Cl)cc(N(Cc2ccccn2)Cc2cccc(C(C)(C)C3=CC(N(Cc4ccccn4)Cc4ccccn4)C=CN3)n2)c1Cl</v>
      </c>
      <c r="C16111" s="7">
        <f>IFERROR(__xludf.DUMMYFUNCTION("""COMPUTED_VALUE"""),7.7384105)</f>
        <v>7.7384105</v>
      </c>
      <c r="D16111" s="7">
        <f>IFERROR(__xludf.DUMMYFUNCTION("""COMPUTED_VALUE"""),0.393939393939393)</f>
        <v>0.3939393939</v>
      </c>
    </row>
    <row r="16112">
      <c r="A16112" s="10" t="s">
        <v>17551</v>
      </c>
      <c r="B16112" s="7" t="str">
        <f>IFERROR(__xludf.DUMMYFUNCTION("SPLIT(A16112,"" "")"),"Cc1ccc(-c2cccc(CN(C)Cc3cccc(N)n3)n2)c(C)c1")</f>
        <v>Cc1ccc(-c2cccc(CN(C)Cc3cccc(N)n3)n2)c(C)c1</v>
      </c>
      <c r="C16112" s="7">
        <f>IFERROR(__xludf.DUMMYFUNCTION("""COMPUTED_VALUE"""),7.7383966)</f>
        <v>7.7383966</v>
      </c>
      <c r="D16112" s="7">
        <f>IFERROR(__xludf.DUMMYFUNCTION("""COMPUTED_VALUE"""),0.428571428571428)</f>
        <v>0.4285714286</v>
      </c>
    </row>
    <row r="16113">
      <c r="A16113" s="10" t="s">
        <v>17552</v>
      </c>
      <c r="B16113" s="7" t="str">
        <f>IFERROR(__xludf.DUMMYFUNCTION("SPLIT(A16113,"" "")"),"Cc1cncc(CN(C)CCN(C)c2ccc3nccc(CF)c3c2)c1")</f>
        <v>Cc1cncc(CN(C)CCN(C)c2ccc3nccc(CF)c3c2)c1</v>
      </c>
      <c r="C16113" s="7">
        <f>IFERROR(__xludf.DUMMYFUNCTION("""COMPUTED_VALUE"""),7.7383933)</f>
        <v>7.7383933</v>
      </c>
      <c r="D16113" s="7">
        <f>IFERROR(__xludf.DUMMYFUNCTION("""COMPUTED_VALUE"""),0.321428571428571)</f>
        <v>0.3214285714</v>
      </c>
    </row>
    <row r="16114">
      <c r="A16114" s="10" t="s">
        <v>17553</v>
      </c>
      <c r="B16114" s="7" t="str">
        <f>IFERROR(__xludf.DUMMYFUNCTION("SPLIT(A16114,"" "")"),"Fc1ccccc1NCc1cccc(-c2ccccc2NCc2ccccn2)n1")</f>
        <v>Fc1ccccc1NCc1cccc(-c2ccccc2NCc2ccccn2)n1</v>
      </c>
      <c r="C16114" s="7">
        <f>IFERROR(__xludf.DUMMYFUNCTION("""COMPUTED_VALUE"""),7.7383895)</f>
        <v>7.7383895</v>
      </c>
      <c r="D16114" s="7">
        <f>IFERROR(__xludf.DUMMYFUNCTION("""COMPUTED_VALUE"""),0.4)</f>
        <v>0.4</v>
      </c>
    </row>
    <row r="16115">
      <c r="A16115" s="10" t="s">
        <v>17554</v>
      </c>
      <c r="B16115" s="7" t="str">
        <f>IFERROR(__xludf.DUMMYFUNCTION("SPLIT(A16115,"" "")"),"CNc1ccc2nc(CN(C)C3CCC(N(C)c4ccc5nccc(CF)c5c4)CC3)ccc2c1")</f>
        <v>CNc1ccc2nc(CN(C)C3CCC(N(C)c4ccc5nccc(CF)c5c4)CC3)ccc2c1</v>
      </c>
      <c r="C16115" s="7">
        <f>IFERROR(__xludf.DUMMYFUNCTION("""COMPUTED_VALUE"""),7.7383747)</f>
        <v>7.7383747</v>
      </c>
      <c r="D16115" s="7">
        <f>IFERROR(__xludf.DUMMYFUNCTION("""COMPUTED_VALUE"""),0.256756756756756)</f>
        <v>0.2567567568</v>
      </c>
    </row>
    <row r="16116">
      <c r="A16116" s="10" t="s">
        <v>17555</v>
      </c>
      <c r="B16116" s="7" t="str">
        <f>IFERROR(__xludf.DUMMYFUNCTION("SPLIT(A16116,"" "")"),"Cc1ccc(CN(Cc2cncc(-c3cccc(N(C)C)c3)c2)Cc2cccc(C(C)(C)C)n2)nc1")</f>
        <v>Cc1ccc(CN(Cc2cncc(-c3cccc(N(C)C)c3)c2)Cc2cccc(C(C)(C)C)n2)nc1</v>
      </c>
      <c r="C16116" s="7">
        <f>IFERROR(__xludf.DUMMYFUNCTION("""COMPUTED_VALUE"""),7.738372)</f>
        <v>7.738372</v>
      </c>
      <c r="D16116" s="7">
        <f>IFERROR(__xludf.DUMMYFUNCTION("""COMPUTED_VALUE"""),0.338983050847457)</f>
        <v>0.3389830508</v>
      </c>
    </row>
    <row r="16117">
      <c r="A16117" s="10" t="s">
        <v>17556</v>
      </c>
      <c r="B16117" s="7" t="str">
        <f>IFERROR(__xludf.DUMMYFUNCTION("SPLIT(A16117,"" "")"),"CN(Cc1nc2ccccc2o1)C1CCCCC1N(C)c1ccc2ncccc2c1")</f>
        <v>CN(Cc1nc2ccccc2o1)C1CCCCC1N(C)c1ccc2ncccc2c1</v>
      </c>
      <c r="C16117" s="7">
        <f>IFERROR(__xludf.DUMMYFUNCTION("""COMPUTED_VALUE"""),7.7383585)</f>
        <v>7.7383585</v>
      </c>
      <c r="D16117" s="7">
        <f>IFERROR(__xludf.DUMMYFUNCTION("""COMPUTED_VALUE"""),0.421052631578947)</f>
        <v>0.4210526316</v>
      </c>
    </row>
    <row r="16118">
      <c r="A16118" s="10" t="s">
        <v>17557</v>
      </c>
      <c r="B16118" s="7" t="str">
        <f>IFERROR(__xludf.DUMMYFUNCTION("SPLIT(A16118,"" "")"),"CC1Cc2cccnc2C=C1Cl")</f>
        <v>CC1Cc2cccnc2C=C1Cl</v>
      </c>
      <c r="C16118" s="7">
        <f>IFERROR(__xludf.DUMMYFUNCTION("""COMPUTED_VALUE"""),7.73834)</f>
        <v>7.73834</v>
      </c>
      <c r="D16118" s="7">
        <f>IFERROR(__xludf.DUMMYFUNCTION("""COMPUTED_VALUE"""),0.244897959183673)</f>
        <v>0.2448979592</v>
      </c>
    </row>
    <row r="16119">
      <c r="A16119" s="10" t="s">
        <v>17558</v>
      </c>
      <c r="B16119" s="7" t="str">
        <f>IFERROR(__xludf.DUMMYFUNCTION("SPLIT(A16119,"" "")"),"CNc1c(C)ncc(C)c1C")</f>
        <v>CNc1c(C)ncc(C)c1C</v>
      </c>
      <c r="C16119" s="7">
        <f>IFERROR(__xludf.DUMMYFUNCTION("""COMPUTED_VALUE"""),7.7383385)</f>
        <v>7.7383385</v>
      </c>
      <c r="D16119" s="7">
        <f>IFERROR(__xludf.DUMMYFUNCTION("""COMPUTED_VALUE"""),0.222222222222222)</f>
        <v>0.2222222222</v>
      </c>
    </row>
    <row r="16120">
      <c r="A16120" s="10" t="s">
        <v>17559</v>
      </c>
      <c r="B16120" s="7" t="str">
        <f>IFERROR(__xludf.DUMMYFUNCTION("SPLIT(A16120,"" "")"),"CNCCN(Cc1ccccn1)c1ccc2c(CF)ccnc2c1")</f>
        <v>CNCCN(Cc1ccccn1)c1ccc2c(CF)ccnc2c1</v>
      </c>
      <c r="C16120" s="7">
        <f>IFERROR(__xludf.DUMMYFUNCTION("""COMPUTED_VALUE"""),7.7383327)</f>
        <v>7.7383327</v>
      </c>
      <c r="D16120" s="7">
        <f>IFERROR(__xludf.DUMMYFUNCTION("""COMPUTED_VALUE"""),0.377358490566037)</f>
        <v>0.3773584906</v>
      </c>
    </row>
    <row r="16121">
      <c r="A16121" s="10" t="s">
        <v>17560</v>
      </c>
      <c r="B16121" s="7" t="str">
        <f>IFERROR(__xludf.DUMMYFUNCTION("SPLIT(A16121,"" "")"),"CNCCN(Cc1ccccn1)c1ccc2nccc(CF)c2c1")</f>
        <v>CNCCN(Cc1ccccn1)c1ccc2nccc(CF)c2c1</v>
      </c>
      <c r="C16121" s="7">
        <f>IFERROR(__xludf.DUMMYFUNCTION("""COMPUTED_VALUE"""),7.7383327)</f>
        <v>7.7383327</v>
      </c>
      <c r="D16121" s="7">
        <f>IFERROR(__xludf.DUMMYFUNCTION("""COMPUTED_VALUE"""),0.37037037037037)</f>
        <v>0.3703703704</v>
      </c>
    </row>
    <row r="16122">
      <c r="A16122" s="10" t="s">
        <v>17561</v>
      </c>
      <c r="B16122" s="7" t="str">
        <f>IFERROR(__xludf.DUMMYFUNCTION("SPLIT(A16122,"" "")"),"Cc1cncc(CN(C)CCN(C)c2cccc3ncccc23)c1")</f>
        <v>Cc1cncc(CN(C)CCN(C)c2cccc3ncccc23)c1</v>
      </c>
      <c r="C16122" s="7">
        <f>IFERROR(__xludf.DUMMYFUNCTION("""COMPUTED_VALUE"""),7.7383194)</f>
        <v>7.7383194</v>
      </c>
      <c r="D16122" s="7">
        <f>IFERROR(__xludf.DUMMYFUNCTION("""COMPUTED_VALUE"""),0.411764705882352)</f>
        <v>0.4117647059</v>
      </c>
    </row>
    <row r="16123">
      <c r="A16123" s="10" t="s">
        <v>17562</v>
      </c>
      <c r="B16123" s="7" t="str">
        <f>IFERROR(__xludf.DUMMYFUNCTION("SPLIT(A16123,"" "")"),"CC(C)C1=CC2(C=CN1)C=C(c1ccc(CN(Cc3ccccn3)c3ccc4ncccc4c3)cn1)CC(C)(C)C2c1cc(CN(Cc2ccccn2)Cc2ccccn2)ccn1")</f>
        <v>CC(C)C1=CC2(C=CN1)C=C(c1ccc(CN(Cc3ccccn3)c3ccc4ncccc4c3)cn1)CC(C)(C)C2c1cc(CN(Cc2ccccn2)Cc2ccccn2)ccn1</v>
      </c>
      <c r="C16123" s="7">
        <f>IFERROR(__xludf.DUMMYFUNCTION("""COMPUTED_VALUE"""),7.738306)</f>
        <v>7.738306</v>
      </c>
      <c r="D16123" s="7">
        <f>IFERROR(__xludf.DUMMYFUNCTION("""COMPUTED_VALUE"""),0.258426966292134)</f>
        <v>0.2584269663</v>
      </c>
    </row>
    <row r="16124">
      <c r="A16124" s="10" t="s">
        <v>17563</v>
      </c>
      <c r="B16124" s="7" t="str">
        <f>IFERROR(__xludf.DUMMYFUNCTION("SPLIT(A16124,"" "")"),"CCN(Cc1cc(C)ccn1)Cc1cc(-c2ccc(N(C)C)cc2)ccn1")</f>
        <v>CCN(Cc1cc(C)ccn1)Cc1cc(-c2ccc(N(C)C)cc2)ccn1</v>
      </c>
      <c r="C16124" s="7">
        <f>IFERROR(__xludf.DUMMYFUNCTION("""COMPUTED_VALUE"""),7.738303)</f>
        <v>7.738303</v>
      </c>
      <c r="D16124" s="7">
        <f>IFERROR(__xludf.DUMMYFUNCTION("""COMPUTED_VALUE"""),0.333333333333333)</f>
        <v>0.3333333333</v>
      </c>
    </row>
    <row r="16125">
      <c r="A16125" s="10" t="s">
        <v>17564</v>
      </c>
      <c r="B16125" s="7" t="str">
        <f>IFERROR(__xludf.DUMMYFUNCTION("SPLIT(A16125,"" "")"),"COC(C)c1ccc(CN(Cc2ccccn2)Cc2cc(-c3ccccc3N=Cc3ccccn3)ccn2)cn1")</f>
        <v>COC(C)c1ccc(CN(Cc2ccccn2)Cc2cc(-c3ccccc3N=Cc3ccccn3)ccn2)cn1</v>
      </c>
      <c r="C16125" s="7">
        <f>IFERROR(__xludf.DUMMYFUNCTION("""COMPUTED_VALUE"""),7.738299)</f>
        <v>7.738299</v>
      </c>
      <c r="D16125" s="7">
        <f>IFERROR(__xludf.DUMMYFUNCTION("""COMPUTED_VALUE"""),0.333333333333333)</f>
        <v>0.3333333333</v>
      </c>
    </row>
    <row r="16126">
      <c r="A16126" s="10" t="s">
        <v>17565</v>
      </c>
      <c r="B16126" s="7" t="str">
        <f>IFERROR(__xludf.DUMMYFUNCTION("SPLIT(A16126,"" "")"),"Cc1ccccc1CN(C)Cc1ccc(-c2cccc(N(C)C)c2)cn1")</f>
        <v>Cc1ccccc1CN(C)Cc1ccc(-c2cccc(N(C)C)c2)cn1</v>
      </c>
      <c r="C16126" s="7">
        <f>IFERROR(__xludf.DUMMYFUNCTION("""COMPUTED_VALUE"""),7.7382936)</f>
        <v>7.7382936</v>
      </c>
      <c r="D16126" s="7">
        <f>IFERROR(__xludf.DUMMYFUNCTION("""COMPUTED_VALUE"""),0.36734693877551)</f>
        <v>0.3673469388</v>
      </c>
    </row>
    <row r="16127">
      <c r="A16127" s="10" t="s">
        <v>17566</v>
      </c>
      <c r="B16127" s="7" t="str">
        <f>IFERROR(__xludf.DUMMYFUNCTION("SPLIT(A16127,"" "")"),"CCN(Cc1ccccn1)Cc1cc(-c2ccc(N=Cc3ccccn3)cc2)ccn1")</f>
        <v>CCN(Cc1ccccn1)Cc1cc(-c2ccc(N=Cc3ccccn3)cc2)ccn1</v>
      </c>
      <c r="C16127" s="7">
        <f>IFERROR(__xludf.DUMMYFUNCTION("""COMPUTED_VALUE"""),7.7382827)</f>
        <v>7.7382827</v>
      </c>
      <c r="D16127" s="7">
        <f>IFERROR(__xludf.DUMMYFUNCTION("""COMPUTED_VALUE"""),0.404255319148936)</f>
        <v>0.4042553191</v>
      </c>
    </row>
    <row r="16128">
      <c r="A16128" s="10" t="s">
        <v>17567</v>
      </c>
      <c r="B16128" s="7" t="str">
        <f>IFERROR(__xludf.DUMMYFUNCTION("SPLIT(A16128,"" "")"),"Cc1ccc(CN(C)C2CCCCC2N(C)c2ccc3ncccc3c2)nc1-c1cccc(C)c1N(C)Cc1ccccn1")</f>
        <v>Cc1ccc(CN(C)C2CCCCC2N(C)c2ccc3ncccc3c2)nc1-c1cccc(C)c1N(C)Cc1ccccn1</v>
      </c>
      <c r="C16128" s="7">
        <f>IFERROR(__xludf.DUMMYFUNCTION("""COMPUTED_VALUE"""),7.7382812)</f>
        <v>7.7382812</v>
      </c>
      <c r="D16128" s="7">
        <f>IFERROR(__xludf.DUMMYFUNCTION("""COMPUTED_VALUE"""),0.46875)</f>
        <v>0.46875</v>
      </c>
    </row>
    <row r="16129">
      <c r="A16129" s="10" t="s">
        <v>17568</v>
      </c>
      <c r="B16129" s="7" t="str">
        <f>IFERROR(__xludf.DUMMYFUNCTION("SPLIT(A16129,"" "")"),"COC(=O)c1cccc(CN(Cc2ccccn2)Cc2cc(C(C)(c3ccccn3)c3ccccn3)ccn2)n1")</f>
        <v>COC(=O)c1cccc(CN(Cc2ccccn2)Cc2cc(C(C)(c3ccccn3)c3ccccn3)ccn2)n1</v>
      </c>
      <c r="C16129" s="7">
        <f>IFERROR(__xludf.DUMMYFUNCTION("""COMPUTED_VALUE"""),7.7382784)</f>
        <v>7.7382784</v>
      </c>
      <c r="D16129" s="7">
        <f>IFERROR(__xludf.DUMMYFUNCTION("""COMPUTED_VALUE"""),0.415384615384615)</f>
        <v>0.4153846154</v>
      </c>
    </row>
    <row r="16130">
      <c r="A16130" s="10" t="s">
        <v>17569</v>
      </c>
      <c r="B16130" s="7" t="str">
        <f>IFERROR(__xludf.DUMMYFUNCTION("SPLIT(A16130,"" "")"),"Cc1cc(C)c(N(C)CC2=CCC(N(C)Cc3ccccn3)=CN2)cc1C")</f>
        <v>Cc1cc(C)c(N(C)CC2=CCC(N(C)Cc3ccccn3)=CN2)cc1C</v>
      </c>
      <c r="C16130" s="7">
        <f>IFERROR(__xludf.DUMMYFUNCTION("""COMPUTED_VALUE"""),7.7382727)</f>
        <v>7.7382727</v>
      </c>
      <c r="D16130" s="7">
        <f>IFERROR(__xludf.DUMMYFUNCTION("""COMPUTED_VALUE"""),0.461538461538461)</f>
        <v>0.4615384615</v>
      </c>
    </row>
    <row r="16131">
      <c r="A16131" s="10" t="s">
        <v>17570</v>
      </c>
      <c r="B16131" s="7" t="str">
        <f>IFERROR(__xludf.DUMMYFUNCTION("SPLIT(A16131,"" "")"),"Cc1cncc(CN(C)C2=CNC(CN(Cc3ccccn3)Cc3cccc(-c4cccc(N)c4Cl)n3)=CC2)c1")</f>
        <v>Cc1cncc(CN(C)C2=CNC(CN(Cc3ccccn3)Cc3cccc(-c4cccc(N)c4Cl)n3)=CC2)c1</v>
      </c>
      <c r="C16131" s="7">
        <f>IFERROR(__xludf.DUMMYFUNCTION("""COMPUTED_VALUE"""),7.7382703)</f>
        <v>7.7382703</v>
      </c>
      <c r="D16131" s="7">
        <f>IFERROR(__xludf.DUMMYFUNCTION("""COMPUTED_VALUE"""),0.346153846153846)</f>
        <v>0.3461538462</v>
      </c>
    </row>
    <row r="16132">
      <c r="A16132" s="10" t="s">
        <v>17571</v>
      </c>
      <c r="B16132" s="7" t="str">
        <f>IFERROR(__xludf.DUMMYFUNCTION("SPLIT(A16132,"" "")"),"Cc1cnccc1N(C)Cc1ncccc1N")</f>
        <v>Cc1cnccc1N(C)Cc1ncccc1N</v>
      </c>
      <c r="C16132" s="7">
        <f>IFERROR(__xludf.DUMMYFUNCTION("""COMPUTED_VALUE"""),7.738267)</f>
        <v>7.738267</v>
      </c>
      <c r="D16132" s="7">
        <f>IFERROR(__xludf.DUMMYFUNCTION("""COMPUTED_VALUE"""),0.354166666666666)</f>
        <v>0.3541666667</v>
      </c>
    </row>
    <row r="16133">
      <c r="A16133" s="10" t="s">
        <v>17572</v>
      </c>
      <c r="B16133" s="7" t="str">
        <f>IFERROR(__xludf.DUMMYFUNCTION("SPLIT(A16133,"" "")"),"Cc1ccc(CN(Cc2ccccn2)Cc2cc(-c3cccc(N(C)C)c3)ccn2)nc1")</f>
        <v>Cc1ccc(CN(Cc2ccccn2)Cc2cc(-c3cccc(N(C)C)c3)ccn2)nc1</v>
      </c>
      <c r="C16133" s="7">
        <f>IFERROR(__xludf.DUMMYFUNCTION("""COMPUTED_VALUE"""),7.7382627)</f>
        <v>7.7382627</v>
      </c>
      <c r="D16133" s="7">
        <f>IFERROR(__xludf.DUMMYFUNCTION("""COMPUTED_VALUE"""),0.444444444444444)</f>
        <v>0.4444444444</v>
      </c>
    </row>
    <row r="16134">
      <c r="A16134" s="10" t="s">
        <v>17573</v>
      </c>
      <c r="B16134" s="7" t="str">
        <f>IFERROR(__xludf.DUMMYFUNCTION("SPLIT(A16134,"" "")"),"CC(C)N(C)CC1=CCC(N(C)c2cccc3nccc(CF)c23)=CN1")</f>
        <v>CC(C)N(C)CC1=CCC(N(C)c2cccc3nccc(CF)c23)=CN1</v>
      </c>
      <c r="C16134" s="7">
        <f>IFERROR(__xludf.DUMMYFUNCTION("""COMPUTED_VALUE"""),7.738246)</f>
        <v>7.738246</v>
      </c>
      <c r="D16134" s="7">
        <f>IFERROR(__xludf.DUMMYFUNCTION("""COMPUTED_VALUE"""),0.267605633802816)</f>
        <v>0.2676056338</v>
      </c>
    </row>
    <row r="16135">
      <c r="A16135" s="10" t="s">
        <v>17574</v>
      </c>
      <c r="B16135" s="7" t="str">
        <f>IFERROR(__xludf.DUMMYFUNCTION("SPLIT(A16135,"" "")"),"CCN(Cc1ccccn1)c1ccc(N=Cc2ccccn2)c(C)c1")</f>
        <v>CCN(Cc1ccccn1)c1ccc(N=Cc2ccccn2)c(C)c1</v>
      </c>
      <c r="C16135" s="7">
        <f>IFERROR(__xludf.DUMMYFUNCTION("""COMPUTED_VALUE"""),7.7382383)</f>
        <v>7.7382383</v>
      </c>
      <c r="D16135" s="7">
        <f>IFERROR(__xludf.DUMMYFUNCTION("""COMPUTED_VALUE"""),0.461538461538461)</f>
        <v>0.4615384615</v>
      </c>
    </row>
    <row r="16136">
      <c r="A16136" s="10" t="s">
        <v>17575</v>
      </c>
      <c r="B16136" s="7" t="str">
        <f>IFERROR(__xludf.DUMMYFUNCTION("SPLIT(A16136,"" "")"),"CNCc1cc(-c2ccccn2)ccn1")</f>
        <v>CNCc1cc(-c2ccccn2)ccn1</v>
      </c>
      <c r="C16136" s="7">
        <f>IFERROR(__xludf.DUMMYFUNCTION("""COMPUTED_VALUE"""),7.7382345)</f>
        <v>7.7382345</v>
      </c>
      <c r="D16136" s="7">
        <f>IFERROR(__xludf.DUMMYFUNCTION("""COMPUTED_VALUE"""),0.394736842105263)</f>
        <v>0.3947368421</v>
      </c>
    </row>
    <row r="16137">
      <c r="A16137" s="10" t="s">
        <v>17576</v>
      </c>
      <c r="B16137" s="7" t="str">
        <f>IFERROR(__xludf.DUMMYFUNCTION("SPLIT(A16137,"" "")"),"Cc1cc(CN(Cc2ccc3ncccc3c2)Cc2cc(N)ccn2)cnc1C")</f>
        <v>Cc1cc(CN(Cc2ccc3ncccc3c2)Cc2cc(N)ccn2)cnc1C</v>
      </c>
      <c r="C16137" s="7">
        <f>IFERROR(__xludf.DUMMYFUNCTION("""COMPUTED_VALUE"""),7.7382245)</f>
        <v>7.7382245</v>
      </c>
      <c r="D16137" s="7">
        <f>IFERROR(__xludf.DUMMYFUNCTION("""COMPUTED_VALUE"""),0.316666666666666)</f>
        <v>0.3166666667</v>
      </c>
    </row>
    <row r="16138">
      <c r="A16138" s="10" t="s">
        <v>17577</v>
      </c>
      <c r="B16138" s="7" t="str">
        <f>IFERROR(__xludf.DUMMYFUNCTION("SPLIT(A16138,"" "")"),"CCN(Cc1ccccn1)Cc1cc(-c2ccccc2N=Cc2ccccn2)ccn1")</f>
        <v>CCN(Cc1ccccn1)Cc1cc(-c2ccccc2N=Cc2ccccn2)ccn1</v>
      </c>
      <c r="C16138" s="7">
        <f>IFERROR(__xludf.DUMMYFUNCTION("""COMPUTED_VALUE"""),7.738224)</f>
        <v>7.738224</v>
      </c>
      <c r="D16138" s="7">
        <f>IFERROR(__xludf.DUMMYFUNCTION("""COMPUTED_VALUE"""),0.418181818181818)</f>
        <v>0.4181818182</v>
      </c>
    </row>
    <row r="16139">
      <c r="A16139" s="10" t="s">
        <v>17578</v>
      </c>
      <c r="B16139" s="7" t="str">
        <f>IFERROR(__xludf.DUMMYFUNCTION("SPLIT(A16139,"" "")"),"CCN(CC1=CC(N(C)Cc2ccccn2)C=CN1)c1cccc2ncccc12")</f>
        <v>CCN(CC1=CC(N(C)Cc2ccccn2)C=CN1)c1cccc2ncccc12</v>
      </c>
      <c r="C16139" s="7">
        <f>IFERROR(__xludf.DUMMYFUNCTION("""COMPUTED_VALUE"""),7.7382083)</f>
        <v>7.7382083</v>
      </c>
      <c r="D16139" s="7">
        <f>IFERROR(__xludf.DUMMYFUNCTION("""COMPUTED_VALUE"""),0.354838709677419)</f>
        <v>0.3548387097</v>
      </c>
    </row>
    <row r="16140">
      <c r="A16140" s="10" t="s">
        <v>17579</v>
      </c>
      <c r="B16140" s="7" t="str">
        <f>IFERROR(__xludf.DUMMYFUNCTION("SPLIT(A16140,"" "")"),"CC(C)N(CC1=CC(N(C)Cc2ccccn2)C=CN1)c1ccc2cccnc2c1")</f>
        <v>CC(C)N(CC1=CC(N(C)Cc2ccccn2)C=CN1)c1ccc2cccnc2c1</v>
      </c>
      <c r="C16140" s="7">
        <f>IFERROR(__xludf.DUMMYFUNCTION("""COMPUTED_VALUE"""),7.7382026)</f>
        <v>7.7382026</v>
      </c>
      <c r="D16140" s="7">
        <f>IFERROR(__xludf.DUMMYFUNCTION("""COMPUTED_VALUE"""),0.365079365079365)</f>
        <v>0.3650793651</v>
      </c>
    </row>
    <row r="16141">
      <c r="A16141" s="10" t="s">
        <v>17580</v>
      </c>
      <c r="B16141" s="7" t="str">
        <f>IFERROR(__xludf.DUMMYFUNCTION("SPLIT(A16141,"" "")"),"CN(Cc1ccccn1)CN(Cc1ccccn1)c1cccc2ncccc12")</f>
        <v>CN(Cc1ccccn1)CN(Cc1ccccn1)c1cccc2ncccc12</v>
      </c>
      <c r="C16141" s="7">
        <f>IFERROR(__xludf.DUMMYFUNCTION("""COMPUTED_VALUE"""),7.738199)</f>
        <v>7.738199</v>
      </c>
      <c r="D16141" s="7">
        <f>IFERROR(__xludf.DUMMYFUNCTION("""COMPUTED_VALUE"""),0.458333333333333)</f>
        <v>0.4583333333</v>
      </c>
    </row>
    <row r="16142">
      <c r="A16142" s="10" t="s">
        <v>17581</v>
      </c>
      <c r="B16142" s="7" t="str">
        <f>IFERROR(__xludf.DUMMYFUNCTION("SPLIT(A16142,"" "")"),"CC(c1ccc(CNc2cccnc2CF)nc1)(c1ccccn1)c1ccccn1")</f>
        <v>CC(c1ccc(CNc2cccnc2CF)nc1)(c1ccccn1)c1ccccn1</v>
      </c>
      <c r="C16142" s="7">
        <f>IFERROR(__xludf.DUMMYFUNCTION("""COMPUTED_VALUE"""),7.7381988)</f>
        <v>7.7381988</v>
      </c>
      <c r="D16142" s="7">
        <f>IFERROR(__xludf.DUMMYFUNCTION("""COMPUTED_VALUE"""),0.35)</f>
        <v>0.35</v>
      </c>
    </row>
    <row r="16143">
      <c r="A16143" s="10" t="s">
        <v>17582</v>
      </c>
      <c r="B16143" s="7" t="str">
        <f>IFERROR(__xludf.DUMMYFUNCTION("SPLIT(A16143,"" "")"),"CN(CCN(Cc1ccccn1)c1ccc2cccnc2c1)Cc1ccon1")</f>
        <v>CN(CCN(Cc1ccccn1)c1ccc2cccnc2c1)Cc1ccon1</v>
      </c>
      <c r="C16143" s="7">
        <f>IFERROR(__xludf.DUMMYFUNCTION("""COMPUTED_VALUE"""),7.7381907)</f>
        <v>7.7381907</v>
      </c>
      <c r="D16143" s="7">
        <f>IFERROR(__xludf.DUMMYFUNCTION("""COMPUTED_VALUE"""),0.489795918367346)</f>
        <v>0.4897959184</v>
      </c>
    </row>
    <row r="16144">
      <c r="A16144" s="10" t="s">
        <v>17583</v>
      </c>
      <c r="B16144" s="7" t="str">
        <f>IFERROR(__xludf.DUMMYFUNCTION("SPLIT(A16144,"" "")"),"Cc1cccc(CN(Cc2ccc(CN(C)C)nc2)Cc2cccc(-c3cccc(N(C)C)c3)n2)n1")</f>
        <v>Cc1cccc(CN(Cc2ccc(CN(C)C)nc2)Cc2cccc(-c3cccc(N(C)C)c3)n2)n1</v>
      </c>
      <c r="C16144" s="7">
        <f>IFERROR(__xludf.DUMMYFUNCTION("""COMPUTED_VALUE"""),7.7381854)</f>
        <v>7.7381854</v>
      </c>
      <c r="D16144" s="7">
        <f>IFERROR(__xludf.DUMMYFUNCTION("""COMPUTED_VALUE"""),0.428571428571428)</f>
        <v>0.4285714286</v>
      </c>
    </row>
    <row r="16145">
      <c r="A16145" s="10" t="s">
        <v>17584</v>
      </c>
      <c r="B16145" s="7" t="str">
        <f>IFERROR(__xludf.DUMMYFUNCTION("SPLIT(A16145,"" "")"),"Cc1ccc(CN(C)Cc2ccc3c(N(C)CCF)cccc3n2)nc1")</f>
        <v>Cc1ccc(CN(C)Cc2ccc3c(N(C)CCF)cccc3n2)nc1</v>
      </c>
      <c r="C16145" s="7">
        <f>IFERROR(__xludf.DUMMYFUNCTION("""COMPUTED_VALUE"""),7.7381845)</f>
        <v>7.7381845</v>
      </c>
      <c r="D16145" s="7">
        <f>IFERROR(__xludf.DUMMYFUNCTION("""COMPUTED_VALUE"""),0.5)</f>
        <v>0.5</v>
      </c>
    </row>
    <row r="16146">
      <c r="A16146" s="10" t="s">
        <v>17585</v>
      </c>
      <c r="B16146" s="7" t="str">
        <f>IFERROR(__xludf.DUMMYFUNCTION("SPLIT(A16146,"" "")"),"CN(C)Cc1nccc2cccc(N(C)CCN(C)Cc3ccccn3)c12")</f>
        <v>CN(C)Cc1nccc2cccc(N(C)CCN(C)Cc3ccccn3)c12</v>
      </c>
      <c r="C16146" s="7">
        <f>IFERROR(__xludf.DUMMYFUNCTION("""COMPUTED_VALUE"""),7.7381806)</f>
        <v>7.7381806</v>
      </c>
      <c r="D16146" s="7">
        <f>IFERROR(__xludf.DUMMYFUNCTION("""COMPUTED_VALUE"""),0.442307692307692)</f>
        <v>0.4423076923</v>
      </c>
    </row>
    <row r="16147">
      <c r="A16147" s="10" t="s">
        <v>17586</v>
      </c>
      <c r="B16147" s="7" t="str">
        <f>IFERROR(__xludf.DUMMYFUNCTION("SPLIT(A16147,"" "")"),"CC(C)(C)c1ccc(CN(Cc2ccccn2)Cc2cccc(-c3ccc(N=Cc4ccccn4)cc3)n2)cn1")</f>
        <v>CC(C)(C)c1ccc(CN(Cc2ccccn2)Cc2cccc(-c3ccc(N=Cc4ccccn4)cc3)n2)cn1</v>
      </c>
      <c r="C16147" s="7">
        <f>IFERROR(__xludf.DUMMYFUNCTION("""COMPUTED_VALUE"""),7.7381783)</f>
        <v>7.7381783</v>
      </c>
      <c r="D16147" s="7">
        <f>IFERROR(__xludf.DUMMYFUNCTION("""COMPUTED_VALUE"""),0.420289855072463)</f>
        <v>0.4202898551</v>
      </c>
    </row>
    <row r="16148">
      <c r="A16148" s="10" t="s">
        <v>17587</v>
      </c>
      <c r="B16148" s="7" t="str">
        <f>IFERROR(__xludf.DUMMYFUNCTION("SPLIT(A16148,"" "")"),"Cc1ccnc2ccc(N(C)CCN(C)CC(C)C)cc12")</f>
        <v>Cc1ccnc2ccc(N(C)CCN(C)CC(C)C)cc12</v>
      </c>
      <c r="C16148" s="7">
        <f>IFERROR(__xludf.DUMMYFUNCTION("""COMPUTED_VALUE"""),7.7381783)</f>
        <v>7.7381783</v>
      </c>
      <c r="D16148" s="7">
        <f>IFERROR(__xludf.DUMMYFUNCTION("""COMPUTED_VALUE"""),0.254901960784313)</f>
        <v>0.2549019608</v>
      </c>
    </row>
    <row r="16149">
      <c r="A16149" s="10" t="s">
        <v>17588</v>
      </c>
      <c r="B16149" s="7" t="str">
        <f>IFERROR(__xludf.DUMMYFUNCTION("SPLIT(A16149,"" "")"),"Cc1ccccc1N(Cc1ccccn1)Cc1cc(N(C)C)ccn1")</f>
        <v>Cc1ccccc1N(Cc1ccccn1)Cc1cc(N(C)C)ccn1</v>
      </c>
      <c r="C16149" s="7">
        <f>IFERROR(__xludf.DUMMYFUNCTION("""COMPUTED_VALUE"""),7.738176)</f>
        <v>7.738176</v>
      </c>
      <c r="D16149" s="7">
        <f>IFERROR(__xludf.DUMMYFUNCTION("""COMPUTED_VALUE"""),0.456521739130434)</f>
        <v>0.4565217391</v>
      </c>
    </row>
    <row r="16150">
      <c r="A16150" s="10" t="s">
        <v>17589</v>
      </c>
      <c r="B16150" s="7" t="str">
        <f>IFERROR(__xludf.DUMMYFUNCTION("SPLIT(A16150,"" "")"),"Cc1c(CN(C)Cc2ncccc2-c2cc(Cl)ccc2N)cccc1NCc1ccccn1")</f>
        <v>Cc1c(CN(C)Cc2ncccc2-c2cc(Cl)ccc2N)cccc1NCc1ccccn1</v>
      </c>
      <c r="C16150" s="7">
        <f>IFERROR(__xludf.DUMMYFUNCTION("""COMPUTED_VALUE"""),7.738175)</f>
        <v>7.738175</v>
      </c>
      <c r="D16150" s="7">
        <f>IFERROR(__xludf.DUMMYFUNCTION("""COMPUTED_VALUE"""),0.318181818181818)</f>
        <v>0.3181818182</v>
      </c>
    </row>
    <row r="16151">
      <c r="A16151" s="10" t="s">
        <v>17590</v>
      </c>
      <c r="B16151" s="7" t="str">
        <f>IFERROR(__xludf.DUMMYFUNCTION("SPLIT(A16151,"" "")"),"Cc1cnc(CN(C)C2=C(CN(Cc3ccc4ncccc4c3)C(C)C)NC=CC2)c(C)c1")</f>
        <v>Cc1cnc(CN(C)C2=C(CN(Cc3ccc4ncccc4c3)C(C)C)NC=CC2)c(C)c1</v>
      </c>
      <c r="C16151" s="7">
        <f>IFERROR(__xludf.DUMMYFUNCTION("""COMPUTED_VALUE"""),7.73817)</f>
        <v>7.73817</v>
      </c>
      <c r="D16151" s="7">
        <f>IFERROR(__xludf.DUMMYFUNCTION("""COMPUTED_VALUE"""),0.239436619718309)</f>
        <v>0.2394366197</v>
      </c>
    </row>
    <row r="16152">
      <c r="A16152" s="10" t="s">
        <v>17591</v>
      </c>
      <c r="B16152" s="7" t="str">
        <f>IFERROR(__xludf.DUMMYFUNCTION("SPLIT(A16152,"" "")"),"CN(CCN(Cc1ccccn1)c1ccc2ncccc2c1)Cc1ccon1")</f>
        <v>CN(CCN(Cc1ccccn1)c1ccc2ncccc2c1)Cc1ccon1</v>
      </c>
      <c r="C16152" s="7">
        <f>IFERROR(__xludf.DUMMYFUNCTION("""COMPUTED_VALUE"""),7.7381654)</f>
        <v>7.7381654</v>
      </c>
      <c r="D16152" s="7">
        <f>IFERROR(__xludf.DUMMYFUNCTION("""COMPUTED_VALUE"""),0.5)</f>
        <v>0.5</v>
      </c>
    </row>
    <row r="16153">
      <c r="A16153" s="10" t="s">
        <v>17592</v>
      </c>
      <c r="B16153" s="7" t="str">
        <f>IFERROR(__xludf.DUMMYFUNCTION("SPLIT(A16153,"" "")"),"CC(C)N(CC1=CC(N(C)Cc2ccccn2)C=CN1)c1ccc2ncccc2c1")</f>
        <v>CC(C)N(CC1=CC(N(C)Cc2ccccn2)C=CN1)c1ccc2ncccc2c1</v>
      </c>
      <c r="C16153" s="7">
        <f>IFERROR(__xludf.DUMMYFUNCTION("""COMPUTED_VALUE"""),7.738165)</f>
        <v>7.738165</v>
      </c>
      <c r="D16153" s="7">
        <f>IFERROR(__xludf.DUMMYFUNCTION("""COMPUTED_VALUE"""),0.349206349206349)</f>
        <v>0.3492063492</v>
      </c>
    </row>
    <row r="16154">
      <c r="A16154" s="10" t="s">
        <v>17593</v>
      </c>
      <c r="B16154" s="7" t="str">
        <f>IFERROR(__xludf.DUMMYFUNCTION("SPLIT(A16154,"" "")"),"Cc1cc(CN(Cc2ccccn2)C(C)C)cnc1-c1ccccc1N(C)C")</f>
        <v>Cc1cc(CN(Cc2ccccn2)C(C)C)cnc1-c1ccccc1N(C)C</v>
      </c>
      <c r="C16154" s="7">
        <f>IFERROR(__xludf.DUMMYFUNCTION("""COMPUTED_VALUE"""),7.7381525)</f>
        <v>7.7381525</v>
      </c>
      <c r="D16154" s="7">
        <f>IFERROR(__xludf.DUMMYFUNCTION("""COMPUTED_VALUE"""),0.48)</f>
        <v>0.48</v>
      </c>
    </row>
    <row r="16155">
      <c r="A16155" s="10" t="s">
        <v>17594</v>
      </c>
      <c r="B16155" s="7" t="str">
        <f>IFERROR(__xludf.DUMMYFUNCTION("SPLIT(A16155,"" "")"),"CC(c1ccc(CNc2cccc(CF)n2)nc1)(c1ccccn1)c1ccccn1")</f>
        <v>CC(c1ccc(CNc2cccc(CF)n2)nc1)(c1ccccn1)c1ccccn1</v>
      </c>
      <c r="C16155" s="7">
        <f>IFERROR(__xludf.DUMMYFUNCTION("""COMPUTED_VALUE"""),7.738152)</f>
        <v>7.738152</v>
      </c>
      <c r="D16155" s="7">
        <f>IFERROR(__xludf.DUMMYFUNCTION("""COMPUTED_VALUE"""),0.464285714285714)</f>
        <v>0.4642857143</v>
      </c>
    </row>
    <row r="16156">
      <c r="A16156" s="10" t="s">
        <v>17595</v>
      </c>
      <c r="B16156" s="7" t="str">
        <f>IFERROR(__xludf.DUMMYFUNCTION("SPLIT(A16156,"" "")"),"CN(c1cccc2ncccc12)C1CCCCC1N(C)c1cccc2ncc3c(c12)CCCC3")</f>
        <v>CN(c1cccc2ncccc12)C1CCCCC1N(C)c1cccc2ncc3c(c12)CCCC3</v>
      </c>
      <c r="C16156" s="7">
        <f>IFERROR(__xludf.DUMMYFUNCTION("""COMPUTED_VALUE"""),7.7381363)</f>
        <v>7.7381363</v>
      </c>
      <c r="D16156" s="7">
        <f>IFERROR(__xludf.DUMMYFUNCTION("""COMPUTED_VALUE"""),0.454545454545454)</f>
        <v>0.4545454545</v>
      </c>
    </row>
    <row r="16157">
      <c r="A16157" s="10" t="s">
        <v>17596</v>
      </c>
      <c r="B16157" s="7" t="str">
        <f>IFERROR(__xludf.DUMMYFUNCTION("SPLIT(A16157,"" "")"),"FCN(Cc1ccccn1)Cc1ncccc1-c1ccccc1N=Cc1ccccn1")</f>
        <v>FCN(Cc1ccccn1)Cc1ncccc1-c1ccccc1N=Cc1ccccn1</v>
      </c>
      <c r="C16157" s="7">
        <f>IFERROR(__xludf.DUMMYFUNCTION("""COMPUTED_VALUE"""),7.7381334)</f>
        <v>7.7381334</v>
      </c>
      <c r="D16157" s="7">
        <f>IFERROR(__xludf.DUMMYFUNCTION("""COMPUTED_VALUE"""),0.450980392156862)</f>
        <v>0.4509803922</v>
      </c>
    </row>
    <row r="16158">
      <c r="A16158" s="10" t="s">
        <v>17597</v>
      </c>
      <c r="B16158" s="7" t="str">
        <f>IFERROR(__xludf.DUMMYFUNCTION("SPLIT(A16158,"" "")"),"CN(C)Cc1cncc2c(N(C)CCN(C)Cc3ccccn3)cccc12")</f>
        <v>CN(C)Cc1cncc2c(N(C)CCN(C)Cc3ccccn3)cccc12</v>
      </c>
      <c r="C16158" s="7">
        <f>IFERROR(__xludf.DUMMYFUNCTION("""COMPUTED_VALUE"""),7.7381306)</f>
        <v>7.7381306</v>
      </c>
      <c r="D16158" s="7">
        <f>IFERROR(__xludf.DUMMYFUNCTION("""COMPUTED_VALUE"""),0.411764705882352)</f>
        <v>0.4117647059</v>
      </c>
    </row>
    <row r="16159">
      <c r="A16159" s="10" t="s">
        <v>17598</v>
      </c>
      <c r="B16159" s="7" t="str">
        <f>IFERROR(__xludf.DUMMYFUNCTION("SPLIT(A16159,"" "")"),"CCN(Cc1ccccn1)c1cccc(C)c1-c1cc(CN(Cc2ccccn2)Cc2cc(C)c(C)c(C)n2)ccn1")</f>
        <v>CCN(Cc1ccccn1)c1cccc(C)c1-c1cc(CN(Cc2ccccn2)Cc2cc(C)c(C)c(C)n2)ccn1</v>
      </c>
      <c r="C16159" s="7">
        <f>IFERROR(__xludf.DUMMYFUNCTION("""COMPUTED_VALUE"""),7.7381234)</f>
        <v>7.7381234</v>
      </c>
      <c r="D16159" s="7">
        <f>IFERROR(__xludf.DUMMYFUNCTION("""COMPUTED_VALUE"""),0.359375)</f>
        <v>0.359375</v>
      </c>
    </row>
    <row r="16160">
      <c r="A16160" s="10" t="s">
        <v>17599</v>
      </c>
      <c r="B16160" s="7" t="str">
        <f>IFERROR(__xludf.DUMMYFUNCTION("SPLIT(A16160,"" "")"),"CC(C)N(C)Cc1ccc(-c2cccc(N=Cc3ccccn3)c2)cn1")</f>
        <v>CC(C)N(C)Cc1ccc(-c2cccc(N=Cc3ccccn3)c2)cn1</v>
      </c>
      <c r="C16160" s="7">
        <f>IFERROR(__xludf.DUMMYFUNCTION("""COMPUTED_VALUE"""),7.738121)</f>
        <v>7.738121</v>
      </c>
      <c r="D16160" s="7">
        <f>IFERROR(__xludf.DUMMYFUNCTION("""COMPUTED_VALUE"""),0.357142857142857)</f>
        <v>0.3571428571</v>
      </c>
    </row>
    <row r="16161">
      <c r="A16161" s="10" t="s">
        <v>17600</v>
      </c>
      <c r="B16161" s="7" t="str">
        <f>IFERROR(__xludf.DUMMYFUNCTION("SPLIT(A16161,"" "")"),"Cc1ccc(N(C)Cc2ncccc2N)c(C)c1C")</f>
        <v>Cc1ccc(N(C)Cc2ncccc2N)c(C)c1C</v>
      </c>
      <c r="C16161" s="7">
        <f>IFERROR(__xludf.DUMMYFUNCTION("""COMPUTED_VALUE"""),7.7381186)</f>
        <v>7.7381186</v>
      </c>
      <c r="D16161" s="7">
        <f>IFERROR(__xludf.DUMMYFUNCTION("""COMPUTED_VALUE"""),0.333333333333333)</f>
        <v>0.3333333333</v>
      </c>
    </row>
    <row r="16162">
      <c r="A16162" s="10" t="s">
        <v>17601</v>
      </c>
      <c r="B16162" s="7" t="str">
        <f>IFERROR(__xludf.DUMMYFUNCTION("SPLIT(A16162,"" "")"),"Cc1cccc(-c2ccc(NC3CCC(N(C)c4cccc5cc(CN(C)C)cnc45)CC3)cc2)n1")</f>
        <v>Cc1cccc(-c2ccc(NC3CCC(N(C)c4cccc5cc(CN(C)C)cnc45)CC3)cc2)n1</v>
      </c>
      <c r="C16162" s="7">
        <f>IFERROR(__xludf.DUMMYFUNCTION("""COMPUTED_VALUE"""),7.738113)</f>
        <v>7.738113</v>
      </c>
      <c r="D16162" s="7">
        <f>IFERROR(__xludf.DUMMYFUNCTION("""COMPUTED_VALUE"""),0.304347826086956)</f>
        <v>0.3043478261</v>
      </c>
    </row>
    <row r="16163">
      <c r="A16163" s="10" t="s">
        <v>17602</v>
      </c>
      <c r="B16163" s="7" t="str">
        <f>IFERROR(__xludf.DUMMYFUNCTION("SPLIT(A16163,"" "")"),"Cc1cnc(CN(C)c2ncc(C)cc2CN(C)C)c(C)c1")</f>
        <v>Cc1cnc(CN(C)c2ncc(C)cc2CN(C)C)c(C)c1</v>
      </c>
      <c r="C16163" s="7">
        <f>IFERROR(__xludf.DUMMYFUNCTION("""COMPUTED_VALUE"""),7.7381077)</f>
        <v>7.7381077</v>
      </c>
      <c r="D16163" s="7">
        <f>IFERROR(__xludf.DUMMYFUNCTION("""COMPUTED_VALUE"""),0.288888888888888)</f>
        <v>0.2888888889</v>
      </c>
    </row>
    <row r="16164">
      <c r="A16164" s="10" t="s">
        <v>17603</v>
      </c>
      <c r="B16164" s="7" t="str">
        <f>IFERROR(__xludf.DUMMYFUNCTION("SPLIT(A16164,"" "")"),"Cc1cncc(CN(C)CCN(Cc2ccccn2)c2ccc3nccc(C)c3c2)c1")</f>
        <v>Cc1cncc(CN(C)CCN(Cc2ccccn2)c2ccc3nccc(C)c3c2)c1</v>
      </c>
      <c r="C16164" s="7">
        <f>IFERROR(__xludf.DUMMYFUNCTION("""COMPUTED_VALUE"""),7.7381024)</f>
        <v>7.7381024</v>
      </c>
      <c r="D16164" s="7">
        <f>IFERROR(__xludf.DUMMYFUNCTION("""COMPUTED_VALUE"""),0.36231884057971)</f>
        <v>0.3623188406</v>
      </c>
    </row>
    <row r="16165">
      <c r="A16165" s="10" t="s">
        <v>17604</v>
      </c>
      <c r="B16165" s="7" t="str">
        <f>IFERROR(__xludf.DUMMYFUNCTION("SPLIT(A16165,"" "")"),"CC(C)NCc1ncccc1CN(Cc1ccccn1)C1CCC(N(C)c2ccc3cc(-c4ccc5cccnc5c4)cnc3c2)CC1")</f>
        <v>CC(C)NCc1ncccc1CN(Cc1ccccn1)C1CCC(N(C)c2ccc3cc(-c4ccc5cccnc5c4)cnc3c2)CC1</v>
      </c>
      <c r="C16165" s="7">
        <f>IFERROR(__xludf.DUMMYFUNCTION("""COMPUTED_VALUE"""),7.7380986)</f>
        <v>7.7380986</v>
      </c>
      <c r="D16165" s="7">
        <f>IFERROR(__xludf.DUMMYFUNCTION("""COMPUTED_VALUE"""),0.302631578947368)</f>
        <v>0.3026315789</v>
      </c>
    </row>
    <row r="16166">
      <c r="A16166" s="10" t="s">
        <v>17605</v>
      </c>
      <c r="B16166" s="7" t="str">
        <f>IFERROR(__xludf.DUMMYFUNCTION("SPLIT(A16166,"" "")"),"COc1cccc(-c2cc(CN(Cc3ccccn3)Cc3ccccn3)ccn2)c1C")</f>
        <v>COc1cccc(-c2cc(CN(Cc3ccccn3)Cc3ccccn3)ccn2)c1C</v>
      </c>
      <c r="C16166" s="7">
        <f>IFERROR(__xludf.DUMMYFUNCTION("""COMPUTED_VALUE"""),7.7380886)</f>
        <v>7.7380886</v>
      </c>
      <c r="D16166" s="7">
        <f>IFERROR(__xludf.DUMMYFUNCTION("""COMPUTED_VALUE"""),0.46551724137931)</f>
        <v>0.4655172414</v>
      </c>
    </row>
    <row r="16167">
      <c r="A16167" s="10" t="s">
        <v>17606</v>
      </c>
      <c r="B16167" s="7" t="str">
        <f>IFERROR(__xludf.DUMMYFUNCTION("SPLIT(A16167,"" "")"),"CCOC(=O)C(=O)N1CCN(C)CCN(C(=O)C(=O)C(=O)C(=O)C(=O)C(=O)C(=O)C(=O)C(=O)C(=O)C(=O)C(=O)C(=O)C(=O)C(=O)C(=O)C(=O)C(=O)C(=O)C(=O)C(=O)C(=O)C(=O)C(=O)C(=O)C(=O)C(=O)C(=O)C(=O)C(=O)C(=O)C(=O)C(=O)C(C)=O)CC1")</f>
        <v>CCOC(=O)C(=O)N1CCN(C)CCN(C(=O)C(=O)C(=O)C(=O)C(=O)C(=O)C(=O)C(=O)C(=O)C(=O)C(=O)C(=O)C(=O)C(=O)C(=O)C(=O)C(=O)C(=O)C(=O)C(=O)C(=O)C(=O)C(=O)C(=O)C(=O)C(=O)C(=O)C(=O)C(=O)C(=O)C(=O)C(=O)C(=O)C(C)=O)CC1</v>
      </c>
      <c r="C16167" s="7">
        <f>IFERROR(__xludf.DUMMYFUNCTION("""COMPUTED_VALUE"""),7.73808)</f>
        <v>7.73808</v>
      </c>
      <c r="D16167" s="7">
        <f>IFERROR(__xludf.DUMMYFUNCTION("""COMPUTED_VALUE"""),0.303571428571428)</f>
        <v>0.3035714286</v>
      </c>
    </row>
    <row r="16168">
      <c r="A16168" s="10" t="s">
        <v>17607</v>
      </c>
      <c r="B16168" s="7" t="str">
        <f>IFERROR(__xludf.DUMMYFUNCTION("SPLIT(A16168,"" "")"),"CCN(Cc1ccccn1)c1ccc2nc(CN(Cc3ccccn3)Cc3ncc(C)c(C)c3C)ccc2c1")</f>
        <v>CCN(Cc1ccccn1)c1ccc2nc(CN(Cc3ccccn3)Cc3ncc(C)c(C)c3C)ccc2c1</v>
      </c>
      <c r="C16168" s="7">
        <f>IFERROR(__xludf.DUMMYFUNCTION("""COMPUTED_VALUE"""),7.7380757)</f>
        <v>7.7380757</v>
      </c>
      <c r="D16168" s="7">
        <f>IFERROR(__xludf.DUMMYFUNCTION("""COMPUTED_VALUE"""),0.5)</f>
        <v>0.5</v>
      </c>
    </row>
    <row r="16169">
      <c r="A16169" s="10" t="s">
        <v>17608</v>
      </c>
      <c r="B16169" s="7" t="str">
        <f>IFERROR(__xludf.DUMMYFUNCTION("SPLIT(A16169,"" "")"),"CNc1cc(C)c(C)c(C)n1")</f>
        <v>CNc1cc(C)c(C)c(C)n1</v>
      </c>
      <c r="C16169" s="7">
        <f>IFERROR(__xludf.DUMMYFUNCTION("""COMPUTED_VALUE"""),7.7380724)</f>
        <v>7.7380724</v>
      </c>
      <c r="D16169" s="7">
        <f>IFERROR(__xludf.DUMMYFUNCTION("""COMPUTED_VALUE"""),0.162790697674418)</f>
        <v>0.1627906977</v>
      </c>
    </row>
    <row r="16170">
      <c r="A16170" s="10" t="s">
        <v>17609</v>
      </c>
      <c r="B16170" s="7" t="str">
        <f>IFERROR(__xludf.DUMMYFUNCTION("SPLIT(A16170,"" "")"),"CCN(Cc1ccccn1)c1cc(-c2cc(CN(Cc3ccccn3)Cc3ncccc3C)ccn2)ccc1-c1cc(C2CCC2(C)C)ccn1")</f>
        <v>CCN(Cc1ccccn1)c1cc(-c2cc(CN(Cc3ccccn3)Cc3ncccc3C)ccn2)ccc1-c1cc(C2CCC2(C)C)ccn1</v>
      </c>
      <c r="C16170" s="7">
        <f>IFERROR(__xludf.DUMMYFUNCTION("""COMPUTED_VALUE"""),7.7380705)</f>
        <v>7.7380705</v>
      </c>
      <c r="D16170" s="7">
        <f>IFERROR(__xludf.DUMMYFUNCTION("""COMPUTED_VALUE"""),0.302325581395348)</f>
        <v>0.3023255814</v>
      </c>
    </row>
    <row r="16171">
      <c r="A16171" s="10" t="s">
        <v>17610</v>
      </c>
      <c r="B16171" s="7" t="str">
        <f>IFERROR(__xludf.DUMMYFUNCTION("SPLIT(A16171,"" "")"),"CN(c1ccc2nc3c(cc2c1)CCCC3)C1CCC(N(C)c2ccc3c(CF)ccnc3c2)CC1")</f>
        <v>CN(c1ccc2nc3c(cc2c1)CCCC3)C1CCC(N(C)c2ccc3c(CF)ccnc3c2)CC1</v>
      </c>
      <c r="C16171" s="7">
        <f>IFERROR(__xludf.DUMMYFUNCTION("""COMPUTED_VALUE"""),7.7380557)</f>
        <v>7.7380557</v>
      </c>
      <c r="D16171" s="7">
        <f>IFERROR(__xludf.DUMMYFUNCTION("""COMPUTED_VALUE"""),0.343283582089552)</f>
        <v>0.3432835821</v>
      </c>
    </row>
    <row r="16172">
      <c r="A16172" s="10" t="s">
        <v>17611</v>
      </c>
      <c r="B16172" s="7" t="str">
        <f>IFERROR(__xludf.DUMMYFUNCTION("SPLIT(A16172,"" "")"),"CCN(C)Cc1cc(-c2cccc(N(C)C)c2)ccn1")</f>
        <v>CCN(C)Cc1cc(-c2cccc(N(C)C)c2)ccn1</v>
      </c>
      <c r="C16172" s="7">
        <f>IFERROR(__xludf.DUMMYFUNCTION("""COMPUTED_VALUE"""),7.738055)</f>
        <v>7.738055</v>
      </c>
      <c r="D16172" s="7">
        <f>IFERROR(__xludf.DUMMYFUNCTION("""COMPUTED_VALUE"""),0.346938775510204)</f>
        <v>0.3469387755</v>
      </c>
    </row>
    <row r="16173">
      <c r="A16173" s="10" t="s">
        <v>17612</v>
      </c>
      <c r="B16173" s="7" t="str">
        <f>IFERROR(__xludf.DUMMYFUNCTION("SPLIT(A16173,"" "")"),"CCN(Cc1ccccn1)c1cc2ncccc2cc1CN(C)Cc1ccccn1")</f>
        <v>CCN(Cc1ccccn1)c1cc2ncccc2cc1CN(C)Cc1ccccn1</v>
      </c>
      <c r="C16173" s="7">
        <f>IFERROR(__xludf.DUMMYFUNCTION("""COMPUTED_VALUE"""),7.738054)</f>
        <v>7.738054</v>
      </c>
      <c r="D16173" s="7">
        <f>IFERROR(__xludf.DUMMYFUNCTION("""COMPUTED_VALUE"""),0.46)</f>
        <v>0.46</v>
      </c>
    </row>
    <row r="16174">
      <c r="A16174" s="10" t="s">
        <v>17613</v>
      </c>
      <c r="B16174" s="7" t="str">
        <f>IFERROR(__xludf.DUMMYFUNCTION("SPLIT(A16174,"" "")"),"CN(c1ccc2nc3c(cc2c1)CCCC3)C1CCC(N(C)c2ccc3nccc(CF)c3c2)CC1")</f>
        <v>CN(c1ccc2nc3c(cc2c1)CCCC3)C1CCC(N(C)c2ccc3nccc(CF)c3c2)CC1</v>
      </c>
      <c r="C16174" s="7">
        <f>IFERROR(__xludf.DUMMYFUNCTION("""COMPUTED_VALUE"""),7.7380443)</f>
        <v>7.7380443</v>
      </c>
      <c r="D16174" s="7">
        <f>IFERROR(__xludf.DUMMYFUNCTION("""COMPUTED_VALUE"""),0.343283582089552)</f>
        <v>0.3432835821</v>
      </c>
    </row>
    <row r="16175">
      <c r="A16175" s="10" t="s">
        <v>17614</v>
      </c>
      <c r="B16175" s="7" t="str">
        <f>IFERROR(__xludf.DUMMYFUNCTION("SPLIT(A16175,"" "")"),"Cc1cccnc1CN(C)Cc1ccc2ncccc2c1")</f>
        <v>Cc1cccnc1CN(C)Cc1ccc2ncccc2c1</v>
      </c>
      <c r="C16175" s="7">
        <f>IFERROR(__xludf.DUMMYFUNCTION("""COMPUTED_VALUE"""),7.738031)</f>
        <v>7.738031</v>
      </c>
      <c r="D16175" s="7">
        <f>IFERROR(__xludf.DUMMYFUNCTION("""COMPUTED_VALUE"""),0.346938775510204)</f>
        <v>0.3469387755</v>
      </c>
    </row>
    <row r="16176">
      <c r="A16176" s="10" t="s">
        <v>17615</v>
      </c>
      <c r="B16176" s="7" t="str">
        <f>IFERROR(__xludf.DUMMYFUNCTION("SPLIT(A16176,"" "")"),"COC(=O)C1(C)COC(c2cc(CN(Cc3ccccn3)Cc3cc(C4=NC(C)(C)CO4)ccn3)ccn2)=N1")</f>
        <v>COC(=O)C1(C)COC(c2cc(CN(Cc3ccccn3)Cc3cc(C4=NC(C)(C)CO4)ccn3)ccn2)=N1</v>
      </c>
      <c r="C16176" s="7">
        <f>IFERROR(__xludf.DUMMYFUNCTION("""COMPUTED_VALUE"""),7.7380223)</f>
        <v>7.7380223</v>
      </c>
      <c r="D16176" s="7">
        <f>IFERROR(__xludf.DUMMYFUNCTION("""COMPUTED_VALUE"""),0.333333333333333)</f>
        <v>0.3333333333</v>
      </c>
    </row>
    <row r="16177">
      <c r="A16177" s="10" t="s">
        <v>17616</v>
      </c>
      <c r="B16177" s="7" t="str">
        <f>IFERROR(__xludf.DUMMYFUNCTION("SPLIT(A16177,"" "")"),"CN(CC1=CCC(N(C)C(c2ccccn2)c2ccccn2)=CN1)c1cccc(F)c1")</f>
        <v>CN(CC1=CCC(N(C)C(c2ccccn2)c2ccccn2)=CN1)c1cccc(F)c1</v>
      </c>
      <c r="C16177" s="7">
        <f>IFERROR(__xludf.DUMMYFUNCTION("""COMPUTED_VALUE"""),7.7380095)</f>
        <v>7.7380095</v>
      </c>
      <c r="D16177" s="7">
        <f>IFERROR(__xludf.DUMMYFUNCTION("""COMPUTED_VALUE"""),0.303030303030303)</f>
        <v>0.303030303</v>
      </c>
    </row>
    <row r="16178">
      <c r="A16178" s="10" t="s">
        <v>17617</v>
      </c>
      <c r="B16178" s="7" t="str">
        <f>IFERROR(__xludf.DUMMYFUNCTION("SPLIT(A16178,"" "")"),"Cc1cccc(CN(C)Cc2cccc(C3=NC(c4ccccn4)CO3)n2)n1")</f>
        <v>Cc1cccc(CN(C)Cc2cccc(C3=NC(c4ccccn4)CO3)n2)n1</v>
      </c>
      <c r="C16178" s="7">
        <f>IFERROR(__xludf.DUMMYFUNCTION("""COMPUTED_VALUE"""),7.738)</f>
        <v>7.738</v>
      </c>
      <c r="D16178" s="7">
        <f>IFERROR(__xludf.DUMMYFUNCTION("""COMPUTED_VALUE"""),0.490566037735849)</f>
        <v>0.4905660377</v>
      </c>
    </row>
    <row r="16179">
      <c r="A16179" s="10" t="s">
        <v>17618</v>
      </c>
      <c r="B16179" s="7" t="str">
        <f>IFERROR(__xludf.DUMMYFUNCTION("SPLIT(A16179,"" "")"),"CC(C)C(C)(c1cccnc1)c1cc(CN(Cc2ccccn2)Cc2ncccc2-c2cccc(N=Cc3ccccn3)c2)ccn1")</f>
        <v>CC(C)C(C)(c1cccnc1)c1cc(CN(Cc2ccccn2)Cc2ncccc2-c2cccc(N=Cc3ccccn3)c2)ccn1</v>
      </c>
      <c r="C16179" s="7">
        <f>IFERROR(__xludf.DUMMYFUNCTION("""COMPUTED_VALUE"""),7.737994)</f>
        <v>7.737994</v>
      </c>
      <c r="D16179" s="7">
        <f>IFERROR(__xludf.DUMMYFUNCTION("""COMPUTED_VALUE"""),0.284090909090909)</f>
        <v>0.2840909091</v>
      </c>
    </row>
    <row r="16180">
      <c r="A16180" s="10" t="s">
        <v>17619</v>
      </c>
      <c r="B16180" s="7" t="str">
        <f>IFERROR(__xludf.DUMMYFUNCTION("SPLIT(A16180,"" "")"),"C=CCN(C)Cc1cccc(-c2cc(Cl)ccc2Cl)n1")</f>
        <v>C=CCN(C)Cc1cccc(-c2cc(Cl)ccc2Cl)n1</v>
      </c>
      <c r="C16180" s="7">
        <f>IFERROR(__xludf.DUMMYFUNCTION("""COMPUTED_VALUE"""),7.737993)</f>
        <v>7.737993</v>
      </c>
      <c r="D16180" s="7">
        <f>IFERROR(__xludf.DUMMYFUNCTION("""COMPUTED_VALUE"""),0.384615384615384)</f>
        <v>0.3846153846</v>
      </c>
    </row>
    <row r="16181">
      <c r="A16181" s="10" t="s">
        <v>17620</v>
      </c>
      <c r="B16181" s="7" t="str">
        <f>IFERROR(__xludf.DUMMYFUNCTION("SPLIT(A16181,"" "")"),"Cc1cccnc1CNCCN(C)c1cccc2ncccc12")</f>
        <v>Cc1cccnc1CNCCN(C)c1cccc2ncccc12</v>
      </c>
      <c r="C16181" s="7">
        <f>IFERROR(__xludf.DUMMYFUNCTION("""COMPUTED_VALUE"""),7.7379913)</f>
        <v>7.7379913</v>
      </c>
      <c r="D16181" s="7">
        <f>IFERROR(__xludf.DUMMYFUNCTION("""COMPUTED_VALUE"""),0.408163265306122)</f>
        <v>0.4081632653</v>
      </c>
    </row>
    <row r="16182">
      <c r="A16182" s="10" t="s">
        <v>17621</v>
      </c>
      <c r="B16182" s="7" t="str">
        <f>IFERROR(__xludf.DUMMYFUNCTION("SPLIT(A16182,"" "")"),"CC(C)c1cccc(CN(Cc2ccccn2)Cc2ccc(-c3cccc(N=Cc4ccccn4)c3)cn2)n1")</f>
        <v>CC(C)c1cccc(CN(Cc2ccccn2)Cc2ccc(-c3cccc(N=Cc4ccccn4)c3)cn2)n1</v>
      </c>
      <c r="C16182" s="7">
        <f>IFERROR(__xludf.DUMMYFUNCTION("""COMPUTED_VALUE"""),7.7379875)</f>
        <v>7.7379875</v>
      </c>
      <c r="D16182" s="7">
        <f>IFERROR(__xludf.DUMMYFUNCTION("""COMPUTED_VALUE"""),0.397058823529411)</f>
        <v>0.3970588235</v>
      </c>
    </row>
    <row r="16183">
      <c r="A16183" s="10" t="s">
        <v>17622</v>
      </c>
      <c r="B16183" s="7" t="str">
        <f>IFERROR(__xludf.DUMMYFUNCTION("SPLIT(A16183,"" "")"),"Cc1cncc(CN(C)c2c(C)ccc(C)c2C)c1")</f>
        <v>Cc1cncc(CN(C)c2c(C)ccc(C)c2C)c1</v>
      </c>
      <c r="C16183" s="7">
        <f>IFERROR(__xludf.DUMMYFUNCTION("""COMPUTED_VALUE"""),7.7379804)</f>
        <v>7.7379804</v>
      </c>
      <c r="D16183" s="7">
        <f>IFERROR(__xludf.DUMMYFUNCTION("""COMPUTED_VALUE"""),0.266666666666666)</f>
        <v>0.2666666667</v>
      </c>
    </row>
    <row r="16184">
      <c r="A16184" s="10" t="s">
        <v>17623</v>
      </c>
      <c r="B16184" s="7" t="str">
        <f>IFERROR(__xludf.DUMMYFUNCTION("SPLIT(A16184,"" "")"),"CN(Cc1ccccn1)Cc1ncccc1-c1cc(Cl)ccc1N")</f>
        <v>CN(Cc1ccccn1)Cc1ncccc1-c1cc(Cl)ccc1N</v>
      </c>
      <c r="C16184" s="7">
        <f>IFERROR(__xludf.DUMMYFUNCTION("""COMPUTED_VALUE"""),7.7379804)</f>
        <v>7.7379804</v>
      </c>
      <c r="D16184" s="7">
        <f>IFERROR(__xludf.DUMMYFUNCTION("""COMPUTED_VALUE"""),0.44)</f>
        <v>0.44</v>
      </c>
    </row>
    <row r="16185">
      <c r="A16185" s="10" t="s">
        <v>17624</v>
      </c>
      <c r="B16185" s="7" t="str">
        <f>IFERROR(__xludf.DUMMYFUNCTION("SPLIT(A16185,"" "")"),"CCN(Cc1ccccn1)Cc1ncccc1-c1ccccc1N=Cc1ccccn1")</f>
        <v>CCN(Cc1ccccn1)Cc1ncccc1-c1ccccc1N=Cc1ccccn1</v>
      </c>
      <c r="C16185" s="7">
        <f>IFERROR(__xludf.DUMMYFUNCTION("""COMPUTED_VALUE"""),7.737973)</f>
        <v>7.737973</v>
      </c>
      <c r="D16185" s="7">
        <f>IFERROR(__xludf.DUMMYFUNCTION("""COMPUTED_VALUE"""),0.425925925925925)</f>
        <v>0.4259259259</v>
      </c>
    </row>
    <row r="16186">
      <c r="A16186" s="10" t="s">
        <v>17625</v>
      </c>
      <c r="B16186" s="7" t="str">
        <f>IFERROR(__xludf.DUMMYFUNCTION("SPLIT(A16186,"" "")"),"Cc1cnc(CN(C)c2ccccc2-c2cncc(CN(Cc3ccccn3)C(C)C)c2)c(C)c1")</f>
        <v>Cc1cnc(CN(C)c2ccccc2-c2cncc(CN(Cc3ccccn3)C(C)C)c2)c(C)c1</v>
      </c>
      <c r="C16186" s="7">
        <f>IFERROR(__xludf.DUMMYFUNCTION("""COMPUTED_VALUE"""),7.7379594)</f>
        <v>7.7379594</v>
      </c>
      <c r="D16186" s="7">
        <f>IFERROR(__xludf.DUMMYFUNCTION("""COMPUTED_VALUE"""),0.4)</f>
        <v>0.4</v>
      </c>
    </row>
    <row r="16187">
      <c r="A16187" s="10" t="s">
        <v>17626</v>
      </c>
      <c r="B16187" s="7" t="str">
        <f>IFERROR(__xludf.DUMMYFUNCTION("SPLIT(A16187,"" "")"),"Cc1ccnc(CN(C)CCN(C)c2cccc3cc(C)cnc23)c1")</f>
        <v>Cc1ccnc(CN(C)CCN(C)c2cccc3cc(C)cnc23)c1</v>
      </c>
      <c r="C16187" s="7">
        <f>IFERROR(__xludf.DUMMYFUNCTION("""COMPUTED_VALUE"""),7.7379513)</f>
        <v>7.7379513</v>
      </c>
      <c r="D16187" s="7">
        <f>IFERROR(__xludf.DUMMYFUNCTION("""COMPUTED_VALUE"""),0.479166666666666)</f>
        <v>0.4791666667</v>
      </c>
    </row>
    <row r="16188">
      <c r="A16188" s="10" t="s">
        <v>17627</v>
      </c>
      <c r="B16188" s="7" t="str">
        <f>IFERROR(__xludf.DUMMYFUNCTION("SPLIT(A16188,"" "")"),"CC1=CCC(c2cc(NCc3ccccn3)c(-c3ccccc3)cc2C)C=C1NCc1ccccn1")</f>
        <v>CC1=CCC(c2cc(NCc3ccccn3)c(-c3ccccc3)cc2C)C=C1NCc1ccccn1</v>
      </c>
      <c r="C16188" s="7">
        <f>IFERROR(__xludf.DUMMYFUNCTION("""COMPUTED_VALUE"""),7.737951)</f>
        <v>7.737951</v>
      </c>
      <c r="D16188" s="7">
        <f>IFERROR(__xludf.DUMMYFUNCTION("""COMPUTED_VALUE"""),0.390625)</f>
        <v>0.390625</v>
      </c>
    </row>
    <row r="16189">
      <c r="A16189" s="10" t="s">
        <v>17628</v>
      </c>
      <c r="B16189" s="7" t="str">
        <f>IFERROR(__xludf.DUMMYFUNCTION("SPLIT(A16189,"" "")"),"Cc1cc(N(C)Cc2ncccc2N)cc(C)c1C")</f>
        <v>Cc1cc(N(C)Cc2ncccc2N)cc(C)c1C</v>
      </c>
      <c r="C16189" s="7">
        <f>IFERROR(__xludf.DUMMYFUNCTION("""COMPUTED_VALUE"""),7.7379456)</f>
        <v>7.7379456</v>
      </c>
      <c r="D16189" s="7">
        <f>IFERROR(__xludf.DUMMYFUNCTION("""COMPUTED_VALUE"""),0.3125)</f>
        <v>0.3125</v>
      </c>
    </row>
    <row r="16190">
      <c r="A16190" s="10" t="s">
        <v>17629</v>
      </c>
      <c r="B16190" s="7" t="str">
        <f>IFERROR(__xludf.DUMMYFUNCTION("SPLIT(A16190,"" "")"),"COC(C)c1cc(CN(Cc2ccccn2)Cc2cc(-c3cccc(N=Cc4ccccn4)c3)ccn2)ccn1")</f>
        <v>COC(C)c1cc(CN(Cc2ccccn2)Cc2cc(-c3cccc(N=Cc4ccccn4)c3)ccn2)ccn1</v>
      </c>
      <c r="C16190" s="7">
        <f>IFERROR(__xludf.DUMMYFUNCTION("""COMPUTED_VALUE"""),7.7379427)</f>
        <v>7.7379427</v>
      </c>
      <c r="D16190" s="7">
        <f>IFERROR(__xludf.DUMMYFUNCTION("""COMPUTED_VALUE"""),0.36986301369863)</f>
        <v>0.3698630137</v>
      </c>
    </row>
    <row r="16191">
      <c r="A16191" s="10" t="s">
        <v>17630</v>
      </c>
      <c r="B16191" s="7" t="str">
        <f>IFERROR(__xludf.DUMMYFUNCTION("SPLIT(A16191,"" "")"),"COC(=O)c1ncccc1CN(Cc1ccccn1)Cc1ncccc1C(C)(c1ccccn1)c1ccccn1")</f>
        <v>COC(=O)c1ncccc1CN(Cc1ccccn1)Cc1ncccc1C(C)(c1ccccn1)c1ccccn1</v>
      </c>
      <c r="C16191" s="7">
        <f>IFERROR(__xludf.DUMMYFUNCTION("""COMPUTED_VALUE"""),7.737941)</f>
        <v>7.737941</v>
      </c>
      <c r="D16191" s="7">
        <f>IFERROR(__xludf.DUMMYFUNCTION("""COMPUTED_VALUE"""),0.377358490566037)</f>
        <v>0.3773584906</v>
      </c>
    </row>
    <row r="16192">
      <c r="A16192" s="10" t="s">
        <v>17631</v>
      </c>
      <c r="B16192" s="7" t="str">
        <f>IFERROR(__xludf.DUMMYFUNCTION("SPLIT(A16192,"" "")"),"CNC1=C(Cl)NCC=C1N(C)Cc1ccc(C)cn1")</f>
        <v>CNC1=C(Cl)NCC=C1N(C)Cc1ccc(C)cn1</v>
      </c>
      <c r="C16192" s="7">
        <f>IFERROR(__xludf.DUMMYFUNCTION("""COMPUTED_VALUE"""),7.737937)</f>
        <v>7.737937</v>
      </c>
      <c r="D16192" s="7">
        <f>IFERROR(__xludf.DUMMYFUNCTION("""COMPUTED_VALUE"""),0.416666666666666)</f>
        <v>0.4166666667</v>
      </c>
    </row>
    <row r="16193">
      <c r="A16193" s="10" t="s">
        <v>17632</v>
      </c>
      <c r="B16193" s="7" t="str">
        <f>IFERROR(__xludf.DUMMYFUNCTION("SPLIT(A16193,"" "")"),"CC(C)(C)c1cc(CN(Cc2ccccn2)Cc2cccc(-c3cccc(N=Cc4ccccn4)c3)n2)ccn1")</f>
        <v>CC(C)(C)c1cc(CN(Cc2ccccn2)Cc2cccc(-c3cccc(N=Cc4ccccn4)c3)n2)ccn1</v>
      </c>
      <c r="C16193" s="7">
        <f>IFERROR(__xludf.DUMMYFUNCTION("""COMPUTED_VALUE"""),7.7379365)</f>
        <v>7.7379365</v>
      </c>
      <c r="D16193" s="7">
        <f>IFERROR(__xludf.DUMMYFUNCTION("""COMPUTED_VALUE"""),0.477611940298507)</f>
        <v>0.4776119403</v>
      </c>
    </row>
    <row r="16194">
      <c r="A16194" s="10" t="s">
        <v>17633</v>
      </c>
      <c r="B16194" s="7" t="str">
        <f>IFERROR(__xludf.DUMMYFUNCTION("SPLIT(A16194,"" "")"),"Cc1cccnc1CN(C)CCN(C)c1ccc2ncccc2c1")</f>
        <v>Cc1cccnc1CN(C)CCN(C)c1ccc2ncccc2c1</v>
      </c>
      <c r="C16194" s="7">
        <f>IFERROR(__xludf.DUMMYFUNCTION("""COMPUTED_VALUE"""),7.737935)</f>
        <v>7.737935</v>
      </c>
      <c r="D16194" s="7">
        <f>IFERROR(__xludf.DUMMYFUNCTION("""COMPUTED_VALUE"""),0.408163265306122)</f>
        <v>0.4081632653</v>
      </c>
    </row>
    <row r="16195">
      <c r="A16195" s="10" t="s">
        <v>17634</v>
      </c>
      <c r="B16195" s="7" t="str">
        <f>IFERROR(__xludf.DUMMYFUNCTION("SPLIT(A16195,"" "")"),"CC(C)N(Cc1ccccn1)c1ccc2ccc(CN(C)C(C)(C)c3ccccn3)nc2c1")</f>
        <v>CC(C)N(Cc1ccccn1)c1ccc2ccc(CN(C)C(C)(C)c3ccccn3)nc2c1</v>
      </c>
      <c r="C16195" s="7">
        <f>IFERROR(__xludf.DUMMYFUNCTION("""COMPUTED_VALUE"""),7.737915)</f>
        <v>7.737915</v>
      </c>
      <c r="D16195" s="7">
        <f>IFERROR(__xludf.DUMMYFUNCTION("""COMPUTED_VALUE"""),0.436363636363636)</f>
        <v>0.4363636364</v>
      </c>
    </row>
    <row r="16196">
      <c r="A16196" s="10" t="s">
        <v>17635</v>
      </c>
      <c r="B16196" s="7" t="str">
        <f>IFERROR(__xludf.DUMMYFUNCTION("SPLIT(A16196,"" "")"),"Cc1cccnc1CN(C)CCN(C)c1ccc2cccnc2c1")</f>
        <v>Cc1cccnc1CN(C)CCN(C)c1ccc2cccnc2c1</v>
      </c>
      <c r="C16196" s="7">
        <f>IFERROR(__xludf.DUMMYFUNCTION("""COMPUTED_VALUE"""),7.7379065)</f>
        <v>7.7379065</v>
      </c>
      <c r="D16196" s="7">
        <f>IFERROR(__xludf.DUMMYFUNCTION("""COMPUTED_VALUE"""),0.4)</f>
        <v>0.4</v>
      </c>
    </row>
    <row r="16197">
      <c r="A16197" s="10" t="s">
        <v>17636</v>
      </c>
      <c r="B16197" s="7" t="str">
        <f>IFERROR(__xludf.DUMMYFUNCTION("SPLIT(A16197,"" "")"),"Cc1cc2cccnc2cc1CN(C)Cc1ccccn1")</f>
        <v>Cc1cc2cccnc2cc1CN(C)Cc1ccccn1</v>
      </c>
      <c r="C16197" s="7">
        <f>IFERROR(__xludf.DUMMYFUNCTION("""COMPUTED_VALUE"""),7.737906)</f>
        <v>7.737906</v>
      </c>
      <c r="D16197" s="7">
        <f>IFERROR(__xludf.DUMMYFUNCTION("""COMPUTED_VALUE"""),0.5)</f>
        <v>0.5</v>
      </c>
    </row>
    <row r="16198">
      <c r="A16198" s="10" t="s">
        <v>17637</v>
      </c>
      <c r="B16198" s="7" t="str">
        <f>IFERROR(__xludf.DUMMYFUNCTION("SPLIT(A16198,"" "")"),"CC(C)C(C)(c1cccnc1)N(C)c1ccc2nc(CF)ccc2c1")</f>
        <v>CC(C)C(C)(c1cccnc1)N(C)c1ccc2nc(CF)ccc2c1</v>
      </c>
      <c r="C16198" s="7">
        <f>IFERROR(__xludf.DUMMYFUNCTION("""COMPUTED_VALUE"""),7.7379055)</f>
        <v>7.7379055</v>
      </c>
      <c r="D16198" s="7">
        <f>IFERROR(__xludf.DUMMYFUNCTION("""COMPUTED_VALUE"""),0.272727272727272)</f>
        <v>0.2727272727</v>
      </c>
    </row>
    <row r="16199">
      <c r="A16199" s="10" t="s">
        <v>17638</v>
      </c>
      <c r="B16199" s="7" t="str">
        <f>IFERROR(__xludf.DUMMYFUNCTION("SPLIT(A16199,"" "")"),"CC(c1ccccn1)(c1ccccn1)c1cccnc1CN(Cc1ccccn1)c1cccc(CF)n1")</f>
        <v>CC(c1ccccn1)(c1ccccn1)c1cccnc1CN(Cc1ccccn1)c1cccc(CF)n1</v>
      </c>
      <c r="C16199" s="7">
        <f>IFERROR(__xludf.DUMMYFUNCTION("""COMPUTED_VALUE"""),7.7378993)</f>
        <v>7.7378993</v>
      </c>
      <c r="D16199" s="7">
        <f>IFERROR(__xludf.DUMMYFUNCTION("""COMPUTED_VALUE"""),0.375)</f>
        <v>0.375</v>
      </c>
    </row>
    <row r="16200">
      <c r="A16200" s="10" t="s">
        <v>17639</v>
      </c>
      <c r="B16200" s="7" t="str">
        <f>IFERROR(__xludf.DUMMYFUNCTION("SPLIT(A16200,"" "")"),"CN(C)Cc1ccc(-c2ccccc2N)cn1")</f>
        <v>CN(C)Cc1ccc(-c2ccccc2N)cn1</v>
      </c>
      <c r="C16200" s="7">
        <f>IFERROR(__xludf.DUMMYFUNCTION("""COMPUTED_VALUE"""),7.737898)</f>
        <v>7.737898</v>
      </c>
      <c r="D16200" s="7">
        <f>IFERROR(__xludf.DUMMYFUNCTION("""COMPUTED_VALUE"""),0.357142857142857)</f>
        <v>0.3571428571</v>
      </c>
    </row>
    <row r="16201">
      <c r="A16201" s="10" t="s">
        <v>17640</v>
      </c>
      <c r="B16201" s="7" t="str">
        <f>IFERROR(__xludf.DUMMYFUNCTION("SPLIT(A16201,"" "")"),"CCNCCN(C)c1cccc2nccc(C)c12")</f>
        <v>CCNCCN(C)c1cccc2nccc(C)c12</v>
      </c>
      <c r="C16201" s="7">
        <f>IFERROR(__xludf.DUMMYFUNCTION("""COMPUTED_VALUE"""),7.737887)</f>
        <v>7.737887</v>
      </c>
      <c r="D16201" s="7">
        <f>IFERROR(__xludf.DUMMYFUNCTION("""COMPUTED_VALUE"""),0.354166666666666)</f>
        <v>0.3541666667</v>
      </c>
    </row>
    <row r="16202">
      <c r="A16202" s="10" t="s">
        <v>17641</v>
      </c>
      <c r="B16202" s="7" t="str">
        <f>IFERROR(__xludf.DUMMYFUNCTION("SPLIT(A16202,"" "")"),"Cc1ccc(-c2cccc(CN(C)Cc3cc(N)ccn3)n2)c(C)c1")</f>
        <v>Cc1ccc(-c2cccc(CN(C)Cc3cc(N)ccn3)n2)c(C)c1</v>
      </c>
      <c r="C16202" s="7">
        <f>IFERROR(__xludf.DUMMYFUNCTION("""COMPUTED_VALUE"""),7.7378845)</f>
        <v>7.7378845</v>
      </c>
      <c r="D16202" s="7">
        <f>IFERROR(__xludf.DUMMYFUNCTION("""COMPUTED_VALUE"""),0.470588235294117)</f>
        <v>0.4705882353</v>
      </c>
    </row>
    <row r="16203">
      <c r="A16203" s="10" t="s">
        <v>17642</v>
      </c>
      <c r="B16203" s="7" t="str">
        <f>IFERROR(__xludf.DUMMYFUNCTION("SPLIT(A16203,"" "")"),"CC(C)c1cccc(CN(Cc2ccccn2)Cc2cccc(-c3ccccc3N=Cc3ccccn3)n2)n1")</f>
        <v>CC(C)c1cccc(CN(Cc2ccccn2)Cc2cccc(-c3ccccc3N=Cc3ccccn3)n2)n1</v>
      </c>
      <c r="C16203" s="7">
        <f>IFERROR(__xludf.DUMMYFUNCTION("""COMPUTED_VALUE"""),7.7378774)</f>
        <v>7.7378774</v>
      </c>
      <c r="D16203" s="7">
        <f>IFERROR(__xludf.DUMMYFUNCTION("""COMPUTED_VALUE"""),0.421875)</f>
        <v>0.421875</v>
      </c>
    </row>
    <row r="16204">
      <c r="A16204" s="10" t="s">
        <v>17643</v>
      </c>
      <c r="B16204" s="7" t="str">
        <f>IFERROR(__xludf.DUMMYFUNCTION("SPLIT(A16204,"" "")"),"Cc1ccc(N(C)Cc2cc(C(C)(C)c3ccccn3)ccn2)cc1C")</f>
        <v>Cc1ccc(N(C)Cc2cc(C(C)(C)c3ccccn3)ccn2)cc1C</v>
      </c>
      <c r="C16204" s="7">
        <f>IFERROR(__xludf.DUMMYFUNCTION("""COMPUTED_VALUE"""),7.7378764)</f>
        <v>7.7378764</v>
      </c>
      <c r="D16204" s="7">
        <f>IFERROR(__xludf.DUMMYFUNCTION("""COMPUTED_VALUE"""),0.403846153846153)</f>
        <v>0.4038461538</v>
      </c>
    </row>
    <row r="16205">
      <c r="A16205" s="10" t="s">
        <v>17644</v>
      </c>
      <c r="B16205" s="7" t="str">
        <f>IFERROR(__xludf.DUMMYFUNCTION("SPLIT(A16205,"" "")"),"CC(C)N(C)CC1=C(N(C)c2ccc3nc(CN(C)C)ccc3c2)CC=CN1")</f>
        <v>CC(C)N(C)CC1=C(N(C)c2ccc3nc(CN(C)C)ccc3c2)CC=CN1</v>
      </c>
      <c r="C16205" s="7">
        <f>IFERROR(__xludf.DUMMYFUNCTION("""COMPUTED_VALUE"""),7.7378745)</f>
        <v>7.7378745</v>
      </c>
      <c r="D16205" s="7">
        <f>IFERROR(__xludf.DUMMYFUNCTION("""COMPUTED_VALUE"""),0.267857142857142)</f>
        <v>0.2678571429</v>
      </c>
    </row>
    <row r="16206">
      <c r="A16206" s="10" t="s">
        <v>17645</v>
      </c>
      <c r="B16206" s="7" t="str">
        <f>IFERROR(__xludf.DUMMYFUNCTION("SPLIT(A16206,"" "")"),"CCN(Cc1ccccn1)c1ccccc1-c1ccc(CN(C)Cc2cc(C)c(C)c(C)n2)nc1")</f>
        <v>CCN(Cc1ccccn1)c1ccccc1-c1ccc(CN(C)Cc2cc(C)c(C)c(C)n2)nc1</v>
      </c>
      <c r="C16206" s="7">
        <f>IFERROR(__xludf.DUMMYFUNCTION("""COMPUTED_VALUE"""),7.7378697)</f>
        <v>7.7378697</v>
      </c>
      <c r="D16206" s="7">
        <f>IFERROR(__xludf.DUMMYFUNCTION("""COMPUTED_VALUE"""),0.383333333333333)</f>
        <v>0.3833333333</v>
      </c>
    </row>
    <row r="16207">
      <c r="A16207" s="10" t="s">
        <v>17646</v>
      </c>
      <c r="B16207" s="7" t="str">
        <f>IFERROR(__xludf.DUMMYFUNCTION("SPLIT(A16207,"" "")"),"CNCCN(Cc1ccccn1)c1cccc2nccc(CF)c12")</f>
        <v>CNCCN(Cc1ccccn1)c1cccc2nccc(CF)c12</v>
      </c>
      <c r="C16207" s="7">
        <f>IFERROR(__xludf.DUMMYFUNCTION("""COMPUTED_VALUE"""),7.73786)</f>
        <v>7.73786</v>
      </c>
      <c r="D16207" s="7">
        <f>IFERROR(__xludf.DUMMYFUNCTION("""COMPUTED_VALUE"""),0.37037037037037)</f>
        <v>0.3703703704</v>
      </c>
    </row>
    <row r="16208">
      <c r="A16208" s="10" t="s">
        <v>17647</v>
      </c>
      <c r="B16208" s="7" t="str">
        <f>IFERROR(__xludf.DUMMYFUNCTION("SPLIT(A16208,"" "")"),"CC(C)N(C)Cc1ccc(-c2ccccc2N=Cc2ccccn2)cn1")</f>
        <v>CC(C)N(C)Cc1ccc(-c2ccccc2N=Cc2ccccn2)cn1</v>
      </c>
      <c r="C16208" s="7">
        <f>IFERROR(__xludf.DUMMYFUNCTION("""COMPUTED_VALUE"""),7.737859)</f>
        <v>7.737859</v>
      </c>
      <c r="D16208" s="7">
        <f>IFERROR(__xludf.DUMMYFUNCTION("""COMPUTED_VALUE"""),0.418181818181818)</f>
        <v>0.4181818182</v>
      </c>
    </row>
    <row r="16209">
      <c r="A16209" s="10" t="s">
        <v>17648</v>
      </c>
      <c r="B16209" s="7" t="str">
        <f>IFERROR(__xludf.DUMMYFUNCTION("SPLIT(A16209,"" "")"),"Cc1ccnc(CN(C)Cc2cccc(-c3c(C)cccc3N)n2)c1")</f>
        <v>Cc1ccnc(CN(C)Cc2cccc(-c3c(C)cccc3N)n2)c1</v>
      </c>
      <c r="C16209" s="7">
        <f>IFERROR(__xludf.DUMMYFUNCTION("""COMPUTED_VALUE"""),7.737857)</f>
        <v>7.737857</v>
      </c>
      <c r="D16209" s="7">
        <f>IFERROR(__xludf.DUMMYFUNCTION("""COMPUTED_VALUE"""),0.5)</f>
        <v>0.5</v>
      </c>
    </row>
    <row r="16210">
      <c r="A16210" s="10" t="s">
        <v>17649</v>
      </c>
      <c r="B16210" s="7" t="str">
        <f>IFERROR(__xludf.DUMMYFUNCTION("SPLIT(A16210,"" "")"),"Cc1cccc(N(Cc2ccccn2)Cc2cc(N(C)C)ccn2)c1")</f>
        <v>Cc1cccc(N(Cc2ccccn2)Cc2cc(N(C)C)ccn2)c1</v>
      </c>
      <c r="C16210" s="7">
        <f>IFERROR(__xludf.DUMMYFUNCTION("""COMPUTED_VALUE"""),7.7378545)</f>
        <v>7.7378545</v>
      </c>
      <c r="D16210" s="7">
        <f>IFERROR(__xludf.DUMMYFUNCTION("""COMPUTED_VALUE"""),0.428571428571428)</f>
        <v>0.4285714286</v>
      </c>
    </row>
    <row r="16211">
      <c r="A16211" s="10" t="s">
        <v>17650</v>
      </c>
      <c r="B16211" s="7" t="str">
        <f>IFERROR(__xludf.DUMMYFUNCTION("SPLIT(A16211,"" "")"),"CC(C)c1cc(CN(Cc2ccccn2)Cc2cccc(-c3cccc(N=Cc4ccccn4)c3)n2)ccn1")</f>
        <v>CC(C)c1cc(CN(Cc2ccccn2)Cc2cccc(-c3cccc(N=Cc4ccccn4)c3)n2)ccn1</v>
      </c>
      <c r="C16211" s="7">
        <f>IFERROR(__xludf.DUMMYFUNCTION("""COMPUTED_VALUE"""),7.737839)</f>
        <v>7.737839</v>
      </c>
      <c r="D16211" s="7">
        <f>IFERROR(__xludf.DUMMYFUNCTION("""COMPUTED_VALUE"""),0.484848484848484)</f>
        <v>0.4848484848</v>
      </c>
    </row>
    <row r="16212">
      <c r="A16212" s="10" t="s">
        <v>17651</v>
      </c>
      <c r="B16212" s="7" t="str">
        <f>IFERROR(__xludf.DUMMYFUNCTION("SPLIT(A16212,"" "")"),"CCC(C)(c1ccccn1)c1ncccc1CN(Cc1ccccn1)Cc1ncccc1-c1cccc(Cl)c1Cl")</f>
        <v>CCC(C)(c1ccccn1)c1ncccc1CN(Cc1ccccn1)Cc1ncccc1-c1cccc(Cl)c1Cl</v>
      </c>
      <c r="C16212" s="7">
        <f>IFERROR(__xludf.DUMMYFUNCTION("""COMPUTED_VALUE"""),7.7378287)</f>
        <v>7.7378287</v>
      </c>
      <c r="D16212" s="7">
        <f>IFERROR(__xludf.DUMMYFUNCTION("""COMPUTED_VALUE"""),0.357142857142857)</f>
        <v>0.3571428571</v>
      </c>
    </row>
    <row r="16213">
      <c r="A16213" s="10" t="s">
        <v>17652</v>
      </c>
      <c r="B16213" s="7" t="str">
        <f>IFERROR(__xludf.DUMMYFUNCTION("SPLIT(A16213,"" "")"),"FCNc1ncccc1-c1cc(C(NCc2ccccn2)c2ccccn2)ccn1")</f>
        <v>FCNc1ncccc1-c1cc(C(NCc2ccccn2)c2ccccn2)ccn1</v>
      </c>
      <c r="C16213" s="7">
        <f>IFERROR(__xludf.DUMMYFUNCTION("""COMPUTED_VALUE"""),7.7378283)</f>
        <v>7.7378283</v>
      </c>
      <c r="D16213" s="7">
        <f>IFERROR(__xludf.DUMMYFUNCTION("""COMPUTED_VALUE"""),0.314814814814814)</f>
        <v>0.3148148148</v>
      </c>
    </row>
    <row r="16214">
      <c r="A16214" s="10" t="s">
        <v>17653</v>
      </c>
      <c r="B16214" s="7" t="str">
        <f>IFERROR(__xludf.DUMMYFUNCTION("SPLIT(A16214,"" "")"),"CN(C)c1cccc(-c2cccc(CN(Cc3ccccn3)C3C=CC=CN3)n2)c1")</f>
        <v>CN(C)c1cccc(-c2cccc(CN(Cc3ccccn3)C3C=CC=CN3)n2)c1</v>
      </c>
      <c r="C16214" s="7">
        <f>IFERROR(__xludf.DUMMYFUNCTION("""COMPUTED_VALUE"""),7.737828)</f>
        <v>7.737828</v>
      </c>
      <c r="D16214" s="7">
        <f>IFERROR(__xludf.DUMMYFUNCTION("""COMPUTED_VALUE"""),0.46031746031746)</f>
        <v>0.4603174603</v>
      </c>
    </row>
    <row r="16215">
      <c r="A16215" s="10" t="s">
        <v>17654</v>
      </c>
      <c r="B16215" s="7" t="str">
        <f>IFERROR(__xludf.DUMMYFUNCTION("SPLIT(A16215,"" "")"),"CC(C)CN(C)Cc1cc(-c2cccc(N(C)C)c2)ccn1")</f>
        <v>CC(C)CN(C)Cc1cc(-c2cccc(N(C)C)c2)ccn1</v>
      </c>
      <c r="C16215" s="7">
        <f>IFERROR(__xludf.DUMMYFUNCTION("""COMPUTED_VALUE"""),7.737828)</f>
        <v>7.737828</v>
      </c>
      <c r="D16215" s="7">
        <f>IFERROR(__xludf.DUMMYFUNCTION("""COMPUTED_VALUE"""),0.326923076923076)</f>
        <v>0.3269230769</v>
      </c>
    </row>
    <row r="16216">
      <c r="A16216" s="10" t="s">
        <v>17655</v>
      </c>
      <c r="B16216" s="7" t="str">
        <f>IFERROR(__xludf.DUMMYFUNCTION("SPLIT(A16216,"" "")"),"CCN(Cc1ccccn1)c1ccc2nccc(CN(C)C3CCC(N(C)c4ccc5c(CF)ccnc5c4)CC3)c2c1")</f>
        <v>CCN(Cc1ccccn1)c1ccc2nccc(CN(C)C3CCC(N(C)c4ccc5c(CF)ccnc5c4)CC3)c2c1</v>
      </c>
      <c r="C16216" s="7">
        <f>IFERROR(__xludf.DUMMYFUNCTION("""COMPUTED_VALUE"""),7.737825)</f>
        <v>7.737825</v>
      </c>
      <c r="D16216" s="7">
        <f>IFERROR(__xludf.DUMMYFUNCTION("""COMPUTED_VALUE"""),0.343283582089552)</f>
        <v>0.3432835821</v>
      </c>
    </row>
    <row r="16217">
      <c r="A16217" s="10" t="s">
        <v>17656</v>
      </c>
      <c r="B16217" s="7" t="str">
        <f>IFERROR(__xludf.DUMMYFUNCTION("SPLIT(A16217,"" "")"),"Cc1cc(N)ccc1-c1ccc(CN(C)Cc2ncccc2N)cn1")</f>
        <v>Cc1cc(N)ccc1-c1ccc(CN(C)Cc2ncccc2N)cn1</v>
      </c>
      <c r="C16217" s="7">
        <f>IFERROR(__xludf.DUMMYFUNCTION("""COMPUTED_VALUE"""),7.737811)</f>
        <v>7.737811</v>
      </c>
      <c r="D16217" s="7">
        <f>IFERROR(__xludf.DUMMYFUNCTION("""COMPUTED_VALUE"""),0.262295081967213)</f>
        <v>0.262295082</v>
      </c>
    </row>
    <row r="16218">
      <c r="A16218" s="10" t="s">
        <v>17657</v>
      </c>
      <c r="B16218" s="7" t="str">
        <f>IFERROR(__xludf.DUMMYFUNCTION("SPLIT(A16218,"" "")"),"Cc1ccc(N(C)CC2=CCC=C(N(C)Cc3ccccn3)N2)cc1C")</f>
        <v>Cc1ccc(N(C)CC2=CCC=C(N(C)Cc3ccccn3)N2)cc1C</v>
      </c>
      <c r="C16218" s="7">
        <f>IFERROR(__xludf.DUMMYFUNCTION("""COMPUTED_VALUE"""),7.7378073)</f>
        <v>7.7378073</v>
      </c>
      <c r="D16218" s="7">
        <f>IFERROR(__xludf.DUMMYFUNCTION("""COMPUTED_VALUE"""),0.407407407407407)</f>
        <v>0.4074074074</v>
      </c>
    </row>
    <row r="16219">
      <c r="A16219" s="10" t="s">
        <v>17658</v>
      </c>
      <c r="B16219" s="7" t="str">
        <f>IFERROR(__xludf.DUMMYFUNCTION("SPLIT(A16219,"" "")"),"Cc1cnc(C)c(CN(C)c2ccccc2-c2cc(CN(Cc3ccccn3)C(C)C)ccn2)c1")</f>
        <v>Cc1cnc(C)c(CN(C)c2ccccc2-c2cc(CN(Cc3ccccn3)C(C)C)ccn2)c1</v>
      </c>
      <c r="C16219" s="7">
        <f>IFERROR(__xludf.DUMMYFUNCTION("""COMPUTED_VALUE"""),7.7378016)</f>
        <v>7.7378016</v>
      </c>
      <c r="D16219" s="7">
        <f>IFERROR(__xludf.DUMMYFUNCTION("""COMPUTED_VALUE"""),0.406779661016949)</f>
        <v>0.406779661</v>
      </c>
    </row>
    <row r="16220">
      <c r="A16220" s="10" t="s">
        <v>17659</v>
      </c>
      <c r="B16220" s="7" t="str">
        <f>IFERROR(__xludf.DUMMYFUNCTION("SPLIT(A16220,"" "")"),"c1ccc(-c2ccccn2)cc1")</f>
        <v>c1ccc(-c2ccccn2)cc1</v>
      </c>
      <c r="C16220" s="7">
        <f>IFERROR(__xludf.DUMMYFUNCTION("""COMPUTED_VALUE"""),7.737798)</f>
        <v>7.737798</v>
      </c>
      <c r="D16220" s="7">
        <f>IFERROR(__xludf.DUMMYFUNCTION("""COMPUTED_VALUE"""),0.419354838709677)</f>
        <v>0.4193548387</v>
      </c>
    </row>
    <row r="16221">
      <c r="A16221" s="10" t="s">
        <v>17660</v>
      </c>
      <c r="B16221" s="7" t="str">
        <f>IFERROR(__xludf.DUMMYFUNCTION("SPLIT(A16221,"" "")"),"CN(C)c1cccc(-c2ccc(CN(Cc3ccccn3)CC(C)(C)c3cccc(N(C)C)c3)nc2)c1")</f>
        <v>CN(C)c1cccc(-c2ccc(CN(Cc3ccccn3)CC(C)(C)c3cccc(N(C)C)c3)nc2)c1</v>
      </c>
      <c r="C16221" s="7">
        <f>IFERROR(__xludf.DUMMYFUNCTION("""COMPUTED_VALUE"""),7.737795)</f>
        <v>7.737795</v>
      </c>
      <c r="D16221" s="7">
        <f>IFERROR(__xludf.DUMMYFUNCTION("""COMPUTED_VALUE"""),0.418181818181818)</f>
        <v>0.4181818182</v>
      </c>
    </row>
    <row r="16222">
      <c r="A16222" s="10" t="s">
        <v>17661</v>
      </c>
      <c r="B16222" s="7" t="str">
        <f>IFERROR(__xludf.DUMMYFUNCTION("SPLIT(A16222,"" "")"),"C1=CNC(Nc2cccc(C(c3ccccc3)c3ccccn3)n2)C=C1")</f>
        <v>C1=CNC(Nc2cccc(C(c3ccccc3)c3ccccn3)n2)C=C1</v>
      </c>
      <c r="C16222" s="7">
        <f>IFERROR(__xludf.DUMMYFUNCTION("""COMPUTED_VALUE"""),7.737795)</f>
        <v>7.737795</v>
      </c>
      <c r="D16222" s="7">
        <f>IFERROR(__xludf.DUMMYFUNCTION("""COMPUTED_VALUE"""),0.316666666666666)</f>
        <v>0.3166666667</v>
      </c>
    </row>
    <row r="16223">
      <c r="A16223" s="10" t="s">
        <v>17662</v>
      </c>
      <c r="B16223" s="7" t="str">
        <f>IFERROR(__xludf.DUMMYFUNCTION("SPLIT(A16223,"" "")"),"Cc1cccnc1CN(C)Cc1ncc(N(C)Cc2ncc(C)c(C)c2C)c(C)c1C")</f>
        <v>Cc1cccnc1CN(C)Cc1ncc(N(C)Cc2ncc(C)c(C)c2C)c(C)c1C</v>
      </c>
      <c r="C16223" s="7">
        <f>IFERROR(__xludf.DUMMYFUNCTION("""COMPUTED_VALUE"""),7.737794)</f>
        <v>7.737794</v>
      </c>
      <c r="D16223" s="7">
        <f>IFERROR(__xludf.DUMMYFUNCTION("""COMPUTED_VALUE"""),0.34)</f>
        <v>0.34</v>
      </c>
    </row>
    <row r="16224">
      <c r="A16224" s="10" t="s">
        <v>17663</v>
      </c>
      <c r="B16224" s="7" t="str">
        <f>IFERROR(__xludf.DUMMYFUNCTION("SPLIT(A16224,"" "")"),"Cc1ccc(CN(Cc2ccccn2)c2ccccc2F)nc1N(C)C")</f>
        <v>Cc1ccc(CN(Cc2ccccn2)c2ccccc2F)nc1N(C)C</v>
      </c>
      <c r="C16224" s="7">
        <f>IFERROR(__xludf.DUMMYFUNCTION("""COMPUTED_VALUE"""),7.7377934)</f>
        <v>7.7377934</v>
      </c>
      <c r="D16224" s="7">
        <f>IFERROR(__xludf.DUMMYFUNCTION("""COMPUTED_VALUE"""),0.431372549019607)</f>
        <v>0.431372549</v>
      </c>
    </row>
    <row r="16225">
      <c r="A16225" s="10" t="s">
        <v>17664</v>
      </c>
      <c r="B16225" s="7" t="str">
        <f>IFERROR(__xludf.DUMMYFUNCTION("SPLIT(A16225,"" "")"),"CCN(Cc1ccccn1)c1cc(CN(C)C(C)(C)c2ccccn2)c2cccnc2c1")</f>
        <v>CCN(Cc1ccccn1)c1cc(CN(C)C(C)(C)c2ccccn2)c2cccnc2c1</v>
      </c>
      <c r="C16225" s="7">
        <f>IFERROR(__xludf.DUMMYFUNCTION("""COMPUTED_VALUE"""),7.737785)</f>
        <v>7.737785</v>
      </c>
      <c r="D16225" s="7">
        <f>IFERROR(__xludf.DUMMYFUNCTION("""COMPUTED_VALUE"""),0.368421052631578)</f>
        <v>0.3684210526</v>
      </c>
    </row>
    <row r="16226">
      <c r="A16226" s="10" t="s">
        <v>17665</v>
      </c>
      <c r="B16226" s="7" t="str">
        <f>IFERROR(__xludf.DUMMYFUNCTION("SPLIT(A16226,"" "")"),"Cc1ccc(C)c(CN(Cc2ccccn2)Cc2ncccc2-c2ccccc2N=Cc2ccccn2)c1")</f>
        <v>Cc1ccc(C)c(CN(Cc2ccccn2)Cc2ncccc2-c2ccccc2N=Cc2ccccn2)c1</v>
      </c>
      <c r="C16226" s="7">
        <f>IFERROR(__xludf.DUMMYFUNCTION("""COMPUTED_VALUE"""),7.73778)</f>
        <v>7.73778</v>
      </c>
      <c r="D16226" s="7">
        <f>IFERROR(__xludf.DUMMYFUNCTION("""COMPUTED_VALUE"""),0.423728813559322)</f>
        <v>0.4237288136</v>
      </c>
    </row>
    <row r="16227">
      <c r="A16227" s="10" t="s">
        <v>17666</v>
      </c>
      <c r="B16227" s="7" t="str">
        <f>IFERROR(__xludf.DUMMYFUNCTION("SPLIT(A16227,"" "")"),"Cc1cnc(CN(C)Cc2cc(-c3cccc(N(C)C(C)C)c3)ccn2)c(C)c1C")</f>
        <v>Cc1cnc(CN(C)Cc2cc(-c3cccc(N(C)C(C)C)c3)ccn2)c(C)c1C</v>
      </c>
      <c r="C16227" s="7">
        <f>IFERROR(__xludf.DUMMYFUNCTION("""COMPUTED_VALUE"""),7.737777)</f>
        <v>7.737777</v>
      </c>
      <c r="D16227" s="7">
        <f>IFERROR(__xludf.DUMMYFUNCTION("""COMPUTED_VALUE"""),0.316666666666666)</f>
        <v>0.3166666667</v>
      </c>
    </row>
    <row r="16228">
      <c r="A16228" s="10" t="s">
        <v>17667</v>
      </c>
      <c r="B16228" s="7" t="str">
        <f>IFERROR(__xludf.DUMMYFUNCTION("SPLIT(A16228,"" "")"),"Cc1ccccc1N(C)Cc1nc(C)c(C)cc1C")</f>
        <v>Cc1ccccc1N(C)Cc1nc(C)c(C)cc1C</v>
      </c>
      <c r="C16228" s="7">
        <f>IFERROR(__xludf.DUMMYFUNCTION("""COMPUTED_VALUE"""),7.7377734)</f>
        <v>7.7377734</v>
      </c>
      <c r="D16228" s="7">
        <f>IFERROR(__xludf.DUMMYFUNCTION("""COMPUTED_VALUE"""),0.333333333333333)</f>
        <v>0.3333333333</v>
      </c>
    </row>
    <row r="16229">
      <c r="A16229" s="10" t="s">
        <v>17668</v>
      </c>
      <c r="B16229" s="7" t="str">
        <f>IFERROR(__xludf.DUMMYFUNCTION("SPLIT(A16229,"" "")"),"Cc1ccccc1CN(C)Cc1ncccc1-c1ccccc1N(C)C")</f>
        <v>Cc1ccccc1CN(C)Cc1ncccc1-c1ccccc1N(C)C</v>
      </c>
      <c r="C16229" s="7">
        <f>IFERROR(__xludf.DUMMYFUNCTION("""COMPUTED_VALUE"""),7.73777)</f>
        <v>7.73777</v>
      </c>
      <c r="D16229" s="7">
        <f>IFERROR(__xludf.DUMMYFUNCTION("""COMPUTED_VALUE"""),0.36734693877551)</f>
        <v>0.3673469388</v>
      </c>
    </row>
    <row r="16230">
      <c r="A16230" s="10" t="s">
        <v>17669</v>
      </c>
      <c r="B16230" s="7" t="str">
        <f>IFERROR(__xludf.DUMMYFUNCTION("SPLIT(A16230,"" "")"),"CCN(Cc1ccccn1)Cc1ccc2cccc(N(C)Cc3ncccc3C(C)(C)C)c2n1")</f>
        <v>CCN(Cc1ccccn1)Cc1ccc2cccc(N(C)Cc3ncccc3C(C)(C)C)c2n1</v>
      </c>
      <c r="C16230" s="7">
        <f>IFERROR(__xludf.DUMMYFUNCTION("""COMPUTED_VALUE"""),7.7377663)</f>
        <v>7.7377663</v>
      </c>
      <c r="D16230" s="7">
        <f>IFERROR(__xludf.DUMMYFUNCTION("""COMPUTED_VALUE"""),0.413793103448275)</f>
        <v>0.4137931034</v>
      </c>
    </row>
    <row r="16231">
      <c r="A16231" s="10" t="s">
        <v>17670</v>
      </c>
      <c r="B16231" s="7" t="str">
        <f>IFERROR(__xludf.DUMMYFUNCTION("SPLIT(A16231,"" "")"),"CC(C)(C)c1ncccc1CN(Cc1ccccn1)Cc1ccc(-c2cccc(N=Cc3ccccn3)c2)cn1")</f>
        <v>CC(C)(C)c1ncccc1CN(Cc1ccccn1)Cc1ccc(-c2cccc(N=Cc3ccccn3)c2)cn1</v>
      </c>
      <c r="C16231" s="7">
        <f>IFERROR(__xludf.DUMMYFUNCTION("""COMPUTED_VALUE"""),7.737762)</f>
        <v>7.737762</v>
      </c>
      <c r="D16231" s="7">
        <f>IFERROR(__xludf.DUMMYFUNCTION("""COMPUTED_VALUE"""),0.350877192982456)</f>
        <v>0.350877193</v>
      </c>
    </row>
    <row r="16232">
      <c r="A16232" s="10" t="s">
        <v>17671</v>
      </c>
      <c r="B16232" s="7" t="str">
        <f>IFERROR(__xludf.DUMMYFUNCTION("SPLIT(A16232,"" "")"),"CCNc1ccccc1-c1cc(C(C)(C)c2ccccn2)ccn1")</f>
        <v>CCNc1ccccc1-c1cc(C(C)(C)c2ccccn2)ccn1</v>
      </c>
      <c r="C16232" s="7">
        <f>IFERROR(__xludf.DUMMYFUNCTION("""COMPUTED_VALUE"""),7.737758)</f>
        <v>7.737758</v>
      </c>
      <c r="D16232" s="7">
        <f>IFERROR(__xludf.DUMMYFUNCTION("""COMPUTED_VALUE"""),0.418181818181818)</f>
        <v>0.4181818182</v>
      </c>
    </row>
    <row r="16233">
      <c r="A16233" s="10" t="s">
        <v>17672</v>
      </c>
      <c r="B16233" s="7" t="str">
        <f>IFERROR(__xludf.DUMMYFUNCTION("SPLIT(A16233,"" "")"),"Cc1ccc2nc(CN(C)Cc3ccc(C)nc3)ccc2c1")</f>
        <v>Cc1ccc2nc(CN(C)Cc3ccc(C)nc3)ccc2c1</v>
      </c>
      <c r="C16233" s="7">
        <f>IFERROR(__xludf.DUMMYFUNCTION("""COMPUTED_VALUE"""),7.73775)</f>
        <v>7.73775</v>
      </c>
      <c r="D16233" s="7">
        <f>IFERROR(__xludf.DUMMYFUNCTION("""COMPUTED_VALUE"""),0.422222222222222)</f>
        <v>0.4222222222</v>
      </c>
    </row>
    <row r="16234">
      <c r="A16234" s="10" t="s">
        <v>17673</v>
      </c>
      <c r="B16234" s="7" t="str">
        <f>IFERROR(__xludf.DUMMYFUNCTION("SPLIT(A16234,"" "")"),"Cc1ccc(CN(Cc2cccc(F)n2)Cc2cccc(-c3ccc(N(C)C)cc3)n2)nc1")</f>
        <v>Cc1ccc(CN(Cc2cccc(F)n2)Cc2cccc(-c3ccc(N(C)C)cc3)n2)nc1</v>
      </c>
      <c r="C16234" s="7">
        <f>IFERROR(__xludf.DUMMYFUNCTION("""COMPUTED_VALUE"""),7.7377415)</f>
        <v>7.7377415</v>
      </c>
      <c r="D16234" s="7">
        <f>IFERROR(__xludf.DUMMYFUNCTION("""COMPUTED_VALUE"""),0.42)</f>
        <v>0.42</v>
      </c>
    </row>
    <row r="16235">
      <c r="A16235" s="10" t="s">
        <v>17674</v>
      </c>
      <c r="B16235" s="7" t="str">
        <f>IFERROR(__xludf.DUMMYFUNCTION("SPLIT(A16235,"" "")"),"CC(C)N(Cc1ccccn1)Cc1cc(-c2cccc(N=Cc3ccccn3)c2)ccn1")</f>
        <v>CC(C)N(Cc1ccccn1)Cc1cc(-c2cccc(N=Cc3ccccn3)c2)ccn1</v>
      </c>
      <c r="C16235" s="7">
        <f>IFERROR(__xludf.DUMMYFUNCTION("""COMPUTED_VALUE"""),7.7377377)</f>
        <v>7.7377377</v>
      </c>
      <c r="D16235" s="7">
        <f>IFERROR(__xludf.DUMMYFUNCTION("""COMPUTED_VALUE"""),0.48)</f>
        <v>0.48</v>
      </c>
    </row>
    <row r="16236">
      <c r="A16236" s="10" t="s">
        <v>17675</v>
      </c>
      <c r="B16236" s="7" t="str">
        <f>IFERROR(__xludf.DUMMYFUNCTION("SPLIT(A16236,"" "")"),"Cc1cccc(CN(Cc2cc(-c3ccccc3N(C)C)ccn2)C2CCC(N(C)c3ccc4nccc(CF)c4c3)CC2)n1")</f>
        <v>Cc1cccc(CN(Cc2cc(-c3ccccc3N(C)C)ccn2)C2CCC(N(C)c3ccc4nccc(CF)c4c3)CC2)n1</v>
      </c>
      <c r="C16236" s="7">
        <f>IFERROR(__xludf.DUMMYFUNCTION("""COMPUTED_VALUE"""),7.7377353)</f>
        <v>7.7377353</v>
      </c>
      <c r="D16236" s="7">
        <f>IFERROR(__xludf.DUMMYFUNCTION("""COMPUTED_VALUE"""),0.302631578947368)</f>
        <v>0.3026315789</v>
      </c>
    </row>
    <row r="16237">
      <c r="A16237" s="10" t="s">
        <v>17676</v>
      </c>
      <c r="B16237" s="7" t="str">
        <f>IFERROR(__xludf.DUMMYFUNCTION("SPLIT(A16237,"" "")"),"CC(C)C(C)(c1cccnc1)c1cccc(CN(Cc2ccccn2)C2CCCCC2N(C)c2ccc3ccc(-c4ccc5ncccc5c4)nc3c2)n1")</f>
        <v>CC(C)C(C)(c1cccnc1)c1cccc(CN(Cc2ccccn2)C2CCCCC2N(C)c2ccc3ccc(-c4ccc5ncccc5c4)nc3c2)n1</v>
      </c>
      <c r="C16237" s="7">
        <f>IFERROR(__xludf.DUMMYFUNCTION("""COMPUTED_VALUE"""),7.737735)</f>
        <v>7.737735</v>
      </c>
      <c r="D16237" s="7">
        <f>IFERROR(__xludf.DUMMYFUNCTION("""COMPUTED_VALUE"""),0.317073170731707)</f>
        <v>0.3170731707</v>
      </c>
    </row>
    <row r="16238">
      <c r="A16238" s="10" t="s">
        <v>17677</v>
      </c>
      <c r="B16238" s="7" t="str">
        <f>IFERROR(__xludf.DUMMYFUNCTION("SPLIT(A16238,"" "")"),"Cc1ccc2c(CN(C)C3CCCC(N(C)c4ccc5c(CF)ccnc5c4)C3)ccnc2c1")</f>
        <v>Cc1ccc2c(CN(C)C3CCCC(N(C)c4ccc5c(CF)ccnc5c4)C3)ccnc2c1</v>
      </c>
      <c r="C16238" s="7">
        <f>IFERROR(__xludf.DUMMYFUNCTION("""COMPUTED_VALUE"""),7.737735)</f>
        <v>7.737735</v>
      </c>
      <c r="D16238" s="7">
        <f>IFERROR(__xludf.DUMMYFUNCTION("""COMPUTED_VALUE"""),0.285714285714285)</f>
        <v>0.2857142857</v>
      </c>
    </row>
    <row r="16239">
      <c r="A16239" s="10" t="s">
        <v>17678</v>
      </c>
      <c r="B16239" s="7" t="str">
        <f>IFERROR(__xludf.DUMMYFUNCTION("SPLIT(A16239,"" "")"),"CC(C)C(C)(c1cccnc1)c1cccc(CN(Cc2ccccn2)C2CCCCC2N(C)c2ccc3cc(-c4ccc5ncccc5c4)cnc3c2)n1")</f>
        <v>CC(C)C(C)(c1cccnc1)c1cccc(CN(Cc2ccccn2)C2CCCCC2N(C)c2ccc3cc(-c4ccc5ncccc5c4)cnc3c2)n1</v>
      </c>
      <c r="C16239" s="7">
        <f>IFERROR(__xludf.DUMMYFUNCTION("""COMPUTED_VALUE"""),7.7377286)</f>
        <v>7.7377286</v>
      </c>
      <c r="D16239" s="7">
        <f>IFERROR(__xludf.DUMMYFUNCTION("""COMPUTED_VALUE"""),0.325)</f>
        <v>0.325</v>
      </c>
    </row>
    <row r="16240">
      <c r="A16240" s="10" t="s">
        <v>17679</v>
      </c>
      <c r="B16240" s="7" t="str">
        <f>IFERROR(__xludf.DUMMYFUNCTION("SPLIT(A16240,"" "")"),"CCN(Cc1ccccn1)Cc1ccc2cccc(N(C)C3C=CC=CN3)c2n1")</f>
        <v>CCN(Cc1ccccn1)Cc1ccc2cccc(N(C)C3C=CC=CN3)c2n1</v>
      </c>
      <c r="C16240" s="7">
        <f>IFERROR(__xludf.DUMMYFUNCTION("""COMPUTED_VALUE"""),7.737707)</f>
        <v>7.737707</v>
      </c>
      <c r="D16240" s="7">
        <f>IFERROR(__xludf.DUMMYFUNCTION("""COMPUTED_VALUE"""),0.466666666666666)</f>
        <v>0.4666666667</v>
      </c>
    </row>
    <row r="16241">
      <c r="A16241" s="10" t="s">
        <v>17680</v>
      </c>
      <c r="B16241" s="7" t="str">
        <f>IFERROR(__xludf.DUMMYFUNCTION("SPLIT(A16241,"" "")"),"CCN(Cc1ccccn1)c1ccc2nccc(CN(C)C3CCC(N(C)c4ccc5nccc(CF)c5c4)CC3)c2c1")</f>
        <v>CCN(Cc1ccccn1)c1ccc2nccc(CN(C)C3CCC(N(C)c4ccc5nccc(CF)c5c4)CC3)c2c1</v>
      </c>
      <c r="C16241" s="7">
        <f>IFERROR(__xludf.DUMMYFUNCTION("""COMPUTED_VALUE"""),7.737705)</f>
        <v>7.737705</v>
      </c>
      <c r="D16241" s="7">
        <f>IFERROR(__xludf.DUMMYFUNCTION("""COMPUTED_VALUE"""),0.359375)</f>
        <v>0.359375</v>
      </c>
    </row>
    <row r="16242">
      <c r="A16242" s="10" t="s">
        <v>17681</v>
      </c>
      <c r="B16242" s="7" t="str">
        <f>IFERROR(__xludf.DUMMYFUNCTION("SPLIT(A16242,"" "")"),"Cc1cnc(CN(Cc2cncc(-c3cccc(N(C)Cc4ccccn4)c3)c2)Cc2ccccn2)c(C)c1C")</f>
        <v>Cc1cnc(CN(Cc2cncc(-c3cccc(N(C)Cc4ccccn4)c3)c2)Cc2ccccn2)c(C)c1C</v>
      </c>
      <c r="C16242" s="7">
        <f>IFERROR(__xludf.DUMMYFUNCTION("""COMPUTED_VALUE"""),7.737703)</f>
        <v>7.737703</v>
      </c>
      <c r="D16242" s="7">
        <f>IFERROR(__xludf.DUMMYFUNCTION("""COMPUTED_VALUE"""),0.37037037037037)</f>
        <v>0.3703703704</v>
      </c>
    </row>
    <row r="16243">
      <c r="A16243" s="10" t="s">
        <v>17682</v>
      </c>
      <c r="B16243" s="7" t="str">
        <f>IFERROR(__xludf.DUMMYFUNCTION("SPLIT(A16243,"" "")"),"C=CCN(C)Cc1cc(-c2ccccc2N(C)Cc2cccc(C)n2)ccn1")</f>
        <v>C=CCN(C)Cc1cc(-c2ccccc2N(C)Cc2cccc(C)n2)ccn1</v>
      </c>
      <c r="C16243" s="7">
        <f>IFERROR(__xludf.DUMMYFUNCTION("""COMPUTED_VALUE"""),7.737696)</f>
        <v>7.737696</v>
      </c>
      <c r="D16243" s="7">
        <f>IFERROR(__xludf.DUMMYFUNCTION("""COMPUTED_VALUE"""),0.415094339622641)</f>
        <v>0.4150943396</v>
      </c>
    </row>
    <row r="16244">
      <c r="A16244" s="10" t="s">
        <v>17683</v>
      </c>
      <c r="B16244" s="7" t="str">
        <f>IFERROR(__xludf.DUMMYFUNCTION("SPLIT(A16244,"" "")"),"CN(Cc1ccc(-c2cccc(N(C)C)c2)cn1)CC1C=CNC=C1N(C)Cc1ccccn1")</f>
        <v>CN(Cc1ccc(-c2cccc(N(C)C)c2)cn1)CC1C=CNC=C1N(C)Cc1ccccn1</v>
      </c>
      <c r="C16244" s="7">
        <f>IFERROR(__xludf.DUMMYFUNCTION("""COMPUTED_VALUE"""),7.7376943)</f>
        <v>7.7376943</v>
      </c>
      <c r="D16244" s="7">
        <f>IFERROR(__xludf.DUMMYFUNCTION("""COMPUTED_VALUE"""),0.338461538461538)</f>
        <v>0.3384615385</v>
      </c>
    </row>
    <row r="16245">
      <c r="A16245" s="10" t="s">
        <v>17684</v>
      </c>
      <c r="B16245" s="7" t="str">
        <f>IFERROR(__xludf.DUMMYFUNCTION("SPLIT(A16245,"" "")"),"CN(Cc1cccc(-c2cccc(N(C)C)c2)n1)Cc1ncccc1CF")</f>
        <v>CN(Cc1cccc(-c2cccc(N(C)C)c2)n1)Cc1ncccc1CF</v>
      </c>
      <c r="C16245" s="7">
        <f>IFERROR(__xludf.DUMMYFUNCTION("""COMPUTED_VALUE"""),7.737692)</f>
        <v>7.737692</v>
      </c>
      <c r="D16245" s="7">
        <f>IFERROR(__xludf.DUMMYFUNCTION("""COMPUTED_VALUE"""),0.452830188679245)</f>
        <v>0.4528301887</v>
      </c>
    </row>
    <row r="16246">
      <c r="A16246" s="10" t="s">
        <v>17685</v>
      </c>
      <c r="B16246" s="7" t="str">
        <f>IFERROR(__xludf.DUMMYFUNCTION("SPLIT(A16246,"" "")"),"CN(Cc1cc(-c2ccc3c(c2)OCCOCCOCCOCCOCCO3)ccn1)Cc1ccc2cccc(N(C)Cc3ccc4cccc(N(C)Cc5ccc6ncccc6c5)c4n3)c2n1")</f>
        <v>CN(Cc1cc(-c2ccc3c(c2)OCCOCCOCCOCCOCCO3)ccn1)Cc1ccc2cccc(N(C)Cc3ccc4cccc(N(C)Cc5ccc6ncccc6c5)c4n3)c2n1</v>
      </c>
      <c r="C16246" s="7">
        <f>IFERROR(__xludf.DUMMYFUNCTION("""COMPUTED_VALUE"""),7.7376795)</f>
        <v>7.7376795</v>
      </c>
      <c r="D16246" s="7">
        <f>IFERROR(__xludf.DUMMYFUNCTION("""COMPUTED_VALUE"""),0.305882352941176)</f>
        <v>0.3058823529</v>
      </c>
    </row>
    <row r="16247">
      <c r="A16247" s="10" t="s">
        <v>17686</v>
      </c>
      <c r="B16247" s="7" t="str">
        <f>IFERROR(__xludf.DUMMYFUNCTION("SPLIT(A16247,"" "")"),"CC(C)N(CC1=CC(N(C)Cc2ccccn2)C=CN1)c1cccc2ncccc12")</f>
        <v>CC(C)N(CC1=CC(N(C)Cc2ccccn2)C=CN1)c1cccc2ncccc12</v>
      </c>
      <c r="C16247" s="7">
        <f>IFERROR(__xludf.DUMMYFUNCTION("""COMPUTED_VALUE"""),7.73767)</f>
        <v>7.73767</v>
      </c>
      <c r="D16247" s="7">
        <f>IFERROR(__xludf.DUMMYFUNCTION("""COMPUTED_VALUE"""),0.349206349206349)</f>
        <v>0.3492063492</v>
      </c>
    </row>
    <row r="16248">
      <c r="A16248" s="10" t="s">
        <v>17687</v>
      </c>
      <c r="B16248" s="7" t="str">
        <f>IFERROR(__xludf.DUMMYFUNCTION("SPLIT(A16248,"" "")"),"Cc1ccc(-c2cccc(NCc3ccccn3)c2)nc1CN(Cc1ccccn1)Cc1cccc(N(C)C)n1")</f>
        <v>Cc1ccc(-c2cccc(NCc3ccccn3)c2)nc1CN(Cc1ccccn1)Cc1cccc(N(C)C)n1</v>
      </c>
      <c r="C16248" s="7">
        <f>IFERROR(__xludf.DUMMYFUNCTION("""COMPUTED_VALUE"""),7.737658)</f>
        <v>7.737658</v>
      </c>
      <c r="D16248" s="7">
        <f>IFERROR(__xludf.DUMMYFUNCTION("""COMPUTED_VALUE"""),0.454545454545454)</f>
        <v>0.4545454545</v>
      </c>
    </row>
    <row r="16249">
      <c r="A16249" s="10" t="s">
        <v>17688</v>
      </c>
      <c r="B16249" s="7" t="str">
        <f>IFERROR(__xludf.DUMMYFUNCTION("SPLIT(A16249,"" "")"),"Cc1ccc2nc(CN(C)Cc3cccnc3C)ccc2c1")</f>
        <v>Cc1ccc2nc(CN(C)Cc3cccnc3C)ccc2c1</v>
      </c>
      <c r="C16249" s="7">
        <f>IFERROR(__xludf.DUMMYFUNCTION("""COMPUTED_VALUE"""),7.7376537)</f>
        <v>7.7376537</v>
      </c>
      <c r="D16249" s="7">
        <f>IFERROR(__xludf.DUMMYFUNCTION("""COMPUTED_VALUE"""),0.408163265306122)</f>
        <v>0.4081632653</v>
      </c>
    </row>
    <row r="16250">
      <c r="A16250" s="10" t="s">
        <v>17689</v>
      </c>
      <c r="B16250" s="7" t="str">
        <f>IFERROR(__xludf.DUMMYFUNCTION("SPLIT(A16250,"" "")"),"CC(C(=O)C(=O)C(=O)C(=O)C(=O)C(=O)C(=O)C(=O)C(=O)C(=O)C(=O)C(=O)C(=O)C(=O)C(=O)C(=O)C(=O)C(=O)C(=O)C=O)C(=O)c1ncccc1C1CCC1(C)C")</f>
        <v>CC(C(=O)C(=O)C(=O)C(=O)C(=O)C(=O)C(=O)C(=O)C(=O)C(=O)C(=O)C(=O)C(=O)C(=O)C(=O)C(=O)C(=O)C(=O)C(=O)C=O)C(=O)c1ncccc1C1CCC1(C)C</v>
      </c>
      <c r="C16250" s="7">
        <f>IFERROR(__xludf.DUMMYFUNCTION("""COMPUTED_VALUE"""),7.737652)</f>
        <v>7.737652</v>
      </c>
      <c r="D16250" s="7">
        <f>IFERROR(__xludf.DUMMYFUNCTION("""COMPUTED_VALUE"""),0.213333333333333)</f>
        <v>0.2133333333</v>
      </c>
    </row>
    <row r="16251">
      <c r="A16251" s="10" t="s">
        <v>17690</v>
      </c>
      <c r="B16251" s="7" t="str">
        <f>IFERROR(__xludf.DUMMYFUNCTION("SPLIT(A16251,"" "")"),"Cc1ccc(N(C)Cc2cc(N)ccn2)c(C)c1C")</f>
        <v>Cc1ccc(N(C)Cc2cc(N)ccn2)c(C)c1C</v>
      </c>
      <c r="C16251" s="7">
        <f>IFERROR(__xludf.DUMMYFUNCTION("""COMPUTED_VALUE"""),7.7376513)</f>
        <v>7.7376513</v>
      </c>
      <c r="D16251" s="7">
        <f>IFERROR(__xludf.DUMMYFUNCTION("""COMPUTED_VALUE"""),0.391304347826087)</f>
        <v>0.3913043478</v>
      </c>
    </row>
    <row r="16252">
      <c r="A16252" s="10" t="s">
        <v>17691</v>
      </c>
      <c r="B16252" s="7" t="str">
        <f>IFERROR(__xludf.DUMMYFUNCTION("SPLIT(A16252,"" "")"),"CC(C)CN(C)Cc1cc(-c2cccc(N=Cc3ccccn3)c2)ccn1")</f>
        <v>CC(C)CN(C)Cc1cc(-c2cccc(N=Cc3ccccn3)c2)ccn1</v>
      </c>
      <c r="C16252" s="7">
        <f>IFERROR(__xludf.DUMMYFUNCTION("""COMPUTED_VALUE"""),7.737646)</f>
        <v>7.737646</v>
      </c>
      <c r="D16252" s="7">
        <f>IFERROR(__xludf.DUMMYFUNCTION("""COMPUTED_VALUE"""),0.35593220338983)</f>
        <v>0.3559322034</v>
      </c>
    </row>
    <row r="16253">
      <c r="A16253" s="10" t="s">
        <v>17692</v>
      </c>
      <c r="B16253" s="7" t="str">
        <f>IFERROR(__xludf.DUMMYFUNCTION("SPLIT(A16253,"" "")"),"Cc1ccc2c(CN(C)C3CCCC(N(C)c4ccc5nccc(CF)c5c4)C3)ccnc2c1")</f>
        <v>Cc1ccc2c(CN(C)C3CCCC(N(C)c4ccc5nccc(CF)c5c4)C3)ccnc2c1</v>
      </c>
      <c r="C16253" s="7">
        <f>IFERROR(__xludf.DUMMYFUNCTION("""COMPUTED_VALUE"""),7.7376456)</f>
        <v>7.7376456</v>
      </c>
      <c r="D16253" s="7">
        <f>IFERROR(__xludf.DUMMYFUNCTION("""COMPUTED_VALUE"""),0.272727272727272)</f>
        <v>0.2727272727</v>
      </c>
    </row>
    <row r="16254">
      <c r="A16254" s="10" t="s">
        <v>17693</v>
      </c>
      <c r="B16254" s="7" t="str">
        <f>IFERROR(__xludf.DUMMYFUNCTION("SPLIT(A16254,"" "")"),"CC(C)N(CC1=CCC=CN1)Cc1cccc(-c2cccc(N=Cc3ccccn3)c2)n1")</f>
        <v>CC(C)N(CC1=CCC=CN1)Cc1cccc(-c2cccc(N=Cc3ccccn3)c2)n1</v>
      </c>
      <c r="C16254" s="7">
        <f>IFERROR(__xludf.DUMMYFUNCTION("""COMPUTED_VALUE"""),7.737641)</f>
        <v>7.737641</v>
      </c>
      <c r="D16254" s="7">
        <f>IFERROR(__xludf.DUMMYFUNCTION("""COMPUTED_VALUE"""),0.426470588235294)</f>
        <v>0.4264705882</v>
      </c>
    </row>
    <row r="16255">
      <c r="A16255" s="10" t="s">
        <v>17694</v>
      </c>
      <c r="B16255" s="7" t="str">
        <f>IFERROR(__xludf.DUMMYFUNCTION("SPLIT(A16255,"" "")"),"Cc1ccccc1N(C)CC1=CCC=C(N(C)Cc2ccccn2)N1")</f>
        <v>Cc1ccccc1N(C)CC1=CCC=C(N(C)Cc2ccccn2)N1</v>
      </c>
      <c r="C16255" s="7">
        <f>IFERROR(__xludf.DUMMYFUNCTION("""COMPUTED_VALUE"""),7.7376404)</f>
        <v>7.7376404</v>
      </c>
      <c r="D16255" s="7">
        <f>IFERROR(__xludf.DUMMYFUNCTION("""COMPUTED_VALUE"""),0.46)</f>
        <v>0.46</v>
      </c>
    </row>
    <row r="16256">
      <c r="A16256" s="10" t="s">
        <v>17695</v>
      </c>
      <c r="B16256" s="7" t="str">
        <f>IFERROR(__xludf.DUMMYFUNCTION("SPLIT(A16256,"" "")"),"Cc1ccc(CN(C)c2cccnc2CN(Cc2ccccn2)Cc2ncccc2-c2ccccc2N)nc1")</f>
        <v>Cc1ccc(CN(C)c2cccnc2CN(Cc2ccccn2)Cc2ncccc2-c2ccccc2N)nc1</v>
      </c>
      <c r="C16256" s="7">
        <f>IFERROR(__xludf.DUMMYFUNCTION("""COMPUTED_VALUE"""),7.737637)</f>
        <v>7.737637</v>
      </c>
      <c r="D16256" s="7">
        <f>IFERROR(__xludf.DUMMYFUNCTION("""COMPUTED_VALUE"""),0.403508771929824)</f>
        <v>0.4035087719</v>
      </c>
    </row>
    <row r="16257">
      <c r="A16257" s="10" t="s">
        <v>17696</v>
      </c>
      <c r="B16257" s="7" t="str">
        <f>IFERROR(__xludf.DUMMYFUNCTION("SPLIT(A16257,"" "")"),"CN(C)c1cccc(-c2ccc(CN(Cc3ccccn3)Cc3cccc(C(C)(C)c4ccccn4)n3)cn2)c1")</f>
        <v>CN(C)c1cccc(-c2ccc(CN(Cc3ccccn3)Cc3cccc(C(C)(C)c4ccccn4)n3)cn2)c1</v>
      </c>
      <c r="C16257" s="7">
        <f>IFERROR(__xludf.DUMMYFUNCTION("""COMPUTED_VALUE"""),7.737633)</f>
        <v>7.737633</v>
      </c>
      <c r="D16257" s="7">
        <f>IFERROR(__xludf.DUMMYFUNCTION("""COMPUTED_VALUE"""),0.439393939393939)</f>
        <v>0.4393939394</v>
      </c>
    </row>
    <row r="16258">
      <c r="A16258" s="10" t="s">
        <v>17697</v>
      </c>
      <c r="B16258" s="7" t="str">
        <f>IFERROR(__xludf.DUMMYFUNCTION("SPLIT(A16258,"" "")"),"CN(C)Cc1cnccc1-c1ccccc1N")</f>
        <v>CN(C)Cc1cnccc1-c1ccccc1N</v>
      </c>
      <c r="C16258" s="7">
        <f>IFERROR(__xludf.DUMMYFUNCTION("""COMPUTED_VALUE"""),7.737631)</f>
        <v>7.737631</v>
      </c>
      <c r="D16258" s="7">
        <f>IFERROR(__xludf.DUMMYFUNCTION("""COMPUTED_VALUE"""),0.282608695652173)</f>
        <v>0.2826086957</v>
      </c>
    </row>
    <row r="16259">
      <c r="A16259" s="10" t="s">
        <v>17698</v>
      </c>
      <c r="B16259" s="7" t="str">
        <f>IFERROR(__xludf.DUMMYFUNCTION("SPLIT(A16259,"" "")"),"CN(c1ccc2cc3c(nc2c1)CCCC3)C1CCC(N(C)c2ccc3c(CF)ccnc3c2)CC1")</f>
        <v>CN(c1ccc2cc3c(nc2c1)CCCC3)C1CCC(N(C)c2ccc3c(CF)ccnc3c2)CC1</v>
      </c>
      <c r="C16259" s="7">
        <f>IFERROR(__xludf.DUMMYFUNCTION("""COMPUTED_VALUE"""),7.7376165)</f>
        <v>7.7376165</v>
      </c>
      <c r="D16259" s="7">
        <f>IFERROR(__xludf.DUMMYFUNCTION("""COMPUTED_VALUE"""),0.353846153846153)</f>
        <v>0.3538461538</v>
      </c>
    </row>
    <row r="16260">
      <c r="A16260" s="10" t="s">
        <v>17699</v>
      </c>
      <c r="B16260" s="7" t="str">
        <f>IFERROR(__xludf.DUMMYFUNCTION("SPLIT(A16260,"" "")"),"COCc1cccc(CN(Cc2ccccn2)Cc2cc(-c3ccccc3N=Cc3ccccn3)ccn2)n1")</f>
        <v>COCc1cccc(CN(Cc2ccccn2)Cc2cc(-c3ccccc3N=Cc3ccccn3)ccn2)n1</v>
      </c>
      <c r="C16260" s="7">
        <f>IFERROR(__xludf.DUMMYFUNCTION("""COMPUTED_VALUE"""),7.7376122)</f>
        <v>7.7376122</v>
      </c>
      <c r="D16260" s="7">
        <f>IFERROR(__xludf.DUMMYFUNCTION("""COMPUTED_VALUE"""),0.451612903225806)</f>
        <v>0.4516129032</v>
      </c>
    </row>
    <row r="16261">
      <c r="A16261" s="10" t="s">
        <v>17700</v>
      </c>
      <c r="B16261" s="7" t="str">
        <f>IFERROR(__xludf.DUMMYFUNCTION("SPLIT(A16261,"" "")"),"CNCc1cc(CN(Cc2ccccn2)c2ccc3nc(CN(C)Cc4ncccc4C)ccc3c2)ccn1")</f>
        <v>CNCc1cc(CN(Cc2ccccn2)c2ccc3nc(CN(C)Cc4ncccc4C)ccc3c2)ccn1</v>
      </c>
      <c r="C16261" s="7">
        <f>IFERROR(__xludf.DUMMYFUNCTION("""COMPUTED_VALUE"""),7.7376065)</f>
        <v>7.7376065</v>
      </c>
      <c r="D16261" s="7">
        <f>IFERROR(__xludf.DUMMYFUNCTION("""COMPUTED_VALUE"""),0.375)</f>
        <v>0.375</v>
      </c>
    </row>
    <row r="16262">
      <c r="A16262" s="10" t="s">
        <v>17701</v>
      </c>
      <c r="B16262" s="7" t="str">
        <f>IFERROR(__xludf.DUMMYFUNCTION("SPLIT(A16262,"" "")"),"COC(=O)C(=O)C(=O)C1(C)COC(c2cccc(CNCc3cccc(C4=NC(C)(C)CO4)n3)n2)=N1")</f>
        <v>COC(=O)C(=O)C(=O)C1(C)COC(c2cccc(CNCc3cccc(C4=NC(C)(C)CO4)n3)n2)=N1</v>
      </c>
      <c r="C16262" s="7">
        <f>IFERROR(__xludf.DUMMYFUNCTION("""COMPUTED_VALUE"""),7.737598)</f>
        <v>7.737598</v>
      </c>
      <c r="D16262" s="7">
        <f>IFERROR(__xludf.DUMMYFUNCTION("""COMPUTED_VALUE"""),0.48076923076923)</f>
        <v>0.4807692308</v>
      </c>
    </row>
    <row r="16263">
      <c r="A16263" s="10" t="s">
        <v>17702</v>
      </c>
      <c r="B16263" s="7" t="str">
        <f>IFERROR(__xludf.DUMMYFUNCTION("SPLIT(A16263,"" "")"),"Cc1cccc(CN(C)Cc2ccc(-c3cccc(N(C)C)c3)cn2)c1")</f>
        <v>Cc1cccc(CN(C)Cc2ccc(-c3cccc(N(C)C)c3)cn2)c1</v>
      </c>
      <c r="C16263" s="7">
        <f>IFERROR(__xludf.DUMMYFUNCTION("""COMPUTED_VALUE"""),7.737592)</f>
        <v>7.737592</v>
      </c>
      <c r="D16263" s="7">
        <f>IFERROR(__xludf.DUMMYFUNCTION("""COMPUTED_VALUE"""),0.395833333333333)</f>
        <v>0.3958333333</v>
      </c>
    </row>
    <row r="16264">
      <c r="A16264" s="10" t="s">
        <v>17703</v>
      </c>
      <c r="B16264" s="7" t="str">
        <f>IFERROR(__xludf.DUMMYFUNCTION("SPLIT(A16264,"" "")"),"COC(C)c1cc(CN(Cc2ccccn2)Cc2cc(-c3ccccc3N=Cc3ccccn3)ccn2)ccn1")</f>
        <v>COC(C)c1cc(CN(Cc2ccccn2)Cc2cc(-c3ccccc3N=Cc3ccccn3)ccn2)ccn1</v>
      </c>
      <c r="C16264" s="7">
        <f>IFERROR(__xludf.DUMMYFUNCTION("""COMPUTED_VALUE"""),7.7375894)</f>
        <v>7.7375894</v>
      </c>
      <c r="D16264" s="7">
        <f>IFERROR(__xludf.DUMMYFUNCTION("""COMPUTED_VALUE"""),0.343283582089552)</f>
        <v>0.3432835821</v>
      </c>
    </row>
    <row r="16265">
      <c r="A16265" s="10" t="s">
        <v>17704</v>
      </c>
      <c r="B16265" s="7" t="str">
        <f>IFERROR(__xludf.DUMMYFUNCTION("SPLIT(A16265,"" "")"),"Cc1cccc(CN(Cc2cccc(F)n2)Cc2cccc(-c3ccccc3N(C)C)n2)n1")</f>
        <v>Cc1cccc(CN(Cc2cccc(F)n2)Cc2cccc(-c3ccccc3N(C)C)n2)n1</v>
      </c>
      <c r="C16265" s="7">
        <f>IFERROR(__xludf.DUMMYFUNCTION("""COMPUTED_VALUE"""),7.7375746)</f>
        <v>7.7375746</v>
      </c>
      <c r="D16265" s="7">
        <f>IFERROR(__xludf.DUMMYFUNCTION("""COMPUTED_VALUE"""),0.456521739130434)</f>
        <v>0.4565217391</v>
      </c>
    </row>
    <row r="16266">
      <c r="A16266" s="10" t="s">
        <v>17705</v>
      </c>
      <c r="B16266" s="7" t="str">
        <f>IFERROR(__xludf.DUMMYFUNCTION("SPLIT(A16266,"" "")"),"Cc1cc(C)nc(CN(C)Cc2cccc(-c3cc(C)ccc3N)n2)c1")</f>
        <v>Cc1cc(C)nc(CN(C)Cc2cccc(-c3cc(C)ccc3N)n2)c1</v>
      </c>
      <c r="C16266" s="7">
        <f>IFERROR(__xludf.DUMMYFUNCTION("""COMPUTED_VALUE"""),7.737573)</f>
        <v>7.737573</v>
      </c>
      <c r="D16266" s="7">
        <f>IFERROR(__xludf.DUMMYFUNCTION("""COMPUTED_VALUE"""),0.425531914893617)</f>
        <v>0.4255319149</v>
      </c>
    </row>
    <row r="16267">
      <c r="A16267" s="10" t="s">
        <v>17706</v>
      </c>
      <c r="B16267" s="7" t="str">
        <f>IFERROR(__xludf.DUMMYFUNCTION("SPLIT(A16267,"" "")"),"CCN(Cc1ccccn1)c1ccccc1-c1cc(C(C)(C)C)ccn1")</f>
        <v>CCN(Cc1ccccn1)c1ccccc1-c1cc(C(C)(C)C)ccn1</v>
      </c>
      <c r="C16267" s="7">
        <f>IFERROR(__xludf.DUMMYFUNCTION("""COMPUTED_VALUE"""),7.7375717)</f>
        <v>7.7375717</v>
      </c>
      <c r="D16267" s="7">
        <f>IFERROR(__xludf.DUMMYFUNCTION("""COMPUTED_VALUE"""),0.384615384615384)</f>
        <v>0.3846153846</v>
      </c>
    </row>
    <row r="16268">
      <c r="A16268" s="10" t="s">
        <v>17707</v>
      </c>
      <c r="B16268" s="7" t="str">
        <f>IFERROR(__xludf.DUMMYFUNCTION("SPLIT(A16268,"" "")"),"CCN(Cc1cc(C)ccn1)Cc1cc(-c2cccc(N=Cc3ccccn3)c2)ccn1")</f>
        <v>CCN(Cc1cc(C)ccn1)Cc1cc(-c2cccc(N=Cc3ccccn3)c2)ccn1</v>
      </c>
      <c r="C16268" s="7">
        <f>IFERROR(__xludf.DUMMYFUNCTION("""COMPUTED_VALUE"""),7.7375684)</f>
        <v>7.7375684</v>
      </c>
      <c r="D16268" s="7">
        <f>IFERROR(__xludf.DUMMYFUNCTION("""COMPUTED_VALUE"""),0.372881355932203)</f>
        <v>0.3728813559</v>
      </c>
    </row>
    <row r="16269">
      <c r="A16269" s="10" t="s">
        <v>17708</v>
      </c>
      <c r="B16269" s="7" t="str">
        <f>IFERROR(__xludf.DUMMYFUNCTION("SPLIT(A16269,"" "")"),"CCCN(Cc1ccccn1)Cc1cccc(N(C)c2cccc3ncc(CF)cc23)n1")</f>
        <v>CCCN(Cc1ccccn1)Cc1cccc(N(C)c2cccc3ncc(CF)cc23)n1</v>
      </c>
      <c r="C16269" s="7">
        <f>IFERROR(__xludf.DUMMYFUNCTION("""COMPUTED_VALUE"""),7.7375674)</f>
        <v>7.7375674</v>
      </c>
      <c r="D16269" s="7">
        <f>IFERROR(__xludf.DUMMYFUNCTION("""COMPUTED_VALUE"""),0.413793103448275)</f>
        <v>0.4137931034</v>
      </c>
    </row>
    <row r="16270">
      <c r="A16270" s="10" t="s">
        <v>17709</v>
      </c>
      <c r="B16270" s="7" t="str">
        <f>IFERROR(__xludf.DUMMYFUNCTION("SPLIT(A16270,"" "")"),"Cc1cccc2nccc(CN(C)C3CCCC(N(C)c4cccc5ncc(CF)cc45)C3)c12")</f>
        <v>Cc1cccc2nccc(CN(C)C3CCCC(N(C)c4cccc5ncc(CF)cc45)C3)c12</v>
      </c>
      <c r="C16270" s="7">
        <f>IFERROR(__xludf.DUMMYFUNCTION("""COMPUTED_VALUE"""),7.737563)</f>
        <v>7.737563</v>
      </c>
      <c r="D16270" s="7">
        <f>IFERROR(__xludf.DUMMYFUNCTION("""COMPUTED_VALUE"""),0.263157894736842)</f>
        <v>0.2631578947</v>
      </c>
    </row>
    <row r="16271">
      <c r="A16271" s="10" t="s">
        <v>17710</v>
      </c>
      <c r="B16271" s="7" t="str">
        <f>IFERROR(__xludf.DUMMYFUNCTION("SPLIT(A16271,"" "")"),"CC(C)(C1=CC2C(=CN1)C=Cc1cccnc12)c1ccc(CN(Cc2ccccn2)Cc2ccccn2)cn1")</f>
        <v>CC(C)(C1=CC2C(=CN1)C=Cc1cccnc12)c1ccc(CN(Cc2ccccn2)Cc2ccccn2)cn1</v>
      </c>
      <c r="C16271" s="7">
        <f>IFERROR(__xludf.DUMMYFUNCTION("""COMPUTED_VALUE"""),7.7375584)</f>
        <v>7.7375584</v>
      </c>
      <c r="D16271" s="7">
        <f>IFERROR(__xludf.DUMMYFUNCTION("""COMPUTED_VALUE"""),0.344827586206896)</f>
        <v>0.3448275862</v>
      </c>
    </row>
    <row r="16272">
      <c r="A16272" s="10" t="s">
        <v>17711</v>
      </c>
      <c r="B16272" s="7" t="str">
        <f>IFERROR(__xludf.DUMMYFUNCTION("SPLIT(A16272,"" "")"),"Cc1ccnc2ccc(C3CN(C)CCN(C)CCN3Cc3nc4ccccc4n3C)cc12")</f>
        <v>Cc1ccnc2ccc(C3CN(C)CCN(C)CCN3Cc3nc4ccccc4n3C)cc12</v>
      </c>
      <c r="C16272" s="7">
        <f>IFERROR(__xludf.DUMMYFUNCTION("""COMPUTED_VALUE"""),7.7375555)</f>
        <v>7.7375555</v>
      </c>
      <c r="D16272" s="7">
        <f>IFERROR(__xludf.DUMMYFUNCTION("""COMPUTED_VALUE"""),0.47457627118644)</f>
        <v>0.4745762712</v>
      </c>
    </row>
    <row r="16273">
      <c r="A16273" s="10" t="s">
        <v>17712</v>
      </c>
      <c r="B16273" s="7" t="str">
        <f>IFERROR(__xludf.DUMMYFUNCTION("SPLIT(A16273,"" "")"),"Cc1cnc2cccc(N(C)CCN(C)Cc3ccccn3)c2c1")</f>
        <v>Cc1cnc2cccc(N(C)CCN(C)Cc3ccccn3)c2c1</v>
      </c>
      <c r="C16273" s="7">
        <f>IFERROR(__xludf.DUMMYFUNCTION("""COMPUTED_VALUE"""),7.7375507)</f>
        <v>7.7375507</v>
      </c>
      <c r="D16273" s="7">
        <f>IFERROR(__xludf.DUMMYFUNCTION("""COMPUTED_VALUE"""),0.446808510638297)</f>
        <v>0.4468085106</v>
      </c>
    </row>
    <row r="16274">
      <c r="A16274" s="10" t="s">
        <v>17713</v>
      </c>
      <c r="B16274" s="7" t="str">
        <f>IFERROR(__xludf.DUMMYFUNCTION("SPLIT(A16274,"" "")"),"C=Cc1ccccc1N(C)CCN(C)Cc1ccc2ncccc2c1")</f>
        <v>C=Cc1ccccc1N(C)CCN(C)Cc1ccc2ncccc2c1</v>
      </c>
      <c r="C16274" s="7">
        <f>IFERROR(__xludf.DUMMYFUNCTION("""COMPUTED_VALUE"""),7.737549)</f>
        <v>7.737549</v>
      </c>
      <c r="D16274" s="7">
        <f>IFERROR(__xludf.DUMMYFUNCTION("""COMPUTED_VALUE"""),0.411764705882352)</f>
        <v>0.4117647059</v>
      </c>
    </row>
    <row r="16275">
      <c r="A16275" s="10" t="s">
        <v>17714</v>
      </c>
      <c r="B16275" s="7" t="str">
        <f>IFERROR(__xludf.DUMMYFUNCTION("SPLIT(A16275,"" "")"),"COC(=O)c1cc(CN2CCN(C)CCN(C(=O)C(=O)C(=O)C(=O)C(=O)C(=O)C(=O)C(=O)C(=O)C(=O)C(=O)C(=O)C(=O)C(=O)C(=O)C(=O)C(=O)C(=O)C(=O)C(=O)C(=O)C(=O)C(=O)C(=O)C(=O)C(=O)C(=O)C(=O)C(=O)C(=O)C(=O)C(=O)C(=O)C(=O)C=O)CC2)ccn1")</f>
        <v>COC(=O)c1cc(CN2CCN(C)CCN(C(=O)C(=O)C(=O)C(=O)C(=O)C(=O)C(=O)C(=O)C(=O)C(=O)C(=O)C(=O)C(=O)C(=O)C(=O)C(=O)C(=O)C(=O)C(=O)C(=O)C(=O)C(=O)C(=O)C(=O)C(=O)C(=O)C(=O)C(=O)C(=O)C(=O)C(=O)C(=O)C(=O)C(=O)C=O)CC2)ccn1</v>
      </c>
      <c r="C16275" s="7">
        <f>IFERROR(__xludf.DUMMYFUNCTION("""COMPUTED_VALUE"""),7.7375436)</f>
        <v>7.7375436</v>
      </c>
      <c r="D16275" s="7">
        <f>IFERROR(__xludf.DUMMYFUNCTION("""COMPUTED_VALUE"""),0.388059701492537)</f>
        <v>0.3880597015</v>
      </c>
    </row>
    <row r="16276">
      <c r="A16276" s="10" t="s">
        <v>17715</v>
      </c>
      <c r="B16276" s="7" t="str">
        <f>IFERROR(__xludf.DUMMYFUNCTION("SPLIT(A16276,"" "")"),"CN(C)c1ccc(-c2ccc(CN(Cc3ccc(F)nc3)Cc3cccc(F)n3)nc2)cc1")</f>
        <v>CN(C)c1ccc(-c2ccc(CN(Cc3ccc(F)nc3)Cc3cccc(F)n3)nc2)cc1</v>
      </c>
      <c r="C16276" s="7">
        <f>IFERROR(__xludf.DUMMYFUNCTION("""COMPUTED_VALUE"""),7.7375417)</f>
        <v>7.7375417</v>
      </c>
      <c r="D16276" s="7">
        <f>IFERROR(__xludf.DUMMYFUNCTION("""COMPUTED_VALUE"""),0.333333333333333)</f>
        <v>0.3333333333</v>
      </c>
    </row>
    <row r="16277">
      <c r="A16277" s="10" t="s">
        <v>17716</v>
      </c>
      <c r="B16277" s="7" t="str">
        <f>IFERROR(__xludf.DUMMYFUNCTION("SPLIT(A16277,"" "")"),"CCNCCN(C)c1ccc2nccc(C)c2c1")</f>
        <v>CCNCCN(C)c1ccc2nccc(C)c2c1</v>
      </c>
      <c r="C16277" s="7">
        <f>IFERROR(__xludf.DUMMYFUNCTION("""COMPUTED_VALUE"""),7.737531)</f>
        <v>7.737531</v>
      </c>
      <c r="D16277" s="7">
        <f>IFERROR(__xludf.DUMMYFUNCTION("""COMPUTED_VALUE"""),0.226415094339622)</f>
        <v>0.2264150943</v>
      </c>
    </row>
    <row r="16278">
      <c r="A16278" s="10" t="s">
        <v>17717</v>
      </c>
      <c r="B16278" s="7" t="str">
        <f>IFERROR(__xludf.DUMMYFUNCTION("SPLIT(A16278,"" "")"),"Cc1ccccc1CN(C)Cc1cccc(-c2cccc(N=Cc3ccccn3)c2)n1")</f>
        <v>Cc1ccccc1CN(C)Cc1cccc(-c2cccc(N=Cc3ccccn3)c2)n1</v>
      </c>
      <c r="C16278" s="7">
        <f>IFERROR(__xludf.DUMMYFUNCTION("""COMPUTED_VALUE"""),7.737512)</f>
        <v>7.737512</v>
      </c>
      <c r="D16278" s="7">
        <f>IFERROR(__xludf.DUMMYFUNCTION("""COMPUTED_VALUE"""),0.448275862068965)</f>
        <v>0.4482758621</v>
      </c>
    </row>
    <row r="16279">
      <c r="A16279" s="10" t="s">
        <v>17718</v>
      </c>
      <c r="B16279" s="7" t="str">
        <f>IFERROR(__xludf.DUMMYFUNCTION("SPLIT(A16279,"" "")"),"CC1=CCC(C)C=C1N(CCN(C)c1ccc2ncccc2c1)Cc1ccccn1")</f>
        <v>CC1=CCC(C)C=C1N(CCN(C)c1ccc2ncccc2c1)Cc1ccccn1</v>
      </c>
      <c r="C16279" s="7">
        <f>IFERROR(__xludf.DUMMYFUNCTION("""COMPUTED_VALUE"""),7.737496)</f>
        <v>7.737496</v>
      </c>
      <c r="D16279" s="7">
        <f>IFERROR(__xludf.DUMMYFUNCTION("""COMPUTED_VALUE"""),0.349206349206349)</f>
        <v>0.3492063492</v>
      </c>
    </row>
    <row r="16280">
      <c r="A16280" s="10" t="s">
        <v>17719</v>
      </c>
      <c r="B16280" s="7" t="str">
        <f>IFERROR(__xludf.DUMMYFUNCTION("SPLIT(A16280,"" "")"),"Cc1cncc(CN(C)Cc2ccc3cccc(C)c3n2)c1")</f>
        <v>Cc1cncc(CN(C)Cc2ccc3cccc(C)c3n2)c1</v>
      </c>
      <c r="C16280" s="7">
        <f>IFERROR(__xludf.DUMMYFUNCTION("""COMPUTED_VALUE"""),7.7374916)</f>
        <v>7.7374916</v>
      </c>
      <c r="D16280" s="7">
        <f>IFERROR(__xludf.DUMMYFUNCTION("""COMPUTED_VALUE"""),0.354166666666666)</f>
        <v>0.3541666667</v>
      </c>
    </row>
    <row r="16281">
      <c r="A16281" s="10" t="s">
        <v>17720</v>
      </c>
      <c r="B16281" s="7" t="str">
        <f>IFERROR(__xludf.DUMMYFUNCTION("SPLIT(A16281,"" "")"),"CN(Cc1ccccn1)C1=CNC(CN(Cc2ccccn2)Cc2cccc(-c3cccc(Cl)c3N)n2)=CC1")</f>
        <v>CN(Cc1ccccn1)C1=CNC(CN(Cc2ccccn2)Cc2cccc(-c3cccc(Cl)c3N)n2)=CC1</v>
      </c>
      <c r="C16281" s="7">
        <f>IFERROR(__xludf.DUMMYFUNCTION("""COMPUTED_VALUE"""),7.73749)</f>
        <v>7.73749</v>
      </c>
      <c r="D16281" s="7">
        <f>IFERROR(__xludf.DUMMYFUNCTION("""COMPUTED_VALUE"""),0.409090909090909)</f>
        <v>0.4090909091</v>
      </c>
    </row>
    <row r="16282">
      <c r="A16282" s="10" t="s">
        <v>17721</v>
      </c>
      <c r="B16282" s="7" t="str">
        <f>IFERROR(__xludf.DUMMYFUNCTION("SPLIT(A16282,"" "")"),"COC(=O)NCNC(=O)c1ncc(C)c(OC)c1C")</f>
        <v>COC(=O)NCNC(=O)c1ncc(C)c(OC)c1C</v>
      </c>
      <c r="C16282" s="7">
        <f>IFERROR(__xludf.DUMMYFUNCTION("""COMPUTED_VALUE"""),7.7374883)</f>
        <v>7.7374883</v>
      </c>
      <c r="D16282" s="7">
        <f>IFERROR(__xludf.DUMMYFUNCTION("""COMPUTED_VALUE"""),0.346153846153846)</f>
        <v>0.3461538462</v>
      </c>
    </row>
    <row r="16283">
      <c r="A16283" s="10" t="s">
        <v>17722</v>
      </c>
      <c r="B16283" s="7" t="str">
        <f>IFERROR(__xludf.DUMMYFUNCTION("SPLIT(A16283,"" "")"),"CN(CCN(Cc1ccccn1)c1cccc2cccnc12)Cc1ccon1")</f>
        <v>CN(CCN(Cc1ccccn1)c1cccc2cccnc12)Cc1ccon1</v>
      </c>
      <c r="C16283" s="7">
        <f>IFERROR(__xludf.DUMMYFUNCTION("""COMPUTED_VALUE"""),7.7374873)</f>
        <v>7.7374873</v>
      </c>
      <c r="D16283" s="7">
        <f>IFERROR(__xludf.DUMMYFUNCTION("""COMPUTED_VALUE"""),0.5)</f>
        <v>0.5</v>
      </c>
    </row>
    <row r="16284">
      <c r="A16284" s="10" t="s">
        <v>17723</v>
      </c>
      <c r="B16284" s="7" t="str">
        <f>IFERROR(__xludf.DUMMYFUNCTION("SPLIT(A16284,"" "")"),"Cc1cccnc1CN(Cc1ccc(-c2cccc(N(C)C)c2)cn1)Cc1cccc(C(C)(C)C)n1")</f>
        <v>Cc1cccnc1CN(Cc1ccc(-c2cccc(N(C)C)c2)cn1)Cc1cccc(C(C)(C)C)n1</v>
      </c>
      <c r="C16284" s="7">
        <f>IFERROR(__xludf.DUMMYFUNCTION("""COMPUTED_VALUE"""),7.737486)</f>
        <v>7.737486</v>
      </c>
      <c r="D16284" s="7">
        <f>IFERROR(__xludf.DUMMYFUNCTION("""COMPUTED_VALUE"""),0.338028169014084)</f>
        <v>0.338028169</v>
      </c>
    </row>
    <row r="16285">
      <c r="A16285" s="10" t="s">
        <v>17724</v>
      </c>
      <c r="B16285" s="7" t="str">
        <f>IFERROR(__xludf.DUMMYFUNCTION("SPLIT(A16285,"" "")"),"CC(C)N(Cc1ccccn1)Cc1cc(-c2ccc(N=Cc3ccccn3)cc2)ccn1")</f>
        <v>CC(C)N(Cc1ccccn1)Cc1cc(-c2ccc(N=Cc3ccccn3)cc2)ccn1</v>
      </c>
      <c r="C16285" s="7">
        <f>IFERROR(__xludf.DUMMYFUNCTION("""COMPUTED_VALUE"""),7.7374573)</f>
        <v>7.7374573</v>
      </c>
      <c r="D16285" s="7">
        <f>IFERROR(__xludf.DUMMYFUNCTION("""COMPUTED_VALUE"""),0.48)</f>
        <v>0.48</v>
      </c>
    </row>
    <row r="16286">
      <c r="A16286" s="10" t="s">
        <v>17725</v>
      </c>
      <c r="B16286" s="7" t="str">
        <f>IFERROR(__xludf.DUMMYFUNCTION("SPLIT(A16286,"" "")"),"CNCCN(Cc1ccccn1)c1cccc2nccc(CN(C)Cc3ncc(C)c(C)c3C)c12")</f>
        <v>CNCCN(Cc1ccccn1)c1cccc2nccc(CN(C)Cc3ncc(C)c(C)c3C)c12</v>
      </c>
      <c r="C16286" s="7">
        <f>IFERROR(__xludf.DUMMYFUNCTION("""COMPUTED_VALUE"""),7.737457)</f>
        <v>7.737457</v>
      </c>
      <c r="D16286" s="7">
        <f>IFERROR(__xludf.DUMMYFUNCTION("""COMPUTED_VALUE"""),0.328358208955223)</f>
        <v>0.328358209</v>
      </c>
    </row>
    <row r="16287">
      <c r="A16287" s="10" t="s">
        <v>17726</v>
      </c>
      <c r="B16287" s="7" t="str">
        <f>IFERROR(__xludf.DUMMYFUNCTION("SPLIT(A16287,"" "")"),"CCN(Cc1ccccn1)c1cccc(-c2cccc(CN(Cc3ccccn3)C3CCC(N(C)c4ccc5ccc(CF)nc5c4)CC3)n2)c1-c1ccccn1")</f>
        <v>CCN(Cc1ccccn1)c1cccc(-c2cccc(CN(Cc3ccccn3)C3CCC(N(C)c4ccc5ccc(CF)nc5c4)CC3)n2)c1-c1ccccn1</v>
      </c>
      <c r="C16287" s="7">
        <f>IFERROR(__xludf.DUMMYFUNCTION("""COMPUTED_VALUE"""),7.7374473)</f>
        <v>7.7374473</v>
      </c>
      <c r="D16287" s="7">
        <f>IFERROR(__xludf.DUMMYFUNCTION("""COMPUTED_VALUE"""),0.385714285714285)</f>
        <v>0.3857142857</v>
      </c>
    </row>
    <row r="16288">
      <c r="A16288" s="10" t="s">
        <v>17727</v>
      </c>
      <c r="B16288" s="7" t="str">
        <f>IFERROR(__xludf.DUMMYFUNCTION("SPLIT(A16288,"" "")"),"Cc1cc(C)c(C)c(CN(C)c2ccc(CN(C)C)cn2)n1")</f>
        <v>Cc1cc(C)c(C)c(CN(C)c2ccc(CN(C)C)cn2)n1</v>
      </c>
      <c r="C16288" s="7">
        <f>IFERROR(__xludf.DUMMYFUNCTION("""COMPUTED_VALUE"""),7.737432)</f>
        <v>7.737432</v>
      </c>
      <c r="D16288" s="7">
        <f>IFERROR(__xludf.DUMMYFUNCTION("""COMPUTED_VALUE"""),0.26)</f>
        <v>0.26</v>
      </c>
    </row>
    <row r="16289">
      <c r="A16289" s="10" t="s">
        <v>17728</v>
      </c>
      <c r="B16289" s="7" t="str">
        <f>IFERROR(__xludf.DUMMYFUNCTION("SPLIT(A16289,"" "")"),"CC(C)C1N=COC1c1cc(CN(Cc2ccccn2)Cc2ccc(-c3cccc(N(C)C)c3)cn2)ccn1")</f>
        <v>CC(C)C1N=COC1c1cc(CN(Cc2ccccn2)Cc2ccc(-c3cccc(N(C)C)c3)cn2)ccn1</v>
      </c>
      <c r="C16289" s="7">
        <f>IFERROR(__xludf.DUMMYFUNCTION("""COMPUTED_VALUE"""),7.737425)</f>
        <v>7.737425</v>
      </c>
      <c r="D16289" s="7">
        <f>IFERROR(__xludf.DUMMYFUNCTION("""COMPUTED_VALUE"""),0.337662337662337)</f>
        <v>0.3376623377</v>
      </c>
    </row>
    <row r="16290">
      <c r="A16290" s="10" t="s">
        <v>17729</v>
      </c>
      <c r="B16290" s="7" t="str">
        <f>IFERROR(__xludf.DUMMYFUNCTION("SPLIT(A16290,"" "")"),"CC(C)N(Cc1cc(-c2cccc(N(C)C)c2)ccn1)Cc1cc(C(C)(C)C)ccn1")</f>
        <v>CC(C)N(Cc1cc(-c2cccc(N(C)C)c2)ccn1)Cc1cc(C(C)(C)C)ccn1</v>
      </c>
      <c r="C16290" s="7">
        <f>IFERROR(__xludf.DUMMYFUNCTION("""COMPUTED_VALUE"""),7.7374234)</f>
        <v>7.7374234</v>
      </c>
      <c r="D16290" s="7">
        <f>IFERROR(__xludf.DUMMYFUNCTION("""COMPUTED_VALUE"""),0.372549019607843)</f>
        <v>0.3725490196</v>
      </c>
    </row>
    <row r="16291">
      <c r="A16291" s="10" t="s">
        <v>17730</v>
      </c>
      <c r="B16291" s="7" t="str">
        <f>IFERROR(__xludf.DUMMYFUNCTION("SPLIT(A16291,"" "")"),"Cc1ccccc1CN(C)Cc1cc(-c2cccc(N(C)C)c2)ccn1")</f>
        <v>Cc1ccccc1CN(C)Cc1cc(-c2cccc(N(C)C)c2)ccn1</v>
      </c>
      <c r="C16291" s="7">
        <f>IFERROR(__xludf.DUMMYFUNCTION("""COMPUTED_VALUE"""),7.7374196)</f>
        <v>7.7374196</v>
      </c>
      <c r="D16291" s="7">
        <f>IFERROR(__xludf.DUMMYFUNCTION("""COMPUTED_VALUE"""),0.358490566037735)</f>
        <v>0.358490566</v>
      </c>
    </row>
    <row r="16292">
      <c r="A16292" s="10" t="s">
        <v>17731</v>
      </c>
      <c r="B16292" s="7" t="str">
        <f>IFERROR(__xludf.DUMMYFUNCTION("SPLIT(A16292,"" "")"),"CCN(Cc1ccccn1)c1ccc2nccc(CN(C)C(C)(C)c3ccccn3)c2c1")</f>
        <v>CCN(Cc1ccccn1)c1ccc2nccc(CN(C)C(C)(C)c3ccccn3)c2c1</v>
      </c>
      <c r="C16292" s="7">
        <f>IFERROR(__xludf.DUMMYFUNCTION("""COMPUTED_VALUE"""),7.737414)</f>
        <v>7.737414</v>
      </c>
      <c r="D16292" s="7">
        <f>IFERROR(__xludf.DUMMYFUNCTION("""COMPUTED_VALUE"""),0.35593220338983)</f>
        <v>0.3559322034</v>
      </c>
    </row>
    <row r="16293">
      <c r="A16293" s="10" t="s">
        <v>17732</v>
      </c>
      <c r="B16293" s="7" t="str">
        <f>IFERROR(__xludf.DUMMYFUNCTION("SPLIT(A16293,"" "")"),"CC1=CC(C)CC2(N(C)Cc3cc(-c4cccc(N=Cc5ccccn5)c4)ccn3)N=CC=CC12")</f>
        <v>CC1=CC(C)CC2(N(C)Cc3cc(-c4cccc(N=Cc5ccccn5)c4)ccn3)N=CC=CC12</v>
      </c>
      <c r="C16293" s="7">
        <f>IFERROR(__xludf.DUMMYFUNCTION("""COMPUTED_VALUE"""),7.737409)</f>
        <v>7.737409</v>
      </c>
      <c r="D16293" s="7">
        <f>IFERROR(__xludf.DUMMYFUNCTION("""COMPUTED_VALUE"""),0.289473684210526)</f>
        <v>0.2894736842</v>
      </c>
    </row>
    <row r="16294">
      <c r="A16294" s="10" t="s">
        <v>17733</v>
      </c>
      <c r="B16294" s="7" t="str">
        <f>IFERROR(__xludf.DUMMYFUNCTION("SPLIT(A16294,"" "")"),"CNCCN(Cc1ccccn1)c1cccc2ncccc12")</f>
        <v>CNCCN(Cc1ccccn1)c1cccc2ncccc12</v>
      </c>
      <c r="C16294" s="7">
        <f>IFERROR(__xludf.DUMMYFUNCTION("""COMPUTED_VALUE"""),7.7374063)</f>
        <v>7.7374063</v>
      </c>
      <c r="D16294" s="7">
        <f>IFERROR(__xludf.DUMMYFUNCTION("""COMPUTED_VALUE"""),0.416666666666666)</f>
        <v>0.4166666667</v>
      </c>
    </row>
    <row r="16295">
      <c r="A16295" s="10" t="s">
        <v>17734</v>
      </c>
      <c r="B16295" s="7" t="str">
        <f>IFERROR(__xludf.DUMMYFUNCTION("SPLIT(A16295,"" "")"),"CN(CC1=CC(N(C)c2ccc3ncccc3c2)C=CN1)Cc1ccccc1")</f>
        <v>CN(CC1=CC(N(C)c2ccc3ncccc3c2)C=CN1)Cc1ccccc1</v>
      </c>
      <c r="C16295" s="7">
        <f>IFERROR(__xludf.DUMMYFUNCTION("""COMPUTED_VALUE"""),7.7374015)</f>
        <v>7.7374015</v>
      </c>
      <c r="D16295" s="7">
        <f>IFERROR(__xludf.DUMMYFUNCTION("""COMPUTED_VALUE"""),0.3125)</f>
        <v>0.3125</v>
      </c>
    </row>
    <row r="16296">
      <c r="A16296" s="10" t="s">
        <v>17735</v>
      </c>
      <c r="B16296" s="7" t="str">
        <f>IFERROR(__xludf.DUMMYFUNCTION("SPLIT(A16296,"" "")"),"Cc1cnc(CN(Cc2ccccn2)c2cccc3ncccc23)c(CN(Cc2ccccn2)Cc2ccccn2)c1")</f>
        <v>Cc1cnc(CN(Cc2ccccn2)c2cccc3ncccc23)c(CN(Cc2ccccn2)Cc2ccccn2)c1</v>
      </c>
      <c r="C16296" s="7">
        <f>IFERROR(__xludf.DUMMYFUNCTION("""COMPUTED_VALUE"""),7.7374015)</f>
        <v>7.7374015</v>
      </c>
      <c r="D16296" s="7">
        <f>IFERROR(__xludf.DUMMYFUNCTION("""COMPUTED_VALUE"""),0.4)</f>
        <v>0.4</v>
      </c>
    </row>
    <row r="16297">
      <c r="A16297" s="10" t="s">
        <v>17736</v>
      </c>
      <c r="B16297" s="7" t="str">
        <f>IFERROR(__xludf.DUMMYFUNCTION("SPLIT(A16297,"" "")"),"CC(c1ccnc(CNC2=CCC=CN2)c1)(c1ccccn1)c1ccccn1")</f>
        <v>CC(c1ccnc(CNC2=CCC=CN2)c1)(c1ccccn1)c1ccccn1</v>
      </c>
      <c r="C16297" s="7">
        <f>IFERROR(__xludf.DUMMYFUNCTION("""COMPUTED_VALUE"""),7.7373986)</f>
        <v>7.7373986</v>
      </c>
      <c r="D16297" s="7">
        <f>IFERROR(__xludf.DUMMYFUNCTION("""COMPUTED_VALUE"""),0.383333333333333)</f>
        <v>0.3833333333</v>
      </c>
    </row>
    <row r="16298">
      <c r="A16298" s="10" t="s">
        <v>17737</v>
      </c>
      <c r="B16298" s="7" t="str">
        <f>IFERROR(__xludf.DUMMYFUNCTION("SPLIT(A16298,"" "")"),"CC(C)NCc1ccc(-c2cc(NCc3ccccn3)ccc2Cl)cn1")</f>
        <v>CC(C)NCc1ccc(-c2cc(NCc3ccccn3)ccc2Cl)cn1</v>
      </c>
      <c r="C16298" s="7">
        <f>IFERROR(__xludf.DUMMYFUNCTION("""COMPUTED_VALUE"""),7.737386)</f>
        <v>7.737386</v>
      </c>
      <c r="D16298" s="7">
        <f>IFERROR(__xludf.DUMMYFUNCTION("""COMPUTED_VALUE"""),0.349206349206349)</f>
        <v>0.3492063492</v>
      </c>
    </row>
    <row r="16299">
      <c r="A16299" s="10" t="s">
        <v>17738</v>
      </c>
      <c r="B16299" s="7" t="str">
        <f>IFERROR(__xludf.DUMMYFUNCTION("SPLIT(A16299,"" "")"),"Cc1ccc2ccc(N(C)C3CCC(N(C)Cc4cccc(-c5cccc(N(C)C)c5)n4)CC3)cc2n1")</f>
        <v>Cc1ccc2ccc(N(C)C3CCC(N(C)Cc4cccc(-c5cccc(N(C)C)c5)n4)CC3)cc2n1</v>
      </c>
      <c r="C16299" s="7">
        <f>IFERROR(__xludf.DUMMYFUNCTION("""COMPUTED_VALUE"""),7.737386)</f>
        <v>7.737386</v>
      </c>
      <c r="D16299" s="7">
        <f>IFERROR(__xludf.DUMMYFUNCTION("""COMPUTED_VALUE"""),0.377049180327868)</f>
        <v>0.3770491803</v>
      </c>
    </row>
    <row r="16300">
      <c r="A16300" s="10" t="s">
        <v>17739</v>
      </c>
      <c r="B16300" s="7" t="str">
        <f>IFERROR(__xludf.DUMMYFUNCTION("SPLIT(A16300,"" "")"),"CC(C)N(C)CC1=C(N(C)c2ccc3ccc(CN(C)C)nc3c2)CC=CN1")</f>
        <v>CC(C)N(C)CC1=C(N(C)c2ccc3ccc(CN(C)C)nc3c2)CC=CN1</v>
      </c>
      <c r="C16300" s="7">
        <f>IFERROR(__xludf.DUMMYFUNCTION("""COMPUTED_VALUE"""),7.737377)</f>
        <v>7.737377</v>
      </c>
      <c r="D16300" s="7">
        <f>IFERROR(__xludf.DUMMYFUNCTION("""COMPUTED_VALUE"""),0.272727272727272)</f>
        <v>0.2727272727</v>
      </c>
    </row>
    <row r="16301">
      <c r="A16301" s="10" t="s">
        <v>17740</v>
      </c>
      <c r="B16301" s="7" t="str">
        <f>IFERROR(__xludf.DUMMYFUNCTION("SPLIT(A16301,"" "")"),"CN(C)c1cccc(-c2ccnc(CN(C)C(C)(C)c3ccccn3)c2)c1")</f>
        <v>CN(C)c1cccc(-c2ccnc(CN(C)C(C)(C)c3ccccn3)c2)c1</v>
      </c>
      <c r="C16301" s="7">
        <f>IFERROR(__xludf.DUMMYFUNCTION("""COMPUTED_VALUE"""),7.7373767)</f>
        <v>7.7373767</v>
      </c>
      <c r="D16301" s="7">
        <f>IFERROR(__xludf.DUMMYFUNCTION("""COMPUTED_VALUE"""),0.358490566037735)</f>
        <v>0.358490566</v>
      </c>
    </row>
    <row r="16302">
      <c r="A16302" s="10" t="s">
        <v>17741</v>
      </c>
      <c r="B16302" s="7" t="str">
        <f>IFERROR(__xludf.DUMMYFUNCTION("SPLIT(A16302,"" "")"),"CN(Cc1ccccn1)C1=CNC(CN(CC(C)(C)C)c2ccc3cccnc3c2)=CC1")</f>
        <v>CN(Cc1ccccn1)C1=CNC(CN(CC(C)(C)C)c2ccc3cccnc3c2)=CC1</v>
      </c>
      <c r="C16302" s="7">
        <f>IFERROR(__xludf.DUMMYFUNCTION("""COMPUTED_VALUE"""),7.7373757)</f>
        <v>7.7373757</v>
      </c>
      <c r="D16302" s="7">
        <f>IFERROR(__xludf.DUMMYFUNCTION("""COMPUTED_VALUE"""),0.370967741935483)</f>
        <v>0.3709677419</v>
      </c>
    </row>
    <row r="16303">
      <c r="A16303" s="10" t="s">
        <v>17742</v>
      </c>
      <c r="B16303" s="7" t="str">
        <f>IFERROR(__xludf.DUMMYFUNCTION("SPLIT(A16303,"" "")"),"Cc1cccc(NCc2ccccn2)c1-c1cccc(CN(C)Cc2cc(N)ccn2)n1")</f>
        <v>Cc1cccc(NCc2ccccn2)c1-c1cccc(CN(C)Cc2cc(N)ccn2)n1</v>
      </c>
      <c r="C16303" s="7">
        <f>IFERROR(__xludf.DUMMYFUNCTION("""COMPUTED_VALUE"""),7.737368)</f>
        <v>7.737368</v>
      </c>
      <c r="D16303" s="7">
        <f>IFERROR(__xludf.DUMMYFUNCTION("""COMPUTED_VALUE"""),0.49090909090909)</f>
        <v>0.4909090909</v>
      </c>
    </row>
    <row r="16304">
      <c r="A16304" s="10" t="s">
        <v>17743</v>
      </c>
      <c r="B16304" s="7" t="str">
        <f>IFERROR(__xludf.DUMMYFUNCTION("SPLIT(A16304,"" "")"),"Cc1cccnc1CN(CN(C)c1ccc2ncccc2c1)C1CCC(N(C)c2ccc3nccc(CF)c3c2)CC1")</f>
        <v>Cc1cccnc1CN(CN(C)c1ccc2ncccc2c1)C1CCC(N(C)c2ccc3nccc(CF)c3c2)CC1</v>
      </c>
      <c r="C16304" s="7">
        <f>IFERROR(__xludf.DUMMYFUNCTION("""COMPUTED_VALUE"""),7.7373657)</f>
        <v>7.7373657</v>
      </c>
      <c r="D16304" s="7">
        <f>IFERROR(__xludf.DUMMYFUNCTION("""COMPUTED_VALUE"""),0.24)</f>
        <v>0.24</v>
      </c>
    </row>
    <row r="16305">
      <c r="A16305" s="10" t="s">
        <v>17744</v>
      </c>
      <c r="B16305" s="7" t="str">
        <f>IFERROR(__xludf.DUMMYFUNCTION("SPLIT(A16305,"" "")"),"CC(C)N(Cc1ccccn1)Cc1cc(-c2ccccc2N=Cc2ccccn2)ccn1")</f>
        <v>CC(C)N(Cc1ccccn1)Cc1cc(-c2ccccc2N=Cc2ccccn2)ccn1</v>
      </c>
      <c r="C16305" s="7">
        <f>IFERROR(__xludf.DUMMYFUNCTION("""COMPUTED_VALUE"""),7.7373643)</f>
        <v>7.7373643</v>
      </c>
      <c r="D16305" s="7">
        <f>IFERROR(__xludf.DUMMYFUNCTION("""COMPUTED_VALUE"""),0.470588235294117)</f>
        <v>0.4705882353</v>
      </c>
    </row>
    <row r="16306">
      <c r="A16306" s="10" t="s">
        <v>17745</v>
      </c>
      <c r="B16306" s="7" t="str">
        <f>IFERROR(__xludf.DUMMYFUNCTION("SPLIT(A16306,"" "")"),"CN(C)c1ccccc1C(C)(C)c1ccon1")</f>
        <v>CN(C)c1ccccc1C(C)(C)c1ccon1</v>
      </c>
      <c r="C16306" s="7">
        <f>IFERROR(__xludf.DUMMYFUNCTION("""COMPUTED_VALUE"""),7.7373533)</f>
        <v>7.7373533</v>
      </c>
      <c r="D16306" s="7">
        <f>IFERROR(__xludf.DUMMYFUNCTION("""COMPUTED_VALUE"""),0.309523809523809)</f>
        <v>0.3095238095</v>
      </c>
    </row>
    <row r="16307">
      <c r="A16307" s="10" t="s">
        <v>17746</v>
      </c>
      <c r="B16307" s="7" t="str">
        <f>IFERROR(__xludf.DUMMYFUNCTION("SPLIT(A16307,"" "")"),"CN(C)c1cccc(-c2cccnc2CN(Cc2cncc(F)c2)Cc2cccc(F)n2)c1")</f>
        <v>CN(C)c1cccc(-c2cccnc2CN(Cc2cncc(F)c2)Cc2cccc(F)n2)c1</v>
      </c>
      <c r="C16307" s="7">
        <f>IFERROR(__xludf.DUMMYFUNCTION("""COMPUTED_VALUE"""),7.7373447)</f>
        <v>7.7373447</v>
      </c>
      <c r="D16307" s="7">
        <f>IFERROR(__xludf.DUMMYFUNCTION("""COMPUTED_VALUE"""),0.315068493150684)</f>
        <v>0.3150684932</v>
      </c>
    </row>
    <row r="16308">
      <c r="A16308" s="10" t="s">
        <v>17747</v>
      </c>
      <c r="B16308" s="7" t="str">
        <f>IFERROR(__xludf.DUMMYFUNCTION("SPLIT(A16308,"" "")"),"CCN(Cc1ccccn1)c1ccc2nccc(CN(Cc3ccccn3)Cc3ncccc3N)c2c1")</f>
        <v>CCN(Cc1ccccn1)c1ccc2nccc(CN(Cc3ccccn3)Cc3ncccc3N)c2c1</v>
      </c>
      <c r="C16308" s="7">
        <f>IFERROR(__xludf.DUMMYFUNCTION("""COMPUTED_VALUE"""),7.737342)</f>
        <v>7.737342</v>
      </c>
      <c r="D16308" s="7">
        <f>IFERROR(__xludf.DUMMYFUNCTION("""COMPUTED_VALUE"""),0.377358490566037)</f>
        <v>0.3773584906</v>
      </c>
    </row>
    <row r="16309">
      <c r="A16309" s="10" t="s">
        <v>17748</v>
      </c>
      <c r="B16309" s="7" t="str">
        <f>IFERROR(__xludf.DUMMYFUNCTION("SPLIT(A16309,"" "")"),"CN(CC1=CC(N(C)c2ccc3cccnc3c2)C=CN1)Cc1ccccc1")</f>
        <v>CN(CC1=CC(N(C)c2ccc3cccnc3c2)C=CN1)Cc1ccccc1</v>
      </c>
      <c r="C16309" s="7">
        <f>IFERROR(__xludf.DUMMYFUNCTION("""COMPUTED_VALUE"""),7.737334)</f>
        <v>7.737334</v>
      </c>
      <c r="D16309" s="7">
        <f>IFERROR(__xludf.DUMMYFUNCTION("""COMPUTED_VALUE"""),0.307692307692307)</f>
        <v>0.3076923077</v>
      </c>
    </row>
    <row r="16310">
      <c r="A16310" s="10" t="s">
        <v>17749</v>
      </c>
      <c r="B16310" s="7" t="str">
        <f>IFERROR(__xludf.DUMMYFUNCTION("SPLIT(A16310,"" "")"),"Cc1cc(CN(C)CCN(C)c2cccc3ncccc23)ccn1")</f>
        <v>Cc1cc(CN(C)CCN(C)c2cccc3ncccc23)ccn1</v>
      </c>
      <c r="C16310" s="7">
        <f>IFERROR(__xludf.DUMMYFUNCTION("""COMPUTED_VALUE"""),7.7373295)</f>
        <v>7.7373295</v>
      </c>
      <c r="D16310" s="7">
        <f>IFERROR(__xludf.DUMMYFUNCTION("""COMPUTED_VALUE"""),0.428571428571428)</f>
        <v>0.4285714286</v>
      </c>
    </row>
    <row r="16311">
      <c r="A16311" s="10" t="s">
        <v>17750</v>
      </c>
      <c r="B16311" s="7" t="str">
        <f>IFERROR(__xludf.DUMMYFUNCTION("SPLIT(A16311,"" "")"),"Cc1cc(NCc2ccccn2)ccc1-c1ccc(CN(C)Cc2cc(N)ccn2)cn1")</f>
        <v>Cc1cc(NCc2ccccn2)ccc1-c1ccc(CN(C)Cc2cc(N)ccn2)cn1</v>
      </c>
      <c r="C16311" s="7">
        <f>IFERROR(__xludf.DUMMYFUNCTION("""COMPUTED_VALUE"""),7.7373295)</f>
        <v>7.7373295</v>
      </c>
      <c r="D16311" s="7">
        <f>IFERROR(__xludf.DUMMYFUNCTION("""COMPUTED_VALUE"""),0.338461538461538)</f>
        <v>0.3384615385</v>
      </c>
    </row>
    <row r="16312">
      <c r="A16312" s="10" t="s">
        <v>17751</v>
      </c>
      <c r="B16312" s="7" t="str">
        <f>IFERROR(__xludf.DUMMYFUNCTION("SPLIT(A16312,"" "")"),"CC(C)N(Cc1ccccn1)Cc1ncccc1-c1cccc(N=Cc2ccccn2)c1")</f>
        <v>CC(C)N(Cc1ccccn1)Cc1ncccc1-c1cccc(N=Cc2ccccn2)c1</v>
      </c>
      <c r="C16312" s="7">
        <f>IFERROR(__xludf.DUMMYFUNCTION("""COMPUTED_VALUE"""),7.737327)</f>
        <v>7.737327</v>
      </c>
      <c r="D16312" s="7">
        <f>IFERROR(__xludf.DUMMYFUNCTION("""COMPUTED_VALUE"""),0.452830188679245)</f>
        <v>0.4528301887</v>
      </c>
    </row>
    <row r="16313">
      <c r="A16313" s="10" t="s">
        <v>17752</v>
      </c>
      <c r="B16313" s="7" t="str">
        <f>IFERROR(__xludf.DUMMYFUNCTION("SPLIT(A16313,"" "")"),"CNCc1ccccc1-c1cc(C(C)(C)c2ccccn2)ccn1")</f>
        <v>CNCc1ccccc1-c1cc(C(C)(C)c2ccccn2)ccn1</v>
      </c>
      <c r="C16313" s="7">
        <f>IFERROR(__xludf.DUMMYFUNCTION("""COMPUTED_VALUE"""),7.7373223)</f>
        <v>7.7373223</v>
      </c>
      <c r="D16313" s="7">
        <f>IFERROR(__xludf.DUMMYFUNCTION("""COMPUTED_VALUE"""),0.322033898305084)</f>
        <v>0.3220338983</v>
      </c>
    </row>
    <row r="16314">
      <c r="A16314" s="10" t="s">
        <v>17753</v>
      </c>
      <c r="B16314" s="7" t="str">
        <f>IFERROR(__xludf.DUMMYFUNCTION("SPLIT(A16314,"" "")"),"Cc1cncc(CN(Cc2ccccn2)Cc2cccc(-c3cccc(N=Cc4ccccn4)c3)n2)c1")</f>
        <v>Cc1cncc(CN(Cc2ccccn2)Cc2cccc(-c3cccc(N=Cc4ccccn4)c3)n2)c1</v>
      </c>
      <c r="C16314" s="7">
        <f>IFERROR(__xludf.DUMMYFUNCTION("""COMPUTED_VALUE"""),7.7373104)</f>
        <v>7.7373104</v>
      </c>
      <c r="D16314" s="7">
        <f>IFERROR(__xludf.DUMMYFUNCTION("""COMPUTED_VALUE"""),0.484848484848484)</f>
        <v>0.4848484848</v>
      </c>
    </row>
    <row r="16315">
      <c r="A16315" s="10" t="s">
        <v>17754</v>
      </c>
      <c r="B16315" s="7" t="str">
        <f>IFERROR(__xludf.DUMMYFUNCTION("SPLIT(A16315,"" "")"),"CN(Cc1cccc(N(C)C)n1)Cc1ncccc1C1=CCC=CN1")</f>
        <v>CN(Cc1cccc(N(C)C)n1)Cc1ncccc1C1=CCC=CN1</v>
      </c>
      <c r="C16315" s="7">
        <f>IFERROR(__xludf.DUMMYFUNCTION("""COMPUTED_VALUE"""),7.737309)</f>
        <v>7.737309</v>
      </c>
      <c r="D16315" s="7">
        <f>IFERROR(__xludf.DUMMYFUNCTION("""COMPUTED_VALUE"""),0.377049180327868)</f>
        <v>0.3770491803</v>
      </c>
    </row>
    <row r="16316">
      <c r="A16316" s="10" t="s">
        <v>17755</v>
      </c>
      <c r="B16316" s="7" t="str">
        <f>IFERROR(__xludf.DUMMYFUNCTION("SPLIT(A16316,"" "")"),"CN(Cc1ccccn1)Cc1cc(-c2cccc(N(C)Cc3ccccn3)c2)ccn1")</f>
        <v>CN(Cc1ccccn1)Cc1cc(-c2cccc(N(C)Cc3ccccn3)c2)ccn1</v>
      </c>
      <c r="C16316" s="7">
        <f>IFERROR(__xludf.DUMMYFUNCTION("""COMPUTED_VALUE"""),7.737306)</f>
        <v>7.737306</v>
      </c>
      <c r="D16316" s="7">
        <f>IFERROR(__xludf.DUMMYFUNCTION("""COMPUTED_VALUE"""),0.5)</f>
        <v>0.5</v>
      </c>
    </row>
    <row r="16317">
      <c r="A16317" s="10" t="s">
        <v>17756</v>
      </c>
      <c r="B16317" s="7" t="str">
        <f>IFERROR(__xludf.DUMMYFUNCTION("SPLIT(A16317,"" "")"),"Cc1ccc2nccc(CN(C)C3CCCC(N(C)c4ccc5nccc(CF)c5c4)C3)c2c1")</f>
        <v>Cc1ccc2nccc(CN(C)C3CCCC(N(C)c4ccc5nccc(CF)c5c4)C3)c2c1</v>
      </c>
      <c r="C16317" s="7">
        <f>IFERROR(__xludf.DUMMYFUNCTION("""COMPUTED_VALUE"""),7.7373047)</f>
        <v>7.7373047</v>
      </c>
      <c r="D16317" s="7">
        <f>IFERROR(__xludf.DUMMYFUNCTION("""COMPUTED_VALUE"""),0.28125)</f>
        <v>0.28125</v>
      </c>
    </row>
    <row r="16318">
      <c r="A16318" s="10" t="s">
        <v>17757</v>
      </c>
      <c r="B16318" s="7" t="str">
        <f>IFERROR(__xludf.DUMMYFUNCTION("SPLIT(A16318,"" "")"),"CC(C)C1=CC(N(C)Cc2cccc(-c3cccc(N=Cc4ccccn4)c3)n2)C=CN1")</f>
        <v>CC(C)C1=CC(N(C)Cc2cccc(-c3cccc(N=Cc4ccccn4)c3)n2)C=CN1</v>
      </c>
      <c r="C16318" s="7">
        <f>IFERROR(__xludf.DUMMYFUNCTION("""COMPUTED_VALUE"""),7.7373037)</f>
        <v>7.7373037</v>
      </c>
      <c r="D16318" s="7">
        <f>IFERROR(__xludf.DUMMYFUNCTION("""COMPUTED_VALUE"""),0.36)</f>
        <v>0.36</v>
      </c>
    </row>
    <row r="16319">
      <c r="A16319" s="10" t="s">
        <v>17758</v>
      </c>
      <c r="B16319" s="7" t="str">
        <f>IFERROR(__xludf.DUMMYFUNCTION("SPLIT(A16319,"" "")"),"Cc1ccc(N(C)C2CCCC(N(C)c3ccc4ccc(CN(C)C)nc4c3)C2)cc1N(C)Cc1ccc(C)c(C)n1")</f>
        <v>Cc1ccc(N(C)C2CCCC(N(C)c3ccc4ccc(CN(C)C)nc4c3)C2)cc1N(C)Cc1ccc(C)c(C)n1</v>
      </c>
      <c r="C16319" s="7">
        <f>IFERROR(__xludf.DUMMYFUNCTION("""COMPUTED_VALUE"""),7.7372985)</f>
        <v>7.7372985</v>
      </c>
      <c r="D16319" s="7">
        <f>IFERROR(__xludf.DUMMYFUNCTION("""COMPUTED_VALUE"""),0.265625)</f>
        <v>0.265625</v>
      </c>
    </row>
    <row r="16320">
      <c r="A16320" s="10" t="s">
        <v>17759</v>
      </c>
      <c r="B16320" s="7" t="str">
        <f>IFERROR(__xludf.DUMMYFUNCTION("SPLIT(A16320,"" "")"),"CCCN(C)Cc1ccc2cccc(N(C)CC3=C(N(C)Cc4ccccn4)CC=CN3)c2n1")</f>
        <v>CCCN(C)Cc1ccc2cccc(N(C)CC3=C(N(C)Cc4ccccn4)CC=CN3)c2n1</v>
      </c>
      <c r="C16320" s="7">
        <f>IFERROR(__xludf.DUMMYFUNCTION("""COMPUTED_VALUE"""),7.7372947)</f>
        <v>7.7372947</v>
      </c>
      <c r="D16320" s="7">
        <f>IFERROR(__xludf.DUMMYFUNCTION("""COMPUTED_VALUE"""),0.363636363636363)</f>
        <v>0.3636363636</v>
      </c>
    </row>
    <row r="16321">
      <c r="A16321" s="10" t="s">
        <v>17760</v>
      </c>
      <c r="B16321" s="7" t="str">
        <f>IFERROR(__xludf.DUMMYFUNCTION("SPLIT(A16321,"" "")"),"Cc1cc(C)c(CN(C)c2ccncc2CN(C)C)nc1C")</f>
        <v>Cc1cc(C)c(CN(C)c2ccncc2CN(C)C)nc1C</v>
      </c>
      <c r="C16321" s="7">
        <f>IFERROR(__xludf.DUMMYFUNCTION("""COMPUTED_VALUE"""),7.7372932)</f>
        <v>7.7372932</v>
      </c>
      <c r="D16321" s="7">
        <f>IFERROR(__xludf.DUMMYFUNCTION("""COMPUTED_VALUE"""),0.288461538461538)</f>
        <v>0.2884615385</v>
      </c>
    </row>
    <row r="16322">
      <c r="A16322" s="10" t="s">
        <v>17761</v>
      </c>
      <c r="B16322" s="7" t="str">
        <f>IFERROR(__xludf.DUMMYFUNCTION("SPLIT(A16322,"" "")"),"C(=Nc1ccccc1-c1cccnc1CN(Cc1ccccn1)Cc1ccccn1)c1ccccn1")</f>
        <v>C(=Nc1ccccc1-c1cccnc1CN(Cc1ccccn1)Cc1ccccn1)c1ccccn1</v>
      </c>
      <c r="C16322" s="7">
        <f>IFERROR(__xludf.DUMMYFUNCTION("""COMPUTED_VALUE"""),7.7372904)</f>
        <v>7.7372904</v>
      </c>
      <c r="D16322" s="7">
        <f>IFERROR(__xludf.DUMMYFUNCTION("""COMPUTED_VALUE"""),0.476190476190476)</f>
        <v>0.4761904762</v>
      </c>
    </row>
    <row r="16323">
      <c r="A16323" s="10" t="s">
        <v>17762</v>
      </c>
      <c r="B16323" s="7" t="str">
        <f>IFERROR(__xludf.DUMMYFUNCTION("SPLIT(A16323,"" "")"),"Cc1ccc2ccc(CN(C)Cc3ncccc3N)nc2c1")</f>
        <v>Cc1ccc2ccc(CN(C)Cc3ncccc3N)nc2c1</v>
      </c>
      <c r="C16323" s="7">
        <f>IFERROR(__xludf.DUMMYFUNCTION("""COMPUTED_VALUE"""),7.737287)</f>
        <v>7.737287</v>
      </c>
      <c r="D16323" s="7">
        <f>IFERROR(__xludf.DUMMYFUNCTION("""COMPUTED_VALUE"""),0.365384615384615)</f>
        <v>0.3653846154</v>
      </c>
    </row>
    <row r="16324">
      <c r="A16324" s="10" t="s">
        <v>17763</v>
      </c>
      <c r="B16324" s="7" t="str">
        <f>IFERROR(__xludf.DUMMYFUNCTION("SPLIT(A16324,"" "")"),"CN(CN(Cc1ccccn1)C(C)(C)c1ccccn1)c1ccc2cccnc2c1")</f>
        <v>CN(CN(Cc1ccccn1)C(C)(C)c1ccccn1)c1ccc2cccnc2c1</v>
      </c>
      <c r="C16324" s="7">
        <f>IFERROR(__xludf.DUMMYFUNCTION("""COMPUTED_VALUE"""),7.737278)</f>
        <v>7.737278</v>
      </c>
      <c r="D16324" s="7">
        <f>IFERROR(__xludf.DUMMYFUNCTION("""COMPUTED_VALUE"""),0.425925925925925)</f>
        <v>0.4259259259</v>
      </c>
    </row>
    <row r="16325">
      <c r="A16325" s="10" t="s">
        <v>17764</v>
      </c>
      <c r="B16325" s="7" t="str">
        <f>IFERROR(__xludf.DUMMYFUNCTION("SPLIT(A16325,"" "")"),"CC(C)N(C)Cc1ncccc1-c1ccccc1N=Cc1ccccn1")</f>
        <v>CC(C)N(C)Cc1ncccc1-c1ccccc1N=Cc1ccccn1</v>
      </c>
      <c r="C16325" s="7">
        <f>IFERROR(__xludf.DUMMYFUNCTION("""COMPUTED_VALUE"""),7.7372775)</f>
        <v>7.7372775</v>
      </c>
      <c r="D16325" s="7">
        <f>IFERROR(__xludf.DUMMYFUNCTION("""COMPUTED_VALUE"""),0.450980392156862)</f>
        <v>0.4509803922</v>
      </c>
    </row>
    <row r="16326">
      <c r="A16326" s="10" t="s">
        <v>17765</v>
      </c>
      <c r="B16326" s="7" t="str">
        <f>IFERROR(__xludf.DUMMYFUNCTION("SPLIT(A16326,"" "")"),"Cc1ccnc(CN(Cc2ccccn2)Cc2ccnc3cccc(C)c23)c1")</f>
        <v>Cc1ccnc(CN(Cc2ccccn2)Cc2ccnc3cccc(C)c23)c1</v>
      </c>
      <c r="C16326" s="7">
        <f>IFERROR(__xludf.DUMMYFUNCTION("""COMPUTED_VALUE"""),7.7372656)</f>
        <v>7.7372656</v>
      </c>
      <c r="D16326" s="7">
        <f>IFERROR(__xludf.DUMMYFUNCTION("""COMPUTED_VALUE"""),0.465116279069767)</f>
        <v>0.4651162791</v>
      </c>
    </row>
    <row r="16327">
      <c r="A16327" s="10" t="s">
        <v>17766</v>
      </c>
      <c r="B16327" s="7" t="str">
        <f>IFERROR(__xludf.DUMMYFUNCTION("SPLIT(A16327,"" "")"),"CC(C)CN(C)Cc1cc(-c2ccc(N=Cc3ccccn3)cc2)ccn1")</f>
        <v>CC(C)CN(C)Cc1cc(-c2ccc(N=Cc3ccccn3)cc2)ccn1</v>
      </c>
      <c r="C16327" s="7">
        <f>IFERROR(__xludf.DUMMYFUNCTION("""COMPUTED_VALUE"""),7.737263)</f>
        <v>7.737263</v>
      </c>
      <c r="D16327" s="7">
        <f>IFERROR(__xludf.DUMMYFUNCTION("""COMPUTED_VALUE"""),0.357142857142857)</f>
        <v>0.3571428571</v>
      </c>
    </row>
    <row r="16328">
      <c r="A16328" s="10" t="s">
        <v>17767</v>
      </c>
      <c r="B16328" s="7" t="str">
        <f>IFERROR(__xludf.DUMMYFUNCTION("SPLIT(A16328,"" "")"),"Cc1cc(N(C)C)nc(CN(Cc2ccccn2)c2ccccc2F)c1C")</f>
        <v>Cc1cc(N(C)C)nc(CN(Cc2ccccn2)c2ccccc2F)c1C</v>
      </c>
      <c r="C16328" s="7">
        <f>IFERROR(__xludf.DUMMYFUNCTION("""COMPUTED_VALUE"""),7.7372613)</f>
        <v>7.7372613</v>
      </c>
      <c r="D16328" s="7">
        <f>IFERROR(__xludf.DUMMYFUNCTION("""COMPUTED_VALUE"""),0.388888888888888)</f>
        <v>0.3888888889</v>
      </c>
    </row>
    <row r="16329">
      <c r="A16329" s="10" t="s">
        <v>17768</v>
      </c>
      <c r="B16329" s="7" t="str">
        <f>IFERROR(__xludf.DUMMYFUNCTION("SPLIT(A16329,"" "")"),"Cc1ccnc2c(N(C)CCN(C)CC3=NC(C)CO3)cccc12")</f>
        <v>Cc1ccnc2c(N(C)CCN(C)CC3=NC(C)CO3)cccc12</v>
      </c>
      <c r="C16329" s="7">
        <f>IFERROR(__xludf.DUMMYFUNCTION("""COMPUTED_VALUE"""),7.7372603)</f>
        <v>7.7372603</v>
      </c>
      <c r="D16329" s="7">
        <f>IFERROR(__xludf.DUMMYFUNCTION("""COMPUTED_VALUE"""),0.381818181818181)</f>
        <v>0.3818181818</v>
      </c>
    </row>
    <row r="16330">
      <c r="A16330" s="10" t="s">
        <v>17769</v>
      </c>
      <c r="B16330" s="7" t="str">
        <f>IFERROR(__xludf.DUMMYFUNCTION("SPLIT(A16330,"" "")"),"Cc1cnc(CN(C)CCN(C)c2ccc3nc(CF)ccc3c2)c(C)c1C")</f>
        <v>Cc1cnc(CN(C)CCN(C)c2ccc3nc(CF)ccc3c2)c(C)c1C</v>
      </c>
      <c r="C16330" s="7">
        <f>IFERROR(__xludf.DUMMYFUNCTION("""COMPUTED_VALUE"""),7.737255)</f>
        <v>7.737255</v>
      </c>
      <c r="D16330" s="7">
        <f>IFERROR(__xludf.DUMMYFUNCTION("""COMPUTED_VALUE"""),0.392156862745098)</f>
        <v>0.3921568627</v>
      </c>
    </row>
    <row r="16331">
      <c r="A16331" s="10" t="s">
        <v>17770</v>
      </c>
      <c r="B16331" s="7" t="str">
        <f>IFERROR(__xludf.DUMMYFUNCTION("SPLIT(A16331,"" "")"),"Cc1cc(CN(C)CCN(C)c2ccc3c(CF)ccnc3c2)ccn1")</f>
        <v>Cc1cc(CN(C)CCN(C)c2ccc3c(CF)ccnc3c2)ccn1</v>
      </c>
      <c r="C16331" s="7">
        <f>IFERROR(__xludf.DUMMYFUNCTION("""COMPUTED_VALUE"""),7.737248)</f>
        <v>7.737248</v>
      </c>
      <c r="D16331" s="7">
        <f>IFERROR(__xludf.DUMMYFUNCTION("""COMPUTED_VALUE"""),0.296296296296296)</f>
        <v>0.2962962963</v>
      </c>
    </row>
    <row r="16332">
      <c r="A16332" s="10" t="s">
        <v>17771</v>
      </c>
      <c r="B16332" s="7" t="str">
        <f>IFERROR(__xludf.DUMMYFUNCTION("SPLIT(A16332,"" "")"),"Cc1ccc(-c2ccc(CN(C)Cc3cc(C)c(C)c(C)n3)cc2)nc1")</f>
        <v>Cc1ccc(-c2ccc(CN(C)Cc3cc(C)c(C)c(C)n3)cc2)nc1</v>
      </c>
      <c r="C16332" s="7">
        <f>IFERROR(__xludf.DUMMYFUNCTION("""COMPUTED_VALUE"""),7.7372465)</f>
        <v>7.7372465</v>
      </c>
      <c r="D16332" s="7">
        <f>IFERROR(__xludf.DUMMYFUNCTION("""COMPUTED_VALUE"""),0.395833333333333)</f>
        <v>0.3958333333</v>
      </c>
    </row>
    <row r="16333">
      <c r="A16333" s="10" t="s">
        <v>17772</v>
      </c>
      <c r="B16333" s="7" t="str">
        <f>IFERROR(__xludf.DUMMYFUNCTION("SPLIT(A16333,"" "")"),"CCN(CC1=CCC(N(C)C(C)C)=CN1)c1cccc2ncccc12")</f>
        <v>CCN(CC1=CCC(N(C)C(C)C)=CN1)c1cccc2ncccc12</v>
      </c>
      <c r="C16333" s="7">
        <f>IFERROR(__xludf.DUMMYFUNCTION("""COMPUTED_VALUE"""),7.737246)</f>
        <v>7.737246</v>
      </c>
      <c r="D16333" s="7">
        <f>IFERROR(__xludf.DUMMYFUNCTION("""COMPUTED_VALUE"""),0.3)</f>
        <v>0.3</v>
      </c>
    </row>
    <row r="16334">
      <c r="A16334" s="10" t="s">
        <v>17773</v>
      </c>
      <c r="B16334" s="7" t="str">
        <f>IFERROR(__xludf.DUMMYFUNCTION("SPLIT(A16334,"" "")"),"CC(C)N(Cc1ccccn1)Cc1ccc2cccc(N(C)C3C=CC=CN3)c2n1")</f>
        <v>CC(C)N(Cc1ccccn1)Cc1ccc2cccc(N(C)C3C=CC=CN3)c2n1</v>
      </c>
      <c r="C16334" s="7">
        <f>IFERROR(__xludf.DUMMYFUNCTION("""COMPUTED_VALUE"""),7.737243)</f>
        <v>7.737243</v>
      </c>
      <c r="D16334" s="7">
        <f>IFERROR(__xludf.DUMMYFUNCTION("""COMPUTED_VALUE"""),0.421052631578947)</f>
        <v>0.4210526316</v>
      </c>
    </row>
    <row r="16335">
      <c r="A16335" s="10" t="s">
        <v>17774</v>
      </c>
      <c r="B16335" s="7" t="str">
        <f>IFERROR(__xludf.DUMMYFUNCTION("SPLIT(A16335,"" "")"),"CN(Cc1cccc(-c2cc(N)ccc2Cl)n1)CC1C=CNC(N(C)Cc2ccccn2)=C1")</f>
        <v>CN(Cc1cccc(-c2cc(N)ccc2Cl)n1)CC1C=CNC(N(C)Cc2ccccn2)=C1</v>
      </c>
      <c r="C16335" s="7">
        <f>IFERROR(__xludf.DUMMYFUNCTION("""COMPUTED_VALUE"""),7.737241)</f>
        <v>7.737241</v>
      </c>
      <c r="D16335" s="7">
        <f>IFERROR(__xludf.DUMMYFUNCTION("""COMPUTED_VALUE"""),0.409090909090909)</f>
        <v>0.4090909091</v>
      </c>
    </row>
    <row r="16336">
      <c r="A16336" s="10" t="s">
        <v>17775</v>
      </c>
      <c r="B16336" s="7" t="str">
        <f>IFERROR(__xludf.DUMMYFUNCTION("SPLIT(A16336,"" "")"),"CNCc1cccc(CN(Cc2ccccn2)c2ccc3nc(CN(C)Cc4ncccc4C)ccc3c2)n1")</f>
        <v>CNCc1cccc(CN(Cc2ccccn2)c2ccc3nc(CN(C)Cc4ncccc4C)ccc3c2)n1</v>
      </c>
      <c r="C16336" s="7">
        <f>IFERROR(__xludf.DUMMYFUNCTION("""COMPUTED_VALUE"""),7.7372174)</f>
        <v>7.7372174</v>
      </c>
      <c r="D16336" s="7">
        <f>IFERROR(__xludf.DUMMYFUNCTION("""COMPUTED_VALUE"""),0.40983606557377)</f>
        <v>0.4098360656</v>
      </c>
    </row>
    <row r="16337">
      <c r="A16337" s="10" t="s">
        <v>17776</v>
      </c>
      <c r="B16337" s="7" t="str">
        <f>IFERROR(__xludf.DUMMYFUNCTION("SPLIT(A16337,"" "")"),"Cc1ccnc(CN(C)CCN(C)c2ccc3nccc(CF)c3c2)c1")</f>
        <v>Cc1ccnc(CN(C)CCN(C)c2ccc3nccc(CF)c3c2)c1</v>
      </c>
      <c r="C16337" s="7">
        <f>IFERROR(__xludf.DUMMYFUNCTION("""COMPUTED_VALUE"""),7.7372046)</f>
        <v>7.7372046</v>
      </c>
      <c r="D16337" s="7">
        <f>IFERROR(__xludf.DUMMYFUNCTION("""COMPUTED_VALUE"""),0.346153846153846)</f>
        <v>0.3461538462</v>
      </c>
    </row>
    <row r="16338">
      <c r="A16338" s="10" t="s">
        <v>17777</v>
      </c>
      <c r="B16338" s="7" t="str">
        <f>IFERROR(__xludf.DUMMYFUNCTION("SPLIT(A16338,"" "")"),"CC(C)N(Cc1ccccn1)Cc1ncccc1-c1ccc(N=Cc2ccccn2)cc1")</f>
        <v>CC(C)N(Cc1ccccn1)Cc1ncccc1-c1ccc(N=Cc2ccccn2)cc1</v>
      </c>
      <c r="C16338" s="7">
        <f>IFERROR(__xludf.DUMMYFUNCTION("""COMPUTED_VALUE"""),7.737203)</f>
        <v>7.737203</v>
      </c>
      <c r="D16338" s="7">
        <f>IFERROR(__xludf.DUMMYFUNCTION("""COMPUTED_VALUE"""),0.470588235294117)</f>
        <v>0.4705882353</v>
      </c>
    </row>
    <row r="16339">
      <c r="A16339" s="10" t="s">
        <v>17778</v>
      </c>
      <c r="B16339" s="7" t="str">
        <f>IFERROR(__xludf.DUMMYFUNCTION("SPLIT(A16339,"" "")"),"Cc1ccccc1N(C)Cc1cc(C)c(C)c(C)n1")</f>
        <v>Cc1ccccc1N(C)Cc1cc(C)c(C)c(C)n1</v>
      </c>
      <c r="C16339" s="7">
        <f>IFERROR(__xludf.DUMMYFUNCTION("""COMPUTED_VALUE"""),7.7371993)</f>
        <v>7.7371993</v>
      </c>
      <c r="D16339" s="7">
        <f>IFERROR(__xludf.DUMMYFUNCTION("""COMPUTED_VALUE"""),0.386363636363636)</f>
        <v>0.3863636364</v>
      </c>
    </row>
    <row r="16340">
      <c r="A16340" s="10" t="s">
        <v>17779</v>
      </c>
      <c r="B16340" s="7" t="str">
        <f>IFERROR(__xludf.DUMMYFUNCTION("SPLIT(A16340,"" "")"),"CC(C)c1cc(CN(Cc2ccccn2)Cc2ccc(-c3cccc(N=Cc4ccccn4)c3)cn2)ccn1")</f>
        <v>CC(C)c1cc(CN(Cc2ccccn2)Cc2ccc(-c3cccc(N=Cc4ccccn4)c3)cn2)ccn1</v>
      </c>
      <c r="C16340" s="7">
        <f>IFERROR(__xludf.DUMMYFUNCTION("""COMPUTED_VALUE"""),7.737198)</f>
        <v>7.737198</v>
      </c>
      <c r="D16340" s="7">
        <f>IFERROR(__xludf.DUMMYFUNCTION("""COMPUTED_VALUE"""),0.344827586206896)</f>
        <v>0.3448275862</v>
      </c>
    </row>
    <row r="16341">
      <c r="A16341" s="10" t="s">
        <v>17780</v>
      </c>
      <c r="B16341" s="7" t="str">
        <f>IFERROR(__xludf.DUMMYFUNCTION("SPLIT(A16341,"" "")"),"CNCc1cccc(-c2cccc(NCc3ccccn3)c2C)n1")</f>
        <v>CNCc1cccc(-c2cccc(NCc3ccccn3)c2C)n1</v>
      </c>
      <c r="C16341" s="7">
        <f>IFERROR(__xludf.DUMMYFUNCTION("""COMPUTED_VALUE"""),7.737198)</f>
        <v>7.737198</v>
      </c>
      <c r="D16341" s="7">
        <f>IFERROR(__xludf.DUMMYFUNCTION("""COMPUTED_VALUE"""),0.384615384615384)</f>
        <v>0.3846153846</v>
      </c>
    </row>
    <row r="16342">
      <c r="A16342" s="10" t="s">
        <v>17781</v>
      </c>
      <c r="B16342" s="7" t="str">
        <f>IFERROR(__xludf.DUMMYFUNCTION("SPLIT(A16342,"" "")"),"C1=CNC(Nc2cc(C(c3ccccc3)c3ccccn3)ccn2)C=C1")</f>
        <v>C1=CNC(Nc2cc(C(c3ccccc3)c3ccccn3)ccn2)C=C1</v>
      </c>
      <c r="C16342" s="7">
        <f>IFERROR(__xludf.DUMMYFUNCTION("""COMPUTED_VALUE"""),7.737189)</f>
        <v>7.737189</v>
      </c>
      <c r="D16342" s="7">
        <f>IFERROR(__xludf.DUMMYFUNCTION("""COMPUTED_VALUE"""),0.311475409836065)</f>
        <v>0.3114754098</v>
      </c>
    </row>
    <row r="16343">
      <c r="A16343" s="10" t="s">
        <v>17782</v>
      </c>
      <c r="B16343" s="7" t="str">
        <f>IFERROR(__xludf.DUMMYFUNCTION("SPLIT(A16343,"" "")"),"CC(C)N(C)Cc1ncccc1-c1cccc(N=Cc2ccccn2)c1")</f>
        <v>CC(C)N(C)Cc1ncccc1-c1cccc(N=Cc2ccccn2)c1</v>
      </c>
      <c r="C16343" s="7">
        <f>IFERROR(__xludf.DUMMYFUNCTION("""COMPUTED_VALUE"""),7.737185)</f>
        <v>7.737185</v>
      </c>
      <c r="D16343" s="7">
        <f>IFERROR(__xludf.DUMMYFUNCTION("""COMPUTED_VALUE"""),0.362068965517241)</f>
        <v>0.3620689655</v>
      </c>
    </row>
    <row r="16344">
      <c r="A16344" s="10" t="s">
        <v>17783</v>
      </c>
      <c r="B16344" s="7" t="str">
        <f>IFERROR(__xludf.DUMMYFUNCTION("SPLIT(A16344,"" "")"),"CC(C)C(C)(c1cccnc1)N(Cc1ccccn1)c1ccc2nc(CF)ccc2c1")</f>
        <v>CC(C)C(C)(c1cccnc1)N(Cc1ccccn1)c1ccc2nc(CF)ccc2c1</v>
      </c>
      <c r="C16344" s="7">
        <f>IFERROR(__xludf.DUMMYFUNCTION("""COMPUTED_VALUE"""),7.737179)</f>
        <v>7.737179</v>
      </c>
      <c r="D16344" s="7">
        <f>IFERROR(__xludf.DUMMYFUNCTION("""COMPUTED_VALUE"""),0.370967741935483)</f>
        <v>0.3709677419</v>
      </c>
    </row>
    <row r="16345">
      <c r="A16345" s="10" t="s">
        <v>17784</v>
      </c>
      <c r="B16345" s="7" t="str">
        <f>IFERROR(__xludf.DUMMYFUNCTION("SPLIT(A16345,"" "")"),"CN(CN(Cc1cccnn1)C1CCCC(N(C)c2cccc3ncccc23)C1)c1cccc2ncccc12")</f>
        <v>CN(CN(Cc1cccnn1)C1CCCC(N(C)c2cccc3ncccc23)C1)c1cccc2ncccc12</v>
      </c>
      <c r="C16345" s="7">
        <f>IFERROR(__xludf.DUMMYFUNCTION("""COMPUTED_VALUE"""),7.737177)</f>
        <v>7.737177</v>
      </c>
      <c r="D16345" s="7">
        <f>IFERROR(__xludf.DUMMYFUNCTION("""COMPUTED_VALUE"""),0.344827586206896)</f>
        <v>0.3448275862</v>
      </c>
    </row>
    <row r="16346">
      <c r="A16346" s="10" t="s">
        <v>17785</v>
      </c>
      <c r="B16346" s="7" t="str">
        <f>IFERROR(__xludf.DUMMYFUNCTION("SPLIT(A16346,"" "")"),"Cc1cnc(CN(C)c2c(-c3cccnc3CN(C)C(C)C(C)N)ccc(Cl)c2Cl)c(C)c1")</f>
        <v>Cc1cnc(CN(C)c2c(-c3cccnc3CN(C)C(C)C(C)N)ccc(Cl)c2Cl)c(C)c1</v>
      </c>
      <c r="C16346" s="7">
        <f>IFERROR(__xludf.DUMMYFUNCTION("""COMPUTED_VALUE"""),7.737171)</f>
        <v>7.737171</v>
      </c>
      <c r="D16346" s="7">
        <f>IFERROR(__xludf.DUMMYFUNCTION("""COMPUTED_VALUE"""),0.26865671641791)</f>
        <v>0.2686567164</v>
      </c>
    </row>
    <row r="16347">
      <c r="A16347" s="10" t="s">
        <v>17786</v>
      </c>
      <c r="B16347" s="7" t="str">
        <f>IFERROR(__xludf.DUMMYFUNCTION("SPLIT(A16347,"" "")"),"Cc1c(C)c(C)c(N(C)CC2=CCC=C(N(C)Cc3ccccn3)N2)c(C)c1C")</f>
        <v>Cc1c(C)c(C)c(N(C)CC2=CCC=C(N(C)Cc3ccccn3)N2)c(C)c1C</v>
      </c>
      <c r="C16347" s="7">
        <f>IFERROR(__xludf.DUMMYFUNCTION("""COMPUTED_VALUE"""),7.7371707)</f>
        <v>7.7371707</v>
      </c>
      <c r="D16347" s="7">
        <f>IFERROR(__xludf.DUMMYFUNCTION("""COMPUTED_VALUE"""),0.418181818181818)</f>
        <v>0.4181818182</v>
      </c>
    </row>
    <row r="16348">
      <c r="A16348" s="10" t="s">
        <v>17787</v>
      </c>
      <c r="B16348" s="7" t="str">
        <f>IFERROR(__xludf.DUMMYFUNCTION("SPLIT(A16348,"" "")"),"Cc1cc(C)c(C)c(-c2cncc(CN(C)Cc3cccc(N)n3)c2)c1")</f>
        <v>Cc1cc(C)c(C)c(-c2cncc(CN(C)Cc3cccc(N)n3)c2)c1</v>
      </c>
      <c r="C16348" s="7">
        <f>IFERROR(__xludf.DUMMYFUNCTION("""COMPUTED_VALUE"""),7.7371554)</f>
        <v>7.7371554</v>
      </c>
      <c r="D16348" s="7">
        <f>IFERROR(__xludf.DUMMYFUNCTION("""COMPUTED_VALUE"""),0.333333333333333)</f>
        <v>0.3333333333</v>
      </c>
    </row>
    <row r="16349">
      <c r="A16349" s="10" t="s">
        <v>17788</v>
      </c>
      <c r="B16349" s="7" t="str">
        <f>IFERROR(__xludf.DUMMYFUNCTION("SPLIT(A16349,"" "")"),"CN(Cc1ccccn1)C1=CNC(CN(C)c2cccc(Cc3ccccn3)c2)=CC1")</f>
        <v>CN(Cc1ccccn1)C1=CNC(CN(C)c2cccc(Cc3ccccn3)c2)=CC1</v>
      </c>
      <c r="C16349" s="7">
        <f>IFERROR(__xludf.DUMMYFUNCTION("""COMPUTED_VALUE"""),7.737149)</f>
        <v>7.737149</v>
      </c>
      <c r="D16349" s="7">
        <f>IFERROR(__xludf.DUMMYFUNCTION("""COMPUTED_VALUE"""),0.385964912280701)</f>
        <v>0.3859649123</v>
      </c>
    </row>
    <row r="16350">
      <c r="A16350" s="10" t="s">
        <v>17789</v>
      </c>
      <c r="B16350" s="7" t="str">
        <f>IFERROR(__xludf.DUMMYFUNCTION("SPLIT(A16350,"" "")"),"Cc1cccnc1CN(C)CCN(C)c1cccc2nccc(CF)c12")</f>
        <v>Cc1cccnc1CN(C)CCN(C)c1cccc2nccc(CF)c12</v>
      </c>
      <c r="C16350" s="7">
        <f>IFERROR(__xludf.DUMMYFUNCTION("""COMPUTED_VALUE"""),7.737147)</f>
        <v>7.737147</v>
      </c>
      <c r="D16350" s="7">
        <f>IFERROR(__xludf.DUMMYFUNCTION("""COMPUTED_VALUE"""),0.37037037037037)</f>
        <v>0.3703703704</v>
      </c>
    </row>
    <row r="16351">
      <c r="A16351" s="10" t="s">
        <v>17790</v>
      </c>
      <c r="B16351" s="7" t="str">
        <f>IFERROR(__xludf.DUMMYFUNCTION("SPLIT(A16351,"" "")"),"Cc1ccc(NCc2ccccn2)c(-c2ccc(C)c(CN(C)Cc3cc(N)ccn3)n2)c1")</f>
        <v>Cc1ccc(NCc2ccccn2)c(-c2ccc(C)c(CN(C)Cc3cc(N)ccn3)n2)c1</v>
      </c>
      <c r="C16351" s="7">
        <f>IFERROR(__xludf.DUMMYFUNCTION("""COMPUTED_VALUE"""),7.737128)</f>
        <v>7.737128</v>
      </c>
      <c r="D16351" s="7">
        <f>IFERROR(__xludf.DUMMYFUNCTION("""COMPUTED_VALUE"""),0.353846153846153)</f>
        <v>0.3538461538</v>
      </c>
    </row>
    <row r="16352">
      <c r="A16352" s="10" t="s">
        <v>17791</v>
      </c>
      <c r="B16352" s="7" t="str">
        <f>IFERROR(__xludf.DUMMYFUNCTION("SPLIT(A16352,"" "")"),"CCCN(Cc1ccccn1)c1ccc2nccc(CF)c2c1")</f>
        <v>CCCN(Cc1ccccn1)c1ccc2nccc(CF)c2c1</v>
      </c>
      <c r="C16352" s="7">
        <f>IFERROR(__xludf.DUMMYFUNCTION("""COMPUTED_VALUE"""),7.7371235)</f>
        <v>7.7371235</v>
      </c>
      <c r="D16352" s="7">
        <f>IFERROR(__xludf.DUMMYFUNCTION("""COMPUTED_VALUE"""),0.365384615384615)</f>
        <v>0.3653846154</v>
      </c>
    </row>
    <row r="16353">
      <c r="A16353" s="10" t="s">
        <v>17792</v>
      </c>
      <c r="B16353" s="7" t="str">
        <f>IFERROR(__xludf.DUMMYFUNCTION("SPLIT(A16353,"" "")"),"COCc1ccccc1-c1ncccc1CNCc1ncccc1C(C)(c1ccccn1)c1ccccn1")</f>
        <v>COCc1ccccc1-c1ncccc1CNCc1ncccc1C(C)(c1ccccn1)c1ccccn1</v>
      </c>
      <c r="C16353" s="7">
        <f>IFERROR(__xludf.DUMMYFUNCTION("""COMPUTED_VALUE"""),7.7371135)</f>
        <v>7.7371135</v>
      </c>
      <c r="D16353" s="7">
        <f>IFERROR(__xludf.DUMMYFUNCTION("""COMPUTED_VALUE"""),0.333333333333333)</f>
        <v>0.3333333333</v>
      </c>
    </row>
    <row r="16354">
      <c r="A16354" s="10" t="s">
        <v>17793</v>
      </c>
      <c r="B16354" s="7" t="str">
        <f>IFERROR(__xludf.DUMMYFUNCTION("SPLIT(A16354,"" "")"),"CCOC(=O)c1cccc(CN(Cc2ccccn2)Cc2cccc(C3=NC(=O)C(C)(C)O3)n2)n1")</f>
        <v>CCOC(=O)c1cccc(CN(Cc2ccccn2)Cc2cccc(C3=NC(=O)C(C)(C)O3)n2)n1</v>
      </c>
      <c r="C16354" s="7">
        <f>IFERROR(__xludf.DUMMYFUNCTION("""COMPUTED_VALUE"""),7.737112)</f>
        <v>7.737112</v>
      </c>
      <c r="D16354" s="7">
        <f>IFERROR(__xludf.DUMMYFUNCTION("""COMPUTED_VALUE"""),0.405797101449275)</f>
        <v>0.4057971014</v>
      </c>
    </row>
    <row r="16355">
      <c r="A16355" s="10" t="s">
        <v>17794</v>
      </c>
      <c r="B16355" s="7" t="str">
        <f>IFERROR(__xludf.DUMMYFUNCTION("SPLIT(A16355,"" "")"),"Cc1ccc(CN(Cc2ccccn2)Cc2cccc(-c3ccc(N=Cc4ccccn4)cc3)n2)nc1")</f>
        <v>Cc1ccc(CN(Cc2ccccn2)Cc2cccc(-c3ccc(N=Cc4ccccn4)cc3)n2)nc1</v>
      </c>
      <c r="C16355" s="7">
        <f>IFERROR(__xludf.DUMMYFUNCTION("""COMPUTED_VALUE"""),7.7371097)</f>
        <v>7.7371097</v>
      </c>
      <c r="D16355" s="7">
        <f>IFERROR(__xludf.DUMMYFUNCTION("""COMPUTED_VALUE"""),0.46031746031746)</f>
        <v>0.4603174603</v>
      </c>
    </row>
    <row r="16356">
      <c r="A16356" s="10" t="s">
        <v>17795</v>
      </c>
      <c r="B16356" s="7" t="str">
        <f>IFERROR(__xludf.DUMMYFUNCTION("SPLIT(A16356,"" "")"),"CC(C)N(Cc1ccccn1)c1cccc(-c2cncc(C(C)(C)C)c2)c1")</f>
        <v>CC(C)N(Cc1ccccn1)c1cccc(-c2cncc(C(C)(C)C)c2)c1</v>
      </c>
      <c r="C16356" s="7">
        <f>IFERROR(__xludf.DUMMYFUNCTION("""COMPUTED_VALUE"""),7.7371044)</f>
        <v>7.7371044</v>
      </c>
      <c r="D16356" s="7">
        <f>IFERROR(__xludf.DUMMYFUNCTION("""COMPUTED_VALUE"""),0.396226415094339)</f>
        <v>0.3962264151</v>
      </c>
    </row>
    <row r="16357">
      <c r="A16357" s="10" t="s">
        <v>17796</v>
      </c>
      <c r="B16357" s="7" t="str">
        <f>IFERROR(__xludf.DUMMYFUNCTION("SPLIT(A16357,"" "")"),"Cc1cccc(-c2ccc(CN(C)Cc3nccc(C)c3C)cn2)c1C")</f>
        <v>Cc1cccc(-c2ccc(CN(C)Cc3nccc(C)c3C)cn2)c1C</v>
      </c>
      <c r="C16357" s="7">
        <f>IFERROR(__xludf.DUMMYFUNCTION("""COMPUTED_VALUE"""),7.737104)</f>
        <v>7.737104</v>
      </c>
      <c r="D16357" s="7">
        <f>IFERROR(__xludf.DUMMYFUNCTION("""COMPUTED_VALUE"""),0.285714285714285)</f>
        <v>0.2857142857</v>
      </c>
    </row>
    <row r="16358">
      <c r="A16358" s="10" t="s">
        <v>17797</v>
      </c>
      <c r="B16358" s="7" t="str">
        <f>IFERROR(__xludf.DUMMYFUNCTION("SPLIT(A16358,"" "")"),"CN(c1cccc2nc(CF)ccc12)C1CCCC(N(C)c2cccc3nc4c(cc23)CCCC4)C1")</f>
        <v>CN(c1cccc2nc(CF)ccc12)C1CCCC(N(C)c2cccc3nc4c(cc23)CCCC4)C1</v>
      </c>
      <c r="C16358" s="7">
        <f>IFERROR(__xludf.DUMMYFUNCTION("""COMPUTED_VALUE"""),7.737103)</f>
        <v>7.737103</v>
      </c>
      <c r="D16358" s="7">
        <f>IFERROR(__xludf.DUMMYFUNCTION("""COMPUTED_VALUE"""),0.412698412698412)</f>
        <v>0.4126984127</v>
      </c>
    </row>
    <row r="16359">
      <c r="A16359" s="10" t="s">
        <v>17798</v>
      </c>
      <c r="B16359" s="7" t="str">
        <f>IFERROR(__xludf.DUMMYFUNCTION("SPLIT(A16359,"" "")"),"CNCN(c1ccc2nccc(CF)c2c1)C1CCC(N(C)c2ccc3c(CF)ccnc3c2)CC1")</f>
        <v>CNCN(c1ccc2nccc(CF)c2c1)C1CCC(N(C)c2ccc3c(CF)ccnc3c2)CC1</v>
      </c>
      <c r="C16359" s="7">
        <f>IFERROR(__xludf.DUMMYFUNCTION("""COMPUTED_VALUE"""),7.7371006)</f>
        <v>7.7371006</v>
      </c>
      <c r="D16359" s="7">
        <f>IFERROR(__xludf.DUMMYFUNCTION("""COMPUTED_VALUE"""),0.208333333333333)</f>
        <v>0.2083333333</v>
      </c>
    </row>
    <row r="16360">
      <c r="A16360" s="10" t="s">
        <v>17799</v>
      </c>
      <c r="B16360" s="7" t="str">
        <f>IFERROR(__xludf.DUMMYFUNCTION("SPLIT(A16360,"" "")"),"CNCc1ccc(-c2ccc(C)cc2NCc2ccccn2)cn1")</f>
        <v>CNCc1ccc(-c2ccc(C)cc2NCc2ccccn2)cn1</v>
      </c>
      <c r="C16360" s="7">
        <f>IFERROR(__xludf.DUMMYFUNCTION("""COMPUTED_VALUE"""),7.737086)</f>
        <v>7.737086</v>
      </c>
      <c r="D16360" s="7">
        <f>IFERROR(__xludf.DUMMYFUNCTION("""COMPUTED_VALUE"""),0.372881355932203)</f>
        <v>0.3728813559</v>
      </c>
    </row>
    <row r="16361">
      <c r="A16361" s="10" t="s">
        <v>17800</v>
      </c>
      <c r="B16361" s="7" t="str">
        <f>IFERROR(__xludf.DUMMYFUNCTION("SPLIT(A16361,"" "")"),"CCNCc1cccc(-c2cccc(N=Cc3ccccn3)c2)n1")</f>
        <v>CCNCc1cccc(-c2cccc(N=Cc3ccccn3)c2)n1</v>
      </c>
      <c r="C16361" s="7">
        <f>IFERROR(__xludf.DUMMYFUNCTION("""COMPUTED_VALUE"""),7.737082)</f>
        <v>7.737082</v>
      </c>
      <c r="D16361" s="7">
        <f>IFERROR(__xludf.DUMMYFUNCTION("""COMPUTED_VALUE"""),0.38095238095238)</f>
        <v>0.380952381</v>
      </c>
    </row>
    <row r="16362">
      <c r="A16362" s="10" t="s">
        <v>17801</v>
      </c>
      <c r="B16362" s="7" t="str">
        <f>IFERROR(__xludf.DUMMYFUNCTION("SPLIT(A16362,"" "")"),"Cc1cccc(CNCc2ccc(-c3cccc(N=Cc4ccccn4)c3)cn2)c1")</f>
        <v>Cc1cccc(CNCc2ccc(-c3cccc(N=Cc4ccccn4)c3)cn2)c1</v>
      </c>
      <c r="C16362" s="7">
        <f>IFERROR(__xludf.DUMMYFUNCTION("""COMPUTED_VALUE"""),7.737082)</f>
        <v>7.737082</v>
      </c>
      <c r="D16362" s="7">
        <f>IFERROR(__xludf.DUMMYFUNCTION("""COMPUTED_VALUE"""),0.354838709677419)</f>
        <v>0.3548387097</v>
      </c>
    </row>
    <row r="16363">
      <c r="A16363" s="10" t="s">
        <v>17802</v>
      </c>
      <c r="B16363" s="7" t="str">
        <f>IFERROR(__xludf.DUMMYFUNCTION("SPLIT(A16363,"" "")"),"Cc1cncc(N(C)CCN(C)c2ccc(N)cc2Cl)c1")</f>
        <v>Cc1cncc(N(C)CCN(C)c2ccc(N)cc2Cl)c1</v>
      </c>
      <c r="C16363" s="7">
        <f>IFERROR(__xludf.DUMMYFUNCTION("""COMPUTED_VALUE"""),7.737071)</f>
        <v>7.737071</v>
      </c>
      <c r="D16363" s="7">
        <f>IFERROR(__xludf.DUMMYFUNCTION("""COMPUTED_VALUE"""),0.264150943396226)</f>
        <v>0.2641509434</v>
      </c>
    </row>
    <row r="16364">
      <c r="A16364" s="10" t="s">
        <v>17803</v>
      </c>
      <c r="B16364" s="7" t="str">
        <f>IFERROR(__xludf.DUMMYFUNCTION("SPLIT(A16364,"" "")"),"Cc1ccc(CN(C)C2CCC(N(C)c3ccc4cccnc4c3)CC2N(Cc2ccccn2)c2ccc3ncccc3c2)nc1")</f>
        <v>Cc1ccc(CN(C)C2CCC(N(C)c3ccc4cccnc4c3)CC2N(Cc2ccccn2)c2ccc3ncccc3c2)nc1</v>
      </c>
      <c r="C16364" s="7">
        <f>IFERROR(__xludf.DUMMYFUNCTION("""COMPUTED_VALUE"""),7.7370644)</f>
        <v>7.7370644</v>
      </c>
      <c r="D16364" s="7">
        <f>IFERROR(__xludf.DUMMYFUNCTION("""COMPUTED_VALUE"""),0.417910447761194)</f>
        <v>0.4179104478</v>
      </c>
    </row>
    <row r="16365">
      <c r="A16365" s="10" t="s">
        <v>17804</v>
      </c>
      <c r="B16365" s="7" t="str">
        <f>IFERROR(__xludf.DUMMYFUNCTION("SPLIT(A16365,"" "")"),"Cc1ccnc(CN(C)CCN(C)c2cccc3ncc(CF)cc23)c1C")</f>
        <v>Cc1ccnc(CN(C)CCN(C)c2cccc3ncc(CF)cc23)c1C</v>
      </c>
      <c r="C16365" s="7">
        <f>IFERROR(__xludf.DUMMYFUNCTION("""COMPUTED_VALUE"""),7.7370596)</f>
        <v>7.7370596</v>
      </c>
      <c r="D16365" s="7">
        <f>IFERROR(__xludf.DUMMYFUNCTION("""COMPUTED_VALUE"""),0.327586206896551)</f>
        <v>0.3275862069</v>
      </c>
    </row>
    <row r="16366">
      <c r="A16366" s="10" t="s">
        <v>17805</v>
      </c>
      <c r="B16366" s="7" t="str">
        <f>IFERROR(__xludf.DUMMYFUNCTION("SPLIT(A16366,"" "")"),"C1=CC(c2ncccc2C(c2ccccn2)c2ccccn2)C=CN1")</f>
        <v>C1=CC(c2ncccc2C(c2ccccn2)c2ccccn2)C=CN1</v>
      </c>
      <c r="C16366" s="7">
        <f>IFERROR(__xludf.DUMMYFUNCTION("""COMPUTED_VALUE"""),7.737054)</f>
        <v>7.737054</v>
      </c>
      <c r="D16366" s="7">
        <f>IFERROR(__xludf.DUMMYFUNCTION("""COMPUTED_VALUE"""),0.283018867924528)</f>
        <v>0.2830188679</v>
      </c>
    </row>
    <row r="16367">
      <c r="A16367" s="10" t="s">
        <v>17806</v>
      </c>
      <c r="B16367" s="7" t="str">
        <f>IFERROR(__xludf.DUMMYFUNCTION("SPLIT(A16367,"" "")"),"Cc1ccc(CN(Cc2ccc(-c3cccc(N=Cc4ccccn4)c3)nc2)Cc2ccccn2)nc1")</f>
        <v>Cc1ccc(CN(Cc2ccc(-c3cccc(N=Cc4ccccn4)c3)nc2)Cc2ccccn2)nc1</v>
      </c>
      <c r="C16367" s="7">
        <f>IFERROR(__xludf.DUMMYFUNCTION("""COMPUTED_VALUE"""),7.7370505)</f>
        <v>7.7370505</v>
      </c>
      <c r="D16367" s="7">
        <f>IFERROR(__xludf.DUMMYFUNCTION("""COMPUTED_VALUE"""),0.385714285714285)</f>
        <v>0.3857142857</v>
      </c>
    </row>
    <row r="16368">
      <c r="A16368" s="10" t="s">
        <v>17807</v>
      </c>
      <c r="B16368" s="7" t="str">
        <f>IFERROR(__xludf.DUMMYFUNCTION("SPLIT(A16368,"" "")"),"CN(C)Cc1cnc2cc(N(C)C3CCC(N(C)c4cccc5nc6c(cc45)CCCC6)CC3)ccc2c1")</f>
        <v>CN(C)Cc1cnc2cc(N(C)C3CCC(N(C)c4cccc5nc6c(cc45)CCCC6)CC3)ccc2c1</v>
      </c>
      <c r="C16368" s="7">
        <f>IFERROR(__xludf.DUMMYFUNCTION("""COMPUTED_VALUE"""),7.7370453)</f>
        <v>7.7370453</v>
      </c>
      <c r="D16368" s="7">
        <f>IFERROR(__xludf.DUMMYFUNCTION("""COMPUTED_VALUE"""),0.376811594202898)</f>
        <v>0.3768115942</v>
      </c>
    </row>
    <row r="16369">
      <c r="A16369" s="10" t="s">
        <v>17808</v>
      </c>
      <c r="B16369" s="7" t="str">
        <f>IFERROR(__xludf.DUMMYFUNCTION("SPLIT(A16369,"" "")"),"CCN(Cc1ccccn1)c1ccc2nc(CN(C)Cc3ncccc3F)ccc2c1")</f>
        <v>CCN(Cc1ccccn1)c1ccc2nc(CN(C)Cc3ncccc3F)ccc2c1</v>
      </c>
      <c r="C16369" s="7">
        <f>IFERROR(__xludf.DUMMYFUNCTION("""COMPUTED_VALUE"""),7.737038)</f>
        <v>7.737038</v>
      </c>
      <c r="D16369" s="7">
        <f>IFERROR(__xludf.DUMMYFUNCTION("""COMPUTED_VALUE"""),0.436363636363636)</f>
        <v>0.4363636364</v>
      </c>
    </row>
    <row r="16370">
      <c r="A16370" s="10" t="s">
        <v>17809</v>
      </c>
      <c r="B16370" s="7" t="str">
        <f>IFERROR(__xludf.DUMMYFUNCTION("SPLIT(A16370,"" "")"),"CC(C)c1cccc(CN(Cc2ccccn2)Cc2cc(-c3cccc(N=Cc4ccccn4)c3)ccn2)n1")</f>
        <v>CC(C)c1cccc(CN(Cc2ccccn2)Cc2cc(-c3cccc(N=Cc4ccccn4)c3)ccn2)n1</v>
      </c>
      <c r="C16370" s="7">
        <f>IFERROR(__xludf.DUMMYFUNCTION("""COMPUTED_VALUE"""),7.737027)</f>
        <v>7.737027</v>
      </c>
      <c r="D16370" s="7">
        <f>IFERROR(__xludf.DUMMYFUNCTION("""COMPUTED_VALUE"""),0.409090909090909)</f>
        <v>0.4090909091</v>
      </c>
    </row>
    <row r="16371">
      <c r="A16371" s="10" t="s">
        <v>17810</v>
      </c>
      <c r="B16371" s="7" t="str">
        <f>IFERROR(__xludf.DUMMYFUNCTION("SPLIT(A16371,"" "")"),"CC(C)(C1=CC2C(=CN1)C=Cc1cccnc12)c1cc(CN(Cc2ccccn2)Cc2ccccn2)ccn1")</f>
        <v>CC(C)(C1=CC2C(=CN1)C=Cc1cccnc12)c1cc(CN(Cc2ccccn2)Cc2ccccn2)ccn1</v>
      </c>
      <c r="C16371" s="7">
        <f>IFERROR(__xludf.DUMMYFUNCTION("""COMPUTED_VALUE"""),7.737025)</f>
        <v>7.737025</v>
      </c>
      <c r="D16371" s="7">
        <f>IFERROR(__xludf.DUMMYFUNCTION("""COMPUTED_VALUE"""),0.338983050847457)</f>
        <v>0.3389830508</v>
      </c>
    </row>
    <row r="16372">
      <c r="A16372" s="10" t="s">
        <v>17811</v>
      </c>
      <c r="B16372" s="7" t="str">
        <f>IFERROR(__xludf.DUMMYFUNCTION("SPLIT(A16372,"" "")"),"CC(C)N(C)Cc1cc(-c2cccc(N=Cc3ccccn3)c2)ccn1")</f>
        <v>CC(C)N(C)Cc1cc(-c2cccc(N=Cc3ccccn3)c2)ccn1</v>
      </c>
      <c r="C16372" s="7">
        <f>IFERROR(__xludf.DUMMYFUNCTION("""COMPUTED_VALUE"""),7.737016)</f>
        <v>7.737016</v>
      </c>
      <c r="D16372" s="7">
        <f>IFERROR(__xludf.DUMMYFUNCTION("""COMPUTED_VALUE"""),0.37037037037037)</f>
        <v>0.3703703704</v>
      </c>
    </row>
    <row r="16373">
      <c r="A16373" s="10" t="s">
        <v>17812</v>
      </c>
      <c r="B16373" s="7" t="str">
        <f>IFERROR(__xludf.DUMMYFUNCTION("SPLIT(A16373,"" "")"),"Cc1ccnc2cc(N(C)CCN(C)CC(C)C)ccc12")</f>
        <v>Cc1ccnc2cc(N(C)CCN(C)CC(C)C)ccc12</v>
      </c>
      <c r="C16373" s="7">
        <f>IFERROR(__xludf.DUMMYFUNCTION("""COMPUTED_VALUE"""),7.7370086)</f>
        <v>7.7370086</v>
      </c>
      <c r="D16373" s="7">
        <f>IFERROR(__xludf.DUMMYFUNCTION("""COMPUTED_VALUE"""),0.254901960784313)</f>
        <v>0.2549019608</v>
      </c>
    </row>
    <row r="16374">
      <c r="A16374" s="10" t="s">
        <v>17813</v>
      </c>
      <c r="B16374" s="7" t="str">
        <f>IFERROR(__xludf.DUMMYFUNCTION("SPLIT(A16374,"" "")"),"Cc1cc(C)c(C)c(N(C)Cc2cc(N)ccn2)c1")</f>
        <v>Cc1cc(C)c(C)c(N(C)Cc2cc(N)ccn2)c1</v>
      </c>
      <c r="C16374" s="7">
        <f>IFERROR(__xludf.DUMMYFUNCTION("""COMPUTED_VALUE"""),7.7370033)</f>
        <v>7.7370033</v>
      </c>
      <c r="D16374" s="7">
        <f>IFERROR(__xludf.DUMMYFUNCTION("""COMPUTED_VALUE"""),0.382978723404255)</f>
        <v>0.3829787234</v>
      </c>
    </row>
    <row r="16375">
      <c r="A16375" s="10" t="s">
        <v>17814</v>
      </c>
      <c r="B16375" s="7" t="str">
        <f>IFERROR(__xludf.DUMMYFUNCTION("SPLIT(A16375,"" "")"),"Cc1ccnc2cc(N(C)C3C=CNC(CN(C)C(C)C)=C3)ccc12")</f>
        <v>Cc1ccnc2cc(N(C)C3C=CNC(CN(C)C(C)C)=C3)ccc12</v>
      </c>
      <c r="C16375" s="7">
        <f>IFERROR(__xludf.DUMMYFUNCTION("""COMPUTED_VALUE"""),7.7370033)</f>
        <v>7.7370033</v>
      </c>
      <c r="D16375" s="7">
        <f>IFERROR(__xludf.DUMMYFUNCTION("""COMPUTED_VALUE"""),0.296875)</f>
        <v>0.296875</v>
      </c>
    </row>
    <row r="16376">
      <c r="A16376" s="10" t="s">
        <v>17815</v>
      </c>
      <c r="B16376" s="7" t="str">
        <f>IFERROR(__xludf.DUMMYFUNCTION("SPLIT(A16376,"" "")"),"Cc1cc(C)c(N(C)Cc2cc(C(C)(C)C)ccn2)cc1C")</f>
        <v>Cc1cc(C)c(N(C)Cc2cc(C(C)(C)C)ccn2)cc1C</v>
      </c>
      <c r="C16376" s="7">
        <f>IFERROR(__xludf.DUMMYFUNCTION("""COMPUTED_VALUE"""),7.7369995)</f>
        <v>7.7369995</v>
      </c>
      <c r="D16376" s="7">
        <f>IFERROR(__xludf.DUMMYFUNCTION("""COMPUTED_VALUE"""),0.391304347826087)</f>
        <v>0.3913043478</v>
      </c>
    </row>
    <row r="16377">
      <c r="A16377" s="10" t="s">
        <v>17816</v>
      </c>
      <c r="B16377" s="7" t="str">
        <f>IFERROR(__xludf.DUMMYFUNCTION("SPLIT(A16377,"" "")"),"CCN(c1ccc2cccnc2c1)C1CCC(N(C)c2ccc3ncccc3c2)CC1")</f>
        <v>CCN(c1ccc2cccnc2c1)C1CCC(N(C)c2ccc3ncccc3c2)CC1</v>
      </c>
      <c r="C16377" s="7">
        <f>IFERROR(__xludf.DUMMYFUNCTION("""COMPUTED_VALUE"""),7.736997)</f>
        <v>7.736997</v>
      </c>
      <c r="D16377" s="7">
        <f>IFERROR(__xludf.DUMMYFUNCTION("""COMPUTED_VALUE"""),0.31578947368421)</f>
        <v>0.3157894737</v>
      </c>
    </row>
    <row r="16378">
      <c r="A16378" s="10" t="s">
        <v>17817</v>
      </c>
      <c r="B16378" s="7" t="str">
        <f>IFERROR(__xludf.DUMMYFUNCTION("SPLIT(A16378,"" "")"),"CCN(Cc1ccccn1)c1ccc2nc(CN(C)Cc3ncccc3C)ccc2c1")</f>
        <v>CCN(Cc1ccccn1)c1ccc2nc(CN(C)Cc3ncccc3C)ccc2c1</v>
      </c>
      <c r="C16378" s="7">
        <f>IFERROR(__xludf.DUMMYFUNCTION("""COMPUTED_VALUE"""),7.7369714)</f>
        <v>7.7369714</v>
      </c>
      <c r="D16378" s="7">
        <f>IFERROR(__xludf.DUMMYFUNCTION("""COMPUTED_VALUE"""),0.436363636363636)</f>
        <v>0.4363636364</v>
      </c>
    </row>
    <row r="16379">
      <c r="A16379" s="10" t="s">
        <v>17818</v>
      </c>
      <c r="B16379" s="7" t="str">
        <f>IFERROR(__xludf.DUMMYFUNCTION("SPLIT(A16379,"" "")"),"CNC1=C(N(Cc2ccccn2)Cc2nc(C)ccc2C)NCC=C1N(C)Cc1ccccn1")</f>
        <v>CNC1=C(N(Cc2ccccn2)Cc2nc(C)ccc2C)NCC=C1N(C)Cc1ccccn1</v>
      </c>
      <c r="C16379" s="7">
        <f>IFERROR(__xludf.DUMMYFUNCTION("""COMPUTED_VALUE"""),7.7369714)</f>
        <v>7.7369714</v>
      </c>
      <c r="D16379" s="7">
        <f>IFERROR(__xludf.DUMMYFUNCTION("""COMPUTED_VALUE"""),0.338709677419354)</f>
        <v>0.3387096774</v>
      </c>
    </row>
    <row r="16380">
      <c r="A16380" s="10" t="s">
        <v>17819</v>
      </c>
      <c r="B16380" s="7" t="str">
        <f>IFERROR(__xludf.DUMMYFUNCTION("SPLIT(A16380,"" "")"),"CC(C)C1N=COC1c1cc(CN(Cc2ccccn2)Cc2cc(-c3cccc(N(C)C)c3)ccn2)ccn1")</f>
        <v>CC(C)C1N=COC1c1cc(CN(Cc2ccccn2)Cc2cc(-c3cccc(N(C)C)c3)ccn2)ccn1</v>
      </c>
      <c r="C16380" s="7">
        <f>IFERROR(__xludf.DUMMYFUNCTION("""COMPUTED_VALUE"""),7.736971)</f>
        <v>7.736971</v>
      </c>
      <c r="D16380" s="7">
        <f>IFERROR(__xludf.DUMMYFUNCTION("""COMPUTED_VALUE"""),0.351351351351351)</f>
        <v>0.3513513514</v>
      </c>
    </row>
    <row r="16381">
      <c r="A16381" s="10" t="s">
        <v>17820</v>
      </c>
      <c r="B16381" s="7" t="str">
        <f>IFERROR(__xludf.DUMMYFUNCTION("SPLIT(A16381,"" "")"),"Cc1ccc2c(CN(C)C3CCCC(N(C)c4ccc5c(CN(C)C)ccnc5c4)C3)ccnc2c1")</f>
        <v>Cc1ccc2c(CN(C)C3CCCC(N(C)c4ccc5c(CN(C)C)ccnc5c4)C3)ccnc2c1</v>
      </c>
      <c r="C16381" s="7">
        <f>IFERROR(__xludf.DUMMYFUNCTION("""COMPUTED_VALUE"""),7.7369685)</f>
        <v>7.7369685</v>
      </c>
      <c r="D16381" s="7">
        <f>IFERROR(__xludf.DUMMYFUNCTION("""COMPUTED_VALUE"""),0.295081967213114)</f>
        <v>0.2950819672</v>
      </c>
    </row>
    <row r="16382">
      <c r="A16382" s="10" t="s">
        <v>17821</v>
      </c>
      <c r="B16382" s="7" t="str">
        <f>IFERROR(__xludf.DUMMYFUNCTION("SPLIT(A16382,"" "")"),"Cc1ccccc1CN(C)Cc1ncccc1-c1cccc(N(C)C)c1")</f>
        <v>Cc1ccccc1CN(C)Cc1ncccc1-c1cccc(N(C)C)c1</v>
      </c>
      <c r="C16382" s="7">
        <f>IFERROR(__xludf.DUMMYFUNCTION("""COMPUTED_VALUE"""),7.7369556)</f>
        <v>7.7369556</v>
      </c>
      <c r="D16382" s="7">
        <f>IFERROR(__xludf.DUMMYFUNCTION("""COMPUTED_VALUE"""),0.358490566037735)</f>
        <v>0.358490566</v>
      </c>
    </row>
    <row r="16383">
      <c r="A16383" s="10" t="s">
        <v>17822</v>
      </c>
      <c r="B16383" s="7" t="str">
        <f>IFERROR(__xludf.DUMMYFUNCTION("SPLIT(A16383,"" "")"),"Cc1cccc(CN(C)Cc2cccc(-c3cccc(N=Cc4ccccn4)c3)n2)c1")</f>
        <v>Cc1cccc(CN(C)Cc2cccc(-c3cccc(N=Cc4ccccn4)c3)n2)c1</v>
      </c>
      <c r="C16383" s="7">
        <f>IFERROR(__xludf.DUMMYFUNCTION("""COMPUTED_VALUE"""),7.7369556)</f>
        <v>7.7369556</v>
      </c>
      <c r="D16383" s="7">
        <f>IFERROR(__xludf.DUMMYFUNCTION("""COMPUTED_VALUE"""),0.440677966101694)</f>
        <v>0.4406779661</v>
      </c>
    </row>
    <row r="16384">
      <c r="A16384" s="10" t="s">
        <v>17823</v>
      </c>
      <c r="B16384" s="7" t="str">
        <f>IFERROR(__xludf.DUMMYFUNCTION("SPLIT(A16384,"" "")"),"CN(c1cc(Cl)c(Cl)cc1N(C)C1CCCCC1N(Cc1ccccn1)c1ccc2cccnc2c1)C1C=CC=CN1")</f>
        <v>CN(c1cc(Cl)c(Cl)cc1N(C)C1CCCCC1N(Cc1ccccn1)c1ccc2cccnc2c1)C1C=CC=CN1</v>
      </c>
      <c r="C16384" s="7">
        <f>IFERROR(__xludf.DUMMYFUNCTION("""COMPUTED_VALUE"""),7.736955)</f>
        <v>7.736955</v>
      </c>
      <c r="D16384" s="7">
        <f>IFERROR(__xludf.DUMMYFUNCTION("""COMPUTED_VALUE"""),0.376811594202898)</f>
        <v>0.3768115942</v>
      </c>
    </row>
    <row r="16385">
      <c r="A16385" s="10" t="s">
        <v>17824</v>
      </c>
      <c r="B16385" s="7" t="str">
        <f>IFERROR(__xludf.DUMMYFUNCTION("SPLIT(A16385,"" "")"),"CC(C)N(Cc1ccccn1)Cc1ncccc1-c1ccccc1N=Cc1ccccn1")</f>
        <v>CC(C)N(Cc1ccccn1)Cc1ncccc1-c1ccccc1N=Cc1ccccn1</v>
      </c>
      <c r="C16385" s="7">
        <f>IFERROR(__xludf.DUMMYFUNCTION("""COMPUTED_VALUE"""),7.736952)</f>
        <v>7.736952</v>
      </c>
      <c r="D16385" s="7">
        <f>IFERROR(__xludf.DUMMYFUNCTION("""COMPUTED_VALUE"""),0.489795918367346)</f>
        <v>0.4897959184</v>
      </c>
    </row>
    <row r="16386">
      <c r="A16386" s="10" t="s">
        <v>17825</v>
      </c>
      <c r="B16386" s="7" t="str">
        <f>IFERROR(__xludf.DUMMYFUNCTION("SPLIT(A16386,"" "")"),"CN(C)CCN(Cc1cccnc1)c1cccc2ncc(CF)cc12")</f>
        <v>CN(C)CCN(Cc1cccnc1)c1cccc2ncc(CF)cc12</v>
      </c>
      <c r="C16386" s="7">
        <f>IFERROR(__xludf.DUMMYFUNCTION("""COMPUTED_VALUE"""),7.7369494)</f>
        <v>7.7369494</v>
      </c>
      <c r="D16386" s="7">
        <f>IFERROR(__xludf.DUMMYFUNCTION("""COMPUTED_VALUE"""),0.298245614035087)</f>
        <v>0.298245614</v>
      </c>
    </row>
    <row r="16387">
      <c r="A16387" s="10" t="s">
        <v>17826</v>
      </c>
      <c r="B16387" s="7" t="str">
        <f>IFERROR(__xludf.DUMMYFUNCTION("SPLIT(A16387,"" "")"),"Cc1ccc(CN(C)c2ccccc2-c2cc(CN(Cc3ccccn3)C(C)C)ccn2)nc1C")</f>
        <v>Cc1ccc(CN(C)c2ccccc2-c2cc(CN(Cc3ccccn3)C(C)C)ccn2)nc1C</v>
      </c>
      <c r="C16387" s="7">
        <f>IFERROR(__xludf.DUMMYFUNCTION("""COMPUTED_VALUE"""),7.736943)</f>
        <v>7.736943</v>
      </c>
      <c r="D16387" s="7">
        <f>IFERROR(__xludf.DUMMYFUNCTION("""COMPUTED_VALUE"""),0.413793103448275)</f>
        <v>0.4137931034</v>
      </c>
    </row>
    <row r="16388">
      <c r="A16388" s="10" t="s">
        <v>17827</v>
      </c>
      <c r="B16388" s="7" t="str">
        <f>IFERROR(__xludf.DUMMYFUNCTION("SPLIT(A16388,"" "")"),"CN(C)c1cccc(-c2cccnc2CN(Cc2ccc(F)nc2)Cc2cccc(F)n2)c1")</f>
        <v>CN(C)c1cccc(-c2cccnc2CN(Cc2ccc(F)nc2)Cc2cccc(F)n2)c1</v>
      </c>
      <c r="C16388" s="7">
        <f>IFERROR(__xludf.DUMMYFUNCTION("""COMPUTED_VALUE"""),7.7369356)</f>
        <v>7.7369356</v>
      </c>
      <c r="D16388" s="7">
        <f>IFERROR(__xludf.DUMMYFUNCTION("""COMPUTED_VALUE"""),0.323943661971831)</f>
        <v>0.323943662</v>
      </c>
    </row>
    <row r="16389">
      <c r="A16389" s="10" t="s">
        <v>17828</v>
      </c>
      <c r="B16389" s="7" t="str">
        <f>IFERROR(__xludf.DUMMYFUNCTION("SPLIT(A16389,"" "")"),"Cc1ccc(-c2cc(CN(C)Cc3ccccn3)ccn2)c(C)c1C")</f>
        <v>Cc1ccc(-c2cc(CN(C)Cc3ccccn3)ccn2)c(C)c1C</v>
      </c>
      <c r="C16389" s="7">
        <f>IFERROR(__xludf.DUMMYFUNCTION("""COMPUTED_VALUE"""),7.736927)</f>
        <v>7.736927</v>
      </c>
      <c r="D16389" s="7">
        <f>IFERROR(__xludf.DUMMYFUNCTION("""COMPUTED_VALUE"""),0.489795918367346)</f>
        <v>0.4897959184</v>
      </c>
    </row>
    <row r="16390">
      <c r="A16390" s="10" t="s">
        <v>17829</v>
      </c>
      <c r="B16390" s="7" t="str">
        <f>IFERROR(__xludf.DUMMYFUNCTION("SPLIT(A16390,"" "")"),"CN(C)c1cccc(-c2cc(CN(C)C3CCC(N(C)c4ccc5nccc(CF)c5c4)CC3)ccn2)c1")</f>
        <v>CN(C)c1cccc(-c2cc(CN(C)C3CCC(N(C)c4ccc5nccc(CF)c5c4)CC3)ccn2)c1</v>
      </c>
      <c r="C16390" s="7">
        <f>IFERROR(__xludf.DUMMYFUNCTION("""COMPUTED_VALUE"""),7.736926)</f>
        <v>7.736926</v>
      </c>
      <c r="D16390" s="7">
        <f>IFERROR(__xludf.DUMMYFUNCTION("""COMPUTED_VALUE"""),0.222222222222222)</f>
        <v>0.2222222222</v>
      </c>
    </row>
    <row r="16391">
      <c r="A16391" s="10" t="s">
        <v>17830</v>
      </c>
      <c r="B16391" s="7" t="str">
        <f>IFERROR(__xludf.DUMMYFUNCTION("SPLIT(A16391,"" "")"),"CC(C)N(Cc1ccccn1)c1cccc(-c2ccccn2)c1")</f>
        <v>CC(C)N(Cc1ccccn1)c1cccc(-c2ccccn2)c1</v>
      </c>
      <c r="C16391" s="7">
        <f>IFERROR(__xludf.DUMMYFUNCTION("""COMPUTED_VALUE"""),7.7369237)</f>
        <v>7.7369237</v>
      </c>
      <c r="D16391" s="7">
        <f>IFERROR(__xludf.DUMMYFUNCTION("""COMPUTED_VALUE"""),0.477272727272727)</f>
        <v>0.4772727273</v>
      </c>
    </row>
    <row r="16392">
      <c r="A16392" s="10" t="s">
        <v>17831</v>
      </c>
      <c r="B16392" s="7" t="str">
        <f>IFERROR(__xludf.DUMMYFUNCTION("SPLIT(A16392,"" "")"),"CCN(Cc1ccccn1)c1cccnc1CN(Cc1ccccn1)Cc1ncccc1-c1ccccc1N=Cc1ccccn1")</f>
        <v>CCN(Cc1ccccn1)c1cccnc1CN(Cc1ccccn1)Cc1ncccc1-c1ccccc1N=Cc1ccccn1</v>
      </c>
      <c r="C16392" s="7">
        <f>IFERROR(__xludf.DUMMYFUNCTION("""COMPUTED_VALUE"""),7.7369237)</f>
        <v>7.7369237</v>
      </c>
      <c r="D16392" s="7">
        <f>IFERROR(__xludf.DUMMYFUNCTION("""COMPUTED_VALUE"""),0.377358490566037)</f>
        <v>0.3773584906</v>
      </c>
    </row>
    <row r="16393">
      <c r="A16393" s="10" t="s">
        <v>17832</v>
      </c>
      <c r="B16393" s="7" t="str">
        <f>IFERROR(__xludf.DUMMYFUNCTION("SPLIT(A16393,"" "")"),"CCOC1(C)N=COC1c1cc(CN(Cc2ccccn2)Cc2cc(-c3ccccc3N=Cc3ccccn3)ccn2)ccn1")</f>
        <v>CCOC1(C)N=COC1c1cc(CN(Cc2ccccn2)Cc2cc(-c3ccccc3N=Cc3ccccn3)ccn2)ccn1</v>
      </c>
      <c r="C16393" s="7">
        <f>IFERROR(__xludf.DUMMYFUNCTION("""COMPUTED_VALUE"""),7.7369113)</f>
        <v>7.7369113</v>
      </c>
      <c r="D16393" s="7">
        <f>IFERROR(__xludf.DUMMYFUNCTION("""COMPUTED_VALUE"""),0.2875)</f>
        <v>0.2875</v>
      </c>
    </row>
    <row r="16394">
      <c r="A16394" s="10" t="s">
        <v>17833</v>
      </c>
      <c r="B16394" s="7" t="str">
        <f>IFERROR(__xludf.DUMMYFUNCTION("SPLIT(A16394,"" "")"),"CN(Cc1cc(-c2cccc(N=Cc3ccccn3)c2)ccn1)C1C=CNC(C(C)(C)C)=C1")</f>
        <v>CN(Cc1cc(-c2cccc(N=Cc3ccccn3)c2)ccn1)C1C=CNC(C(C)(C)C)=C1</v>
      </c>
      <c r="C16394" s="7">
        <f>IFERROR(__xludf.DUMMYFUNCTION("""COMPUTED_VALUE"""),7.7369018)</f>
        <v>7.7369018</v>
      </c>
      <c r="D16394" s="7">
        <f>IFERROR(__xludf.DUMMYFUNCTION("""COMPUTED_VALUE"""),0.314285714285714)</f>
        <v>0.3142857143</v>
      </c>
    </row>
    <row r="16395">
      <c r="A16395" s="10" t="s">
        <v>17834</v>
      </c>
      <c r="B16395" s="7" t="str">
        <f>IFERROR(__xludf.DUMMYFUNCTION("SPLIT(A16395,"" "")"),"CN(c1ccc2c(CF)ccnc2c1)C1CCC(N(C)c2cccc3nc4c(cc23)CCCC4)CC1")</f>
        <v>CN(c1ccc2c(CF)ccnc2c1)C1CCC(N(C)c2cccc3nc4c(cc23)CCCC4)CC1</v>
      </c>
      <c r="C16395" s="7">
        <f>IFERROR(__xludf.DUMMYFUNCTION("""COMPUTED_VALUE"""),7.736897)</f>
        <v>7.736897</v>
      </c>
      <c r="D16395" s="7">
        <f>IFERROR(__xludf.DUMMYFUNCTION("""COMPUTED_VALUE"""),0.376811594202898)</f>
        <v>0.3768115942</v>
      </c>
    </row>
    <row r="16396">
      <c r="A16396" s="10" t="s">
        <v>17835</v>
      </c>
      <c r="B16396" s="7" t="str">
        <f>IFERROR(__xludf.DUMMYFUNCTION("SPLIT(A16396,"" "")"),"CC(C)N(C)CC1=C(N(C)c2ccc3cccnc3c2)CC=CN1")</f>
        <v>CC(C)N(C)CC1=C(N(C)c2ccc3cccnc3c2)CC=CN1</v>
      </c>
      <c r="C16396" s="7">
        <f>IFERROR(__xludf.DUMMYFUNCTION("""COMPUTED_VALUE"""),7.7368965)</f>
        <v>7.7368965</v>
      </c>
      <c r="D16396" s="7">
        <f>IFERROR(__xludf.DUMMYFUNCTION("""COMPUTED_VALUE"""),0.278688524590163)</f>
        <v>0.2786885246</v>
      </c>
    </row>
    <row r="16397">
      <c r="A16397" s="10" t="s">
        <v>17836</v>
      </c>
      <c r="B16397" s="7" t="str">
        <f>IFERROR(__xludf.DUMMYFUNCTION("SPLIT(A16397,"" "")"),"Cc1ccc2ncccc2c1CN(C)Cc1ccccn1")</f>
        <v>Cc1ccc2ncccc2c1CN(C)Cc1ccccn1</v>
      </c>
      <c r="C16397" s="7">
        <f>IFERROR(__xludf.DUMMYFUNCTION("""COMPUTED_VALUE"""),7.736893)</f>
        <v>7.736893</v>
      </c>
      <c r="D16397" s="7">
        <f>IFERROR(__xludf.DUMMYFUNCTION("""COMPUTED_VALUE"""),0.478260869565217)</f>
        <v>0.4782608696</v>
      </c>
    </row>
    <row r="16398">
      <c r="A16398" s="10" t="s">
        <v>17837</v>
      </c>
      <c r="B16398" s="7" t="str">
        <f>IFERROR(__xludf.DUMMYFUNCTION("SPLIT(A16398,"" "")"),"Cc1ccc(-c2ccc(C)c(CN(C)Cc3cc(N)ccn3)n2)c(NCc2ccccn2)c1")</f>
        <v>Cc1ccc(-c2ccc(C)c(CN(C)Cc3cc(N)ccn3)n2)c(NCc2ccccn2)c1</v>
      </c>
      <c r="C16398" s="7">
        <f>IFERROR(__xludf.DUMMYFUNCTION("""COMPUTED_VALUE"""),7.7368927)</f>
        <v>7.7368927</v>
      </c>
      <c r="D16398" s="7">
        <f>IFERROR(__xludf.DUMMYFUNCTION("""COMPUTED_VALUE"""),0.353846153846153)</f>
        <v>0.3538461538</v>
      </c>
    </row>
    <row r="16399">
      <c r="A16399" s="10" t="s">
        <v>17838</v>
      </c>
      <c r="B16399" s="7" t="str">
        <f>IFERROR(__xludf.DUMMYFUNCTION("SPLIT(A16399,"" "")"),"Cc1cnc(CN(C)c2cccc(-c3cccc(CN(Cc4ccccn4)C(C)C)n3)c2)c(C)c1C")</f>
        <v>Cc1cnc(CN(C)c2cccc(-c3cccc(CN(Cc4ccccn4)C(C)C)n3)c2)c(C)c1C</v>
      </c>
      <c r="C16399" s="7">
        <f>IFERROR(__xludf.DUMMYFUNCTION("""COMPUTED_VALUE"""),7.736889)</f>
        <v>7.736889</v>
      </c>
      <c r="D16399" s="7">
        <f>IFERROR(__xludf.DUMMYFUNCTION("""COMPUTED_VALUE"""),0.446153846153846)</f>
        <v>0.4461538462</v>
      </c>
    </row>
    <row r="16400">
      <c r="A16400" s="10" t="s">
        <v>17839</v>
      </c>
      <c r="B16400" s="7" t="str">
        <f>IFERROR(__xludf.DUMMYFUNCTION("SPLIT(A16400,"" "")"),"Cc1ccc(CN(Cc2cc(-c3cccc(N(C)C)c3)ccn2)Cc2cccc(F)n2)nc1")</f>
        <v>Cc1ccc(CN(Cc2cc(-c3cccc(N(C)C)c3)ccn2)Cc2cccc(F)n2)nc1</v>
      </c>
      <c r="C16400" s="7">
        <f>IFERROR(__xludf.DUMMYFUNCTION("""COMPUTED_VALUE"""),7.736888)</f>
        <v>7.736888</v>
      </c>
      <c r="D16400" s="7">
        <f>IFERROR(__xludf.DUMMYFUNCTION("""COMPUTED_VALUE"""),0.388888888888888)</f>
        <v>0.3888888889</v>
      </c>
    </row>
    <row r="16401">
      <c r="A16401" s="10" t="s">
        <v>17840</v>
      </c>
      <c r="B16401" s="7" t="str">
        <f>IFERROR(__xludf.DUMMYFUNCTION("SPLIT(A16401,"" "")"),"CCc1cccc(CN(C)Cc2cccc(-c3cccc(N=Cc4ccccn4)c3)n2)n1")</f>
        <v>CCc1cccc(CN(C)Cc2cccc(-c3cccc(N=Cc4ccccn4)c3)n2)n1</v>
      </c>
      <c r="C16401" s="7">
        <f>IFERROR(__xludf.DUMMYFUNCTION("""COMPUTED_VALUE"""),7.7368836)</f>
        <v>7.7368836</v>
      </c>
      <c r="D16401" s="7">
        <f>IFERROR(__xludf.DUMMYFUNCTION("""COMPUTED_VALUE"""),0.472727272727272)</f>
        <v>0.4727272727</v>
      </c>
    </row>
    <row r="16402">
      <c r="A16402" s="10" t="s">
        <v>17841</v>
      </c>
      <c r="B16402" s="7" t="str">
        <f>IFERROR(__xludf.DUMMYFUNCTION("SPLIT(A16402,"" "")"),"Cc1ccc2nc(CN(C)Cc3cccc(N)n3)ccc2c1")</f>
        <v>Cc1ccc2nc(CN(C)Cc3cccc(N)n3)ccc2c1</v>
      </c>
      <c r="C16402" s="7">
        <f>IFERROR(__xludf.DUMMYFUNCTION("""COMPUTED_VALUE"""),7.7368755)</f>
        <v>7.7368755</v>
      </c>
      <c r="D16402" s="7">
        <f>IFERROR(__xludf.DUMMYFUNCTION("""COMPUTED_VALUE"""),0.441860465116279)</f>
        <v>0.4418604651</v>
      </c>
    </row>
    <row r="16403">
      <c r="A16403" s="10" t="s">
        <v>17842</v>
      </c>
      <c r="B16403" s="7" t="str">
        <f>IFERROR(__xludf.DUMMYFUNCTION("SPLIT(A16403,"" "")"),"CN(C)c1ccc(-c2ccnc(CN(C)C(C)(C)c3ccccn3)c2)cc1")</f>
        <v>CN(C)c1ccc(-c2ccnc(CN(C)C(C)(C)c3ccccn3)c2)cc1</v>
      </c>
      <c r="C16403" s="7">
        <f>IFERROR(__xludf.DUMMYFUNCTION("""COMPUTED_VALUE"""),7.736874)</f>
        <v>7.736874</v>
      </c>
      <c r="D16403" s="7">
        <f>IFERROR(__xludf.DUMMYFUNCTION("""COMPUTED_VALUE"""),0.365384615384615)</f>
        <v>0.3653846154</v>
      </c>
    </row>
    <row r="16404">
      <c r="A16404" s="10" t="s">
        <v>17843</v>
      </c>
      <c r="B16404" s="7" t="str">
        <f>IFERROR(__xludf.DUMMYFUNCTION("SPLIT(A16404,"" "")"),"Cc1ccc2nc(CN(C)Cc3ncccc3C)ccc2c1")</f>
        <v>Cc1ccc2nc(CN(C)Cc3ncccc3C)ccc2c1</v>
      </c>
      <c r="C16404" s="7">
        <f>IFERROR(__xludf.DUMMYFUNCTION("""COMPUTED_VALUE"""),7.736868)</f>
        <v>7.736868</v>
      </c>
      <c r="D16404" s="7">
        <f>IFERROR(__xludf.DUMMYFUNCTION("""COMPUTED_VALUE"""),0.382978723404255)</f>
        <v>0.3829787234</v>
      </c>
    </row>
    <row r="16405">
      <c r="A16405" s="10" t="s">
        <v>17844</v>
      </c>
      <c r="B16405" s="7" t="str">
        <f>IFERROR(__xludf.DUMMYFUNCTION("SPLIT(A16405,"" "")"),"CN(c1cccc2nc3c(cc12)CCCC3)C1CCC(N(C)c2cccc3c(CF)ccnc23)CC1")</f>
        <v>CN(c1cccc2nc3c(cc12)CCCC3)C1CCC(N(C)c2cccc3c(CF)ccnc23)CC1</v>
      </c>
      <c r="C16405" s="7">
        <f>IFERROR(__xludf.DUMMYFUNCTION("""COMPUTED_VALUE"""),7.7368665)</f>
        <v>7.7368665</v>
      </c>
      <c r="D16405" s="7">
        <f>IFERROR(__xludf.DUMMYFUNCTION("""COMPUTED_VALUE"""),0.43076923076923)</f>
        <v>0.4307692308</v>
      </c>
    </row>
    <row r="16406">
      <c r="A16406" s="10" t="s">
        <v>17845</v>
      </c>
      <c r="B16406" s="7" t="str">
        <f>IFERROR(__xludf.DUMMYFUNCTION("SPLIT(A16406,"" "")"),"CC(C)N(C)CC1=CCC=C(N(C)c2ccc3ccc(CF)nc3c2)N1")</f>
        <v>CC(C)N(C)CC1=CCC=C(N(C)c2ccc3ccc(CF)nc3c2)N1</v>
      </c>
      <c r="C16406" s="7">
        <f>IFERROR(__xludf.DUMMYFUNCTION("""COMPUTED_VALUE"""),7.7368364)</f>
        <v>7.7368364</v>
      </c>
      <c r="D16406" s="7">
        <f>IFERROR(__xludf.DUMMYFUNCTION("""COMPUTED_VALUE"""),0.272727272727272)</f>
        <v>0.2727272727</v>
      </c>
    </row>
    <row r="16407">
      <c r="A16407" s="10" t="s">
        <v>17846</v>
      </c>
      <c r="B16407" s="7" t="str">
        <f>IFERROR(__xludf.DUMMYFUNCTION("SPLIT(A16407,"" "")"),"Cc1cc(CN(C)Cc2ccccn2)c2ncccc2c1")</f>
        <v>Cc1cc(CN(C)Cc2ccccn2)c2ncccc2c1</v>
      </c>
      <c r="C16407" s="7">
        <f>IFERROR(__xludf.DUMMYFUNCTION("""COMPUTED_VALUE"""),7.736832)</f>
        <v>7.736832</v>
      </c>
      <c r="D16407" s="7">
        <f>IFERROR(__xludf.DUMMYFUNCTION("""COMPUTED_VALUE"""),0.5)</f>
        <v>0.5</v>
      </c>
    </row>
    <row r="16408">
      <c r="A16408" s="10" t="s">
        <v>17847</v>
      </c>
      <c r="B16408" s="7" t="str">
        <f>IFERROR(__xludf.DUMMYFUNCTION("SPLIT(A16408,"" "")"),"CC(c1ccccn1)(c1ccccn1)c1cccnc1CN(Cc1cccnc1F)Cc1ncccc1C(C)(c1ccccn1)c1ccccn1")</f>
        <v>CC(c1ccccn1)(c1ccccn1)c1cccnc1CN(Cc1cccnc1F)Cc1ncccc1C(C)(c1ccccn1)c1ccccn1</v>
      </c>
      <c r="C16408" s="7">
        <f>IFERROR(__xludf.DUMMYFUNCTION("""COMPUTED_VALUE"""),7.7368298)</f>
        <v>7.7368298</v>
      </c>
      <c r="D16408" s="7">
        <f>IFERROR(__xludf.DUMMYFUNCTION("""COMPUTED_VALUE"""),0.365384615384615)</f>
        <v>0.3653846154</v>
      </c>
    </row>
    <row r="16409">
      <c r="A16409" s="10" t="s">
        <v>17848</v>
      </c>
      <c r="B16409" s="7" t="str">
        <f>IFERROR(__xludf.DUMMYFUNCTION("SPLIT(A16409,"" "")"),"CCNCc1ccc(-c2cccc(N(C)C)c2)cn1")</f>
        <v>CCNCc1ccc(-c2cccc(N(C)C)c2)cn1</v>
      </c>
      <c r="C16409" s="7">
        <f>IFERROR(__xludf.DUMMYFUNCTION("""COMPUTED_VALUE"""),7.7368255)</f>
        <v>7.7368255</v>
      </c>
      <c r="D16409" s="7">
        <f>IFERROR(__xludf.DUMMYFUNCTION("""COMPUTED_VALUE"""),0.282608695652173)</f>
        <v>0.2826086957</v>
      </c>
    </row>
    <row r="16410">
      <c r="A16410" s="10" t="s">
        <v>17849</v>
      </c>
      <c r="B16410" s="7" t="str">
        <f>IFERROR(__xludf.DUMMYFUNCTION("SPLIT(A16410,"" "")"),"Cc1ccc(C)c(CN(C)CCN(C)c2cccc3nccc(CF)c23)n1")</f>
        <v>Cc1ccc(C)c(CN(C)CCN(C)c2cccc3nccc(CF)c23)n1</v>
      </c>
      <c r="C16410" s="7">
        <f>IFERROR(__xludf.DUMMYFUNCTION("""COMPUTED_VALUE"""),7.7368083)</f>
        <v>7.7368083</v>
      </c>
      <c r="D16410" s="7">
        <f>IFERROR(__xludf.DUMMYFUNCTION("""COMPUTED_VALUE"""),0.37037037037037)</f>
        <v>0.3703703704</v>
      </c>
    </row>
    <row r="16411">
      <c r="A16411" s="10" t="s">
        <v>17850</v>
      </c>
      <c r="B16411" s="7" t="str">
        <f>IFERROR(__xludf.DUMMYFUNCTION("SPLIT(A16411,"" "")"),"Cc1cccnc1CN(C)CCN(C)c1ccc2nccc(CF)c2c1")</f>
        <v>Cc1cccnc1CN(C)CCN(C)c1ccc2nccc(CF)c2c1</v>
      </c>
      <c r="C16411" s="7">
        <f>IFERROR(__xludf.DUMMYFUNCTION("""COMPUTED_VALUE"""),7.7368073)</f>
        <v>7.7368073</v>
      </c>
      <c r="D16411" s="7">
        <f>IFERROR(__xludf.DUMMYFUNCTION("""COMPUTED_VALUE"""),0.327586206896551)</f>
        <v>0.3275862069</v>
      </c>
    </row>
    <row r="16412">
      <c r="A16412" s="10" t="s">
        <v>17851</v>
      </c>
      <c r="B16412" s="7" t="str">
        <f>IFERROR(__xludf.DUMMYFUNCTION("SPLIT(A16412,"" "")"),"CN(CCN(CC(C)(C)C)c1ccc2ncccc2c1)Cc1ccc2ncccc2c1")</f>
        <v>CN(CCN(CC(C)(C)C)c1ccc2ncccc2c1)Cc1ccc2ncccc2c1</v>
      </c>
      <c r="C16412" s="7">
        <f>IFERROR(__xludf.DUMMYFUNCTION("""COMPUTED_VALUE"""),7.736804)</f>
        <v>7.736804</v>
      </c>
      <c r="D16412" s="7">
        <f>IFERROR(__xludf.DUMMYFUNCTION("""COMPUTED_VALUE"""),0.384615384615384)</f>
        <v>0.3846153846</v>
      </c>
    </row>
    <row r="16413">
      <c r="A16413" s="10" t="s">
        <v>17852</v>
      </c>
      <c r="B16413" s="7" t="str">
        <f>IFERROR(__xludf.DUMMYFUNCTION("SPLIT(A16413,"" "")"),"Cc1ccc2ccc(CN(C)Cc3cccc(N)n3)nc2c1")</f>
        <v>Cc1ccc2ccc(CN(C)Cc3cccc(N)n3)nc2c1</v>
      </c>
      <c r="C16413" s="7">
        <f>IFERROR(__xludf.DUMMYFUNCTION("""COMPUTED_VALUE"""),7.736802)</f>
        <v>7.736802</v>
      </c>
      <c r="D16413" s="7">
        <f>IFERROR(__xludf.DUMMYFUNCTION("""COMPUTED_VALUE"""),0.41860465116279)</f>
        <v>0.4186046512</v>
      </c>
    </row>
    <row r="16414">
      <c r="A16414" s="10" t="s">
        <v>17853</v>
      </c>
      <c r="B16414" s="7" t="str">
        <f>IFERROR(__xludf.DUMMYFUNCTION("SPLIT(A16414,"" "")"),"CN(Cc1ccccn1)C1=CNC=C(CN(Cc2ccccn2)Cc2cccc(-c3cccc(N(C)C)c3)n2)C1")</f>
        <v>CN(Cc1ccccn1)C1=CNC=C(CN(Cc2ccccn2)Cc2cccc(-c3cccc(N(C)C)c3)n2)C1</v>
      </c>
      <c r="C16414" s="7">
        <f>IFERROR(__xludf.DUMMYFUNCTION("""COMPUTED_VALUE"""),7.736783)</f>
        <v>7.736783</v>
      </c>
      <c r="D16414" s="7">
        <f>IFERROR(__xludf.DUMMYFUNCTION("""COMPUTED_VALUE"""),0.5)</f>
        <v>0.5</v>
      </c>
    </row>
    <row r="16415">
      <c r="A16415" s="10" t="s">
        <v>17854</v>
      </c>
      <c r="B16415" s="7" t="str">
        <f>IFERROR(__xludf.DUMMYFUNCTION("SPLIT(A16415,"" "")"),"Cc1ccc(CN(C)Cc2cccc(-c3ccc(Cl)c(N)c3)n2)nc1")</f>
        <v>Cc1ccc(CN(C)Cc2cccc(-c3ccc(Cl)c(N)c3)n2)nc1</v>
      </c>
      <c r="C16415" s="7">
        <f>IFERROR(__xludf.DUMMYFUNCTION("""COMPUTED_VALUE"""),7.736778)</f>
        <v>7.736778</v>
      </c>
      <c r="D16415" s="7">
        <f>IFERROR(__xludf.DUMMYFUNCTION("""COMPUTED_VALUE"""),0.448979591836734)</f>
        <v>0.4489795918</v>
      </c>
    </row>
    <row r="16416">
      <c r="A16416" s="10" t="s">
        <v>17855</v>
      </c>
      <c r="B16416" s="7" t="str">
        <f>IFERROR(__xludf.DUMMYFUNCTION("SPLIT(A16416,"" "")"),"Cc1ccnc(CN(Cc2cc(N)ccn2)Cc2ccnc3cc(C)ccc23)c1")</f>
        <v>Cc1ccnc(CN(Cc2cc(N)ccn2)Cc2ccnc3cc(C)ccc23)c1</v>
      </c>
      <c r="C16416" s="7">
        <f>IFERROR(__xludf.DUMMYFUNCTION("""COMPUTED_VALUE"""),7.7367764)</f>
        <v>7.7367764</v>
      </c>
      <c r="D16416" s="7">
        <f>IFERROR(__xludf.DUMMYFUNCTION("""COMPUTED_VALUE"""),0.320754716981132)</f>
        <v>0.320754717</v>
      </c>
    </row>
    <row r="16417">
      <c r="A16417" s="10" t="s">
        <v>17856</v>
      </c>
      <c r="B16417" s="7" t="str">
        <f>IFERROR(__xludf.DUMMYFUNCTION("SPLIT(A16417,"" "")"),"Cc1cc(N)ccc1-c1ncccc1CN(C)Cc1cc(N)ccn1")</f>
        <v>Cc1cc(N)ccc1-c1ncccc1CN(C)Cc1cc(N)ccn1</v>
      </c>
      <c r="C16417" s="7">
        <f>IFERROR(__xludf.DUMMYFUNCTION("""COMPUTED_VALUE"""),7.736773)</f>
        <v>7.736773</v>
      </c>
      <c r="D16417" s="7">
        <f>IFERROR(__xludf.DUMMYFUNCTION("""COMPUTED_VALUE"""),0.333333333333333)</f>
        <v>0.3333333333</v>
      </c>
    </row>
    <row r="16418">
      <c r="A16418" s="10" t="s">
        <v>17857</v>
      </c>
      <c r="B16418" s="7" t="str">
        <f>IFERROR(__xludf.DUMMYFUNCTION("SPLIT(A16418,"" "")"),"Cc1ccc(C2=NC(=O)C(C(C)C3(C)COC(c4cccc(C5=NC(C)(C)CO5)n4)=N3)O2)c(C2CCC2(C)C)n1")</f>
        <v>Cc1ccc(C2=NC(=O)C(C(C)C3(C)COC(c4cccc(C5=NC(C)(C)CO5)n4)=N3)O2)c(C2CCC2(C)C)n1</v>
      </c>
      <c r="C16418" s="7">
        <f>IFERROR(__xludf.DUMMYFUNCTION("""COMPUTED_VALUE"""),7.736767)</f>
        <v>7.736767</v>
      </c>
      <c r="D16418" s="7">
        <f>IFERROR(__xludf.DUMMYFUNCTION("""COMPUTED_VALUE"""),0.412698412698412)</f>
        <v>0.4126984127</v>
      </c>
    </row>
    <row r="16419">
      <c r="A16419" s="10" t="s">
        <v>17858</v>
      </c>
      <c r="B16419" s="7" t="str">
        <f>IFERROR(__xludf.DUMMYFUNCTION("SPLIT(A16419,"" "")"),"Cc1ccc(C)c(CN(C)CCN(C)c2cccc3c(CF)ccnc23)n1")</f>
        <v>Cc1ccc(C)c(CN(C)CCN(C)c2cccc3c(CF)ccnc23)n1</v>
      </c>
      <c r="C16419" s="7">
        <f>IFERROR(__xludf.DUMMYFUNCTION("""COMPUTED_VALUE"""),7.7367663)</f>
        <v>7.7367663</v>
      </c>
      <c r="D16419" s="7">
        <f>IFERROR(__xludf.DUMMYFUNCTION("""COMPUTED_VALUE"""),0.407407407407407)</f>
        <v>0.4074074074</v>
      </c>
    </row>
    <row r="16420">
      <c r="A16420" s="10" t="s">
        <v>17859</v>
      </c>
      <c r="B16420" s="7" t="str">
        <f>IFERROR(__xludf.DUMMYFUNCTION("SPLIT(A16420,"" "")"),"CCN(c1ccc2nc(CF)ccc2c1)C1CCC(N(C)c2ccc3nccc(CF)c3c2)CC1")</f>
        <v>CCN(c1ccc2nc(CF)ccc2c1)C1CCC(N(C)c2ccc3nccc(CF)c3c2)CC1</v>
      </c>
      <c r="C16420" s="7">
        <f>IFERROR(__xludf.DUMMYFUNCTION("""COMPUTED_VALUE"""),7.736763)</f>
        <v>7.736763</v>
      </c>
      <c r="D16420" s="7">
        <f>IFERROR(__xludf.DUMMYFUNCTION("""COMPUTED_VALUE"""),0.304347826086956)</f>
        <v>0.3043478261</v>
      </c>
    </row>
    <row r="16421">
      <c r="A16421" s="10" t="s">
        <v>17860</v>
      </c>
      <c r="B16421" s="7" t="str">
        <f>IFERROR(__xludf.DUMMYFUNCTION("SPLIT(A16421,"" "")"),"CCN(CC1=CC(N(C)Cc2ncccc2C)C=CN1)c1ccc2ncccc2c1")</f>
        <v>CCN(CC1=CC(N(C)Cc2ncccc2C)C=CN1)c1ccc2ncccc2c1</v>
      </c>
      <c r="C16421" s="7">
        <f>IFERROR(__xludf.DUMMYFUNCTION("""COMPUTED_VALUE"""),7.7367625)</f>
        <v>7.7367625</v>
      </c>
      <c r="D16421" s="7">
        <f>IFERROR(__xludf.DUMMYFUNCTION("""COMPUTED_VALUE"""),0.253521126760563)</f>
        <v>0.2535211268</v>
      </c>
    </row>
    <row r="16422">
      <c r="A16422" s="10" t="s">
        <v>17861</v>
      </c>
      <c r="B16422" s="7" t="str">
        <f>IFERROR(__xludf.DUMMYFUNCTION("SPLIT(A16422,"" "")"),"CCN(CC1=CC(N(C)Cc2ncccc2C)C=CN1)c1ccc2cccnc2c1")</f>
        <v>CCN(CC1=CC(N(C)Cc2ncccc2C)C=CN1)c1ccc2cccnc2c1</v>
      </c>
      <c r="C16422" s="7">
        <f>IFERROR(__xludf.DUMMYFUNCTION("""COMPUTED_VALUE"""),7.7367563)</f>
        <v>7.7367563</v>
      </c>
      <c r="D16422" s="7">
        <f>IFERROR(__xludf.DUMMYFUNCTION("""COMPUTED_VALUE"""),0.25)</f>
        <v>0.25</v>
      </c>
    </row>
    <row r="16423">
      <c r="A16423" s="10" t="s">
        <v>17862</v>
      </c>
      <c r="B16423" s="7" t="str">
        <f>IFERROR(__xludf.DUMMYFUNCTION("SPLIT(A16423,"" "")"),"CN(CC1=CNC=C(N(C)Cc2ccccn2)C1)Cc1cccc2cccnc12")</f>
        <v>CN(CC1=CNC=C(N(C)Cc2ccccn2)C1)Cc1cccc2cccnc12</v>
      </c>
      <c r="C16423" s="7">
        <f>IFERROR(__xludf.DUMMYFUNCTION("""COMPUTED_VALUE"""),7.7367535)</f>
        <v>7.7367535</v>
      </c>
      <c r="D16423" s="7">
        <f>IFERROR(__xludf.DUMMYFUNCTION("""COMPUTED_VALUE"""),0.490566037735849)</f>
        <v>0.4905660377</v>
      </c>
    </row>
    <row r="16424">
      <c r="A16424" s="10" t="s">
        <v>17863</v>
      </c>
      <c r="B16424" s="7" t="str">
        <f>IFERROR(__xludf.DUMMYFUNCTION("SPLIT(A16424,"" "")"),"CN(C1=C(CN(Cc2ccccc2)Cc2ccccn2)NC=CC1)c1ccc2ncccc2c1")</f>
        <v>CN(C1=C(CN(Cc2ccccc2)Cc2ccccn2)NC=CC1)c1ccc2ncccc2c1</v>
      </c>
      <c r="C16424" s="7">
        <f>IFERROR(__xludf.DUMMYFUNCTION("""COMPUTED_VALUE"""),7.7367516)</f>
        <v>7.7367516</v>
      </c>
      <c r="D16424" s="7">
        <f>IFERROR(__xludf.DUMMYFUNCTION("""COMPUTED_VALUE"""),0.4)</f>
        <v>0.4</v>
      </c>
    </row>
    <row r="16425">
      <c r="A16425" s="10" t="s">
        <v>17864</v>
      </c>
      <c r="B16425" s="7" t="str">
        <f>IFERROR(__xludf.DUMMYFUNCTION("SPLIT(A16425,"" "")"),"CCN(Cc1ccccn1)c1ccc(-c2ncccc2CN(Cc2ccccn2)Cc2ncc(C)c(C)c2C)c(C)c1C")</f>
        <v>CCN(Cc1ccccn1)c1ccc(-c2ncccc2CN(Cc2ccccn2)Cc2ncc(C)c(C)c2C)c(C)c1C</v>
      </c>
      <c r="C16425" s="7">
        <f>IFERROR(__xludf.DUMMYFUNCTION("""COMPUTED_VALUE"""),7.736746)</f>
        <v>7.736746</v>
      </c>
      <c r="D16425" s="7">
        <f>IFERROR(__xludf.DUMMYFUNCTION("""COMPUTED_VALUE"""),0.37037037037037)</f>
        <v>0.3703703704</v>
      </c>
    </row>
    <row r="16426">
      <c r="A16426" s="10" t="s">
        <v>17865</v>
      </c>
      <c r="B16426" s="7" t="str">
        <f>IFERROR(__xludf.DUMMYFUNCTION("SPLIT(A16426,"" "")"),"CCc1ccccc1C1=NC(c2ccccn2)C(C)O1")</f>
        <v>CCc1ccccc1C1=NC(c2ccccn2)C(C)O1</v>
      </c>
      <c r="C16426" s="7">
        <f>IFERROR(__xludf.DUMMYFUNCTION("""COMPUTED_VALUE"""),7.736745)</f>
        <v>7.736745</v>
      </c>
      <c r="D16426" s="7">
        <f>IFERROR(__xludf.DUMMYFUNCTION("""COMPUTED_VALUE"""),0.25)</f>
        <v>0.25</v>
      </c>
    </row>
    <row r="16427">
      <c r="A16427" s="10" t="s">
        <v>17866</v>
      </c>
      <c r="B16427" s="7" t="str">
        <f>IFERROR(__xludf.DUMMYFUNCTION("SPLIT(A16427,"" "")"),"CNCc1cccc(CNCc2ncccc2-c2cccc(N=Cc3ccccn3)c2)n1")</f>
        <v>CNCc1cccc(CNCc2ncccc2-c2cccc(N=Cc3ccccn3)c2)n1</v>
      </c>
      <c r="C16427" s="7">
        <f>IFERROR(__xludf.DUMMYFUNCTION("""COMPUTED_VALUE"""),7.7367406)</f>
        <v>7.7367406</v>
      </c>
      <c r="D16427" s="7">
        <f>IFERROR(__xludf.DUMMYFUNCTION("""COMPUTED_VALUE"""),0.333333333333333)</f>
        <v>0.3333333333</v>
      </c>
    </row>
    <row r="16428">
      <c r="A16428" s="10" t="s">
        <v>17867</v>
      </c>
      <c r="B16428" s="7" t="str">
        <f>IFERROR(__xludf.DUMMYFUNCTION("SPLIT(A16428,"" "")"),"Cc1cccc2c(CN(C)C3CCCC(N(C)c4ccc5c(CF)ccnc5c4)C3)ccnc12")</f>
        <v>Cc1cccc2c(CN(C)C3CCCC(N(C)c4ccc5c(CF)ccnc5c4)C3)ccnc12</v>
      </c>
      <c r="C16428" s="7">
        <f>IFERROR(__xludf.DUMMYFUNCTION("""COMPUTED_VALUE"""),7.7367334)</f>
        <v>7.7367334</v>
      </c>
      <c r="D16428" s="7">
        <f>IFERROR(__xludf.DUMMYFUNCTION("""COMPUTED_VALUE"""),0.257142857142857)</f>
        <v>0.2571428571</v>
      </c>
    </row>
    <row r="16429">
      <c r="A16429" s="10" t="s">
        <v>17868</v>
      </c>
      <c r="B16429" s="7" t="str">
        <f>IFERROR(__xludf.DUMMYFUNCTION("SPLIT(A16429,"" "")"),"CCC(C)(c1ccccn1)c1cc(CN(Cc2ccccn2)Cc2cc(-c3cccc(N=Cc4ccccn4)c3)ccn2)ccn1")</f>
        <v>CCC(C)(c1ccccn1)c1cc(CN(Cc2ccccn2)Cc2cc(-c3cccc(N=Cc4ccccn4)c3)ccn2)ccn1</v>
      </c>
      <c r="C16429" s="7">
        <f>IFERROR(__xludf.DUMMYFUNCTION("""COMPUTED_VALUE"""),7.736727)</f>
        <v>7.736727</v>
      </c>
      <c r="D16429" s="7">
        <f>IFERROR(__xludf.DUMMYFUNCTION("""COMPUTED_VALUE"""),0.328947368421052)</f>
        <v>0.3289473684</v>
      </c>
    </row>
    <row r="16430">
      <c r="A16430" s="10" t="s">
        <v>17869</v>
      </c>
      <c r="B16430" s="7" t="str">
        <f>IFERROR(__xludf.DUMMYFUNCTION("SPLIT(A16430,"" "")"),"CC1CC=CC2(C=Cc3ccc(C(C)(C)c4cc(-c5cccc(N=Cc6ccccn6)c5)ccn4)cc3C2C)C1C")</f>
        <v>CC1CC=CC2(C=Cc3ccc(C(C)(C)c4cc(-c5cccc(N=Cc6ccccn6)c5)ccn4)cc3C2C)C1C</v>
      </c>
      <c r="C16430" s="7">
        <f>IFERROR(__xludf.DUMMYFUNCTION("""COMPUTED_VALUE"""),7.736725)</f>
        <v>7.736725</v>
      </c>
      <c r="D16430" s="7">
        <f>IFERROR(__xludf.DUMMYFUNCTION("""COMPUTED_VALUE"""),0.265822784810126)</f>
        <v>0.2658227848</v>
      </c>
    </row>
    <row r="16431">
      <c r="A16431" s="10" t="s">
        <v>17870</v>
      </c>
      <c r="B16431" s="7" t="str">
        <f>IFERROR(__xludf.DUMMYFUNCTION("SPLIT(A16431,"" "")"),"CC(C)N(C)CC1=CCC(N(C)c2ccc3cccnc3c2)=CN1")</f>
        <v>CC(C)N(C)CC1=CCC(N(C)c2ccc3cccnc3c2)=CN1</v>
      </c>
      <c r="C16431" s="7">
        <f>IFERROR(__xludf.DUMMYFUNCTION("""COMPUTED_VALUE"""),7.7367105)</f>
        <v>7.7367105</v>
      </c>
      <c r="D16431" s="7">
        <f>IFERROR(__xludf.DUMMYFUNCTION("""COMPUTED_VALUE"""),0.278688524590163)</f>
        <v>0.2786885246</v>
      </c>
    </row>
    <row r="16432">
      <c r="A16432" s="10" t="s">
        <v>17871</v>
      </c>
      <c r="B16432" s="7" t="str">
        <f>IFERROR(__xludf.DUMMYFUNCTION("SPLIT(A16432,"" "")"),"Cc1ccc2nc(CN(C)Cc3cc(N)ccn3)ccc2c1")</f>
        <v>Cc1ccc2nc(CN(C)Cc3cc(N)ccn3)ccc2c1</v>
      </c>
      <c r="C16432" s="7">
        <f>IFERROR(__xludf.DUMMYFUNCTION("""COMPUTED_VALUE"""),7.7367067)</f>
        <v>7.7367067</v>
      </c>
      <c r="D16432" s="7">
        <f>IFERROR(__xludf.DUMMYFUNCTION("""COMPUTED_VALUE"""),0.391304347826087)</f>
        <v>0.3913043478</v>
      </c>
    </row>
    <row r="16433">
      <c r="A16433" s="10" t="s">
        <v>17872</v>
      </c>
      <c r="B16433" s="7" t="str">
        <f>IFERROR(__xludf.DUMMYFUNCTION("SPLIT(A16433,"" "")"),"CC(C)C(C)(c1cccnc1)c1cccc(CN(Cc2ccccn2)C2CCC(N(C)c3ccc4nc(-c5ccc6ncccc6c5)ccc4c3)CC2)n1")</f>
        <v>CC(C)C(C)(c1cccnc1)c1cccc(CN(Cc2ccccn2)C2CCC(N(C)c3ccc4nc(-c5ccc6ncccc6c5)ccc4c3)CC2)n1</v>
      </c>
      <c r="C16433" s="7">
        <f>IFERROR(__xludf.DUMMYFUNCTION("""COMPUTED_VALUE"""),7.7366977)</f>
        <v>7.7366977</v>
      </c>
      <c r="D16433" s="7">
        <f>IFERROR(__xludf.DUMMYFUNCTION("""COMPUTED_VALUE"""),0.295454545454545)</f>
        <v>0.2954545455</v>
      </c>
    </row>
    <row r="16434">
      <c r="A16434" s="10" t="s">
        <v>17873</v>
      </c>
      <c r="B16434" s="7" t="str">
        <f>IFERROR(__xludf.DUMMYFUNCTION("SPLIT(A16434,"" "")"),"Cc1ccc(N(C)Cc2cc(C(C)(C)c3ccccn3)ccn2)c(C)c1")</f>
        <v>Cc1ccc(N(C)Cc2cc(C(C)(C)c3ccccn3)ccn2)c(C)c1</v>
      </c>
      <c r="C16434" s="7">
        <f>IFERROR(__xludf.DUMMYFUNCTION("""COMPUTED_VALUE"""),7.7366962)</f>
        <v>7.7366962</v>
      </c>
      <c r="D16434" s="7">
        <f>IFERROR(__xludf.DUMMYFUNCTION("""COMPUTED_VALUE"""),0.431372549019607)</f>
        <v>0.431372549</v>
      </c>
    </row>
    <row r="16435">
      <c r="A16435" s="10" t="s">
        <v>17874</v>
      </c>
      <c r="B16435" s="7" t="str">
        <f>IFERROR(__xludf.DUMMYFUNCTION("SPLIT(A16435,"" "")"),"CCNCc1cccc(-c2ccc(N=Cc3ccccn3)cc2)n1")</f>
        <v>CCNCc1cccc(-c2ccc(N=Cc3ccccn3)cc2)n1</v>
      </c>
      <c r="C16435" s="7">
        <f>IFERROR(__xludf.DUMMYFUNCTION("""COMPUTED_VALUE"""),7.73669)</f>
        <v>7.73669</v>
      </c>
      <c r="D16435" s="7">
        <f>IFERROR(__xludf.DUMMYFUNCTION("""COMPUTED_VALUE"""),0.381818181818181)</f>
        <v>0.3818181818</v>
      </c>
    </row>
    <row r="16436">
      <c r="A16436" s="10" t="s">
        <v>17875</v>
      </c>
      <c r="B16436" s="7" t="str">
        <f>IFERROR(__xludf.DUMMYFUNCTION("SPLIT(A16436,"" "")"),"CN(C)c1cccc(-c2ccnc(CN(Cc3ccccn3)Cc3cccc(C(C)(C)c4ccccn4)n3)c2)c1")</f>
        <v>CN(C)c1cccc(-c2ccnc(CN(Cc3ccccn3)Cc3cccc(C(C)(C)c4ccccn4)n3)c2)c1</v>
      </c>
      <c r="C16436" s="7">
        <f>IFERROR(__xludf.DUMMYFUNCTION("""COMPUTED_VALUE"""),7.7366853)</f>
        <v>7.7366853</v>
      </c>
      <c r="D16436" s="7">
        <f>IFERROR(__xludf.DUMMYFUNCTION("""COMPUTED_VALUE"""),0.435483870967741)</f>
        <v>0.435483871</v>
      </c>
    </row>
    <row r="16437">
      <c r="A16437" s="10" t="s">
        <v>17876</v>
      </c>
      <c r="B16437" s="7" t="str">
        <f>IFERROR(__xludf.DUMMYFUNCTION("SPLIT(A16437,"" "")"),"Cc1cnc(C2CCC2(C)C)c(C)c1C1=NC(C(C)C2(C)N=COC2c2ncccc2C2=NC(C)(C)CO2)C(=O)O1")</f>
        <v>Cc1cnc(C2CCC2(C)C)c(C)c1C1=NC(C(C)C2(C)N=COC2c2ncccc2C2=NC(C)(C)CO2)C(=O)O1</v>
      </c>
      <c r="C16437" s="7">
        <f>IFERROR(__xludf.DUMMYFUNCTION("""COMPUTED_VALUE"""),7.7366767)</f>
        <v>7.7366767</v>
      </c>
      <c r="D16437" s="7">
        <f>IFERROR(__xludf.DUMMYFUNCTION("""COMPUTED_VALUE"""),0.23170731707317)</f>
        <v>0.2317073171</v>
      </c>
    </row>
    <row r="16438">
      <c r="A16438" s="10" t="s">
        <v>17877</v>
      </c>
      <c r="B16438" s="7" t="str">
        <f>IFERROR(__xludf.DUMMYFUNCTION("SPLIT(A16438,"" "")"),"CC(C)N(C)CC1=C(N(C)c2cccc3ncccc23)CC=CN1")</f>
        <v>CC(C)N(C)CC1=C(N(C)c2cccc3ncccc23)CC=CN1</v>
      </c>
      <c r="C16438" s="7">
        <f>IFERROR(__xludf.DUMMYFUNCTION("""COMPUTED_VALUE"""),7.736676)</f>
        <v>7.736676</v>
      </c>
      <c r="D16438" s="7">
        <f>IFERROR(__xludf.DUMMYFUNCTION("""COMPUTED_VALUE"""),0.288135593220339)</f>
        <v>0.2881355932</v>
      </c>
    </row>
    <row r="16439">
      <c r="A16439" s="10" t="s">
        <v>17878</v>
      </c>
      <c r="B16439" s="7" t="str">
        <f>IFERROR(__xludf.DUMMYFUNCTION("SPLIT(A16439,"" "")"),"CCOC(=O)c1cccc(-c2cccc(C(C)NCc3ccccn3)n2)n1")</f>
        <v>CCOC(=O)c1cccc(-c2cccc(C(C)NCc3ccccn3)n2)n1</v>
      </c>
      <c r="C16439" s="7">
        <f>IFERROR(__xludf.DUMMYFUNCTION("""COMPUTED_VALUE"""),7.736676)</f>
        <v>7.736676</v>
      </c>
      <c r="D16439" s="7">
        <f>IFERROR(__xludf.DUMMYFUNCTION("""COMPUTED_VALUE"""),0.333333333333333)</f>
        <v>0.3333333333</v>
      </c>
    </row>
    <row r="16440">
      <c r="A16440" s="10" t="s">
        <v>17879</v>
      </c>
      <c r="B16440" s="7" t="str">
        <f>IFERROR(__xludf.DUMMYFUNCTION("SPLIT(A16440,"" "")"),"CC(C)c1cc(CNc2ccccc2-c2ccc(C(C)(C)C)cn2)ccn1")</f>
        <v>CC(C)c1cc(CNc2ccccc2-c2ccc(C(C)(C)C)cn2)ccn1</v>
      </c>
      <c r="C16440" s="7">
        <f>IFERROR(__xludf.DUMMYFUNCTION("""COMPUTED_VALUE"""),7.736674)</f>
        <v>7.736674</v>
      </c>
      <c r="D16440" s="7">
        <f>IFERROR(__xludf.DUMMYFUNCTION("""COMPUTED_VALUE"""),0.217391304347826)</f>
        <v>0.2173913043</v>
      </c>
    </row>
    <row r="16441">
      <c r="A16441" s="10" t="s">
        <v>17880</v>
      </c>
      <c r="B16441" s="7" t="str">
        <f>IFERROR(__xludf.DUMMYFUNCTION("SPLIT(A16441,"" "")"),"C=Nc1ccccc1-c1cccc(CN(C)Cc2ncc(C)cc2C)n1")</f>
        <v>C=Nc1ccccc1-c1cccc(CN(C)Cc2ncc(C)cc2C)n1</v>
      </c>
      <c r="C16441" s="7">
        <f>IFERROR(__xludf.DUMMYFUNCTION("""COMPUTED_VALUE"""),7.73667)</f>
        <v>7.73667</v>
      </c>
      <c r="D16441" s="7">
        <f>IFERROR(__xludf.DUMMYFUNCTION("""COMPUTED_VALUE"""),0.410714285714285)</f>
        <v>0.4107142857</v>
      </c>
    </row>
    <row r="16442">
      <c r="A16442" s="10" t="s">
        <v>17881</v>
      </c>
      <c r="B16442" s="7" t="str">
        <f>IFERROR(__xludf.DUMMYFUNCTION("SPLIT(A16442,"" "")"),"CCN(Cc1ccccn1)C1=CCC(N(C)C(C)(C)c2ccccn2)C(C)=C1c1ccc2cccnc2c1")</f>
        <v>CCN(Cc1ccccn1)C1=CCC(N(C)C(C)(C)c2ccccn2)C(C)=C1c1ccc2cccnc2c1</v>
      </c>
      <c r="C16442" s="7">
        <f>IFERROR(__xludf.DUMMYFUNCTION("""COMPUTED_VALUE"""),7.736669)</f>
        <v>7.736669</v>
      </c>
      <c r="D16442" s="7">
        <f>IFERROR(__xludf.DUMMYFUNCTION("""COMPUTED_VALUE"""),0.314285714285714)</f>
        <v>0.3142857143</v>
      </c>
    </row>
    <row r="16443">
      <c r="A16443" s="10" t="s">
        <v>17882</v>
      </c>
      <c r="B16443" s="7" t="str">
        <f>IFERROR(__xludf.DUMMYFUNCTION("SPLIT(A16443,"" "")"),"CN(c1ccc2nccc(CF)c2c1)C1CCCC(N(C)c2cccc3cc4c(nc23)CCCC4)C1")</f>
        <v>CN(c1ccc2nccc(CF)c2c1)C1CCCC(N(C)c2cccc3cc4c(nc23)CCCC4)C1</v>
      </c>
      <c r="C16443" s="7">
        <f>IFERROR(__xludf.DUMMYFUNCTION("""COMPUTED_VALUE"""),7.736665)</f>
        <v>7.736665</v>
      </c>
      <c r="D16443" s="7">
        <f>IFERROR(__xludf.DUMMYFUNCTION("""COMPUTED_VALUE"""),0.5)</f>
        <v>0.5</v>
      </c>
    </row>
    <row r="16444">
      <c r="A16444" s="10" t="s">
        <v>17883</v>
      </c>
      <c r="B16444" s="7" t="str">
        <f>IFERROR(__xludf.DUMMYFUNCTION("SPLIT(A16444,"" "")"),"Cc1cccnc1CN(C)CCN(C)c1cccc2ncccc12")</f>
        <v>Cc1cccnc1CN(C)CCN(C)c1cccc2ncccc12</v>
      </c>
      <c r="C16444" s="7">
        <f>IFERROR(__xludf.DUMMYFUNCTION("""COMPUTED_VALUE"""),7.7366624)</f>
        <v>7.7366624</v>
      </c>
      <c r="D16444" s="7">
        <f>IFERROR(__xludf.DUMMYFUNCTION("""COMPUTED_VALUE"""),0.456521739130434)</f>
        <v>0.4565217391</v>
      </c>
    </row>
    <row r="16445">
      <c r="A16445" s="10" t="s">
        <v>17884</v>
      </c>
      <c r="B16445" s="7" t="str">
        <f>IFERROR(__xludf.DUMMYFUNCTION("SPLIT(A16445,"" "")"),"CC(C)N(C)CC1=C(N(C)c2ccc3c(CF)ccnc3c2)CC=CN1")</f>
        <v>CC(C)N(C)CC1=C(N(C)c2ccc3c(CF)ccnc3c2)CC=CN1</v>
      </c>
      <c r="C16445" s="7">
        <f>IFERROR(__xludf.DUMMYFUNCTION("""COMPUTED_VALUE"""),7.736654)</f>
        <v>7.736654</v>
      </c>
      <c r="D16445" s="7">
        <f>IFERROR(__xludf.DUMMYFUNCTION("""COMPUTED_VALUE"""),0.211267605633802)</f>
        <v>0.2112676056</v>
      </c>
    </row>
    <row r="16446">
      <c r="A16446" s="10" t="s">
        <v>17885</v>
      </c>
      <c r="B16446" s="7" t="str">
        <f>IFERROR(__xludf.DUMMYFUNCTION("SPLIT(A16446,"" "")"),"CN(c1cccc2ncccc12)C1CCCCC1Nc1ccc2cccnc2c1")</f>
        <v>CN(c1cccc2ncccc12)C1CCCCC1Nc1ccc2cccnc2c1</v>
      </c>
      <c r="C16446" s="7">
        <f>IFERROR(__xludf.DUMMYFUNCTION("""COMPUTED_VALUE"""),7.7366533)</f>
        <v>7.7366533</v>
      </c>
      <c r="D16446" s="7">
        <f>IFERROR(__xludf.DUMMYFUNCTION("""COMPUTED_VALUE"""),0.472727272727272)</f>
        <v>0.4727272727</v>
      </c>
    </row>
    <row r="16447">
      <c r="A16447" s="10" t="s">
        <v>17886</v>
      </c>
      <c r="B16447" s="7" t="str">
        <f>IFERROR(__xludf.DUMMYFUNCTION("SPLIT(A16447,"" "")"),"Cc1ccc(CN(Cc2ccccn2)Cc2cccc(-c3ccccc3N=Cc3ccccn3)n2)nc1")</f>
        <v>Cc1ccc(CN(Cc2ccccn2)Cc2cccc(-c3ccccc3N=Cc3ccccn3)n2)nc1</v>
      </c>
      <c r="C16447" s="7">
        <f>IFERROR(__xludf.DUMMYFUNCTION("""COMPUTED_VALUE"""),7.736653)</f>
        <v>7.736653</v>
      </c>
      <c r="D16447" s="7">
        <f>IFERROR(__xludf.DUMMYFUNCTION("""COMPUTED_VALUE"""),0.43103448275862)</f>
        <v>0.4310344828</v>
      </c>
    </row>
    <row r="16448">
      <c r="A16448" s="10" t="s">
        <v>17887</v>
      </c>
      <c r="B16448" s="7" t="str">
        <f>IFERROR(__xludf.DUMMYFUNCTION("SPLIT(A16448,"" "")"),"Cc1ccc(CN(Cc2ccccn2)Cc2cc(-c3ccccc3N=Cc3ccccn3)ccn2)c(C)c1")</f>
        <v>Cc1ccc(CN(Cc2ccccn2)Cc2cc(-c3ccccc3N=Cc3ccccn3)ccn2)c(C)c1</v>
      </c>
      <c r="C16448" s="7">
        <f>IFERROR(__xludf.DUMMYFUNCTION("""COMPUTED_VALUE"""),7.736651)</f>
        <v>7.736651</v>
      </c>
      <c r="D16448" s="7">
        <f>IFERROR(__xludf.DUMMYFUNCTION("""COMPUTED_VALUE"""),0.416666666666666)</f>
        <v>0.4166666667</v>
      </c>
    </row>
    <row r="16449">
      <c r="A16449" s="10" t="s">
        <v>17888</v>
      </c>
      <c r="B16449" s="7" t="str">
        <f>IFERROR(__xludf.DUMMYFUNCTION("SPLIT(A16449,"" "")"),"Cc1cncc(CN(C)CC2=CC(N(C)c3ccc4nc(CF)ccc4c3)C=CN2)c1")</f>
        <v>Cc1cncc(CN(C)CC2=CC(N(C)c3ccc4nc(CF)ccc4c3)C=CN2)c1</v>
      </c>
      <c r="C16449" s="7">
        <f>IFERROR(__xludf.DUMMYFUNCTION("""COMPUTED_VALUE"""),7.73665)</f>
        <v>7.73665</v>
      </c>
      <c r="D16449" s="7">
        <f>IFERROR(__xludf.DUMMYFUNCTION("""COMPUTED_VALUE"""),0.277777777777777)</f>
        <v>0.2777777778</v>
      </c>
    </row>
    <row r="16450">
      <c r="A16450" s="10" t="s">
        <v>17889</v>
      </c>
      <c r="B16450" s="7" t="str">
        <f>IFERROR(__xludf.DUMMYFUNCTION("SPLIT(A16450,"" "")"),"CCNCc1cc(CN(Cc2ccccn2)c2ccc3nc(C)ccc3c2)ccn1")</f>
        <v>CCNCc1cc(CN(Cc2ccccn2)c2ccc3nc(C)ccc3c2)ccn1</v>
      </c>
      <c r="C16450" s="7">
        <f>IFERROR(__xludf.DUMMYFUNCTION("""COMPUTED_VALUE"""),7.7366486)</f>
        <v>7.7366486</v>
      </c>
      <c r="D16450" s="7">
        <f>IFERROR(__xludf.DUMMYFUNCTION("""COMPUTED_VALUE"""),0.35593220338983)</f>
        <v>0.3559322034</v>
      </c>
    </row>
    <row r="16451">
      <c r="A16451" s="10" t="s">
        <v>17890</v>
      </c>
      <c r="B16451" s="7" t="str">
        <f>IFERROR(__xludf.DUMMYFUNCTION("SPLIT(A16451,"" "")"),"CN(CCCN(C)c1cccc(-c2cccc(-c3ccccc3)c2)c1N(C)Cc1ccccn1)Cc1ccccn1")</f>
        <v>CN(CCCN(C)c1cccc(-c2cccc(-c3ccccc3)c2)c1N(C)Cc1ccccn1)Cc1ccccn1</v>
      </c>
      <c r="C16451" s="7">
        <f>IFERROR(__xludf.DUMMYFUNCTION("""COMPUTED_VALUE"""),7.736648)</f>
        <v>7.736648</v>
      </c>
      <c r="D16451" s="7">
        <f>IFERROR(__xludf.DUMMYFUNCTION("""COMPUTED_VALUE"""),0.425925925925925)</f>
        <v>0.4259259259</v>
      </c>
    </row>
    <row r="16452">
      <c r="A16452" s="10" t="s">
        <v>17891</v>
      </c>
      <c r="B16452" s="7" t="str">
        <f>IFERROR(__xludf.DUMMYFUNCTION("SPLIT(A16452,"" "")"),"CC(C)N(Cc1ccccn1)Cc1ccc2cc(N(C)C3C=CC=CN3)ccc2n1")</f>
        <v>CC(C)N(Cc1ccccn1)Cc1ccc2cc(N(C)C3C=CC=CN3)ccc2n1</v>
      </c>
      <c r="C16452" s="7">
        <f>IFERROR(__xludf.DUMMYFUNCTION("""COMPUTED_VALUE"""),7.736645)</f>
        <v>7.736645</v>
      </c>
      <c r="D16452" s="7">
        <f>IFERROR(__xludf.DUMMYFUNCTION("""COMPUTED_VALUE"""),0.446428571428571)</f>
        <v>0.4464285714</v>
      </c>
    </row>
    <row r="16453">
      <c r="A16453" s="10" t="s">
        <v>17892</v>
      </c>
      <c r="B16453" s="7" t="str">
        <f>IFERROR(__xludf.DUMMYFUNCTION("SPLIT(A16453,"" "")"),"Cc1ccnc2ccc(N(C)C3C=CNC(CN(C)CC(C)C)=C3)cc12")</f>
        <v>Cc1ccnc2ccc(N(C)C3C=CNC(CN(C)CC(C)C)=C3)cc12</v>
      </c>
      <c r="C16453" s="7">
        <f>IFERROR(__xludf.DUMMYFUNCTION("""COMPUTED_VALUE"""),7.7366447)</f>
        <v>7.7366447</v>
      </c>
      <c r="D16453" s="7">
        <f>IFERROR(__xludf.DUMMYFUNCTION("""COMPUTED_VALUE"""),0.307692307692307)</f>
        <v>0.3076923077</v>
      </c>
    </row>
    <row r="16454">
      <c r="A16454" s="10" t="s">
        <v>17893</v>
      </c>
      <c r="B16454" s="7" t="str">
        <f>IFERROR(__xludf.DUMMYFUNCTION("SPLIT(A16454,"" "")"),"Cc1cc(CN(C)Cc2ccccn2)c2cccnc2c1")</f>
        <v>Cc1cc(CN(C)Cc2ccccn2)c2cccnc2c1</v>
      </c>
      <c r="C16454" s="7">
        <f>IFERROR(__xludf.DUMMYFUNCTION("""COMPUTED_VALUE"""),7.736635)</f>
        <v>7.736635</v>
      </c>
      <c r="D16454" s="7">
        <f>IFERROR(__xludf.DUMMYFUNCTION("""COMPUTED_VALUE"""),0.478260869565217)</f>
        <v>0.4782608696</v>
      </c>
    </row>
    <row r="16455">
      <c r="A16455" s="10" t="s">
        <v>17894</v>
      </c>
      <c r="B16455" s="7" t="str">
        <f>IFERROR(__xludf.DUMMYFUNCTION("SPLIT(A16455,"" "")"),"CC(C)CN(Cc1ccccn1)c1ccc2nc(CF)ccc2c1")</f>
        <v>CC(C)CN(Cc1ccccn1)c1ccc2nc(CF)ccc2c1</v>
      </c>
      <c r="C16455" s="7">
        <f>IFERROR(__xludf.DUMMYFUNCTION("""COMPUTED_VALUE"""),7.736634)</f>
        <v>7.736634</v>
      </c>
      <c r="D16455" s="7">
        <f>IFERROR(__xludf.DUMMYFUNCTION("""COMPUTED_VALUE"""),0.46)</f>
        <v>0.46</v>
      </c>
    </row>
    <row r="16456">
      <c r="A16456" s="10" t="s">
        <v>17895</v>
      </c>
      <c r="B16456" s="7" t="str">
        <f>IFERROR(__xludf.DUMMYFUNCTION("SPLIT(A16456,"" "")"),"Cc1ccccc1CN(C)Cc1cccc(-c2ccccc2N=Cc2ccccn2)n1")</f>
        <v>Cc1ccccc1CN(C)Cc1cccc(-c2ccccc2N=Cc2ccccn2)n1</v>
      </c>
      <c r="C16456" s="7">
        <f>IFERROR(__xludf.DUMMYFUNCTION("""COMPUTED_VALUE"""),7.7366266)</f>
        <v>7.7366266</v>
      </c>
      <c r="D16456" s="7">
        <f>IFERROR(__xludf.DUMMYFUNCTION("""COMPUTED_VALUE"""),0.49090909090909)</f>
        <v>0.4909090909</v>
      </c>
    </row>
    <row r="16457">
      <c r="A16457" s="10" t="s">
        <v>17896</v>
      </c>
      <c r="B16457" s="7" t="str">
        <f>IFERROR(__xludf.DUMMYFUNCTION("SPLIT(A16457,"" "")"),"Cc1ccc2ccc(CN(C)Cc3cc(N)ccn3)nc2c1")</f>
        <v>Cc1ccc2ccc(CN(C)Cc3cc(N)ccn3)nc2c1</v>
      </c>
      <c r="C16457" s="7">
        <f>IFERROR(__xludf.DUMMYFUNCTION("""COMPUTED_VALUE"""),7.736624)</f>
        <v>7.736624</v>
      </c>
      <c r="D16457" s="7">
        <f>IFERROR(__xludf.DUMMYFUNCTION("""COMPUTED_VALUE"""),0.369565217391304)</f>
        <v>0.3695652174</v>
      </c>
    </row>
    <row r="16458">
      <c r="A16458" s="10" t="s">
        <v>17897</v>
      </c>
      <c r="B16458" s="7" t="str">
        <f>IFERROR(__xludf.DUMMYFUNCTION("SPLIT(A16458,"" "")"),"Cc1ccc2nccc(CN(C)C3CCCC(N(C)c4ccc5c(CN(C)C)ccnc5c4)C3)c2c1")</f>
        <v>Cc1ccc2nccc(CN(C)C3CCCC(N(C)c4ccc5c(CN(C)C)ccnc5c4)C3)c2c1</v>
      </c>
      <c r="C16458" s="7">
        <f>IFERROR(__xludf.DUMMYFUNCTION("""COMPUTED_VALUE"""),7.7366166)</f>
        <v>7.7366166</v>
      </c>
      <c r="D16458" s="7">
        <f>IFERROR(__xludf.DUMMYFUNCTION("""COMPUTED_VALUE"""),0.28125)</f>
        <v>0.28125</v>
      </c>
    </row>
    <row r="16459">
      <c r="A16459" s="10" t="s">
        <v>17898</v>
      </c>
      <c r="B16459" s="7" t="str">
        <f>IFERROR(__xludf.DUMMYFUNCTION("SPLIT(A16459,"" "")"),"Cc1cccc(CN(C)Cc2cc(-c3cccc(N(C)C)c3)ccn2)c1")</f>
        <v>Cc1cccc(CN(C)Cc2cc(-c3cccc(N(C)C)c3)ccn2)c1</v>
      </c>
      <c r="C16459" s="7">
        <f>IFERROR(__xludf.DUMMYFUNCTION("""COMPUTED_VALUE"""),7.736601)</f>
        <v>7.736601</v>
      </c>
      <c r="D16459" s="7">
        <f>IFERROR(__xludf.DUMMYFUNCTION("""COMPUTED_VALUE"""),0.333333333333333)</f>
        <v>0.3333333333</v>
      </c>
    </row>
    <row r="16460">
      <c r="A16460" s="10" t="s">
        <v>17899</v>
      </c>
      <c r="B16460" s="7" t="str">
        <f>IFERROR(__xludf.DUMMYFUNCTION("SPLIT(A16460,"" "")"),"Cc1cccnc1CN(Cc1ccccn1)Cc1ncccc1-c1cccc(N(C)C)c1")</f>
        <v>Cc1cccnc1CN(Cc1ccccn1)Cc1ncccc1-c1cccc(N(C)C)c1</v>
      </c>
      <c r="C16460" s="7">
        <f>IFERROR(__xludf.DUMMYFUNCTION("""COMPUTED_VALUE"""),7.7365885)</f>
        <v>7.7365885</v>
      </c>
      <c r="D16460" s="7">
        <f>IFERROR(__xludf.DUMMYFUNCTION("""COMPUTED_VALUE"""),0.434782608695652)</f>
        <v>0.4347826087</v>
      </c>
    </row>
    <row r="16461">
      <c r="A16461" s="10" t="s">
        <v>17900</v>
      </c>
      <c r="B16461" s="7" t="str">
        <f>IFERROR(__xludf.DUMMYFUNCTION("SPLIT(A16461,"" "")"),"CC(C)c1ncccc1CN(Cc1ccccn1)Cc1ccc(-c2cccc(N=Cc3ccccn3)c2)cn1")</f>
        <v>CC(C)c1ncccc1CN(Cc1ccccn1)Cc1ccc(-c2cccc(N=Cc3ccccn3)c2)cn1</v>
      </c>
      <c r="C16461" s="7">
        <f>IFERROR(__xludf.DUMMYFUNCTION("""COMPUTED_VALUE"""),7.736588)</f>
        <v>7.736588</v>
      </c>
      <c r="D16461" s="7">
        <f>IFERROR(__xludf.DUMMYFUNCTION("""COMPUTED_VALUE"""),0.357142857142857)</f>
        <v>0.3571428571</v>
      </c>
    </row>
    <row r="16462">
      <c r="A16462" s="10" t="s">
        <v>17901</v>
      </c>
      <c r="B16462" s="7" t="str">
        <f>IFERROR(__xludf.DUMMYFUNCTION("SPLIT(A16462,"" "")"),"Cc1c(Cl)ccc(N(C)CC2=CCC(N(C)Cc3ccccn3)=CN2)c1C")</f>
        <v>Cc1c(Cl)ccc(N(C)CC2=CCC(N(C)Cc3ccccn3)=CN2)c1C</v>
      </c>
      <c r="C16462" s="7">
        <f>IFERROR(__xludf.DUMMYFUNCTION("""COMPUTED_VALUE"""),7.7365837)</f>
        <v>7.7365837</v>
      </c>
      <c r="D16462" s="7">
        <f>IFERROR(__xludf.DUMMYFUNCTION("""COMPUTED_VALUE"""),0.490566037735849)</f>
        <v>0.4905660377</v>
      </c>
    </row>
    <row r="16463">
      <c r="A16463" s="10" t="s">
        <v>17902</v>
      </c>
      <c r="B16463" s="7" t="str">
        <f>IFERROR(__xludf.DUMMYFUNCTION("SPLIT(A16463,"" "")"),"CNc1ccc(Cl)c(Cl)c1-c1cccc(CN(Cc2ccccn2)C2CCC(N(C)c3ccc4nc(CF)ccc4c3)CC2)n1")</f>
        <v>CNc1ccc(Cl)c(Cl)c1-c1cccc(CN(Cc2ccccn2)C2CCC(N(C)c3ccc4nc(CF)ccc4c3)CC2)n1</v>
      </c>
      <c r="C16463" s="7">
        <f>IFERROR(__xludf.DUMMYFUNCTION("""COMPUTED_VALUE"""),7.7365828)</f>
        <v>7.7365828</v>
      </c>
      <c r="D16463" s="7">
        <f>IFERROR(__xludf.DUMMYFUNCTION("""COMPUTED_VALUE"""),0.346666666666666)</f>
        <v>0.3466666667</v>
      </c>
    </row>
    <row r="16464">
      <c r="A16464" s="10" t="s">
        <v>17903</v>
      </c>
      <c r="B16464" s="7" t="str">
        <f>IFERROR(__xludf.DUMMYFUNCTION("SPLIT(A16464,"" "")"),"FCc1nccc(NCc2ccccn2)c1C1=CCC=CN1")</f>
        <v>FCc1nccc(NCc2ccccn2)c1C1=CCC=CN1</v>
      </c>
      <c r="C16464" s="7">
        <f>IFERROR(__xludf.DUMMYFUNCTION("""COMPUTED_VALUE"""),7.7365823)</f>
        <v>7.7365823</v>
      </c>
      <c r="D16464" s="7">
        <f>IFERROR(__xludf.DUMMYFUNCTION("""COMPUTED_VALUE"""),0.413793103448275)</f>
        <v>0.4137931034</v>
      </c>
    </row>
    <row r="16465">
      <c r="A16465" s="10" t="s">
        <v>17904</v>
      </c>
      <c r="B16465" s="7" t="str">
        <f>IFERROR(__xludf.DUMMYFUNCTION("SPLIT(A16465,"" "")"),"Cc1cnc(CN(C)CCN(C)c2cccc3ncc(CF)cc23)c(C)c1")</f>
        <v>Cc1cnc(CN(C)CCN(C)c2cccc3ncc(CF)cc23)c(C)c1</v>
      </c>
      <c r="C16465" s="7">
        <f>IFERROR(__xludf.DUMMYFUNCTION("""COMPUTED_VALUE"""),7.7365804)</f>
        <v>7.7365804</v>
      </c>
      <c r="D16465" s="7">
        <f>IFERROR(__xludf.DUMMYFUNCTION("""COMPUTED_VALUE"""),0.345454545454545)</f>
        <v>0.3454545455</v>
      </c>
    </row>
    <row r="16466">
      <c r="A16466" s="10" t="s">
        <v>17905</v>
      </c>
      <c r="B16466" s="7" t="str">
        <f>IFERROR(__xludf.DUMMYFUNCTION("SPLIT(A16466,"" "")"),"Fc1ccc(CN(Cc2ccccn2)Cc2cccc(-c3cccc(N=Cc4ccccn4)c3)n2)nc1")</f>
        <v>Fc1ccc(CN(Cc2ccccn2)Cc2cccc(-c3cccc(N=Cc4ccccn4)c3)n2)nc1</v>
      </c>
      <c r="C16466" s="7">
        <f>IFERROR(__xludf.DUMMYFUNCTION("""COMPUTED_VALUE"""),7.736579)</f>
        <v>7.736579</v>
      </c>
      <c r="D16466" s="7">
        <f>IFERROR(__xludf.DUMMYFUNCTION("""COMPUTED_VALUE"""),0.492063492063492)</f>
        <v>0.4920634921</v>
      </c>
    </row>
    <row r="16467">
      <c r="A16467" s="10" t="s">
        <v>17906</v>
      </c>
      <c r="B16467" s="7" t="str">
        <f>IFERROR(__xludf.DUMMYFUNCTION("SPLIT(A16467,"" "")"),"Cc1ccc(CN(Cc2ccccn2)Cc2ccc(-c3cccc(N=Cc4ccccn4)c3)cn2)nc1")</f>
        <v>Cc1ccc(CN(Cc2ccccn2)Cc2ccc(-c3cccc(N=Cc4ccccn4)c3)cn2)nc1</v>
      </c>
      <c r="C16467" s="7">
        <f>IFERROR(__xludf.DUMMYFUNCTION("""COMPUTED_VALUE"""),7.7365785)</f>
        <v>7.7365785</v>
      </c>
      <c r="D16467" s="7">
        <f>IFERROR(__xludf.DUMMYFUNCTION("""COMPUTED_VALUE"""),0.392156862745098)</f>
        <v>0.3921568627</v>
      </c>
    </row>
    <row r="16468">
      <c r="A16468" s="10" t="s">
        <v>17907</v>
      </c>
      <c r="B16468" s="7" t="str">
        <f>IFERROR(__xludf.DUMMYFUNCTION("SPLIT(A16468,"" "")"),"Cc1cnc(CN(C)c2cccnc2CN(Cc2ccccn2)c2ccccc2F)c(C)c1")</f>
        <v>Cc1cnc(CN(C)c2cccnc2CN(Cc2ccccn2)c2ccccc2F)c(C)c1</v>
      </c>
      <c r="C16468" s="7">
        <f>IFERROR(__xludf.DUMMYFUNCTION("""COMPUTED_VALUE"""),7.736576)</f>
        <v>7.736576</v>
      </c>
      <c r="D16468" s="7">
        <f>IFERROR(__xludf.DUMMYFUNCTION("""COMPUTED_VALUE"""),0.410714285714285)</f>
        <v>0.4107142857</v>
      </c>
    </row>
    <row r="16469">
      <c r="A16469" s="10" t="s">
        <v>17908</v>
      </c>
      <c r="B16469" s="7" t="str">
        <f>IFERROR(__xludf.DUMMYFUNCTION("SPLIT(A16469,"" "")"),"Cc1ccc(N(C)C)c(C)c1")</f>
        <v>Cc1ccc(N(C)C)c(C)c1</v>
      </c>
      <c r="C16469" s="7">
        <f>IFERROR(__xludf.DUMMYFUNCTION("""COMPUTED_VALUE"""),7.7365756)</f>
        <v>7.7365756</v>
      </c>
      <c r="D16469" s="7">
        <f>IFERROR(__xludf.DUMMYFUNCTION("""COMPUTED_VALUE"""),0.257142857142857)</f>
        <v>0.2571428571</v>
      </c>
    </row>
    <row r="16470">
      <c r="A16470" s="10" t="s">
        <v>17909</v>
      </c>
      <c r="B16470" s="7" t="str">
        <f>IFERROR(__xludf.DUMMYFUNCTION("SPLIT(A16470,"" "")"),"Cc1ccc(CN(Cc2cc(-c3cccc(N=Cc4ccccn4)c3)ccn2)C(C)C)nc1")</f>
        <v>Cc1ccc(CN(Cc2cc(-c3cccc(N=Cc4ccccn4)c3)ccn2)C(C)C)nc1</v>
      </c>
      <c r="C16470" s="7">
        <f>IFERROR(__xludf.DUMMYFUNCTION("""COMPUTED_VALUE"""),7.7365704)</f>
        <v>7.7365704</v>
      </c>
      <c r="D16470" s="7">
        <f>IFERROR(__xludf.DUMMYFUNCTION("""COMPUTED_VALUE"""),0.396551724137931)</f>
        <v>0.3965517241</v>
      </c>
    </row>
    <row r="16471">
      <c r="A16471" s="10" t="s">
        <v>17910</v>
      </c>
      <c r="B16471" s="7" t="str">
        <f>IFERROR(__xludf.DUMMYFUNCTION("SPLIT(A16471,"" "")"),"Cc1ccccc1CN(C)Cc1ccc(-c2cccc(N=Cc3ccccn3)c2)cn1")</f>
        <v>Cc1ccccc1CN(C)Cc1ccc(-c2cccc(N=Cc3ccccn3)c2)cn1</v>
      </c>
      <c r="C16471" s="7">
        <f>IFERROR(__xludf.DUMMYFUNCTION("""COMPUTED_VALUE"""),7.7365704)</f>
        <v>7.7365704</v>
      </c>
      <c r="D16471" s="7">
        <f>IFERROR(__xludf.DUMMYFUNCTION("""COMPUTED_VALUE"""),0.4)</f>
        <v>0.4</v>
      </c>
    </row>
    <row r="16472">
      <c r="A16472" s="10" t="s">
        <v>17911</v>
      </c>
      <c r="B16472" s="7" t="str">
        <f>IFERROR(__xludf.DUMMYFUNCTION("SPLIT(A16472,"" "")"),"CN(CC1=CC(N(C)c2cccc3ncccc23)C=CN1)C1CCCC(N(C)c2cccc3ncccc23)C1")</f>
        <v>CN(CC1=CC(N(C)c2cccc3ncccc23)C=CN1)C1CCCC(N(C)c2cccc3ncccc23)C1</v>
      </c>
      <c r="C16472" s="7">
        <f>IFERROR(__xludf.DUMMYFUNCTION("""COMPUTED_VALUE"""),7.7365694)</f>
        <v>7.7365694</v>
      </c>
      <c r="D16472" s="7">
        <f>IFERROR(__xludf.DUMMYFUNCTION("""COMPUTED_VALUE"""),0.318181818181818)</f>
        <v>0.3181818182</v>
      </c>
    </row>
    <row r="16473">
      <c r="A16473" s="10" t="s">
        <v>17912</v>
      </c>
      <c r="B16473" s="7" t="str">
        <f>IFERROR(__xludf.DUMMYFUNCTION("SPLIT(A16473,"" "")"),"Cc1c(N(C)CCNCc2ccccn2)ccc2ncccc12")</f>
        <v>Cc1c(N(C)CCNCc2ccccn2)ccc2ncccc12</v>
      </c>
      <c r="C16473" s="7">
        <f>IFERROR(__xludf.DUMMYFUNCTION("""COMPUTED_VALUE"""),7.7365584)</f>
        <v>7.7365584</v>
      </c>
      <c r="D16473" s="7">
        <f>IFERROR(__xludf.DUMMYFUNCTION("""COMPUTED_VALUE"""),0.477272727272727)</f>
        <v>0.4772727273</v>
      </c>
    </row>
    <row r="16474">
      <c r="A16474" s="10" t="s">
        <v>17913</v>
      </c>
      <c r="B16474" s="7" t="str">
        <f>IFERROR(__xludf.DUMMYFUNCTION("SPLIT(A16474,"" "")"),"CN(C)c1cccc(CN(C)c2ccccc2F)n1")</f>
        <v>CN(C)c1cccc(CN(C)c2ccccc2F)n1</v>
      </c>
      <c r="C16474" s="7">
        <f>IFERROR(__xludf.DUMMYFUNCTION("""COMPUTED_VALUE"""),7.7365475)</f>
        <v>7.7365475</v>
      </c>
      <c r="D16474" s="7">
        <f>IFERROR(__xludf.DUMMYFUNCTION("""COMPUTED_VALUE"""),0.38095238095238)</f>
        <v>0.380952381</v>
      </c>
    </row>
    <row r="16475">
      <c r="A16475" s="10" t="s">
        <v>17914</v>
      </c>
      <c r="B16475" s="7" t="str">
        <f>IFERROR(__xludf.DUMMYFUNCTION("SPLIT(A16475,"" "")"),"Cc1ccccc1-c1cc(CN(C)Cc2cc(C)c(C)c(C)n2)ccn1")</f>
        <v>Cc1ccccc1-c1cc(CN(C)Cc2cc(C)c(C)c(C)n2)ccn1</v>
      </c>
      <c r="C16475" s="7">
        <f>IFERROR(__xludf.DUMMYFUNCTION("""COMPUTED_VALUE"""),7.7365417)</f>
        <v>7.7365417</v>
      </c>
      <c r="D16475" s="7">
        <f>IFERROR(__xludf.DUMMYFUNCTION("""COMPUTED_VALUE"""),0.37037037037037)</f>
        <v>0.3703703704</v>
      </c>
    </row>
    <row r="16476">
      <c r="A16476" s="10" t="s">
        <v>17915</v>
      </c>
      <c r="B16476" s="7" t="str">
        <f>IFERROR(__xludf.DUMMYFUNCTION("SPLIT(A16476,"" "")"),"CN(C)Cc1ncccc1-c1ccccc1N")</f>
        <v>CN(C)Cc1ncccc1-c1ccccc1N</v>
      </c>
      <c r="C16476" s="7">
        <f>IFERROR(__xludf.DUMMYFUNCTION("""COMPUTED_VALUE"""),7.7365375)</f>
        <v>7.7365375</v>
      </c>
      <c r="D16476" s="7">
        <f>IFERROR(__xludf.DUMMYFUNCTION("""COMPUTED_VALUE"""),0.357142857142857)</f>
        <v>0.3571428571</v>
      </c>
    </row>
    <row r="16477">
      <c r="A16477" s="10" t="s">
        <v>17916</v>
      </c>
      <c r="B16477" s="7" t="str">
        <f>IFERROR(__xludf.DUMMYFUNCTION("SPLIT(A16477,"" "")"),"Cc1ccc(CN(Cc2ccccn2)Cc2cccnc2-c2cccc(N=Cc3ccccn3)c2)nc1")</f>
        <v>Cc1ccc(CN(Cc2ccccn2)Cc2cccnc2-c2cccc(N=Cc3ccccn3)c2)nc1</v>
      </c>
      <c r="C16477" s="7">
        <f>IFERROR(__xludf.DUMMYFUNCTION("""COMPUTED_VALUE"""),7.736533)</f>
        <v>7.736533</v>
      </c>
      <c r="D16477" s="7">
        <f>IFERROR(__xludf.DUMMYFUNCTION("""COMPUTED_VALUE"""),0.363636363636363)</f>
        <v>0.3636363636</v>
      </c>
    </row>
    <row r="16478">
      <c r="A16478" s="10" t="s">
        <v>17917</v>
      </c>
      <c r="B16478" s="7" t="str">
        <f>IFERROR(__xludf.DUMMYFUNCTION("SPLIT(A16478,"" "")"),"CC(C)C1=CC(N(Cc2ccccn2)Cc2cc(-c3ccc(N=Cc4ccccn4)cc3)ccn2)C=CN1")</f>
        <v>CC(C)C1=CC(N(Cc2ccccn2)Cc2cc(-c3ccc(N=Cc4ccccn4)cc3)ccn2)C=CN1</v>
      </c>
      <c r="C16478" s="7">
        <f>IFERROR(__xludf.DUMMYFUNCTION("""COMPUTED_VALUE"""),7.7365294)</f>
        <v>7.7365294</v>
      </c>
      <c r="D16478" s="7">
        <f>IFERROR(__xludf.DUMMYFUNCTION("""COMPUTED_VALUE"""),0.314285714285714)</f>
        <v>0.3142857143</v>
      </c>
    </row>
    <row r="16479">
      <c r="A16479" s="10" t="s">
        <v>17918</v>
      </c>
      <c r="B16479" s="7" t="str">
        <f>IFERROR(__xludf.DUMMYFUNCTION("SPLIT(A16479,"" "")"),"Cc1cccnc1CN(C)Cc1nccc2ccccc12")</f>
        <v>Cc1cccnc1CN(C)Cc1nccc2ccccc12</v>
      </c>
      <c r="C16479" s="7">
        <f>IFERROR(__xludf.DUMMYFUNCTION("""COMPUTED_VALUE"""),7.7365227)</f>
        <v>7.7365227</v>
      </c>
      <c r="D16479" s="7">
        <f>IFERROR(__xludf.DUMMYFUNCTION("""COMPUTED_VALUE"""),0.369565217391304)</f>
        <v>0.3695652174</v>
      </c>
    </row>
    <row r="16480">
      <c r="A16480" s="10" t="s">
        <v>17919</v>
      </c>
      <c r="B16480" s="7" t="str">
        <f>IFERROR(__xludf.DUMMYFUNCTION("SPLIT(A16480,"" "")"),"CC(C)(C)c1ncccc1CN(Cc1ccccn1)Cc1cc(-c2ccccc2N=Cc2ccccn2)ccn1")</f>
        <v>CC(C)(C)c1ncccc1CN(Cc1ccccn1)Cc1cc(-c2ccccc2N=Cc2ccccn2)ccn1</v>
      </c>
      <c r="C16480" s="7">
        <f>IFERROR(__xludf.DUMMYFUNCTION("""COMPUTED_VALUE"""),7.7365217)</f>
        <v>7.7365217</v>
      </c>
      <c r="D16480" s="7">
        <f>IFERROR(__xludf.DUMMYFUNCTION("""COMPUTED_VALUE"""),0.365079365079365)</f>
        <v>0.3650793651</v>
      </c>
    </row>
    <row r="16481">
      <c r="A16481" s="10" t="s">
        <v>17920</v>
      </c>
      <c r="B16481" s="7" t="str">
        <f>IFERROR(__xludf.DUMMYFUNCTION("SPLIT(A16481,"" "")"),"Cc1cnc(CN(C)CCN(C)c2cccc3nc(CF)ccc23)c(C)c1")</f>
        <v>Cc1cnc(CN(C)CCN(C)c2cccc3nc(CF)ccc23)c(C)c1</v>
      </c>
      <c r="C16481" s="7">
        <f>IFERROR(__xludf.DUMMYFUNCTION("""COMPUTED_VALUE"""),7.7365165)</f>
        <v>7.7365165</v>
      </c>
      <c r="D16481" s="7">
        <f>IFERROR(__xludf.DUMMYFUNCTION("""COMPUTED_VALUE"""),0.388888888888888)</f>
        <v>0.3888888889</v>
      </c>
    </row>
    <row r="16482">
      <c r="A16482" s="10" t="s">
        <v>17921</v>
      </c>
      <c r="B16482" s="7" t="str">
        <f>IFERROR(__xludf.DUMMYFUNCTION("SPLIT(A16482,"" "")"),"CC1=C(c2ccccc2)C(c2ccc(C)c(C)c2NCc2ccccn2)CC=C1c1ccccc1")</f>
        <v>CC1=C(c2ccccc2)C(c2ccc(C)c(C)c2NCc2ccccn2)CC=C1c1ccccc1</v>
      </c>
      <c r="C16482" s="7">
        <f>IFERROR(__xludf.DUMMYFUNCTION("""COMPUTED_VALUE"""),7.736516)</f>
        <v>7.736516</v>
      </c>
      <c r="D16482" s="7">
        <f>IFERROR(__xludf.DUMMYFUNCTION("""COMPUTED_VALUE"""),0.369230769230769)</f>
        <v>0.3692307692</v>
      </c>
    </row>
    <row r="16483">
      <c r="A16483" s="10" t="s">
        <v>17922</v>
      </c>
      <c r="B16483" s="7" t="str">
        <f>IFERROR(__xludf.DUMMYFUNCTION("SPLIT(A16483,"" "")"),"Cc1cccc(CN(CC2=CCC(N(C)Cc3ccccn3)=CN2)c2cc(C)c(C)c(Cl)c2)n1")</f>
        <v>Cc1cccc(CN(CC2=CCC(N(C)Cc3ccccn3)=CN2)c2cc(C)c(C)c(Cl)c2)n1</v>
      </c>
      <c r="C16483" s="7">
        <f>IFERROR(__xludf.DUMMYFUNCTION("""COMPUTED_VALUE"""),7.7365146)</f>
        <v>7.7365146</v>
      </c>
      <c r="D16483" s="7">
        <f>IFERROR(__xludf.DUMMYFUNCTION("""COMPUTED_VALUE"""),0.390625)</f>
        <v>0.390625</v>
      </c>
    </row>
    <row r="16484">
      <c r="A16484" s="10" t="s">
        <v>17923</v>
      </c>
      <c r="B16484" s="7" t="str">
        <f>IFERROR(__xludf.DUMMYFUNCTION("SPLIT(A16484,"" "")"),"CNc1ccc2nccc(CN(C)C(C)C)c2c1")</f>
        <v>CNc1ccc2nccc(CN(C)C(C)C)c2c1</v>
      </c>
      <c r="C16484" s="7">
        <f>IFERROR(__xludf.DUMMYFUNCTION("""COMPUTED_VALUE"""),7.736512)</f>
        <v>7.736512</v>
      </c>
      <c r="D16484" s="7">
        <f>IFERROR(__xludf.DUMMYFUNCTION("""COMPUTED_VALUE"""),0.254901960784313)</f>
        <v>0.2549019608</v>
      </c>
    </row>
    <row r="16485">
      <c r="A16485" s="10" t="s">
        <v>17924</v>
      </c>
      <c r="B16485" s="7" t="str">
        <f>IFERROR(__xludf.DUMMYFUNCTION("SPLIT(A16485,"" "")"),"CNc1cc(C)cc(C)c1-c1cccc(CN(Cc2ccccn2)C2CCC(N(C)c3ccc4nccc(C)c4c3)CC2)n1")</f>
        <v>CNc1cc(C)cc(C)c1-c1cccc(CN(Cc2ccccn2)C2CCC(N(C)c3ccc4nccc(C)c4c3)CC2)n1</v>
      </c>
      <c r="C16485" s="7">
        <f>IFERROR(__xludf.DUMMYFUNCTION("""COMPUTED_VALUE"""),7.7365093)</f>
        <v>7.7365093</v>
      </c>
      <c r="D16485" s="7">
        <f>IFERROR(__xludf.DUMMYFUNCTION("""COMPUTED_VALUE"""),0.342465753424657)</f>
        <v>0.3424657534</v>
      </c>
    </row>
    <row r="16486">
      <c r="A16486" s="10" t="s">
        <v>17925</v>
      </c>
      <c r="B16486" s="7" t="str">
        <f>IFERROR(__xludf.DUMMYFUNCTION("SPLIT(A16486,"" "")"),"Cc1cccc(CN(C)Cc2ncccc2-c2cccc(N(C)C)c2)c1")</f>
        <v>Cc1cccc(CN(C)Cc2ncccc2-c2cccc(N(C)C)c2)c1</v>
      </c>
      <c r="C16486" s="7">
        <f>IFERROR(__xludf.DUMMYFUNCTION("""COMPUTED_VALUE"""),7.7365017)</f>
        <v>7.7365017</v>
      </c>
      <c r="D16486" s="7">
        <f>IFERROR(__xludf.DUMMYFUNCTION("""COMPUTED_VALUE"""),0.285714285714285)</f>
        <v>0.2857142857</v>
      </c>
    </row>
    <row r="16487">
      <c r="A16487" s="10" t="s">
        <v>17926</v>
      </c>
      <c r="B16487" s="7" t="str">
        <f>IFERROR(__xludf.DUMMYFUNCTION("SPLIT(A16487,"" "")"),"CC(C)c1cccc(CN(Cc2ccccn2)Cc2cc(-c3ccccc3N=Cc3ccccn3)ccn2)n1")</f>
        <v>CC(C)c1cccc(CN(Cc2ccccn2)Cc2cc(-c3ccccc3N=Cc3ccccn3)ccn2)n1</v>
      </c>
      <c r="C16487" s="7">
        <f>IFERROR(__xludf.DUMMYFUNCTION("""COMPUTED_VALUE"""),7.7364974)</f>
        <v>7.7364974</v>
      </c>
      <c r="D16487" s="7">
        <f>IFERROR(__xludf.DUMMYFUNCTION("""COMPUTED_VALUE"""),0.393442622950819)</f>
        <v>0.393442623</v>
      </c>
    </row>
    <row r="16488">
      <c r="A16488" s="10" t="s">
        <v>17927</v>
      </c>
      <c r="B16488" s="7" t="str">
        <f>IFERROR(__xludf.DUMMYFUNCTION("SPLIT(A16488,"" "")"),"Cc1cc(N)cc(CN(Cc2ccnc3c(C)cccc23)C2CCC(N(C)c3cccc4cc(CF)cnc34)CC2)n1")</f>
        <v>Cc1cc(N)cc(CN(Cc2ccnc3c(C)cccc23)C2CCC(N(C)c3cccc4cc(CF)cnc34)CC2)n1</v>
      </c>
      <c r="C16488" s="7">
        <f>IFERROR(__xludf.DUMMYFUNCTION("""COMPUTED_VALUE"""),7.7364945)</f>
        <v>7.7364945</v>
      </c>
      <c r="D16488" s="7">
        <f>IFERROR(__xludf.DUMMYFUNCTION("""COMPUTED_VALUE"""),0.294871794871794)</f>
        <v>0.2948717949</v>
      </c>
    </row>
    <row r="16489">
      <c r="A16489" s="10" t="s">
        <v>17928</v>
      </c>
      <c r="B16489" s="7" t="str">
        <f>IFERROR(__xludf.DUMMYFUNCTION("SPLIT(A16489,"" "")"),"CC1=C(C)C(C)C(c2ncccc2CN(Cc2ccccn2)Cc2ccccn2)C23C(C)=C(C)C(c4ncccc4CN(Cc4ccccn4)Cc4ccccn4)C(C)C2=C(c2ncccc2CN(Cc2ccccn2)Cc2ccccn2)NC(C(C)(C)c2ccc4ncccc4c2)=C13")</f>
        <v>CC1=C(C)C(C)C(c2ncccc2CN(Cc2ccccn2)Cc2ccccn2)C23C(C)=C(C)C(c4ncccc4CN(Cc4ccccn4)Cc4ccccn4)C(C)C2=C(c2ncccc2CN(Cc2ccccn2)Cc2ccccn2)NC(C(C)(C)c2ccc4ncccc4c2)=C13</v>
      </c>
      <c r="C16489" s="7">
        <f>IFERROR(__xludf.DUMMYFUNCTION("""COMPUTED_VALUE"""),7.73649)</f>
        <v>7.73649</v>
      </c>
      <c r="D16489" s="7">
        <f>IFERROR(__xludf.DUMMYFUNCTION("""COMPUTED_VALUE"""),0.264367816091954)</f>
        <v>0.2643678161</v>
      </c>
    </row>
    <row r="16490">
      <c r="A16490" s="10" t="s">
        <v>17929</v>
      </c>
      <c r="B16490" s="7" t="str">
        <f>IFERROR(__xludf.DUMMYFUNCTION("SPLIT(A16490,"" "")"),"CC(C)N(C)CC1=C(N(C)c2ccc3ncccc3c2)CC=CN1")</f>
        <v>CC(C)N(C)CC1=C(N(C)c2ccc3ncccc3c2)CC=CN1</v>
      </c>
      <c r="C16490" s="7">
        <f>IFERROR(__xludf.DUMMYFUNCTION("""COMPUTED_VALUE"""),7.7364874)</f>
        <v>7.7364874</v>
      </c>
      <c r="D16490" s="7">
        <f>IFERROR(__xludf.DUMMYFUNCTION("""COMPUTED_VALUE"""),0.266666666666666)</f>
        <v>0.2666666667</v>
      </c>
    </row>
    <row r="16491">
      <c r="A16491" s="10" t="s">
        <v>17930</v>
      </c>
      <c r="B16491" s="7" t="str">
        <f>IFERROR(__xludf.DUMMYFUNCTION("SPLIT(A16491,"" "")"),"Cc1ccnc(CN(Cc2ccc3cc(N(C)Cc4ncccc4C)ccc3n2)C2CCC(N(C)c3ccc4nc(CF)ccc4c3)CC2)c1")</f>
        <v>Cc1ccnc(CN(Cc2ccc3cc(N(C)Cc4ncccc4C)ccc3n2)C2CCC(N(C)c3ccc4nc(CF)ccc4c3)CC2)c1</v>
      </c>
      <c r="C16491" s="7">
        <f>IFERROR(__xludf.DUMMYFUNCTION("""COMPUTED_VALUE"""),7.7364807)</f>
        <v>7.7364807</v>
      </c>
      <c r="D16491" s="7">
        <f>IFERROR(__xludf.DUMMYFUNCTION("""COMPUTED_VALUE"""),0.282051282051282)</f>
        <v>0.2820512821</v>
      </c>
    </row>
    <row r="16492">
      <c r="A16492" s="10" t="s">
        <v>17931</v>
      </c>
      <c r="B16492" s="7" t="str">
        <f>IFERROR(__xludf.DUMMYFUNCTION("SPLIT(A16492,"" "")"),"CNCN(Cc1ccccn1)c1ccc2nc(CF)ccc2c1")</f>
        <v>CNCN(Cc1ccccn1)c1ccc2nc(CF)ccc2c1</v>
      </c>
      <c r="C16492" s="7">
        <f>IFERROR(__xludf.DUMMYFUNCTION("""COMPUTED_VALUE"""),7.7364798)</f>
        <v>7.7364798</v>
      </c>
      <c r="D16492" s="7">
        <f>IFERROR(__xludf.DUMMYFUNCTION("""COMPUTED_VALUE"""),0.46)</f>
        <v>0.46</v>
      </c>
    </row>
    <row r="16493">
      <c r="A16493" s="10" t="s">
        <v>17932</v>
      </c>
      <c r="B16493" s="7" t="str">
        <f>IFERROR(__xludf.DUMMYFUNCTION("SPLIT(A16493,"" "")"),"Cc1ccc2cc(N(CCN(C)Cc3ncccc3C)Cc3nccc(C)c3C)ccc2n1")</f>
        <v>Cc1ccc2cc(N(CCN(C)Cc3ncccc3C)Cc3nccc(C)c3C)ccc2n1</v>
      </c>
      <c r="C16493" s="7">
        <f>IFERROR(__xludf.DUMMYFUNCTION("""COMPUTED_VALUE"""),7.7364764)</f>
        <v>7.7364764</v>
      </c>
      <c r="D16493" s="7">
        <f>IFERROR(__xludf.DUMMYFUNCTION("""COMPUTED_VALUE"""),0.345454545454545)</f>
        <v>0.3454545455</v>
      </c>
    </row>
    <row r="16494">
      <c r="A16494" s="10" t="s">
        <v>17933</v>
      </c>
      <c r="B16494" s="7" t="str">
        <f>IFERROR(__xludf.DUMMYFUNCTION("SPLIT(A16494,"" "")"),"CN(CCNc1ccc2nccc(-c3ccccn3)c2c1)C(C)(C)C")</f>
        <v>CN(CCNc1ccc2nccc(-c3ccccn3)c2c1)C(C)(C)C</v>
      </c>
      <c r="C16494" s="7">
        <f>IFERROR(__xludf.DUMMYFUNCTION("""COMPUTED_VALUE"""),7.736476)</f>
        <v>7.736476</v>
      </c>
      <c r="D16494" s="7">
        <f>IFERROR(__xludf.DUMMYFUNCTION("""COMPUTED_VALUE"""),0.305084745762711)</f>
        <v>0.3050847458</v>
      </c>
    </row>
    <row r="16495">
      <c r="A16495" s="10" t="s">
        <v>17934</v>
      </c>
      <c r="B16495" s="7" t="str">
        <f>IFERROR(__xludf.DUMMYFUNCTION("SPLIT(A16495,"" "")"),"CC1(C)COC(c2cc(C3=NCC(C)(C)O3)ccn2)=N1")</f>
        <v>CC1(C)COC(c2cc(C3=NCC(C)(C)O3)ccn2)=N1</v>
      </c>
      <c r="C16495" s="7">
        <f>IFERROR(__xludf.DUMMYFUNCTION("""COMPUTED_VALUE"""),7.7364655)</f>
        <v>7.7364655</v>
      </c>
      <c r="D16495" s="7">
        <f>IFERROR(__xludf.DUMMYFUNCTION("""COMPUTED_VALUE"""),0.444444444444444)</f>
        <v>0.4444444444</v>
      </c>
    </row>
    <row r="16496">
      <c r="A16496" s="10" t="s">
        <v>17935</v>
      </c>
      <c r="B16496" s="7" t="str">
        <f>IFERROR(__xludf.DUMMYFUNCTION("SPLIT(A16496,"" "")"),"Cc1ccnc2cccc(N(C)CCN(C(C)C)C(C)C)c12")</f>
        <v>Cc1ccnc2cccc(N(C)CCN(C(C)C)C(C)C)c12</v>
      </c>
      <c r="C16496" s="7">
        <f>IFERROR(__xludf.DUMMYFUNCTION("""COMPUTED_VALUE"""),7.736465)</f>
        <v>7.736465</v>
      </c>
      <c r="D16496" s="7">
        <f>IFERROR(__xludf.DUMMYFUNCTION("""COMPUTED_VALUE"""),0.391304347826087)</f>
        <v>0.3913043478</v>
      </c>
    </row>
    <row r="16497">
      <c r="A16497" s="10" t="s">
        <v>17936</v>
      </c>
      <c r="B16497" s="7" t="str">
        <f>IFERROR(__xludf.DUMMYFUNCTION("SPLIT(A16497,"" "")"),"Cc1cc(C)cc(N(C)CC2=CCC=C(N(C)Cc3ccccn3)N2)c1")</f>
        <v>Cc1cc(C)cc(N(C)CC2=CCC=C(N(C)Cc3ccccn3)N2)c1</v>
      </c>
      <c r="C16497" s="7">
        <f>IFERROR(__xludf.DUMMYFUNCTION("""COMPUTED_VALUE"""),7.736465)</f>
        <v>7.736465</v>
      </c>
      <c r="D16497" s="7">
        <f>IFERROR(__xludf.DUMMYFUNCTION("""COMPUTED_VALUE"""),0.423076923076923)</f>
        <v>0.4230769231</v>
      </c>
    </row>
    <row r="16498">
      <c r="A16498" s="10" t="s">
        <v>17937</v>
      </c>
      <c r="B16498" s="7" t="str">
        <f>IFERROR(__xludf.DUMMYFUNCTION("SPLIT(A16498,"" "")"),"CCc1cccc(CN(C)Cc2cccc(-c3ccc(N=Cc4ccccn4)cc3)n2)n1")</f>
        <v>CCc1cccc(CN(C)Cc2cccc(-c3ccc(N=Cc4ccccn4)cc3)n2)n1</v>
      </c>
      <c r="C16498" s="7">
        <f>IFERROR(__xludf.DUMMYFUNCTION("""COMPUTED_VALUE"""),7.7364645)</f>
        <v>7.7364645</v>
      </c>
      <c r="D16498" s="7">
        <f>IFERROR(__xludf.DUMMYFUNCTION("""COMPUTED_VALUE"""),0.490566037735849)</f>
        <v>0.4905660377</v>
      </c>
    </row>
    <row r="16499">
      <c r="A16499" s="10" t="s">
        <v>17938</v>
      </c>
      <c r="B16499" s="7" t="str">
        <f>IFERROR(__xludf.DUMMYFUNCTION("SPLIT(A16499,"" "")"),"CC(C)(C)c1cc(CN(Cc2ccccn2)Cc2cc(-c3cccc(N=Cc4ccccn4)c3)ccn2)ccn1")</f>
        <v>CC(C)(C)c1cc(CN(Cc2ccccn2)Cc2cc(-c3cccc(N=Cc4ccccn4)c3)ccn2)ccn1</v>
      </c>
      <c r="C16499" s="7">
        <f>IFERROR(__xludf.DUMMYFUNCTION("""COMPUTED_VALUE"""),7.736452)</f>
        <v>7.736452</v>
      </c>
      <c r="D16499" s="7">
        <f>IFERROR(__xludf.DUMMYFUNCTION("""COMPUTED_VALUE"""),0.357142857142857)</f>
        <v>0.3571428571</v>
      </c>
    </row>
    <row r="16500">
      <c r="A16500" s="10" t="s">
        <v>17939</v>
      </c>
      <c r="B16500" s="7" t="str">
        <f>IFERROR(__xludf.DUMMYFUNCTION("SPLIT(A16500,"" "")"),"CCNCc1ccc2nccc(C)c2c1")</f>
        <v>CCNCc1ccc2nccc(C)c2c1</v>
      </c>
      <c r="C16500" s="7">
        <f>IFERROR(__xludf.DUMMYFUNCTION("""COMPUTED_VALUE"""),7.736445)</f>
        <v>7.736445</v>
      </c>
      <c r="D16500" s="7">
        <f>IFERROR(__xludf.DUMMYFUNCTION("""COMPUTED_VALUE"""),0.227272727272727)</f>
        <v>0.2272727273</v>
      </c>
    </row>
    <row r="16501">
      <c r="A16501" s="10" t="s">
        <v>17940</v>
      </c>
      <c r="B16501" s="7" t="str">
        <f>IFERROR(__xludf.DUMMYFUNCTION("SPLIT(A16501,"" "")"),"CC(C)(C)c1ncccc1CN(Cc1ccccn1)Cc1ncccc1-c1ccccc1N=Cc1ccccn1")</f>
        <v>CC(C)(C)c1ncccc1CN(Cc1ccccn1)Cc1ncccc1-c1ccccc1N=Cc1ccccn1</v>
      </c>
      <c r="C16501" s="7">
        <f>IFERROR(__xludf.DUMMYFUNCTION("""COMPUTED_VALUE"""),7.736426)</f>
        <v>7.736426</v>
      </c>
      <c r="D16501" s="7">
        <f>IFERROR(__xludf.DUMMYFUNCTION("""COMPUTED_VALUE"""),0.377358490566037)</f>
        <v>0.3773584906</v>
      </c>
    </row>
    <row r="16502">
      <c r="A16502" s="10" t="s">
        <v>17941</v>
      </c>
      <c r="B16502" s="7" t="str">
        <f>IFERROR(__xludf.DUMMYFUNCTION("SPLIT(A16502,"" "")"),"Cc1cnc(C)c(CN(C)CCN(C)c2ccc3nccc(CF)c3c2)c1")</f>
        <v>Cc1cnc(C)c(CN(C)CCN(C)c2ccc3nccc(CF)c3c2)c1</v>
      </c>
      <c r="C16502" s="7">
        <f>IFERROR(__xludf.DUMMYFUNCTION("""COMPUTED_VALUE"""),7.736418)</f>
        <v>7.736418</v>
      </c>
      <c r="D16502" s="7">
        <f>IFERROR(__xludf.DUMMYFUNCTION("""COMPUTED_VALUE"""),0.351851851851851)</f>
        <v>0.3518518519</v>
      </c>
    </row>
    <row r="16503">
      <c r="A16503" s="10" t="s">
        <v>17942</v>
      </c>
      <c r="B16503" s="7" t="str">
        <f>IFERROR(__xludf.DUMMYFUNCTION("SPLIT(A16503,"" "")"),"CC(C)C(C)(c1cccnc1)c1cccc(CN(Cc2ccccn2)C2CCCCC2N(C)c2cccc3ccc(-c4cccc5cccnc45)nc23)n1")</f>
        <v>CC(C)C(C)(c1cccnc1)c1cccc(CN(Cc2ccccn2)C2CCCCC2N(C)c2cccc3ccc(-c4cccc5cccnc45)nc23)n1</v>
      </c>
      <c r="C16503" s="7">
        <f>IFERROR(__xludf.DUMMYFUNCTION("""COMPUTED_VALUE"""),7.73641)</f>
        <v>7.73641</v>
      </c>
      <c r="D16503" s="7">
        <f>IFERROR(__xludf.DUMMYFUNCTION("""COMPUTED_VALUE"""),0.413333333333333)</f>
        <v>0.4133333333</v>
      </c>
    </row>
    <row r="16504">
      <c r="A16504" s="10" t="s">
        <v>17943</v>
      </c>
      <c r="B16504" s="7" t="str">
        <f>IFERROR(__xludf.DUMMYFUNCTION("SPLIT(A16504,"" "")"),"Cc1ccc(C)c(CN(C)CCN(C)c2ccc3nc4c(cc3c2)CCC4)n1")</f>
        <v>Cc1ccc(C)c(CN(C)CCN(C)c2ccc3nc4c(cc3c2)CCC4)n1</v>
      </c>
      <c r="C16504" s="7">
        <f>IFERROR(__xludf.DUMMYFUNCTION("""COMPUTED_VALUE"""),7.736405)</f>
        <v>7.736405</v>
      </c>
      <c r="D16504" s="7">
        <f>IFERROR(__xludf.DUMMYFUNCTION("""COMPUTED_VALUE"""),0.309090909090909)</f>
        <v>0.3090909091</v>
      </c>
    </row>
    <row r="16505">
      <c r="A16505" s="10" t="s">
        <v>17944</v>
      </c>
      <c r="B16505" s="7" t="str">
        <f>IFERROR(__xludf.DUMMYFUNCTION("SPLIT(A16505,"" "")"),"Cc1ccc2nc(CN(C)Cc3ccc(N)cn3)ccc2c1")</f>
        <v>Cc1ccc2nc(CN(C)Cc3ccc(N)cn3)ccc2c1</v>
      </c>
      <c r="C16505" s="7">
        <f>IFERROR(__xludf.DUMMYFUNCTION("""COMPUTED_VALUE"""),7.736401)</f>
        <v>7.736401</v>
      </c>
      <c r="D16505" s="7">
        <f>IFERROR(__xludf.DUMMYFUNCTION("""COMPUTED_VALUE"""),0.5)</f>
        <v>0.5</v>
      </c>
    </row>
    <row r="16506">
      <c r="A16506" s="10" t="s">
        <v>17945</v>
      </c>
      <c r="B16506" s="7" t="str">
        <f>IFERROR(__xludf.DUMMYFUNCTION("SPLIT(A16506,"" "")"),"CC(C)N(C)CC1=C(N(C)c2ccc3nccc(CF)c3c2)CC=CN1")</f>
        <v>CC(C)N(C)CC1=C(N(C)c2ccc3nccc(CF)c3c2)CC=CN1</v>
      </c>
      <c r="C16506" s="7">
        <f>IFERROR(__xludf.DUMMYFUNCTION("""COMPUTED_VALUE"""),7.736395)</f>
        <v>7.736395</v>
      </c>
      <c r="D16506" s="7">
        <f>IFERROR(__xludf.DUMMYFUNCTION("""COMPUTED_VALUE"""),0.208333333333333)</f>
        <v>0.2083333333</v>
      </c>
    </row>
    <row r="16507">
      <c r="A16507" s="10" t="s">
        <v>17946</v>
      </c>
      <c r="B16507" s="7" t="str">
        <f>IFERROR(__xludf.DUMMYFUNCTION("SPLIT(A16507,"" "")"),"CC(C)C1N=COC1c1cc(CN(Cc2ccccn2)Cc2ccc(-c3cccc(N=Cc4ccccn4)c3)cn2)ccn1")</f>
        <v>CC(C)C1N=COC1c1cc(CN(Cc2ccccn2)Cc2ccc(-c3cccc(N=Cc4ccccn4)c3)cn2)ccn1</v>
      </c>
      <c r="C16507" s="7">
        <f>IFERROR(__xludf.DUMMYFUNCTION("""COMPUTED_VALUE"""),7.7363906)</f>
        <v>7.7363906</v>
      </c>
      <c r="D16507" s="7">
        <f>IFERROR(__xludf.DUMMYFUNCTION("""COMPUTED_VALUE"""),0.309523809523809)</f>
        <v>0.3095238095</v>
      </c>
    </row>
    <row r="16508">
      <c r="A16508" s="10" t="s">
        <v>17947</v>
      </c>
      <c r="B16508" s="7" t="str">
        <f>IFERROR(__xludf.DUMMYFUNCTION("SPLIT(A16508,"" "")"),"CC(C)C(C)(c1cccnc1)c1cccc(CN(Cc2ccccn2)C2CCC(N(C)c3ccc4cc(-c5ccc6ncccc6c5)cnc4c3)CC2)n1")</f>
        <v>CC(C)C(C)(c1cccnc1)c1cccc(CN(Cc2ccccn2)C2CCC(N(C)c3ccc4cc(-c5ccc6ncccc6c5)cnc4c3)CC2)n1</v>
      </c>
      <c r="C16508" s="7">
        <f>IFERROR(__xludf.DUMMYFUNCTION("""COMPUTED_VALUE"""),7.736389)</f>
        <v>7.736389</v>
      </c>
      <c r="D16508" s="7">
        <f>IFERROR(__xludf.DUMMYFUNCTION("""COMPUTED_VALUE"""),0.28395061728395)</f>
        <v>0.2839506173</v>
      </c>
    </row>
    <row r="16509">
      <c r="A16509" s="10" t="s">
        <v>17948</v>
      </c>
      <c r="B16509" s="7" t="str">
        <f>IFERROR(__xludf.DUMMYFUNCTION("SPLIT(A16509,"" "")"),"Cc1ccc(N(C)CCN(C)Cc2cccc3ncccc23)c(C)c1C")</f>
        <v>Cc1ccc(N(C)CCN(C)Cc2cccc3ncccc23)c(C)c1C</v>
      </c>
      <c r="C16509" s="7">
        <f>IFERROR(__xludf.DUMMYFUNCTION("""COMPUTED_VALUE"""),7.736386)</f>
        <v>7.736386</v>
      </c>
      <c r="D16509" s="7">
        <f>IFERROR(__xludf.DUMMYFUNCTION("""COMPUTED_VALUE"""),0.448979591836734)</f>
        <v>0.4489795918</v>
      </c>
    </row>
    <row r="16510">
      <c r="A16510" s="10" t="s">
        <v>17949</v>
      </c>
      <c r="B16510" s="7" t="str">
        <f>IFERROR(__xludf.DUMMYFUNCTION("SPLIT(A16510,"" "")"),"Cc1cccc(N)c1CN(C)CCN(C)c1cccc2ncccc12")</f>
        <v>Cc1cccc(N)c1CN(C)CCN(C)c1cccc2ncccc12</v>
      </c>
      <c r="C16510" s="7">
        <f>IFERROR(__xludf.DUMMYFUNCTION("""COMPUTED_VALUE"""),7.736379)</f>
        <v>7.736379</v>
      </c>
      <c r="D16510" s="7">
        <f>IFERROR(__xludf.DUMMYFUNCTION("""COMPUTED_VALUE"""),0.42)</f>
        <v>0.42</v>
      </c>
    </row>
    <row r="16511">
      <c r="A16511" s="10" t="s">
        <v>17950</v>
      </c>
      <c r="B16511" s="7" t="str">
        <f>IFERROR(__xludf.DUMMYFUNCTION("SPLIT(A16511,"" "")"),"Cc1ccc(C2CCC2(C)C)nc1C(=O)C(=O)C(=O)C(=O)C(=O)C(=O)C(=O)C(=O)C(=O)C(=O)C(=O)C(=O)C(=O)C=O")</f>
        <v>Cc1ccc(C2CCC2(C)C)nc1C(=O)C(=O)C(=O)C(=O)C(=O)C(=O)C(=O)C(=O)C(=O)C(=O)C(=O)C(=O)C(=O)C=O</v>
      </c>
      <c r="C16511" s="7">
        <f>IFERROR(__xludf.DUMMYFUNCTION("""COMPUTED_VALUE"""),7.736378)</f>
        <v>7.736378</v>
      </c>
      <c r="D16511" s="7">
        <f>IFERROR(__xludf.DUMMYFUNCTION("""COMPUTED_VALUE"""),0.172413793103448)</f>
        <v>0.1724137931</v>
      </c>
    </row>
    <row r="16512">
      <c r="A16512" s="10" t="s">
        <v>17951</v>
      </c>
      <c r="B16512" s="7" t="str">
        <f>IFERROR(__xludf.DUMMYFUNCTION("SPLIT(A16512,"" "")"),"CCNCc1cccc(CN(Cc2ccccn2)c2ccc3nc(C)ccc3c2)n1")</f>
        <v>CCNCc1cccc(CN(Cc2ccccn2)c2ccc3nc(C)ccc3c2)n1</v>
      </c>
      <c r="C16512" s="7">
        <f>IFERROR(__xludf.DUMMYFUNCTION("""COMPUTED_VALUE"""),7.7363734)</f>
        <v>7.7363734</v>
      </c>
      <c r="D16512" s="7">
        <f>IFERROR(__xludf.DUMMYFUNCTION("""COMPUTED_VALUE"""),0.392857142857142)</f>
        <v>0.3928571429</v>
      </c>
    </row>
    <row r="16513">
      <c r="A16513" s="10" t="s">
        <v>17952</v>
      </c>
      <c r="B16513" s="7" t="str">
        <f>IFERROR(__xludf.DUMMYFUNCTION("SPLIT(A16513,"" "")"),"CN(CC1=C(N(C)Cc2ccccn2)CC=CN1)Cc1ccc2cccnc2c1")</f>
        <v>CN(CC1=C(N(C)Cc2ccccn2)CC=CN1)Cc1ccc2cccnc2c1</v>
      </c>
      <c r="C16513" s="7">
        <f>IFERROR(__xludf.DUMMYFUNCTION("""COMPUTED_VALUE"""),7.7363644)</f>
        <v>7.7363644</v>
      </c>
      <c r="D16513" s="7">
        <f>IFERROR(__xludf.DUMMYFUNCTION("""COMPUTED_VALUE"""),0.366666666666666)</f>
        <v>0.3666666667</v>
      </c>
    </row>
    <row r="16514">
      <c r="A16514" s="10" t="s">
        <v>17953</v>
      </c>
      <c r="B16514" s="7" t="str">
        <f>IFERROR(__xludf.DUMMYFUNCTION("SPLIT(A16514,"" "")"),"CN(C)Cc1cc(-c2ccccc2N)ccn1")</f>
        <v>CN(C)Cc1cc(-c2ccccc2N)ccn1</v>
      </c>
      <c r="C16514" s="7">
        <f>IFERROR(__xludf.DUMMYFUNCTION("""COMPUTED_VALUE"""),7.736364)</f>
        <v>7.736364</v>
      </c>
      <c r="D16514" s="7">
        <f>IFERROR(__xludf.DUMMYFUNCTION("""COMPUTED_VALUE"""),0.363636363636363)</f>
        <v>0.3636363636</v>
      </c>
    </row>
    <row r="16515">
      <c r="A16515" s="10" t="s">
        <v>17954</v>
      </c>
      <c r="B16515" s="7" t="str">
        <f>IFERROR(__xludf.DUMMYFUNCTION("SPLIT(A16515,"" "")"),"Cc1ccnc(CN(C)Cc2ccc3cccc(C)c3n2)c1")</f>
        <v>Cc1ccnc(CN(C)Cc2ccc3cccc(C)c3n2)c1</v>
      </c>
      <c r="C16515" s="7">
        <f>IFERROR(__xludf.DUMMYFUNCTION("""COMPUTED_VALUE"""),7.736361)</f>
        <v>7.736361</v>
      </c>
      <c r="D16515" s="7">
        <f>IFERROR(__xludf.DUMMYFUNCTION("""COMPUTED_VALUE"""),0.408163265306122)</f>
        <v>0.4081632653</v>
      </c>
    </row>
    <row r="16516">
      <c r="A16516" s="10" t="s">
        <v>17955</v>
      </c>
      <c r="B16516" s="7" t="str">
        <f>IFERROR(__xludf.DUMMYFUNCTION("SPLIT(A16516,"" "")"),"Cc1ccnc(CN(C)Cc2ccc3ccccc3n2)c1C")</f>
        <v>Cc1ccnc(CN(C)Cc2ccc3ccccc3n2)c1C</v>
      </c>
      <c r="C16516" s="7">
        <f>IFERROR(__xludf.DUMMYFUNCTION("""COMPUTED_VALUE"""),7.736355)</f>
        <v>7.736355</v>
      </c>
      <c r="D16516" s="7">
        <f>IFERROR(__xludf.DUMMYFUNCTION("""COMPUTED_VALUE"""),0.48780487804878)</f>
        <v>0.487804878</v>
      </c>
    </row>
    <row r="16517">
      <c r="A16517" s="10" t="s">
        <v>17956</v>
      </c>
      <c r="B16517" s="7" t="str">
        <f>IFERROR(__xludf.DUMMYFUNCTION("SPLIT(A16517,"" "")"),"CN(C)c1cccc(-c2cccnc2CN(C)C2CCCC(N(C)c3ccc4nccc(CF)c4c3)C2)c1")</f>
        <v>CN(C)c1cccc(-c2cccnc2CN(C)C2CCCC(N(C)c3ccc4nccc(CF)c4c3)C2)c1</v>
      </c>
      <c r="C16517" s="7">
        <f>IFERROR(__xludf.DUMMYFUNCTION("""COMPUTED_VALUE"""),7.7363462)</f>
        <v>7.7363462</v>
      </c>
      <c r="D16517" s="7">
        <f>IFERROR(__xludf.DUMMYFUNCTION("""COMPUTED_VALUE"""),0.24)</f>
        <v>0.24</v>
      </c>
    </row>
    <row r="16518">
      <c r="A16518" s="10" t="s">
        <v>17957</v>
      </c>
      <c r="B16518" s="7" t="str">
        <f>IFERROR(__xludf.DUMMYFUNCTION("SPLIT(A16518,"" "")"),"CNc1ccccc1-c1ncccc1C(C)(C)C")</f>
        <v>CNc1ccccc1-c1ncccc1C(C)(C)C</v>
      </c>
      <c r="C16518" s="7">
        <f>IFERROR(__xludf.DUMMYFUNCTION("""COMPUTED_VALUE"""),7.736344)</f>
        <v>7.736344</v>
      </c>
      <c r="D16518" s="7">
        <f>IFERROR(__xludf.DUMMYFUNCTION("""COMPUTED_VALUE"""),0.291666666666666)</f>
        <v>0.2916666667</v>
      </c>
    </row>
    <row r="16519">
      <c r="A16519" s="10" t="s">
        <v>17958</v>
      </c>
      <c r="B16519" s="7" t="str">
        <f>IFERROR(__xludf.DUMMYFUNCTION("SPLIT(A16519,"" "")"),"CNCc1ccc(-c2cccc(NCc3ccccn3)c2C)cn1")</f>
        <v>CNCc1ccc(-c2cccc(NCc3ccccn3)c2C)cn1</v>
      </c>
      <c r="C16519" s="7">
        <f>IFERROR(__xludf.DUMMYFUNCTION("""COMPUTED_VALUE"""),7.736338)</f>
        <v>7.736338</v>
      </c>
      <c r="D16519" s="7">
        <f>IFERROR(__xludf.DUMMYFUNCTION("""COMPUTED_VALUE"""),0.361702127659574)</f>
        <v>0.3617021277</v>
      </c>
    </row>
    <row r="16520">
      <c r="A16520" s="10" t="s">
        <v>17959</v>
      </c>
      <c r="B16520" s="7" t="str">
        <f>IFERROR(__xludf.DUMMYFUNCTION("SPLIT(A16520,"" "")"),"CN(CCN(C)Cc1ccc(-c2cccc3ncccc23)cn1)Cc1ccccn1")</f>
        <v>CN(CCN(C)Cc1ccc(-c2cccc3ncccc23)cn1)Cc1ccccn1</v>
      </c>
      <c r="C16520" s="7">
        <f>IFERROR(__xludf.DUMMYFUNCTION("""COMPUTED_VALUE"""),7.736328)</f>
        <v>7.736328</v>
      </c>
      <c r="D16520" s="7">
        <f>IFERROR(__xludf.DUMMYFUNCTION("""COMPUTED_VALUE"""),0.423076923076923)</f>
        <v>0.4230769231</v>
      </c>
    </row>
    <row r="16521">
      <c r="A16521" s="10" t="s">
        <v>17960</v>
      </c>
      <c r="B16521" s="7" t="str">
        <f>IFERROR(__xludf.DUMMYFUNCTION("SPLIT(A16521,"" "")"),"Cc1ccc(-c2cccc(CN(C)Cc3cc(N)ccn3)n2)c(C)c1C")</f>
        <v>Cc1ccc(-c2cccc(CN(C)Cc3cc(N)ccn3)n2)c(C)c1C</v>
      </c>
      <c r="C16521" s="7">
        <f>IFERROR(__xludf.DUMMYFUNCTION("""COMPUTED_VALUE"""),7.736319)</f>
        <v>7.736319</v>
      </c>
      <c r="D16521" s="7">
        <f>IFERROR(__xludf.DUMMYFUNCTION("""COMPUTED_VALUE"""),0.470588235294117)</f>
        <v>0.4705882353</v>
      </c>
    </row>
    <row r="16522">
      <c r="A16522" s="10" t="s">
        <v>17961</v>
      </c>
      <c r="B16522" s="7" t="str">
        <f>IFERROR(__xludf.DUMMYFUNCTION("SPLIT(A16522,"" "")"),"CCN(CC1=CC(N(C)Cc2ncccc2C)C=CN1)c1cccc2cccnc12")</f>
        <v>CCN(CC1=CC(N(C)Cc2ncccc2C)C=CN1)c1cccc2cccnc12</v>
      </c>
      <c r="C16522" s="7">
        <f>IFERROR(__xludf.DUMMYFUNCTION("""COMPUTED_VALUE"""),7.736311)</f>
        <v>7.736311</v>
      </c>
      <c r="D16522" s="7">
        <f>IFERROR(__xludf.DUMMYFUNCTION("""COMPUTED_VALUE"""),0.389830508474576)</f>
        <v>0.3898305085</v>
      </c>
    </row>
    <row r="16523">
      <c r="A16523" s="10" t="s">
        <v>17962</v>
      </c>
      <c r="B16523" s="7" t="str">
        <f>IFERROR(__xludf.DUMMYFUNCTION("SPLIT(A16523,"" "")"),"CC(C)N(Cc1ccccn1)C1CCCCC1N(C)c1ccc2nc(-c3ccc4ncccc4c3)ccc2c1")</f>
        <v>CC(C)N(Cc1ccccn1)C1CCCCC1N(C)c1ccc2nc(-c3ccc4ncccc4c3)ccc2c1</v>
      </c>
      <c r="C16523" s="7">
        <f>IFERROR(__xludf.DUMMYFUNCTION("""COMPUTED_VALUE"""),7.7362957)</f>
        <v>7.7362957</v>
      </c>
      <c r="D16523" s="7">
        <f>IFERROR(__xludf.DUMMYFUNCTION("""COMPUTED_VALUE"""),0.412698412698412)</f>
        <v>0.4126984127</v>
      </c>
    </row>
    <row r="16524">
      <c r="A16524" s="10" t="s">
        <v>17963</v>
      </c>
      <c r="B16524" s="7" t="str">
        <f>IFERROR(__xludf.DUMMYFUNCTION("SPLIT(A16524,"" "")"),"CN(Cc1ccccc1)Cc1cc(-c2cccc(N=Cc3ccccn3)c2)ccn1")</f>
        <v>CN(Cc1ccccc1)Cc1cc(-c2cccc(N=Cc3ccccn3)c2)ccn1</v>
      </c>
      <c r="C16524" s="7">
        <f>IFERROR(__xludf.DUMMYFUNCTION("""COMPUTED_VALUE"""),7.7362924)</f>
        <v>7.7362924</v>
      </c>
      <c r="D16524" s="7">
        <f>IFERROR(__xludf.DUMMYFUNCTION("""COMPUTED_VALUE"""),0.362068965517241)</f>
        <v>0.3620689655</v>
      </c>
    </row>
    <row r="16525">
      <c r="A16525" s="10" t="s">
        <v>17964</v>
      </c>
      <c r="B16525" s="7" t="str">
        <f>IFERROR(__xludf.DUMMYFUNCTION("SPLIT(A16525,"" "")"),"CN(Cc1cccc(N(C)C)n1)Cc1ncccc1-c1ccccc1")</f>
        <v>CN(Cc1cccc(N(C)C)n1)Cc1ncccc1-c1ccccc1</v>
      </c>
      <c r="C16525" s="7">
        <f>IFERROR(__xludf.DUMMYFUNCTION("""COMPUTED_VALUE"""),7.7362914)</f>
        <v>7.7362914</v>
      </c>
      <c r="D16525" s="7">
        <f>IFERROR(__xludf.DUMMYFUNCTION("""COMPUTED_VALUE"""),0.448979591836734)</f>
        <v>0.4489795918</v>
      </c>
    </row>
    <row r="16526">
      <c r="A16526" s="10" t="s">
        <v>17965</v>
      </c>
      <c r="B16526" s="7" t="str">
        <f>IFERROR(__xludf.DUMMYFUNCTION("SPLIT(A16526,"" "")"),"Cc1cnc(CN(C)CCN(C)c2ccc3nccc(CF)c3c2)cc1C")</f>
        <v>Cc1cnc(CN(C)CCN(C)c2ccc3nccc(CF)c3c2)cc1C</v>
      </c>
      <c r="C16526" s="7">
        <f>IFERROR(__xludf.DUMMYFUNCTION("""COMPUTED_VALUE"""),7.7362895)</f>
        <v>7.7362895</v>
      </c>
      <c r="D16526" s="7">
        <f>IFERROR(__xludf.DUMMYFUNCTION("""COMPUTED_VALUE"""),0.384615384615384)</f>
        <v>0.3846153846</v>
      </c>
    </row>
    <row r="16527">
      <c r="A16527" s="10" t="s">
        <v>17966</v>
      </c>
      <c r="B16527" s="7" t="str">
        <f>IFERROR(__xludf.DUMMYFUNCTION("SPLIT(A16527,"" "")"),"CC(C)c1cc(CN(Cc2ccccn2)Cc2cc(-c3cccc(N=Cc4ccccn4)c3)ccn2)ccn1")</f>
        <v>CC(C)c1cc(CN(Cc2ccccn2)Cc2cc(-c3cccc(N=Cc4ccccn4)c3)ccn2)ccn1</v>
      </c>
      <c r="C16527" s="7">
        <f>IFERROR(__xludf.DUMMYFUNCTION("""COMPUTED_VALUE"""),7.736255)</f>
        <v>7.736255</v>
      </c>
      <c r="D16527" s="7">
        <f>IFERROR(__xludf.DUMMYFUNCTION("""COMPUTED_VALUE"""),0.363636363636363)</f>
        <v>0.3636363636</v>
      </c>
    </row>
    <row r="16528">
      <c r="A16528" s="10" t="s">
        <v>17967</v>
      </c>
      <c r="B16528" s="7" t="str">
        <f>IFERROR(__xludf.DUMMYFUNCTION("SPLIT(A16528,"" "")"),"CN(CCN)CC1=CCC=C(N(C)c2ccc3cccnc3c2)N1")</f>
        <v>CN(CCN)CC1=CCC=C(N(C)c2ccc3cccnc3c2)N1</v>
      </c>
      <c r="C16528" s="7">
        <f>IFERROR(__xludf.DUMMYFUNCTION("""COMPUTED_VALUE"""),7.736253)</f>
        <v>7.736253</v>
      </c>
      <c r="D16528" s="7">
        <f>IFERROR(__xludf.DUMMYFUNCTION("""COMPUTED_VALUE"""),0.316666666666666)</f>
        <v>0.3166666667</v>
      </c>
    </row>
    <row r="16529">
      <c r="A16529" s="10" t="s">
        <v>17968</v>
      </c>
      <c r="B16529" s="7" t="str">
        <f>IFERROR(__xludf.DUMMYFUNCTION("SPLIT(A16529,"" "")"),"CCNc1ccc2cccnc2c1")</f>
        <v>CCNc1ccc2cccnc2c1</v>
      </c>
      <c r="C16529" s="7">
        <f>IFERROR(__xludf.DUMMYFUNCTION("""COMPUTED_VALUE"""),7.736253)</f>
        <v>7.736253</v>
      </c>
      <c r="D16529" s="7">
        <f>IFERROR(__xludf.DUMMYFUNCTION("""COMPUTED_VALUE"""),0.346938775510204)</f>
        <v>0.3469387755</v>
      </c>
    </row>
    <row r="16530">
      <c r="A16530" s="10" t="s">
        <v>17969</v>
      </c>
      <c r="B16530" s="7" t="str">
        <f>IFERROR(__xludf.DUMMYFUNCTION("SPLIT(A16530,"" "")"),"CN(CN)c1ccc(C2=CCC=CN2)nc1")</f>
        <v>CN(CN)c1ccc(C2=CCC=CN2)nc1</v>
      </c>
      <c r="C16530" s="7">
        <f>IFERROR(__xludf.DUMMYFUNCTION("""COMPUTED_VALUE"""),7.736251)</f>
        <v>7.736251</v>
      </c>
      <c r="D16530" s="7">
        <f>IFERROR(__xludf.DUMMYFUNCTION("""COMPUTED_VALUE"""),0.351851851851851)</f>
        <v>0.3518518519</v>
      </c>
    </row>
    <row r="16531">
      <c r="A16531" s="10" t="s">
        <v>17970</v>
      </c>
      <c r="B16531" s="7" t="str">
        <f>IFERROR(__xludf.DUMMYFUNCTION("SPLIT(A16531,"" "")"),"Cc1ccc(-c2cccc(NCc3ccccn3)c2)nc1CN(Cc1ccccn1)Cc1ncccc1N(C)C")</f>
        <v>Cc1ccc(-c2cccc(NCc3ccccn3)c2)nc1CN(Cc1ccccn1)Cc1ncccc1N(C)C</v>
      </c>
      <c r="C16531" s="7">
        <f>IFERROR(__xludf.DUMMYFUNCTION("""COMPUTED_VALUE"""),7.7362504)</f>
        <v>7.7362504</v>
      </c>
      <c r="D16531" s="7">
        <f>IFERROR(__xludf.DUMMYFUNCTION("""COMPUTED_VALUE"""),0.426470588235294)</f>
        <v>0.4264705882</v>
      </c>
    </row>
    <row r="16532">
      <c r="A16532" s="10" t="s">
        <v>17971</v>
      </c>
      <c r="B16532" s="7" t="str">
        <f>IFERROR(__xludf.DUMMYFUNCTION("SPLIT(A16532,"" "")"),"Cc1ccc(CN(Cc2ccccn2)Cc2cc(-c3ccccc3N(C)C)ccn2)nc1C")</f>
        <v>Cc1ccc(CN(Cc2ccccn2)Cc2cc(-c3ccccc3N(C)C)ccn2)nc1C</v>
      </c>
      <c r="C16532" s="7">
        <f>IFERROR(__xludf.DUMMYFUNCTION("""COMPUTED_VALUE"""),7.73625)</f>
        <v>7.73625</v>
      </c>
      <c r="D16532" s="7">
        <f>IFERROR(__xludf.DUMMYFUNCTION("""COMPUTED_VALUE"""),0.425925925925925)</f>
        <v>0.4259259259</v>
      </c>
    </row>
    <row r="16533">
      <c r="A16533" s="10" t="s">
        <v>17972</v>
      </c>
      <c r="B16533" s="7" t="str">
        <f>IFERROR(__xludf.DUMMYFUNCTION("SPLIT(A16533,"" "")"),"Cc1cccc2ncc(CN(C)Cc3ccccn3)cc12")</f>
        <v>Cc1cccc2ncc(CN(C)Cc3ccccn3)cc12</v>
      </c>
      <c r="C16533" s="7">
        <f>IFERROR(__xludf.DUMMYFUNCTION("""COMPUTED_VALUE"""),7.7362485)</f>
        <v>7.7362485</v>
      </c>
      <c r="D16533" s="7">
        <f>IFERROR(__xludf.DUMMYFUNCTION("""COMPUTED_VALUE"""),0.479166666666666)</f>
        <v>0.4791666667</v>
      </c>
    </row>
    <row r="16534">
      <c r="A16534" s="10" t="s">
        <v>17973</v>
      </c>
      <c r="B16534" s="7" t="str">
        <f>IFERROR(__xludf.DUMMYFUNCTION("SPLIT(A16534,"" "")"),"CN(c1ccc2ncc(-c3ccc4ncccc4c3)cc2c1)C1CCC(N(Cc2ccccn2)Cc2cccc(C3CC(C)(C)C3)n2)CC1")</f>
        <v>CN(c1ccc2ncc(-c3ccc4ncccc4c3)cc2c1)C1CCC(N(Cc2ccccn2)Cc2cccc(C3CC(C)(C)C3)n2)CC1</v>
      </c>
      <c r="C16534" s="7">
        <f>IFERROR(__xludf.DUMMYFUNCTION("""COMPUTED_VALUE"""),7.736245)</f>
        <v>7.736245</v>
      </c>
      <c r="D16534" s="7">
        <f>IFERROR(__xludf.DUMMYFUNCTION("""COMPUTED_VALUE"""),0.315068493150684)</f>
        <v>0.3150684932</v>
      </c>
    </row>
    <row r="16535">
      <c r="A16535" s="10" t="s">
        <v>17974</v>
      </c>
      <c r="B16535" s="7" t="str">
        <f>IFERROR(__xludf.DUMMYFUNCTION("SPLIT(A16535,"" "")"),"CC(C)C1N=COC1c1ncccc1CN(Cc1ccccn1)Cc1cc(-c2cccc(N=Cc3ccccn3)c2)ccn1")</f>
        <v>CC(C)C1N=COC1c1ncccc1CN(Cc1ccccn1)Cc1cc(-c2cccc(N=Cc3ccccn3)c2)ccn1</v>
      </c>
      <c r="C16535" s="7">
        <f>IFERROR(__xludf.DUMMYFUNCTION("""COMPUTED_VALUE"""),7.736221)</f>
        <v>7.736221</v>
      </c>
      <c r="D16535" s="7">
        <f>IFERROR(__xludf.DUMMYFUNCTION("""COMPUTED_VALUE"""),0.309859154929577)</f>
        <v>0.3098591549</v>
      </c>
    </row>
    <row r="16536">
      <c r="A16536" s="10" t="s">
        <v>17975</v>
      </c>
      <c r="B16536" s="7" t="str">
        <f>IFERROR(__xludf.DUMMYFUNCTION("SPLIT(A16536,"" "")"),"Cc1cccnc1CN(CC1=CCC(N(C)Cc2cncc(C)c2C)=CN1)Cc1ccc2ncccc2c1")</f>
        <v>Cc1cccnc1CN(CC1=CCC(N(C)Cc2cncc(C)c2C)=CN1)Cc1ccc2ncccc2c1</v>
      </c>
      <c r="C16536" s="7">
        <f>IFERROR(__xludf.DUMMYFUNCTION("""COMPUTED_VALUE"""),7.736218)</f>
        <v>7.736218</v>
      </c>
      <c r="D16536" s="7">
        <f>IFERROR(__xludf.DUMMYFUNCTION("""COMPUTED_VALUE"""),0.253164556962025)</f>
        <v>0.253164557</v>
      </c>
    </row>
    <row r="16537">
      <c r="A16537" s="10" t="s">
        <v>17976</v>
      </c>
      <c r="B16537" s="7" t="str">
        <f>IFERROR(__xludf.DUMMYFUNCTION("SPLIT(A16537,"" "")"),"Cc1cnc(CN(C)c2ccccc2-c2cccnc2CN(Cc2ccccn2)C(C)C)c(C)c1")</f>
        <v>Cc1cnc(CN(C)c2ccccc2-c2cccnc2CN(Cc2ccccn2)C(C)C)c(C)c1</v>
      </c>
      <c r="C16537" s="7">
        <f>IFERROR(__xludf.DUMMYFUNCTION("""COMPUTED_VALUE"""),7.736204)</f>
        <v>7.736204</v>
      </c>
      <c r="D16537" s="7">
        <f>IFERROR(__xludf.DUMMYFUNCTION("""COMPUTED_VALUE"""),0.444444444444444)</f>
        <v>0.4444444444</v>
      </c>
    </row>
    <row r="16538">
      <c r="A16538" s="10" t="s">
        <v>17977</v>
      </c>
      <c r="B16538" s="7" t="str">
        <f>IFERROR(__xludf.DUMMYFUNCTION("SPLIT(A16538,"" "")"),"CC(C)c1cccc(CNCc2cccc(-c3cccc(N=Cc4ccccn4)c3)n2)n1")</f>
        <v>CC(C)c1cccc(CNCc2cccc(-c3cccc(N=Cc4ccccn4)c3)n2)n1</v>
      </c>
      <c r="C16538" s="7">
        <f>IFERROR(__xludf.DUMMYFUNCTION("""COMPUTED_VALUE"""),7.7361937)</f>
        <v>7.7361937</v>
      </c>
      <c r="D16538" s="7">
        <f>IFERROR(__xludf.DUMMYFUNCTION("""COMPUTED_VALUE"""),0.35820895522388)</f>
        <v>0.3582089552</v>
      </c>
    </row>
    <row r="16539">
      <c r="A16539" s="10" t="s">
        <v>17978</v>
      </c>
      <c r="B16539" s="7" t="str">
        <f>IFERROR(__xludf.DUMMYFUNCTION("SPLIT(A16539,"" "")"),"Cc1ccc(C)c(CN(C)CCN(C)c2ccc3c(CF)ccnc3c2)n1")</f>
        <v>Cc1ccc(C)c(CN(C)CCN(C)c2ccc3c(CF)ccnc3c2)n1</v>
      </c>
      <c r="C16539" s="7">
        <f>IFERROR(__xludf.DUMMYFUNCTION("""COMPUTED_VALUE"""),7.736176)</f>
        <v>7.736176</v>
      </c>
      <c r="D16539" s="7">
        <f>IFERROR(__xludf.DUMMYFUNCTION("""COMPUTED_VALUE"""),0.327272727272727)</f>
        <v>0.3272727273</v>
      </c>
    </row>
    <row r="16540">
      <c r="A16540" s="10" t="s">
        <v>17979</v>
      </c>
      <c r="B16540" s="7" t="str">
        <f>IFERROR(__xludf.DUMMYFUNCTION("SPLIT(A16540,"" "")"),"Cc1ccc(C)c(CN(C)CCN(C)c2ccc3nccc(CF)c3c2)n1")</f>
        <v>Cc1ccc(C)c(CN(C)CCN(C)c2ccc3nccc(CF)c3c2)n1</v>
      </c>
      <c r="C16540" s="7">
        <f>IFERROR(__xludf.DUMMYFUNCTION("""COMPUTED_VALUE"""),7.7361736)</f>
        <v>7.7361736</v>
      </c>
      <c r="D16540" s="7">
        <f>IFERROR(__xludf.DUMMYFUNCTION("""COMPUTED_VALUE"""),0.321428571428571)</f>
        <v>0.3214285714</v>
      </c>
    </row>
    <row r="16541">
      <c r="A16541" s="10" t="s">
        <v>17980</v>
      </c>
      <c r="B16541" s="7" t="str">
        <f>IFERROR(__xludf.DUMMYFUNCTION("SPLIT(A16541,"" "")"),"Cc1ccnc(CN(C)CCN(C)c2ccc3nc(C)ccc3c2)c1")</f>
        <v>Cc1ccnc(CN(C)CCN(C)c2ccc3nc(C)ccc3c2)c1</v>
      </c>
      <c r="C16541" s="7">
        <f>IFERROR(__xludf.DUMMYFUNCTION("""COMPUTED_VALUE"""),7.736173)</f>
        <v>7.736173</v>
      </c>
      <c r="D16541" s="7">
        <f>IFERROR(__xludf.DUMMYFUNCTION("""COMPUTED_VALUE"""),0.404255319148936)</f>
        <v>0.4042553191</v>
      </c>
    </row>
    <row r="16542">
      <c r="A16542" s="10" t="s">
        <v>17981</v>
      </c>
      <c r="B16542" s="7" t="str">
        <f>IFERROR(__xludf.DUMMYFUNCTION("SPLIT(A16542,"" "")"),"Cc1ccnc(CN(C)C2C=CNC(CN(c3ccc4cccnc4c3)C(C)C)=C2)c1")</f>
        <v>Cc1ccnc(CN(C)C2C=CNC(CN(c3ccc4cccnc4c3)C(C)C)=C2)c1</v>
      </c>
      <c r="C16542" s="7">
        <f>IFERROR(__xludf.DUMMYFUNCTION("""COMPUTED_VALUE"""),7.736161)</f>
        <v>7.736161</v>
      </c>
      <c r="D16542" s="7">
        <f>IFERROR(__xludf.DUMMYFUNCTION("""COMPUTED_VALUE"""),0.271428571428571)</f>
        <v>0.2714285714</v>
      </c>
    </row>
    <row r="16543">
      <c r="A16543" s="10" t="s">
        <v>17982</v>
      </c>
      <c r="B16543" s="7" t="str">
        <f>IFERROR(__xludf.DUMMYFUNCTION("SPLIT(A16543,"" "")"),"CN(Cc1ccc(N(C)C)cn1)Cc1cccc(C2=CCC=CN2)n1")</f>
        <v>CN(Cc1ccc(N(C)C)cn1)Cc1cccc(C2=CCC=CN2)n1</v>
      </c>
      <c r="C16543" s="7">
        <f>IFERROR(__xludf.DUMMYFUNCTION("""COMPUTED_VALUE"""),7.7361608)</f>
        <v>7.7361608</v>
      </c>
      <c r="D16543" s="7">
        <f>IFERROR(__xludf.DUMMYFUNCTION("""COMPUTED_VALUE"""),0.425925925925925)</f>
        <v>0.4259259259</v>
      </c>
    </row>
    <row r="16544">
      <c r="A16544" s="10" t="s">
        <v>17983</v>
      </c>
      <c r="B16544" s="7" t="str">
        <f>IFERROR(__xludf.DUMMYFUNCTION("SPLIT(A16544,"" "")"),"CNCc1ccc2ncccc2c1")</f>
        <v>CNCc1ccc2ncccc2c1</v>
      </c>
      <c r="C16544" s="7">
        <f>IFERROR(__xludf.DUMMYFUNCTION("""COMPUTED_VALUE"""),7.736159)</f>
        <v>7.736159</v>
      </c>
      <c r="D16544" s="7">
        <f>IFERROR(__xludf.DUMMYFUNCTION("""COMPUTED_VALUE"""),0.302325581395348)</f>
        <v>0.3023255814</v>
      </c>
    </row>
    <row r="16545">
      <c r="A16545" s="10" t="s">
        <v>17984</v>
      </c>
      <c r="B16545" s="7" t="str">
        <f>IFERROR(__xludf.DUMMYFUNCTION("SPLIT(A16545,"" "")"),"Cc1cc(C)c(C)c(N(C)Cc2ccc(N)cn2)c1")</f>
        <v>Cc1cc(C)c(C)c(N(C)Cc2ccc(N)cn2)c1</v>
      </c>
      <c r="C16545" s="7">
        <f>IFERROR(__xludf.DUMMYFUNCTION("""COMPUTED_VALUE"""),7.7361584)</f>
        <v>7.7361584</v>
      </c>
      <c r="D16545" s="7">
        <f>IFERROR(__xludf.DUMMYFUNCTION("""COMPUTED_VALUE"""),0.395348837209302)</f>
        <v>0.3953488372</v>
      </c>
    </row>
    <row r="16546">
      <c r="A16546" s="10" t="s">
        <v>17985</v>
      </c>
      <c r="B16546" s="7" t="str">
        <f>IFERROR(__xludf.DUMMYFUNCTION("SPLIT(A16546,"" "")"),"CN(C)Cc1ccc(-c2ccc(N)cc2)cn1")</f>
        <v>CN(C)Cc1ccc(-c2ccc(N)cc2)cn1</v>
      </c>
      <c r="C16546" s="7">
        <f>IFERROR(__xludf.DUMMYFUNCTION("""COMPUTED_VALUE"""),7.7361565)</f>
        <v>7.7361565</v>
      </c>
      <c r="D16546" s="7">
        <f>IFERROR(__xludf.DUMMYFUNCTION("""COMPUTED_VALUE"""),0.394736842105263)</f>
        <v>0.3947368421</v>
      </c>
    </row>
    <row r="16547">
      <c r="A16547" s="10" t="s">
        <v>17986</v>
      </c>
      <c r="B16547" s="7" t="str">
        <f>IFERROR(__xludf.DUMMYFUNCTION("SPLIT(A16547,"" "")"),"Cc1ccc(N)c(-c2ncccc2CN(C)Cc2ncccc2N)c1C")</f>
        <v>Cc1ccc(N)c(-c2ncccc2CN(C)Cc2ncccc2N)c1C</v>
      </c>
      <c r="C16547" s="7">
        <f>IFERROR(__xludf.DUMMYFUNCTION("""COMPUTED_VALUE"""),7.736152)</f>
        <v>7.736152</v>
      </c>
      <c r="D16547" s="7">
        <f>IFERROR(__xludf.DUMMYFUNCTION("""COMPUTED_VALUE"""),0.339622641509433)</f>
        <v>0.3396226415</v>
      </c>
    </row>
    <row r="16548">
      <c r="A16548" s="10" t="s">
        <v>17987</v>
      </c>
      <c r="B16548" s="7" t="str">
        <f>IFERROR(__xludf.DUMMYFUNCTION("SPLIT(A16548,"" "")"),"CN(CC1=C(N(C)Cc2ccccn2)CC=CN1)Cc1ccc2ncccc2c1")</f>
        <v>CN(CC1=C(N(C)Cc2ccccn2)CC=CN1)Cc1ccc2ncccc2c1</v>
      </c>
      <c r="C16548" s="7">
        <f>IFERROR(__xludf.DUMMYFUNCTION("""COMPUTED_VALUE"""),7.7361507)</f>
        <v>7.7361507</v>
      </c>
      <c r="D16548" s="7">
        <f>IFERROR(__xludf.DUMMYFUNCTION("""COMPUTED_VALUE"""),0.366666666666666)</f>
        <v>0.3666666667</v>
      </c>
    </row>
    <row r="16549">
      <c r="A16549" s="10" t="s">
        <v>17988</v>
      </c>
      <c r="B16549" s="7" t="str">
        <f>IFERROR(__xludf.DUMMYFUNCTION("SPLIT(A16549,"" "")"),"Cc1ccnc(C2CCC2(C)C)c1C(=O)C(=O)C(=O)C(=O)C(=O)C(=O)C(=O)C(=O)C(=O)C(=O)C(=O)C(=O)C(=O)C=O")</f>
        <v>Cc1ccnc(C2CCC2(C)C)c1C(=O)C(=O)C(=O)C(=O)C(=O)C(=O)C(=O)C(=O)C(=O)C(=O)C(=O)C(=O)C(=O)C=O</v>
      </c>
      <c r="C16549" s="7">
        <f>IFERROR(__xludf.DUMMYFUNCTION("""COMPUTED_VALUE"""),7.73615)</f>
        <v>7.73615</v>
      </c>
      <c r="D16549" s="7">
        <f>IFERROR(__xludf.DUMMYFUNCTION("""COMPUTED_VALUE"""),0.194444444444444)</f>
        <v>0.1944444444</v>
      </c>
    </row>
    <row r="16550">
      <c r="A16550" s="10" t="s">
        <v>17989</v>
      </c>
      <c r="B16550" s="7" t="str">
        <f>IFERROR(__xludf.DUMMYFUNCTION("SPLIT(A16550,"" "")"),"Cc1cccnc1CN(Cc1ccccn1)Cc1ccnc2ccc(N(Cc3ccccn3)C(C)C)cc12")</f>
        <v>Cc1cccnc1CN(Cc1ccccn1)Cc1ccnc2ccc(N(Cc3ccccn3)C(C)C)cc12</v>
      </c>
      <c r="C16550" s="7">
        <f>IFERROR(__xludf.DUMMYFUNCTION("""COMPUTED_VALUE"""),7.736146)</f>
        <v>7.736146</v>
      </c>
      <c r="D16550" s="7">
        <f>IFERROR(__xludf.DUMMYFUNCTION("""COMPUTED_VALUE"""),0.377358490566037)</f>
        <v>0.3773584906</v>
      </c>
    </row>
    <row r="16551">
      <c r="A16551" s="10" t="s">
        <v>17990</v>
      </c>
      <c r="B16551" s="7" t="str">
        <f>IFERROR(__xludf.DUMMYFUNCTION("SPLIT(A16551,"" "")"),"CCN(Cc1ccccn1)c1ccc2nccc(CN(C)Cc3ccccn3)c2c1")</f>
        <v>CCN(Cc1ccccn1)c1ccc2nccc(CN(C)Cc3ccccn3)c2c1</v>
      </c>
      <c r="C16551" s="7">
        <f>IFERROR(__xludf.DUMMYFUNCTION("""COMPUTED_VALUE"""),7.7361383)</f>
        <v>7.7361383</v>
      </c>
      <c r="D16551" s="7">
        <f>IFERROR(__xludf.DUMMYFUNCTION("""COMPUTED_VALUE"""),0.423076923076923)</f>
        <v>0.4230769231</v>
      </c>
    </row>
    <row r="16552">
      <c r="A16552" s="10" t="s">
        <v>17991</v>
      </c>
      <c r="B16552" s="7" t="str">
        <f>IFERROR(__xludf.DUMMYFUNCTION("SPLIT(A16552,"" "")"),"Cc1cccc(CN(C)Cc2cccc(-c3ccccc3N=Cc3ccccn3)n2)c1")</f>
        <v>Cc1cccc(CN(C)Cc2cccc(-c3ccccc3N=Cc3ccccn3)n2)c1</v>
      </c>
      <c r="C16552" s="7">
        <f>IFERROR(__xludf.DUMMYFUNCTION("""COMPUTED_VALUE"""),7.7361355)</f>
        <v>7.7361355</v>
      </c>
      <c r="D16552" s="7">
        <f>IFERROR(__xludf.DUMMYFUNCTION("""COMPUTED_VALUE"""),0.448275862068965)</f>
        <v>0.4482758621</v>
      </c>
    </row>
    <row r="16553">
      <c r="A16553" s="10" t="s">
        <v>17992</v>
      </c>
      <c r="B16553" s="7" t="str">
        <f>IFERROR(__xludf.DUMMYFUNCTION("SPLIT(A16553,"" "")"),"Fc1ccccc1N(Cc1ccccn1)Cc1ncccc1-c1ccccc1NCc1ccccn1")</f>
        <v>Fc1ccccc1N(Cc1ccccn1)Cc1ncccc1-c1ccccc1NCc1ccccn1</v>
      </c>
      <c r="C16553" s="7">
        <f>IFERROR(__xludf.DUMMYFUNCTION("""COMPUTED_VALUE"""),7.7361336)</f>
        <v>7.7361336</v>
      </c>
      <c r="D16553" s="7">
        <f>IFERROR(__xludf.DUMMYFUNCTION("""COMPUTED_VALUE"""),0.346938775510204)</f>
        <v>0.3469387755</v>
      </c>
    </row>
    <row r="16554">
      <c r="A16554" s="10" t="s">
        <v>17993</v>
      </c>
      <c r="B16554" s="7" t="str">
        <f>IFERROR(__xludf.DUMMYFUNCTION("SPLIT(A16554,"" "")"),"CC(C)N(C)CN(C)c1ccc2nccc(CN(C)C)c2c1")</f>
        <v>CC(C)N(C)CN(C)c1ccc2nccc(CN(C)C)c2c1</v>
      </c>
      <c r="C16554" s="7">
        <f>IFERROR(__xludf.DUMMYFUNCTION("""COMPUTED_VALUE"""),7.736132)</f>
        <v>7.736132</v>
      </c>
      <c r="D16554" s="7">
        <f>IFERROR(__xludf.DUMMYFUNCTION("""COMPUTED_VALUE"""),0.245283018867924)</f>
        <v>0.2452830189</v>
      </c>
    </row>
    <row r="16555">
      <c r="A16555" s="10" t="s">
        <v>17994</v>
      </c>
      <c r="B16555" s="7" t="str">
        <f>IFERROR(__xludf.DUMMYFUNCTION("SPLIT(A16555,"" "")"),"Cc1cccc(N(Cc2ccccn2)Cc2ncccc2N(C)C)c1C")</f>
        <v>Cc1cccc(N(Cc2ccccn2)Cc2ncccc2N(C)C)c1C</v>
      </c>
      <c r="C16555" s="7">
        <f>IFERROR(__xludf.DUMMYFUNCTION("""COMPUTED_VALUE"""),7.7361293)</f>
        <v>7.7361293</v>
      </c>
      <c r="D16555" s="7">
        <f>IFERROR(__xludf.DUMMYFUNCTION("""COMPUTED_VALUE"""),0.408163265306122)</f>
        <v>0.4081632653</v>
      </c>
    </row>
    <row r="16556">
      <c r="A16556" s="10" t="s">
        <v>17995</v>
      </c>
      <c r="B16556" s="7" t="str">
        <f>IFERROR(__xludf.DUMMYFUNCTION("SPLIT(A16556,"" "")"),"Cc1ccccc1N(Cc1ccccn1)Cc1nc(N(C)C)cc(C)c1C")</f>
        <v>Cc1ccccc1N(Cc1ccccn1)Cc1nc(N(C)C)cc(C)c1C</v>
      </c>
      <c r="C16556" s="7">
        <f>IFERROR(__xludf.DUMMYFUNCTION("""COMPUTED_VALUE"""),7.736127)</f>
        <v>7.736127</v>
      </c>
      <c r="D16556" s="7">
        <f>IFERROR(__xludf.DUMMYFUNCTION("""COMPUTED_VALUE"""),0.411764705882352)</f>
        <v>0.4117647059</v>
      </c>
    </row>
    <row r="16557">
      <c r="A16557" s="10" t="s">
        <v>17996</v>
      </c>
      <c r="B16557" s="7" t="str">
        <f>IFERROR(__xludf.DUMMYFUNCTION("SPLIT(A16557,"" "")"),"CC(C)(CN(Cc1ccccn1)c1cccc2ncccc12)c1ccccc1NCc1ccccn1")</f>
        <v>CC(C)(CN(Cc1ccccn1)c1cccc2ncccc12)c1ccccc1NCc1ccccn1</v>
      </c>
      <c r="C16557" s="7">
        <f>IFERROR(__xludf.DUMMYFUNCTION("""COMPUTED_VALUE"""),7.7361193)</f>
        <v>7.7361193</v>
      </c>
      <c r="D16557" s="7">
        <f>IFERROR(__xludf.DUMMYFUNCTION("""COMPUTED_VALUE"""),0.35593220338983)</f>
        <v>0.3559322034</v>
      </c>
    </row>
    <row r="16558">
      <c r="A16558" s="10" t="s">
        <v>17997</v>
      </c>
      <c r="B16558" s="7" t="str">
        <f>IFERROR(__xludf.DUMMYFUNCTION("SPLIT(A16558,"" "")"),"Cc1cc(C)c(CN(C)CCN(C)c2ccc3ncccc3c2)cn1")</f>
        <v>Cc1cc(C)c(CN(C)CCN(C)c2ccc3ncccc3c2)cn1</v>
      </c>
      <c r="C16558" s="7">
        <f>IFERROR(__xludf.DUMMYFUNCTION("""COMPUTED_VALUE"""),7.7360973)</f>
        <v>7.7360973</v>
      </c>
      <c r="D16558" s="7">
        <f>IFERROR(__xludf.DUMMYFUNCTION("""COMPUTED_VALUE"""),0.431372549019607)</f>
        <v>0.431372549</v>
      </c>
    </row>
    <row r="16559">
      <c r="A16559" s="10" t="s">
        <v>17998</v>
      </c>
      <c r="B16559" s="7" t="str">
        <f>IFERROR(__xludf.DUMMYFUNCTION("SPLIT(A16559,"" "")"),"Cc1cccnc1CN(CCN(C)c1ccc2nccc(C)c2c1)C1CCC(N(C)c2ccc3nccc(C)c3c2)CC1")</f>
        <v>Cc1cccnc1CN(CCN(C)c1ccc2nccc(C)c2c1)C1CCC(N(C)c2ccc3nccc(C)c3c2)CC1</v>
      </c>
      <c r="C16559" s="7">
        <f>IFERROR(__xludf.DUMMYFUNCTION("""COMPUTED_VALUE"""),7.7360973)</f>
        <v>7.7360973</v>
      </c>
      <c r="D16559" s="7">
        <f>IFERROR(__xludf.DUMMYFUNCTION("""COMPUTED_VALUE"""),0.25)</f>
        <v>0.25</v>
      </c>
    </row>
    <row r="16560">
      <c r="A16560" s="10" t="s">
        <v>17999</v>
      </c>
      <c r="B16560" s="7" t="str">
        <f>IFERROR(__xludf.DUMMYFUNCTION("SPLIT(A16560,"" "")"),"Cc1cccnc1CN(Cc1ccccn1)Cc1ccnc2cc(N(Cc3ccccn3)C(C)C)ccc12")</f>
        <v>Cc1cccnc1CN(Cc1ccccn1)Cc1ccnc2cc(N(Cc3ccccn3)C(C)C)ccc12</v>
      </c>
      <c r="C16560" s="7">
        <f>IFERROR(__xludf.DUMMYFUNCTION("""COMPUTED_VALUE"""),7.736095)</f>
        <v>7.736095</v>
      </c>
      <c r="D16560" s="7">
        <f>IFERROR(__xludf.DUMMYFUNCTION("""COMPUTED_VALUE"""),0.384615384615384)</f>
        <v>0.3846153846</v>
      </c>
    </row>
    <row r="16561">
      <c r="A16561" s="10" t="s">
        <v>18000</v>
      </c>
      <c r="B16561" s="7" t="str">
        <f>IFERROR(__xludf.DUMMYFUNCTION("SPLIT(A16561,"" "")"),"CCNCc1ccc(-c2cccc(N=Cc3ccccn3)c2)cn1")</f>
        <v>CCNCc1ccc(-c2cccc(N=Cc3ccccn3)c2)cn1</v>
      </c>
      <c r="C16561" s="7">
        <f>IFERROR(__xludf.DUMMYFUNCTION("""COMPUTED_VALUE"""),7.7360854)</f>
        <v>7.7360854</v>
      </c>
      <c r="D16561" s="7">
        <f>IFERROR(__xludf.DUMMYFUNCTION("""COMPUTED_VALUE"""),0.368421052631578)</f>
        <v>0.3684210526</v>
      </c>
    </row>
    <row r="16562">
      <c r="A16562" s="10" t="s">
        <v>18001</v>
      </c>
      <c r="B16562" s="7" t="str">
        <f>IFERROR(__xludf.DUMMYFUNCTION("SPLIT(A16562,"" "")"),"Cc1ccnc(CN(C)C2C=CNC(CN(c3ccc4ncccc4c3)C(C)C)=C2)c1")</f>
        <v>Cc1ccnc(CN(C)C2C=CNC(CN(c3ccc4ncccc4c3)C(C)C)=C2)c1</v>
      </c>
      <c r="C16562" s="7">
        <f>IFERROR(__xludf.DUMMYFUNCTION("""COMPUTED_VALUE"""),7.7360735)</f>
        <v>7.7360735</v>
      </c>
      <c r="D16562" s="7">
        <f>IFERROR(__xludf.DUMMYFUNCTION("""COMPUTED_VALUE"""),0.257142857142857)</f>
        <v>0.2571428571</v>
      </c>
    </row>
    <row r="16563">
      <c r="A16563" s="10" t="s">
        <v>18002</v>
      </c>
      <c r="B16563" s="7" t="str">
        <f>IFERROR(__xludf.DUMMYFUNCTION("SPLIT(A16563,"" "")"),"CC(C)N(C)CC1=CCC(N(C)c2cccc3ncccc23)=CN1")</f>
        <v>CC(C)N(C)CC1=CCC(N(C)c2cccc3ncccc23)=CN1</v>
      </c>
      <c r="C16563" s="7">
        <f>IFERROR(__xludf.DUMMYFUNCTION("""COMPUTED_VALUE"""),7.736071)</f>
        <v>7.736071</v>
      </c>
      <c r="D16563" s="7">
        <f>IFERROR(__xludf.DUMMYFUNCTION("""COMPUTED_VALUE"""),0.301587301587301)</f>
        <v>0.3015873016</v>
      </c>
    </row>
    <row r="16564">
      <c r="A16564" s="10" t="s">
        <v>18003</v>
      </c>
      <c r="B16564" s="7" t="str">
        <f>IFERROR(__xludf.DUMMYFUNCTION("SPLIT(A16564,"" "")"),"Cc1cccc(-c2ccc(CN(C)Cc3cc(C)c(C)c(C)n3)cc2)n1")</f>
        <v>Cc1cccc(-c2ccc(CN(C)Cc3cc(C)c(C)c(C)n3)cc2)n1</v>
      </c>
      <c r="C16564" s="7">
        <f>IFERROR(__xludf.DUMMYFUNCTION("""COMPUTED_VALUE"""),7.7360578)</f>
        <v>7.7360578</v>
      </c>
      <c r="D16564" s="7">
        <f>IFERROR(__xludf.DUMMYFUNCTION("""COMPUTED_VALUE"""),0.404255319148936)</f>
        <v>0.4042553191</v>
      </c>
    </row>
    <row r="16565">
      <c r="A16565" s="10" t="s">
        <v>18004</v>
      </c>
      <c r="B16565" s="7" t="str">
        <f>IFERROR(__xludf.DUMMYFUNCTION("SPLIT(A16565,"" "")"),"CCNCc1cccc(-c2cccc(N(C)Cc3ccccn3)c2C)n1")</f>
        <v>CCNCc1cccc(-c2cccc(N(C)Cc3ccccn3)c2C)n1</v>
      </c>
      <c r="C16565" s="7">
        <f>IFERROR(__xludf.DUMMYFUNCTION("""COMPUTED_VALUE"""),7.736049)</f>
        <v>7.736049</v>
      </c>
      <c r="D16565" s="7">
        <f>IFERROR(__xludf.DUMMYFUNCTION("""COMPUTED_VALUE"""),0.452830188679245)</f>
        <v>0.4528301887</v>
      </c>
    </row>
    <row r="16566">
      <c r="A16566" s="10" t="s">
        <v>18005</v>
      </c>
      <c r="B16566" s="7" t="str">
        <f>IFERROR(__xludf.DUMMYFUNCTION("SPLIT(A16566,"" "")"),"Cc1cccnc1CN(C)c1ccc2nc(CN(C)C3CCC(N(C)c4ccc5nc(CF)ccc5c4)CC3)ccc2c1")</f>
        <v>Cc1cccnc1CN(C)c1ccc2nc(CN(C)C3CCC(N(C)c4ccc5nc(CF)ccc5c4)CC3)ccc2c1</v>
      </c>
      <c r="C16566" s="7">
        <f>IFERROR(__xludf.DUMMYFUNCTION("""COMPUTED_VALUE"""),7.736048)</f>
        <v>7.736048</v>
      </c>
      <c r="D16566" s="7">
        <f>IFERROR(__xludf.DUMMYFUNCTION("""COMPUTED_VALUE"""),0.309859154929577)</f>
        <v>0.3098591549</v>
      </c>
    </row>
    <row r="16567">
      <c r="A16567" s="10" t="s">
        <v>18006</v>
      </c>
      <c r="B16567" s="7" t="str">
        <f>IFERROR(__xludf.DUMMYFUNCTION("SPLIT(A16567,"" "")"),"C=Nc1cccc(-c2ccnc(CNCc3cccc(C4=NC(C(C)C)CO4)n3)c2)c1")</f>
        <v>C=Nc1cccc(-c2ccnc(CNCc3cccc(C4=NC(C(C)C)CO4)n3)c2)c1</v>
      </c>
      <c r="C16567" s="7">
        <f>IFERROR(__xludf.DUMMYFUNCTION("""COMPUTED_VALUE"""),7.7360344)</f>
        <v>7.7360344</v>
      </c>
      <c r="D16567" s="7">
        <f>IFERROR(__xludf.DUMMYFUNCTION("""COMPUTED_VALUE"""),0.256410256410256)</f>
        <v>0.2564102564</v>
      </c>
    </row>
    <row r="16568">
      <c r="A16568" s="10" t="s">
        <v>18007</v>
      </c>
      <c r="B16568" s="7" t="str">
        <f>IFERROR(__xludf.DUMMYFUNCTION("SPLIT(A16568,"" "")"),"Cc1ccc2c(N(C)CCN(C)Cc3cnccc3C)cccc2n1")</f>
        <v>Cc1ccc2c(N(C)CCN(C)Cc3cnccc3C)cccc2n1</v>
      </c>
      <c r="C16568" s="7">
        <f>IFERROR(__xludf.DUMMYFUNCTION("""COMPUTED_VALUE"""),7.7360315)</f>
        <v>7.7360315</v>
      </c>
      <c r="D16568" s="7">
        <f>IFERROR(__xludf.DUMMYFUNCTION("""COMPUTED_VALUE"""),0.372549019607843)</f>
        <v>0.3725490196</v>
      </c>
    </row>
    <row r="16569">
      <c r="A16569" s="10" t="s">
        <v>18008</v>
      </c>
      <c r="B16569" s="7" t="str">
        <f>IFERROR(__xludf.DUMMYFUNCTION("SPLIT(A16569,"" "")"),"CCN(C)CN(C)c1cccc2nccc(CN(C)C)c12")</f>
        <v>CCN(C)CN(C)c1cccc2nccc(CN(C)C)c12</v>
      </c>
      <c r="C16569" s="7">
        <f>IFERROR(__xludf.DUMMYFUNCTION("""COMPUTED_VALUE"""),7.7360287)</f>
        <v>7.7360287</v>
      </c>
      <c r="D16569" s="7">
        <f>IFERROR(__xludf.DUMMYFUNCTION("""COMPUTED_VALUE"""),0.3)</f>
        <v>0.3</v>
      </c>
    </row>
    <row r="16570">
      <c r="A16570" s="10" t="s">
        <v>18009</v>
      </c>
      <c r="B16570" s="7" t="str">
        <f>IFERROR(__xludf.DUMMYFUNCTION("SPLIT(A16570,"" "")"),"CN(c1cccc2ncccc12)C1C=CNC(C(C)(C)NCc2ccccn2)=C1")</f>
        <v>CN(c1cccc2ncccc12)C1C=CNC(C(C)(C)NCc2ccccn2)=C1</v>
      </c>
      <c r="C16570" s="7">
        <f>IFERROR(__xludf.DUMMYFUNCTION("""COMPUTED_VALUE"""),7.736025)</f>
        <v>7.736025</v>
      </c>
      <c r="D16570" s="7">
        <f>IFERROR(__xludf.DUMMYFUNCTION("""COMPUTED_VALUE"""),0.285714285714285)</f>
        <v>0.2857142857</v>
      </c>
    </row>
    <row r="16571">
      <c r="A16571" s="10" t="s">
        <v>18010</v>
      </c>
      <c r="B16571" s="7" t="str">
        <f>IFERROR(__xludf.DUMMYFUNCTION("SPLIT(A16571,"" "")"),"CN(CN(Cc1ccccn1)C(C)(C)c1ccccn1)c1cccc2ncccc12")</f>
        <v>CN(CN(Cc1ccccn1)C(C)(C)c1ccccn1)c1cccc2ncccc12</v>
      </c>
      <c r="C16571" s="7">
        <f>IFERROR(__xludf.DUMMYFUNCTION("""COMPUTED_VALUE"""),7.7360234)</f>
        <v>7.7360234</v>
      </c>
      <c r="D16571" s="7">
        <f>IFERROR(__xludf.DUMMYFUNCTION("""COMPUTED_VALUE"""),0.415094339622641)</f>
        <v>0.4150943396</v>
      </c>
    </row>
    <row r="16572">
      <c r="A16572" s="10" t="s">
        <v>18011</v>
      </c>
      <c r="B16572" s="7" t="str">
        <f>IFERROR(__xludf.DUMMYFUNCTION("SPLIT(A16572,"" "")"),"Cc1ccc(C)c(-c2ccc(C)c(CN(C)Cc3ccccn3)c2NCc2ccccn2)c1C")</f>
        <v>Cc1ccc(C)c(-c2ccc(C)c(CN(C)Cc3ccccn3)c2NCc2ccccn2)c1C</v>
      </c>
      <c r="C16572" s="7">
        <f>IFERROR(__xludf.DUMMYFUNCTION("""COMPUTED_VALUE"""),7.736019)</f>
        <v>7.736019</v>
      </c>
      <c r="D16572" s="7">
        <f>IFERROR(__xludf.DUMMYFUNCTION("""COMPUTED_VALUE"""),0.4)</f>
        <v>0.4</v>
      </c>
    </row>
    <row r="16573">
      <c r="A16573" s="10" t="s">
        <v>18012</v>
      </c>
      <c r="B16573" s="7" t="str">
        <f>IFERROR(__xludf.DUMMYFUNCTION("SPLIT(A16573,"" "")"),"CC(C)N(C)CN(C)c1ccc2c(CN(C)C)ccnc2c1")</f>
        <v>CC(C)N(C)CN(C)c1ccc2c(CN(C)C)ccnc2c1</v>
      </c>
      <c r="C16573" s="7">
        <f>IFERROR(__xludf.DUMMYFUNCTION("""COMPUTED_VALUE"""),7.7360177)</f>
        <v>7.7360177</v>
      </c>
      <c r="D16573" s="7">
        <f>IFERROR(__xludf.DUMMYFUNCTION("""COMPUTED_VALUE"""),0.25)</f>
        <v>0.25</v>
      </c>
    </row>
    <row r="16574">
      <c r="A16574" s="10" t="s">
        <v>18013</v>
      </c>
      <c r="B16574" s="7" t="str">
        <f>IFERROR(__xludf.DUMMYFUNCTION("SPLIT(A16574,"" "")"),"Cc1ccc(CN(C)c2ccc3nc(CN(C)C4CCC(N(C)c5ccc6ccc(CF)nc6c5)CC4)ccc3c2)nc1")</f>
        <v>Cc1ccc(CN(C)c2ccc3nc(CN(C)C4CCC(N(C)c5ccc6ccc(CF)nc6c5)CC4)ccc3c2)nc1</v>
      </c>
      <c r="C16574" s="7">
        <f>IFERROR(__xludf.DUMMYFUNCTION("""COMPUTED_VALUE"""),7.7360144)</f>
        <v>7.7360144</v>
      </c>
      <c r="D16574" s="7">
        <f>IFERROR(__xludf.DUMMYFUNCTION("""COMPUTED_VALUE"""),0.40983606557377)</f>
        <v>0.4098360656</v>
      </c>
    </row>
    <row r="16575">
      <c r="A16575" s="10" t="s">
        <v>18014</v>
      </c>
      <c r="B16575" s="7" t="str">
        <f>IFERROR(__xludf.DUMMYFUNCTION("SPLIT(A16575,"" "")"),"CC(C)c1ncccc1CN(Cc1ccccn1)Cc1ccc(-c2ccccc2N=Cc2ccccn2)cn1")</f>
        <v>CC(C)c1ncccc1CN(Cc1ccccn1)Cc1ccc(-c2ccccc2N=Cc2ccccn2)cn1</v>
      </c>
      <c r="C16575" s="7">
        <f>IFERROR(__xludf.DUMMYFUNCTION("""COMPUTED_VALUE"""),7.7360044)</f>
        <v>7.7360044</v>
      </c>
      <c r="D16575" s="7">
        <f>IFERROR(__xludf.DUMMYFUNCTION("""COMPUTED_VALUE"""),0.370967741935483)</f>
        <v>0.3709677419</v>
      </c>
    </row>
    <row r="16576">
      <c r="A16576" s="10" t="s">
        <v>18015</v>
      </c>
      <c r="B16576" s="7" t="str">
        <f>IFERROR(__xludf.DUMMYFUNCTION("SPLIT(A16576,"" "")"),"CCNCC1=CC(N(C)c2ccc3cccnc3c2)C=CN1")</f>
        <v>CCNCC1=CC(N(C)c2ccc3cccnc3c2)C=CN1</v>
      </c>
      <c r="C16576" s="7">
        <f>IFERROR(__xludf.DUMMYFUNCTION("""COMPUTED_VALUE"""),7.735998)</f>
        <v>7.735998</v>
      </c>
      <c r="D16576" s="7">
        <f>IFERROR(__xludf.DUMMYFUNCTION("""COMPUTED_VALUE"""),0.296875)</f>
        <v>0.296875</v>
      </c>
    </row>
    <row r="16577">
      <c r="A16577" s="10" t="s">
        <v>18016</v>
      </c>
      <c r="B16577" s="7" t="str">
        <f>IFERROR(__xludf.DUMMYFUNCTION("SPLIT(A16577,"" "")"),"CN(C)c1ccccc1C1=C(NCc2ccccn2)CNC=C1")</f>
        <v>CN(C)c1ccccc1C1=C(NCc2ccccn2)CNC=C1</v>
      </c>
      <c r="C16577" s="7">
        <f>IFERROR(__xludf.DUMMYFUNCTION("""COMPUTED_VALUE"""),7.7359896)</f>
        <v>7.7359896</v>
      </c>
      <c r="D16577" s="7">
        <f>IFERROR(__xludf.DUMMYFUNCTION("""COMPUTED_VALUE"""),0.34)</f>
        <v>0.34</v>
      </c>
    </row>
    <row r="16578">
      <c r="A16578" s="10" t="s">
        <v>18017</v>
      </c>
      <c r="B16578" s="7" t="str">
        <f>IFERROR(__xludf.DUMMYFUNCTION("SPLIT(A16578,"" "")"),"Cc1cnc(CN(Cc2cncc(-c3ccccc3N(C)C)c2)Cc2ccccn2)c(C)c1")</f>
        <v>Cc1cnc(CN(Cc2cncc(-c3ccccc3N(C)C)c2)Cc2ccccn2)c(C)c1</v>
      </c>
      <c r="C16578" s="7">
        <f>IFERROR(__xludf.DUMMYFUNCTION("""COMPUTED_VALUE"""),7.735988)</f>
        <v>7.735988</v>
      </c>
      <c r="D16578" s="7">
        <f>IFERROR(__xludf.DUMMYFUNCTION("""COMPUTED_VALUE"""),0.377358490566037)</f>
        <v>0.3773584906</v>
      </c>
    </row>
    <row r="16579">
      <c r="A16579" s="10" t="s">
        <v>18018</v>
      </c>
      <c r="B16579" s="7" t="str">
        <f>IFERROR(__xludf.DUMMYFUNCTION("SPLIT(A16579,"" "")"),"Cc1cccc(CN(Cc2ccccn2)Cc2cccc(-c3ccccc3N=Cc3ccccn3)n2)n1")</f>
        <v>Cc1cccc(CN(Cc2ccccn2)Cc2cccc(-c3ccccc3N=Cc3ccccn3)n2)n1</v>
      </c>
      <c r="C16579" s="7">
        <f>IFERROR(__xludf.DUMMYFUNCTION("""COMPUTED_VALUE"""),7.7359877)</f>
        <v>7.7359877</v>
      </c>
      <c r="D16579" s="7">
        <f>IFERROR(__xludf.DUMMYFUNCTION("""COMPUTED_VALUE"""),0.454545454545454)</f>
        <v>0.4545454545</v>
      </c>
    </row>
    <row r="16580">
      <c r="A16580" s="10" t="s">
        <v>18019</v>
      </c>
      <c r="B16580" s="7" t="str">
        <f>IFERROR(__xludf.DUMMYFUNCTION("SPLIT(A16580,"" "")"),"CN(Cc1ccccn1)C1=CNC(CN(Cc2ccccn2)Cc2cccc(-c3cccc(Cl)c3Cl)n2)=CC1")</f>
        <v>CN(Cc1ccccn1)C1=CNC(CN(Cc2ccccn2)Cc2cccc(-c3cccc(Cl)c3Cl)n2)=CC1</v>
      </c>
      <c r="C16580" s="7">
        <f>IFERROR(__xludf.DUMMYFUNCTION("""COMPUTED_VALUE"""),7.7359776)</f>
        <v>7.7359776</v>
      </c>
      <c r="D16580" s="7">
        <f>IFERROR(__xludf.DUMMYFUNCTION("""COMPUTED_VALUE"""),0.421875)</f>
        <v>0.421875</v>
      </c>
    </row>
    <row r="16581">
      <c r="A16581" s="10" t="s">
        <v>18020</v>
      </c>
      <c r="B16581" s="7" t="str">
        <f>IFERROR(__xludf.DUMMYFUNCTION("SPLIT(A16581,"" "")"),"CCN(c1cccc2cccnc12)C1CCC(N(C)c2ccc3ncccc3c2)CC1")</f>
        <v>CCN(c1cccc2cccnc12)C1CCC(N(C)c2ccc3ncccc3c2)CC1</v>
      </c>
      <c r="C16581" s="7">
        <f>IFERROR(__xludf.DUMMYFUNCTION("""COMPUTED_VALUE"""),7.7359743)</f>
        <v>7.7359743</v>
      </c>
      <c r="D16581" s="7">
        <f>IFERROR(__xludf.DUMMYFUNCTION("""COMPUTED_VALUE"""),0.471698113207547)</f>
        <v>0.4716981132</v>
      </c>
    </row>
    <row r="16582">
      <c r="A16582" s="10" t="s">
        <v>18021</v>
      </c>
      <c r="B16582" s="7" t="str">
        <f>IFERROR(__xludf.DUMMYFUNCTION("SPLIT(A16582,"" "")"),"CCNCc1cccc(-c2cc(Cl)cc(Cl)c2)n1")</f>
        <v>CCNCc1cccc(-c2cc(Cl)cc(Cl)c2)n1</v>
      </c>
      <c r="C16582" s="7">
        <f>IFERROR(__xludf.DUMMYFUNCTION("""COMPUTED_VALUE"""),7.735968)</f>
        <v>7.735968</v>
      </c>
      <c r="D16582" s="7">
        <f>IFERROR(__xludf.DUMMYFUNCTION("""COMPUTED_VALUE"""),0.303571428571428)</f>
        <v>0.3035714286</v>
      </c>
    </row>
    <row r="16583">
      <c r="A16583" s="10" t="s">
        <v>18022</v>
      </c>
      <c r="B16583" s="7" t="str">
        <f>IFERROR(__xludf.DUMMYFUNCTION("SPLIT(A16583,"" "")"),"Cc1cccnc1CN(Cc1cc(-c2cccc(N=Cc3ccccn3)c2)ccn1)C(C)C")</f>
        <v>Cc1cccnc1CN(Cc1cc(-c2cccc(N=Cc3ccccn3)c2)ccn1)C(C)C</v>
      </c>
      <c r="C16583" s="7">
        <f>IFERROR(__xludf.DUMMYFUNCTION("""COMPUTED_VALUE"""),7.7359653)</f>
        <v>7.7359653</v>
      </c>
      <c r="D16583" s="7">
        <f>IFERROR(__xludf.DUMMYFUNCTION("""COMPUTED_VALUE"""),0.4)</f>
        <v>0.4</v>
      </c>
    </row>
    <row r="16584">
      <c r="A16584" s="10" t="s">
        <v>18023</v>
      </c>
      <c r="B16584" s="7" t="str">
        <f>IFERROR(__xludf.DUMMYFUNCTION("SPLIT(A16584,"" "")"),"Cc1cccnc1CN(C)c1ccc(C)c(C)c1C")</f>
        <v>Cc1cccnc1CN(C)c1ccc(C)c(C)c1C</v>
      </c>
      <c r="C16584" s="7">
        <f>IFERROR(__xludf.DUMMYFUNCTION("""COMPUTED_VALUE"""),7.73596)</f>
        <v>7.73596</v>
      </c>
      <c r="D16584" s="7">
        <f>IFERROR(__xludf.DUMMYFUNCTION("""COMPUTED_VALUE"""),0.363636363636363)</f>
        <v>0.3636363636</v>
      </c>
    </row>
    <row r="16585">
      <c r="A16585" s="10" t="s">
        <v>18024</v>
      </c>
      <c r="B16585" s="7" t="str">
        <f>IFERROR(__xludf.DUMMYFUNCTION("SPLIT(A16585,"" "")"),"Cc1ccc(N=Cc2ccccn2)c(-c2ccc(CN(Cc3ccccn3)Cc3ccccn3)cn2)c1")</f>
        <v>Cc1ccc(N=Cc2ccccn2)c(-c2ccc(CN(Cc3ccccn3)Cc3ccccn3)cn2)c1</v>
      </c>
      <c r="C16585" s="7">
        <f>IFERROR(__xludf.DUMMYFUNCTION("""COMPUTED_VALUE"""),7.7359567)</f>
        <v>7.7359567</v>
      </c>
      <c r="D16585" s="7">
        <f>IFERROR(__xludf.DUMMYFUNCTION("""COMPUTED_VALUE"""),0.384615384615384)</f>
        <v>0.3846153846</v>
      </c>
    </row>
    <row r="16586">
      <c r="A16586" s="10" t="s">
        <v>18025</v>
      </c>
      <c r="B16586" s="7" t="str">
        <f>IFERROR(__xludf.DUMMYFUNCTION("SPLIT(A16586,"" "")"),"Cc1cccc2nccc(CN(C)C3CCCC(N(C)c4cccc5nccc(CF)c45)C3)c12")</f>
        <v>Cc1cccc2nccc(CN(C)C3CCCC(N(C)c4cccc5nccc(CF)c45)C3)c12</v>
      </c>
      <c r="C16586" s="7">
        <f>IFERROR(__xludf.DUMMYFUNCTION("""COMPUTED_VALUE"""),7.7359567)</f>
        <v>7.7359567</v>
      </c>
      <c r="D16586" s="7">
        <f>IFERROR(__xludf.DUMMYFUNCTION("""COMPUTED_VALUE"""),0.294117647058823)</f>
        <v>0.2941176471</v>
      </c>
    </row>
    <row r="16587">
      <c r="A16587" s="10" t="s">
        <v>18026</v>
      </c>
      <c r="B16587" s="7" t="str">
        <f>IFERROR(__xludf.DUMMYFUNCTION("SPLIT(A16587,"" "")"),"CCN(C)c1ccccc1-c1cc(C(C)(C)C)ccn1")</f>
        <v>CCN(C)c1ccccc1-c1cc(C(C)(C)C)ccn1</v>
      </c>
      <c r="C16587" s="7">
        <f>IFERROR(__xludf.DUMMYFUNCTION("""COMPUTED_VALUE"""),7.7359557)</f>
        <v>7.7359557</v>
      </c>
      <c r="D16587" s="7">
        <f>IFERROR(__xludf.DUMMYFUNCTION("""COMPUTED_VALUE"""),0.3)</f>
        <v>0.3</v>
      </c>
    </row>
    <row r="16588">
      <c r="A16588" s="10" t="s">
        <v>18027</v>
      </c>
      <c r="B16588" s="7" t="str">
        <f>IFERROR(__xludf.DUMMYFUNCTION("SPLIT(A16588,"" "")"),"CN(CCN(C)Cc1ccc2cccnc2c1)Cc1ccc2cccnc2c1")</f>
        <v>CN(CCN(C)Cc1ccc2cccnc2c1)Cc1ccc2cccnc2c1</v>
      </c>
      <c r="C16588" s="7">
        <f>IFERROR(__xludf.DUMMYFUNCTION("""COMPUTED_VALUE"""),7.7359376)</f>
        <v>7.7359376</v>
      </c>
      <c r="D16588" s="7">
        <f>IFERROR(__xludf.DUMMYFUNCTION("""COMPUTED_VALUE"""),0.5)</f>
        <v>0.5</v>
      </c>
    </row>
    <row r="16589">
      <c r="A16589" s="10" t="s">
        <v>18028</v>
      </c>
      <c r="B16589" s="7" t="str">
        <f>IFERROR(__xludf.DUMMYFUNCTION("SPLIT(A16589,"" "")"),"Fc1ccc(CN(Cc2ccccn2)Cc2cccc(-c3ccccc3N=Cc3ccccn3)n2)nc1")</f>
        <v>Fc1ccc(CN(Cc2ccccn2)Cc2cccc(-c3ccccc3N=Cc3ccccn3)n2)nc1</v>
      </c>
      <c r="C16589" s="7">
        <f>IFERROR(__xludf.DUMMYFUNCTION("""COMPUTED_VALUE"""),7.735931)</f>
        <v>7.735931</v>
      </c>
      <c r="D16589" s="7">
        <f>IFERROR(__xludf.DUMMYFUNCTION("""COMPUTED_VALUE"""),0.428571428571428)</f>
        <v>0.4285714286</v>
      </c>
    </row>
    <row r="16590">
      <c r="A16590" s="10" t="s">
        <v>18029</v>
      </c>
      <c r="B16590" s="7" t="str">
        <f>IFERROR(__xludf.DUMMYFUNCTION("SPLIT(A16590,"" "")"),"CN(C)c1cccc(-c2cccc(C(C)(C)C3=CC(N(C)Cc4ccccn4)C=CN3)c2NCc2ccccn2)c1")</f>
        <v>CN(C)c1cccc(-c2cccc(C(C)(C)C3=CC(N(C)Cc4ccccn4)C=CN3)c2NCc2ccccn2)c1</v>
      </c>
      <c r="C16590" s="7">
        <f>IFERROR(__xludf.DUMMYFUNCTION("""COMPUTED_VALUE"""),7.735927)</f>
        <v>7.735927</v>
      </c>
      <c r="D16590" s="7">
        <f>IFERROR(__xludf.DUMMYFUNCTION("""COMPUTED_VALUE"""),0.324675324675324)</f>
        <v>0.3246753247</v>
      </c>
    </row>
    <row r="16591">
      <c r="A16591" s="10" t="s">
        <v>18030</v>
      </c>
      <c r="B16591" s="7" t="str">
        <f>IFERROR(__xludf.DUMMYFUNCTION("SPLIT(A16591,"" "")"),"Cc1ccc(-c2cc(C(C)C)ccn2)cc1")</f>
        <v>Cc1ccc(-c2cc(C(C)C)ccn2)cc1</v>
      </c>
      <c r="C16591" s="7">
        <f>IFERROR(__xludf.DUMMYFUNCTION("""COMPUTED_VALUE"""),7.735926)</f>
        <v>7.735926</v>
      </c>
      <c r="D16591" s="7">
        <f>IFERROR(__xludf.DUMMYFUNCTION("""COMPUTED_VALUE"""),0.239130434782608)</f>
        <v>0.2391304348</v>
      </c>
    </row>
    <row r="16592">
      <c r="A16592" s="10" t="s">
        <v>18031</v>
      </c>
      <c r="B16592" s="7" t="str">
        <f>IFERROR(__xludf.DUMMYFUNCTION("SPLIT(A16592,"" "")"),"Cc1ccccc1CN(C)Cc1ccc(-c2ccccc2N=Cc2ccccn2)cn1")</f>
        <v>Cc1ccccc1CN(C)Cc1ccc(-c2ccccc2N=Cc2ccccn2)cn1</v>
      </c>
      <c r="C16592" s="7">
        <f>IFERROR(__xludf.DUMMYFUNCTION("""COMPUTED_VALUE"""),7.7359247)</f>
        <v>7.7359247</v>
      </c>
      <c r="D16592" s="7">
        <f>IFERROR(__xludf.DUMMYFUNCTION("""COMPUTED_VALUE"""),0.464285714285714)</f>
        <v>0.4642857143</v>
      </c>
    </row>
    <row r="16593">
      <c r="A16593" s="10" t="s">
        <v>18032</v>
      </c>
      <c r="B16593" s="7" t="str">
        <f>IFERROR(__xludf.DUMMYFUNCTION("SPLIT(A16593,"" "")"),"Cc1ccnc(CN(C)C2=C(CN(C)Cc3ccc4ncccc4c3)NC=CC2)c1")</f>
        <v>Cc1ccnc(CN(C)C2=C(CN(C)Cc3ccc4ncccc4c3)NC=CC2)c1</v>
      </c>
      <c r="C16593" s="7">
        <f>IFERROR(__xludf.DUMMYFUNCTION("""COMPUTED_VALUE"""),7.7359242)</f>
        <v>7.7359242</v>
      </c>
      <c r="D16593" s="7">
        <f>IFERROR(__xludf.DUMMYFUNCTION("""COMPUTED_VALUE"""),0.303030303030303)</f>
        <v>0.303030303</v>
      </c>
    </row>
    <row r="16594">
      <c r="A16594" s="10" t="s">
        <v>18033</v>
      </c>
      <c r="B16594" s="7" t="str">
        <f>IFERROR(__xludf.DUMMYFUNCTION("SPLIT(A16594,"" "")"),"CN(c1ccc2ncc(CF)cc2c1)C1CCCCC1N(C)c1ccc2nc(CF)ccc2c1")</f>
        <v>CN(c1ccc2ncc(CF)cc2c1)C1CCCCC1N(C)c1ccc2nc(CF)ccc2c1</v>
      </c>
      <c r="C16594" s="7">
        <f>IFERROR(__xludf.DUMMYFUNCTION("""COMPUTED_VALUE"""),7.7359223)</f>
        <v>7.7359223</v>
      </c>
      <c r="D16594" s="7">
        <f>IFERROR(__xludf.DUMMYFUNCTION("""COMPUTED_VALUE"""),0.482142857142857)</f>
        <v>0.4821428571</v>
      </c>
    </row>
    <row r="16595">
      <c r="A16595" s="10" t="s">
        <v>18034</v>
      </c>
      <c r="B16595" s="7" t="str">
        <f>IFERROR(__xludf.DUMMYFUNCTION("SPLIT(A16595,"" "")"),"Cc1ccc(-c2ccc(CN(Cc3ccccn3)Cc3cc(N)ccn3)cn2)c(N(C)Cc2ccccn2)c1C")</f>
        <v>Cc1ccc(-c2ccc(CN(Cc3ccccn3)Cc3cc(N)ccn3)cn2)c(N(C)Cc2ccccn2)c1C</v>
      </c>
      <c r="C16595" s="7">
        <f>IFERROR(__xludf.DUMMYFUNCTION("""COMPUTED_VALUE"""),7.7359176)</f>
        <v>7.7359176</v>
      </c>
      <c r="D16595" s="7">
        <f>IFERROR(__xludf.DUMMYFUNCTION("""COMPUTED_VALUE"""),0.363636363636363)</f>
        <v>0.3636363636</v>
      </c>
    </row>
    <row r="16596">
      <c r="A16596" s="10" t="s">
        <v>18035</v>
      </c>
      <c r="B16596" s="7" t="str">
        <f>IFERROR(__xludf.DUMMYFUNCTION("SPLIT(A16596,"" "")"),"Cc1ccc(CN(Cc2ccccn2)Cc2cccnc2-c2ccccc2N=Cc2ccccn2)nc1")</f>
        <v>Cc1ccc(CN(Cc2ccccn2)Cc2cccnc2-c2ccccc2N=Cc2ccccn2)nc1</v>
      </c>
      <c r="C16596" s="7">
        <f>IFERROR(__xludf.DUMMYFUNCTION("""COMPUTED_VALUE"""),7.735911)</f>
        <v>7.735911</v>
      </c>
      <c r="D16596" s="7">
        <f>IFERROR(__xludf.DUMMYFUNCTION("""COMPUTED_VALUE"""),0.406779661016949)</f>
        <v>0.406779661</v>
      </c>
    </row>
    <row r="16597">
      <c r="A16597" s="10" t="s">
        <v>18036</v>
      </c>
      <c r="B16597" s="7" t="str">
        <f>IFERROR(__xludf.DUMMYFUNCTION("SPLIT(A16597,"" "")"),"CC(C)CN(Cc1ccccn1)Cc1cccc(N(C)c2ccc3ncccc3c2)n1")</f>
        <v>CC(C)CN(Cc1ccccn1)Cc1cccc(N(C)c2ccc3ncccc3c2)n1</v>
      </c>
      <c r="C16597" s="7">
        <f>IFERROR(__xludf.DUMMYFUNCTION("""COMPUTED_VALUE"""),7.7359037)</f>
        <v>7.7359037</v>
      </c>
      <c r="D16597" s="7">
        <f>IFERROR(__xludf.DUMMYFUNCTION("""COMPUTED_VALUE"""),0.418181818181818)</f>
        <v>0.4181818182</v>
      </c>
    </row>
    <row r="16598">
      <c r="A16598" s="10" t="s">
        <v>18037</v>
      </c>
      <c r="B16598" s="7" t="str">
        <f>IFERROR(__xludf.DUMMYFUNCTION("SPLIT(A16598,"" "")"),"Cc1cccc(CN(C)Cc2cccc(-c3cc(Cl)ccc3N)n2)n1")</f>
        <v>Cc1cccc(CN(C)Cc2cccc(-c3cc(Cl)ccc3N)n2)n1</v>
      </c>
      <c r="C16598" s="7">
        <f>IFERROR(__xludf.DUMMYFUNCTION("""COMPUTED_VALUE"""),7.7358994)</f>
        <v>7.7358994</v>
      </c>
      <c r="D16598" s="7">
        <f>IFERROR(__xludf.DUMMYFUNCTION("""COMPUTED_VALUE"""),0.5)</f>
        <v>0.5</v>
      </c>
    </row>
    <row r="16599">
      <c r="A16599" s="10" t="s">
        <v>18038</v>
      </c>
      <c r="B16599" s="7" t="str">
        <f>IFERROR(__xludf.DUMMYFUNCTION("SPLIT(A16599,"" "")"),"CC(C)CN(Cc1ccccn1)c1ccc2ncccc2c1")</f>
        <v>CC(C)CN(Cc1ccccn1)c1ccc2ncccc2c1</v>
      </c>
      <c r="C16599" s="7">
        <f>IFERROR(__xludf.DUMMYFUNCTION("""COMPUTED_VALUE"""),7.735899)</f>
        <v>7.735899</v>
      </c>
      <c r="D16599" s="7">
        <f>IFERROR(__xludf.DUMMYFUNCTION("""COMPUTED_VALUE"""),0.434782608695652)</f>
        <v>0.4347826087</v>
      </c>
    </row>
    <row r="16600">
      <c r="A16600" s="10" t="s">
        <v>18039</v>
      </c>
      <c r="B16600" s="7" t="str">
        <f>IFERROR(__xludf.DUMMYFUNCTION("SPLIT(A16600,"" "")"),"CCN(CC1=CC(N(C)Cc2cc(C)c(C)c(C)n2)C=CN1)c1ccc2ncccc2c1")</f>
        <v>CCN(CC1=CC(N(C)Cc2cc(C)c(C)c(C)n2)C=CN1)c1ccc2ncccc2c1</v>
      </c>
      <c r="C16600" s="7">
        <f>IFERROR(__xludf.DUMMYFUNCTION("""COMPUTED_VALUE"""),7.7358894)</f>
        <v>7.7358894</v>
      </c>
      <c r="D16600" s="7">
        <f>IFERROR(__xludf.DUMMYFUNCTION("""COMPUTED_VALUE"""),0.24)</f>
        <v>0.24</v>
      </c>
    </row>
    <row r="16601">
      <c r="A16601" s="10" t="s">
        <v>18040</v>
      </c>
      <c r="B16601" s="7" t="str">
        <f>IFERROR(__xludf.DUMMYFUNCTION("SPLIT(A16601,"" "")"),"Cc1cccnc1CN(C)CCN(Cc1ccccn1)c1cccc2nccc(C)c12")</f>
        <v>Cc1cccnc1CN(C)CCN(Cc1ccccn1)c1cccc2nccc(C)c12</v>
      </c>
      <c r="C16601" s="7">
        <f>IFERROR(__xludf.DUMMYFUNCTION("""COMPUTED_VALUE"""),7.7358894)</f>
        <v>7.7358894</v>
      </c>
      <c r="D16601" s="7">
        <f>IFERROR(__xludf.DUMMYFUNCTION("""COMPUTED_VALUE"""),0.357142857142857)</f>
        <v>0.3571428571</v>
      </c>
    </row>
    <row r="16602">
      <c r="A16602" s="10" t="s">
        <v>18041</v>
      </c>
      <c r="B16602" s="7" t="str">
        <f>IFERROR(__xludf.DUMMYFUNCTION("SPLIT(A16602,"" "")"),"CCN(Cc1cc(-c2ccccc2N=Cc2ccccn2)ccn1)Cc1ncccc1C")</f>
        <v>CCN(Cc1cc(-c2ccccc2N=Cc2ccccn2)ccn1)Cc1ncccc1C</v>
      </c>
      <c r="C16602" s="7">
        <f>IFERROR(__xludf.DUMMYFUNCTION("""COMPUTED_VALUE"""),7.735883)</f>
        <v>7.735883</v>
      </c>
      <c r="D16602" s="7">
        <f>IFERROR(__xludf.DUMMYFUNCTION("""COMPUTED_VALUE"""),0.440677966101694)</f>
        <v>0.4406779661</v>
      </c>
    </row>
    <row r="16603">
      <c r="A16603" s="10" t="s">
        <v>18042</v>
      </c>
      <c r="B16603" s="7" t="str">
        <f>IFERROR(__xludf.DUMMYFUNCTION("SPLIT(A16603,"" "")"),"Cc1cc(C)c(C)c(CN(C)CCN(C)c2ccc3ccc(CF)nc3c2)n1")</f>
        <v>Cc1cc(C)c(C)c(CN(C)CCN(C)c2ccc3ccc(CF)nc3c2)n1</v>
      </c>
      <c r="C16603" s="7">
        <f>IFERROR(__xludf.DUMMYFUNCTION("""COMPUTED_VALUE"""),7.7358775)</f>
        <v>7.7358775</v>
      </c>
      <c r="D16603" s="7">
        <f>IFERROR(__xludf.DUMMYFUNCTION("""COMPUTED_VALUE"""),0.346153846153846)</f>
        <v>0.3461538462</v>
      </c>
    </row>
    <row r="16604">
      <c r="A16604" s="10" t="s">
        <v>18043</v>
      </c>
      <c r="B16604" s="7" t="str">
        <f>IFERROR(__xludf.DUMMYFUNCTION("SPLIT(A16604,"" "")"),"Cc1ccc2c(CN(C)Cc3ccccn3)ccnc2c1")</f>
        <v>Cc1ccc2c(CN(C)Cc3ccccn3)ccnc2c1</v>
      </c>
      <c r="C16604" s="7">
        <f>IFERROR(__xludf.DUMMYFUNCTION("""COMPUTED_VALUE"""),7.7358766)</f>
        <v>7.7358766</v>
      </c>
      <c r="D16604" s="7">
        <f>IFERROR(__xludf.DUMMYFUNCTION("""COMPUTED_VALUE"""),0.468085106382978)</f>
        <v>0.4680851064</v>
      </c>
    </row>
    <row r="16605">
      <c r="A16605" s="10" t="s">
        <v>18044</v>
      </c>
      <c r="B16605" s="7" t="str">
        <f>IFERROR(__xludf.DUMMYFUNCTION("SPLIT(A16605,"" "")"),"CCNCc1cc(-c2cc(C)ccc2N(C)Cc2ccccn2)ccn1")</f>
        <v>CCNCc1cc(-c2cc(C)ccc2N(C)Cc2ccccn2)ccn1</v>
      </c>
      <c r="C16605" s="7">
        <f>IFERROR(__xludf.DUMMYFUNCTION("""COMPUTED_VALUE"""),7.735857)</f>
        <v>7.735857</v>
      </c>
      <c r="D16605" s="7">
        <f>IFERROR(__xludf.DUMMYFUNCTION("""COMPUTED_VALUE"""),0.461538461538461)</f>
        <v>0.4615384615</v>
      </c>
    </row>
    <row r="16606">
      <c r="A16606" s="10" t="s">
        <v>18045</v>
      </c>
      <c r="B16606" s="7" t="str">
        <f>IFERROR(__xludf.DUMMYFUNCTION("SPLIT(A16606,"" "")"),"CN(C)Cc1cncc(-c2ccc(N)cc2)c1")</f>
        <v>CN(C)Cc1cncc(-c2ccc(N)cc2)c1</v>
      </c>
      <c r="C16606" s="7">
        <f>IFERROR(__xludf.DUMMYFUNCTION("""COMPUTED_VALUE"""),7.735849)</f>
        <v>7.735849</v>
      </c>
      <c r="D16606" s="7">
        <f>IFERROR(__xludf.DUMMYFUNCTION("""COMPUTED_VALUE"""),0.227272727272727)</f>
        <v>0.2272727273</v>
      </c>
    </row>
    <row r="16607">
      <c r="A16607" s="10" t="s">
        <v>18046</v>
      </c>
      <c r="B16607" s="7" t="str">
        <f>IFERROR(__xludf.DUMMYFUNCTION("SPLIT(A16607,"" "")"),"CC(C)CN(C)CC1=CCC(N(C)c2ccc3cccnc3c2)=CN1")</f>
        <v>CC(C)CN(C)CC1=CCC(N(C)c2ccc3cccnc3c2)=CN1</v>
      </c>
      <c r="C16607" s="7">
        <f>IFERROR(__xludf.DUMMYFUNCTION("""COMPUTED_VALUE"""),7.7358413)</f>
        <v>7.7358413</v>
      </c>
      <c r="D16607" s="7">
        <f>IFERROR(__xludf.DUMMYFUNCTION("""COMPUTED_VALUE"""),0.274193548387096)</f>
        <v>0.2741935484</v>
      </c>
    </row>
    <row r="16608">
      <c r="A16608" s="10" t="s">
        <v>18047</v>
      </c>
      <c r="B16608" s="7" t="str">
        <f>IFERROR(__xludf.DUMMYFUNCTION("SPLIT(A16608,"" "")"),"Cc1ccc(CN(Cc2ccccn2)Cc2cc(-c3cccc(N(C)C)c3)ccn2)nc1C")</f>
        <v>Cc1ccc(CN(Cc2ccccn2)Cc2cc(-c3cccc(N(C)C)c3)ccn2)nc1C</v>
      </c>
      <c r="C16608" s="7">
        <f>IFERROR(__xludf.DUMMYFUNCTION("""COMPUTED_VALUE"""),7.735841)</f>
        <v>7.735841</v>
      </c>
      <c r="D16608" s="7">
        <f>IFERROR(__xludf.DUMMYFUNCTION("""COMPUTED_VALUE"""),0.45)</f>
        <v>0.45</v>
      </c>
    </row>
    <row r="16609">
      <c r="A16609" s="10" t="s">
        <v>18048</v>
      </c>
      <c r="B16609" s="7" t="str">
        <f>IFERROR(__xludf.DUMMYFUNCTION("SPLIT(A16609,"" "")"),"CNCc1cccc(-c2ccc(NCc3ccccn3)cc2C)n1")</f>
        <v>CNCc1cccc(-c2ccc(NCc3ccccn3)cc2C)n1</v>
      </c>
      <c r="C16609" s="7">
        <f>IFERROR(__xludf.DUMMYFUNCTION("""COMPUTED_VALUE"""),7.735839)</f>
        <v>7.735839</v>
      </c>
      <c r="D16609" s="7">
        <f>IFERROR(__xludf.DUMMYFUNCTION("""COMPUTED_VALUE"""),0.372881355932203)</f>
        <v>0.3728813559</v>
      </c>
    </row>
    <row r="16610">
      <c r="A16610" s="10" t="s">
        <v>18049</v>
      </c>
      <c r="B16610" s="7" t="str">
        <f>IFERROR(__xludf.DUMMYFUNCTION("SPLIT(A16610,"" "")"),"CNCCN(C)c1cccc2ncc(CF)cc12")</f>
        <v>CNCCN(C)c1cccc2ncc(CF)cc12</v>
      </c>
      <c r="C16610" s="7">
        <f>IFERROR(__xludf.DUMMYFUNCTION("""COMPUTED_VALUE"""),7.735837)</f>
        <v>7.735837</v>
      </c>
      <c r="D16610" s="7">
        <f>IFERROR(__xludf.DUMMYFUNCTION("""COMPUTED_VALUE"""),0.34)</f>
        <v>0.34</v>
      </c>
    </row>
    <row r="16611">
      <c r="A16611" s="10" t="s">
        <v>18050</v>
      </c>
      <c r="B16611" s="7" t="str">
        <f>IFERROR(__xludf.DUMMYFUNCTION("SPLIT(A16611,"" "")"),"CCNCc1cc(-c2cccc(N(C)C)c2)ccn1")</f>
        <v>CCNCc1cc(-c2cccc(N(C)C)c2)ccn1</v>
      </c>
      <c r="C16611" s="7">
        <f>IFERROR(__xludf.DUMMYFUNCTION("""COMPUTED_VALUE"""),7.7358346)</f>
        <v>7.7358346</v>
      </c>
      <c r="D16611" s="7">
        <f>IFERROR(__xludf.DUMMYFUNCTION("""COMPUTED_VALUE"""),0.318181818181818)</f>
        <v>0.3181818182</v>
      </c>
    </row>
    <row r="16612">
      <c r="A16612" s="10" t="s">
        <v>18051</v>
      </c>
      <c r="B16612" s="7" t="str">
        <f>IFERROR(__xludf.DUMMYFUNCTION("SPLIT(A16612,"" "")"),"CN(Cc1cccc(-c2cccc(N(C)C)c2)n1)Cc1cccc(C(C)(C)C)n1")</f>
        <v>CN(Cc1cccc(-c2cccc(N(C)C)c2)n1)Cc1cccc(C(C)(C)C)n1</v>
      </c>
      <c r="C16612" s="7">
        <f>IFERROR(__xludf.DUMMYFUNCTION("""COMPUTED_VALUE"""),7.735833)</f>
        <v>7.735833</v>
      </c>
      <c r="D16612" s="7">
        <f>IFERROR(__xludf.DUMMYFUNCTION("""COMPUTED_VALUE"""),0.42)</f>
        <v>0.42</v>
      </c>
    </row>
    <row r="16613">
      <c r="A16613" s="10" t="s">
        <v>18052</v>
      </c>
      <c r="B16613" s="7" t="str">
        <f>IFERROR(__xludf.DUMMYFUNCTION("SPLIT(A16613,"" "")"),"CN(CCN(C)Cc1ccc2cccnc2c1)Cc1ccc2ncccc2c1")</f>
        <v>CN(CCN(C)Cc1ccc2cccnc2c1)Cc1ccc2ncccc2c1</v>
      </c>
      <c r="C16613" s="7">
        <f>IFERROR(__xludf.DUMMYFUNCTION("""COMPUTED_VALUE"""),7.7358303)</f>
        <v>7.7358303</v>
      </c>
      <c r="D16613" s="7">
        <f>IFERROR(__xludf.DUMMYFUNCTION("""COMPUTED_VALUE"""),0.454545454545454)</f>
        <v>0.4545454545</v>
      </c>
    </row>
    <row r="16614">
      <c r="A16614" s="10" t="s">
        <v>18053</v>
      </c>
      <c r="B16614" s="7" t="str">
        <f>IFERROR(__xludf.DUMMYFUNCTION("SPLIT(A16614,"" "")"),"Cc1ccnc2ccc(N(C)CCN(C(C)C)C(C)C)cc12")</f>
        <v>Cc1ccnc2ccc(N(C)CCN(C(C)C)C(C)C)cc12</v>
      </c>
      <c r="C16614" s="7">
        <f>IFERROR(__xludf.DUMMYFUNCTION("""COMPUTED_VALUE"""),7.7358217)</f>
        <v>7.7358217</v>
      </c>
      <c r="D16614" s="7">
        <f>IFERROR(__xludf.DUMMYFUNCTION("""COMPUTED_VALUE"""),0.254901960784313)</f>
        <v>0.2549019608</v>
      </c>
    </row>
    <row r="16615">
      <c r="A16615" s="10" t="s">
        <v>18054</v>
      </c>
      <c r="B16615" s="7" t="str">
        <f>IFERROR(__xludf.DUMMYFUNCTION("SPLIT(A16615,"" "")"),"Cc1cc(Cl)cc(N(C)CC2=CCC(N(C)Cc3ccccn3)=CN2)c1C")</f>
        <v>Cc1cc(Cl)cc(N(C)CC2=CCC(N(C)Cc3ccccn3)=CN2)c1C</v>
      </c>
      <c r="C16615" s="7">
        <f>IFERROR(__xludf.DUMMYFUNCTION("""COMPUTED_VALUE"""),7.735819)</f>
        <v>7.735819</v>
      </c>
      <c r="D16615" s="7">
        <f>IFERROR(__xludf.DUMMYFUNCTION("""COMPUTED_VALUE"""),0.472727272727272)</f>
        <v>0.4727272727</v>
      </c>
    </row>
    <row r="16616">
      <c r="A16616" s="10" t="s">
        <v>18055</v>
      </c>
      <c r="B16616" s="7" t="str">
        <f>IFERROR(__xludf.DUMMYFUNCTION("SPLIT(A16616,"" "")"),"CN(Cc1ccccn1)c1ccc(NCc2ccccn2)cc1-c1cccnc1CN(Cc1ccccn1)Cc1ncccc1N")</f>
        <v>CN(Cc1ccccn1)c1ccc(NCc2ccccn2)cc1-c1cccnc1CN(Cc1ccccn1)Cc1ncccc1N</v>
      </c>
      <c r="C16616" s="7">
        <f>IFERROR(__xludf.DUMMYFUNCTION("""COMPUTED_VALUE"""),7.735815)</f>
        <v>7.735815</v>
      </c>
      <c r="D16616" s="7">
        <f>IFERROR(__xludf.DUMMYFUNCTION("""COMPUTED_VALUE"""),0.406779661016949)</f>
        <v>0.406779661</v>
      </c>
    </row>
    <row r="16617">
      <c r="A16617" s="10" t="s">
        <v>18056</v>
      </c>
      <c r="B16617" s="7" t="str">
        <f>IFERROR(__xludf.DUMMYFUNCTION("SPLIT(A16617,"" "")"),"Cc1cccc(CN(C)Cc2ccc(-c3cccc(N=Cc4ccccn4)c3)cn2)c1")</f>
        <v>Cc1cccc(CN(C)Cc2ccc(-c3cccc(N=Cc4ccccn4)c3)cn2)c1</v>
      </c>
      <c r="C16617" s="7">
        <f>IFERROR(__xludf.DUMMYFUNCTION("""COMPUTED_VALUE"""),7.735808)</f>
        <v>7.735808</v>
      </c>
      <c r="D16617" s="7">
        <f>IFERROR(__xludf.DUMMYFUNCTION("""COMPUTED_VALUE"""),0.349206349206349)</f>
        <v>0.3492063492</v>
      </c>
    </row>
    <row r="16618">
      <c r="A16618" s="10" t="s">
        <v>18057</v>
      </c>
      <c r="B16618" s="7" t="str">
        <f>IFERROR(__xludf.DUMMYFUNCTION("SPLIT(A16618,"" "")"),"CCN(Cc1ccccn1)c1cc(C)c(-c2cc(CN(Cc3ccccn3)Cc3cc(C)c(C)c(C)n3)ccn2)cc1C")</f>
        <v>CCN(Cc1ccccn1)c1cc(C)c(-c2cc(CN(Cc3ccccn3)Cc3cc(C)c(C)c(C)n3)ccn2)cc1C</v>
      </c>
      <c r="C16618" s="7">
        <f>IFERROR(__xludf.DUMMYFUNCTION("""COMPUTED_VALUE"""),7.7358003)</f>
        <v>7.7358003</v>
      </c>
      <c r="D16618" s="7">
        <f>IFERROR(__xludf.DUMMYFUNCTION("""COMPUTED_VALUE"""),0.357142857142857)</f>
        <v>0.3571428571</v>
      </c>
    </row>
    <row r="16619">
      <c r="A16619" s="10" t="s">
        <v>18058</v>
      </c>
      <c r="B16619" s="7" t="str">
        <f>IFERROR(__xludf.DUMMYFUNCTION("SPLIT(A16619,"" "")"),"CN(c1ccc2nc(CF)ccc2c1)C1CCC(N(C)c2ccc3nc(CF)ccc3c2)CC1")</f>
        <v>CN(c1ccc2nc(CF)ccc2c1)C1CCC(N(C)c2ccc3nc(CF)ccc3c2)CC1</v>
      </c>
      <c r="C16619" s="7">
        <f>IFERROR(__xludf.DUMMYFUNCTION("""COMPUTED_VALUE"""),7.7357917)</f>
        <v>7.7357917</v>
      </c>
      <c r="D16619" s="7">
        <f>IFERROR(__xludf.DUMMYFUNCTION("""COMPUTED_VALUE"""),0.42)</f>
        <v>0.42</v>
      </c>
    </row>
    <row r="16620">
      <c r="A16620" s="10" t="s">
        <v>18059</v>
      </c>
      <c r="B16620" s="7" t="str">
        <f>IFERROR(__xludf.DUMMYFUNCTION("SPLIT(A16620,"" "")"),"CC(C)NCc1cccc(CN(Cc2ccccn2)c2ccc3ncccc3c2)n1")</f>
        <v>CC(C)NCc1cccc(CN(Cc2ccccn2)c2ccc3ncccc3c2)n1</v>
      </c>
      <c r="C16620" s="7">
        <f>IFERROR(__xludf.DUMMYFUNCTION("""COMPUTED_VALUE"""),7.7357874)</f>
        <v>7.7357874</v>
      </c>
      <c r="D16620" s="7">
        <f>IFERROR(__xludf.DUMMYFUNCTION("""COMPUTED_VALUE"""),0.4)</f>
        <v>0.4</v>
      </c>
    </row>
    <row r="16621">
      <c r="A16621" s="10" t="s">
        <v>18060</v>
      </c>
      <c r="B16621" s="7" t="str">
        <f>IFERROR(__xludf.DUMMYFUNCTION("SPLIT(A16621,"" "")"),"CCNCc1cccc(-c2ccccc2N=Cc2ccccn2)n1")</f>
        <v>CCNCc1cccc(-c2ccccc2N=Cc2ccccn2)n1</v>
      </c>
      <c r="C16621" s="7">
        <f>IFERROR(__xludf.DUMMYFUNCTION("""COMPUTED_VALUE"""),7.7357774)</f>
        <v>7.7357774</v>
      </c>
      <c r="D16621" s="7">
        <f>IFERROR(__xludf.DUMMYFUNCTION("""COMPUTED_VALUE"""),0.461538461538461)</f>
        <v>0.4615384615</v>
      </c>
    </row>
    <row r="16622">
      <c r="A16622" s="10" t="s">
        <v>18061</v>
      </c>
      <c r="B16622" s="7" t="str">
        <f>IFERROR(__xludf.DUMMYFUNCTION("SPLIT(A16622,"" "")"),"Cc1cnc(CN(C)CCN(C)c2cccc3nccc(CF)c23)c(C)c1")</f>
        <v>Cc1cnc(CN(C)CCN(C)c2cccc3nccc(CF)c23)c(C)c1</v>
      </c>
      <c r="C16622" s="7">
        <f>IFERROR(__xludf.DUMMYFUNCTION("""COMPUTED_VALUE"""),7.735775)</f>
        <v>7.735775</v>
      </c>
      <c r="D16622" s="7">
        <f>IFERROR(__xludf.DUMMYFUNCTION("""COMPUTED_VALUE"""),0.339285714285714)</f>
        <v>0.3392857143</v>
      </c>
    </row>
    <row r="16623">
      <c r="A16623" s="10" t="s">
        <v>18062</v>
      </c>
      <c r="B16623" s="7" t="str">
        <f>IFERROR(__xludf.DUMMYFUNCTION("SPLIT(A16623,"" "")"),"Cc1nc(CN(C)C2=C(N(C)Cc3nc(C)c(C)c(C)c3C)C(N(C)Cc3nc(C)c(C)c(C)c3C)C(N(C)Cc3nc(C)c(C)c(C)c3C)=C(CN(C)CC3=CC(N(C)Cc4nc(C)c(C)c(C)c4C)C=CN3)N2)c(C)c(C)c1C")</f>
        <v>Cc1nc(CN(C)C2=C(N(C)Cc3nc(C)c(C)c(C)c3C)C(N(C)Cc3nc(C)c(C)c(C)c3C)C(N(C)Cc3nc(C)c(C)c(C)c3C)=C(CN(C)CC3=CC(N(C)Cc4nc(C)c(C)c(C)c4C)C=CN3)N2)c(C)c(C)c1C</v>
      </c>
      <c r="C16623" s="7">
        <f>IFERROR(__xludf.DUMMYFUNCTION("""COMPUTED_VALUE"""),7.7357635)</f>
        <v>7.7357635</v>
      </c>
      <c r="D16623" s="7">
        <f>IFERROR(__xludf.DUMMYFUNCTION("""COMPUTED_VALUE"""),0.271428571428571)</f>
        <v>0.2714285714</v>
      </c>
    </row>
    <row r="16624">
      <c r="A16624" s="10" t="s">
        <v>18063</v>
      </c>
      <c r="B16624" s="7" t="str">
        <f>IFERROR(__xludf.DUMMYFUNCTION("SPLIT(A16624,"" "")"),"CC(C)C(C)(c1cccnc1)N(Cc1ccccn1)C1CCC(N(C)c2ccc3nccc(-c4ccc5ncccc5c4)c3c2)CC1")</f>
        <v>CC(C)C(C)(c1cccnc1)N(Cc1ccccn1)C1CCC(N(C)c2ccc3nccc(-c4ccc5ncccc5c4)c3c2)CC1</v>
      </c>
      <c r="C16624" s="7">
        <f>IFERROR(__xludf.DUMMYFUNCTION("""COMPUTED_VALUE"""),7.7357526)</f>
        <v>7.7357526</v>
      </c>
      <c r="D16624" s="7">
        <f>IFERROR(__xludf.DUMMYFUNCTION("""COMPUTED_VALUE"""),0.285714285714285)</f>
        <v>0.2857142857</v>
      </c>
    </row>
    <row r="16625">
      <c r="A16625" s="10" t="s">
        <v>18064</v>
      </c>
      <c r="B16625" s="7" t="str">
        <f>IFERROR(__xludf.DUMMYFUNCTION("SPLIT(A16625,"" "")"),"Cc1ccnc(CN(C)CCc2nc3ccccc3o2)c1")</f>
        <v>Cc1ccnc(CN(C)CCc2nc3ccccc3o2)c1</v>
      </c>
      <c r="C16625" s="7">
        <f>IFERROR(__xludf.DUMMYFUNCTION("""COMPUTED_VALUE"""),7.7357483)</f>
        <v>7.7357483</v>
      </c>
      <c r="D16625" s="7">
        <f>IFERROR(__xludf.DUMMYFUNCTION("""COMPUTED_VALUE"""),0.36)</f>
        <v>0.36</v>
      </c>
    </row>
    <row r="16626">
      <c r="A16626" s="10" t="s">
        <v>18065</v>
      </c>
      <c r="B16626" s="7" t="str">
        <f>IFERROR(__xludf.DUMMYFUNCTION("SPLIT(A16626,"" "")"),"Cc1cccc(-c2ccccc2)n1")</f>
        <v>Cc1cccc(-c2ccccc2)n1</v>
      </c>
      <c r="C16626" s="7">
        <f>IFERROR(__xludf.DUMMYFUNCTION("""COMPUTED_VALUE"""),7.7357464)</f>
        <v>7.7357464</v>
      </c>
      <c r="D16626" s="7">
        <f>IFERROR(__xludf.DUMMYFUNCTION("""COMPUTED_VALUE"""),0.352941176470588)</f>
        <v>0.3529411765</v>
      </c>
    </row>
    <row r="16627">
      <c r="A16627" s="10" t="s">
        <v>18066</v>
      </c>
      <c r="B16627" s="7" t="str">
        <f>IFERROR(__xludf.DUMMYFUNCTION("SPLIT(A16627,"" "")"),"CCOC(=O)c1cccc(-c2cc(C(C)NCc3ccccn3)ccn2)n1")</f>
        <v>CCOC(=O)c1cccc(-c2cc(C(C)NCc3ccccn3)ccn2)n1</v>
      </c>
      <c r="C16627" s="7">
        <f>IFERROR(__xludf.DUMMYFUNCTION("""COMPUTED_VALUE"""),7.735742)</f>
        <v>7.735742</v>
      </c>
      <c r="D16627" s="7">
        <f>IFERROR(__xludf.DUMMYFUNCTION("""COMPUTED_VALUE"""),0.333333333333333)</f>
        <v>0.3333333333</v>
      </c>
    </row>
    <row r="16628">
      <c r="A16628" s="10" t="s">
        <v>18067</v>
      </c>
      <c r="B16628" s="7" t="str">
        <f>IFERROR(__xludf.DUMMYFUNCTION("SPLIT(A16628,"" "")"),"Cc1ccc(CN(Cc2cc(-c3cccc(N(C)C)c3)ccn2)Cc2ncccc2C(C)(C)C)nc1C")</f>
        <v>Cc1ccc(CN(Cc2cc(-c3cccc(N(C)C)c3)ccn2)Cc2ncccc2C(C)(C)C)nc1C</v>
      </c>
      <c r="C16628" s="7">
        <f>IFERROR(__xludf.DUMMYFUNCTION("""COMPUTED_VALUE"""),7.7357383)</f>
        <v>7.7357383</v>
      </c>
      <c r="D16628" s="7">
        <f>IFERROR(__xludf.DUMMYFUNCTION("""COMPUTED_VALUE"""),0.319444444444444)</f>
        <v>0.3194444444</v>
      </c>
    </row>
    <row r="16629">
      <c r="A16629" s="10" t="s">
        <v>18068</v>
      </c>
      <c r="B16629" s="7" t="str">
        <f>IFERROR(__xludf.DUMMYFUNCTION("SPLIT(A16629,"" "")"),"CC(C)c1cc(CN(Cc2ccccn2)Cc2cc(-c3ccccc3N=Cc3ccccn3)ccn2)ccn1")</f>
        <v>CC(C)c1cc(CN(Cc2ccccn2)Cc2cc(-c3ccccc3N=Cc3ccccn3)ccn2)ccn1</v>
      </c>
      <c r="C16629" s="7">
        <f>IFERROR(__xludf.DUMMYFUNCTION("""COMPUTED_VALUE"""),7.7357354)</f>
        <v>7.7357354</v>
      </c>
      <c r="D16629" s="7">
        <f>IFERROR(__xludf.DUMMYFUNCTION("""COMPUTED_VALUE"""),0.365079365079365)</f>
        <v>0.3650793651</v>
      </c>
    </row>
    <row r="16630">
      <c r="A16630" s="10" t="s">
        <v>18069</v>
      </c>
      <c r="B16630" s="7" t="str">
        <f>IFERROR(__xludf.DUMMYFUNCTION("SPLIT(A16630,"" "")"),"CN(c1ccc2cccnc2c1)C1CCC(N(Cc2ccccn2)c2ccc3cccnc3c2)CC1")</f>
        <v>CN(c1ccc2cccnc2c1)C1CCC(N(Cc2ccccn2)c2ccc3cccnc3c2)CC1</v>
      </c>
      <c r="C16630" s="7">
        <f>IFERROR(__xludf.DUMMYFUNCTION("""COMPUTED_VALUE"""),7.73573)</f>
        <v>7.73573</v>
      </c>
      <c r="D16630" s="7">
        <f>IFERROR(__xludf.DUMMYFUNCTION("""COMPUTED_VALUE"""),0.442307692307692)</f>
        <v>0.4423076923</v>
      </c>
    </row>
    <row r="16631">
      <c r="A16631" s="10" t="s">
        <v>18070</v>
      </c>
      <c r="B16631" s="7" t="str">
        <f>IFERROR(__xludf.DUMMYFUNCTION("SPLIT(A16631,"" "")"),"CCN(C)Cc1cc(-c2cccc(N=Cc3ccccn3)c2)ccn1")</f>
        <v>CCN(C)Cc1cc(-c2cccc(N=Cc3ccccn3)c2)ccn1</v>
      </c>
      <c r="C16631" s="7">
        <f>IFERROR(__xludf.DUMMYFUNCTION("""COMPUTED_VALUE"""),7.7357225)</f>
        <v>7.7357225</v>
      </c>
      <c r="D16631" s="7">
        <f>IFERROR(__xludf.DUMMYFUNCTION("""COMPUTED_VALUE"""),0.375)</f>
        <v>0.375</v>
      </c>
    </row>
    <row r="16632">
      <c r="A16632" s="10" t="s">
        <v>18071</v>
      </c>
      <c r="B16632" s="7" t="str">
        <f>IFERROR(__xludf.DUMMYFUNCTION("SPLIT(A16632,"" "")"),"CN(Cc1cccnc1)Cc1cncc(-c2ccc(N(C)C)cc2)c1")</f>
        <v>CN(Cc1cccnc1)Cc1cncc(-c2ccc(N(C)C)cc2)c1</v>
      </c>
      <c r="C16632" s="7">
        <f>IFERROR(__xludf.DUMMYFUNCTION("""COMPUTED_VALUE"""),7.7357187)</f>
        <v>7.7357187</v>
      </c>
      <c r="D16632" s="7">
        <f>IFERROR(__xludf.DUMMYFUNCTION("""COMPUTED_VALUE"""),0.265306122448979)</f>
        <v>0.2653061224</v>
      </c>
    </row>
    <row r="16633">
      <c r="A16633" s="10" t="s">
        <v>18072</v>
      </c>
      <c r="B16633" s="7" t="str">
        <f>IFERROR(__xludf.DUMMYFUNCTION("SPLIT(A16633,"" "")"),"CN(CCN(C)Cc1ccc2ncccc2c1)Cc1ccc2ncccc2c1")</f>
        <v>CN(CCN(C)Cc1ccc2ncccc2c1)Cc1ccc2ncccc2c1</v>
      </c>
      <c r="C16633" s="7">
        <f>IFERROR(__xludf.DUMMYFUNCTION("""COMPUTED_VALUE"""),7.735711)</f>
        <v>7.735711</v>
      </c>
      <c r="D16633" s="7">
        <f>IFERROR(__xludf.DUMMYFUNCTION("""COMPUTED_VALUE"""),0.5)</f>
        <v>0.5</v>
      </c>
    </row>
    <row r="16634">
      <c r="A16634" s="10" t="s">
        <v>18073</v>
      </c>
      <c r="B16634" s="7" t="str">
        <f>IFERROR(__xludf.DUMMYFUNCTION("SPLIT(A16634,"" "")"),"Cc1cc(C)c(N)c(C(C)(c2ccccn2)c2ccccn2)c1")</f>
        <v>Cc1cc(C)c(N)c(C(C)(c2ccccn2)c2ccccn2)c1</v>
      </c>
      <c r="C16634" s="7">
        <f>IFERROR(__xludf.DUMMYFUNCTION("""COMPUTED_VALUE"""),7.7357025)</f>
        <v>7.7357025</v>
      </c>
      <c r="D16634" s="7">
        <f>IFERROR(__xludf.DUMMYFUNCTION("""COMPUTED_VALUE"""),0.4)</f>
        <v>0.4</v>
      </c>
    </row>
    <row r="16635">
      <c r="A16635" s="10" t="s">
        <v>18074</v>
      </c>
      <c r="B16635" s="7" t="str">
        <f>IFERROR(__xludf.DUMMYFUNCTION("SPLIT(A16635,"" "")"),"Cc1ccc2ncc(CN(C)Cc3ncccc3N)cc2c1")</f>
        <v>Cc1ccc2ncc(CN(C)Cc3ncccc3N)cc2c1</v>
      </c>
      <c r="C16635" s="7">
        <f>IFERROR(__xludf.DUMMYFUNCTION("""COMPUTED_VALUE"""),7.7357016)</f>
        <v>7.7357016</v>
      </c>
      <c r="D16635" s="7">
        <f>IFERROR(__xludf.DUMMYFUNCTION("""COMPUTED_VALUE"""),0.285714285714285)</f>
        <v>0.2857142857</v>
      </c>
    </row>
    <row r="16636">
      <c r="A16636" s="10" t="s">
        <v>18075</v>
      </c>
      <c r="B16636" s="7" t="str">
        <f>IFERROR(__xludf.DUMMYFUNCTION("SPLIT(A16636,"" "")"),"CN(Cc1cc(-c2ccc3cccnc3c2)ccn1)C1CCC(N(C)c2cccc(-c3ccccn3)c2)CC1")</f>
        <v>CN(Cc1cc(-c2ccc3cccnc3c2)ccn1)C1CCC(N(C)c2cccc(-c3ccccn3)c2)CC1</v>
      </c>
      <c r="C16636" s="7">
        <f>IFERROR(__xludf.DUMMYFUNCTION("""COMPUTED_VALUE"""),7.7356973)</f>
        <v>7.7356973</v>
      </c>
      <c r="D16636" s="7">
        <f>IFERROR(__xludf.DUMMYFUNCTION("""COMPUTED_VALUE"""),0.338461538461538)</f>
        <v>0.3384615385</v>
      </c>
    </row>
    <row r="16637">
      <c r="A16637" s="10" t="s">
        <v>18076</v>
      </c>
      <c r="B16637" s="7" t="str">
        <f>IFERROR(__xludf.DUMMYFUNCTION("SPLIT(A16637,"" "")"),"CN(Cc1ccon1)Cc1ncccc1-c1ccccc1NCc1ccccn1")</f>
        <v>CN(Cc1ccon1)Cc1ncccc1-c1ccccc1NCc1ccccn1</v>
      </c>
      <c r="C16637" s="7">
        <f>IFERROR(__xludf.DUMMYFUNCTION("""COMPUTED_VALUE"""),7.735696)</f>
        <v>7.735696</v>
      </c>
      <c r="D16637" s="7">
        <f>IFERROR(__xludf.DUMMYFUNCTION("""COMPUTED_VALUE"""),0.411764705882352)</f>
        <v>0.4117647059</v>
      </c>
    </row>
    <row r="16638">
      <c r="A16638" s="10" t="s">
        <v>18077</v>
      </c>
      <c r="B16638" s="7" t="str">
        <f>IFERROR(__xludf.DUMMYFUNCTION("SPLIT(A16638,"" "")"),"CC(C)(c1ccccn1)c1cccc(CN(Cc2ccccn2)Cc2cccc(-c3cccc(N=Cc4ccccn4)c3)n2)n1")</f>
        <v>CC(C)(c1ccccn1)c1cccc(CN(Cc2ccccn2)Cc2cccc(-c3cccc(N=Cc4ccccn4)c3)n2)n1</v>
      </c>
      <c r="C16638" s="7">
        <f>IFERROR(__xludf.DUMMYFUNCTION("""COMPUTED_VALUE"""),7.735691)</f>
        <v>7.735691</v>
      </c>
      <c r="D16638" s="7">
        <f>IFERROR(__xludf.DUMMYFUNCTION("""COMPUTED_VALUE"""),0.5)</f>
        <v>0.5</v>
      </c>
    </row>
    <row r="16639">
      <c r="A16639" s="10" t="s">
        <v>18078</v>
      </c>
      <c r="B16639" s="7" t="str">
        <f>IFERROR(__xludf.DUMMYFUNCTION("SPLIT(A16639,"" "")"),"CN(CCN(Cc1ccccn1)c1ccc2cccnc2c1)c1cccc(F)c1")</f>
        <v>CN(CCN(Cc1ccccn1)c1ccc2cccnc2c1)c1cccc(F)c1</v>
      </c>
      <c r="C16639" s="7">
        <f>IFERROR(__xludf.DUMMYFUNCTION("""COMPUTED_VALUE"""),7.7356853)</f>
        <v>7.7356853</v>
      </c>
      <c r="D16639" s="7">
        <f>IFERROR(__xludf.DUMMYFUNCTION("""COMPUTED_VALUE"""),0.452830188679245)</f>
        <v>0.4528301887</v>
      </c>
    </row>
    <row r="16640">
      <c r="A16640" s="10" t="s">
        <v>18079</v>
      </c>
      <c r="B16640" s="7" t="str">
        <f>IFERROR(__xludf.DUMMYFUNCTION("SPLIT(A16640,"" "")"),"CN(Cc1ccccn1)Cc1cc(-c2ccccc2N(C)C)ccn1")</f>
        <v>CN(Cc1ccccn1)Cc1cc(-c2ccccc2N(C)C)ccn1</v>
      </c>
      <c r="C16640" s="7">
        <f>IFERROR(__xludf.DUMMYFUNCTION("""COMPUTED_VALUE"""),7.735684)</f>
        <v>7.735684</v>
      </c>
      <c r="D16640" s="7">
        <f>IFERROR(__xludf.DUMMYFUNCTION("""COMPUTED_VALUE"""),0.478260869565217)</f>
        <v>0.4782608696</v>
      </c>
    </row>
    <row r="16641">
      <c r="A16641" s="10" t="s">
        <v>18080</v>
      </c>
      <c r="B16641" s="7" t="str">
        <f>IFERROR(__xludf.DUMMYFUNCTION("SPLIT(A16641,"" "")"),"Cc1ccc(-c2cc(CN(C)Cc3cc(N)ccn3)ccn2)c(C)c1")</f>
        <v>Cc1ccc(-c2cc(CN(C)Cc3cc(N)ccn3)ccn2)c(C)c1</v>
      </c>
      <c r="C16641" s="7">
        <f>IFERROR(__xludf.DUMMYFUNCTION("""COMPUTED_VALUE"""),7.7356715)</f>
        <v>7.7356715</v>
      </c>
      <c r="D16641" s="7">
        <f>IFERROR(__xludf.DUMMYFUNCTION("""COMPUTED_VALUE"""),0.321428571428571)</f>
        <v>0.3214285714</v>
      </c>
    </row>
    <row r="16642">
      <c r="A16642" s="10" t="s">
        <v>18081</v>
      </c>
      <c r="B16642" s="7" t="str">
        <f>IFERROR(__xludf.DUMMYFUNCTION("SPLIT(A16642,"" "")"),"COC(=O)C(=O)N1CCN(C)CCN(C(=O)C(=O)C(=O)C(=O)C(=O)C(=O)C(=O)C(=O)C(=O)C(=O)C(=O)C(=O)C(=O)C(=O)C(=O)C(=O)C(=O)C(=O)C(=O)C(=O)C(=O)C(=O)C(=O)C(=O)C(=O)C(=O)C(=O)C(=O)C(=O)C(=O)C(=O)C(=O)C(=O)C(C)=O)CC1")</f>
        <v>COC(=O)C(=O)N1CCN(C)CCN(C(=O)C(=O)C(=O)C(=O)C(=O)C(=O)C(=O)C(=O)C(=O)C(=O)C(=O)C(=O)C(=O)C(=O)C(=O)C(=O)C(=O)C(=O)C(=O)C(=O)C(=O)C(=O)C(=O)C(=O)C(=O)C(=O)C(=O)C(=O)C(=O)C(=O)C(=O)C(=O)C(=O)C(C)=O)CC1</v>
      </c>
      <c r="C16642" s="7">
        <f>IFERROR(__xludf.DUMMYFUNCTION("""COMPUTED_VALUE"""),7.7356677)</f>
        <v>7.7356677</v>
      </c>
      <c r="D16642" s="7">
        <f>IFERROR(__xludf.DUMMYFUNCTION("""COMPUTED_VALUE"""),0.266666666666666)</f>
        <v>0.2666666667</v>
      </c>
    </row>
    <row r="16643">
      <c r="A16643" s="10" t="s">
        <v>18082</v>
      </c>
      <c r="B16643" s="7" t="str">
        <f>IFERROR(__xludf.DUMMYFUNCTION("SPLIT(A16643,"" "")"),"CCN(C)Cc1ncccc1-c1ccc(N=Cc2ccccn2)cc1")</f>
        <v>CCN(C)Cc1ncccc1-c1ccc(N=Cc2ccccn2)cc1</v>
      </c>
      <c r="C16643" s="7">
        <f>IFERROR(__xludf.DUMMYFUNCTION("""COMPUTED_VALUE"""),7.73565)</f>
        <v>7.73565</v>
      </c>
      <c r="D16643" s="7">
        <f>IFERROR(__xludf.DUMMYFUNCTION("""COMPUTED_VALUE"""),0.363636363636363)</f>
        <v>0.3636363636</v>
      </c>
    </row>
    <row r="16644">
      <c r="A16644" s="10" t="s">
        <v>18083</v>
      </c>
      <c r="B16644" s="7" t="str">
        <f>IFERROR(__xludf.DUMMYFUNCTION("SPLIT(A16644,"" "")"),"Cc1c(C(C)(c2ccccn2)c2ccccn2)ccnc1CNc1ccccc1F")</f>
        <v>Cc1c(C(C)(c2ccccn2)c2ccccn2)ccnc1CNc1ccccc1F</v>
      </c>
      <c r="C16644" s="7">
        <f>IFERROR(__xludf.DUMMYFUNCTION("""COMPUTED_VALUE"""),7.735647)</f>
        <v>7.735647</v>
      </c>
      <c r="D16644" s="7">
        <f>IFERROR(__xludf.DUMMYFUNCTION("""COMPUTED_VALUE"""),0.35593220338983)</f>
        <v>0.3559322034</v>
      </c>
    </row>
    <row r="16645">
      <c r="A16645" s="10" t="s">
        <v>18084</v>
      </c>
      <c r="B16645" s="7" t="str">
        <f>IFERROR(__xludf.DUMMYFUNCTION("SPLIT(A16645,"" "")"),"Cc1cc(C)nc(CN(Cc2ccccn2)Cc2ccc(-c3ccccc3N(C)C)cn2)c1")</f>
        <v>Cc1cc(C)nc(CN(Cc2ccccn2)Cc2ccc(-c3ccccc3N(C)C)cn2)c1</v>
      </c>
      <c r="C16645" s="7">
        <f>IFERROR(__xludf.DUMMYFUNCTION("""COMPUTED_VALUE"""),7.735638)</f>
        <v>7.735638</v>
      </c>
      <c r="D16645" s="7">
        <f>IFERROR(__xludf.DUMMYFUNCTION("""COMPUTED_VALUE"""),0.416666666666666)</f>
        <v>0.4166666667</v>
      </c>
    </row>
    <row r="16646">
      <c r="A16646" s="10" t="s">
        <v>18085</v>
      </c>
      <c r="B16646" s="7" t="str">
        <f>IFERROR(__xludf.DUMMYFUNCTION("SPLIT(A16646,"" "")"),"CC(C)C(C)(c1cccnc1)N(Cc1ccccn1)Cc1cccc(N(C)c2ccc3ncccc3c2)n1")</f>
        <v>CC(C)C(C)(c1cccnc1)N(Cc1ccccn1)Cc1cccc(N(C)c2ccc3ncccc3c2)n1</v>
      </c>
      <c r="C16646" s="7">
        <f>IFERROR(__xludf.DUMMYFUNCTION("""COMPUTED_VALUE"""),7.735631)</f>
        <v>7.735631</v>
      </c>
      <c r="D16646" s="7">
        <f>IFERROR(__xludf.DUMMYFUNCTION("""COMPUTED_VALUE"""),0.328358208955223)</f>
        <v>0.328358209</v>
      </c>
    </row>
    <row r="16647">
      <c r="A16647" s="10" t="s">
        <v>18086</v>
      </c>
      <c r="B16647" s="7" t="str">
        <f>IFERROR(__xludf.DUMMYFUNCTION("SPLIT(A16647,"" "")"),"Cc1ccnc(CN(C)CCN(C)c2cccc3ncc4c(c23)CCC4)c1")</f>
        <v>Cc1ccnc(CN(C)CCN(C)c2cccc3ncc4c(c23)CCC4)c1</v>
      </c>
      <c r="C16647" s="7">
        <f>IFERROR(__xludf.DUMMYFUNCTION("""COMPUTED_VALUE"""),7.7356296)</f>
        <v>7.7356296</v>
      </c>
      <c r="D16647" s="7">
        <f>IFERROR(__xludf.DUMMYFUNCTION("""COMPUTED_VALUE"""),0.333333333333333)</f>
        <v>0.3333333333</v>
      </c>
    </row>
    <row r="16648">
      <c r="A16648" s="10" t="s">
        <v>18087</v>
      </c>
      <c r="B16648" s="7" t="str">
        <f>IFERROR(__xludf.DUMMYFUNCTION("SPLIT(A16648,"" "")"),"CN(Cc1cccc(C2=CCC=CN2)n1)Cc1cccc(C(C)(c2ccccn2)c2ccccn2)n1")</f>
        <v>CN(Cc1cccc(C2=CCC=CN2)n1)Cc1cccc(C(C)(c2ccccn2)c2ccccn2)n1</v>
      </c>
      <c r="C16648" s="7">
        <f>IFERROR(__xludf.DUMMYFUNCTION("""COMPUTED_VALUE"""),7.7356267)</f>
        <v>7.7356267</v>
      </c>
      <c r="D16648" s="7">
        <f>IFERROR(__xludf.DUMMYFUNCTION("""COMPUTED_VALUE"""),0.464285714285714)</f>
        <v>0.4642857143</v>
      </c>
    </row>
    <row r="16649">
      <c r="A16649" s="10" t="s">
        <v>18088</v>
      </c>
      <c r="B16649" s="7" t="str">
        <f>IFERROR(__xludf.DUMMYFUNCTION("SPLIT(A16649,"" "")"),"CNCN(Cc1ccccn1)c1ccc2cc(CF)cnc2c1")</f>
        <v>CNCN(Cc1ccccn1)c1ccc2cc(CF)cnc2c1</v>
      </c>
      <c r="C16649" s="7">
        <f>IFERROR(__xludf.DUMMYFUNCTION("""COMPUTED_VALUE"""),7.7356095)</f>
        <v>7.7356095</v>
      </c>
      <c r="D16649" s="7">
        <f>IFERROR(__xludf.DUMMYFUNCTION("""COMPUTED_VALUE"""),0.388888888888888)</f>
        <v>0.3888888889</v>
      </c>
    </row>
    <row r="16650">
      <c r="A16650" s="10" t="s">
        <v>18089</v>
      </c>
      <c r="B16650" s="7" t="str">
        <f>IFERROR(__xludf.DUMMYFUNCTION("SPLIT(A16650,"" "")"),"C1=CNC(c2ccncc2)=CC1")</f>
        <v>C1=CNC(c2ccncc2)=CC1</v>
      </c>
      <c r="C16650" s="7">
        <f>IFERROR(__xludf.DUMMYFUNCTION("""COMPUTED_VALUE"""),7.7356076)</f>
        <v>7.7356076</v>
      </c>
      <c r="D16650" s="7">
        <f>IFERROR(__xludf.DUMMYFUNCTION("""COMPUTED_VALUE"""),0.333333333333333)</f>
        <v>0.3333333333</v>
      </c>
    </row>
    <row r="16651">
      <c r="A16651" s="10" t="s">
        <v>18090</v>
      </c>
      <c r="B16651" s="7" t="str">
        <f>IFERROR(__xludf.DUMMYFUNCTION("SPLIT(A16651,"" "")"),"Cc1cccc2ccc(CN(C)Cc3cc(N)ccn3)nc12")</f>
        <v>Cc1cccc2ccc(CN(C)Cc3cc(N)ccn3)nc12</v>
      </c>
      <c r="C16651" s="7">
        <f>IFERROR(__xludf.DUMMYFUNCTION("""COMPUTED_VALUE"""),7.7356067)</f>
        <v>7.7356067</v>
      </c>
      <c r="D16651" s="7">
        <f>IFERROR(__xludf.DUMMYFUNCTION("""COMPUTED_VALUE"""),0.392156862745098)</f>
        <v>0.3921568627</v>
      </c>
    </row>
    <row r="16652">
      <c r="A16652" s="10" t="s">
        <v>18091</v>
      </c>
      <c r="B16652" s="7" t="str">
        <f>IFERROR(__xludf.DUMMYFUNCTION("SPLIT(A16652,"" "")"),"CNCN(Cc1ccccn1)c1ccc2ccc(CF)nc2c1")</f>
        <v>CNCN(Cc1ccccn1)c1ccc2ccc(CF)nc2c1</v>
      </c>
      <c r="C16652" s="7">
        <f>IFERROR(__xludf.DUMMYFUNCTION("""COMPUTED_VALUE"""),7.7356014)</f>
        <v>7.7356014</v>
      </c>
      <c r="D16652" s="7">
        <f>IFERROR(__xludf.DUMMYFUNCTION("""COMPUTED_VALUE"""),0.46938775510204)</f>
        <v>0.4693877551</v>
      </c>
    </row>
    <row r="16653">
      <c r="A16653" s="10" t="s">
        <v>18092</v>
      </c>
      <c r="B16653" s="7" t="str">
        <f>IFERROR(__xludf.DUMMYFUNCTION("SPLIT(A16653,"" "")"),"C=CCN(C)Cc1cccc(-c2cccc(N=Cc3ccccn3)c2)n1")</f>
        <v>C=CCN(C)Cc1cccc(-c2cccc(N=Cc3ccccn3)c2)n1</v>
      </c>
      <c r="C16653" s="7">
        <f>IFERROR(__xludf.DUMMYFUNCTION("""COMPUTED_VALUE"""),7.735595)</f>
        <v>7.735595</v>
      </c>
      <c r="D16653" s="7">
        <f>IFERROR(__xludf.DUMMYFUNCTION("""COMPUTED_VALUE"""),0.446428571428571)</f>
        <v>0.4464285714</v>
      </c>
    </row>
    <row r="16654">
      <c r="A16654" s="10" t="s">
        <v>18093</v>
      </c>
      <c r="B16654" s="7" t="str">
        <f>IFERROR(__xludf.DUMMYFUNCTION("SPLIT(A16654,"" "")"),"CC(C)C1N=COC1c1cc(CN(Cc2ccccn2)Cc2cc(-c3cccc(N=Cc4ccccn4)c3)ccn2)ccn1")</f>
        <v>CC(C)C1N=COC1c1cc(CN(Cc2ccccn2)Cc2cc(-c3cccc(N=Cc4ccccn4)c3)ccn2)ccn1</v>
      </c>
      <c r="C16654" s="7">
        <f>IFERROR(__xludf.DUMMYFUNCTION("""COMPUTED_VALUE"""),7.7355895)</f>
        <v>7.7355895</v>
      </c>
      <c r="D16654" s="7">
        <f>IFERROR(__xludf.DUMMYFUNCTION("""COMPUTED_VALUE"""),0.320987654320987)</f>
        <v>0.3209876543</v>
      </c>
    </row>
    <row r="16655">
      <c r="A16655" s="10" t="s">
        <v>18094</v>
      </c>
      <c r="B16655" s="7" t="str">
        <f>IFERROR(__xludf.DUMMYFUNCTION("SPLIT(A16655,"" "")"),"Cc1cccc(N)c1-c1cc(CN(C)Cc2cc(N)ccn2)ccn1")</f>
        <v>Cc1cccc(N)c1-c1cc(CN(C)Cc2cc(N)ccn2)ccn1</v>
      </c>
      <c r="C16655" s="7">
        <f>IFERROR(__xludf.DUMMYFUNCTION("""COMPUTED_VALUE"""),7.7355857)</f>
        <v>7.7355857</v>
      </c>
      <c r="D16655" s="7">
        <f>IFERROR(__xludf.DUMMYFUNCTION("""COMPUTED_VALUE"""),0.377358490566037)</f>
        <v>0.3773584906</v>
      </c>
    </row>
    <row r="16656">
      <c r="A16656" s="10" t="s">
        <v>18095</v>
      </c>
      <c r="B16656" s="7" t="str">
        <f>IFERROR(__xludf.DUMMYFUNCTION("SPLIT(A16656,"" "")"),"CC(C)c1cccc(CN(C)Cc2cccc(-c3cccc(N(C)C)c3)n2)n1")</f>
        <v>CC(C)c1cccc(CN(C)Cc2cccc(-c3cccc(N(C)C)c3)n2)n1</v>
      </c>
      <c r="C16656" s="7">
        <f>IFERROR(__xludf.DUMMYFUNCTION("""COMPUTED_VALUE"""),7.7355833)</f>
        <v>7.7355833</v>
      </c>
      <c r="D16656" s="7">
        <f>IFERROR(__xludf.DUMMYFUNCTION("""COMPUTED_VALUE"""),0.42)</f>
        <v>0.42</v>
      </c>
    </row>
    <row r="16657">
      <c r="A16657" s="10" t="s">
        <v>18096</v>
      </c>
      <c r="B16657" s="7" t="str">
        <f>IFERROR(__xludf.DUMMYFUNCTION("SPLIT(A16657,"" "")"),"CNc1cccc2c(CN(C)C(C)C)ccnc12")</f>
        <v>CNc1cccc2c(CN(C)C(C)C)ccnc12</v>
      </c>
      <c r="C16657" s="7">
        <f>IFERROR(__xludf.DUMMYFUNCTION("""COMPUTED_VALUE"""),7.7355447)</f>
        <v>7.7355447</v>
      </c>
      <c r="D16657" s="7">
        <f>IFERROR(__xludf.DUMMYFUNCTION("""COMPUTED_VALUE"""),0.346938775510204)</f>
        <v>0.3469387755</v>
      </c>
    </row>
    <row r="16658">
      <c r="A16658" s="10" t="s">
        <v>18097</v>
      </c>
      <c r="B16658" s="7" t="str">
        <f>IFERROR(__xludf.DUMMYFUNCTION("SPLIT(A16658,"" "")"),"CCN(Cc1ccccn1)Cc1ncc(-c2cccc(N(C)C)c2)c(C)c1C")</f>
        <v>CCN(Cc1ccccn1)Cc1ncc(-c2cccc(N(C)C)c2)c(C)c1C</v>
      </c>
      <c r="C16658" s="7">
        <f>IFERROR(__xludf.DUMMYFUNCTION("""COMPUTED_VALUE"""),7.735536)</f>
        <v>7.735536</v>
      </c>
      <c r="D16658" s="7">
        <f>IFERROR(__xludf.DUMMYFUNCTION("""COMPUTED_VALUE"""),0.388888888888888)</f>
        <v>0.3888888889</v>
      </c>
    </row>
    <row r="16659">
      <c r="A16659" s="10" t="s">
        <v>18098</v>
      </c>
      <c r="B16659" s="7" t="str">
        <f>IFERROR(__xludf.DUMMYFUNCTION("SPLIT(A16659,"" "")"),"CN(c1ccc2nc(CF)ccc2c1)C1CCC(N(Cc2ccccn2)c2ccc3cccnc3c2)CC1")</f>
        <v>CN(c1ccc2nc(CF)ccc2c1)C1CCC(N(Cc2ccccn2)c2ccc3cccnc3c2)CC1</v>
      </c>
      <c r="C16659" s="7">
        <f>IFERROR(__xludf.DUMMYFUNCTION("""COMPUTED_VALUE"""),7.7355304)</f>
        <v>7.7355304</v>
      </c>
      <c r="D16659" s="7">
        <f>IFERROR(__xludf.DUMMYFUNCTION("""COMPUTED_VALUE"""),0.423728813559322)</f>
        <v>0.4237288136</v>
      </c>
    </row>
    <row r="16660">
      <c r="A16660" s="10" t="s">
        <v>18099</v>
      </c>
      <c r="B16660" s="7" t="str">
        <f>IFERROR(__xludf.DUMMYFUNCTION("SPLIT(A16660,"" "")"),"COC(=O)C1N=COC1c1ncccc1C1=NC(C)(C)CO1")</f>
        <v>COC(=O)C1N=COC1c1ncccc1C1=NC(C)(C)CO1</v>
      </c>
      <c r="C16660" s="7">
        <f>IFERROR(__xludf.DUMMYFUNCTION("""COMPUTED_VALUE"""),7.735526)</f>
        <v>7.735526</v>
      </c>
      <c r="D16660" s="7">
        <f>IFERROR(__xludf.DUMMYFUNCTION("""COMPUTED_VALUE"""),0.339285714285714)</f>
        <v>0.3392857143</v>
      </c>
    </row>
    <row r="16661">
      <c r="A16661" s="10" t="s">
        <v>18100</v>
      </c>
      <c r="B16661" s="7" t="str">
        <f>IFERROR(__xludf.DUMMYFUNCTION("SPLIT(A16661,"" "")"),"Cc1cnc(CN(Cc2cc(C(C)(C)C)ccn2)Cc2cccc(-c3cccc(N(C)C)c3)n2)c(C)c1")</f>
        <v>Cc1cnc(CN(Cc2cc(C(C)(C)C)ccn2)Cc2cccc(-c3cccc(N(C)C)c3)n2)c(C)c1</v>
      </c>
      <c r="C16661" s="7">
        <f>IFERROR(__xludf.DUMMYFUNCTION("""COMPUTED_VALUE"""),7.7355237)</f>
        <v>7.7355237</v>
      </c>
      <c r="D16661" s="7">
        <f>IFERROR(__xludf.DUMMYFUNCTION("""COMPUTED_VALUE"""),0.405797101449275)</f>
        <v>0.4057971014</v>
      </c>
    </row>
    <row r="16662">
      <c r="A16662" s="10" t="s">
        <v>18101</v>
      </c>
      <c r="B16662" s="7" t="str">
        <f>IFERROR(__xludf.DUMMYFUNCTION("SPLIT(A16662,"" "")"),"CN(Cc1ccccn1)Cc1ccc(-c2cccc(N(C)C)c2)cn1")</f>
        <v>CN(Cc1ccccn1)Cc1ccc(-c2cccc(N(C)C)c2)cn1</v>
      </c>
      <c r="C16662" s="7">
        <f>IFERROR(__xludf.DUMMYFUNCTION("""COMPUTED_VALUE"""),7.735517)</f>
        <v>7.735517</v>
      </c>
      <c r="D16662" s="7">
        <f>IFERROR(__xludf.DUMMYFUNCTION("""COMPUTED_VALUE"""),0.489361702127659)</f>
        <v>0.4893617021</v>
      </c>
    </row>
    <row r="16663">
      <c r="A16663" s="10" t="s">
        <v>18102</v>
      </c>
      <c r="B16663" s="7" t="str">
        <f>IFERROR(__xludf.DUMMYFUNCTION("SPLIT(A16663,"" "")"),"CNCc1ccc(-c2cc(NCc3ccccn3)ccc2C)cn1")</f>
        <v>CNCc1ccc(-c2cc(NCc3ccccn3)ccc2C)cn1</v>
      </c>
      <c r="C16663" s="7">
        <f>IFERROR(__xludf.DUMMYFUNCTION("""COMPUTED_VALUE"""),7.73551)</f>
        <v>7.73551</v>
      </c>
      <c r="D16663" s="7">
        <f>IFERROR(__xludf.DUMMYFUNCTION("""COMPUTED_VALUE"""),0.372881355932203)</f>
        <v>0.3728813559</v>
      </c>
    </row>
    <row r="16664">
      <c r="A16664" s="10" t="s">
        <v>18103</v>
      </c>
      <c r="B16664" s="7" t="str">
        <f>IFERROR(__xludf.DUMMYFUNCTION("SPLIT(A16664,"" "")"),"CCN(C)CC1=CC(N(C)c2ccc3nccc(C)c3c2)C=CN1")</f>
        <v>CCN(C)CC1=CC(N(C)c2ccc3nccc(C)c3c2)C=CN1</v>
      </c>
      <c r="C16664" s="7">
        <f>IFERROR(__xludf.DUMMYFUNCTION("""COMPUTED_VALUE"""),7.735504)</f>
        <v>7.735504</v>
      </c>
      <c r="D16664" s="7">
        <f>IFERROR(__xludf.DUMMYFUNCTION("""COMPUTED_VALUE"""),0.32258064516129)</f>
        <v>0.3225806452</v>
      </c>
    </row>
    <row r="16665">
      <c r="A16665" s="10" t="s">
        <v>18104</v>
      </c>
      <c r="B16665" s="7" t="str">
        <f>IFERROR(__xludf.DUMMYFUNCTION("SPLIT(A16665,"" "")"),"Cc1cnc(CN(C)CCN(C)c2ccc3cccnc3c2)c(C)c1")</f>
        <v>Cc1cnc(CN(C)CCN(C)c2ccc3cccnc3c2)c(C)c1</v>
      </c>
      <c r="C16665" s="7">
        <f>IFERROR(__xludf.DUMMYFUNCTION("""COMPUTED_VALUE"""),7.7355013)</f>
        <v>7.7355013</v>
      </c>
      <c r="D16665" s="7">
        <f>IFERROR(__xludf.DUMMYFUNCTION("""COMPUTED_VALUE"""),0.37037037037037)</f>
        <v>0.3703703704</v>
      </c>
    </row>
    <row r="16666">
      <c r="A16666" s="10" t="s">
        <v>18105</v>
      </c>
      <c r="B16666" s="7" t="str">
        <f>IFERROR(__xludf.DUMMYFUNCTION("SPLIT(A16666,"" "")"),"Cc1cnc(CN(Cc2cncc(-c3ccccc3N(C)C)c2)Cc2ccccn2)c(C)c1C")</f>
        <v>Cc1cnc(CN(Cc2cncc(-c3ccccc3N(C)C)c2)Cc2ccccn2)c(C)c1C</v>
      </c>
      <c r="C16666" s="7">
        <f>IFERROR(__xludf.DUMMYFUNCTION("""COMPUTED_VALUE"""),7.7354994)</f>
        <v>7.7354994</v>
      </c>
      <c r="D16666" s="7">
        <f>IFERROR(__xludf.DUMMYFUNCTION("""COMPUTED_VALUE"""),0.384615384615384)</f>
        <v>0.3846153846</v>
      </c>
    </row>
    <row r="16667">
      <c r="A16667" s="10" t="s">
        <v>18106</v>
      </c>
      <c r="B16667" s="7" t="str">
        <f>IFERROR(__xludf.DUMMYFUNCTION("SPLIT(A16667,"" "")"),"Cc1cc(NCc2ccccn2)ccc1-c1ccc(C)c(CN(C)Cc2cc(N)ccn2)n1")</f>
        <v>Cc1cc(NCc2ccccn2)ccc1-c1ccc(C)c(CN(C)Cc2cc(N)ccn2)n1</v>
      </c>
      <c r="C16667" s="7">
        <f>IFERROR(__xludf.DUMMYFUNCTION("""COMPUTED_VALUE"""),7.7354937)</f>
        <v>7.7354937</v>
      </c>
      <c r="D16667" s="7">
        <f>IFERROR(__xludf.DUMMYFUNCTION("""COMPUTED_VALUE"""),0.359375)</f>
        <v>0.359375</v>
      </c>
    </row>
    <row r="16668">
      <c r="A16668" s="10" t="s">
        <v>18107</v>
      </c>
      <c r="B16668" s="7" t="str">
        <f>IFERROR(__xludf.DUMMYFUNCTION("SPLIT(A16668,"" "")"),"CCN(CC1=CC(N(C)Cc2ncccc2C)C=CN1)c1cccc2ncccc12")</f>
        <v>CCN(CC1=CC(N(C)Cc2ncccc2C)C=CN1)c1cccc2ncccc12</v>
      </c>
      <c r="C16668" s="7">
        <f>IFERROR(__xludf.DUMMYFUNCTION("""COMPUTED_VALUE"""),7.7354794)</f>
        <v>7.7354794</v>
      </c>
      <c r="D16668" s="7">
        <f>IFERROR(__xludf.DUMMYFUNCTION("""COMPUTED_VALUE"""),0.271428571428571)</f>
        <v>0.2714285714</v>
      </c>
    </row>
    <row r="16669">
      <c r="A16669" s="10" t="s">
        <v>18108</v>
      </c>
      <c r="B16669" s="7" t="str">
        <f>IFERROR(__xludf.DUMMYFUNCTION("SPLIT(A16669,"" "")"),"Cc1cncc(CN(C)c2ccccc2-c2cccc(CN(C)Cc3cc(N)ccn3)n2)c1")</f>
        <v>Cc1cncc(CN(C)c2ccccc2-c2cccc(CN(C)Cc3cc(N)ccn3)n2)c1</v>
      </c>
      <c r="C16669" s="7">
        <f>IFERROR(__xludf.DUMMYFUNCTION("""COMPUTED_VALUE"""),7.7354774)</f>
        <v>7.7354774</v>
      </c>
      <c r="D16669" s="7">
        <f>IFERROR(__xludf.DUMMYFUNCTION("""COMPUTED_VALUE"""),0.40983606557377)</f>
        <v>0.4098360656</v>
      </c>
    </row>
    <row r="16670">
      <c r="A16670" s="10" t="s">
        <v>18109</v>
      </c>
      <c r="B16670" s="7" t="str">
        <f>IFERROR(__xludf.DUMMYFUNCTION("SPLIT(A16670,"" "")"),"CCCN(CCN(C)Cc1ccc2cccnc2c1)c1ccc2cccnc2c1")</f>
        <v>CCCN(CCN(C)Cc1ccc2cccnc2c1)c1ccc2cccnc2c1</v>
      </c>
      <c r="C16670" s="7">
        <f>IFERROR(__xludf.DUMMYFUNCTION("""COMPUTED_VALUE"""),7.7354693)</f>
        <v>7.7354693</v>
      </c>
      <c r="D16670" s="7">
        <f>IFERROR(__xludf.DUMMYFUNCTION("""COMPUTED_VALUE"""),0.392156862745098)</f>
        <v>0.3921568627</v>
      </c>
    </row>
    <row r="16671">
      <c r="A16671" s="10" t="s">
        <v>18110</v>
      </c>
      <c r="B16671" s="7" t="str">
        <f>IFERROR(__xludf.DUMMYFUNCTION("SPLIT(A16671,"" "")"),"CC(C)C(C)(c1cccnc1)N(Cc1ccccn1)C1CCC(N(C)c2ccc3c(-c4ccc5ncccc5c4)ccnc3c2)CC1")</f>
        <v>CC(C)C(C)(c1cccnc1)N(Cc1ccccn1)C1CCC(N(C)c2ccc3c(-c4ccc5ncccc5c4)ccnc3c2)CC1</v>
      </c>
      <c r="C16671" s="7">
        <f>IFERROR(__xludf.DUMMYFUNCTION("""COMPUTED_VALUE"""),7.735469)</f>
        <v>7.735469</v>
      </c>
      <c r="D16671" s="7">
        <f>IFERROR(__xludf.DUMMYFUNCTION("""COMPUTED_VALUE"""),0.282051282051282)</f>
        <v>0.2820512821</v>
      </c>
    </row>
    <row r="16672">
      <c r="A16672" s="10" t="s">
        <v>18111</v>
      </c>
      <c r="B16672" s="7" t="str">
        <f>IFERROR(__xludf.DUMMYFUNCTION("SPLIT(A16672,"" "")"),"COC(=O)C(=O)C(=O)C(C)C(C)C(=O)C(=O)C(=O)C(=O)C(=O)C(=O)C(C)C(=O)C(=O)C(=O)C(=O)C(=O)C(=O)C(=O)C(=O)C(=O)C(=O)C(=O)C=O")</f>
        <v>COC(=O)C(=O)C(=O)C(C)C(C)C(=O)C(=O)C(=O)C(=O)C(=O)C(=O)C(C)C(=O)C(=O)C(=O)C(=O)C(=O)C(=O)C(=O)C(=O)C(=O)C(=O)C(=O)C=O</v>
      </c>
      <c r="C16672" s="7">
        <f>IFERROR(__xludf.DUMMYFUNCTION("""COMPUTED_VALUE"""),7.735465)</f>
        <v>7.735465</v>
      </c>
      <c r="D16672" s="7">
        <f>IFERROR(__xludf.DUMMYFUNCTION("""COMPUTED_VALUE"""),0.125)</f>
        <v>0.125</v>
      </c>
    </row>
    <row r="16673">
      <c r="A16673" s="10" t="s">
        <v>18112</v>
      </c>
      <c r="B16673" s="7" t="str">
        <f>IFERROR(__xludf.DUMMYFUNCTION("SPLIT(A16673,"" "")"),"CC(C)N(C)c1cccnc1-c1ccccc1N(C)CN")</f>
        <v>CC(C)N(C)c1cccnc1-c1ccccc1N(C)CN</v>
      </c>
      <c r="C16673" s="7">
        <f>IFERROR(__xludf.DUMMYFUNCTION("""COMPUTED_VALUE"""),7.735457)</f>
        <v>7.735457</v>
      </c>
      <c r="D16673" s="7">
        <f>IFERROR(__xludf.DUMMYFUNCTION("""COMPUTED_VALUE"""),0.369565217391304)</f>
        <v>0.3695652174</v>
      </c>
    </row>
    <row r="16674">
      <c r="A16674" s="10" t="s">
        <v>18113</v>
      </c>
      <c r="B16674" s="7" t="str">
        <f>IFERROR(__xludf.DUMMYFUNCTION("SPLIT(A16674,"" "")"),"CN(Cc1cccc(-c2ccc(N(C)C)cc2)n1)Cc1cccc(C(C)(C)C)n1")</f>
        <v>CN(Cc1cccc(-c2ccc(N(C)C)cc2)n1)Cc1cccc(C(C)(C)C)n1</v>
      </c>
      <c r="C16674" s="7">
        <f>IFERROR(__xludf.DUMMYFUNCTION("""COMPUTED_VALUE"""),7.735455)</f>
        <v>7.735455</v>
      </c>
      <c r="D16674" s="7">
        <f>IFERROR(__xludf.DUMMYFUNCTION("""COMPUTED_VALUE"""),0.4375)</f>
        <v>0.4375</v>
      </c>
    </row>
    <row r="16675">
      <c r="A16675" s="10" t="s">
        <v>18114</v>
      </c>
      <c r="B16675" s="7" t="str">
        <f>IFERROR(__xludf.DUMMYFUNCTION("SPLIT(A16675,"" "")"),"CN(CC1=C(N(C)Cc2ccccn2)NC=CC1)Cc1cccc2cccnc12")</f>
        <v>CN(CC1=C(N(C)Cc2ccccn2)NC=CC1)Cc1cccc2cccnc12</v>
      </c>
      <c r="C16675" s="7">
        <f>IFERROR(__xludf.DUMMYFUNCTION("""COMPUTED_VALUE"""),7.735451)</f>
        <v>7.735451</v>
      </c>
      <c r="D16675" s="7">
        <f>IFERROR(__xludf.DUMMYFUNCTION("""COMPUTED_VALUE"""),0.481481481481481)</f>
        <v>0.4814814815</v>
      </c>
    </row>
    <row r="16676">
      <c r="A16676" s="10" t="s">
        <v>18115</v>
      </c>
      <c r="B16676" s="7" t="str">
        <f>IFERROR(__xludf.DUMMYFUNCTION("SPLIT(A16676,"" "")"),"Cc1cncc(CN(Cc2ccccn2)Cc2ncccc2-c2cccc(N(C)C)c2)c1C")</f>
        <v>Cc1cncc(CN(Cc2ccccn2)Cc2ncccc2-c2cccc(N(C)C)c2)c1C</v>
      </c>
      <c r="C16676" s="7">
        <f>IFERROR(__xludf.DUMMYFUNCTION("""COMPUTED_VALUE"""),7.7354507)</f>
        <v>7.7354507</v>
      </c>
      <c r="D16676" s="7">
        <f>IFERROR(__xludf.DUMMYFUNCTION("""COMPUTED_VALUE"""),0.37037037037037)</f>
        <v>0.3703703704</v>
      </c>
    </row>
    <row r="16677">
      <c r="A16677" s="10" t="s">
        <v>18116</v>
      </c>
      <c r="B16677" s="7" t="str">
        <f>IFERROR(__xludf.DUMMYFUNCTION("SPLIT(A16677,"" "")"),"CN(Cc1cc(-c2ccccc2N(C)C)ccn1)Cc1cc(C(C)(C)C)ccn1")</f>
        <v>CN(Cc1cc(-c2ccccc2N(C)C)ccn1)Cc1cc(C(C)(C)C)ccn1</v>
      </c>
      <c r="C16677" s="7">
        <f>IFERROR(__xludf.DUMMYFUNCTION("""COMPUTED_VALUE"""),7.73544)</f>
        <v>7.73544</v>
      </c>
      <c r="D16677" s="7">
        <f>IFERROR(__xludf.DUMMYFUNCTION("""COMPUTED_VALUE"""),0.333333333333333)</f>
        <v>0.3333333333</v>
      </c>
    </row>
    <row r="16678">
      <c r="A16678" s="10" t="s">
        <v>18117</v>
      </c>
      <c r="B16678" s="7" t="str">
        <f>IFERROR(__xludf.DUMMYFUNCTION("SPLIT(A16678,"" "")"),"Cc1cc(CN(C)CC2=CC(N(C)c3ccc4ccc(CF)nc4c3)C=CN2)ccn1")</f>
        <v>Cc1cc(CN(C)CC2=CC(N(C)c3ccc4ccc(CF)nc4c3)C=CN2)ccn1</v>
      </c>
      <c r="C16678" s="7">
        <f>IFERROR(__xludf.DUMMYFUNCTION("""COMPUTED_VALUE"""),7.735435)</f>
        <v>7.735435</v>
      </c>
      <c r="D16678" s="7">
        <f>IFERROR(__xludf.DUMMYFUNCTION("""COMPUTED_VALUE"""),0.3)</f>
        <v>0.3</v>
      </c>
    </row>
    <row r="16679">
      <c r="A16679" s="10" t="s">
        <v>18118</v>
      </c>
      <c r="B16679" s="7" t="str">
        <f>IFERROR(__xludf.DUMMYFUNCTION("SPLIT(A16679,"" "")"),"CCNCc1ccc2c(C)ccnc2c1")</f>
        <v>CCNCc1ccc2c(C)ccnc2c1</v>
      </c>
      <c r="C16679" s="7">
        <f>IFERROR(__xludf.DUMMYFUNCTION("""COMPUTED_VALUE"""),7.7354317)</f>
        <v>7.7354317</v>
      </c>
      <c r="D16679" s="7">
        <f>IFERROR(__xludf.DUMMYFUNCTION("""COMPUTED_VALUE"""),0.227272727272727)</f>
        <v>0.2272727273</v>
      </c>
    </row>
    <row r="16680">
      <c r="A16680" s="10" t="s">
        <v>18119</v>
      </c>
      <c r="B16680" s="7" t="str">
        <f>IFERROR(__xludf.DUMMYFUNCTION("SPLIT(A16680,"" "")"),"Cc1nc(CN(C)CCN(Cc2ccccn2)c2cccc3ncccc23)c(C)c(C)c1C")</f>
        <v>Cc1nc(CN(C)CCN(Cc2ccccn2)c2cccc3ncccc23)c(C)c(C)c1C</v>
      </c>
      <c r="C16680" s="7">
        <f>IFERROR(__xludf.DUMMYFUNCTION("""COMPUTED_VALUE"""),7.735424)</f>
        <v>7.735424</v>
      </c>
      <c r="D16680" s="7">
        <f>IFERROR(__xludf.DUMMYFUNCTION("""COMPUTED_VALUE"""),0.366666666666666)</f>
        <v>0.3666666667</v>
      </c>
    </row>
    <row r="16681">
      <c r="A16681" s="10" t="s">
        <v>18120</v>
      </c>
      <c r="B16681" s="7" t="str">
        <f>IFERROR(__xludf.DUMMYFUNCTION("SPLIT(A16681,"" "")"),"Cc1ccc(CN(C)C2=C(CN(C)Cc3ccc4ncccc4c3)NC=CC2)nc1")</f>
        <v>Cc1ccc(CN(C)C2=C(CN(C)Cc3ccc4ncccc4c3)NC=CC2)nc1</v>
      </c>
      <c r="C16681" s="7">
        <f>IFERROR(__xludf.DUMMYFUNCTION("""COMPUTED_VALUE"""),7.7354193)</f>
        <v>7.7354193</v>
      </c>
      <c r="D16681" s="7">
        <f>IFERROR(__xludf.DUMMYFUNCTION("""COMPUTED_VALUE"""),0.344262295081967)</f>
        <v>0.3442622951</v>
      </c>
    </row>
    <row r="16682">
      <c r="A16682" s="10" t="s">
        <v>18121</v>
      </c>
      <c r="B16682" s="7" t="str">
        <f>IFERROR(__xludf.DUMMYFUNCTION("SPLIT(A16682,"" "")"),"CC(C)N(C)Cc1c(N(C)Cc2ccccn2)ccc2cccnc12")</f>
        <v>CC(C)N(C)Cc1c(N(C)Cc2ccccn2)ccc2cccnc12</v>
      </c>
      <c r="C16682" s="7">
        <f>IFERROR(__xludf.DUMMYFUNCTION("""COMPUTED_VALUE"""),7.7354183)</f>
        <v>7.7354183</v>
      </c>
      <c r="D16682" s="7">
        <f>IFERROR(__xludf.DUMMYFUNCTION("""COMPUTED_VALUE"""),0.479166666666666)</f>
        <v>0.4791666667</v>
      </c>
    </row>
    <row r="16683">
      <c r="A16683" s="10" t="s">
        <v>18122</v>
      </c>
      <c r="B16683" s="7" t="str">
        <f>IFERROR(__xludf.DUMMYFUNCTION("SPLIT(A16683,"" "")"),"CC(C)NCCN(C)c1ccc2nccc(CN(C)C)c2c1")</f>
        <v>CC(C)NCCN(C)c1ccc2nccc(CN(C)C)c2c1</v>
      </c>
      <c r="C16683" s="7">
        <f>IFERROR(__xludf.DUMMYFUNCTION("""COMPUTED_VALUE"""),7.735413)</f>
        <v>7.735413</v>
      </c>
      <c r="D16683" s="7">
        <f>IFERROR(__xludf.DUMMYFUNCTION("""COMPUTED_VALUE"""),0.232142857142857)</f>
        <v>0.2321428571</v>
      </c>
    </row>
    <row r="16684">
      <c r="A16684" s="10" t="s">
        <v>18123</v>
      </c>
      <c r="B16684" s="7" t="str">
        <f>IFERROR(__xludf.DUMMYFUNCTION("SPLIT(A16684,"" "")"),"Cc1ccnc(-c2ccccc2)c1")</f>
        <v>Cc1ccnc(-c2ccccc2)c1</v>
      </c>
      <c r="C16684" s="7">
        <f>IFERROR(__xludf.DUMMYFUNCTION("""COMPUTED_VALUE"""),7.7354064)</f>
        <v>7.7354064</v>
      </c>
      <c r="D16684" s="7">
        <f>IFERROR(__xludf.DUMMYFUNCTION("""COMPUTED_VALUE"""),0.36)</f>
        <v>0.36</v>
      </c>
    </row>
    <row r="16685">
      <c r="A16685" s="10" t="s">
        <v>18124</v>
      </c>
      <c r="B16685" s="7" t="str">
        <f>IFERROR(__xludf.DUMMYFUNCTION("SPLIT(A16685,"" "")"),"Cc1cccnc1CN(Cc1cc(-c2ccccc2N=Cc2ccccn2)ccn1)C(C)C")</f>
        <v>Cc1cccnc1CN(Cc1cc(-c2ccccc2N=Cc2ccccn2)ccn1)C(C)C</v>
      </c>
      <c r="C16685" s="7">
        <f>IFERROR(__xludf.DUMMYFUNCTION("""COMPUTED_VALUE"""),7.735402)</f>
        <v>7.735402</v>
      </c>
      <c r="D16685" s="7">
        <f>IFERROR(__xludf.DUMMYFUNCTION("""COMPUTED_VALUE"""),0.440677966101694)</f>
        <v>0.4406779661</v>
      </c>
    </row>
    <row r="16686">
      <c r="A16686" s="10" t="s">
        <v>18125</v>
      </c>
      <c r="B16686" s="7" t="str">
        <f>IFERROR(__xludf.DUMMYFUNCTION("SPLIT(A16686,"" "")"),"CN(c1ccc2cccnc2c1)C1CCC(Nc2cccc3cccnc23)CC1")</f>
        <v>CN(c1ccc2cccnc2c1)C1CCC(Nc2cccc3cccnc23)CC1</v>
      </c>
      <c r="C16686" s="7">
        <f>IFERROR(__xludf.DUMMYFUNCTION("""COMPUTED_VALUE"""),7.735393)</f>
        <v>7.735393</v>
      </c>
      <c r="D16686" s="7">
        <f>IFERROR(__xludf.DUMMYFUNCTION("""COMPUTED_VALUE"""),0.392857142857142)</f>
        <v>0.3928571429</v>
      </c>
    </row>
    <row r="16687">
      <c r="A16687" s="10" t="s">
        <v>18126</v>
      </c>
      <c r="B16687" s="7" t="str">
        <f>IFERROR(__xludf.DUMMYFUNCTION("SPLIT(A16687,"" "")"),"CN(CN)CN(C)c1cccc2ncccc12")</f>
        <v>CN(CN)CN(C)c1cccc2ncccc12</v>
      </c>
      <c r="C16687" s="7">
        <f>IFERROR(__xludf.DUMMYFUNCTION("""COMPUTED_VALUE"""),7.7353806)</f>
        <v>7.7353806</v>
      </c>
      <c r="D16687" s="7">
        <f>IFERROR(__xludf.DUMMYFUNCTION("""COMPUTED_VALUE"""),0.41860465116279)</f>
        <v>0.4186046512</v>
      </c>
    </row>
    <row r="16688">
      <c r="A16688" s="10" t="s">
        <v>18127</v>
      </c>
      <c r="B16688" s="7" t="str">
        <f>IFERROR(__xludf.DUMMYFUNCTION("SPLIT(A16688,"" "")"),"Cc1ccc(CN(Cc2ccccn2)Cc2cc(-c3ccccc3N=Cc3ccccn3)ccn2)cn1")</f>
        <v>Cc1ccc(CN(Cc2ccccn2)Cc2cc(-c3ccccc3N=Cc3ccccn3)ccn2)cn1</v>
      </c>
      <c r="C16688" s="7">
        <f>IFERROR(__xludf.DUMMYFUNCTION("""COMPUTED_VALUE"""),7.7353764)</f>
        <v>7.7353764</v>
      </c>
      <c r="D16688" s="7">
        <f>IFERROR(__xludf.DUMMYFUNCTION("""COMPUTED_VALUE"""),0.387096774193548)</f>
        <v>0.3870967742</v>
      </c>
    </row>
    <row r="16689">
      <c r="A16689" s="10" t="s">
        <v>18128</v>
      </c>
      <c r="B16689" s="7" t="str">
        <f>IFERROR(__xludf.DUMMYFUNCTION("SPLIT(A16689,"" "")"),"Cc1ccc(CN(Cc2cccnc2C(C)(C)C)Cc2ncccc2-c2cccc(N=Cc3ccccn3)c2)nc1")</f>
        <v>Cc1ccc(CN(Cc2cccnc2C(C)(C)C)Cc2ncccc2-c2cccc(N=Cc3ccccn3)c2)nc1</v>
      </c>
      <c r="C16689" s="7">
        <f>IFERROR(__xludf.DUMMYFUNCTION("""COMPUTED_VALUE"""),7.7353754)</f>
        <v>7.7353754</v>
      </c>
      <c r="D16689" s="7">
        <f>IFERROR(__xludf.DUMMYFUNCTION("""COMPUTED_VALUE"""),0.301369863013698)</f>
        <v>0.301369863</v>
      </c>
    </row>
    <row r="16690">
      <c r="A16690" s="10" t="s">
        <v>18129</v>
      </c>
      <c r="B16690" s="7" t="str">
        <f>IFERROR(__xludf.DUMMYFUNCTION("SPLIT(A16690,"" "")"),"CN(Cc1ccc(-c2ccon2)cn1)Cc1ncccc1C(C)(C)C")</f>
        <v>CN(Cc1ccc(-c2ccon2)cn1)Cc1ncccc1C(C)(C)C</v>
      </c>
      <c r="C16690" s="7">
        <f>IFERROR(__xludf.DUMMYFUNCTION("""COMPUTED_VALUE"""),7.7353706)</f>
        <v>7.7353706</v>
      </c>
      <c r="D16690" s="7">
        <f>IFERROR(__xludf.DUMMYFUNCTION("""COMPUTED_VALUE"""),0.346153846153846)</f>
        <v>0.3461538462</v>
      </c>
    </row>
    <row r="16691">
      <c r="A16691" s="10" t="s">
        <v>18130</v>
      </c>
      <c r="B16691" s="7" t="str">
        <f>IFERROR(__xludf.DUMMYFUNCTION("SPLIT(A16691,"" "")"),"Cc1cncc(CN(C)c2ccc3nc(CN(C)C(C)C)ccc3c2)c1")</f>
        <v>Cc1cncc(CN(C)c2ccc3nc(CN(C)C(C)C)ccc3c2)c1</v>
      </c>
      <c r="C16691" s="7">
        <f>IFERROR(__xludf.DUMMYFUNCTION("""COMPUTED_VALUE"""),7.7353687)</f>
        <v>7.7353687</v>
      </c>
      <c r="D16691" s="7">
        <f>IFERROR(__xludf.DUMMYFUNCTION("""COMPUTED_VALUE"""),0.288461538461538)</f>
        <v>0.2884615385</v>
      </c>
    </row>
    <row r="16692">
      <c r="A16692" s="10" t="s">
        <v>18131</v>
      </c>
      <c r="B16692" s="7" t="str">
        <f>IFERROR(__xludf.DUMMYFUNCTION("SPLIT(A16692,"" "")"),"CN(Cc1ccccn1)Cc1ncccc1N(C)Cc1ncccc1-c1ccccc1N")</f>
        <v>CN(Cc1ccccn1)Cc1ncccc1N(C)Cc1ncccc1-c1ccccc1N</v>
      </c>
      <c r="C16692" s="7">
        <f>IFERROR(__xludf.DUMMYFUNCTION("""COMPUTED_VALUE"""),7.735367)</f>
        <v>7.735367</v>
      </c>
      <c r="D16692" s="7">
        <f>IFERROR(__xludf.DUMMYFUNCTION("""COMPUTED_VALUE"""),0.44)</f>
        <v>0.44</v>
      </c>
    </row>
    <row r="16693">
      <c r="A16693" s="10" t="s">
        <v>18132</v>
      </c>
      <c r="B16693" s="7" t="str">
        <f>IFERROR(__xludf.DUMMYFUNCTION("SPLIT(A16693,"" "")"),"Cc1ccccc1CN(C)Cc1ncccc1-c1cccc(N=Cc2ccccn2)c1")</f>
        <v>Cc1ccccc1CN(C)Cc1ncccc1-c1cccc(N=Cc2ccccn2)c1</v>
      </c>
      <c r="C16693" s="7">
        <f>IFERROR(__xludf.DUMMYFUNCTION("""COMPUTED_VALUE"""),7.735363)</f>
        <v>7.735363</v>
      </c>
      <c r="D16693" s="7">
        <f>IFERROR(__xludf.DUMMYFUNCTION("""COMPUTED_VALUE"""),0.406779661016949)</f>
        <v>0.406779661</v>
      </c>
    </row>
    <row r="16694">
      <c r="A16694" s="10" t="s">
        <v>18133</v>
      </c>
      <c r="B16694" s="7" t="str">
        <f>IFERROR(__xludf.DUMMYFUNCTION("SPLIT(A16694,"" "")"),"Cc1cnc(CN(C)CCN(C)c2cccc3nc(CF)ccc23)c(C)c1C")</f>
        <v>Cc1cnc(CN(C)CCN(C)c2cccc3nc(CF)ccc23)c(C)c1C</v>
      </c>
      <c r="C16694" s="7">
        <f>IFERROR(__xludf.DUMMYFUNCTION("""COMPUTED_VALUE"""),7.7353578)</f>
        <v>7.7353578</v>
      </c>
      <c r="D16694" s="7">
        <f>IFERROR(__xludf.DUMMYFUNCTION("""COMPUTED_VALUE"""),0.37037037037037)</f>
        <v>0.3703703704</v>
      </c>
    </row>
    <row r="16695">
      <c r="A16695" s="10" t="s">
        <v>18134</v>
      </c>
      <c r="B16695" s="7" t="str">
        <f>IFERROR(__xludf.DUMMYFUNCTION("SPLIT(A16695,"" "")"),"Cc1ccc(CN(Cc2ccccn2)C2=CNC(CN(C)Cc3cccc(-c4cccc(N(C)C)c4)n3)=CC2)nc1")</f>
        <v>Cc1ccc(CN(Cc2ccccn2)C2=CNC(CN(C)Cc3cccc(-c4cccc(N(C)C)c4)n3)=CC2)nc1</v>
      </c>
      <c r="C16695" s="7">
        <f>IFERROR(__xludf.DUMMYFUNCTION("""COMPUTED_VALUE"""),7.735357)</f>
        <v>7.735357</v>
      </c>
      <c r="D16695" s="7">
        <f>IFERROR(__xludf.DUMMYFUNCTION("""COMPUTED_VALUE"""),0.43076923076923)</f>
        <v>0.4307692308</v>
      </c>
    </row>
    <row r="16696">
      <c r="A16696" s="10" t="s">
        <v>18135</v>
      </c>
      <c r="B16696" s="7" t="str">
        <f>IFERROR(__xludf.DUMMYFUNCTION("SPLIT(A16696,"" "")"),"Cc1cc(C)c(N(C)Cc2ncccc2C(C)(C)c2ccccn2)cc1C")</f>
        <v>Cc1cc(C)c(N(C)Cc2ncccc2C(C)(C)c2ccccn2)cc1C</v>
      </c>
      <c r="C16696" s="7">
        <f>IFERROR(__xludf.DUMMYFUNCTION("""COMPUTED_VALUE"""),7.735357)</f>
        <v>7.735357</v>
      </c>
      <c r="D16696" s="7">
        <f>IFERROR(__xludf.DUMMYFUNCTION("""COMPUTED_VALUE"""),0.372549019607843)</f>
        <v>0.3725490196</v>
      </c>
    </row>
    <row r="16697">
      <c r="A16697" s="10" t="s">
        <v>18136</v>
      </c>
      <c r="B16697" s="7" t="str">
        <f>IFERROR(__xludf.DUMMYFUNCTION("SPLIT(A16697,"" "")"),"CCN(Cc1ccccn1)Cc1ccc2cccc(N(C)Cc3ncccc3C)c2n1")</f>
        <v>CCN(Cc1ccccn1)Cc1ccc2cccc(N(C)Cc3ncccc3C)c2n1</v>
      </c>
      <c r="C16697" s="7">
        <f>IFERROR(__xludf.DUMMYFUNCTION("""COMPUTED_VALUE"""),7.7353525)</f>
        <v>7.7353525</v>
      </c>
      <c r="D16697" s="7">
        <f>IFERROR(__xludf.DUMMYFUNCTION("""COMPUTED_VALUE"""),0.436363636363636)</f>
        <v>0.4363636364</v>
      </c>
    </row>
    <row r="16698">
      <c r="A16698" s="10" t="s">
        <v>18137</v>
      </c>
      <c r="B16698" s="7" t="str">
        <f>IFERROR(__xludf.DUMMYFUNCTION("SPLIT(A16698,"" "")"),"CN(c1ccc2nc(CF)ccc2c1)C1CCC(N(C)c2ccc3cc(CF)cnc3c2)CC1")</f>
        <v>CN(c1ccc2nc(CF)ccc2c1)C1CCC(N(C)c2ccc3cc(CF)cnc3c2)CC1</v>
      </c>
      <c r="C16698" s="7">
        <f>IFERROR(__xludf.DUMMYFUNCTION("""COMPUTED_VALUE"""),7.7353477)</f>
        <v>7.7353477</v>
      </c>
      <c r="D16698" s="7">
        <f>IFERROR(__xludf.DUMMYFUNCTION("""COMPUTED_VALUE"""),0.35593220338983)</f>
        <v>0.3559322034</v>
      </c>
    </row>
    <row r="16699">
      <c r="A16699" s="10" t="s">
        <v>18138</v>
      </c>
      <c r="B16699" s="7" t="str">
        <f>IFERROR(__xludf.DUMMYFUNCTION("SPLIT(A16699,"" "")"),"CN(Cc1cccc(-c2ccc3c(c2)OCCOCCOCCOCCOCCO3)n1)Cc1ccc2cccc(N(C)Cc3ccc4cccc(N(C)c5ccc6ncccc6c5)c4n3)c2n1")</f>
        <v>CN(Cc1cccc(-c2ccc3c(c2)OCCOCCOCCOCCOCCO3)n1)Cc1ccc2cccc(N(C)Cc3ccc4cccc(N(C)c5ccc6ncccc6c5)c4n3)c2n1</v>
      </c>
      <c r="C16699" s="7">
        <f>IFERROR(__xludf.DUMMYFUNCTION("""COMPUTED_VALUE"""),7.735346)</f>
        <v>7.735346</v>
      </c>
      <c r="D16699" s="7">
        <f>IFERROR(__xludf.DUMMYFUNCTION("""COMPUTED_VALUE"""),0.32)</f>
        <v>0.32</v>
      </c>
    </row>
    <row r="16700">
      <c r="A16700" s="10" t="s">
        <v>18139</v>
      </c>
      <c r="B16700" s="7" t="str">
        <f>IFERROR(__xludf.DUMMYFUNCTION("SPLIT(A16700,"" "")"),"Cc1ccccc1CN(C)Cc1cc(-c2cccc(N=Cc3ccccn3)c2)ccn1")</f>
        <v>Cc1ccccc1CN(C)Cc1cc(-c2cccc(N=Cc3ccccn3)c2)ccn1</v>
      </c>
      <c r="C16700" s="7">
        <f>IFERROR(__xludf.DUMMYFUNCTION("""COMPUTED_VALUE"""),7.73534)</f>
        <v>7.73534</v>
      </c>
      <c r="D16700" s="7">
        <f>IFERROR(__xludf.DUMMYFUNCTION("""COMPUTED_VALUE"""),0.413793103448275)</f>
        <v>0.4137931034</v>
      </c>
    </row>
    <row r="16701">
      <c r="A16701" s="10" t="s">
        <v>18140</v>
      </c>
      <c r="B16701" s="7" t="str">
        <f>IFERROR(__xludf.DUMMYFUNCTION("SPLIT(A16701,"" "")"),"CC(C)C1=CCC(N(C)CCN(C)c2ccc3c(CN(C)C)ccnc3c2)=CN1")</f>
        <v>CC(C)C1=CCC(N(C)CCN(C)c2ccc3c(CN(C)C)ccnc3c2)=CN1</v>
      </c>
      <c r="C16701" s="7">
        <f>IFERROR(__xludf.DUMMYFUNCTION("""COMPUTED_VALUE"""),7.735335)</f>
        <v>7.735335</v>
      </c>
      <c r="D16701" s="7">
        <f>IFERROR(__xludf.DUMMYFUNCTION("""COMPUTED_VALUE"""),0.21875)</f>
        <v>0.21875</v>
      </c>
    </row>
    <row r="16702">
      <c r="A16702" s="10" t="s">
        <v>18141</v>
      </c>
      <c r="B16702" s="7" t="str">
        <f>IFERROR(__xludf.DUMMYFUNCTION("SPLIT(A16702,"" "")"),"CN(c1ccc2nc(CF)ccc2c1)C1CCC(N(C)c2ccc3ccc(CF)nc3c2)CC1")</f>
        <v>CN(c1ccc2nc(CF)ccc2c1)C1CCC(N(C)c2ccc3ccc(CF)nc3c2)CC1</v>
      </c>
      <c r="C16702" s="7">
        <f>IFERROR(__xludf.DUMMYFUNCTION("""COMPUTED_VALUE"""),7.735333)</f>
        <v>7.735333</v>
      </c>
      <c r="D16702" s="7">
        <f>IFERROR(__xludf.DUMMYFUNCTION("""COMPUTED_VALUE"""),0.403846153846153)</f>
        <v>0.4038461538</v>
      </c>
    </row>
    <row r="16703">
      <c r="A16703" s="10" t="s">
        <v>18142</v>
      </c>
      <c r="B16703" s="7" t="str">
        <f>IFERROR(__xludf.DUMMYFUNCTION("SPLIT(A16703,"" "")"),"CNc1cccc2c(CN(C)C3CCCCC3N(C)c3ccc4c(CF)ccnc4c3)ccnc12")</f>
        <v>CNc1cccc2c(CN(C)C3CCCCC3N(C)c3ccc4c(CF)ccnc4c3)ccnc12</v>
      </c>
      <c r="C16703" s="7">
        <f>IFERROR(__xludf.DUMMYFUNCTION("""COMPUTED_VALUE"""),7.735321)</f>
        <v>7.735321</v>
      </c>
      <c r="D16703" s="7">
        <f>IFERROR(__xludf.DUMMYFUNCTION("""COMPUTED_VALUE"""),0.343283582089552)</f>
        <v>0.3432835821</v>
      </c>
    </row>
    <row r="16704">
      <c r="A16704" s="10" t="s">
        <v>18143</v>
      </c>
      <c r="B16704" s="7" t="str">
        <f>IFERROR(__xludf.DUMMYFUNCTION("SPLIT(A16704,"" "")"),"CNc1ccccc1-c1cccc(C(C)(C)C)n1")</f>
        <v>CNc1ccccc1-c1cccc(C(C)(C)C)n1</v>
      </c>
      <c r="C16704" s="7">
        <f>IFERROR(__xludf.DUMMYFUNCTION("""COMPUTED_VALUE"""),7.735316)</f>
        <v>7.735316</v>
      </c>
      <c r="D16704" s="7">
        <f>IFERROR(__xludf.DUMMYFUNCTION("""COMPUTED_VALUE"""),0.34)</f>
        <v>0.34</v>
      </c>
    </row>
    <row r="16705">
      <c r="A16705" s="10" t="s">
        <v>18144</v>
      </c>
      <c r="B16705" s="7" t="str">
        <f>IFERROR(__xludf.DUMMYFUNCTION("SPLIT(A16705,"" "")"),"CNCc1cc(-c2cc(C)ccn2)ccn1")</f>
        <v>CNCc1cc(-c2cc(C)ccn2)ccn1</v>
      </c>
      <c r="C16705" s="7">
        <f>IFERROR(__xludf.DUMMYFUNCTION("""COMPUTED_VALUE"""),7.735314)</f>
        <v>7.735314</v>
      </c>
      <c r="D16705" s="7">
        <f>IFERROR(__xludf.DUMMYFUNCTION("""COMPUTED_VALUE"""),0.386363636363636)</f>
        <v>0.3863636364</v>
      </c>
    </row>
    <row r="16706">
      <c r="A16706" s="10" t="s">
        <v>18145</v>
      </c>
      <c r="B16706" s="7" t="str">
        <f>IFERROR(__xludf.DUMMYFUNCTION("SPLIT(A16706,"" "")"),"CN(CC1=CNC=C(N(C)Cc2ccccn2)C1)Cc1cccc2ncccc12")</f>
        <v>CN(CC1=CNC=C(N(C)Cc2ccccn2)C1)Cc1cccc2ncccc12</v>
      </c>
      <c r="C16706" s="7">
        <f>IFERROR(__xludf.DUMMYFUNCTION("""COMPUTED_VALUE"""),7.7353106)</f>
        <v>7.7353106</v>
      </c>
      <c r="D16706" s="7">
        <f>IFERROR(__xludf.DUMMYFUNCTION("""COMPUTED_VALUE"""),0.372881355932203)</f>
        <v>0.3728813559</v>
      </c>
    </row>
    <row r="16707">
      <c r="A16707" s="10" t="s">
        <v>18146</v>
      </c>
      <c r="B16707" s="7" t="str">
        <f>IFERROR(__xludf.DUMMYFUNCTION("SPLIT(A16707,"" "")"),"C=Cc1ccc(CN(Cc2ccccn2)Cc2cccc(-c3cccc(N=Cc4ccccn4)c3)n2)cc1")</f>
        <v>C=Cc1ccc(CN(Cc2ccccn2)Cc2cccc(-c3cccc(N=Cc4ccccn4)c3)n2)cc1</v>
      </c>
      <c r="C16707" s="7">
        <f>IFERROR(__xludf.DUMMYFUNCTION("""COMPUTED_VALUE"""),7.7353067)</f>
        <v>7.7353067</v>
      </c>
      <c r="D16707" s="7">
        <f>IFERROR(__xludf.DUMMYFUNCTION("""COMPUTED_VALUE"""),0.476923076923076)</f>
        <v>0.4769230769</v>
      </c>
    </row>
    <row r="16708">
      <c r="A16708" s="10" t="s">
        <v>18147</v>
      </c>
      <c r="B16708" s="7" t="str">
        <f>IFERROR(__xludf.DUMMYFUNCTION("SPLIT(A16708,"" "")"),"CC(C)C(C)(c1cccnc1)N(C)c1ccc2ncccc2c1")</f>
        <v>CC(C)C(C)(c1cccnc1)N(C)c1ccc2ncccc2c1</v>
      </c>
      <c r="C16708" s="7">
        <f>IFERROR(__xludf.DUMMYFUNCTION("""COMPUTED_VALUE"""),7.7353034)</f>
        <v>7.7353034</v>
      </c>
      <c r="D16708" s="7">
        <f>IFERROR(__xludf.DUMMYFUNCTION("""COMPUTED_VALUE"""),0.259259259259259)</f>
        <v>0.2592592593</v>
      </c>
    </row>
    <row r="16709">
      <c r="A16709" s="10" t="s">
        <v>18148</v>
      </c>
      <c r="B16709" s="7" t="str">
        <f>IFERROR(__xludf.DUMMYFUNCTION("SPLIT(A16709,"" "")"),"CCCN(CCN(C)Cc1ccc2ncccc2c1)c1ccc2ncccc2c1")</f>
        <v>CCCN(CCN(C)Cc1ccc2ncccc2c1)c1ccc2ncccc2c1</v>
      </c>
      <c r="C16709" s="7">
        <f>IFERROR(__xludf.DUMMYFUNCTION("""COMPUTED_VALUE"""),7.735302)</f>
        <v>7.735302</v>
      </c>
      <c r="D16709" s="7">
        <f>IFERROR(__xludf.DUMMYFUNCTION("""COMPUTED_VALUE"""),0.4)</f>
        <v>0.4</v>
      </c>
    </row>
    <row r="16710">
      <c r="A16710" s="10" t="s">
        <v>18149</v>
      </c>
      <c r="B16710" s="7" t="str">
        <f>IFERROR(__xludf.DUMMYFUNCTION("SPLIT(A16710,"" "")"),"CC(C)C(C)(c1cccnc1)N(C)c1ccc2cccnc2c1")</f>
        <v>CC(C)C(C)(c1cccnc1)N(C)c1ccc2cccnc2c1</v>
      </c>
      <c r="C16710" s="7">
        <f>IFERROR(__xludf.DUMMYFUNCTION("""COMPUTED_VALUE"""),7.7353005)</f>
        <v>7.7353005</v>
      </c>
      <c r="D16710" s="7">
        <f>IFERROR(__xludf.DUMMYFUNCTION("""COMPUTED_VALUE"""),0.280701754385964)</f>
        <v>0.2807017544</v>
      </c>
    </row>
    <row r="16711">
      <c r="A16711" s="10" t="s">
        <v>18150</v>
      </c>
      <c r="B16711" s="7" t="str">
        <f>IFERROR(__xludf.DUMMYFUNCTION("SPLIT(A16711,"" "")"),"C=Cc1ccc(CN(Cc2ccccn2)Cc2cccc(C3=NC(c4ccccn4)C(C)O3)n2)nc1")</f>
        <v>C=Cc1ccc(CN(Cc2ccccn2)Cc2cccc(C3=NC(c4ccccn4)C(C)O3)n2)nc1</v>
      </c>
      <c r="C16711" s="7">
        <f>IFERROR(__xludf.DUMMYFUNCTION("""COMPUTED_VALUE"""),7.7352877)</f>
        <v>7.7352877</v>
      </c>
      <c r="D16711" s="7">
        <f>IFERROR(__xludf.DUMMYFUNCTION("""COMPUTED_VALUE"""),0.40625)</f>
        <v>0.40625</v>
      </c>
    </row>
    <row r="16712">
      <c r="A16712" s="10" t="s">
        <v>18151</v>
      </c>
      <c r="B16712" s="7" t="str">
        <f>IFERROR(__xludf.DUMMYFUNCTION("SPLIT(A16712,"" "")"),"Fc1cccc(CN(Cc2ccccn2)Cc2cccc(-c3ccccc3N=Cc3ccccn3)n2)n1")</f>
        <v>Fc1cccc(CN(Cc2ccccn2)Cc2cccc(-c3ccccc3N=Cc3ccccn3)n2)n1</v>
      </c>
      <c r="C16712" s="7">
        <f>IFERROR(__xludf.DUMMYFUNCTION("""COMPUTED_VALUE"""),7.7352858)</f>
        <v>7.7352858</v>
      </c>
      <c r="D16712" s="7">
        <f>IFERROR(__xludf.DUMMYFUNCTION("""COMPUTED_VALUE"""),0.452830188679245)</f>
        <v>0.4528301887</v>
      </c>
    </row>
    <row r="16713">
      <c r="A16713" s="10" t="s">
        <v>18152</v>
      </c>
      <c r="B16713" s="7" t="str">
        <f>IFERROR(__xludf.DUMMYFUNCTION("SPLIT(A16713,"" "")"),"CC(C)C(C)(c1cccnc1)N(Cc1ccccn1)c1ccc2ncccc2c1")</f>
        <v>CC(C)C(C)(c1cccnc1)N(Cc1ccccn1)c1ccc2ncccc2c1</v>
      </c>
      <c r="C16713" s="7">
        <f>IFERROR(__xludf.DUMMYFUNCTION("""COMPUTED_VALUE"""),7.7352757)</f>
        <v>7.7352757</v>
      </c>
      <c r="D16713" s="7">
        <f>IFERROR(__xludf.DUMMYFUNCTION("""COMPUTED_VALUE"""),0.381818181818181)</f>
        <v>0.3818181818</v>
      </c>
    </row>
    <row r="16714">
      <c r="A16714" s="10" t="s">
        <v>18153</v>
      </c>
      <c r="B16714" s="7" t="str">
        <f>IFERROR(__xludf.DUMMYFUNCTION("SPLIT(A16714,"" "")"),"CC(C)C(C)(c1cccnc1)N(Cc1ccccn1)c1ccc2cccnc2c1")</f>
        <v>CC(C)C(C)(c1cccnc1)N(Cc1ccccn1)c1ccc2cccnc2c1</v>
      </c>
      <c r="C16714" s="7">
        <f>IFERROR(__xludf.DUMMYFUNCTION("""COMPUTED_VALUE"""),7.7352686)</f>
        <v>7.7352686</v>
      </c>
      <c r="D16714" s="7">
        <f>IFERROR(__xludf.DUMMYFUNCTION("""COMPUTED_VALUE"""),0.403508771929824)</f>
        <v>0.4035087719</v>
      </c>
    </row>
    <row r="16715">
      <c r="A16715" s="10" t="s">
        <v>18154</v>
      </c>
      <c r="B16715" s="7" t="str">
        <f>IFERROR(__xludf.DUMMYFUNCTION("SPLIT(A16715,"" "")"),"CC(C)NCc1cccc(-c2cccc(N(C)C)c2)n1")</f>
        <v>CC(C)NCc1cccc(-c2cccc(N(C)C)c2)n1</v>
      </c>
      <c r="C16715" s="7">
        <f>IFERROR(__xludf.DUMMYFUNCTION("""COMPUTED_VALUE"""),7.7352686)</f>
        <v>7.7352686</v>
      </c>
      <c r="D16715" s="7">
        <f>IFERROR(__xludf.DUMMYFUNCTION("""COMPUTED_VALUE"""),0.350877192982456)</f>
        <v>0.350877193</v>
      </c>
    </row>
    <row r="16716">
      <c r="A16716" s="10" t="s">
        <v>18155</v>
      </c>
      <c r="B16716" s="7" t="str">
        <f>IFERROR(__xludf.DUMMYFUNCTION("SPLIT(A16716,"" "")"),"CN(CC1=CCC(N(C)Cc2ccccn2)=CN1)Cc1cccc2cccnc12")</f>
        <v>CN(CC1=CCC(N(C)Cc2ccccn2)=CN1)Cc1cccc2cccnc12</v>
      </c>
      <c r="C16716" s="7">
        <f>IFERROR(__xludf.DUMMYFUNCTION("""COMPUTED_VALUE"""),7.7352667)</f>
        <v>7.7352667</v>
      </c>
      <c r="D16716" s="7">
        <f>IFERROR(__xludf.DUMMYFUNCTION("""COMPUTED_VALUE"""),0.490566037735849)</f>
        <v>0.4905660377</v>
      </c>
    </row>
    <row r="16717">
      <c r="A16717" s="10" t="s">
        <v>18156</v>
      </c>
      <c r="B16717" s="7" t="str">
        <f>IFERROR(__xludf.DUMMYFUNCTION("SPLIT(A16717,"" "")"),"Cc1ccc(CN(C)c2ccc(C3=CC(N(C)Cc4ccccn4)C=CN3)nc2)nc1")</f>
        <v>Cc1ccc(CN(C)c2ccc(C3=CC(N(C)Cc4ccccn4)C=CN3)nc2)nc1</v>
      </c>
      <c r="C16717" s="7">
        <f>IFERROR(__xludf.DUMMYFUNCTION("""COMPUTED_VALUE"""),7.735261)</f>
        <v>7.735261</v>
      </c>
      <c r="D16717" s="7">
        <f>IFERROR(__xludf.DUMMYFUNCTION("""COMPUTED_VALUE"""),0.365079365079365)</f>
        <v>0.3650793651</v>
      </c>
    </row>
    <row r="16718">
      <c r="A16718" s="10" t="s">
        <v>18157</v>
      </c>
      <c r="B16718" s="7" t="str">
        <f>IFERROR(__xludf.DUMMYFUNCTION("SPLIT(A16718,"" "")"),"CCNCc1ncccc1-c1cccc(N(C)C)c1")</f>
        <v>CCNCc1ncccc1-c1cccc(N(C)C)c1</v>
      </c>
      <c r="C16718" s="7">
        <f>IFERROR(__xludf.DUMMYFUNCTION("""COMPUTED_VALUE"""),7.735259)</f>
        <v>7.735259</v>
      </c>
      <c r="D16718" s="7">
        <f>IFERROR(__xludf.DUMMYFUNCTION("""COMPUTED_VALUE"""),0.274509803921568)</f>
        <v>0.2745098039</v>
      </c>
    </row>
    <row r="16719">
      <c r="A16719" s="10" t="s">
        <v>18158</v>
      </c>
      <c r="B16719" s="7" t="str">
        <f>IFERROR(__xludf.DUMMYFUNCTION("SPLIT(A16719,"" "")"),"CNCc1ccc2cccc(N(C)C3CCC(N(Cc4ccccn4)c4ccc5nccc(CF)c5c4)CC3)c2n1")</f>
        <v>CNCc1ccc2cccc(N(C)C3CCC(N(Cc4ccccn4)c4ccc5nccc(CF)c5c4)CC3)c2n1</v>
      </c>
      <c r="C16719" s="7">
        <f>IFERROR(__xludf.DUMMYFUNCTION("""COMPUTED_VALUE"""),7.7352576)</f>
        <v>7.7352576</v>
      </c>
      <c r="D16719" s="7">
        <f>IFERROR(__xludf.DUMMYFUNCTION("""COMPUTED_VALUE"""),0.376623376623376)</f>
        <v>0.3766233766</v>
      </c>
    </row>
    <row r="16720">
      <c r="A16720" s="10" t="s">
        <v>18159</v>
      </c>
      <c r="B16720" s="7" t="str">
        <f>IFERROR(__xludf.DUMMYFUNCTION("SPLIT(A16720,"" "")"),"CC(C)C(c1ccccc1)c1cccnc1-c1cccnc1NC1C=CC=CN1")</f>
        <v>CC(C)C(c1ccccc1)c1cccnc1-c1cccnc1NC1C=CC=CN1</v>
      </c>
      <c r="C16720" s="7">
        <f>IFERROR(__xludf.DUMMYFUNCTION("""COMPUTED_VALUE"""),7.735256)</f>
        <v>7.735256</v>
      </c>
      <c r="D16720" s="7">
        <f>IFERROR(__xludf.DUMMYFUNCTION("""COMPUTED_VALUE"""),0.272727272727272)</f>
        <v>0.2727272727</v>
      </c>
    </row>
    <row r="16721">
      <c r="A16721" s="10" t="s">
        <v>18160</v>
      </c>
      <c r="B16721" s="7" t="str">
        <f>IFERROR(__xludf.DUMMYFUNCTION("SPLIT(A16721,"" "")"),"Cc1ccc(CN(Cc2ccccn2)c2ccc3nc(CN(C)C(C)C)ccc3c2)nc1C")</f>
        <v>Cc1ccc(CN(Cc2ccccn2)c2ccc3nc(CN(C)C(C)C)ccc3c2)nc1C</v>
      </c>
      <c r="C16721" s="7">
        <f>IFERROR(__xludf.DUMMYFUNCTION("""COMPUTED_VALUE"""),7.735252)</f>
        <v>7.735252</v>
      </c>
      <c r="D16721" s="7">
        <f>IFERROR(__xludf.DUMMYFUNCTION("""COMPUTED_VALUE"""),0.436363636363636)</f>
        <v>0.4363636364</v>
      </c>
    </row>
    <row r="16722">
      <c r="A16722" s="10" t="s">
        <v>18161</v>
      </c>
      <c r="B16722" s="7" t="str">
        <f>IFERROR(__xludf.DUMMYFUNCTION("SPLIT(A16722,"" "")"),"CN(c1ccc2ncccc2c1)C1CCC(N(Cc2ccccn2)c2cccc3cccnc23)CC1")</f>
        <v>CN(c1ccc2ncccc2c1)C1CCC(N(Cc2ccccn2)c2cccc3cccnc23)CC1</v>
      </c>
      <c r="C16722" s="7">
        <f>IFERROR(__xludf.DUMMYFUNCTION("""COMPUTED_VALUE"""),7.7352514)</f>
        <v>7.7352514</v>
      </c>
      <c r="D16722" s="7">
        <f>IFERROR(__xludf.DUMMYFUNCTION("""COMPUTED_VALUE"""),0.43103448275862)</f>
        <v>0.4310344828</v>
      </c>
    </row>
    <row r="16723">
      <c r="A16723" s="10" t="s">
        <v>18162</v>
      </c>
      <c r="B16723" s="7" t="str">
        <f>IFERROR(__xludf.DUMMYFUNCTION("SPLIT(A16723,"" "")"),"CN(Cc1cccc(-c2cccc(N=Cc3ccccn3)c2)n1)Cc1cccc(C(C)(C)C)n1")</f>
        <v>CN(Cc1cccc(-c2cccc(N=Cc3ccccn3)c2)n1)Cc1cccc(C(C)(C)C)n1</v>
      </c>
      <c r="C16723" s="7">
        <f>IFERROR(__xludf.DUMMYFUNCTION("""COMPUTED_VALUE"""),7.735244)</f>
        <v>7.735244</v>
      </c>
      <c r="D16723" s="7">
        <f>IFERROR(__xludf.DUMMYFUNCTION("""COMPUTED_VALUE"""),0.448275862068965)</f>
        <v>0.4482758621</v>
      </c>
    </row>
    <row r="16724">
      <c r="A16724" s="10" t="s">
        <v>18163</v>
      </c>
      <c r="B16724" s="7" t="str">
        <f>IFERROR(__xludf.DUMMYFUNCTION("SPLIT(A16724,"" "")"),"Cc1ccc(CN(C)C2=CNC(CN(C)Cc3ccc4cccnc4c3)=CC2)nc1")</f>
        <v>Cc1ccc(CN(C)C2=CNC(CN(C)Cc3ccc4cccnc4c3)=CC2)nc1</v>
      </c>
      <c r="C16724" s="7">
        <f>IFERROR(__xludf.DUMMYFUNCTION("""COMPUTED_VALUE"""),7.735239)</f>
        <v>7.735239</v>
      </c>
      <c r="D16724" s="7">
        <f>IFERROR(__xludf.DUMMYFUNCTION("""COMPUTED_VALUE"""),0.35)</f>
        <v>0.35</v>
      </c>
    </row>
    <row r="16725">
      <c r="A16725" s="10" t="s">
        <v>18164</v>
      </c>
      <c r="B16725" s="7" t="str">
        <f>IFERROR(__xludf.DUMMYFUNCTION("SPLIT(A16725,"" "")"),"CCN(CC1=CC(N(C)Cc2ncccc2-c2ccc3ncccc3c2)C=CN1)Cc1ccccn1")</f>
        <v>CCN(CC1=CC(N(C)Cc2ncccc2-c2ccc3ncccc3c2)C=CN1)Cc1ccccn1</v>
      </c>
      <c r="C16725" s="7">
        <f>IFERROR(__xludf.DUMMYFUNCTION("""COMPUTED_VALUE"""),7.735234)</f>
        <v>7.735234</v>
      </c>
      <c r="D16725" s="7">
        <f>IFERROR(__xludf.DUMMYFUNCTION("""COMPUTED_VALUE"""),0.347222222222222)</f>
        <v>0.3472222222</v>
      </c>
    </row>
    <row r="16726">
      <c r="A16726" s="10" t="s">
        <v>18165</v>
      </c>
      <c r="B16726" s="7" t="str">
        <f>IFERROR(__xludf.DUMMYFUNCTION("SPLIT(A16726,"" "")"),"CC(C)C1=NC(c2cccc(CN(Cc3ccccn3)Cc3cccc(-c4cccc(N=Cc5ccccn5)c4)n3)n2)CO1")</f>
        <v>CC(C)C1=NC(c2cccc(CN(Cc3ccccn3)Cc3cccc(-c4cccc(N=Cc5ccccn5)c4)n3)n2)CO1</v>
      </c>
      <c r="C16726" s="7">
        <f>IFERROR(__xludf.DUMMYFUNCTION("""COMPUTED_VALUE"""),7.735231)</f>
        <v>7.735231</v>
      </c>
      <c r="D16726" s="7">
        <f>IFERROR(__xludf.DUMMYFUNCTION("""COMPUTED_VALUE"""),0.432432432432432)</f>
        <v>0.4324324324</v>
      </c>
    </row>
    <row r="16727">
      <c r="A16727" s="10" t="s">
        <v>18166</v>
      </c>
      <c r="B16727" s="7" t="str">
        <f>IFERROR(__xludf.DUMMYFUNCTION("SPLIT(A16727,"" "")"),"CCNCc1cccc(-c2ccc(N(C)Cc3ccccn3)cc2C)n1")</f>
        <v>CCNCc1cccc(-c2ccc(N(C)Cc3ccccn3)cc2C)n1</v>
      </c>
      <c r="C16727" s="7">
        <f>IFERROR(__xludf.DUMMYFUNCTION("""COMPUTED_VALUE"""),7.7352304)</f>
        <v>7.7352304</v>
      </c>
      <c r="D16727" s="7">
        <f>IFERROR(__xludf.DUMMYFUNCTION("""COMPUTED_VALUE"""),0.436363636363636)</f>
        <v>0.4363636364</v>
      </c>
    </row>
    <row r="16728">
      <c r="A16728" s="10" t="s">
        <v>18167</v>
      </c>
      <c r="B16728" s="7" t="str">
        <f>IFERROR(__xludf.DUMMYFUNCTION("SPLIT(A16728,"" "")"),"CN(Cc1cccc(F)n1)Cc1cccc(-c2cccc(Cl)c2N)n1")</f>
        <v>CN(Cc1cccc(F)n1)Cc1cccc(-c2cccc(Cl)c2N)n1</v>
      </c>
      <c r="C16728" s="7">
        <f>IFERROR(__xludf.DUMMYFUNCTION("""COMPUTED_VALUE"""),7.7352247)</f>
        <v>7.7352247</v>
      </c>
      <c r="D16728" s="7">
        <f>IFERROR(__xludf.DUMMYFUNCTION("""COMPUTED_VALUE"""),0.428571428571428)</f>
        <v>0.4285714286</v>
      </c>
    </row>
    <row r="16729">
      <c r="A16729" s="10" t="s">
        <v>18168</v>
      </c>
      <c r="B16729" s="7" t="str">
        <f>IFERROR(__xludf.DUMMYFUNCTION("SPLIT(A16729,"" "")"),"CC1C=C(N(C)Cc2ccccn2)c2cccnc2C1Cl")</f>
        <v>CC1C=C(N(C)Cc2ccccn2)c2cccnc2C1Cl</v>
      </c>
      <c r="C16729" s="7">
        <f>IFERROR(__xludf.DUMMYFUNCTION("""COMPUTED_VALUE"""),7.735223)</f>
        <v>7.735223</v>
      </c>
      <c r="D16729" s="7">
        <f>IFERROR(__xludf.DUMMYFUNCTION("""COMPUTED_VALUE"""),0.458333333333333)</f>
        <v>0.4583333333</v>
      </c>
    </row>
    <row r="16730">
      <c r="A16730" s="10" t="s">
        <v>18169</v>
      </c>
      <c r="B16730" s="7" t="str">
        <f>IFERROR(__xludf.DUMMYFUNCTION("SPLIT(A16730,"" "")"),"Cc1ccc2c(N(C)CCN(C)Cc3ccncc3C)cccc2n1")</f>
        <v>Cc1ccc2c(N(C)CCN(C)Cc3ccncc3C)cccc2n1</v>
      </c>
      <c r="C16730" s="7">
        <f>IFERROR(__xludf.DUMMYFUNCTION("""COMPUTED_VALUE"""),7.7352085)</f>
        <v>7.7352085</v>
      </c>
      <c r="D16730" s="7">
        <f>IFERROR(__xludf.DUMMYFUNCTION("""COMPUTED_VALUE"""),0.372549019607843)</f>
        <v>0.3725490196</v>
      </c>
    </row>
    <row r="16731">
      <c r="A16731" s="10" t="s">
        <v>18170</v>
      </c>
      <c r="B16731" s="7" t="str">
        <f>IFERROR(__xludf.DUMMYFUNCTION("SPLIT(A16731,"" "")"),"CN(CCN(C)Cc1ncccc1-c1cccc2ncccc12)Cc1ccccn1")</f>
        <v>CN(CCN(C)Cc1ncccc1-c1cccc2ncccc12)Cc1ccccn1</v>
      </c>
      <c r="C16731" s="7">
        <f>IFERROR(__xludf.DUMMYFUNCTION("""COMPUTED_VALUE"""),7.7352047)</f>
        <v>7.7352047</v>
      </c>
      <c r="D16731" s="7">
        <f>IFERROR(__xludf.DUMMYFUNCTION("""COMPUTED_VALUE"""),0.44)</f>
        <v>0.44</v>
      </c>
    </row>
    <row r="16732">
      <c r="A16732" s="10" t="s">
        <v>18171</v>
      </c>
      <c r="B16732" s="7" t="str">
        <f>IFERROR(__xludf.DUMMYFUNCTION("SPLIT(A16732,"" "")"),"CCN(C)Cc1cc(-c2ccc(N=Cc3ccccn3)cc2)ccn1")</f>
        <v>CCN(C)Cc1cc(-c2ccc(N=Cc3ccccn3)cc2)ccn1</v>
      </c>
      <c r="C16732" s="7">
        <f>IFERROR(__xludf.DUMMYFUNCTION("""COMPUTED_VALUE"""),7.735201)</f>
        <v>7.735201</v>
      </c>
      <c r="D16732" s="7">
        <f>IFERROR(__xludf.DUMMYFUNCTION("""COMPUTED_VALUE"""),0.377358490566037)</f>
        <v>0.3773584906</v>
      </c>
    </row>
    <row r="16733">
      <c r="A16733" s="10" t="s">
        <v>18172</v>
      </c>
      <c r="B16733" s="7" t="str">
        <f>IFERROR(__xludf.DUMMYFUNCTION("SPLIT(A16733,"" "")"),"CN(CC1=CCC(N(C)Cc2ccccn2)=CN1)Cc1ccc2ncccc2c1")</f>
        <v>CN(CC1=CCC(N(C)Cc2ccccn2)=CN1)Cc1ccc2ncccc2c1</v>
      </c>
      <c r="C16733" s="7">
        <f>IFERROR(__xludf.DUMMYFUNCTION("""COMPUTED_VALUE"""),7.735191)</f>
        <v>7.735191</v>
      </c>
      <c r="D16733" s="7">
        <f>IFERROR(__xludf.DUMMYFUNCTION("""COMPUTED_VALUE"""),0.372881355932203)</f>
        <v>0.3728813559</v>
      </c>
    </row>
    <row r="16734">
      <c r="A16734" s="10" t="s">
        <v>18173</v>
      </c>
      <c r="B16734" s="7" t="str">
        <f>IFERROR(__xludf.DUMMYFUNCTION("SPLIT(A16734,"" "")"),"Cc1ccccc1CN(C)Cc1cc(-c2ccc(N=Cc3ccccn3)cc2)ccn1")</f>
        <v>Cc1ccccc1CN(C)Cc1cc(-c2ccc(N=Cc3ccccn3)cc2)ccn1</v>
      </c>
      <c r="C16734" s="7">
        <f>IFERROR(__xludf.DUMMYFUNCTION("""COMPUTED_VALUE"""),7.735191)</f>
        <v>7.735191</v>
      </c>
      <c r="D16734" s="7">
        <f>IFERROR(__xludf.DUMMYFUNCTION("""COMPUTED_VALUE"""),0.396551724137931)</f>
        <v>0.3965517241</v>
      </c>
    </row>
    <row r="16735">
      <c r="A16735" s="10" t="s">
        <v>18174</v>
      </c>
      <c r="B16735" s="7" t="str">
        <f>IFERROR(__xludf.DUMMYFUNCTION("SPLIT(A16735,"" "")"),"Cc1nccc(CN(C)CCN(C)c2ccc3cccnc3c2)c1C")</f>
        <v>Cc1nccc(CN(C)CCN(C)c2ccc3cccnc3c2)c1C</v>
      </c>
      <c r="C16735" s="7">
        <f>IFERROR(__xludf.DUMMYFUNCTION("""COMPUTED_VALUE"""),7.7351866)</f>
        <v>7.7351866</v>
      </c>
      <c r="D16735" s="7">
        <f>IFERROR(__xludf.DUMMYFUNCTION("""COMPUTED_VALUE"""),0.431372549019607)</f>
        <v>0.431372549</v>
      </c>
    </row>
    <row r="16736">
      <c r="A16736" s="10" t="s">
        <v>18175</v>
      </c>
      <c r="B16736" s="7" t="str">
        <f>IFERROR(__xludf.DUMMYFUNCTION("SPLIT(A16736,"" "")"),"Cc1ccc(CN(Cc2ccccn2)Cc2ncccc2-c2ccccc2N=Cc2ccccn2)nc1")</f>
        <v>Cc1ccc(CN(Cc2ccccn2)Cc2ncccc2-c2ccccc2N=Cc2ccccn2)nc1</v>
      </c>
      <c r="C16736" s="7">
        <f>IFERROR(__xludf.DUMMYFUNCTION("""COMPUTED_VALUE"""),7.7351847)</f>
        <v>7.7351847</v>
      </c>
      <c r="D16736" s="7">
        <f>IFERROR(__xludf.DUMMYFUNCTION("""COMPUTED_VALUE"""),0.413793103448275)</f>
        <v>0.4137931034</v>
      </c>
    </row>
    <row r="16737">
      <c r="A16737" s="10" t="s">
        <v>18176</v>
      </c>
      <c r="B16737" s="7" t="str">
        <f>IFERROR(__xludf.DUMMYFUNCTION("SPLIT(A16737,"" "")"),"CCN(CC1=CC(N(C)Cc2nc(C)c(C)c(C)c2C)C=CN1)c1ccc2ncccc2c1")</f>
        <v>CCN(CC1=CC(N(C)Cc2nc(C)c(C)c(C)c2C)C=CN1)c1ccc2ncccc2c1</v>
      </c>
      <c r="C16737" s="7">
        <f>IFERROR(__xludf.DUMMYFUNCTION("""COMPUTED_VALUE"""),7.73518)</f>
        <v>7.73518</v>
      </c>
      <c r="D16737" s="7">
        <f>IFERROR(__xludf.DUMMYFUNCTION("""COMPUTED_VALUE"""),0.243243243243243)</f>
        <v>0.2432432432</v>
      </c>
    </row>
    <row r="16738">
      <c r="A16738" s="10" t="s">
        <v>18177</v>
      </c>
      <c r="B16738" s="7" t="str">
        <f>IFERROR(__xludf.DUMMYFUNCTION("SPLIT(A16738,"" "")"),"Cc1cncc(C)c1CN(C)CCN(C)c1ccc2ncccc2c1")</f>
        <v>Cc1cncc(C)c1CN(C)CCN(C)c1ccc2ncccc2c1</v>
      </c>
      <c r="C16738" s="7">
        <f>IFERROR(__xludf.DUMMYFUNCTION("""COMPUTED_VALUE"""),7.735179)</f>
        <v>7.735179</v>
      </c>
      <c r="D16738" s="7">
        <f>IFERROR(__xludf.DUMMYFUNCTION("""COMPUTED_VALUE"""),0.392156862745098)</f>
        <v>0.3921568627</v>
      </c>
    </row>
    <row r="16739">
      <c r="A16739" s="10" t="s">
        <v>18178</v>
      </c>
      <c r="B16739" s="7" t="str">
        <f>IFERROR(__xludf.DUMMYFUNCTION("SPLIT(A16739,"" "")"),"CC(C)c1ncccc1CN(Cc1ccccn1)Cc1ncccc1-c1ccccc1N=Cc1ccccn1")</f>
        <v>CC(C)c1ncccc1CN(Cc1ccccn1)Cc1ncccc1-c1ccccc1N=Cc1ccccn1</v>
      </c>
      <c r="C16739" s="7">
        <f>IFERROR(__xludf.DUMMYFUNCTION("""COMPUTED_VALUE"""),7.7351646)</f>
        <v>7.7351646</v>
      </c>
      <c r="D16739" s="7">
        <f>IFERROR(__xludf.DUMMYFUNCTION("""COMPUTED_VALUE"""),0.384615384615384)</f>
        <v>0.3846153846</v>
      </c>
    </row>
    <row r="16740">
      <c r="A16740" s="10" t="s">
        <v>18179</v>
      </c>
      <c r="B16740" s="7" t="str">
        <f>IFERROR(__xludf.DUMMYFUNCTION("SPLIT(A16740,"" "")"),"CN(Cc1ccccc1)Cc1nc2ccccc2o1")</f>
        <v>CN(Cc1ccccc1)Cc1nc2ccccc2o1</v>
      </c>
      <c r="C16740" s="7">
        <f>IFERROR(__xludf.DUMMYFUNCTION("""COMPUTED_VALUE"""),7.735162)</f>
        <v>7.735162</v>
      </c>
      <c r="D16740" s="7">
        <f>IFERROR(__xludf.DUMMYFUNCTION("""COMPUTED_VALUE"""),0.348837209302325)</f>
        <v>0.3488372093</v>
      </c>
    </row>
    <row r="16741">
      <c r="A16741" s="10" t="s">
        <v>18180</v>
      </c>
      <c r="B16741" s="7" t="str">
        <f>IFERROR(__xludf.DUMMYFUNCTION("SPLIT(A16741,"" "")"),"Cc1cc(C)nc(CN(C)Cc2ccc(-c3cc(N)ccc3C)nc2)c1")</f>
        <v>Cc1cc(C)nc(CN(C)Cc2ccc(-c3cc(N)ccc3C)nc2)c1</v>
      </c>
      <c r="C16741" s="7">
        <f>IFERROR(__xludf.DUMMYFUNCTION("""COMPUTED_VALUE"""),7.73516)</f>
        <v>7.73516</v>
      </c>
      <c r="D16741" s="7">
        <f>IFERROR(__xludf.DUMMYFUNCTION("""COMPUTED_VALUE"""),0.293103448275862)</f>
        <v>0.2931034483</v>
      </c>
    </row>
    <row r="16742">
      <c r="A16742" s="10" t="s">
        <v>18181</v>
      </c>
      <c r="B16742" s="7" t="str">
        <f>IFERROR(__xludf.DUMMYFUNCTION("SPLIT(A16742,"" "")"),"CN(Cc1ccon1)Cc1ncccc1-c1cccc(NCc2ccccn2)c1")</f>
        <v>CN(Cc1ccon1)Cc1ncccc1-c1cccc(NCc2ccccn2)c1</v>
      </c>
      <c r="C16742" s="7">
        <f>IFERROR(__xludf.DUMMYFUNCTION("""COMPUTED_VALUE"""),7.7351584)</f>
        <v>7.7351584</v>
      </c>
      <c r="D16742" s="7">
        <f>IFERROR(__xludf.DUMMYFUNCTION("""COMPUTED_VALUE"""),0.375)</f>
        <v>0.375</v>
      </c>
    </row>
    <row r="16743">
      <c r="A16743" s="10" t="s">
        <v>18182</v>
      </c>
      <c r="B16743" s="7" t="str">
        <f>IFERROR(__xludf.DUMMYFUNCTION("SPLIT(A16743,"" "")"),"CCCN(Cc1ccccn1)C1=CCC(c2ccccc2N(C)C)C(c2ccccc2N(C)C)=C1c1ccccc1C(C)C")</f>
        <v>CCCN(Cc1ccccn1)C1=CCC(c2ccccc2N(C)C)C(c2ccccc2N(C)C)=C1c1ccccc1C(C)C</v>
      </c>
      <c r="C16743" s="7">
        <f>IFERROR(__xludf.DUMMYFUNCTION("""COMPUTED_VALUE"""),7.735158)</f>
        <v>7.735158</v>
      </c>
      <c r="D16743" s="7">
        <f>IFERROR(__xludf.DUMMYFUNCTION("""COMPUTED_VALUE"""),0.318181818181818)</f>
        <v>0.3181818182</v>
      </c>
    </row>
    <row r="16744">
      <c r="A16744" s="10" t="s">
        <v>18183</v>
      </c>
      <c r="B16744" s="7" t="str">
        <f>IFERROR(__xludf.DUMMYFUNCTION("SPLIT(A16744,"" "")"),"Cc1ccc(-c2cccc(CN(C)Cc3ccccn3)c2)nc1CN(Cc1ccccn1)Cc1cccc(-c2cccc(N=Cc3ccccn3)c2)n1")</f>
        <v>Cc1ccc(-c2cccc(CN(C)Cc3ccccn3)c2)nc1CN(Cc1ccccn1)Cc1cccc(-c2cccc(N=Cc3ccccn3)c2)n1</v>
      </c>
      <c r="C16744" s="7">
        <f>IFERROR(__xludf.DUMMYFUNCTION("""COMPUTED_VALUE"""),7.735151)</f>
        <v>7.735151</v>
      </c>
      <c r="D16744" s="7">
        <f>IFERROR(__xludf.DUMMYFUNCTION("""COMPUTED_VALUE"""),0.444444444444444)</f>
        <v>0.4444444444</v>
      </c>
    </row>
    <row r="16745">
      <c r="A16745" s="10" t="s">
        <v>18184</v>
      </c>
      <c r="B16745" s="7" t="str">
        <f>IFERROR(__xludf.DUMMYFUNCTION("SPLIT(A16745,"" "")"),"CN(C)Cc1ccnc2c(N(C)C3CCC(N(C)c4cccc5ncc6c(c45)CCCC6)CC3)cccc12")</f>
        <v>CN(C)Cc1ccnc2c(N(C)C3CCC(N(C)c4cccc5ncc6c(c45)CCCC6)CC3)cccc12</v>
      </c>
      <c r="C16745" s="7">
        <f>IFERROR(__xludf.DUMMYFUNCTION("""COMPUTED_VALUE"""),7.7351456)</f>
        <v>7.7351456</v>
      </c>
      <c r="D16745" s="7">
        <f>IFERROR(__xludf.DUMMYFUNCTION("""COMPUTED_VALUE"""),0.318181818181818)</f>
        <v>0.3181818182</v>
      </c>
    </row>
    <row r="16746">
      <c r="A16746" s="10" t="s">
        <v>18185</v>
      </c>
      <c r="B16746" s="7" t="str">
        <f>IFERROR(__xludf.DUMMYFUNCTION("SPLIT(A16746,"" "")"),"Cc1ccccc1N(Cc1ccccn1)Cc1ncccc1N(C)Cc1cc(C)c(C)c(C)n1")</f>
        <v>Cc1ccccc1N(Cc1ccccn1)Cc1ncccc1N(C)Cc1cc(C)c(C)c(C)n1</v>
      </c>
      <c r="C16746" s="7">
        <f>IFERROR(__xludf.DUMMYFUNCTION("""COMPUTED_VALUE"""),7.7351437)</f>
        <v>7.7351437</v>
      </c>
      <c r="D16746" s="7">
        <f>IFERROR(__xludf.DUMMYFUNCTION("""COMPUTED_VALUE"""),0.452830188679245)</f>
        <v>0.4528301887</v>
      </c>
    </row>
    <row r="16747">
      <c r="A16747" s="10" t="s">
        <v>18186</v>
      </c>
      <c r="B16747" s="7" t="str">
        <f>IFERROR(__xludf.DUMMYFUNCTION("SPLIT(A16747,"" "")"),"CNCc1nccc2cc(N(C)CCN(C)Cc3cc(C)c(C)c(C)n3)ccc12")</f>
        <v>CNCc1nccc2cc(N(C)CCN(C)Cc3cc(C)c(C)c(C)n3)ccc12</v>
      </c>
      <c r="C16747" s="7">
        <f>IFERROR(__xludf.DUMMYFUNCTION("""COMPUTED_VALUE"""),7.73514)</f>
        <v>7.73514</v>
      </c>
      <c r="D16747" s="7">
        <f>IFERROR(__xludf.DUMMYFUNCTION("""COMPUTED_VALUE"""),0.288135593220339)</f>
        <v>0.2881355932</v>
      </c>
    </row>
    <row r="16748">
      <c r="A16748" s="10" t="s">
        <v>18187</v>
      </c>
      <c r="B16748" s="7" t="str">
        <f>IFERROR(__xludf.DUMMYFUNCTION("SPLIT(A16748,"" "")"),"Cc1ccccc1CN(C)CC1=CC(N(C)c2ccc3cccnc3c2)C=CN1")</f>
        <v>Cc1ccccc1CN(C)CC1=CC(N(C)c2ccc3cccnc3c2)C=CN1</v>
      </c>
      <c r="C16748" s="7">
        <f>IFERROR(__xludf.DUMMYFUNCTION("""COMPUTED_VALUE"""),7.7351346)</f>
        <v>7.7351346</v>
      </c>
      <c r="D16748" s="7">
        <f>IFERROR(__xludf.DUMMYFUNCTION("""COMPUTED_VALUE"""),0.317460317460317)</f>
        <v>0.3174603175</v>
      </c>
    </row>
    <row r="16749">
      <c r="A16749" s="10" t="s">
        <v>18188</v>
      </c>
      <c r="B16749" s="7" t="str">
        <f>IFERROR(__xludf.DUMMYFUNCTION("SPLIT(A16749,"" "")"),"Cc1ccccc1CN(C)CC1=CC(N(C)c2ccc3ncccc3c2)C=CN1")</f>
        <v>Cc1ccccc1CN(C)CC1=CC(N(C)c2ccc3ncccc3c2)C=CN1</v>
      </c>
      <c r="C16749" s="7">
        <f>IFERROR(__xludf.DUMMYFUNCTION("""COMPUTED_VALUE"""),7.735133)</f>
        <v>7.735133</v>
      </c>
      <c r="D16749" s="7">
        <f>IFERROR(__xludf.DUMMYFUNCTION("""COMPUTED_VALUE"""),0.32258064516129)</f>
        <v>0.3225806452</v>
      </c>
    </row>
    <row r="16750">
      <c r="A16750" s="10" t="s">
        <v>18189</v>
      </c>
      <c r="B16750" s="7" t="str">
        <f>IFERROR(__xludf.DUMMYFUNCTION("SPLIT(A16750,"" "")"),"Cc1cnc(CN(C)CCN(C)c2ccc3nccc(CF)c3c2)c(C)c1")</f>
        <v>Cc1cnc(CN(C)CCN(C)c2ccc3nccc(CF)c3c2)c(C)c1</v>
      </c>
      <c r="C16750" s="7">
        <f>IFERROR(__xludf.DUMMYFUNCTION("""COMPUTED_VALUE"""),7.735132)</f>
        <v>7.735132</v>
      </c>
      <c r="D16750" s="7">
        <f>IFERROR(__xludf.DUMMYFUNCTION("""COMPUTED_VALUE"""),0.345454545454545)</f>
        <v>0.3454545455</v>
      </c>
    </row>
    <row r="16751">
      <c r="A16751" s="10" t="s">
        <v>18190</v>
      </c>
      <c r="B16751" s="7" t="str">
        <f>IFERROR(__xludf.DUMMYFUNCTION("SPLIT(A16751,"" "")"),"CC(C)c1cccc(CN(C)c2ccc3nc(CN(C)C(C)C)ccc3c2)n1")</f>
        <v>CC(C)c1cccc(CN(C)c2ccc3nc(CN(C)C(C)C)ccc3c2)n1</v>
      </c>
      <c r="C16751" s="7">
        <f>IFERROR(__xludf.DUMMYFUNCTION("""COMPUTED_VALUE"""),7.7351274)</f>
        <v>7.7351274</v>
      </c>
      <c r="D16751" s="7">
        <f>IFERROR(__xludf.DUMMYFUNCTION("""COMPUTED_VALUE"""),0.34)</f>
        <v>0.34</v>
      </c>
    </row>
    <row r="16752">
      <c r="A16752" s="10" t="s">
        <v>18191</v>
      </c>
      <c r="B16752" s="7" t="str">
        <f>IFERROR(__xludf.DUMMYFUNCTION("SPLIT(A16752,"" "")"),"Cc1cccnc1CN(C)C1C=CNC(CN(c2ccc3ncccc3c2)C(C)C)=C1")</f>
        <v>Cc1cccnc1CN(C)C1C=CNC(CN(c2ccc3ncccc3c2)C(C)C)=C1</v>
      </c>
      <c r="C16752" s="7">
        <f>IFERROR(__xludf.DUMMYFUNCTION("""COMPUTED_VALUE"""),7.7351255)</f>
        <v>7.7351255</v>
      </c>
      <c r="D16752" s="7">
        <f>IFERROR(__xludf.DUMMYFUNCTION("""COMPUTED_VALUE"""),0.25)</f>
        <v>0.25</v>
      </c>
    </row>
    <row r="16753">
      <c r="A16753" s="10" t="s">
        <v>18192</v>
      </c>
      <c r="B16753" s="7" t="str">
        <f>IFERROR(__xludf.DUMMYFUNCTION("SPLIT(A16753,"" "")"),"CN(Cc1ccccn1)C1=CNC(CN(Cc2ccccn2)CC(C)(C)c2cc(N(C)Cc3ccccn3)cc3ncccc23)=CC1")</f>
        <v>CN(Cc1ccccn1)C1=CNC(CN(Cc2ccccn2)CC(C)(C)c2cc(N(C)Cc3ccccn3)cc3ncccc23)=CC1</v>
      </c>
      <c r="C16753" s="7">
        <f>IFERROR(__xludf.DUMMYFUNCTION("""COMPUTED_VALUE"""),7.735125)</f>
        <v>7.735125</v>
      </c>
      <c r="D16753" s="7">
        <f>IFERROR(__xludf.DUMMYFUNCTION("""COMPUTED_VALUE"""),0.38235294117647)</f>
        <v>0.3823529412</v>
      </c>
    </row>
    <row r="16754">
      <c r="A16754" s="10" t="s">
        <v>18193</v>
      </c>
      <c r="B16754" s="7" t="str">
        <f>IFERROR(__xludf.DUMMYFUNCTION("SPLIT(A16754,"" "")"),"Cc1ccc(CN(C)c2ccc(-c3cccc(CN(C)Cc4cccc(F)n4)n3)cc2)nc1")</f>
        <v>Cc1ccc(CN(C)c2ccc(-c3cccc(CN(C)Cc4cccc(F)n4)n3)cc2)nc1</v>
      </c>
      <c r="C16754" s="7">
        <f>IFERROR(__xludf.DUMMYFUNCTION("""COMPUTED_VALUE"""),7.735123)</f>
        <v>7.735123</v>
      </c>
      <c r="D16754" s="7">
        <f>IFERROR(__xludf.DUMMYFUNCTION("""COMPUTED_VALUE"""),0.448979591836734)</f>
        <v>0.4489795918</v>
      </c>
    </row>
    <row r="16755">
      <c r="A16755" s="10" t="s">
        <v>18194</v>
      </c>
      <c r="B16755" s="7" t="str">
        <f>IFERROR(__xludf.DUMMYFUNCTION("SPLIT(A16755,"" "")"),"CC(C)C1(C)COC(c2cc(CN(Cc3ccccn3)Cc3cc(-c4cccc(N(C)C)c4)ccn3)ccn2)=N1")</f>
        <v>CC(C)C1(C)COC(c2cc(CN(Cc3ccccn3)Cc3cc(-c4cccc(N(C)C)c4)ccn3)ccn2)=N1</v>
      </c>
      <c r="C16755" s="7">
        <f>IFERROR(__xludf.DUMMYFUNCTION("""COMPUTED_VALUE"""),7.7351155)</f>
        <v>7.7351155</v>
      </c>
      <c r="D16755" s="7">
        <f>IFERROR(__xludf.DUMMYFUNCTION("""COMPUTED_VALUE"""),0.337662337662337)</f>
        <v>0.3376623377</v>
      </c>
    </row>
    <row r="16756">
      <c r="A16756" s="10" t="s">
        <v>18195</v>
      </c>
      <c r="B16756" s="7" t="str">
        <f>IFERROR(__xludf.DUMMYFUNCTION("SPLIT(A16756,"" "")"),"CC(N)c1cccc(-c2cccc(NCc3ccccn3)c2)n1")</f>
        <v>CC(N)c1cccc(-c2cccc(NCc3ccccn3)c2)n1</v>
      </c>
      <c r="C16756" s="7">
        <f>IFERROR(__xludf.DUMMYFUNCTION("""COMPUTED_VALUE"""),7.7351108)</f>
        <v>7.7351108</v>
      </c>
      <c r="D16756" s="7">
        <f>IFERROR(__xludf.DUMMYFUNCTION("""COMPUTED_VALUE"""),0.4)</f>
        <v>0.4</v>
      </c>
    </row>
    <row r="16757">
      <c r="A16757" s="10" t="s">
        <v>18196</v>
      </c>
      <c r="B16757" s="7" t="str">
        <f>IFERROR(__xludf.DUMMYFUNCTION("SPLIT(A16757,"" "")"),"Cc1cc(C)c(CN(C)CCN(Cc2ccccn2)c2ccc3nccc(C)c3c2)cn1")</f>
        <v>Cc1cc(C)c(CN(C)CCN(Cc2ccccn2)c2ccc3nccc(C)c3c2)cn1</v>
      </c>
      <c r="C16757" s="7">
        <f>IFERROR(__xludf.DUMMYFUNCTION("""COMPUTED_VALUE"""),7.7351046)</f>
        <v>7.7351046</v>
      </c>
      <c r="D16757" s="7">
        <f>IFERROR(__xludf.DUMMYFUNCTION("""COMPUTED_VALUE"""),0.347826086956521)</f>
        <v>0.347826087</v>
      </c>
    </row>
    <row r="16758">
      <c r="A16758" s="10" t="s">
        <v>18197</v>
      </c>
      <c r="B16758" s="7" t="str">
        <f>IFERROR(__xludf.DUMMYFUNCTION("SPLIT(A16758,"" "")"),"CC(C)N(C)CC1=C(N(C)c2cccc3ncccc23)NC=CC1")</f>
        <v>CC(C)N(C)CC1=C(N(C)c2cccc3ncccc23)NC=CC1</v>
      </c>
      <c r="C16758" s="7">
        <f>IFERROR(__xludf.DUMMYFUNCTION("""COMPUTED_VALUE"""),7.7350836)</f>
        <v>7.7350836</v>
      </c>
      <c r="D16758" s="7">
        <f>IFERROR(__xludf.DUMMYFUNCTION("""COMPUTED_VALUE"""),0.283333333333333)</f>
        <v>0.2833333333</v>
      </c>
    </row>
    <row r="16759">
      <c r="A16759" s="10" t="s">
        <v>18198</v>
      </c>
      <c r="B16759" s="7" t="str">
        <f>IFERROR(__xludf.DUMMYFUNCTION("SPLIT(A16759,"" "")"),"Cc1ccc(CN(Cc2cc(C(C)(C)C)ccn2)Cc2ncccc2-c2cccc(N(C)C)c2)nc1C")</f>
        <v>Cc1ccc(CN(Cc2cc(C(C)(C)C)ccn2)Cc2ncccc2-c2cccc(N(C)C)c2)nc1C</v>
      </c>
      <c r="C16759" s="7">
        <f>IFERROR(__xludf.DUMMYFUNCTION("""COMPUTED_VALUE"""),7.7350807)</f>
        <v>7.7350807</v>
      </c>
      <c r="D16759" s="7">
        <f>IFERROR(__xludf.DUMMYFUNCTION("""COMPUTED_VALUE"""),0.31081081081081)</f>
        <v>0.3108108108</v>
      </c>
    </row>
    <row r="16760">
      <c r="A16760" s="10" t="s">
        <v>18199</v>
      </c>
      <c r="B16760" s="7" t="str">
        <f>IFERROR(__xludf.DUMMYFUNCTION("SPLIT(A16760,"" "")"),"CCN(Cc1ccccn1)c1cc(C)c(-c2cc(CN(Cc3ccccn3)Cc3nc(C)c(C)c(C)c3C)ccn2)c(C)c1")</f>
        <v>CCN(Cc1ccccn1)c1cc(C)c(-c2cc(CN(Cc3ccccn3)Cc3nc(C)c(C)c(C)c3C)ccn2)c(C)c1</v>
      </c>
      <c r="C16760" s="7">
        <f>IFERROR(__xludf.DUMMYFUNCTION("""COMPUTED_VALUE"""),7.73508)</f>
        <v>7.73508</v>
      </c>
      <c r="D16760" s="7">
        <f>IFERROR(__xludf.DUMMYFUNCTION("""COMPUTED_VALUE"""),0.357142857142857)</f>
        <v>0.3571428571</v>
      </c>
    </row>
    <row r="16761">
      <c r="A16761" s="10" t="s">
        <v>18200</v>
      </c>
      <c r="B16761" s="7" t="str">
        <f>IFERROR(__xludf.DUMMYFUNCTION("SPLIT(A16761,"" "")"),"Cc1cccnc1CN(CN(C)c1ccc2ncccc2c1)C(C)C")</f>
        <v>Cc1cccnc1CN(CN(C)c1ccc2ncccc2c1)C(C)C</v>
      </c>
      <c r="C16761" s="7">
        <f>IFERROR(__xludf.DUMMYFUNCTION("""COMPUTED_VALUE"""),7.735075)</f>
        <v>7.735075</v>
      </c>
      <c r="D16761" s="7">
        <f>IFERROR(__xludf.DUMMYFUNCTION("""COMPUTED_VALUE"""),0.346153846153846)</f>
        <v>0.3461538462</v>
      </c>
    </row>
    <row r="16762">
      <c r="A16762" s="10" t="s">
        <v>18201</v>
      </c>
      <c r="B16762" s="7" t="str">
        <f>IFERROR(__xludf.DUMMYFUNCTION("SPLIT(A16762,"" "")"),"CN(Cc1ccccn1)c1ccccc1-c1cccc(CN(C)C2C=CC=CN2)n1")</f>
        <v>CN(Cc1ccccn1)c1ccccc1-c1cccc(CN(C)C2C=CC=CN2)n1</v>
      </c>
      <c r="C16762" s="7">
        <f>IFERROR(__xludf.DUMMYFUNCTION("""COMPUTED_VALUE"""),7.7350717)</f>
        <v>7.7350717</v>
      </c>
      <c r="D16762" s="7">
        <f>IFERROR(__xludf.DUMMYFUNCTION("""COMPUTED_VALUE"""),0.43859649122807)</f>
        <v>0.4385964912</v>
      </c>
    </row>
    <row r="16763">
      <c r="A16763" s="10" t="s">
        <v>18202</v>
      </c>
      <c r="B16763" s="7" t="str">
        <f>IFERROR(__xludf.DUMMYFUNCTION("SPLIT(A16763,"" "")"),"Cc1ccnc(CN(C)Cc2cc3ncccc3cc2C)c1")</f>
        <v>Cc1ccnc(CN(C)Cc2cc3ncccc3cc2C)c1</v>
      </c>
      <c r="C16763" s="7">
        <f>IFERROR(__xludf.DUMMYFUNCTION("""COMPUTED_VALUE"""),7.735069)</f>
        <v>7.735069</v>
      </c>
      <c r="D16763" s="7">
        <f>IFERROR(__xludf.DUMMYFUNCTION("""COMPUTED_VALUE"""),0.38)</f>
        <v>0.38</v>
      </c>
    </row>
    <row r="16764">
      <c r="A16764" s="10" t="s">
        <v>18203</v>
      </c>
      <c r="B16764" s="7" t="str">
        <f>IFERROR(__xludf.DUMMYFUNCTION("SPLIT(A16764,"" "")"),"Cc1cccnc1CN(Cc1ccccn1)Cc1c(-c2cccc(NCc3ccccn3)c2C)nc(C)c(C)c1C")</f>
        <v>Cc1cccnc1CN(Cc1ccccn1)Cc1c(-c2cccc(NCc3ccccn3)c2C)nc(C)c(C)c1C</v>
      </c>
      <c r="C16764" s="7">
        <f>IFERROR(__xludf.DUMMYFUNCTION("""COMPUTED_VALUE"""),7.735067)</f>
        <v>7.735067</v>
      </c>
      <c r="D16764" s="7">
        <f>IFERROR(__xludf.DUMMYFUNCTION("""COMPUTED_VALUE"""),0.357142857142857)</f>
        <v>0.3571428571</v>
      </c>
    </row>
    <row r="16765">
      <c r="A16765" s="10" t="s">
        <v>18204</v>
      </c>
      <c r="B16765" s="7" t="str">
        <f>IFERROR(__xludf.DUMMYFUNCTION("SPLIT(A16765,"" "")"),"Cc1ccc(CN(C)C2=CNC(CN(C)Cc3ccc4ncccc4c3)=CC2)nc1")</f>
        <v>Cc1ccc(CN(C)C2=CNC(CN(C)Cc3ccc4ncccc4c3)=CC2)nc1</v>
      </c>
      <c r="C16765" s="7">
        <f>IFERROR(__xludf.DUMMYFUNCTION("""COMPUTED_VALUE"""),7.7350636)</f>
        <v>7.7350636</v>
      </c>
      <c r="D16765" s="7">
        <f>IFERROR(__xludf.DUMMYFUNCTION("""COMPUTED_VALUE"""),0.35)</f>
        <v>0.35</v>
      </c>
    </row>
    <row r="16766">
      <c r="A16766" s="10" t="s">
        <v>18205</v>
      </c>
      <c r="B16766" s="7" t="str">
        <f>IFERROR(__xludf.DUMMYFUNCTION("SPLIT(A16766,"" "")"),"Cc1ccc(C)c(CN(Cc2nc(C)ccc2N)Cc2ccnc3ccccc23)n1")</f>
        <v>Cc1ccc(C)c(CN(Cc2nc(C)ccc2N)Cc2ccnc3ccccc23)n1</v>
      </c>
      <c r="C16766" s="7">
        <f>IFERROR(__xludf.DUMMYFUNCTION("""COMPUTED_VALUE"""),7.735046)</f>
        <v>7.735046</v>
      </c>
      <c r="D16766" s="7">
        <f>IFERROR(__xludf.DUMMYFUNCTION("""COMPUTED_VALUE"""),0.280701754385964)</f>
        <v>0.2807017544</v>
      </c>
    </row>
    <row r="16767">
      <c r="A16767" s="10" t="s">
        <v>18206</v>
      </c>
      <c r="B16767" s="7" t="str">
        <f>IFERROR(__xludf.DUMMYFUNCTION("SPLIT(A16767,"" "")"),"Cc1ccc(N(C)Cc2cccc(N(C)C3C=CC=CN3)n2)c(C)c1C")</f>
        <v>Cc1ccc(N(C)Cc2cccc(N(C)C3C=CC=CN3)n2)c(C)c1C</v>
      </c>
      <c r="C16767" s="7">
        <f>IFERROR(__xludf.DUMMYFUNCTION("""COMPUTED_VALUE"""),7.735039)</f>
        <v>7.735039</v>
      </c>
      <c r="D16767" s="7">
        <f>IFERROR(__xludf.DUMMYFUNCTION("""COMPUTED_VALUE"""),0.301587301587301)</f>
        <v>0.3015873016</v>
      </c>
    </row>
    <row r="16768">
      <c r="A16768" s="10" t="s">
        <v>18207</v>
      </c>
      <c r="B16768" s="7" t="str">
        <f>IFERROR(__xludf.DUMMYFUNCTION("SPLIT(A16768,"" "")"),"CN(c1ccc2ncc(CF)cc2c1)C1CCC(N(C)c2ccc3nc(CF)ccc3c2)CC1")</f>
        <v>CN(c1ccc2ncc(CF)cc2c1)C1CCC(N(C)c2ccc3nc(CF)ccc3c2)CC1</v>
      </c>
      <c r="C16768" s="7">
        <f>IFERROR(__xludf.DUMMYFUNCTION("""COMPUTED_VALUE"""),7.735037)</f>
        <v>7.735037</v>
      </c>
      <c r="D16768" s="7">
        <f>IFERROR(__xludf.DUMMYFUNCTION("""COMPUTED_VALUE"""),0.35)</f>
        <v>0.35</v>
      </c>
    </row>
    <row r="16769">
      <c r="A16769" s="10" t="s">
        <v>18208</v>
      </c>
      <c r="B16769" s="7" t="str">
        <f>IFERROR(__xludf.DUMMYFUNCTION("SPLIT(A16769,"" "")"),"Cc1cnccc1CN(C)c1ccc2nc(CN(C)C(C)(C)C)ccc2c1")</f>
        <v>Cc1cnccc1CN(C)c1ccc2nc(CN(C)C(C)(C)C)ccc2c1</v>
      </c>
      <c r="C16769" s="7">
        <f>IFERROR(__xludf.DUMMYFUNCTION("""COMPUTED_VALUE"""),7.735036)</f>
        <v>7.735036</v>
      </c>
      <c r="D16769" s="7">
        <f>IFERROR(__xludf.DUMMYFUNCTION("""COMPUTED_VALUE"""),0.283018867924528)</f>
        <v>0.2830188679</v>
      </c>
    </row>
    <row r="16770">
      <c r="A16770" s="10" t="s">
        <v>18209</v>
      </c>
      <c r="B16770" s="7" t="str">
        <f>IFERROR(__xludf.DUMMYFUNCTION("SPLIT(A16770,"" "")"),"CCNCc1cc(-c2ccc(C)cc2N(C)Cc2cc(C)ccn2)ccn1")</f>
        <v>CCNCc1cc(-c2ccc(C)cc2N(C)Cc2cc(C)ccn2)ccn1</v>
      </c>
      <c r="C16770" s="7">
        <f>IFERROR(__xludf.DUMMYFUNCTION("""COMPUTED_VALUE"""),7.735025)</f>
        <v>7.735025</v>
      </c>
      <c r="D16770" s="7">
        <f>IFERROR(__xludf.DUMMYFUNCTION("""COMPUTED_VALUE"""),0.327272727272727)</f>
        <v>0.3272727273</v>
      </c>
    </row>
    <row r="16771">
      <c r="A16771" s="10" t="s">
        <v>18210</v>
      </c>
      <c r="B16771" s="7" t="str">
        <f>IFERROR(__xludf.DUMMYFUNCTION("SPLIT(A16771,"" "")"),"CCN(c1cccc2c(CF)ccnc12)C1CCCCC1N(C)c1ccc2nccc(CF)c2c1")</f>
        <v>CCN(c1cccc2c(CF)ccnc12)C1CCCCC1N(C)c1ccc2nccc(CF)c2c1</v>
      </c>
      <c r="C16771" s="7">
        <f>IFERROR(__xludf.DUMMYFUNCTION("""COMPUTED_VALUE"""),7.7350235)</f>
        <v>7.7350235</v>
      </c>
      <c r="D16771" s="7">
        <f>IFERROR(__xludf.DUMMYFUNCTION("""COMPUTED_VALUE"""),0.387096774193548)</f>
        <v>0.3870967742</v>
      </c>
    </row>
    <row r="16772">
      <c r="A16772" s="10" t="s">
        <v>18211</v>
      </c>
      <c r="B16772" s="7" t="str">
        <f>IFERROR(__xludf.DUMMYFUNCTION("SPLIT(A16772,"" "")"),"Cc1cc(C)c(C)c(N(C)CCN(C)Cc2cccc3ncccc23)c1C")</f>
        <v>Cc1cc(C)c(C)c(N(C)CCN(C)Cc2cccc3ncccc23)c1C</v>
      </c>
      <c r="C16772" s="7">
        <f>IFERROR(__xludf.DUMMYFUNCTION("""COMPUTED_VALUE"""),7.735011)</f>
        <v>7.735011</v>
      </c>
      <c r="D16772" s="7">
        <f>IFERROR(__xludf.DUMMYFUNCTION("""COMPUTED_VALUE"""),0.458333333333333)</f>
        <v>0.4583333333</v>
      </c>
    </row>
    <row r="16773">
      <c r="A16773" s="10" t="s">
        <v>18212</v>
      </c>
      <c r="B16773" s="7" t="str">
        <f>IFERROR(__xludf.DUMMYFUNCTION("SPLIT(A16773,"" "")"),"C=CCN(C)Cc1cccc(-c2ccc(N=Cc3ccccn3)cc2)n1")</f>
        <v>C=CCN(C)Cc1cccc(-c2ccc(N=Cc3ccccn3)cc2)n1</v>
      </c>
      <c r="C16773" s="7">
        <f>IFERROR(__xludf.DUMMYFUNCTION("""COMPUTED_VALUE"""),7.7349935)</f>
        <v>7.7349935</v>
      </c>
      <c r="D16773" s="7">
        <f>IFERROR(__xludf.DUMMYFUNCTION("""COMPUTED_VALUE"""),0.454545454545454)</f>
        <v>0.4545454545</v>
      </c>
    </row>
    <row r="16774">
      <c r="A16774" s="10" t="s">
        <v>18213</v>
      </c>
      <c r="B16774" s="7" t="str">
        <f>IFERROR(__xludf.DUMMYFUNCTION("SPLIT(A16774,"" "")"),"CN(c1ccc2ncccc2c1)C1CCC(N(Cc2ccccn2)c2ccc3cc(CF)cnc3c2)CC1")</f>
        <v>CN(c1ccc2ncccc2c1)C1CCC(N(Cc2ccccn2)c2ccc3cc(CF)cnc3c2)CC1</v>
      </c>
      <c r="C16774" s="7">
        <f>IFERROR(__xludf.DUMMYFUNCTION("""COMPUTED_VALUE"""),7.7349873)</f>
        <v>7.7349873</v>
      </c>
      <c r="D16774" s="7">
        <f>IFERROR(__xludf.DUMMYFUNCTION("""COMPUTED_VALUE"""),0.338461538461538)</f>
        <v>0.3384615385</v>
      </c>
    </row>
    <row r="16775">
      <c r="A16775" s="10" t="s">
        <v>18214</v>
      </c>
      <c r="B16775" s="7" t="str">
        <f>IFERROR(__xludf.DUMMYFUNCTION("SPLIT(A16775,"" "")"),"Cc1ccccc1CN(C)Cc1ncccc1-c1ccccc1N=Cc1ccccn1")</f>
        <v>Cc1ccccc1CN(C)Cc1ncccc1-c1ccccc1N=Cc1ccccn1</v>
      </c>
      <c r="C16775" s="7">
        <f>IFERROR(__xludf.DUMMYFUNCTION("""COMPUTED_VALUE"""),7.734987)</f>
        <v>7.734987</v>
      </c>
      <c r="D16775" s="7">
        <f>IFERROR(__xludf.DUMMYFUNCTION("""COMPUTED_VALUE"""),0.5)</f>
        <v>0.5</v>
      </c>
    </row>
    <row r="16776">
      <c r="A16776" s="10" t="s">
        <v>18215</v>
      </c>
      <c r="B16776" s="7" t="str">
        <f>IFERROR(__xludf.DUMMYFUNCTION("SPLIT(A16776,"" "")"),"Cc1ccc(N(Cc2ccccn2)Cc2ncccc2N(C)C)c(C)c1")</f>
        <v>Cc1ccc(N(Cc2ccccn2)Cc2ncccc2N(C)C)c(C)c1</v>
      </c>
      <c r="C16776" s="7">
        <f>IFERROR(__xludf.DUMMYFUNCTION("""COMPUTED_VALUE"""),7.734986)</f>
        <v>7.734986</v>
      </c>
      <c r="D16776" s="7">
        <f>IFERROR(__xludf.DUMMYFUNCTION("""COMPUTED_VALUE"""),0.42)</f>
        <v>0.42</v>
      </c>
    </row>
    <row r="16777">
      <c r="A16777" s="10" t="s">
        <v>18216</v>
      </c>
      <c r="B16777" s="7" t="str">
        <f>IFERROR(__xludf.DUMMYFUNCTION("SPLIT(A16777,"" "")"),"Cc1ccc(CN(CC2=CC(N(C)c3ccc4ncccc4c3)C=CN2)Cc2ccccn2)nc1")</f>
        <v>Cc1ccc(CN(CC2=CC(N(C)c3ccc4ncccc4c3)C=CN2)Cc2ccccn2)nc1</v>
      </c>
      <c r="C16777" s="7">
        <f>IFERROR(__xludf.DUMMYFUNCTION("""COMPUTED_VALUE"""),7.7349806)</f>
        <v>7.7349806</v>
      </c>
      <c r="D16777" s="7">
        <f>IFERROR(__xludf.DUMMYFUNCTION("""COMPUTED_VALUE"""),0.38235294117647)</f>
        <v>0.3823529412</v>
      </c>
    </row>
    <row r="16778">
      <c r="A16778" s="10" t="s">
        <v>18217</v>
      </c>
      <c r="B16778" s="7" t="str">
        <f>IFERROR(__xludf.DUMMYFUNCTION("SPLIT(A16778,"" "")"),"CCN(C)Cc1ncccc1-c1ccccc1N=Cc1ccccn1")</f>
        <v>CCN(C)Cc1ncccc1-c1ccccc1N=Cc1ccccn1</v>
      </c>
      <c r="C16778" s="7">
        <f>IFERROR(__xludf.DUMMYFUNCTION("""COMPUTED_VALUE"""),7.7349687)</f>
        <v>7.7349687</v>
      </c>
      <c r="D16778" s="7">
        <f>IFERROR(__xludf.DUMMYFUNCTION("""COMPUTED_VALUE"""),0.46)</f>
        <v>0.46</v>
      </c>
    </row>
    <row r="16779">
      <c r="A16779" s="10" t="s">
        <v>18218</v>
      </c>
      <c r="B16779" s="7" t="str">
        <f>IFERROR(__xludf.DUMMYFUNCTION("SPLIT(A16779,"" "")"),"Cc1nc(CN(C)CCN(C)c2ccc3nc(CF)ccc3c2)c(C)c(C)c1C")</f>
        <v>Cc1nc(CN(C)CCN(C)c2ccc3nc(CF)ccc3c2)c(C)c(C)c1C</v>
      </c>
      <c r="C16779" s="7">
        <f>IFERROR(__xludf.DUMMYFUNCTION("""COMPUTED_VALUE"""),7.734968)</f>
        <v>7.734968</v>
      </c>
      <c r="D16779" s="7">
        <f>IFERROR(__xludf.DUMMYFUNCTION("""COMPUTED_VALUE"""),0.326923076923076)</f>
        <v>0.3269230769</v>
      </c>
    </row>
    <row r="16780">
      <c r="A16780" s="10" t="s">
        <v>18219</v>
      </c>
      <c r="B16780" s="7" t="str">
        <f>IFERROR(__xludf.DUMMYFUNCTION("SPLIT(A16780,"" "")"),"CN(C)Cc1cnc2cc(N(C)C3=CNC=CC3C(C)(C)C)ccc2c1")</f>
        <v>CN(C)Cc1cnc2cc(N(C)C3=CNC=CC3C(C)(C)C)ccc2c1</v>
      </c>
      <c r="C16780" s="7">
        <f>IFERROR(__xludf.DUMMYFUNCTION("""COMPUTED_VALUE"""),7.734967)</f>
        <v>7.734967</v>
      </c>
      <c r="D16780" s="7">
        <f>IFERROR(__xludf.DUMMYFUNCTION("""COMPUTED_VALUE"""),0.183333333333333)</f>
        <v>0.1833333333</v>
      </c>
    </row>
    <row r="16781">
      <c r="A16781" s="10" t="s">
        <v>18220</v>
      </c>
      <c r="B16781" s="7" t="str">
        <f>IFERROR(__xludf.DUMMYFUNCTION("SPLIT(A16781,"" "")"),"CN(C)c1cccc(-c2cccc(CN(C)C3C=CC=CN3)n2)c1")</f>
        <v>CN(C)c1cccc(-c2cccc(CN(C)C3C=CC=CN3)n2)c1</v>
      </c>
      <c r="C16781" s="7">
        <f>IFERROR(__xludf.DUMMYFUNCTION("""COMPUTED_VALUE"""),7.7349634)</f>
        <v>7.7349634</v>
      </c>
      <c r="D16781" s="7">
        <f>IFERROR(__xludf.DUMMYFUNCTION("""COMPUTED_VALUE"""),0.349206349206349)</f>
        <v>0.3492063492</v>
      </c>
    </row>
    <row r="16782">
      <c r="A16782" s="10" t="s">
        <v>18221</v>
      </c>
      <c r="B16782" s="7" t="str">
        <f>IFERROR(__xludf.DUMMYFUNCTION("SPLIT(A16782,"" "")"),"CN(CCN(Cc1ccccn1)c1ccccc1F)c1ccc2cccnc2c1")</f>
        <v>CN(CCN(Cc1ccccn1)c1ccccc1F)c1ccc2cccnc2c1</v>
      </c>
      <c r="C16782" s="7">
        <f>IFERROR(__xludf.DUMMYFUNCTION("""COMPUTED_VALUE"""),7.734956)</f>
        <v>7.734956</v>
      </c>
      <c r="D16782" s="7">
        <f>IFERROR(__xludf.DUMMYFUNCTION("""COMPUTED_VALUE"""),0.444444444444444)</f>
        <v>0.4444444444</v>
      </c>
    </row>
    <row r="16783">
      <c r="A16783" s="10" t="s">
        <v>18222</v>
      </c>
      <c r="B16783" s="7" t="str">
        <f>IFERROR(__xludf.DUMMYFUNCTION("SPLIT(A16783,"" "")"),"Cc1c(C)c(N(C)Cc2ccccn2)c(N(C)Cc2ccccn2)c(C(C)(C)C)c1C")</f>
        <v>Cc1c(C)c(N(C)Cc2ccccn2)c(N(C)Cc2ccccn2)c(C(C)(C)C)c1C</v>
      </c>
      <c r="C16783" s="7">
        <f>IFERROR(__xludf.DUMMYFUNCTION("""COMPUTED_VALUE"""),7.7349515)</f>
        <v>7.7349515</v>
      </c>
      <c r="D16783" s="7">
        <f>IFERROR(__xludf.DUMMYFUNCTION("""COMPUTED_VALUE"""),0.477272727272727)</f>
        <v>0.4772727273</v>
      </c>
    </row>
    <row r="16784">
      <c r="A16784" s="10" t="s">
        <v>18223</v>
      </c>
      <c r="B16784" s="7" t="str">
        <f>IFERROR(__xludf.DUMMYFUNCTION("SPLIT(A16784,"" "")"),"Cc1ccc(CN(C)c2ccc(-c3cc(CN(Cc4ccccn4)Cc4cc(C)cc(C)n4)ccn3)cc2)nc1")</f>
        <v>Cc1ccc(CN(C)c2ccc(-c3cc(CN(Cc4ccccn4)Cc4cc(C)cc(C)n4)ccn3)cc2)nc1</v>
      </c>
      <c r="C16784" s="7">
        <f>IFERROR(__xludf.DUMMYFUNCTION("""COMPUTED_VALUE"""),7.7349353)</f>
        <v>7.7349353</v>
      </c>
      <c r="D16784" s="7">
        <f>IFERROR(__xludf.DUMMYFUNCTION("""COMPUTED_VALUE"""),0.353846153846153)</f>
        <v>0.3538461538</v>
      </c>
    </row>
    <row r="16785">
      <c r="A16785" s="10" t="s">
        <v>18224</v>
      </c>
      <c r="B16785" s="7" t="str">
        <f>IFERROR(__xludf.DUMMYFUNCTION("SPLIT(A16785,"" "")"),"Cc1cccc(CN(C)CC2=CC(N(C)c3ccc4ncccc4c3)C=CN2)c1")</f>
        <v>Cc1cccc(CN(C)CC2=CC(N(C)c3ccc4ncccc4c3)C=CN2)c1</v>
      </c>
      <c r="C16785" s="7">
        <f>IFERROR(__xludf.DUMMYFUNCTION("""COMPUTED_VALUE"""),7.7349286)</f>
        <v>7.7349286</v>
      </c>
      <c r="D16785" s="7">
        <f>IFERROR(__xludf.DUMMYFUNCTION("""COMPUTED_VALUE"""),0.313432835820895)</f>
        <v>0.3134328358</v>
      </c>
    </row>
    <row r="16786">
      <c r="A16786" s="10" t="s">
        <v>18225</v>
      </c>
      <c r="B16786" s="7" t="str">
        <f>IFERROR(__xludf.DUMMYFUNCTION("SPLIT(A16786,"" "")"),"Cc1cncc(-c2cccc(NCc3ccccn3)c2C(C)(C)C)c1")</f>
        <v>Cc1cncc(-c2cccc(NCc3ccccn3)c2C(C)(C)C)c1</v>
      </c>
      <c r="C16786" s="7">
        <f>IFERROR(__xludf.DUMMYFUNCTION("""COMPUTED_VALUE"""),7.734927)</f>
        <v>7.734927</v>
      </c>
      <c r="D16786" s="7">
        <f>IFERROR(__xludf.DUMMYFUNCTION("""COMPUTED_VALUE"""),0.354838709677419)</f>
        <v>0.3548387097</v>
      </c>
    </row>
    <row r="16787">
      <c r="A16787" s="10" t="s">
        <v>18226</v>
      </c>
      <c r="B16787" s="7" t="str">
        <f>IFERROR(__xludf.DUMMYFUNCTION("SPLIT(A16787,"" "")"),"CC(C)C1=CC(N(C)Cc2ncccc2-c2cccc(N=Cc3ccccn3)c2)C=CN1")</f>
        <v>CC(C)C1=CC(N(C)Cc2ncccc2-c2cccc(N=Cc3ccccn3)c2)C=CN1</v>
      </c>
      <c r="C16787" s="7">
        <f>IFERROR(__xludf.DUMMYFUNCTION("""COMPUTED_VALUE"""),7.734911)</f>
        <v>7.734911</v>
      </c>
      <c r="D16787" s="7">
        <f>IFERROR(__xludf.DUMMYFUNCTION("""COMPUTED_VALUE"""),0.328571428571428)</f>
        <v>0.3285714286</v>
      </c>
    </row>
    <row r="16788">
      <c r="A16788" s="10" t="s">
        <v>18227</v>
      </c>
      <c r="B16788" s="7" t="str">
        <f>IFERROR(__xludf.DUMMYFUNCTION("SPLIT(A16788,"" "")"),"Fc1ccc(CN(Cc2ccccn2)Cc2ncccc2-c2ccccc2N=Cc2ccccn2)nc1")</f>
        <v>Fc1ccc(CN(Cc2ccccn2)Cc2ncccc2-c2ccccc2N=Cc2ccccn2)nc1</v>
      </c>
      <c r="C16788" s="7">
        <f>IFERROR(__xludf.DUMMYFUNCTION("""COMPUTED_VALUE"""),7.734902)</f>
        <v>7.734902</v>
      </c>
      <c r="D16788" s="7">
        <f>IFERROR(__xludf.DUMMYFUNCTION("""COMPUTED_VALUE"""),0.436363636363636)</f>
        <v>0.4363636364</v>
      </c>
    </row>
    <row r="16789">
      <c r="A16789" s="10" t="s">
        <v>18228</v>
      </c>
      <c r="B16789" s="7" t="str">
        <f>IFERROR(__xludf.DUMMYFUNCTION("SPLIT(A16789,"" "")"),"CN(c1ccc2cc(CF)cnc2c1)C1CCC(N(C)c2ccc3ccc(CF)nc3c2)CC1")</f>
        <v>CN(c1ccc2cc(CF)cnc2c1)C1CCC(N(C)c2ccc3ccc(CF)nc3c2)CC1</v>
      </c>
      <c r="C16789" s="7">
        <f>IFERROR(__xludf.DUMMYFUNCTION("""COMPUTED_VALUE"""),7.7349014)</f>
        <v>7.7349014</v>
      </c>
      <c r="D16789" s="7">
        <f>IFERROR(__xludf.DUMMYFUNCTION("""COMPUTED_VALUE"""),0.362068965517241)</f>
        <v>0.3620689655</v>
      </c>
    </row>
    <row r="16790">
      <c r="A16790" s="10" t="s">
        <v>18229</v>
      </c>
      <c r="B16790" s="7" t="str">
        <f>IFERROR(__xludf.DUMMYFUNCTION("SPLIT(A16790,"" "")"),"C1=CNC(N(Cc2ccccn2)Cc2cccc(-c3cccc(N=Cc4ccccn4)c3)n2)C=C1")</f>
        <v>C1=CNC(N(Cc2ccccn2)Cc2cccc(-c3cccc(N=Cc4ccccn4)c3)n2)C=C1</v>
      </c>
      <c r="C16790" s="7">
        <f>IFERROR(__xludf.DUMMYFUNCTION("""COMPUTED_VALUE"""),7.7348986)</f>
        <v>7.7348986</v>
      </c>
      <c r="D16790" s="7">
        <f>IFERROR(__xludf.DUMMYFUNCTION("""COMPUTED_VALUE"""),0.405797101449275)</f>
        <v>0.4057971014</v>
      </c>
    </row>
    <row r="16791">
      <c r="A16791" s="10" t="s">
        <v>18230</v>
      </c>
      <c r="B16791" s="7" t="str">
        <f>IFERROR(__xludf.DUMMYFUNCTION("SPLIT(A16791,"" "")"),"c1ccc(CNc2cccc(-c3cccnc3)c2)nc1")</f>
        <v>c1ccc(CNc2cccc(-c3cccnc3)c2)nc1</v>
      </c>
      <c r="C16791" s="7">
        <f>IFERROR(__xludf.DUMMYFUNCTION("""COMPUTED_VALUE"""),7.734898)</f>
        <v>7.734898</v>
      </c>
      <c r="D16791" s="7">
        <f>IFERROR(__xludf.DUMMYFUNCTION("""COMPUTED_VALUE"""),0.423076923076923)</f>
        <v>0.4230769231</v>
      </c>
    </row>
    <row r="16792">
      <c r="A16792" s="10" t="s">
        <v>18231</v>
      </c>
      <c r="B16792" s="7" t="str">
        <f>IFERROR(__xludf.DUMMYFUNCTION("SPLIT(A16792,"" "")"),"Cc1cncc(CN(Cc2cccc(-c3cccc(N=Cc4ccccn4)c3)n2)Cc2cccnc2F)c1")</f>
        <v>Cc1cncc(CN(Cc2cccc(-c3cccc(N=Cc4ccccn4)c3)n2)Cc2cccnc2F)c1</v>
      </c>
      <c r="C16792" s="7">
        <f>IFERROR(__xludf.DUMMYFUNCTION("""COMPUTED_VALUE"""),7.734897)</f>
        <v>7.734897</v>
      </c>
      <c r="D16792" s="7">
        <f>IFERROR(__xludf.DUMMYFUNCTION("""COMPUTED_VALUE"""),0.405405405405405)</f>
        <v>0.4054054054</v>
      </c>
    </row>
    <row r="16793">
      <c r="A16793" s="10" t="s">
        <v>18232</v>
      </c>
      <c r="B16793" s="7" t="str">
        <f>IFERROR(__xludf.DUMMYFUNCTION("SPLIT(A16793,"" "")"),"CN(CC1=CCC(N(C)Cc2cccnn2)=CN1)Cc1cccc2cccnc12")</f>
        <v>CN(CC1=CCC(N(C)Cc2cccnn2)=CN1)Cc1cccc2cccnc12</v>
      </c>
      <c r="C16793" s="7">
        <f>IFERROR(__xludf.DUMMYFUNCTION("""COMPUTED_VALUE"""),7.7348857)</f>
        <v>7.7348857</v>
      </c>
      <c r="D16793" s="7">
        <f>IFERROR(__xludf.DUMMYFUNCTION("""COMPUTED_VALUE"""),0.472727272727272)</f>
        <v>0.4727272727</v>
      </c>
    </row>
    <row r="16794">
      <c r="A16794" s="10" t="s">
        <v>18233</v>
      </c>
      <c r="B16794" s="7" t="str">
        <f>IFERROR(__xludf.DUMMYFUNCTION("SPLIT(A16794,"" "")"),"c1ccc(CNc2cccc(-c3ccccn3)c2)nc1")</f>
        <v>c1ccc(CNc2cccc(-c3ccccn3)c2)nc1</v>
      </c>
      <c r="C16794" s="7">
        <f>IFERROR(__xludf.DUMMYFUNCTION("""COMPUTED_VALUE"""),7.7348833)</f>
        <v>7.7348833</v>
      </c>
      <c r="D16794" s="7">
        <f>IFERROR(__xludf.DUMMYFUNCTION("""COMPUTED_VALUE"""),0.448979591836734)</f>
        <v>0.4489795918</v>
      </c>
    </row>
    <row r="16795">
      <c r="A16795" s="10" t="s">
        <v>18234</v>
      </c>
      <c r="B16795" s="7" t="str">
        <f>IFERROR(__xludf.DUMMYFUNCTION("SPLIT(A16795,"" "")"),"Cc1cc(C)c(C)c(CN(C)CCN(C)c2cccc3ncc(CF)cc23)n1")</f>
        <v>Cc1cc(C)c(C)c(CN(C)CCN(C)c2cccc3ncc(CF)cc23)n1</v>
      </c>
      <c r="C16795" s="7">
        <f>IFERROR(__xludf.DUMMYFUNCTION("""COMPUTED_VALUE"""),7.734879)</f>
        <v>7.734879</v>
      </c>
      <c r="D16795" s="7">
        <f>IFERROR(__xludf.DUMMYFUNCTION("""COMPUTED_VALUE"""),0.333333333333333)</f>
        <v>0.3333333333</v>
      </c>
    </row>
    <row r="16796">
      <c r="A16796" s="10" t="s">
        <v>18235</v>
      </c>
      <c r="B16796" s="7" t="str">
        <f>IFERROR(__xludf.DUMMYFUNCTION("SPLIT(A16796,"" "")"),"CN(c1ccc2ccc(CF)nc2c1)C1CCC(N(C)c2ccc3ccc(CF)nc3c2)CC1")</f>
        <v>CN(c1ccc2ccc(CF)nc2c1)C1CCC(N(C)c2ccc3ccc(CF)nc3c2)CC1</v>
      </c>
      <c r="C16796" s="7">
        <f>IFERROR(__xludf.DUMMYFUNCTION("""COMPUTED_VALUE"""),7.734876)</f>
        <v>7.734876</v>
      </c>
      <c r="D16796" s="7">
        <f>IFERROR(__xludf.DUMMYFUNCTION("""COMPUTED_VALUE"""),0.428571428571428)</f>
        <v>0.4285714286</v>
      </c>
    </row>
    <row r="16797">
      <c r="A16797" s="10" t="s">
        <v>18236</v>
      </c>
      <c r="B16797" s="7" t="str">
        <f>IFERROR(__xludf.DUMMYFUNCTION("SPLIT(A16797,"" "")"),"CC1N=COC1c1cccc(CN(C)Cc2cc3ccccc3cn2)n1")</f>
        <v>CC1N=COC1c1cccc(CN(C)Cc2cc3ccccc3cn2)n1</v>
      </c>
      <c r="C16797" s="7">
        <f>IFERROR(__xludf.DUMMYFUNCTION("""COMPUTED_VALUE"""),7.734875)</f>
        <v>7.734875</v>
      </c>
      <c r="D16797" s="7">
        <f>IFERROR(__xludf.DUMMYFUNCTION("""COMPUTED_VALUE"""),0.381818181818181)</f>
        <v>0.3818181818</v>
      </c>
    </row>
    <row r="16798">
      <c r="A16798" s="10" t="s">
        <v>18237</v>
      </c>
      <c r="B16798" s="7" t="str">
        <f>IFERROR(__xludf.DUMMYFUNCTION("SPLIT(A16798,"" "")"),"CNCc1c(NCc2ccccn2)cccc1-c1ncccc1C")</f>
        <v>CNCc1c(NCc2ccccn2)cccc1-c1ncccc1C</v>
      </c>
      <c r="C16798" s="7">
        <f>IFERROR(__xludf.DUMMYFUNCTION("""COMPUTED_VALUE"""),7.7348604)</f>
        <v>7.7348604</v>
      </c>
      <c r="D16798" s="7">
        <f>IFERROR(__xludf.DUMMYFUNCTION("""COMPUTED_VALUE"""),0.361702127659574)</f>
        <v>0.3617021277</v>
      </c>
    </row>
    <row r="16799">
      <c r="A16799" s="10" t="s">
        <v>18238</v>
      </c>
      <c r="B16799" s="7" t="str">
        <f>IFERROR(__xludf.DUMMYFUNCTION("SPLIT(A16799,"" "")"),"CC(C)C1=CC(N(C)Cc2ncccc2-c2ccccc2N=Cc2ccccn2)C=CN1")</f>
        <v>CC(C)C1=CC(N(C)Cc2ncccc2-c2ccccc2N=Cc2ccccn2)C=CN1</v>
      </c>
      <c r="C16799" s="7">
        <f>IFERROR(__xludf.DUMMYFUNCTION("""COMPUTED_VALUE"""),7.7348604)</f>
        <v>7.7348604</v>
      </c>
      <c r="D16799" s="7">
        <f>IFERROR(__xludf.DUMMYFUNCTION("""COMPUTED_VALUE"""),0.38095238095238)</f>
        <v>0.380952381</v>
      </c>
    </row>
    <row r="16800">
      <c r="A16800" s="10" t="s">
        <v>18239</v>
      </c>
      <c r="B16800" s="7" t="str">
        <f>IFERROR(__xludf.DUMMYFUNCTION("SPLIT(A16800,"" "")"),"CCN(Cc1ccccn1)Cc1nccc2cccc(N(C)Cc3ccccn3)c12")</f>
        <v>CCN(Cc1ccccn1)Cc1nccc2cccc(N(C)Cc3ccccn3)c12</v>
      </c>
      <c r="C16800" s="7">
        <f>IFERROR(__xludf.DUMMYFUNCTION("""COMPUTED_VALUE"""),7.734855)</f>
        <v>7.734855</v>
      </c>
      <c r="D16800" s="7">
        <f>IFERROR(__xludf.DUMMYFUNCTION("""COMPUTED_VALUE"""),0.46938775510204)</f>
        <v>0.4693877551</v>
      </c>
    </row>
    <row r="16801">
      <c r="A16801" s="10" t="s">
        <v>18240</v>
      </c>
      <c r="B16801" s="7" t="str">
        <f>IFERROR(__xludf.DUMMYFUNCTION("SPLIT(A16801,"" "")"),"CCNCc1cc(-c2cccc(N=Cc3ccccn3)c2)ccn1")</f>
        <v>CCNCc1cc(-c2cccc(N=Cc3ccccn3)c2)ccn1</v>
      </c>
      <c r="C16801" s="7">
        <f>IFERROR(__xludf.DUMMYFUNCTION("""COMPUTED_VALUE"""),7.7348456)</f>
        <v>7.7348456</v>
      </c>
      <c r="D16801" s="7">
        <f>IFERROR(__xludf.DUMMYFUNCTION("""COMPUTED_VALUE"""),0.381818181818181)</f>
        <v>0.3818181818</v>
      </c>
    </row>
    <row r="16802">
      <c r="A16802" s="10" t="s">
        <v>18241</v>
      </c>
      <c r="B16802" s="7" t="str">
        <f>IFERROR(__xludf.DUMMYFUNCTION("SPLIT(A16802,"" "")"),"Cc1ccc(CN(C)Cc2ncccc2-c2ccccc2N(C)C)cc1C")</f>
        <v>Cc1ccc(CN(C)Cc2ncccc2-c2ccccc2N(C)C)cc1C</v>
      </c>
      <c r="C16802" s="7">
        <f>IFERROR(__xludf.DUMMYFUNCTION("""COMPUTED_VALUE"""),7.734844)</f>
        <v>7.734844</v>
      </c>
      <c r="D16802" s="7">
        <f>IFERROR(__xludf.DUMMYFUNCTION("""COMPUTED_VALUE"""),0.296296296296296)</f>
        <v>0.2962962963</v>
      </c>
    </row>
    <row r="16803">
      <c r="A16803" s="10" t="s">
        <v>18242</v>
      </c>
      <c r="B16803" s="7" t="str">
        <f>IFERROR(__xludf.DUMMYFUNCTION("SPLIT(A16803,"" "")"),"CNc1cc(Cl)cc(C(C)(C)c2ccccn2)c1F")</f>
        <v>CNc1cc(Cl)cc(C(C)(C)c2ccccn2)c1F</v>
      </c>
      <c r="C16803" s="7">
        <f>IFERROR(__xludf.DUMMYFUNCTION("""COMPUTED_VALUE"""),7.7348433)</f>
        <v>7.7348433</v>
      </c>
      <c r="D16803" s="7">
        <f>IFERROR(__xludf.DUMMYFUNCTION("""COMPUTED_VALUE"""),0.30188679245283)</f>
        <v>0.3018867925</v>
      </c>
    </row>
    <row r="16804">
      <c r="A16804" s="10" t="s">
        <v>18243</v>
      </c>
      <c r="B16804" s="7" t="str">
        <f>IFERROR(__xludf.DUMMYFUNCTION("SPLIT(A16804,"" "")"),"c1ccc(CNc2ccccc2-c2ccccn2)nc1")</f>
        <v>c1ccc(CNc2ccccc2-c2ccccn2)nc1</v>
      </c>
      <c r="C16804" s="7">
        <f>IFERROR(__xludf.DUMMYFUNCTION("""COMPUTED_VALUE"""),7.7348433)</f>
        <v>7.7348433</v>
      </c>
      <c r="D16804" s="7">
        <f>IFERROR(__xludf.DUMMYFUNCTION("""COMPUTED_VALUE"""),0.485714285714285)</f>
        <v>0.4857142857</v>
      </c>
    </row>
    <row r="16805">
      <c r="A16805" s="10" t="s">
        <v>18244</v>
      </c>
      <c r="B16805" s="7" t="str">
        <f>IFERROR(__xludf.DUMMYFUNCTION("SPLIT(A16805,"" "")"),"CC(C)N(Cc1ccccn1)c1ccc2nc(CN(C)C3C=CC=CN3)ccc2c1")</f>
        <v>CC(C)N(Cc1ccccn1)c1ccc2nc(CN(C)C3C=CC=CN3)ccc2c1</v>
      </c>
      <c r="C16805" s="7">
        <f>IFERROR(__xludf.DUMMYFUNCTION("""COMPUTED_VALUE"""),7.7348256)</f>
        <v>7.7348256</v>
      </c>
      <c r="D16805" s="7">
        <f>IFERROR(__xludf.DUMMYFUNCTION("""COMPUTED_VALUE"""),0.40625)</f>
        <v>0.40625</v>
      </c>
    </row>
    <row r="16806">
      <c r="A16806" s="10" t="s">
        <v>18245</v>
      </c>
      <c r="B16806" s="7" t="str">
        <f>IFERROR(__xludf.DUMMYFUNCTION("SPLIT(A16806,"" "")"),"Cc1ccccc1CN(C)Cc1cc(-c2ccccc2N=Cc2ccccn2)ccn1")</f>
        <v>Cc1ccccc1CN(C)Cc1cc(-c2ccccc2N=Cc2ccccn2)ccn1</v>
      </c>
      <c r="C16806" s="7">
        <f>IFERROR(__xludf.DUMMYFUNCTION("""COMPUTED_VALUE"""),7.7348204)</f>
        <v>7.7348204</v>
      </c>
      <c r="D16806" s="7">
        <f>IFERROR(__xludf.DUMMYFUNCTION("""COMPUTED_VALUE"""),0.464285714285714)</f>
        <v>0.4642857143</v>
      </c>
    </row>
    <row r="16807">
      <c r="A16807" s="10" t="s">
        <v>18246</v>
      </c>
      <c r="B16807" s="7" t="str">
        <f>IFERROR(__xludf.DUMMYFUNCTION("SPLIT(A16807,"" "")"),"CCN(Cc1ccccn1)c1cc2ncccc2cc1CN(C)Cc1ncccc1C")</f>
        <v>CCN(Cc1ccccn1)c1cc2ncccc2cc1CN(C)Cc1ncccc1C</v>
      </c>
      <c r="C16807" s="7">
        <f>IFERROR(__xludf.DUMMYFUNCTION("""COMPUTED_VALUE"""),7.734808)</f>
        <v>7.734808</v>
      </c>
      <c r="D16807" s="7">
        <f>IFERROR(__xludf.DUMMYFUNCTION("""COMPUTED_VALUE"""),0.379310344827586)</f>
        <v>0.3793103448</v>
      </c>
    </row>
    <row r="16808">
      <c r="A16808" s="10" t="s">
        <v>18247</v>
      </c>
      <c r="B16808" s="7" t="str">
        <f>IFERROR(__xludf.DUMMYFUNCTION("SPLIT(A16808,"" "")"),"CC(C)(CN(Cc1ccccn1)c1ccc2ncccc2c1)c1ccccn1")</f>
        <v>CC(C)(CN(Cc1ccccn1)c1ccc2ncccc2c1)c1ccccn1</v>
      </c>
      <c r="C16808" s="7">
        <f>IFERROR(__xludf.DUMMYFUNCTION("""COMPUTED_VALUE"""),7.734805)</f>
        <v>7.734805</v>
      </c>
      <c r="D16808" s="7">
        <f>IFERROR(__xludf.DUMMYFUNCTION("""COMPUTED_VALUE"""),0.411764705882352)</f>
        <v>0.4117647059</v>
      </c>
    </row>
    <row r="16809">
      <c r="A16809" s="10" t="s">
        <v>18248</v>
      </c>
      <c r="B16809" s="7" t="str">
        <f>IFERROR(__xludf.DUMMYFUNCTION("SPLIT(A16809,"" "")"),"CN(C)Cc1ccc2cc(N(C)C3CCC(N(C)c4ccc5nc(CF)ccc5c4)CC3)ccc2n1")</f>
        <v>CN(C)Cc1ccc2cc(N(C)C3CCC(N(C)c4ccc5nc(CF)ccc5c4)CC3)ccc2n1</v>
      </c>
      <c r="C16809" s="7">
        <f>IFERROR(__xludf.DUMMYFUNCTION("""COMPUTED_VALUE"""),7.734792)</f>
        <v>7.734792</v>
      </c>
      <c r="D16809" s="7">
        <f>IFERROR(__xludf.DUMMYFUNCTION("""COMPUTED_VALUE"""),0.381818181818181)</f>
        <v>0.3818181818</v>
      </c>
    </row>
    <row r="16810">
      <c r="A16810" s="10" t="s">
        <v>18249</v>
      </c>
      <c r="B16810" s="7" t="str">
        <f>IFERROR(__xludf.DUMMYFUNCTION("SPLIT(A16810,"" "")"),"CNCCN(Cc1ncccc1C)c1cccc2cccnc12")</f>
        <v>CNCCN(Cc1ncccc1C)c1cccc2cccnc12</v>
      </c>
      <c r="C16810" s="7">
        <f>IFERROR(__xludf.DUMMYFUNCTION("""COMPUTED_VALUE"""),7.734788)</f>
        <v>7.734788</v>
      </c>
      <c r="D16810" s="7">
        <f>IFERROR(__xludf.DUMMYFUNCTION("""COMPUTED_VALUE"""),0.478260869565217)</f>
        <v>0.4782608696</v>
      </c>
    </row>
    <row r="16811">
      <c r="A16811" s="10" t="s">
        <v>18250</v>
      </c>
      <c r="B16811" s="7" t="str">
        <f>IFERROR(__xludf.DUMMYFUNCTION("SPLIT(A16811,"" "")"),"CCNCc1ccccc1-c1cc(CN(Cc2ccccn2)Cc2ccc(-c3cccc(N=Cc4ccccn4)c3)cn2)ccn1")</f>
        <v>CCNCc1ccccc1-c1cc(CN(Cc2ccccn2)Cc2ccc(-c3cccc(N=Cc4ccccn4)c3)cn2)ccn1</v>
      </c>
      <c r="C16811" s="7">
        <f>IFERROR(__xludf.DUMMYFUNCTION("""COMPUTED_VALUE"""),7.7347865)</f>
        <v>7.7347865</v>
      </c>
      <c r="D16811" s="7">
        <f>IFERROR(__xludf.DUMMYFUNCTION("""COMPUTED_VALUE"""),0.317073170731707)</f>
        <v>0.3170731707</v>
      </c>
    </row>
    <row r="16812">
      <c r="A16812" s="10" t="s">
        <v>18251</v>
      </c>
      <c r="B16812" s="7" t="str">
        <f>IFERROR(__xludf.DUMMYFUNCTION("SPLIT(A16812,"" "")"),"Cc1ccc(-c2cccc(NCc3ccccn3)c2)nc1CN(C)Cc1cc(C)c(C)c(C)n1")</f>
        <v>Cc1ccc(-c2cccc(NCc3ccccn3)c2)nc1CN(C)Cc1cc(C)c(C)c(C)n1</v>
      </c>
      <c r="C16812" s="7">
        <f>IFERROR(__xludf.DUMMYFUNCTION("""COMPUTED_VALUE"""),7.734783)</f>
        <v>7.734783</v>
      </c>
      <c r="D16812" s="7">
        <f>IFERROR(__xludf.DUMMYFUNCTION("""COMPUTED_VALUE"""),0.38095238095238)</f>
        <v>0.380952381</v>
      </c>
    </row>
    <row r="16813">
      <c r="A16813" s="10" t="s">
        <v>18252</v>
      </c>
      <c r="B16813" s="7" t="str">
        <f>IFERROR(__xludf.DUMMYFUNCTION("SPLIT(A16813,"" "")"),"CN(c1ccc2ncccc2c1)C1CCCCC1N(Cc1ccccn1)c1ccc2ccnc(CF)c2c1")</f>
        <v>CN(c1ccc2ncccc2c1)C1CCCCC1N(Cc1ccccn1)c1ccc2ccnc(CF)c2c1</v>
      </c>
      <c r="C16813" s="7">
        <f>IFERROR(__xludf.DUMMYFUNCTION("""COMPUTED_VALUE"""),7.7347827)</f>
        <v>7.7347827</v>
      </c>
      <c r="D16813" s="7">
        <f>IFERROR(__xludf.DUMMYFUNCTION("""COMPUTED_VALUE"""),0.40625)</f>
        <v>0.40625</v>
      </c>
    </row>
    <row r="16814">
      <c r="A16814" s="10" t="s">
        <v>18253</v>
      </c>
      <c r="B16814" s="7" t="str">
        <f>IFERROR(__xludf.DUMMYFUNCTION("SPLIT(A16814,"" "")"),"Cc1cccnc1CN(C)c1ccccc1-c1cccnc1CN(C)Cc1ccccn1")</f>
        <v>Cc1cccnc1CN(C)c1ccccc1-c1cccnc1CN(C)Cc1ccccn1</v>
      </c>
      <c r="C16814" s="7">
        <f>IFERROR(__xludf.DUMMYFUNCTION("""COMPUTED_VALUE"""),7.734782)</f>
        <v>7.734782</v>
      </c>
      <c r="D16814" s="7">
        <f>IFERROR(__xludf.DUMMYFUNCTION("""COMPUTED_VALUE"""),0.448979591836734)</f>
        <v>0.4489795918</v>
      </c>
    </row>
    <row r="16815">
      <c r="A16815" s="10" t="s">
        <v>18254</v>
      </c>
      <c r="B16815" s="7" t="str">
        <f>IFERROR(__xludf.DUMMYFUNCTION("SPLIT(A16815,"" "")"),"Cc1c(-c2ccccc2N=Cc2ccccn2)cnc(CN(CF)Cc2ccccn2)c1C")</f>
        <v>Cc1c(-c2ccccc2N=Cc2ccccn2)cnc(CN(CF)Cc2ccccn2)c1C</v>
      </c>
      <c r="C16815" s="7">
        <f>IFERROR(__xludf.DUMMYFUNCTION("""COMPUTED_VALUE"""),7.7347794)</f>
        <v>7.7347794</v>
      </c>
      <c r="D16815" s="7">
        <f>IFERROR(__xludf.DUMMYFUNCTION("""COMPUTED_VALUE"""),0.406779661016949)</f>
        <v>0.406779661</v>
      </c>
    </row>
    <row r="16816">
      <c r="A16816" s="10" t="s">
        <v>18255</v>
      </c>
      <c r="B16816" s="7" t="str">
        <f>IFERROR(__xludf.DUMMYFUNCTION("SPLIT(A16816,"" "")"),"Cc1cccc(CN(C)C2=C(CN(C)Cc3ccc4cccnc4c3)NC=CC2)n1")</f>
        <v>Cc1cccc(CN(C)C2=C(CN(C)Cc3ccc4cccnc4c3)NC=CC2)n1</v>
      </c>
      <c r="C16816" s="7">
        <f>IFERROR(__xludf.DUMMYFUNCTION("""COMPUTED_VALUE"""),7.73477)</f>
        <v>7.73477</v>
      </c>
      <c r="D16816" s="7">
        <f>IFERROR(__xludf.DUMMYFUNCTION("""COMPUTED_VALUE"""),0.35)</f>
        <v>0.35</v>
      </c>
    </row>
    <row r="16817">
      <c r="A16817" s="10" t="s">
        <v>18256</v>
      </c>
      <c r="B16817" s="7" t="str">
        <f>IFERROR(__xludf.DUMMYFUNCTION("SPLIT(A16817,"" "")"),"Cc1cc(C)c(CN(C)CCN(C)c2cccc3nc(CF)ccc23)nc1C")</f>
        <v>Cc1cc(C)c(CN(C)CCN(C)c2cccc3nc(CF)ccc23)nc1C</v>
      </c>
      <c r="C16817" s="7">
        <f>IFERROR(__xludf.DUMMYFUNCTION("""COMPUTED_VALUE"""),7.7347665)</f>
        <v>7.7347665</v>
      </c>
      <c r="D16817" s="7">
        <f>IFERROR(__xludf.DUMMYFUNCTION("""COMPUTED_VALUE"""),0.351851851851851)</f>
        <v>0.3518518519</v>
      </c>
    </row>
    <row r="16818">
      <c r="A16818" s="10" t="s">
        <v>18257</v>
      </c>
      <c r="B16818" s="7" t="str">
        <f>IFERROR(__xludf.DUMMYFUNCTION("SPLIT(A16818,"" "")"),"CNCN(Cc1ccccn1)c1cccc2ncc(CN(C)Cc3ncc(C)c(C)c3C)cc12")</f>
        <v>CNCN(Cc1ccccn1)c1cccc2ncc(CN(C)Cc3ncc(C)c(C)c3C)cc12</v>
      </c>
      <c r="C16818" s="7">
        <f>IFERROR(__xludf.DUMMYFUNCTION("""COMPUTED_VALUE"""),7.734765)</f>
        <v>7.734765</v>
      </c>
      <c r="D16818" s="7">
        <f>IFERROR(__xludf.DUMMYFUNCTION("""COMPUTED_VALUE"""),0.333333333333333)</f>
        <v>0.3333333333</v>
      </c>
    </row>
    <row r="16819">
      <c r="A16819" s="10" t="s">
        <v>18258</v>
      </c>
      <c r="B16819" s="7" t="str">
        <f>IFERROR(__xludf.DUMMYFUNCTION("SPLIT(A16819,"" "")"),"CN(C)Cc1cnc2cc(N(C)C3CCCCC3N(C)c3ccc4ccc(CF)nc4c3)ccc2c1")</f>
        <v>CN(C)Cc1cnc2cc(N(C)C3CCCCC3N(C)c3ccc4ccc(CF)nc4c3)ccc2c1</v>
      </c>
      <c r="C16819" s="7">
        <f>IFERROR(__xludf.DUMMYFUNCTION("""COMPUTED_VALUE"""),7.734762)</f>
        <v>7.734762</v>
      </c>
      <c r="D16819" s="7">
        <f>IFERROR(__xludf.DUMMYFUNCTION("""COMPUTED_VALUE"""),0.473684210526315)</f>
        <v>0.4736842105</v>
      </c>
    </row>
    <row r="16820">
      <c r="A16820" s="10" t="s">
        <v>18259</v>
      </c>
      <c r="B16820" s="7" t="str">
        <f>IFERROR(__xludf.DUMMYFUNCTION("SPLIT(A16820,"" "")"),"Cc1ccc(N(Cc2ccccn2)Cc2ccc(N(C)C)cn2)c(C)c1")</f>
        <v>Cc1ccc(N(Cc2ccccn2)Cc2ccc(N(C)C)cn2)c(C)c1</v>
      </c>
      <c r="C16820" s="7">
        <f>IFERROR(__xludf.DUMMYFUNCTION("""COMPUTED_VALUE"""),7.734759)</f>
        <v>7.734759</v>
      </c>
      <c r="D16820" s="7">
        <f>IFERROR(__xludf.DUMMYFUNCTION("""COMPUTED_VALUE"""),0.42)</f>
        <v>0.42</v>
      </c>
    </row>
    <row r="16821">
      <c r="A16821" s="10" t="s">
        <v>18260</v>
      </c>
      <c r="B16821" s="7" t="str">
        <f>IFERROR(__xludf.DUMMYFUNCTION("SPLIT(A16821,"" "")"),"Cc1cnccc1CN(Cc1ccccn1)Cc1ncccc1-c1ccccc1N=Cc1ccccn1")</f>
        <v>Cc1cnccc1CN(Cc1ccccn1)Cc1ncccc1-c1ccccc1N=Cc1ccccn1</v>
      </c>
      <c r="C16821" s="7">
        <f>IFERROR(__xludf.DUMMYFUNCTION("""COMPUTED_VALUE"""),7.734759)</f>
        <v>7.734759</v>
      </c>
      <c r="D16821" s="7">
        <f>IFERROR(__xludf.DUMMYFUNCTION("""COMPUTED_VALUE"""),0.416666666666666)</f>
        <v>0.4166666667</v>
      </c>
    </row>
    <row r="16822">
      <c r="A16822" s="10" t="s">
        <v>18261</v>
      </c>
      <c r="B16822" s="7" t="str">
        <f>IFERROR(__xludf.DUMMYFUNCTION("SPLIT(A16822,"" "")"),"CC(C)N(C)CC1=C(N(C)c2ccc3c(CN(C)C)ccnc3c2)CC=CN1")</f>
        <v>CC(C)N(C)CC1=C(N(C)c2ccc3c(CN(C)C)ccnc3c2)CC=CN1</v>
      </c>
      <c r="C16822" s="7">
        <f>IFERROR(__xludf.DUMMYFUNCTION("""COMPUTED_VALUE"""),7.7347584)</f>
        <v>7.7347584</v>
      </c>
      <c r="D16822" s="7">
        <f>IFERROR(__xludf.DUMMYFUNCTION("""COMPUTED_VALUE"""),0.217391304347826)</f>
        <v>0.2173913043</v>
      </c>
    </row>
    <row r="16823">
      <c r="A16823" s="10" t="s">
        <v>18262</v>
      </c>
      <c r="B16823" s="7" t="str">
        <f>IFERROR(__xludf.DUMMYFUNCTION("SPLIT(A16823,"" "")"),"Cc1cnc(CN(C)CCN(Cc2ccccn2)c2ccc3nccc(C)c3c2)c(C)c1")</f>
        <v>Cc1cnc(CN(C)CCN(Cc2ccccn2)c2ccc3nccc(C)c3c2)c(C)c1</v>
      </c>
      <c r="C16823" s="7">
        <f>IFERROR(__xludf.DUMMYFUNCTION("""COMPUTED_VALUE"""),7.7347536)</f>
        <v>7.7347536</v>
      </c>
      <c r="D16823" s="7">
        <f>IFERROR(__xludf.DUMMYFUNCTION("""COMPUTED_VALUE"""),0.368421052631578)</f>
        <v>0.3684210526</v>
      </c>
    </row>
    <row r="16824">
      <c r="A16824" s="10" t="s">
        <v>18263</v>
      </c>
      <c r="B16824" s="7" t="str">
        <f>IFERROR(__xludf.DUMMYFUNCTION("SPLIT(A16824,"" "")"),"Cc1cccc(-c2cccc(NCc3cccc(C(C)(C)C)n3)c2)n1")</f>
        <v>Cc1cccc(-c2cccc(NCc3cccc(C(C)(C)C)n3)c2)n1</v>
      </c>
      <c r="C16824" s="7">
        <f>IFERROR(__xludf.DUMMYFUNCTION("""COMPUTED_VALUE"""),7.734747)</f>
        <v>7.734747</v>
      </c>
      <c r="D16824" s="7">
        <f>IFERROR(__xludf.DUMMYFUNCTION("""COMPUTED_VALUE"""),0.294117647058823)</f>
        <v>0.2941176471</v>
      </c>
    </row>
    <row r="16825">
      <c r="A16825" s="10" t="s">
        <v>18264</v>
      </c>
      <c r="B16825" s="7" t="str">
        <f>IFERROR(__xludf.DUMMYFUNCTION("SPLIT(A16825,"" "")"),"CCN(C)Cc1cc(-c2ccccc2N=Cc2ccccn2)ccn1")</f>
        <v>CCN(C)Cc1cc(-c2ccccc2N=Cc2ccccn2)ccn1</v>
      </c>
      <c r="C16825" s="7">
        <f>IFERROR(__xludf.DUMMYFUNCTION("""COMPUTED_VALUE"""),7.7347445)</f>
        <v>7.7347445</v>
      </c>
      <c r="D16825" s="7">
        <f>IFERROR(__xludf.DUMMYFUNCTION("""COMPUTED_VALUE"""),0.450980392156862)</f>
        <v>0.4509803922</v>
      </c>
    </row>
    <row r="16826">
      <c r="A16826" s="10" t="s">
        <v>18265</v>
      </c>
      <c r="B16826" s="7" t="str">
        <f>IFERROR(__xludf.DUMMYFUNCTION("SPLIT(A16826,"" "")"),"Cc1cc(C)c(CN(C)C2=C(CN(C)Cc3ccc4cccnc4c3)NC=CC2)cn1")</f>
        <v>Cc1cc(C)c(CN(C)C2=C(CN(C)Cc3ccc4cccnc4c3)NC=CC2)cn1</v>
      </c>
      <c r="C16826" s="7">
        <f>IFERROR(__xludf.DUMMYFUNCTION("""COMPUTED_VALUE"""),7.734739)</f>
        <v>7.734739</v>
      </c>
      <c r="D16826" s="7">
        <f>IFERROR(__xludf.DUMMYFUNCTION("""COMPUTED_VALUE"""),0.260869565217391)</f>
        <v>0.2608695652</v>
      </c>
    </row>
    <row r="16827">
      <c r="A16827" s="10" t="s">
        <v>18266</v>
      </c>
      <c r="B16827" s="7" t="str">
        <f>IFERROR(__xludf.DUMMYFUNCTION("SPLIT(A16827,"" "")"),"Cc1cccc(C)c1N(Cc1ccccn1)Cc1ncccc1N(C)C")</f>
        <v>Cc1cccc(C)c1N(Cc1ccccn1)Cc1ncccc1N(C)C</v>
      </c>
      <c r="C16827" s="7">
        <f>IFERROR(__xludf.DUMMYFUNCTION("""COMPUTED_VALUE"""),7.7347336)</f>
        <v>7.7347336</v>
      </c>
      <c r="D16827" s="7">
        <f>IFERROR(__xludf.DUMMYFUNCTION("""COMPUTED_VALUE"""),0.416666666666666)</f>
        <v>0.4166666667</v>
      </c>
    </row>
    <row r="16828">
      <c r="A16828" s="10" t="s">
        <v>18267</v>
      </c>
      <c r="B16828" s="7" t="str">
        <f>IFERROR(__xludf.DUMMYFUNCTION("SPLIT(A16828,"" "")"),"CNc1cccc(N(C)Cc2cc(C)c(C)cn2)c1F")</f>
        <v>CNc1cccc(N(C)Cc2cc(C)c(C)cn2)c1F</v>
      </c>
      <c r="C16828" s="7">
        <f>IFERROR(__xludf.DUMMYFUNCTION("""COMPUTED_VALUE"""),7.734732)</f>
        <v>7.734732</v>
      </c>
      <c r="D16828" s="7">
        <f>IFERROR(__xludf.DUMMYFUNCTION("""COMPUTED_VALUE"""),0.352941176470588)</f>
        <v>0.3529411765</v>
      </c>
    </row>
    <row r="16829">
      <c r="A16829" s="10" t="s">
        <v>18268</v>
      </c>
      <c r="B16829" s="7" t="str">
        <f>IFERROR(__xludf.DUMMYFUNCTION("SPLIT(A16829,"" "")"),"Cc1ccnc(CN(Cc2cccnc2C(C)(C)c2c(N(Cc3ccccn3)C(C)C)ccc3ncccc23)Cc2ncccc2C(C)(C)C)c1C")</f>
        <v>Cc1ccnc(CN(Cc2cccnc2C(C)(C)c2c(N(Cc3ccccn3)C(C)C)ccc3ncccc23)Cc2ncccc2C(C)(C)C)c1C</v>
      </c>
      <c r="C16829" s="7">
        <f>IFERROR(__xludf.DUMMYFUNCTION("""COMPUTED_VALUE"""),7.7347274)</f>
        <v>7.7347274</v>
      </c>
      <c r="D16829" s="7">
        <f>IFERROR(__xludf.DUMMYFUNCTION("""COMPUTED_VALUE"""),0.283783783783783)</f>
        <v>0.2837837838</v>
      </c>
    </row>
    <row r="16830">
      <c r="A16830" s="10" t="s">
        <v>18269</v>
      </c>
      <c r="B16830" s="7" t="str">
        <f>IFERROR(__xludf.DUMMYFUNCTION("SPLIT(A16830,"" "")"),"CNCc1cc(-c2cc(NCc3ccccn3)ccc2C)ccn1")</f>
        <v>CNCc1cc(-c2cc(NCc3ccccn3)ccc2C)ccn1</v>
      </c>
      <c r="C16830" s="7">
        <f>IFERROR(__xludf.DUMMYFUNCTION("""COMPUTED_VALUE"""),7.734726)</f>
        <v>7.734726</v>
      </c>
      <c r="D16830" s="7">
        <f>IFERROR(__xludf.DUMMYFUNCTION("""COMPUTED_VALUE"""),0.379310344827586)</f>
        <v>0.3793103448</v>
      </c>
    </row>
    <row r="16831">
      <c r="A16831" s="10" t="s">
        <v>18270</v>
      </c>
      <c r="B16831" s="7" t="str">
        <f>IFERROR(__xludf.DUMMYFUNCTION("SPLIT(A16831,"" "")"),"CN(Cc1cnc2cccc(N(C)Cc3ccc4cc(N(C)c5ccc6ncccc6c5)ccc4n3)c2c1)Cc1cccc(-c2ccc3c(c2)OCCOCCOCCOCCOCCO3)n1")</f>
        <v>CN(Cc1cnc2cccc(N(C)Cc3ccc4cc(N(C)c5ccc6ncccc6c5)ccc4n3)c2c1)Cc1cccc(-c2ccc3c(c2)OCCOCCOCCOCCOCCO3)n1</v>
      </c>
      <c r="C16831" s="7">
        <f>IFERROR(__xludf.DUMMYFUNCTION("""COMPUTED_VALUE"""),7.734721)</f>
        <v>7.734721</v>
      </c>
      <c r="D16831" s="7">
        <f>IFERROR(__xludf.DUMMYFUNCTION("""COMPUTED_VALUE"""),0.289156626506024)</f>
        <v>0.2891566265</v>
      </c>
    </row>
    <row r="16832">
      <c r="A16832" s="10" t="s">
        <v>18271</v>
      </c>
      <c r="B16832" s="7" t="str">
        <f>IFERROR(__xludf.DUMMYFUNCTION("SPLIT(A16832,"" "")"),"CNCc1ccc2cccc(N(C)C3=C(CN(C)Cc4ccccn4)NC=CC3)c2n1")</f>
        <v>CNCc1ccc2cccc(N(C)C3=C(CN(C)Cc4ccccn4)NC=CC3)c2n1</v>
      </c>
      <c r="C16832" s="7">
        <f>IFERROR(__xludf.DUMMYFUNCTION("""COMPUTED_VALUE"""),7.734712)</f>
        <v>7.734712</v>
      </c>
      <c r="D16832" s="7">
        <f>IFERROR(__xludf.DUMMYFUNCTION("""COMPUTED_VALUE"""),0.369230769230769)</f>
        <v>0.3692307692</v>
      </c>
    </row>
    <row r="16833">
      <c r="A16833" s="10" t="s">
        <v>18272</v>
      </c>
      <c r="B16833" s="7" t="str">
        <f>IFERROR(__xludf.DUMMYFUNCTION("SPLIT(A16833,"" "")"),"CC(C)C1COC(c2cccc(CN(Cc3ccccn3)Cc3cccc(-c4cccc(N(C)C)c4)n3)n2)=N1")</f>
        <v>CC(C)C1COC(c2cccc(CN(Cc3ccccn3)Cc3cccc(-c4cccc(N(C)C)c4)n3)n2)=N1</v>
      </c>
      <c r="C16833" s="7">
        <f>IFERROR(__xludf.DUMMYFUNCTION("""COMPUTED_VALUE"""),7.7347107)</f>
        <v>7.7347107</v>
      </c>
      <c r="D16833" s="7">
        <f>IFERROR(__xludf.DUMMYFUNCTION("""COMPUTED_VALUE"""),0.492307692307692)</f>
        <v>0.4923076923</v>
      </c>
    </row>
    <row r="16834">
      <c r="A16834" s="10" t="s">
        <v>18273</v>
      </c>
      <c r="B16834" s="7" t="str">
        <f>IFERROR(__xludf.DUMMYFUNCTION("SPLIT(A16834,"" "")"),"Cc1ccnc(CN(C)c2cccc(-c3cc(CN(Cc4ccccn4)Cc4cc(C)c(C)c(C)n4)ccn3)c2)c1")</f>
        <v>Cc1ccnc(CN(C)c2cccc(-c3cc(CN(Cc4ccccn4)Cc4cc(C)c(C)c(C)n4)ccn3)c2)c1</v>
      </c>
      <c r="C16834" s="7">
        <f>IFERROR(__xludf.DUMMYFUNCTION("""COMPUTED_VALUE"""),7.734696)</f>
        <v>7.734696</v>
      </c>
      <c r="D16834" s="7">
        <f>IFERROR(__xludf.DUMMYFUNCTION("""COMPUTED_VALUE"""),0.394366197183098)</f>
        <v>0.3943661972</v>
      </c>
    </row>
    <row r="16835">
      <c r="A16835" s="10" t="s">
        <v>18274</v>
      </c>
      <c r="B16835" s="7" t="str">
        <f>IFERROR(__xludf.DUMMYFUNCTION("SPLIT(A16835,"" "")"),"CCCN(C)Cc1ccc2cccc(N(C)Cc3ncccc3C)c2n1")</f>
        <v>CCCN(C)Cc1ccc2cccc(N(C)Cc3ncccc3C)c2n1</v>
      </c>
      <c r="C16835" s="7">
        <f>IFERROR(__xludf.DUMMYFUNCTION("""COMPUTED_VALUE"""),7.7346845)</f>
        <v>7.7346845</v>
      </c>
      <c r="D16835" s="7">
        <f>IFERROR(__xludf.DUMMYFUNCTION("""COMPUTED_VALUE"""),0.46)</f>
        <v>0.46</v>
      </c>
    </row>
    <row r="16836">
      <c r="A16836" s="10" t="s">
        <v>18275</v>
      </c>
      <c r="B16836" s="7" t="str">
        <f>IFERROR(__xludf.DUMMYFUNCTION("SPLIT(A16836,"" "")"),"CC(C)N(C)CC1=C(N(C)c2ccc3nccc(CN(C)C)c3c2)CC=CN1")</f>
        <v>CC(C)N(C)CC1=C(N(C)c2ccc3nccc(CN(C)C)c3c2)CC=CN1</v>
      </c>
      <c r="C16836" s="7">
        <f>IFERROR(__xludf.DUMMYFUNCTION("""COMPUTED_VALUE"""),7.7346826)</f>
        <v>7.7346826</v>
      </c>
      <c r="D16836" s="7">
        <f>IFERROR(__xludf.DUMMYFUNCTION("""COMPUTED_VALUE"""),0.214285714285714)</f>
        <v>0.2142857143</v>
      </c>
    </row>
    <row r="16837">
      <c r="A16837" s="10" t="s">
        <v>18276</v>
      </c>
      <c r="B16837" s="7" t="str">
        <f>IFERROR(__xludf.DUMMYFUNCTION("SPLIT(A16837,"" "")"),"Cc1cccc(CN(C)Cc2cc(-c3cccc(N=Cc4ccccn4)c3)ccn2)c1")</f>
        <v>Cc1cccc(CN(C)Cc2cc(-c3cccc(N=Cc4ccccn4)c3)ccn2)c1</v>
      </c>
      <c r="C16837" s="7">
        <f>IFERROR(__xludf.DUMMYFUNCTION("""COMPUTED_VALUE"""),7.734682)</f>
        <v>7.734682</v>
      </c>
      <c r="D16837" s="7">
        <f>IFERROR(__xludf.DUMMYFUNCTION("""COMPUTED_VALUE"""),0.360655737704918)</f>
        <v>0.3606557377</v>
      </c>
    </row>
    <row r="16838">
      <c r="A16838" s="10" t="s">
        <v>18277</v>
      </c>
      <c r="B16838" s="7" t="str">
        <f>IFERROR(__xludf.DUMMYFUNCTION("SPLIT(A16838,"" "")"),"CC(C)CN(C)CC1=CC(N(C)Cc2ncccc2-c2ccc3ncccc3c2)C=CN1")</f>
        <v>CC(C)CN(C)CC1=CC(N(C)Cc2ncccc2-c2ccc3ncccc3c2)C=CN1</v>
      </c>
      <c r="C16838" s="7">
        <f>IFERROR(__xludf.DUMMYFUNCTION("""COMPUTED_VALUE"""),7.7346773)</f>
        <v>7.7346773</v>
      </c>
      <c r="D16838" s="7">
        <f>IFERROR(__xludf.DUMMYFUNCTION("""COMPUTED_VALUE"""),0.260273972602739)</f>
        <v>0.2602739726</v>
      </c>
    </row>
    <row r="16839">
      <c r="A16839" s="10" t="s">
        <v>18278</v>
      </c>
      <c r="B16839" s="7" t="str">
        <f>IFERROR(__xludf.DUMMYFUNCTION("SPLIT(A16839,"" "")"),"Cc1ccc(CN(C)c2cccnc2CN(C)Cc2cccnc2-c2ccccc2N)nc1")</f>
        <v>Cc1ccc(CN(C)c2cccnc2CN(C)Cc2cccnc2-c2ccccc2N)nc1</v>
      </c>
      <c r="C16839" s="7">
        <f>IFERROR(__xludf.DUMMYFUNCTION("""COMPUTED_VALUE"""),7.7346735)</f>
        <v>7.7346735</v>
      </c>
      <c r="D16839" s="7">
        <f>IFERROR(__xludf.DUMMYFUNCTION("""COMPUTED_VALUE"""),0.375)</f>
        <v>0.375</v>
      </c>
    </row>
    <row r="16840">
      <c r="A16840" s="10" t="s">
        <v>18279</v>
      </c>
      <c r="B16840" s="7" t="str">
        <f>IFERROR(__xludf.DUMMYFUNCTION("SPLIT(A16840,"" "")"),"Cc1cccnc1CN(C)C1=C(CN(C)c2ccc(Cl)c(Cl)c2)NC=CC1")</f>
        <v>Cc1cccnc1CN(C)C1=C(CN(C)c2ccc(Cl)c(Cl)c2)NC=CC1</v>
      </c>
      <c r="C16840" s="7">
        <f>IFERROR(__xludf.DUMMYFUNCTION("""COMPUTED_VALUE"""),7.734672)</f>
        <v>7.734672</v>
      </c>
      <c r="D16840" s="7">
        <f>IFERROR(__xludf.DUMMYFUNCTION("""COMPUTED_VALUE"""),0.311475409836065)</f>
        <v>0.3114754098</v>
      </c>
    </row>
    <row r="16841">
      <c r="A16841" s="10" t="s">
        <v>18280</v>
      </c>
      <c r="B16841" s="7" t="str">
        <f>IFERROR(__xludf.DUMMYFUNCTION("SPLIT(A16841,"" "")"),"CN(CC1=C(N(C)Cc2ccccn2)CC=CN1)Cc1cccc2ncccc12")</f>
        <v>CN(CC1=C(N(C)Cc2ccccn2)CC=CN1)Cc1cccc2ncccc12</v>
      </c>
      <c r="C16841" s="7">
        <f>IFERROR(__xludf.DUMMYFUNCTION("""COMPUTED_VALUE"""),7.7346716)</f>
        <v>7.7346716</v>
      </c>
      <c r="D16841" s="7">
        <f>IFERROR(__xludf.DUMMYFUNCTION("""COMPUTED_VALUE"""),0.366666666666666)</f>
        <v>0.3666666667</v>
      </c>
    </row>
    <row r="16842">
      <c r="A16842" s="10" t="s">
        <v>18281</v>
      </c>
      <c r="B16842" s="7" t="str">
        <f>IFERROR(__xludf.DUMMYFUNCTION("SPLIT(A16842,"" "")"),"Cc1cncc(C)c1CN(CCN(C)c1ccc2nccc(C)c2c1)C(C)C")</f>
        <v>Cc1cncc(C)c1CN(CCN(C)c1ccc2nccc(C)c2c1)C(C)C</v>
      </c>
      <c r="C16842" s="7">
        <f>IFERROR(__xludf.DUMMYFUNCTION("""COMPUTED_VALUE"""),7.734666)</f>
        <v>7.734666</v>
      </c>
      <c r="D16842" s="7">
        <f>IFERROR(__xludf.DUMMYFUNCTION("""COMPUTED_VALUE"""),0.327272727272727)</f>
        <v>0.3272727273</v>
      </c>
    </row>
    <row r="16843">
      <c r="A16843" s="10" t="s">
        <v>18282</v>
      </c>
      <c r="B16843" s="7" t="str">
        <f>IFERROR(__xludf.DUMMYFUNCTION("SPLIT(A16843,"" "")"),"CCN(Cc1ccccn1)c1cc2cccnc2cc1CN(C)Cc1ncccc1C")</f>
        <v>CCN(Cc1ccccn1)c1cc2cccnc2cc1CN(C)Cc1ncccc1C</v>
      </c>
      <c r="C16843" s="7">
        <f>IFERROR(__xludf.DUMMYFUNCTION("""COMPUTED_VALUE"""),7.734662)</f>
        <v>7.734662</v>
      </c>
      <c r="D16843" s="7">
        <f>IFERROR(__xludf.DUMMYFUNCTION("""COMPUTED_VALUE"""),0.379310344827586)</f>
        <v>0.3793103448</v>
      </c>
    </row>
    <row r="16844">
      <c r="A16844" s="10" t="s">
        <v>18283</v>
      </c>
      <c r="B16844" s="7" t="str">
        <f>IFERROR(__xludf.DUMMYFUNCTION("SPLIT(A16844,"" "")"),"Cc1cccc(CN(Cc2ccccn2)Cc2ncccc2-c2ccccc2N=Cc2ccccn2)n1")</f>
        <v>Cc1cccc(CN(Cc2ccccn2)Cc2ncccc2-c2ccccc2N=Cc2ccccn2)n1</v>
      </c>
      <c r="C16844" s="7">
        <f>IFERROR(__xludf.DUMMYFUNCTION("""COMPUTED_VALUE"""),7.734656)</f>
        <v>7.734656</v>
      </c>
      <c r="D16844" s="7">
        <f>IFERROR(__xludf.DUMMYFUNCTION("""COMPUTED_VALUE"""),0.43859649122807)</f>
        <v>0.4385964912</v>
      </c>
    </row>
    <row r="16845">
      <c r="A16845" s="10" t="s">
        <v>18284</v>
      </c>
      <c r="B16845" s="7" t="str">
        <f>IFERROR(__xludf.DUMMYFUNCTION("SPLIT(A16845,"" "")"),"CC(C)(c1ccccn1)c1cccnc1CN(Cc1ccccn1)Cc1cccc(-c2cccc(N=Cc3ccccn3)c2)n1")</f>
        <v>CC(C)(c1ccccn1)c1cccnc1CN(Cc1ccccn1)Cc1cccc(-c2cccc(N=Cc3ccccn3)c2)n1</v>
      </c>
      <c r="C16845" s="7">
        <f>IFERROR(__xludf.DUMMYFUNCTION("""COMPUTED_VALUE"""),7.7346525)</f>
        <v>7.7346525</v>
      </c>
      <c r="D16845" s="7">
        <f>IFERROR(__xludf.DUMMYFUNCTION("""COMPUTED_VALUE"""),0.457142857142857)</f>
        <v>0.4571428571</v>
      </c>
    </row>
    <row r="16846">
      <c r="A16846" s="10" t="s">
        <v>18285</v>
      </c>
      <c r="B16846" s="7" t="str">
        <f>IFERROR(__xludf.DUMMYFUNCTION("SPLIT(A16846,"" "")"),"c1ccc(CNc2ccc(-c3ccccn3)cc2)nc1")</f>
        <v>c1ccc(CNc2ccc(-c3ccccn3)cc2)nc1</v>
      </c>
      <c r="C16846" s="7">
        <f>IFERROR(__xludf.DUMMYFUNCTION("""COMPUTED_VALUE"""),7.73465)</f>
        <v>7.73465</v>
      </c>
      <c r="D16846" s="7">
        <f>IFERROR(__xludf.DUMMYFUNCTION("""COMPUTED_VALUE"""),0.485714285714285)</f>
        <v>0.4857142857</v>
      </c>
    </row>
    <row r="16847">
      <c r="A16847" s="10" t="s">
        <v>18286</v>
      </c>
      <c r="B16847" s="7" t="str">
        <f>IFERROR(__xludf.DUMMYFUNCTION("SPLIT(A16847,"" "")"),"Cc1cc2cccnc2cc1CN(C)Cc1cccc(N)n1")</f>
        <v>Cc1cc2cccnc2cc1CN(C)Cc1cccc(N)n1</v>
      </c>
      <c r="C16847" s="7">
        <f>IFERROR(__xludf.DUMMYFUNCTION("""COMPUTED_VALUE"""),7.73465)</f>
        <v>7.73465</v>
      </c>
      <c r="D16847" s="7">
        <f>IFERROR(__xludf.DUMMYFUNCTION("""COMPUTED_VALUE"""),0.403846153846153)</f>
        <v>0.4038461538</v>
      </c>
    </row>
    <row r="16848">
      <c r="A16848" s="10" t="s">
        <v>18287</v>
      </c>
      <c r="B16848" s="7" t="str">
        <f>IFERROR(__xludf.DUMMYFUNCTION("SPLIT(A16848,"" "")"),"Cc1ccc(NCc2ccccn2)cc1-c1cccnc1CNc1cccc(C(C)(C)C)c1")</f>
        <v>Cc1ccc(NCc2ccccn2)cc1-c1cccnc1CNc1cccc(C(C)(C)C)c1</v>
      </c>
      <c r="C16848" s="7">
        <f>IFERROR(__xludf.DUMMYFUNCTION("""COMPUTED_VALUE"""),7.7346263)</f>
        <v>7.7346263</v>
      </c>
      <c r="D16848" s="7">
        <f>IFERROR(__xludf.DUMMYFUNCTION("""COMPUTED_VALUE"""),0.318181818181818)</f>
        <v>0.3181818182</v>
      </c>
    </row>
    <row r="16849">
      <c r="A16849" s="10" t="s">
        <v>18288</v>
      </c>
      <c r="B16849" s="7" t="str">
        <f>IFERROR(__xludf.DUMMYFUNCTION("SPLIT(A16849,"" "")"),"CC1=C(C)CC2(C=CC3(C(C)=C(C)c4c(cc(C(C)(C)c5cc(CN(Cc6ccccn6)Cc6ccccn6)ccn5)c5cc(C)c6ncccc6c45)C3C)C(c3cc(CN(Cc4ccccn4)Cc4ccccn4)ccn3)C2c2cc(CN(Cc3ccccn3)Cc3ccccn3)ccn2)C(C)C1")</f>
        <v>CC1=C(C)CC2(C=CC3(C(C)=C(C)c4c(cc(C(C)(C)c5cc(CN(Cc6ccccn6)Cc6ccccn6)ccn5)c5cc(C)c6ncccc6c45)C3C)C(c3cc(CN(Cc4ccccn4)Cc4ccccn4)ccn3)C2c2cc(CN(Cc3ccccn3)Cc3ccccn3)ccn2)C(C)C1</v>
      </c>
      <c r="C16849" s="7">
        <f>IFERROR(__xludf.DUMMYFUNCTION("""COMPUTED_VALUE"""),7.734619)</f>
        <v>7.734619</v>
      </c>
      <c r="D16849" s="7">
        <f>IFERROR(__xludf.DUMMYFUNCTION("""COMPUTED_VALUE"""),0.231578947368421)</f>
        <v>0.2315789474</v>
      </c>
    </row>
    <row r="16850">
      <c r="A16850" s="10" t="s">
        <v>18289</v>
      </c>
      <c r="B16850" s="7" t="str">
        <f>IFERROR(__xludf.DUMMYFUNCTION("SPLIT(A16850,"" "")"),"C1=CNCC(Nc2cc(C(c3ccccc3)c3ccccn3)ccn2)=C1")</f>
        <v>C1=CNCC(Nc2cc(C(c3ccccc3)c3ccccn3)ccn2)=C1</v>
      </c>
      <c r="C16850" s="7">
        <f>IFERROR(__xludf.DUMMYFUNCTION("""COMPUTED_VALUE"""),7.734617)</f>
        <v>7.734617</v>
      </c>
      <c r="D16850" s="7">
        <f>IFERROR(__xludf.DUMMYFUNCTION("""COMPUTED_VALUE"""),0.295081967213114)</f>
        <v>0.2950819672</v>
      </c>
    </row>
    <row r="16851">
      <c r="A16851" s="10" t="s">
        <v>18290</v>
      </c>
      <c r="B16851" s="7" t="str">
        <f>IFERROR(__xludf.DUMMYFUNCTION("SPLIT(A16851,"" "")"),"CN(CC1=CC(N(C)Cc2ccccn2)C=CN1)c1ccc2nc(CF)ccc2c1")</f>
        <v>CN(CC1=CC(N(C)Cc2ccccn2)C=CN1)c1ccc2nc(CF)ccc2c1</v>
      </c>
      <c r="C16851" s="7">
        <f>IFERROR(__xludf.DUMMYFUNCTION("""COMPUTED_VALUE"""),7.734616)</f>
        <v>7.734616</v>
      </c>
      <c r="D16851" s="7">
        <f>IFERROR(__xludf.DUMMYFUNCTION("""COMPUTED_VALUE"""),0.365079365079365)</f>
        <v>0.3650793651</v>
      </c>
    </row>
    <row r="16852">
      <c r="A16852" s="10" t="s">
        <v>18291</v>
      </c>
      <c r="B16852" s="7" t="str">
        <f>IFERROR(__xludf.DUMMYFUNCTION("SPLIT(A16852,"" "")"),"Cc1cccnc1CN(C)c1c(C)c(C)c(C)c(C)c1C")</f>
        <v>Cc1cccnc1CN(C)c1c(C)c(C)c(C)c(C)c1C</v>
      </c>
      <c r="C16852" s="7">
        <f>IFERROR(__xludf.DUMMYFUNCTION("""COMPUTED_VALUE"""),7.7346144)</f>
        <v>7.7346144</v>
      </c>
      <c r="D16852" s="7">
        <f>IFERROR(__xludf.DUMMYFUNCTION("""COMPUTED_VALUE"""),0.333333333333333)</f>
        <v>0.3333333333</v>
      </c>
    </row>
    <row r="16853">
      <c r="A16853" s="10" t="s">
        <v>18292</v>
      </c>
      <c r="B16853" s="7" t="str">
        <f>IFERROR(__xludf.DUMMYFUNCTION("SPLIT(A16853,"" "")"),"Cc1ccc(N(Cc2ccccn2)Cc2cc(N(C)C)ccn2)cc1C")</f>
        <v>Cc1ccc(N(Cc2ccccn2)Cc2cc(N(C)C)ccn2)cc1C</v>
      </c>
      <c r="C16853" s="7">
        <f>IFERROR(__xludf.DUMMYFUNCTION("""COMPUTED_VALUE"""),7.734608)</f>
        <v>7.734608</v>
      </c>
      <c r="D16853" s="7">
        <f>IFERROR(__xludf.DUMMYFUNCTION("""COMPUTED_VALUE"""),0.416666666666666)</f>
        <v>0.4166666667</v>
      </c>
    </row>
    <row r="16854">
      <c r="A16854" s="10" t="s">
        <v>18293</v>
      </c>
      <c r="B16854" s="7" t="str">
        <f>IFERROR(__xludf.DUMMYFUNCTION("SPLIT(A16854,"" "")"),"CN(c1ccc2ncc(CF)cc2c1)C1CCC(N(C)c2ccc3ccc(CF)nc3c2)CC1")</f>
        <v>CN(c1ccc2ncc(CF)cc2c1)C1CCC(N(C)c2ccc3ccc(CF)nc3c2)CC1</v>
      </c>
      <c r="C16854" s="7">
        <f>IFERROR(__xludf.DUMMYFUNCTION("""COMPUTED_VALUE"""),7.734593)</f>
        <v>7.734593</v>
      </c>
      <c r="D16854" s="7">
        <f>IFERROR(__xludf.DUMMYFUNCTION("""COMPUTED_VALUE"""),0.344262295081967)</f>
        <v>0.3442622951</v>
      </c>
    </row>
    <row r="16855">
      <c r="A16855" s="10" t="s">
        <v>18294</v>
      </c>
      <c r="B16855" s="7" t="str">
        <f>IFERROR(__xludf.DUMMYFUNCTION("SPLIT(A16855,"" "")"),"Cc1cccnc1CN(C)Cc1ccc2cc(N(Cc3ccccn3)C(C)C)ccc2n1")</f>
        <v>Cc1cccnc1CN(C)Cc1ccc2cc(N(Cc3ccccn3)C(C)C)ccc2n1</v>
      </c>
      <c r="C16855" s="7">
        <f>IFERROR(__xludf.DUMMYFUNCTION("""COMPUTED_VALUE"""),7.734592)</f>
        <v>7.734592</v>
      </c>
      <c r="D16855" s="7">
        <f>IFERROR(__xludf.DUMMYFUNCTION("""COMPUTED_VALUE"""),0.421052631578947)</f>
        <v>0.4210526316</v>
      </c>
    </row>
    <row r="16856">
      <c r="A16856" s="10" t="s">
        <v>18295</v>
      </c>
      <c r="B16856" s="7" t="str">
        <f>IFERROR(__xludf.DUMMYFUNCTION("SPLIT(A16856,"" "")"),"CC(C)C(C)(c1cccnc1)c1ncccc1CN(Cc1ccccn1)C1CCCCC1N(C)c1ccc2nccc(-c3ccc4ncccc4c3)c2c1")</f>
        <v>CC(C)C(C)(c1cccnc1)c1ncccc1CN(Cc1ccccn1)C1CCCCC1N(C)c1ccc2nccc(-c3ccc4ncccc4c3)c2c1</v>
      </c>
      <c r="C16856" s="7">
        <f>IFERROR(__xludf.DUMMYFUNCTION("""COMPUTED_VALUE"""),7.7345862)</f>
        <v>7.7345862</v>
      </c>
      <c r="D16856" s="7">
        <f>IFERROR(__xludf.DUMMYFUNCTION("""COMPUTED_VALUE"""),0.317073170731707)</f>
        <v>0.3170731707</v>
      </c>
    </row>
    <row r="16857">
      <c r="A16857" s="10" t="s">
        <v>18296</v>
      </c>
      <c r="B16857" s="7" t="str">
        <f>IFERROR(__xludf.DUMMYFUNCTION("SPLIT(A16857,"" "")"),"Cc1ccc(C)c(CN(C)C2=C(CN(C)Cc3ccc4cccnc4c3)NC=CC2)n1")</f>
        <v>Cc1ccc(C)c(CN(C)C2=C(CN(C)Cc3ccc4cccnc4c3)NC=CC2)n1</v>
      </c>
      <c r="C16857" s="7">
        <f>IFERROR(__xludf.DUMMYFUNCTION("""COMPUTED_VALUE"""),7.734583)</f>
        <v>7.734583</v>
      </c>
      <c r="D16857" s="7">
        <f>IFERROR(__xludf.DUMMYFUNCTION("""COMPUTED_VALUE"""),0.246376811594202)</f>
        <v>0.2463768116</v>
      </c>
    </row>
    <row r="16858">
      <c r="A16858" s="10" t="s">
        <v>18297</v>
      </c>
      <c r="B16858" s="7" t="str">
        <f>IFERROR(__xludf.DUMMYFUNCTION("SPLIT(A16858,"" "")"),"Cc1ccc(CN(Cc2cc(-c3ccccc3N(C)C)ccn2)Cc2cc(C)c(C)c(C)n2)nc1")</f>
        <v>Cc1ccc(CN(Cc2cc(-c3ccccc3N(C)C)ccn2)Cc2cc(C)c(C)c(C)n2)nc1</v>
      </c>
      <c r="C16858" s="7">
        <f>IFERROR(__xludf.DUMMYFUNCTION("""COMPUTED_VALUE"""),7.734576)</f>
        <v>7.734576</v>
      </c>
      <c r="D16858" s="7">
        <f>IFERROR(__xludf.DUMMYFUNCTION("""COMPUTED_VALUE"""),0.350877192982456)</f>
        <v>0.350877193</v>
      </c>
    </row>
    <row r="16859">
      <c r="A16859" s="10" t="s">
        <v>18298</v>
      </c>
      <c r="B16859" s="7" t="str">
        <f>IFERROR(__xludf.DUMMYFUNCTION("SPLIT(A16859,"" "")"),"CN(Cc1ccc(F)nc1)Cc1cc(-c2ccccc2N(C)C)ccn1")</f>
        <v>CN(Cc1ccc(F)nc1)Cc1cc(-c2ccccc2N(C)C)ccn1</v>
      </c>
      <c r="C16859" s="7">
        <f>IFERROR(__xludf.DUMMYFUNCTION("""COMPUTED_VALUE"""),7.734575)</f>
        <v>7.734575</v>
      </c>
      <c r="D16859" s="7">
        <f>IFERROR(__xludf.DUMMYFUNCTION("""COMPUTED_VALUE"""),0.31578947368421)</f>
        <v>0.3157894737</v>
      </c>
    </row>
    <row r="16860">
      <c r="A16860" s="10" t="s">
        <v>18299</v>
      </c>
      <c r="B16860" s="7" t="str">
        <f>IFERROR(__xludf.DUMMYFUNCTION("SPLIT(A16860,"" "")"),"C1=CC(Nc2ccc(C(c3ccccc3)c3ccccn3)cn2)=CCN1")</f>
        <v>C1=CC(Nc2ccc(C(c3ccccc3)c3ccccn3)cn2)=CCN1</v>
      </c>
      <c r="C16860" s="7">
        <f>IFERROR(__xludf.DUMMYFUNCTION("""COMPUTED_VALUE"""),7.7345743)</f>
        <v>7.7345743</v>
      </c>
      <c r="D16860" s="7">
        <f>IFERROR(__xludf.DUMMYFUNCTION("""COMPUTED_VALUE"""),0.290322580645161)</f>
        <v>0.2903225806</v>
      </c>
    </row>
    <row r="16861">
      <c r="A16861" s="10" t="s">
        <v>18300</v>
      </c>
      <c r="B16861" s="7" t="str">
        <f>IFERROR(__xludf.DUMMYFUNCTION("SPLIT(A16861,"" "")"),"CNCc1cc(-c2cccc(CN(C)Cc3cccc(C4=NC(C)CO4)n3)n2)ccn1")</f>
        <v>CNCc1cc(-c2cccc(CN(C)Cc3cccc(C4=NC(C)CO4)n3)n2)ccn1</v>
      </c>
      <c r="C16861" s="7">
        <f>IFERROR(__xludf.DUMMYFUNCTION("""COMPUTED_VALUE"""),7.7345667)</f>
        <v>7.7345667</v>
      </c>
      <c r="D16861" s="7">
        <f>IFERROR(__xludf.DUMMYFUNCTION("""COMPUTED_VALUE"""),0.406779661016949)</f>
        <v>0.406779661</v>
      </c>
    </row>
    <row r="16862">
      <c r="A16862" s="10" t="s">
        <v>18301</v>
      </c>
      <c r="B16862" s="7" t="str">
        <f>IFERROR(__xludf.DUMMYFUNCTION("SPLIT(A16862,"" "")"),"C=Cc1cccc(CN(C)Cc2cccc(-c3cc(Cl)ccc3N)n2)c1NCc1ccccn1")</f>
        <v>C=Cc1cccc(CN(C)Cc2cccc(-c3cc(Cl)ccc3N)n2)c1NCc1ccccn1</v>
      </c>
      <c r="C16862" s="7">
        <f>IFERROR(__xludf.DUMMYFUNCTION("""COMPUTED_VALUE"""),7.734565)</f>
        <v>7.734565</v>
      </c>
      <c r="D16862" s="7">
        <f>IFERROR(__xludf.DUMMYFUNCTION("""COMPUTED_VALUE"""),0.409090909090909)</f>
        <v>0.4090909091</v>
      </c>
    </row>
    <row r="16863">
      <c r="A16863" s="10" t="s">
        <v>18302</v>
      </c>
      <c r="B16863" s="7" t="str">
        <f>IFERROR(__xludf.DUMMYFUNCTION("SPLIT(A16863,"" "")"),"CCC1COC(c2cccc(CN(Cc3ccccn3)Cc3cccc(-c4cccc(N=Cc5ccccn5)c4)n3)n2)=N1")</f>
        <v>CCC1COC(c2cccc(CN(Cc3ccccn3)Cc3cccc(-c4cccc(N=Cc5ccccn5)c4)n3)n2)=N1</v>
      </c>
      <c r="C16863" s="7">
        <f>IFERROR(__xludf.DUMMYFUNCTION("""COMPUTED_VALUE"""),7.7345634)</f>
        <v>7.7345634</v>
      </c>
      <c r="D16863" s="7">
        <f>IFERROR(__xludf.DUMMYFUNCTION("""COMPUTED_VALUE"""),0.450704225352112)</f>
        <v>0.4507042254</v>
      </c>
    </row>
    <row r="16864">
      <c r="A16864" s="10" t="s">
        <v>18303</v>
      </c>
      <c r="B16864" s="7" t="str">
        <f>IFERROR(__xludf.DUMMYFUNCTION("SPLIT(A16864,"" "")"),"C=Cc1ccc(CN(Cc2ccccn2)Cc2cccc(-c3ccccc3N=Cc3ccccn3)n2)cc1")</f>
        <v>C=Cc1ccc(CN(Cc2ccccn2)Cc2cccc(-c3ccccc3N=Cc3ccccn3)n2)cc1</v>
      </c>
      <c r="C16864" s="7">
        <f>IFERROR(__xludf.DUMMYFUNCTION("""COMPUTED_VALUE"""),7.73456)</f>
        <v>7.73456</v>
      </c>
      <c r="D16864" s="7">
        <f>IFERROR(__xludf.DUMMYFUNCTION("""COMPUTED_VALUE"""),0.492063492063492)</f>
        <v>0.4920634921</v>
      </c>
    </row>
    <row r="16865">
      <c r="A16865" s="10" t="s">
        <v>18304</v>
      </c>
      <c r="B16865" s="7" t="str">
        <f>IFERROR(__xludf.DUMMYFUNCTION("SPLIT(A16865,"" "")"),"Cc1cccnc1CN(Cc1ncccc1C)c1ccc2nc(CN(C)C(C)C)ccc2c1")</f>
        <v>Cc1cccnc1CN(Cc1ncccc1C)c1ccc2nc(CN(C)C(C)C)ccc2c1</v>
      </c>
      <c r="C16865" s="7">
        <f>IFERROR(__xludf.DUMMYFUNCTION("""COMPUTED_VALUE"""),7.734549)</f>
        <v>7.734549</v>
      </c>
      <c r="D16865" s="7">
        <f>IFERROR(__xludf.DUMMYFUNCTION("""COMPUTED_VALUE"""),0.339285714285714)</f>
        <v>0.3392857143</v>
      </c>
    </row>
    <row r="16866">
      <c r="A16866" s="10" t="s">
        <v>18305</v>
      </c>
      <c r="B16866" s="7" t="str">
        <f>IFERROR(__xludf.DUMMYFUNCTION("SPLIT(A16866,"" "")"),"Cc1cccc(CN(C)C2=C(CN(C)Cc3ccc4ncccc4c3)NC=CC2)n1")</f>
        <v>Cc1cccc(CN(C)C2=C(CN(C)Cc3ccc4ncccc4c3)NC=CC2)n1</v>
      </c>
      <c r="C16866" s="7">
        <f>IFERROR(__xludf.DUMMYFUNCTION("""COMPUTED_VALUE"""),7.734546)</f>
        <v>7.734546</v>
      </c>
      <c r="D16866" s="7">
        <f>IFERROR(__xludf.DUMMYFUNCTION("""COMPUTED_VALUE"""),0.35)</f>
        <v>0.35</v>
      </c>
    </row>
    <row r="16867">
      <c r="A16867" s="10" t="s">
        <v>18306</v>
      </c>
      <c r="B16867" s="7" t="str">
        <f>IFERROR(__xludf.DUMMYFUNCTION("SPLIT(A16867,"" "")"),"Cc1cc(C)c(CN(C)CCN(C)c2ccc3nc4c(cc3c2)CCC4)nc1C")</f>
        <v>Cc1cc(C)c(CN(C)CCN(C)c2ccc3nc4c(cc3c2)CCC4)nc1C</v>
      </c>
      <c r="C16867" s="7">
        <f>IFERROR(__xludf.DUMMYFUNCTION("""COMPUTED_VALUE"""),7.734543)</f>
        <v>7.734543</v>
      </c>
      <c r="D16867" s="7">
        <f>IFERROR(__xludf.DUMMYFUNCTION("""COMPUTED_VALUE"""),0.307692307692307)</f>
        <v>0.3076923077</v>
      </c>
    </row>
    <row r="16868">
      <c r="A16868" s="10" t="s">
        <v>18307</v>
      </c>
      <c r="B16868" s="7" t="str">
        <f>IFERROR(__xludf.DUMMYFUNCTION("SPLIT(A16868,"" "")"),"CC(C)C1COC(c2cccc(CN(Cc3ccccn3)Cc3cccc(-c4cccc(N=Cc5ccccn5)c4)n3)n2)=N1")</f>
        <v>CC(C)C1COC(c2cccc(CN(Cc3ccccn3)Cc3cccc(-c4cccc(N=Cc5ccccn5)c4)n3)n2)=N1</v>
      </c>
      <c r="C16868" s="7">
        <f>IFERROR(__xludf.DUMMYFUNCTION("""COMPUTED_VALUE"""),7.734541)</f>
        <v>7.734541</v>
      </c>
      <c r="D16868" s="7">
        <f>IFERROR(__xludf.DUMMYFUNCTION("""COMPUTED_VALUE"""),0.444444444444444)</f>
        <v>0.4444444444</v>
      </c>
    </row>
    <row r="16869">
      <c r="A16869" s="10" t="s">
        <v>18308</v>
      </c>
      <c r="B16869" s="7" t="str">
        <f>IFERROR(__xludf.DUMMYFUNCTION("SPLIT(A16869,"" "")"),"CCNCc1cc(-c2cccc(N(C)Cc3ccccn3)c2C)ccn1")</f>
        <v>CCNCc1cc(-c2cccc(N(C)Cc3ccccn3)c2C)ccn1</v>
      </c>
      <c r="C16869" s="7">
        <f>IFERROR(__xludf.DUMMYFUNCTION("""COMPUTED_VALUE"""),7.7345395)</f>
        <v>7.7345395</v>
      </c>
      <c r="D16869" s="7">
        <f>IFERROR(__xludf.DUMMYFUNCTION("""COMPUTED_VALUE"""),0.461538461538461)</f>
        <v>0.4615384615</v>
      </c>
    </row>
    <row r="16870">
      <c r="A16870" s="10" t="s">
        <v>18309</v>
      </c>
      <c r="B16870" s="7" t="str">
        <f>IFERROR(__xludf.DUMMYFUNCTION("SPLIT(A16870,"" "")"),"Cc1cc(C)cc(N(Cc2ccccn2)Cc2ccc(N(C)C)cn2)c1")</f>
        <v>Cc1cc(C)cc(N(Cc2ccccn2)Cc2ccc(N(C)C)cn2)c1</v>
      </c>
      <c r="C16870" s="7">
        <f>IFERROR(__xludf.DUMMYFUNCTION("""COMPUTED_VALUE"""),7.734531)</f>
        <v>7.734531</v>
      </c>
      <c r="D16870" s="7">
        <f>IFERROR(__xludf.DUMMYFUNCTION("""COMPUTED_VALUE"""),0.425531914893617)</f>
        <v>0.4255319149</v>
      </c>
    </row>
    <row r="16871">
      <c r="A16871" s="10" t="s">
        <v>18310</v>
      </c>
      <c r="B16871" s="7" t="str">
        <f>IFERROR(__xludf.DUMMYFUNCTION("SPLIT(A16871,"" "")"),"CN(Cc1ccccn1)Cc1ncccc1-c1ccccc1N(C)C")</f>
        <v>CN(Cc1ccccn1)Cc1ncccc1-c1ccccc1N(C)C</v>
      </c>
      <c r="C16871" s="7">
        <f>IFERROR(__xludf.DUMMYFUNCTION("""COMPUTED_VALUE"""),7.73453)</f>
        <v>7.73453</v>
      </c>
      <c r="D16871" s="7">
        <f>IFERROR(__xludf.DUMMYFUNCTION("""COMPUTED_VALUE"""),0.488888888888888)</f>
        <v>0.4888888889</v>
      </c>
    </row>
    <row r="16872">
      <c r="A16872" s="10" t="s">
        <v>18311</v>
      </c>
      <c r="B16872" s="7" t="str">
        <f>IFERROR(__xludf.DUMMYFUNCTION("SPLIT(A16872,"" "")"),"COC(=O)C(=O)C(=O)C1(C)N=COC1c1cccnc1C1=NC(C)(C)CO1")</f>
        <v>COC(=O)C(=O)C(=O)C1(C)N=COC1c1cccnc1C1=NC(C)(C)CO1</v>
      </c>
      <c r="C16872" s="7">
        <f>IFERROR(__xludf.DUMMYFUNCTION("""COMPUTED_VALUE"""),7.7345276)</f>
        <v>7.7345276</v>
      </c>
      <c r="D16872" s="7">
        <f>IFERROR(__xludf.DUMMYFUNCTION("""COMPUTED_VALUE"""),0.322033898305084)</f>
        <v>0.3220338983</v>
      </c>
    </row>
    <row r="16873">
      <c r="A16873" s="10" t="s">
        <v>18312</v>
      </c>
      <c r="B16873" s="7" t="str">
        <f>IFERROR(__xludf.DUMMYFUNCTION("SPLIT(A16873,"" "")"),"Cc1cc(C)c(CN(C)C2=C(CN(C)Cc3ccc4ncccc4c3)NC=CC2)cn1")</f>
        <v>Cc1cc(C)c(CN(C)C2=C(CN(C)Cc3ccc4ncccc4c3)NC=CC2)cn1</v>
      </c>
      <c r="C16873" s="7">
        <f>IFERROR(__xludf.DUMMYFUNCTION("""COMPUTED_VALUE"""),7.734526)</f>
        <v>7.734526</v>
      </c>
      <c r="D16873" s="7">
        <f>IFERROR(__xludf.DUMMYFUNCTION("""COMPUTED_VALUE"""),0.260869565217391)</f>
        <v>0.2608695652</v>
      </c>
    </row>
    <row r="16874">
      <c r="A16874" s="10" t="s">
        <v>18313</v>
      </c>
      <c r="B16874" s="7" t="str">
        <f>IFERROR(__xludf.DUMMYFUNCTION("SPLIT(A16874,"" "")"),"Cc1ccc(N(C)Cc2ccccn2)c(CN(Cc2ccccn2)Cc2ccc(-c3cccc(N(C)C)c3)cn2)c1")</f>
        <v>Cc1ccc(N(C)Cc2ccccn2)c(CN(Cc2ccccn2)Cc2ccc(-c3cccc(N(C)C)c3)cn2)c1</v>
      </c>
      <c r="C16874" s="7">
        <f>IFERROR(__xludf.DUMMYFUNCTION("""COMPUTED_VALUE"""),7.734523)</f>
        <v>7.734523</v>
      </c>
      <c r="D16874" s="7">
        <f>IFERROR(__xludf.DUMMYFUNCTION("""COMPUTED_VALUE"""),0.421052631578947)</f>
        <v>0.4210526316</v>
      </c>
    </row>
    <row r="16875">
      <c r="A16875" s="10" t="s">
        <v>18314</v>
      </c>
      <c r="B16875" s="7" t="str">
        <f>IFERROR(__xludf.DUMMYFUNCTION("SPLIT(A16875,"" "")"),"Cc1cc2cccnc2cc1CN(C)Cc1cc(N)ccn1")</f>
        <v>Cc1cc2cccnc2cc1CN(C)Cc1cc(N)ccn1</v>
      </c>
      <c r="C16875" s="7">
        <f>IFERROR(__xludf.DUMMYFUNCTION("""COMPUTED_VALUE"""),7.734519)</f>
        <v>7.734519</v>
      </c>
      <c r="D16875" s="7">
        <f>IFERROR(__xludf.DUMMYFUNCTION("""COMPUTED_VALUE"""),0.365384615384615)</f>
        <v>0.3653846154</v>
      </c>
    </row>
    <row r="16876">
      <c r="A16876" s="10" t="s">
        <v>18315</v>
      </c>
      <c r="B16876" s="7" t="str">
        <f>IFERROR(__xludf.DUMMYFUNCTION("SPLIT(A16876,"" "")"),"CCNCc1cc(-c2ccc(N=Cc3ccccn3)cc2)ccn1")</f>
        <v>CCNCc1cc(-c2ccc(N=Cc3ccccn3)cc2)ccn1</v>
      </c>
      <c r="C16876" s="7">
        <f>IFERROR(__xludf.DUMMYFUNCTION("""COMPUTED_VALUE"""),7.734508)</f>
        <v>7.734508</v>
      </c>
      <c r="D16876" s="7">
        <f>IFERROR(__xludf.DUMMYFUNCTION("""COMPUTED_VALUE"""),0.363636363636363)</f>
        <v>0.3636363636</v>
      </c>
    </row>
    <row r="16877">
      <c r="A16877" s="10" t="s">
        <v>18316</v>
      </c>
      <c r="B16877" s="7" t="str">
        <f>IFERROR(__xludf.DUMMYFUNCTION("SPLIT(A16877,"" "")"),"CNCc1ccc(-c2ccc(NCc3ccccn3)cc2C)cn1")</f>
        <v>CNCc1ccc(-c2ccc(NCc3ccccn3)cc2C)cn1</v>
      </c>
      <c r="C16877" s="7">
        <f>IFERROR(__xludf.DUMMYFUNCTION("""COMPUTED_VALUE"""),7.7345057)</f>
        <v>7.7345057</v>
      </c>
      <c r="D16877" s="7">
        <f>IFERROR(__xludf.DUMMYFUNCTION("""COMPUTED_VALUE"""),0.372881355932203)</f>
        <v>0.3728813559</v>
      </c>
    </row>
    <row r="16878">
      <c r="A16878" s="10" t="s">
        <v>18317</v>
      </c>
      <c r="B16878" s="7" t="str">
        <f>IFERROR(__xludf.DUMMYFUNCTION("SPLIT(A16878,"" "")"),"c1ccc(CNc2ccccc2-c2ccncc2)nc1")</f>
        <v>c1ccc(CNc2ccccc2-c2ccncc2)nc1</v>
      </c>
      <c r="C16878" s="7">
        <f>IFERROR(__xludf.DUMMYFUNCTION("""COMPUTED_VALUE"""),7.7344847)</f>
        <v>7.7344847</v>
      </c>
      <c r="D16878" s="7">
        <f>IFERROR(__xludf.DUMMYFUNCTION("""COMPUTED_VALUE"""),0.459459459459459)</f>
        <v>0.4594594595</v>
      </c>
    </row>
    <row r="16879">
      <c r="A16879" s="10" t="s">
        <v>18318</v>
      </c>
      <c r="B16879" s="7" t="str">
        <f>IFERROR(__xludf.DUMMYFUNCTION("SPLIT(A16879,"" "")"),"CN(CNCc1ccccn1)c1ccc2cccnc2c1")</f>
        <v>CN(CNCc1ccccn1)c1ccc2cccnc2c1</v>
      </c>
      <c r="C16879" s="7">
        <f>IFERROR(__xludf.DUMMYFUNCTION("""COMPUTED_VALUE"""),7.734483)</f>
        <v>7.734483</v>
      </c>
      <c r="D16879" s="7">
        <f>IFERROR(__xludf.DUMMYFUNCTION("""COMPUTED_VALUE"""),0.441860465116279)</f>
        <v>0.4418604651</v>
      </c>
    </row>
    <row r="16880">
      <c r="A16880" s="10" t="s">
        <v>18319</v>
      </c>
      <c r="B16880" s="7" t="str">
        <f>IFERROR(__xludf.DUMMYFUNCTION("SPLIT(A16880,"" "")"),"Cc1cnc(CN(C)CCN(C)c2cccc3ncccc23)c(C)c1")</f>
        <v>Cc1cnc(CN(C)CCN(C)c2cccc3ncccc23)c(C)c1</v>
      </c>
      <c r="C16880" s="7">
        <f>IFERROR(__xludf.DUMMYFUNCTION("""COMPUTED_VALUE"""),7.7344737)</f>
        <v>7.7344737</v>
      </c>
      <c r="D16880" s="7">
        <f>IFERROR(__xludf.DUMMYFUNCTION("""COMPUTED_VALUE"""),0.411764705882352)</f>
        <v>0.4117647059</v>
      </c>
    </row>
    <row r="16881">
      <c r="A16881" s="10" t="s">
        <v>18320</v>
      </c>
      <c r="B16881" s="7" t="str">
        <f>IFERROR(__xludf.DUMMYFUNCTION("SPLIT(A16881,"" "")"),"Cc1cncc(CN(C)c2ccc3nc(CN(Cc4ccccn4)Cc4ncccc4F)ccc3c2)c1")</f>
        <v>Cc1cncc(CN(C)c2ccc3nc(CN(Cc4ccccn4)Cc4ncccc4F)ccc3c2)c1</v>
      </c>
      <c r="C16881" s="7">
        <f>IFERROR(__xludf.DUMMYFUNCTION("""COMPUTED_VALUE"""),7.7344713)</f>
        <v>7.7344713</v>
      </c>
      <c r="D16881" s="7">
        <f>IFERROR(__xludf.DUMMYFUNCTION("""COMPUTED_VALUE"""),0.435483870967741)</f>
        <v>0.435483871</v>
      </c>
    </row>
    <row r="16882">
      <c r="A16882" s="10" t="s">
        <v>18321</v>
      </c>
      <c r="B16882" s="7" t="str">
        <f>IFERROR(__xludf.DUMMYFUNCTION("SPLIT(A16882,"" "")"),"CC1=CCCC(C)=C1CN(C)Cc1cc(-c2ccccc2N=Cc2ccccn2)ccn1")</f>
        <v>CC1=CCCC(C)=C1CN(C)Cc1cc(-c2ccccc2N=Cc2ccccn2)ccn1</v>
      </c>
      <c r="C16882" s="7">
        <f>IFERROR(__xludf.DUMMYFUNCTION("""COMPUTED_VALUE"""),7.734443)</f>
        <v>7.734443</v>
      </c>
      <c r="D16882" s="7">
        <f>IFERROR(__xludf.DUMMYFUNCTION("""COMPUTED_VALUE"""),0.369230769230769)</f>
        <v>0.3692307692</v>
      </c>
    </row>
    <row r="16883">
      <c r="A16883" s="10" t="s">
        <v>18322</v>
      </c>
      <c r="B16883" s="7" t="str">
        <f>IFERROR(__xludf.DUMMYFUNCTION("SPLIT(A16883,"" "")"),"CN(Cc1cccc(F)n1)c1ccc2nc(CN(C)C3CCC(N(C)c4ccc5c(CF)ccnc5c4)CC3)ccc2c1")</f>
        <v>CN(Cc1cccc(F)n1)c1ccc2nc(CN(C)C3CCC(N(C)c4ccc5c(CF)ccnc5c4)CC3)ccc2c1</v>
      </c>
      <c r="C16883" s="7">
        <f>IFERROR(__xludf.DUMMYFUNCTION("""COMPUTED_VALUE"""),7.734439)</f>
        <v>7.734439</v>
      </c>
      <c r="D16883" s="7">
        <f>IFERROR(__xludf.DUMMYFUNCTION("""COMPUTED_VALUE"""),0.277777777777777)</f>
        <v>0.2777777778</v>
      </c>
    </row>
    <row r="16884">
      <c r="A16884" s="10" t="s">
        <v>18323</v>
      </c>
      <c r="B16884" s="7" t="str">
        <f>IFERROR(__xludf.DUMMYFUNCTION("SPLIT(A16884,"" "")"),"Cc1ccccc1N(Cc1ccc2ncccc2c1)C1CCC(N(C)c2ccc3nccc(CF)c3c2)CC1")</f>
        <v>Cc1ccccc1N(Cc1ccc2ncccc2c1)C1CCC(N(C)c2ccc3nccc(CF)c3c2)CC1</v>
      </c>
      <c r="C16884" s="7">
        <f>IFERROR(__xludf.DUMMYFUNCTION("""COMPUTED_VALUE"""),7.734433)</f>
        <v>7.734433</v>
      </c>
      <c r="D16884" s="7">
        <f>IFERROR(__xludf.DUMMYFUNCTION("""COMPUTED_VALUE"""),0.3)</f>
        <v>0.3</v>
      </c>
    </row>
    <row r="16885">
      <c r="A16885" s="10" t="s">
        <v>18324</v>
      </c>
      <c r="B16885" s="7" t="str">
        <f>IFERROR(__xludf.DUMMYFUNCTION("SPLIT(A16885,"" "")"),"Cc1cccnc1CN(Cc1ccccn1)Cc1ncccc1-c1ccccc1N=Cc1ccccn1")</f>
        <v>Cc1cccnc1CN(Cc1ccccn1)Cc1ncccc1-c1ccccc1N=Cc1ccccn1</v>
      </c>
      <c r="C16885" s="7">
        <f>IFERROR(__xludf.DUMMYFUNCTION("""COMPUTED_VALUE"""),7.7344327)</f>
        <v>7.7344327</v>
      </c>
      <c r="D16885" s="7">
        <f>IFERROR(__xludf.DUMMYFUNCTION("""COMPUTED_VALUE"""),0.490566037735849)</f>
        <v>0.4905660377</v>
      </c>
    </row>
    <row r="16886">
      <c r="A16886" s="10" t="s">
        <v>18325</v>
      </c>
      <c r="B16886" s="7" t="str">
        <f>IFERROR(__xludf.DUMMYFUNCTION("SPLIT(A16886,"" "")"),"Cc1cc2cccnc2cc1CN(C)Cc1ncccc1C")</f>
        <v>Cc1cc2cccnc2cc1CN(C)Cc1ncccc1C</v>
      </c>
      <c r="C16886" s="7">
        <f>IFERROR(__xludf.DUMMYFUNCTION("""COMPUTED_VALUE"""),7.734427)</f>
        <v>7.734427</v>
      </c>
      <c r="D16886" s="7">
        <f>IFERROR(__xludf.DUMMYFUNCTION("""COMPUTED_VALUE"""),0.404255319148936)</f>
        <v>0.4042553191</v>
      </c>
    </row>
    <row r="16887">
      <c r="A16887" s="10" t="s">
        <v>18326</v>
      </c>
      <c r="B16887" s="7" t="str">
        <f>IFERROR(__xludf.DUMMYFUNCTION("SPLIT(A16887,"" "")"),"Cc1cnc(CN(C)CCN(C)c2cccc3nccc(CF)c23)c(C)c1C")</f>
        <v>Cc1cnc(CN(C)CCN(C)c2cccc3nccc(CF)c23)c(C)c1C</v>
      </c>
      <c r="C16887" s="7">
        <f>IFERROR(__xludf.DUMMYFUNCTION("""COMPUTED_VALUE"""),7.734425)</f>
        <v>7.734425</v>
      </c>
      <c r="D16887" s="7">
        <f>IFERROR(__xludf.DUMMYFUNCTION("""COMPUTED_VALUE"""),0.321428571428571)</f>
        <v>0.3214285714</v>
      </c>
    </row>
    <row r="16888">
      <c r="A16888" s="10" t="s">
        <v>18327</v>
      </c>
      <c r="B16888" s="7" t="str">
        <f>IFERROR(__xludf.DUMMYFUNCTION("SPLIT(A16888,"" "")"),"C1=CNC(N(Cc2ccccn2)Cc2cccc(-c3ccccc3N=Cc3ccccn3)n2)C=C1")</f>
        <v>C1=CNC(N(Cc2ccccn2)Cc2cccc(-c3ccccc3N=Cc3ccccn3)n2)C=C1</v>
      </c>
      <c r="C16888" s="7">
        <f>IFERROR(__xludf.DUMMYFUNCTION("""COMPUTED_VALUE"""),7.7344246)</f>
        <v>7.7344246</v>
      </c>
      <c r="D16888" s="7">
        <f>IFERROR(__xludf.DUMMYFUNCTION("""COMPUTED_VALUE"""),0.40625)</f>
        <v>0.40625</v>
      </c>
    </row>
    <row r="16889">
      <c r="A16889" s="10" t="s">
        <v>18328</v>
      </c>
      <c r="B16889" s="7" t="str">
        <f>IFERROR(__xludf.DUMMYFUNCTION("SPLIT(A16889,"" "")"),"Cc1cccc(N(C)Cc2ccccn2)c1CN(C)Cc1ccc2ncccc2c1")</f>
        <v>Cc1cccc(N(C)Cc2ccccn2)c1CN(C)Cc1ccc2ncccc2c1</v>
      </c>
      <c r="C16889" s="7">
        <f>IFERROR(__xludf.DUMMYFUNCTION("""COMPUTED_VALUE"""),7.7344246)</f>
        <v>7.7344246</v>
      </c>
      <c r="D16889" s="7">
        <f>IFERROR(__xludf.DUMMYFUNCTION("""COMPUTED_VALUE"""),0.444444444444444)</f>
        <v>0.4444444444</v>
      </c>
    </row>
    <row r="16890">
      <c r="A16890" s="10" t="s">
        <v>18329</v>
      </c>
      <c r="B16890" s="7" t="str">
        <f>IFERROR(__xludf.DUMMYFUNCTION("SPLIT(A16890,"" "")"),"CNCN(Cc1ccccn1)Cc1ccc2c(N(C)Cc3nc(C)c(C)cc3C)cccc2n1")</f>
        <v>CNCN(Cc1ccccn1)Cc1ccc2c(N(C)Cc3nc(C)c(C)cc3C)cccc2n1</v>
      </c>
      <c r="C16890" s="7">
        <f>IFERROR(__xludf.DUMMYFUNCTION("""COMPUTED_VALUE"""),7.734423)</f>
        <v>7.734423</v>
      </c>
      <c r="D16890" s="7">
        <f>IFERROR(__xludf.DUMMYFUNCTION("""COMPUTED_VALUE"""),0.416666666666666)</f>
        <v>0.4166666667</v>
      </c>
    </row>
    <row r="16891">
      <c r="A16891" s="10" t="s">
        <v>18330</v>
      </c>
      <c r="B16891" s="7" t="str">
        <f>IFERROR(__xludf.DUMMYFUNCTION("SPLIT(A16891,"" "")"),"CN(c1ccc2cccnc2c1)C1CCCCC1N(C)c1ccc2cc(CF)cnc2c1")</f>
        <v>CN(c1ccc2cccnc2c1)C1CCCCC1N(C)c1ccc2cc(CF)cnc2c1</v>
      </c>
      <c r="C16891" s="7">
        <f>IFERROR(__xludf.DUMMYFUNCTION("""COMPUTED_VALUE"""),7.7344174)</f>
        <v>7.7344174</v>
      </c>
      <c r="D16891" s="7">
        <f>IFERROR(__xludf.DUMMYFUNCTION("""COMPUTED_VALUE"""),0.452830188679245)</f>
        <v>0.4528301887</v>
      </c>
    </row>
    <row r="16892">
      <c r="A16892" s="10" t="s">
        <v>18331</v>
      </c>
      <c r="B16892" s="7" t="str">
        <f>IFERROR(__xludf.DUMMYFUNCTION("SPLIT(A16892,"" "")"),"Cc1ccc(CN(C)Cc2cccc(-c3ccccc3N(C)C)n2)nc1")</f>
        <v>Cc1ccc(CN(C)Cc2cccc(-c3ccccc3N(C)C)n2)nc1</v>
      </c>
      <c r="C16892" s="7">
        <f>IFERROR(__xludf.DUMMYFUNCTION("""COMPUTED_VALUE"""),7.7344136)</f>
        <v>7.7344136</v>
      </c>
      <c r="D16892" s="7">
        <f>IFERROR(__xludf.DUMMYFUNCTION("""COMPUTED_VALUE"""),0.5)</f>
        <v>0.5</v>
      </c>
    </row>
    <row r="16893">
      <c r="A16893" s="10" t="s">
        <v>18332</v>
      </c>
      <c r="B16893" s="7" t="str">
        <f>IFERROR(__xludf.DUMMYFUNCTION("SPLIT(A16893,"" "")"),"CNc1cccc(N(C)Cc2ncccc2N)c1F")</f>
        <v>CNc1cccc(N(C)Cc2ncccc2N)c1F</v>
      </c>
      <c r="C16893" s="7">
        <f>IFERROR(__xludf.DUMMYFUNCTION("""COMPUTED_VALUE"""),7.734403)</f>
        <v>7.734403</v>
      </c>
      <c r="D16893" s="7">
        <f>IFERROR(__xludf.DUMMYFUNCTION("""COMPUTED_VALUE"""),0.34)</f>
        <v>0.34</v>
      </c>
    </row>
    <row r="16894">
      <c r="A16894" s="10" t="s">
        <v>18333</v>
      </c>
      <c r="B16894" s="7" t="str">
        <f>IFERROR(__xludf.DUMMYFUNCTION("SPLIT(A16894,"" "")"),"Cc1ccc(-c2ccccc2NCc2ccccn2)nc1")</f>
        <v>Cc1ccc(-c2ccccc2NCc2ccccn2)nc1</v>
      </c>
      <c r="C16894" s="7">
        <f>IFERROR(__xludf.DUMMYFUNCTION("""COMPUTED_VALUE"""),7.7343984)</f>
        <v>7.7343984</v>
      </c>
      <c r="D16894" s="7">
        <f>IFERROR(__xludf.DUMMYFUNCTION("""COMPUTED_VALUE"""),0.404761904761904)</f>
        <v>0.4047619048</v>
      </c>
    </row>
    <row r="16895">
      <c r="A16895" s="10" t="s">
        <v>18334</v>
      </c>
      <c r="B16895" s="7" t="str">
        <f>IFERROR(__xludf.DUMMYFUNCTION("SPLIT(A16895,"" "")"),"CCN(c1ccc2ncccc2c1)C1CCC(N(C)c2ccc3c(CF)ccnc3c2)CC1")</f>
        <v>CCN(c1ccc2ncccc2c1)C1CCC(N(C)c2ccc3c(CF)ccnc3c2)CC1</v>
      </c>
      <c r="C16895" s="7">
        <f>IFERROR(__xludf.DUMMYFUNCTION("""COMPUTED_VALUE"""),7.7343926)</f>
        <v>7.7343926</v>
      </c>
      <c r="D16895" s="7">
        <f>IFERROR(__xludf.DUMMYFUNCTION("""COMPUTED_VALUE"""),0.276923076923076)</f>
        <v>0.2769230769</v>
      </c>
    </row>
    <row r="16896">
      <c r="A16896" s="10" t="s">
        <v>18335</v>
      </c>
      <c r="B16896" s="7" t="str">
        <f>IFERROR(__xludf.DUMMYFUNCTION("SPLIT(A16896,"" "")"),"Cc1cnc(CN(C)CCN(C)c2ccc3cccnc3c2)c(C)c1C")</f>
        <v>Cc1cnc(CN(C)CCN(C)c2ccc3cccnc3c2)c(C)c1C</v>
      </c>
      <c r="C16896" s="7">
        <f>IFERROR(__xludf.DUMMYFUNCTION("""COMPUTED_VALUE"""),7.73439)</f>
        <v>7.73439</v>
      </c>
      <c r="D16896" s="7">
        <f>IFERROR(__xludf.DUMMYFUNCTION("""COMPUTED_VALUE"""),0.37037037037037)</f>
        <v>0.3703703704</v>
      </c>
    </row>
    <row r="16897">
      <c r="A16897" s="10" t="s">
        <v>18336</v>
      </c>
      <c r="B16897" s="7" t="str">
        <f>IFERROR(__xludf.DUMMYFUNCTION("SPLIT(A16897,"" "")"),"Cc1ccc(C)c(CN(C)C2=C(CN(C)Cc3ccc4ncccc4c3)NC=CC2)n1")</f>
        <v>Cc1ccc(C)c(CN(C)C2=C(CN(C)Cc3ccc4ncccc4c3)NC=CC2)n1</v>
      </c>
      <c r="C16897" s="7">
        <f>IFERROR(__xludf.DUMMYFUNCTION("""COMPUTED_VALUE"""),7.734389)</f>
        <v>7.734389</v>
      </c>
      <c r="D16897" s="7">
        <f>IFERROR(__xludf.DUMMYFUNCTION("""COMPUTED_VALUE"""),0.246376811594202)</f>
        <v>0.2463768116</v>
      </c>
    </row>
    <row r="16898">
      <c r="A16898" s="10" t="s">
        <v>18337</v>
      </c>
      <c r="B16898" s="7" t="str">
        <f>IFERROR(__xludf.DUMMYFUNCTION("SPLIT(A16898,"" "")"),"Cc1cc2ncccc2cc1CN(C)Cc1ncccc1C")</f>
        <v>Cc1cc2ncccc2cc1CN(C)Cc1ncccc1C</v>
      </c>
      <c r="C16898" s="7">
        <f>IFERROR(__xludf.DUMMYFUNCTION("""COMPUTED_VALUE"""),7.734388)</f>
        <v>7.734388</v>
      </c>
      <c r="D16898" s="7">
        <f>IFERROR(__xludf.DUMMYFUNCTION("""COMPUTED_VALUE"""),0.404255319148936)</f>
        <v>0.4042553191</v>
      </c>
    </row>
    <row r="16899">
      <c r="A16899" s="10" t="s">
        <v>18338</v>
      </c>
      <c r="B16899" s="7" t="str">
        <f>IFERROR(__xludf.DUMMYFUNCTION("SPLIT(A16899,"" "")"),"CN(c1ccc2cccnc2c1)C1CCC(Nc2cccc3ncccc23)CC1")</f>
        <v>CN(c1ccc2cccnc2c1)C1CCC(Nc2cccc3ncccc23)CC1</v>
      </c>
      <c r="C16899" s="7">
        <f>IFERROR(__xludf.DUMMYFUNCTION("""COMPUTED_VALUE"""),7.734386)</f>
        <v>7.734386</v>
      </c>
      <c r="D16899" s="7">
        <f>IFERROR(__xludf.DUMMYFUNCTION("""COMPUTED_VALUE"""),0.316666666666666)</f>
        <v>0.3166666667</v>
      </c>
    </row>
    <row r="16900">
      <c r="A16900" s="10" t="s">
        <v>18339</v>
      </c>
      <c r="B16900" s="7" t="str">
        <f>IFERROR(__xludf.DUMMYFUNCTION("SPLIT(A16900,"" "")"),"CN(C)c1cccc(-c2ccnc(CN(Cc3ccccn3)Cc3cccnc3C3OC=NC3(C)C)c2)c1")</f>
        <v>CN(C)c1cccc(-c2ccnc(CN(Cc3ccccn3)Cc3cccnc3C3OC=NC3(C)C)c2)c1</v>
      </c>
      <c r="C16900" s="7">
        <f>IFERROR(__xludf.DUMMYFUNCTION("""COMPUTED_VALUE"""),7.734383)</f>
        <v>7.734383</v>
      </c>
      <c r="D16900" s="7">
        <f>IFERROR(__xludf.DUMMYFUNCTION("""COMPUTED_VALUE"""),0.338983050847457)</f>
        <v>0.3389830508</v>
      </c>
    </row>
    <row r="16901">
      <c r="A16901" s="10" t="s">
        <v>18340</v>
      </c>
      <c r="B16901" s="7" t="str">
        <f>IFERROR(__xludf.DUMMYFUNCTION("SPLIT(A16901,"" "")"),"CN(c1ccc2ncc(CF)cc2c1)C1CCC(N(C)c2ccc3ncc(CF)cc3c2)CC1")</f>
        <v>CN(c1ccc2ncc(CF)cc2c1)C1CCC(N(C)c2ccc3ncc(CF)cc3c2)CC1</v>
      </c>
      <c r="C16901" s="7">
        <f>IFERROR(__xludf.DUMMYFUNCTION("""COMPUTED_VALUE"""),7.7343736)</f>
        <v>7.7343736</v>
      </c>
      <c r="D16901" s="7">
        <f>IFERROR(__xludf.DUMMYFUNCTION("""COMPUTED_VALUE"""),0.275862068965517)</f>
        <v>0.275862069</v>
      </c>
    </row>
    <row r="16902">
      <c r="A16902" s="10" t="s">
        <v>18341</v>
      </c>
      <c r="B16902" s="7" t="str">
        <f>IFERROR(__xludf.DUMMYFUNCTION("SPLIT(A16902,"" "")"),"Cc1ccc(CN(C)C2=CNC(CN(C)Cc3cccc4cccnc34)=CC2)nc1")</f>
        <v>Cc1ccc(CN(C)C2=CNC(CN(C)Cc3cccc4cccnc34)=CC2)nc1</v>
      </c>
      <c r="C16902" s="7">
        <f>IFERROR(__xludf.DUMMYFUNCTION("""COMPUTED_VALUE"""),7.7343726)</f>
        <v>7.7343726</v>
      </c>
      <c r="D16902" s="7">
        <f>IFERROR(__xludf.DUMMYFUNCTION("""COMPUTED_VALUE"""),0.456140350877192)</f>
        <v>0.4561403509</v>
      </c>
    </row>
    <row r="16903">
      <c r="A16903" s="10" t="s">
        <v>18342</v>
      </c>
      <c r="B16903" s="7" t="str">
        <f>IFERROR(__xludf.DUMMYFUNCTION("SPLIT(A16903,"" "")"),"Cc1ccnc(CN(C)Cc2ccc3ncccc3c2)c1C")</f>
        <v>Cc1ccnc(CN(C)Cc2ccc3ncccc3c2)c1C</v>
      </c>
      <c r="C16903" s="7">
        <f>IFERROR(__xludf.DUMMYFUNCTION("""COMPUTED_VALUE"""),7.734372)</f>
        <v>7.734372</v>
      </c>
      <c r="D16903" s="7">
        <f>IFERROR(__xludf.DUMMYFUNCTION("""COMPUTED_VALUE"""),0.326923076923076)</f>
        <v>0.3269230769</v>
      </c>
    </row>
    <row r="16904">
      <c r="A16904" s="10" t="s">
        <v>18343</v>
      </c>
      <c r="B16904" s="7" t="str">
        <f>IFERROR(__xludf.DUMMYFUNCTION("SPLIT(A16904,"" "")"),"Cc1ccc(N(C)Cc2nccc(C)c2C)c(C)c1")</f>
        <v>Cc1ccc(N(C)Cc2nccc(C)c2C)c(C)c1</v>
      </c>
      <c r="C16904" s="7">
        <f>IFERROR(__xludf.DUMMYFUNCTION("""COMPUTED_VALUE"""),7.7343717)</f>
        <v>7.7343717</v>
      </c>
      <c r="D16904" s="7">
        <f>IFERROR(__xludf.DUMMYFUNCTION("""COMPUTED_VALUE"""),0.319148936170212)</f>
        <v>0.3191489362</v>
      </c>
    </row>
    <row r="16905">
      <c r="A16905" s="10" t="s">
        <v>18344</v>
      </c>
      <c r="B16905" s="7" t="str">
        <f>IFERROR(__xludf.DUMMYFUNCTION("SPLIT(A16905,"" "")"),"CC1=C(NCc2ccccn2)C(c2c(NCc3ccccn3)ccc(-c3ccccc3)c2C)CC=C1c1ccccc1")</f>
        <v>CC1=C(NCc2ccccn2)C(c2c(NCc3ccccn3)ccc(-c3ccccc3)c2C)CC=C1c1ccccc1</v>
      </c>
      <c r="C16905" s="7">
        <f>IFERROR(__xludf.DUMMYFUNCTION("""COMPUTED_VALUE"""),7.734365)</f>
        <v>7.734365</v>
      </c>
      <c r="D16905" s="7">
        <f>IFERROR(__xludf.DUMMYFUNCTION("""COMPUTED_VALUE"""),0.363636363636363)</f>
        <v>0.3636363636</v>
      </c>
    </row>
    <row r="16906">
      <c r="A16906" s="10" t="s">
        <v>18345</v>
      </c>
      <c r="B16906" s="7" t="str">
        <f>IFERROR(__xludf.DUMMYFUNCTION("SPLIT(A16906,"" "")"),"Cc1ccc(C)c(CN(C)CC2=CC(N(C)c3ccc4nc(CF)ccc4c3)C=CN2)n1")</f>
        <v>Cc1ccc(C)c(CN(C)CC2=CC(N(C)c3ccc4nc(CF)ccc4c3)C=CN2)n1</v>
      </c>
      <c r="C16906" s="7">
        <f>IFERROR(__xludf.DUMMYFUNCTION("""COMPUTED_VALUE"""),7.734346)</f>
        <v>7.734346</v>
      </c>
      <c r="D16906" s="7">
        <f>IFERROR(__xludf.DUMMYFUNCTION("""COMPUTED_VALUE"""),0.28169014084507)</f>
        <v>0.2816901408</v>
      </c>
    </row>
    <row r="16907">
      <c r="A16907" s="10" t="s">
        <v>18346</v>
      </c>
      <c r="B16907" s="7" t="str">
        <f>IFERROR(__xludf.DUMMYFUNCTION("SPLIT(A16907,"" "")"),"CN(C)c1ccc2ccc(CN(C)C3CCCC(N(C)c4ccc5cc(CF)cnc5c4)C3)nc2c1")</f>
        <v>CN(C)c1ccc2ccc(CN(C)C3CCCC(N(C)c4ccc5cc(CF)cnc5c4)C3)nc2c1</v>
      </c>
      <c r="C16907" s="7">
        <f>IFERROR(__xludf.DUMMYFUNCTION("""COMPUTED_VALUE"""),7.734344)</f>
        <v>7.734344</v>
      </c>
      <c r="D16907" s="7">
        <f>IFERROR(__xludf.DUMMYFUNCTION("""COMPUTED_VALUE"""),0.296875)</f>
        <v>0.296875</v>
      </c>
    </row>
    <row r="16908">
      <c r="A16908" s="10" t="s">
        <v>18347</v>
      </c>
      <c r="B16908" s="7" t="str">
        <f>IFERROR(__xludf.DUMMYFUNCTION("SPLIT(A16908,"" "")"),"Cc1cnc(CN(Cc2ccccn2)Cc2cc(-c3cccc(N(C)C)c3)ccn2)c(C)c1")</f>
        <v>Cc1cnc(CN(Cc2ccccn2)Cc2cc(-c3cccc(N(C)C)c3)ccn2)c(C)c1</v>
      </c>
      <c r="C16908" s="7">
        <f>IFERROR(__xludf.DUMMYFUNCTION("""COMPUTED_VALUE"""),7.734343)</f>
        <v>7.734343</v>
      </c>
      <c r="D16908" s="7">
        <f>IFERROR(__xludf.DUMMYFUNCTION("""COMPUTED_VALUE"""),0.408163265306122)</f>
        <v>0.4081632653</v>
      </c>
    </row>
    <row r="16909">
      <c r="A16909" s="10" t="s">
        <v>18348</v>
      </c>
      <c r="B16909" s="7" t="str">
        <f>IFERROR(__xludf.DUMMYFUNCTION("SPLIT(A16909,"" "")"),"CN(C)c1ccc2ccc(CN(C)C3CCCC(N(C)c4ccc5ccc(CF)nc5c4)C3)nc2c1")</f>
        <v>CN(C)c1ccc2ccc(CN(C)C3CCCC(N(C)c4ccc5ccc(CF)nc5c4)C3)nc2c1</v>
      </c>
      <c r="C16909" s="7">
        <f>IFERROR(__xludf.DUMMYFUNCTION("""COMPUTED_VALUE"""),7.734337)</f>
        <v>7.734337</v>
      </c>
      <c r="D16909" s="7">
        <f>IFERROR(__xludf.DUMMYFUNCTION("""COMPUTED_VALUE"""),0.366666666666666)</f>
        <v>0.3666666667</v>
      </c>
    </row>
    <row r="16910">
      <c r="A16910" s="10" t="s">
        <v>18349</v>
      </c>
      <c r="B16910" s="7" t="str">
        <f>IFERROR(__xludf.DUMMYFUNCTION("SPLIT(A16910,"" "")"),"Cc1ccnc2ccc(N(C)CCN(C)Cc3ccccn3)cc12")</f>
        <v>Cc1ccnc2ccc(N(C)CCN(C)Cc3ccccn3)cc12</v>
      </c>
      <c r="C16910" s="7">
        <f>IFERROR(__xludf.DUMMYFUNCTION("""COMPUTED_VALUE"""),7.7343364)</f>
        <v>7.7343364</v>
      </c>
      <c r="D16910" s="7">
        <f>IFERROR(__xludf.DUMMYFUNCTION("""COMPUTED_VALUE"""),0.411764705882352)</f>
        <v>0.4117647059</v>
      </c>
    </row>
    <row r="16911">
      <c r="A16911" s="10" t="s">
        <v>18350</v>
      </c>
      <c r="B16911" s="7" t="str">
        <f>IFERROR(__xludf.DUMMYFUNCTION("SPLIT(A16911,"" "")"),"CC(C)NCc1ncccc1CN(Cc1ccccn1)Cc1ccc(-c2cccc3ncccc23)cn1")</f>
        <v>CC(C)NCc1ncccc1CN(Cc1ccccn1)Cc1ccc(-c2cccc3ncccc23)cn1</v>
      </c>
      <c r="C16911" s="7">
        <f>IFERROR(__xludf.DUMMYFUNCTION("""COMPUTED_VALUE"""),7.734319)</f>
        <v>7.734319</v>
      </c>
      <c r="D16911" s="7">
        <f>IFERROR(__xludf.DUMMYFUNCTION("""COMPUTED_VALUE"""),0.365079365079365)</f>
        <v>0.3650793651</v>
      </c>
    </row>
    <row r="16912">
      <c r="A16912" s="10" t="s">
        <v>18351</v>
      </c>
      <c r="B16912" s="7" t="str">
        <f>IFERROR(__xludf.DUMMYFUNCTION("SPLIT(A16912,"" "")"),"CCN(Cc1ccccn1)c1cc(C)c(C)cc1N(C)Cc1ncc(C)c(C)c1C")</f>
        <v>CCN(Cc1ccccn1)c1cc(C)c(C)cc1N(C)Cc1ncc(C)c(C)c1C</v>
      </c>
      <c r="C16912" s="7">
        <f>IFERROR(__xludf.DUMMYFUNCTION("""COMPUTED_VALUE"""),7.7343054)</f>
        <v>7.7343054</v>
      </c>
      <c r="D16912" s="7">
        <f>IFERROR(__xludf.DUMMYFUNCTION("""COMPUTED_VALUE"""),0.489795918367346)</f>
        <v>0.4897959184</v>
      </c>
    </row>
    <row r="16913">
      <c r="A16913" s="10" t="s">
        <v>18352</v>
      </c>
      <c r="B16913" s="7" t="str">
        <f>IFERROR(__xludf.DUMMYFUNCTION("SPLIT(A16913,"" "")"),"Cc1nc(CN(C)CCN(C)c2ccc3ccc(CF)nc3c2)c(C)c(C)c1C")</f>
        <v>Cc1nc(CN(C)CCN(C)c2ccc3ccc(CF)nc3c2)c(C)c(C)c1C</v>
      </c>
      <c r="C16913" s="7">
        <f>IFERROR(__xludf.DUMMYFUNCTION("""COMPUTED_VALUE"""),7.7343044)</f>
        <v>7.7343044</v>
      </c>
      <c r="D16913" s="7">
        <f>IFERROR(__xludf.DUMMYFUNCTION("""COMPUTED_VALUE"""),0.326923076923076)</f>
        <v>0.3269230769</v>
      </c>
    </row>
    <row r="16914">
      <c r="A16914" s="10" t="s">
        <v>18353</v>
      </c>
      <c r="B16914" s="7" t="str">
        <f>IFERROR(__xludf.DUMMYFUNCTION("SPLIT(A16914,"" "")"),"CCN(Cc1cc(C)ccn1)c1ccc2nc(CN(C)Cc3cccc(C)n3)ccc2c1")</f>
        <v>CCN(Cc1cc(C)ccn1)c1ccc2nc(CN(C)Cc3cccc(C)n3)ccc2c1</v>
      </c>
      <c r="C16914" s="7">
        <f>IFERROR(__xludf.DUMMYFUNCTION("""COMPUTED_VALUE"""),7.734299)</f>
        <v>7.734299</v>
      </c>
      <c r="D16914" s="7">
        <f>IFERROR(__xludf.DUMMYFUNCTION("""COMPUTED_VALUE"""),0.46)</f>
        <v>0.46</v>
      </c>
    </row>
    <row r="16915">
      <c r="A16915" s="10" t="s">
        <v>18354</v>
      </c>
      <c r="B16915" s="7" t="str">
        <f>IFERROR(__xludf.DUMMYFUNCTION("SPLIT(A16915,"" "")"),"Cc1cccnc1CN(C)Cc1cnc2c(N(C)C(C)(C)c3cccnc3)cccc2c1")</f>
        <v>Cc1cccnc1CN(C)Cc1cnc2c(N(C)C(C)(C)c3cccnc3)cccc2c1</v>
      </c>
      <c r="C16915" s="7">
        <f>IFERROR(__xludf.DUMMYFUNCTION("""COMPUTED_VALUE"""),7.734298)</f>
        <v>7.734298</v>
      </c>
      <c r="D16915" s="7">
        <f>IFERROR(__xludf.DUMMYFUNCTION("""COMPUTED_VALUE"""),0.327868852459016)</f>
        <v>0.3278688525</v>
      </c>
    </row>
    <row r="16916">
      <c r="A16916" s="10" t="s">
        <v>18355</v>
      </c>
      <c r="B16916" s="7" t="str">
        <f>IFERROR(__xludf.DUMMYFUNCTION("SPLIT(A16916,"" "")"),"CN(Cc1ccc(-c2cccc(N(C)C)c2)cn1)Cc1cccc(C(C)(C)C)n1")</f>
        <v>CN(Cc1ccc(-c2cccc(N(C)C)c2)cn1)Cc1cccc(C(C)(C)C)n1</v>
      </c>
      <c r="C16916" s="7">
        <f>IFERROR(__xludf.DUMMYFUNCTION("""COMPUTED_VALUE"""),7.7342935)</f>
        <v>7.7342935</v>
      </c>
      <c r="D16916" s="7">
        <f>IFERROR(__xludf.DUMMYFUNCTION("""COMPUTED_VALUE"""),0.363636363636363)</f>
        <v>0.3636363636</v>
      </c>
    </row>
    <row r="16917">
      <c r="A16917" s="10" t="s">
        <v>18356</v>
      </c>
      <c r="B16917" s="7" t="str">
        <f>IFERROR(__xludf.DUMMYFUNCTION("SPLIT(A16917,"" "")"),"Cc1ccc2ccc(CN(C)Cc3ccc(C)nc3C)nc2c1")</f>
        <v>Cc1ccc2ccc(CN(C)Cc3ccc(C)nc3C)nc2c1</v>
      </c>
      <c r="C16917" s="7">
        <f>IFERROR(__xludf.DUMMYFUNCTION("""COMPUTED_VALUE"""),7.7342916)</f>
        <v>7.7342916</v>
      </c>
      <c r="D16917" s="7">
        <f>IFERROR(__xludf.DUMMYFUNCTION("""COMPUTED_VALUE"""),0.377777777777777)</f>
        <v>0.3777777778</v>
      </c>
    </row>
    <row r="16918">
      <c r="A16918" s="10" t="s">
        <v>18357</v>
      </c>
      <c r="B16918" s="7" t="str">
        <f>IFERROR(__xludf.DUMMYFUNCTION("SPLIT(A16918,"" "")"),"CCNCc1cccc(-c2cccc(C3=NC(C)C(C)O3)n2)n1")</f>
        <v>CCNCc1cccc(-c2cccc(C3=NC(C)C(C)O3)n2)n1</v>
      </c>
      <c r="C16918" s="7">
        <f>IFERROR(__xludf.DUMMYFUNCTION("""COMPUTED_VALUE"""),7.734288)</f>
        <v>7.734288</v>
      </c>
      <c r="D16918" s="7">
        <f>IFERROR(__xludf.DUMMYFUNCTION("""COMPUTED_VALUE"""),0.274509803921568)</f>
        <v>0.2745098039</v>
      </c>
    </row>
    <row r="16919">
      <c r="A16919" s="10" t="s">
        <v>18358</v>
      </c>
      <c r="B16919" s="7" t="str">
        <f>IFERROR(__xludf.DUMMYFUNCTION("SPLIT(A16919,"" "")"),"CC(C)N(Cc1ccccn1)Cc1ccc2cccc(N(C)Cc3cccc(N)n3)c2n1")</f>
        <v>CC(C)N(Cc1ccccn1)Cc1ccc2cccc(N(C)Cc3cccc(N)n3)c2n1</v>
      </c>
      <c r="C16919" s="7">
        <f>IFERROR(__xludf.DUMMYFUNCTION("""COMPUTED_VALUE"""),7.734285)</f>
        <v>7.734285</v>
      </c>
      <c r="D16919" s="7">
        <f>IFERROR(__xludf.DUMMYFUNCTION("""COMPUTED_VALUE"""),0.470588235294117)</f>
        <v>0.4705882353</v>
      </c>
    </row>
    <row r="16920">
      <c r="A16920" s="10" t="s">
        <v>18359</v>
      </c>
      <c r="B16920" s="7" t="str">
        <f>IFERROR(__xludf.DUMMYFUNCTION("SPLIT(A16920,"" "")"),"CN(Cc1ccccn1)Cc1ncccc1-c1cccc(N(C)C)c1")</f>
        <v>CN(Cc1ccccn1)Cc1ncccc1-c1cccc(N(C)C)c1</v>
      </c>
      <c r="C16920" s="7">
        <f>IFERROR(__xludf.DUMMYFUNCTION("""COMPUTED_VALUE"""),7.734284)</f>
        <v>7.734284</v>
      </c>
      <c r="D16920" s="7">
        <f>IFERROR(__xludf.DUMMYFUNCTION("""COMPUTED_VALUE"""),0.46938775510204)</f>
        <v>0.4693877551</v>
      </c>
    </row>
    <row r="16921">
      <c r="A16921" s="10" t="s">
        <v>18360</v>
      </c>
      <c r="B16921" s="7" t="str">
        <f>IFERROR(__xludf.DUMMYFUNCTION("SPLIT(A16921,"" "")"),"CCNc1cnccc1-c1ncccc1C(C)(C)c1ccccn1")</f>
        <v>CCNc1cnccc1-c1ncccc1C(C)(C)c1ccccn1</v>
      </c>
      <c r="C16921" s="7">
        <f>IFERROR(__xludf.DUMMYFUNCTION("""COMPUTED_VALUE"""),7.7342834)</f>
        <v>7.7342834</v>
      </c>
      <c r="D16921" s="7">
        <f>IFERROR(__xludf.DUMMYFUNCTION("""COMPUTED_VALUE"""),0.379310344827586)</f>
        <v>0.3793103448</v>
      </c>
    </row>
    <row r="16922">
      <c r="A16922" s="10" t="s">
        <v>18361</v>
      </c>
      <c r="B16922" s="7" t="str">
        <f>IFERROR(__xludf.DUMMYFUNCTION("SPLIT(A16922,"" "")"),"CN(c1ccc2ncccc2c1)C1CCCCC1N(C)c1ccc2cc(CF)cnc2c1")</f>
        <v>CN(c1ccc2ncccc2c1)C1CCCCC1N(C)c1ccc2cc(CF)cnc2c1</v>
      </c>
      <c r="C16922" s="7">
        <f>IFERROR(__xludf.DUMMYFUNCTION("""COMPUTED_VALUE"""),7.734281)</f>
        <v>7.734281</v>
      </c>
      <c r="D16922" s="7">
        <f>IFERROR(__xludf.DUMMYFUNCTION("""COMPUTED_VALUE"""),0.436363636363636)</f>
        <v>0.4363636364</v>
      </c>
    </row>
    <row r="16923">
      <c r="A16923" s="10" t="s">
        <v>18362</v>
      </c>
      <c r="B16923" s="7" t="str">
        <f>IFERROR(__xludf.DUMMYFUNCTION("SPLIT(A16923,"" "")"),"Cc1cccnc1CN(C)C1=C(CN(C)Cc2ccc3cccnc3c2)NC=CC1")</f>
        <v>Cc1cccnc1CN(C)C1=C(CN(C)Cc2ccc3cccnc3c2)NC=CC1</v>
      </c>
      <c r="C16923" s="7">
        <f>IFERROR(__xludf.DUMMYFUNCTION("""COMPUTED_VALUE"""),7.734271)</f>
        <v>7.734271</v>
      </c>
      <c r="D16923" s="7">
        <f>IFERROR(__xludf.DUMMYFUNCTION("""COMPUTED_VALUE"""),0.257575757575757)</f>
        <v>0.2575757576</v>
      </c>
    </row>
    <row r="16924">
      <c r="A16924" s="10" t="s">
        <v>18363</v>
      </c>
      <c r="B16924" s="7" t="str">
        <f>IFERROR(__xludf.DUMMYFUNCTION("SPLIT(A16924,"" "")"),"Cc1cncc(CN(C)CCN(C)c2ccc3nccc(C)c3c2)c1")</f>
        <v>Cc1cncc(CN(C)CCN(C)c2ccc3nccc(C)c3c2)c1</v>
      </c>
      <c r="C16924" s="7">
        <f>IFERROR(__xludf.DUMMYFUNCTION("""COMPUTED_VALUE"""),7.734268)</f>
        <v>7.734268</v>
      </c>
      <c r="D16924" s="7">
        <f>IFERROR(__xludf.DUMMYFUNCTION("""COMPUTED_VALUE"""),0.320754716981132)</f>
        <v>0.320754717</v>
      </c>
    </row>
    <row r="16925">
      <c r="A16925" s="10" t="s">
        <v>18364</v>
      </c>
      <c r="B16925" s="7" t="str">
        <f>IFERROR(__xludf.DUMMYFUNCTION("SPLIT(A16925,"" "")"),"Fc1ccc(CN(Cc2ccccn2)Cc2cc(-c3ccccc3N=Cc3ccccn3)ccn2)cn1")</f>
        <v>Fc1ccc(CN(Cc2ccccn2)Cc2cc(-c3ccccc3N=Cc3ccccn3)ccn2)cn1</v>
      </c>
      <c r="C16925" s="7">
        <f>IFERROR(__xludf.DUMMYFUNCTION("""COMPUTED_VALUE"""),7.7342663)</f>
        <v>7.7342663</v>
      </c>
      <c r="D16925" s="7">
        <f>IFERROR(__xludf.DUMMYFUNCTION("""COMPUTED_VALUE"""),0.406779661016949)</f>
        <v>0.406779661</v>
      </c>
    </row>
    <row r="16926">
      <c r="A16926" s="10" t="s">
        <v>18365</v>
      </c>
      <c r="B16926" s="7" t="str">
        <f>IFERROR(__xludf.DUMMYFUNCTION("SPLIT(A16926,"" "")"),"CNCCN(C)c1ccc2ncccc2c1")</f>
        <v>CNCCN(C)c1ccc2ncccc2c1</v>
      </c>
      <c r="C16926" s="7">
        <f>IFERROR(__xludf.DUMMYFUNCTION("""COMPUTED_VALUE"""),7.7342644)</f>
        <v>7.7342644</v>
      </c>
      <c r="D16926" s="7">
        <f>IFERROR(__xludf.DUMMYFUNCTION("""COMPUTED_VALUE"""),0.386363636363636)</f>
        <v>0.3863636364</v>
      </c>
    </row>
    <row r="16927">
      <c r="A16927" s="10" t="s">
        <v>18366</v>
      </c>
      <c r="B16927" s="7" t="str">
        <f>IFERROR(__xludf.DUMMYFUNCTION("SPLIT(A16927,"" "")"),"CCN(Cc1ccccn1)c1ccc2nc(CN(C)Cc3nc(C)ccc3C)ccc2c1")</f>
        <v>CCN(Cc1ccccn1)c1ccc2nc(CN(C)Cc3nc(C)ccc3C)ccc2c1</v>
      </c>
      <c r="C16927" s="7">
        <f>IFERROR(__xludf.DUMMYFUNCTION("""COMPUTED_VALUE"""),7.7342615)</f>
        <v>7.7342615</v>
      </c>
      <c r="D16927" s="7">
        <f>IFERROR(__xludf.DUMMYFUNCTION("""COMPUTED_VALUE"""),0.421052631578947)</f>
        <v>0.4210526316</v>
      </c>
    </row>
    <row r="16928">
      <c r="A16928" s="10" t="s">
        <v>18367</v>
      </c>
      <c r="B16928" s="7" t="str">
        <f>IFERROR(__xludf.DUMMYFUNCTION("SPLIT(A16928,"" "")"),"CN(C)Cc1ccc2cc(N(C)C3CCC(N(C)c4ccc5ccc(CF)nc5c4)CC3)ccc2n1")</f>
        <v>CN(C)Cc1ccc2cc(N(C)C3CCC(N(C)c4ccc5ccc(CF)nc5c4)CC3)ccc2n1</v>
      </c>
      <c r="C16928" s="7">
        <f>IFERROR(__xludf.DUMMYFUNCTION("""COMPUTED_VALUE"""),7.73426)</f>
        <v>7.73426</v>
      </c>
      <c r="D16928" s="7">
        <f>IFERROR(__xludf.DUMMYFUNCTION("""COMPUTED_VALUE"""),0.368421052631578)</f>
        <v>0.3684210526</v>
      </c>
    </row>
    <row r="16929">
      <c r="A16929" s="10" t="s">
        <v>18368</v>
      </c>
      <c r="B16929" s="7" t="str">
        <f>IFERROR(__xludf.DUMMYFUNCTION("SPLIT(A16929,"" "")"),"CN(Cc1ccccn1)C1=CCC=C(CN(Cc2ccccn2)Cc2cccc(-c3cccc(N(C)C)c3)n2)N1")</f>
        <v>CN(Cc1ccccn1)C1=CCC=C(CN(Cc2ccccn2)Cc2cccc(-c3cccc(N(C)C)c3)n2)N1</v>
      </c>
      <c r="C16929" s="7">
        <f>IFERROR(__xludf.DUMMYFUNCTION("""COMPUTED_VALUE"""),7.734257)</f>
        <v>7.734257</v>
      </c>
      <c r="D16929" s="7">
        <f>IFERROR(__xludf.DUMMYFUNCTION("""COMPUTED_VALUE"""),0.5)</f>
        <v>0.5</v>
      </c>
    </row>
    <row r="16930">
      <c r="A16930" s="10" t="s">
        <v>18369</v>
      </c>
      <c r="B16930" s="7" t="str">
        <f>IFERROR(__xludf.DUMMYFUNCTION("SPLIT(A16930,"" "")"),"Cc1cccc(CN(C)Cc2cc(-c3ccccc3N=Cc3ccccn3)ccn2)c1")</f>
        <v>Cc1cccc(CN(C)Cc2cc(-c3ccccc3N=Cc3ccccn3)ccn2)c1</v>
      </c>
      <c r="C16930" s="7">
        <f>IFERROR(__xludf.DUMMYFUNCTION("""COMPUTED_VALUE"""),7.7342563)</f>
        <v>7.7342563</v>
      </c>
      <c r="D16930" s="7">
        <f>IFERROR(__xludf.DUMMYFUNCTION("""COMPUTED_VALUE"""),0.423728813559322)</f>
        <v>0.4237288136</v>
      </c>
    </row>
    <row r="16931">
      <c r="A16931" s="10" t="s">
        <v>18370</v>
      </c>
      <c r="B16931" s="7" t="str">
        <f>IFERROR(__xludf.DUMMYFUNCTION("SPLIT(A16931,"" "")"),"CCN(c1ccc2ncccc2c1)C1CCC(N(C)c2ccc3nccc(CF)c3c2)CC1")</f>
        <v>CCN(c1ccc2ncccc2c1)C1CCC(N(C)c2ccc3nccc(CF)c3c2)CC1</v>
      </c>
      <c r="C16931" s="7">
        <f>IFERROR(__xludf.DUMMYFUNCTION("""COMPUTED_VALUE"""),7.734256)</f>
        <v>7.734256</v>
      </c>
      <c r="D16931" s="7">
        <f>IFERROR(__xludf.DUMMYFUNCTION("""COMPUTED_VALUE"""),0.276923076923076)</f>
        <v>0.2769230769</v>
      </c>
    </row>
    <row r="16932">
      <c r="A16932" s="10" t="s">
        <v>18371</v>
      </c>
      <c r="B16932" s="7" t="str">
        <f>IFERROR(__xludf.DUMMYFUNCTION("SPLIT(A16932,"" "")"),"CNCc1ncccc1-c1c(C)cccc1NCc1ccccn1")</f>
        <v>CNCc1ncccc1-c1c(C)cccc1NCc1ccccn1</v>
      </c>
      <c r="C16932" s="7">
        <f>IFERROR(__xludf.DUMMYFUNCTION("""COMPUTED_VALUE"""),7.7342544)</f>
        <v>7.7342544</v>
      </c>
      <c r="D16932" s="7">
        <f>IFERROR(__xludf.DUMMYFUNCTION("""COMPUTED_VALUE"""),0.379310344827586)</f>
        <v>0.3793103448</v>
      </c>
    </row>
    <row r="16933">
      <c r="A16933" s="10" t="s">
        <v>18372</v>
      </c>
      <c r="B16933" s="7" t="str">
        <f>IFERROR(__xludf.DUMMYFUNCTION("SPLIT(A16933,"" "")"),"CN(C)c1ccc(C2=CCC(N(C)C3C=CC=CN3)=CN2)nc1")</f>
        <v>CN(C)c1ccc(C2=CCC(N(C)C3C=CC=CN3)=CN2)nc1</v>
      </c>
      <c r="C16933" s="7">
        <f>IFERROR(__xludf.DUMMYFUNCTION("""COMPUTED_VALUE"""),7.7342486)</f>
        <v>7.7342486</v>
      </c>
      <c r="D16933" s="7">
        <f>IFERROR(__xludf.DUMMYFUNCTION("""COMPUTED_VALUE"""),0.242424242424242)</f>
        <v>0.2424242424</v>
      </c>
    </row>
    <row r="16934">
      <c r="A16934" s="10" t="s">
        <v>18373</v>
      </c>
      <c r="B16934" s="7" t="str">
        <f>IFERROR(__xludf.DUMMYFUNCTION("SPLIT(A16934,"" "")"),"CNc1ccc2c(CN(C)C3CCCC(N(C)c4ccc5c(CF)ccnc5c4)C3)ccnc2c1")</f>
        <v>CNc1ccc2c(CN(C)C3CCCC(N(C)c4ccc5c(CF)ccnc5c4)C3)ccnc2c1</v>
      </c>
      <c r="C16934" s="7">
        <f>IFERROR(__xludf.DUMMYFUNCTION("""COMPUTED_VALUE"""),7.734247)</f>
        <v>7.734247</v>
      </c>
      <c r="D16934" s="7">
        <f>IFERROR(__xludf.DUMMYFUNCTION("""COMPUTED_VALUE"""),0.242424242424242)</f>
        <v>0.2424242424</v>
      </c>
    </row>
    <row r="16935">
      <c r="A16935" s="10" t="s">
        <v>18374</v>
      </c>
      <c r="B16935" s="7" t="str">
        <f>IFERROR(__xludf.DUMMYFUNCTION("SPLIT(A16935,"" "")"),"Cc1ccc(N(C)Cc2ncc(C)c(C)c2C)cc1C")</f>
        <v>Cc1ccc(N(C)Cc2ncc(C)c(C)c2C)cc1C</v>
      </c>
      <c r="C16935" s="7">
        <f>IFERROR(__xludf.DUMMYFUNCTION("""COMPUTED_VALUE"""),7.7342443)</f>
        <v>7.7342443</v>
      </c>
      <c r="D16935" s="7">
        <f>IFERROR(__xludf.DUMMYFUNCTION("""COMPUTED_VALUE"""),0.295454545454545)</f>
        <v>0.2954545455</v>
      </c>
    </row>
    <row r="16936">
      <c r="A16936" s="10" t="s">
        <v>18375</v>
      </c>
      <c r="B16936" s="7" t="str">
        <f>IFERROR(__xludf.DUMMYFUNCTION("SPLIT(A16936,"" "")"),"Cc1cccc(CN(C)Cc2ccc(-c3cccc(N=Cc4ccccn4)c3)cn2)c1C")</f>
        <v>Cc1cccc(CN(C)Cc2ccc(-c3cccc(N=Cc4ccccn4)c3)cn2)c1C</v>
      </c>
      <c r="C16936" s="7">
        <f>IFERROR(__xludf.DUMMYFUNCTION("""COMPUTED_VALUE"""),7.7342386)</f>
        <v>7.7342386</v>
      </c>
      <c r="D16936" s="7">
        <f>IFERROR(__xludf.DUMMYFUNCTION("""COMPUTED_VALUE"""),0.387096774193548)</f>
        <v>0.3870967742</v>
      </c>
    </row>
    <row r="16937">
      <c r="A16937" s="10" t="s">
        <v>18376</v>
      </c>
      <c r="B16937" s="7" t="str">
        <f>IFERROR(__xludf.DUMMYFUNCTION("SPLIT(A16937,"" "")"),"CC(C)N(CC1=C(N(C)c2ccc3nccc(CF)c3c2)CC=CN1)Cc1ccccn1")</f>
        <v>CC(C)N(CC1=C(N(C)c2ccc3nccc(CF)c3c2)CC=CN1)Cc1ccccn1</v>
      </c>
      <c r="C16937" s="7">
        <f>IFERROR(__xludf.DUMMYFUNCTION("""COMPUTED_VALUE"""),7.734237)</f>
        <v>7.734237</v>
      </c>
      <c r="D16937" s="7">
        <f>IFERROR(__xludf.DUMMYFUNCTION("""COMPUTED_VALUE"""),0.375)</f>
        <v>0.375</v>
      </c>
    </row>
    <row r="16938">
      <c r="A16938" s="10" t="s">
        <v>18377</v>
      </c>
      <c r="B16938" s="7" t="str">
        <f>IFERROR(__xludf.DUMMYFUNCTION("SPLIT(A16938,"" "")"),"CNCc1cc(CN(Cc2ccccn2)c2ccc3nc(CF)ccc3c2)ccn1")</f>
        <v>CNCc1cc(CN(Cc2ccccn2)c2ccc3nc(CF)ccc3c2)ccn1</v>
      </c>
      <c r="C16938" s="7">
        <f>IFERROR(__xludf.DUMMYFUNCTION("""COMPUTED_VALUE"""),7.734229)</f>
        <v>7.734229</v>
      </c>
      <c r="D16938" s="7">
        <f>IFERROR(__xludf.DUMMYFUNCTION("""COMPUTED_VALUE"""),0.410714285714285)</f>
        <v>0.4107142857</v>
      </c>
    </row>
    <row r="16939">
      <c r="A16939" s="10" t="s">
        <v>18378</v>
      </c>
      <c r="B16939" s="7" t="str">
        <f>IFERROR(__xludf.DUMMYFUNCTION("SPLIT(A16939,"" "")"),"CN(Cc1ccccn1)C1=C(CN(C)c2ccc(Cl)c(Cl)c2)NC=CC1")</f>
        <v>CN(Cc1ccccn1)C1=C(CN(C)c2ccc(Cl)c(Cl)c2)NC=CC1</v>
      </c>
      <c r="C16939" s="7">
        <f>IFERROR(__xludf.DUMMYFUNCTION("""COMPUTED_VALUE"""),7.7342267)</f>
        <v>7.7342267</v>
      </c>
      <c r="D16939" s="7">
        <f>IFERROR(__xludf.DUMMYFUNCTION("""COMPUTED_VALUE"""),0.5)</f>
        <v>0.5</v>
      </c>
    </row>
    <row r="16940">
      <c r="A16940" s="10" t="s">
        <v>18379</v>
      </c>
      <c r="B16940" s="7" t="str">
        <f>IFERROR(__xludf.DUMMYFUNCTION("SPLIT(A16940,"" "")"),"Cc1ccnc(CN(Cc2cccc(F)n2)Cc2cccc(-c3ccccc3N=Cc3ccccn3)n2)c1")</f>
        <v>Cc1ccnc(CN(Cc2cccc(F)n2)Cc2cccc(-c3ccccc3N=Cc3ccccn3)n2)c1</v>
      </c>
      <c r="C16940" s="7">
        <f>IFERROR(__xludf.DUMMYFUNCTION("""COMPUTED_VALUE"""),7.734221)</f>
        <v>7.734221</v>
      </c>
      <c r="D16940" s="7">
        <f>IFERROR(__xludf.DUMMYFUNCTION("""COMPUTED_VALUE"""),0.396825396825396)</f>
        <v>0.3968253968</v>
      </c>
    </row>
    <row r="16941">
      <c r="A16941" s="10" t="s">
        <v>18380</v>
      </c>
      <c r="B16941" s="7" t="str">
        <f>IFERROR(__xludf.DUMMYFUNCTION("SPLIT(A16941,"" "")"),"Cc1cc(C)c(CN(C)CCN(Cc2ccccn2)c2ccc3nccc(C)c3c2)nc1C")</f>
        <v>Cc1cc(C)c(CN(C)CCN(Cc2ccccn2)c2ccc3nccc(C)c3c2)nc1C</v>
      </c>
      <c r="C16941" s="7">
        <f>IFERROR(__xludf.DUMMYFUNCTION("""COMPUTED_VALUE"""),7.734217)</f>
        <v>7.734217</v>
      </c>
      <c r="D16941" s="7">
        <f>IFERROR(__xludf.DUMMYFUNCTION("""COMPUTED_VALUE"""),0.354838709677419)</f>
        <v>0.3548387097</v>
      </c>
    </row>
    <row r="16942">
      <c r="A16942" s="10" t="s">
        <v>18381</v>
      </c>
      <c r="B16942" s="7" t="str">
        <f>IFERROR(__xludf.DUMMYFUNCTION("SPLIT(A16942,"" "")"),"Fc1cccc(CN(Cc2ccccn2)Cc2ncccc2-c2ccccc2N=Cc2ccccn2)n1")</f>
        <v>Fc1cccc(CN(Cc2ccccn2)Cc2ncccc2-c2ccccc2N=Cc2ccccn2)n1</v>
      </c>
      <c r="C16942" s="7">
        <f>IFERROR(__xludf.DUMMYFUNCTION("""COMPUTED_VALUE"""),7.7342134)</f>
        <v>7.7342134</v>
      </c>
      <c r="D16942" s="7">
        <f>IFERROR(__xludf.DUMMYFUNCTION("""COMPUTED_VALUE"""),0.436363636363636)</f>
        <v>0.4363636364</v>
      </c>
    </row>
    <row r="16943">
      <c r="A16943" s="10" t="s">
        <v>18382</v>
      </c>
      <c r="B16943" s="7" t="str">
        <f>IFERROR(__xludf.DUMMYFUNCTION("SPLIT(A16943,"" "")"),"Cc1ccnc2ccc(N(C)CCCN(C)Cc3ccon3)cc12")</f>
        <v>Cc1ccnc2ccc(N(C)CCCN(C)Cc3ccon3)cc12</v>
      </c>
      <c r="C16943" s="7">
        <f>IFERROR(__xludf.DUMMYFUNCTION("""COMPUTED_VALUE"""),7.734211)</f>
        <v>7.734211</v>
      </c>
      <c r="D16943" s="7">
        <f>IFERROR(__xludf.DUMMYFUNCTION("""COMPUTED_VALUE"""),0.489361702127659)</f>
        <v>0.4893617021</v>
      </c>
    </row>
    <row r="16944">
      <c r="A16944" s="10" t="s">
        <v>18383</v>
      </c>
      <c r="B16944" s="7" t="str">
        <f>IFERROR(__xludf.DUMMYFUNCTION("SPLIT(A16944,"" "")"),"Cc1ccc(CN(C)c2c(N(C)C(C)C)ccc(Cl)c2Cl)nc1")</f>
        <v>Cc1ccc(CN(C)c2c(N(C)C(C)C)ccc(Cl)c2Cl)nc1</v>
      </c>
      <c r="C16944" s="7">
        <f>IFERROR(__xludf.DUMMYFUNCTION("""COMPUTED_VALUE"""),7.7342105)</f>
        <v>7.7342105</v>
      </c>
      <c r="D16944" s="7">
        <f>IFERROR(__xludf.DUMMYFUNCTION("""COMPUTED_VALUE"""),0.466666666666666)</f>
        <v>0.4666666667</v>
      </c>
    </row>
    <row r="16945">
      <c r="A16945" s="10" t="s">
        <v>18384</v>
      </c>
      <c r="B16945" s="7" t="str">
        <f>IFERROR(__xludf.DUMMYFUNCTION("SPLIT(A16945,"" "")"),"CN(c1cncc(-c2ccccn2)c1)C1CCC(N(C)c2ccc3cc(CF)cnc3c2)CC1")</f>
        <v>CN(c1cncc(-c2ccccn2)c1)C1CCC(N(C)c2ccc3cc(CF)cnc3c2)CC1</v>
      </c>
      <c r="C16945" s="7">
        <f>IFERROR(__xludf.DUMMYFUNCTION("""COMPUTED_VALUE"""),7.7342057)</f>
        <v>7.7342057</v>
      </c>
      <c r="D16945" s="7">
        <f>IFERROR(__xludf.DUMMYFUNCTION("""COMPUTED_VALUE"""),0.292307692307692)</f>
        <v>0.2923076923</v>
      </c>
    </row>
    <row r="16946">
      <c r="A16946" s="10" t="s">
        <v>18385</v>
      </c>
      <c r="B16946" s="7" t="str">
        <f>IFERROR(__xludf.DUMMYFUNCTION("SPLIT(A16946,"" "")"),"CC1=C(NCc2ccccn2)C(c2ccccc2)CC=C1c1c(NCc2ccccn2)ccc(-c2ccccc2)c1C")</f>
        <v>CC1=C(NCc2ccccn2)C(c2ccccc2)CC=C1c1c(NCc2ccccn2)ccc(-c2ccccc2)c1C</v>
      </c>
      <c r="C16946" s="7">
        <f>IFERROR(__xludf.DUMMYFUNCTION("""COMPUTED_VALUE"""),7.734201)</f>
        <v>7.734201</v>
      </c>
      <c r="D16946" s="7">
        <f>IFERROR(__xludf.DUMMYFUNCTION("""COMPUTED_VALUE"""),0.373134328358209)</f>
        <v>0.3731343284</v>
      </c>
    </row>
    <row r="16947">
      <c r="A16947" s="10" t="s">
        <v>18386</v>
      </c>
      <c r="B16947" s="7" t="str">
        <f>IFERROR(__xludf.DUMMYFUNCTION("SPLIT(A16947,"" "")"),"CN(Cc1cncc(F)c1)Cc1ccncc1-c1ccccc1N(C)C")</f>
        <v>CN(Cc1cncc(F)c1)Cc1ccncc1-c1ccccc1N(C)C</v>
      </c>
      <c r="C16947" s="7">
        <f>IFERROR(__xludf.DUMMYFUNCTION("""COMPUTED_VALUE"""),7.7341943)</f>
        <v>7.7341943</v>
      </c>
      <c r="D16947" s="7">
        <f>IFERROR(__xludf.DUMMYFUNCTION("""COMPUTED_VALUE"""),0.25)</f>
        <v>0.25</v>
      </c>
    </row>
    <row r="16948">
      <c r="A16948" s="10" t="s">
        <v>18387</v>
      </c>
      <c r="B16948" s="7" t="str">
        <f>IFERROR(__xludf.DUMMYFUNCTION("SPLIT(A16948,"" "")"),"Cc1cc(CN(C)CCN(C)c2cccc3ncc(CF)cc23)nc(C)c1C")</f>
        <v>Cc1cc(CN(C)CCN(C)c2cccc3ncc(CF)cc23)nc(C)c1C</v>
      </c>
      <c r="C16948" s="7">
        <f>IFERROR(__xludf.DUMMYFUNCTION("""COMPUTED_VALUE"""),7.7341924)</f>
        <v>7.7341924</v>
      </c>
      <c r="D16948" s="7">
        <f>IFERROR(__xludf.DUMMYFUNCTION("""COMPUTED_VALUE"""),0.339285714285714)</f>
        <v>0.3392857143</v>
      </c>
    </row>
    <row r="16949">
      <c r="A16949" s="10" t="s">
        <v>18388</v>
      </c>
      <c r="B16949" s="7" t="str">
        <f>IFERROR(__xludf.DUMMYFUNCTION("SPLIT(A16949,"" "")"),"CN(Cc1ccc2c(n1)CCC2)Cc1ncccc1-c1ccccc1N=Cc1ccccn1")</f>
        <v>CN(Cc1ccc2c(n1)CCC2)Cc1ncccc1-c1ccccc1N=Cc1ccccn1</v>
      </c>
      <c r="C16949" s="7">
        <f>IFERROR(__xludf.DUMMYFUNCTION("""COMPUTED_VALUE"""),7.7341895)</f>
        <v>7.7341895</v>
      </c>
      <c r="D16949" s="7">
        <f>IFERROR(__xludf.DUMMYFUNCTION("""COMPUTED_VALUE"""),0.383333333333333)</f>
        <v>0.3833333333</v>
      </c>
    </row>
    <row r="16950">
      <c r="A16950" s="10" t="s">
        <v>18389</v>
      </c>
      <c r="B16950" s="7" t="str">
        <f>IFERROR(__xludf.DUMMYFUNCTION("SPLIT(A16950,"" "")"),"CCN(Cc1ccccn1)c1cc(-c2cccc(CN(Cc3ccccn3)C3CCCCC3N(C)c3ccc4nc(CF)ccc4c3)n2)c2cccnc2c1")</f>
        <v>CCN(Cc1ccccn1)c1cc(-c2cccc(CN(Cc3ccccn3)C3CCCCC3N(C)c3ccc4nc(CF)ccc4c3)n2)c2cccnc2c1</v>
      </c>
      <c r="C16950" s="7">
        <f>IFERROR(__xludf.DUMMYFUNCTION("""COMPUTED_VALUE"""),7.7341876)</f>
        <v>7.7341876</v>
      </c>
      <c r="D16950" s="7">
        <f>IFERROR(__xludf.DUMMYFUNCTION("""COMPUTED_VALUE"""),0.3625)</f>
        <v>0.3625</v>
      </c>
    </row>
    <row r="16951">
      <c r="A16951" s="10" t="s">
        <v>18390</v>
      </c>
      <c r="B16951" s="7" t="str">
        <f>IFERROR(__xludf.DUMMYFUNCTION("SPLIT(A16951,"" "")"),"Cc1cc(CN(C)c2ccccc2-c2ccc(CN(C)Cc3ccccn3)cn2)cnc1C")</f>
        <v>Cc1cc(CN(C)c2ccccc2-c2ccc(CN(C)Cc3ccccn3)cn2)cnc1C</v>
      </c>
      <c r="C16951" s="7">
        <f>IFERROR(__xludf.DUMMYFUNCTION("""COMPUTED_VALUE"""),7.734184)</f>
        <v>7.734184</v>
      </c>
      <c r="D16951" s="7">
        <f>IFERROR(__xludf.DUMMYFUNCTION("""COMPUTED_VALUE"""),0.410714285714285)</f>
        <v>0.4107142857</v>
      </c>
    </row>
    <row r="16952">
      <c r="A16952" s="10" t="s">
        <v>18391</v>
      </c>
      <c r="B16952" s="7" t="str">
        <f>IFERROR(__xludf.DUMMYFUNCTION("SPLIT(A16952,"" "")"),"CC(C)C1COC(c2cccc(CN(Cc3ccccn3)Cc3ccc(-c4cccc(N(C)C)c4)cn3)n2)=N1")</f>
        <v>CC(C)C1COC(c2cccc(CN(Cc3ccccn3)Cc3ccc(-c4cccc(N(C)C)c4)cn3)n2)=N1</v>
      </c>
      <c r="C16952" s="7">
        <f>IFERROR(__xludf.DUMMYFUNCTION("""COMPUTED_VALUE"""),7.734183)</f>
        <v>7.734183</v>
      </c>
      <c r="D16952" s="7">
        <f>IFERROR(__xludf.DUMMYFUNCTION("""COMPUTED_VALUE"""),0.416666666666666)</f>
        <v>0.4166666667</v>
      </c>
    </row>
    <row r="16953">
      <c r="A16953" s="10" t="s">
        <v>18392</v>
      </c>
      <c r="B16953" s="7" t="str">
        <f>IFERROR(__xludf.DUMMYFUNCTION("SPLIT(A16953,"" "")"),"CCN(CC1=C(N(C)c2ccc3ncccc3c2)CC=CN1)Cc1ccccn1")</f>
        <v>CCN(CC1=C(N(C)c2ccc3ncccc3c2)CC=CN1)Cc1ccccn1</v>
      </c>
      <c r="C16953" s="7">
        <f>IFERROR(__xludf.DUMMYFUNCTION("""COMPUTED_VALUE"""),7.734178)</f>
        <v>7.734178</v>
      </c>
      <c r="D16953" s="7">
        <f>IFERROR(__xludf.DUMMYFUNCTION("""COMPUTED_VALUE"""),0.390625)</f>
        <v>0.390625</v>
      </c>
    </row>
    <row r="16954">
      <c r="A16954" s="10" t="s">
        <v>18393</v>
      </c>
      <c r="B16954" s="7" t="str">
        <f>IFERROR(__xludf.DUMMYFUNCTION("SPLIT(A16954,"" "")"),"CNCc1cc(CN(C)Cc2ccc3cccc(N(C)Cc4ncccc4C)c3n2)ccn1")</f>
        <v>CNCc1cc(CN(C)Cc2ccc3cccc(N(C)Cc4ncccc4C)c3n2)ccn1</v>
      </c>
      <c r="C16954" s="7">
        <f>IFERROR(__xludf.DUMMYFUNCTION("""COMPUTED_VALUE"""),7.7341723)</f>
        <v>7.7341723</v>
      </c>
      <c r="D16954" s="7">
        <f>IFERROR(__xludf.DUMMYFUNCTION("""COMPUTED_VALUE"""),0.366666666666666)</f>
        <v>0.3666666667</v>
      </c>
    </row>
    <row r="16955">
      <c r="A16955" s="10" t="s">
        <v>18394</v>
      </c>
      <c r="B16955" s="7" t="str">
        <f>IFERROR(__xludf.DUMMYFUNCTION("SPLIT(A16955,"" "")"),"CN(Cc1ccccn1)C1C=CNC(CN(Cc2ccccn2)c2ccc3ncccc3c2)=C1")</f>
        <v>CN(Cc1ccccn1)C1C=CNC(CN(Cc2ccccn2)c2ccc3ncccc3c2)=C1</v>
      </c>
      <c r="C16955" s="7">
        <f>IFERROR(__xludf.DUMMYFUNCTION("""COMPUTED_VALUE"""),7.734169)</f>
        <v>7.734169</v>
      </c>
      <c r="D16955" s="7">
        <f>IFERROR(__xludf.DUMMYFUNCTION("""COMPUTED_VALUE"""),0.366666666666666)</f>
        <v>0.3666666667</v>
      </c>
    </row>
    <row r="16956">
      <c r="A16956" s="10" t="s">
        <v>18395</v>
      </c>
      <c r="B16956" s="7" t="str">
        <f>IFERROR(__xludf.DUMMYFUNCTION("SPLIT(A16956,"" "")"),"CNCc1nccc2c(N(C)CCN(C)Cc3nc(C)c(C)c(C)c3C)cccc12")</f>
        <v>CNCc1nccc2c(N(C)CCN(C)Cc3nc(C)c(C)c(C)c3C)cccc12</v>
      </c>
      <c r="C16956" s="7">
        <f>IFERROR(__xludf.DUMMYFUNCTION("""COMPUTED_VALUE"""),7.734163)</f>
        <v>7.734163</v>
      </c>
      <c r="D16956" s="7">
        <f>IFERROR(__xludf.DUMMYFUNCTION("""COMPUTED_VALUE"""),0.357142857142857)</f>
        <v>0.3571428571</v>
      </c>
    </row>
    <row r="16957">
      <c r="A16957" s="10" t="s">
        <v>18396</v>
      </c>
      <c r="B16957" s="7" t="str">
        <f>IFERROR(__xludf.DUMMYFUNCTION("SPLIT(A16957,"" "")"),"CN(Cc1ncccc1-c1cccc(N)c1Cl)C1C=CC=CN1")</f>
        <v>CN(Cc1ncccc1-c1cccc(N)c1Cl)C1C=CC=CN1</v>
      </c>
      <c r="C16957" s="7">
        <f>IFERROR(__xludf.DUMMYFUNCTION("""COMPUTED_VALUE"""),7.73416)</f>
        <v>7.73416</v>
      </c>
      <c r="D16957" s="7">
        <f>IFERROR(__xludf.DUMMYFUNCTION("""COMPUTED_VALUE"""),0.32258064516129)</f>
        <v>0.3225806452</v>
      </c>
    </row>
    <row r="16958">
      <c r="A16958" s="10" t="s">
        <v>18397</v>
      </c>
      <c r="B16958" s="7" t="str">
        <f>IFERROR(__xludf.DUMMYFUNCTION("SPLIT(A16958,"" "")"),"Cc1ccnc(CN(C)C2C=CNC(CN(C)c3ccc4nc(CF)ccc4c3)=C2)c1")</f>
        <v>Cc1ccnc(CN(C)C2C=CNC(CN(C)c3ccc4nc(CF)ccc4c3)=C2)c1</v>
      </c>
      <c r="C16958" s="7">
        <f>IFERROR(__xludf.DUMMYFUNCTION("""COMPUTED_VALUE"""),7.73416)</f>
        <v>7.73416</v>
      </c>
      <c r="D16958" s="7">
        <f>IFERROR(__xludf.DUMMYFUNCTION("""COMPUTED_VALUE"""),0.246575342465753)</f>
        <v>0.2465753425</v>
      </c>
    </row>
    <row r="16959">
      <c r="A16959" s="10" t="s">
        <v>18398</v>
      </c>
      <c r="B16959" s="7" t="str">
        <f>IFERROR(__xludf.DUMMYFUNCTION("SPLIT(A16959,"" "")"),"CCNCc1ncccc1-c1ccc(N=Cc2ccccn2)cc1")</f>
        <v>CCNCc1ncccc1-c1ccc(N=Cc2ccccn2)cc1</v>
      </c>
      <c r="C16959" s="7">
        <f>IFERROR(__xludf.DUMMYFUNCTION("""COMPUTED_VALUE"""),7.7341595)</f>
        <v>7.7341595</v>
      </c>
      <c r="D16959" s="7">
        <f>IFERROR(__xludf.DUMMYFUNCTION("""COMPUTED_VALUE"""),0.37037037037037)</f>
        <v>0.3703703704</v>
      </c>
    </row>
    <row r="16960">
      <c r="A16960" s="10" t="s">
        <v>18399</v>
      </c>
      <c r="B16960" s="7" t="str">
        <f>IFERROR(__xludf.DUMMYFUNCTION("SPLIT(A16960,"" "")"),"CCNCc1cc(-c2ccccc2N=Cc2ccccn2)ccn1")</f>
        <v>CCNCc1cc(-c2ccccc2N=Cc2ccccn2)ccn1</v>
      </c>
      <c r="C16960" s="7">
        <f>IFERROR(__xludf.DUMMYFUNCTION("""COMPUTED_VALUE"""),7.734159)</f>
        <v>7.734159</v>
      </c>
      <c r="D16960" s="7">
        <f>IFERROR(__xludf.DUMMYFUNCTION("""COMPUTED_VALUE"""),0.433962264150943)</f>
        <v>0.4339622642</v>
      </c>
    </row>
    <row r="16961">
      <c r="A16961" s="10" t="s">
        <v>18400</v>
      </c>
      <c r="B16961" s="7" t="str">
        <f>IFERROR(__xludf.DUMMYFUNCTION("SPLIT(A16961,"" "")"),"Cc1cncc(CN(C)CCN(C)c2cccc3nccc(C)c23)c1")</f>
        <v>Cc1cncc(CN(C)CCN(C)c2cccc3nccc(C)c23)c1</v>
      </c>
      <c r="C16961" s="7">
        <f>IFERROR(__xludf.DUMMYFUNCTION("""COMPUTED_VALUE"""),7.7341433)</f>
        <v>7.7341433</v>
      </c>
      <c r="D16961" s="7">
        <f>IFERROR(__xludf.DUMMYFUNCTION("""COMPUTED_VALUE"""),0.327272727272727)</f>
        <v>0.3272727273</v>
      </c>
    </row>
    <row r="16962">
      <c r="A16962" s="10" t="s">
        <v>18401</v>
      </c>
      <c r="B16962" s="7" t="str">
        <f>IFERROR(__xludf.DUMMYFUNCTION("SPLIT(A16962,"" "")"),"Cc1cccc(-c2cccc(C(C)C)n2)c1NCc1ccccn1")</f>
        <v>Cc1cccc(-c2cccc(C(C)C)n2)c1NCc1ccccn1</v>
      </c>
      <c r="C16962" s="7">
        <f>IFERROR(__xludf.DUMMYFUNCTION("""COMPUTED_VALUE"""),7.734137)</f>
        <v>7.734137</v>
      </c>
      <c r="D16962" s="7">
        <f>IFERROR(__xludf.DUMMYFUNCTION("""COMPUTED_VALUE"""),0.396551724137931)</f>
        <v>0.3965517241</v>
      </c>
    </row>
    <row r="16963">
      <c r="A16963" s="10" t="s">
        <v>18402</v>
      </c>
      <c r="B16963" s="7" t="str">
        <f>IFERROR(__xludf.DUMMYFUNCTION("SPLIT(A16963,"" "")"),"Cc1cccnc1CN(C)c1ccc2nc(CN(Cc3ccccn3)C(C)C)ccc2c1")</f>
        <v>Cc1cccnc1CN(C)c1ccc2nc(CN(Cc3ccccn3)C(C)C)ccc2c1</v>
      </c>
      <c r="C16963" s="7">
        <f>IFERROR(__xludf.DUMMYFUNCTION("""COMPUTED_VALUE"""),7.7341256)</f>
        <v>7.7341256</v>
      </c>
      <c r="D16963" s="7">
        <f>IFERROR(__xludf.DUMMYFUNCTION("""COMPUTED_VALUE"""),0.48076923076923)</f>
        <v>0.4807692308</v>
      </c>
    </row>
    <row r="16964">
      <c r="A16964" s="10" t="s">
        <v>18403</v>
      </c>
      <c r="B16964" s="7" t="str">
        <f>IFERROR(__xludf.DUMMYFUNCTION("SPLIT(A16964,"" "")"),"Cc1ccc(CN(Cc2cc(C)ccn2)Cc2cc(-c3cccc(N=Cc4ccccn4)c3)ccn2)nc1")</f>
        <v>Cc1ccc(CN(Cc2cc(C)ccn2)Cc2cc(-c3cccc(N=Cc4ccccn4)c3)ccn2)nc1</v>
      </c>
      <c r="C16964" s="7">
        <f>IFERROR(__xludf.DUMMYFUNCTION("""COMPUTED_VALUE"""),7.7341228)</f>
        <v>7.7341228</v>
      </c>
      <c r="D16964" s="7">
        <f>IFERROR(__xludf.DUMMYFUNCTION("""COMPUTED_VALUE"""),0.349206349206349)</f>
        <v>0.3492063492</v>
      </c>
    </row>
    <row r="16965">
      <c r="A16965" s="10" t="s">
        <v>18404</v>
      </c>
      <c r="B16965" s="7" t="str">
        <f>IFERROR(__xludf.DUMMYFUNCTION("SPLIT(A16965,"" "")"),"Cc1ccc(CN(C)c2cccnc2CN(Cc2ccccn2)Cc2cccc(-c3cccc(N)c3Cl)n2)nc1")</f>
        <v>Cc1ccc(CN(C)c2cccnc2CN(Cc2ccccn2)Cc2cccc(-c3cccc(N)c3Cl)n2)nc1</v>
      </c>
      <c r="C16965" s="7">
        <f>IFERROR(__xludf.DUMMYFUNCTION("""COMPUTED_VALUE"""),7.7341094)</f>
        <v>7.7341094</v>
      </c>
      <c r="D16965" s="7">
        <f>IFERROR(__xludf.DUMMYFUNCTION("""COMPUTED_VALUE"""),0.390625)</f>
        <v>0.390625</v>
      </c>
    </row>
    <row r="16966">
      <c r="A16966" s="10" t="s">
        <v>18405</v>
      </c>
      <c r="B16966" s="7" t="str">
        <f>IFERROR(__xludf.DUMMYFUNCTION("SPLIT(A16966,"" "")"),"Cc1ccc(CN(C)Cc2cccc(-c3ccc(N)cc3Cl)n2)nc1")</f>
        <v>Cc1ccc(CN(C)Cc2cccc(-c3ccc(N)cc3Cl)n2)nc1</v>
      </c>
      <c r="C16966" s="7">
        <f>IFERROR(__xludf.DUMMYFUNCTION("""COMPUTED_VALUE"""),7.734104)</f>
        <v>7.734104</v>
      </c>
      <c r="D16966" s="7">
        <f>IFERROR(__xludf.DUMMYFUNCTION("""COMPUTED_VALUE"""),0.448979591836734)</f>
        <v>0.4489795918</v>
      </c>
    </row>
    <row r="16967">
      <c r="A16967" s="10" t="s">
        <v>18406</v>
      </c>
      <c r="B16967" s="7" t="str">
        <f>IFERROR(__xludf.DUMMYFUNCTION("SPLIT(A16967,"" "")"),"Cc1cc(C)nc(CN(C)Cc2ccnc(-c3cc(N)ccc3C)c2)c1")</f>
        <v>Cc1cc(C)nc(CN(C)Cc2ccnc(-c3cc(N)ccc3C)c2)c1</v>
      </c>
      <c r="C16967" s="7">
        <f>IFERROR(__xludf.DUMMYFUNCTION("""COMPUTED_VALUE"""),7.7341)</f>
        <v>7.7341</v>
      </c>
      <c r="D16967" s="7">
        <f>IFERROR(__xludf.DUMMYFUNCTION("""COMPUTED_VALUE"""),0.31578947368421)</f>
        <v>0.3157894737</v>
      </c>
    </row>
    <row r="16968">
      <c r="A16968" s="10" t="s">
        <v>18407</v>
      </c>
      <c r="B16968" s="7" t="str">
        <f>IFERROR(__xludf.DUMMYFUNCTION("SPLIT(A16968,"" "")"),"CN(c1ccc2nc(CF)ccc2c1)C1CCCC(N(C)c2ccc3ccc(CF)nc3c2)C1")</f>
        <v>CN(c1ccc2nc(CF)ccc2c1)C1CCCC(N(C)c2ccc3ccc(CF)nc3c2)C1</v>
      </c>
      <c r="C16968" s="7">
        <f>IFERROR(__xludf.DUMMYFUNCTION("""COMPUTED_VALUE"""),7.7340875)</f>
        <v>7.7340875</v>
      </c>
      <c r="D16968" s="7">
        <f>IFERROR(__xludf.DUMMYFUNCTION("""COMPUTED_VALUE"""),0.407407407407407)</f>
        <v>0.4074074074</v>
      </c>
    </row>
    <row r="16969">
      <c r="A16969" s="10" t="s">
        <v>18408</v>
      </c>
      <c r="B16969" s="7" t="str">
        <f>IFERROR(__xludf.DUMMYFUNCTION("SPLIT(A16969,"" "")"),"CN(Cc1ccccn1)Cc1ncccc1-c1ccc(N(C)C)cc1")</f>
        <v>CN(Cc1ccccn1)Cc1ncccc1-c1ccc(N(C)C)cc1</v>
      </c>
      <c r="C16969" s="7">
        <f>IFERROR(__xludf.DUMMYFUNCTION("""COMPUTED_VALUE"""),7.7340865)</f>
        <v>7.7340865</v>
      </c>
      <c r="D16969" s="7">
        <f>IFERROR(__xludf.DUMMYFUNCTION("""COMPUTED_VALUE"""),0.468085106382978)</f>
        <v>0.4680851064</v>
      </c>
    </row>
    <row r="16970">
      <c r="A16970" s="10" t="s">
        <v>18409</v>
      </c>
      <c r="B16970" s="7" t="str">
        <f>IFERROR(__xludf.DUMMYFUNCTION("SPLIT(A16970,"" "")"),"Cc1cncc(CN(C)c2ccc3nc(CN(Cc4ccccn4)Cc4ccc(C(C)(C)C)cn4)ccc3c2)c1C")</f>
        <v>Cc1cncc(CN(C)c2ccc3nc(CN(Cc4ccccn4)Cc4ccc(C(C)(C)C)cn4)ccc3c2)c1C</v>
      </c>
      <c r="C16970" s="7">
        <f>IFERROR(__xludf.DUMMYFUNCTION("""COMPUTED_VALUE"""),7.7340856)</f>
        <v>7.7340856</v>
      </c>
      <c r="D16970" s="7">
        <f>IFERROR(__xludf.DUMMYFUNCTION("""COMPUTED_VALUE"""),0.435483870967741)</f>
        <v>0.435483871</v>
      </c>
    </row>
    <row r="16971">
      <c r="A16971" s="10" t="s">
        <v>18410</v>
      </c>
      <c r="B16971" s="7" t="str">
        <f>IFERROR(__xludf.DUMMYFUNCTION("SPLIT(A16971,"" "")"),"CC(C)N(Cc1ccccn1)c1ccc2nccc(CN(C)Cc3ccccn3)c2c1")</f>
        <v>CC(C)N(Cc1ccccn1)c1ccc2nccc(CN(C)Cc3ccccn3)c2c1</v>
      </c>
      <c r="C16971" s="7">
        <f>IFERROR(__xludf.DUMMYFUNCTION("""COMPUTED_VALUE"""),7.734084)</f>
        <v>7.734084</v>
      </c>
      <c r="D16971" s="7">
        <f>IFERROR(__xludf.DUMMYFUNCTION("""COMPUTED_VALUE"""),0.411764705882352)</f>
        <v>0.4117647059</v>
      </c>
    </row>
    <row r="16972">
      <c r="A16972" s="10" t="s">
        <v>18411</v>
      </c>
      <c r="B16972" s="7" t="str">
        <f>IFERROR(__xludf.DUMMYFUNCTION("SPLIT(A16972,"" "")"),"Cc1cc(N(C)Cc2ncccc2C(C)(C)c2ccccn2)c(C)c(C)c1C")</f>
        <v>Cc1cc(N(C)Cc2ncccc2C(C)(C)c2ccccn2)c(C)c(C)c1C</v>
      </c>
      <c r="C16972" s="7">
        <f>IFERROR(__xludf.DUMMYFUNCTION("""COMPUTED_VALUE"""),7.7340717)</f>
        <v>7.7340717</v>
      </c>
      <c r="D16972" s="7">
        <f>IFERROR(__xludf.DUMMYFUNCTION("""COMPUTED_VALUE"""),0.358490566037735)</f>
        <v>0.358490566</v>
      </c>
    </row>
    <row r="16973">
      <c r="A16973" s="10" t="s">
        <v>18412</v>
      </c>
      <c r="B16973" s="7" t="str">
        <f>IFERROR(__xludf.DUMMYFUNCTION("SPLIT(A16973,"" "")"),"Cc1cccnc1CN(C)C1=C(CN(C)Cc2ccc3ncccc3c2)NC=CC1")</f>
        <v>Cc1cccnc1CN(C)C1=C(CN(C)Cc2ccc3ncccc3c2)NC=CC1</v>
      </c>
      <c r="C16973" s="7">
        <f>IFERROR(__xludf.DUMMYFUNCTION("""COMPUTED_VALUE"""),7.73407)</f>
        <v>7.73407</v>
      </c>
      <c r="D16973" s="7">
        <f>IFERROR(__xludf.DUMMYFUNCTION("""COMPUTED_VALUE"""),0.257575757575757)</f>
        <v>0.2575757576</v>
      </c>
    </row>
    <row r="16974">
      <c r="A16974" s="10" t="s">
        <v>18413</v>
      </c>
      <c r="B16974" s="7" t="str">
        <f>IFERROR(__xludf.DUMMYFUNCTION("SPLIT(A16974,"" "")"),"Fc1cccc(CN(Cc2ccccn2)Cc2cc(-c3ccccc3N=Cc3ccccn3)ccn2)n1")</f>
        <v>Fc1cccc(CN(Cc2ccccn2)Cc2cc(-c3ccccc3N=Cc3ccccn3)ccn2)n1</v>
      </c>
      <c r="C16974" s="7">
        <f>IFERROR(__xludf.DUMMYFUNCTION("""COMPUTED_VALUE"""),7.734068)</f>
        <v>7.734068</v>
      </c>
      <c r="D16974" s="7">
        <f>IFERROR(__xludf.DUMMYFUNCTION("""COMPUTED_VALUE"""),0.428571428571428)</f>
        <v>0.4285714286</v>
      </c>
    </row>
    <row r="16975">
      <c r="A16975" s="10" t="s">
        <v>18414</v>
      </c>
      <c r="B16975" s="7" t="str">
        <f>IFERROR(__xludf.DUMMYFUNCTION("SPLIT(A16975,"" "")"),"FCNCc1cc(-c2cc(C(c3ccccn3)c3ccccn3)ccn2)ccn1")</f>
        <v>FCNCc1cc(-c2cc(C(c3ccccn3)c3ccccn3)ccn2)ccn1</v>
      </c>
      <c r="C16975" s="7">
        <f>IFERROR(__xludf.DUMMYFUNCTION("""COMPUTED_VALUE"""),7.7340574)</f>
        <v>7.7340574</v>
      </c>
      <c r="D16975" s="7">
        <f>IFERROR(__xludf.DUMMYFUNCTION("""COMPUTED_VALUE"""),0.354166666666666)</f>
        <v>0.3541666667</v>
      </c>
    </row>
    <row r="16976">
      <c r="A16976" s="10" t="s">
        <v>18415</v>
      </c>
      <c r="B16976" s="7" t="str">
        <f>IFERROR(__xludf.DUMMYFUNCTION("SPLIT(A16976,"" "")"),"Cc1ccc(CN(C)Cc2ccc(-c3ccccc3N(C)C)nc2)nc1")</f>
        <v>Cc1ccc(CN(C)Cc2ccc(-c3ccccc3N(C)C)nc2)nc1</v>
      </c>
      <c r="C16976" s="7">
        <f>IFERROR(__xludf.DUMMYFUNCTION("""COMPUTED_VALUE"""),7.734057)</f>
        <v>7.734057</v>
      </c>
      <c r="D16976" s="7">
        <f>IFERROR(__xludf.DUMMYFUNCTION("""COMPUTED_VALUE"""),0.488888888888888)</f>
        <v>0.4888888889</v>
      </c>
    </row>
    <row r="16977">
      <c r="A16977" s="10" t="s">
        <v>18416</v>
      </c>
      <c r="B16977" s="7" t="str">
        <f>IFERROR(__xludf.DUMMYFUNCTION("SPLIT(A16977,"" "")"),"CC1COC(c2cccc(CN(C)Cc3cccc(C4=NC(C)CO4)n3)n2)=N1")</f>
        <v>CC1COC(c2cccc(CN(C)Cc3cccc(C4=NC(C)CO4)n3)n2)=N1</v>
      </c>
      <c r="C16977" s="7">
        <f>IFERROR(__xludf.DUMMYFUNCTION("""COMPUTED_VALUE"""),7.734053)</f>
        <v>7.734053</v>
      </c>
      <c r="D16977" s="7">
        <f>IFERROR(__xludf.DUMMYFUNCTION("""COMPUTED_VALUE"""),0.456521739130434)</f>
        <v>0.4565217391</v>
      </c>
    </row>
    <row r="16978">
      <c r="A16978" s="10" t="s">
        <v>18417</v>
      </c>
      <c r="B16978" s="7" t="str">
        <f>IFERROR(__xludf.DUMMYFUNCTION("SPLIT(A16978,"" "")"),"Cc1ccc(N(C)C)c(C)c1C")</f>
        <v>Cc1ccc(N(C)C)c(C)c1C</v>
      </c>
      <c r="C16978" s="7">
        <f>IFERROR(__xludf.DUMMYFUNCTION("""COMPUTED_VALUE"""),7.734048)</f>
        <v>7.734048</v>
      </c>
      <c r="D16978" s="7">
        <f>IFERROR(__xludf.DUMMYFUNCTION("""COMPUTED_VALUE"""),0.208333333333333)</f>
        <v>0.2083333333</v>
      </c>
    </row>
    <row r="16979">
      <c r="A16979" s="10" t="s">
        <v>18418</v>
      </c>
      <c r="B16979" s="7" t="str">
        <f>IFERROR(__xludf.DUMMYFUNCTION("SPLIT(A16979,"" "")"),"Cc1cnc(CN(Cc2ccccn2)Cc2cccc(-c3cccc(N=Cc4ccccn4)c3)n2)c(C)c1")</f>
        <v>Cc1cnc(CN(Cc2ccccn2)Cc2cccc(-c3cccc(N=Cc4ccccn4)c3)n2)c(C)c1</v>
      </c>
      <c r="C16979" s="7">
        <f>IFERROR(__xludf.DUMMYFUNCTION("""COMPUTED_VALUE"""),7.7340407)</f>
        <v>7.7340407</v>
      </c>
      <c r="D16979" s="7">
        <f>IFERROR(__xludf.DUMMYFUNCTION("""COMPUTED_VALUE"""),0.484848484848484)</f>
        <v>0.4848484848</v>
      </c>
    </row>
    <row r="16980">
      <c r="A16980" s="10" t="s">
        <v>18419</v>
      </c>
      <c r="B16980" s="7" t="str">
        <f>IFERROR(__xludf.DUMMYFUNCTION("SPLIT(A16980,"" "")"),"Cc1cnc(CN(C)CCN(C)c2ccc3nccc(CF)c3c2)c(C)c1C")</f>
        <v>Cc1cnc(CN(C)CCN(C)c2ccc3nccc(CF)c3c2)c(C)c1C</v>
      </c>
      <c r="C16980" s="7">
        <f>IFERROR(__xludf.DUMMYFUNCTION("""COMPUTED_VALUE"""),7.7340403)</f>
        <v>7.7340403</v>
      </c>
      <c r="D16980" s="7">
        <f>IFERROR(__xludf.DUMMYFUNCTION("""COMPUTED_VALUE"""),0.321428571428571)</f>
        <v>0.3214285714</v>
      </c>
    </row>
    <row r="16981">
      <c r="A16981" s="10" t="s">
        <v>18420</v>
      </c>
      <c r="B16981" s="7" t="str">
        <f>IFERROR(__xludf.DUMMYFUNCTION("SPLIT(A16981,"" "")"),"CN(Cc1ncccc1N)Cc1ccnc2ccccc12")</f>
        <v>CN(Cc1ncccc1N)Cc1ccnc2ccccc12</v>
      </c>
      <c r="C16981" s="7">
        <f>IFERROR(__xludf.DUMMYFUNCTION("""COMPUTED_VALUE"""),7.7340364)</f>
        <v>7.7340364</v>
      </c>
      <c r="D16981" s="7">
        <f>IFERROR(__xludf.DUMMYFUNCTION("""COMPUTED_VALUE"""),0.346938775510204)</f>
        <v>0.3469387755</v>
      </c>
    </row>
    <row r="16982">
      <c r="A16982" s="10" t="s">
        <v>18421</v>
      </c>
      <c r="B16982" s="7" t="str">
        <f>IFERROR(__xludf.DUMMYFUNCTION("SPLIT(A16982,"" "")"),"CN(CC1=CC(N(C)Cc2ccccn2)C=CN1)c1ccc2cc(CF)cnc2c1")</f>
        <v>CN(CC1=CC(N(C)Cc2ccccn2)C=CN1)c1ccc2cc(CF)cnc2c1</v>
      </c>
      <c r="C16982" s="7">
        <f>IFERROR(__xludf.DUMMYFUNCTION("""COMPUTED_VALUE"""),7.7340317)</f>
        <v>7.7340317</v>
      </c>
      <c r="D16982" s="7">
        <f>IFERROR(__xludf.DUMMYFUNCTION("""COMPUTED_VALUE"""),0.333333333333333)</f>
        <v>0.3333333333</v>
      </c>
    </row>
    <row r="16983">
      <c r="A16983" s="10" t="s">
        <v>18422</v>
      </c>
      <c r="B16983" s="7" t="str">
        <f>IFERROR(__xludf.DUMMYFUNCTION("SPLIT(A16983,"" "")"),"Cc1cccnc1CN(Cc1cnc2ccc(N(C)Cc3ccccn3)cc2c1)Cc1ccccn1")</f>
        <v>Cc1cccnc1CN(Cc1cnc2ccc(N(C)Cc3ccccn3)cc2c1)Cc1ccccn1</v>
      </c>
      <c r="C16983" s="7">
        <f>IFERROR(__xludf.DUMMYFUNCTION("""COMPUTED_VALUE"""),7.73403)</f>
        <v>7.73403</v>
      </c>
      <c r="D16983" s="7">
        <f>IFERROR(__xludf.DUMMYFUNCTION("""COMPUTED_VALUE"""),0.392156862745098)</f>
        <v>0.3921568627</v>
      </c>
    </row>
    <row r="16984">
      <c r="A16984" s="10" t="s">
        <v>18423</v>
      </c>
      <c r="B16984" s="7" t="str">
        <f>IFERROR(__xludf.DUMMYFUNCTION("SPLIT(A16984,"" "")"),"Cc1ccc(-c2ccccc2C)c(NCc2ccccn2)c1")</f>
        <v>Cc1ccc(-c2ccccc2C)c(NCc2ccccn2)c1</v>
      </c>
      <c r="C16984" s="7">
        <f>IFERROR(__xludf.DUMMYFUNCTION("""COMPUTED_VALUE"""),7.7340255)</f>
        <v>7.7340255</v>
      </c>
      <c r="D16984" s="7">
        <f>IFERROR(__xludf.DUMMYFUNCTION("""COMPUTED_VALUE"""),0.404761904761904)</f>
        <v>0.4047619048</v>
      </c>
    </row>
    <row r="16985">
      <c r="A16985" s="10" t="s">
        <v>18424</v>
      </c>
      <c r="B16985" s="7" t="str">
        <f>IFERROR(__xludf.DUMMYFUNCTION("SPLIT(A16985,"" "")"),"CC(C)N(C)Cc1ccc2cccc(N(C)Cc3ncccc3N)c2n1")</f>
        <v>CC(C)N(C)Cc1ccc2cccc(N(C)Cc3ncccc3N)c2n1</v>
      </c>
      <c r="C16985" s="7">
        <f>IFERROR(__xludf.DUMMYFUNCTION("""COMPUTED_VALUE"""),7.7340198)</f>
        <v>7.7340198</v>
      </c>
      <c r="D16985" s="7">
        <f>IFERROR(__xludf.DUMMYFUNCTION("""COMPUTED_VALUE"""),0.431372549019607)</f>
        <v>0.431372549</v>
      </c>
    </row>
    <row r="16986">
      <c r="A16986" s="10" t="s">
        <v>18425</v>
      </c>
      <c r="B16986" s="7" t="str">
        <f>IFERROR(__xludf.DUMMYFUNCTION("SPLIT(A16986,"" "")"),"CCNCc1ncccc1-c1cccc(N=Cc2ccccn2)c1")</f>
        <v>CCNCc1ncccc1-c1cccc(N=Cc2ccccn2)c1</v>
      </c>
      <c r="C16986" s="7">
        <f>IFERROR(__xludf.DUMMYFUNCTION("""COMPUTED_VALUE"""),7.7340164)</f>
        <v>7.7340164</v>
      </c>
      <c r="D16986" s="7">
        <f>IFERROR(__xludf.DUMMYFUNCTION("""COMPUTED_VALUE"""),0.375)</f>
        <v>0.375</v>
      </c>
    </row>
    <row r="16987">
      <c r="A16987" s="10" t="s">
        <v>18426</v>
      </c>
      <c r="B16987" s="7" t="str">
        <f>IFERROR(__xludf.DUMMYFUNCTION("SPLIT(A16987,"" "")"),"CC1=CC(C)CC(C)(c2cc(CN(Cc3ccccn3)c3ccc4ncccc4c3)ccn2)C1")</f>
        <v>CC1=CC(C)CC(C)(c2cc(CN(Cc3ccccn3)c3ccc4ncccc4c3)ccn2)C1</v>
      </c>
      <c r="C16987" s="7">
        <f>IFERROR(__xludf.DUMMYFUNCTION("""COMPUTED_VALUE"""),7.734009)</f>
        <v>7.734009</v>
      </c>
      <c r="D16987" s="7">
        <f>IFERROR(__xludf.DUMMYFUNCTION("""COMPUTED_VALUE"""),0.285714285714285)</f>
        <v>0.2857142857</v>
      </c>
    </row>
    <row r="16988">
      <c r="A16988" s="10" t="s">
        <v>18427</v>
      </c>
      <c r="B16988" s="7" t="str">
        <f>IFERROR(__xludf.DUMMYFUNCTION("SPLIT(A16988,"" "")"),"Cc1cncc(CN(C)Cc2ccc(-c3cccc(N(C)C)c3)nc2)c1")</f>
        <v>Cc1cncc(CN(C)Cc2ccc(-c3cccc(N(C)C)c3)nc2)c1</v>
      </c>
      <c r="C16988" s="7">
        <f>IFERROR(__xludf.DUMMYFUNCTION("""COMPUTED_VALUE"""),7.7340064)</f>
        <v>7.7340064</v>
      </c>
      <c r="D16988" s="7">
        <f>IFERROR(__xludf.DUMMYFUNCTION("""COMPUTED_VALUE"""),0.259259259259259)</f>
        <v>0.2592592593</v>
      </c>
    </row>
    <row r="16989">
      <c r="A16989" s="10" t="s">
        <v>18428</v>
      </c>
      <c r="B16989" s="7" t="str">
        <f>IFERROR(__xludf.DUMMYFUNCTION("SPLIT(A16989,"" "")"),"Fc1cc(CN(Cc2ccccn2)Cc2cc(-c3cccc(N=Cc4ccccn4)c3)ccn2)ccn1")</f>
        <v>Fc1cc(CN(Cc2ccccn2)Cc2cc(-c3cccc(N=Cc4ccccn4)c3)ccn2)ccn1</v>
      </c>
      <c r="C16989" s="7">
        <f>IFERROR(__xludf.DUMMYFUNCTION("""COMPUTED_VALUE"""),7.7340035)</f>
        <v>7.7340035</v>
      </c>
      <c r="D16989" s="7">
        <f>IFERROR(__xludf.DUMMYFUNCTION("""COMPUTED_VALUE"""),0.377358490566037)</f>
        <v>0.3773584906</v>
      </c>
    </row>
    <row r="16990">
      <c r="A16990" s="10" t="s">
        <v>18429</v>
      </c>
      <c r="B16990" s="7" t="str">
        <f>IFERROR(__xludf.DUMMYFUNCTION("SPLIT(A16990,"" "")"),"CN(c1ccc2ncccc2c1)C1CCCCC1N(C)c1ccc2ncc(CF)cc2c1")</f>
        <v>CN(c1ccc2ncccc2c1)C1CCCCC1N(C)c1ccc2ncc(CF)cc2c1</v>
      </c>
      <c r="C16990" s="7">
        <f>IFERROR(__xludf.DUMMYFUNCTION("""COMPUTED_VALUE"""),7.7339997)</f>
        <v>7.7339997</v>
      </c>
      <c r="D16990" s="7">
        <f>IFERROR(__xludf.DUMMYFUNCTION("""COMPUTED_VALUE"""),0.452830188679245)</f>
        <v>0.4528301887</v>
      </c>
    </row>
    <row r="16991">
      <c r="A16991" s="10" t="s">
        <v>18430</v>
      </c>
      <c r="B16991" s="7" t="str">
        <f>IFERROR(__xludf.DUMMYFUNCTION("SPLIT(A16991,"" "")"),"CN(CCN(Cc1cccnc1)c1ccc2ncccc2c1)c1ccccc1F")</f>
        <v>CN(CCN(Cc1cccnc1)c1ccc2ncccc2c1)c1ccccc1F</v>
      </c>
      <c r="C16991" s="7">
        <f>IFERROR(__xludf.DUMMYFUNCTION("""COMPUTED_VALUE"""),7.7339873)</f>
        <v>7.7339873</v>
      </c>
      <c r="D16991" s="7">
        <f>IFERROR(__xludf.DUMMYFUNCTION("""COMPUTED_VALUE"""),0.381818181818181)</f>
        <v>0.3818181818</v>
      </c>
    </row>
    <row r="16992">
      <c r="A16992" s="10" t="s">
        <v>18431</v>
      </c>
      <c r="B16992" s="7" t="str">
        <f>IFERROR(__xludf.DUMMYFUNCTION("SPLIT(A16992,"" "")"),"C=CCN(C)Cc1cccc(-c2ccccc2N=Cc2ccccn2)n1")</f>
        <v>C=CCN(C)Cc1cccc(-c2ccccc2N=Cc2ccccn2)n1</v>
      </c>
      <c r="C16992" s="7">
        <f>IFERROR(__xludf.DUMMYFUNCTION("""COMPUTED_VALUE"""),7.733987)</f>
        <v>7.733987</v>
      </c>
      <c r="D16992" s="7">
        <f>IFERROR(__xludf.DUMMYFUNCTION("""COMPUTED_VALUE"""),0.454545454545454)</f>
        <v>0.4545454545</v>
      </c>
    </row>
    <row r="16993">
      <c r="A16993" s="10" t="s">
        <v>18432</v>
      </c>
      <c r="B16993" s="7" t="str">
        <f>IFERROR(__xludf.DUMMYFUNCTION("SPLIT(A16993,"" "")"),"Cc1ccc2c(N(C)CCN(C)Cc3ncccc3C)cccc2n1")</f>
        <v>Cc1ccc2c(N(C)CCN(C)Cc3ncccc3C)cccc2n1</v>
      </c>
      <c r="C16993" s="7">
        <f>IFERROR(__xludf.DUMMYFUNCTION("""COMPUTED_VALUE"""),7.7339854)</f>
        <v>7.7339854</v>
      </c>
      <c r="D16993" s="7">
        <f>IFERROR(__xludf.DUMMYFUNCTION("""COMPUTED_VALUE"""),0.448979591836734)</f>
        <v>0.4489795918</v>
      </c>
    </row>
    <row r="16994">
      <c r="A16994" s="10" t="s">
        <v>18433</v>
      </c>
      <c r="B16994" s="7" t="str">
        <f>IFERROR(__xludf.DUMMYFUNCTION("SPLIT(A16994,"" "")"),"CN(CCN(Cc1cccc2ncccc12)CC(C)(C)C)c1cccc2ncc(CF)cc12")</f>
        <v>CN(CCN(Cc1cccc2ncccc12)CC(C)(C)C)c1cccc2ncc(CF)cc12</v>
      </c>
      <c r="C16994" s="7">
        <f>IFERROR(__xludf.DUMMYFUNCTION("""COMPUTED_VALUE"""),7.73398)</f>
        <v>7.73398</v>
      </c>
      <c r="D16994" s="7">
        <f>IFERROR(__xludf.DUMMYFUNCTION("""COMPUTED_VALUE"""),0.372881355932203)</f>
        <v>0.3728813559</v>
      </c>
    </row>
    <row r="16995">
      <c r="A16995" s="10" t="s">
        <v>18434</v>
      </c>
      <c r="B16995" s="7" t="str">
        <f>IFERROR(__xludf.DUMMYFUNCTION("SPLIT(A16995,"" "")"),"Cc1c(-c2ccccc2)ccc(C2=C(NCc3ccccn3)C(c3ccccc3)CC=C2c2ccccc2)c1NCc1ccccn1")</f>
        <v>Cc1c(-c2ccccc2)ccc(C2=C(NCc3ccccn3)C(c3ccccc3)CC=C2c2ccccc2)c1NCc1ccccn1</v>
      </c>
      <c r="C16995" s="7">
        <f>IFERROR(__xludf.DUMMYFUNCTION("""COMPUTED_VALUE"""),7.733977)</f>
        <v>7.733977</v>
      </c>
      <c r="D16995" s="7">
        <f>IFERROR(__xludf.DUMMYFUNCTION("""COMPUTED_VALUE"""),0.4)</f>
        <v>0.4</v>
      </c>
    </row>
    <row r="16996">
      <c r="A16996" s="10" t="s">
        <v>18435</v>
      </c>
      <c r="B16996" s="7" t="str">
        <f>IFERROR(__xludf.DUMMYFUNCTION("SPLIT(A16996,"" "")"),"Cc1c(CN(C)CC2=CCC=CN2)ccc2cccnc12")</f>
        <v>Cc1c(CN(C)CC2=CCC=CN2)ccc2cccnc12</v>
      </c>
      <c r="C16996" s="7">
        <f>IFERROR(__xludf.DUMMYFUNCTION("""COMPUTED_VALUE"""),7.733977)</f>
        <v>7.733977</v>
      </c>
      <c r="D16996" s="7">
        <f>IFERROR(__xludf.DUMMYFUNCTION("""COMPUTED_VALUE"""),0.454545454545454)</f>
        <v>0.4545454545</v>
      </c>
    </row>
    <row r="16997">
      <c r="A16997" s="10" t="s">
        <v>18436</v>
      </c>
      <c r="B16997" s="7" t="str">
        <f>IFERROR(__xludf.DUMMYFUNCTION("SPLIT(A16997,"" "")"),"Cc1cc(-c2cccc(CN(Cc3ccccn3)Cc3ccc(N)cn3)n2)c(N(C)Cc2ncccc2C)cc1C")</f>
        <v>Cc1cc(-c2cccc(CN(Cc3ccccn3)Cc3ccc(N)cn3)n2)c(N(C)Cc2ncccc2C)cc1C</v>
      </c>
      <c r="C16997" s="7">
        <f>IFERROR(__xludf.DUMMYFUNCTION("""COMPUTED_VALUE"""),7.7339764)</f>
        <v>7.7339764</v>
      </c>
      <c r="D16997" s="7">
        <f>IFERROR(__xludf.DUMMYFUNCTION("""COMPUTED_VALUE"""),0.405797101449275)</f>
        <v>0.4057971014</v>
      </c>
    </row>
    <row r="16998">
      <c r="A16998" s="10" t="s">
        <v>18437</v>
      </c>
      <c r="B16998" s="7" t="str">
        <f>IFERROR(__xludf.DUMMYFUNCTION("SPLIT(A16998,"" "")"),"CC(C)N(Cc1ccccn1)c1ccc2c(CN(C)Cc3ccccn3)ccnc2c1")</f>
        <v>CC(C)N(Cc1ccccn1)c1ccc2c(CN(C)Cc3ccccn3)ccnc2c1</v>
      </c>
      <c r="C16998" s="7">
        <f>IFERROR(__xludf.DUMMYFUNCTION("""COMPUTED_VALUE"""),7.733974)</f>
        <v>7.733974</v>
      </c>
      <c r="D16998" s="7">
        <f>IFERROR(__xludf.DUMMYFUNCTION("""COMPUTED_VALUE"""),0.42)</f>
        <v>0.42</v>
      </c>
    </row>
    <row r="16999">
      <c r="A16999" s="10" t="s">
        <v>18438</v>
      </c>
      <c r="B16999" s="7" t="str">
        <f>IFERROR(__xludf.DUMMYFUNCTION("SPLIT(A16999,"" "")"),"C=Nc1ccccc1-c1cccc(CNC)n1")</f>
        <v>C=Nc1ccccc1-c1cccc(CNC)n1</v>
      </c>
      <c r="C16999" s="7">
        <f>IFERROR(__xludf.DUMMYFUNCTION("""COMPUTED_VALUE"""),7.733972)</f>
        <v>7.733972</v>
      </c>
      <c r="D16999" s="7">
        <f>IFERROR(__xludf.DUMMYFUNCTION("""COMPUTED_VALUE"""),0.3)</f>
        <v>0.3</v>
      </c>
    </row>
    <row r="17000">
      <c r="A17000" s="10" t="s">
        <v>18439</v>
      </c>
      <c r="B17000" s="7" t="str">
        <f>IFERROR(__xludf.DUMMYFUNCTION("SPLIT(A17000,"" "")"),"Cc1ccc(NCc2ccccn2)c(-c2cccc(C(C)C)n2)c1")</f>
        <v>Cc1ccc(NCc2ccccn2)c(-c2cccc(C(C)C)n2)c1</v>
      </c>
      <c r="C17000" s="7">
        <f>IFERROR(__xludf.DUMMYFUNCTION("""COMPUTED_VALUE"""),7.733969)</f>
        <v>7.733969</v>
      </c>
      <c r="D17000" s="7">
        <f>IFERROR(__xludf.DUMMYFUNCTION("""COMPUTED_VALUE"""),0.360655737704918)</f>
        <v>0.3606557377</v>
      </c>
    </row>
    <row r="17001">
      <c r="A17001" s="10" t="s">
        <v>18440</v>
      </c>
      <c r="B17001" s="7" t="str">
        <f>IFERROR(__xludf.DUMMYFUNCTION("SPLIT(A17001,"" "")"),"CC(C)NCc1cccc(-c2cccc(N=Cc3ccccn3)c2)n1")</f>
        <v>CC(C)NCc1cccc(-c2cccc(N=Cc3ccccn3)c2)n1</v>
      </c>
      <c r="C17001" s="7">
        <f>IFERROR(__xludf.DUMMYFUNCTION("""COMPUTED_VALUE"""),7.733968)</f>
        <v>7.733968</v>
      </c>
      <c r="D17001" s="7">
        <f>IFERROR(__xludf.DUMMYFUNCTION("""COMPUTED_VALUE"""),0.375)</f>
        <v>0.375</v>
      </c>
    </row>
    <row r="17002">
      <c r="A17002" s="10" t="s">
        <v>18441</v>
      </c>
      <c r="B17002" s="7" t="str">
        <f>IFERROR(__xludf.DUMMYFUNCTION("SPLIT(A17002,"" "")"),"CNc1ccc(-c2cccc(C(C)(C)C)n2)cc1")</f>
        <v>CNc1ccc(-c2cccc(C(C)(C)C)n2)cc1</v>
      </c>
      <c r="C17002" s="7">
        <f>IFERROR(__xludf.DUMMYFUNCTION("""COMPUTED_VALUE"""),7.7339673)</f>
        <v>7.7339673</v>
      </c>
      <c r="D17002" s="7">
        <f>IFERROR(__xludf.DUMMYFUNCTION("""COMPUTED_VALUE"""),0.32)</f>
        <v>0.32</v>
      </c>
    </row>
    <row r="17003">
      <c r="A17003" s="10" t="s">
        <v>18442</v>
      </c>
      <c r="B17003" s="7" t="str">
        <f>IFERROR(__xludf.DUMMYFUNCTION("SPLIT(A17003,"" "")"),"CCOC(=O)c1cc(-c2cccc(C(C)NCc3ccccn3)n2)ccn1")</f>
        <v>CCOC(=O)c1cc(-c2cccc(C(C)NCc3ccccn3)n2)ccn1</v>
      </c>
      <c r="C17003" s="7">
        <f>IFERROR(__xludf.DUMMYFUNCTION("""COMPUTED_VALUE"""),7.7339664)</f>
        <v>7.7339664</v>
      </c>
      <c r="D17003" s="7">
        <f>IFERROR(__xludf.DUMMYFUNCTION("""COMPUTED_VALUE"""),0.347826086956521)</f>
        <v>0.347826087</v>
      </c>
    </row>
    <row r="17004">
      <c r="A17004" s="10" t="s">
        <v>18443</v>
      </c>
      <c r="B17004" s="7" t="str">
        <f>IFERROR(__xludf.DUMMYFUNCTION("SPLIT(A17004,"" "")"),"Cc1cnccc1CN(C)CCN(C)c1ccc2nccc(C)c2c1")</f>
        <v>Cc1cnccc1CN(C)CCN(C)c1ccc2nccc(C)c2c1</v>
      </c>
      <c r="C17004" s="7">
        <f>IFERROR(__xludf.DUMMYFUNCTION("""COMPUTED_VALUE"""),7.7339606)</f>
        <v>7.7339606</v>
      </c>
      <c r="D17004" s="7">
        <f>IFERROR(__xludf.DUMMYFUNCTION("""COMPUTED_VALUE"""),0.303571428571428)</f>
        <v>0.3035714286</v>
      </c>
    </row>
    <row r="17005">
      <c r="A17005" s="10" t="s">
        <v>18444</v>
      </c>
      <c r="B17005" s="7" t="str">
        <f>IFERROR(__xludf.DUMMYFUNCTION("SPLIT(A17005,"" "")"),"Cc1ccc(CN(C)C2=C(CN(C)Cc3ccc4ncccc4c3)NC=CC2)nc1C")</f>
        <v>Cc1ccc(CN(C)C2=C(CN(C)Cc3ccc4ncccc4c3)NC=CC2)nc1C</v>
      </c>
      <c r="C17005" s="7">
        <f>IFERROR(__xludf.DUMMYFUNCTION("""COMPUTED_VALUE"""),7.733959)</f>
        <v>7.733959</v>
      </c>
      <c r="D17005" s="7">
        <f>IFERROR(__xludf.DUMMYFUNCTION("""COMPUTED_VALUE"""),0.257142857142857)</f>
        <v>0.2571428571</v>
      </c>
    </row>
    <row r="17006">
      <c r="A17006" s="10" t="s">
        <v>18445</v>
      </c>
      <c r="B17006" s="7" t="str">
        <f>IFERROR(__xludf.DUMMYFUNCTION("SPLIT(A17006,"" "")"),"Cc1cnc(F)o1")</f>
        <v>Cc1cnc(F)o1</v>
      </c>
      <c r="C17006" s="7">
        <f>IFERROR(__xludf.DUMMYFUNCTION("""COMPUTED_VALUE"""),7.7339516)</f>
        <v>7.7339516</v>
      </c>
      <c r="D17006" s="7">
        <f>IFERROR(__xludf.DUMMYFUNCTION("""COMPUTED_VALUE"""),0.228571428571428)</f>
        <v>0.2285714286</v>
      </c>
    </row>
    <row r="17007">
      <c r="A17007" s="10" t="s">
        <v>18446</v>
      </c>
      <c r="B17007" s="7" t="str">
        <f>IFERROR(__xludf.DUMMYFUNCTION("SPLIT(A17007,"" "")"),"CCc1ccc2c(c1)C(C)CC(N)=C2c1ccccc1C1=NC(C(C)C)C(C(C)C)O1")</f>
        <v>CCc1ccc2c(c1)C(C)CC(N)=C2c1ccccc1C1=NC(C(C)C)C(C(C)C)O1</v>
      </c>
      <c r="C17007" s="7">
        <f>IFERROR(__xludf.DUMMYFUNCTION("""COMPUTED_VALUE"""),7.7339487)</f>
        <v>7.7339487</v>
      </c>
      <c r="D17007" s="7">
        <f>IFERROR(__xludf.DUMMYFUNCTION("""COMPUTED_VALUE"""),0.160493827160493)</f>
        <v>0.1604938272</v>
      </c>
    </row>
    <row r="17008">
      <c r="A17008" s="10" t="s">
        <v>18447</v>
      </c>
      <c r="B17008" s="7" t="str">
        <f>IFERROR(__xludf.DUMMYFUNCTION("SPLIT(A17008,"" "")"),"CNCCN(C)c1ccc2cccnc2c1")</f>
        <v>CNCCN(C)c1ccc2cccnc2c1</v>
      </c>
      <c r="C17008" s="7">
        <f>IFERROR(__xludf.DUMMYFUNCTION("""COMPUTED_VALUE"""),7.733947)</f>
        <v>7.733947</v>
      </c>
      <c r="D17008" s="7">
        <f>IFERROR(__xludf.DUMMYFUNCTION("""COMPUTED_VALUE"""),0.377777777777777)</f>
        <v>0.3777777778</v>
      </c>
    </row>
    <row r="17009">
      <c r="A17009" s="10" t="s">
        <v>18448</v>
      </c>
      <c r="B17009" s="7" t="str">
        <f>IFERROR(__xludf.DUMMYFUNCTION("SPLIT(A17009,"" "")"),"Cc1ccc(CN(C)Cc2cccc(-c3cccc(N(C)C)c3)n2)nc1")</f>
        <v>Cc1ccc(CN(C)Cc2cccc(-c3cccc(N(C)C)c3)n2)nc1</v>
      </c>
      <c r="C17009" s="7">
        <f>IFERROR(__xludf.DUMMYFUNCTION("""COMPUTED_VALUE"""),7.7339444)</f>
        <v>7.7339444</v>
      </c>
      <c r="D17009" s="7">
        <f>IFERROR(__xludf.DUMMYFUNCTION("""COMPUTED_VALUE"""),0.488888888888888)</f>
        <v>0.4888888889</v>
      </c>
    </row>
    <row r="17010">
      <c r="A17010" s="10" t="s">
        <v>18449</v>
      </c>
      <c r="B17010" s="7" t="str">
        <f>IFERROR(__xludf.DUMMYFUNCTION("SPLIT(A17010,"" "")"),"CN(Cc1ccccn1)c1cccc(-c2cncc(CN(C)C3C=CC=CN3)c2)c1")</f>
        <v>CN(Cc1ccccn1)c1cccc(-c2cncc(CN(C)C3C=CC=CN3)c2)c1</v>
      </c>
      <c r="C17010" s="7">
        <f>IFERROR(__xludf.DUMMYFUNCTION("""COMPUTED_VALUE"""),7.7339354)</f>
        <v>7.7339354</v>
      </c>
      <c r="D17010" s="7">
        <f>IFERROR(__xludf.DUMMYFUNCTION("""COMPUTED_VALUE"""),0.4)</f>
        <v>0.4</v>
      </c>
    </row>
    <row r="17011">
      <c r="A17011" s="10" t="s">
        <v>18450</v>
      </c>
      <c r="B17011" s="7" t="str">
        <f>IFERROR(__xludf.DUMMYFUNCTION("SPLIT(A17011,"" "")"),"CN(CC1=CC(N(C)Cc2ccccn2)C=CN1)c1ccc2ncc(CF)cc2c1")</f>
        <v>CN(CC1=CC(N(C)Cc2ccccn2)C=CN1)c1ccc2ncc(CF)cc2c1</v>
      </c>
      <c r="C17011" s="7">
        <f>IFERROR(__xludf.DUMMYFUNCTION("""COMPUTED_VALUE"""),7.733927)</f>
        <v>7.733927</v>
      </c>
      <c r="D17011" s="7">
        <f>IFERROR(__xludf.DUMMYFUNCTION("""COMPUTED_VALUE"""),0.328358208955223)</f>
        <v>0.328358209</v>
      </c>
    </row>
    <row r="17012">
      <c r="A17012" s="10" t="s">
        <v>18451</v>
      </c>
      <c r="B17012" s="7" t="str">
        <f>IFERROR(__xludf.DUMMYFUNCTION("SPLIT(A17012,"" "")"),"CC(C)(c1ccccn1)c1ncccc1CN(Cc1ccccn1)Cc1ccc(-c2cccc(N=Cc3ccccn3)c2)cn1")</f>
        <v>CC(C)(c1ccccn1)c1ncccc1CN(Cc1ccccn1)Cc1ccc(-c2cccc(N=Cc3ccccn3)c2)cn1</v>
      </c>
      <c r="C17012" s="7">
        <f>IFERROR(__xludf.DUMMYFUNCTION("""COMPUTED_VALUE"""),7.733927)</f>
        <v>7.733927</v>
      </c>
      <c r="D17012" s="7">
        <f>IFERROR(__xludf.DUMMYFUNCTION("""COMPUTED_VALUE"""),0.328947368421052)</f>
        <v>0.3289473684</v>
      </c>
    </row>
    <row r="17013">
      <c r="A17013" s="10" t="s">
        <v>18452</v>
      </c>
      <c r="B17013" s="7" t="str">
        <f>IFERROR(__xludf.DUMMYFUNCTION("SPLIT(A17013,"" "")"),"Cc1cnc(CN(C)CCN(C)c2cccc3c(CF)ccnc23)c(C)c1C")</f>
        <v>Cc1cnc(CN(C)CCN(C)c2cccc3c(CF)ccnc23)c(C)c1C</v>
      </c>
      <c r="C17013" s="7">
        <f>IFERROR(__xludf.DUMMYFUNCTION("""COMPUTED_VALUE"""),7.7339234)</f>
        <v>7.7339234</v>
      </c>
      <c r="D17013" s="7">
        <f>IFERROR(__xludf.DUMMYFUNCTION("""COMPUTED_VALUE"""),0.381818181818181)</f>
        <v>0.3818181818</v>
      </c>
    </row>
    <row r="17014">
      <c r="A17014" s="10" t="s">
        <v>18453</v>
      </c>
      <c r="B17014" s="7" t="str">
        <f>IFERROR(__xludf.DUMMYFUNCTION("SPLIT(A17014,"" "")"),"CN(CNCc1ccccn1)c1ccc2nccc(CF)c2c1")</f>
        <v>CN(CNCc1ccccn1)c1ccc2nccc(CF)c2c1</v>
      </c>
      <c r="C17014" s="7">
        <f>IFERROR(__xludf.DUMMYFUNCTION("""COMPUTED_VALUE"""),7.7339234)</f>
        <v>7.7339234</v>
      </c>
      <c r="D17014" s="7">
        <f>IFERROR(__xludf.DUMMYFUNCTION("""COMPUTED_VALUE"""),0.387755102040816)</f>
        <v>0.387755102</v>
      </c>
    </row>
    <row r="17015">
      <c r="A17015" s="10" t="s">
        <v>18454</v>
      </c>
      <c r="B17015" s="7" t="str">
        <f>IFERROR(__xludf.DUMMYFUNCTION("SPLIT(A17015,"" "")"),"CCN(Cc1ccccn1)c1ccc2nc(CF)ccc2c1")</f>
        <v>CCN(Cc1ccccn1)c1ccc2nc(CF)ccc2c1</v>
      </c>
      <c r="C17015" s="7">
        <f>IFERROR(__xludf.DUMMYFUNCTION("""COMPUTED_VALUE"""),7.7339234)</f>
        <v>7.7339234</v>
      </c>
      <c r="D17015" s="7">
        <f>IFERROR(__xludf.DUMMYFUNCTION("""COMPUTED_VALUE"""),0.489361702127659)</f>
        <v>0.4893617021</v>
      </c>
    </row>
    <row r="17016">
      <c r="A17016" s="10" t="s">
        <v>18455</v>
      </c>
      <c r="B17016" s="7" t="str">
        <f>IFERROR(__xludf.DUMMYFUNCTION("SPLIT(A17016,"" "")"),"Cc1cccnc1CN(C)CCN(C)Cc1ncccc1-c1ccc2ncccc2c1")</f>
        <v>Cc1cccnc1CN(C)CCN(C)Cc1ncccc1-c1ccc2ncccc2c1</v>
      </c>
      <c r="C17016" s="7">
        <f>IFERROR(__xludf.DUMMYFUNCTION("""COMPUTED_VALUE"""),7.733892)</f>
        <v>7.733892</v>
      </c>
      <c r="D17016" s="7">
        <f>IFERROR(__xludf.DUMMYFUNCTION("""COMPUTED_VALUE"""),0.392156862745098)</f>
        <v>0.3921568627</v>
      </c>
    </row>
    <row r="17017">
      <c r="A17017" s="10" t="s">
        <v>18456</v>
      </c>
      <c r="B17017" s="7" t="str">
        <f>IFERROR(__xludf.DUMMYFUNCTION("SPLIT(A17017,"" "")"),"Cc1ccc(CN(Cc2ccccn2)C2=C(CN(C)Cc3cccc(-c4cccc(N=Cc5ccccn5)c4)n3)NC=CC2)nc1")</f>
        <v>Cc1ccc(CN(Cc2ccccn2)C2=C(CN(C)Cc3cccc(-c4cccc(N=Cc5ccccn5)c4)n3)NC=CC2)nc1</v>
      </c>
      <c r="C17017" s="7">
        <f>IFERROR(__xludf.DUMMYFUNCTION("""COMPUTED_VALUE"""),7.73388)</f>
        <v>7.73388</v>
      </c>
      <c r="D17017" s="7">
        <f>IFERROR(__xludf.DUMMYFUNCTION("""COMPUTED_VALUE"""),0.368421052631578)</f>
        <v>0.3684210526</v>
      </c>
    </row>
    <row r="17018">
      <c r="A17018" s="10" t="s">
        <v>18457</v>
      </c>
      <c r="B17018" s="7" t="str">
        <f>IFERROR(__xludf.DUMMYFUNCTION("SPLIT(A17018,"" "")"),"Cc1ccc(NCc2ccccn2)c(-c2ccccc2C)c1")</f>
        <v>Cc1ccc(NCc2ccccn2)c(-c2ccccc2C)c1</v>
      </c>
      <c r="C17018" s="7">
        <f>IFERROR(__xludf.DUMMYFUNCTION("""COMPUTED_VALUE"""),7.733879)</f>
        <v>7.733879</v>
      </c>
      <c r="D17018" s="7">
        <f>IFERROR(__xludf.DUMMYFUNCTION("""COMPUTED_VALUE"""),0.404761904761904)</f>
        <v>0.4047619048</v>
      </c>
    </row>
    <row r="17019">
      <c r="A17019" s="10" t="s">
        <v>18458</v>
      </c>
      <c r="B17019" s="7" t="str">
        <f>IFERROR(__xludf.DUMMYFUNCTION("SPLIT(A17019,"" "")"),"CN(CC1=CC(N(C)Cc2ccccn2)C=CN1)c1ccc2ccc(CF)nc2c1")</f>
        <v>CN(CC1=CC(N(C)Cc2ccccn2)C=CN1)c1ccc2ccc(CF)nc2c1</v>
      </c>
      <c r="C17019" s="7">
        <f>IFERROR(__xludf.DUMMYFUNCTION("""COMPUTED_VALUE"""),7.7338777)</f>
        <v>7.7338777</v>
      </c>
      <c r="D17019" s="7">
        <f>IFERROR(__xludf.DUMMYFUNCTION("""COMPUTED_VALUE"""),0.370967741935483)</f>
        <v>0.3709677419</v>
      </c>
    </row>
    <row r="17020">
      <c r="A17020" s="10" t="s">
        <v>18459</v>
      </c>
      <c r="B17020" s="7" t="str">
        <f>IFERROR(__xludf.DUMMYFUNCTION("SPLIT(A17020,"" "")"),"Cc1cnc(CN(C)c2ccc(C3=CC(N(C)Cc4cccc(C)n4)C=CN3)nc2)c(C)c1")</f>
        <v>Cc1cnc(CN(C)c2ccc(C3=CC(N(C)Cc4cccc(C)n4)C=CN3)nc2)c(C)c1</v>
      </c>
      <c r="C17020" s="7">
        <f>IFERROR(__xludf.DUMMYFUNCTION("""COMPUTED_VALUE"""),7.7338767)</f>
        <v>7.7338767</v>
      </c>
      <c r="D17020" s="7">
        <f>IFERROR(__xludf.DUMMYFUNCTION("""COMPUTED_VALUE"""),0.343283582089552)</f>
        <v>0.3432835821</v>
      </c>
    </row>
    <row r="17021">
      <c r="A17021" s="10" t="s">
        <v>18460</v>
      </c>
      <c r="B17021" s="7" t="str">
        <f>IFERROR(__xludf.DUMMYFUNCTION("SPLIT(A17021,"" "")"),"Cc1ccc(CN(Cc2ccccn2)c2ccc(-c3ccccc3CN(C)Cc3ccccn3)cc2N(C)Cc2ccccn2)nc1C")</f>
        <v>Cc1ccc(CN(Cc2ccccn2)c2ccc(-c3ccccc3CN(C)Cc3ccccn3)cc2N(C)Cc2ccccn2)nc1C</v>
      </c>
      <c r="C17021" s="7">
        <f>IFERROR(__xludf.DUMMYFUNCTION("""COMPUTED_VALUE"""),7.733874)</f>
        <v>7.733874</v>
      </c>
      <c r="D17021" s="7">
        <f>IFERROR(__xludf.DUMMYFUNCTION("""COMPUTED_VALUE"""),0.43103448275862)</f>
        <v>0.4310344828</v>
      </c>
    </row>
    <row r="17022">
      <c r="A17022" s="10" t="s">
        <v>18461</v>
      </c>
      <c r="B17022" s="7" t="str">
        <f>IFERROR(__xludf.DUMMYFUNCTION("SPLIT(A17022,"" "")"),"Cc1cc(-c2cccnc2CN(C)c2cccnc2CN(C)Cc2ccccn2)ccc1N")</f>
        <v>Cc1cc(-c2cccnc2CN(C)c2cccnc2CN(C)Cc2ccccn2)ccc1N</v>
      </c>
      <c r="C17022" s="7">
        <f>IFERROR(__xludf.DUMMYFUNCTION("""COMPUTED_VALUE"""),7.7338686)</f>
        <v>7.7338686</v>
      </c>
      <c r="D17022" s="7">
        <f>IFERROR(__xludf.DUMMYFUNCTION("""COMPUTED_VALUE"""),0.410714285714285)</f>
        <v>0.4107142857</v>
      </c>
    </row>
    <row r="17023">
      <c r="A17023" s="10" t="s">
        <v>18462</v>
      </c>
      <c r="B17023" s="7" t="str">
        <f>IFERROR(__xludf.DUMMYFUNCTION("SPLIT(A17023,"" "")"),"Cc1cnc(CN(Cc2ccccn2)Cc2cccc(-c3cccc(N=Cc4ccccn4)c3)n2)c(C)c1C")</f>
        <v>Cc1cnc(CN(Cc2ccccn2)Cc2cccc(-c3cccc(N=Cc4ccccn4)c3)n2)c(C)c1C</v>
      </c>
      <c r="C17023" s="7">
        <f>IFERROR(__xludf.DUMMYFUNCTION("""COMPUTED_VALUE"""),7.733853)</f>
        <v>7.733853</v>
      </c>
      <c r="D17023" s="7">
        <f>IFERROR(__xludf.DUMMYFUNCTION("""COMPUTED_VALUE"""),0.492307692307692)</f>
        <v>0.4923076923</v>
      </c>
    </row>
    <row r="17024">
      <c r="A17024" s="10" t="s">
        <v>18463</v>
      </c>
      <c r="B17024" s="7" t="str">
        <f>IFERROR(__xludf.DUMMYFUNCTION("SPLIT(A17024,"" "")"),"Cc1ccc(CN(C)Cc2cccc(-c3ccccc3N(C)Cc3cccc(C)n3)n2)nc1")</f>
        <v>Cc1ccc(CN(C)Cc2cccc(-c3ccccc3N(C)Cc3cccc(C)n3)n2)nc1</v>
      </c>
      <c r="C17024" s="7">
        <f>IFERROR(__xludf.DUMMYFUNCTION("""COMPUTED_VALUE"""),7.733848)</f>
        <v>7.733848</v>
      </c>
      <c r="D17024" s="7">
        <f>IFERROR(__xludf.DUMMYFUNCTION("""COMPUTED_VALUE"""),0.452830188679245)</f>
        <v>0.4528301887</v>
      </c>
    </row>
    <row r="17025">
      <c r="A17025" s="10" t="s">
        <v>18464</v>
      </c>
      <c r="B17025" s="7" t="str">
        <f>IFERROR(__xludf.DUMMYFUNCTION("SPLIT(A17025,"" "")"),"Cc1ccc(CN(C)Cc2cccc(-c3cccc(N(C)Cc4cccc(C)n4)c3)n2)nc1")</f>
        <v>Cc1ccc(CN(C)Cc2cccc(-c3cccc(N(C)Cc4cccc(C)n4)c3)n2)nc1</v>
      </c>
      <c r="C17025" s="7">
        <f>IFERROR(__xludf.DUMMYFUNCTION("""COMPUTED_VALUE"""),7.7338457)</f>
        <v>7.7338457</v>
      </c>
      <c r="D17025" s="7">
        <f>IFERROR(__xludf.DUMMYFUNCTION("""COMPUTED_VALUE"""),0.44)</f>
        <v>0.44</v>
      </c>
    </row>
    <row r="17026">
      <c r="A17026" s="10" t="s">
        <v>18465</v>
      </c>
      <c r="B17026" s="7" t="str">
        <f>IFERROR(__xludf.DUMMYFUNCTION("SPLIT(A17026,"" "")"),"Cc1cccnc1CN(C)c1cc(-c2cccc(CN(CC3=NC(C(C)C(C)C)CO3)Cc3ccccn3)n2)cc2ncccc12")</f>
        <v>Cc1cccnc1CN(C)c1cc(-c2cccc(CN(CC3=NC(C(C)C(C)C)CO3)Cc3ccccn3)n2)cc2ncccc12</v>
      </c>
      <c r="C17026" s="7">
        <f>IFERROR(__xludf.DUMMYFUNCTION("""COMPUTED_VALUE"""),7.7338343)</f>
        <v>7.7338343</v>
      </c>
      <c r="D17026" s="7">
        <f>IFERROR(__xludf.DUMMYFUNCTION("""COMPUTED_VALUE"""),0.365853658536585)</f>
        <v>0.3658536585</v>
      </c>
    </row>
    <row r="17027">
      <c r="A17027" s="10" t="s">
        <v>18466</v>
      </c>
      <c r="B17027" s="7" t="str">
        <f>IFERROR(__xludf.DUMMYFUNCTION("SPLIT(A17027,"" "")"),"Cc1ccnc(CN(C)Cc2cccc(-c3cccc(N(C)C)c3)n2)c1")</f>
        <v>Cc1ccnc(CN(C)Cc2cccc(-c3cccc(N(C)C)c3)n2)c1</v>
      </c>
      <c r="C17027" s="7">
        <f>IFERROR(__xludf.DUMMYFUNCTION("""COMPUTED_VALUE"""),7.7338243)</f>
        <v>7.7338243</v>
      </c>
      <c r="D17027" s="7">
        <f>IFERROR(__xludf.DUMMYFUNCTION("""COMPUTED_VALUE"""),0.489795918367346)</f>
        <v>0.4897959184</v>
      </c>
    </row>
    <row r="17028">
      <c r="A17028" s="10" t="s">
        <v>18467</v>
      </c>
      <c r="B17028" s="7" t="str">
        <f>IFERROR(__xludf.DUMMYFUNCTION("SPLIT(A17028,"" "")"),"CN(CCN(Cc1ccccn1)c1cccc(F)c1)c1cccc2ncccc12")</f>
        <v>CN(CCN(Cc1ccccn1)c1cccc(F)c1)c1cccc2ncccc12</v>
      </c>
      <c r="C17028" s="7">
        <f>IFERROR(__xludf.DUMMYFUNCTION("""COMPUTED_VALUE"""),7.7338095)</f>
        <v>7.7338095</v>
      </c>
      <c r="D17028" s="7">
        <f>IFERROR(__xludf.DUMMYFUNCTION("""COMPUTED_VALUE"""),0.407407407407407)</f>
        <v>0.4074074074</v>
      </c>
    </row>
    <row r="17029">
      <c r="A17029" s="10" t="s">
        <v>18468</v>
      </c>
      <c r="B17029" s="7" t="str">
        <f>IFERROR(__xludf.DUMMYFUNCTION("SPLIT(A17029,"" "")"),"CC(C)c1cccc(CN(Cc2ccccn2)c2ccc3nc(CN(C)Cc4cccc(F)n4)ccc3c2)n1")</f>
        <v>CC(C)c1cccc(CN(Cc2ccccn2)c2ccc3nc(CN(C)Cc4cccc(F)n4)ccc3c2)n1</v>
      </c>
      <c r="C17029" s="7">
        <f>IFERROR(__xludf.DUMMYFUNCTION("""COMPUTED_VALUE"""),7.7338023)</f>
        <v>7.7338023</v>
      </c>
      <c r="D17029" s="7">
        <f>IFERROR(__xludf.DUMMYFUNCTION("""COMPUTED_VALUE"""),0.43859649122807)</f>
        <v>0.4385964912</v>
      </c>
    </row>
    <row r="17030">
      <c r="A17030" s="10" t="s">
        <v>18469</v>
      </c>
      <c r="B17030" s="7" t="str">
        <f>IFERROR(__xludf.DUMMYFUNCTION("SPLIT(A17030,"" "")"),"CCN(Cc1ccccn1)Cc1cccc(N(C)c2ccc3nc(CF)ccc3c2)n1")</f>
        <v>CCN(Cc1ccccn1)Cc1cccc(N(C)c2ccc3nc(CF)ccc3c2)n1</v>
      </c>
      <c r="C17030" s="7">
        <f>IFERROR(__xludf.DUMMYFUNCTION("""COMPUTED_VALUE"""),7.7338)</f>
        <v>7.7338</v>
      </c>
      <c r="D17030" s="7">
        <f>IFERROR(__xludf.DUMMYFUNCTION("""COMPUTED_VALUE"""),0.481481481481481)</f>
        <v>0.4814814815</v>
      </c>
    </row>
    <row r="17031">
      <c r="A17031" s="10" t="s">
        <v>18470</v>
      </c>
      <c r="B17031" s="7" t="str">
        <f>IFERROR(__xludf.DUMMYFUNCTION("SPLIT(A17031,"" "")"),"Cc1cc(N(C)C(C)C)c(C)cc1N(C)Cc1ncccc1C")</f>
        <v>Cc1cc(N(C)C(C)C)c(C)cc1N(C)Cc1ncccc1C</v>
      </c>
      <c r="C17031" s="7">
        <f>IFERROR(__xludf.DUMMYFUNCTION("""COMPUTED_VALUE"""),7.7337976)</f>
        <v>7.7337976</v>
      </c>
      <c r="D17031" s="7">
        <f>IFERROR(__xludf.DUMMYFUNCTION("""COMPUTED_VALUE"""),0.369565217391304)</f>
        <v>0.3695652174</v>
      </c>
    </row>
    <row r="17032">
      <c r="A17032" s="10" t="s">
        <v>18471</v>
      </c>
      <c r="B17032" s="7" t="str">
        <f>IFERROR(__xludf.DUMMYFUNCTION("SPLIT(A17032,"" "")"),"CCCN(CC1=CCC(N(C)Cc2ccccn2)=CN1)c1cccc2cccnc12")</f>
        <v>CCCN(CC1=CCC(N(C)Cc2ccccn2)=CN1)c1cccc2cccnc12</v>
      </c>
      <c r="C17032" s="7">
        <f>IFERROR(__xludf.DUMMYFUNCTION("""COMPUTED_VALUE"""),7.73379)</f>
        <v>7.73379</v>
      </c>
      <c r="D17032" s="7">
        <f>IFERROR(__xludf.DUMMYFUNCTION("""COMPUTED_VALUE"""),0.421052631578947)</f>
        <v>0.4210526316</v>
      </c>
    </row>
    <row r="17033">
      <c r="A17033" s="10" t="s">
        <v>18472</v>
      </c>
      <c r="B17033" s="7" t="str">
        <f>IFERROR(__xludf.DUMMYFUNCTION("SPLIT(A17033,"" "")"),"CNCN(Cc1cc(C)ccn1)c1ccc2nc(CF)ccc2c1")</f>
        <v>CNCN(Cc1cc(C)ccn1)c1ccc2nc(CF)ccc2c1</v>
      </c>
      <c r="C17033" s="7">
        <f>IFERROR(__xludf.DUMMYFUNCTION("""COMPUTED_VALUE"""),7.7337875)</f>
        <v>7.7337875</v>
      </c>
      <c r="D17033" s="7">
        <f>IFERROR(__xludf.DUMMYFUNCTION("""COMPUTED_VALUE"""),0.298245614035087)</f>
        <v>0.298245614</v>
      </c>
    </row>
    <row r="17034">
      <c r="A17034" s="10" t="s">
        <v>18473</v>
      </c>
      <c r="B17034" s="7" t="str">
        <f>IFERROR(__xludf.DUMMYFUNCTION("SPLIT(A17034,"" "")"),"Cc1ccnc(CN(C)Cc2cc(-c3ccccc3N(C)C)ccn2)c1")</f>
        <v>Cc1ccnc(CN(C)Cc2cc(-c3ccccc3N(C)C)ccn2)c1</v>
      </c>
      <c r="C17034" s="7">
        <f>IFERROR(__xludf.DUMMYFUNCTION("""COMPUTED_VALUE"""),7.733784)</f>
        <v>7.733784</v>
      </c>
      <c r="D17034" s="7">
        <f>IFERROR(__xludf.DUMMYFUNCTION("""COMPUTED_VALUE"""),0.36)</f>
        <v>0.36</v>
      </c>
    </row>
    <row r="17035">
      <c r="A17035" s="10" t="s">
        <v>18474</v>
      </c>
      <c r="B17035" s="7" t="str">
        <f>IFERROR(__xludf.DUMMYFUNCTION("SPLIT(A17035,"" "")"),"CN(c1ccc(-c2ccccn2)nc1)C1CCC(N(C)c2cccc3nc(CF)ccc23)CC1")</f>
        <v>CN(c1ccc(-c2ccccn2)nc1)C1CCC(N(C)c2cccc3nc(CF)ccc23)CC1</v>
      </c>
      <c r="C17035" s="7">
        <f>IFERROR(__xludf.DUMMYFUNCTION("""COMPUTED_VALUE"""),7.7337737)</f>
        <v>7.7337737</v>
      </c>
      <c r="D17035" s="7">
        <f>IFERROR(__xludf.DUMMYFUNCTION("""COMPUTED_VALUE"""),0.375)</f>
        <v>0.375</v>
      </c>
    </row>
    <row r="17036">
      <c r="A17036" s="10" t="s">
        <v>18475</v>
      </c>
      <c r="B17036" s="7" t="str">
        <f>IFERROR(__xludf.DUMMYFUNCTION("SPLIT(A17036,"" "")"),"CNCc1cccc(CN(Cc2ccccn2)c2ccc3nc(CF)ccc3c2)n1")</f>
        <v>CNCc1cccc(CN(Cc2ccccn2)c2ccc3nc(CF)ccc3c2)n1</v>
      </c>
      <c r="C17036" s="7">
        <f>IFERROR(__xludf.DUMMYFUNCTION("""COMPUTED_VALUE"""),7.733771)</f>
        <v>7.733771</v>
      </c>
      <c r="D17036" s="7">
        <f>IFERROR(__xludf.DUMMYFUNCTION("""COMPUTED_VALUE"""),0.452830188679245)</f>
        <v>0.4528301887</v>
      </c>
    </row>
    <row r="17037">
      <c r="A17037" s="10" t="s">
        <v>18476</v>
      </c>
      <c r="B17037" s="7" t="str">
        <f>IFERROR(__xludf.DUMMYFUNCTION("SPLIT(A17037,"" "")"),"CCN(Cc1ccc2ncccc2c1)Cc1ncccc1N(C)C")</f>
        <v>CCN(Cc1ccc2ncccc2c1)Cc1ncccc1N(C)C</v>
      </c>
      <c r="C17037" s="7">
        <f>IFERROR(__xludf.DUMMYFUNCTION("""COMPUTED_VALUE"""),7.7337637)</f>
        <v>7.7337637</v>
      </c>
      <c r="D17037" s="7">
        <f>IFERROR(__xludf.DUMMYFUNCTION("""COMPUTED_VALUE"""),0.333333333333333)</f>
        <v>0.3333333333</v>
      </c>
    </row>
    <row r="17038">
      <c r="A17038" s="10" t="s">
        <v>18477</v>
      </c>
      <c r="B17038" s="7" t="str">
        <f>IFERROR(__xludf.DUMMYFUNCTION("SPLIT(A17038,"" "")"),"CC(C)N(C)CC1=CCC=C(N(C)c2ccc3c(CF)ccnc3c2)N1")</f>
        <v>CC(C)N(C)CC1=CCC=C(N(C)c2ccc3c(CF)ccnc3c2)N1</v>
      </c>
      <c r="C17038" s="7">
        <f>IFERROR(__xludf.DUMMYFUNCTION("""COMPUTED_VALUE"""),7.733757)</f>
        <v>7.733757</v>
      </c>
      <c r="D17038" s="7">
        <f>IFERROR(__xludf.DUMMYFUNCTION("""COMPUTED_VALUE"""),0.211267605633802)</f>
        <v>0.2112676056</v>
      </c>
    </row>
    <row r="17039">
      <c r="A17039" s="10" t="s">
        <v>18478</v>
      </c>
      <c r="B17039" s="7" t="str">
        <f>IFERROR(__xludf.DUMMYFUNCTION("SPLIT(A17039,"" "")"),"Cc1ccnc2cccc(N(C)CCN(C)Cc3ccccn3)c12")</f>
        <v>Cc1ccnc2cccc(N(C)CCN(C)Cc3ccccn3)c12</v>
      </c>
      <c r="C17039" s="7">
        <f>IFERROR(__xludf.DUMMYFUNCTION("""COMPUTED_VALUE"""),7.73374)</f>
        <v>7.73374</v>
      </c>
      <c r="D17039" s="7">
        <f>IFERROR(__xludf.DUMMYFUNCTION("""COMPUTED_VALUE"""),0.431372549019607)</f>
        <v>0.431372549</v>
      </c>
    </row>
    <row r="17040">
      <c r="A17040" s="10" t="s">
        <v>18479</v>
      </c>
      <c r="B17040" s="7" t="str">
        <f>IFERROR(__xludf.DUMMYFUNCTION("SPLIT(A17040,"" "")"),"Cc1ccc2cc(N(C)C3=C(CN(C)C(C)C)NC=CC3)ccc2n1")</f>
        <v>Cc1ccc2cc(N(C)C3=C(CN(C)C(C)C)NC=CC3)ccc2n1</v>
      </c>
      <c r="C17040" s="7">
        <f>IFERROR(__xludf.DUMMYFUNCTION("""COMPUTED_VALUE"""),7.73374)</f>
        <v>7.73374</v>
      </c>
      <c r="D17040" s="7">
        <f>IFERROR(__xludf.DUMMYFUNCTION("""COMPUTED_VALUE"""),0.245614035087719)</f>
        <v>0.2456140351</v>
      </c>
    </row>
    <row r="17041">
      <c r="A17041" s="10" t="s">
        <v>18480</v>
      </c>
      <c r="B17041" s="7" t="str">
        <f>IFERROR(__xludf.DUMMYFUNCTION("SPLIT(A17041,"" "")"),"Cc1ccc(C)c(CN(C)Cc2ccc3cccc(C)c3n2)n1")</f>
        <v>Cc1ccc(C)c(CN(C)Cc2ccc3cccc(C)c3n2)n1</v>
      </c>
      <c r="C17041" s="7">
        <f>IFERROR(__xludf.DUMMYFUNCTION("""COMPUTED_VALUE"""),7.733733)</f>
        <v>7.733733</v>
      </c>
      <c r="D17041" s="7">
        <f>IFERROR(__xludf.DUMMYFUNCTION("""COMPUTED_VALUE"""),0.441860465116279)</f>
        <v>0.4418604651</v>
      </c>
    </row>
    <row r="17042">
      <c r="A17042" s="10" t="s">
        <v>18481</v>
      </c>
      <c r="B17042" s="7" t="str">
        <f>IFERROR(__xludf.DUMMYFUNCTION("SPLIT(A17042,"" "")"),"CN(CC1=CCC(N(C)Cc2ccccn2)=CN1)Cc1cccc2ncccc12")</f>
        <v>CN(CC1=CCC(N(C)Cc2ccccn2)=CN1)Cc1cccc2ncccc12</v>
      </c>
      <c r="C17042" s="7">
        <f>IFERROR(__xludf.DUMMYFUNCTION("""COMPUTED_VALUE"""),7.7337303)</f>
        <v>7.7337303</v>
      </c>
      <c r="D17042" s="7">
        <f>IFERROR(__xludf.DUMMYFUNCTION("""COMPUTED_VALUE"""),0.389830508474576)</f>
        <v>0.3898305085</v>
      </c>
    </row>
    <row r="17043">
      <c r="A17043" s="10" t="s">
        <v>18482</v>
      </c>
      <c r="B17043" s="7" t="str">
        <f>IFERROR(__xludf.DUMMYFUNCTION("SPLIT(A17043,"" "")"),"Cc1ccc(CNCc2cccc(-c3cccc(N=Cc4ccccn4)c3)n2)nc1")</f>
        <v>Cc1ccc(CNCc2cccc(-c3cccc(N=Cc4ccccn4)c3)n2)nc1</v>
      </c>
      <c r="C17043" s="7">
        <f>IFERROR(__xludf.DUMMYFUNCTION("""COMPUTED_VALUE"""),7.73372)</f>
        <v>7.73372</v>
      </c>
      <c r="D17043" s="7">
        <f>IFERROR(__xludf.DUMMYFUNCTION("""COMPUTED_VALUE"""),0.354838709677419)</f>
        <v>0.3548387097</v>
      </c>
    </row>
    <row r="17044">
      <c r="A17044" s="10" t="s">
        <v>18483</v>
      </c>
      <c r="B17044" s="7" t="str">
        <f>IFERROR(__xludf.DUMMYFUNCTION("SPLIT(A17044,"" "")"),"Cc1cnc(CN(C)CCN(C)c2ccc3nc(C)ccc3c2)c(C)c1")</f>
        <v>Cc1cnc(CN(C)CCN(C)c2ccc3nc(C)ccc3c2)c(C)c1</v>
      </c>
      <c r="C17044" s="7">
        <f>IFERROR(__xludf.DUMMYFUNCTION("""COMPUTED_VALUE"""),7.733708)</f>
        <v>7.733708</v>
      </c>
      <c r="D17044" s="7">
        <f>IFERROR(__xludf.DUMMYFUNCTION("""COMPUTED_VALUE"""),0.36734693877551)</f>
        <v>0.3673469388</v>
      </c>
    </row>
    <row r="17045">
      <c r="A17045" s="10" t="s">
        <v>18484</v>
      </c>
      <c r="B17045" s="7" t="str">
        <f>IFERROR(__xludf.DUMMYFUNCTION("SPLIT(A17045,"" "")"),"Cc1cnc(CN(Cc2ccc(-c3cccc(N=Cc4ccccn4)c3)nc2)Cc2ccccn2)c(C)c1")</f>
        <v>Cc1cnc(CN(Cc2ccc(-c3cccc(N=Cc4ccccn4)c3)nc2)Cc2ccccn2)c(C)c1</v>
      </c>
      <c r="C17045" s="7">
        <f>IFERROR(__xludf.DUMMYFUNCTION("""COMPUTED_VALUE"""),7.733702)</f>
        <v>7.733702</v>
      </c>
      <c r="D17045" s="7">
        <f>IFERROR(__xludf.DUMMYFUNCTION("""COMPUTED_VALUE"""),0.364864864864864)</f>
        <v>0.3648648649</v>
      </c>
    </row>
    <row r="17046">
      <c r="A17046" s="10" t="s">
        <v>18485</v>
      </c>
      <c r="B17046" s="7" t="str">
        <f>IFERROR(__xludf.DUMMYFUNCTION("SPLIT(A17046,"" "")"),"Cc1ccc(-c2cccc(NCc3ccc(C(C)(C)C)cn3)c2)nc1")</f>
        <v>Cc1ccc(-c2cccc(NCc3ccc(C(C)(C)C)cn3)c2)nc1</v>
      </c>
      <c r="C17046" s="7">
        <f>IFERROR(__xludf.DUMMYFUNCTION("""COMPUTED_VALUE"""),7.7336946)</f>
        <v>7.7336946</v>
      </c>
      <c r="D17046" s="7">
        <f>IFERROR(__xludf.DUMMYFUNCTION("""COMPUTED_VALUE"""),0.30188679245283)</f>
        <v>0.3018867925</v>
      </c>
    </row>
    <row r="17047">
      <c r="A17047" s="10" t="s">
        <v>18486</v>
      </c>
      <c r="B17047" s="7" t="str">
        <f>IFERROR(__xludf.DUMMYFUNCTION("SPLIT(A17047,"" "")"),"Cc1ccc(-c2cccc(NCc3ccccn3)c2)nc1")</f>
        <v>Cc1ccc(-c2cccc(NCc3ccccn3)c2)nc1</v>
      </c>
      <c r="C17047" s="7">
        <f>IFERROR(__xludf.DUMMYFUNCTION("""COMPUTED_VALUE"""),7.7336936)</f>
        <v>7.7336936</v>
      </c>
      <c r="D17047" s="7">
        <f>IFERROR(__xludf.DUMMYFUNCTION("""COMPUTED_VALUE"""),0.392857142857142)</f>
        <v>0.3928571429</v>
      </c>
    </row>
    <row r="17048">
      <c r="A17048" s="10" t="s">
        <v>18487</v>
      </c>
      <c r="B17048" s="7" t="str">
        <f>IFERROR(__xludf.DUMMYFUNCTION("SPLIT(A17048,"" "")"),"CNCc1ncccc1-c1ccccc1NC")</f>
        <v>CNCc1ncccc1-c1ccccc1NC</v>
      </c>
      <c r="C17048" s="7">
        <f>IFERROR(__xludf.DUMMYFUNCTION("""COMPUTED_VALUE"""),7.733693)</f>
        <v>7.733693</v>
      </c>
      <c r="D17048" s="7">
        <f>IFERROR(__xludf.DUMMYFUNCTION("""COMPUTED_VALUE"""),0.3)</f>
        <v>0.3</v>
      </c>
    </row>
    <row r="17049">
      <c r="A17049" s="10" t="s">
        <v>18488</v>
      </c>
      <c r="B17049" s="7" t="str">
        <f>IFERROR(__xludf.DUMMYFUNCTION("SPLIT(A17049,"" "")"),"CCNCc1cc(-c2cccc(N(C)Cc3cc(C)ccn3)c2C)ccn1")</f>
        <v>CCNCc1cc(-c2cccc(N(C)Cc3cc(C)ccn3)c2C)ccn1</v>
      </c>
      <c r="C17049" s="7">
        <f>IFERROR(__xludf.DUMMYFUNCTION("""COMPUTED_VALUE"""),7.733674)</f>
        <v>7.733674</v>
      </c>
      <c r="D17049" s="7">
        <f>IFERROR(__xludf.DUMMYFUNCTION("""COMPUTED_VALUE"""),0.333333333333333)</f>
        <v>0.3333333333</v>
      </c>
    </row>
    <row r="17050">
      <c r="A17050" s="10" t="s">
        <v>18489</v>
      </c>
      <c r="B17050" s="7" t="str">
        <f>IFERROR(__xludf.DUMMYFUNCTION("SPLIT(A17050,"" "")"),"Cc1cc(N(C)CCN(C)Cc2ccc3cccnc3c2)c(C)c(C)c1C")</f>
        <v>Cc1cc(N(C)CCN(C)Cc2ccc3cccnc3c2)c(C)c(C)c1C</v>
      </c>
      <c r="C17050" s="7">
        <f>IFERROR(__xludf.DUMMYFUNCTION("""COMPUTED_VALUE"""),7.7336717)</f>
        <v>7.7336717</v>
      </c>
      <c r="D17050" s="7">
        <f>IFERROR(__xludf.DUMMYFUNCTION("""COMPUTED_VALUE"""),0.392156862745098)</f>
        <v>0.3921568627</v>
      </c>
    </row>
    <row r="17051">
      <c r="A17051" s="10" t="s">
        <v>18490</v>
      </c>
      <c r="B17051" s="7" t="str">
        <f>IFERROR(__xludf.DUMMYFUNCTION("SPLIT(A17051,"" "")"),"CCNc1cccc2cccnc12")</f>
        <v>CCNc1cccc2cccnc12</v>
      </c>
      <c r="C17051" s="7">
        <f>IFERROR(__xludf.DUMMYFUNCTION("""COMPUTED_VALUE"""),7.7336707)</f>
        <v>7.7336707</v>
      </c>
      <c r="D17051" s="7">
        <f>IFERROR(__xludf.DUMMYFUNCTION("""COMPUTED_VALUE"""),0.459459459459459)</f>
        <v>0.4594594595</v>
      </c>
    </row>
    <row r="17052">
      <c r="A17052" s="10" t="s">
        <v>18491</v>
      </c>
      <c r="B17052" s="7" t="str">
        <f>IFERROR(__xludf.DUMMYFUNCTION("SPLIT(A17052,"" "")"),"Cc1ccc(CN(C)Cc2cc(-c3ccccc3N(C)C)ccn2)nc1")</f>
        <v>Cc1ccc(CN(C)Cc2cc(-c3ccccc3N(C)C)ccn2)nc1</v>
      </c>
      <c r="C17052" s="7">
        <f>IFERROR(__xludf.DUMMYFUNCTION("""COMPUTED_VALUE"""),7.7336683)</f>
        <v>7.7336683</v>
      </c>
      <c r="D17052" s="7">
        <f>IFERROR(__xludf.DUMMYFUNCTION("""COMPUTED_VALUE"""),0.488888888888888)</f>
        <v>0.4888888889</v>
      </c>
    </row>
    <row r="17053">
      <c r="A17053" s="10" t="s">
        <v>18492</v>
      </c>
      <c r="B17053" s="7" t="str">
        <f>IFERROR(__xludf.DUMMYFUNCTION("SPLIT(A17053,"" "")"),"Cc1ccnc(CN(C)CCN(C)c2cccc3c(C)ccnc23)c1")</f>
        <v>Cc1ccnc(CN(C)CCN(C)c2cccc3c(C)ccnc23)c1</v>
      </c>
      <c r="C17053" s="7">
        <f>IFERROR(__xludf.DUMMYFUNCTION("""COMPUTED_VALUE"""),7.733668)</f>
        <v>7.733668</v>
      </c>
      <c r="D17053" s="7">
        <f>IFERROR(__xludf.DUMMYFUNCTION("""COMPUTED_VALUE"""),0.428571428571428)</f>
        <v>0.4285714286</v>
      </c>
    </row>
    <row r="17054">
      <c r="A17054" s="10" t="s">
        <v>18493</v>
      </c>
      <c r="B17054" s="7" t="str">
        <f>IFERROR(__xludf.DUMMYFUNCTION("SPLIT(A17054,"" "")"),"Cc1c(C)c(C)c(-c2ccc(CNCc3ccccn3)c(C)c2NCc2ccccn2)c(C)c1C")</f>
        <v>Cc1c(C)c(C)c(-c2ccc(CNCc3ccccn3)c(C)c2NCc2ccccn2)c(C)c1C</v>
      </c>
      <c r="C17054" s="7">
        <f>IFERROR(__xludf.DUMMYFUNCTION("""COMPUTED_VALUE"""),7.733665)</f>
        <v>7.733665</v>
      </c>
      <c r="D17054" s="7">
        <f>IFERROR(__xludf.DUMMYFUNCTION("""COMPUTED_VALUE"""),0.441860465116279)</f>
        <v>0.4418604651</v>
      </c>
    </row>
    <row r="17055">
      <c r="A17055" s="10" t="s">
        <v>18494</v>
      </c>
      <c r="B17055" s="7" t="str">
        <f>IFERROR(__xludf.DUMMYFUNCTION("SPLIT(A17055,"" "")"),"CNCc1ncccc1-c1ccc(NCc2ccccn2)cc1C")</f>
        <v>CNCc1ncccc1-c1ccc(NCc2ccccn2)cc1C</v>
      </c>
      <c r="C17055" s="7">
        <f>IFERROR(__xludf.DUMMYFUNCTION("""COMPUTED_VALUE"""),7.733665)</f>
        <v>7.733665</v>
      </c>
      <c r="D17055" s="7">
        <f>IFERROR(__xludf.DUMMYFUNCTION("""COMPUTED_VALUE"""),0.361702127659574)</f>
        <v>0.3617021277</v>
      </c>
    </row>
    <row r="17056">
      <c r="A17056" s="10" t="s">
        <v>18495</v>
      </c>
      <c r="B17056" s="7" t="str">
        <f>IFERROR(__xludf.DUMMYFUNCTION("SPLIT(A17056,"" "")"),"CN(CC1=CC(N(C)Cc2ccccn2)C=CN1)c1cccc2cc(CF)cnc12")</f>
        <v>CN(CC1=CC(N(C)Cc2ccccn2)C=CN1)c1cccc2cc(CF)cnc12</v>
      </c>
      <c r="C17056" s="7">
        <f>IFERROR(__xludf.DUMMYFUNCTION("""COMPUTED_VALUE"""),7.7336545)</f>
        <v>7.7336545</v>
      </c>
      <c r="D17056" s="7">
        <f>IFERROR(__xludf.DUMMYFUNCTION("""COMPUTED_VALUE"""),0.353846153846153)</f>
        <v>0.3538461538</v>
      </c>
    </row>
    <row r="17057">
      <c r="A17057" s="10" t="s">
        <v>18496</v>
      </c>
      <c r="B17057" s="7" t="str">
        <f>IFERROR(__xludf.DUMMYFUNCTION("SPLIT(A17057,"" "")"),"C1=CNC(NCc2cccc(-c3cccc(C(c4ccccc4)c4ccccn4)n3)n2)C=C1")</f>
        <v>C1=CNC(NCc2cccc(-c3cccc(C(c4ccccc4)c4ccccn4)n3)n2)C=C1</v>
      </c>
      <c r="C17057" s="7">
        <f>IFERROR(__xludf.DUMMYFUNCTION("""COMPUTED_VALUE"""),7.733654)</f>
        <v>7.733654</v>
      </c>
      <c r="D17057" s="7">
        <f>IFERROR(__xludf.DUMMYFUNCTION("""COMPUTED_VALUE"""),0.34375)</f>
        <v>0.34375</v>
      </c>
    </row>
    <row r="17058">
      <c r="A17058" s="10" t="s">
        <v>18497</v>
      </c>
      <c r="B17058" s="7" t="str">
        <f>IFERROR(__xludf.DUMMYFUNCTION("SPLIT(A17058,"" "")"),"Cc1ccc(CN(Cc2ccccn2)Cc2cc(-c3cccc(N=Cc4ccccn4)c3)ccn2)nc1C")</f>
        <v>Cc1ccc(CN(Cc2ccccn2)Cc2cc(-c3cccc(N=Cc4ccccn4)c3)ccn2)nc1C</v>
      </c>
      <c r="C17058" s="7">
        <f>IFERROR(__xludf.DUMMYFUNCTION("""COMPUTED_VALUE"""),7.733654)</f>
        <v>7.733654</v>
      </c>
      <c r="D17058" s="7">
        <f>IFERROR(__xludf.DUMMYFUNCTION("""COMPUTED_VALUE"""),0.402985074626865)</f>
        <v>0.4029850746</v>
      </c>
    </row>
    <row r="17059">
      <c r="A17059" s="10" t="s">
        <v>18498</v>
      </c>
      <c r="B17059" s="7" t="str">
        <f>IFERROR(__xludf.DUMMYFUNCTION("SPLIT(A17059,"" "")"),"Cc1ccc(-c2cccc(NCc3ccc(C(C)(C)C)cn3)c2)cn1")</f>
        <v>Cc1ccc(-c2cccc(NCc3ccc(C(C)(C)C)cn3)c2)cn1</v>
      </c>
      <c r="C17059" s="7">
        <f>IFERROR(__xludf.DUMMYFUNCTION("""COMPUTED_VALUE"""),7.733634)</f>
        <v>7.733634</v>
      </c>
      <c r="D17059" s="7">
        <f>IFERROR(__xludf.DUMMYFUNCTION("""COMPUTED_VALUE"""),0.246153846153846)</f>
        <v>0.2461538462</v>
      </c>
    </row>
    <row r="17060">
      <c r="A17060" s="10" t="s">
        <v>18499</v>
      </c>
      <c r="B17060" s="7" t="str">
        <f>IFERROR(__xludf.DUMMYFUNCTION("SPLIT(A17060,"" "")"),"c1ccc(-c2ccncc2)cc1")</f>
        <v>c1ccc(-c2ccncc2)cc1</v>
      </c>
      <c r="C17060" s="7">
        <f>IFERROR(__xludf.DUMMYFUNCTION("""COMPUTED_VALUE"""),7.7336326)</f>
        <v>7.7336326</v>
      </c>
      <c r="D17060" s="7">
        <f>IFERROR(__xludf.DUMMYFUNCTION("""COMPUTED_VALUE"""),0.3)</f>
        <v>0.3</v>
      </c>
    </row>
    <row r="17061">
      <c r="A17061" s="10" t="s">
        <v>18500</v>
      </c>
      <c r="B17061" s="7" t="str">
        <f>IFERROR(__xludf.DUMMYFUNCTION("SPLIT(A17061,"" "")"),"CN(CC1=CNC=C(N(C)Cc2ccccn2)C1)Cc1ncccc1-c1cc(Cl)ccc1N")</f>
        <v>CN(CC1=CNC=C(N(C)Cc2ccccn2)C1)Cc1ncccc1-c1cc(Cl)ccc1N</v>
      </c>
      <c r="C17061" s="7">
        <f>IFERROR(__xludf.DUMMYFUNCTION("""COMPUTED_VALUE"""),7.7336264)</f>
        <v>7.7336264</v>
      </c>
      <c r="D17061" s="7">
        <f>IFERROR(__xludf.DUMMYFUNCTION("""COMPUTED_VALUE"""),0.375)</f>
        <v>0.375</v>
      </c>
    </row>
    <row r="17062">
      <c r="A17062" s="10" t="s">
        <v>18501</v>
      </c>
      <c r="B17062" s="7" t="str">
        <f>IFERROR(__xludf.DUMMYFUNCTION("SPLIT(A17062,"" "")"),"Cc1c(C)c(N)c(C)c(N(C)Cc2ccccn2)c1C")</f>
        <v>Cc1c(C)c(N)c(C)c(N(C)Cc2ccccn2)c1C</v>
      </c>
      <c r="C17062" s="7">
        <f>IFERROR(__xludf.DUMMYFUNCTION("""COMPUTED_VALUE"""),7.733604)</f>
        <v>7.733604</v>
      </c>
      <c r="D17062" s="7">
        <f>IFERROR(__xludf.DUMMYFUNCTION("""COMPUTED_VALUE"""),0.5)</f>
        <v>0.5</v>
      </c>
    </row>
    <row r="17063">
      <c r="A17063" s="10" t="s">
        <v>18502</v>
      </c>
      <c r="B17063" s="7" t="str">
        <f>IFERROR(__xludf.DUMMYFUNCTION("SPLIT(A17063,"" "")"),"Cc1cc(CN(C)c2cccc3ccc(CN(CF)Cc4ccccn4)nc23)nc(C)c1C")</f>
        <v>Cc1cc(CN(C)c2cccc3ccc(CN(CF)Cc4ccccn4)nc23)nc(C)c1C</v>
      </c>
      <c r="C17063" s="7">
        <f>IFERROR(__xludf.DUMMYFUNCTION("""COMPUTED_VALUE"""),7.733593)</f>
        <v>7.733593</v>
      </c>
      <c r="D17063" s="7">
        <f>IFERROR(__xludf.DUMMYFUNCTION("""COMPUTED_VALUE"""),0.413793103448275)</f>
        <v>0.4137931034</v>
      </c>
    </row>
    <row r="17064">
      <c r="A17064" s="10" t="s">
        <v>18503</v>
      </c>
      <c r="B17064" s="7" t="str">
        <f>IFERROR(__xludf.DUMMYFUNCTION("SPLIT(A17064,"" "")"),"Cc1cccnc1CN(C)c1cccc2ccc(CN(Cc3ccccn3)C(C)C)nc12")</f>
        <v>Cc1cccnc1CN(C)c1cccc2ccc(CN(Cc3ccccn3)C(C)C)nc12</v>
      </c>
      <c r="C17064" s="7">
        <f>IFERROR(__xludf.DUMMYFUNCTION("""COMPUTED_VALUE"""),7.733588)</f>
        <v>7.733588</v>
      </c>
      <c r="D17064" s="7">
        <f>IFERROR(__xludf.DUMMYFUNCTION("""COMPUTED_VALUE"""),0.452830188679245)</f>
        <v>0.4528301887</v>
      </c>
    </row>
    <row r="17065">
      <c r="A17065" s="10" t="s">
        <v>18504</v>
      </c>
      <c r="B17065" s="7" t="str">
        <f>IFERROR(__xludf.DUMMYFUNCTION("SPLIT(A17065,"" "")"),"Cc1ccnc(CN(C)Cc2ccc(-c3ccc(N(C)Cc4ccncc4)cc3)nc2)c1C")</f>
        <v>Cc1ccnc(CN(C)Cc2ccc(-c3ccc(N(C)Cc4ccncc4)cc3)nc2)c1C</v>
      </c>
      <c r="C17065" s="7">
        <f>IFERROR(__xludf.DUMMYFUNCTION("""COMPUTED_VALUE"""),7.7335873)</f>
        <v>7.7335873</v>
      </c>
      <c r="D17065" s="7">
        <f>IFERROR(__xludf.DUMMYFUNCTION("""COMPUTED_VALUE"""),0.216666666666666)</f>
        <v>0.2166666667</v>
      </c>
    </row>
    <row r="17066">
      <c r="A17066" s="10" t="s">
        <v>18505</v>
      </c>
      <c r="B17066" s="7" t="str">
        <f>IFERROR(__xludf.DUMMYFUNCTION("SPLIT(A17066,"" "")"),"CN(Cc1ccccn1)c1ccc(Cl)c(Cl)c1N(C)C1CCCCC1N(C)c1ccc2cccnc2c1")</f>
        <v>CN(Cc1ccccn1)c1ccc(Cl)c(Cl)c1N(C)C1CCCCC1N(C)c1ccc2cccnc2c1</v>
      </c>
      <c r="C17066" s="7">
        <f>IFERROR(__xludf.DUMMYFUNCTION("""COMPUTED_VALUE"""),7.733581)</f>
        <v>7.733581</v>
      </c>
      <c r="D17066" s="7">
        <f>IFERROR(__xludf.DUMMYFUNCTION("""COMPUTED_VALUE"""),0.45)</f>
        <v>0.45</v>
      </c>
    </row>
    <row r="17067">
      <c r="A17067" s="10" t="s">
        <v>18506</v>
      </c>
      <c r="B17067" s="7" t="str">
        <f>IFERROR(__xludf.DUMMYFUNCTION("SPLIT(A17067,"" "")"),"Cc1cc(CN(C)c2cccc(-c3cc(CN(Cc4ccccn4)Cc4cc(C)c(C)c(C)n4)ccn3)c2)cnc1C")</f>
        <v>Cc1cc(CN(C)c2cccc(-c3cc(CN(Cc4ccccn4)Cc4cc(C)c(C)c(C)n4)ccn3)c2)cnc1C</v>
      </c>
      <c r="C17067" s="7">
        <f>IFERROR(__xludf.DUMMYFUNCTION("""COMPUTED_VALUE"""),7.73358)</f>
        <v>7.73358</v>
      </c>
      <c r="D17067" s="7">
        <f>IFERROR(__xludf.DUMMYFUNCTION("""COMPUTED_VALUE"""),0.383561643835616)</f>
        <v>0.3835616438</v>
      </c>
    </row>
    <row r="17068">
      <c r="A17068" s="10" t="s">
        <v>18507</v>
      </c>
      <c r="B17068" s="7" t="str">
        <f>IFERROR(__xludf.DUMMYFUNCTION("SPLIT(A17068,"" "")"),"CC(C)N(C)CC1=CCC=C(N(C)c2ccc3nccc(CF)c3c2)N1")</f>
        <v>CC(C)N(C)CC1=CCC=C(N(C)c2ccc3nccc(CF)c3c2)N1</v>
      </c>
      <c r="C17068" s="7">
        <f>IFERROR(__xludf.DUMMYFUNCTION("""COMPUTED_VALUE"""),7.733579)</f>
        <v>7.733579</v>
      </c>
      <c r="D17068" s="7">
        <f>IFERROR(__xludf.DUMMYFUNCTION("""COMPUTED_VALUE"""),0.208333333333333)</f>
        <v>0.2083333333</v>
      </c>
    </row>
    <row r="17069">
      <c r="A17069" s="10" t="s">
        <v>18508</v>
      </c>
      <c r="B17069" s="7" t="str">
        <f>IFERROR(__xludf.DUMMYFUNCTION("SPLIT(A17069,"" "")"),"Cc1cnc(CN(C)c2ccccc2-c2ccc(CN(Cc3ccccn3)Cc3nc(C)c(C)c(C)c3C)nc2)c(C)c1")</f>
        <v>Cc1cnc(CN(C)c2ccccc2-c2ccc(CN(Cc3ccccn3)Cc3nc(C)c(C)c(C)c3C)nc2)c(C)c1</v>
      </c>
      <c r="C17069" s="7">
        <f>IFERROR(__xludf.DUMMYFUNCTION("""COMPUTED_VALUE"""),7.7335773)</f>
        <v>7.7335773</v>
      </c>
      <c r="D17069" s="7">
        <f>IFERROR(__xludf.DUMMYFUNCTION("""COMPUTED_VALUE"""),0.353846153846153)</f>
        <v>0.3538461538</v>
      </c>
    </row>
    <row r="17070">
      <c r="A17070" s="10" t="s">
        <v>18509</v>
      </c>
      <c r="B17070" s="7" t="str">
        <f>IFERROR(__xludf.DUMMYFUNCTION("SPLIT(A17070,"" "")"),"Cc1cc2cccnc2cc1CN(C)CCN(C)Cc1ccc2ncccc2c1")</f>
        <v>Cc1cc2cccnc2cc1CN(C)CCN(C)Cc1ccc2ncccc2c1</v>
      </c>
      <c r="C17070" s="7">
        <f>IFERROR(__xludf.DUMMYFUNCTION("""COMPUTED_VALUE"""),7.733563)</f>
        <v>7.733563</v>
      </c>
      <c r="D17070" s="7">
        <f>IFERROR(__xludf.DUMMYFUNCTION("""COMPUTED_VALUE"""),0.468085106382978)</f>
        <v>0.4680851064</v>
      </c>
    </row>
    <row r="17071">
      <c r="A17071" s="10" t="s">
        <v>18510</v>
      </c>
      <c r="B17071" s="7" t="str">
        <f>IFERROR(__xludf.DUMMYFUNCTION("SPLIT(A17071,"" "")"),"CN(C)Cc1ccnc2cccc(N(C)C3CCCC(N(C)c4cccc5c6c(cnc45)CCCC6)C3)c12")</f>
        <v>CN(C)Cc1ccnc2cccc(N(C)C3CCCC(N(C)c4cccc5c6c(cnc45)CCCC6)C3)c12</v>
      </c>
      <c r="C17071" s="7">
        <f>IFERROR(__xludf.DUMMYFUNCTION("""COMPUTED_VALUE"""),7.7335563)</f>
        <v>7.7335563</v>
      </c>
      <c r="D17071" s="7">
        <f>IFERROR(__xludf.DUMMYFUNCTION("""COMPUTED_VALUE"""),0.301369863013698)</f>
        <v>0.301369863</v>
      </c>
    </row>
    <row r="17072">
      <c r="A17072" s="10" t="s">
        <v>18511</v>
      </c>
      <c r="B17072" s="7" t="str">
        <f>IFERROR(__xludf.DUMMYFUNCTION("SPLIT(A17072,"" "")"),"CN(C)Cc1ccc2cc(N(C)C3CCC(N(C)c4cccc5cc(CF)cnc45)CC3)ccc2n1")</f>
        <v>CN(C)Cc1ccc2cc(N(C)C3CCC(N(C)c4cccc5cc(CF)cnc45)CC3)ccc2n1</v>
      </c>
      <c r="C17072" s="7">
        <f>IFERROR(__xludf.DUMMYFUNCTION("""COMPUTED_VALUE"""),7.7335386)</f>
        <v>7.7335386</v>
      </c>
      <c r="D17072" s="7">
        <f>IFERROR(__xludf.DUMMYFUNCTION("""COMPUTED_VALUE"""),0.393939393939393)</f>
        <v>0.3939393939</v>
      </c>
    </row>
    <row r="17073">
      <c r="A17073" s="10" t="s">
        <v>18512</v>
      </c>
      <c r="B17073" s="7" t="str">
        <f>IFERROR(__xludf.DUMMYFUNCTION("SPLIT(A17073,"" "")"),"CN(c1cccc2ncccc12)C(C)(C)C")</f>
        <v>CN(c1cccc2ncccc12)C(C)(C)C</v>
      </c>
      <c r="C17073" s="7">
        <f>IFERROR(__xludf.DUMMYFUNCTION("""COMPUTED_VALUE"""),7.733537)</f>
        <v>7.733537</v>
      </c>
      <c r="D17073" s="7">
        <f>IFERROR(__xludf.DUMMYFUNCTION("""COMPUTED_VALUE"""),0.365853658536585)</f>
        <v>0.3658536585</v>
      </c>
    </row>
    <row r="17074">
      <c r="A17074" s="10" t="s">
        <v>18513</v>
      </c>
      <c r="B17074" s="7" t="str">
        <f>IFERROR(__xludf.DUMMYFUNCTION("SPLIT(A17074,"" "")"),"Cc1cc(CN(C)c2ccc3nc(CN(C)C(C)C)ccc3c2)ccn1")</f>
        <v>Cc1cc(CN(C)c2ccc3nc(CN(C)C(C)C)ccc3c2)ccn1</v>
      </c>
      <c r="C17074" s="7">
        <f>IFERROR(__xludf.DUMMYFUNCTION("""COMPUTED_VALUE"""),7.733517)</f>
        <v>7.733517</v>
      </c>
      <c r="D17074" s="7">
        <f>IFERROR(__xludf.DUMMYFUNCTION("""COMPUTED_VALUE"""),0.298245614035087)</f>
        <v>0.298245614</v>
      </c>
    </row>
    <row r="17075">
      <c r="A17075" s="10" t="s">
        <v>18514</v>
      </c>
      <c r="B17075" s="7" t="str">
        <f>IFERROR(__xludf.DUMMYFUNCTION("SPLIT(A17075,"" "")"),"Cc1cccc(CN(C)c2c(Cl)ccc(C)c2N(CC2=CCC=CN2)Cc2ccccn2)n1")</f>
        <v>Cc1cccc(CN(C)c2c(Cl)ccc(C)c2N(CC2=CCC=CN2)Cc2ccccn2)n1</v>
      </c>
      <c r="C17075" s="7">
        <f>IFERROR(__xludf.DUMMYFUNCTION("""COMPUTED_VALUE"""),7.7335134)</f>
        <v>7.7335134</v>
      </c>
      <c r="D17075" s="7">
        <f>IFERROR(__xludf.DUMMYFUNCTION("""COMPUTED_VALUE"""),0.492063492063492)</f>
        <v>0.4920634921</v>
      </c>
    </row>
    <row r="17076">
      <c r="A17076" s="10" t="s">
        <v>18515</v>
      </c>
      <c r="B17076" s="7" t="str">
        <f>IFERROR(__xludf.DUMMYFUNCTION("SPLIT(A17076,"" "")"),"CC(C)N(C)CC1=CCC=C(N(C)c2ccc3cccnc3c2)N1")</f>
        <v>CC(C)N(C)CC1=CCC=C(N(C)c2ccc3cccnc3c2)N1</v>
      </c>
      <c r="C17076" s="7">
        <f>IFERROR(__xludf.DUMMYFUNCTION("""COMPUTED_VALUE"""),7.7335024)</f>
        <v>7.7335024</v>
      </c>
      <c r="D17076" s="7">
        <f>IFERROR(__xludf.DUMMYFUNCTION("""COMPUTED_VALUE"""),0.278688524590163)</f>
        <v>0.2786885246</v>
      </c>
    </row>
    <row r="17077">
      <c r="A17077" s="10" t="s">
        <v>18516</v>
      </c>
      <c r="B17077" s="7" t="str">
        <f>IFERROR(__xludf.DUMMYFUNCTION("SPLIT(A17077,"" "")"),"Cc1cc(CN(Cc2ccccn2)Cc2cccnc2-c2cccc(N(C)C)c2)nc(C)c1C")</f>
        <v>Cc1cc(CN(Cc2ccccn2)Cc2cccnc2-c2cccc(N(C)C)c2)nc(C)c1C</v>
      </c>
      <c r="C17077" s="7">
        <f>IFERROR(__xludf.DUMMYFUNCTION("""COMPUTED_VALUE"""),7.7334986)</f>
        <v>7.7334986</v>
      </c>
      <c r="D17077" s="7">
        <f>IFERROR(__xludf.DUMMYFUNCTION("""COMPUTED_VALUE"""),0.393939393939393)</f>
        <v>0.3939393939</v>
      </c>
    </row>
    <row r="17078">
      <c r="A17078" s="10" t="s">
        <v>18517</v>
      </c>
      <c r="B17078" s="7" t="str">
        <f>IFERROR(__xludf.DUMMYFUNCTION("SPLIT(A17078,"" "")"),"Cc1c(C)c(C)c(N(C)CCN(C)Cc2ccc3ncccc3c2)c(C)c1C")</f>
        <v>Cc1c(C)c(C)c(N(C)CCN(C)Cc2ccc3ncccc3c2)c(C)c1C</v>
      </c>
      <c r="C17078" s="7">
        <f>IFERROR(__xludf.DUMMYFUNCTION("""COMPUTED_VALUE"""),7.7334924)</f>
        <v>7.7334924</v>
      </c>
      <c r="D17078" s="7">
        <f>IFERROR(__xludf.DUMMYFUNCTION("""COMPUTED_VALUE"""),0.408163265306122)</f>
        <v>0.4081632653</v>
      </c>
    </row>
    <row r="17079">
      <c r="A17079" s="10" t="s">
        <v>18518</v>
      </c>
      <c r="B17079" s="7" t="str">
        <f>IFERROR(__xludf.DUMMYFUNCTION("SPLIT(A17079,"" "")"),"Cc1ccc(CN(C)Cc2cccnc2-c2ccc(Cl)cc2N)nc1")</f>
        <v>Cc1ccc(CN(C)Cc2cccnc2-c2ccc(Cl)cc2N)nc1</v>
      </c>
      <c r="C17079" s="7">
        <f>IFERROR(__xludf.DUMMYFUNCTION("""COMPUTED_VALUE"""),7.733491)</f>
        <v>7.733491</v>
      </c>
      <c r="D17079" s="7">
        <f>IFERROR(__xludf.DUMMYFUNCTION("""COMPUTED_VALUE"""),0.431372549019607)</f>
        <v>0.431372549</v>
      </c>
    </row>
    <row r="17080">
      <c r="A17080" s="10" t="s">
        <v>18519</v>
      </c>
      <c r="B17080" s="7" t="str">
        <f>IFERROR(__xludf.DUMMYFUNCTION("SPLIT(A17080,"" "")"),"CCN(c1ccc2cccnc2c1)C1CCCC(N(C)c2ccc3c(CF)ccnc3c2)C1")</f>
        <v>CCN(c1ccc2cccnc2c1)C1CCCC(N(C)c2ccc3c(CF)ccnc3c2)C1</v>
      </c>
      <c r="C17080" s="7">
        <f>IFERROR(__xludf.DUMMYFUNCTION("""COMPUTED_VALUE"""),7.733489)</f>
        <v>7.733489</v>
      </c>
      <c r="D17080" s="7">
        <f>IFERROR(__xludf.DUMMYFUNCTION("""COMPUTED_VALUE"""),0.283582089552238)</f>
        <v>0.2835820896</v>
      </c>
    </row>
    <row r="17081">
      <c r="A17081" s="10" t="s">
        <v>18520</v>
      </c>
      <c r="B17081" s="7" t="str">
        <f>IFERROR(__xludf.DUMMYFUNCTION("SPLIT(A17081,"" "")"),"CNCCN(C)c1cccc2nccc(CF)c12")</f>
        <v>CNCCN(C)c1cccc2nccc(CF)c12</v>
      </c>
      <c r="C17081" s="7">
        <f>IFERROR(__xludf.DUMMYFUNCTION("""COMPUTED_VALUE"""),7.733486)</f>
        <v>7.733486</v>
      </c>
      <c r="D17081" s="7">
        <f>IFERROR(__xludf.DUMMYFUNCTION("""COMPUTED_VALUE"""),0.346938775510204)</f>
        <v>0.3469387755</v>
      </c>
    </row>
    <row r="17082">
      <c r="A17082" s="10" t="s">
        <v>18521</v>
      </c>
      <c r="B17082" s="7" t="str">
        <f>IFERROR(__xludf.DUMMYFUNCTION("SPLIT(A17082,"" "")"),"Cc1cncc(-c2cccc(NCc3cc(C(C)(C)C)ccn3)c2)c1")</f>
        <v>Cc1cncc(-c2cccc(NCc3cc(C(C)(C)C)ccn3)c2)c1</v>
      </c>
      <c r="C17082" s="7">
        <f>IFERROR(__xludf.DUMMYFUNCTION("""COMPUTED_VALUE"""),7.733486)</f>
        <v>7.733486</v>
      </c>
      <c r="D17082" s="7">
        <f>IFERROR(__xludf.DUMMYFUNCTION("""COMPUTED_VALUE"""),0.261538461538461)</f>
        <v>0.2615384615</v>
      </c>
    </row>
    <row r="17083">
      <c r="A17083" s="10" t="s">
        <v>18522</v>
      </c>
      <c r="B17083" s="7" t="str">
        <f>IFERROR(__xludf.DUMMYFUNCTION("SPLIT(A17083,"" "")"),"CCNCc1cccc(-c2cc(C)c(C)cc2N(C)Cc2ccccn2)n1")</f>
        <v>CCNCc1cccc(-c2cc(C)c(C)cc2N(C)Cc2ccccn2)n1</v>
      </c>
      <c r="C17083" s="7">
        <f>IFERROR(__xludf.DUMMYFUNCTION("""COMPUTED_VALUE"""),7.7334743)</f>
        <v>7.7334743</v>
      </c>
      <c r="D17083" s="7">
        <f>IFERROR(__xludf.DUMMYFUNCTION("""COMPUTED_VALUE"""),0.461538461538461)</f>
        <v>0.4615384615</v>
      </c>
    </row>
    <row r="17084">
      <c r="A17084" s="10" t="s">
        <v>18523</v>
      </c>
      <c r="B17084" s="7" t="str">
        <f>IFERROR(__xludf.DUMMYFUNCTION("SPLIT(A17084,"" "")"),"Cc1ccc(N(C)Cc2ncc(C)cc2C)c(C)c1")</f>
        <v>Cc1ccc(N(C)Cc2ncc(C)cc2C)c(C)c1</v>
      </c>
      <c r="C17084" s="7">
        <f>IFERROR(__xludf.DUMMYFUNCTION("""COMPUTED_VALUE"""),7.7334642)</f>
        <v>7.7334642</v>
      </c>
      <c r="D17084" s="7">
        <f>IFERROR(__xludf.DUMMYFUNCTION("""COMPUTED_VALUE"""),0.365853658536585)</f>
        <v>0.3658536585</v>
      </c>
    </row>
    <row r="17085">
      <c r="A17085" s="10" t="s">
        <v>18524</v>
      </c>
      <c r="B17085" s="7" t="str">
        <f>IFERROR(__xludf.DUMMYFUNCTION("SPLIT(A17085,"" "")"),"Cc1cccc(-c2cccc(C)c2NCc2ccccn2)c1NCc1ccccn1")</f>
        <v>Cc1cccc(-c2cccc(C)c2NCc2ccccn2)c1NCc1ccccn1</v>
      </c>
      <c r="C17085" s="7">
        <f>IFERROR(__xludf.DUMMYFUNCTION("""COMPUTED_VALUE"""),7.733455)</f>
        <v>7.733455</v>
      </c>
      <c r="D17085" s="7">
        <f>IFERROR(__xludf.DUMMYFUNCTION("""COMPUTED_VALUE"""),0.472222222222222)</f>
        <v>0.4722222222</v>
      </c>
    </row>
    <row r="17086">
      <c r="A17086" s="10" t="s">
        <v>18525</v>
      </c>
      <c r="B17086" s="7" t="str">
        <f>IFERROR(__xludf.DUMMYFUNCTION("SPLIT(A17086,"" "")"),"Cc1ccnc(CN(C)c2ccc(C)c(C)c2C)c1C")</f>
        <v>Cc1ccnc(CN(C)c2ccc(C)c(C)c2C)c1C</v>
      </c>
      <c r="C17086" s="7">
        <f>IFERROR(__xludf.DUMMYFUNCTION("""COMPUTED_VALUE"""),7.733453)</f>
        <v>7.733453</v>
      </c>
      <c r="D17086" s="7">
        <f>IFERROR(__xludf.DUMMYFUNCTION("""COMPUTED_VALUE"""),0.311111111111111)</f>
        <v>0.3111111111</v>
      </c>
    </row>
    <row r="17087">
      <c r="A17087" s="10" t="s">
        <v>18526</v>
      </c>
      <c r="B17087" s="7" t="str">
        <f>IFERROR(__xludf.DUMMYFUNCTION("SPLIT(A17087,"" "")"),"CC1(C)N=COC1c1ncccc1CN(Cc1ccccn1)Cc1cc(-c2cccc(N=Cc3ccccn3)c2)ccn1")</f>
        <v>CC1(C)N=COC1c1ncccc1CN(Cc1ccccn1)Cc1cc(-c2cccc(N=Cc3ccccn3)c2)ccn1</v>
      </c>
      <c r="C17087" s="7">
        <f>IFERROR(__xludf.DUMMYFUNCTION("""COMPUTED_VALUE"""),7.7334523)</f>
        <v>7.7334523</v>
      </c>
      <c r="D17087" s="7">
        <f>IFERROR(__xludf.DUMMYFUNCTION("""COMPUTED_VALUE"""),0.3125)</f>
        <v>0.3125</v>
      </c>
    </row>
    <row r="17088">
      <c r="A17088" s="10" t="s">
        <v>18527</v>
      </c>
      <c r="B17088" s="7" t="str">
        <f>IFERROR(__xludf.DUMMYFUNCTION("SPLIT(A17088,"" "")"),"CCN(c1ccc2nccc(CF)c2c1)C1CCC(N(C)c2ccc3c(CF)ccnc3c2)CC1")</f>
        <v>CCN(c1ccc2nccc(CF)c2c1)C1CCC(N(C)c2ccc3c(CF)ccnc3c2)CC1</v>
      </c>
      <c r="C17088" s="7">
        <f>IFERROR(__xludf.DUMMYFUNCTION("""COMPUTED_VALUE"""),7.7334476)</f>
        <v>7.7334476</v>
      </c>
      <c r="D17088" s="7">
        <f>IFERROR(__xludf.DUMMYFUNCTION("""COMPUTED_VALUE"""),0.217391304347826)</f>
        <v>0.2173913043</v>
      </c>
    </row>
    <row r="17089">
      <c r="A17089" s="10" t="s">
        <v>18528</v>
      </c>
      <c r="B17089" s="7" t="str">
        <f>IFERROR(__xludf.DUMMYFUNCTION("SPLIT(A17089,"" "")"),"Cc1ccnc2cc(N(C)CCN(C)Cc3ccccn3)ccc12")</f>
        <v>Cc1ccnc2cc(N(C)CCN(C)Cc3ccccn3)ccc12</v>
      </c>
      <c r="C17089" s="7">
        <f>IFERROR(__xludf.DUMMYFUNCTION("""COMPUTED_VALUE"""),7.733447)</f>
        <v>7.733447</v>
      </c>
      <c r="D17089" s="7">
        <f>IFERROR(__xludf.DUMMYFUNCTION("""COMPUTED_VALUE"""),0.411764705882352)</f>
        <v>0.4117647059</v>
      </c>
    </row>
    <row r="17090">
      <c r="A17090" s="10" t="s">
        <v>18529</v>
      </c>
      <c r="B17090" s="7" t="str">
        <f>IFERROR(__xludf.DUMMYFUNCTION("SPLIT(A17090,"" "")"),"Cc1ccc(-c2ccc(NCc3ccccn3)cc2)nc1")</f>
        <v>Cc1ccc(-c2ccc(NCc3ccccn3)cc2)nc1</v>
      </c>
      <c r="C17090" s="7">
        <f>IFERROR(__xludf.DUMMYFUNCTION("""COMPUTED_VALUE"""),7.73344)</f>
        <v>7.73344</v>
      </c>
      <c r="D17090" s="7">
        <f>IFERROR(__xludf.DUMMYFUNCTION("""COMPUTED_VALUE"""),0.404761904761904)</f>
        <v>0.4047619048</v>
      </c>
    </row>
    <row r="17091">
      <c r="A17091" s="10" t="s">
        <v>18530</v>
      </c>
      <c r="B17091" s="7" t="str">
        <f>IFERROR(__xludf.DUMMYFUNCTION("SPLIT(A17091,"" "")"),"Cc1cccnc1CN(C)c1cccc2cc(CN(C)C(C)C)cnc12")</f>
        <v>Cc1cccnc1CN(C)c1cccc2cc(CN(C)C(C)C)cnc12</v>
      </c>
      <c r="C17091" s="7">
        <f>IFERROR(__xludf.DUMMYFUNCTION("""COMPUTED_VALUE"""),7.733438)</f>
        <v>7.733438</v>
      </c>
      <c r="D17091" s="7">
        <f>IFERROR(__xludf.DUMMYFUNCTION("""COMPUTED_VALUE"""),0.423076923076923)</f>
        <v>0.4230769231</v>
      </c>
    </row>
    <row r="17092">
      <c r="A17092" s="10" t="s">
        <v>18531</v>
      </c>
      <c r="B17092" s="7" t="str">
        <f>IFERROR(__xludf.DUMMYFUNCTION("SPLIT(A17092,"" "")"),"CN(Cc1ccc2c(n1)CCCC2)c1ccc2ncccc2c1")</f>
        <v>CN(Cc1ccc2c(n1)CCCC2)c1ccc2ncccc2c1</v>
      </c>
      <c r="C17092" s="7">
        <f>IFERROR(__xludf.DUMMYFUNCTION("""COMPUTED_VALUE"""),7.733433)</f>
        <v>7.733433</v>
      </c>
      <c r="D17092" s="7">
        <f>IFERROR(__xludf.DUMMYFUNCTION("""COMPUTED_VALUE"""),0.327868852459016)</f>
        <v>0.3278688525</v>
      </c>
    </row>
    <row r="17093">
      <c r="A17093" s="10" t="s">
        <v>18532</v>
      </c>
      <c r="B17093" s="7" t="str">
        <f>IFERROR(__xludf.DUMMYFUNCTION("SPLIT(A17093,"" "")"),"Cc1cc(C)c(C)c(CN(C)CCN(C)c2ccc3nccc(CF)c3c2)n1")</f>
        <v>Cc1cc(C)c(C)c(CN(C)CCN(C)c2ccc3nccc(CF)c3c2)n1</v>
      </c>
      <c r="C17093" s="7">
        <f>IFERROR(__xludf.DUMMYFUNCTION("""COMPUTED_VALUE"""),7.7334237)</f>
        <v>7.7334237</v>
      </c>
      <c r="D17093" s="7">
        <f>IFERROR(__xludf.DUMMYFUNCTION("""COMPUTED_VALUE"""),0.293103448275862)</f>
        <v>0.2931034483</v>
      </c>
    </row>
    <row r="17094">
      <c r="A17094" s="10" t="s">
        <v>18533</v>
      </c>
      <c r="B17094" s="7" t="str">
        <f>IFERROR(__xludf.DUMMYFUNCTION("SPLIT(A17094,"" "")"),"Cc1cc(CN(Cc2ccccn2)Cc2ccncc2-c2cccc(N(C)C)c2)nc(C)c1C")</f>
        <v>Cc1cc(CN(Cc2ccccn2)Cc2ccncc2-c2cccc(N(C)C)c2)nc(C)c1C</v>
      </c>
      <c r="C17094" s="7">
        <f>IFERROR(__xludf.DUMMYFUNCTION("""COMPUTED_VALUE"""),7.7334185)</f>
        <v>7.7334185</v>
      </c>
      <c r="D17094" s="7">
        <f>IFERROR(__xludf.DUMMYFUNCTION("""COMPUTED_VALUE"""),0.397058823529411)</f>
        <v>0.3970588235</v>
      </c>
    </row>
    <row r="17095">
      <c r="A17095" s="10" t="s">
        <v>18534</v>
      </c>
      <c r="B17095" s="7" t="str">
        <f>IFERROR(__xludf.DUMMYFUNCTION("SPLIT(A17095,"" "")"),"CNCCN(C)c1ccc2nccc(CF)c2c1")</f>
        <v>CNCCN(C)c1ccc2nccc(CF)c2c1</v>
      </c>
      <c r="C17095" s="7">
        <f>IFERROR(__xludf.DUMMYFUNCTION("""COMPUTED_VALUE"""),7.733412)</f>
        <v>7.733412</v>
      </c>
      <c r="D17095" s="7">
        <f>IFERROR(__xludf.DUMMYFUNCTION("""COMPUTED_VALUE"""),0.235294117647058)</f>
        <v>0.2352941176</v>
      </c>
    </row>
    <row r="17096">
      <c r="A17096" s="10" t="s">
        <v>18535</v>
      </c>
      <c r="B17096" s="7" t="str">
        <f>IFERROR(__xludf.DUMMYFUNCTION("SPLIT(A17096,"" "")"),"CN(c1ccc2ncc(CF)cc2c1)C1CCCC(N(C)c2ccc3cc(CF)cnc3c2)C1")</f>
        <v>CN(c1ccc2ncc(CF)cc2c1)C1CCCC(N(C)c2ccc3cc(CF)cnc3c2)C1</v>
      </c>
      <c r="C17096" s="7">
        <f>IFERROR(__xludf.DUMMYFUNCTION("""COMPUTED_VALUE"""),7.7334104)</f>
        <v>7.7334104</v>
      </c>
      <c r="D17096" s="7">
        <f>IFERROR(__xludf.DUMMYFUNCTION("""COMPUTED_VALUE"""),0.290322580645161)</f>
        <v>0.2903225806</v>
      </c>
    </row>
    <row r="17097">
      <c r="A17097" s="10" t="s">
        <v>18536</v>
      </c>
      <c r="B17097" s="7" t="str">
        <f>IFERROR(__xludf.DUMMYFUNCTION("SPLIT(A17097,"" "")"),"CCNCc1cccc(-c2cc(C)cc(N=Cc3ccccn3)c2)n1")</f>
        <v>CCNCc1cccc(-c2cc(C)cc(N=Cc3ccccn3)c2)n1</v>
      </c>
      <c r="C17097" s="7">
        <f>IFERROR(__xludf.DUMMYFUNCTION("""COMPUTED_VALUE"""),7.73341)</f>
        <v>7.73341</v>
      </c>
      <c r="D17097" s="7">
        <f>IFERROR(__xludf.DUMMYFUNCTION("""COMPUTED_VALUE"""),0.372881355932203)</f>
        <v>0.3728813559</v>
      </c>
    </row>
    <row r="17098">
      <c r="A17098" s="10" t="s">
        <v>18537</v>
      </c>
      <c r="B17098" s="7" t="str">
        <f>IFERROR(__xludf.DUMMYFUNCTION("SPLIT(A17098,"" "")"),"Cc1cc(CN(C)CCN(C)c2cccc3nccc(CF)c23)nc(C)c1C")</f>
        <v>Cc1cc(CN(C)CCN(C)c2cccc3nccc(CF)c23)nc(C)c1C</v>
      </c>
      <c r="C17098" s="7">
        <f>IFERROR(__xludf.DUMMYFUNCTION("""COMPUTED_VALUE"""),7.733409)</f>
        <v>7.733409</v>
      </c>
      <c r="D17098" s="7">
        <f>IFERROR(__xludf.DUMMYFUNCTION("""COMPUTED_VALUE"""),0.339285714285714)</f>
        <v>0.3392857143</v>
      </c>
    </row>
    <row r="17099">
      <c r="A17099" s="10" t="s">
        <v>18538</v>
      </c>
      <c r="B17099" s="7" t="str">
        <f>IFERROR(__xludf.DUMMYFUNCTION("SPLIT(A17099,"" "")"),"FCNCc1ncccc1-c1ncccc1C(c1ccccn1)c1ccccn1")</f>
        <v>FCNCc1ncccc1-c1ncccc1C(c1ccccn1)c1ccccn1</v>
      </c>
      <c r="C17099" s="7">
        <f>IFERROR(__xludf.DUMMYFUNCTION("""COMPUTED_VALUE"""),7.733406)</f>
        <v>7.733406</v>
      </c>
      <c r="D17099" s="7">
        <f>IFERROR(__xludf.DUMMYFUNCTION("""COMPUTED_VALUE"""),0.291666666666666)</f>
        <v>0.2916666667</v>
      </c>
    </row>
    <row r="17100">
      <c r="A17100" s="10" t="s">
        <v>18539</v>
      </c>
      <c r="B17100" s="7" t="str">
        <f>IFERROR(__xludf.DUMMYFUNCTION("SPLIT(A17100,"" "")"),"CCN(Cc1ccccn1)Cc1cccc(N(C)c2cccc3ccc(CF)nc23)n1")</f>
        <v>CCN(Cc1ccccn1)Cc1cccc(N(C)c2cccc3ccc(CF)nc23)n1</v>
      </c>
      <c r="C17100" s="7">
        <f>IFERROR(__xludf.DUMMYFUNCTION("""COMPUTED_VALUE"""),7.7333837)</f>
        <v>7.7333837</v>
      </c>
      <c r="D17100" s="7">
        <f>IFERROR(__xludf.DUMMYFUNCTION("""COMPUTED_VALUE"""),0.436363636363636)</f>
        <v>0.4363636364</v>
      </c>
    </row>
    <row r="17101">
      <c r="A17101" s="10" t="s">
        <v>18540</v>
      </c>
      <c r="B17101" s="7" t="str">
        <f>IFERROR(__xludf.DUMMYFUNCTION("SPLIT(A17101,"" "")"),"CN(Cc1ccccn1)C1C=CNC(CN(Cc2ccccn2)c2cccc3ncccc23)=C1")</f>
        <v>CN(Cc1ccccn1)C1C=CNC(CN(Cc2ccccn2)c2cccc3ncccc23)=C1</v>
      </c>
      <c r="C17101" s="7">
        <f>IFERROR(__xludf.DUMMYFUNCTION("""COMPUTED_VALUE"""),7.7333817)</f>
        <v>7.7333817</v>
      </c>
      <c r="D17101" s="7">
        <f>IFERROR(__xludf.DUMMYFUNCTION("""COMPUTED_VALUE"""),0.366666666666666)</f>
        <v>0.3666666667</v>
      </c>
    </row>
    <row r="17102">
      <c r="A17102" s="10" t="s">
        <v>18541</v>
      </c>
      <c r="B17102" s="7" t="str">
        <f>IFERROR(__xludf.DUMMYFUNCTION("SPLIT(A17102,"" "")"),"Cc1cc(CN(C)CCN(C)c2ccc3ncccc3c2)nc(C)c1C")</f>
        <v>Cc1cc(CN(C)CCN(C)c2ccc3ncccc3c2)nc(C)c1C</v>
      </c>
      <c r="C17102" s="7">
        <f>IFERROR(__xludf.DUMMYFUNCTION("""COMPUTED_VALUE"""),7.7333813)</f>
        <v>7.7333813</v>
      </c>
      <c r="D17102" s="7">
        <f>IFERROR(__xludf.DUMMYFUNCTION("""COMPUTED_VALUE"""),0.377358490566037)</f>
        <v>0.3773584906</v>
      </c>
    </row>
    <row r="17103">
      <c r="A17103" s="10" t="s">
        <v>18542</v>
      </c>
      <c r="B17103" s="7" t="str">
        <f>IFERROR(__xludf.DUMMYFUNCTION("SPLIT(A17103,"" "")"),"Cc1cccnc1CN(C)Cc1ccc2cc(N(Cc3ccccn3)Cc3cccc(C(C)C)n3)ccc2n1")</f>
        <v>Cc1cccnc1CN(C)Cc1ccc2cc(N(Cc3ccccn3)Cc3cccc(C(C)C)n3)ccc2n1</v>
      </c>
      <c r="C17103" s="7">
        <f>IFERROR(__xludf.DUMMYFUNCTION("""COMPUTED_VALUE"""),7.7333755)</f>
        <v>7.7333755</v>
      </c>
      <c r="D17103" s="7">
        <f>IFERROR(__xludf.DUMMYFUNCTION("""COMPUTED_VALUE"""),0.40983606557377)</f>
        <v>0.4098360656</v>
      </c>
    </row>
    <row r="17104">
      <c r="A17104" s="10" t="s">
        <v>18543</v>
      </c>
      <c r="B17104" s="7" t="str">
        <f>IFERROR(__xludf.DUMMYFUNCTION("SPLIT(A17104,"" "")"),"Cc1cccc(CN(C)Cc2cccc(-c3ccc(N(C)Cc4ncccc4C)cc3)n2)n1")</f>
        <v>Cc1cccc(CN(C)Cc2cccc(-c3ccc(N(C)Cc4ncccc4C)cc3)n2)n1</v>
      </c>
      <c r="C17104" s="7">
        <f>IFERROR(__xludf.DUMMYFUNCTION("""COMPUTED_VALUE"""),7.7333694)</f>
        <v>7.7333694</v>
      </c>
      <c r="D17104" s="7">
        <f>IFERROR(__xludf.DUMMYFUNCTION("""COMPUTED_VALUE"""),0.452830188679245)</f>
        <v>0.4528301887</v>
      </c>
    </row>
    <row r="17105">
      <c r="A17105" s="10" t="s">
        <v>18544</v>
      </c>
      <c r="B17105" s="7" t="str">
        <f>IFERROR(__xludf.DUMMYFUNCTION("SPLIT(A17105,"" "")"),"Cc1cnccc1CN(C)CCN(C)c1cccc2nccc(C)c12")</f>
        <v>Cc1cnccc1CN(C)CCN(C)c1cccc2nccc(C)c12</v>
      </c>
      <c r="C17105" s="7">
        <f>IFERROR(__xludf.DUMMYFUNCTION("""COMPUTED_VALUE"""),7.7333684)</f>
        <v>7.7333684</v>
      </c>
      <c r="D17105" s="7">
        <f>IFERROR(__xludf.DUMMYFUNCTION("""COMPUTED_VALUE"""),0.351851851851851)</f>
        <v>0.3518518519</v>
      </c>
    </row>
    <row r="17106">
      <c r="A17106" s="10" t="s">
        <v>18545</v>
      </c>
      <c r="B17106" s="7" t="str">
        <f>IFERROR(__xludf.DUMMYFUNCTION("SPLIT(A17106,"" "")"),"Cc1ccc2c(CN(C)C3CCCC(N(C)c4ccc5c(C)ccnc5c4)C3)ccnc2c1")</f>
        <v>Cc1ccc2c(CN(C)C3CCCC(N(C)c4ccc5c(C)ccnc5c4)C3)ccnc2c1</v>
      </c>
      <c r="C17106" s="7">
        <f>IFERROR(__xludf.DUMMYFUNCTION("""COMPUTED_VALUE"""),7.733368)</f>
        <v>7.733368</v>
      </c>
      <c r="D17106" s="7">
        <f>IFERROR(__xludf.DUMMYFUNCTION("""COMPUTED_VALUE"""),0.290322580645161)</f>
        <v>0.2903225806</v>
      </c>
    </row>
    <row r="17107">
      <c r="A17107" s="10" t="s">
        <v>18546</v>
      </c>
      <c r="B17107" s="7" t="str">
        <f>IFERROR(__xludf.DUMMYFUNCTION("SPLIT(A17107,"" "")"),"CN(c1ccc2ncccc2c1)C1CCC(N(C)c2ccc3nc(CF)ccc3c2)CC1")</f>
        <v>CN(c1ccc2ncccc2c1)C1CCC(N(C)c2ccc3nc(CF)ccc3c2)CC1</v>
      </c>
      <c r="C17107" s="7">
        <f>IFERROR(__xludf.DUMMYFUNCTION("""COMPUTED_VALUE"""),7.733367)</f>
        <v>7.733367</v>
      </c>
      <c r="D17107" s="7">
        <f>IFERROR(__xludf.DUMMYFUNCTION("""COMPUTED_VALUE"""),0.410714285714285)</f>
        <v>0.4107142857</v>
      </c>
    </row>
    <row r="17108">
      <c r="A17108" s="10" t="s">
        <v>18547</v>
      </c>
      <c r="B17108" s="7" t="str">
        <f>IFERROR(__xludf.DUMMYFUNCTION("SPLIT(A17108,"" "")"),"CN(c1ccc2nc(CF)ccc2c1)C1CCC(N(C)c2cccc3ncc(CF)cc23)CC1")</f>
        <v>CN(c1ccc2nc(CF)ccc2c1)C1CCC(N(C)c2cccc3ncc(CF)cc23)CC1</v>
      </c>
      <c r="C17108" s="7">
        <f>IFERROR(__xludf.DUMMYFUNCTION("""COMPUTED_VALUE"""),7.733359)</f>
        <v>7.733359</v>
      </c>
      <c r="D17108" s="7">
        <f>IFERROR(__xludf.DUMMYFUNCTION("""COMPUTED_VALUE"""),0.390625)</f>
        <v>0.390625</v>
      </c>
    </row>
    <row r="17109">
      <c r="A17109" s="10" t="s">
        <v>18548</v>
      </c>
      <c r="B17109" s="7" t="str">
        <f>IFERROR(__xludf.DUMMYFUNCTION("SPLIT(A17109,"" "")"),"CN(CC1=CCC=CN1)Cc1cccc(-c2ccc(Cl)cc2N)n1")</f>
        <v>CN(CC1=CCC=CN1)Cc1cccc(-c2ccc(Cl)cc2N)n1</v>
      </c>
      <c r="C17109" s="7">
        <f>IFERROR(__xludf.DUMMYFUNCTION("""COMPUTED_VALUE"""),7.733354)</f>
        <v>7.733354</v>
      </c>
      <c r="D17109" s="7">
        <f>IFERROR(__xludf.DUMMYFUNCTION("""COMPUTED_VALUE"""),0.387096774193548)</f>
        <v>0.3870967742</v>
      </c>
    </row>
    <row r="17110">
      <c r="A17110" s="10" t="s">
        <v>18549</v>
      </c>
      <c r="B17110" s="7" t="str">
        <f>IFERROR(__xludf.DUMMYFUNCTION("SPLIT(A17110,"" "")"),"Cc1cncc(CN(C)C2CC(N(C)c3ccc4cccnc4c3)CC(N(C)c3ccc4cccnc4c3)C2)c1")</f>
        <v>Cc1cncc(CN(C)C2CC(N(C)c3ccc4cccnc4c3)CC(N(C)c3ccc4cccnc4c3)C2)c1</v>
      </c>
      <c r="C17110" s="7">
        <f>IFERROR(__xludf.DUMMYFUNCTION("""COMPUTED_VALUE"""),7.7333484)</f>
        <v>7.7333484</v>
      </c>
      <c r="D17110" s="7">
        <f>IFERROR(__xludf.DUMMYFUNCTION("""COMPUTED_VALUE"""),0.276923076923076)</f>
        <v>0.2769230769</v>
      </c>
    </row>
    <row r="17111">
      <c r="A17111" s="10" t="s">
        <v>18550</v>
      </c>
      <c r="B17111" s="7" t="str">
        <f>IFERROR(__xludf.DUMMYFUNCTION("SPLIT(A17111,"" "")"),"Cc1cnc(CN(C)Cc2ccnc3ccc(N(Cc4ccccn4)CC(C)C)cc23)c(C)c1C")</f>
        <v>Cc1cnc(CN(C)Cc2ccnc3ccc(N(Cc4ccccn4)CC(C)C)cc23)c(C)c1C</v>
      </c>
      <c r="C17111" s="7">
        <f>IFERROR(__xludf.DUMMYFUNCTION("""COMPUTED_VALUE"""),7.733342)</f>
        <v>7.733342</v>
      </c>
      <c r="D17111" s="7">
        <f>IFERROR(__xludf.DUMMYFUNCTION("""COMPUTED_VALUE"""),0.333333333333333)</f>
        <v>0.3333333333</v>
      </c>
    </row>
    <row r="17112">
      <c r="A17112" s="10" t="s">
        <v>18551</v>
      </c>
      <c r="B17112" s="7" t="str">
        <f>IFERROR(__xludf.DUMMYFUNCTION("SPLIT(A17112,"" "")"),"Cc1ccc(CN(C)Cc2ccc(-c3ccc(Cl)cc3N)nc2)nc1")</f>
        <v>Cc1ccc(CN(C)Cc2ccc(-c3ccc(Cl)cc3N)nc2)nc1</v>
      </c>
      <c r="C17112" s="7">
        <f>IFERROR(__xludf.DUMMYFUNCTION("""COMPUTED_VALUE"""),7.733334)</f>
        <v>7.733334</v>
      </c>
      <c r="D17112" s="7">
        <f>IFERROR(__xludf.DUMMYFUNCTION("""COMPUTED_VALUE"""),0.448979591836734)</f>
        <v>0.4489795918</v>
      </c>
    </row>
    <row r="17113">
      <c r="A17113" s="10" t="s">
        <v>18552</v>
      </c>
      <c r="B17113" s="7" t="str">
        <f>IFERROR(__xludf.DUMMYFUNCTION("SPLIT(A17113,"" "")"),"Cc1ccccc1-c1ccccn1")</f>
        <v>Cc1ccccc1-c1ccccn1</v>
      </c>
      <c r="C17113" s="7">
        <f>IFERROR(__xludf.DUMMYFUNCTION("""COMPUTED_VALUE"""),7.7333336)</f>
        <v>7.7333336</v>
      </c>
      <c r="D17113" s="7">
        <f>IFERROR(__xludf.DUMMYFUNCTION("""COMPUTED_VALUE"""),0.371428571428571)</f>
        <v>0.3714285714</v>
      </c>
    </row>
    <row r="17114">
      <c r="A17114" s="10" t="s">
        <v>18553</v>
      </c>
      <c r="B17114" s="7" t="str">
        <f>IFERROR(__xludf.DUMMYFUNCTION("SPLIT(A17114,"" "")"),"CNCc1cccc(-c2cc(NCc3ccccn3)ccc2Cl)n1")</f>
        <v>CNCc1cccc(-c2cc(NCc3ccccn3)ccc2Cl)n1</v>
      </c>
      <c r="C17114" s="7">
        <f>IFERROR(__xludf.DUMMYFUNCTION("""COMPUTED_VALUE"""),7.7333264)</f>
        <v>7.7333264</v>
      </c>
      <c r="D17114" s="7">
        <f>IFERROR(__xludf.DUMMYFUNCTION("""COMPUTED_VALUE"""),0.366666666666666)</f>
        <v>0.3666666667</v>
      </c>
    </row>
    <row r="17115">
      <c r="A17115" s="10" t="s">
        <v>18554</v>
      </c>
      <c r="B17115" s="7" t="str">
        <f>IFERROR(__xludf.DUMMYFUNCTION("SPLIT(A17115,"" "")"),"Cc1cc(C)c(CN(C)CCN(C)c2ccc3ccc(C)nc3c2)cn1")</f>
        <v>Cc1cc(C)c(CN(C)CCN(C)c2ccc3ccc(C)nc3c2)cn1</v>
      </c>
      <c r="C17115" s="7">
        <f>IFERROR(__xludf.DUMMYFUNCTION("""COMPUTED_VALUE"""),7.733323)</f>
        <v>7.733323</v>
      </c>
      <c r="D17115" s="7">
        <f>IFERROR(__xludf.DUMMYFUNCTION("""COMPUTED_VALUE"""),0.34)</f>
        <v>0.34</v>
      </c>
    </row>
    <row r="17116">
      <c r="A17116" s="10" t="s">
        <v>18555</v>
      </c>
      <c r="B17116" s="7" t="str">
        <f>IFERROR(__xludf.DUMMYFUNCTION("SPLIT(A17116,"" "")"),"Cc1cccnc1CN(C)C1=CNC(CN(C)c2ccc(Cl)c(Cl)c2)=CC1")</f>
        <v>Cc1cccnc1CN(C)C1=CNC(CN(C)c2ccc(Cl)c(Cl)c2)=CC1</v>
      </c>
      <c r="C17116" s="7">
        <f>IFERROR(__xludf.DUMMYFUNCTION("""COMPUTED_VALUE"""),7.73332)</f>
        <v>7.73332</v>
      </c>
      <c r="D17116" s="7">
        <f>IFERROR(__xludf.DUMMYFUNCTION("""COMPUTED_VALUE"""),0.311475409836065)</f>
        <v>0.3114754098</v>
      </c>
    </row>
    <row r="17117">
      <c r="A17117" s="10" t="s">
        <v>18556</v>
      </c>
      <c r="B17117" s="7" t="str">
        <f>IFERROR(__xludf.DUMMYFUNCTION("SPLIT(A17117,"" "")"),"CC(C)N(c1cccc2cccnc12)C1CCC(N(C)c2ccc3nccc(CF)c3c2)CC1")</f>
        <v>CC(C)N(c1cccc2cccnc12)C1CCC(N(C)c2ccc3nccc(CF)c3c2)CC1</v>
      </c>
      <c r="C17117" s="7">
        <f>IFERROR(__xludf.DUMMYFUNCTION("""COMPUTED_VALUE"""),7.7333155)</f>
        <v>7.7333155</v>
      </c>
      <c r="D17117" s="7">
        <f>IFERROR(__xludf.DUMMYFUNCTION("""COMPUTED_VALUE"""),0.390625)</f>
        <v>0.390625</v>
      </c>
    </row>
    <row r="17118">
      <c r="A17118" s="10" t="s">
        <v>18557</v>
      </c>
      <c r="B17118" s="7" t="str">
        <f>IFERROR(__xludf.DUMMYFUNCTION("SPLIT(A17118,"" "")"),"Cc1ccc(CN(C)Cc2ccc(-c3cccc(N(C)C)c3)nc2)nc1")</f>
        <v>Cc1ccc(CN(C)Cc2ccc(-c3cccc(N(C)C)c3)nc2)nc1</v>
      </c>
      <c r="C17118" s="7">
        <f>IFERROR(__xludf.DUMMYFUNCTION("""COMPUTED_VALUE"""),7.7333136)</f>
        <v>7.7333136</v>
      </c>
      <c r="D17118" s="7">
        <f>IFERROR(__xludf.DUMMYFUNCTION("""COMPUTED_VALUE"""),0.468085106382978)</f>
        <v>0.4680851064</v>
      </c>
    </row>
    <row r="17119">
      <c r="A17119" s="10" t="s">
        <v>18558</v>
      </c>
      <c r="B17119" s="7" t="str">
        <f>IFERROR(__xludf.DUMMYFUNCTION("SPLIT(A17119,"" "")"),"Cc1cc(C)c(CN(Cc2ccccn2)Cc2cccnc2-c2cccc(N(C)C)c2)nc1C")</f>
        <v>Cc1cc(C)c(CN(Cc2ccccn2)Cc2cccnc2-c2cccc(N(C)C)c2)nc1C</v>
      </c>
      <c r="C17119" s="7">
        <f>IFERROR(__xludf.DUMMYFUNCTION("""COMPUTED_VALUE"""),7.7333064)</f>
        <v>7.7333064</v>
      </c>
      <c r="D17119" s="7">
        <f>IFERROR(__xludf.DUMMYFUNCTION("""COMPUTED_VALUE"""),0.388059701492537)</f>
        <v>0.3880597015</v>
      </c>
    </row>
    <row r="17120">
      <c r="A17120" s="10" t="s">
        <v>18559</v>
      </c>
      <c r="B17120" s="7" t="str">
        <f>IFERROR(__xludf.DUMMYFUNCTION("SPLIT(A17120,"" "")"),"Cc1ccnc(CN(C)CCN(C)c2ccc3nccc(C)c3c2)c1")</f>
        <v>Cc1ccnc(CN(C)CCN(C)c2ccc3nccc(C)c3c2)c1</v>
      </c>
      <c r="C17120" s="7">
        <f>IFERROR(__xludf.DUMMYFUNCTION("""COMPUTED_VALUE"""),7.733302)</f>
        <v>7.733302</v>
      </c>
      <c r="D17120" s="7">
        <f>IFERROR(__xludf.DUMMYFUNCTION("""COMPUTED_VALUE"""),0.36734693877551)</f>
        <v>0.3673469388</v>
      </c>
    </row>
    <row r="17121">
      <c r="A17121" s="10" t="s">
        <v>18560</v>
      </c>
      <c r="B17121" s="7" t="str">
        <f>IFERROR(__xludf.DUMMYFUNCTION("SPLIT(A17121,"" "")"),"Cc1c(CN(C)Cc2cc(N)ccn2)ccc2cccnc12")</f>
        <v>Cc1c(CN(C)Cc2cc(N)ccn2)ccc2cccnc12</v>
      </c>
      <c r="C17121" s="7">
        <f>IFERROR(__xludf.DUMMYFUNCTION("""COMPUTED_VALUE"""),7.7333007)</f>
        <v>7.7333007</v>
      </c>
      <c r="D17121" s="7">
        <f>IFERROR(__xludf.DUMMYFUNCTION("""COMPUTED_VALUE"""),0.448979591836734)</f>
        <v>0.4489795918</v>
      </c>
    </row>
    <row r="17122">
      <c r="A17122" s="10" t="s">
        <v>18561</v>
      </c>
      <c r="B17122" s="7" t="str">
        <f>IFERROR(__xludf.DUMMYFUNCTION("SPLIT(A17122,"" "")"),"Cc1ccc2ccc(N(C)C3=CNC(CN(C)C(C)C)=CC3)cc2n1")</f>
        <v>Cc1ccc2ccc(N(C)C3=CNC(CN(C)C(C)C)=CC3)cc2n1</v>
      </c>
      <c r="C17122" s="7">
        <f>IFERROR(__xludf.DUMMYFUNCTION("""COMPUTED_VALUE"""),7.7333)</f>
        <v>7.7333</v>
      </c>
      <c r="D17122" s="7">
        <f>IFERROR(__xludf.DUMMYFUNCTION("""COMPUTED_VALUE"""),0.224137931034482)</f>
        <v>0.224137931</v>
      </c>
    </row>
    <row r="17123">
      <c r="A17123" s="10" t="s">
        <v>18562</v>
      </c>
      <c r="B17123" s="7" t="str">
        <f>IFERROR(__xludf.DUMMYFUNCTION("SPLIT(A17123,"" "")"),"Cc1cc(CN(C)CCN(C)c2cccc3ccc(CN(C)C)nc23)nc(C)c1C")</f>
        <v>Cc1cc(CN(C)CCN(C)c2cccc3ccc(CN(C)C)nc23)nc(C)c1C</v>
      </c>
      <c r="C17123" s="7">
        <f>IFERROR(__xludf.DUMMYFUNCTION("""COMPUTED_VALUE"""),7.7333)</f>
        <v>7.7333</v>
      </c>
      <c r="D17123" s="7">
        <f>IFERROR(__xludf.DUMMYFUNCTION("""COMPUTED_VALUE"""),0.403846153846153)</f>
        <v>0.4038461538</v>
      </c>
    </row>
    <row r="17124">
      <c r="A17124" s="10" t="s">
        <v>18563</v>
      </c>
      <c r="B17124" s="7" t="str">
        <f>IFERROR(__xludf.DUMMYFUNCTION("SPLIT(A17124,"" "")"),"Fc1cccc(CN(Cc2cccc(F)n2)Cc2cccc(-c3ccccc3N=Cc3ccccn3)n2)n1")</f>
        <v>Fc1cccc(CN(Cc2cccc(F)n2)Cc2cccc(-c3ccccc3N=Cc3ccccn3)n2)n1</v>
      </c>
      <c r="C17124" s="7">
        <f>IFERROR(__xludf.DUMMYFUNCTION("""COMPUTED_VALUE"""),7.733297)</f>
        <v>7.733297</v>
      </c>
      <c r="D17124" s="7">
        <f>IFERROR(__xludf.DUMMYFUNCTION("""COMPUTED_VALUE"""),0.470588235294117)</f>
        <v>0.4705882353</v>
      </c>
    </row>
    <row r="17125">
      <c r="A17125" s="10" t="s">
        <v>18564</v>
      </c>
      <c r="B17125" s="7" t="str">
        <f>IFERROR(__xludf.DUMMYFUNCTION("SPLIT(A17125,"" "")"),"Cc1cccnc1CN(C)Cc1c(C)ccc2ncccc12")</f>
        <v>Cc1cccnc1CN(C)Cc1c(C)ccc2ncccc12</v>
      </c>
      <c r="C17125" s="7">
        <f>IFERROR(__xludf.DUMMYFUNCTION("""COMPUTED_VALUE"""),7.73329)</f>
        <v>7.73329</v>
      </c>
      <c r="D17125" s="7">
        <f>IFERROR(__xludf.DUMMYFUNCTION("""COMPUTED_VALUE"""),0.3)</f>
        <v>0.3</v>
      </c>
    </row>
    <row r="17126">
      <c r="A17126" s="10" t="s">
        <v>18565</v>
      </c>
      <c r="B17126" s="7" t="str">
        <f>IFERROR(__xludf.DUMMYFUNCTION("SPLIT(A17126,"" "")"),"Cc1cc2ccccc2c(C2C=C(c3ccccc3)C=C(c3ccccc3)C2NCc2ccccn2)c1NCc1ccccn1")</f>
        <v>Cc1cc2ccccc2c(C2C=C(c3ccccc3)C=C(c3ccccc3)C2NCc2ccccn2)c1NCc1ccccn1</v>
      </c>
      <c r="C17126" s="7">
        <f>IFERROR(__xludf.DUMMYFUNCTION("""COMPUTED_VALUE"""),7.733289)</f>
        <v>7.733289</v>
      </c>
      <c r="D17126" s="7">
        <f>IFERROR(__xludf.DUMMYFUNCTION("""COMPUTED_VALUE"""),0.46875)</f>
        <v>0.46875</v>
      </c>
    </row>
    <row r="17127">
      <c r="A17127" s="10" t="s">
        <v>18566</v>
      </c>
      <c r="B17127" s="7" t="str">
        <f>IFERROR(__xludf.DUMMYFUNCTION("SPLIT(A17127,"" "")"),"c1ccc(CNc2cccc(-c3ccncc3)c2)nc1")</f>
        <v>c1ccc(CNc2cccc(-c3ccncc3)c2)nc1</v>
      </c>
      <c r="C17127" s="7">
        <f>IFERROR(__xludf.DUMMYFUNCTION("""COMPUTED_VALUE"""),7.733279)</f>
        <v>7.733279</v>
      </c>
      <c r="D17127" s="7">
        <f>IFERROR(__xludf.DUMMYFUNCTION("""COMPUTED_VALUE"""),0.44)</f>
        <v>0.44</v>
      </c>
    </row>
    <row r="17128">
      <c r="A17128" s="10" t="s">
        <v>18567</v>
      </c>
      <c r="B17128" s="7" t="str">
        <f>IFERROR(__xludf.DUMMYFUNCTION("SPLIT(A17128,"" "")"),"Cc1cc(CN(C)CCN(C)c2ccc3nccc(C)c3c2)ccn1")</f>
        <v>Cc1cc(CN(C)CCN(C)c2ccc3nccc(C)c3c2)ccn1</v>
      </c>
      <c r="C17128" s="7">
        <f>IFERROR(__xludf.DUMMYFUNCTION("""COMPUTED_VALUE"""),7.7332788)</f>
        <v>7.7332788</v>
      </c>
      <c r="D17128" s="7">
        <f>IFERROR(__xludf.DUMMYFUNCTION("""COMPUTED_VALUE"""),0.288461538461538)</f>
        <v>0.2884615385</v>
      </c>
    </row>
    <row r="17129">
      <c r="A17129" s="10" t="s">
        <v>18568</v>
      </c>
      <c r="B17129" s="7" t="str">
        <f>IFERROR(__xludf.DUMMYFUNCTION("SPLIT(A17129,"" "")"),"Cc1cncc(CN(C)c2cccc3c(CN(C)C(C)C)ccnc23)c1")</f>
        <v>Cc1cncc(CN(C)c2cccc3c(CN(C)C(C)C)ccnc23)c1</v>
      </c>
      <c r="C17129" s="7">
        <f>IFERROR(__xludf.DUMMYFUNCTION("""COMPUTED_VALUE"""),7.7332716)</f>
        <v>7.7332716</v>
      </c>
      <c r="D17129" s="7">
        <f>IFERROR(__xludf.DUMMYFUNCTION("""COMPUTED_VALUE"""),0.339285714285714)</f>
        <v>0.3392857143</v>
      </c>
    </row>
    <row r="17130">
      <c r="A17130" s="10" t="s">
        <v>18569</v>
      </c>
      <c r="B17130" s="7" t="str">
        <f>IFERROR(__xludf.DUMMYFUNCTION("SPLIT(A17130,"" "")"),"Cc1ccnc(CN(C)Cc2cccnc2-c2ccccc2N(C)C)c1")</f>
        <v>Cc1ccnc(CN(C)Cc2cccnc2-c2ccccc2N(C)C)c1</v>
      </c>
      <c r="C17130" s="7">
        <f>IFERROR(__xludf.DUMMYFUNCTION("""COMPUTED_VALUE"""),7.7332683)</f>
        <v>7.7332683</v>
      </c>
      <c r="D17130" s="7">
        <f>IFERROR(__xludf.DUMMYFUNCTION("""COMPUTED_VALUE"""),0.345454545454545)</f>
        <v>0.3454545455</v>
      </c>
    </row>
    <row r="17131">
      <c r="A17131" s="10" t="s">
        <v>18570</v>
      </c>
      <c r="B17131" s="7" t="str">
        <f>IFERROR(__xludf.DUMMYFUNCTION("SPLIT(A17131,"" "")"),"CC(C)CN(Cc1ccccn1)Cc1ncccc1N(C)c1cccc2ncccc12")</f>
        <v>CC(C)CN(Cc1ccccn1)Cc1ncccc1N(C)c1cccc2ncccc12</v>
      </c>
      <c r="C17131" s="7">
        <f>IFERROR(__xludf.DUMMYFUNCTION("""COMPUTED_VALUE"""),7.7332673)</f>
        <v>7.7332673</v>
      </c>
      <c r="D17131" s="7">
        <f>IFERROR(__xludf.DUMMYFUNCTION("""COMPUTED_VALUE"""),0.423076923076923)</f>
        <v>0.4230769231</v>
      </c>
    </row>
    <row r="17132">
      <c r="A17132" s="10" t="s">
        <v>18571</v>
      </c>
      <c r="B17132" s="7" t="str">
        <f>IFERROR(__xludf.DUMMYFUNCTION("SPLIT(A17132,"" "")"),"Cc1cncc(CN(C)Cc2ncc(-c3cccc(N(C)Cc4cc(C)ccn4)c3)cc2C)c1")</f>
        <v>Cc1cncc(CN(C)Cc2ncc(-c3cccc(N(C)Cc4cc(C)ccn4)c3)cc2C)c1</v>
      </c>
      <c r="C17132" s="7">
        <f>IFERROR(__xludf.DUMMYFUNCTION("""COMPUTED_VALUE"""),7.7332625)</f>
        <v>7.7332625</v>
      </c>
      <c r="D17132" s="7">
        <f>IFERROR(__xludf.DUMMYFUNCTION("""COMPUTED_VALUE"""),0.272727272727272)</f>
        <v>0.2727272727</v>
      </c>
    </row>
    <row r="17133">
      <c r="A17133" s="10" t="s">
        <v>18572</v>
      </c>
      <c r="B17133" s="7" t="str">
        <f>IFERROR(__xludf.DUMMYFUNCTION("SPLIT(A17133,"" "")"),"Cc1ccc2c(CN(C)Cc3ncccc3C)nccc2c1")</f>
        <v>Cc1ccc2c(CN(C)Cc3ncccc3C)nccc2c1</v>
      </c>
      <c r="C17133" s="7">
        <f>IFERROR(__xludf.DUMMYFUNCTION("""COMPUTED_VALUE"""),7.7332606)</f>
        <v>7.7332606</v>
      </c>
      <c r="D17133" s="7">
        <f>IFERROR(__xludf.DUMMYFUNCTION("""COMPUTED_VALUE"""),0.32)</f>
        <v>0.32</v>
      </c>
    </row>
    <row r="17134">
      <c r="A17134" s="10" t="s">
        <v>18573</v>
      </c>
      <c r="B17134" s="7" t="str">
        <f>IFERROR(__xludf.DUMMYFUNCTION("SPLIT(A17134,"" "")"),"Cc1nc(CN(C)C2C=CNC(CN(c3ccc4ncccc4c3)C(C)C)=C2)c(C)c(C)c1C")</f>
        <v>Cc1nc(CN(C)C2C=CNC(CN(c3ccc4ncccc4c3)C(C)C)=C2)c(C)c(C)c1C</v>
      </c>
      <c r="C17134" s="7">
        <f>IFERROR(__xludf.DUMMYFUNCTION("""COMPUTED_VALUE"""),7.7332597)</f>
        <v>7.7332597</v>
      </c>
      <c r="D17134" s="7">
        <f>IFERROR(__xludf.DUMMYFUNCTION("""COMPUTED_VALUE"""),0.24)</f>
        <v>0.24</v>
      </c>
    </row>
    <row r="17135">
      <c r="A17135" s="10" t="s">
        <v>18574</v>
      </c>
      <c r="B17135" s="7" t="str">
        <f>IFERROR(__xludf.DUMMYFUNCTION("SPLIT(A17135,"" "")"),"Cc1ccc(CN(Cc2ccccn2)C2=CNC(CN(C)Cc3cccc(-c4cccc(N=Cc5ccccn5)c4)n3)=CC2)nc1")</f>
        <v>Cc1ccc(CN(Cc2ccccn2)C2=CNC(CN(C)Cc3cccc(-c4cccc(N=Cc5ccccn5)c4)n3)=CC2)nc1</v>
      </c>
      <c r="C17135" s="7">
        <f>IFERROR(__xludf.DUMMYFUNCTION("""COMPUTED_VALUE"""),7.7332587)</f>
        <v>7.7332587</v>
      </c>
      <c r="D17135" s="7">
        <f>IFERROR(__xludf.DUMMYFUNCTION("""COMPUTED_VALUE"""),0.378378378378378)</f>
        <v>0.3783783784</v>
      </c>
    </row>
    <row r="17136">
      <c r="A17136" s="10" t="s">
        <v>18575</v>
      </c>
      <c r="B17136" s="7" t="str">
        <f>IFERROR(__xludf.DUMMYFUNCTION("SPLIT(A17136,"" "")"),"Cc1ccc(N(Cc2ccccn2)Cc2ncccc2N(C)C)c(C)c1C")</f>
        <v>Cc1ccc(N(Cc2ccccn2)Cc2ncccc2N(C)C)c(C)c1C</v>
      </c>
      <c r="C17136" s="7">
        <f>IFERROR(__xludf.DUMMYFUNCTION("""COMPUTED_VALUE"""),7.733256)</f>
        <v>7.733256</v>
      </c>
      <c r="D17136" s="7">
        <f>IFERROR(__xludf.DUMMYFUNCTION("""COMPUTED_VALUE"""),0.4)</f>
        <v>0.4</v>
      </c>
    </row>
    <row r="17137">
      <c r="A17137" s="10" t="s">
        <v>18576</v>
      </c>
      <c r="B17137" s="7" t="str">
        <f>IFERROR(__xludf.DUMMYFUNCTION("SPLIT(A17137,"" "")"),"CCNc1cc(-c2ncccc2C(C)(C)c2ccccn2)ccn1")</f>
        <v>CCNc1cc(-c2ncccc2C(C)(C)c2ccccn2)ccn1</v>
      </c>
      <c r="C17137" s="7">
        <f>IFERROR(__xludf.DUMMYFUNCTION("""COMPUTED_VALUE"""),7.733256)</f>
        <v>7.733256</v>
      </c>
      <c r="D17137" s="7">
        <f>IFERROR(__xludf.DUMMYFUNCTION("""COMPUTED_VALUE"""),0.436363636363636)</f>
        <v>0.4363636364</v>
      </c>
    </row>
    <row r="17138">
      <c r="A17138" s="10" t="s">
        <v>18577</v>
      </c>
      <c r="B17138" s="7" t="str">
        <f>IFERROR(__xludf.DUMMYFUNCTION("SPLIT(A17138,"" "")"),"Cc1ccc(-c2cc(C(C)C)ccn2)cc1NCc1ccccn1")</f>
        <v>Cc1ccc(-c2cc(C(C)C)ccn2)cc1NCc1ccccn1</v>
      </c>
      <c r="C17138" s="7">
        <f>IFERROR(__xludf.DUMMYFUNCTION("""COMPUTED_VALUE"""),7.7332497)</f>
        <v>7.7332497</v>
      </c>
      <c r="D17138" s="7">
        <f>IFERROR(__xludf.DUMMYFUNCTION("""COMPUTED_VALUE"""),0.346938775510204)</f>
        <v>0.3469387755</v>
      </c>
    </row>
    <row r="17139">
      <c r="A17139" s="10" t="s">
        <v>18578</v>
      </c>
      <c r="B17139" s="7" t="str">
        <f>IFERROR(__xludf.DUMMYFUNCTION("SPLIT(A17139,"" "")"),"CC(C)N(CC1=C(N(C)c2cccc3ncccc23)CC=CN1)Cc1ccccn1")</f>
        <v>CC(C)N(CC1=C(N(C)c2cccc3ncccc23)CC=CN1)Cc1ccccn1</v>
      </c>
      <c r="C17139" s="7">
        <f>IFERROR(__xludf.DUMMYFUNCTION("""COMPUTED_VALUE"""),7.733247)</f>
        <v>7.733247</v>
      </c>
      <c r="D17139" s="7">
        <f>IFERROR(__xludf.DUMMYFUNCTION("""COMPUTED_VALUE"""),0.421052631578947)</f>
        <v>0.4210526316</v>
      </c>
    </row>
    <row r="17140">
      <c r="A17140" s="10" t="s">
        <v>18579</v>
      </c>
      <c r="B17140" s="7" t="str">
        <f>IFERROR(__xludf.DUMMYFUNCTION("SPLIT(A17140,"" "")"),"CNCCN(C)c1ccc2c(CF)ccnc2c1")</f>
        <v>CNCCN(C)c1ccc2c(CF)ccnc2c1</v>
      </c>
      <c r="C17140" s="7">
        <f>IFERROR(__xludf.DUMMYFUNCTION("""COMPUTED_VALUE"""),7.7332416)</f>
        <v>7.7332416</v>
      </c>
      <c r="D17140" s="7">
        <f>IFERROR(__xludf.DUMMYFUNCTION("""COMPUTED_VALUE"""),0.226415094339622)</f>
        <v>0.2264150943</v>
      </c>
    </row>
    <row r="17141">
      <c r="A17141" s="10" t="s">
        <v>18580</v>
      </c>
      <c r="B17141" s="7" t="str">
        <f>IFERROR(__xludf.DUMMYFUNCTION("SPLIT(A17141,"" "")"),"Cc1ccc(CN(Cc2ccccn2)Cc2cc(-c3ccccc3N=Cc3ccccn3)ccn2)nc1C")</f>
        <v>Cc1ccc(CN(Cc2ccccn2)Cc2cc(-c3ccccc3N=Cc3ccccn3)ccn2)nc1C</v>
      </c>
      <c r="C17141" s="7">
        <f>IFERROR(__xludf.DUMMYFUNCTION("""COMPUTED_VALUE"""),7.733235)</f>
        <v>7.733235</v>
      </c>
      <c r="D17141" s="7">
        <f>IFERROR(__xludf.DUMMYFUNCTION("""COMPUTED_VALUE"""),0.416666666666666)</f>
        <v>0.4166666667</v>
      </c>
    </row>
    <row r="17142">
      <c r="A17142" s="10" t="s">
        <v>18581</v>
      </c>
      <c r="B17142" s="7" t="str">
        <f>IFERROR(__xludf.DUMMYFUNCTION("SPLIT(A17142,"" "")"),"Cc1cc(C)c(CN(C)CCN(C)c2ccc3nccc(CF)c3c2)nc1C")</f>
        <v>Cc1cc(C)c(CN(C)CCN(C)c2ccc3nccc(CF)c3c2)nc1C</v>
      </c>
      <c r="C17142" s="7">
        <f>IFERROR(__xludf.DUMMYFUNCTION("""COMPUTED_VALUE"""),7.7332277)</f>
        <v>7.7332277</v>
      </c>
      <c r="D17142" s="7">
        <f>IFERROR(__xludf.DUMMYFUNCTION("""COMPUTED_VALUE"""),0.280701754385964)</f>
        <v>0.2807017544</v>
      </c>
    </row>
    <row r="17143">
      <c r="A17143" s="10" t="s">
        <v>18582</v>
      </c>
      <c r="B17143" s="7" t="str">
        <f>IFERROR(__xludf.DUMMYFUNCTION("SPLIT(A17143,"" "")"),"Cc1ccnc(CN(C)c2cc(C)c(C)cc2C)c1")</f>
        <v>Cc1ccnc(CN(C)c2cc(C)c(C)cc2C)c1</v>
      </c>
      <c r="C17143" s="7">
        <f>IFERROR(__xludf.DUMMYFUNCTION("""COMPUTED_VALUE"""),7.733227)</f>
        <v>7.733227</v>
      </c>
      <c r="D17143" s="7">
        <f>IFERROR(__xludf.DUMMYFUNCTION("""COMPUTED_VALUE"""),0.428571428571428)</f>
        <v>0.4285714286</v>
      </c>
    </row>
    <row r="17144">
      <c r="A17144" s="10" t="s">
        <v>18583</v>
      </c>
      <c r="B17144" s="7" t="str">
        <f>IFERROR(__xludf.DUMMYFUNCTION("SPLIT(A17144,"" "")"),"CC1=CC(NCc2ccccn2)CC(c2ccccc2)=C1c1ccc(-c2ccccc2)c(C)c1NCc1ccccn1")</f>
        <v>CC1=CC(NCc2ccccn2)CC(c2ccccc2)=C1c1ccc(-c2ccccc2)c(C)c1NCc1ccccn1</v>
      </c>
      <c r="C17144" s="7">
        <f>IFERROR(__xludf.DUMMYFUNCTION("""COMPUTED_VALUE"""),7.733226)</f>
        <v>7.733226</v>
      </c>
      <c r="D17144" s="7">
        <f>IFERROR(__xludf.DUMMYFUNCTION("""COMPUTED_VALUE"""),0.40625)</f>
        <v>0.40625</v>
      </c>
    </row>
    <row r="17145">
      <c r="A17145" s="10" t="s">
        <v>18584</v>
      </c>
      <c r="B17145" s="7" t="str">
        <f>IFERROR(__xludf.DUMMYFUNCTION("SPLIT(A17145,"" "")"),"CN(Cc1cc(CF)ccn1)Cc1cc(-c2cccc(N=Cc3ccccn3)c2)ccn1")</f>
        <v>CN(Cc1cc(CF)ccn1)Cc1cc(-c2cccc(N=Cc3ccccn3)c2)ccn1</v>
      </c>
      <c r="C17145" s="7">
        <f>IFERROR(__xludf.DUMMYFUNCTION("""COMPUTED_VALUE"""),7.733226)</f>
        <v>7.733226</v>
      </c>
      <c r="D17145" s="7">
        <f>IFERROR(__xludf.DUMMYFUNCTION("""COMPUTED_VALUE"""),0.35593220338983)</f>
        <v>0.3559322034</v>
      </c>
    </row>
    <row r="17146">
      <c r="A17146" s="10" t="s">
        <v>18585</v>
      </c>
      <c r="B17146" s="7" t="str">
        <f>IFERROR(__xludf.DUMMYFUNCTION("SPLIT(A17146,"" "")"),"CC(C)N(C)CC1=CCC=C(N(C)c2cccc3cccnc23)N1")</f>
        <v>CC(C)N(C)CC1=CCC=C(N(C)c2cccc3cccnc23)N1</v>
      </c>
      <c r="C17146" s="7">
        <f>IFERROR(__xludf.DUMMYFUNCTION("""COMPUTED_VALUE"""),7.7332115)</f>
        <v>7.7332115</v>
      </c>
      <c r="D17146" s="7">
        <f>IFERROR(__xludf.DUMMYFUNCTION("""COMPUTED_VALUE"""),0.431372549019607)</f>
        <v>0.431372549</v>
      </c>
    </row>
    <row r="17147">
      <c r="A17147" s="10" t="s">
        <v>18586</v>
      </c>
      <c r="B17147" s="7" t="str">
        <f>IFERROR(__xludf.DUMMYFUNCTION("SPLIT(A17147,"" "")"),"Cc1ccnc(CN(C)Cc2cccnc2-c2cccnc2C)c1C")</f>
        <v>Cc1ccnc(CN(C)Cc2cccnc2-c2cccnc2C)c1C</v>
      </c>
      <c r="C17147" s="7">
        <f>IFERROR(__xludf.DUMMYFUNCTION("""COMPUTED_VALUE"""),7.7332096)</f>
        <v>7.7332096</v>
      </c>
      <c r="D17147" s="7">
        <f>IFERROR(__xludf.DUMMYFUNCTION("""COMPUTED_VALUE"""),0.352941176470588)</f>
        <v>0.3529411765</v>
      </c>
    </row>
    <row r="17148">
      <c r="A17148" s="10" t="s">
        <v>18587</v>
      </c>
      <c r="B17148" s="7" t="str">
        <f>IFERROR(__xludf.DUMMYFUNCTION("SPLIT(A17148,"" "")"),"COC1(C)N=COC1c1ncccc1CN(Cc1ccccn1)Cc1cc(-c2ccccc2N=Cc2ccccn2)ccn1")</f>
        <v>COC1(C)N=COC1c1ncccc1CN(Cc1ccccn1)Cc1cc(-c2ccccc2N=Cc2ccccn2)ccn1</v>
      </c>
      <c r="C17148" s="7">
        <f>IFERROR(__xludf.DUMMYFUNCTION("""COMPUTED_VALUE"""),7.7332034)</f>
        <v>7.7332034</v>
      </c>
      <c r="D17148" s="7">
        <f>IFERROR(__xludf.DUMMYFUNCTION("""COMPUTED_VALUE"""),0.298701298701298)</f>
        <v>0.2987012987</v>
      </c>
    </row>
    <row r="17149">
      <c r="A17149" s="10" t="s">
        <v>18588</v>
      </c>
      <c r="B17149" s="7" t="str">
        <f>IFERROR(__xludf.DUMMYFUNCTION("SPLIT(A17149,"" "")"),"CC(C)CN(Cc1ccccn1)c1ccc2nccc(C(C)(C)C)c2c1")</f>
        <v>CC(C)CN(Cc1ccccn1)c1ccc2nccc(C(C)(C)C)c2c1</v>
      </c>
      <c r="C17149" s="7">
        <f>IFERROR(__xludf.DUMMYFUNCTION("""COMPUTED_VALUE"""),7.733197)</f>
        <v>7.733197</v>
      </c>
      <c r="D17149" s="7">
        <f>IFERROR(__xludf.DUMMYFUNCTION("""COMPUTED_VALUE"""),0.377358490566037)</f>
        <v>0.3773584906</v>
      </c>
    </row>
    <row r="17150">
      <c r="A17150" s="10" t="s">
        <v>18589</v>
      </c>
      <c r="B17150" s="7" t="str">
        <f>IFERROR(__xludf.DUMMYFUNCTION("SPLIT(A17150,"" "")"),"Cc1cnc2cccc(N(C)C3=CNC(CN(C)C(C)C)=CC3)c2c1")</f>
        <v>Cc1cnc2cccc(N(C)C3=CNC(CN(C)C(C)C)=CC3)c2c1</v>
      </c>
      <c r="C17150" s="7">
        <f>IFERROR(__xludf.DUMMYFUNCTION("""COMPUTED_VALUE"""),7.733195)</f>
        <v>7.733195</v>
      </c>
      <c r="D17150" s="7">
        <f>IFERROR(__xludf.DUMMYFUNCTION("""COMPUTED_VALUE"""),0.235294117647058)</f>
        <v>0.2352941176</v>
      </c>
    </row>
    <row r="17151">
      <c r="A17151" s="10" t="s">
        <v>18590</v>
      </c>
      <c r="B17151" s="7" t="str">
        <f>IFERROR(__xludf.DUMMYFUNCTION("SPLIT(A17151,"" "")"),"Cc1cc(C)nc(CN(C)Cc2ccc3cc(C)ccc3n2)c1")</f>
        <v>Cc1cc(C)nc(CN(C)Cc2ccc3cc(C)ccc3n2)c1</v>
      </c>
      <c r="C17151" s="7">
        <f>IFERROR(__xludf.DUMMYFUNCTION("""COMPUTED_VALUE"""),7.733166)</f>
        <v>7.733166</v>
      </c>
      <c r="D17151" s="7">
        <f>IFERROR(__xludf.DUMMYFUNCTION("""COMPUTED_VALUE"""),0.428571428571428)</f>
        <v>0.4285714286</v>
      </c>
    </row>
    <row r="17152">
      <c r="A17152" s="10" t="s">
        <v>18591</v>
      </c>
      <c r="B17152" s="7" t="str">
        <f>IFERROR(__xludf.DUMMYFUNCTION("SPLIT(A17152,"" "")"),"CN(Cc1ccccn1)CN(C)c1cccc2ncccc12")</f>
        <v>CN(Cc1ccccn1)CN(C)c1cccc2ncccc12</v>
      </c>
      <c r="C17152" s="7">
        <f>IFERROR(__xludf.DUMMYFUNCTION("""COMPUTED_VALUE"""),7.7331657)</f>
        <v>7.7331657</v>
      </c>
      <c r="D17152" s="7">
        <f>IFERROR(__xludf.DUMMYFUNCTION("""COMPUTED_VALUE"""),0.468085106382978)</f>
        <v>0.4680851064</v>
      </c>
    </row>
    <row r="17153">
      <c r="A17153" s="10" t="s">
        <v>18592</v>
      </c>
      <c r="B17153" s="7" t="str">
        <f>IFERROR(__xludf.DUMMYFUNCTION("SPLIT(A17153,"" "")"),"CC1=CC(c2c(-c3ccccc3)ccc(NCc3ccccn3)c2C)C(c2ccccc2)C=C1c1ccccc1")</f>
        <v>CC1=CC(c2c(-c3ccccc3)ccc(NCc3ccccn3)c2C)C(c2ccccc2)C=C1c1ccccc1</v>
      </c>
      <c r="C17153" s="7">
        <f>IFERROR(__xludf.DUMMYFUNCTION("""COMPUTED_VALUE"""),7.733158)</f>
        <v>7.733158</v>
      </c>
      <c r="D17153" s="7">
        <f>IFERROR(__xludf.DUMMYFUNCTION("""COMPUTED_VALUE"""),0.375)</f>
        <v>0.375</v>
      </c>
    </row>
    <row r="17154">
      <c r="A17154" s="10" t="s">
        <v>18593</v>
      </c>
      <c r="B17154" s="7" t="str">
        <f>IFERROR(__xludf.DUMMYFUNCTION("SPLIT(A17154,"" "")"),"Cc1cnc(CN(C)CC2=CC(N(C)c3ccc4nc(CF)ccc4c3)C=CN2)c(C)c1")</f>
        <v>Cc1cnc(CN(C)CC2=CC(N(C)c3ccc4nc(CF)ccc4c3)C=CN2)c(C)c1</v>
      </c>
      <c r="C17154" s="7">
        <f>IFERROR(__xludf.DUMMYFUNCTION("""COMPUTED_VALUE"""),7.7331476)</f>
        <v>7.7331476</v>
      </c>
      <c r="D17154" s="7">
        <f>IFERROR(__xludf.DUMMYFUNCTION("""COMPUTED_VALUE"""),0.292307692307692)</f>
        <v>0.2923076923</v>
      </c>
    </row>
    <row r="17155">
      <c r="A17155" s="10" t="s">
        <v>18594</v>
      </c>
      <c r="B17155" s="7" t="str">
        <f>IFERROR(__xludf.DUMMYFUNCTION("SPLIT(A17155,"" "")"),"Cc1cc(CN(Cc2ccccn2)Cc2cc(-c3cccc(N=Cc4ccccn4)c3)ccn2)cnc1C")</f>
        <v>Cc1cc(CN(Cc2ccccn2)Cc2cc(-c3cccc(N=Cc4ccccn4)c3)ccn2)cnc1C</v>
      </c>
      <c r="C17155" s="7">
        <f>IFERROR(__xludf.DUMMYFUNCTION("""COMPUTED_VALUE"""),7.733144)</f>
        <v>7.733144</v>
      </c>
      <c r="D17155" s="7">
        <f>IFERROR(__xludf.DUMMYFUNCTION("""COMPUTED_VALUE"""),0.359375)</f>
        <v>0.359375</v>
      </c>
    </row>
    <row r="17156">
      <c r="A17156" s="10" t="s">
        <v>18595</v>
      </c>
      <c r="B17156" s="7" t="str">
        <f>IFERROR(__xludf.DUMMYFUNCTION("SPLIT(A17156,"" "")"),"c1ccc(CN(Cc2ccccn2)c2ccc3ncccc3c2)cc1")</f>
        <v>c1ccc(CN(Cc2ccccn2)c2ccc3ncccc3c2)cc1</v>
      </c>
      <c r="C17156" s="7">
        <f>IFERROR(__xludf.DUMMYFUNCTION("""COMPUTED_VALUE"""),7.733141)</f>
        <v>7.733141</v>
      </c>
      <c r="D17156" s="7">
        <f>IFERROR(__xludf.DUMMYFUNCTION("""COMPUTED_VALUE"""),0.425531914893617)</f>
        <v>0.4255319149</v>
      </c>
    </row>
    <row r="17157">
      <c r="A17157" s="10" t="s">
        <v>18596</v>
      </c>
      <c r="B17157" s="7" t="str">
        <f>IFERROR(__xludf.DUMMYFUNCTION("SPLIT(A17157,"" "")"),"CC(C)N(Cc1ccccn1)C1CCC(N(C)c2ccc3nc(-c4ccc5ncccc5c4)ccc3c2)CC1")</f>
        <v>CC(C)N(Cc1ccccn1)C1CCC(N(C)c2ccc3nc(-c4ccc5ncccc5c4)ccc3c2)CC1</v>
      </c>
      <c r="C17157" s="7">
        <f>IFERROR(__xludf.DUMMYFUNCTION("""COMPUTED_VALUE"""),7.7331276)</f>
        <v>7.7331276</v>
      </c>
      <c r="D17157" s="7">
        <f>IFERROR(__xludf.DUMMYFUNCTION("""COMPUTED_VALUE"""),0.366666666666666)</f>
        <v>0.3666666667</v>
      </c>
    </row>
    <row r="17158">
      <c r="A17158" s="10" t="s">
        <v>18597</v>
      </c>
      <c r="B17158" s="7" t="str">
        <f>IFERROR(__xludf.DUMMYFUNCTION("SPLIT(A17158,"" "")"),"CCN(Cc1ccccn1)c1ccc2nccc(CN(C)Cc3ncccc3F)c2c1")</f>
        <v>CCN(Cc1ccccn1)c1ccc2nccc(CN(C)Cc3ncccc3F)c2c1</v>
      </c>
      <c r="C17158" s="7">
        <f>IFERROR(__xludf.DUMMYFUNCTION("""COMPUTED_VALUE"""),7.733117)</f>
        <v>7.733117</v>
      </c>
      <c r="D17158" s="7">
        <f>IFERROR(__xludf.DUMMYFUNCTION("""COMPUTED_VALUE"""),0.360655737704918)</f>
        <v>0.3606557377</v>
      </c>
    </row>
    <row r="17159">
      <c r="A17159" s="10" t="s">
        <v>18598</v>
      </c>
      <c r="B17159" s="7" t="str">
        <f>IFERROR(__xludf.DUMMYFUNCTION("SPLIT(A17159,"" "")"),"CCN(Cc1ccccn1)c1ccc2nccc(CN(C)Cc3ncccc3C)c2c1")</f>
        <v>CCN(Cc1ccccn1)c1ccc2nccc(CN(C)Cc3ncccc3C)c2c1</v>
      </c>
      <c r="C17159" s="7">
        <f>IFERROR(__xludf.DUMMYFUNCTION("""COMPUTED_VALUE"""),7.733097)</f>
        <v>7.733097</v>
      </c>
      <c r="D17159" s="7">
        <f>IFERROR(__xludf.DUMMYFUNCTION("""COMPUTED_VALUE"""),0.360655737704918)</f>
        <v>0.3606557377</v>
      </c>
    </row>
    <row r="17160">
      <c r="A17160" s="10" t="s">
        <v>18599</v>
      </c>
      <c r="B17160" s="7" t="str">
        <f>IFERROR(__xludf.DUMMYFUNCTION("SPLIT(A17160,"" "")"),"Cc1cc(C)c(C)c(CN(C)CCN(C)c2cccc3nc4c(cc23)CCC4)n1")</f>
        <v>Cc1cc(C)c(C)c(CN(C)CCN(C)c2cccc3nc4c(cc23)CCC4)n1</v>
      </c>
      <c r="C17160" s="7">
        <f>IFERROR(__xludf.DUMMYFUNCTION("""COMPUTED_VALUE"""),7.73309)</f>
        <v>7.73309</v>
      </c>
      <c r="D17160" s="7">
        <f>IFERROR(__xludf.DUMMYFUNCTION("""COMPUTED_VALUE"""),0.348484848484848)</f>
        <v>0.3484848485</v>
      </c>
    </row>
    <row r="17161">
      <c r="A17161" s="10" t="s">
        <v>18600</v>
      </c>
      <c r="B17161" s="7" t="str">
        <f>IFERROR(__xludf.DUMMYFUNCTION("SPLIT(A17161,"" "")"),"Cc1ccc(-c2ccc(-c3ccc(CNCc4ccccn4)cc3)cc2)nc1")</f>
        <v>Cc1ccc(-c2ccc(-c3ccc(CNCc4ccccn4)cc3)cc2)nc1</v>
      </c>
      <c r="C17161" s="7">
        <f>IFERROR(__xludf.DUMMYFUNCTION("""COMPUTED_VALUE"""),7.7330875)</f>
        <v>7.7330875</v>
      </c>
      <c r="D17161" s="7">
        <f>IFERROR(__xludf.DUMMYFUNCTION("""COMPUTED_VALUE"""),0.452380952380952)</f>
        <v>0.4523809524</v>
      </c>
    </row>
    <row r="17162">
      <c r="A17162" s="10" t="s">
        <v>18601</v>
      </c>
      <c r="B17162" s="7" t="str">
        <f>IFERROR(__xludf.DUMMYFUNCTION("SPLIT(A17162,"" "")"),"Cc1cnc(CN(C)C2=C(CN(C)Cc3ccc4cccnc4c3)NC=CC2)c(C)c1")</f>
        <v>Cc1cnc(CN(C)C2=C(CN(C)Cc3ccc4cccnc4c3)NC=CC2)c(C)c1</v>
      </c>
      <c r="C17162" s="7">
        <f>IFERROR(__xludf.DUMMYFUNCTION("""COMPUTED_VALUE"""),7.7330847)</f>
        <v>7.7330847</v>
      </c>
      <c r="D17162" s="7">
        <f>IFERROR(__xludf.DUMMYFUNCTION("""COMPUTED_VALUE"""),0.242857142857142)</f>
        <v>0.2428571429</v>
      </c>
    </row>
    <row r="17163">
      <c r="A17163" s="10" t="s">
        <v>18602</v>
      </c>
      <c r="B17163" s="7" t="str">
        <f>IFERROR(__xludf.DUMMYFUNCTION("SPLIT(A17163,"" "")"),"Cc1cccnc1CN(c1ccc2nc(CF)ccc2c1)C1CCCCC1N(C)c1ccc2c(CN(C)C)cncc2c1")</f>
        <v>Cc1cccnc1CN(c1ccc2nc(CF)ccc2c1)C1CCCCC1N(C)c1ccc2c(CN(C)C)cncc2c1</v>
      </c>
      <c r="C17163" s="7">
        <f>IFERROR(__xludf.DUMMYFUNCTION("""COMPUTED_VALUE"""),7.733077)</f>
        <v>7.733077</v>
      </c>
      <c r="D17163" s="7">
        <f>IFERROR(__xludf.DUMMYFUNCTION("""COMPUTED_VALUE"""),0.363636363636363)</f>
        <v>0.3636363636</v>
      </c>
    </row>
    <row r="17164">
      <c r="A17164" s="10" t="s">
        <v>18603</v>
      </c>
      <c r="B17164" s="7" t="str">
        <f>IFERROR(__xludf.DUMMYFUNCTION("SPLIT(A17164,"" "")"),"CN(Cc1ccncc1C(C)(C)C)Cc1ncccc1-c1ccccc1N=Cc1ccccn1")</f>
        <v>CN(Cc1ccncc1C(C)(C)C)Cc1ncccc1-c1ccccc1N=Cc1ccccn1</v>
      </c>
      <c r="C17164" s="7">
        <f>IFERROR(__xludf.DUMMYFUNCTION("""COMPUTED_VALUE"""),7.7330766)</f>
        <v>7.7330766</v>
      </c>
      <c r="D17164" s="7">
        <f>IFERROR(__xludf.DUMMYFUNCTION("""COMPUTED_VALUE"""),0.370967741935483)</f>
        <v>0.3709677419</v>
      </c>
    </row>
    <row r="17165">
      <c r="A17165" s="10" t="s">
        <v>18604</v>
      </c>
      <c r="B17165" s="7" t="str">
        <f>IFERROR(__xludf.DUMMYFUNCTION("SPLIT(A17165,"" "")"),"C1=CNC(N(Cc2ccccn2)Cc2ncccc2-c2ccccc2N=Cc2ccccn2)C=C1")</f>
        <v>C1=CNC(N(Cc2ccccn2)Cc2ncccc2-c2ccccc2N=Cc2ccccn2)C=C1</v>
      </c>
      <c r="C17165" s="7">
        <f>IFERROR(__xludf.DUMMYFUNCTION("""COMPUTED_VALUE"""),7.7330728)</f>
        <v>7.7330728</v>
      </c>
      <c r="D17165" s="7">
        <f>IFERROR(__xludf.DUMMYFUNCTION("""COMPUTED_VALUE"""),0.412698412698412)</f>
        <v>0.4126984127</v>
      </c>
    </row>
    <row r="17166">
      <c r="A17166" s="10" t="s">
        <v>18605</v>
      </c>
      <c r="B17166" s="7" t="str">
        <f>IFERROR(__xludf.DUMMYFUNCTION("SPLIT(A17166,"" "")"),"CN(c1ccc2cccnc2c1)C1CCC(N(C)c2ccc3cc(CF)cnc3c2)CC1")</f>
        <v>CN(c1ccc2cccnc2c1)C1CCC(N(C)c2ccc3cc(CF)cnc3c2)CC1</v>
      </c>
      <c r="C17166" s="7">
        <f>IFERROR(__xludf.DUMMYFUNCTION("""COMPUTED_VALUE"""),7.7330713)</f>
        <v>7.7330713</v>
      </c>
      <c r="D17166" s="7">
        <f>IFERROR(__xludf.DUMMYFUNCTION("""COMPUTED_VALUE"""),0.31578947368421)</f>
        <v>0.3157894737</v>
      </c>
    </row>
    <row r="17167">
      <c r="A17167" s="10" t="s">
        <v>18606</v>
      </c>
      <c r="B17167" s="7" t="str">
        <f>IFERROR(__xludf.DUMMYFUNCTION("SPLIT(A17167,"" "")"),"Cc1cnc(CN(C)c2ccccc2-c2cc(CN(C)C3CCC(N(C)c4ccc5nccc(C)c5c4)CC3)ccn2)c(C)c1")</f>
        <v>Cc1cnc(CN(C)c2ccccc2-c2cc(CN(C)C3CCC(N(C)c4ccc5nccc(C)c5c4)CC3)ccn2)c(C)c1</v>
      </c>
      <c r="C17167" s="7">
        <f>IFERROR(__xludf.DUMMYFUNCTION("""COMPUTED_VALUE"""),7.733068)</f>
        <v>7.733068</v>
      </c>
      <c r="D17167" s="7">
        <f>IFERROR(__xludf.DUMMYFUNCTION("""COMPUTED_VALUE"""),0.227848101265822)</f>
        <v>0.2278481013</v>
      </c>
    </row>
    <row r="17168">
      <c r="A17168" s="10" t="s">
        <v>18607</v>
      </c>
      <c r="B17168" s="7" t="str">
        <f>IFERROR(__xludf.DUMMYFUNCTION("SPLIT(A17168,"" "")"),"Cc1ccc(-c2ccccn2)cc1NCc1ccccn1")</f>
        <v>Cc1ccc(-c2ccccn2)cc1NCc1ccccn1</v>
      </c>
      <c r="C17168" s="7">
        <f>IFERROR(__xludf.DUMMYFUNCTION("""COMPUTED_VALUE"""),7.7330666)</f>
        <v>7.7330666</v>
      </c>
      <c r="D17168" s="7">
        <f>IFERROR(__xludf.DUMMYFUNCTION("""COMPUTED_VALUE"""),0.414634146341463)</f>
        <v>0.4146341463</v>
      </c>
    </row>
    <row r="17169">
      <c r="A17169" s="10" t="s">
        <v>18608</v>
      </c>
      <c r="B17169" s="7" t="str">
        <f>IFERROR(__xludf.DUMMYFUNCTION("SPLIT(A17169,"" "")"),"Cc1cc2cccnc2cc1N(Cc1ccccn1)C1CCCCC1N(C)c1ccc2cccnc2c1")</f>
        <v>Cc1cc2cccnc2cc1N(Cc1ccccn1)C1CCCCC1N(C)c1ccc2cccnc2c1</v>
      </c>
      <c r="C17169" s="7">
        <f>IFERROR(__xludf.DUMMYFUNCTION("""COMPUTED_VALUE"""),7.7330666)</f>
        <v>7.7330666</v>
      </c>
      <c r="D17169" s="7">
        <f>IFERROR(__xludf.DUMMYFUNCTION("""COMPUTED_VALUE"""),0.456140350877192)</f>
        <v>0.4561403509</v>
      </c>
    </row>
    <row r="17170">
      <c r="A17170" s="10" t="s">
        <v>18609</v>
      </c>
      <c r="B17170" s="7" t="str">
        <f>IFERROR(__xludf.DUMMYFUNCTION("SPLIT(A17170,"" "")"),"Cc1cc(CN(C)CCN(C)c2cccc3nccc(C)c23)ccn1")</f>
        <v>Cc1cc(CN(C)CCN(C)c2cccc3nccc(C)c23)ccn1</v>
      </c>
      <c r="C17170" s="7">
        <f>IFERROR(__xludf.DUMMYFUNCTION("""COMPUTED_VALUE"""),7.7330647)</f>
        <v>7.7330647</v>
      </c>
      <c r="D17170" s="7">
        <f>IFERROR(__xludf.DUMMYFUNCTION("""COMPUTED_VALUE"""),0.346153846153846)</f>
        <v>0.3461538462</v>
      </c>
    </row>
    <row r="17171">
      <c r="A17171" s="10" t="s">
        <v>18610</v>
      </c>
      <c r="B17171" s="7" t="str">
        <f>IFERROR(__xludf.DUMMYFUNCTION("SPLIT(A17171,"" "")"),"Cc1ccc(NCc2ccccn2)c(-c2cccc(C)c2NCc2ccccn2)c1")</f>
        <v>Cc1ccc(NCc2ccccn2)c(-c2cccc(C)c2NCc2ccccn2)c1</v>
      </c>
      <c r="C17171" s="7">
        <f>IFERROR(__xludf.DUMMYFUNCTION("""COMPUTED_VALUE"""),7.7330647)</f>
        <v>7.7330647</v>
      </c>
      <c r="D17171" s="7">
        <f>IFERROR(__xludf.DUMMYFUNCTION("""COMPUTED_VALUE"""),0.410714285714285)</f>
        <v>0.4107142857</v>
      </c>
    </row>
    <row r="17172">
      <c r="A17172" s="10" t="s">
        <v>18611</v>
      </c>
      <c r="B17172" s="7" t="str">
        <f>IFERROR(__xludf.DUMMYFUNCTION("SPLIT(A17172,"" "")"),"CN(c1ccc2ccc(CF)nc2c1)C1CCC(N(C)c2cccc3nc(CF)ccc23)CC1")</f>
        <v>CN(c1ccc2ccc(CF)nc2c1)C1CCC(N(C)c2cccc3nc(CF)ccc23)CC1</v>
      </c>
      <c r="C17172" s="7">
        <f>IFERROR(__xludf.DUMMYFUNCTION("""COMPUTED_VALUE"""),7.7330527)</f>
        <v>7.7330527</v>
      </c>
      <c r="D17172" s="7">
        <f>IFERROR(__xludf.DUMMYFUNCTION("""COMPUTED_VALUE"""),0.446428571428571)</f>
        <v>0.4464285714</v>
      </c>
    </row>
    <row r="17173">
      <c r="A17173" s="10" t="s">
        <v>18612</v>
      </c>
      <c r="B17173" s="7" t="str">
        <f>IFERROR(__xludf.DUMMYFUNCTION("SPLIT(A17173,"" "")"),"CNC1C(N(C)Cc2ccccn2)CCCC1N(c1ccc2ncccc2c1)c1ccc2nccc(C)c2c1")</f>
        <v>CNC1C(N(C)Cc2ccccn2)CCCC1N(c1ccc2ncccc2c1)c1ccc2nccc(C)c2c1</v>
      </c>
      <c r="C17173" s="7">
        <f>IFERROR(__xludf.DUMMYFUNCTION("""COMPUTED_VALUE"""),7.7330513)</f>
        <v>7.7330513</v>
      </c>
      <c r="D17173" s="7">
        <f>IFERROR(__xludf.DUMMYFUNCTION("""COMPUTED_VALUE"""),0.451612903225806)</f>
        <v>0.4516129032</v>
      </c>
    </row>
    <row r="17174">
      <c r="A17174" s="10" t="s">
        <v>18613</v>
      </c>
      <c r="B17174" s="7" t="str">
        <f>IFERROR(__xludf.DUMMYFUNCTION("SPLIT(A17174,"" "")"),"CCNCc1ncccc1-c1ccccc1N=Cc1ccccn1")</f>
        <v>CCNCc1ncccc1-c1ccccc1N=Cc1ccccn1</v>
      </c>
      <c r="C17174" s="7">
        <f>IFERROR(__xludf.DUMMYFUNCTION("""COMPUTED_VALUE"""),7.733047)</f>
        <v>7.733047</v>
      </c>
      <c r="D17174" s="7">
        <f>IFERROR(__xludf.DUMMYFUNCTION("""COMPUTED_VALUE"""),0.46938775510204)</f>
        <v>0.4693877551</v>
      </c>
    </row>
    <row r="17175">
      <c r="A17175" s="10" t="s">
        <v>18614</v>
      </c>
      <c r="B17175" s="7" t="str">
        <f>IFERROR(__xludf.DUMMYFUNCTION("SPLIT(A17175,"" "")"),"CC(C)N(C)Cc1cc2cccnc2cc1N(C)Cc1ccccn1")</f>
        <v>CC(C)N(C)Cc1cc2cccnc2cc1N(C)Cc1ccccn1</v>
      </c>
      <c r="C17175" s="7">
        <f>IFERROR(__xludf.DUMMYFUNCTION("""COMPUTED_VALUE"""),7.7330422)</f>
        <v>7.7330422</v>
      </c>
      <c r="D17175" s="7">
        <f>IFERROR(__xludf.DUMMYFUNCTION("""COMPUTED_VALUE"""),0.5)</f>
        <v>0.5</v>
      </c>
    </row>
    <row r="17176">
      <c r="A17176" s="10" t="s">
        <v>18615</v>
      </c>
      <c r="B17176" s="7" t="str">
        <f>IFERROR(__xludf.DUMMYFUNCTION("SPLIT(A17176,"" "")"),"CN(Cc1ccc(-c2ccc3ncccc3c2)cn1)C1CCCCC1N(C)c1ccc2nc(CF)ccc2c1")</f>
        <v>CN(Cc1ccc(-c2ccc3ncccc3c2)cn1)C1CCCCC1N(C)c1ccc2nc(CF)ccc2c1</v>
      </c>
      <c r="C17176" s="7">
        <f>IFERROR(__xludf.DUMMYFUNCTION("""COMPUTED_VALUE"""),7.733041)</f>
        <v>7.733041</v>
      </c>
      <c r="D17176" s="7">
        <f>IFERROR(__xludf.DUMMYFUNCTION("""COMPUTED_VALUE"""),0.439393939393939)</f>
        <v>0.4393939394</v>
      </c>
    </row>
    <row r="17177">
      <c r="A17177" s="10" t="s">
        <v>18616</v>
      </c>
      <c r="B17177" s="7" t="str">
        <f>IFERROR(__xludf.DUMMYFUNCTION("SPLIT(A17177,"" "")"),"CCN(Cc1ccccn1)c1ccc2c(CN(C)Cc3ncccc3C)ccnc2c1")</f>
        <v>CCN(Cc1ccccn1)c1ccc2c(CN(C)Cc3ncccc3C)ccnc2c1</v>
      </c>
      <c r="C17177" s="7">
        <f>IFERROR(__xludf.DUMMYFUNCTION("""COMPUTED_VALUE"""),7.7330294)</f>
        <v>7.7330294</v>
      </c>
      <c r="D17177" s="7">
        <f>IFERROR(__xludf.DUMMYFUNCTION("""COMPUTED_VALUE"""),0.366666666666666)</f>
        <v>0.3666666667</v>
      </c>
    </row>
    <row r="17178">
      <c r="A17178" s="10" t="s">
        <v>18617</v>
      </c>
      <c r="B17178" s="7" t="str">
        <f>IFERROR(__xludf.DUMMYFUNCTION("SPLIT(A17178,"" "")"),"CNc1ccccc1-c1ccc(C(C)(C)C)cn1")</f>
        <v>CNc1ccccc1-c1ccc(C(C)(C)C)cn1</v>
      </c>
      <c r="C17178" s="7">
        <f>IFERROR(__xludf.DUMMYFUNCTION("""COMPUTED_VALUE"""),7.7330246)</f>
        <v>7.7330246</v>
      </c>
      <c r="D17178" s="7">
        <f>IFERROR(__xludf.DUMMYFUNCTION("""COMPUTED_VALUE"""),0.215686274509803)</f>
        <v>0.2156862745</v>
      </c>
    </row>
    <row r="17179">
      <c r="A17179" s="10" t="s">
        <v>18618</v>
      </c>
      <c r="B17179" s="7" t="str">
        <f>IFERROR(__xludf.DUMMYFUNCTION("SPLIT(A17179,"" "")"),"Cc1c(-c2ccccc2)ccc(C2=C(c3ccccc3)C(c3ccccc3)=CCC2NCc2ccccn2)c1NCc1ccccn1")</f>
        <v>Cc1c(-c2ccccc2)ccc(C2=C(c3ccccc3)C(c3ccccc3)=CCC2NCc2ccccn2)c1NCc1ccccn1</v>
      </c>
      <c r="C17179" s="7">
        <f>IFERROR(__xludf.DUMMYFUNCTION("""COMPUTED_VALUE"""),7.7330246)</f>
        <v>7.7330246</v>
      </c>
      <c r="D17179" s="7">
        <f>IFERROR(__xludf.DUMMYFUNCTION("""COMPUTED_VALUE"""),0.4)</f>
        <v>0.4</v>
      </c>
    </row>
    <row r="17180">
      <c r="A17180" s="10" t="s">
        <v>18619</v>
      </c>
      <c r="B17180" s="7" t="str">
        <f>IFERROR(__xludf.DUMMYFUNCTION("SPLIT(A17180,"" "")"),"Cc1cc(CN(C)CCN(C)c2cccc3c(CF)ccnc23)nc(C)c1C")</f>
        <v>Cc1cc(CN(C)CCN(C)c2cccc3c(CF)ccnc23)nc(C)c1C</v>
      </c>
      <c r="C17180" s="7">
        <f>IFERROR(__xludf.DUMMYFUNCTION("""COMPUTED_VALUE"""),7.7330217)</f>
        <v>7.7330217</v>
      </c>
      <c r="D17180" s="7">
        <f>IFERROR(__xludf.DUMMYFUNCTION("""COMPUTED_VALUE"""),0.4)</f>
        <v>0.4</v>
      </c>
    </row>
    <row r="17181">
      <c r="A17181" s="10" t="s">
        <v>18620</v>
      </c>
      <c r="B17181" s="7" t="str">
        <f>IFERROR(__xludf.DUMMYFUNCTION("SPLIT(A17181,"" "")"),"CNCc1cccc(-c2cc(Cl)ccc2N)n1")</f>
        <v>CNCc1cccc(-c2cc(Cl)ccc2N)n1</v>
      </c>
      <c r="C17181" s="7">
        <f>IFERROR(__xludf.DUMMYFUNCTION("""COMPUTED_VALUE"""),7.733019)</f>
        <v>7.733019</v>
      </c>
      <c r="D17181" s="7">
        <f>IFERROR(__xludf.DUMMYFUNCTION("""COMPUTED_VALUE"""),0.264150943396226)</f>
        <v>0.2641509434</v>
      </c>
    </row>
    <row r="17182">
      <c r="A17182" s="10" t="s">
        <v>18621</v>
      </c>
      <c r="B17182" s="7" t="str">
        <f>IFERROR(__xludf.DUMMYFUNCTION("SPLIT(A17182,"" "")"),"Cc1cncc(-c2cccc(NCc3ccc(C(C)(C)C)cn3)c2)c1")</f>
        <v>Cc1cncc(-c2cccc(NCc3ccc(C(C)(C)C)cn3)c2)c1</v>
      </c>
      <c r="C17182" s="7">
        <f>IFERROR(__xludf.DUMMYFUNCTION("""COMPUTED_VALUE"""),7.7330117)</f>
        <v>7.7330117</v>
      </c>
      <c r="D17182" s="7">
        <f>IFERROR(__xludf.DUMMYFUNCTION("""COMPUTED_VALUE"""),0.242424242424242)</f>
        <v>0.2424242424</v>
      </c>
    </row>
    <row r="17183">
      <c r="A17183" s="10" t="s">
        <v>18622</v>
      </c>
      <c r="B17183" s="7" t="str">
        <f>IFERROR(__xludf.DUMMYFUNCTION("SPLIT(A17183,"" "")"),"Cc1ncccc1CN(C)Cc1ccc2c(C)cccc2n1")</f>
        <v>Cc1ncccc1CN(C)Cc1ccc2c(C)cccc2n1</v>
      </c>
      <c r="C17183" s="7">
        <f>IFERROR(__xludf.DUMMYFUNCTION("""COMPUTED_VALUE"""),7.7329984)</f>
        <v>7.7329984</v>
      </c>
      <c r="D17183" s="7">
        <f>IFERROR(__xludf.DUMMYFUNCTION("""COMPUTED_VALUE"""),0.408163265306122)</f>
        <v>0.4081632653</v>
      </c>
    </row>
    <row r="17184">
      <c r="A17184" s="10" t="s">
        <v>18623</v>
      </c>
      <c r="B17184" s="7" t="str">
        <f>IFERROR(__xludf.DUMMYFUNCTION("SPLIT(A17184,"" "")"),"Cc1ccc(N(C)CCN(C)C(C)C(C)C)c(-c2cccc(C)c2N(C)Cc2ccc3ncccc3c2)c1")</f>
        <v>Cc1ccc(N(C)CCN(C)C(C)C(C)C)c(-c2cccc(C)c2N(C)Cc2ccc3ncccc3c2)c1</v>
      </c>
      <c r="C17184" s="7">
        <f>IFERROR(__xludf.DUMMYFUNCTION("""COMPUTED_VALUE"""),7.7329907)</f>
        <v>7.7329907</v>
      </c>
      <c r="D17184" s="7">
        <f>IFERROR(__xludf.DUMMYFUNCTION("""COMPUTED_VALUE"""),0.328125)</f>
        <v>0.328125</v>
      </c>
    </row>
    <row r="17185">
      <c r="A17185" s="10" t="s">
        <v>18624</v>
      </c>
      <c r="B17185" s="7" t="str">
        <f>IFERROR(__xludf.DUMMYFUNCTION("SPLIT(A17185,"" "")"),"CN(c1ccc2cccnc2c1)C1CCC(N(C)c2ccc3ccc(CF)nc3c2)CC1")</f>
        <v>CN(c1ccc2cccnc2c1)C1CCC(N(C)c2ccc3ccc(CF)nc3c2)CC1</v>
      </c>
      <c r="C17185" s="7">
        <f>IFERROR(__xludf.DUMMYFUNCTION("""COMPUTED_VALUE"""),7.7329855)</f>
        <v>7.7329855</v>
      </c>
      <c r="D17185" s="7">
        <f>IFERROR(__xludf.DUMMYFUNCTION("""COMPUTED_VALUE"""),0.418181818181818)</f>
        <v>0.4181818182</v>
      </c>
    </row>
    <row r="17186">
      <c r="A17186" s="10" t="s">
        <v>18625</v>
      </c>
      <c r="B17186" s="7" t="str">
        <f>IFERROR(__xludf.DUMMYFUNCTION("SPLIT(A17186,"" "")"),"Cc1cc(-c2cccc(NCc3ccc(C(C)(C)C)cn3)c2)ccn1")</f>
        <v>Cc1cc(-c2cccc(NCc3ccc(C(C)(C)C)cn3)c2)ccn1</v>
      </c>
      <c r="C17186" s="7">
        <f>IFERROR(__xludf.DUMMYFUNCTION("""COMPUTED_VALUE"""),7.732984)</f>
        <v>7.732984</v>
      </c>
      <c r="D17186" s="7">
        <f>IFERROR(__xludf.DUMMYFUNCTION("""COMPUTED_VALUE"""),0.265625)</f>
        <v>0.265625</v>
      </c>
    </row>
    <row r="17187">
      <c r="A17187" s="10" t="s">
        <v>18626</v>
      </c>
      <c r="B17187" s="7" t="str">
        <f>IFERROR(__xludf.DUMMYFUNCTION("SPLIT(A17187,"" "")"),"CN(CC1=CNC=C(N(C)Cc2ccccn2)C1)Cc1cccc(-c2ccc(Cl)cc2N)n1")</f>
        <v>CN(CC1=CNC=C(N(C)Cc2ccccn2)C1)Cc1cccc(-c2ccc(Cl)cc2N)n1</v>
      </c>
      <c r="C17187" s="7">
        <f>IFERROR(__xludf.DUMMYFUNCTION("""COMPUTED_VALUE"""),7.732984)</f>
        <v>7.732984</v>
      </c>
      <c r="D17187" s="7">
        <f>IFERROR(__xludf.DUMMYFUNCTION("""COMPUTED_VALUE"""),0.444444444444444)</f>
        <v>0.4444444444</v>
      </c>
    </row>
    <row r="17188">
      <c r="A17188" s="10" t="s">
        <v>18627</v>
      </c>
      <c r="B17188" s="7" t="str">
        <f>IFERROR(__xludf.DUMMYFUNCTION("SPLIT(A17188,"" "")"),"Cc1cccnc1CN(C)C1=CNC(CN(C)Cc2cccc3cccnc23)=CC1")</f>
        <v>Cc1cccnc1CN(C)C1=CNC(CN(C)Cc2cccc3cccnc23)=CC1</v>
      </c>
      <c r="C17188" s="7">
        <f>IFERROR(__xludf.DUMMYFUNCTION("""COMPUTED_VALUE"""),7.7329826)</f>
        <v>7.7329826</v>
      </c>
      <c r="D17188" s="7">
        <f>IFERROR(__xludf.DUMMYFUNCTION("""COMPUTED_VALUE"""),0.481481481481481)</f>
        <v>0.4814814815</v>
      </c>
    </row>
    <row r="17189">
      <c r="A17189" s="10" t="s">
        <v>18628</v>
      </c>
      <c r="B17189" s="7" t="str">
        <f>IFERROR(__xludf.DUMMYFUNCTION("SPLIT(A17189,"" "")"),"Cc1cnc(CN(C)CCN(C)c2cccc3nccc(CN(C)C)c23)c(C)c1")</f>
        <v>Cc1cnc(CN(C)CCN(C)c2cccc3nccc(CN(C)C)c23)c(C)c1</v>
      </c>
      <c r="C17189" s="7">
        <f>IFERROR(__xludf.DUMMYFUNCTION("""COMPUTED_VALUE"""),7.732978)</f>
        <v>7.732978</v>
      </c>
      <c r="D17189" s="7">
        <f>IFERROR(__xludf.DUMMYFUNCTION("""COMPUTED_VALUE"""),0.321428571428571)</f>
        <v>0.3214285714</v>
      </c>
    </row>
    <row r="17190">
      <c r="A17190" s="10" t="s">
        <v>18629</v>
      </c>
      <c r="B17190" s="7" t="str">
        <f>IFERROR(__xludf.DUMMYFUNCTION("SPLIT(A17190,"" "")"),"CN(Cc1ccc2ncccc2c1)Cc1ccccc1N(C)C")</f>
        <v>CN(Cc1ccc2ncccc2c1)Cc1ccccc1N(C)C</v>
      </c>
      <c r="C17190" s="7">
        <f>IFERROR(__xludf.DUMMYFUNCTION("""COMPUTED_VALUE"""),7.732977)</f>
        <v>7.732977</v>
      </c>
      <c r="D17190" s="7">
        <f>IFERROR(__xludf.DUMMYFUNCTION("""COMPUTED_VALUE"""),0.416666666666666)</f>
        <v>0.4166666667</v>
      </c>
    </row>
    <row r="17191">
      <c r="A17191" s="10" t="s">
        <v>18630</v>
      </c>
      <c r="B17191" s="7" t="str">
        <f>IFERROR(__xludf.DUMMYFUNCTION("SPLIT(A17191,"" "")"),"CNCc1cc(-c2cc(C)c(C)cn2)ccn1")</f>
        <v>CNCc1cc(-c2cc(C)c(C)cn2)ccn1</v>
      </c>
      <c r="C17191" s="7">
        <f>IFERROR(__xludf.DUMMYFUNCTION("""COMPUTED_VALUE"""),7.732975)</f>
        <v>7.732975</v>
      </c>
      <c r="D17191" s="7">
        <f>IFERROR(__xludf.DUMMYFUNCTION("""COMPUTED_VALUE"""),0.26)</f>
        <v>0.26</v>
      </c>
    </row>
    <row r="17192">
      <c r="A17192" s="10" t="s">
        <v>18631</v>
      </c>
      <c r="B17192" s="7" t="str">
        <f>IFERROR(__xludf.DUMMYFUNCTION("SPLIT(A17192,"" "")"),"CN(Cc1ccccn1)c1cc2cccnc2cc1CN(Cc1ccccn1)C(C)(C)c1ccccn1")</f>
        <v>CN(Cc1ccccn1)c1cc2cccnc2cc1CN(Cc1ccccn1)C(C)(C)c1ccccn1</v>
      </c>
      <c r="C17192" s="7">
        <f>IFERROR(__xludf.DUMMYFUNCTION("""COMPUTED_VALUE"""),7.7329707)</f>
        <v>7.7329707</v>
      </c>
      <c r="D17192" s="7">
        <f>IFERROR(__xludf.DUMMYFUNCTION("""COMPUTED_VALUE"""),0.461538461538461)</f>
        <v>0.4615384615</v>
      </c>
    </row>
    <row r="17193">
      <c r="A17193" s="10" t="s">
        <v>18632</v>
      </c>
      <c r="B17193" s="7" t="str">
        <f>IFERROR(__xludf.DUMMYFUNCTION("SPLIT(A17193,"" "")"),"Cc1cnc(CN(CCN(C)c2ccc3nccc(C)c3c2)Cc2cc(C)c(C)c(C)n2)cc1C")</f>
        <v>Cc1cnc(CN(CCN(C)c2ccc3nccc(C)c3c2)Cc2cc(C)c(C)c(C)n2)cc1C</v>
      </c>
      <c r="C17193" s="7">
        <f>IFERROR(__xludf.DUMMYFUNCTION("""COMPUTED_VALUE"""),7.7329683)</f>
        <v>7.7329683</v>
      </c>
      <c r="D17193" s="7">
        <f>IFERROR(__xludf.DUMMYFUNCTION("""COMPUTED_VALUE"""),0.3)</f>
        <v>0.3</v>
      </c>
    </row>
    <row r="17194">
      <c r="A17194" s="10" t="s">
        <v>18633</v>
      </c>
      <c r="B17194" s="7" t="str">
        <f>IFERROR(__xludf.DUMMYFUNCTION("SPLIT(A17194,"" "")"),"CCCN(C)C1=CNC(N(C)Cc2ccccn2)C(N(C)c2ccc3ncccc3c2)=C1")</f>
        <v>CCCN(C)C1=CNC(N(C)Cc2ccccn2)C(N(C)c2ccc3ncccc3c2)=C1</v>
      </c>
      <c r="C17194" s="7">
        <f>IFERROR(__xludf.DUMMYFUNCTION("""COMPUTED_VALUE"""),7.7329597)</f>
        <v>7.7329597</v>
      </c>
      <c r="D17194" s="7">
        <f>IFERROR(__xludf.DUMMYFUNCTION("""COMPUTED_VALUE"""),0.34375)</f>
        <v>0.34375</v>
      </c>
    </row>
    <row r="17195">
      <c r="A17195" s="10" t="s">
        <v>18634</v>
      </c>
      <c r="B17195" s="7" t="str">
        <f>IFERROR(__xludf.DUMMYFUNCTION("SPLIT(A17195,"" "")"),"CNCCN(Cc1ccccn1)c1ccc2nccc(C)c2c1")</f>
        <v>CNCCN(Cc1ccccn1)c1ccc2nccc(C)c2c1</v>
      </c>
      <c r="C17195" s="7">
        <f>IFERROR(__xludf.DUMMYFUNCTION("""COMPUTED_VALUE"""),7.7329574)</f>
        <v>7.7329574</v>
      </c>
      <c r="D17195" s="7">
        <f>IFERROR(__xludf.DUMMYFUNCTION("""COMPUTED_VALUE"""),0.384615384615384)</f>
        <v>0.3846153846</v>
      </c>
    </row>
    <row r="17196">
      <c r="A17196" s="10" t="s">
        <v>18635</v>
      </c>
      <c r="B17196" s="7" t="str">
        <f>IFERROR(__xludf.DUMMYFUNCTION("SPLIT(A17196,"" "")"),"CC(C)C(C)(c1cccnc1)N(C)Cc1cccc(N(C)c2ccc3ncccc3c2)n1")</f>
        <v>CC(C)C(C)(c1cccnc1)N(C)Cc1cccc(N(C)c2ccc3ncccc3c2)n1</v>
      </c>
      <c r="C17196" s="7">
        <f>IFERROR(__xludf.DUMMYFUNCTION("""COMPUTED_VALUE"""),7.7329555)</f>
        <v>7.7329555</v>
      </c>
      <c r="D17196" s="7">
        <f>IFERROR(__xludf.DUMMYFUNCTION("""COMPUTED_VALUE"""),0.26865671641791)</f>
        <v>0.2686567164</v>
      </c>
    </row>
    <row r="17197">
      <c r="A17197" s="10" t="s">
        <v>18636</v>
      </c>
      <c r="B17197" s="7" t="str">
        <f>IFERROR(__xludf.DUMMYFUNCTION("SPLIT(A17197,"" "")"),"CC(C)(c1ccccn1)c1ncccc1CN(Cc1ccccn1)Cc1ncccc1-c1cccc(N=Cc2ccccn2)c1")</f>
        <v>CC(C)(c1ccccn1)c1ncccc1CN(Cc1ccccn1)Cc1ncccc1-c1cccc(N=Cc2ccccn2)c1</v>
      </c>
      <c r="C17197" s="7">
        <f>IFERROR(__xludf.DUMMYFUNCTION("""COMPUTED_VALUE"""),7.732952)</f>
        <v>7.732952</v>
      </c>
      <c r="D17197" s="7">
        <f>IFERROR(__xludf.DUMMYFUNCTION("""COMPUTED_VALUE"""),0.324675324675324)</f>
        <v>0.3246753247</v>
      </c>
    </row>
    <row r="17198">
      <c r="A17198" s="10" t="s">
        <v>18637</v>
      </c>
      <c r="B17198" s="7" t="str">
        <f>IFERROR(__xludf.DUMMYFUNCTION("SPLIT(A17198,"" "")"),"COC(=O)C1N=COC1c1cc(C2=NC(C)(C)CO2)ccn1")</f>
        <v>COC(=O)C1N=COC1c1cc(C2=NC(C)(C)CO2)ccn1</v>
      </c>
      <c r="C17198" s="7">
        <f>IFERROR(__xludf.DUMMYFUNCTION("""COMPUTED_VALUE"""),7.7329445)</f>
        <v>7.7329445</v>
      </c>
      <c r="D17198" s="7">
        <f>IFERROR(__xludf.DUMMYFUNCTION("""COMPUTED_VALUE"""),0.357142857142857)</f>
        <v>0.3571428571</v>
      </c>
    </row>
    <row r="17199">
      <c r="A17199" s="10" t="s">
        <v>18638</v>
      </c>
      <c r="B17199" s="7" t="str">
        <f>IFERROR(__xludf.DUMMYFUNCTION("SPLIT(A17199,"" "")"),"CN(c1cccc2ncccc12)C1CCC(N(Cc2ccccn2)c2cccc3ncccc23)CC1")</f>
        <v>CN(c1cccc2ncccc12)C1CCC(N(Cc2ccccn2)c2cccc3ncccc23)CC1</v>
      </c>
      <c r="C17199" s="7">
        <f>IFERROR(__xludf.DUMMYFUNCTION("""COMPUTED_VALUE"""),7.732941)</f>
        <v>7.732941</v>
      </c>
      <c r="D17199" s="7">
        <f>IFERROR(__xludf.DUMMYFUNCTION("""COMPUTED_VALUE"""),0.423076923076923)</f>
        <v>0.4230769231</v>
      </c>
    </row>
    <row r="17200">
      <c r="A17200" s="10" t="s">
        <v>18639</v>
      </c>
      <c r="B17200" s="7" t="str">
        <f>IFERROR(__xludf.DUMMYFUNCTION("SPLIT(A17200,"" "")"),"CN(CC1=CC(N(C)c2cccc3cccnc23)C=CN1)Cc1ccccn1")</f>
        <v>CN(CC1=CC(N(C)c2cccc3cccnc23)C=CN1)Cc1ccccn1</v>
      </c>
      <c r="C17200" s="7">
        <f>IFERROR(__xludf.DUMMYFUNCTION("""COMPUTED_VALUE"""),7.7329307)</f>
        <v>7.7329307</v>
      </c>
      <c r="D17200" s="7">
        <f>IFERROR(__xludf.DUMMYFUNCTION("""COMPUTED_VALUE"""),0.421052631578947)</f>
        <v>0.4210526316</v>
      </c>
    </row>
    <row r="17201">
      <c r="A17201" s="10" t="s">
        <v>18640</v>
      </c>
      <c r="B17201" s="7" t="str">
        <f>IFERROR(__xludf.DUMMYFUNCTION("SPLIT(A17201,"" "")"),"Cc1cc(C)c(CN(Cc2ccccn2)Cc2cccc(-c3cccc(N=Cc4ccccn4)c3)n2)nc1C")</f>
        <v>Cc1cc(C)c(CN(Cc2ccccn2)Cc2cccc(-c3cccc(N=Cc4ccccn4)c3)n2)nc1C</v>
      </c>
      <c r="C17201" s="7">
        <f>IFERROR(__xludf.DUMMYFUNCTION("""COMPUTED_VALUE"""),7.732929)</f>
        <v>7.732929</v>
      </c>
      <c r="D17201" s="7">
        <f>IFERROR(__xludf.DUMMYFUNCTION("""COMPUTED_VALUE"""),0.492307692307692)</f>
        <v>0.4923076923</v>
      </c>
    </row>
    <row r="17202">
      <c r="A17202" s="10" t="s">
        <v>18641</v>
      </c>
      <c r="B17202" s="7" t="str">
        <f>IFERROR(__xludf.DUMMYFUNCTION("SPLIT(A17202,"" "")"),"CN(Cc1ccccn1)C1=CNC(CN(C)c2ccc(Cl)c(Cl)c2)=CC1")</f>
        <v>CN(Cc1ccccn1)C1=CNC(CN(C)c2ccc(Cl)c(Cl)c2)=CC1</v>
      </c>
      <c r="C17202" s="7">
        <f>IFERROR(__xludf.DUMMYFUNCTION("""COMPUTED_VALUE"""),7.732923)</f>
        <v>7.732923</v>
      </c>
      <c r="D17202" s="7">
        <f>IFERROR(__xludf.DUMMYFUNCTION("""COMPUTED_VALUE"""),0.5)</f>
        <v>0.5</v>
      </c>
    </row>
    <row r="17203">
      <c r="A17203" s="10" t="s">
        <v>18642</v>
      </c>
      <c r="B17203" s="7" t="str">
        <f>IFERROR(__xludf.DUMMYFUNCTION("SPLIT(A17203,"" "")"),"CC(C)C1COC(c2cc(CN(Cc3ccccn3)Cc3cc(-c4cccc(N=Cc5ccccn5)c4)ccn3)ccn2)=N1")</f>
        <v>CC(C)C1COC(c2cc(CN(Cc3ccccn3)Cc3cc(-c4cccc(N=Cc5ccccn5)c4)ccn3)ccn2)=N1</v>
      </c>
      <c r="C17203" s="7">
        <f>IFERROR(__xludf.DUMMYFUNCTION("""COMPUTED_VALUE"""),7.7329216)</f>
        <v>7.7329216</v>
      </c>
      <c r="D17203" s="7">
        <f>IFERROR(__xludf.DUMMYFUNCTION("""COMPUTED_VALUE"""),0.313253012048192)</f>
        <v>0.313253012</v>
      </c>
    </row>
    <row r="17204">
      <c r="A17204" s="10" t="s">
        <v>18643</v>
      </c>
      <c r="B17204" s="7" t="str">
        <f>IFERROR(__xludf.DUMMYFUNCTION("SPLIT(A17204,"" "")"),"CN(c1ccc2ccc(CF)nc2c1)C1CCC(N(C)c2cccc3ncc(CF)cc23)CC1")</f>
        <v>CN(c1ccc2ccc(CF)nc2c1)C1CCC(N(C)c2cccc3ncc(CF)cc23)CC1</v>
      </c>
      <c r="C17204" s="7">
        <f>IFERROR(__xludf.DUMMYFUNCTION("""COMPUTED_VALUE"""),7.732918)</f>
        <v>7.732918</v>
      </c>
      <c r="D17204" s="7">
        <f>IFERROR(__xludf.DUMMYFUNCTION("""COMPUTED_VALUE"""),0.396825396825396)</f>
        <v>0.3968253968</v>
      </c>
    </row>
    <row r="17205">
      <c r="A17205" s="10" t="s">
        <v>18644</v>
      </c>
      <c r="B17205" s="7" t="str">
        <f>IFERROR(__xludf.DUMMYFUNCTION("SPLIT(A17205,"" "")"),"CC(C)(c1ccccn1)c1ncccc1CN(Cc1ccccn1)Cc1ncccc1-c1ccccc1N=Cc1ccccn1")</f>
        <v>CC(C)(c1ccccn1)c1ncccc1CN(Cc1ccccn1)Cc1ncccc1-c1ccccc1N=Cc1ccccn1</v>
      </c>
      <c r="C17205" s="7">
        <f>IFERROR(__xludf.DUMMYFUNCTION("""COMPUTED_VALUE"""),7.732915)</f>
        <v>7.732915</v>
      </c>
      <c r="D17205" s="7">
        <f>IFERROR(__xludf.DUMMYFUNCTION("""COMPUTED_VALUE"""),0.353846153846153)</f>
        <v>0.3538461538</v>
      </c>
    </row>
    <row r="17206">
      <c r="A17206" s="10" t="s">
        <v>18645</v>
      </c>
      <c r="B17206" s="7" t="str">
        <f>IFERROR(__xludf.DUMMYFUNCTION("SPLIT(A17206,"" "")"),"CN(c1ccc2ncccc2c1)C1CCC(N(C)c2ccc3cc(CF)cnc3c2)CC1")</f>
        <v>CN(c1ccc2ncccc2c1)C1CCC(N(C)c2ccc3cc(CF)cnc3c2)CC1</v>
      </c>
      <c r="C17206" s="7">
        <f>IFERROR(__xludf.DUMMYFUNCTION("""COMPUTED_VALUE"""),7.732913)</f>
        <v>7.732913</v>
      </c>
      <c r="D17206" s="7">
        <f>IFERROR(__xludf.DUMMYFUNCTION("""COMPUTED_VALUE"""),0.305084745762711)</f>
        <v>0.3050847458</v>
      </c>
    </row>
    <row r="17207">
      <c r="A17207" s="10" t="s">
        <v>18646</v>
      </c>
      <c r="B17207" s="7" t="str">
        <f>IFERROR(__xludf.DUMMYFUNCTION("SPLIT(A17207,"" "")"),"CC(C)c1cc(CN(Cc2ccccn2)C2CCC(N(C)c3ccc4nc(-c5ccc6ncccc6c5)ccc4c3)CC2)ccn1")</f>
        <v>CC(C)c1cc(CN(Cc2ccccn2)C2CCC(N(C)c3ccc4nc(-c5ccc6ncccc6c5)ccc4c3)CC2)ccn1</v>
      </c>
      <c r="C17207" s="7">
        <f>IFERROR(__xludf.DUMMYFUNCTION("""COMPUTED_VALUE"""),7.7329116)</f>
        <v>7.7329116</v>
      </c>
      <c r="D17207" s="7">
        <f>IFERROR(__xludf.DUMMYFUNCTION("""COMPUTED_VALUE"""),0.301369863013698)</f>
        <v>0.301369863</v>
      </c>
    </row>
    <row r="17208">
      <c r="A17208" s="10" t="s">
        <v>18647</v>
      </c>
      <c r="B17208" s="7" t="str">
        <f>IFERROR(__xludf.DUMMYFUNCTION("SPLIT(A17208,"" "")"),"Cc1cccnc1CN(C)c1cccc2cnc(CN(Cc3cccnc3)C(C)C)cc12")</f>
        <v>Cc1cccnc1CN(C)c1cccc2cnc(CN(Cc3cccnc3)C(C)C)cc12</v>
      </c>
      <c r="C17208" s="7">
        <f>IFERROR(__xludf.DUMMYFUNCTION("""COMPUTED_VALUE"""),7.7329087)</f>
        <v>7.7329087</v>
      </c>
      <c r="D17208" s="7">
        <f>IFERROR(__xludf.DUMMYFUNCTION("""COMPUTED_VALUE"""),0.32258064516129)</f>
        <v>0.3225806452</v>
      </c>
    </row>
    <row r="17209">
      <c r="A17209" s="10" t="s">
        <v>18648</v>
      </c>
      <c r="B17209" s="7" t="str">
        <f>IFERROR(__xludf.DUMMYFUNCTION("SPLIT(A17209,"" "")"),"Cc1cc(CN(Cc2ccc(-c3ccc(C)c(C)c3N(C)Cc3ccccn3)nc2)Cc2ccccn2)nc(C)c1C")</f>
        <v>Cc1cc(CN(Cc2ccc(-c3ccc(C)c(C)c3N(C)Cc3ccccn3)nc2)Cc2ccccn2)nc(C)c1C</v>
      </c>
      <c r="C17209" s="7">
        <f>IFERROR(__xludf.DUMMYFUNCTION("""COMPUTED_VALUE"""),7.7329082)</f>
        <v>7.7329082</v>
      </c>
      <c r="D17209" s="7">
        <f>IFERROR(__xludf.DUMMYFUNCTION("""COMPUTED_VALUE"""),0.363636363636363)</f>
        <v>0.3636363636</v>
      </c>
    </row>
    <row r="17210">
      <c r="A17210" s="10" t="s">
        <v>18649</v>
      </c>
      <c r="B17210" s="7" t="str">
        <f>IFERROR(__xludf.DUMMYFUNCTION("SPLIT(A17210,"" "")"),"CCN(Cc1ccccn1)c1ccc2ncccc2c1N(C)CC(C)(C)C")</f>
        <v>CCN(Cc1ccccn1)c1ccc2ncccc2c1N(C)CC(C)(C)C</v>
      </c>
      <c r="C17210" s="7">
        <f>IFERROR(__xludf.DUMMYFUNCTION("""COMPUTED_VALUE"""),7.7329073)</f>
        <v>7.7329073</v>
      </c>
      <c r="D17210" s="7">
        <f>IFERROR(__xludf.DUMMYFUNCTION("""COMPUTED_VALUE"""),0.442307692307692)</f>
        <v>0.4423076923</v>
      </c>
    </row>
    <row r="17211">
      <c r="A17211" s="10" t="s">
        <v>18650</v>
      </c>
      <c r="B17211" s="7" t="str">
        <f>IFERROR(__xludf.DUMMYFUNCTION("SPLIT(A17211,"" "")"),"Cc1ccc(CN(C)Cc2cccc(-c3cccc(N=Cc4ccccn4)c3)n2)cn1")</f>
        <v>Cc1ccc(CN(C)Cc2cccc(-c3cccc(N=Cc4ccccn4)c3)n2)cn1</v>
      </c>
      <c r="C17211" s="7">
        <f>IFERROR(__xludf.DUMMYFUNCTION("""COMPUTED_VALUE"""),7.732906)</f>
        <v>7.732906</v>
      </c>
      <c r="D17211" s="7">
        <f>IFERROR(__xludf.DUMMYFUNCTION("""COMPUTED_VALUE"""),0.426229508196721)</f>
        <v>0.4262295082</v>
      </c>
    </row>
    <row r="17212">
      <c r="A17212" s="10" t="s">
        <v>18651</v>
      </c>
      <c r="B17212" s="7" t="str">
        <f>IFERROR(__xludf.DUMMYFUNCTION("SPLIT(A17212,"" "")"),"CCN(c1cccc2cccnc12)C1CCC(N(C)c2ccc3nccc(CN(C)C)c3c2)CC1")</f>
        <v>CCN(c1cccc2cccnc12)C1CCC(N(C)c2ccc3nccc(CN(C)C)c3c2)CC1</v>
      </c>
      <c r="C17212" s="7">
        <f>IFERROR(__xludf.DUMMYFUNCTION("""COMPUTED_VALUE"""),7.732898)</f>
        <v>7.732898</v>
      </c>
      <c r="D17212" s="7">
        <f>IFERROR(__xludf.DUMMYFUNCTION("""COMPUTED_VALUE"""),0.396825396825396)</f>
        <v>0.3968253968</v>
      </c>
    </row>
    <row r="17213">
      <c r="A17213" s="10" t="s">
        <v>18652</v>
      </c>
      <c r="B17213" s="7" t="str">
        <f>IFERROR(__xludf.DUMMYFUNCTION("SPLIT(A17213,"" "")"),"C1=CC(N(Cc2ccccn2)Cc2ncccc2-c2ccccc2N=Cc2ccccn2)C=CN1")</f>
        <v>C1=CC(N(Cc2ccccn2)Cc2ncccc2-c2ccccc2N=Cc2ccccn2)C=CN1</v>
      </c>
      <c r="C17213" s="7">
        <f>IFERROR(__xludf.DUMMYFUNCTION("""COMPUTED_VALUE"""),7.7328906)</f>
        <v>7.7328906</v>
      </c>
      <c r="D17213" s="7">
        <f>IFERROR(__xludf.DUMMYFUNCTION("""COMPUTED_VALUE"""),0.385964912280701)</f>
        <v>0.3859649123</v>
      </c>
    </row>
    <row r="17214">
      <c r="A17214" s="10" t="s">
        <v>18653</v>
      </c>
      <c r="B17214" s="7" t="str">
        <f>IFERROR(__xludf.DUMMYFUNCTION("SPLIT(A17214,"" "")"),"CC(C)N(Cc1ccccn1)C1CCCC(N(C)c2ccc3nc(-c4ccc5cccnc5c4)ccc3c2)C1")</f>
        <v>CC(C)N(Cc1ccccn1)C1CCCC(N(C)c2ccc3nc(-c4ccc5cccnc5c4)ccc3c2)C1</v>
      </c>
      <c r="C17214" s="7">
        <f>IFERROR(__xludf.DUMMYFUNCTION("""COMPUTED_VALUE"""),7.7328844)</f>
        <v>7.7328844</v>
      </c>
      <c r="D17214" s="7">
        <f>IFERROR(__xludf.DUMMYFUNCTION("""COMPUTED_VALUE"""),0.343283582089552)</f>
        <v>0.3432835821</v>
      </c>
    </row>
    <row r="17215">
      <c r="A17215" s="10" t="s">
        <v>18654</v>
      </c>
      <c r="B17215" s="7" t="str">
        <f>IFERROR(__xludf.DUMMYFUNCTION("SPLIT(A17215,"" "")"),"Cc1nc(CN(C)CCN(C)c2cccc3ccc(CN(C)C)nc23)c(C)c(C)c1C")</f>
        <v>Cc1nc(CN(C)CCN(C)c2cccc3ccc(CN(C)C)nc23)c(C)c(C)c1C</v>
      </c>
      <c r="C17215" s="7">
        <f>IFERROR(__xludf.DUMMYFUNCTION("""COMPUTED_VALUE"""),7.7328806)</f>
        <v>7.7328806</v>
      </c>
      <c r="D17215" s="7">
        <f>IFERROR(__xludf.DUMMYFUNCTION("""COMPUTED_VALUE"""),0.411764705882352)</f>
        <v>0.4117647059</v>
      </c>
    </row>
    <row r="17216">
      <c r="A17216" s="10" t="s">
        <v>18655</v>
      </c>
      <c r="B17216" s="7" t="str">
        <f>IFERROR(__xludf.DUMMYFUNCTION("SPLIT(A17216,"" "")"),"CC(C)N(c1ccc2nccc(CF)c2c1)C1CCC(N(C)c2ccc3c(CF)ccnc3c2)CC1")</f>
        <v>CC(C)N(c1ccc2nccc(CF)c2c1)C1CCC(N(C)c2ccc3c(CF)ccnc3c2)CC1</v>
      </c>
      <c r="C17216" s="7">
        <f>IFERROR(__xludf.DUMMYFUNCTION("""COMPUTED_VALUE"""),7.7328787)</f>
        <v>7.7328787</v>
      </c>
      <c r="D17216" s="7">
        <f>IFERROR(__xludf.DUMMYFUNCTION("""COMPUTED_VALUE"""),0.214285714285714)</f>
        <v>0.2142857143</v>
      </c>
    </row>
    <row r="17217">
      <c r="A17217" s="10" t="s">
        <v>18656</v>
      </c>
      <c r="B17217" s="7" t="str">
        <f>IFERROR(__xludf.DUMMYFUNCTION("SPLIT(A17217,"" "")"),"Cc1cccnc1CN(C)Cc1ccc2cc(N(Cc3ccnc(C(C)C)c3)Cc3ccccn3)ccc2n1")</f>
        <v>Cc1cccnc1CN(C)Cc1ccc2cc(N(Cc3ccnc(C(C)C)c3)Cc3ccccn3)ccc2n1</v>
      </c>
      <c r="C17217" s="7">
        <f>IFERROR(__xludf.DUMMYFUNCTION("""COMPUTED_VALUE"""),7.7328763)</f>
        <v>7.7328763</v>
      </c>
      <c r="D17217" s="7">
        <f>IFERROR(__xludf.DUMMYFUNCTION("""COMPUTED_VALUE"""),0.369230769230769)</f>
        <v>0.3692307692</v>
      </c>
    </row>
    <row r="17218">
      <c r="A17218" s="10" t="s">
        <v>18657</v>
      </c>
      <c r="B17218" s="7" t="str">
        <f>IFERROR(__xludf.DUMMYFUNCTION("SPLIT(A17218,"" "")"),"Cc1cc(-c2ccccc2)c(C2=C(NCc3ccccn3)C(c3ccccc3)=CCC2c2ccccc2)cc1NCc1ccccn1")</f>
        <v>Cc1cc(-c2ccccc2)c(C2=C(NCc3ccccn3)C(c3ccccc3)=CCC2c2ccccc2)cc1NCc1ccccn1</v>
      </c>
      <c r="C17218" s="7">
        <f>IFERROR(__xludf.DUMMYFUNCTION("""COMPUTED_VALUE"""),7.7328696)</f>
        <v>7.7328696</v>
      </c>
      <c r="D17218" s="7">
        <f>IFERROR(__xludf.DUMMYFUNCTION("""COMPUTED_VALUE"""),0.373134328358209)</f>
        <v>0.3731343284</v>
      </c>
    </row>
    <row r="17219">
      <c r="A17219" s="10" t="s">
        <v>18658</v>
      </c>
      <c r="B17219" s="7" t="str">
        <f>IFERROR(__xludf.DUMMYFUNCTION("SPLIT(A17219,"" "")"),"Cc1ccnc(CNCN(C)c2ccc3ncccc3c2)c1")</f>
        <v>Cc1ccnc(CNCN(C)c2ccc3ncccc3c2)c1</v>
      </c>
      <c r="C17219" s="7">
        <f>IFERROR(__xludf.DUMMYFUNCTION("""COMPUTED_VALUE"""),7.7328672)</f>
        <v>7.7328672</v>
      </c>
      <c r="D17219" s="7">
        <f>IFERROR(__xludf.DUMMYFUNCTION("""COMPUTED_VALUE"""),0.309090909090909)</f>
        <v>0.3090909091</v>
      </c>
    </row>
    <row r="17220">
      <c r="A17220" s="10" t="s">
        <v>18659</v>
      </c>
      <c r="B17220" s="7" t="str">
        <f>IFERROR(__xludf.DUMMYFUNCTION("SPLIT(A17220,"" "")"),"CN(CC1=CC(N(C)C2C=CC=CN2)C=CN1)c1ccc2ncccc2c1")</f>
        <v>CN(CC1=CC(N(C)C2C=CC=CN2)C=CN1)c1ccc2ncccc2c1</v>
      </c>
      <c r="C17220" s="7">
        <f>IFERROR(__xludf.DUMMYFUNCTION("""COMPUTED_VALUE"""),7.732862)</f>
        <v>7.732862</v>
      </c>
      <c r="D17220" s="7">
        <f>IFERROR(__xludf.DUMMYFUNCTION("""COMPUTED_VALUE"""),0.294117647058823)</f>
        <v>0.2941176471</v>
      </c>
    </row>
    <row r="17221">
      <c r="A17221" s="10" t="s">
        <v>18660</v>
      </c>
      <c r="B17221" s="7" t="str">
        <f>IFERROR(__xludf.DUMMYFUNCTION("SPLIT(A17221,"" "")"),"C=Cc1ccc(CN(Cc2ccccn2)Cc2cc(-c3ccccc3N=Cc3ccccn3)ccn2)cc1")</f>
        <v>C=Cc1ccc(CN(Cc2ccccn2)Cc2cc(-c3ccccc3N=Cc3ccccn3)ccn2)cc1</v>
      </c>
      <c r="C17221" s="7">
        <f>IFERROR(__xludf.DUMMYFUNCTION("""COMPUTED_VALUE"""),7.7328615)</f>
        <v>7.7328615</v>
      </c>
      <c r="D17221" s="7">
        <f>IFERROR(__xludf.DUMMYFUNCTION("""COMPUTED_VALUE"""),0.492063492063492)</f>
        <v>0.4920634921</v>
      </c>
    </row>
    <row r="17222">
      <c r="A17222" s="10" t="s">
        <v>18661</v>
      </c>
      <c r="B17222" s="7" t="str">
        <f>IFERROR(__xludf.DUMMYFUNCTION("SPLIT(A17222,"" "")"),"CCN(Cc1ccccn1)c1ccc2cccnc2c1-c1cccnc1CN(Cc1ccccc1)Cc1ccccn1")</f>
        <v>CCN(Cc1ccccn1)c1ccc2cccnc2c1-c1cccnc1CN(Cc1ccccc1)Cc1ccccn1</v>
      </c>
      <c r="C17222" s="7">
        <f>IFERROR(__xludf.DUMMYFUNCTION("""COMPUTED_VALUE"""),7.732859)</f>
        <v>7.732859</v>
      </c>
      <c r="D17222" s="7">
        <f>IFERROR(__xludf.DUMMYFUNCTION("""COMPUTED_VALUE"""),0.389830508474576)</f>
        <v>0.3898305085</v>
      </c>
    </row>
    <row r="17223">
      <c r="A17223" s="10" t="s">
        <v>18662</v>
      </c>
      <c r="B17223" s="7" t="str">
        <f>IFERROR(__xludf.DUMMYFUNCTION("SPLIT(A17223,"" "")"),"CCCN(Cc1ccccn1)c1cc2cccnc2cc1N(Cc1ccccn1)Cc1cccc(F)n1")</f>
        <v>CCCN(Cc1ccccn1)c1cc2cccnc2cc1N(Cc1ccccn1)Cc1cccc(F)n1</v>
      </c>
      <c r="C17223" s="7">
        <f>IFERROR(__xludf.DUMMYFUNCTION("""COMPUTED_VALUE"""),7.732857)</f>
        <v>7.732857</v>
      </c>
      <c r="D17223" s="7">
        <f>IFERROR(__xludf.DUMMYFUNCTION("""COMPUTED_VALUE"""),0.4)</f>
        <v>0.4</v>
      </c>
    </row>
    <row r="17224">
      <c r="A17224" s="10" t="s">
        <v>18663</v>
      </c>
      <c r="B17224" s="7" t="str">
        <f>IFERROR(__xludf.DUMMYFUNCTION("SPLIT(A17224,"" "")"),"CNCc1ccc2cccc(N(C)C3CCC(N(C)Cc4cc(-c5ccc6ncccc6c5)ccn4)CC3)c2n1")</f>
        <v>CNCc1ccc2cccc(N(C)C3CCC(N(C)Cc4cc(-c5ccc6ncccc6c5)ccn4)CC3)c2n1</v>
      </c>
      <c r="C17224" s="7">
        <f>IFERROR(__xludf.DUMMYFUNCTION("""COMPUTED_VALUE"""),7.7328568)</f>
        <v>7.7328568</v>
      </c>
      <c r="D17224" s="7">
        <f>IFERROR(__xludf.DUMMYFUNCTION("""COMPUTED_VALUE"""),0.361111111111111)</f>
        <v>0.3611111111</v>
      </c>
    </row>
    <row r="17225">
      <c r="A17225" s="10" t="s">
        <v>18664</v>
      </c>
      <c r="B17225" s="7" t="str">
        <f>IFERROR(__xludf.DUMMYFUNCTION("SPLIT(A17225,"" "")"),"CN(c1ccc2ncccc2c1)C1CCC(N(C)c2ccc3ccc(CF)nc3c2)CC1")</f>
        <v>CN(c1ccc2ncccc2c1)C1CCC(N(C)c2ccc3ccc(CF)nc3c2)CC1</v>
      </c>
      <c r="C17225" s="7">
        <f>IFERROR(__xludf.DUMMYFUNCTION("""COMPUTED_VALUE"""),7.732853)</f>
        <v>7.732853</v>
      </c>
      <c r="D17225" s="7">
        <f>IFERROR(__xludf.DUMMYFUNCTION("""COMPUTED_VALUE"""),0.403508771929824)</f>
        <v>0.4035087719</v>
      </c>
    </row>
    <row r="17226">
      <c r="A17226" s="10" t="s">
        <v>18665</v>
      </c>
      <c r="B17226" s="7" t="str">
        <f>IFERROR(__xludf.DUMMYFUNCTION("SPLIT(A17226,"" "")"),"Cc1ccc(C)c(CN(C)CCN(C)c2ccc3c(CN(C)C)ccnc3c2)n1")</f>
        <v>Cc1ccc(C)c(CN(C)CCN(C)c2ccc3c(CN(C)C)ccnc3c2)n1</v>
      </c>
      <c r="C17226" s="7">
        <f>IFERROR(__xludf.DUMMYFUNCTION("""COMPUTED_VALUE"""),7.732841)</f>
        <v>7.732841</v>
      </c>
      <c r="D17226" s="7">
        <f>IFERROR(__xludf.DUMMYFUNCTION("""COMPUTED_VALUE"""),0.309090909090909)</f>
        <v>0.3090909091</v>
      </c>
    </row>
    <row r="17227">
      <c r="A17227" s="10" t="s">
        <v>18666</v>
      </c>
      <c r="B17227" s="7" t="str">
        <f>IFERROR(__xludf.DUMMYFUNCTION("SPLIT(A17227,"" "")"),"CC(C)NCc1ccc(-c2cccc(N=Cc3ccccn3)c2)cn1")</f>
        <v>CC(C)NCc1ccc(-c2cccc(N=Cc3ccccn3)c2)cn1</v>
      </c>
      <c r="C17227" s="7">
        <f>IFERROR(__xludf.DUMMYFUNCTION("""COMPUTED_VALUE"""),7.73284)</f>
        <v>7.73284</v>
      </c>
      <c r="D17227" s="7">
        <f>IFERROR(__xludf.DUMMYFUNCTION("""COMPUTED_VALUE"""),0.362068965517241)</f>
        <v>0.3620689655</v>
      </c>
    </row>
    <row r="17228">
      <c r="A17228" s="10" t="s">
        <v>18667</v>
      </c>
      <c r="B17228" s="7" t="str">
        <f>IFERROR(__xludf.DUMMYFUNCTION("SPLIT(A17228,"" "")"),"Cc1cccnc1CN(C)Cc1ccc2cccnc2c1C")</f>
        <v>Cc1cccnc1CN(C)Cc1ccc2cccnc2c1C</v>
      </c>
      <c r="C17228" s="7">
        <f>IFERROR(__xludf.DUMMYFUNCTION("""COMPUTED_VALUE"""),7.7328396)</f>
        <v>7.7328396</v>
      </c>
      <c r="D17228" s="7">
        <f>IFERROR(__xludf.DUMMYFUNCTION("""COMPUTED_VALUE"""),0.5)</f>
        <v>0.5</v>
      </c>
    </row>
    <row r="17229">
      <c r="A17229" s="10" t="s">
        <v>18668</v>
      </c>
      <c r="B17229" s="7" t="str">
        <f>IFERROR(__xludf.DUMMYFUNCTION("SPLIT(A17229,"" "")"),"Cc1cncc(-c2ccccc2NCc2ccccn2)c1")</f>
        <v>Cc1cncc(-c2ccccc2NCc2ccccn2)c1</v>
      </c>
      <c r="C17229" s="7">
        <f>IFERROR(__xludf.DUMMYFUNCTION("""COMPUTED_VALUE"""),7.7328362)</f>
        <v>7.7328362</v>
      </c>
      <c r="D17229" s="7">
        <f>IFERROR(__xludf.DUMMYFUNCTION("""COMPUTED_VALUE"""),0.4)</f>
        <v>0.4</v>
      </c>
    </row>
    <row r="17230">
      <c r="A17230" s="10" t="s">
        <v>18669</v>
      </c>
      <c r="B17230" s="7" t="str">
        <f>IFERROR(__xludf.DUMMYFUNCTION("SPLIT(A17230,"" "")"),"CCCN(CC1=CCC(N(C)Cc2ccccn2)=CN1)c1cccc2ncccc12")</f>
        <v>CCCN(CC1=CCC(N(C)Cc2ccccn2)=CN1)c1cccc2ncccc12</v>
      </c>
      <c r="C17230" s="7">
        <f>IFERROR(__xludf.DUMMYFUNCTION("""COMPUTED_VALUE"""),7.7328353)</f>
        <v>7.7328353</v>
      </c>
      <c r="D17230" s="7">
        <f>IFERROR(__xludf.DUMMYFUNCTION("""COMPUTED_VALUE"""),0.349206349206349)</f>
        <v>0.3492063492</v>
      </c>
    </row>
    <row r="17231">
      <c r="A17231" s="10" t="s">
        <v>18670</v>
      </c>
      <c r="B17231" s="7" t="str">
        <f>IFERROR(__xludf.DUMMYFUNCTION("SPLIT(A17231,"" "")"),"Cc1cccnc1CN(C)CCN(C)c1cccc2c(C)ccnc12")</f>
        <v>Cc1cccnc1CN(C)CCN(C)c1cccc2c(C)ccnc12</v>
      </c>
      <c r="C17231" s="7">
        <f>IFERROR(__xludf.DUMMYFUNCTION("""COMPUTED_VALUE"""),7.7328277)</f>
        <v>7.7328277</v>
      </c>
      <c r="D17231" s="7">
        <f>IFERROR(__xludf.DUMMYFUNCTION("""COMPUTED_VALUE"""),0.5)</f>
        <v>0.5</v>
      </c>
    </row>
    <row r="17232">
      <c r="A17232" s="10" t="s">
        <v>18671</v>
      </c>
      <c r="B17232" s="7" t="str">
        <f>IFERROR(__xludf.DUMMYFUNCTION("SPLIT(A17232,"" "")"),"Cc1cccc(-c2ccc(CN(C)Cc3cc(C(C)(c4ccccn4)c4ccccn4)ccn3)cc2)n1")</f>
        <v>Cc1cccc(-c2ccc(CN(C)Cc3cc(C(C)(c4ccccn4)c4ccccn4)ccn3)cc2)n1</v>
      </c>
      <c r="C17232" s="7">
        <f>IFERROR(__xludf.DUMMYFUNCTION("""COMPUTED_VALUE"""),7.7328277)</f>
        <v>7.7328277</v>
      </c>
      <c r="D17232" s="7">
        <f>IFERROR(__xludf.DUMMYFUNCTION("""COMPUTED_VALUE"""),0.406779661016949)</f>
        <v>0.406779661</v>
      </c>
    </row>
    <row r="17233">
      <c r="A17233" s="10" t="s">
        <v>18672</v>
      </c>
      <c r="B17233" s="7" t="str">
        <f>IFERROR(__xludf.DUMMYFUNCTION("SPLIT(A17233,"" "")"),"Cc1ccc(CN(C)Cc2cc(-c3cccc(N(C)Cc4ccccn4)c3)ccn2)nc1C")</f>
        <v>Cc1ccc(CN(C)Cc2cc(-c3cccc(N(C)Cc4ccccn4)c3)ccn2)nc1C</v>
      </c>
      <c r="C17233" s="7">
        <f>IFERROR(__xludf.DUMMYFUNCTION("""COMPUTED_VALUE"""),7.732821)</f>
        <v>7.732821</v>
      </c>
      <c r="D17233" s="7">
        <f>IFERROR(__xludf.DUMMYFUNCTION("""COMPUTED_VALUE"""),0.462962962962962)</f>
        <v>0.462962963</v>
      </c>
    </row>
    <row r="17234">
      <c r="A17234" s="10" t="s">
        <v>18673</v>
      </c>
      <c r="B17234" s="7" t="str">
        <f>IFERROR(__xludf.DUMMYFUNCTION("SPLIT(A17234,"" "")"),"CN(C)CCN(C)c1ccc2nc(CF)ccc2c1")</f>
        <v>CN(C)CCN(C)c1ccc2nc(CF)ccc2c1</v>
      </c>
      <c r="C17234" s="7">
        <f>IFERROR(__xludf.DUMMYFUNCTION("""COMPUTED_VALUE"""),7.7328205)</f>
        <v>7.7328205</v>
      </c>
      <c r="D17234" s="7">
        <f>IFERROR(__xludf.DUMMYFUNCTION("""COMPUTED_VALUE"""),0.326923076923076)</f>
        <v>0.3269230769</v>
      </c>
    </row>
    <row r="17235">
      <c r="A17235" s="10" t="s">
        <v>18674</v>
      </c>
      <c r="B17235" s="7" t="str">
        <f>IFERROR(__xludf.DUMMYFUNCTION("SPLIT(A17235,"" "")"),"Cc1ccc(CN(C)Cc2ccc(-c3cccc(N=Cc4ccccn4)c3)nc2)cn1")</f>
        <v>Cc1ccc(CN(C)Cc2ccc(-c3cccc(N=Cc4ccccn4)c3)nc2)cn1</v>
      </c>
      <c r="C17235" s="7">
        <f>IFERROR(__xludf.DUMMYFUNCTION("""COMPUTED_VALUE"""),7.7328186)</f>
        <v>7.7328186</v>
      </c>
      <c r="D17235" s="7">
        <f>IFERROR(__xludf.DUMMYFUNCTION("""COMPUTED_VALUE"""),0.366666666666666)</f>
        <v>0.3666666667</v>
      </c>
    </row>
    <row r="17236">
      <c r="A17236" s="10" t="s">
        <v>18675</v>
      </c>
      <c r="B17236" s="7" t="str">
        <f>IFERROR(__xludf.DUMMYFUNCTION("SPLIT(A17236,"" "")"),"CC(C)N(Cc1ccccn1)C1CCC(N(C)c2ccc3cc(-c4ccc5cccnc5c4)cnc3c2)CC1")</f>
        <v>CC(C)N(Cc1ccccn1)C1CCC(N(C)c2ccc3cc(-c4ccc5cccnc5c4)cnc3c2)CC1</v>
      </c>
      <c r="C17236" s="7">
        <f>IFERROR(__xludf.DUMMYFUNCTION("""COMPUTED_VALUE"""),7.7328134)</f>
        <v>7.7328134</v>
      </c>
      <c r="D17236" s="7">
        <f>IFERROR(__xludf.DUMMYFUNCTION("""COMPUTED_VALUE"""),0.365079365079365)</f>
        <v>0.3650793651</v>
      </c>
    </row>
    <row r="17237">
      <c r="A17237" s="10" t="s">
        <v>18676</v>
      </c>
      <c r="B17237" s="7" t="str">
        <f>IFERROR(__xludf.DUMMYFUNCTION("SPLIT(A17237,"" "")"),"Cc1cccnc1CN(C)Cc1cc(-c2ccccc2N(C)C)ccn1")</f>
        <v>Cc1cccnc1CN(C)Cc1cc(-c2ccccc2N(C)C)ccn1</v>
      </c>
      <c r="C17237" s="7">
        <f>IFERROR(__xludf.DUMMYFUNCTION("""COMPUTED_VALUE"""),7.732813)</f>
        <v>7.732813</v>
      </c>
      <c r="D17237" s="7">
        <f>IFERROR(__xludf.DUMMYFUNCTION("""COMPUTED_VALUE"""),0.345454545454545)</f>
        <v>0.3454545455</v>
      </c>
    </row>
    <row r="17238">
      <c r="A17238" s="10" t="s">
        <v>18677</v>
      </c>
      <c r="B17238" s="7" t="str">
        <f>IFERROR(__xludf.DUMMYFUNCTION("SPLIT(A17238,"" "")"),"COC(=O)C1CC(C(=O)C(=O)C(=O)C(=O)C(=O)C(=O)C(=O)C(=O)C(=O)C(=O)C(=O)C(=O)C(=O)C(=O)C(=O)C(=O)C(=O)C(=O)C(=O)C(=O)C(=O)C(=O)C(=O)C(=O)C(=O)C(=O)C(=O)C(=O)C(=O)C(=O)C(=O)C=O)C(C(=O)NCc2ccccn2)N(C)C1")</f>
        <v>COC(=O)C1CC(C(=O)C(=O)C(=O)C(=O)C(=O)C(=O)C(=O)C(=O)C(=O)C(=O)C(=O)C(=O)C(=O)C(=O)C(=O)C(=O)C(=O)C(=O)C(=O)C(=O)C(=O)C(=O)C(=O)C(=O)C(=O)C(=O)C(=O)C(=O)C(=O)C(=O)C(=O)C=O)C(C(=O)NCc2ccccn2)N(C)C1</v>
      </c>
      <c r="C17238" s="7">
        <f>IFERROR(__xludf.DUMMYFUNCTION("""COMPUTED_VALUE"""),7.732813)</f>
        <v>7.732813</v>
      </c>
      <c r="D17238" s="7">
        <f>IFERROR(__xludf.DUMMYFUNCTION("""COMPUTED_VALUE"""),0.285714285714285)</f>
        <v>0.2857142857</v>
      </c>
    </row>
    <row r="17239">
      <c r="A17239" s="10" t="s">
        <v>18678</v>
      </c>
      <c r="B17239" s="7" t="str">
        <f>IFERROR(__xludf.DUMMYFUNCTION("SPLIT(A17239,"" "")"),"CN(Cc1cc(-c2cccc(N(C)C)c2)ccn1)Cc1cc(C(C)(C)C)ccn1")</f>
        <v>CN(Cc1cc(-c2cccc(N(C)C)c2)ccn1)Cc1cc(C(C)(C)C)ccn1</v>
      </c>
      <c r="C17239" s="7">
        <f>IFERROR(__xludf.DUMMYFUNCTION("""COMPUTED_VALUE"""),7.732807)</f>
        <v>7.732807</v>
      </c>
      <c r="D17239" s="7">
        <f>IFERROR(__xludf.DUMMYFUNCTION("""COMPUTED_VALUE"""),0.346153846153846)</f>
        <v>0.3461538462</v>
      </c>
    </row>
    <row r="17240">
      <c r="A17240" s="10" t="s">
        <v>18679</v>
      </c>
      <c r="B17240" s="7" t="str">
        <f>IFERROR(__xludf.DUMMYFUNCTION("SPLIT(A17240,"" "")"),"CN(Cc1ccc(N)cn1)Cc1cccc(-c2ccc(N(C)C)cc2)n1")</f>
        <v>CN(Cc1ccc(N)cn1)Cc1cccc(-c2ccc(N(C)C)cc2)n1</v>
      </c>
      <c r="C17240" s="7">
        <f>IFERROR(__xludf.DUMMYFUNCTION("""COMPUTED_VALUE"""),7.7328053)</f>
        <v>7.7328053</v>
      </c>
      <c r="D17240" s="7">
        <f>IFERROR(__xludf.DUMMYFUNCTION("""COMPUTED_VALUE"""),0.46938775510204)</f>
        <v>0.4693877551</v>
      </c>
    </row>
    <row r="17241">
      <c r="A17241" s="10" t="s">
        <v>18680</v>
      </c>
      <c r="B17241" s="7" t="str">
        <f>IFERROR(__xludf.DUMMYFUNCTION("SPLIT(A17241,"" "")"),"CN(c1ccc2ncc(CF)cc2c1)C1CCC(N(C)c2ccc3cccnc3c2)CC1")</f>
        <v>CN(c1ccc2ncc(CF)cc2c1)C1CCC(N(C)c2ccc3cccnc3c2)CC1</v>
      </c>
      <c r="C17241" s="7">
        <f>IFERROR(__xludf.DUMMYFUNCTION("""COMPUTED_VALUE"""),7.732798)</f>
        <v>7.732798</v>
      </c>
      <c r="D17241" s="7">
        <f>IFERROR(__xludf.DUMMYFUNCTION("""COMPUTED_VALUE"""),0.295081967213114)</f>
        <v>0.2950819672</v>
      </c>
    </row>
    <row r="17242">
      <c r="A17242" s="10" t="s">
        <v>18681</v>
      </c>
      <c r="B17242" s="7" t="str">
        <f>IFERROR(__xludf.DUMMYFUNCTION("SPLIT(A17242,"" "")"),"Cc1nc(CN(Cc2ccccn2)Cc2ccc(-c3cccc(N(C)C)c3)cn2)c(C)c(C)c1C")</f>
        <v>Cc1nc(CN(Cc2ccccn2)Cc2ccc(-c3cccc(N(C)C)c3)cn2)c(C)c(C)c1C</v>
      </c>
      <c r="C17242" s="7">
        <f>IFERROR(__xludf.DUMMYFUNCTION("""COMPUTED_VALUE"""),7.732791)</f>
        <v>7.732791</v>
      </c>
      <c r="D17242" s="7">
        <f>IFERROR(__xludf.DUMMYFUNCTION("""COMPUTED_VALUE"""),0.4)</f>
        <v>0.4</v>
      </c>
    </row>
    <row r="17243">
      <c r="A17243" s="10" t="s">
        <v>18682</v>
      </c>
      <c r="B17243" s="7" t="str">
        <f>IFERROR(__xludf.DUMMYFUNCTION("SPLIT(A17243,"" "")"),"CCOC1(C)COC(c2cccc(CN(Cc3ccccn3)Cc3cccc(-c4cccc(N=Cc5ccccn5)c4)n3)n2)=N1")</f>
        <v>CCOC1(C)COC(c2cccc(CN(Cc3ccccn3)Cc3cccc(-c4cccc(N=Cc5ccccn5)c4)n3)n2)=N1</v>
      </c>
      <c r="C17243" s="7">
        <f>IFERROR(__xludf.DUMMYFUNCTION("""COMPUTED_VALUE"""),7.732789)</f>
        <v>7.732789</v>
      </c>
      <c r="D17243" s="7">
        <f>IFERROR(__xludf.DUMMYFUNCTION("""COMPUTED_VALUE"""),0.445945945945945)</f>
        <v>0.4459459459</v>
      </c>
    </row>
    <row r="17244">
      <c r="A17244" s="10" t="s">
        <v>18683</v>
      </c>
      <c r="B17244" s="7" t="str">
        <f>IFERROR(__xludf.DUMMYFUNCTION("SPLIT(A17244,"" "")"),"Cc1cccnc1CN(C)c1cc(Cl)c(Cl)cc1N(C)C1CCCCC1N(C)c1ccc2cccnc2c1")</f>
        <v>Cc1cccnc1CN(C)c1cc(Cl)c(Cl)cc1N(C)C1CCCCC1N(C)c1ccc2cccnc2c1</v>
      </c>
      <c r="C17244" s="7">
        <f>IFERROR(__xludf.DUMMYFUNCTION("""COMPUTED_VALUE"""),7.7327886)</f>
        <v>7.7327886</v>
      </c>
      <c r="D17244" s="7">
        <f>IFERROR(__xludf.DUMMYFUNCTION("""COMPUTED_VALUE"""),0.433333333333333)</f>
        <v>0.4333333333</v>
      </c>
    </row>
    <row r="17245">
      <c r="A17245" s="10" t="s">
        <v>18684</v>
      </c>
      <c r="B17245" s="7" t="str">
        <f>IFERROR(__xludf.DUMMYFUNCTION("SPLIT(A17245,"" "")"),"CN(CC1=CC(N(C)C2C=CC=CN2)C=CN1)c1ccc2cccnc2c1")</f>
        <v>CN(CC1=CC(N(C)C2C=CC=CN2)C=CN1)c1ccc2cccnc2c1</v>
      </c>
      <c r="C17245" s="7">
        <f>IFERROR(__xludf.DUMMYFUNCTION("""COMPUTED_VALUE"""),7.7327867)</f>
        <v>7.7327867</v>
      </c>
      <c r="D17245" s="7">
        <f>IFERROR(__xludf.DUMMYFUNCTION("""COMPUTED_VALUE"""),0.289855072463768)</f>
        <v>0.2898550725</v>
      </c>
    </row>
    <row r="17246">
      <c r="A17246" s="10" t="s">
        <v>18685</v>
      </c>
      <c r="B17246" s="7" t="str">
        <f>IFERROR(__xludf.DUMMYFUNCTION("SPLIT(A17246,"" "")"),"CN(c1ccc2nc3c(cc2c1)CCC3)C1CCC(N(C)c2ccc3nc4c(cc3c2)CCC4)CC1")</f>
        <v>CN(c1ccc2nc3c(cc2c1)CCC3)C1CCC(N(C)c2ccc3nc4c(cc3c2)CCC4)CC1</v>
      </c>
      <c r="C17246" s="7">
        <f>IFERROR(__xludf.DUMMYFUNCTION("""COMPUTED_VALUE"""),7.732782)</f>
        <v>7.732782</v>
      </c>
      <c r="D17246" s="7">
        <f>IFERROR(__xludf.DUMMYFUNCTION("""COMPUTED_VALUE"""),0.450980392156862)</f>
        <v>0.4509803922</v>
      </c>
    </row>
    <row r="17247">
      <c r="A17247" s="10" t="s">
        <v>18686</v>
      </c>
      <c r="B17247" s="7" t="str">
        <f>IFERROR(__xludf.DUMMYFUNCTION("SPLIT(A17247,"" "")"),"Cc1cc(CN(C)CCN(C)c2ccc3nccc(CF)c3c2)nc(C)c1C")</f>
        <v>Cc1cc(CN(C)CCN(C)c2ccc3nccc(CF)c3c2)nc(C)c1C</v>
      </c>
      <c r="C17247" s="7">
        <f>IFERROR(__xludf.DUMMYFUNCTION("""COMPUTED_VALUE"""),7.732779)</f>
        <v>7.732779</v>
      </c>
      <c r="D17247" s="7">
        <f>IFERROR(__xludf.DUMMYFUNCTION("""COMPUTED_VALUE"""),0.303571428571428)</f>
        <v>0.3035714286</v>
      </c>
    </row>
    <row r="17248">
      <c r="A17248" s="10" t="s">
        <v>18687</v>
      </c>
      <c r="B17248" s="7" t="str">
        <f>IFERROR(__xludf.DUMMYFUNCTION("SPLIT(A17248,"" "")"),"Cc1cccc(-c2cccc(NCc3ccc(C(C)(C)C)cn3)c2)n1")</f>
        <v>Cc1cccc(-c2cccc(NCc3ccc(C(C)(C)C)cn3)c2)n1</v>
      </c>
      <c r="C17248" s="7">
        <f>IFERROR(__xludf.DUMMYFUNCTION("""COMPUTED_VALUE"""),7.7327766)</f>
        <v>7.7327766</v>
      </c>
      <c r="D17248" s="7">
        <f>IFERROR(__xludf.DUMMYFUNCTION("""COMPUTED_VALUE"""),0.272727272727272)</f>
        <v>0.2727272727</v>
      </c>
    </row>
    <row r="17249">
      <c r="A17249" s="10" t="s">
        <v>18688</v>
      </c>
      <c r="B17249" s="7" t="str">
        <f>IFERROR(__xludf.DUMMYFUNCTION("SPLIT(A17249,"" "")"),"Cc1ccc(CN(C)Cc2ccc(-c3cccc(N=Cc4ccccn4)c3)cn2)c(C)c1")</f>
        <v>Cc1ccc(CN(C)Cc2ccc(-c3cccc(N=Cc4ccccn4)c3)cn2)c(C)c1</v>
      </c>
      <c r="C17249" s="7">
        <f>IFERROR(__xludf.DUMMYFUNCTION("""COMPUTED_VALUE"""),7.732772)</f>
        <v>7.732772</v>
      </c>
      <c r="D17249" s="7">
        <f>IFERROR(__xludf.DUMMYFUNCTION("""COMPUTED_VALUE"""),0.359375)</f>
        <v>0.359375</v>
      </c>
    </row>
    <row r="17250">
      <c r="A17250" s="10" t="s">
        <v>18689</v>
      </c>
      <c r="B17250" s="7" t="str">
        <f>IFERROR(__xludf.DUMMYFUNCTION("SPLIT(A17250,"" "")"),"CN(Cc1ncccc1-c1cccc(N=Cc2ccccn2)c1)Cc1ncccc1C(C)(C)C")</f>
        <v>CN(Cc1ncccc1-c1cccc(N=Cc2ccccn2)c1)Cc1ncccc1C(C)(C)C</v>
      </c>
      <c r="C17250" s="7">
        <f>IFERROR(__xludf.DUMMYFUNCTION("""COMPUTED_VALUE"""),7.7327647)</f>
        <v>7.7327647</v>
      </c>
      <c r="D17250" s="7">
        <f>IFERROR(__xludf.DUMMYFUNCTION("""COMPUTED_VALUE"""),0.338709677419354)</f>
        <v>0.3387096774</v>
      </c>
    </row>
    <row r="17251">
      <c r="A17251" s="10" t="s">
        <v>18690</v>
      </c>
      <c r="B17251" s="7" t="str">
        <f>IFERROR(__xludf.DUMMYFUNCTION("SPLIT(A17251,"" "")"),"CC1(C)CCC1c1cccc(C2=NC(=O)C(C(C)(c3ccccn3)c3ccccn3)O2)n1")</f>
        <v>CC1(C)CCC1c1cccc(C2=NC(=O)C(C(C)(c3ccccn3)c3ccccn3)O2)n1</v>
      </c>
      <c r="C17251" s="7">
        <f>IFERROR(__xludf.DUMMYFUNCTION("""COMPUTED_VALUE"""),7.7327423)</f>
        <v>7.7327423</v>
      </c>
      <c r="D17251" s="7">
        <f>IFERROR(__xludf.DUMMYFUNCTION("""COMPUTED_VALUE"""),0.3)</f>
        <v>0.3</v>
      </c>
    </row>
    <row r="17252">
      <c r="A17252" s="10" t="s">
        <v>18691</v>
      </c>
      <c r="B17252" s="7" t="str">
        <f>IFERROR(__xludf.DUMMYFUNCTION("SPLIT(A17252,"" "")"),"CC(C)C(C)(c1cccnc1)c1cccc(CN(Cc2ccccn2)c2ccc3ncccc3c2)n1")</f>
        <v>CC(C)C(C)(c1cccnc1)c1cccc(CN(Cc2ccccn2)c2ccc3ncccc3c2)n1</v>
      </c>
      <c r="C17252" s="7">
        <f>IFERROR(__xludf.DUMMYFUNCTION("""COMPUTED_VALUE"""),7.7327266)</f>
        <v>7.7327266</v>
      </c>
      <c r="D17252" s="7">
        <f>IFERROR(__xludf.DUMMYFUNCTION("""COMPUTED_VALUE"""),0.34375)</f>
        <v>0.34375</v>
      </c>
    </row>
    <row r="17253">
      <c r="A17253" s="10" t="s">
        <v>18692</v>
      </c>
      <c r="B17253" s="7" t="str">
        <f>IFERROR(__xludf.DUMMYFUNCTION("SPLIT(A17253,"" "")"),"CCN(c1cccc2cc3c(nc12)CCC3)C1CCC(N(C)c2ccc3c(CN(C)C)ccnc3c2)CC1")</f>
        <v>CCN(c1cccc2cc3c(nc12)CCC3)C1CCC(N(C)c2ccc3c(CN(C)C)ccnc3c2)CC1</v>
      </c>
      <c r="C17253" s="7">
        <f>IFERROR(__xludf.DUMMYFUNCTION("""COMPUTED_VALUE"""),7.732722)</f>
        <v>7.732722</v>
      </c>
      <c r="D17253" s="7">
        <f>IFERROR(__xludf.DUMMYFUNCTION("""COMPUTED_VALUE"""),0.463768115942029)</f>
        <v>0.4637681159</v>
      </c>
    </row>
    <row r="17254">
      <c r="A17254" s="10" t="s">
        <v>18693</v>
      </c>
      <c r="B17254" s="7" t="str">
        <f>IFERROR(__xludf.DUMMYFUNCTION("SPLIT(A17254,"" "")"),"CCN(Cc1ccccn1)c1ccc2nc(CN(C)Cc3nc(C)c(C)cc3C)ccc2c1")</f>
        <v>CCN(Cc1ccccn1)c1ccc2nc(CN(C)Cc3nc(C)c(C)cc3C)ccc2c1</v>
      </c>
      <c r="C17254" s="7">
        <f>IFERROR(__xludf.DUMMYFUNCTION("""COMPUTED_VALUE"""),7.732721)</f>
        <v>7.732721</v>
      </c>
      <c r="D17254" s="7">
        <f>IFERROR(__xludf.DUMMYFUNCTION("""COMPUTED_VALUE"""),0.421052631578947)</f>
        <v>0.4210526316</v>
      </c>
    </row>
    <row r="17255">
      <c r="A17255" s="10" t="s">
        <v>18694</v>
      </c>
      <c r="B17255" s="7" t="str">
        <f>IFERROR(__xludf.DUMMYFUNCTION("SPLIT(A17255,"" "")"),"CN(Cc1cc(-c2ccc3ncccc3c2)ccn1)C1CCCCC1N(C)c1ccc2nc(CF)ccc2c1")</f>
        <v>CN(Cc1cc(-c2ccc3ncccc3c2)ccn1)C1CCCCC1N(C)c1ccc2nc(CF)ccc2c1</v>
      </c>
      <c r="C17255" s="7">
        <f>IFERROR(__xludf.DUMMYFUNCTION("""COMPUTED_VALUE"""),7.7327166)</f>
        <v>7.7327166</v>
      </c>
      <c r="D17255" s="7">
        <f>IFERROR(__xludf.DUMMYFUNCTION("""COMPUTED_VALUE"""),0.439393939393939)</f>
        <v>0.4393939394</v>
      </c>
    </row>
    <row r="17256">
      <c r="A17256" s="10" t="s">
        <v>18695</v>
      </c>
      <c r="B17256" s="7" t="str">
        <f>IFERROR(__xludf.DUMMYFUNCTION("SPLIT(A17256,"" "")"),"Cc1cccc2nc(CN(C)Cc3cc(N)ccn3)ccc12")</f>
        <v>Cc1cccc2nc(CN(C)Cc3cc(N)ccn3)ccc12</v>
      </c>
      <c r="C17256" s="7">
        <f>IFERROR(__xludf.DUMMYFUNCTION("""COMPUTED_VALUE"""),7.7327104)</f>
        <v>7.7327104</v>
      </c>
      <c r="D17256" s="7">
        <f>IFERROR(__xludf.DUMMYFUNCTION("""COMPUTED_VALUE"""),0.384615384615384)</f>
        <v>0.3846153846</v>
      </c>
    </row>
    <row r="17257">
      <c r="A17257" s="10" t="s">
        <v>18696</v>
      </c>
      <c r="B17257" s="7" t="str">
        <f>IFERROR(__xludf.DUMMYFUNCTION("SPLIT(A17257,"" "")"),"CCNCc1cccc(-c2cc(C)ccc2N=Cc2ccccn2)n1")</f>
        <v>CCNCc1cccc(-c2cc(C)ccc2N=Cc2ccccn2)n1</v>
      </c>
      <c r="C17257" s="7">
        <f>IFERROR(__xludf.DUMMYFUNCTION("""COMPUTED_VALUE"""),7.7327037)</f>
        <v>7.7327037</v>
      </c>
      <c r="D17257" s="7">
        <f>IFERROR(__xludf.DUMMYFUNCTION("""COMPUTED_VALUE"""),0.421052631578947)</f>
        <v>0.4210526316</v>
      </c>
    </row>
    <row r="17258">
      <c r="A17258" s="10" t="s">
        <v>18697</v>
      </c>
      <c r="B17258" s="7" t="str">
        <f>IFERROR(__xludf.DUMMYFUNCTION("SPLIT(A17258,"" "")"),"Cc1cc(CN(C)CCN(C)c2cccc3ncccc23)nc(C)c1C")</f>
        <v>Cc1cc(CN(C)CCN(C)c2cccc3ncccc23)nc(C)c1C</v>
      </c>
      <c r="C17258" s="7">
        <f>IFERROR(__xludf.DUMMYFUNCTION("""COMPUTED_VALUE"""),7.73267)</f>
        <v>7.73267</v>
      </c>
      <c r="D17258" s="7">
        <f>IFERROR(__xludf.DUMMYFUNCTION("""COMPUTED_VALUE"""),0.431372549019607)</f>
        <v>0.431372549</v>
      </c>
    </row>
    <row r="17259">
      <c r="A17259" s="10" t="s">
        <v>18698</v>
      </c>
      <c r="B17259" s="7" t="str">
        <f>IFERROR(__xludf.DUMMYFUNCTION("SPLIT(A17259,"" "")"),"CC(C)N(C)CC1=CCC=C(N(C)c2cccc3ncccc23)N1")</f>
        <v>CC(C)N(C)CC1=CCC=C(N(C)c2cccc3ncccc23)N1</v>
      </c>
      <c r="C17259" s="7">
        <f>IFERROR(__xludf.DUMMYFUNCTION("""COMPUTED_VALUE"""),7.7326665)</f>
        <v>7.7326665</v>
      </c>
      <c r="D17259" s="7">
        <f>IFERROR(__xludf.DUMMYFUNCTION("""COMPUTED_VALUE"""),0.285714285714285)</f>
        <v>0.2857142857</v>
      </c>
    </row>
    <row r="17260">
      <c r="A17260" s="10" t="s">
        <v>18699</v>
      </c>
      <c r="B17260" s="7" t="str">
        <f>IFERROR(__xludf.DUMMYFUNCTION("SPLIT(A17260,"" "")"),"Cc1ccc(CN(C)c2cccc(C)c2-c2cc(CN(Cc3ccccn3)Cc3ncccc3C)ccn2)nc1C")</f>
        <v>Cc1ccc(CN(C)c2cccc(C)c2-c2cc(CN(Cc3ccccn3)Cc3ncccc3C)ccn2)nc1C</v>
      </c>
      <c r="C17260" s="7">
        <f>IFERROR(__xludf.DUMMYFUNCTION("""COMPUTED_VALUE"""),7.7326627)</f>
        <v>7.7326627</v>
      </c>
      <c r="D17260" s="7">
        <f>IFERROR(__xludf.DUMMYFUNCTION("""COMPUTED_VALUE"""),0.384615384615384)</f>
        <v>0.3846153846</v>
      </c>
    </row>
    <row r="17261">
      <c r="A17261" s="10" t="s">
        <v>18700</v>
      </c>
      <c r="B17261" s="7" t="str">
        <f>IFERROR(__xludf.DUMMYFUNCTION("SPLIT(A17261,"" "")"),"Cc1ccc(N)c(-c2ncccc2CN(C)C)c1")</f>
        <v>Cc1ccc(N)c(-c2ncccc2CN(C)C)c1</v>
      </c>
      <c r="C17261" s="7">
        <f>IFERROR(__xludf.DUMMYFUNCTION("""COMPUTED_VALUE"""),7.73266)</f>
        <v>7.73266</v>
      </c>
      <c r="D17261" s="7">
        <f>IFERROR(__xludf.DUMMYFUNCTION("""COMPUTED_VALUE"""),0.326530612244897)</f>
        <v>0.3265306122</v>
      </c>
    </row>
    <row r="17262">
      <c r="A17262" s="10" t="s">
        <v>18701</v>
      </c>
      <c r="B17262" s="7" t="str">
        <f>IFERROR(__xludf.DUMMYFUNCTION("SPLIT(A17262,"" "")"),"CN(C)c1ccccc1C1=C(NCc2ccccn2)C=CNC1")</f>
        <v>CN(C)c1ccccc1C1=C(NCc2ccccn2)C=CNC1</v>
      </c>
      <c r="C17262" s="7">
        <f>IFERROR(__xludf.DUMMYFUNCTION("""COMPUTED_VALUE"""),7.7326555)</f>
        <v>7.7326555</v>
      </c>
      <c r="D17262" s="7">
        <f>IFERROR(__xludf.DUMMYFUNCTION("""COMPUTED_VALUE"""),0.34)</f>
        <v>0.34</v>
      </c>
    </row>
    <row r="17263">
      <c r="A17263" s="10" t="s">
        <v>18702</v>
      </c>
      <c r="B17263" s="7" t="str">
        <f>IFERROR(__xludf.DUMMYFUNCTION("SPLIT(A17263,"" "")"),"CC(C)N(Cc1ccccn1)Cc1ccc2cccc(N(C)Cc3cc(N(C)C(C)(C)c4ccccn4)ccn3)c2n1")</f>
        <v>CC(C)N(Cc1ccccn1)Cc1ccc2cccc(N(C)Cc3cc(N(C)C(C)(C)c4ccccn4)ccn3)c2n1</v>
      </c>
      <c r="C17263" s="7">
        <f>IFERROR(__xludf.DUMMYFUNCTION("""COMPUTED_VALUE"""),7.732643)</f>
        <v>7.732643</v>
      </c>
      <c r="D17263" s="7">
        <f>IFERROR(__xludf.DUMMYFUNCTION("""COMPUTED_VALUE"""),0.393442622950819)</f>
        <v>0.393442623</v>
      </c>
    </row>
    <row r="17264">
      <c r="A17264" s="10" t="s">
        <v>18703</v>
      </c>
      <c r="B17264" s="7" t="str">
        <f>IFERROR(__xludf.DUMMYFUNCTION("SPLIT(A17264,"" "")"),"CCN(Cc1ccccn1)Cc1ccc2cccc(N(C)CC3=Cc4ncccc4C(C)C3C3=NCC(C)(C)O3)c2n1")</f>
        <v>CCN(Cc1ccccn1)Cc1ccc2cccc(N(C)CC3=Cc4ncccc4C(C)C3C3=NCC(C)(C)O3)c2n1</v>
      </c>
      <c r="C17264" s="7">
        <f>IFERROR(__xludf.DUMMYFUNCTION("""COMPUTED_VALUE"""),7.7326303)</f>
        <v>7.7326303</v>
      </c>
      <c r="D17264" s="7">
        <f>IFERROR(__xludf.DUMMYFUNCTION("""COMPUTED_VALUE"""),0.311688311688311)</f>
        <v>0.3116883117</v>
      </c>
    </row>
    <row r="17265">
      <c r="A17265" s="10" t="s">
        <v>18704</v>
      </c>
      <c r="B17265" s="7" t="str">
        <f>IFERROR(__xludf.DUMMYFUNCTION("SPLIT(A17265,"" "")"),"Cc1cccnc1CN(C)c1ccc2nc(CN(C)C(C)C)ccc2c1")</f>
        <v>Cc1cccnc1CN(C)c1ccc2nc(CN(C)C(C)C)ccc2c1</v>
      </c>
      <c r="C17265" s="7">
        <f>IFERROR(__xludf.DUMMYFUNCTION("""COMPUTED_VALUE"""),7.7326255)</f>
        <v>7.7326255</v>
      </c>
      <c r="D17265" s="7">
        <f>IFERROR(__xludf.DUMMYFUNCTION("""COMPUTED_VALUE"""),0.339285714285714)</f>
        <v>0.3392857143</v>
      </c>
    </row>
    <row r="17266">
      <c r="A17266" s="10" t="s">
        <v>18705</v>
      </c>
      <c r="B17266" s="7" t="str">
        <f>IFERROR(__xludf.DUMMYFUNCTION("SPLIT(A17266,"" "")"),"CN(c1ccc2ncccc2c1)C1CCC(N(C)c2ccc3ncc(CF)cc3c2)CC1")</f>
        <v>CN(c1ccc2ncccc2c1)C1CCC(N(C)c2ccc3ncc(CF)cc3c2)CC1</v>
      </c>
      <c r="C17266" s="7">
        <f>IFERROR(__xludf.DUMMYFUNCTION("""COMPUTED_VALUE"""),7.7326164)</f>
        <v>7.7326164</v>
      </c>
      <c r="D17266" s="7">
        <f>IFERROR(__xludf.DUMMYFUNCTION("""COMPUTED_VALUE"""),0.31578947368421)</f>
        <v>0.3157894737</v>
      </c>
    </row>
    <row r="17267">
      <c r="A17267" s="10" t="s">
        <v>18706</v>
      </c>
      <c r="B17267" s="7" t="str">
        <f>IFERROR(__xludf.DUMMYFUNCTION("SPLIT(A17267,"" "")"),"CN(CC1=CCC(N(C)Cc2ccccn2)=CN1)Cc1cccc(-c2cccc(N(C)C)c2)n1")</f>
        <v>CN(CC1=CCC(N(C)Cc2ccccn2)=CN1)Cc1cccc(-c2cccc(N(C)C)c2)n1</v>
      </c>
      <c r="C17267" s="7">
        <f>IFERROR(__xludf.DUMMYFUNCTION("""COMPUTED_VALUE"""),7.7326117)</f>
        <v>7.7326117</v>
      </c>
      <c r="D17267" s="7">
        <f>IFERROR(__xludf.DUMMYFUNCTION("""COMPUTED_VALUE"""),0.482758620689655)</f>
        <v>0.4827586207</v>
      </c>
    </row>
    <row r="17268">
      <c r="A17268" s="10" t="s">
        <v>18707</v>
      </c>
      <c r="B17268" s="7" t="str">
        <f>IFERROR(__xludf.DUMMYFUNCTION("SPLIT(A17268,"" "")"),"CCNCc1cccc(-c2ccc(C)cc2N=Cc2ccccn2)n1")</f>
        <v>CCNCc1cccc(-c2ccc(C)cc2N=Cc2ccccn2)n1</v>
      </c>
      <c r="C17268" s="7">
        <f>IFERROR(__xludf.DUMMYFUNCTION("""COMPUTED_VALUE"""),7.7326083)</f>
        <v>7.7326083</v>
      </c>
      <c r="D17268" s="7">
        <f>IFERROR(__xludf.DUMMYFUNCTION("""COMPUTED_VALUE"""),0.421052631578947)</f>
        <v>0.4210526316</v>
      </c>
    </row>
    <row r="17269">
      <c r="A17269" s="10" t="s">
        <v>18708</v>
      </c>
      <c r="B17269" s="7" t="str">
        <f>IFERROR(__xludf.DUMMYFUNCTION("SPLIT(A17269,"" "")"),"Cc1cccc(CN(Cc2ncccc2C)Cc2ncccc2-c2cccc(N=Cc3ccccn3)c2)n1")</f>
        <v>Cc1cccc(CN(Cc2ncccc2C)Cc2ncccc2-c2cccc(N=Cc3ccccn3)c2)n1</v>
      </c>
      <c r="C17269" s="7">
        <f>IFERROR(__xludf.DUMMYFUNCTION("""COMPUTED_VALUE"""),7.7326045)</f>
        <v>7.7326045</v>
      </c>
      <c r="D17269" s="7">
        <f>IFERROR(__xludf.DUMMYFUNCTION("""COMPUTED_VALUE"""),0.375)</f>
        <v>0.375</v>
      </c>
    </row>
    <row r="17270">
      <c r="A17270" s="10" t="s">
        <v>18709</v>
      </c>
      <c r="B17270" s="7" t="str">
        <f>IFERROR(__xludf.DUMMYFUNCTION("SPLIT(A17270,"" "")"),"Cc1ccc(C(C)(c2ccccn2)c2ncccc2CN(Cc2ccccn2)C2CCCCC2N(C)c2cccc3nccc(CN(C)C)c23)c2ncccc12")</f>
        <v>Cc1ccc(C(C)(c2ccccn2)c2ncccc2CN(Cc2ccccn2)C2CCCCC2N(C)c2cccc3nccc(CN(C)C)c23)c2ncccc12</v>
      </c>
      <c r="C17270" s="7">
        <f>IFERROR(__xludf.DUMMYFUNCTION("""COMPUTED_VALUE"""),7.732601)</f>
        <v>7.732601</v>
      </c>
      <c r="D17270" s="7">
        <f>IFERROR(__xludf.DUMMYFUNCTION("""COMPUTED_VALUE"""),0.325301204819277)</f>
        <v>0.3253012048</v>
      </c>
    </row>
    <row r="17271">
      <c r="A17271" s="10" t="s">
        <v>18710</v>
      </c>
      <c r="B17271" s="7" t="str">
        <f>IFERROR(__xludf.DUMMYFUNCTION("SPLIT(A17271,"" "")"),"CN(CC1=CC(N(C)c2ccc3cccnc3c2)C=CN1)Cc1cccnc1")</f>
        <v>CN(CC1=CC(N(C)c2ccc3cccnc3c2)C=CN1)Cc1cccnc1</v>
      </c>
      <c r="C17271" s="7">
        <f>IFERROR(__xludf.DUMMYFUNCTION("""COMPUTED_VALUE"""),7.732598)</f>
        <v>7.732598</v>
      </c>
      <c r="D17271" s="7">
        <f>IFERROR(__xludf.DUMMYFUNCTION("""COMPUTED_VALUE"""),0.294117647058823)</f>
        <v>0.2941176471</v>
      </c>
    </row>
    <row r="17272">
      <c r="A17272" s="10" t="s">
        <v>18711</v>
      </c>
      <c r="B17272" s="7" t="str">
        <f>IFERROR(__xludf.DUMMYFUNCTION("SPLIT(A17272,"" "")"),"CN(CC1=CCC=C(N(C)Cc2ccccn2)N1)Cc1ccc2ncccc2c1")</f>
        <v>CN(CC1=CCC=C(N(C)Cc2ccccn2)N1)Cc1ccc2ncccc2c1</v>
      </c>
      <c r="C17272" s="7">
        <f>IFERROR(__xludf.DUMMYFUNCTION("""COMPUTED_VALUE"""),7.732596)</f>
        <v>7.732596</v>
      </c>
      <c r="D17272" s="7">
        <f>IFERROR(__xludf.DUMMYFUNCTION("""COMPUTED_VALUE"""),0.372881355932203)</f>
        <v>0.3728813559</v>
      </c>
    </row>
    <row r="17273">
      <c r="A17273" s="10" t="s">
        <v>18712</v>
      </c>
      <c r="B17273" s="7" t="str">
        <f>IFERROR(__xludf.DUMMYFUNCTION("SPLIT(A17273,"" "")"),"Cc1cnc(CN(Cc2ncccc2C)Cc2ncccc2-c2cccc(N(C)C)c2)c(C)c1")</f>
        <v>Cc1cnc(CN(Cc2ncccc2C)Cc2ncccc2-c2cccc(N(C)C)c2)c(C)c1</v>
      </c>
      <c r="C17273" s="7">
        <f>IFERROR(__xludf.DUMMYFUNCTION("""COMPUTED_VALUE"""),7.732594)</f>
        <v>7.732594</v>
      </c>
      <c r="D17273" s="7">
        <f>IFERROR(__xludf.DUMMYFUNCTION("""COMPUTED_VALUE"""),0.264705882352941)</f>
        <v>0.2647058824</v>
      </c>
    </row>
    <row r="17274">
      <c r="A17274" s="10" t="s">
        <v>18713</v>
      </c>
      <c r="B17274" s="7" t="str">
        <f>IFERROR(__xludf.DUMMYFUNCTION("SPLIT(A17274,"" "")"),"Cc1cnc(CN(C)CCN(C)c2ccc3nccc(CN(C)C)c3c2)c(C)c1")</f>
        <v>Cc1cnc(CN(C)CCN(C)c2ccc3nccc(CN(C)C)c3c2)c(C)c1</v>
      </c>
      <c r="C17274" s="7">
        <f>IFERROR(__xludf.DUMMYFUNCTION("""COMPUTED_VALUE"""),7.7325897)</f>
        <v>7.7325897</v>
      </c>
      <c r="D17274" s="7">
        <f>IFERROR(__xludf.DUMMYFUNCTION("""COMPUTED_VALUE"""),0.327272727272727)</f>
        <v>0.3272727273</v>
      </c>
    </row>
    <row r="17275">
      <c r="A17275" s="10" t="s">
        <v>18714</v>
      </c>
      <c r="B17275" s="7" t="str">
        <f>IFERROR(__xludf.DUMMYFUNCTION("SPLIT(A17275,"" "")"),"Cc1cncc(CN(C)Cc2cc(-c3cccc(N(C)C)c3)ccn2)c1")</f>
        <v>Cc1cncc(CN(C)Cc2cc(-c3cccc(N(C)C)c3)ccn2)c1</v>
      </c>
      <c r="C17275" s="7">
        <f>IFERROR(__xludf.DUMMYFUNCTION("""COMPUTED_VALUE"""),7.732582)</f>
        <v>7.732582</v>
      </c>
      <c r="D17275" s="7">
        <f>IFERROR(__xludf.DUMMYFUNCTION("""COMPUTED_VALUE"""),0.31578947368421)</f>
        <v>0.3157894737</v>
      </c>
    </row>
    <row r="17276">
      <c r="A17276" s="10" t="s">
        <v>18715</v>
      </c>
      <c r="B17276" s="7" t="str">
        <f>IFERROR(__xludf.DUMMYFUNCTION("SPLIT(A17276,"" "")"),"Cc1cccc(CN2CCCC2c2cccc(-c3cccnc3C3=NC(c4ccccn4)CO3)n2)n1")</f>
        <v>Cc1cccc(CN2CCCC2c2cccc(-c3cccnc3C3=NC(c4ccccn4)CO3)n2)n1</v>
      </c>
      <c r="C17276" s="7">
        <f>IFERROR(__xludf.DUMMYFUNCTION("""COMPUTED_VALUE"""),7.7325816)</f>
        <v>7.7325816</v>
      </c>
      <c r="D17276" s="7">
        <f>IFERROR(__xludf.DUMMYFUNCTION("""COMPUTED_VALUE"""),0.43076923076923)</f>
        <v>0.4307692308</v>
      </c>
    </row>
    <row r="17277">
      <c r="A17277" s="10" t="s">
        <v>18716</v>
      </c>
      <c r="B17277" s="7" t="str">
        <f>IFERROR(__xludf.DUMMYFUNCTION("SPLIT(A17277,"" "")"),"Cc1cccc2nc(CN(C)Cc3ncccc3N)ccc12")</f>
        <v>Cc1cccc2nc(CN(C)Cc3ncccc3N)ccc12</v>
      </c>
      <c r="C17277" s="7">
        <f>IFERROR(__xludf.DUMMYFUNCTION("""COMPUTED_VALUE"""),7.7325797)</f>
        <v>7.7325797</v>
      </c>
      <c r="D17277" s="7">
        <f>IFERROR(__xludf.DUMMYFUNCTION("""COMPUTED_VALUE"""),0.377358490566037)</f>
        <v>0.3773584906</v>
      </c>
    </row>
    <row r="17278">
      <c r="A17278" s="10" t="s">
        <v>18717</v>
      </c>
      <c r="B17278" s="7" t="str">
        <f>IFERROR(__xludf.DUMMYFUNCTION("SPLIT(A17278,"" "")"),"Cc1nc(CN(C)CCN(C)c2cccc3nccc(CF)c23)c(C)c(C)c1C")</f>
        <v>Cc1nc(CN(C)CCN(C)c2cccc3nccc(CF)c23)c(C)c(C)c1C</v>
      </c>
      <c r="C17278" s="7">
        <f>IFERROR(__xludf.DUMMYFUNCTION("""COMPUTED_VALUE"""),7.732578)</f>
        <v>7.732578</v>
      </c>
      <c r="D17278" s="7">
        <f>IFERROR(__xludf.DUMMYFUNCTION("""COMPUTED_VALUE"""),0.333333333333333)</f>
        <v>0.3333333333</v>
      </c>
    </row>
    <row r="17279">
      <c r="A17279" s="10" t="s">
        <v>18718</v>
      </c>
      <c r="B17279" s="7" t="str">
        <f>IFERROR(__xludf.DUMMYFUNCTION("SPLIT(A17279,"" "")"),"Cc1ccc(CN(C)Cc2cc(-c3cccc(N=Cc4ccccn4)c3)ccn2)cc1C")</f>
        <v>Cc1ccc(CN(C)Cc2cc(-c3cccc(N=Cc4ccccn4)c3)ccn2)cc1C</v>
      </c>
      <c r="C17279" s="7">
        <f>IFERROR(__xludf.DUMMYFUNCTION("""COMPUTED_VALUE"""),7.732578)</f>
        <v>7.732578</v>
      </c>
      <c r="D17279" s="7">
        <f>IFERROR(__xludf.DUMMYFUNCTION("""COMPUTED_VALUE"""),0.377049180327868)</f>
        <v>0.3770491803</v>
      </c>
    </row>
    <row r="17280">
      <c r="A17280" s="10" t="s">
        <v>18719</v>
      </c>
      <c r="B17280" s="7" t="str">
        <f>IFERROR(__xludf.DUMMYFUNCTION("SPLIT(A17280,"" "")"),"Cc1cccc2ncc(CN(C)Cc3ncccc3N)cc12")</f>
        <v>Cc1cccc2ncc(CN(C)Cc3ncccc3N)cc12</v>
      </c>
      <c r="C17280" s="7">
        <f>IFERROR(__xludf.DUMMYFUNCTION("""COMPUTED_VALUE"""),7.732575)</f>
        <v>7.732575</v>
      </c>
      <c r="D17280" s="7">
        <f>IFERROR(__xludf.DUMMYFUNCTION("""COMPUTED_VALUE"""),0.285714285714285)</f>
        <v>0.2857142857</v>
      </c>
    </row>
    <row r="17281">
      <c r="A17281" s="10" t="s">
        <v>18720</v>
      </c>
      <c r="B17281" s="7" t="str">
        <f>IFERROR(__xludf.DUMMYFUNCTION("SPLIT(A17281,"" "")"),"Cc1ccc(-c2cccc(NCc3ccccn3)c2)cn1")</f>
        <v>Cc1ccc(-c2cccc(NCc3ccccn3)c2)cn1</v>
      </c>
      <c r="C17281" s="7">
        <f>IFERROR(__xludf.DUMMYFUNCTION("""COMPUTED_VALUE"""),7.732554)</f>
        <v>7.732554</v>
      </c>
      <c r="D17281" s="7">
        <f>IFERROR(__xludf.DUMMYFUNCTION("""COMPUTED_VALUE"""),0.4)</f>
        <v>0.4</v>
      </c>
    </row>
    <row r="17282">
      <c r="A17282" s="10" t="s">
        <v>18721</v>
      </c>
      <c r="B17282" s="7" t="str">
        <f>IFERROR(__xludf.DUMMYFUNCTION("SPLIT(A17282,"" "")"),"CNCN(Cc1ncccc1C)c1ccc2nc(CF)ccc2c1")</f>
        <v>CNCN(Cc1ncccc1C)c1ccc2nc(CF)ccc2c1</v>
      </c>
      <c r="C17282" s="7">
        <f>IFERROR(__xludf.DUMMYFUNCTION("""COMPUTED_VALUE"""),7.7325473)</f>
        <v>7.7325473</v>
      </c>
      <c r="D17282" s="7">
        <f>IFERROR(__xludf.DUMMYFUNCTION("""COMPUTED_VALUE"""),0.310344827586206)</f>
        <v>0.3103448276</v>
      </c>
    </row>
    <row r="17283">
      <c r="A17283" s="10" t="s">
        <v>18722</v>
      </c>
      <c r="B17283" s="7" t="str">
        <f>IFERROR(__xludf.DUMMYFUNCTION("SPLIT(A17283,"" "")"),"Cc1cnc(CN(C)CC2=CC(N(C)c3ccc4cc(CF)cnc4c3)C=CN2)c(C)c1")</f>
        <v>Cc1cnc(CN(C)CC2=CC(N(C)c3ccc4cc(CF)cnc4c3)C=CN2)c(C)c1</v>
      </c>
      <c r="C17283" s="7">
        <f>IFERROR(__xludf.DUMMYFUNCTION("""COMPUTED_VALUE"""),7.732545)</f>
        <v>7.732545</v>
      </c>
      <c r="D17283" s="7">
        <f>IFERROR(__xludf.DUMMYFUNCTION("""COMPUTED_VALUE"""),0.273972602739726)</f>
        <v>0.2739726027</v>
      </c>
    </row>
    <row r="17284">
      <c r="A17284" s="10" t="s">
        <v>18723</v>
      </c>
      <c r="B17284" s="7" t="str">
        <f>IFERROR(__xludf.DUMMYFUNCTION("SPLIT(A17284,"" "")"),"Cc1cnc(CN(C)c2c(C)ccc(C)c2C)c(C)c1")</f>
        <v>Cc1cnc(CN(C)c2c(C)ccc(C)c2C)c(C)c1</v>
      </c>
      <c r="C17284" s="7">
        <f>IFERROR(__xludf.DUMMYFUNCTION("""COMPUTED_VALUE"""),7.732528)</f>
        <v>7.732528</v>
      </c>
      <c r="D17284" s="7">
        <f>IFERROR(__xludf.DUMMYFUNCTION("""COMPUTED_VALUE"""),0.325581395348837)</f>
        <v>0.3255813953</v>
      </c>
    </row>
    <row r="17285">
      <c r="A17285" s="10" t="s">
        <v>18724</v>
      </c>
      <c r="B17285" s="7" t="str">
        <f>IFERROR(__xludf.DUMMYFUNCTION("SPLIT(A17285,"" "")"),"CCN(Cc1ccccn1)c1cc2cccnc2cc1CN(C)C(C)(C)c1ccon1")</f>
        <v>CCN(Cc1ccccn1)c1cc2cccnc2cc1CN(C)C(C)(C)c1ccon1</v>
      </c>
      <c r="C17285" s="7">
        <f>IFERROR(__xludf.DUMMYFUNCTION("""COMPUTED_VALUE"""),7.732526)</f>
        <v>7.732526</v>
      </c>
      <c r="D17285" s="7">
        <f>IFERROR(__xludf.DUMMYFUNCTION("""COMPUTED_VALUE"""),0.354838709677419)</f>
        <v>0.3548387097</v>
      </c>
    </row>
    <row r="17286">
      <c r="A17286" s="10" t="s">
        <v>18725</v>
      </c>
      <c r="B17286" s="7" t="str">
        <f>IFERROR(__xludf.DUMMYFUNCTION("SPLIT(A17286,"" "")"),"Cc1cc(CN(Cc2ccccn2)Cc2ncccc2-c2ccccc2N=Cc2ccccn2)cnc1C")</f>
        <v>Cc1cc(CN(Cc2ccccn2)Cc2ncccc2-c2ccccc2N=Cc2ccccn2)cnc1C</v>
      </c>
      <c r="C17286" s="7">
        <f>IFERROR(__xludf.DUMMYFUNCTION("""COMPUTED_VALUE"""),7.7325215)</f>
        <v>7.7325215</v>
      </c>
      <c r="D17286" s="7">
        <f>IFERROR(__xludf.DUMMYFUNCTION("""COMPUTED_VALUE"""),0.403225806451612)</f>
        <v>0.4032258065</v>
      </c>
    </row>
    <row r="17287">
      <c r="A17287" s="10" t="s">
        <v>18726</v>
      </c>
      <c r="B17287" s="7" t="str">
        <f>IFERROR(__xludf.DUMMYFUNCTION("SPLIT(A17287,"" "")"),"Cc1cc(C)c(CN(Cc2ccccn2)c2cc(N(Cc3ccccn3)C(C)C)cc(N(Cc3ccccn3)C(C)C)c2Cl)nc1C")</f>
        <v>Cc1cc(C)c(CN(Cc2ccccn2)c2cc(N(Cc3ccccn3)C(C)C)cc(N(Cc3ccccn3)C(C)C)c2Cl)nc1C</v>
      </c>
      <c r="C17287" s="7">
        <f>IFERROR(__xludf.DUMMYFUNCTION("""COMPUTED_VALUE"""),7.73252)</f>
        <v>7.73252</v>
      </c>
      <c r="D17287" s="7">
        <f>IFERROR(__xludf.DUMMYFUNCTION("""COMPUTED_VALUE"""),0.372881355932203)</f>
        <v>0.3728813559</v>
      </c>
    </row>
    <row r="17288">
      <c r="A17288" s="10" t="s">
        <v>18727</v>
      </c>
      <c r="B17288" s="7" t="str">
        <f>IFERROR(__xludf.DUMMYFUNCTION("SPLIT(A17288,"" "")"),"Cc1cccnc1CN(Cc1cc(-c2cccc(N(C)C)c2)ccn1)Cc1cc(C)c(C)c(C)n1")</f>
        <v>Cc1cccnc1CN(Cc1cc(-c2cccc(N(C)C)c2)ccn1)Cc1cc(C)c(C)c(C)n1</v>
      </c>
      <c r="C17288" s="7">
        <f>IFERROR(__xludf.DUMMYFUNCTION("""COMPUTED_VALUE"""),7.73252)</f>
        <v>7.73252</v>
      </c>
      <c r="D17288" s="7">
        <f>IFERROR(__xludf.DUMMYFUNCTION("""COMPUTED_VALUE"""),0.318840579710144)</f>
        <v>0.3188405797</v>
      </c>
    </row>
    <row r="17289">
      <c r="A17289" s="10" t="s">
        <v>18728</v>
      </c>
      <c r="B17289" s="7" t="str">
        <f>IFERROR(__xludf.DUMMYFUNCTION("SPLIT(A17289,"" "")"),"CCN(Cc1ccccn1)Cc1ccc2cccc(N(C)Cc3nc(C)c(C)cc3C)c2n1")</f>
        <v>CCN(Cc1ccccn1)Cc1ccc2cccc(N(C)Cc3nc(C)c(C)cc3C)c2n1</v>
      </c>
      <c r="C17289" s="7">
        <f>IFERROR(__xludf.DUMMYFUNCTION("""COMPUTED_VALUE"""),7.7325034)</f>
        <v>7.7325034</v>
      </c>
      <c r="D17289" s="7">
        <f>IFERROR(__xludf.DUMMYFUNCTION("""COMPUTED_VALUE"""),0.413793103448275)</f>
        <v>0.4137931034</v>
      </c>
    </row>
    <row r="17290">
      <c r="A17290" s="10" t="s">
        <v>18729</v>
      </c>
      <c r="B17290" s="7" t="str">
        <f>IFERROR(__xludf.DUMMYFUNCTION("SPLIT(A17290,"" "")"),"CN(c1ccc2nc3c(cc2c1)CCC3)C1CCC(N(C)c2ccc3cc4c(nc3c2)CCC4)CC1")</f>
        <v>CN(c1ccc2nc3c(cc2c1)CCC3)C1CCC(N(C)c2ccc3cc4c(nc3c2)CCC4)CC1</v>
      </c>
      <c r="C17290" s="7">
        <f>IFERROR(__xludf.DUMMYFUNCTION("""COMPUTED_VALUE"""),7.7325006)</f>
        <v>7.7325006</v>
      </c>
      <c r="D17290" s="7">
        <f>IFERROR(__xludf.DUMMYFUNCTION("""COMPUTED_VALUE"""),0.425925925925925)</f>
        <v>0.4259259259</v>
      </c>
    </row>
    <row r="17291">
      <c r="A17291" s="10" t="s">
        <v>18730</v>
      </c>
      <c r="B17291" s="7" t="str">
        <f>IFERROR(__xludf.DUMMYFUNCTION("SPLIT(A17291,"" "")"),"Cc1ccc2c(N(C)CCN(C)Cc3ccnc(C)c3C)cccc2n1")</f>
        <v>Cc1ccc2c(N(C)CCN(C)Cc3ccnc(C)c3C)cccc2n1</v>
      </c>
      <c r="C17291" s="7">
        <f>IFERROR(__xludf.DUMMYFUNCTION("""COMPUTED_VALUE"""),7.7324944)</f>
        <v>7.7324944</v>
      </c>
      <c r="D17291" s="7">
        <f>IFERROR(__xludf.DUMMYFUNCTION("""COMPUTED_VALUE"""),0.396226415094339)</f>
        <v>0.3962264151</v>
      </c>
    </row>
    <row r="17292">
      <c r="A17292" s="10" t="s">
        <v>18731</v>
      </c>
      <c r="B17292" s="7" t="str">
        <f>IFERROR(__xludf.DUMMYFUNCTION("SPLIT(A17292,"" "")"),"Cc1ccc(CN(Cc2ccccn2)Cc2cccnc2C(C)(C)c2ncccc2-c2ccccc2N=Cc2ccccn2)nc1")</f>
        <v>Cc1ccc(CN(Cc2ccccn2)Cc2cccnc2C(C)(C)c2ncccc2-c2ccccc2N=Cc2ccccn2)nc1</v>
      </c>
      <c r="C17292" s="7">
        <f>IFERROR(__xludf.DUMMYFUNCTION("""COMPUTED_VALUE"""),7.732492)</f>
        <v>7.732492</v>
      </c>
      <c r="D17292" s="7">
        <f>IFERROR(__xludf.DUMMYFUNCTION("""COMPUTED_VALUE"""),0.369230769230769)</f>
        <v>0.3692307692</v>
      </c>
    </row>
    <row r="17293">
      <c r="A17293" s="10" t="s">
        <v>18732</v>
      </c>
      <c r="B17293" s="7" t="str">
        <f>IFERROR(__xludf.DUMMYFUNCTION("SPLIT(A17293,"" "")"),"Cc1cc(C)c(N(C)Cc2cc(C(C)(C)c3ccccn3)ccn2)c(C)c1")</f>
        <v>Cc1cc(C)c(N(C)Cc2cc(C(C)(C)c3ccccn3)ccn2)c(C)c1</v>
      </c>
      <c r="C17293" s="7">
        <f>IFERROR(__xludf.DUMMYFUNCTION("""COMPUTED_VALUE"""),7.7324824)</f>
        <v>7.7324824</v>
      </c>
      <c r="D17293" s="7">
        <f>IFERROR(__xludf.DUMMYFUNCTION("""COMPUTED_VALUE"""),0.42)</f>
        <v>0.42</v>
      </c>
    </row>
    <row r="17294">
      <c r="A17294" s="10" t="s">
        <v>18733</v>
      </c>
      <c r="B17294" s="7" t="str">
        <f>IFERROR(__xludf.DUMMYFUNCTION("SPLIT(A17294,"" "")"),"CN(Cc1cc(-c2cccc(N=Cc3ccccn3)c2)ccn1)Cc1cc(C(C)(C)C)ccn1")</f>
        <v>CN(Cc1cc(-c2cccc(N=Cc3ccccn3)c2)ccn1)Cc1cc(C(C)(C)C)ccn1</v>
      </c>
      <c r="C17294" s="7">
        <f>IFERROR(__xludf.DUMMYFUNCTION("""COMPUTED_VALUE"""),7.7324653)</f>
        <v>7.7324653</v>
      </c>
      <c r="D17294" s="7">
        <f>IFERROR(__xludf.DUMMYFUNCTION("""COMPUTED_VALUE"""),0.35)</f>
        <v>0.35</v>
      </c>
    </row>
    <row r="17295">
      <c r="A17295" s="10" t="s">
        <v>18734</v>
      </c>
      <c r="B17295" s="7" t="str">
        <f>IFERROR(__xludf.DUMMYFUNCTION("SPLIT(A17295,"" "")"),"CN(Cc1cccc(N(C)C)c1)Cc1ccc2ncccc2c1")</f>
        <v>CN(Cc1cccc(N(C)C)c1)Cc1ccc2ncccc2c1</v>
      </c>
      <c r="C17295" s="7">
        <f>IFERROR(__xludf.DUMMYFUNCTION("""COMPUTED_VALUE"""),7.7324624)</f>
        <v>7.7324624</v>
      </c>
      <c r="D17295" s="7">
        <f>IFERROR(__xludf.DUMMYFUNCTION("""COMPUTED_VALUE"""),0.382978723404255)</f>
        <v>0.3829787234</v>
      </c>
    </row>
    <row r="17296">
      <c r="A17296" s="10" t="s">
        <v>18735</v>
      </c>
      <c r="B17296" s="7" t="str">
        <f>IFERROR(__xludf.DUMMYFUNCTION("SPLIT(A17296,"" "")"),"Cc1c(N)cccc1CN(C)CC1=CC(N(C)c2ccc3cccnc3c2)C=CN1")</f>
        <v>Cc1c(N)cccc1CN(C)CC1=CC(N(C)c2ccc3cccnc3c2)C=CN1</v>
      </c>
      <c r="C17296" s="7">
        <f>IFERROR(__xludf.DUMMYFUNCTION("""COMPUTED_VALUE"""),7.732457)</f>
        <v>7.732457</v>
      </c>
      <c r="D17296" s="7">
        <f>IFERROR(__xludf.DUMMYFUNCTION("""COMPUTED_VALUE"""),0.318181818181818)</f>
        <v>0.3181818182</v>
      </c>
    </row>
    <row r="17297">
      <c r="A17297" s="10" t="s">
        <v>18736</v>
      </c>
      <c r="B17297" s="7" t="str">
        <f>IFERROR(__xludf.DUMMYFUNCTION("SPLIT(A17297,"" "")"),"CC(C)N(CCN(c1cccc2nccc(-c3cc(C(C)(C)C)ccn3)c12)C(C)C)Cc1ccccn1")</f>
        <v>CC(C)N(CCN(c1cccc2nccc(-c3cc(C(C)(C)C)ccn3)c12)C(C)C)Cc1ccccn1</v>
      </c>
      <c r="C17297" s="7">
        <f>IFERROR(__xludf.DUMMYFUNCTION("""COMPUTED_VALUE"""),7.732433)</f>
        <v>7.732433</v>
      </c>
      <c r="D17297" s="7">
        <f>IFERROR(__xludf.DUMMYFUNCTION("""COMPUTED_VALUE"""),0.482142857142857)</f>
        <v>0.4821428571</v>
      </c>
    </row>
    <row r="17298">
      <c r="A17298" s="10" t="s">
        <v>18737</v>
      </c>
      <c r="B17298" s="7" t="str">
        <f>IFERROR(__xludf.DUMMYFUNCTION("SPLIT(A17298,"" "")"),"CN(C)c1cccc(-c2cccnc2CN(C)C2C=CNC=C2)c1")</f>
        <v>CN(C)c1cccc(-c2cccnc2CN(C)C2C=CNC=C2)c1</v>
      </c>
      <c r="C17298" s="7">
        <f>IFERROR(__xludf.DUMMYFUNCTION("""COMPUTED_VALUE"""),7.732432)</f>
        <v>7.732432</v>
      </c>
      <c r="D17298" s="7">
        <f>IFERROR(__xludf.DUMMYFUNCTION("""COMPUTED_VALUE"""),0.258620689655172)</f>
        <v>0.2586206897</v>
      </c>
    </row>
    <row r="17299">
      <c r="A17299" s="10" t="s">
        <v>18738</v>
      </c>
      <c r="B17299" s="7" t="str">
        <f>IFERROR(__xludf.DUMMYFUNCTION("SPLIT(A17299,"" "")"),"Cc1ccnc(CN(C)CCN(C)c2ccc3c(C)ccnc3c2)c1")</f>
        <v>Cc1ccnc(CN(C)CCN(C)c2ccc3c(C)ccnc3c2)c1</v>
      </c>
      <c r="C17299" s="7">
        <f>IFERROR(__xludf.DUMMYFUNCTION("""COMPUTED_VALUE"""),7.732432)</f>
        <v>7.732432</v>
      </c>
      <c r="D17299" s="7">
        <f>IFERROR(__xludf.DUMMYFUNCTION("""COMPUTED_VALUE"""),0.36734693877551)</f>
        <v>0.3673469388</v>
      </c>
    </row>
    <row r="17300">
      <c r="A17300" s="10" t="s">
        <v>18739</v>
      </c>
      <c r="B17300" s="7" t="str">
        <f>IFERROR(__xludf.DUMMYFUNCTION("SPLIT(A17300,"" "")"),"CCNCc1cc(-c2cc(C)c(C)c(N(C)Cc3ccccn3)c2)ccn1")</f>
        <v>CCNCc1cc(-c2cc(C)c(C)c(N(C)Cc3ccccn3)c2)ccn1</v>
      </c>
      <c r="C17300" s="7">
        <f>IFERROR(__xludf.DUMMYFUNCTION("""COMPUTED_VALUE"""),7.7324195)</f>
        <v>7.7324195</v>
      </c>
      <c r="D17300" s="7">
        <f>IFERROR(__xludf.DUMMYFUNCTION("""COMPUTED_VALUE"""),0.461538461538461)</f>
        <v>0.4615384615</v>
      </c>
    </row>
    <row r="17301">
      <c r="A17301" s="10" t="s">
        <v>18740</v>
      </c>
      <c r="B17301" s="7" t="str">
        <f>IFERROR(__xludf.DUMMYFUNCTION("SPLIT(A17301,"" "")"),"Cc1cccc(CN(CC2=CC(N(C)Cc3ccccn3)C=CN2)c2cccc3cccnc23)n1")</f>
        <v>Cc1cccc(CN(CC2=CC(N(C)Cc3ccccn3)C=CN2)c2cccc3cccnc23)n1</v>
      </c>
      <c r="C17301" s="7">
        <f>IFERROR(__xludf.DUMMYFUNCTION("""COMPUTED_VALUE"""),7.732415)</f>
        <v>7.732415</v>
      </c>
      <c r="D17301" s="7">
        <f>IFERROR(__xludf.DUMMYFUNCTION("""COMPUTED_VALUE"""),0.370967741935483)</f>
        <v>0.3709677419</v>
      </c>
    </row>
    <row r="17302">
      <c r="A17302" s="10" t="s">
        <v>18741</v>
      </c>
      <c r="B17302" s="7" t="str">
        <f>IFERROR(__xludf.DUMMYFUNCTION("SPLIT(A17302,"" "")"),"Cc1cncc(CN(C)c2ccc3nccc(CN(C)C(C)C)c3c2)c1")</f>
        <v>Cc1cncc(CN(C)c2ccc3nccc(CN(C)C(C)C)c3c2)c1</v>
      </c>
      <c r="C17302" s="7">
        <f>IFERROR(__xludf.DUMMYFUNCTION("""COMPUTED_VALUE"""),7.732409)</f>
        <v>7.732409</v>
      </c>
      <c r="D17302" s="7">
        <f>IFERROR(__xludf.DUMMYFUNCTION("""COMPUTED_VALUE"""),0.220338983050847)</f>
        <v>0.2203389831</v>
      </c>
    </row>
    <row r="17303">
      <c r="A17303" s="10" t="s">
        <v>18742</v>
      </c>
      <c r="B17303" s="7" t="str">
        <f>IFERROR(__xludf.DUMMYFUNCTION("SPLIT(A17303,"" "")"),"Cc1cc(CN(Cc2ccnc(C(C)C)c2)Cc2cc(-c3cccc(N(C)C)c3)ccn2)nc(C)c1C")</f>
        <v>Cc1cc(CN(Cc2ccnc(C(C)C)c2)Cc2cc(-c3cccc(N(C)C)c3)ccn2)nc(C)c1C</v>
      </c>
      <c r="C17303" s="7">
        <f>IFERROR(__xludf.DUMMYFUNCTION("""COMPUTED_VALUE"""),7.7324033)</f>
        <v>7.7324033</v>
      </c>
      <c r="D17303" s="7">
        <f>IFERROR(__xludf.DUMMYFUNCTION("""COMPUTED_VALUE"""),0.283783783783783)</f>
        <v>0.2837837838</v>
      </c>
    </row>
    <row r="17304">
      <c r="A17304" s="10" t="s">
        <v>18743</v>
      </c>
      <c r="B17304" s="7" t="str">
        <f>IFERROR(__xludf.DUMMYFUNCTION("SPLIT(A17304,"" "")"),"Cc1ccc2c(CN(C)Cc3ncccc3N)ccnc2c1")</f>
        <v>Cc1ccc2c(CN(C)Cc3ncccc3N)ccnc2c1</v>
      </c>
      <c r="C17304" s="7">
        <f>IFERROR(__xludf.DUMMYFUNCTION("""COMPUTED_VALUE"""),7.732399)</f>
        <v>7.732399</v>
      </c>
      <c r="D17304" s="7">
        <f>IFERROR(__xludf.DUMMYFUNCTION("""COMPUTED_VALUE"""),0.320754716981132)</f>
        <v>0.320754717</v>
      </c>
    </row>
    <row r="17305">
      <c r="A17305" s="10" t="s">
        <v>18744</v>
      </c>
      <c r="B17305" s="7" t="str">
        <f>IFERROR(__xludf.DUMMYFUNCTION("SPLIT(A17305,"" "")"),"Cc1cccc(N(C)Cc2cc(N(C)C)ccn2)c1")</f>
        <v>Cc1cccc(N(C)Cc2cc(N(C)C)ccn2)c1</v>
      </c>
      <c r="C17305" s="7">
        <f>IFERROR(__xludf.DUMMYFUNCTION("""COMPUTED_VALUE"""),7.732396)</f>
        <v>7.732396</v>
      </c>
      <c r="D17305" s="7">
        <f>IFERROR(__xludf.DUMMYFUNCTION("""COMPUTED_VALUE"""),0.369565217391304)</f>
        <v>0.3695652174</v>
      </c>
    </row>
    <row r="17306">
      <c r="A17306" s="10" t="s">
        <v>18745</v>
      </c>
      <c r="B17306" s="7" t="str">
        <f>IFERROR(__xludf.DUMMYFUNCTION("SPLIT(A17306,"" "")"),"CNc1ccc(-c2ccc(C(C)(C)C)cn2)cc1")</f>
        <v>CNc1ccc(-c2ccc(C(C)(C)C)cn2)cc1</v>
      </c>
      <c r="C17306" s="7">
        <f>IFERROR(__xludf.DUMMYFUNCTION("""COMPUTED_VALUE"""),7.7323937)</f>
        <v>7.7323937</v>
      </c>
      <c r="D17306" s="7">
        <f>IFERROR(__xludf.DUMMYFUNCTION("""COMPUTED_VALUE"""),0.178571428571428)</f>
        <v>0.1785714286</v>
      </c>
    </row>
    <row r="17307">
      <c r="A17307" s="10" t="s">
        <v>18746</v>
      </c>
      <c r="B17307" s="7" t="str">
        <f>IFERROR(__xludf.DUMMYFUNCTION("SPLIT(A17307,"" "")"),"CCCN(Cc1ccccn1)c1cc2cccnc2cc1-c1cccc(CN(Cc2ccccn2)Cc2ncccc2F)n1")</f>
        <v>CCCN(Cc1ccccn1)c1cc2cccnc2cc1-c1cccc(CN(Cc2ccccn2)Cc2ncccc2F)n1</v>
      </c>
      <c r="C17307" s="7">
        <f>IFERROR(__xludf.DUMMYFUNCTION("""COMPUTED_VALUE"""),7.7323933)</f>
        <v>7.7323933</v>
      </c>
      <c r="D17307" s="7">
        <f>IFERROR(__xludf.DUMMYFUNCTION("""COMPUTED_VALUE"""),0.4)</f>
        <v>0.4</v>
      </c>
    </row>
    <row r="17308">
      <c r="A17308" s="10" t="s">
        <v>18747</v>
      </c>
      <c r="B17308" s="7" t="str">
        <f>IFERROR(__xludf.DUMMYFUNCTION("SPLIT(A17308,"" "")"),"Cc1cc(C)c(C)c(N(C)Cc2nc(N)c(C)c(C)c2C)c1")</f>
        <v>Cc1cc(C)c(C)c(N(C)Cc2nc(N)c(C)c(C)c2C)c1</v>
      </c>
      <c r="C17308" s="7">
        <f>IFERROR(__xludf.DUMMYFUNCTION("""COMPUTED_VALUE"""),7.7323866)</f>
        <v>7.7323866</v>
      </c>
      <c r="D17308" s="7">
        <f>IFERROR(__xludf.DUMMYFUNCTION("""COMPUTED_VALUE"""),0.235294117647058)</f>
        <v>0.2352941176</v>
      </c>
    </row>
    <row r="17309">
      <c r="A17309" s="10" t="s">
        <v>18748</v>
      </c>
      <c r="B17309" s="7" t="str">
        <f>IFERROR(__xludf.DUMMYFUNCTION("SPLIT(A17309,"" "")"),"CNc1ccc(-c2cccc(CN(C)Cc3cc(C)ccn3)n2)cc1Cl")</f>
        <v>CNc1ccc(-c2cccc(CN(C)Cc3cc(C)ccn3)n2)cc1Cl</v>
      </c>
      <c r="C17309" s="7">
        <f>IFERROR(__xludf.DUMMYFUNCTION("""COMPUTED_VALUE"""),7.7323837)</f>
        <v>7.7323837</v>
      </c>
      <c r="D17309" s="7">
        <f>IFERROR(__xludf.DUMMYFUNCTION("""COMPUTED_VALUE"""),0.436363636363636)</f>
        <v>0.4363636364</v>
      </c>
    </row>
    <row r="17310">
      <c r="A17310" s="10" t="s">
        <v>18749</v>
      </c>
      <c r="B17310" s="7" t="str">
        <f>IFERROR(__xludf.DUMMYFUNCTION("SPLIT(A17310,"" "")"),"Cc1cccc(C)c1CN(C)CC1=CC(N(C)c2ccc3ncccc3c2)C=CN1")</f>
        <v>Cc1cccc(C)c1CN(C)CC1=CC(N(C)c2ccc3ncccc3c2)C=CN1</v>
      </c>
      <c r="C17310" s="7">
        <f>IFERROR(__xludf.DUMMYFUNCTION("""COMPUTED_VALUE"""),7.732375)</f>
        <v>7.732375</v>
      </c>
      <c r="D17310" s="7">
        <f>IFERROR(__xludf.DUMMYFUNCTION("""COMPUTED_VALUE"""),0.303030303030303)</f>
        <v>0.303030303</v>
      </c>
    </row>
    <row r="17311">
      <c r="A17311" s="10" t="s">
        <v>18750</v>
      </c>
      <c r="B17311" s="7" t="str">
        <f>IFERROR(__xludf.DUMMYFUNCTION("SPLIT(A17311,"" "")"),"CN(C)Cc1cnccc1-c1cc(N)ccc1N")</f>
        <v>CN(C)Cc1cnccc1-c1cc(N)ccc1N</v>
      </c>
      <c r="C17311" s="7">
        <f>IFERROR(__xludf.DUMMYFUNCTION("""COMPUTED_VALUE"""),7.7323694)</f>
        <v>7.7323694</v>
      </c>
      <c r="D17311" s="7">
        <f>IFERROR(__xludf.DUMMYFUNCTION("""COMPUTED_VALUE"""),0.22)</f>
        <v>0.22</v>
      </c>
    </row>
    <row r="17312">
      <c r="A17312" s="10" t="s">
        <v>18751</v>
      </c>
      <c r="B17312" s="7" t="str">
        <f>IFERROR(__xludf.DUMMYFUNCTION("SPLIT(A17312,"" "")"),"Cc1ccnc(CN(C)CN(C)c2ccc(Cl)c(Cl)c2N(C)Cc2ncc(C)c(C)c2C)c1C")</f>
        <v>Cc1ccnc(CN(C)CN(C)c2ccc(Cl)c(Cl)c2N(C)Cc2ncc(C)c(C)c2C)c1C</v>
      </c>
      <c r="C17312" s="7">
        <f>IFERROR(__xludf.DUMMYFUNCTION("""COMPUTED_VALUE"""),7.7323656)</f>
        <v>7.7323656</v>
      </c>
      <c r="D17312" s="7">
        <f>IFERROR(__xludf.DUMMYFUNCTION("""COMPUTED_VALUE"""),0.283333333333333)</f>
        <v>0.2833333333</v>
      </c>
    </row>
    <row r="17313">
      <c r="A17313" s="10" t="s">
        <v>18752</v>
      </c>
      <c r="B17313" s="7" t="str">
        <f>IFERROR(__xludf.DUMMYFUNCTION("SPLIT(A17313,"" "")"),"CCN(Cc1ccccn1)Cc1cc2cc(N(C)Cc3cc(C)c(C)c(C)n3)ccc2cn1")</f>
        <v>CCN(Cc1ccccn1)Cc1cc2cc(N(C)Cc3cc(C)c(C)c(C)n3)ccc2cn1</v>
      </c>
      <c r="C17313" s="7">
        <f>IFERROR(__xludf.DUMMYFUNCTION("""COMPUTED_VALUE"""),7.7323627)</f>
        <v>7.7323627</v>
      </c>
      <c r="D17313" s="7">
        <f>IFERROR(__xludf.DUMMYFUNCTION("""COMPUTED_VALUE"""),0.372881355932203)</f>
        <v>0.3728813559</v>
      </c>
    </row>
    <row r="17314">
      <c r="A17314" s="10" t="s">
        <v>18753</v>
      </c>
      <c r="B17314" s="7" t="str">
        <f>IFERROR(__xludf.DUMMYFUNCTION("SPLIT(A17314,"" "")"),"CCNc1cc(-c2ccc(C(C)(C)c3ccccn3)cn2)ccn1")</f>
        <v>CCNc1cc(-c2ccc(C(C)(C)c3ccccn3)cn2)ccn1</v>
      </c>
      <c r="C17314" s="7">
        <f>IFERROR(__xludf.DUMMYFUNCTION("""COMPUTED_VALUE"""),7.732355)</f>
        <v>7.732355</v>
      </c>
      <c r="D17314" s="7">
        <f>IFERROR(__xludf.DUMMYFUNCTION("""COMPUTED_VALUE"""),0.446428571428571)</f>
        <v>0.4464285714</v>
      </c>
    </row>
    <row r="17315">
      <c r="A17315" s="10" t="s">
        <v>18754</v>
      </c>
      <c r="B17315" s="7" t="str">
        <f>IFERROR(__xludf.DUMMYFUNCTION("SPLIT(A17315,"" "")"),"CN(C)Cc1ccc2cc(N(C)CCF)ccc2n1")</f>
        <v>CN(C)Cc1ccc2cc(N(C)CCF)ccc2n1</v>
      </c>
      <c r="C17315" s="7">
        <f>IFERROR(__xludf.DUMMYFUNCTION("""COMPUTED_VALUE"""),7.7323546)</f>
        <v>7.7323546</v>
      </c>
      <c r="D17315" s="7">
        <f>IFERROR(__xludf.DUMMYFUNCTION("""COMPUTED_VALUE"""),0.365853658536585)</f>
        <v>0.3658536585</v>
      </c>
    </row>
    <row r="17316">
      <c r="A17316" s="10" t="s">
        <v>18755</v>
      </c>
      <c r="B17316" s="7" t="str">
        <f>IFERROR(__xludf.DUMMYFUNCTION("SPLIT(A17316,"" "")"),"CC(C)C(C)(c1cccnc1)N(C)Cc1ncccc1N(C)c1ccc2ncccc2c1")</f>
        <v>CC(C)C(C)(c1cccnc1)N(C)Cc1ncccc1N(C)c1ccc2ncccc2c1</v>
      </c>
      <c r="C17316" s="7">
        <f>IFERROR(__xludf.DUMMYFUNCTION("""COMPUTED_VALUE"""),7.732354)</f>
        <v>7.732354</v>
      </c>
      <c r="D17316" s="7">
        <f>IFERROR(__xludf.DUMMYFUNCTION("""COMPUTED_VALUE"""),0.278688524590163)</f>
        <v>0.2786885246</v>
      </c>
    </row>
    <row r="17317">
      <c r="A17317" s="10" t="s">
        <v>18756</v>
      </c>
      <c r="B17317" s="7" t="str">
        <f>IFERROR(__xludf.DUMMYFUNCTION("SPLIT(A17317,"" "")"),"Cc1cc(C)c(C)c(CN(C)CCN(C)c2ccc3c(CN(C)C)cncc3c2)n1")</f>
        <v>Cc1cc(C)c(C)c(CN(C)CCN(C)c2ccc3c(CN(C)C)cncc3c2)n1</v>
      </c>
      <c r="C17317" s="7">
        <f>IFERROR(__xludf.DUMMYFUNCTION("""COMPUTED_VALUE"""),7.7323523)</f>
        <v>7.7323523</v>
      </c>
      <c r="D17317" s="7">
        <f>IFERROR(__xludf.DUMMYFUNCTION("""COMPUTED_VALUE"""),0.280701754385964)</f>
        <v>0.2807017544</v>
      </c>
    </row>
    <row r="17318">
      <c r="A17318" s="10" t="s">
        <v>18757</v>
      </c>
      <c r="B17318" s="7" t="str">
        <f>IFERROR(__xludf.DUMMYFUNCTION("SPLIT(A17318,"" "")"),"CC(C)C(C)N(C)Cc1ncccc1-c1cc2ncccc2cc1N")</f>
        <v>CC(C)C(C)N(C)Cc1ncccc1-c1cc2ncccc2cc1N</v>
      </c>
      <c r="C17318" s="7">
        <f>IFERROR(__xludf.DUMMYFUNCTION("""COMPUTED_VALUE"""),7.732352)</f>
        <v>7.732352</v>
      </c>
      <c r="D17318" s="7">
        <f>IFERROR(__xludf.DUMMYFUNCTION("""COMPUTED_VALUE"""),0.285714285714285)</f>
        <v>0.2857142857</v>
      </c>
    </row>
    <row r="17319">
      <c r="A17319" s="10" t="s">
        <v>18758</v>
      </c>
      <c r="B17319" s="7" t="str">
        <f>IFERROR(__xludf.DUMMYFUNCTION("SPLIT(A17319,"" "")"),"CNCc1cccc(CN(C)c2ccc3nc(CN(C)Cc4nc(C)ccc4C)ccc3c2)n1")</f>
        <v>CNCc1cccc(CN(C)c2ccc3nc(CN(C)Cc4nc(C)ccc4C)ccc3c2)n1</v>
      </c>
      <c r="C17319" s="7">
        <f>IFERROR(__xludf.DUMMYFUNCTION("""COMPUTED_VALUE"""),7.7323503)</f>
        <v>7.7323503</v>
      </c>
      <c r="D17319" s="7">
        <f>IFERROR(__xludf.DUMMYFUNCTION("""COMPUTED_VALUE"""),0.381818181818181)</f>
        <v>0.3818181818</v>
      </c>
    </row>
    <row r="17320">
      <c r="A17320" s="10" t="s">
        <v>18759</v>
      </c>
      <c r="B17320" s="7" t="str">
        <f>IFERROR(__xludf.DUMMYFUNCTION("SPLIT(A17320,"" "")"),"Cc1cc(C)c(CN(C)CCN(C)c2ccc3cncc(CN(C)C)c3c2)nc1C")</f>
        <v>Cc1cc(C)c(CN(C)CCN(C)c2ccc3cncc(CN(C)C)c3c2)nc1C</v>
      </c>
      <c r="C17320" s="7">
        <f>IFERROR(__xludf.DUMMYFUNCTION("""COMPUTED_VALUE"""),7.732349)</f>
        <v>7.732349</v>
      </c>
      <c r="D17320" s="7">
        <f>IFERROR(__xludf.DUMMYFUNCTION("""COMPUTED_VALUE"""),0.263157894736842)</f>
        <v>0.2631578947</v>
      </c>
    </row>
    <row r="17321">
      <c r="A17321" s="10" t="s">
        <v>18760</v>
      </c>
      <c r="B17321" s="7" t="str">
        <f>IFERROR(__xludf.DUMMYFUNCTION("SPLIT(A17321,"" "")"),"Cc1nc(CN(C)CCN(C)c2ccc3ncc(CN(C)C)cc3c2)c(C)c(C)c1C")</f>
        <v>Cc1nc(CN(C)CCN(C)c2ccc3ncc(CN(C)C)cc3c2)c(C)c(C)c1C</v>
      </c>
      <c r="C17321" s="7">
        <f>IFERROR(__xludf.DUMMYFUNCTION("""COMPUTED_VALUE"""),7.732347)</f>
        <v>7.732347</v>
      </c>
      <c r="D17321" s="7">
        <f>IFERROR(__xludf.DUMMYFUNCTION("""COMPUTED_VALUE"""),0.285714285714285)</f>
        <v>0.2857142857</v>
      </c>
    </row>
    <row r="17322">
      <c r="A17322" s="10" t="s">
        <v>18761</v>
      </c>
      <c r="B17322" s="7" t="str">
        <f>IFERROR(__xludf.DUMMYFUNCTION("SPLIT(A17322,"" "")"),"Cc1cncc(CN(C)Cc2cccc(-c3cccc(Cl)c3Cl)n2)c1")</f>
        <v>Cc1cncc(CN(C)Cc2cccc(-c3cccc(Cl)c3Cl)n2)c1</v>
      </c>
      <c r="C17322" s="7">
        <f>IFERROR(__xludf.DUMMYFUNCTION("""COMPUTED_VALUE"""),7.732347)</f>
        <v>7.732347</v>
      </c>
      <c r="D17322" s="7">
        <f>IFERROR(__xludf.DUMMYFUNCTION("""COMPUTED_VALUE"""),0.381818181818181)</f>
        <v>0.3818181818</v>
      </c>
    </row>
    <row r="17323">
      <c r="A17323" s="10" t="s">
        <v>18762</v>
      </c>
      <c r="B17323" s="7" t="str">
        <f>IFERROR(__xludf.DUMMYFUNCTION("SPLIT(A17323,"" "")"),"CC(C)(CN(Cc1ccccn1)c1ccc2nccc(CF)c2c1)c1ccccn1")</f>
        <v>CC(C)(CN(Cc1ccccn1)c1ccc2nccc(CF)c2c1)c1ccccn1</v>
      </c>
      <c r="C17323" s="7">
        <f>IFERROR(__xludf.DUMMYFUNCTION("""COMPUTED_VALUE"""),7.732345)</f>
        <v>7.732345</v>
      </c>
      <c r="D17323" s="7">
        <f>IFERROR(__xludf.DUMMYFUNCTION("""COMPUTED_VALUE"""),0.368421052631578)</f>
        <v>0.3684210526</v>
      </c>
    </row>
    <row r="17324">
      <c r="A17324" s="10" t="s">
        <v>18763</v>
      </c>
      <c r="B17324" s="7" t="str">
        <f>IFERROR(__xludf.DUMMYFUNCTION("SPLIT(A17324,"" "")"),"Cc1ccc2c(CN(C)Cc3ncccc3C)ccnc2c1")</f>
        <v>Cc1ccc2c(CN(C)Cc3ncccc3C)ccnc2c1</v>
      </c>
      <c r="C17324" s="7">
        <f>IFERROR(__xludf.DUMMYFUNCTION("""COMPUTED_VALUE"""),7.7323422)</f>
        <v>7.7323422</v>
      </c>
      <c r="D17324" s="7">
        <f>IFERROR(__xludf.DUMMYFUNCTION("""COMPUTED_VALUE"""),0.333333333333333)</f>
        <v>0.3333333333</v>
      </c>
    </row>
    <row r="17325">
      <c r="A17325" s="10" t="s">
        <v>18764</v>
      </c>
      <c r="B17325" s="7" t="str">
        <f>IFERROR(__xludf.DUMMYFUNCTION("SPLIT(A17325,"" "")"),"Cc1c(-c2ccnc(CN(C)C(C)C)c2)cc(Cl)cc1N(C)Cc1ccccn1")</f>
        <v>Cc1c(-c2ccnc(CN(C)C(C)C)c2)cc(Cl)cc1N(C)Cc1ccccn1</v>
      </c>
      <c r="C17325" s="7">
        <f>IFERROR(__xludf.DUMMYFUNCTION("""COMPUTED_VALUE"""),7.732339)</f>
        <v>7.732339</v>
      </c>
      <c r="D17325" s="7">
        <f>IFERROR(__xludf.DUMMYFUNCTION("""COMPUTED_VALUE"""),0.5)</f>
        <v>0.5</v>
      </c>
    </row>
    <row r="17326">
      <c r="A17326" s="10" t="s">
        <v>18765</v>
      </c>
      <c r="B17326" s="7" t="str">
        <f>IFERROR(__xludf.DUMMYFUNCTION("SPLIT(A17326,"" "")"),"Cc1cncc(-c2cccc(NCc3ccccn3)c2)c1")</f>
        <v>Cc1cncc(-c2cccc(NCc3ccccn3)c2)c1</v>
      </c>
      <c r="C17326" s="7">
        <f>IFERROR(__xludf.DUMMYFUNCTION("""COMPUTED_VALUE"""),7.732337)</f>
        <v>7.732337</v>
      </c>
      <c r="D17326" s="7">
        <f>IFERROR(__xludf.DUMMYFUNCTION("""COMPUTED_VALUE"""),0.392857142857142)</f>
        <v>0.3928571429</v>
      </c>
    </row>
    <row r="17327">
      <c r="A17327" s="10" t="s">
        <v>18766</v>
      </c>
      <c r="B17327" s="7" t="str">
        <f>IFERROR(__xludf.DUMMYFUNCTION("SPLIT(A17327,"" "")"),"CCOC1(C)COC(c2ncccc2CN(Cc2ccccn2)Cc2ccc(-c3cccc(N=Cc4ccccn4)c3)cn2)=N1")</f>
        <v>CCOC1(C)COC(c2ncccc2CN(Cc2ccccn2)Cc2ccc(-c3cccc(N=Cc4ccccn4)c3)cn2)=N1</v>
      </c>
      <c r="C17327" s="7">
        <f>IFERROR(__xludf.DUMMYFUNCTION("""COMPUTED_VALUE"""),7.732321)</f>
        <v>7.732321</v>
      </c>
      <c r="D17327" s="7">
        <f>IFERROR(__xludf.DUMMYFUNCTION("""COMPUTED_VALUE"""),0.302325581395348)</f>
        <v>0.3023255814</v>
      </c>
    </row>
    <row r="17328">
      <c r="A17328" s="10" t="s">
        <v>18767</v>
      </c>
      <c r="B17328" s="7" t="str">
        <f>IFERROR(__xludf.DUMMYFUNCTION("SPLIT(A17328,"" "")"),"Cc1cc(C)c(CN(Cc2ccccn2)Cc2ccnc3ccc(N(Cc4ccccn4)C(C)C)cc23)nc1C")</f>
        <v>Cc1cc(C)c(CN(Cc2ccccn2)Cc2ccnc3ccc(N(Cc4ccccn4)C(C)C)cc23)nc1C</v>
      </c>
      <c r="C17328" s="7">
        <f>IFERROR(__xludf.DUMMYFUNCTION("""COMPUTED_VALUE"""),7.732314)</f>
        <v>7.732314</v>
      </c>
      <c r="D17328" s="7">
        <f>IFERROR(__xludf.DUMMYFUNCTION("""COMPUTED_VALUE"""),0.357142857142857)</f>
        <v>0.3571428571</v>
      </c>
    </row>
    <row r="17329">
      <c r="A17329" s="10" t="s">
        <v>18768</v>
      </c>
      <c r="B17329" s="7" t="str">
        <f>IFERROR(__xludf.DUMMYFUNCTION("SPLIT(A17329,"" "")"),"Cc1cccnc1CN(C)Cc1ccnc2ccc(N(C)C(C)C)cc12")</f>
        <v>Cc1cccnc1CN(C)Cc1ccnc2ccc(N(C)C(C)C)cc12</v>
      </c>
      <c r="C17329" s="7">
        <f>IFERROR(__xludf.DUMMYFUNCTION("""COMPUTED_VALUE"""),7.732311)</f>
        <v>7.732311</v>
      </c>
      <c r="D17329" s="7">
        <f>IFERROR(__xludf.DUMMYFUNCTION("""COMPUTED_VALUE"""),0.31578947368421)</f>
        <v>0.3157894737</v>
      </c>
    </row>
    <row r="17330">
      <c r="A17330" s="10" t="s">
        <v>18769</v>
      </c>
      <c r="B17330" s="7" t="str">
        <f>IFERROR(__xludf.DUMMYFUNCTION("SPLIT(A17330,"" "")"),"CNCc1ncccc1-c1cccc(Cl)c1NCc1ccccn1")</f>
        <v>CNCc1ncccc1-c1cccc(Cl)c1NCc1ccccn1</v>
      </c>
      <c r="C17330" s="7">
        <f>IFERROR(__xludf.DUMMYFUNCTION("""COMPUTED_VALUE"""),7.732308)</f>
        <v>7.732308</v>
      </c>
      <c r="D17330" s="7">
        <f>IFERROR(__xludf.DUMMYFUNCTION("""COMPUTED_VALUE"""),0.385964912280701)</f>
        <v>0.3859649123</v>
      </c>
    </row>
    <row r="17331">
      <c r="A17331" s="10" t="s">
        <v>18770</v>
      </c>
      <c r="B17331" s="7" t="str">
        <f>IFERROR(__xludf.DUMMYFUNCTION("SPLIT(A17331,"" "")"),"CN(Cc1ccccn1)C1=CNC(CN(C)c2ccc(Cl)cc2N)=CC1")</f>
        <v>CN(Cc1ccccn1)C1=CNC(CN(C)c2ccc(Cl)cc2N)=CC1</v>
      </c>
      <c r="C17331" s="7">
        <f>IFERROR(__xludf.DUMMYFUNCTION("""COMPUTED_VALUE"""),7.7323055)</f>
        <v>7.7323055</v>
      </c>
      <c r="D17331" s="7">
        <f>IFERROR(__xludf.DUMMYFUNCTION("""COMPUTED_VALUE"""),0.472727272727272)</f>
        <v>0.4727272727</v>
      </c>
    </row>
    <row r="17332">
      <c r="A17332" s="10" t="s">
        <v>18771</v>
      </c>
      <c r="B17332" s="7" t="str">
        <f>IFERROR(__xludf.DUMMYFUNCTION("SPLIT(A17332,"" "")"),"Cc1cnc(CN(C)C2=CNC(CN(C)Cc3ccc4cccnc4c3)=CC2)c(C)c1")</f>
        <v>Cc1cnc(CN(C)C2=CNC(CN(C)Cc3ccc4cccnc4c3)=CC2)c(C)c1</v>
      </c>
      <c r="C17332" s="7">
        <f>IFERROR(__xludf.DUMMYFUNCTION("""COMPUTED_VALUE"""),7.7323046)</f>
        <v>7.7323046</v>
      </c>
      <c r="D17332" s="7">
        <f>IFERROR(__xludf.DUMMYFUNCTION("""COMPUTED_VALUE"""),0.246376811594202)</f>
        <v>0.2463768116</v>
      </c>
    </row>
    <row r="17333">
      <c r="A17333" s="10" t="s">
        <v>18772</v>
      </c>
      <c r="B17333" s="7" t="str">
        <f>IFERROR(__xludf.DUMMYFUNCTION("SPLIT(A17333,"" "")"),"Cc1ccc(CN(C)Cc2cccc(-c3cccc(N=Cc4ccccn4)c3)n2)nc1")</f>
        <v>Cc1ccc(CN(C)Cc2cccc(-c3cccc(N=Cc4ccccn4)c3)n2)nc1</v>
      </c>
      <c r="C17333" s="7">
        <f>IFERROR(__xludf.DUMMYFUNCTION("""COMPUTED_VALUE"""),7.732302)</f>
        <v>7.732302</v>
      </c>
      <c r="D17333" s="7">
        <f>IFERROR(__xludf.DUMMYFUNCTION("""COMPUTED_VALUE"""),0.46551724137931)</f>
        <v>0.4655172414</v>
      </c>
    </row>
    <row r="17334">
      <c r="A17334" s="10" t="s">
        <v>18773</v>
      </c>
      <c r="B17334" s="7" t="str">
        <f>IFERROR(__xludf.DUMMYFUNCTION("SPLIT(A17334,"" "")"),"Cc1cnc(CN(C)CCN(C)c2ccc3ccnc(CN(C)C)c3c2)c(C)c1C")</f>
        <v>Cc1cnc(CN(C)CCN(C)c2ccc3ccnc(CN(C)C)c3c2)c(C)c1C</v>
      </c>
      <c r="C17334" s="7">
        <f>IFERROR(__xludf.DUMMYFUNCTION("""COMPUTED_VALUE"""),7.732302)</f>
        <v>7.732302</v>
      </c>
      <c r="D17334" s="7">
        <f>IFERROR(__xludf.DUMMYFUNCTION("""COMPUTED_VALUE"""),0.309090909090909)</f>
        <v>0.3090909091</v>
      </c>
    </row>
    <row r="17335">
      <c r="A17335" s="10" t="s">
        <v>18774</v>
      </c>
      <c r="B17335" s="7" t="str">
        <f>IFERROR(__xludf.DUMMYFUNCTION("SPLIT(A17335,"" "")"),"CCN(c1cccc2ncccc12)C1CCC(N(C)c2cccc3nccc(CF)c23)CC1")</f>
        <v>CCN(c1cccc2ncccc12)C1CCC(N(C)c2cccc3nccc(CF)c23)CC1</v>
      </c>
      <c r="C17335" s="7">
        <f>IFERROR(__xludf.DUMMYFUNCTION("""COMPUTED_VALUE"""),7.732295)</f>
        <v>7.732295</v>
      </c>
      <c r="D17335" s="7">
        <f>IFERROR(__xludf.DUMMYFUNCTION("""COMPUTED_VALUE"""),0.301587301587301)</f>
        <v>0.3015873016</v>
      </c>
    </row>
    <row r="17336">
      <c r="A17336" s="10" t="s">
        <v>18775</v>
      </c>
      <c r="B17336" s="7" t="str">
        <f>IFERROR(__xludf.DUMMYFUNCTION("SPLIT(A17336,"" "")"),"Cc1ccc(C)c(CN(C)CC2=CC(N(C)c3ccc4cccnc4c3)C=CN2)c1C")</f>
        <v>Cc1ccc(C)c(CN(C)CC2=CC(N(C)c3ccc4cccnc4c3)C=CN2)c1C</v>
      </c>
      <c r="C17336" s="7">
        <f>IFERROR(__xludf.DUMMYFUNCTION("""COMPUTED_VALUE"""),7.7322907)</f>
        <v>7.7322907</v>
      </c>
      <c r="D17336" s="7">
        <f>IFERROR(__xludf.DUMMYFUNCTION("""COMPUTED_VALUE"""),0.289855072463768)</f>
        <v>0.2898550725</v>
      </c>
    </row>
    <row r="17337">
      <c r="A17337" s="10" t="s">
        <v>18776</v>
      </c>
      <c r="B17337" s="7" t="str">
        <f>IFERROR(__xludf.DUMMYFUNCTION("SPLIT(A17337,"" "")"),"Cc1ccc(CN(C)Cc2ncccc2-c2ccc(Cl)cc2N)nc1")</f>
        <v>Cc1ccc(CN(C)Cc2ncccc2-c2ccc(Cl)cc2N)nc1</v>
      </c>
      <c r="C17337" s="7">
        <f>IFERROR(__xludf.DUMMYFUNCTION("""COMPUTED_VALUE"""),7.7322807)</f>
        <v>7.7322807</v>
      </c>
      <c r="D17337" s="7">
        <f>IFERROR(__xludf.DUMMYFUNCTION("""COMPUTED_VALUE"""),0.44)</f>
        <v>0.44</v>
      </c>
    </row>
    <row r="17338">
      <c r="A17338" s="10" t="s">
        <v>18777</v>
      </c>
      <c r="B17338" s="7" t="str">
        <f>IFERROR(__xludf.DUMMYFUNCTION("SPLIT(A17338,"" "")"),"CCOC1(C)COC(c2ncccc2CN(Cc2ccccn2)Cc2cccc(-c3ccc(N=Cc4ccccn4)cc3)n2)=N1")</f>
        <v>CCOC1(C)COC(c2ncccc2CN(Cc2ccccn2)Cc2cccc(-c3ccc(N=Cc4ccccn4)cc3)n2)=N1</v>
      </c>
      <c r="C17338" s="7">
        <f>IFERROR(__xludf.DUMMYFUNCTION("""COMPUTED_VALUE"""),7.7322793)</f>
        <v>7.7322793</v>
      </c>
      <c r="D17338" s="7">
        <f>IFERROR(__xludf.DUMMYFUNCTION("""COMPUTED_VALUE"""),0.375)</f>
        <v>0.375</v>
      </c>
    </row>
    <row r="17339">
      <c r="A17339" s="10" t="s">
        <v>18778</v>
      </c>
      <c r="B17339" s="7" t="str">
        <f>IFERROR(__xludf.DUMMYFUNCTION("SPLIT(A17339,"" "")"),"Cc1ccc2c(N(C)CCN(C)Cc3ccc(C)c(C)n3)cccc2n1")</f>
        <v>Cc1ccc2c(N(C)CCN(C)Cc3ccc(C)c(C)n3)cccc2n1</v>
      </c>
      <c r="C17339" s="7">
        <f>IFERROR(__xludf.DUMMYFUNCTION("""COMPUTED_VALUE"""),7.7322598)</f>
        <v>7.7322598</v>
      </c>
      <c r="D17339" s="7">
        <f>IFERROR(__xludf.DUMMYFUNCTION("""COMPUTED_VALUE"""),0.478260869565217)</f>
        <v>0.4782608696</v>
      </c>
    </row>
    <row r="17340">
      <c r="A17340" s="10" t="s">
        <v>18779</v>
      </c>
      <c r="B17340" s="7" t="str">
        <f>IFERROR(__xludf.DUMMYFUNCTION("SPLIT(A17340,"" "")"),"Cc1cccnc1CN(C)c1cccc2nc(CN(C)C3CCCC(N(C)c4cccc5nc(CF)ccc45)C3)ccc12")</f>
        <v>Cc1cccnc1CN(C)c1cccc2nc(CN(C)C3CCCC(N(C)c4cccc5nc(CF)ccc45)C3)ccc12</v>
      </c>
      <c r="C17340" s="7">
        <f>IFERROR(__xludf.DUMMYFUNCTION("""COMPUTED_VALUE"""),7.732255)</f>
        <v>7.732255</v>
      </c>
      <c r="D17340" s="7">
        <f>IFERROR(__xludf.DUMMYFUNCTION("""COMPUTED_VALUE"""),0.347222222222222)</f>
        <v>0.3472222222</v>
      </c>
    </row>
    <row r="17341">
      <c r="A17341" s="10" t="s">
        <v>18780</v>
      </c>
      <c r="B17341" s="7" t="str">
        <f>IFERROR(__xludf.DUMMYFUNCTION("SPLIT(A17341,"" "")"),"Cc1ccc(CN(C)Cc2ccc(-c3cccc(N=Cc4ccccn4)c3)nc2)nc1")</f>
        <v>Cc1ccc(CN(C)Cc2ccc(-c3cccc(N=Cc4ccccn4)c3)nc2)nc1</v>
      </c>
      <c r="C17341" s="7">
        <f>IFERROR(__xludf.DUMMYFUNCTION("""COMPUTED_VALUE"""),7.732249)</f>
        <v>7.732249</v>
      </c>
      <c r="D17341" s="7">
        <f>IFERROR(__xludf.DUMMYFUNCTION("""COMPUTED_VALUE"""),0.372881355932203)</f>
        <v>0.3728813559</v>
      </c>
    </row>
    <row r="17342">
      <c r="A17342" s="10" t="s">
        <v>18781</v>
      </c>
      <c r="B17342" s="7" t="str">
        <f>IFERROR(__xludf.DUMMYFUNCTION("SPLIT(A17342,"" "")"),"Cc1ccnc(CN(C)Cc2ccnc3ccc(C)cc23)c1")</f>
        <v>Cc1ccnc(CN(C)Cc2ccnc3ccc(C)cc23)c1</v>
      </c>
      <c r="C17342" s="7">
        <f>IFERROR(__xludf.DUMMYFUNCTION("""COMPUTED_VALUE"""),7.7322416)</f>
        <v>7.7322416</v>
      </c>
      <c r="D17342" s="7">
        <f>IFERROR(__xludf.DUMMYFUNCTION("""COMPUTED_VALUE"""),0.375)</f>
        <v>0.375</v>
      </c>
    </row>
    <row r="17343">
      <c r="A17343" s="10" t="s">
        <v>18782</v>
      </c>
      <c r="B17343" s="7" t="str">
        <f>IFERROR(__xludf.DUMMYFUNCTION("SPLIT(A17343,"" "")"),"Cc1cccnc1CN(C)Cc1cnccc1-c1ccccc1N(C)C")</f>
        <v>Cc1cccnc1CN(C)Cc1cnccc1-c1ccccc1N(C)C</v>
      </c>
      <c r="C17343" s="7">
        <f>IFERROR(__xludf.DUMMYFUNCTION("""COMPUTED_VALUE"""),7.7322345)</f>
        <v>7.7322345</v>
      </c>
      <c r="D17343" s="7">
        <f>IFERROR(__xludf.DUMMYFUNCTION("""COMPUTED_VALUE"""),0.309090909090909)</f>
        <v>0.3090909091</v>
      </c>
    </row>
    <row r="17344">
      <c r="A17344" s="10" t="s">
        <v>18783</v>
      </c>
      <c r="B17344" s="7" t="str">
        <f>IFERROR(__xludf.DUMMYFUNCTION("SPLIT(A17344,"" "")"),"CCNCc1nc2ccccc2o1")</f>
        <v>CCNCc1nc2ccccc2o1</v>
      </c>
      <c r="C17344" s="7">
        <f>IFERROR(__xludf.DUMMYFUNCTION("""COMPUTED_VALUE"""),7.7322316)</f>
        <v>7.7322316</v>
      </c>
      <c r="D17344" s="7">
        <f>IFERROR(__xludf.DUMMYFUNCTION("""COMPUTED_VALUE"""),0.375)</f>
        <v>0.375</v>
      </c>
    </row>
    <row r="17345">
      <c r="A17345" s="10" t="s">
        <v>18784</v>
      </c>
      <c r="B17345" s="7" t="str">
        <f>IFERROR(__xludf.DUMMYFUNCTION("SPLIT(A17345,"" "")"),"CN(c1ccc2cc3c(nc2c1)CCC3)C1CCC(N(C)c2ccc3cc4c(nc3c2)CCC4)CC1")</f>
        <v>CN(c1ccc2cc3c(nc2c1)CCC3)C1CCC(N(C)c2ccc3cc4c(nc3c2)CCC4)CC1</v>
      </c>
      <c r="C17345" s="7">
        <f>IFERROR(__xludf.DUMMYFUNCTION("""COMPUTED_VALUE"""),7.7322288)</f>
        <v>7.7322288</v>
      </c>
      <c r="D17345" s="7">
        <f>IFERROR(__xludf.DUMMYFUNCTION("""COMPUTED_VALUE"""),0.46)</f>
        <v>0.46</v>
      </c>
    </row>
    <row r="17346">
      <c r="A17346" s="10" t="s">
        <v>18785</v>
      </c>
      <c r="B17346" s="7" t="str">
        <f>IFERROR(__xludf.DUMMYFUNCTION("SPLIT(A17346,"" "")"),"CN(C)c1ccc2nc(CN(C)C(C)(C)c3cccnc3)ccc2c1")</f>
        <v>CN(C)c1ccc2nc(CN(C)C(C)(C)c3cccnc3)ccc2c1</v>
      </c>
      <c r="C17346" s="7">
        <f>IFERROR(__xludf.DUMMYFUNCTION("""COMPUTED_VALUE"""),7.732227)</f>
        <v>7.732227</v>
      </c>
      <c r="D17346" s="7">
        <f>IFERROR(__xludf.DUMMYFUNCTION("""COMPUTED_VALUE"""),0.32)</f>
        <v>0.32</v>
      </c>
    </row>
    <row r="17347">
      <c r="A17347" s="10" t="s">
        <v>18786</v>
      </c>
      <c r="B17347" s="7" t="str">
        <f>IFERROR(__xludf.DUMMYFUNCTION("SPLIT(A17347,"" "")"),"CCN(C)CC1=CCC(N(C)c2ccc3nc(C)ccc3c2)=CN1")</f>
        <v>CCN(C)CC1=CCC(N(C)c2ccc3nc(C)ccc3c2)=CN1</v>
      </c>
      <c r="C17347" s="7">
        <f>IFERROR(__xludf.DUMMYFUNCTION("""COMPUTED_VALUE"""),7.732223)</f>
        <v>7.732223</v>
      </c>
      <c r="D17347" s="7">
        <f>IFERROR(__xludf.DUMMYFUNCTION("""COMPUTED_VALUE"""),0.272727272727272)</f>
        <v>0.2727272727</v>
      </c>
    </row>
    <row r="17348">
      <c r="A17348" s="10" t="s">
        <v>18787</v>
      </c>
      <c r="B17348" s="7" t="str">
        <f>IFERROR(__xludf.DUMMYFUNCTION("SPLIT(A17348,"" "")"),"CC1=CC(NCc2ccccn2)CC(c2cc(NCc3ccccn3)c(C)c(-c3ccccc3)c2)=C1c1ccccc1")</f>
        <v>CC1=CC(NCc2ccccn2)CC(c2cc(NCc3ccccn3)c(C)c(-c3ccccc3)c2)=C1c1ccccc1</v>
      </c>
      <c r="C17348" s="7">
        <f>IFERROR(__xludf.DUMMYFUNCTION("""COMPUTED_VALUE"""),7.7322206)</f>
        <v>7.7322206</v>
      </c>
      <c r="D17348" s="7">
        <f>IFERROR(__xludf.DUMMYFUNCTION("""COMPUTED_VALUE"""),0.373134328358209)</f>
        <v>0.3731343284</v>
      </c>
    </row>
    <row r="17349">
      <c r="A17349" s="10" t="s">
        <v>18788</v>
      </c>
      <c r="B17349" s="7" t="str">
        <f>IFERROR(__xludf.DUMMYFUNCTION("SPLIT(A17349,"" "")"),"CCNCc1cccc(-c2cc(N=Cc3ccccn3)ccc2C)n1")</f>
        <v>CCNCc1cccc(-c2cc(N=Cc3ccccn3)ccc2C)n1</v>
      </c>
      <c r="C17349" s="7">
        <f>IFERROR(__xludf.DUMMYFUNCTION("""COMPUTED_VALUE"""),7.732216)</f>
        <v>7.732216</v>
      </c>
      <c r="D17349" s="7">
        <f>IFERROR(__xludf.DUMMYFUNCTION("""COMPUTED_VALUE"""),0.396551724137931)</f>
        <v>0.3965517241</v>
      </c>
    </row>
    <row r="17350">
      <c r="A17350" s="10" t="s">
        <v>18789</v>
      </c>
      <c r="B17350" s="7" t="str">
        <f>IFERROR(__xludf.DUMMYFUNCTION("SPLIT(A17350,"" "")"),"Cc1cc2cccnc2c(CN(C)CC2=C(N(C)Cc3nc(C)c(C)c(C)c3C)CC=CN2)c1C")</f>
        <v>Cc1cc2cccnc2c(CN(C)CC2=C(N(C)Cc3nc(C)c(C)c(C)c3C)CC=CN2)c1C</v>
      </c>
      <c r="C17350" s="7">
        <f>IFERROR(__xludf.DUMMYFUNCTION("""COMPUTED_VALUE"""),7.7322087)</f>
        <v>7.7322087</v>
      </c>
      <c r="D17350" s="7">
        <f>IFERROR(__xludf.DUMMYFUNCTION("""COMPUTED_VALUE"""),0.279411764705882)</f>
        <v>0.2794117647</v>
      </c>
    </row>
    <row r="17351">
      <c r="A17351" s="10" t="s">
        <v>18790</v>
      </c>
      <c r="B17351" s="7" t="str">
        <f>IFERROR(__xludf.DUMMYFUNCTION("SPLIT(A17351,"" "")"),"CN(Cc1ccccn1)c1ccc2cc(CN(C)C(C)(C)c3ccccn3)cnc2c1")</f>
        <v>CN(Cc1ccccn1)c1ccc2cc(CN(C)C(C)(C)c3ccccn3)cnc2c1</v>
      </c>
      <c r="C17351" s="7">
        <f>IFERROR(__xludf.DUMMYFUNCTION("""COMPUTED_VALUE"""),7.7322063)</f>
        <v>7.7322063</v>
      </c>
      <c r="D17351" s="7">
        <f>IFERROR(__xludf.DUMMYFUNCTION("""COMPUTED_VALUE"""),0.433962264150943)</f>
        <v>0.4339622642</v>
      </c>
    </row>
    <row r="17352">
      <c r="A17352" s="10" t="s">
        <v>18791</v>
      </c>
      <c r="B17352" s="7" t="str">
        <f>IFERROR(__xludf.DUMMYFUNCTION("SPLIT(A17352,"" "")"),"CN(CC1=CC(N(C)c2ccc3cccnc3c2)C=CN1)Cc1cccnc1F")</f>
        <v>CN(CC1=CC(N(C)c2ccc3cccnc3c2)C=CN1)Cc1cccnc1F</v>
      </c>
      <c r="C17352" s="7">
        <f>IFERROR(__xludf.DUMMYFUNCTION("""COMPUTED_VALUE"""),7.7322025)</f>
        <v>7.7322025</v>
      </c>
      <c r="D17352" s="7">
        <f>IFERROR(__xludf.DUMMYFUNCTION("""COMPUTED_VALUE"""),0.32258064516129)</f>
        <v>0.3225806452</v>
      </c>
    </row>
    <row r="17353">
      <c r="A17353" s="10" t="s">
        <v>18792</v>
      </c>
      <c r="B17353" s="7" t="str">
        <f>IFERROR(__xludf.DUMMYFUNCTION("SPLIT(A17353,"" "")"),"Cc1cncc(CN(C)c2ccc3nccc(CN(C)C4CCC(N(C)c5ccc6c(CF)ccnc6c5)CC4)c3c2)c1")</f>
        <v>Cc1cncc(CN(C)c2ccc3nccc(CN(C)C4CCC(N(C)c5ccc6c(CF)ccnc6c5)CC4)c3c2)c1</v>
      </c>
      <c r="C17353" s="7">
        <f>IFERROR(__xludf.DUMMYFUNCTION("""COMPUTED_VALUE"""),7.7321997)</f>
        <v>7.7321997</v>
      </c>
      <c r="D17353" s="7">
        <f>IFERROR(__xludf.DUMMYFUNCTION("""COMPUTED_VALUE"""),0.226666666666666)</f>
        <v>0.2266666667</v>
      </c>
    </row>
    <row r="17354">
      <c r="A17354" s="10" t="s">
        <v>18793</v>
      </c>
      <c r="B17354" s="7" t="str">
        <f>IFERROR(__xludf.DUMMYFUNCTION("SPLIT(A17354,"" "")"),"Cc1cccnc1CN(C)Cc1ccc2c(C)cccc2n1")</f>
        <v>Cc1cccnc1CN(C)Cc1ccc2c(C)cccc2n1</v>
      </c>
      <c r="C17354" s="7">
        <f>IFERROR(__xludf.DUMMYFUNCTION("""COMPUTED_VALUE"""),7.7321973)</f>
        <v>7.7321973</v>
      </c>
      <c r="D17354" s="7">
        <f>IFERROR(__xludf.DUMMYFUNCTION("""COMPUTED_VALUE"""),0.408163265306122)</f>
        <v>0.4081632653</v>
      </c>
    </row>
    <row r="17355">
      <c r="A17355" s="10" t="s">
        <v>18794</v>
      </c>
      <c r="B17355" s="7" t="str">
        <f>IFERROR(__xludf.DUMMYFUNCTION("SPLIT(A17355,"" "")"),"CN(c1cccc2ncccc12)C1CCC(Nc2cccc3ncccc23)CC1")</f>
        <v>CN(c1cccc2ncccc12)C1CCC(Nc2cccc3ncccc23)CC1</v>
      </c>
      <c r="C17355" s="7">
        <f>IFERROR(__xludf.DUMMYFUNCTION("""COMPUTED_VALUE"""),7.732177)</f>
        <v>7.732177</v>
      </c>
      <c r="D17355" s="7">
        <f>IFERROR(__xludf.DUMMYFUNCTION("""COMPUTED_VALUE"""),0.351851851851851)</f>
        <v>0.3518518519</v>
      </c>
    </row>
    <row r="17356">
      <c r="A17356" s="10" t="s">
        <v>18795</v>
      </c>
      <c r="B17356" s="7" t="str">
        <f>IFERROR(__xludf.DUMMYFUNCTION("SPLIT(A17356,"" "")"),"Cc1ccc2c(N(C)CCNC(C)C)cccc2n1")</f>
        <v>Cc1ccc2c(N(C)CCNC(C)C)cccc2n1</v>
      </c>
      <c r="C17356" s="7">
        <f>IFERROR(__xludf.DUMMYFUNCTION("""COMPUTED_VALUE"""),7.7321754)</f>
        <v>7.7321754</v>
      </c>
      <c r="D17356" s="7">
        <f>IFERROR(__xludf.DUMMYFUNCTION("""COMPUTED_VALUE"""),0.354166666666666)</f>
        <v>0.3541666667</v>
      </c>
    </row>
    <row r="17357">
      <c r="A17357" s="10" t="s">
        <v>18796</v>
      </c>
      <c r="B17357" s="7" t="str">
        <f>IFERROR(__xludf.DUMMYFUNCTION("SPLIT(A17357,"" "")"),"C1=CNC(Nc2ncccc2C(c2ccccn2)c2ccccn2)C=C1")</f>
        <v>C1=CNC(Nc2ncccc2C(c2ccccn2)c2ccccn2)C=C1</v>
      </c>
      <c r="C17357" s="7">
        <f>IFERROR(__xludf.DUMMYFUNCTION("""COMPUTED_VALUE"""),7.7321706)</f>
        <v>7.7321706</v>
      </c>
      <c r="D17357" s="7">
        <f>IFERROR(__xludf.DUMMYFUNCTION("""COMPUTED_VALUE"""),0.339285714285714)</f>
        <v>0.3392857143</v>
      </c>
    </row>
    <row r="17358">
      <c r="A17358" s="10" t="s">
        <v>18797</v>
      </c>
      <c r="B17358" s="7" t="str">
        <f>IFERROR(__xludf.DUMMYFUNCTION("SPLIT(A17358,"" "")"),"Cc1cncc(CN(C)CC2=CC(N(C)c3ccc4nc(C)ccc4c3)C=CN2)c1")</f>
        <v>Cc1cncc(CN(C)CC2=CC(N(C)c3ccc4nc(C)ccc4c3)C=CN2)c1</v>
      </c>
      <c r="C17358" s="7">
        <f>IFERROR(__xludf.DUMMYFUNCTION("""COMPUTED_VALUE"""),7.732166)</f>
        <v>7.732166</v>
      </c>
      <c r="D17358" s="7">
        <f>IFERROR(__xludf.DUMMYFUNCTION("""COMPUTED_VALUE"""),0.294117647058823)</f>
        <v>0.2941176471</v>
      </c>
    </row>
    <row r="17359">
      <c r="A17359" s="10" t="s">
        <v>18798</v>
      </c>
      <c r="B17359" s="7" t="str">
        <f>IFERROR(__xludf.DUMMYFUNCTION("SPLIT(A17359,"" "")"),"Cc1cccnc1CN(C)CCN(C)c1cccc2nccc(C)c12")</f>
        <v>Cc1cccnc1CN(C)CCN(C)c1cccc2nccc(C)c12</v>
      </c>
      <c r="C17359" s="7">
        <f>IFERROR(__xludf.DUMMYFUNCTION("""COMPUTED_VALUE"""),7.7321596)</f>
        <v>7.7321596</v>
      </c>
      <c r="D17359" s="7">
        <f>IFERROR(__xludf.DUMMYFUNCTION("""COMPUTED_VALUE"""),0.408163265306122)</f>
        <v>0.4081632653</v>
      </c>
    </row>
    <row r="17360">
      <c r="A17360" s="10" t="s">
        <v>18799</v>
      </c>
      <c r="B17360" s="7" t="str">
        <f>IFERROR(__xludf.DUMMYFUNCTION("SPLIT(A17360,"" "")"),"CN(CC1=CC(N(C)c2ccc3cccnc3c2)C=CN1)Cc1ccccn1")</f>
        <v>CN(CC1=CC(N(C)c2ccc3cccnc3c2)C=CN1)Cc1ccccn1</v>
      </c>
      <c r="C17360" s="7">
        <f>IFERROR(__xludf.DUMMYFUNCTION("""COMPUTED_VALUE"""),7.7321405)</f>
        <v>7.7321405</v>
      </c>
      <c r="D17360" s="7">
        <f>IFERROR(__xludf.DUMMYFUNCTION("""COMPUTED_VALUE"""),0.389830508474576)</f>
        <v>0.3898305085</v>
      </c>
    </row>
    <row r="17361">
      <c r="A17361" s="10" t="s">
        <v>18800</v>
      </c>
      <c r="B17361" s="7" t="str">
        <f>IFERROR(__xludf.DUMMYFUNCTION("SPLIT(A17361,"" "")"),"Cc1ccc(N(C)Cc2ccccn2)c(CN(Cc2ccccn2)C(C)(N)N(Cc2ccccn2)c2ccc3cc(CN(C)C)cnc3c2)c1C")</f>
        <v>Cc1ccc(N(C)Cc2ccccn2)c(CN(Cc2ccccn2)C(C)(N)N(Cc2ccccn2)c2ccc3cc(CN(C)C)cnc3c2)c1C</v>
      </c>
      <c r="C17361" s="7">
        <f>IFERROR(__xludf.DUMMYFUNCTION("""COMPUTED_VALUE"""),7.732136)</f>
        <v>7.732136</v>
      </c>
      <c r="D17361" s="7">
        <f>IFERROR(__xludf.DUMMYFUNCTION("""COMPUTED_VALUE"""),0.347826086956521)</f>
        <v>0.347826087</v>
      </c>
    </row>
    <row r="17362">
      <c r="A17362" s="10" t="s">
        <v>18801</v>
      </c>
      <c r="B17362" s="7" t="str">
        <f>IFERROR(__xludf.DUMMYFUNCTION("SPLIT(A17362,"" "")"),"CN(c1ccc2ncccc2c1)C1CCC(N(C)c2ccc3nc4c(cc3c2)CCC4)CC1")</f>
        <v>CN(c1ccc2ncccc2c1)C1CCC(N(C)c2ccc3nc4c(cc3c2)CCC4)CC1</v>
      </c>
      <c r="C17362" s="7">
        <f>IFERROR(__xludf.DUMMYFUNCTION("""COMPUTED_VALUE"""),7.7321343)</f>
        <v>7.7321343</v>
      </c>
      <c r="D17362" s="7">
        <f>IFERROR(__xludf.DUMMYFUNCTION("""COMPUTED_VALUE"""),0.43859649122807)</f>
        <v>0.4385964912</v>
      </c>
    </row>
    <row r="17363">
      <c r="A17363" s="10" t="s">
        <v>18802</v>
      </c>
      <c r="B17363" s="7" t="str">
        <f>IFERROR(__xludf.DUMMYFUNCTION("SPLIT(A17363,"" "")"),"CN(c1ccc2nc(CF)ccc2c1)C1CCC(N(C)c2ccc3c(CF)ccnc3c2)CC1")</f>
        <v>CN(c1ccc2nc(CF)ccc2c1)C1CCC(N(C)c2ccc3c(CF)ccnc3c2)CC1</v>
      </c>
      <c r="C17363" s="7">
        <f>IFERROR(__xludf.DUMMYFUNCTION("""COMPUTED_VALUE"""),7.7321334)</f>
        <v>7.7321334</v>
      </c>
      <c r="D17363" s="7">
        <f>IFERROR(__xludf.DUMMYFUNCTION("""COMPUTED_VALUE"""),0.344262295081967)</f>
        <v>0.3442622951</v>
      </c>
    </row>
    <row r="17364">
      <c r="A17364" s="10" t="s">
        <v>18803</v>
      </c>
      <c r="B17364" s="7" t="str">
        <f>IFERROR(__xludf.DUMMYFUNCTION("SPLIT(A17364,"" "")"),"Cc1cccc(CN(C)c2ccc(Cl)c(-c3cccc(CN(C)C4C=CNC(C(C)C)=C4)n3)c2C)n1")</f>
        <v>Cc1cccc(CN(C)c2ccc(Cl)c(-c3cccc(CN(C)C4C=CNC(C(C)C)=C4)n3)c2C)n1</v>
      </c>
      <c r="C17364" s="7">
        <f>IFERROR(__xludf.DUMMYFUNCTION("""COMPUTED_VALUE"""),7.7321253)</f>
        <v>7.7321253</v>
      </c>
      <c r="D17364" s="7">
        <f>IFERROR(__xludf.DUMMYFUNCTION("""COMPUTED_VALUE"""),0.338235294117647)</f>
        <v>0.3382352941</v>
      </c>
    </row>
    <row r="17365">
      <c r="A17365" s="10" t="s">
        <v>18804</v>
      </c>
      <c r="B17365" s="7" t="str">
        <f>IFERROR(__xludf.DUMMYFUNCTION("SPLIT(A17365,"" "")"),"CNCCN(Cc1ccccn1)c1cccc2c(C)ccnc12")</f>
        <v>CNCCN(Cc1ccccn1)c1cccc2c(C)ccnc12</v>
      </c>
      <c r="C17365" s="7">
        <f>IFERROR(__xludf.DUMMYFUNCTION("""COMPUTED_VALUE"""),7.7321215)</f>
        <v>7.7321215</v>
      </c>
      <c r="D17365" s="7">
        <f>IFERROR(__xludf.DUMMYFUNCTION("""COMPUTED_VALUE"""),0.392156862745098)</f>
        <v>0.3921568627</v>
      </c>
    </row>
    <row r="17366">
      <c r="A17366" s="10" t="s">
        <v>18805</v>
      </c>
      <c r="B17366" s="7" t="str">
        <f>IFERROR(__xludf.DUMMYFUNCTION("SPLIT(A17366,"" "")"),"Cc1ccncc1CN(C)Cc1ccnc2c(C)cccc12")</f>
        <v>Cc1ccncc1CN(C)Cc1ccnc2c(C)cccc12</v>
      </c>
      <c r="C17366" s="7">
        <f>IFERROR(__xludf.DUMMYFUNCTION("""COMPUTED_VALUE"""),7.732116)</f>
        <v>7.732116</v>
      </c>
      <c r="D17366" s="7">
        <f>IFERROR(__xludf.DUMMYFUNCTION("""COMPUTED_VALUE"""),0.36734693877551)</f>
        <v>0.3673469388</v>
      </c>
    </row>
    <row r="17367">
      <c r="A17367" s="10" t="s">
        <v>18806</v>
      </c>
      <c r="B17367" s="7" t="str">
        <f>IFERROR(__xludf.DUMMYFUNCTION("SPLIT(A17367,"" "")"),"Cc1ccc2c(CN(C)Cc3cc(N)ccn3)ccnc2c1")</f>
        <v>Cc1ccc2c(CN(C)Cc3cc(N)ccn3)ccnc2c1</v>
      </c>
      <c r="C17367" s="7">
        <f>IFERROR(__xludf.DUMMYFUNCTION("""COMPUTED_VALUE"""),7.732115)</f>
        <v>7.732115</v>
      </c>
      <c r="D17367" s="7">
        <f>IFERROR(__xludf.DUMMYFUNCTION("""COMPUTED_VALUE"""),0.333333333333333)</f>
        <v>0.3333333333</v>
      </c>
    </row>
    <row r="17368">
      <c r="A17368" s="10" t="s">
        <v>18807</v>
      </c>
      <c r="B17368" s="7" t="str">
        <f>IFERROR(__xludf.DUMMYFUNCTION("SPLIT(A17368,"" "")"),"CN(Cc1ccnc(C(C)(C)C)c1)Cc1cc(-c2cccc(N(C)C)c2)ccn1")</f>
        <v>CN(Cc1ccnc(C(C)(C)C)c1)Cc1cc(-c2cccc(N(C)C)c2)ccn1</v>
      </c>
      <c r="C17368" s="7">
        <f>IFERROR(__xludf.DUMMYFUNCTION("""COMPUTED_VALUE"""),7.732115)</f>
        <v>7.732115</v>
      </c>
      <c r="D17368" s="7">
        <f>IFERROR(__xludf.DUMMYFUNCTION("""COMPUTED_VALUE"""),0.31578947368421)</f>
        <v>0.3157894737</v>
      </c>
    </row>
    <row r="17369">
      <c r="A17369" s="10" t="s">
        <v>18808</v>
      </c>
      <c r="B17369" s="7" t="str">
        <f>IFERROR(__xludf.DUMMYFUNCTION("SPLIT(A17369,"" "")"),"CN(C)CCN(C)c1ccc2ncc(CF)cc2c1")</f>
        <v>CN(C)CCN(C)c1ccc2ncc(CF)cc2c1</v>
      </c>
      <c r="C17369" s="7">
        <f>IFERROR(__xludf.DUMMYFUNCTION("""COMPUTED_VALUE"""),7.7321043)</f>
        <v>7.7321043</v>
      </c>
      <c r="D17369" s="7">
        <f>IFERROR(__xludf.DUMMYFUNCTION("""COMPUTED_VALUE"""),0.26)</f>
        <v>0.26</v>
      </c>
    </row>
    <row r="17370">
      <c r="A17370" s="10" t="s">
        <v>18809</v>
      </c>
      <c r="B17370" s="7" t="str">
        <f>IFERROR(__xludf.DUMMYFUNCTION("SPLIT(A17370,"" "")"),"CN(C1=CCC=CN1)C1=CCC=C(CN(Cc2ccccn2)c2cc(Cl)ccc2Cl)N1")</f>
        <v>CN(C1=CCC=CN1)C1=CCC=C(CN(Cc2ccccn2)c2cc(Cl)ccc2Cl)N1</v>
      </c>
      <c r="C17370" s="7">
        <f>IFERROR(__xludf.DUMMYFUNCTION("""COMPUTED_VALUE"""),7.732095)</f>
        <v>7.732095</v>
      </c>
      <c r="D17370" s="7">
        <f>IFERROR(__xludf.DUMMYFUNCTION("""COMPUTED_VALUE"""),0.453125)</f>
        <v>0.453125</v>
      </c>
    </row>
    <row r="17371">
      <c r="A17371" s="10" t="s">
        <v>18810</v>
      </c>
      <c r="B17371" s="7" t="str">
        <f>IFERROR(__xludf.DUMMYFUNCTION("SPLIT(A17371,"" "")"),"Cc1ccc(CN(C)C2=CCC=C(CN(C)Cc3ccc4ncccc4c3)N2)nc1")</f>
        <v>Cc1ccc(CN(C)C2=CCC=C(CN(C)Cc3ccc4ncccc4c3)N2)nc1</v>
      </c>
      <c r="C17371" s="7">
        <f>IFERROR(__xludf.DUMMYFUNCTION("""COMPUTED_VALUE"""),7.7320914)</f>
        <v>7.7320914</v>
      </c>
      <c r="D17371" s="7">
        <f>IFERROR(__xludf.DUMMYFUNCTION("""COMPUTED_VALUE"""),0.35)</f>
        <v>0.35</v>
      </c>
    </row>
    <row r="17372">
      <c r="A17372" s="10" t="s">
        <v>18811</v>
      </c>
      <c r="B17372" s="7" t="str">
        <f>IFERROR(__xludf.DUMMYFUNCTION("SPLIT(A17372,"" "")"),"CN(C)CCN(C)c1ccc2cc(CF)cnc2c1")</f>
        <v>CN(C)CCN(C)c1ccc2cc(CF)cnc2c1</v>
      </c>
      <c r="C17372" s="7">
        <f>IFERROR(__xludf.DUMMYFUNCTION("""COMPUTED_VALUE"""),7.73209)</f>
        <v>7.73209</v>
      </c>
      <c r="D17372" s="7">
        <f>IFERROR(__xludf.DUMMYFUNCTION("""COMPUTED_VALUE"""),0.265306122448979)</f>
        <v>0.2653061224</v>
      </c>
    </row>
    <row r="17373">
      <c r="A17373" s="10" t="s">
        <v>18812</v>
      </c>
      <c r="B17373" s="7" t="str">
        <f>IFERROR(__xludf.DUMMYFUNCTION("SPLIT(A17373,"" "")"),"Cc1ccnc(CN(C)Cc2ncccc2-c2ccccc2N(C)Cc2ccccn2)c1C")</f>
        <v>Cc1ccnc(CN(C)Cc2ncccc2-c2ccccc2N(C)Cc2ccccn2)c1C</v>
      </c>
      <c r="C17373" s="7">
        <f>IFERROR(__xludf.DUMMYFUNCTION("""COMPUTED_VALUE"""),7.7320895)</f>
        <v>7.7320895</v>
      </c>
      <c r="D17373" s="7">
        <f>IFERROR(__xludf.DUMMYFUNCTION("""COMPUTED_VALUE"""),0.46)</f>
        <v>0.46</v>
      </c>
    </row>
    <row r="17374">
      <c r="A17374" s="10" t="s">
        <v>18813</v>
      </c>
      <c r="B17374" s="7" t="str">
        <f>IFERROR(__xludf.DUMMYFUNCTION("SPLIT(A17374,"" "")"),"Cc1nc(CN(C)CCN(C)c2cccc3c(CF)ccnc23)c(C)c(C)c1C")</f>
        <v>Cc1nc(CN(C)CCN(C)c2cccc3c(CF)ccnc23)c(C)c(C)c1C</v>
      </c>
      <c r="C17374" s="7">
        <f>IFERROR(__xludf.DUMMYFUNCTION("""COMPUTED_VALUE"""),7.7320876)</f>
        <v>7.7320876</v>
      </c>
      <c r="D17374" s="7">
        <f>IFERROR(__xludf.DUMMYFUNCTION("""COMPUTED_VALUE"""),0.407407407407407)</f>
        <v>0.4074074074</v>
      </c>
    </row>
    <row r="17375">
      <c r="A17375" s="10" t="s">
        <v>18814</v>
      </c>
      <c r="B17375" s="7" t="str">
        <f>IFERROR(__xludf.DUMMYFUNCTION("SPLIT(A17375,"" "")"),"CN(CC1=CC(N(C)c2ccc3ncccc3c2)C=CN1)Cc1ccccn1")</f>
        <v>CN(CC1=CC(N(C)c2ccc3ncccc3c2)C=CN1)Cc1ccccn1</v>
      </c>
      <c r="C17375" s="7">
        <f>IFERROR(__xludf.DUMMYFUNCTION("""COMPUTED_VALUE"""),7.7320848)</f>
        <v>7.7320848</v>
      </c>
      <c r="D17375" s="7">
        <f>IFERROR(__xludf.DUMMYFUNCTION("""COMPUTED_VALUE"""),0.389830508474576)</f>
        <v>0.3898305085</v>
      </c>
    </row>
    <row r="17376">
      <c r="A17376" s="10" t="s">
        <v>18815</v>
      </c>
      <c r="B17376" s="7" t="str">
        <f>IFERROR(__xludf.DUMMYFUNCTION("SPLIT(A17376,"" "")"),"CCNCc1cccc(-c2ccc(Cl)c(N(C)Cc3ccccn3)c2C(C)C)n1")</f>
        <v>CCNCc1cccc(-c2ccc(Cl)c(N(C)Cc3ccccn3)c2C(C)C)n1</v>
      </c>
      <c r="C17376" s="7">
        <f>IFERROR(__xludf.DUMMYFUNCTION("""COMPUTED_VALUE"""),7.7320814)</f>
        <v>7.7320814</v>
      </c>
      <c r="D17376" s="7">
        <f>IFERROR(__xludf.DUMMYFUNCTION("""COMPUTED_VALUE"""),0.421052631578947)</f>
        <v>0.4210526316</v>
      </c>
    </row>
    <row r="17377">
      <c r="A17377" s="10" t="s">
        <v>18816</v>
      </c>
      <c r="B17377" s="7" t="str">
        <f>IFERROR(__xludf.DUMMYFUNCTION("SPLIT(A17377,"" "")"),"Cc1cncc(CN(C)Cc2cccc(-c3cccc(N=Cc4ccccn4)c3)n2)c1")</f>
        <v>Cc1cncc(CN(C)Cc2cccc(-c3cccc(N=Cc4ccccn4)c3)n2)c1</v>
      </c>
      <c r="C17377" s="7">
        <f>IFERROR(__xludf.DUMMYFUNCTION("""COMPUTED_VALUE"""),7.732054)</f>
        <v>7.732054</v>
      </c>
      <c r="D17377" s="7">
        <f>IFERROR(__xludf.DUMMYFUNCTION("""COMPUTED_VALUE"""),0.419354838709677)</f>
        <v>0.4193548387</v>
      </c>
    </row>
    <row r="17378">
      <c r="A17378" s="10" t="s">
        <v>18817</v>
      </c>
      <c r="B17378" s="7" t="str">
        <f>IFERROR(__xludf.DUMMYFUNCTION("SPLIT(A17378,"" "")"),"CN(C)Cc1ccc2ccc(N(C)C3CCC(N(C)c4ccc5cccnc5c4)CC3)cc2n1")</f>
        <v>CN(C)Cc1ccc2ccc(N(C)C3CCC(N(C)c4ccc5cccnc5c4)CC3)cc2n1</v>
      </c>
      <c r="C17378" s="7">
        <f>IFERROR(__xludf.DUMMYFUNCTION("""COMPUTED_VALUE"""),7.7320523)</f>
        <v>7.7320523</v>
      </c>
      <c r="D17378" s="7">
        <f>IFERROR(__xludf.DUMMYFUNCTION("""COMPUTED_VALUE"""),0.392156862745098)</f>
        <v>0.3921568627</v>
      </c>
    </row>
    <row r="17379">
      <c r="A17379" s="10" t="s">
        <v>18818</v>
      </c>
      <c r="B17379" s="7" t="str">
        <f>IFERROR(__xludf.DUMMYFUNCTION("SPLIT(A17379,"" "")"),"CC(C)C(C)(c1cccnc1)N(C)Cc1cc(N(C)c2ccc3cccnc3c2)ccn1")</f>
        <v>CC(C)C(C)(c1cccnc1)N(C)Cc1cc(N(C)c2ccc3cccnc3c2)ccn1</v>
      </c>
      <c r="C17379" s="7">
        <f>IFERROR(__xludf.DUMMYFUNCTION("""COMPUTED_VALUE"""),7.7320504)</f>
        <v>7.7320504</v>
      </c>
      <c r="D17379" s="7">
        <f>IFERROR(__xludf.DUMMYFUNCTION("""COMPUTED_VALUE"""),0.296875)</f>
        <v>0.296875</v>
      </c>
    </row>
    <row r="17380">
      <c r="A17380" s="10" t="s">
        <v>18819</v>
      </c>
      <c r="B17380" s="7" t="str">
        <f>IFERROR(__xludf.DUMMYFUNCTION("SPLIT(A17380,"" "")"),"CN(C)Cc1ccc2ccc(N(C)C3CCC(N(C)c4ccc5ncccc5c4)CC3)cc2n1")</f>
        <v>CN(C)Cc1ccc2ccc(N(C)C3CCC(N(C)c4ccc5ncccc5c4)CC3)cc2n1</v>
      </c>
      <c r="C17380" s="7">
        <f>IFERROR(__xludf.DUMMYFUNCTION("""COMPUTED_VALUE"""),7.732047)</f>
        <v>7.732047</v>
      </c>
      <c r="D17380" s="7">
        <f>IFERROR(__xludf.DUMMYFUNCTION("""COMPUTED_VALUE"""),0.377358490566037)</f>
        <v>0.3773584906</v>
      </c>
    </row>
    <row r="17381">
      <c r="A17381" s="10" t="s">
        <v>18820</v>
      </c>
      <c r="B17381" s="7" t="str">
        <f>IFERROR(__xludf.DUMMYFUNCTION("SPLIT(A17381,"" "")"),"Cc1ccc(CN(C)Cc2ccc(-c3cccc(N=Cc4ccccn4)c3)cn2)cn1")</f>
        <v>Cc1ccc(CN(C)Cc2ccc(-c3cccc(N=Cc4ccccn4)c3)cn2)cn1</v>
      </c>
      <c r="C17381" s="7">
        <f>IFERROR(__xludf.DUMMYFUNCTION("""COMPUTED_VALUE"""),7.7320457)</f>
        <v>7.7320457</v>
      </c>
      <c r="D17381" s="7">
        <f>IFERROR(__xludf.DUMMYFUNCTION("""COMPUTED_VALUE"""),0.34375)</f>
        <v>0.34375</v>
      </c>
    </row>
    <row r="17382">
      <c r="A17382" s="10" t="s">
        <v>18821</v>
      </c>
      <c r="B17382" s="7" t="str">
        <f>IFERROR(__xludf.DUMMYFUNCTION("SPLIT(A17382,"" "")"),"c1ccc(CN(CCN(Cc2cccnc2)Cc2cccc3cccnc23)c2cccc3cccnc23)nc1")</f>
        <v>c1ccc(CN(CCN(Cc2cccnc2)Cc2cccc3cccnc23)c2cccc3cccnc23)nc1</v>
      </c>
      <c r="C17382" s="7">
        <f>IFERROR(__xludf.DUMMYFUNCTION("""COMPUTED_VALUE"""),7.7320333)</f>
        <v>7.7320333</v>
      </c>
      <c r="D17382" s="7">
        <f>IFERROR(__xludf.DUMMYFUNCTION("""COMPUTED_VALUE"""),0.410714285714285)</f>
        <v>0.4107142857</v>
      </c>
    </row>
    <row r="17383">
      <c r="A17383" s="10" t="s">
        <v>18822</v>
      </c>
      <c r="B17383" s="7" t="str">
        <f>IFERROR(__xludf.DUMMYFUNCTION("SPLIT(A17383,"" "")"),"Cc1cccnc1CN(C)Cc1ccc(-c2cccc(N(C)C)c2)cn1")</f>
        <v>Cc1cccnc1CN(C)Cc1ccc(-c2cccc(N(C)C)c2)cn1</v>
      </c>
      <c r="C17383" s="7">
        <f>IFERROR(__xludf.DUMMYFUNCTION("""COMPUTED_VALUE"""),7.732031)</f>
        <v>7.732031</v>
      </c>
      <c r="D17383" s="7">
        <f>IFERROR(__xludf.DUMMYFUNCTION("""COMPUTED_VALUE"""),0.352941176470588)</f>
        <v>0.3529411765</v>
      </c>
    </row>
    <row r="17384">
      <c r="A17384" s="10" t="s">
        <v>18823</v>
      </c>
      <c r="B17384" s="7" t="str">
        <f>IFERROR(__xludf.DUMMYFUNCTION("SPLIT(A17384,"" "")"),"CN(C)c1cccc2nc(CN(C)C3CCCC(N(C)c4cccc5nc(CF)ccc45)C3)ccc12")</f>
        <v>CN(C)c1cccc2nc(CN(C)C3CCCC(N(C)c4cccc5nc(CF)ccc45)C3)ccc12</v>
      </c>
      <c r="C17384" s="7">
        <f>IFERROR(__xludf.DUMMYFUNCTION("""COMPUTED_VALUE"""),7.732024)</f>
        <v>7.732024</v>
      </c>
      <c r="D17384" s="7">
        <f>IFERROR(__xludf.DUMMYFUNCTION("""COMPUTED_VALUE"""),0.416666666666666)</f>
        <v>0.4166666667</v>
      </c>
    </row>
    <row r="17385">
      <c r="A17385" s="10" t="s">
        <v>18824</v>
      </c>
      <c r="B17385" s="7" t="str">
        <f>IFERROR(__xludf.DUMMYFUNCTION("SPLIT(A17385,"" "")"),"Cc1ccc(-c2cc(C)ccn2)cc1")</f>
        <v>Cc1ccc(-c2cc(C)ccn2)cc1</v>
      </c>
      <c r="C17385" s="7">
        <f>IFERROR(__xludf.DUMMYFUNCTION("""COMPUTED_VALUE"""),7.732011)</f>
        <v>7.732011</v>
      </c>
      <c r="D17385" s="7">
        <f>IFERROR(__xludf.DUMMYFUNCTION("""COMPUTED_VALUE"""),0.368421052631578)</f>
        <v>0.3684210526</v>
      </c>
    </row>
    <row r="17386">
      <c r="A17386" s="10" t="s">
        <v>18825</v>
      </c>
      <c r="B17386" s="7" t="str">
        <f>IFERROR(__xludf.DUMMYFUNCTION("SPLIT(A17386,"" "")"),"CC1CC(N(C)c2ccc3cccnc3c2)=CC2N=CC=CC12")</f>
        <v>CC1CC(N(C)c2ccc3cccnc3c2)=CC2N=CC=CC12</v>
      </c>
      <c r="C17386" s="7">
        <f>IFERROR(__xludf.DUMMYFUNCTION("""COMPUTED_VALUE"""),7.732011)</f>
        <v>7.732011</v>
      </c>
      <c r="D17386" s="7">
        <f>IFERROR(__xludf.DUMMYFUNCTION("""COMPUTED_VALUE"""),0.265625)</f>
        <v>0.265625</v>
      </c>
    </row>
    <row r="17387">
      <c r="A17387" s="10" t="s">
        <v>18826</v>
      </c>
      <c r="B17387" s="7" t="str">
        <f>IFERROR(__xludf.DUMMYFUNCTION("SPLIT(A17387,"" "")"),"Cc1cncc(CN(C)Cc2ccc(-c3cccc(N=Cc4ccccn4)c3)nc2)c1")</f>
        <v>Cc1cncc(CN(C)Cc2ccc(-c3cccc(N=Cc4ccccn4)c3)nc2)c1</v>
      </c>
      <c r="C17387" s="7">
        <f>IFERROR(__xludf.DUMMYFUNCTION("""COMPUTED_VALUE"""),7.7319956)</f>
        <v>7.7319956</v>
      </c>
      <c r="D17387" s="7">
        <f>IFERROR(__xludf.DUMMYFUNCTION("""COMPUTED_VALUE"""),0.34375)</f>
        <v>0.34375</v>
      </c>
    </row>
    <row r="17388">
      <c r="A17388" s="10" t="s">
        <v>18827</v>
      </c>
      <c r="B17388" s="7" t="str">
        <f>IFERROR(__xludf.DUMMYFUNCTION("SPLIT(A17388,"" "")"),"Cc1ccc(CN(C)c2cccnc2CN(Cc2ccccn2)c2cc(Cl)ccc2C(C)C)nc1C")</f>
        <v>Cc1ccc(CN(C)c2cccnc2CN(Cc2ccccn2)c2cc(Cl)ccc2C(C)C)nc1C</v>
      </c>
      <c r="C17388" s="7">
        <f>IFERROR(__xludf.DUMMYFUNCTION("""COMPUTED_VALUE"""),7.7319946)</f>
        <v>7.7319946</v>
      </c>
      <c r="D17388" s="7">
        <f>IFERROR(__xludf.DUMMYFUNCTION("""COMPUTED_VALUE"""),0.426229508196721)</f>
        <v>0.4262295082</v>
      </c>
    </row>
    <row r="17389">
      <c r="A17389" s="10" t="s">
        <v>18828</v>
      </c>
      <c r="B17389" s="7" t="str">
        <f>IFERROR(__xludf.DUMMYFUNCTION("SPLIT(A17389,"" "")"),"Cc1cncc(CN(C)CC2=CC(N(C)c3ccc4cccnc4c3)C=CN2)c1")</f>
        <v>Cc1cncc(CN(C)CC2=CC(N(C)c3ccc4cccnc4c3)C=CN2)c1</v>
      </c>
      <c r="C17389" s="7">
        <f>IFERROR(__xludf.DUMMYFUNCTION("""COMPUTED_VALUE"""),7.731987)</f>
        <v>7.731987</v>
      </c>
      <c r="D17389" s="7">
        <f>IFERROR(__xludf.DUMMYFUNCTION("""COMPUTED_VALUE"""),0.28169014084507)</f>
        <v>0.2816901408</v>
      </c>
    </row>
    <row r="17390">
      <c r="A17390" s="10" t="s">
        <v>18829</v>
      </c>
      <c r="B17390" s="7" t="str">
        <f>IFERROR(__xludf.DUMMYFUNCTION("SPLIT(A17390,"" "")"),"CC1=CC(NCc2ccccn2)CC(c2ccccc2)=C1c1cc(NCc2ccccn2)c(C)c(-c2ccccc2)c1")</f>
        <v>CC1=CC(NCc2ccccn2)CC(c2ccccc2)=C1c1cc(NCc2ccccn2)c(C)c(-c2ccccc2)c1</v>
      </c>
      <c r="C17390" s="7">
        <f>IFERROR(__xludf.DUMMYFUNCTION("""COMPUTED_VALUE"""),7.731979)</f>
        <v>7.731979</v>
      </c>
      <c r="D17390" s="7">
        <f>IFERROR(__xludf.DUMMYFUNCTION("""COMPUTED_VALUE"""),0.373134328358209)</f>
        <v>0.3731343284</v>
      </c>
    </row>
    <row r="17391">
      <c r="A17391" s="10" t="s">
        <v>18830</v>
      </c>
      <c r="B17391" s="7" t="str">
        <f>IFERROR(__xludf.DUMMYFUNCTION("SPLIT(A17391,"" "")"),"CC(C)C(C)(c1cccnc1)N(C)Cc1cc(N(C)c2ccc3ncccc3c2)ccn1")</f>
        <v>CC(C)C(C)(c1cccnc1)N(C)Cc1cc(N(C)c2ccc3ncccc3c2)ccn1</v>
      </c>
      <c r="C17391" s="7">
        <f>IFERROR(__xludf.DUMMYFUNCTION("""COMPUTED_VALUE"""),7.731972)</f>
        <v>7.731972</v>
      </c>
      <c r="D17391" s="7">
        <f>IFERROR(__xludf.DUMMYFUNCTION("""COMPUTED_VALUE"""),0.264705882352941)</f>
        <v>0.2647058824</v>
      </c>
    </row>
    <row r="17392">
      <c r="A17392" s="10" t="s">
        <v>18831</v>
      </c>
      <c r="B17392" s="7" t="str">
        <f>IFERROR(__xludf.DUMMYFUNCTION("SPLIT(A17392,"" "")"),"Cc1cc(NCc2ccccn2)ccc1-c1cc(CN(C)Cc2ccc(N)cn2)cnc1C")</f>
        <v>Cc1cc(NCc2ccccn2)ccc1-c1cc(CN(C)Cc2ccc(N)cn2)cnc1C</v>
      </c>
      <c r="C17392" s="7">
        <f>IFERROR(__xludf.DUMMYFUNCTION("""COMPUTED_VALUE"""),7.731959)</f>
        <v>7.731959</v>
      </c>
      <c r="D17392" s="7">
        <f>IFERROR(__xludf.DUMMYFUNCTION("""COMPUTED_VALUE"""),0.333333333333333)</f>
        <v>0.3333333333</v>
      </c>
    </row>
    <row r="17393">
      <c r="A17393" s="10" t="s">
        <v>18832</v>
      </c>
      <c r="B17393" s="7" t="str">
        <f>IFERROR(__xludf.DUMMYFUNCTION("SPLIT(A17393,"" "")"),"CN(C)c1ccccc1-c1ccnc(CNC2C=CC=CN2)c1")</f>
        <v>CN(C)c1ccccc1-c1ccnc(CNC2C=CC=CN2)c1</v>
      </c>
      <c r="C17393" s="7">
        <f>IFERROR(__xludf.DUMMYFUNCTION("""COMPUTED_VALUE"""),7.7319555)</f>
        <v>7.7319555</v>
      </c>
      <c r="D17393" s="7">
        <f>IFERROR(__xludf.DUMMYFUNCTION("""COMPUTED_VALUE"""),0.344262295081967)</f>
        <v>0.3442622951</v>
      </c>
    </row>
    <row r="17394">
      <c r="A17394" s="10" t="s">
        <v>18833</v>
      </c>
      <c r="B17394" s="7" t="str">
        <f>IFERROR(__xludf.DUMMYFUNCTION("SPLIT(A17394,"" "")"),"CN(c1ccc2nc(CF)ccc2c1)C1CCC(N(C)c2ccc3nccc(CF)c3c2)CC1")</f>
        <v>CN(c1ccc2nc(CF)ccc2c1)C1CCC(N(C)c2ccc3nccc(CF)c3c2)CC1</v>
      </c>
      <c r="C17394" s="7">
        <f>IFERROR(__xludf.DUMMYFUNCTION("""COMPUTED_VALUE"""),7.731951)</f>
        <v>7.731951</v>
      </c>
      <c r="D17394" s="7">
        <f>IFERROR(__xludf.DUMMYFUNCTION("""COMPUTED_VALUE"""),0.338709677419354)</f>
        <v>0.3387096774</v>
      </c>
    </row>
    <row r="17395">
      <c r="A17395" s="10" t="s">
        <v>18834</v>
      </c>
      <c r="B17395" s="7" t="str">
        <f>IFERROR(__xludf.DUMMYFUNCTION("SPLIT(A17395,"" "")"),"CN(c1ccc2cccnc2c1)C1CCC(N(C)c2ccc3cccnc3c2)CC1")</f>
        <v>CN(c1ccc2cccnc2c1)C1CCC(N(C)c2ccc3cccnc3c2)CC1</v>
      </c>
      <c r="C17395" s="7">
        <f>IFERROR(__xludf.DUMMYFUNCTION("""COMPUTED_VALUE"""),7.7319493)</f>
        <v>7.7319493</v>
      </c>
      <c r="D17395" s="7">
        <f>IFERROR(__xludf.DUMMYFUNCTION("""COMPUTED_VALUE"""),0.391304347826087)</f>
        <v>0.3913043478</v>
      </c>
    </row>
    <row r="17396">
      <c r="A17396" s="10" t="s">
        <v>18835</v>
      </c>
      <c r="B17396" s="7" t="str">
        <f>IFERROR(__xludf.DUMMYFUNCTION("SPLIT(A17396,"" "")"),"CC(C)C(C)(c1cccnc1)N(C)Cc1ncccc1N(C)c1cccc2cccnc12")</f>
        <v>CC(C)C(C)(c1cccnc1)N(C)Cc1ncccc1N(C)c1cccc2cccnc12</v>
      </c>
      <c r="C17396" s="7">
        <f>IFERROR(__xludf.DUMMYFUNCTION("""COMPUTED_VALUE"""),7.731948)</f>
        <v>7.731948</v>
      </c>
      <c r="D17396" s="7">
        <f>IFERROR(__xludf.DUMMYFUNCTION("""COMPUTED_VALUE"""),0.415094339622641)</f>
        <v>0.4150943396</v>
      </c>
    </row>
    <row r="17397">
      <c r="A17397" s="10" t="s">
        <v>18836</v>
      </c>
      <c r="B17397" s="7" t="str">
        <f>IFERROR(__xludf.DUMMYFUNCTION("SPLIT(A17397,"" "")"),"Cc1cnc(CN(C)Cc2cc(-c3cccc(N(C)Cc4ccccn4)c3)ccn2)c(C)c1")</f>
        <v>Cc1cnc(CN(C)Cc2cc(-c3cccc(N(C)Cc4ccccn4)c3)ccn2)c(C)c1</v>
      </c>
      <c r="C17397" s="7">
        <f>IFERROR(__xludf.DUMMYFUNCTION("""COMPUTED_VALUE"""),7.7319474)</f>
        <v>7.7319474</v>
      </c>
      <c r="D17397" s="7">
        <f>IFERROR(__xludf.DUMMYFUNCTION("""COMPUTED_VALUE"""),0.396551724137931)</f>
        <v>0.3965517241</v>
      </c>
    </row>
    <row r="17398">
      <c r="A17398" s="10" t="s">
        <v>18837</v>
      </c>
      <c r="B17398" s="7" t="str">
        <f>IFERROR(__xludf.DUMMYFUNCTION("SPLIT(A17398,"" "")"),"Cc1ccc(-c2ccc(NCc3ccccn3)cc2)cn1")</f>
        <v>Cc1ccc(-c2ccc(NCc3ccccn3)cc2)cn1</v>
      </c>
      <c r="C17398" s="7">
        <f>IFERROR(__xludf.DUMMYFUNCTION("""COMPUTED_VALUE"""),7.7319465)</f>
        <v>7.7319465</v>
      </c>
      <c r="D17398" s="7">
        <f>IFERROR(__xludf.DUMMYFUNCTION("""COMPUTED_VALUE"""),0.425)</f>
        <v>0.425</v>
      </c>
    </row>
    <row r="17399">
      <c r="A17399" s="10" t="s">
        <v>18838</v>
      </c>
      <c r="B17399" s="7" t="str">
        <f>IFERROR(__xludf.DUMMYFUNCTION("SPLIT(A17399,"" "")"),"Cc1cc(-c2ccccc2NCc2ccccn2)ccn1")</f>
        <v>Cc1cc(-c2ccccc2NCc2ccccn2)ccn1</v>
      </c>
      <c r="C17399" s="7">
        <f>IFERROR(__xludf.DUMMYFUNCTION("""COMPUTED_VALUE"""),7.7319384)</f>
        <v>7.7319384</v>
      </c>
      <c r="D17399" s="7">
        <f>IFERROR(__xludf.DUMMYFUNCTION("""COMPUTED_VALUE"""),0.415094339622641)</f>
        <v>0.4150943396</v>
      </c>
    </row>
    <row r="17400">
      <c r="A17400" s="10" t="s">
        <v>18839</v>
      </c>
      <c r="B17400" s="7" t="str">
        <f>IFERROR(__xludf.DUMMYFUNCTION("SPLIT(A17400,"" "")"),"Cc1cc(CN(C)c2ccc3nc(CN(Cc4ccccn4)Cc4ncccc4C)ccc3c2)cnc1C")</f>
        <v>Cc1cc(CN(C)c2ccc3nc(CN(Cc4ccccn4)Cc4ncccc4C)ccc3c2)cnc1C</v>
      </c>
      <c r="C17400" s="7">
        <f>IFERROR(__xludf.DUMMYFUNCTION("""COMPUTED_VALUE"""),7.7319336)</f>
        <v>7.7319336</v>
      </c>
      <c r="D17400" s="7">
        <f>IFERROR(__xludf.DUMMYFUNCTION("""COMPUTED_VALUE"""),0.457627118644067)</f>
        <v>0.4576271186</v>
      </c>
    </row>
    <row r="17401">
      <c r="A17401" s="10" t="s">
        <v>18840</v>
      </c>
      <c r="B17401" s="7" t="str">
        <f>IFERROR(__xludf.DUMMYFUNCTION("SPLIT(A17401,"" "")"),"C=CCN(C)Cc1ncccc1-c1ccccc1N=Cc1ccccn1")</f>
        <v>C=CCN(C)Cc1ncccc1-c1ccccc1N=Cc1ccccn1</v>
      </c>
      <c r="C17401" s="7">
        <f>IFERROR(__xludf.DUMMYFUNCTION("""COMPUTED_VALUE"""),7.7319303)</f>
        <v>7.7319303</v>
      </c>
      <c r="D17401" s="7">
        <f>IFERROR(__xludf.DUMMYFUNCTION("""COMPUTED_VALUE"""),0.433962264150943)</f>
        <v>0.4339622642</v>
      </c>
    </row>
    <row r="17402">
      <c r="A17402" s="10" t="s">
        <v>18841</v>
      </c>
      <c r="B17402" s="7" t="str">
        <f>IFERROR(__xludf.DUMMYFUNCTION("SPLIT(A17402,"" "")"),"Cc1cncc(CN(C)c2cccnc2CN(Cc2ccccn2)Cc2cccc(-c3cccc(N=Cc4ccccn4)c3)n2)c1")</f>
        <v>Cc1cncc(CN(C)c2cccnc2CN(Cc2ccccn2)Cc2cccc(-c3cccc(N=Cc4ccccn4)c3)n2)c1</v>
      </c>
      <c r="C17402" s="7">
        <f>IFERROR(__xludf.DUMMYFUNCTION("""COMPUTED_VALUE"""),7.7319236)</f>
        <v>7.7319236</v>
      </c>
      <c r="D17402" s="7">
        <f>IFERROR(__xludf.DUMMYFUNCTION("""COMPUTED_VALUE"""),0.415584415584415)</f>
        <v>0.4155844156</v>
      </c>
    </row>
    <row r="17403">
      <c r="A17403" s="10" t="s">
        <v>18842</v>
      </c>
      <c r="B17403" s="7" t="str">
        <f>IFERROR(__xludf.DUMMYFUNCTION("SPLIT(A17403,"" "")"),"Cc1ccc2c(N(C)CCCN(C)C)cccc2n1")</f>
        <v>Cc1ccc2c(N(C)CCCN(C)C)cccc2n1</v>
      </c>
      <c r="C17403" s="7">
        <f>IFERROR(__xludf.DUMMYFUNCTION("""COMPUTED_VALUE"""),7.731923)</f>
        <v>7.731923</v>
      </c>
      <c r="D17403" s="7">
        <f>IFERROR(__xludf.DUMMYFUNCTION("""COMPUTED_VALUE"""),0.465116279069767)</f>
        <v>0.4651162791</v>
      </c>
    </row>
    <row r="17404">
      <c r="A17404" s="10" t="s">
        <v>18843</v>
      </c>
      <c r="B17404" s="7" t="str">
        <f>IFERROR(__xludf.DUMMYFUNCTION("SPLIT(A17404,"" "")"),"Cc1ccc(CN(C)Cc2cc(-c3cccc(N(C)C)c3)ccn2)nc1")</f>
        <v>Cc1ccc(CN(C)Cc2cc(-c3cccc(N(C)C)c3)ccn2)nc1</v>
      </c>
      <c r="C17404" s="7">
        <f>IFERROR(__xludf.DUMMYFUNCTION("""COMPUTED_VALUE"""),7.7319083)</f>
        <v>7.7319083</v>
      </c>
      <c r="D17404" s="7">
        <f>IFERROR(__xludf.DUMMYFUNCTION("""COMPUTED_VALUE"""),0.5)</f>
        <v>0.5</v>
      </c>
    </row>
    <row r="17405">
      <c r="A17405" s="10" t="s">
        <v>18844</v>
      </c>
      <c r="B17405" s="7" t="str">
        <f>IFERROR(__xludf.DUMMYFUNCTION("SPLIT(A17405,"" "")"),"Cc1cccc(CN(CC2=CC(N(C)Cc3ccccn3)C=CN2)c2ccc3ncccc3c2)n1")</f>
        <v>Cc1cccc(CN(CC2=CC(N(C)Cc3ccccn3)C=CN2)c2ccc3ncccc3c2)n1</v>
      </c>
      <c r="C17405" s="7">
        <f>IFERROR(__xludf.DUMMYFUNCTION("""COMPUTED_VALUE"""),7.7319045)</f>
        <v>7.7319045</v>
      </c>
      <c r="D17405" s="7">
        <f>IFERROR(__xludf.DUMMYFUNCTION("""COMPUTED_VALUE"""),0.343283582089552)</f>
        <v>0.3432835821</v>
      </c>
    </row>
    <row r="17406">
      <c r="A17406" s="10" t="s">
        <v>18845</v>
      </c>
      <c r="B17406" s="7" t="str">
        <f>IFERROR(__xludf.DUMMYFUNCTION("SPLIT(A17406,"" "")"),"Cc1cccc(-c2ccccc2NCc2ccccn2)n1")</f>
        <v>Cc1cccc(-c2ccccc2NCc2ccccn2)n1</v>
      </c>
      <c r="C17406" s="7">
        <f>IFERROR(__xludf.DUMMYFUNCTION("""COMPUTED_VALUE"""),7.731903)</f>
        <v>7.731903</v>
      </c>
      <c r="D17406" s="7">
        <f>IFERROR(__xludf.DUMMYFUNCTION("""COMPUTED_VALUE"""),0.404761904761904)</f>
        <v>0.4047619048</v>
      </c>
    </row>
    <row r="17407">
      <c r="A17407" s="10" t="s">
        <v>18846</v>
      </c>
      <c r="B17407" s="7" t="str">
        <f>IFERROR(__xludf.DUMMYFUNCTION("SPLIT(A17407,"" "")"),"Cc1cncc(CN(C)CC2=CC(N(C)c3ccc4ncccc4c3)C=CN2)c1")</f>
        <v>Cc1cncc(CN(C)CC2=CC(N(C)c3ccc4ncccc4c3)C=CN2)c1</v>
      </c>
      <c r="C17407" s="7">
        <f>IFERROR(__xludf.DUMMYFUNCTION("""COMPUTED_VALUE"""),7.7319016)</f>
        <v>7.7319016</v>
      </c>
      <c r="D17407" s="7">
        <f>IFERROR(__xludf.DUMMYFUNCTION("""COMPUTED_VALUE"""),0.285714285714285)</f>
        <v>0.2857142857</v>
      </c>
    </row>
    <row r="17408">
      <c r="A17408" s="10" t="s">
        <v>18847</v>
      </c>
      <c r="B17408" s="7" t="str">
        <f>IFERROR(__xludf.DUMMYFUNCTION("SPLIT(A17408,"" "")"),"Cc1ccc(CN(C)Cc2cccc(-c3ccc(N=Cc4ccccn4)cc3)n2)nc1")</f>
        <v>Cc1ccc(CN(C)Cc2cccc(-c3ccc(N=Cc4ccccn4)cc3)n2)nc1</v>
      </c>
      <c r="C17408" s="7">
        <f>IFERROR(__xludf.DUMMYFUNCTION("""COMPUTED_VALUE"""),7.7319007)</f>
        <v>7.7319007</v>
      </c>
      <c r="D17408" s="7">
        <f>IFERROR(__xludf.DUMMYFUNCTION("""COMPUTED_VALUE"""),0.482142857142857)</f>
        <v>0.4821428571</v>
      </c>
    </row>
    <row r="17409">
      <c r="A17409" s="10" t="s">
        <v>18848</v>
      </c>
      <c r="B17409" s="7" t="str">
        <f>IFERROR(__xludf.DUMMYFUNCTION("SPLIT(A17409,"" "")"),"Cc1nc(CN(C)CCN(C)c2ccc3nccc(CF)c3c2)c(C)c(C)c1C")</f>
        <v>Cc1nc(CN(C)CCN(C)c2ccc3nccc(CF)c3c2)c(C)c(C)c1C</v>
      </c>
      <c r="C17409" s="7">
        <f>IFERROR(__xludf.DUMMYFUNCTION("""COMPUTED_VALUE"""),7.731898)</f>
        <v>7.731898</v>
      </c>
      <c r="D17409" s="7">
        <f>IFERROR(__xludf.DUMMYFUNCTION("""COMPUTED_VALUE"""),0.280701754385964)</f>
        <v>0.2807017544</v>
      </c>
    </row>
    <row r="17410">
      <c r="A17410" s="10" t="s">
        <v>18849</v>
      </c>
      <c r="B17410" s="7" t="str">
        <f>IFERROR(__xludf.DUMMYFUNCTION("SPLIT(A17410,"" "")"),"CCN(Cc1ccccn1)Cc1ccc2cccc(N(C)Cc3nc(C)c(C)c(C)c3C)c2n1")</f>
        <v>CCN(Cc1ccccn1)Cc1ccc2cccc(N(C)Cc3nc(C)c(C)c(C)c3C)c2n1</v>
      </c>
      <c r="C17410" s="7">
        <f>IFERROR(__xludf.DUMMYFUNCTION("""COMPUTED_VALUE"""),7.7318935)</f>
        <v>7.7318935</v>
      </c>
      <c r="D17410" s="7">
        <f>IFERROR(__xludf.DUMMYFUNCTION("""COMPUTED_VALUE"""),0.421052631578947)</f>
        <v>0.4210526316</v>
      </c>
    </row>
    <row r="17411">
      <c r="A17411" s="10" t="s">
        <v>18850</v>
      </c>
      <c r="B17411" s="7" t="str">
        <f>IFERROR(__xludf.DUMMYFUNCTION("SPLIT(A17411,"" "")"),"CCN(Cc1ccccn1)c1ccc2c(CN(C)C3C=CC=CN3)ccnc2c1")</f>
        <v>CCN(Cc1ccccn1)c1ccc2c(CN(C)C3C=CC=CN3)ccnc2c1</v>
      </c>
      <c r="C17411" s="7">
        <f>IFERROR(__xludf.DUMMYFUNCTION("""COMPUTED_VALUE"""),7.7318907)</f>
        <v>7.7318907</v>
      </c>
      <c r="D17411" s="7">
        <f>IFERROR(__xludf.DUMMYFUNCTION("""COMPUTED_VALUE"""),0.40625)</f>
        <v>0.40625</v>
      </c>
    </row>
    <row r="17412">
      <c r="A17412" s="10" t="s">
        <v>18851</v>
      </c>
      <c r="B17412" s="7" t="str">
        <f>IFERROR(__xludf.DUMMYFUNCTION("SPLIT(A17412,"" "")"),"CC(C)(c1ccnc(CNCc2ccccc2C(C)(C)c2cc(-c3cccc(N=Cc4ccccn4)c3)ccn2)c1)c1ccccn1")</f>
        <v>CC(C)(c1ccnc(CNCc2ccccc2C(C)(C)c2cc(-c3cccc(N=Cc4ccccn4)c3)ccn2)c1)c1ccccn1</v>
      </c>
      <c r="C17412" s="7">
        <f>IFERROR(__xludf.DUMMYFUNCTION("""COMPUTED_VALUE"""),7.7318845)</f>
        <v>7.7318845</v>
      </c>
      <c r="D17412" s="7">
        <f>IFERROR(__xludf.DUMMYFUNCTION("""COMPUTED_VALUE"""),0.291666666666666)</f>
        <v>0.2916666667</v>
      </c>
    </row>
    <row r="17413">
      <c r="A17413" s="10" t="s">
        <v>18852</v>
      </c>
      <c r="B17413" s="7" t="str">
        <f>IFERROR(__xludf.DUMMYFUNCTION("SPLIT(A17413,"" "")"),"CN(c1ccc2ncccc2c1)C(C)(C)C")</f>
        <v>CN(c1ccc2ncccc2c1)C(C)(C)C</v>
      </c>
      <c r="C17413" s="7">
        <f>IFERROR(__xludf.DUMMYFUNCTION("""COMPUTED_VALUE"""),7.7318816)</f>
        <v>7.7318816</v>
      </c>
      <c r="D17413" s="7">
        <f>IFERROR(__xludf.DUMMYFUNCTION("""COMPUTED_VALUE"""),0.333333333333333)</f>
        <v>0.3333333333</v>
      </c>
    </row>
    <row r="17414">
      <c r="A17414" s="10" t="s">
        <v>18853</v>
      </c>
      <c r="B17414" s="7" t="str">
        <f>IFERROR(__xludf.DUMMYFUNCTION("SPLIT(A17414,"" "")"),"Cc1ccccc1-c1c(C)cccc1NCc1ccccn1")</f>
        <v>Cc1ccccc1-c1c(C)cccc1NCc1ccccn1</v>
      </c>
      <c r="C17414" s="7">
        <f>IFERROR(__xludf.DUMMYFUNCTION("""COMPUTED_VALUE"""),7.7318797)</f>
        <v>7.7318797</v>
      </c>
      <c r="D17414" s="7">
        <f>IFERROR(__xludf.DUMMYFUNCTION("""COMPUTED_VALUE"""),0.425)</f>
        <v>0.425</v>
      </c>
    </row>
    <row r="17415">
      <c r="A17415" s="10" t="s">
        <v>18854</v>
      </c>
      <c r="B17415" s="7" t="str">
        <f>IFERROR(__xludf.DUMMYFUNCTION("SPLIT(A17415,"" "")"),"Cc1cnc(CN(C)Cc2cccc(-c3cccc(Cl)c3N)n2)c(C)c1")</f>
        <v>Cc1cnc(CN(C)Cc2cccc(-c3cccc(Cl)c3N)n2)c(C)c1</v>
      </c>
      <c r="C17415" s="7">
        <f>IFERROR(__xludf.DUMMYFUNCTION("""COMPUTED_VALUE"""),7.731877)</f>
        <v>7.731877</v>
      </c>
      <c r="D17415" s="7">
        <f>IFERROR(__xludf.DUMMYFUNCTION("""COMPUTED_VALUE"""),0.385964912280701)</f>
        <v>0.3859649123</v>
      </c>
    </row>
    <row r="17416">
      <c r="A17416" s="10" t="s">
        <v>18855</v>
      </c>
      <c r="B17416" s="7" t="str">
        <f>IFERROR(__xludf.DUMMYFUNCTION("SPLIT(A17416,"" "")"),"Cc1cccnc1CN(C)c1ccc2ccc(CN(C)C(C)C)nc2c1")</f>
        <v>Cc1cccnc1CN(C)c1ccc2ccc(CN(C)C(C)C)nc2c1</v>
      </c>
      <c r="C17416" s="7">
        <f>IFERROR(__xludf.DUMMYFUNCTION("""COMPUTED_VALUE"""),7.731872)</f>
        <v>7.731872</v>
      </c>
      <c r="D17416" s="7">
        <f>IFERROR(__xludf.DUMMYFUNCTION("""COMPUTED_VALUE"""),0.345454545454545)</f>
        <v>0.3454545455</v>
      </c>
    </row>
    <row r="17417">
      <c r="A17417" s="10" t="s">
        <v>18856</v>
      </c>
      <c r="B17417" s="7" t="str">
        <f>IFERROR(__xludf.DUMMYFUNCTION("SPLIT(A17417,"" "")"),"Cc1ccnc(CN(C)Cc2cc(-c3cccc(N(C)C)c3)ccn2)c1")</f>
        <v>Cc1ccnc(CN(C)Cc2cc(-c3cccc(N(C)C)c3)ccn2)c1</v>
      </c>
      <c r="C17417" s="7">
        <f>IFERROR(__xludf.DUMMYFUNCTION("""COMPUTED_VALUE"""),7.7318645)</f>
        <v>7.7318645</v>
      </c>
      <c r="D17417" s="7">
        <f>IFERROR(__xludf.DUMMYFUNCTION("""COMPUTED_VALUE"""),0.36734693877551)</f>
        <v>0.3673469388</v>
      </c>
    </row>
    <row r="17418">
      <c r="A17418" s="10" t="s">
        <v>18857</v>
      </c>
      <c r="B17418" s="7" t="str">
        <f>IFERROR(__xludf.DUMMYFUNCTION("SPLIT(A17418,"" "")"),"Cc1cncc(-c2ccc(NCc3ccccn3)cc2)c1")</f>
        <v>Cc1cncc(-c2ccc(NCc3ccccn3)cc2)c1</v>
      </c>
      <c r="C17418" s="7">
        <f>IFERROR(__xludf.DUMMYFUNCTION("""COMPUTED_VALUE"""),7.7318525)</f>
        <v>7.7318525</v>
      </c>
      <c r="D17418" s="7">
        <f>IFERROR(__xludf.DUMMYFUNCTION("""COMPUTED_VALUE"""),0.395348837209302)</f>
        <v>0.3953488372</v>
      </c>
    </row>
    <row r="17419">
      <c r="A17419" s="10" t="s">
        <v>18858</v>
      </c>
      <c r="B17419" s="7" t="str">
        <f>IFERROR(__xludf.DUMMYFUNCTION("SPLIT(A17419,"" "")"),"Cc1cccc(C2(C)N=COC2c2cc(C3=NC(C)(C)CO3)ccn2)c1")</f>
        <v>Cc1cccc(C2(C)N=COC2c2cc(C3=NC(C)(C)CO3)ccn2)c1</v>
      </c>
      <c r="C17419" s="7">
        <f>IFERROR(__xludf.DUMMYFUNCTION("""COMPUTED_VALUE"""),7.731836)</f>
        <v>7.731836</v>
      </c>
      <c r="D17419" s="7">
        <f>IFERROR(__xludf.DUMMYFUNCTION("""COMPUTED_VALUE"""),0.375)</f>
        <v>0.375</v>
      </c>
    </row>
    <row r="17420">
      <c r="A17420" s="10" t="s">
        <v>18859</v>
      </c>
      <c r="B17420" s="7" t="str">
        <f>IFERROR(__xludf.DUMMYFUNCTION("SPLIT(A17420,"" "")"),"CNCc1ncccc1CN(Cc1ccccn1)c1ccc2ncccc2c1")</f>
        <v>CNCc1ncccc1CN(Cc1ccccn1)c1ccc2ncccc2c1</v>
      </c>
      <c r="C17420" s="7">
        <f>IFERROR(__xludf.DUMMYFUNCTION("""COMPUTED_VALUE"""),7.7318234)</f>
        <v>7.7318234</v>
      </c>
      <c r="D17420" s="7">
        <f>IFERROR(__xludf.DUMMYFUNCTION("""COMPUTED_VALUE"""),0.357142857142857)</f>
        <v>0.3571428571</v>
      </c>
    </row>
    <row r="17421">
      <c r="A17421" s="10" t="s">
        <v>18860</v>
      </c>
      <c r="B17421" s="7" t="str">
        <f>IFERROR(__xludf.DUMMYFUNCTION("SPLIT(A17421,"" "")"),"CN(Cc1cccnn1)CN(C)c1ccc2cccnc2c1")</f>
        <v>CN(Cc1cccnn1)CN(C)c1ccc2cccnc2c1</v>
      </c>
      <c r="C17421" s="7">
        <f>IFERROR(__xludf.DUMMYFUNCTION("""COMPUTED_VALUE"""),7.7318196)</f>
        <v>7.7318196</v>
      </c>
      <c r="D17421" s="7">
        <f>IFERROR(__xludf.DUMMYFUNCTION("""COMPUTED_VALUE"""),0.5)</f>
        <v>0.5</v>
      </c>
    </row>
    <row r="17422">
      <c r="A17422" s="10" t="s">
        <v>18861</v>
      </c>
      <c r="B17422" s="7" t="str">
        <f>IFERROR(__xludf.DUMMYFUNCTION("SPLIT(A17422,"" "")"),"CCN(Cc1ccccn1)Cc1nccc2cccc(N(C)Cc3ncccc3C)c12")</f>
        <v>CCN(Cc1ccccn1)Cc1nccc2cccc(N(C)Cc3ncccc3C)c12</v>
      </c>
      <c r="C17422" s="7">
        <f>IFERROR(__xludf.DUMMYFUNCTION("""COMPUTED_VALUE"""),7.731819)</f>
        <v>7.731819</v>
      </c>
      <c r="D17422" s="7">
        <f>IFERROR(__xludf.DUMMYFUNCTION("""COMPUTED_VALUE"""),0.392857142857142)</f>
        <v>0.3928571429</v>
      </c>
    </row>
    <row r="17423">
      <c r="A17423" s="10" t="s">
        <v>18862</v>
      </c>
      <c r="B17423" s="7" t="str">
        <f>IFERROR(__xludf.DUMMYFUNCTION("SPLIT(A17423,"" "")"),"Cc1c(-c2ccc(CN(C)C(C)C)nc2)cc(Cl)cc1N(C)Cc1ccccn1")</f>
        <v>Cc1c(-c2ccc(CN(C)C(C)C)nc2)cc(Cl)cc1N(C)Cc1ccccn1</v>
      </c>
      <c r="C17423" s="7">
        <f>IFERROR(__xludf.DUMMYFUNCTION("""COMPUTED_VALUE"""),7.7318163)</f>
        <v>7.7318163</v>
      </c>
      <c r="D17423" s="7">
        <f>IFERROR(__xludf.DUMMYFUNCTION("""COMPUTED_VALUE"""),0.490566037735849)</f>
        <v>0.4905660377</v>
      </c>
    </row>
    <row r="17424">
      <c r="A17424" s="10" t="s">
        <v>18863</v>
      </c>
      <c r="B17424" s="7" t="str">
        <f>IFERROR(__xludf.DUMMYFUNCTION("SPLIT(A17424,"" "")"),"CNCc1cccc(CN(C)Cc2cccc(N(C)c3ccc4nc(CF)ccc4c3)n2)n1")</f>
        <v>CNCc1cccc(CN(C)Cc2cccc(N(C)c3ccc4nc(CF)ccc4c3)n2)n1</v>
      </c>
      <c r="C17424" s="7">
        <f>IFERROR(__xludf.DUMMYFUNCTION("""COMPUTED_VALUE"""),7.7318106)</f>
        <v>7.7318106</v>
      </c>
      <c r="D17424" s="7">
        <f>IFERROR(__xludf.DUMMYFUNCTION("""COMPUTED_VALUE"""),0.333333333333333)</f>
        <v>0.3333333333</v>
      </c>
    </row>
    <row r="17425">
      <c r="A17425" s="10" t="s">
        <v>18864</v>
      </c>
      <c r="B17425" s="7" t="str">
        <f>IFERROR(__xludf.DUMMYFUNCTION("SPLIT(A17425,"" "")"),"Cc1cncc(CN(C)CC2=CC(N(C)c3cccc4cccnc34)C=CN2)c1")</f>
        <v>Cc1cncc(CN(C)CC2=CC(N(C)c3cccc4cccnc34)C=CN2)c1</v>
      </c>
      <c r="C17425" s="7">
        <f>IFERROR(__xludf.DUMMYFUNCTION("""COMPUTED_VALUE"""),7.73179)</f>
        <v>7.73179</v>
      </c>
      <c r="D17425" s="7">
        <f>IFERROR(__xludf.DUMMYFUNCTION("""COMPUTED_VALUE"""),0.375)</f>
        <v>0.375</v>
      </c>
    </row>
    <row r="17426">
      <c r="A17426" s="10" t="s">
        <v>18865</v>
      </c>
      <c r="B17426" s="7" t="str">
        <f>IFERROR(__xludf.DUMMYFUNCTION("SPLIT(A17426,"" "")"),"CN(c1ccc2ncccc2c1)C1CCC(N(C)c2ccc3cccnc3c2)CC1")</f>
        <v>CN(c1ccc2ncccc2c1)C1CCC(N(C)c2ccc3cccnc3c2)CC1</v>
      </c>
      <c r="C17426" s="7">
        <f>IFERROR(__xludf.DUMMYFUNCTION("""COMPUTED_VALUE"""),7.731785)</f>
        <v>7.731785</v>
      </c>
      <c r="D17426" s="7">
        <f>IFERROR(__xludf.DUMMYFUNCTION("""COMPUTED_VALUE"""),0.36734693877551)</f>
        <v>0.3673469388</v>
      </c>
    </row>
    <row r="17427">
      <c r="A17427" s="10" t="s">
        <v>18866</v>
      </c>
      <c r="B17427" s="7" t="str">
        <f>IFERROR(__xludf.DUMMYFUNCTION("SPLIT(A17427,"" "")"),"CN(CN)C1=CNC=CC1CN(C)c1ccc2cccnc2c1")</f>
        <v>CN(CN)C1=CNC=CC1CN(C)c1ccc2cccnc2c1</v>
      </c>
      <c r="C17427" s="7">
        <f>IFERROR(__xludf.DUMMYFUNCTION("""COMPUTED_VALUE"""),7.731785)</f>
        <v>7.731785</v>
      </c>
      <c r="D17427" s="7">
        <f>IFERROR(__xludf.DUMMYFUNCTION("""COMPUTED_VALUE"""),0.283333333333333)</f>
        <v>0.2833333333</v>
      </c>
    </row>
    <row r="17428">
      <c r="A17428" s="10" t="s">
        <v>18867</v>
      </c>
      <c r="B17428" s="7" t="str">
        <f>IFERROR(__xludf.DUMMYFUNCTION("SPLIT(A17428,"" "")"),"CN(c1ccc2cccnc2c1)C1CCCC(N(C)c2ccc3cc(CF)cnc3c2)C1")</f>
        <v>CN(c1ccc2cccnc2c1)C1CCCC(N(C)c2ccc3cc(CF)cnc3c2)C1</v>
      </c>
      <c r="C17428" s="7">
        <f>IFERROR(__xludf.DUMMYFUNCTION("""COMPUTED_VALUE"""),7.7317743)</f>
        <v>7.7317743</v>
      </c>
      <c r="D17428" s="7">
        <f>IFERROR(__xludf.DUMMYFUNCTION("""COMPUTED_VALUE"""),0.322033898305084)</f>
        <v>0.3220338983</v>
      </c>
    </row>
    <row r="17429">
      <c r="A17429" s="10" t="s">
        <v>18868</v>
      </c>
      <c r="B17429" s="7" t="str">
        <f>IFERROR(__xludf.DUMMYFUNCTION("SPLIT(A17429,"" "")"),"CN(C)Cc1ccc2cccc(N(C)CCF)c2n1")</f>
        <v>CN(C)Cc1ccc2cccc(N(C)CCF)c2n1</v>
      </c>
      <c r="C17429" s="7">
        <f>IFERROR(__xludf.DUMMYFUNCTION("""COMPUTED_VALUE"""),7.7317743)</f>
        <v>7.7317743</v>
      </c>
      <c r="D17429" s="7">
        <f>IFERROR(__xludf.DUMMYFUNCTION("""COMPUTED_VALUE"""),0.476190476190476)</f>
        <v>0.4761904762</v>
      </c>
    </row>
    <row r="17430">
      <c r="A17430" s="10" t="s">
        <v>18869</v>
      </c>
      <c r="B17430" s="7" t="str">
        <f>IFERROR(__xludf.DUMMYFUNCTION("SPLIT(A17430,"" "")"),"Cc1ccnc(CN(C)Cc2cccc(-c3ccc(N=Cc4ccccn4)cc3)n2)c1")</f>
        <v>Cc1ccnc(CN(C)Cc2cccc(-c3ccc(N=Cc4ccccn4)cc3)n2)c1</v>
      </c>
      <c r="C17430" s="7">
        <f>IFERROR(__xludf.DUMMYFUNCTION("""COMPUTED_VALUE"""),7.7317715)</f>
        <v>7.7317715</v>
      </c>
      <c r="D17430" s="7">
        <f>IFERROR(__xludf.DUMMYFUNCTION("""COMPUTED_VALUE"""),0.482142857142857)</f>
        <v>0.4821428571</v>
      </c>
    </row>
    <row r="17431">
      <c r="A17431" s="10" t="s">
        <v>18870</v>
      </c>
      <c r="B17431" s="7" t="str">
        <f>IFERROR(__xludf.DUMMYFUNCTION("SPLIT(A17431,"" "")"),"Cc1cccc(C2=NC(c3ccccn3)C(C)O2)c1")</f>
        <v>Cc1cccc(C2=NC(c3ccccn3)C(C)O2)c1</v>
      </c>
      <c r="C17431" s="7">
        <f>IFERROR(__xludf.DUMMYFUNCTION("""COMPUTED_VALUE"""),7.731764)</f>
        <v>7.731764</v>
      </c>
      <c r="D17431" s="7">
        <f>IFERROR(__xludf.DUMMYFUNCTION("""COMPUTED_VALUE"""),0.258064516129032)</f>
        <v>0.2580645161</v>
      </c>
    </row>
    <row r="17432">
      <c r="A17432" s="10" t="s">
        <v>18871</v>
      </c>
      <c r="B17432" s="7" t="str">
        <f>IFERROR(__xludf.DUMMYFUNCTION("SPLIT(A17432,"" "")"),"CN(c1ccc2ccc(CF)nc2c1)C1CCCC(N(C)c2cccc3ncc(CF)cc23)C1")</f>
        <v>CN(c1ccc2ccc(CF)nc2c1)C1CCCC(N(C)c2cccc3ncc(CF)cc23)C1</v>
      </c>
      <c r="C17432" s="7">
        <f>IFERROR(__xludf.DUMMYFUNCTION("""COMPUTED_VALUE"""),7.7317615)</f>
        <v>7.7317615</v>
      </c>
      <c r="D17432" s="7">
        <f>IFERROR(__xludf.DUMMYFUNCTION("""COMPUTED_VALUE"""),0.4)</f>
        <v>0.4</v>
      </c>
    </row>
    <row r="17433">
      <c r="A17433" s="10" t="s">
        <v>18872</v>
      </c>
      <c r="B17433" s="7" t="str">
        <f>IFERROR(__xludf.DUMMYFUNCTION("SPLIT(A17433,"" "")"),"CCN(Cc1ccccn1)C1=C(CN(C)c2ccc3nc(CF)ccc3c2)NC=CC1")</f>
        <v>CCN(Cc1ccccn1)C1=C(CN(C)c2ccc3nc(CF)ccc3c2)NC=CC1</v>
      </c>
      <c r="C17433" s="7">
        <f>IFERROR(__xludf.DUMMYFUNCTION("""COMPUTED_VALUE"""),7.7317586)</f>
        <v>7.7317586</v>
      </c>
      <c r="D17433" s="7">
        <f>IFERROR(__xludf.DUMMYFUNCTION("""COMPUTED_VALUE"""),0.348484848484848)</f>
        <v>0.3484848485</v>
      </c>
    </row>
    <row r="17434">
      <c r="A17434" s="10" t="s">
        <v>18873</v>
      </c>
      <c r="B17434" s="7" t="str">
        <f>IFERROR(__xludf.DUMMYFUNCTION("SPLIT(A17434,"" "")"),"CN(Cc1cccc(-c2ccc3ncccc3c2)n1)C1CCC(N(C)c2ccc3nc(CF)ccc3c2)CC1")</f>
        <v>CN(Cc1cccc(-c2ccc3ncccc3c2)n1)C1CCC(N(C)c2ccc3nc(CF)ccc3c2)CC1</v>
      </c>
      <c r="C17434" s="7">
        <f>IFERROR(__xludf.DUMMYFUNCTION("""COMPUTED_VALUE"""),7.7317533)</f>
        <v>7.7317533</v>
      </c>
      <c r="D17434" s="7">
        <f>IFERROR(__xludf.DUMMYFUNCTION("""COMPUTED_VALUE"""),0.338028169014084)</f>
        <v>0.338028169</v>
      </c>
    </row>
    <row r="17435">
      <c r="A17435" s="10" t="s">
        <v>18874</v>
      </c>
      <c r="B17435" s="7" t="str">
        <f>IFERROR(__xludf.DUMMYFUNCTION("SPLIT(A17435,"" "")"),"CCC1=NC(C(C)N(C)Cc2cc(-c3c(N)ccc4cccnc34)ccn2)CO1")</f>
        <v>CCC1=NC(C(C)N(C)Cc2cc(-c3c(N)ccc4cccnc34)ccn2)CO1</v>
      </c>
      <c r="C17435" s="7">
        <f>IFERROR(__xludf.DUMMYFUNCTION("""COMPUTED_VALUE"""),7.7317476)</f>
        <v>7.7317476</v>
      </c>
      <c r="D17435" s="7">
        <f>IFERROR(__xludf.DUMMYFUNCTION("""COMPUTED_VALUE"""),0.271428571428571)</f>
        <v>0.2714285714</v>
      </c>
    </row>
    <row r="17436">
      <c r="A17436" s="10" t="s">
        <v>18875</v>
      </c>
      <c r="B17436" s="7" t="str">
        <f>IFERROR(__xludf.DUMMYFUNCTION("SPLIT(A17436,"" "")"),"CC(C)N(C)C1=C(CN(C)c2ccc3ccc(CN(C)C)nc3c2)NC=CC1")</f>
        <v>CC(C)N(C)C1=C(CN(C)c2ccc3ccc(CN(C)C)nc3c2)NC=CC1</v>
      </c>
      <c r="C17436" s="7">
        <f>IFERROR(__xludf.DUMMYFUNCTION("""COMPUTED_VALUE"""),7.731741)</f>
        <v>7.731741</v>
      </c>
      <c r="D17436" s="7">
        <f>IFERROR(__xludf.DUMMYFUNCTION("""COMPUTED_VALUE"""),0.296296296296296)</f>
        <v>0.2962962963</v>
      </c>
    </row>
    <row r="17437">
      <c r="A17437" s="10" t="s">
        <v>18876</v>
      </c>
      <c r="B17437" s="7" t="str">
        <f>IFERROR(__xludf.DUMMYFUNCTION("SPLIT(A17437,"" "")"),"Cc1cc(CN(C)c2ccccc2-c2ccc(CN(C)Cc3ccc(N)cn3)cn2)cnc1C")</f>
        <v>Cc1cc(CN(C)c2ccccc2-c2ccc(CN(C)Cc3ccc(N)cn3)cn2)cnc1C</v>
      </c>
      <c r="C17437" s="7">
        <f>IFERROR(__xludf.DUMMYFUNCTION("""COMPUTED_VALUE"""),7.731737)</f>
        <v>7.731737</v>
      </c>
      <c r="D17437" s="7">
        <f>IFERROR(__xludf.DUMMYFUNCTION("""COMPUTED_VALUE"""),0.3)</f>
        <v>0.3</v>
      </c>
    </row>
    <row r="17438">
      <c r="A17438" s="10" t="s">
        <v>18877</v>
      </c>
      <c r="B17438" s="7" t="str">
        <f>IFERROR(__xludf.DUMMYFUNCTION("SPLIT(A17438,"" "")"),"Cc1ccc2c(CN(C)Cc3ccc(N)cn3)ccnc2c1")</f>
        <v>Cc1ccc2c(CN(C)Cc3ccc(N)cn3)ccnc2c1</v>
      </c>
      <c r="C17438" s="7">
        <f>IFERROR(__xludf.DUMMYFUNCTION("""COMPUTED_VALUE"""),7.7317348)</f>
        <v>7.7317348</v>
      </c>
      <c r="D17438" s="7">
        <f>IFERROR(__xludf.DUMMYFUNCTION("""COMPUTED_VALUE"""),0.434782608695652)</f>
        <v>0.4347826087</v>
      </c>
    </row>
    <row r="17439">
      <c r="A17439" s="10" t="s">
        <v>18878</v>
      </c>
      <c r="B17439" s="7" t="str">
        <f>IFERROR(__xludf.DUMMYFUNCTION("SPLIT(A17439,"" "")"),"Cc1cnc2cccc(N(C)CCN(Cc3cccc4ncccc34)CC(C)(C)C)c2c1")</f>
        <v>Cc1cnc2cccc(N(C)CCN(Cc3cccc4ncccc34)CC(C)(C)C)c2c1</v>
      </c>
      <c r="C17439" s="7">
        <f>IFERROR(__xludf.DUMMYFUNCTION("""COMPUTED_VALUE"""),7.7317333)</f>
        <v>7.7317333</v>
      </c>
      <c r="D17439" s="7">
        <f>IFERROR(__xludf.DUMMYFUNCTION("""COMPUTED_VALUE"""),0.392857142857142)</f>
        <v>0.3928571429</v>
      </c>
    </row>
    <row r="17440">
      <c r="A17440" s="10" t="s">
        <v>18879</v>
      </c>
      <c r="B17440" s="7" t="str">
        <f>IFERROR(__xludf.DUMMYFUNCTION("SPLIT(A17440,"" "")"),"Cc1nc(CN(C)CCN(C)c2cccc3nc4c(cc23)CCC4)c(C)c(C)c1C")</f>
        <v>Cc1nc(CN(C)CCN(C)c2cccc3nc4c(cc23)CCC4)c(C)c(C)c1C</v>
      </c>
      <c r="C17440" s="7">
        <f>IFERROR(__xludf.DUMMYFUNCTION("""COMPUTED_VALUE"""),7.7317324)</f>
        <v>7.7317324</v>
      </c>
      <c r="D17440" s="7">
        <f>IFERROR(__xludf.DUMMYFUNCTION("""COMPUTED_VALUE"""),0.353846153846153)</f>
        <v>0.3538461538</v>
      </c>
    </row>
    <row r="17441">
      <c r="A17441" s="10" t="s">
        <v>18880</v>
      </c>
      <c r="B17441" s="7" t="str">
        <f>IFERROR(__xludf.DUMMYFUNCTION("SPLIT(A17441,"" "")"),"CN(c1ccc2cc(CF)cnc2c1)C1CCC(N(C)c2ccc3c(CF)ccnc3c2)CC1")</f>
        <v>CN(c1ccc2cc(CF)cnc2c1)C1CCC(N(C)c2ccc3c(CF)ccnc3c2)CC1</v>
      </c>
      <c r="C17441" s="7">
        <f>IFERROR(__xludf.DUMMYFUNCTION("""COMPUTED_VALUE"""),7.7317286)</f>
        <v>7.7317286</v>
      </c>
      <c r="D17441" s="7">
        <f>IFERROR(__xludf.DUMMYFUNCTION("""COMPUTED_VALUE"""),0.257575757575757)</f>
        <v>0.2575757576</v>
      </c>
    </row>
    <row r="17442">
      <c r="A17442" s="10" t="s">
        <v>18881</v>
      </c>
      <c r="B17442" s="7" t="str">
        <f>IFERROR(__xludf.DUMMYFUNCTION("SPLIT(A17442,"" "")"),"Cc1cncc(CN(C)Cc2cccc(-c3ccc(N=Cc4ccccn4)cc3)n2)c1")</f>
        <v>Cc1cncc(CN(C)Cc2cccc(-c3ccc(N=Cc4ccccn4)cc3)n2)c1</v>
      </c>
      <c r="C17442" s="7">
        <f>IFERROR(__xludf.DUMMYFUNCTION("""COMPUTED_VALUE"""),7.7317142)</f>
        <v>7.7317142</v>
      </c>
      <c r="D17442" s="7">
        <f>IFERROR(__xludf.DUMMYFUNCTION("""COMPUTED_VALUE"""),0.426229508196721)</f>
        <v>0.4262295082</v>
      </c>
    </row>
    <row r="17443">
      <c r="A17443" s="10" t="s">
        <v>18882</v>
      </c>
      <c r="B17443" s="7" t="str">
        <f>IFERROR(__xludf.DUMMYFUNCTION("SPLIT(A17443,"" "")"),"Cc1cccnc1-c1ccccc1NCc1ccccn1")</f>
        <v>Cc1cccnc1-c1ccccc1NCc1ccccn1</v>
      </c>
      <c r="C17443" s="7">
        <f>IFERROR(__xludf.DUMMYFUNCTION("""COMPUTED_VALUE"""),7.731713)</f>
        <v>7.731713</v>
      </c>
      <c r="D17443" s="7">
        <f>IFERROR(__xludf.DUMMYFUNCTION("""COMPUTED_VALUE"""),0.425)</f>
        <v>0.425</v>
      </c>
    </row>
    <row r="17444">
      <c r="A17444" s="10" t="s">
        <v>18883</v>
      </c>
      <c r="B17444" s="7" t="str">
        <f>IFERROR(__xludf.DUMMYFUNCTION("SPLIT(A17444,"" "")"),"Cc1cc(-c2ccc(-c3ccc(-c4ccc(-c5ccccc5N=Cc5ccccn5)cc4)cc3)cc2)ccc1-c1ccccc1-c1ccnc(CNCc2cncc(-c3ccc4c(c3)OCCOCCOCCOCCOCCO4)c2)c1")</f>
        <v>Cc1cc(-c2ccc(-c3ccc(-c4ccc(-c5ccccc5N=Cc5ccccn5)cc4)cc3)cc2)ccc1-c1ccccc1-c1ccnc(CNCc2cncc(-c3ccc4c(c3)OCCOCCOCCOCCOCCO4)c2)c1</v>
      </c>
      <c r="C17444" s="7">
        <f>IFERROR(__xludf.DUMMYFUNCTION("""COMPUTED_VALUE"""),7.7317066)</f>
        <v>7.7317066</v>
      </c>
      <c r="D17444" s="7">
        <f>IFERROR(__xludf.DUMMYFUNCTION("""COMPUTED_VALUE"""),0.297619047619047)</f>
        <v>0.2976190476</v>
      </c>
    </row>
    <row r="17445">
      <c r="A17445" s="10" t="s">
        <v>18884</v>
      </c>
      <c r="B17445" s="7" t="str">
        <f>IFERROR(__xludf.DUMMYFUNCTION("SPLIT(A17445,"" "")"),"CNCc1ncccc1CN(Cc1ccccn1)c1cccc2cccnc12")</f>
        <v>CNCc1ncccc1CN(Cc1ccccn1)c1cccc2cccnc12</v>
      </c>
      <c r="C17445" s="7">
        <f>IFERROR(__xludf.DUMMYFUNCTION("""COMPUTED_VALUE"""),7.731704)</f>
        <v>7.731704</v>
      </c>
      <c r="D17445" s="7">
        <f>IFERROR(__xludf.DUMMYFUNCTION("""COMPUTED_VALUE"""),0.411764705882352)</f>
        <v>0.4117647059</v>
      </c>
    </row>
    <row r="17446">
      <c r="A17446" s="10" t="s">
        <v>18885</v>
      </c>
      <c r="B17446" s="7" t="str">
        <f>IFERROR(__xludf.DUMMYFUNCTION("SPLIT(A17446,"" "")"),"Cc1cc(C)c(CN(C)CCN(C)c2cccc3nccc(CN(C)C)c23)nc1C")</f>
        <v>Cc1cc(C)c(CN(C)CCN(C)c2cccc3nccc(CN(C)C)c23)nc1C</v>
      </c>
      <c r="C17446" s="7">
        <f>IFERROR(__xludf.DUMMYFUNCTION("""COMPUTED_VALUE"""),7.731704)</f>
        <v>7.731704</v>
      </c>
      <c r="D17446" s="7">
        <f>IFERROR(__xludf.DUMMYFUNCTION("""COMPUTED_VALUE"""),0.333333333333333)</f>
        <v>0.3333333333</v>
      </c>
    </row>
    <row r="17447">
      <c r="A17447" s="10" t="s">
        <v>18886</v>
      </c>
      <c r="B17447" s="7" t="str">
        <f>IFERROR(__xludf.DUMMYFUNCTION("SPLIT(A17447,"" "")"),"Cc1cccnc1CN(C)C1=CNC(CN(C)Cc2cccc3ncccc23)=CC1")</f>
        <v>Cc1cccnc1CN(C)C1=CNC(CN(C)Cc2cccc3ncccc23)=CC1</v>
      </c>
      <c r="C17447" s="7">
        <f>IFERROR(__xludf.DUMMYFUNCTION("""COMPUTED_VALUE"""),7.7317038)</f>
        <v>7.7317038</v>
      </c>
      <c r="D17447" s="7">
        <f>IFERROR(__xludf.DUMMYFUNCTION("""COMPUTED_VALUE"""),0.327868852459016)</f>
        <v>0.3278688525</v>
      </c>
    </row>
    <row r="17448">
      <c r="A17448" s="10" t="s">
        <v>18887</v>
      </c>
      <c r="B17448" s="7" t="str">
        <f>IFERROR(__xludf.DUMMYFUNCTION("SPLIT(A17448,"" "")"),"CNc1cccc(-c2cccc(CN(C)c3ccc(CN(C)Cc4ncccc4C)nc3)n2)c1")</f>
        <v>CNc1cccc(-c2cccc(CN(C)c3ccc(CN(C)Cc4ncccc4C)nc3)n2)c1</v>
      </c>
      <c r="C17448" s="7">
        <f>IFERROR(__xludf.DUMMYFUNCTION("""COMPUTED_VALUE"""),7.7317038)</f>
        <v>7.7317038</v>
      </c>
      <c r="D17448" s="7">
        <f>IFERROR(__xludf.DUMMYFUNCTION("""COMPUTED_VALUE"""),0.403225806451612)</f>
        <v>0.4032258065</v>
      </c>
    </row>
    <row r="17449">
      <c r="A17449" s="10" t="s">
        <v>18888</v>
      </c>
      <c r="B17449" s="7" t="str">
        <f>IFERROR(__xludf.DUMMYFUNCTION("SPLIT(A17449,"" "")"),"Cc1nc(CN(C)CCN(C)c2cccc3ncccc23)c(C)c(C)c1C")</f>
        <v>Cc1nc(CN(C)CCN(C)c2cccc3ncccc23)c(C)c(C)c1C</v>
      </c>
      <c r="C17449" s="7">
        <f>IFERROR(__xludf.DUMMYFUNCTION("""COMPUTED_VALUE"""),7.731701)</f>
        <v>7.731701</v>
      </c>
      <c r="D17449" s="7">
        <f>IFERROR(__xludf.DUMMYFUNCTION("""COMPUTED_VALUE"""),0.448979591836734)</f>
        <v>0.4489795918</v>
      </c>
    </row>
    <row r="17450">
      <c r="A17450" s="10" t="s">
        <v>18889</v>
      </c>
      <c r="B17450" s="7" t="str">
        <f>IFERROR(__xludf.DUMMYFUNCTION("SPLIT(A17450,"" "")"),"Cc1ccc2nccc(CN(C)Cc3ncccc3N)c2c1")</f>
        <v>Cc1ccc2nccc(CN(C)Cc3ncccc3N)c2c1</v>
      </c>
      <c r="C17450" s="7">
        <f>IFERROR(__xludf.DUMMYFUNCTION("""COMPUTED_VALUE"""),7.7316937)</f>
        <v>7.7316937</v>
      </c>
      <c r="D17450" s="7">
        <f>IFERROR(__xludf.DUMMYFUNCTION("""COMPUTED_VALUE"""),0.314814814814814)</f>
        <v>0.3148148148</v>
      </c>
    </row>
    <row r="17451">
      <c r="A17451" s="10" t="s">
        <v>18890</v>
      </c>
      <c r="B17451" s="7" t="str">
        <f>IFERROR(__xludf.DUMMYFUNCTION("SPLIT(A17451,"" "")"),"Cc1cc(-c2nc(CN(C)C3CCC(N(C)c4ccc5ncccc5c4)CC3)cc(C)c2C)ccc1N(C)C")</f>
        <v>Cc1cc(-c2nc(CN(C)C3CCC(N(C)c4ccc5ncccc5c4)CC3)cc(C)c2C)ccc1N(C)C</v>
      </c>
      <c r="C17451" s="7">
        <f>IFERROR(__xludf.DUMMYFUNCTION("""COMPUTED_VALUE"""),7.7316847)</f>
        <v>7.7316847</v>
      </c>
      <c r="D17451" s="7">
        <f>IFERROR(__xludf.DUMMYFUNCTION("""COMPUTED_VALUE"""),0.28169014084507)</f>
        <v>0.2816901408</v>
      </c>
    </row>
    <row r="17452">
      <c r="A17452" s="10" t="s">
        <v>18891</v>
      </c>
      <c r="B17452" s="7" t="str">
        <f>IFERROR(__xludf.DUMMYFUNCTION("SPLIT(A17452,"" "")"),"CCCN(CC1=CCC=C(N(C)Cc2ccccn2)N1)c1cccc2cccnc12")</f>
        <v>CCCN(CC1=CCC=C(N(C)Cc2ccccn2)N1)c1cccc2cccnc12</v>
      </c>
      <c r="C17452" s="7">
        <f>IFERROR(__xludf.DUMMYFUNCTION("""COMPUTED_VALUE"""),7.731684)</f>
        <v>7.731684</v>
      </c>
      <c r="D17452" s="7">
        <f>IFERROR(__xludf.DUMMYFUNCTION("""COMPUTED_VALUE"""),0.421052631578947)</f>
        <v>0.4210526316</v>
      </c>
    </row>
    <row r="17453">
      <c r="A17453" s="10" t="s">
        <v>18892</v>
      </c>
      <c r="B17453" s="7" t="str">
        <f>IFERROR(__xludf.DUMMYFUNCTION("SPLIT(A17453,"" "")"),"Cc1cnc(CN(Cc2ccccn2)CN(C)c2cccc3ncccc23)c(C)c1C")</f>
        <v>Cc1cnc(CN(Cc2ccccn2)CN(C)c2cccc3ncccc23)c(C)c1C</v>
      </c>
      <c r="C17453" s="7">
        <f>IFERROR(__xludf.DUMMYFUNCTION("""COMPUTED_VALUE"""),7.731674)</f>
        <v>7.731674</v>
      </c>
      <c r="D17453" s="7">
        <f>IFERROR(__xludf.DUMMYFUNCTION("""COMPUTED_VALUE"""),0.381818181818181)</f>
        <v>0.3818181818</v>
      </c>
    </row>
    <row r="17454">
      <c r="A17454" s="10" t="s">
        <v>18893</v>
      </c>
      <c r="B17454" s="7" t="str">
        <f>IFERROR(__xludf.DUMMYFUNCTION("SPLIT(A17454,"" "")"),"CC(C)NCc1cccc(-c2cc(Cl)cc(Cl)c2)n1")</f>
        <v>CC(C)NCc1cccc(-c2cc(Cl)cc(Cl)c2)n1</v>
      </c>
      <c r="C17454" s="7">
        <f>IFERROR(__xludf.DUMMYFUNCTION("""COMPUTED_VALUE"""),7.7316723)</f>
        <v>7.7316723</v>
      </c>
      <c r="D17454" s="7">
        <f>IFERROR(__xludf.DUMMYFUNCTION("""COMPUTED_VALUE"""),0.298245614035087)</f>
        <v>0.298245614</v>
      </c>
    </row>
    <row r="17455">
      <c r="A17455" s="10" t="s">
        <v>18894</v>
      </c>
      <c r="B17455" s="7" t="str">
        <f>IFERROR(__xludf.DUMMYFUNCTION("SPLIT(A17455,"" "")"),"CN(c1ccc2ncccc2c1)C1CCC(N(C)c2ccc3cc4c(nc3c2)CCC4)CC1")</f>
        <v>CN(c1ccc2ncccc2c1)C1CCC(N(C)c2ccc3cc4c(nc3c2)CCC4)CC1</v>
      </c>
      <c r="C17455" s="7">
        <f>IFERROR(__xludf.DUMMYFUNCTION("""COMPUTED_VALUE"""),7.731672)</f>
        <v>7.731672</v>
      </c>
      <c r="D17455" s="7">
        <f>IFERROR(__xludf.DUMMYFUNCTION("""COMPUTED_VALUE"""),0.43103448275862)</f>
        <v>0.4310344828</v>
      </c>
    </row>
    <row r="17456">
      <c r="A17456" s="10" t="s">
        <v>18895</v>
      </c>
      <c r="B17456" s="7" t="str">
        <f>IFERROR(__xludf.DUMMYFUNCTION("SPLIT(A17456,"" "")"),"Cc1cccnc1CN(C)Cc1ncccc1-c1ccccc1N(C)Cc1ncccc1C")</f>
        <v>Cc1cccnc1CN(C)Cc1ncccc1-c1ccccc1N(C)Cc1ncccc1C</v>
      </c>
      <c r="C17456" s="7">
        <f>IFERROR(__xludf.DUMMYFUNCTION("""COMPUTED_VALUE"""),7.7316685)</f>
        <v>7.7316685</v>
      </c>
      <c r="D17456" s="7">
        <f>IFERROR(__xludf.DUMMYFUNCTION("""COMPUTED_VALUE"""),0.354166666666666)</f>
        <v>0.3541666667</v>
      </c>
    </row>
    <row r="17457">
      <c r="A17457" s="10" t="s">
        <v>18896</v>
      </c>
      <c r="B17457" s="7" t="str">
        <f>IFERROR(__xludf.DUMMYFUNCTION("SPLIT(A17457,"" "")"),"CN(Cc1ncccc1F)c1ccc2ccc(CN(Cc3cccc(F)n3)Cc3ncccc3F)nc2c1")</f>
        <v>CN(Cc1ncccc1F)c1ccc2ccc(CN(Cc3cccc(F)n3)Cc3ncccc3F)nc2c1</v>
      </c>
      <c r="C17457" s="7">
        <f>IFERROR(__xludf.DUMMYFUNCTION("""COMPUTED_VALUE"""),7.7316685)</f>
        <v>7.7316685</v>
      </c>
      <c r="D17457" s="7">
        <f>IFERROR(__xludf.DUMMYFUNCTION("""COMPUTED_VALUE"""),0.418181818181818)</f>
        <v>0.4181818182</v>
      </c>
    </row>
    <row r="17458">
      <c r="A17458" s="10" t="s">
        <v>18897</v>
      </c>
      <c r="B17458" s="7" t="str">
        <f>IFERROR(__xludf.DUMMYFUNCTION("SPLIT(A17458,"" "")"),"Cc1cc(C)c(C)c(CN(C)c2cccc(-c3ccnc(CN(C)C(C)C)c3)c2C)n1")</f>
        <v>Cc1cc(C)c(C)c(CN(C)c2cccc(-c3ccnc(CN(C)C(C)C)c3)c2C)n1</v>
      </c>
      <c r="C17458" s="7">
        <f>IFERROR(__xludf.DUMMYFUNCTION("""COMPUTED_VALUE"""),7.7316675)</f>
        <v>7.7316675</v>
      </c>
      <c r="D17458" s="7">
        <f>IFERROR(__xludf.DUMMYFUNCTION("""COMPUTED_VALUE"""),0.3)</f>
        <v>0.3</v>
      </c>
    </row>
    <row r="17459">
      <c r="A17459" s="10" t="s">
        <v>18898</v>
      </c>
      <c r="B17459" s="7" t="str">
        <f>IFERROR(__xludf.DUMMYFUNCTION("SPLIT(A17459,"" "")"),"Cc1cc(CN(C)c2ccccc2-c2ccc(CN(C)Cc3ccc(C)c(C)n3)nc2)cnc1C")</f>
        <v>Cc1cc(CN(C)c2ccccc2-c2ccc(CN(C)Cc3ccc(C)c(C)n3)nc2)cnc1C</v>
      </c>
      <c r="C17459" s="7">
        <f>IFERROR(__xludf.DUMMYFUNCTION("""COMPUTED_VALUE"""),7.731663)</f>
        <v>7.731663</v>
      </c>
      <c r="D17459" s="7">
        <f>IFERROR(__xludf.DUMMYFUNCTION("""COMPUTED_VALUE"""),0.31578947368421)</f>
        <v>0.3157894737</v>
      </c>
    </row>
    <row r="17460">
      <c r="A17460" s="10" t="s">
        <v>18899</v>
      </c>
      <c r="B17460" s="7" t="str">
        <f>IFERROR(__xludf.DUMMYFUNCTION("SPLIT(A17460,"" "")"),"Cc1cnc(CN(C)Cc2cnc3c(C)cccc3c2)cc1C")</f>
        <v>Cc1cnc(CN(C)Cc2cnc3c(C)cccc3c2)cc1C</v>
      </c>
      <c r="C17460" s="7">
        <f>IFERROR(__xludf.DUMMYFUNCTION("""COMPUTED_VALUE"""),7.731661)</f>
        <v>7.731661</v>
      </c>
      <c r="D17460" s="7">
        <f>IFERROR(__xludf.DUMMYFUNCTION("""COMPUTED_VALUE"""),0.361702127659574)</f>
        <v>0.3617021277</v>
      </c>
    </row>
    <row r="17461">
      <c r="A17461" s="10" t="s">
        <v>18900</v>
      </c>
      <c r="B17461" s="7" t="str">
        <f>IFERROR(__xludf.DUMMYFUNCTION("SPLIT(A17461,"" "")"),"CN(CC1=CCC(N(C)c2ccc3ccc(CF)nc3c2)=CN1)Cc1ccccn1")</f>
        <v>CN(CC1=CCC(N(C)c2ccc3ccc(CF)nc3c2)=CN1)Cc1ccccn1</v>
      </c>
      <c r="C17461" s="7">
        <f>IFERROR(__xludf.DUMMYFUNCTION("""COMPUTED_VALUE"""),7.7316537)</f>
        <v>7.7316537</v>
      </c>
      <c r="D17461" s="7">
        <f>IFERROR(__xludf.DUMMYFUNCTION("""COMPUTED_VALUE"""),0.389830508474576)</f>
        <v>0.3898305085</v>
      </c>
    </row>
    <row r="17462">
      <c r="A17462" s="10" t="s">
        <v>18901</v>
      </c>
      <c r="B17462" s="7" t="str">
        <f>IFERROR(__xludf.DUMMYFUNCTION("SPLIT(A17462,"" "")"),"Cc1cnc(CN(C)c2cc(C)c(NCc3ccccn3)cc2C)c(C)c1")</f>
        <v>Cc1cnc(CN(C)c2cc(C)c(NCc3ccccn3)cc2C)c(C)c1</v>
      </c>
      <c r="C17462" s="7">
        <f>IFERROR(__xludf.DUMMYFUNCTION("""COMPUTED_VALUE"""),7.73165)</f>
        <v>7.73165</v>
      </c>
      <c r="D17462" s="7">
        <f>IFERROR(__xludf.DUMMYFUNCTION("""COMPUTED_VALUE"""),0.407407407407407)</f>
        <v>0.4074074074</v>
      </c>
    </row>
    <row r="17463">
      <c r="A17463" s="10" t="s">
        <v>18902</v>
      </c>
      <c r="B17463" s="7" t="str">
        <f>IFERROR(__xludf.DUMMYFUNCTION("SPLIT(A17463,"" "")"),"CNCc1ccc2nccc(CN(C)Cc3nc(C)c(C)c(C)c3C)c2c1")</f>
        <v>CNCc1ccc2nccc(CN(C)Cc3nc(C)c(C)c(C)c3C)c2c1</v>
      </c>
      <c r="C17463" s="7">
        <f>IFERROR(__xludf.DUMMYFUNCTION("""COMPUTED_VALUE"""),7.731648)</f>
        <v>7.731648</v>
      </c>
      <c r="D17463" s="7">
        <f>IFERROR(__xludf.DUMMYFUNCTION("""COMPUTED_VALUE"""),0.245901639344262)</f>
        <v>0.2459016393</v>
      </c>
    </row>
    <row r="17464">
      <c r="A17464" s="10" t="s">
        <v>18903</v>
      </c>
      <c r="B17464" s="7" t="str">
        <f>IFERROR(__xludf.DUMMYFUNCTION("SPLIT(A17464,"" "")"),"CC(C)CN(Cc1ccccn1)c1ccc2nccc(CF)c2c1")</f>
        <v>CC(C)CN(Cc1ccccn1)c1ccc2nccc(CF)c2c1</v>
      </c>
      <c r="C17464" s="7">
        <f>IFERROR(__xludf.DUMMYFUNCTION("""COMPUTED_VALUE"""),7.731646)</f>
        <v>7.731646</v>
      </c>
      <c r="D17464" s="7">
        <f>IFERROR(__xludf.DUMMYFUNCTION("""COMPUTED_VALUE"""),0.384615384615384)</f>
        <v>0.3846153846</v>
      </c>
    </row>
    <row r="17465">
      <c r="A17465" s="10" t="s">
        <v>18904</v>
      </c>
      <c r="B17465" s="7" t="str">
        <f>IFERROR(__xludf.DUMMYFUNCTION("SPLIT(A17465,"" "")"),"Cc1ccc(-c2ccc(C)c(NCc3ccccn3)c2)nc1")</f>
        <v>Cc1ccc(-c2ccc(C)c(NCc3ccccn3)c2)nc1</v>
      </c>
      <c r="C17465" s="7">
        <f>IFERROR(__xludf.DUMMYFUNCTION("""COMPUTED_VALUE"""),7.731642)</f>
        <v>7.731642</v>
      </c>
      <c r="D17465" s="7">
        <f>IFERROR(__xludf.DUMMYFUNCTION("""COMPUTED_VALUE"""),0.369565217391304)</f>
        <v>0.3695652174</v>
      </c>
    </row>
    <row r="17466">
      <c r="A17466" s="10" t="s">
        <v>18905</v>
      </c>
      <c r="B17466" s="7" t="str">
        <f>IFERROR(__xludf.DUMMYFUNCTION("SPLIT(A17466,"" "")"),"CN(c1ccc2ccc(CF)nc2c1)C1CCC(N(C)c2ccc3c(CF)ccnc3c2)CC1")</f>
        <v>CN(c1ccc2ccc(CF)nc2c1)C1CCC(N(C)c2ccc3c(CF)ccnc3c2)CC1</v>
      </c>
      <c r="C17466" s="7">
        <f>IFERROR(__xludf.DUMMYFUNCTION("""COMPUTED_VALUE"""),7.7316413)</f>
        <v>7.7316413</v>
      </c>
      <c r="D17466" s="7">
        <f>IFERROR(__xludf.DUMMYFUNCTION("""COMPUTED_VALUE"""),0.35)</f>
        <v>0.35</v>
      </c>
    </row>
    <row r="17467">
      <c r="A17467" s="10" t="s">
        <v>18906</v>
      </c>
      <c r="B17467" s="7" t="str">
        <f>IFERROR(__xludf.DUMMYFUNCTION("SPLIT(A17467,"" "")"),"CCN(Cc1ccccn1)Cc1cccc(N(C)c2ccc3ncccc3c2)n1")</f>
        <v>CCN(Cc1ccccn1)Cc1cccc(N(C)c2ccc3ncccc3c2)n1</v>
      </c>
      <c r="C17467" s="7">
        <f>IFERROR(__xludf.DUMMYFUNCTION("""COMPUTED_VALUE"""),7.7316365)</f>
        <v>7.7316365</v>
      </c>
      <c r="D17467" s="7">
        <f>IFERROR(__xludf.DUMMYFUNCTION("""COMPUTED_VALUE"""),0.442307692307692)</f>
        <v>0.4423076923</v>
      </c>
    </row>
    <row r="17468">
      <c r="A17468" s="10" t="s">
        <v>18907</v>
      </c>
      <c r="B17468" s="7" t="str">
        <f>IFERROR(__xludf.DUMMYFUNCTION("SPLIT(A17468,"" "")"),"Cc1ccnc(CN(C)Cc2ncccc2-c2cccc(N(C)C)c2)c1")</f>
        <v>Cc1ccnc(CN(C)Cc2ncccc2-c2cccc(N(C)C)c2)c1</v>
      </c>
      <c r="C17468" s="7">
        <f>IFERROR(__xludf.DUMMYFUNCTION("""COMPUTED_VALUE"""),7.731635)</f>
        <v>7.731635</v>
      </c>
      <c r="D17468" s="7">
        <f>IFERROR(__xludf.DUMMYFUNCTION("""COMPUTED_VALUE"""),0.339285714285714)</f>
        <v>0.3392857143</v>
      </c>
    </row>
    <row r="17469">
      <c r="A17469" s="10" t="s">
        <v>18908</v>
      </c>
      <c r="B17469" s="7" t="str">
        <f>IFERROR(__xludf.DUMMYFUNCTION("SPLIT(A17469,"" "")"),"Cc1cnc(CN(C)Cc2cccc(-c3cccc(N(C)Cc4cccc(C)n4)c3)n2)c(C)c1")</f>
        <v>Cc1cnc(CN(C)Cc2cccc(-c3cccc(N(C)Cc4cccc(C)n4)c3)n2)c(C)c1</v>
      </c>
      <c r="C17469" s="7">
        <f>IFERROR(__xludf.DUMMYFUNCTION("""COMPUTED_VALUE"""),7.731629)</f>
        <v>7.731629</v>
      </c>
      <c r="D17469" s="7">
        <f>IFERROR(__xludf.DUMMYFUNCTION("""COMPUTED_VALUE"""),0.415094339622641)</f>
        <v>0.4150943396</v>
      </c>
    </row>
    <row r="17470">
      <c r="A17470" s="10" t="s">
        <v>18909</v>
      </c>
      <c r="B17470" s="7" t="str">
        <f>IFERROR(__xludf.DUMMYFUNCTION("SPLIT(A17470,"" "")"),"CC(C)N(Cc1ccccn1)c1ccc2nccc(CN(C)C3C=CC=CN3)c2c1")</f>
        <v>CC(C)N(Cc1ccccn1)c1ccc2nccc(CN(C)C3C=CC=CN3)c2c1</v>
      </c>
      <c r="C17470" s="7">
        <f>IFERROR(__xludf.DUMMYFUNCTION("""COMPUTED_VALUE"""),7.7316217)</f>
        <v>7.7316217</v>
      </c>
      <c r="D17470" s="7">
        <f>IFERROR(__xludf.DUMMYFUNCTION("""COMPUTED_VALUE"""),0.393939393939393)</f>
        <v>0.3939393939</v>
      </c>
    </row>
    <row r="17471">
      <c r="A17471" s="10" t="s">
        <v>18910</v>
      </c>
      <c r="B17471" s="7" t="str">
        <f>IFERROR(__xludf.DUMMYFUNCTION("SPLIT(A17471,"" "")"),"CN(CCN(Cc1ccccn1)c1cccc2ncccc12)c1ccccc1F")</f>
        <v>CN(CCN(Cc1ccccn1)c1cccc2ncccc12)c1ccccc1F</v>
      </c>
      <c r="C17471" s="7">
        <f>IFERROR(__xludf.DUMMYFUNCTION("""COMPUTED_VALUE"""),7.7316165)</f>
        <v>7.7316165</v>
      </c>
      <c r="D17471" s="7">
        <f>IFERROR(__xludf.DUMMYFUNCTION("""COMPUTED_VALUE"""),0.396226415094339)</f>
        <v>0.3962264151</v>
      </c>
    </row>
    <row r="17472">
      <c r="A17472" s="10" t="s">
        <v>18911</v>
      </c>
      <c r="B17472" s="7" t="str">
        <f>IFERROR(__xludf.DUMMYFUNCTION("SPLIT(A17472,"" "")"),"CN(c1ccc2ncccc2c1)C1CCC(N(C)c2ccc3ncccc3c2)CC1")</f>
        <v>CN(c1ccc2ncccc2c1)C1CCC(N(C)c2ccc3ncccc3c2)CC1</v>
      </c>
      <c r="C17472" s="7">
        <f>IFERROR(__xludf.DUMMYFUNCTION("""COMPUTED_VALUE"""),7.731615)</f>
        <v>7.731615</v>
      </c>
      <c r="D17472" s="7">
        <f>IFERROR(__xludf.DUMMYFUNCTION("""COMPUTED_VALUE"""),0.4)</f>
        <v>0.4</v>
      </c>
    </row>
    <row r="17473">
      <c r="A17473" s="10" t="s">
        <v>18912</v>
      </c>
      <c r="B17473" s="7" t="str">
        <f>IFERROR(__xludf.DUMMYFUNCTION("SPLIT(A17473,"" "")"),"Cc1cnc(-c2cccc(NCc3ccccn3)c2)cc1NCc1ccccn1")</f>
        <v>Cc1cnc(-c2cccc(NCc3ccccn3)c2)cc1NCc1ccccn1</v>
      </c>
      <c r="C17473" s="7">
        <f>IFERROR(__xludf.DUMMYFUNCTION("""COMPUTED_VALUE"""),7.7316146)</f>
        <v>7.7316146</v>
      </c>
      <c r="D17473" s="7">
        <f>IFERROR(__xludf.DUMMYFUNCTION("""COMPUTED_VALUE"""),0.379310344827586)</f>
        <v>0.3793103448</v>
      </c>
    </row>
    <row r="17474">
      <c r="A17474" s="10" t="s">
        <v>18913</v>
      </c>
      <c r="B17474" s="7" t="str">
        <f>IFERROR(__xludf.DUMMYFUNCTION("SPLIT(A17474,"" "")"),"CC(C)NCc1ncccc1-c1cccc(N=Cc2ccccn2)c1")</f>
        <v>CC(C)NCc1ncccc1-c1cccc(N=Cc2ccccn2)c1</v>
      </c>
      <c r="C17474" s="7">
        <f>IFERROR(__xludf.DUMMYFUNCTION("""COMPUTED_VALUE"""),7.7315974)</f>
        <v>7.7315974</v>
      </c>
      <c r="D17474" s="7">
        <f>IFERROR(__xludf.DUMMYFUNCTION("""COMPUTED_VALUE"""),0.368421052631578)</f>
        <v>0.3684210526</v>
      </c>
    </row>
    <row r="17475">
      <c r="A17475" s="10" t="s">
        <v>18914</v>
      </c>
      <c r="B17475" s="7" t="str">
        <f>IFERROR(__xludf.DUMMYFUNCTION("SPLIT(A17475,"" "")"),"Cc1cc(C)nc(CN(C)c2cc(-c3ccnc(CN(C)C(C)C)c3)ccc2C)c1")</f>
        <v>Cc1cc(C)nc(CN(C)c2cc(-c3ccnc(CN(C)C(C)C)c3)ccc2C)c1</v>
      </c>
      <c r="C17475" s="7">
        <f>IFERROR(__xludf.DUMMYFUNCTION("""COMPUTED_VALUE"""),7.7315965)</f>
        <v>7.7315965</v>
      </c>
      <c r="D17475" s="7">
        <f>IFERROR(__xludf.DUMMYFUNCTION("""COMPUTED_VALUE"""),0.310344827586206)</f>
        <v>0.3103448276</v>
      </c>
    </row>
    <row r="17476">
      <c r="A17476" s="10" t="s">
        <v>18915</v>
      </c>
      <c r="B17476" s="7" t="str">
        <f>IFERROR(__xludf.DUMMYFUNCTION("SPLIT(A17476,"" "")"),"CC(C)NCc1cc(-c2cccc(N=Cc3ccccn3)c2)ccn1")</f>
        <v>CC(C)NCc1cc(-c2cccc(N=Cc3ccccn3)c2)ccn1</v>
      </c>
      <c r="C17476" s="7">
        <f>IFERROR(__xludf.DUMMYFUNCTION("""COMPUTED_VALUE"""),7.7315803)</f>
        <v>7.7315803</v>
      </c>
      <c r="D17476" s="7">
        <f>IFERROR(__xludf.DUMMYFUNCTION("""COMPUTED_VALUE"""),0.375)</f>
        <v>0.375</v>
      </c>
    </row>
    <row r="17477">
      <c r="A17477" s="10" t="s">
        <v>18916</v>
      </c>
      <c r="B17477" s="7" t="str">
        <f>IFERROR(__xludf.DUMMYFUNCTION("SPLIT(A17477,"" "")"),"CCCN(Cc1ccccn1)c1ccc2nccc(C(C)(C)c3ccccn3)c2c1")</f>
        <v>CCCN(Cc1ccccn1)c1ccc2nccc(C(C)(C)c3ccccn3)c2c1</v>
      </c>
      <c r="C17477" s="7">
        <f>IFERROR(__xludf.DUMMYFUNCTION("""COMPUTED_VALUE"""),7.731578)</f>
        <v>7.731578</v>
      </c>
      <c r="D17477" s="7">
        <f>IFERROR(__xludf.DUMMYFUNCTION("""COMPUTED_VALUE"""),0.368421052631578)</f>
        <v>0.3684210526</v>
      </c>
    </row>
    <row r="17478">
      <c r="A17478" s="10" t="s">
        <v>18917</v>
      </c>
      <c r="B17478" s="7" t="str">
        <f>IFERROR(__xludf.DUMMYFUNCTION("SPLIT(A17478,"" "")"),"Cc1ccc2nccc(CN(C)Cc3ncccc3C)c2c1")</f>
        <v>Cc1ccc2nccc(CN(C)Cc3ncccc3C)c2c1</v>
      </c>
      <c r="C17478" s="7">
        <f>IFERROR(__xludf.DUMMYFUNCTION("""COMPUTED_VALUE"""),7.731576)</f>
        <v>7.731576</v>
      </c>
      <c r="D17478" s="7">
        <f>IFERROR(__xludf.DUMMYFUNCTION("""COMPUTED_VALUE"""),0.326923076923076)</f>
        <v>0.3269230769</v>
      </c>
    </row>
    <row r="17479">
      <c r="A17479" s="10" t="s">
        <v>18918</v>
      </c>
      <c r="B17479" s="7" t="str">
        <f>IFERROR(__xludf.DUMMYFUNCTION("SPLIT(A17479,"" "")"),"CN(C)CCN(C)c1ccc2ccc(CF)nc2c1")</f>
        <v>CN(C)CCN(C)c1ccc2ccc(CF)nc2c1</v>
      </c>
      <c r="C17479" s="7">
        <f>IFERROR(__xludf.DUMMYFUNCTION("""COMPUTED_VALUE"""),7.731575)</f>
        <v>7.731575</v>
      </c>
      <c r="D17479" s="7">
        <f>IFERROR(__xludf.DUMMYFUNCTION("""COMPUTED_VALUE"""),0.341463414634146)</f>
        <v>0.3414634146</v>
      </c>
    </row>
    <row r="17480">
      <c r="A17480" s="10" t="s">
        <v>18919</v>
      </c>
      <c r="B17480" s="7" t="str">
        <f>IFERROR(__xludf.DUMMYFUNCTION("SPLIT(A17480,"" "")"),"Cc1cnc2cccc(N(CCN(C)C)Cc3ccccn3)c2c1")</f>
        <v>Cc1cnc2cccc(N(CCN(C)C)Cc3ccccn3)c2c1</v>
      </c>
      <c r="C17480" s="7">
        <f>IFERROR(__xludf.DUMMYFUNCTION("""COMPUTED_VALUE"""),7.731574)</f>
        <v>7.731574</v>
      </c>
      <c r="D17480" s="7">
        <f>IFERROR(__xludf.DUMMYFUNCTION("""COMPUTED_VALUE"""),0.489361702127659)</f>
        <v>0.4893617021</v>
      </c>
    </row>
    <row r="17481">
      <c r="A17481" s="10" t="s">
        <v>18920</v>
      </c>
      <c r="B17481" s="7" t="str">
        <f>IFERROR(__xludf.DUMMYFUNCTION("SPLIT(A17481,"" "")"),"CN(CC1=C(N(C)Cc2ccccn2)CC=CN1)Cc1cccc(-c2cccc(Cl)c2Cl)n1")</f>
        <v>CN(CC1=C(N(C)Cc2ccccn2)CC=CN1)Cc1cccc(-c2cccc(Cl)c2Cl)n1</v>
      </c>
      <c r="C17481" s="7">
        <f>IFERROR(__xludf.DUMMYFUNCTION("""COMPUTED_VALUE"""),7.731564)</f>
        <v>7.731564</v>
      </c>
      <c r="D17481" s="7">
        <f>IFERROR(__xludf.DUMMYFUNCTION("""COMPUTED_VALUE"""),0.466666666666666)</f>
        <v>0.4666666667</v>
      </c>
    </row>
    <row r="17482">
      <c r="A17482" s="10" t="s">
        <v>18921</v>
      </c>
      <c r="B17482" s="7" t="str">
        <f>IFERROR(__xludf.DUMMYFUNCTION("SPLIT(A17482,"" "")"),"CCN(Cc1ccccn1)C1=C(CN(C)c2cccc3ccc(CF)nc23)NC=CC1")</f>
        <v>CCN(Cc1ccccn1)C1=C(CN(C)c2cccc3ccc(CF)nc23)NC=CC1</v>
      </c>
      <c r="C17482" s="7">
        <f>IFERROR(__xludf.DUMMYFUNCTION("""COMPUTED_VALUE"""),7.731564)</f>
        <v>7.731564</v>
      </c>
      <c r="D17482" s="7">
        <f>IFERROR(__xludf.DUMMYFUNCTION("""COMPUTED_VALUE"""),0.391304347826087)</f>
        <v>0.3913043478</v>
      </c>
    </row>
    <row r="17483">
      <c r="A17483" s="10" t="s">
        <v>18922</v>
      </c>
      <c r="B17483" s="7" t="str">
        <f>IFERROR(__xludf.DUMMYFUNCTION("SPLIT(A17483,"" "")"),"CN(C)Cc1ccc2cc(N(C)C3CCC(N(C)c4ccc5nccc(CF)c5c4)CC3)ccc2n1")</f>
        <v>CN(C)Cc1ccc2cc(N(C)C3CCC(N(C)c4ccc5nccc(CF)c5c4)CC3)ccc2n1</v>
      </c>
      <c r="C17483" s="7">
        <f>IFERROR(__xludf.DUMMYFUNCTION("""COMPUTED_VALUE"""),7.7315545)</f>
        <v>7.7315545</v>
      </c>
      <c r="D17483" s="7">
        <f>IFERROR(__xludf.DUMMYFUNCTION("""COMPUTED_VALUE"""),0.283582089552238)</f>
        <v>0.2835820896</v>
      </c>
    </row>
    <row r="17484">
      <c r="A17484" s="10" t="s">
        <v>18923</v>
      </c>
      <c r="B17484" s="7" t="str">
        <f>IFERROR(__xludf.DUMMYFUNCTION("SPLIT(A17484,"" "")"),"CC(C)N(C)C1=CCC(CN(Cc2ccccn2)c2ccc3cccnc3c2)=CN1")</f>
        <v>CC(C)N(C)C1=CCC(CN(Cc2ccccn2)c2ccc3cccnc3c2)=CN1</v>
      </c>
      <c r="C17484" s="7">
        <f>IFERROR(__xludf.DUMMYFUNCTION("""COMPUTED_VALUE"""),7.731552)</f>
        <v>7.731552</v>
      </c>
      <c r="D17484" s="7">
        <f>IFERROR(__xludf.DUMMYFUNCTION("""COMPUTED_VALUE"""),0.387096774193548)</f>
        <v>0.3870967742</v>
      </c>
    </row>
    <row r="17485">
      <c r="A17485" s="10" t="s">
        <v>18924</v>
      </c>
      <c r="B17485" s="7" t="str">
        <f>IFERROR(__xludf.DUMMYFUNCTION("SPLIT(A17485,"" "")"),"Cc1ccc(CN(C)Cc2ccc(-c3cccc(N=Cc4ccccn4)c3)cn2)nc1")</f>
        <v>Cc1ccc(CN(C)Cc2ccc(-c3cccc(N=Cc4ccccn4)c3)cn2)nc1</v>
      </c>
      <c r="C17485" s="7">
        <f>IFERROR(__xludf.DUMMYFUNCTION("""COMPUTED_VALUE"""),7.7315516)</f>
        <v>7.7315516</v>
      </c>
      <c r="D17485" s="7">
        <f>IFERROR(__xludf.DUMMYFUNCTION("""COMPUTED_VALUE"""),0.415094339622641)</f>
        <v>0.4150943396</v>
      </c>
    </row>
    <row r="17486">
      <c r="A17486" s="10" t="s">
        <v>18925</v>
      </c>
      <c r="B17486" s="7" t="str">
        <f>IFERROR(__xludf.DUMMYFUNCTION("SPLIT(A17486,"" "")"),"CN(c1ccc2cc(CF)cnc2c1)C1CCC(N(C)c2ccc3nccc(CF)c3c2)CC1")</f>
        <v>CN(c1ccc2cc(CF)cnc2c1)C1CCC(N(C)c2ccc3nccc(CF)c3c2)CC1</v>
      </c>
      <c r="C17486" s="7">
        <f>IFERROR(__xludf.DUMMYFUNCTION("""COMPUTED_VALUE"""),7.7315445)</f>
        <v>7.7315445</v>
      </c>
      <c r="D17486" s="7">
        <f>IFERROR(__xludf.DUMMYFUNCTION("""COMPUTED_VALUE"""),0.25)</f>
        <v>0.25</v>
      </c>
    </row>
    <row r="17487">
      <c r="A17487" s="10" t="s">
        <v>18926</v>
      </c>
      <c r="B17487" s="7" t="str">
        <f>IFERROR(__xludf.DUMMYFUNCTION("SPLIT(A17487,"" "")"),"Cc1cccnc1CN(CC1=CC(N(C)Cc2ccccn2)C=CN1)c1ccc2ncccc2c1")</f>
        <v>Cc1cccnc1CN(CC1=CC(N(C)Cc2ccccn2)C=CN1)c1ccc2ncccc2c1</v>
      </c>
      <c r="C17487" s="7">
        <f>IFERROR(__xludf.DUMMYFUNCTION("""COMPUTED_VALUE"""),7.7315435)</f>
        <v>7.7315435</v>
      </c>
      <c r="D17487" s="7">
        <f>IFERROR(__xludf.DUMMYFUNCTION("""COMPUTED_VALUE"""),0.328358208955223)</f>
        <v>0.328358209</v>
      </c>
    </row>
    <row r="17488">
      <c r="A17488" s="10" t="s">
        <v>18927</v>
      </c>
      <c r="B17488" s="7" t="str">
        <f>IFERROR(__xludf.DUMMYFUNCTION("SPLIT(A17488,"" "")"),"Cc1ccccc1-c1ncccc1C(C)N=Cc1ccccn1")</f>
        <v>Cc1ccccc1-c1ncccc1C(C)N=Cc1ccccn1</v>
      </c>
      <c r="C17488" s="7">
        <f>IFERROR(__xludf.DUMMYFUNCTION("""COMPUTED_VALUE"""),7.7315335)</f>
        <v>7.7315335</v>
      </c>
      <c r="D17488" s="7">
        <f>IFERROR(__xludf.DUMMYFUNCTION("""COMPUTED_VALUE"""),0.428571428571428)</f>
        <v>0.4285714286</v>
      </c>
    </row>
    <row r="17489">
      <c r="A17489" s="10" t="s">
        <v>18928</v>
      </c>
      <c r="B17489" s="7" t="str">
        <f>IFERROR(__xludf.DUMMYFUNCTION("SPLIT(A17489,"" "")"),"Cc1ccc(CN(C)Cc2cc(-c3ccccc3N=Cc3ccccn3)ccn2)c(C)c1")</f>
        <v>Cc1ccc(CN(C)Cc2cc(-c3ccccc3N=Cc3ccccn3)ccn2)c(C)c1</v>
      </c>
      <c r="C17489" s="7">
        <f>IFERROR(__xludf.DUMMYFUNCTION("""COMPUTED_VALUE"""),7.731516)</f>
        <v>7.731516</v>
      </c>
      <c r="D17489" s="7">
        <f>IFERROR(__xludf.DUMMYFUNCTION("""COMPUTED_VALUE"""),0.416666666666666)</f>
        <v>0.4166666667</v>
      </c>
    </row>
    <row r="17490">
      <c r="A17490" s="10" t="s">
        <v>18929</v>
      </c>
      <c r="B17490" s="7" t="str">
        <f>IFERROR(__xludf.DUMMYFUNCTION("SPLIT(A17490,"" "")"),"CN(C)Cc1ccc2c(N(C)C3CCCCC3N(C)c3ccc4cccnc4c3)cccc2n1")</f>
        <v>CN(C)Cc1ccc2c(N(C)C3CCCCC3N(C)c3ccc4cccnc4c3)cccc2n1</v>
      </c>
      <c r="C17490" s="7">
        <f>IFERROR(__xludf.DUMMYFUNCTION("""COMPUTED_VALUE"""),7.731516)</f>
        <v>7.731516</v>
      </c>
      <c r="D17490" s="7">
        <f>IFERROR(__xludf.DUMMYFUNCTION("""COMPUTED_VALUE"""),0.482142857142857)</f>
        <v>0.4821428571</v>
      </c>
    </row>
    <row r="17491">
      <c r="A17491" s="10" t="s">
        <v>18930</v>
      </c>
      <c r="B17491" s="7" t="str">
        <f>IFERROR(__xludf.DUMMYFUNCTION("SPLIT(A17491,"" "")"),"C1=CC(CN(Cc2ccccn2)c2ccc3ncccc3c2)C=CN1")</f>
        <v>C1=CC(CN(Cc2ccccn2)c2ccc3ncccc3c2)C=CN1</v>
      </c>
      <c r="C17491" s="7">
        <f>IFERROR(__xludf.DUMMYFUNCTION("""COMPUTED_VALUE"""),7.731504)</f>
        <v>7.731504</v>
      </c>
      <c r="D17491" s="7">
        <f>IFERROR(__xludf.DUMMYFUNCTION("""COMPUTED_VALUE"""),0.385964912280701)</f>
        <v>0.3859649123</v>
      </c>
    </row>
    <row r="17492">
      <c r="A17492" s="10" t="s">
        <v>18931</v>
      </c>
      <c r="B17492" s="7" t="str">
        <f>IFERROR(__xludf.DUMMYFUNCTION("SPLIT(A17492,"" "")"),"Cc1cccnc1CN(C)c1cc(Cl)c(Cl)cc1N(C)C1CCC(N(C)c2ccc3c(CF)ccnc3c2)CC1")</f>
        <v>Cc1cccnc1CN(C)c1cc(Cl)c(Cl)cc1N(C)C1CCC(N(C)c2ccc3c(CF)ccnc3c2)CC1</v>
      </c>
      <c r="C17492" s="7">
        <f>IFERROR(__xludf.DUMMYFUNCTION("""COMPUTED_VALUE"""),7.731502)</f>
        <v>7.731502</v>
      </c>
      <c r="D17492" s="7">
        <f>IFERROR(__xludf.DUMMYFUNCTION("""COMPUTED_VALUE"""),0.338461538461538)</f>
        <v>0.3384615385</v>
      </c>
    </row>
    <row r="17493">
      <c r="A17493" s="10" t="s">
        <v>18932</v>
      </c>
      <c r="B17493" s="7" t="str">
        <f>IFERROR(__xludf.DUMMYFUNCTION("SPLIT(A17493,"" "")"),"Cc1ccc(-c2ccc(NCc3ccccn3)c(C)c2)nc1")</f>
        <v>Cc1ccc(-c2ccc(NCc3ccccn3)c(C)c2)nc1</v>
      </c>
      <c r="C17493" s="7">
        <f>IFERROR(__xludf.DUMMYFUNCTION("""COMPUTED_VALUE"""),7.7314954)</f>
        <v>7.7314954</v>
      </c>
      <c r="D17493" s="7">
        <f>IFERROR(__xludf.DUMMYFUNCTION("""COMPUTED_VALUE"""),0.369565217391304)</f>
        <v>0.3695652174</v>
      </c>
    </row>
    <row r="17494">
      <c r="A17494" s="10" t="s">
        <v>18933</v>
      </c>
      <c r="B17494" s="7" t="str">
        <f>IFERROR(__xludf.DUMMYFUNCTION("SPLIT(A17494,"" "")"),"Cc1ccc(-c2ccccc2N(C)C)c(CN(C)Cc2ccccn2)n1")</f>
        <v>Cc1ccc(-c2ccccc2N(C)C)c(CN(C)Cc2ccccn2)n1</v>
      </c>
      <c r="C17494" s="7">
        <f>IFERROR(__xludf.DUMMYFUNCTION("""COMPUTED_VALUE"""),7.7314925)</f>
        <v>7.7314925</v>
      </c>
      <c r="D17494" s="7">
        <f>IFERROR(__xludf.DUMMYFUNCTION("""COMPUTED_VALUE"""),0.46938775510204)</f>
        <v>0.4693877551</v>
      </c>
    </row>
    <row r="17495">
      <c r="A17495" s="10" t="s">
        <v>18934</v>
      </c>
      <c r="B17495" s="7" t="str">
        <f>IFERROR(__xludf.DUMMYFUNCTION("SPLIT(A17495,"" "")"),"CC(C)C(C)(c1ccccn1)N(Cc1ccccn1)c1ccc2nccc(CF)c2c1")</f>
        <v>CC(C)C(C)(c1ccccn1)N(Cc1ccccn1)c1ccc2nccc(CF)c2c1</v>
      </c>
      <c r="C17495" s="7">
        <f>IFERROR(__xludf.DUMMYFUNCTION("""COMPUTED_VALUE"""),7.7314916)</f>
        <v>7.7314916</v>
      </c>
      <c r="D17495" s="7">
        <f>IFERROR(__xludf.DUMMYFUNCTION("""COMPUTED_VALUE"""),0.362068965517241)</f>
        <v>0.3620689655</v>
      </c>
    </row>
    <row r="17496">
      <c r="A17496" s="10" t="s">
        <v>18935</v>
      </c>
      <c r="B17496" s="7" t="str">
        <f>IFERROR(__xludf.DUMMYFUNCTION("SPLIT(A17496,"" "")"),"CCNCc1cccc(-c2ccc(C)c(N(C)Cc3ccccn3)c2C)n1")</f>
        <v>CCNCc1cccc(-c2ccc(C)c(N(C)Cc3ccccn3)c2C)n1</v>
      </c>
      <c r="C17496" s="7">
        <f>IFERROR(__xludf.DUMMYFUNCTION("""COMPUTED_VALUE"""),7.7314878)</f>
        <v>7.7314878</v>
      </c>
      <c r="D17496" s="7">
        <f>IFERROR(__xludf.DUMMYFUNCTION("""COMPUTED_VALUE"""),0.436363636363636)</f>
        <v>0.4363636364</v>
      </c>
    </row>
    <row r="17497">
      <c r="A17497" s="10" t="s">
        <v>18936</v>
      </c>
      <c r="B17497" s="7" t="str">
        <f>IFERROR(__xludf.DUMMYFUNCTION("SPLIT(A17497,"" "")"),"Cc1ccc2nccc(CN(C)Cc3cc(N)ccn3)c2c1")</f>
        <v>Cc1ccc2nccc(CN(C)Cc3cc(N)ccn3)c2c1</v>
      </c>
      <c r="C17497" s="7">
        <f>IFERROR(__xludf.DUMMYFUNCTION("""COMPUTED_VALUE"""),7.7314715)</f>
        <v>7.7314715</v>
      </c>
      <c r="D17497" s="7">
        <f>IFERROR(__xludf.DUMMYFUNCTION("""COMPUTED_VALUE"""),0.326530612244897)</f>
        <v>0.3265306122</v>
      </c>
    </row>
    <row r="17498">
      <c r="A17498" s="10" t="s">
        <v>18937</v>
      </c>
      <c r="B17498" s="7" t="str">
        <f>IFERROR(__xludf.DUMMYFUNCTION("SPLIT(A17498,"" "")"),"Cc1cccnc1CN(C)Cc1ncccc1-c1ccccc1N(C)C")</f>
        <v>Cc1cccnc1CN(C)Cc1ncccc1-c1ccccc1N(C)C</v>
      </c>
      <c r="C17498" s="7">
        <f>IFERROR(__xludf.DUMMYFUNCTION("""COMPUTED_VALUE"""),7.7314634)</f>
        <v>7.7314634</v>
      </c>
      <c r="D17498" s="7">
        <f>IFERROR(__xludf.DUMMYFUNCTION("""COMPUTED_VALUE"""),0.32)</f>
        <v>0.32</v>
      </c>
    </row>
    <row r="17499">
      <c r="A17499" s="10" t="s">
        <v>18938</v>
      </c>
      <c r="B17499" s="7" t="str">
        <f>IFERROR(__xludf.DUMMYFUNCTION("SPLIT(A17499,"" "")"),"CNCN(Cc1ccccn1)c1ccc2c(CF)ccnc2c1")</f>
        <v>CNCN(Cc1ccccn1)c1ccc2c(CF)ccnc2c1</v>
      </c>
      <c r="C17499" s="7">
        <f>IFERROR(__xludf.DUMMYFUNCTION("""COMPUTED_VALUE"""),7.731457)</f>
        <v>7.731457</v>
      </c>
      <c r="D17499" s="7">
        <f>IFERROR(__xludf.DUMMYFUNCTION("""COMPUTED_VALUE"""),0.361702127659574)</f>
        <v>0.3617021277</v>
      </c>
    </row>
    <row r="17500">
      <c r="A17500" s="10" t="s">
        <v>18939</v>
      </c>
      <c r="B17500" s="7" t="str">
        <f>IFERROR(__xludf.DUMMYFUNCTION("SPLIT(A17500,"" "")"),"CN(c1ccc2ccc(CF)nc2c1)C1CCC(N(C)c2ccc3nccc(CF)c3c2)CC1")</f>
        <v>CN(c1ccc2ccc(CF)nc2c1)C1CCC(N(C)c2ccc3nccc(CF)c3c2)CC1</v>
      </c>
      <c r="C17500" s="7">
        <f>IFERROR(__xludf.DUMMYFUNCTION("""COMPUTED_VALUE"""),7.7314525)</f>
        <v>7.7314525</v>
      </c>
      <c r="D17500" s="7">
        <f>IFERROR(__xludf.DUMMYFUNCTION("""COMPUTED_VALUE"""),0.338709677419354)</f>
        <v>0.3387096774</v>
      </c>
    </row>
    <row r="17501">
      <c r="A17501" s="10" t="s">
        <v>18940</v>
      </c>
      <c r="B17501" s="7" t="str">
        <f>IFERROR(__xludf.DUMMYFUNCTION("SPLIT(A17501,"" "")"),"Cc1cc(NCc2ccccn2)ccc1-c1ccc(C)c(CN(C)Cc2cc(C)c(C)c(C)n2)n1")</f>
        <v>Cc1cc(NCc2ccccn2)ccc1-c1ccc(C)c(CN(C)Cc2cc(C)c(C)c(C)n2)n1</v>
      </c>
      <c r="C17501" s="7">
        <f>IFERROR(__xludf.DUMMYFUNCTION("""COMPUTED_VALUE"""),7.7314496)</f>
        <v>7.7314496</v>
      </c>
      <c r="D17501" s="7">
        <f>IFERROR(__xludf.DUMMYFUNCTION("""COMPUTED_VALUE"""),0.359375)</f>
        <v>0.359375</v>
      </c>
    </row>
    <row r="17502">
      <c r="A17502" s="10" t="s">
        <v>18941</v>
      </c>
      <c r="B17502" s="7" t="str">
        <f>IFERROR(__xludf.DUMMYFUNCTION("SPLIT(A17502,"" "")"),"Cc1ccc(CN(C)Cc2cccnc2-c2cccc(N=Cc3ccccn3)c2)nc1")</f>
        <v>Cc1ccc(CN(C)Cc2cccnc2-c2cccc(N=Cc3ccccn3)c2)nc1</v>
      </c>
      <c r="C17502" s="7">
        <f>IFERROR(__xludf.DUMMYFUNCTION("""COMPUTED_VALUE"""),7.731443)</f>
        <v>7.731443</v>
      </c>
      <c r="D17502" s="7">
        <f>IFERROR(__xludf.DUMMYFUNCTION("""COMPUTED_VALUE"""),0.379310344827586)</f>
        <v>0.3793103448</v>
      </c>
    </row>
    <row r="17503">
      <c r="A17503" s="10" t="s">
        <v>18942</v>
      </c>
      <c r="B17503" s="7" t="str">
        <f>IFERROR(__xludf.DUMMYFUNCTION("SPLIT(A17503,"" "")"),"Cc1ccnc(CN(C)CCN(C)c2cccc3c(C)ccnc23)c1C")</f>
        <v>Cc1ccnc(CN(C)CCN(C)c2cccc3c(C)ccnc23)c1C</v>
      </c>
      <c r="C17503" s="7">
        <f>IFERROR(__xludf.DUMMYFUNCTION("""COMPUTED_VALUE"""),7.7314425)</f>
        <v>7.7314425</v>
      </c>
      <c r="D17503" s="7">
        <f>IFERROR(__xludf.DUMMYFUNCTION("""COMPUTED_VALUE"""),0.446808510638297)</f>
        <v>0.4468085106</v>
      </c>
    </row>
    <row r="17504">
      <c r="A17504" s="10" t="s">
        <v>18943</v>
      </c>
      <c r="B17504" s="7" t="str">
        <f>IFERROR(__xludf.DUMMYFUNCTION("SPLIT(A17504,"" "")"),"Cc1cccc(CN(C)Cc2cccc(-c3cccc(N=Cc4ccccn4)c3)n2)n1")</f>
        <v>Cc1cccc(CN(C)Cc2cccc(-c3cccc(N=Cc4ccccn4)c3)n2)n1</v>
      </c>
      <c r="C17504" s="7">
        <f>IFERROR(__xludf.DUMMYFUNCTION("""COMPUTED_VALUE"""),7.731441)</f>
        <v>7.731441</v>
      </c>
      <c r="D17504" s="7">
        <f>IFERROR(__xludf.DUMMYFUNCTION("""COMPUTED_VALUE"""),0.472727272727272)</f>
        <v>0.4727272727</v>
      </c>
    </row>
    <row r="17505">
      <c r="A17505" s="10" t="s">
        <v>18944</v>
      </c>
      <c r="B17505" s="7" t="str">
        <f>IFERROR(__xludf.DUMMYFUNCTION("SPLIT(A17505,"" "")"),"Cc1cnc(CN(CC2=CCC=C(N(C)Cc3ccccn3)N2)c2cc(Cl)ccc2Cl)c(C)c1")</f>
        <v>Cc1cnc(CN(CC2=CCC=C(N(C)Cc3ccccn3)N2)c2cc(Cl)ccc2Cl)c(C)c1</v>
      </c>
      <c r="C17505" s="7">
        <f>IFERROR(__xludf.DUMMYFUNCTION("""COMPUTED_VALUE"""),7.7314405)</f>
        <v>7.7314405</v>
      </c>
      <c r="D17505" s="7">
        <f>IFERROR(__xludf.DUMMYFUNCTION("""COMPUTED_VALUE"""),0.4)</f>
        <v>0.4</v>
      </c>
    </row>
    <row r="17506">
      <c r="A17506" s="10" t="s">
        <v>18945</v>
      </c>
      <c r="B17506" s="7" t="str">
        <f>IFERROR(__xludf.DUMMYFUNCTION("SPLIT(A17506,"" "")"),"CN(CCF)Cc1ncccc1N(C)c1ccc2cccnc2c1")</f>
        <v>CN(CCF)Cc1ncccc1N(C)c1ccc2cccnc2c1</v>
      </c>
      <c r="C17506" s="7">
        <f>IFERROR(__xludf.DUMMYFUNCTION("""COMPUTED_VALUE"""),7.7314367)</f>
        <v>7.7314367</v>
      </c>
      <c r="D17506" s="7">
        <f>IFERROR(__xludf.DUMMYFUNCTION("""COMPUTED_VALUE"""),0.358490566037735)</f>
        <v>0.358490566</v>
      </c>
    </row>
    <row r="17507">
      <c r="A17507" s="10" t="s">
        <v>18946</v>
      </c>
      <c r="B17507" s="7" t="str">
        <f>IFERROR(__xludf.DUMMYFUNCTION("SPLIT(A17507,"" "")"),"CN(c1ccc2nc3c(cc2c1)CCC3)C1CCC(N(C)c2cccc3nc4c(cc23)CCC4)CC1")</f>
        <v>CN(c1ccc2nc3c(cc2c1)CCC3)C1CCC(N(C)c2cccc3nc4c(cc23)CCC4)CC1</v>
      </c>
      <c r="C17507" s="7">
        <f>IFERROR(__xludf.DUMMYFUNCTION("""COMPUTED_VALUE"""),7.731435)</f>
        <v>7.731435</v>
      </c>
      <c r="D17507" s="7">
        <f>IFERROR(__xludf.DUMMYFUNCTION("""COMPUTED_VALUE"""),0.46551724137931)</f>
        <v>0.4655172414</v>
      </c>
    </row>
    <row r="17508">
      <c r="A17508" s="10" t="s">
        <v>18947</v>
      </c>
      <c r="B17508" s="7" t="str">
        <f>IFERROR(__xludf.DUMMYFUNCTION("SPLIT(A17508,"" "")"),"CNCc1cc(CN(Cc2ccc(N)cn2)c2ccc3nc(CF)ccc3c2)ccn1")</f>
        <v>CNCc1cc(CN(Cc2ccc(N)cn2)c2ccc3nc(CF)ccc3c2)ccn1</v>
      </c>
      <c r="C17508" s="7">
        <f>IFERROR(__xludf.DUMMYFUNCTION("""COMPUTED_VALUE"""),7.731434)</f>
        <v>7.731434</v>
      </c>
      <c r="D17508" s="7">
        <f>IFERROR(__xludf.DUMMYFUNCTION("""COMPUTED_VALUE"""),0.28125)</f>
        <v>0.28125</v>
      </c>
    </row>
    <row r="17509">
      <c r="A17509" s="10" t="s">
        <v>18948</v>
      </c>
      <c r="B17509" s="7" t="str">
        <f>IFERROR(__xludf.DUMMYFUNCTION("SPLIT(A17509,"" "")"),"CN(Cc1ccccn1)C1=C(c2ccncc2)NC=CC1")</f>
        <v>CN(Cc1ccccn1)C1=C(c2ccncc2)NC=CC1</v>
      </c>
      <c r="C17509" s="7">
        <f>IFERROR(__xludf.DUMMYFUNCTION("""COMPUTED_VALUE"""),7.7314234)</f>
        <v>7.7314234</v>
      </c>
      <c r="D17509" s="7">
        <f>IFERROR(__xludf.DUMMYFUNCTION("""COMPUTED_VALUE"""),0.433962264150943)</f>
        <v>0.4339622642</v>
      </c>
    </row>
    <row r="17510">
      <c r="A17510" s="10" t="s">
        <v>18949</v>
      </c>
      <c r="B17510" s="7" t="str">
        <f>IFERROR(__xludf.DUMMYFUNCTION("SPLIT(A17510,"" "")"),"CN(c1cccc2nc(CF)ccc12)C1CCC(N(C)c2cccc3nc(CF)ccc23)CC1")</f>
        <v>CN(c1cccc2nc(CF)ccc12)C1CCC(N(C)c2cccc3nc(CF)ccc23)CC1</v>
      </c>
      <c r="C17510" s="7">
        <f>IFERROR(__xludf.DUMMYFUNCTION("""COMPUTED_VALUE"""),7.731417)</f>
        <v>7.731417</v>
      </c>
      <c r="D17510" s="7">
        <f>IFERROR(__xludf.DUMMYFUNCTION("""COMPUTED_VALUE"""),0.489795918367346)</f>
        <v>0.4897959184</v>
      </c>
    </row>
    <row r="17511">
      <c r="A17511" s="10" t="s">
        <v>18950</v>
      </c>
      <c r="B17511" s="7" t="str">
        <f>IFERROR(__xludf.DUMMYFUNCTION("SPLIT(A17511,"" "")"),"Cc1ccnc(CN(C)Cc2cc(-c3ccc(N(C)C)cc3)ccn2)c1")</f>
        <v>Cc1ccnc(CN(C)Cc2cc(-c3ccc(N(C)C)cc3)ccn2)c1</v>
      </c>
      <c r="C17511" s="7">
        <f>IFERROR(__xludf.DUMMYFUNCTION("""COMPUTED_VALUE"""),7.731412)</f>
        <v>7.731412</v>
      </c>
      <c r="D17511" s="7">
        <f>IFERROR(__xludf.DUMMYFUNCTION("""COMPUTED_VALUE"""),0.382978723404255)</f>
        <v>0.3829787234</v>
      </c>
    </row>
    <row r="17512">
      <c r="A17512" s="10" t="s">
        <v>18951</v>
      </c>
      <c r="B17512" s="7" t="str">
        <f>IFERROR(__xludf.DUMMYFUNCTION("SPLIT(A17512,"" "")"),"Cc1cccnc1CN(C)Cc1cccc(-c2cccc(N=Cc3ccccn3)c2)n1")</f>
        <v>Cc1cccnc1CN(C)Cc1cccc(-c2cccc(N=Cc3ccccn3)c2)n1</v>
      </c>
      <c r="C17512" s="7">
        <f>IFERROR(__xludf.DUMMYFUNCTION("""COMPUTED_VALUE"""),7.731398)</f>
        <v>7.731398</v>
      </c>
      <c r="D17512" s="7">
        <f>IFERROR(__xludf.DUMMYFUNCTION("""COMPUTED_VALUE"""),0.440677966101694)</f>
        <v>0.4406779661</v>
      </c>
    </row>
    <row r="17513">
      <c r="A17513" s="10" t="s">
        <v>18952</v>
      </c>
      <c r="B17513" s="7" t="str">
        <f>IFERROR(__xludf.DUMMYFUNCTION("SPLIT(A17513,"" "")"),"CC(C)c1ncccc1CN(C)Cc1ncccc1-c1cccc(N=Cc2ccccn2)c1")</f>
        <v>CC(C)c1ncccc1CN(C)Cc1ncccc1-c1cccc(N=Cc2ccccn2)c1</v>
      </c>
      <c r="C17513" s="7">
        <f>IFERROR(__xludf.DUMMYFUNCTION("""COMPUTED_VALUE"""),7.7313933)</f>
        <v>7.7313933</v>
      </c>
      <c r="D17513" s="7">
        <f>IFERROR(__xludf.DUMMYFUNCTION("""COMPUTED_VALUE"""),0.328125)</f>
        <v>0.328125</v>
      </c>
    </row>
    <row r="17514">
      <c r="A17514" s="10" t="s">
        <v>18953</v>
      </c>
      <c r="B17514" s="7" t="str">
        <f>IFERROR(__xludf.DUMMYFUNCTION("SPLIT(A17514,"" "")"),"Cc1cc(CN(C)Cc2cc(N)ccn2)cc2cccnc12")</f>
        <v>Cc1cc(CN(C)Cc2cc(N)ccn2)cc2cccnc12</v>
      </c>
      <c r="C17514" s="7">
        <f>IFERROR(__xludf.DUMMYFUNCTION("""COMPUTED_VALUE"""),7.7313895)</f>
        <v>7.7313895</v>
      </c>
      <c r="D17514" s="7">
        <f>IFERROR(__xludf.DUMMYFUNCTION("""COMPUTED_VALUE"""),0.365384615384615)</f>
        <v>0.3653846154</v>
      </c>
    </row>
    <row r="17515">
      <c r="A17515" s="10" t="s">
        <v>18954</v>
      </c>
      <c r="B17515" s="7" t="str">
        <f>IFERROR(__xludf.DUMMYFUNCTION("SPLIT(A17515,"" "")"),"CN(c1ccc2nc(CF)ccc2c1)C1CCC(N(C)c2cccc3c(CF)ccnc23)CC1")</f>
        <v>CN(c1ccc2nc(CF)ccc2c1)C1CCC(N(C)c2cccc3c(CF)ccnc23)CC1</v>
      </c>
      <c r="C17515" s="7">
        <f>IFERROR(__xludf.DUMMYFUNCTION("""COMPUTED_VALUE"""),7.731388)</f>
        <v>7.731388</v>
      </c>
      <c r="D17515" s="7">
        <f>IFERROR(__xludf.DUMMYFUNCTION("""COMPUTED_VALUE"""),0.428571428571428)</f>
        <v>0.4285714286</v>
      </c>
    </row>
    <row r="17516">
      <c r="A17516" s="10" t="s">
        <v>18955</v>
      </c>
      <c r="B17516" s="7" t="str">
        <f>IFERROR(__xludf.DUMMYFUNCTION("SPLIT(A17516,"" "")"),"CCN(Cc1ccccn1)Cc1cc2c(N(C)Cc3cc(C)c(C)c(C)n3)cccc2cn1")</f>
        <v>CCN(Cc1ccccn1)Cc1cc2c(N(C)Cc3cc(C)c(C)c(C)n3)cccc2cn1</v>
      </c>
      <c r="C17516" s="7">
        <f>IFERROR(__xludf.DUMMYFUNCTION("""COMPUTED_VALUE"""),7.731384)</f>
        <v>7.731384</v>
      </c>
      <c r="D17516" s="7">
        <f>IFERROR(__xludf.DUMMYFUNCTION("""COMPUTED_VALUE"""),0.413793103448275)</f>
        <v>0.4137931034</v>
      </c>
    </row>
    <row r="17517">
      <c r="A17517" s="10" t="s">
        <v>18956</v>
      </c>
      <c r="B17517" s="7" t="str">
        <f>IFERROR(__xludf.DUMMYFUNCTION("SPLIT(A17517,"" "")"),"CC(C)N(Cc1ccccn1)Cc1cccc(N(C)c2ccc3nc(CF)ccc3c2)n1")</f>
        <v>CC(C)N(Cc1ccccn1)Cc1cccc(N(C)c2ccc3nc(CF)ccc3c2)n1</v>
      </c>
      <c r="C17517" s="7">
        <f>IFERROR(__xludf.DUMMYFUNCTION("""COMPUTED_VALUE"""),7.7313676)</f>
        <v>7.7313676</v>
      </c>
      <c r="D17517" s="7">
        <f>IFERROR(__xludf.DUMMYFUNCTION("""COMPUTED_VALUE"""),0.471698113207547)</f>
        <v>0.4716981132</v>
      </c>
    </row>
    <row r="17518">
      <c r="A17518" s="10" t="s">
        <v>18957</v>
      </c>
      <c r="B17518" s="7" t="str">
        <f>IFERROR(__xludf.DUMMYFUNCTION("SPLIT(A17518,"" "")"),"CCNc1cccc2ncccc12")</f>
        <v>CCNc1cccc2ncccc12</v>
      </c>
      <c r="C17518" s="7">
        <f>IFERROR(__xludf.DUMMYFUNCTION("""COMPUTED_VALUE"""),7.7313633)</f>
        <v>7.7313633</v>
      </c>
      <c r="D17518" s="7">
        <f>IFERROR(__xludf.DUMMYFUNCTION("""COMPUTED_VALUE"""),0.326530612244897)</f>
        <v>0.3265306122</v>
      </c>
    </row>
    <row r="17519">
      <c r="A17519" s="10" t="s">
        <v>18958</v>
      </c>
      <c r="B17519" s="7" t="str">
        <f>IFERROR(__xludf.DUMMYFUNCTION("SPLIT(A17519,"" "")"),"CNCN(Cc1ccccn1)c1ccc2nccc(CF)c2c1")</f>
        <v>CNCN(Cc1ccccn1)c1ccc2nccc(CF)c2c1</v>
      </c>
      <c r="C17519" s="7">
        <f>IFERROR(__xludf.DUMMYFUNCTION("""COMPUTED_VALUE"""),7.7313595)</f>
        <v>7.7313595</v>
      </c>
      <c r="D17519" s="7">
        <f>IFERROR(__xludf.DUMMYFUNCTION("""COMPUTED_VALUE"""),0.354166666666666)</f>
        <v>0.3541666667</v>
      </c>
    </row>
    <row r="17520">
      <c r="A17520" s="10" t="s">
        <v>18959</v>
      </c>
      <c r="B17520" s="7" t="str">
        <f>IFERROR(__xludf.DUMMYFUNCTION("SPLIT(A17520,"" "")"),"CN(CCF)Cc1ncccc1N(C)c1ccc2ncccc2c1")</f>
        <v>CN(CCF)Cc1ncccc1N(C)c1ccc2ncccc2c1</v>
      </c>
      <c r="C17520" s="7">
        <f>IFERROR(__xludf.DUMMYFUNCTION("""COMPUTED_VALUE"""),7.731356)</f>
        <v>7.731356</v>
      </c>
      <c r="D17520" s="7">
        <f>IFERROR(__xludf.DUMMYFUNCTION("""COMPUTED_VALUE"""),0.365384615384615)</f>
        <v>0.3653846154</v>
      </c>
    </row>
    <row r="17521">
      <c r="A17521" s="10" t="s">
        <v>18960</v>
      </c>
      <c r="B17521" s="7" t="str">
        <f>IFERROR(__xludf.DUMMYFUNCTION("SPLIT(A17521,"" "")"),"Cc1cnccc1CN(C)Cc1ccc(-c2cccc(N=Cc3ccccn3)c2)cn1")</f>
        <v>Cc1cnccc1CN(C)Cc1ccc(-c2cccc(N=Cc3ccccn3)c2)cn1</v>
      </c>
      <c r="C17521" s="7">
        <f>IFERROR(__xludf.DUMMYFUNCTION("""COMPUTED_VALUE"""),7.7313533)</f>
        <v>7.7313533</v>
      </c>
      <c r="D17521" s="7">
        <f>IFERROR(__xludf.DUMMYFUNCTION("""COMPUTED_VALUE"""),0.359375)</f>
        <v>0.359375</v>
      </c>
    </row>
    <row r="17522">
      <c r="A17522" s="10" t="s">
        <v>18961</v>
      </c>
      <c r="B17522" s="7" t="str">
        <f>IFERROR(__xludf.DUMMYFUNCTION("SPLIT(A17522,"" "")"),"CCN(Cc1ccccn1)c1cccc(C)c1-c1cnccc1CN(Cc1ccccn1)Cc1cc(-c2cccc(N)c2C)ccn1")</f>
        <v>CCN(Cc1ccccn1)c1cccc(C)c1-c1cnccc1CN(Cc1ccccn1)Cc1cc(-c2cccc(N)c2C)ccn1</v>
      </c>
      <c r="C17522" s="7">
        <f>IFERROR(__xludf.DUMMYFUNCTION("""COMPUTED_VALUE"""),7.731347)</f>
        <v>7.731347</v>
      </c>
      <c r="D17522" s="7">
        <f>IFERROR(__xludf.DUMMYFUNCTION("""COMPUTED_VALUE"""),0.32051282051282)</f>
        <v>0.3205128205</v>
      </c>
    </row>
    <row r="17523">
      <c r="A17523" s="10" t="s">
        <v>18962</v>
      </c>
      <c r="B17523" s="7" t="str">
        <f>IFERROR(__xludf.DUMMYFUNCTION("SPLIT(A17523,"" "")"),"CNCCN(Cc1ccccn1)Cc1ncccc1-c1c(N)ccc2ncccc12")</f>
        <v>CNCCN(Cc1ccccn1)Cc1ncccc1-c1c(N)ccc2ncccc12</v>
      </c>
      <c r="C17523" s="7">
        <f>IFERROR(__xludf.DUMMYFUNCTION("""COMPUTED_VALUE"""),7.7313423)</f>
        <v>7.7313423</v>
      </c>
      <c r="D17523" s="7">
        <f>IFERROR(__xludf.DUMMYFUNCTION("""COMPUTED_VALUE"""),0.392857142857142)</f>
        <v>0.3928571429</v>
      </c>
    </row>
    <row r="17524">
      <c r="A17524" s="10" t="s">
        <v>18963</v>
      </c>
      <c r="B17524" s="7" t="str">
        <f>IFERROR(__xludf.DUMMYFUNCTION("SPLIT(A17524,"" "")"),"CCN(Cc1ccccn1)C1=CNC(CN(C)c2ccc3nc(CF)ccc3c2)=CC1")</f>
        <v>CCN(Cc1ccccn1)C1=CNC(CN(C)c2ccc3nc(CF)ccc3c2)=CC1</v>
      </c>
      <c r="C17524" s="7">
        <f>IFERROR(__xludf.DUMMYFUNCTION("""COMPUTED_VALUE"""),7.7313423)</f>
        <v>7.7313423</v>
      </c>
      <c r="D17524" s="7">
        <f>IFERROR(__xludf.DUMMYFUNCTION("""COMPUTED_VALUE"""),0.359375)</f>
        <v>0.359375</v>
      </c>
    </row>
    <row r="17525">
      <c r="A17525" s="10" t="s">
        <v>18964</v>
      </c>
      <c r="B17525" s="7" t="str">
        <f>IFERROR(__xludf.DUMMYFUNCTION("SPLIT(A17525,"" "")"),"CC1=CC(C)CCC1N(C)Cc1cc(-c2cccc(N(C)c3ccc4nc(CF)ccc4c3)c2)ccn1")</f>
        <v>CC1=CC(C)CCC1N(C)Cc1cc(-c2cccc(N(C)c3ccc4nc(CF)ccc4c3)c2)ccn1</v>
      </c>
      <c r="C17525" s="7">
        <f>IFERROR(__xludf.DUMMYFUNCTION("""COMPUTED_VALUE"""),7.731334)</f>
        <v>7.731334</v>
      </c>
      <c r="D17525" s="7">
        <f>IFERROR(__xludf.DUMMYFUNCTION("""COMPUTED_VALUE"""),0.289473684210526)</f>
        <v>0.2894736842</v>
      </c>
    </row>
    <row r="17526">
      <c r="A17526" s="10" t="s">
        <v>18965</v>
      </c>
      <c r="B17526" s="7" t="str">
        <f>IFERROR(__xludf.DUMMYFUNCTION("SPLIT(A17526,"" "")"),"Cc1c(NCc2ccccn2)cccc1-c1ccccn1")</f>
        <v>Cc1c(NCc2ccccn2)cccc1-c1ccccn1</v>
      </c>
      <c r="C17526" s="7">
        <f>IFERROR(__xludf.DUMMYFUNCTION("""COMPUTED_VALUE"""),7.7313275)</f>
        <v>7.7313275</v>
      </c>
      <c r="D17526" s="7">
        <f>IFERROR(__xludf.DUMMYFUNCTION("""COMPUTED_VALUE"""),0.425)</f>
        <v>0.425</v>
      </c>
    </row>
    <row r="17527">
      <c r="A17527" s="10" t="s">
        <v>18966</v>
      </c>
      <c r="B17527" s="7" t="str">
        <f>IFERROR(__xludf.DUMMYFUNCTION("SPLIT(A17527,"" "")"),"Cc1cc(C)c(-c2ccc(CN(C)Cc3ccccn3)cn2)c(N(C)Cc2ccccn2)c1")</f>
        <v>Cc1cc(C)c(-c2ccc(CN(C)Cc3ccccn3)cn2)c(N(C)Cc2ccccn2)c1</v>
      </c>
      <c r="C17527" s="7">
        <f>IFERROR(__xludf.DUMMYFUNCTION("""COMPUTED_VALUE"""),7.7313213)</f>
        <v>7.7313213</v>
      </c>
      <c r="D17527" s="7">
        <f>IFERROR(__xludf.DUMMYFUNCTION("""COMPUTED_VALUE"""),0.470588235294117)</f>
        <v>0.4705882353</v>
      </c>
    </row>
    <row r="17528">
      <c r="A17528" s="10" t="s">
        <v>18967</v>
      </c>
      <c r="B17528" s="7" t="str">
        <f>IFERROR(__xludf.DUMMYFUNCTION("SPLIT(A17528,"" "")"),"CC(C)C1(C)N=COC1c1cc(CN(Cc2ccccn2)C2CCC(N(C)c3ccc4nccc(-c5ccc6ncccc6c5)c4c3)CC2)ccn1")</f>
        <v>CC(C)C1(C)N=COC1c1cc(CN(Cc2ccccn2)C2CCC(N(C)c3ccc4nccc(-c5ccc6ncccc6c5)c4c3)CC2)ccn1</v>
      </c>
      <c r="C17528" s="7">
        <f>IFERROR(__xludf.DUMMYFUNCTION("""COMPUTED_VALUE"""),7.7313204)</f>
        <v>7.7313204</v>
      </c>
      <c r="D17528" s="7">
        <f>IFERROR(__xludf.DUMMYFUNCTION("""COMPUTED_VALUE"""),0.25287356321839)</f>
        <v>0.2528735632</v>
      </c>
    </row>
    <row r="17529">
      <c r="A17529" s="10" t="s">
        <v>18968</v>
      </c>
      <c r="B17529" s="7" t="str">
        <f>IFERROR(__xludf.DUMMYFUNCTION("SPLIT(A17529,"" "")"),"CC(C)NCc1ncccc1-c1ccccc1N=Cc1ccccn1")</f>
        <v>CC(C)NCc1ncccc1-c1ccccc1N=Cc1ccccn1</v>
      </c>
      <c r="C17529" s="7">
        <f>IFERROR(__xludf.DUMMYFUNCTION("""COMPUTED_VALUE"""),7.731317)</f>
        <v>7.731317</v>
      </c>
      <c r="D17529" s="7">
        <f>IFERROR(__xludf.DUMMYFUNCTION("""COMPUTED_VALUE"""),0.46)</f>
        <v>0.46</v>
      </c>
    </row>
    <row r="17530">
      <c r="A17530" s="10" t="s">
        <v>18969</v>
      </c>
      <c r="B17530" s="7" t="str">
        <f>IFERROR(__xludf.DUMMYFUNCTION("SPLIT(A17530,"" "")"),"Cc1ccc(-c2ccc(CN(C)Cc3ccccn3)cn2)c(N(C)Cc2ccc(C)c(C)n2)c1")</f>
        <v>Cc1ccc(-c2ccc(CN(C)Cc3ccccn3)cn2)c(N(C)Cc2ccc(C)c(C)n2)c1</v>
      </c>
      <c r="C17530" s="7">
        <f>IFERROR(__xludf.DUMMYFUNCTION("""COMPUTED_VALUE"""),7.731316)</f>
        <v>7.731316</v>
      </c>
      <c r="D17530" s="7">
        <f>IFERROR(__xludf.DUMMYFUNCTION("""COMPUTED_VALUE"""),0.40983606557377)</f>
        <v>0.4098360656</v>
      </c>
    </row>
    <row r="17531">
      <c r="A17531" s="10" t="s">
        <v>18970</v>
      </c>
      <c r="B17531" s="7" t="str">
        <f>IFERROR(__xludf.DUMMYFUNCTION("SPLIT(A17531,"" "")"),"Cc1cccc(C)c1CN(C)Cc1cc(-c2ccccc2N=Cc2ccccn2)ccn1")</f>
        <v>Cc1cccc(C)c1CN(C)Cc1cc(-c2ccccc2N=Cc2ccccn2)ccn1</v>
      </c>
      <c r="C17531" s="7">
        <f>IFERROR(__xludf.DUMMYFUNCTION("""COMPUTED_VALUE"""),7.7313075)</f>
        <v>7.7313075</v>
      </c>
      <c r="D17531" s="7">
        <f>IFERROR(__xludf.DUMMYFUNCTION("""COMPUTED_VALUE"""),0.49090909090909)</f>
        <v>0.4909090909</v>
      </c>
    </row>
    <row r="17532">
      <c r="A17532" s="10" t="s">
        <v>18971</v>
      </c>
      <c r="B17532" s="7" t="str">
        <f>IFERROR(__xludf.DUMMYFUNCTION("SPLIT(A17532,"" "")"),"Cc1cccnc1CN(C)Cc1ccc(-c2cccc(N=Cc3ccccn3)c2)nc1")</f>
        <v>Cc1cccnc1CN(C)Cc1ccc(-c2cccc(N=Cc3ccccn3)c2)nc1</v>
      </c>
      <c r="C17532" s="7">
        <f>IFERROR(__xludf.DUMMYFUNCTION("""COMPUTED_VALUE"""),7.7312965)</f>
        <v>7.7312965</v>
      </c>
      <c r="D17532" s="7">
        <f>IFERROR(__xludf.DUMMYFUNCTION("""COMPUTED_VALUE"""),0.387096774193548)</f>
        <v>0.3870967742</v>
      </c>
    </row>
    <row r="17533">
      <c r="A17533" s="10" t="s">
        <v>18972</v>
      </c>
      <c r="B17533" s="7" t="str">
        <f>IFERROR(__xludf.DUMMYFUNCTION("SPLIT(A17533,"" "")"),"Cc1ccc(N(C)Cc2cc(C)c(C)c(C)n2)cc1C")</f>
        <v>Cc1ccc(N(C)Cc2cc(C)c(C)c(C)n2)cc1C</v>
      </c>
      <c r="C17533" s="7">
        <f>IFERROR(__xludf.DUMMYFUNCTION("""COMPUTED_VALUE"""),7.731296)</f>
        <v>7.731296</v>
      </c>
      <c r="D17533" s="7">
        <f>IFERROR(__xludf.DUMMYFUNCTION("""COMPUTED_VALUE"""),0.270833333333333)</f>
        <v>0.2708333333</v>
      </c>
    </row>
    <row r="17534">
      <c r="A17534" s="10" t="s">
        <v>18973</v>
      </c>
      <c r="B17534" s="7" t="str">
        <f>IFERROR(__xludf.DUMMYFUNCTION("SPLIT(A17534,"" "")"),"Cc1cnc(CN(C)Cc2cccc(-c3cccc(N(C)C)c3)n2)cc1C")</f>
        <v>Cc1cnc(CN(C)Cc2cccc(-c3cccc(N(C)C)c3)n2)cc1C</v>
      </c>
      <c r="C17534" s="7">
        <f>IFERROR(__xludf.DUMMYFUNCTION("""COMPUTED_VALUE"""),7.7312927)</f>
        <v>7.7312927</v>
      </c>
      <c r="D17534" s="7">
        <f>IFERROR(__xludf.DUMMYFUNCTION("""COMPUTED_VALUE"""),0.46)</f>
        <v>0.46</v>
      </c>
    </row>
    <row r="17535">
      <c r="A17535" s="10" t="s">
        <v>18974</v>
      </c>
      <c r="B17535" s="7" t="str">
        <f>IFERROR(__xludf.DUMMYFUNCTION("SPLIT(A17535,"" "")"),"Cc1cccc(-c2cccc(NCc3ccccn3)c2)n1")</f>
        <v>Cc1cccc(-c2cccc(NCc3ccccn3)c2)n1</v>
      </c>
      <c r="C17535" s="7">
        <f>IFERROR(__xludf.DUMMYFUNCTION("""COMPUTED_VALUE"""),7.731291)</f>
        <v>7.731291</v>
      </c>
      <c r="D17535" s="7">
        <f>IFERROR(__xludf.DUMMYFUNCTION("""COMPUTED_VALUE"""),0.436363636363636)</f>
        <v>0.4363636364</v>
      </c>
    </row>
    <row r="17536">
      <c r="A17536" s="10" t="s">
        <v>18975</v>
      </c>
      <c r="B17536" s="7" t="str">
        <f>IFERROR(__xludf.DUMMYFUNCTION("SPLIT(A17536,"" "")"),"Cc1cccnc1-c1cccc(NCc2ccc(C(C)(C)C)cn2)c1")</f>
        <v>Cc1cccnc1-c1cccc(NCc2ccc(C(C)(C)C)cn2)c1</v>
      </c>
      <c r="C17536" s="7">
        <f>IFERROR(__xludf.DUMMYFUNCTION("""COMPUTED_VALUE"""),7.731261)</f>
        <v>7.731261</v>
      </c>
      <c r="D17536" s="7">
        <f>IFERROR(__xludf.DUMMYFUNCTION("""COMPUTED_VALUE"""),0.276923076923076)</f>
        <v>0.2769230769</v>
      </c>
    </row>
    <row r="17537">
      <c r="A17537" s="10" t="s">
        <v>18976</v>
      </c>
      <c r="B17537" s="7" t="str">
        <f>IFERROR(__xludf.DUMMYFUNCTION("SPLIT(A17537,"" "")"),"Cc1cccnc1CN(Cc1ccccn1)Cc1ccnc2ccc(N(C)Cc3ccccn3)cc12")</f>
        <v>Cc1cccnc1CN(Cc1ccccn1)Cc1ccnc2ccc(N(C)Cc3ccccn3)cc12</v>
      </c>
      <c r="C17537" s="7">
        <f>IFERROR(__xludf.DUMMYFUNCTION("""COMPUTED_VALUE"""),7.73126)</f>
        <v>7.73126</v>
      </c>
      <c r="D17537" s="7">
        <f>IFERROR(__xludf.DUMMYFUNCTION("""COMPUTED_VALUE"""),0.4)</f>
        <v>0.4</v>
      </c>
    </row>
    <row r="17538">
      <c r="A17538" s="10" t="s">
        <v>18977</v>
      </c>
      <c r="B17538" s="7" t="str">
        <f>IFERROR(__xludf.DUMMYFUNCTION("SPLIT(A17538,"" "")"),"Cc1cccc(CN(C)C2=CCC=C(CN(C)Cc3ccc4ncccc4c3)N2)n1")</f>
        <v>Cc1cccc(CN(C)C2=CCC=C(CN(C)Cc3ccc4ncccc4c3)N2)n1</v>
      </c>
      <c r="C17538" s="7">
        <f>IFERROR(__xludf.DUMMYFUNCTION("""COMPUTED_VALUE"""),7.7312546)</f>
        <v>7.7312546</v>
      </c>
      <c r="D17538" s="7">
        <f>IFERROR(__xludf.DUMMYFUNCTION("""COMPUTED_VALUE"""),0.35593220338983)</f>
        <v>0.3559322034</v>
      </c>
    </row>
    <row r="17539">
      <c r="A17539" s="10" t="s">
        <v>18978</v>
      </c>
      <c r="B17539" s="7" t="str">
        <f>IFERROR(__xludf.DUMMYFUNCTION("SPLIT(A17539,"" "")"),"COC(=O)C(=O)C(=O)C1(C)N=COC1c1cc(C2=NC(C)(C)CO2)ccn1")</f>
        <v>COC(=O)C(=O)C(=O)C1(C)N=COC1c1cc(C2=NC(C)(C)CO2)ccn1</v>
      </c>
      <c r="C17539" s="7">
        <f>IFERROR(__xludf.DUMMYFUNCTION("""COMPUTED_VALUE"""),7.731245)</f>
        <v>7.731245</v>
      </c>
      <c r="D17539" s="7">
        <f>IFERROR(__xludf.DUMMYFUNCTION("""COMPUTED_VALUE"""),0.316666666666666)</f>
        <v>0.3166666667</v>
      </c>
    </row>
    <row r="17540">
      <c r="A17540" s="10" t="s">
        <v>18979</v>
      </c>
      <c r="B17540" s="7" t="str">
        <f>IFERROR(__xludf.DUMMYFUNCTION("SPLIT(A17540,"" "")"),"FCc1ccnc2ccc(N(Cc3ccccc3)Cc3ccccn3)cc12")</f>
        <v>FCc1ccnc2ccc(N(Cc3ccccc3)Cc3ccccn3)cc12</v>
      </c>
      <c r="C17540" s="7">
        <f>IFERROR(__xludf.DUMMYFUNCTION("""COMPUTED_VALUE"""),7.731243)</f>
        <v>7.731243</v>
      </c>
      <c r="D17540" s="7">
        <f>IFERROR(__xludf.DUMMYFUNCTION("""COMPUTED_VALUE"""),0.369565217391304)</f>
        <v>0.3695652174</v>
      </c>
    </row>
    <row r="17541">
      <c r="A17541" s="10" t="s">
        <v>18980</v>
      </c>
      <c r="B17541" s="7" t="str">
        <f>IFERROR(__xludf.DUMMYFUNCTION("SPLIT(A17541,"" "")"),"CNCc1cc(CN(Cc2ccccn2)c2ccc3ncccc3c2)ccn1")</f>
        <v>CNCc1cc(CN(Cc2ccccn2)c2ccc3ncccc3c2)ccn1</v>
      </c>
      <c r="C17541" s="7">
        <f>IFERROR(__xludf.DUMMYFUNCTION("""COMPUTED_VALUE"""),7.731243)</f>
        <v>7.731243</v>
      </c>
      <c r="D17541" s="7">
        <f>IFERROR(__xludf.DUMMYFUNCTION("""COMPUTED_VALUE"""),0.363636363636363)</f>
        <v>0.3636363636</v>
      </c>
    </row>
    <row r="17542">
      <c r="A17542" s="10" t="s">
        <v>18981</v>
      </c>
      <c r="B17542" s="7" t="str">
        <f>IFERROR(__xludf.DUMMYFUNCTION("SPLIT(A17542,"" "")"),"Cc1cccc(CN(C)Cc2ccc(-c3cccc(N=Cc4ccccn4)c3)nc2)n1")</f>
        <v>Cc1cccc(CN(C)Cc2ccc(-c3cccc(N=Cc4ccccn4)c3)nc2)n1</v>
      </c>
      <c r="C17542" s="7">
        <f>IFERROR(__xludf.DUMMYFUNCTION("""COMPUTED_VALUE"""),7.7312384)</f>
        <v>7.7312384</v>
      </c>
      <c r="D17542" s="7">
        <f>IFERROR(__xludf.DUMMYFUNCTION("""COMPUTED_VALUE"""),0.38095238095238)</f>
        <v>0.380952381</v>
      </c>
    </row>
    <row r="17543">
      <c r="A17543" s="10" t="s">
        <v>18982</v>
      </c>
      <c r="B17543" s="7" t="str">
        <f>IFERROR(__xludf.DUMMYFUNCTION("SPLIT(A17543,"" "")"),"CN(c1ccc2nc3c(cc2c1)CCC3)C1CCCC(N(C)c2ccc3nc4c(cc3c2)CCC4)C1")</f>
        <v>CN(c1ccc2nc3c(cc2c1)CCC3)C1CCCC(N(C)c2ccc3nc4c(cc3c2)CCC4)C1</v>
      </c>
      <c r="C17543" s="7">
        <f>IFERROR(__xludf.DUMMYFUNCTION("""COMPUTED_VALUE"""),7.731238)</f>
        <v>7.731238</v>
      </c>
      <c r="D17543" s="7">
        <f>IFERROR(__xludf.DUMMYFUNCTION("""COMPUTED_VALUE"""),0.433962264150943)</f>
        <v>0.4339622642</v>
      </c>
    </row>
    <row r="17544">
      <c r="A17544" s="10" t="s">
        <v>18983</v>
      </c>
      <c r="B17544" s="7" t="str">
        <f>IFERROR(__xludf.DUMMYFUNCTION("SPLIT(A17544,"" "")"),"Cc1cncc(CN(C)Cc2ccc(-c3cccc(N=Cc4ccccn4)c3)cn2)c1")</f>
        <v>Cc1cncc(CN(C)Cc2ccc(-c3cccc(N=Cc4ccccn4)c3)cn2)c1</v>
      </c>
      <c r="C17544" s="7">
        <f>IFERROR(__xludf.DUMMYFUNCTION("""COMPUTED_VALUE"""),7.731231)</f>
        <v>7.731231</v>
      </c>
      <c r="D17544" s="7">
        <f>IFERROR(__xludf.DUMMYFUNCTION("""COMPUTED_VALUE"""),0.338461538461538)</f>
        <v>0.3384615385</v>
      </c>
    </row>
    <row r="17545">
      <c r="A17545" s="10" t="s">
        <v>18984</v>
      </c>
      <c r="B17545" s="7" t="str">
        <f>IFERROR(__xludf.DUMMYFUNCTION("SPLIT(A17545,"" "")"),"CCN=Cc1ccc2ncccc2c1")</f>
        <v>CCN=Cc1ccc2ncccc2c1</v>
      </c>
      <c r="C17545" s="7">
        <f>IFERROR(__xludf.DUMMYFUNCTION("""COMPUTED_VALUE"""),7.73123)</f>
        <v>7.73123</v>
      </c>
      <c r="D17545" s="7">
        <f>IFERROR(__xludf.DUMMYFUNCTION("""COMPUTED_VALUE"""),0.282608695652173)</f>
        <v>0.2826086957</v>
      </c>
    </row>
    <row r="17546">
      <c r="A17546" s="10" t="s">
        <v>18985</v>
      </c>
      <c r="B17546" s="7" t="str">
        <f>IFERROR(__xludf.DUMMYFUNCTION("SPLIT(A17546,"" "")"),"CNCCN(C)c1cccc2ncccc12")</f>
        <v>CNCCN(C)c1cccc2ncccc12</v>
      </c>
      <c r="C17546" s="7">
        <f>IFERROR(__xludf.DUMMYFUNCTION("""COMPUTED_VALUE"""),7.7312284)</f>
        <v>7.7312284</v>
      </c>
      <c r="D17546" s="7">
        <f>IFERROR(__xludf.DUMMYFUNCTION("""COMPUTED_VALUE"""),0.48780487804878)</f>
        <v>0.487804878</v>
      </c>
    </row>
    <row r="17547">
      <c r="A17547" s="10" t="s">
        <v>18986</v>
      </c>
      <c r="B17547" s="7" t="str">
        <f>IFERROR(__xludf.DUMMYFUNCTION("SPLIT(A17547,"" "")"),"CN(CCNc1ccc2nc3c(cc2c1)CCC3)Cc1ccc2ccccc2n1")</f>
        <v>CN(CCNc1ccc2nc3c(cc2c1)CCC3)Cc1ccc2ccccc2n1</v>
      </c>
      <c r="C17547" s="7">
        <f>IFERROR(__xludf.DUMMYFUNCTION("""COMPUTED_VALUE"""),7.7312274)</f>
        <v>7.7312274</v>
      </c>
      <c r="D17547" s="7">
        <f>IFERROR(__xludf.DUMMYFUNCTION("""COMPUTED_VALUE"""),0.392156862745098)</f>
        <v>0.3921568627</v>
      </c>
    </row>
    <row r="17548">
      <c r="A17548" s="10" t="s">
        <v>18987</v>
      </c>
      <c r="B17548" s="7" t="str">
        <f>IFERROR(__xludf.DUMMYFUNCTION("SPLIT(A17548,"" "")"),"Cc1ccc(CN(C)Cc2cccc(-c3ccccc3N=Cc3ccccn3)n2)nc1")</f>
        <v>Cc1ccc(CN(C)Cc2cccc(-c3ccccc3N=Cc3ccccn3)n2)nc1</v>
      </c>
      <c r="C17548" s="7">
        <f>IFERROR(__xludf.DUMMYFUNCTION("""COMPUTED_VALUE"""),7.7312245)</f>
        <v>7.7312245</v>
      </c>
      <c r="D17548" s="7">
        <f>IFERROR(__xludf.DUMMYFUNCTION("""COMPUTED_VALUE"""),0.482142857142857)</f>
        <v>0.4821428571</v>
      </c>
    </row>
    <row r="17549">
      <c r="A17549" s="10" t="s">
        <v>18988</v>
      </c>
      <c r="B17549" s="7" t="str">
        <f>IFERROR(__xludf.DUMMYFUNCTION("SPLIT(A17549,"" "")"),"Cc1nccc(CN(C)CCN(C)c2cccc3nccc(C)c23)c1C")</f>
        <v>Cc1nccc(CN(C)CCN(C)c2cccc3nccc(C)c23)c1C</v>
      </c>
      <c r="C17549" s="7">
        <f>IFERROR(__xludf.DUMMYFUNCTION("""COMPUTED_VALUE"""),7.731198)</f>
        <v>7.731198</v>
      </c>
      <c r="D17549" s="7">
        <f>IFERROR(__xludf.DUMMYFUNCTION("""COMPUTED_VALUE"""),0.358490566037735)</f>
        <v>0.358490566</v>
      </c>
    </row>
    <row r="17550">
      <c r="A17550" s="10" t="s">
        <v>18989</v>
      </c>
      <c r="B17550" s="7" t="str">
        <f>IFERROR(__xludf.DUMMYFUNCTION("SPLIT(A17550,"" "")"),"CN(Cc1ccccn1)Cc1ncccc1-c1cccc(N=Cc2ccccn2)c1")</f>
        <v>CN(Cc1ccccn1)Cc1ncccc1-c1cccc(N=Cc2ccccn2)c1</v>
      </c>
      <c r="C17550" s="7">
        <f>IFERROR(__xludf.DUMMYFUNCTION("""COMPUTED_VALUE"""),7.7311974)</f>
        <v>7.7311974</v>
      </c>
      <c r="D17550" s="7">
        <f>IFERROR(__xludf.DUMMYFUNCTION("""COMPUTED_VALUE"""),0.403508771929824)</f>
        <v>0.4035087719</v>
      </c>
    </row>
    <row r="17551">
      <c r="A17551" s="10" t="s">
        <v>18990</v>
      </c>
      <c r="B17551" s="7" t="str">
        <f>IFERROR(__xludf.DUMMYFUNCTION("SPLIT(A17551,"" "")"),"Cc1ccc(CN(C)CC2=CC(N(C)c3ccc4ncccc4c3)C=CN2)nc1")</f>
        <v>Cc1ccc(CN(C)CC2=CC(N(C)c3ccc4ncccc4c3)C=CN2)nc1</v>
      </c>
      <c r="C17551" s="7">
        <f>IFERROR(__xludf.DUMMYFUNCTION("""COMPUTED_VALUE"""),7.7311974)</f>
        <v>7.7311974</v>
      </c>
      <c r="D17551" s="7">
        <f>IFERROR(__xludf.DUMMYFUNCTION("""COMPUTED_VALUE"""),0.379310344827586)</f>
        <v>0.3793103448</v>
      </c>
    </row>
    <row r="17552">
      <c r="A17552" s="10" t="s">
        <v>18991</v>
      </c>
      <c r="B17552" s="7" t="str">
        <f>IFERROR(__xludf.DUMMYFUNCTION("SPLIT(A17552,"" "")"),"Cc1ccccc1C1(C)N=COC1c1cc(C2=NC(C)(C)CO2)ccn1")</f>
        <v>Cc1ccccc1C1(C)N=COC1c1cc(C2=NC(C)(C)CO2)ccn1</v>
      </c>
      <c r="C17552" s="7">
        <f>IFERROR(__xludf.DUMMYFUNCTION("""COMPUTED_VALUE"""),7.7311788)</f>
        <v>7.7311788</v>
      </c>
      <c r="D17552" s="7">
        <f>IFERROR(__xludf.DUMMYFUNCTION("""COMPUTED_VALUE"""),0.357142857142857)</f>
        <v>0.3571428571</v>
      </c>
    </row>
    <row r="17553">
      <c r="A17553" s="10" t="s">
        <v>18992</v>
      </c>
      <c r="B17553" s="7" t="str">
        <f>IFERROR(__xludf.DUMMYFUNCTION("SPLIT(A17553,"" "")"),"CNCCN(Cc1ccccn1)c1cccc2nccc(C)c12")</f>
        <v>CNCCN(Cc1ccccn1)c1cccc2nccc(C)c12</v>
      </c>
      <c r="C17553" s="7">
        <f>IFERROR(__xludf.DUMMYFUNCTION("""COMPUTED_VALUE"""),7.731168)</f>
        <v>7.731168</v>
      </c>
      <c r="D17553" s="7">
        <f>IFERROR(__xludf.DUMMYFUNCTION("""COMPUTED_VALUE"""),0.392156862745098)</f>
        <v>0.3921568627</v>
      </c>
    </row>
    <row r="17554">
      <c r="A17554" s="10" t="s">
        <v>18993</v>
      </c>
      <c r="B17554" s="7" t="str">
        <f>IFERROR(__xludf.DUMMYFUNCTION("SPLIT(A17554,"" "")"),"CN(c1ccc2cc3c(nc2c1)CCC3)C1CCC(N(C)c2cccc3nc4c(cc23)CCC4)CC1")</f>
        <v>CN(c1ccc2cc3c(nc2c1)CCC3)C1CCC(N(C)c2cccc3nc4c(cc23)CCC4)CC1</v>
      </c>
      <c r="C17554" s="7">
        <f>IFERROR(__xludf.DUMMYFUNCTION("""COMPUTED_VALUE"""),7.7311654)</f>
        <v>7.7311654</v>
      </c>
      <c r="D17554" s="7">
        <f>IFERROR(__xludf.DUMMYFUNCTION("""COMPUTED_VALUE"""),0.473684210526315)</f>
        <v>0.4736842105</v>
      </c>
    </row>
    <row r="17555">
      <c r="A17555" s="10" t="s">
        <v>18994</v>
      </c>
      <c r="B17555" s="7" t="str">
        <f>IFERROR(__xludf.DUMMYFUNCTION("SPLIT(A17555,"" "")"),"CN(CC1=CCC=C(N(C)Cc2ccccn2)N1)Cc1cccc2ncccc12")</f>
        <v>CN(CC1=CCC=C(N(C)Cc2ccccn2)N1)Cc1cccc2ncccc12</v>
      </c>
      <c r="C17555" s="7">
        <f>IFERROR(__xludf.DUMMYFUNCTION("""COMPUTED_VALUE"""),7.731164)</f>
        <v>7.731164</v>
      </c>
      <c r="D17555" s="7">
        <f>IFERROR(__xludf.DUMMYFUNCTION("""COMPUTED_VALUE"""),0.372881355932203)</f>
        <v>0.3728813559</v>
      </c>
    </row>
    <row r="17556">
      <c r="A17556" s="10" t="s">
        <v>18995</v>
      </c>
      <c r="B17556" s="7" t="str">
        <f>IFERROR(__xludf.DUMMYFUNCTION("SPLIT(A17556,"" "")"),"Cc1cnc2ccc(N(C)CCN(C)Cc3nc(C)c(C)c(C)c3C)cc2c1")</f>
        <v>Cc1cnc2ccc(N(C)CCN(C)Cc3nc(C)c(C)c(C)c3C)cc2c1</v>
      </c>
      <c r="C17556" s="7">
        <f>IFERROR(__xludf.DUMMYFUNCTION("""COMPUTED_VALUE"""),7.731163)</f>
        <v>7.731163</v>
      </c>
      <c r="D17556" s="7">
        <f>IFERROR(__xludf.DUMMYFUNCTION("""COMPUTED_VALUE"""),0.352941176470588)</f>
        <v>0.3529411765</v>
      </c>
    </row>
    <row r="17557">
      <c r="A17557" s="10" t="s">
        <v>18996</v>
      </c>
      <c r="B17557" s="7" t="str">
        <f>IFERROR(__xludf.DUMMYFUNCTION("SPLIT(A17557,"" "")"),"Cc1cc(CN(Cc2cc(C)c(C)c(C)n2)Cc2ccnc3ccccc23)nc(C)c1C")</f>
        <v>Cc1cc(CN(Cc2cc(C)c(C)c(C)n2)Cc2ccnc3ccccc23)nc(C)c1C</v>
      </c>
      <c r="C17557" s="7">
        <f>IFERROR(__xludf.DUMMYFUNCTION("""COMPUTED_VALUE"""),7.731163)</f>
        <v>7.731163</v>
      </c>
      <c r="D17557" s="7">
        <f>IFERROR(__xludf.DUMMYFUNCTION("""COMPUTED_VALUE"""),0.352941176470588)</f>
        <v>0.3529411765</v>
      </c>
    </row>
    <row r="17558">
      <c r="A17558" s="10" t="s">
        <v>18997</v>
      </c>
      <c r="B17558" s="7" t="str">
        <f>IFERROR(__xludf.DUMMYFUNCTION("SPLIT(A17558,"" "")"),"Cc1cccnc1CN(Cc1ccccn1)Cc1cccc(-c2cc(N(CCN(C)Cc3nc(C)c(C)c(C)c3C)Cc3ccccn3)cc3ncccc23)n1")</f>
        <v>Cc1cccnc1CN(Cc1ccccn1)Cc1cccc(-c2cc(N(CCN(C)Cc3nc(C)c(C)c(C)c3C)Cc3ccccn3)cc3ncccc23)n1</v>
      </c>
      <c r="C17558" s="7">
        <f>IFERROR(__xludf.DUMMYFUNCTION("""COMPUTED_VALUE"""),7.731148)</f>
        <v>7.731148</v>
      </c>
      <c r="D17558" s="7">
        <f>IFERROR(__xludf.DUMMYFUNCTION("""COMPUTED_VALUE"""),0.356164383561643)</f>
        <v>0.3561643836</v>
      </c>
    </row>
    <row r="17559">
      <c r="A17559" s="10" t="s">
        <v>18998</v>
      </c>
      <c r="B17559" s="7" t="str">
        <f>IFERROR(__xludf.DUMMYFUNCTION("SPLIT(A17559,"" "")"),"Cc1ccc2ncccc2c1N(Cc1ccccn1)C1CCCCC1N(C)c1cccc2ncccc12")</f>
        <v>Cc1ccc2ncccc2c1N(Cc1ccccn1)C1CCCCC1N(C)c1cccc2ncccc12</v>
      </c>
      <c r="C17559" s="7">
        <f>IFERROR(__xludf.DUMMYFUNCTION("""COMPUTED_VALUE"""),7.731147)</f>
        <v>7.731147</v>
      </c>
      <c r="D17559" s="7">
        <f>IFERROR(__xludf.DUMMYFUNCTION("""COMPUTED_VALUE"""),0.456140350877192)</f>
        <v>0.4561403509</v>
      </c>
    </row>
    <row r="17560">
      <c r="A17560" s="10" t="s">
        <v>18999</v>
      </c>
      <c r="B17560" s="7" t="str">
        <f>IFERROR(__xludf.DUMMYFUNCTION("SPLIT(A17560,"" "")"),"Cc1cnccc1CN(C)Cc1cccc(-c2ccccc2N=Cc2ccccn2)n1")</f>
        <v>Cc1cnccc1CN(C)Cc1cccc(-c2ccccc2N=Cc2ccccn2)n1</v>
      </c>
      <c r="C17560" s="7">
        <f>IFERROR(__xludf.DUMMYFUNCTION("""COMPUTED_VALUE"""),7.731145)</f>
        <v>7.731145</v>
      </c>
      <c r="D17560" s="7">
        <f>IFERROR(__xludf.DUMMYFUNCTION("""COMPUTED_VALUE"""),0.433333333333333)</f>
        <v>0.4333333333</v>
      </c>
    </row>
    <row r="17561">
      <c r="A17561" s="10" t="s">
        <v>19000</v>
      </c>
      <c r="B17561" s="7" t="str">
        <f>IFERROR(__xludf.DUMMYFUNCTION("SPLIT(A17561,"" "")"),"CN(Cc1cc(-c2ccc3ncccc3c2)ccn1)C1CCCCC1N(C)c1ccc2ncccc2c1")</f>
        <v>CN(Cc1cc(-c2ccc3ncccc3c2)ccn1)C1CCCCC1N(C)c1ccc2ncccc2c1</v>
      </c>
      <c r="C17561" s="7">
        <f>IFERROR(__xludf.DUMMYFUNCTION("""COMPUTED_VALUE"""),7.731144)</f>
        <v>7.731144</v>
      </c>
      <c r="D17561" s="7">
        <f>IFERROR(__xludf.DUMMYFUNCTION("""COMPUTED_VALUE"""),0.490566037735849)</f>
        <v>0.4905660377</v>
      </c>
    </row>
    <row r="17562">
      <c r="A17562" s="10" t="s">
        <v>19001</v>
      </c>
      <c r="B17562" s="7" t="str">
        <f>IFERROR(__xludf.DUMMYFUNCTION("SPLIT(A17562,"" "")"),"Cc1ccnc(CN(C)CCN(C)c2ccc3nccc(C)c3c2)c1C")</f>
        <v>Cc1ccnc(CN(C)CCN(C)c2ccc3nccc(C)c3c2)c1C</v>
      </c>
      <c r="C17562" s="7">
        <f>IFERROR(__xludf.DUMMYFUNCTION("""COMPUTED_VALUE"""),7.731134)</f>
        <v>7.731134</v>
      </c>
      <c r="D17562" s="7">
        <f>IFERROR(__xludf.DUMMYFUNCTION("""COMPUTED_VALUE"""),0.294117647058823)</f>
        <v>0.2941176471</v>
      </c>
    </row>
    <row r="17563">
      <c r="A17563" s="10" t="s">
        <v>19002</v>
      </c>
      <c r="B17563" s="7" t="str">
        <f>IFERROR(__xludf.DUMMYFUNCTION("SPLIT(A17563,"" "")"),"CN(Cc1cccc(F)n1)Cc1cccc(-c2cccc(N=Cc3ccccn3)c2)n1")</f>
        <v>CN(Cc1cccc(F)n1)Cc1cccc(-c2cccc(N=Cc3ccccn3)c2)n1</v>
      </c>
      <c r="C17563" s="7">
        <f>IFERROR(__xludf.DUMMYFUNCTION("""COMPUTED_VALUE"""),7.7311316)</f>
        <v>7.7311316</v>
      </c>
      <c r="D17563" s="7">
        <f>IFERROR(__xludf.DUMMYFUNCTION("""COMPUTED_VALUE"""),0.472727272727272)</f>
        <v>0.4727272727</v>
      </c>
    </row>
    <row r="17564">
      <c r="A17564" s="10" t="s">
        <v>19003</v>
      </c>
      <c r="B17564" s="7" t="str">
        <f>IFERROR(__xludf.DUMMYFUNCTION("SPLIT(A17564,"" "")"),"Cc1cc(C)nc(CN(C)CCN(C)Cc2cc(-c3cccc4ncccc34)ccn2)c1")</f>
        <v>Cc1cc(C)nc(CN(C)CCN(C)Cc2cc(-c3cccc4ncccc34)ccn2)c1</v>
      </c>
      <c r="C17564" s="7">
        <f>IFERROR(__xludf.DUMMYFUNCTION("""COMPUTED_VALUE"""),7.731131)</f>
        <v>7.731131</v>
      </c>
      <c r="D17564" s="7">
        <f>IFERROR(__xludf.DUMMYFUNCTION("""COMPUTED_VALUE"""),0.396226415094339)</f>
        <v>0.3962264151</v>
      </c>
    </row>
    <row r="17565">
      <c r="A17565" s="10" t="s">
        <v>19004</v>
      </c>
      <c r="B17565" s="7" t="str">
        <f>IFERROR(__xludf.DUMMYFUNCTION("SPLIT(A17565,"" "")"),"Cc1ccc(C(C)(C)c2cc(NCc3ccccn3)ccn2)cc1N=Cc1ccccn1")</f>
        <v>Cc1ccc(C(C)(C)c2cc(NCc3ccccn3)ccn2)cc1N=Cc1ccccn1</v>
      </c>
      <c r="C17565" s="7">
        <f>IFERROR(__xludf.DUMMYFUNCTION("""COMPUTED_VALUE"""),7.7311177)</f>
        <v>7.7311177</v>
      </c>
      <c r="D17565" s="7">
        <f>IFERROR(__xludf.DUMMYFUNCTION("""COMPUTED_VALUE"""),0.393442622950819)</f>
        <v>0.393442623</v>
      </c>
    </row>
    <row r="17566">
      <c r="A17566" s="10" t="s">
        <v>19005</v>
      </c>
      <c r="B17566" s="7" t="str">
        <f>IFERROR(__xludf.DUMMYFUNCTION("SPLIT(A17566,"" "")"),"Cc1cccc(CN(C)Cc2cccc(-c3ccc(N=Cc4ccccn4)cc3)n2)n1")</f>
        <v>Cc1cccc(CN(C)Cc2cccc(-c3ccc(N=Cc4ccccn4)cc3)n2)n1</v>
      </c>
      <c r="C17566" s="7">
        <f>IFERROR(__xludf.DUMMYFUNCTION("""COMPUTED_VALUE"""),7.7311053)</f>
        <v>7.7311053</v>
      </c>
      <c r="D17566" s="7">
        <f>IFERROR(__xludf.DUMMYFUNCTION("""COMPUTED_VALUE"""),0.490566037735849)</f>
        <v>0.4905660377</v>
      </c>
    </row>
    <row r="17567">
      <c r="A17567" s="10" t="s">
        <v>19006</v>
      </c>
      <c r="B17567" s="7" t="str">
        <f>IFERROR(__xludf.DUMMYFUNCTION("SPLIT(A17567,"" "")"),"CN(CCF)c1ccc2ncccc2c1")</f>
        <v>CN(CCF)c1ccc2ncccc2c1</v>
      </c>
      <c r="C17567" s="7">
        <f>IFERROR(__xludf.DUMMYFUNCTION("""COMPUTED_VALUE"""),7.7311044)</f>
        <v>7.7311044</v>
      </c>
      <c r="D17567" s="7">
        <f>IFERROR(__xludf.DUMMYFUNCTION("""COMPUTED_VALUE"""),0.404761904761904)</f>
        <v>0.4047619048</v>
      </c>
    </row>
    <row r="17568">
      <c r="A17568" s="10" t="s">
        <v>19007</v>
      </c>
      <c r="B17568" s="7" t="str">
        <f>IFERROR(__xludf.DUMMYFUNCTION("SPLIT(A17568,"" "")"),"CN(Cc1cnc2ccc(N(C)Cc3ccccn3)cc2c1)Cc1ccccn1")</f>
        <v>CN(Cc1cnc2ccc(N(C)Cc3ccccn3)cc2c1)Cc1ccccn1</v>
      </c>
      <c r="C17568" s="7">
        <f>IFERROR(__xludf.DUMMYFUNCTION("""COMPUTED_VALUE"""),7.731102)</f>
        <v>7.731102</v>
      </c>
      <c r="D17568" s="7">
        <f>IFERROR(__xludf.DUMMYFUNCTION("""COMPUTED_VALUE"""),0.46)</f>
        <v>0.46</v>
      </c>
    </row>
    <row r="17569">
      <c r="A17569" s="10" t="s">
        <v>19008</v>
      </c>
      <c r="B17569" s="7" t="str">
        <f>IFERROR(__xludf.DUMMYFUNCTION("SPLIT(A17569,"" "")"),"CC(C)(C)c1ccnc(-c2ccc(N(Cc3ccccn3)C3C=CC=CN3)cc2)c1")</f>
        <v>CC(C)(C)c1ccnc(-c2ccc(N(Cc3ccccn3)C3C=CC=CN3)cc2)c1</v>
      </c>
      <c r="C17569" s="7">
        <f>IFERROR(__xludf.DUMMYFUNCTION("""COMPUTED_VALUE"""),7.7310877)</f>
        <v>7.7310877</v>
      </c>
      <c r="D17569" s="7">
        <f>IFERROR(__xludf.DUMMYFUNCTION("""COMPUTED_VALUE"""),0.419354838709677)</f>
        <v>0.4193548387</v>
      </c>
    </row>
    <row r="17570">
      <c r="A17570" s="10" t="s">
        <v>19009</v>
      </c>
      <c r="B17570" s="7" t="str">
        <f>IFERROR(__xludf.DUMMYFUNCTION("SPLIT(A17570,"" "")"),"CN(Cc1ccccn1)Cc1ncccc1-c1ccc(N=Cc2ccccn2)cc1")</f>
        <v>CN(Cc1ccccn1)Cc1ncccc1-c1ccc(N=Cc2ccccn2)cc1</v>
      </c>
      <c r="C17570" s="7">
        <f>IFERROR(__xludf.DUMMYFUNCTION("""COMPUTED_VALUE"""),7.7310815)</f>
        <v>7.7310815</v>
      </c>
      <c r="D17570" s="7">
        <f>IFERROR(__xludf.DUMMYFUNCTION("""COMPUTED_VALUE"""),0.4)</f>
        <v>0.4</v>
      </c>
    </row>
    <row r="17571">
      <c r="A17571" s="10" t="s">
        <v>19010</v>
      </c>
      <c r="B17571" s="7" t="str">
        <f>IFERROR(__xludf.DUMMYFUNCTION("SPLIT(A17571,"" "")"),"CN(c1ccc2cccnc2c1)C1C2CCC1C(N(Cc1ccccn1)c1ccc3cccnc3c1)C2")</f>
        <v>CN(c1ccc2cccnc2c1)C1C2CCC1C(N(Cc1ccccn1)c1ccc3cccnc3c1)C2</v>
      </c>
      <c r="C17571" s="7">
        <f>IFERROR(__xludf.DUMMYFUNCTION("""COMPUTED_VALUE"""),7.731079)</f>
        <v>7.731079</v>
      </c>
      <c r="D17571" s="7">
        <f>IFERROR(__xludf.DUMMYFUNCTION("""COMPUTED_VALUE"""),0.389830508474576)</f>
        <v>0.3898305085</v>
      </c>
    </row>
    <row r="17572">
      <c r="A17572" s="10" t="s">
        <v>19011</v>
      </c>
      <c r="B17572" s="7" t="str">
        <f>IFERROR(__xludf.DUMMYFUNCTION("SPLIT(A17572,"" "")"),"Cc1cccc(-c2cccc(NCc3cccc(C(C)(C)c4ccccn4)n3)c2)n1")</f>
        <v>Cc1cccc(-c2cccc(NCc3cccc(C(C)(C)c4ccccn4)n3)c2)n1</v>
      </c>
      <c r="C17572" s="7">
        <f>IFERROR(__xludf.DUMMYFUNCTION("""COMPUTED_VALUE"""),7.7310734)</f>
        <v>7.7310734</v>
      </c>
      <c r="D17572" s="7">
        <f>IFERROR(__xludf.DUMMYFUNCTION("""COMPUTED_VALUE"""),0.370967741935483)</f>
        <v>0.3709677419</v>
      </c>
    </row>
    <row r="17573">
      <c r="A17573" s="10" t="s">
        <v>19012</v>
      </c>
      <c r="B17573" s="7" t="str">
        <f>IFERROR(__xludf.DUMMYFUNCTION("SPLIT(A17573,"" "")"),"Cc1cccnc1CNCN(C)c1ccc2ncccc2c1")</f>
        <v>Cc1cccnc1CNCN(C)c1ccc2ncccc2c1</v>
      </c>
      <c r="C17573" s="7">
        <f>IFERROR(__xludf.DUMMYFUNCTION("""COMPUTED_VALUE"""),7.7310677)</f>
        <v>7.7310677</v>
      </c>
      <c r="D17573" s="7">
        <f>IFERROR(__xludf.DUMMYFUNCTION("""COMPUTED_VALUE"""),0.313725490196078)</f>
        <v>0.3137254902</v>
      </c>
    </row>
    <row r="17574">
      <c r="A17574" s="10" t="s">
        <v>19013</v>
      </c>
      <c r="B17574" s="7" t="str">
        <f>IFERROR(__xludf.DUMMYFUNCTION("SPLIT(A17574,"" "")"),"CC(C)N(C)Cc1ccc2cc(N(C)C)ccc2n1")</f>
        <v>CC(C)N(C)Cc1ccc2cc(N(C)C)ccc2n1</v>
      </c>
      <c r="C17574" s="7">
        <f>IFERROR(__xludf.DUMMYFUNCTION("""COMPUTED_VALUE"""),7.731062)</f>
        <v>7.731062</v>
      </c>
      <c r="D17574" s="7">
        <f>IFERROR(__xludf.DUMMYFUNCTION("""COMPUTED_VALUE"""),0.375)</f>
        <v>0.375</v>
      </c>
    </row>
    <row r="17575">
      <c r="A17575" s="10" t="s">
        <v>19014</v>
      </c>
      <c r="B17575" s="7" t="str">
        <f>IFERROR(__xludf.DUMMYFUNCTION("SPLIT(A17575,"" "")"),"Cc1ccc(CN(C)CC2=C(N(C)c3ccc4nc(CF)ccc4c3)CC=CN2)nc1")</f>
        <v>Cc1ccc(CN(C)CC2=C(N(C)c3ccc4nc(CF)ccc4c3)CC=CN2)nc1</v>
      </c>
      <c r="C17575" s="7">
        <f>IFERROR(__xludf.DUMMYFUNCTION("""COMPUTED_VALUE"""),7.7310605)</f>
        <v>7.7310605</v>
      </c>
      <c r="D17575" s="7">
        <f>IFERROR(__xludf.DUMMYFUNCTION("""COMPUTED_VALUE"""),0.403508771929824)</f>
        <v>0.4035087719</v>
      </c>
    </row>
    <row r="17576">
      <c r="A17576" s="10" t="s">
        <v>19015</v>
      </c>
      <c r="B17576" s="7" t="str">
        <f>IFERROR(__xludf.DUMMYFUNCTION("SPLIT(A17576,"" "")"),"Cc1ccnc(CN(C)Cc2cc(-c3ccccc3N(C)C)ccn2)c1C")</f>
        <v>Cc1ccnc(CN(C)Cc2cc(-c3ccccc3N(C)C)ccn2)c1C</v>
      </c>
      <c r="C17576" s="7">
        <f>IFERROR(__xludf.DUMMYFUNCTION("""COMPUTED_VALUE"""),7.7310534)</f>
        <v>7.7310534</v>
      </c>
      <c r="D17576" s="7">
        <f>IFERROR(__xludf.DUMMYFUNCTION("""COMPUTED_VALUE"""),0.321428571428571)</f>
        <v>0.3214285714</v>
      </c>
    </row>
    <row r="17577">
      <c r="A17577" s="10" t="s">
        <v>19016</v>
      </c>
      <c r="B17577" s="7" t="str">
        <f>IFERROR(__xludf.DUMMYFUNCTION("SPLIT(A17577,"" "")"),"CN(c1ccc2ncccc2c1)C1C2CCC1C(N(Cc1ccccn1)c1ccc3cccnc3c1)C2")</f>
        <v>CN(c1ccc2ncccc2c1)C1C2CCC1C(N(Cc1ccccn1)c1ccc3cccnc3c1)C2</v>
      </c>
      <c r="C17577" s="7">
        <f>IFERROR(__xludf.DUMMYFUNCTION("""COMPUTED_VALUE"""),7.731048)</f>
        <v>7.731048</v>
      </c>
      <c r="D17577" s="7">
        <f>IFERROR(__xludf.DUMMYFUNCTION("""COMPUTED_VALUE"""),0.370967741935483)</f>
        <v>0.3709677419</v>
      </c>
    </row>
    <row r="17578">
      <c r="A17578" s="10" t="s">
        <v>19017</v>
      </c>
      <c r="B17578" s="7" t="str">
        <f>IFERROR(__xludf.DUMMYFUNCTION("SPLIT(A17578,"" "")"),"Cc1cncc(CN(C)Cc2cccnc2-c2cccc(N=Cc3ccccn3)c2)c1")</f>
        <v>Cc1cncc(CN(C)Cc2cccnc2-c2cccc(N=Cc3ccccn3)c2)c1</v>
      </c>
      <c r="C17578" s="7">
        <f>IFERROR(__xludf.DUMMYFUNCTION("""COMPUTED_VALUE"""),7.731044)</f>
        <v>7.731044</v>
      </c>
      <c r="D17578" s="7">
        <f>IFERROR(__xludf.DUMMYFUNCTION("""COMPUTED_VALUE"""),0.338461538461538)</f>
        <v>0.3384615385</v>
      </c>
    </row>
    <row r="17579">
      <c r="A17579" s="10" t="s">
        <v>19018</v>
      </c>
      <c r="B17579" s="7" t="str">
        <f>IFERROR(__xludf.DUMMYFUNCTION("SPLIT(A17579,"" "")"),"Cc1cc(C)c(N(C)Cc2ccncc2C)c(N(C)Cc2ccccn2)c1")</f>
        <v>Cc1cc(C)c(N(C)Cc2ccncc2C)c(N(C)Cc2ccccn2)c1</v>
      </c>
      <c r="C17579" s="7">
        <f>IFERROR(__xludf.DUMMYFUNCTION("""COMPUTED_VALUE"""),7.731039)</f>
        <v>7.731039</v>
      </c>
      <c r="D17579" s="7">
        <f>IFERROR(__xludf.DUMMYFUNCTION("""COMPUTED_VALUE"""),0.489795918367346)</f>
        <v>0.4897959184</v>
      </c>
    </row>
    <row r="17580">
      <c r="A17580" s="10" t="s">
        <v>19019</v>
      </c>
      <c r="B17580" s="7" t="str">
        <f>IFERROR(__xludf.DUMMYFUNCTION("SPLIT(A17580,"" "")"),"CCN(Cc1ccccn1)c1ccc2nccc(CN(C)Cc3nc(C)ccc3C)c2c1")</f>
        <v>CCN(Cc1ccccn1)c1ccc2nccc(CN(C)Cc3nc(C)ccc3C)c2c1</v>
      </c>
      <c r="C17580" s="7">
        <f>IFERROR(__xludf.DUMMYFUNCTION("""COMPUTED_VALUE"""),7.731038)</f>
        <v>7.731038</v>
      </c>
      <c r="D17580" s="7">
        <f>IFERROR(__xludf.DUMMYFUNCTION("""COMPUTED_VALUE"""),0.365079365079365)</f>
        <v>0.3650793651</v>
      </c>
    </row>
    <row r="17581">
      <c r="A17581" s="10" t="s">
        <v>19020</v>
      </c>
      <c r="B17581" s="7" t="str">
        <f>IFERROR(__xludf.DUMMYFUNCTION("SPLIT(A17581,"" "")"),"CN(c1ccc2cccnc2c1)C1C2CCC1C(N(Cc1ccccn1)c1ccc3ncccc3c1)C2")</f>
        <v>CN(c1ccc2cccnc2c1)C1C2CCC1C(N(Cc1ccccn1)c1ccc3ncccc3c1)C2</v>
      </c>
      <c r="C17581" s="7">
        <f>IFERROR(__xludf.DUMMYFUNCTION("""COMPUTED_VALUE"""),7.731036)</f>
        <v>7.731036</v>
      </c>
      <c r="D17581" s="7">
        <f>IFERROR(__xludf.DUMMYFUNCTION("""COMPUTED_VALUE"""),0.370967741935483)</f>
        <v>0.3709677419</v>
      </c>
    </row>
    <row r="17582">
      <c r="A17582" s="10" t="s">
        <v>19021</v>
      </c>
      <c r="B17582" s="7" t="str">
        <f>IFERROR(__xludf.DUMMYFUNCTION("SPLIT(A17582,"" "")"),"Cc1ccc(CN(C)c2cc(C)c(-c3cc(CN(Cc4ccccn4)Cc4ncccc4C)ccn3)cc2C)nc1")</f>
        <v>Cc1ccc(CN(C)c2cc(C)c(-c3cc(CN(Cc4ccccn4)Cc4ncccc4C)ccn3)cc2C)nc1</v>
      </c>
      <c r="C17582" s="7">
        <f>IFERROR(__xludf.DUMMYFUNCTION("""COMPUTED_VALUE"""),7.731032)</f>
        <v>7.731032</v>
      </c>
      <c r="D17582" s="7">
        <f>IFERROR(__xludf.DUMMYFUNCTION("""COMPUTED_VALUE"""),0.375)</f>
        <v>0.375</v>
      </c>
    </row>
    <row r="17583">
      <c r="A17583" s="10" t="s">
        <v>19022</v>
      </c>
      <c r="B17583" s="7" t="str">
        <f>IFERROR(__xludf.DUMMYFUNCTION("SPLIT(A17583,"" "")"),"CN(C)Cc1cnc2ccc(N(C)C(C)(C)C)cc2c1")</f>
        <v>CN(C)Cc1cnc2ccc(N(C)C(C)(C)C)cc2c1</v>
      </c>
      <c r="C17583" s="7">
        <f>IFERROR(__xludf.DUMMYFUNCTION("""COMPUTED_VALUE"""),7.73103)</f>
        <v>7.73103</v>
      </c>
      <c r="D17583" s="7">
        <f>IFERROR(__xludf.DUMMYFUNCTION("""COMPUTED_VALUE"""),0.224489795918367)</f>
        <v>0.2244897959</v>
      </c>
    </row>
    <row r="17584">
      <c r="A17584" s="10" t="s">
        <v>19023</v>
      </c>
      <c r="B17584" s="7" t="str">
        <f>IFERROR(__xludf.DUMMYFUNCTION("SPLIT(A17584,"" "")"),"CN(c1cccc2ncccc12)C1CCCCC1N(C)c1cccc2ncc(CF)cc12")</f>
        <v>CN(c1cccc2ncccc12)C1CCCCC1N(C)c1cccc2ncc(CF)cc12</v>
      </c>
      <c r="C17584" s="7">
        <f>IFERROR(__xludf.DUMMYFUNCTION("""COMPUTED_VALUE"""),7.7310295)</f>
        <v>7.7310295</v>
      </c>
      <c r="D17584" s="7">
        <f>IFERROR(__xludf.DUMMYFUNCTION("""COMPUTED_VALUE"""),0.471698113207547)</f>
        <v>0.4716981132</v>
      </c>
    </row>
    <row r="17585">
      <c r="A17585" s="10" t="s">
        <v>19024</v>
      </c>
      <c r="B17585" s="7" t="str">
        <f>IFERROR(__xludf.DUMMYFUNCTION("SPLIT(A17585,"" "")"),"Cc1ccc2nccc(CN(C)Cc3ccc(N)cn3)c2c1")</f>
        <v>Cc1ccc2nccc(CN(C)Cc3ccc(N)cn3)c2c1</v>
      </c>
      <c r="C17585" s="7">
        <f>IFERROR(__xludf.DUMMYFUNCTION("""COMPUTED_VALUE"""),7.731022)</f>
        <v>7.731022</v>
      </c>
      <c r="D17585" s="7">
        <f>IFERROR(__xludf.DUMMYFUNCTION("""COMPUTED_VALUE"""),0.425531914893617)</f>
        <v>0.4255319149</v>
      </c>
    </row>
    <row r="17586">
      <c r="A17586" s="10" t="s">
        <v>19025</v>
      </c>
      <c r="B17586" s="7" t="str">
        <f>IFERROR(__xludf.DUMMYFUNCTION("SPLIT(A17586,"" "")"),"Cc1cc(C)c(C)c(-c2ncccc2CN(C)Cc2nc(C)cc(C)c2C)c1")</f>
        <v>Cc1cc(C)c(C)c(-c2ncccc2CN(C)Cc2nc(C)cc(C)c2C)c1</v>
      </c>
      <c r="C17586" s="7">
        <f>IFERROR(__xludf.DUMMYFUNCTION("""COMPUTED_VALUE"""),7.7310176)</f>
        <v>7.7310176</v>
      </c>
      <c r="D17586" s="7">
        <f>IFERROR(__xludf.DUMMYFUNCTION("""COMPUTED_VALUE"""),0.351851851851851)</f>
        <v>0.3518518519</v>
      </c>
    </row>
    <row r="17587">
      <c r="A17587" s="10" t="s">
        <v>19026</v>
      </c>
      <c r="B17587" s="7" t="str">
        <f>IFERROR(__xludf.DUMMYFUNCTION("SPLIT(A17587,"" "")"),"Cc1cnc(CN(C)CCc2nc3ccccc3o2)c(C)c1C")</f>
        <v>Cc1cnc(CN(C)CCc2nc3ccccc3o2)c(C)c1C</v>
      </c>
      <c r="C17587" s="7">
        <f>IFERROR(__xludf.DUMMYFUNCTION("""COMPUTED_VALUE"""),7.731017)</f>
        <v>7.731017</v>
      </c>
      <c r="D17587" s="7">
        <f>IFERROR(__xludf.DUMMYFUNCTION("""COMPUTED_VALUE"""),0.307692307692307)</f>
        <v>0.3076923077</v>
      </c>
    </row>
    <row r="17588">
      <c r="A17588" s="10" t="s">
        <v>19027</v>
      </c>
      <c r="B17588" s="7" t="str">
        <f>IFERROR(__xludf.DUMMYFUNCTION("SPLIT(A17588,"" "")"),"CNc1ccccc1-c1cc(C(C)(C)C)ccn1")</f>
        <v>CNc1ccccc1-c1cc(C(C)(C)C)ccn1</v>
      </c>
      <c r="C17588" s="7">
        <f>IFERROR(__xludf.DUMMYFUNCTION("""COMPUTED_VALUE"""),7.731016)</f>
        <v>7.731016</v>
      </c>
      <c r="D17588" s="7">
        <f>IFERROR(__xludf.DUMMYFUNCTION("""COMPUTED_VALUE"""),0.235294117647058)</f>
        <v>0.2352941176</v>
      </c>
    </row>
    <row r="17589">
      <c r="A17589" s="10" t="s">
        <v>19028</v>
      </c>
      <c r="B17589" s="7" t="str">
        <f>IFERROR(__xludf.DUMMYFUNCTION("SPLIT(A17589,"" "")"),"CN(c1ccc2cc(CF)cnc2c1)C1CCC(N(C)c2cccc3nccc(CF)c23)CC1")</f>
        <v>CN(c1ccc2cc(CF)cnc2c1)C1CCC(N(C)c2cccc3nccc(CF)c23)CC1</v>
      </c>
      <c r="C17589" s="7">
        <f>IFERROR(__xludf.DUMMYFUNCTION("""COMPUTED_VALUE"""),7.7310157)</f>
        <v>7.7310157</v>
      </c>
      <c r="D17589" s="7">
        <f>IFERROR(__xludf.DUMMYFUNCTION("""COMPUTED_VALUE"""),0.304347826086956)</f>
        <v>0.3043478261</v>
      </c>
    </row>
    <row r="17590">
      <c r="A17590" s="10" t="s">
        <v>19029</v>
      </c>
      <c r="B17590" s="7" t="str">
        <f>IFERROR(__xludf.DUMMYFUNCTION("SPLIT(A17590,"" "")"),"CN(c1ccc2ncccc2c1)C1C2CCC1C(N(Cc1ccccn1)c1ccc3ncccc3c1)C2")</f>
        <v>CN(c1ccc2ncccc2c1)C1C2CCC1C(N(Cc1ccccn1)c1ccc3ncccc3c1)C2</v>
      </c>
      <c r="C17590" s="7">
        <f>IFERROR(__xludf.DUMMYFUNCTION("""COMPUTED_VALUE"""),7.7309957)</f>
        <v>7.7309957</v>
      </c>
      <c r="D17590" s="7">
        <f>IFERROR(__xludf.DUMMYFUNCTION("""COMPUTED_VALUE"""),0.396551724137931)</f>
        <v>0.3965517241</v>
      </c>
    </row>
    <row r="17591">
      <c r="A17591" s="10" t="s">
        <v>19030</v>
      </c>
      <c r="B17591" s="7" t="str">
        <f>IFERROR(__xludf.DUMMYFUNCTION("SPLIT(A17591,"" "")"),"Cc1cc(CN(C)CCN(C)c2ccc3nccc(C)c3c2)cnc1C")</f>
        <v>Cc1cc(CN(C)CCN(C)c2ccc3nccc(C)c3c2)cnc1C</v>
      </c>
      <c r="C17591" s="7">
        <f>IFERROR(__xludf.DUMMYFUNCTION("""COMPUTED_VALUE"""),7.730995)</f>
        <v>7.730995</v>
      </c>
      <c r="D17591" s="7">
        <f>IFERROR(__xludf.DUMMYFUNCTION("""COMPUTED_VALUE"""),0.30188679245283)</f>
        <v>0.3018867925</v>
      </c>
    </row>
    <row r="17592">
      <c r="A17592" s="10" t="s">
        <v>19031</v>
      </c>
      <c r="B17592" s="7" t="str">
        <f>IFERROR(__xludf.DUMMYFUNCTION("SPLIT(A17592,"" "")"),"CC(N)C(C)(c1cccnc1)N(C)Cc1ccc(N(C)c2ccc3cccnc3c2)cn1")</f>
        <v>CC(N)C(C)(c1cccnc1)N(C)Cc1ccc(N(C)c2ccc3cccnc3c2)cn1</v>
      </c>
      <c r="C17592" s="7">
        <f>IFERROR(__xludf.DUMMYFUNCTION("""COMPUTED_VALUE"""),7.730995)</f>
        <v>7.730995</v>
      </c>
      <c r="D17592" s="7">
        <f>IFERROR(__xludf.DUMMYFUNCTION("""COMPUTED_VALUE"""),0.307692307692307)</f>
        <v>0.3076923077</v>
      </c>
    </row>
    <row r="17593">
      <c r="A17593" s="10" t="s">
        <v>19032</v>
      </c>
      <c r="B17593" s="7" t="str">
        <f>IFERROR(__xludf.DUMMYFUNCTION("SPLIT(A17593,"" "")"),"Cc1cc(N(C)Cc2ccc(C)c(C)n2)ccc1-c1cc(CN(Cc2ccccn2)Cc2cc(C)c(C)c(C)n2)ccn1")</f>
        <v>Cc1cc(N(C)Cc2ccc(C)c(C)n2)ccc1-c1cc(CN(Cc2ccccn2)Cc2cc(C)c(C)c(C)n2)ccn1</v>
      </c>
      <c r="C17593" s="7">
        <f>IFERROR(__xludf.DUMMYFUNCTION("""COMPUTED_VALUE"""),7.730995)</f>
        <v>7.730995</v>
      </c>
      <c r="D17593" s="7">
        <f>IFERROR(__xludf.DUMMYFUNCTION("""COMPUTED_VALUE"""),0.363636363636363)</f>
        <v>0.3636363636</v>
      </c>
    </row>
    <row r="17594">
      <c r="A17594" s="10" t="s">
        <v>19033</v>
      </c>
      <c r="B17594" s="7" t="str">
        <f>IFERROR(__xludf.DUMMYFUNCTION("SPLIT(A17594,"" "")"),"CNCc1cccc(CN(Cc2ccccn2)c2ccc3ncccc3c2)n1")</f>
        <v>CNCc1cccc(CN(Cc2ccccn2)c2ccc3ncccc3c2)n1</v>
      </c>
      <c r="C17594" s="7">
        <f>IFERROR(__xludf.DUMMYFUNCTION("""COMPUTED_VALUE"""),7.7309833)</f>
        <v>7.7309833</v>
      </c>
      <c r="D17594" s="7">
        <f>IFERROR(__xludf.DUMMYFUNCTION("""COMPUTED_VALUE"""),0.423076923076923)</f>
        <v>0.4230769231</v>
      </c>
    </row>
    <row r="17595">
      <c r="A17595" s="10" t="s">
        <v>19034</v>
      </c>
      <c r="B17595" s="7" t="str">
        <f>IFERROR(__xludf.DUMMYFUNCTION("SPLIT(A17595,"" "")"),"CC(C)C(C)(c1cccnc1)c1cc(CN(Cc2ccccn2)c2ccc3ncccc3c2)ccn1")</f>
        <v>CC(C)C(C)(c1cccnc1)c1cc(CN(Cc2ccccn2)c2ccc3ncccc3c2)ccn1</v>
      </c>
      <c r="C17595" s="7">
        <f>IFERROR(__xludf.DUMMYFUNCTION("""COMPUTED_VALUE"""),7.730978)</f>
        <v>7.730978</v>
      </c>
      <c r="D17595" s="7">
        <f>IFERROR(__xludf.DUMMYFUNCTION("""COMPUTED_VALUE"""),0.307692307692307)</f>
        <v>0.3076923077</v>
      </c>
    </row>
    <row r="17596">
      <c r="A17596" s="10" t="s">
        <v>19035</v>
      </c>
      <c r="B17596" s="7" t="str">
        <f>IFERROR(__xludf.DUMMYFUNCTION("SPLIT(A17596,"" "")"),"Cc1cc(CN(C)CCN(C)c2ccc3c(CN(C)C)nccc3c2)nc(C)c1C")</f>
        <v>Cc1cc(CN(C)CCN(C)c2ccc3c(CN(C)C)nccc3c2)nc(C)c1C</v>
      </c>
      <c r="C17596" s="7">
        <f>IFERROR(__xludf.DUMMYFUNCTION("""COMPUTED_VALUE"""),7.7309723)</f>
        <v>7.7309723</v>
      </c>
      <c r="D17596" s="7">
        <f>IFERROR(__xludf.DUMMYFUNCTION("""COMPUTED_VALUE"""),0.303571428571428)</f>
        <v>0.3035714286</v>
      </c>
    </row>
    <row r="17597">
      <c r="A17597" s="10" t="s">
        <v>19036</v>
      </c>
      <c r="B17597" s="7" t="str">
        <f>IFERROR(__xludf.DUMMYFUNCTION("SPLIT(A17597,"" "")"),"CN(c1ccc2ccc(CF)nc2c1)C1CCC(N(C)c2cccc3c(CF)ccnc23)CC1")</f>
        <v>CN(c1ccc2ccc(CF)nc2c1)C1CCC(N(C)c2cccc3c(CF)ccnc23)CC1</v>
      </c>
      <c r="C17597" s="7">
        <f>IFERROR(__xludf.DUMMYFUNCTION("""COMPUTED_VALUE"""),7.7309713)</f>
        <v>7.7309713</v>
      </c>
      <c r="D17597" s="7">
        <f>IFERROR(__xludf.DUMMYFUNCTION("""COMPUTED_VALUE"""),0.435483870967741)</f>
        <v>0.435483871</v>
      </c>
    </row>
    <row r="17598">
      <c r="A17598" s="10" t="s">
        <v>19037</v>
      </c>
      <c r="B17598" s="7" t="str">
        <f>IFERROR(__xludf.DUMMYFUNCTION("SPLIT(A17598,"" "")"),"CNCN(Cc1cc(C)ccn1)C1=CCC=C(CN(C)c2ccc3nc(CF)ccc3c2)N1")</f>
        <v>CNCN(Cc1cc(C)ccn1)C1=CCC=C(CN(C)c2ccc3nc(CF)ccc3c2)N1</v>
      </c>
      <c r="C17598" s="7">
        <f>IFERROR(__xludf.DUMMYFUNCTION("""COMPUTED_VALUE"""),7.7309666)</f>
        <v>7.7309666</v>
      </c>
      <c r="D17598" s="7">
        <f>IFERROR(__xludf.DUMMYFUNCTION("""COMPUTED_VALUE"""),0.246575342465753)</f>
        <v>0.2465753425</v>
      </c>
    </row>
    <row r="17599">
      <c r="A17599" s="10" t="s">
        <v>19038</v>
      </c>
      <c r="B17599" s="7" t="str">
        <f>IFERROR(__xludf.DUMMYFUNCTION("SPLIT(A17599,"" "")"),"Cc1c(NCc2ccccn2)ccnc1-c1ccccc1NCc1ccccn1")</f>
        <v>Cc1c(NCc2ccccn2)ccnc1-c1ccccc1NCc1ccccn1</v>
      </c>
      <c r="C17599" s="7">
        <f>IFERROR(__xludf.DUMMYFUNCTION("""COMPUTED_VALUE"""),7.73096)</f>
        <v>7.73096</v>
      </c>
      <c r="D17599" s="7">
        <f>IFERROR(__xludf.DUMMYFUNCTION("""COMPUTED_VALUE"""),0.414634146341463)</f>
        <v>0.4146341463</v>
      </c>
    </row>
    <row r="17600">
      <c r="A17600" s="10" t="s">
        <v>19039</v>
      </c>
      <c r="B17600" s="7" t="str">
        <f>IFERROR(__xludf.DUMMYFUNCTION("SPLIT(A17600,"" "")"),"CN(CC1=CC(N(C)C(c2ccccc2)c2ccccn2)C=CN1)c1ccc2ncccc2c1")</f>
        <v>CN(CC1=CC(N(C)C(c2ccccc2)c2ccccn2)C=CN1)c1ccc2ncccc2c1</v>
      </c>
      <c r="C17600" s="7">
        <f>IFERROR(__xludf.DUMMYFUNCTION("""COMPUTED_VALUE"""),7.7309427)</f>
        <v>7.7309427</v>
      </c>
      <c r="D17600" s="7">
        <f>IFERROR(__xludf.DUMMYFUNCTION("""COMPUTED_VALUE"""),0.4)</f>
        <v>0.4</v>
      </c>
    </row>
    <row r="17601">
      <c r="A17601" s="10" t="s">
        <v>19040</v>
      </c>
      <c r="B17601" s="7" t="str">
        <f>IFERROR(__xludf.DUMMYFUNCTION("SPLIT(A17601,"" "")"),"Cc1cnc(CN(C)Cc2cc(-c3ccccc3N(C)C)ccn2)c(C)c1")</f>
        <v>Cc1cnc(CN(C)Cc2cc(-c3ccccc3N(C)C)ccn2)c(C)c1</v>
      </c>
      <c r="C17601" s="7">
        <f>IFERROR(__xludf.DUMMYFUNCTION("""COMPUTED_VALUE"""),7.730936)</f>
        <v>7.730936</v>
      </c>
      <c r="D17601" s="7">
        <f>IFERROR(__xludf.DUMMYFUNCTION("""COMPUTED_VALUE"""),0.320754716981132)</f>
        <v>0.320754717</v>
      </c>
    </row>
    <row r="17602">
      <c r="A17602" s="10" t="s">
        <v>19041</v>
      </c>
      <c r="B17602" s="7" t="str">
        <f>IFERROR(__xludf.DUMMYFUNCTION("SPLIT(A17602,"" "")"),"Cc1cncc(CN(C)CC2=CC(N(C)c3cccc4ncccc34)C=CN2)c1")</f>
        <v>Cc1cncc(CN(C)CC2=CC(N(C)c3cccc4ncccc34)C=CN2)c1</v>
      </c>
      <c r="C17602" s="7">
        <f>IFERROR(__xludf.DUMMYFUNCTION("""COMPUTED_VALUE"""),7.730917)</f>
        <v>7.730917</v>
      </c>
      <c r="D17602" s="7">
        <f>IFERROR(__xludf.DUMMYFUNCTION("""COMPUTED_VALUE"""),0.3)</f>
        <v>0.3</v>
      </c>
    </row>
    <row r="17603">
      <c r="A17603" s="10" t="s">
        <v>19042</v>
      </c>
      <c r="B17603" s="7" t="str">
        <f>IFERROR(__xludf.DUMMYFUNCTION("SPLIT(A17603,"" "")"),"CN(c1ccc2nc3c(cc2c1)CCC3)C1CCCC(N(C)c2ccc3cc4c(nc3c2)CCC4)C1")</f>
        <v>CN(c1ccc2nc3c(cc2c1)CCC3)C1CCCC(N(C)c2ccc3cc4c(nc3c2)CCC4)C1</v>
      </c>
      <c r="C17603" s="7">
        <f>IFERROR(__xludf.DUMMYFUNCTION("""COMPUTED_VALUE"""),7.7309103)</f>
        <v>7.7309103</v>
      </c>
      <c r="D17603" s="7">
        <f>IFERROR(__xludf.DUMMYFUNCTION("""COMPUTED_VALUE"""),0.410714285714285)</f>
        <v>0.4107142857</v>
      </c>
    </row>
    <row r="17604">
      <c r="A17604" s="10" t="s">
        <v>19043</v>
      </c>
      <c r="B17604" s="7" t="str">
        <f>IFERROR(__xludf.DUMMYFUNCTION("SPLIT(A17604,"" "")"),"Cc1cc(N(C)Cc2ccccn2)cc(N(C)Cc2cccnc2C)c1C")</f>
        <v>Cc1cc(N(C)Cc2ccccn2)cc(N(C)Cc2cccnc2C)c1C</v>
      </c>
      <c r="C17604" s="7">
        <f>IFERROR(__xludf.DUMMYFUNCTION("""COMPUTED_VALUE"""),7.730909)</f>
        <v>7.730909</v>
      </c>
      <c r="D17604" s="7">
        <f>IFERROR(__xludf.DUMMYFUNCTION("""COMPUTED_VALUE"""),0.5)</f>
        <v>0.5</v>
      </c>
    </row>
    <row r="17605">
      <c r="A17605" s="10" t="s">
        <v>19044</v>
      </c>
      <c r="B17605" s="7" t="str">
        <f>IFERROR(__xludf.DUMMYFUNCTION("SPLIT(A17605,"" "")"),"Cc1cnc(CN(C)Cc2ccc3cccc(C)c3n2)c(C)c1C")</f>
        <v>Cc1cnc(CN(C)Cc2ccc3cccc(C)c3n2)c(C)c1C</v>
      </c>
      <c r="C17605" s="7">
        <f>IFERROR(__xludf.DUMMYFUNCTION("""COMPUTED_VALUE"""),7.730908)</f>
        <v>7.730908</v>
      </c>
      <c r="D17605" s="7">
        <f>IFERROR(__xludf.DUMMYFUNCTION("""COMPUTED_VALUE"""),0.372549019607843)</f>
        <v>0.3725490196</v>
      </c>
    </row>
    <row r="17606">
      <c r="A17606" s="10" t="s">
        <v>19045</v>
      </c>
      <c r="B17606" s="7" t="str">
        <f>IFERROR(__xludf.DUMMYFUNCTION("SPLIT(A17606,"" "")"),"CNCc1cc(-c2cc(C(C)(C)c3ccccn3)ccn2)ccn1")</f>
        <v>CNCc1cc(-c2cc(C(C)(C)c3ccccn3)ccn2)ccn1</v>
      </c>
      <c r="C17606" s="7">
        <f>IFERROR(__xludf.DUMMYFUNCTION("""COMPUTED_VALUE"""),7.7309)</f>
        <v>7.7309</v>
      </c>
      <c r="D17606" s="7">
        <f>IFERROR(__xludf.DUMMYFUNCTION("""COMPUTED_VALUE"""),0.316666666666666)</f>
        <v>0.3166666667</v>
      </c>
    </row>
    <row r="17607">
      <c r="A17607" s="10" t="s">
        <v>19046</v>
      </c>
      <c r="B17607" s="7" t="str">
        <f>IFERROR(__xludf.DUMMYFUNCTION("SPLIT(A17607,"" "")"),"Cc1cnc(C)c(CN(C)c2ccc3nc(CN(C)C(C)C)ccc3c2)c1")</f>
        <v>Cc1cnc(C)c(CN(C)c2ccc3nc(CN(C)C(C)C)ccc3c2)c1</v>
      </c>
      <c r="C17607" s="7">
        <f>IFERROR(__xludf.DUMMYFUNCTION("""COMPUTED_VALUE"""),7.730898)</f>
        <v>7.730898</v>
      </c>
      <c r="D17607" s="7">
        <f>IFERROR(__xludf.DUMMYFUNCTION("""COMPUTED_VALUE"""),0.320754716981132)</f>
        <v>0.320754717</v>
      </c>
    </row>
    <row r="17608">
      <c r="A17608" s="10" t="s">
        <v>19047</v>
      </c>
      <c r="B17608" s="7" t="str">
        <f>IFERROR(__xludf.DUMMYFUNCTION("SPLIT(A17608,"" "")"),"CNCc1cccc(-c2cccc(N(C)Cc3cccc(C)n3)c2)n1")</f>
        <v>CNCc1cccc(-c2cccc(N(C)Cc3cccc(C)n3)c2)n1</v>
      </c>
      <c r="C17608" s="7">
        <f>IFERROR(__xludf.DUMMYFUNCTION("""COMPUTED_VALUE"""),7.730895)</f>
        <v>7.730895</v>
      </c>
      <c r="D17608" s="7">
        <f>IFERROR(__xludf.DUMMYFUNCTION("""COMPUTED_VALUE"""),0.425531914893617)</f>
        <v>0.4255319149</v>
      </c>
    </row>
    <row r="17609">
      <c r="A17609" s="10" t="s">
        <v>19048</v>
      </c>
      <c r="B17609" s="7" t="str">
        <f>IFERROR(__xludf.DUMMYFUNCTION("SPLIT(A17609,"" "")"),"Cc1cnc(CN(C)c2c(N(C)C3CCC(N(Cc4ccccn4)c4ccc5cccnc5c4)CC3)ccc(Cl)c2Cl)c(C)c1")</f>
        <v>Cc1cnc(CN(C)c2c(N(C)C3CCC(N(Cc4ccccn4)c4ccc5cccnc5c4)CC3)ccc(Cl)c2Cl)c(C)c1</v>
      </c>
      <c r="C17609" s="7">
        <f>IFERROR(__xludf.DUMMYFUNCTION("""COMPUTED_VALUE"""),7.7308865)</f>
        <v>7.7308865</v>
      </c>
      <c r="D17609" s="7">
        <f>IFERROR(__xludf.DUMMYFUNCTION("""COMPUTED_VALUE"""),0.337837837837837)</f>
        <v>0.3378378378</v>
      </c>
    </row>
    <row r="17610">
      <c r="A17610" s="10" t="s">
        <v>19049</v>
      </c>
      <c r="B17610" s="7" t="str">
        <f>IFERROR(__xludf.DUMMYFUNCTION("SPLIT(A17610,"" "")"),"CN(Cc1ccccn1)Cc1cc(-c2cccc(N=Cc3ccccn3)c2)ccn1")</f>
        <v>CN(Cc1ccccn1)Cc1cc(-c2cccc(N=Cc3ccccn3)c2)ccn1</v>
      </c>
      <c r="C17610" s="7">
        <f>IFERROR(__xludf.DUMMYFUNCTION("""COMPUTED_VALUE"""),7.7308846)</f>
        <v>7.7308846</v>
      </c>
      <c r="D17610" s="7">
        <f>IFERROR(__xludf.DUMMYFUNCTION("""COMPUTED_VALUE"""),0.433962264150943)</f>
        <v>0.4339622642</v>
      </c>
    </row>
    <row r="17611">
      <c r="A17611" s="10" t="s">
        <v>19050</v>
      </c>
      <c r="B17611" s="7" t="str">
        <f>IFERROR(__xludf.DUMMYFUNCTION("SPLIT(A17611,"" "")"),"Cc1nc(CN(C)CCN(C)c2ccc3c(CN(C)C)nccc3c2)c(C)c(C)c1C")</f>
        <v>Cc1nc(CN(C)CCN(C)c2ccc3c(CN(C)C)nccc3c2)c(C)c(C)c1C</v>
      </c>
      <c r="C17611" s="7">
        <f>IFERROR(__xludf.DUMMYFUNCTION("""COMPUTED_VALUE"""),7.730881)</f>
        <v>7.730881</v>
      </c>
      <c r="D17611" s="7">
        <f>IFERROR(__xludf.DUMMYFUNCTION("""COMPUTED_VALUE"""),0.271186440677966)</f>
        <v>0.2711864407</v>
      </c>
    </row>
    <row r="17612">
      <c r="A17612" s="10" t="s">
        <v>19051</v>
      </c>
      <c r="B17612" s="7" t="str">
        <f>IFERROR(__xludf.DUMMYFUNCTION("SPLIT(A17612,"" "")"),"CN(c1ccc2cc(CF)cnc2c1)C1CCC(N(C)c2cccc3c(CF)ccnc23)CC1")</f>
        <v>CN(c1ccc2cc(CF)cnc2c1)C1CCC(N(C)c2cccc3c(CF)ccnc23)CC1</v>
      </c>
      <c r="C17612" s="7">
        <f>IFERROR(__xludf.DUMMYFUNCTION("""COMPUTED_VALUE"""),7.730875)</f>
        <v>7.730875</v>
      </c>
      <c r="D17612" s="7">
        <f>IFERROR(__xludf.DUMMYFUNCTION("""COMPUTED_VALUE"""),0.338235294117647)</f>
        <v>0.3382352941</v>
      </c>
    </row>
    <row r="17613">
      <c r="A17613" s="10" t="s">
        <v>19052</v>
      </c>
      <c r="B17613" s="7" t="str">
        <f>IFERROR(__xludf.DUMMYFUNCTION("SPLIT(A17613,"" "")"),"Cc1cccnc1CN(C)Cc1ccnc2ccc(N(Cc3ccccn3)C(C)C)cc12")</f>
        <v>Cc1cccnc1CN(C)Cc1ccnc2ccc(N(Cc3ccccn3)C(C)C)cc12</v>
      </c>
      <c r="C17613" s="7">
        <f>IFERROR(__xludf.DUMMYFUNCTION("""COMPUTED_VALUE"""),7.730862)</f>
        <v>7.730862</v>
      </c>
      <c r="D17613" s="7">
        <f>IFERROR(__xludf.DUMMYFUNCTION("""COMPUTED_VALUE"""),0.35593220338983)</f>
        <v>0.3559322034</v>
      </c>
    </row>
    <row r="17614">
      <c r="A17614" s="10" t="s">
        <v>19053</v>
      </c>
      <c r="B17614" s="7" t="str">
        <f>IFERROR(__xludf.DUMMYFUNCTION("SPLIT(A17614,"" "")"),"Cc1cc(CN(C)CCN(C)c2cccc3c(CN(C)C)nccc23)nc(C)c1C")</f>
        <v>Cc1cc(CN(C)CCN(C)c2cccc3c(CN(C)C)nccc23)nc(C)c1C</v>
      </c>
      <c r="C17614" s="7">
        <f>IFERROR(__xludf.DUMMYFUNCTION("""COMPUTED_VALUE"""),7.730853)</f>
        <v>7.730853</v>
      </c>
      <c r="D17614" s="7">
        <f>IFERROR(__xludf.DUMMYFUNCTION("""COMPUTED_VALUE"""),0.357142857142857)</f>
        <v>0.3571428571</v>
      </c>
    </row>
    <row r="17615">
      <c r="A17615" s="10" t="s">
        <v>19054</v>
      </c>
      <c r="B17615" s="7" t="str">
        <f>IFERROR(__xludf.DUMMYFUNCTION("SPLIT(A17615,"" "")"),"Cc1ccc(-c2cc(C)ccc2NCc2ccccn2)nc1")</f>
        <v>Cc1ccc(-c2cc(C)ccc2NCc2ccccn2)nc1</v>
      </c>
      <c r="C17615" s="7">
        <f>IFERROR(__xludf.DUMMYFUNCTION("""COMPUTED_VALUE"""),7.7308526)</f>
        <v>7.7308526</v>
      </c>
      <c r="D17615" s="7">
        <f>IFERROR(__xludf.DUMMYFUNCTION("""COMPUTED_VALUE"""),0.386363636363636)</f>
        <v>0.3863636364</v>
      </c>
    </row>
    <row r="17616">
      <c r="A17616" s="10" t="s">
        <v>19055</v>
      </c>
      <c r="B17616" s="7" t="str">
        <f>IFERROR(__xludf.DUMMYFUNCTION("SPLIT(A17616,"" "")"),"CN(c1ccc2nc3c(cc2c1)CCC3)C1CCC(N(C)c2cccc3ncc4c(c23)CCC4)CC1")</f>
        <v>CN(c1ccc2nc3c(cc2c1)CCC3)C1CCC(N(C)c2cccc3ncc4c(c23)CCC4)CC1</v>
      </c>
      <c r="C17616" s="7">
        <f>IFERROR(__xludf.DUMMYFUNCTION("""COMPUTED_VALUE"""),7.7308497)</f>
        <v>7.7308497</v>
      </c>
      <c r="D17616" s="7">
        <f>IFERROR(__xludf.DUMMYFUNCTION("""COMPUTED_VALUE"""),0.415384615384615)</f>
        <v>0.4153846154</v>
      </c>
    </row>
    <row r="17617">
      <c r="A17617" s="10" t="s">
        <v>19056</v>
      </c>
      <c r="B17617" s="7" t="str">
        <f>IFERROR(__xludf.DUMMYFUNCTION("SPLIT(A17617,"" "")"),"CN(C)c1cccnc1CN(Cc1ccccn1)Cc1ccnc2ccccc12")</f>
        <v>CN(C)c1cccnc1CN(Cc1ccccn1)Cc1ccnc2ccccc12</v>
      </c>
      <c r="C17617" s="7">
        <f>IFERROR(__xludf.DUMMYFUNCTION("""COMPUTED_VALUE"""),7.7308435)</f>
        <v>7.7308435</v>
      </c>
      <c r="D17617" s="7">
        <f>IFERROR(__xludf.DUMMYFUNCTION("""COMPUTED_VALUE"""),0.465116279069767)</f>
        <v>0.4651162791</v>
      </c>
    </row>
    <row r="17618">
      <c r="A17618" s="10" t="s">
        <v>19057</v>
      </c>
      <c r="B17618" s="7" t="str">
        <f>IFERROR(__xludf.DUMMYFUNCTION("SPLIT(A17618,"" "")"),"Cc1ccc(CN(C)Cc2cc(-c3cccc(N=Cc4ccccn4)c3)ccn2)cn1")</f>
        <v>Cc1ccc(CN(C)Cc2cc(-c3cccc(N=Cc4ccccn4)c3)ccn2)cn1</v>
      </c>
      <c r="C17618" s="7">
        <f>IFERROR(__xludf.DUMMYFUNCTION("""COMPUTED_VALUE"""),7.7308407)</f>
        <v>7.7308407</v>
      </c>
      <c r="D17618" s="7">
        <f>IFERROR(__xludf.DUMMYFUNCTION("""COMPUTED_VALUE"""),0.349206349206349)</f>
        <v>0.3492063492</v>
      </c>
    </row>
    <row r="17619">
      <c r="A17619" s="10" t="s">
        <v>19058</v>
      </c>
      <c r="B17619" s="7" t="str">
        <f>IFERROR(__xludf.DUMMYFUNCTION("SPLIT(A17619,"" "")"),"C=Cc1ccc(CN(Cc2ccccn2)Cc2cccc(-c3ccccc3N=Cc3ccccn3)n2)nc1")</f>
        <v>C=Cc1ccc(CN(Cc2ccccn2)Cc2cccc(-c3ccccc3N=Cc3ccccn3)n2)nc1</v>
      </c>
      <c r="C17619" s="7">
        <f>IFERROR(__xludf.DUMMYFUNCTION("""COMPUTED_VALUE"""),7.730835)</f>
        <v>7.730835</v>
      </c>
      <c r="D17619" s="7">
        <f>IFERROR(__xludf.DUMMYFUNCTION("""COMPUTED_VALUE"""),0.412698412698412)</f>
        <v>0.4126984127</v>
      </c>
    </row>
    <row r="17620">
      <c r="A17620" s="10" t="s">
        <v>19059</v>
      </c>
      <c r="B17620" s="7" t="str">
        <f>IFERROR(__xludf.DUMMYFUNCTION("SPLIT(A17620,"" "")"),"Cc1ccc(CN(C)Cc2ccc(-c3ccccc3N=Cc3ccccn3)cn2)nc1")</f>
        <v>Cc1ccc(CN(C)Cc2ccc(-c3ccccc3N=Cc3ccccn3)cn2)nc1</v>
      </c>
      <c r="C17620" s="7">
        <f>IFERROR(__xludf.DUMMYFUNCTION("""COMPUTED_VALUE"""),7.730832)</f>
        <v>7.730832</v>
      </c>
      <c r="D17620" s="7">
        <f>IFERROR(__xludf.DUMMYFUNCTION("""COMPUTED_VALUE"""),0.436363636363636)</f>
        <v>0.4363636364</v>
      </c>
    </row>
    <row r="17621">
      <c r="A17621" s="10" t="s">
        <v>19060</v>
      </c>
      <c r="B17621" s="7" t="str">
        <f>IFERROR(__xludf.DUMMYFUNCTION("SPLIT(A17621,"" "")"),"Cc1ccc(CN(CC2=CC(N(C)Cc3ncccc3C)C=CN2)c2ccc3ncccc3c2)nc1")</f>
        <v>Cc1ccc(CN(CC2=CC(N(C)Cc3ncccc3C)C=CN2)c2ccc3ncccc3c2)nc1</v>
      </c>
      <c r="C17621" s="7">
        <f>IFERROR(__xludf.DUMMYFUNCTION("""COMPUTED_VALUE"""),7.7308307)</f>
        <v>7.7308307</v>
      </c>
      <c r="D17621" s="7">
        <f>IFERROR(__xludf.DUMMYFUNCTION("""COMPUTED_VALUE"""),0.318181818181818)</f>
        <v>0.3181818182</v>
      </c>
    </row>
    <row r="17622">
      <c r="A17622" s="10" t="s">
        <v>19061</v>
      </c>
      <c r="B17622" s="7" t="str">
        <f>IFERROR(__xludf.DUMMYFUNCTION("SPLIT(A17622,"" "")"),"Cc1ccc(N)c(-c2cccnc2CN(C)C)c1")</f>
        <v>Cc1ccc(N)c(-c2cccnc2CN(C)C)c1</v>
      </c>
      <c r="C17622" s="7">
        <f>IFERROR(__xludf.DUMMYFUNCTION("""COMPUTED_VALUE"""),7.730822)</f>
        <v>7.730822</v>
      </c>
      <c r="D17622" s="7">
        <f>IFERROR(__xludf.DUMMYFUNCTION("""COMPUTED_VALUE"""),0.291666666666666)</f>
        <v>0.2916666667</v>
      </c>
    </row>
    <row r="17623">
      <c r="A17623" s="10" t="s">
        <v>19062</v>
      </c>
      <c r="B17623" s="7" t="str">
        <f>IFERROR(__xludf.DUMMYFUNCTION("SPLIT(A17623,"" "")"),"CCOC(=O)c1cc(CN(Cc2ccccn2)Cc2cccc(-c3cccc(N=Cc4ccccn4)c3)n2)ccn1")</f>
        <v>CCOC(=O)c1cc(CN(Cc2ccccn2)Cc2cccc(-c3cccc(N=Cc4ccccn4)c3)n2)ccn1</v>
      </c>
      <c r="C17623" s="7">
        <f>IFERROR(__xludf.DUMMYFUNCTION("""COMPUTED_VALUE"""),7.730811)</f>
        <v>7.730811</v>
      </c>
      <c r="D17623" s="7">
        <f>IFERROR(__xludf.DUMMYFUNCTION("""COMPUTED_VALUE"""),0.452054794520547)</f>
        <v>0.4520547945</v>
      </c>
    </row>
    <row r="17624">
      <c r="A17624" s="10" t="s">
        <v>19063</v>
      </c>
      <c r="B17624" s="7" t="str">
        <f>IFERROR(__xludf.DUMMYFUNCTION("SPLIT(A17624,"" "")"),"Cc1cc(-c2cccc(NCc3ccccn3)c2)ccn1")</f>
        <v>Cc1cc(-c2cccc(NCc3ccccn3)c2)ccn1</v>
      </c>
      <c r="C17624" s="7">
        <f>IFERROR(__xludf.DUMMYFUNCTION("""COMPUTED_VALUE"""),7.730808)</f>
        <v>7.730808</v>
      </c>
      <c r="D17624" s="7">
        <f>IFERROR(__xludf.DUMMYFUNCTION("""COMPUTED_VALUE"""),0.415094339622641)</f>
        <v>0.4150943396</v>
      </c>
    </row>
    <row r="17625">
      <c r="A17625" s="10" t="s">
        <v>19064</v>
      </c>
      <c r="B17625" s="7" t="str">
        <f>IFERROR(__xludf.DUMMYFUNCTION("SPLIT(A17625,"" "")"),"FCc1cc(C2=NC(c3ccccn3)CO2)ccn1")</f>
        <v>FCc1cc(C2=NC(c3ccccn3)CO2)ccn1</v>
      </c>
      <c r="C17625" s="7">
        <f>IFERROR(__xludf.DUMMYFUNCTION("""COMPUTED_VALUE"""),7.7308073)</f>
        <v>7.7308073</v>
      </c>
      <c r="D17625" s="7">
        <f>IFERROR(__xludf.DUMMYFUNCTION("""COMPUTED_VALUE"""),0.272727272727272)</f>
        <v>0.2727272727</v>
      </c>
    </row>
    <row r="17626">
      <c r="A17626" s="10" t="s">
        <v>19065</v>
      </c>
      <c r="B17626" s="7" t="str">
        <f>IFERROR(__xludf.DUMMYFUNCTION("SPLIT(A17626,"" "")"),"C1=CNC(c2cccc(C(C3=CCC=CN3)c3ccccn3)n2)=CC1")</f>
        <v>C1=CNC(c2cccc(C(C3=CCC=CN3)c3ccccn3)n2)=CC1</v>
      </c>
      <c r="C17626" s="7">
        <f>IFERROR(__xludf.DUMMYFUNCTION("""COMPUTED_VALUE"""),7.730793)</f>
        <v>7.730793</v>
      </c>
      <c r="D17626" s="7">
        <f>IFERROR(__xludf.DUMMYFUNCTION("""COMPUTED_VALUE"""),0.350877192982456)</f>
        <v>0.350877193</v>
      </c>
    </row>
    <row r="17627">
      <c r="A17627" s="10" t="s">
        <v>19066</v>
      </c>
      <c r="B17627" s="7" t="str">
        <f>IFERROR(__xludf.DUMMYFUNCTION("SPLIT(A17627,"" "")"),"Cc1ccnc(CN(C)C2C=CNC(CN(C)c3ccc4ccc(CN(C)C)nc4c3)=C2)c1C")</f>
        <v>Cc1ccnc(CN(C)C2C=CNC(CN(C)c3ccc4ccc(CN(C)C)nc4c3)=C2)c1C</v>
      </c>
      <c r="C17627" s="7">
        <f>IFERROR(__xludf.DUMMYFUNCTION("""COMPUTED_VALUE"""),7.73079)</f>
        <v>7.73079</v>
      </c>
      <c r="D17627" s="7">
        <f>IFERROR(__xludf.DUMMYFUNCTION("""COMPUTED_VALUE"""),0.246575342465753)</f>
        <v>0.2465753425</v>
      </c>
    </row>
    <row r="17628">
      <c r="A17628" s="10" t="s">
        <v>19067</v>
      </c>
      <c r="B17628" s="7" t="str">
        <f>IFERROR(__xludf.DUMMYFUNCTION("SPLIT(A17628,"" "")"),"C1=CNC(c2ncccc2C(c2ccccc2)c2ccccn2)=CC1")</f>
        <v>C1=CNC(c2ncccc2C(c2ccccc2)c2ccccn2)=CC1</v>
      </c>
      <c r="C17628" s="7">
        <f>IFERROR(__xludf.DUMMYFUNCTION("""COMPUTED_VALUE"""),7.7307873)</f>
        <v>7.7307873</v>
      </c>
      <c r="D17628" s="7">
        <f>IFERROR(__xludf.DUMMYFUNCTION("""COMPUTED_VALUE"""),0.350877192982456)</f>
        <v>0.350877193</v>
      </c>
    </row>
    <row r="17629">
      <c r="A17629" s="10" t="s">
        <v>19068</v>
      </c>
      <c r="B17629" s="7" t="str">
        <f>IFERROR(__xludf.DUMMYFUNCTION("SPLIT(A17629,"" "")"),"Cc1cccc(-c2ccc(NCc3ccccn3)cc2)n1")</f>
        <v>Cc1cccc(-c2ccc(NCc3ccccn3)cc2)n1</v>
      </c>
      <c r="C17629" s="7">
        <f>IFERROR(__xludf.DUMMYFUNCTION("""COMPUTED_VALUE"""),7.730787)</f>
        <v>7.730787</v>
      </c>
      <c r="D17629" s="7">
        <f>IFERROR(__xludf.DUMMYFUNCTION("""COMPUTED_VALUE"""),0.404761904761904)</f>
        <v>0.4047619048</v>
      </c>
    </row>
    <row r="17630">
      <c r="A17630" s="10" t="s">
        <v>19069</v>
      </c>
      <c r="B17630" s="7" t="str">
        <f>IFERROR(__xludf.DUMMYFUNCTION("SPLIT(A17630,"" "")"),"CN(Cc1ccccn1)Cc1cc(N(C)Cc2ncccc2-c2cccc(N(C)Cc3ccccn3)c2)ccn1")</f>
        <v>CN(Cc1ccccn1)Cc1cc(N(C)Cc2ncccc2-c2cccc(N(C)Cc3ccccn3)c2)ccn1</v>
      </c>
      <c r="C17630" s="7">
        <f>IFERROR(__xludf.DUMMYFUNCTION("""COMPUTED_VALUE"""),7.730787)</f>
        <v>7.730787</v>
      </c>
      <c r="D17630" s="7">
        <f>IFERROR(__xludf.DUMMYFUNCTION("""COMPUTED_VALUE"""),0.425925925925925)</f>
        <v>0.4259259259</v>
      </c>
    </row>
    <row r="17631">
      <c r="A17631" s="10" t="s">
        <v>19070</v>
      </c>
      <c r="B17631" s="7" t="str">
        <f>IFERROR(__xludf.DUMMYFUNCTION("SPLIT(A17631,"" "")"),"CN(c1ccc2nc(CF)ccc2c1)C1CCCC(N(C)c2ccc3nccc(CF)c3c2)C1")</f>
        <v>CN(c1ccc2nc(CF)ccc2c1)C1CCCC(N(C)c2ccc3nccc(CF)c3c2)C1</v>
      </c>
      <c r="C17631" s="7">
        <f>IFERROR(__xludf.DUMMYFUNCTION("""COMPUTED_VALUE"""),7.7307854)</f>
        <v>7.7307854</v>
      </c>
      <c r="D17631" s="7">
        <f>IFERROR(__xludf.DUMMYFUNCTION("""COMPUTED_VALUE"""),0.34375)</f>
        <v>0.34375</v>
      </c>
    </row>
    <row r="17632">
      <c r="A17632" s="10" t="s">
        <v>19071</v>
      </c>
      <c r="B17632" s="7" t="str">
        <f>IFERROR(__xludf.DUMMYFUNCTION("SPLIT(A17632,"" "")"),"Cc1cncc(CN(C)c2ccccc2-c2cccc(CN(C)C(C)(c3cccnc3)c3ccccn3)n2)c1C")</f>
        <v>Cc1cncc(CN(C)c2ccccc2-c2cccc(CN(C)C(C)(c3cccnc3)c3ccccn3)n2)c1C</v>
      </c>
      <c r="C17632" s="7">
        <f>IFERROR(__xludf.DUMMYFUNCTION("""COMPUTED_VALUE"""),7.7307773)</f>
        <v>7.7307773</v>
      </c>
      <c r="D17632" s="7">
        <f>IFERROR(__xludf.DUMMYFUNCTION("""COMPUTED_VALUE"""),0.333333333333333)</f>
        <v>0.3333333333</v>
      </c>
    </row>
    <row r="17633">
      <c r="A17633" s="10" t="s">
        <v>19072</v>
      </c>
      <c r="B17633" s="7" t="str">
        <f>IFERROR(__xludf.DUMMYFUNCTION("SPLIT(A17633,"" "")"),"CN(Cc1cccc(F)n1)Cc1cccc(-c2ccc(N=Cc3ccccn3)cc2)n1")</f>
        <v>CN(Cc1cccc(F)n1)Cc1cccc(-c2ccc(N=Cc3ccccn3)cc2)n1</v>
      </c>
      <c r="C17633" s="7">
        <f>IFERROR(__xludf.DUMMYFUNCTION("""COMPUTED_VALUE"""),7.7307625)</f>
        <v>7.7307625</v>
      </c>
      <c r="D17633" s="7">
        <f>IFERROR(__xludf.DUMMYFUNCTION("""COMPUTED_VALUE"""),0.490566037735849)</f>
        <v>0.4905660377</v>
      </c>
    </row>
    <row r="17634">
      <c r="A17634" s="10" t="s">
        <v>19073</v>
      </c>
      <c r="B17634" s="7" t="str">
        <f>IFERROR(__xludf.DUMMYFUNCTION("SPLIT(A17634,"" "")"),"CC(C)c1cc(CN(C)c2ccc3nc(CN(C)Cc4ccccn4)ccc3c2)ccn1")</f>
        <v>CC(C)c1cc(CN(C)c2ccc3nc(CN(C)Cc4ccccn4)ccc3c2)ccn1</v>
      </c>
      <c r="C17634" s="7">
        <f>IFERROR(__xludf.DUMMYFUNCTION("""COMPUTED_VALUE"""),7.730761)</f>
        <v>7.730761</v>
      </c>
      <c r="D17634" s="7">
        <f>IFERROR(__xludf.DUMMYFUNCTION("""COMPUTED_VALUE"""),0.428571428571428)</f>
        <v>0.4285714286</v>
      </c>
    </row>
    <row r="17635">
      <c r="A17635" s="10" t="s">
        <v>19074</v>
      </c>
      <c r="B17635" s="7" t="str">
        <f>IFERROR(__xludf.DUMMYFUNCTION("SPLIT(A17635,"" "")"),"Cc1cccnc1CN(C)C1=CNC(CN(C)c2ccc(Cl)cc2Cl)=CC1")</f>
        <v>Cc1cccnc1CN(C)C1=CNC(CN(C)c2ccc(Cl)cc2Cl)=CC1</v>
      </c>
      <c r="C17635" s="7">
        <f>IFERROR(__xludf.DUMMYFUNCTION("""COMPUTED_VALUE"""),7.730731)</f>
        <v>7.730731</v>
      </c>
      <c r="D17635" s="7">
        <f>IFERROR(__xludf.DUMMYFUNCTION("""COMPUTED_VALUE"""),0.327868852459016)</f>
        <v>0.3278688525</v>
      </c>
    </row>
    <row r="17636">
      <c r="A17636" s="10" t="s">
        <v>19075</v>
      </c>
      <c r="B17636" s="7" t="str">
        <f>IFERROR(__xludf.DUMMYFUNCTION("SPLIT(A17636,"" "")"),"CN(Cc1ccccn1)Cc1cc(-c2ccccc2N=Cc2ccccn2)ccn1")</f>
        <v>CN(Cc1ccccn1)Cc1cc(-c2ccccc2N=Cc2ccccn2)ccn1</v>
      </c>
      <c r="C17636" s="7">
        <f>IFERROR(__xludf.DUMMYFUNCTION("""COMPUTED_VALUE"""),7.7307267)</f>
        <v>7.7307267</v>
      </c>
      <c r="D17636" s="7">
        <f>IFERROR(__xludf.DUMMYFUNCTION("""COMPUTED_VALUE"""),0.46)</f>
        <v>0.46</v>
      </c>
    </row>
    <row r="17637">
      <c r="A17637" s="10" t="s">
        <v>19076</v>
      </c>
      <c r="B17637" s="7" t="str">
        <f>IFERROR(__xludf.DUMMYFUNCTION("SPLIT(A17637,"" "")"),"Cc1cc(C)c(CN(C)Cc2ccc3ncccc3c2)c(C)n1")</f>
        <v>Cc1cc(C)c(CN(C)Cc2ccc3ncccc3c2)c(C)n1</v>
      </c>
      <c r="C17637" s="7">
        <f>IFERROR(__xludf.DUMMYFUNCTION("""COMPUTED_VALUE"""),7.730726)</f>
        <v>7.730726</v>
      </c>
      <c r="D17637" s="7">
        <f>IFERROR(__xludf.DUMMYFUNCTION("""COMPUTED_VALUE"""),0.320754716981132)</f>
        <v>0.320754717</v>
      </c>
    </row>
    <row r="17638">
      <c r="A17638" s="10" t="s">
        <v>19077</v>
      </c>
      <c r="B17638" s="7" t="str">
        <f>IFERROR(__xludf.DUMMYFUNCTION("SPLIT(A17638,"" "")"),"Cc1cncc(CN(C)c2cccnc2CN(Cc2ccccn2)Cc2cccc(-c3cccc(N=Cc4ccccn4)c3)n2)c1C")</f>
        <v>Cc1cncc(CN(C)c2cccnc2CN(Cc2ccccn2)Cc2cccc(-c3cccc(N=Cc4ccccn4)c3)n2)c1C</v>
      </c>
      <c r="C17638" s="7">
        <f>IFERROR(__xludf.DUMMYFUNCTION("""COMPUTED_VALUE"""),7.73072)</f>
        <v>7.73072</v>
      </c>
      <c r="D17638" s="7">
        <f>IFERROR(__xludf.DUMMYFUNCTION("""COMPUTED_VALUE"""),0.41025641025641)</f>
        <v>0.4102564103</v>
      </c>
    </row>
    <row r="17639">
      <c r="A17639" s="10" t="s">
        <v>19078</v>
      </c>
      <c r="B17639" s="7" t="str">
        <f>IFERROR(__xludf.DUMMYFUNCTION("SPLIT(A17639,"" "")"),"Cc1cc(CN(C)Cc2ccc3cc(N(Cc4ccccn4)C(C)C)ccc3n2)nc(C)c1C")</f>
        <v>Cc1cc(CN(C)Cc2ccc3cc(N(Cc4ccccn4)C(C)C)ccc3n2)nc(C)c1C</v>
      </c>
      <c r="C17639" s="7">
        <f>IFERROR(__xludf.DUMMYFUNCTION("""COMPUTED_VALUE"""),7.730714)</f>
        <v>7.730714</v>
      </c>
      <c r="D17639" s="7">
        <f>IFERROR(__xludf.DUMMYFUNCTION("""COMPUTED_VALUE"""),0.413793103448275)</f>
        <v>0.4137931034</v>
      </c>
    </row>
    <row r="17640">
      <c r="A17640" s="10" t="s">
        <v>19079</v>
      </c>
      <c r="B17640" s="7" t="str">
        <f>IFERROR(__xludf.DUMMYFUNCTION("SPLIT(A17640,"" "")"),"CN(c1ccc2cccnc2c1)C1CCCCC1N(C)c1ccc2c(CF)ccnc2c1")</f>
        <v>CN(c1ccc2cccnc2c1)C1CCCCC1N(C)c1ccc2c(CF)ccnc2c1</v>
      </c>
      <c r="C17640" s="7">
        <f>IFERROR(__xludf.DUMMYFUNCTION("""COMPUTED_VALUE"""),7.7307076)</f>
        <v>7.7307076</v>
      </c>
      <c r="D17640" s="7">
        <f>IFERROR(__xludf.DUMMYFUNCTION("""COMPUTED_VALUE"""),0.444444444444444)</f>
        <v>0.4444444444</v>
      </c>
    </row>
    <row r="17641">
      <c r="A17641" s="10" t="s">
        <v>19080</v>
      </c>
      <c r="B17641" s="7" t="str">
        <f>IFERROR(__xludf.DUMMYFUNCTION("SPLIT(A17641,"" "")"),"CN(Cc1cc(-c2ccc3ncccc3c2)ccn1)C1CCC(N(C)c2ccc3nc(CF)ccc3c2)CC1")</f>
        <v>CN(Cc1cc(-c2ccc3ncccc3c2)ccn1)C1CCC(N(C)c2ccc3nc(CF)ccc3c2)CC1</v>
      </c>
      <c r="C17641" s="7">
        <f>IFERROR(__xludf.DUMMYFUNCTION("""COMPUTED_VALUE"""),7.7307076)</f>
        <v>7.7307076</v>
      </c>
      <c r="D17641" s="7">
        <f>IFERROR(__xludf.DUMMYFUNCTION("""COMPUTED_VALUE"""),0.328571428571428)</f>
        <v>0.3285714286</v>
      </c>
    </row>
    <row r="17642">
      <c r="A17642" s="10" t="s">
        <v>19081</v>
      </c>
      <c r="B17642" s="7" t="str">
        <f>IFERROR(__xludf.DUMMYFUNCTION("SPLIT(A17642,"" "")"),"CN(Cc1ccccn1)Cc1ncccc1-c1ccccc1N=Cc1ccccn1")</f>
        <v>CN(Cc1ccccn1)Cc1ncccc1-c1ccccc1N=Cc1ccccn1</v>
      </c>
      <c r="C17642" s="7">
        <f>IFERROR(__xludf.DUMMYFUNCTION("""COMPUTED_VALUE"""),7.7307014)</f>
        <v>7.7307014</v>
      </c>
      <c r="D17642" s="7">
        <f>IFERROR(__xludf.DUMMYFUNCTION("""COMPUTED_VALUE"""),0.46938775510204)</f>
        <v>0.4693877551</v>
      </c>
    </row>
    <row r="17643">
      <c r="A17643" s="10" t="s">
        <v>19082</v>
      </c>
      <c r="B17643" s="7" t="str">
        <f>IFERROR(__xludf.DUMMYFUNCTION("SPLIT(A17643,"" "")"),"Cc1cccnc1-c1ccccc1NCc1cccc(C(C)(C)c2ccccn2)n1")</f>
        <v>Cc1cccnc1-c1ccccc1NCc1cccc(C(C)(C)c2ccccn2)n1</v>
      </c>
      <c r="C17643" s="7">
        <f>IFERROR(__xludf.DUMMYFUNCTION("""COMPUTED_VALUE"""),7.7306986)</f>
        <v>7.7306986</v>
      </c>
      <c r="D17643" s="7">
        <f>IFERROR(__xludf.DUMMYFUNCTION("""COMPUTED_VALUE"""),0.338709677419354)</f>
        <v>0.3387096774</v>
      </c>
    </row>
    <row r="17644">
      <c r="A17644" s="10" t="s">
        <v>19083</v>
      </c>
      <c r="B17644" s="7" t="str">
        <f>IFERROR(__xludf.DUMMYFUNCTION("SPLIT(A17644,"" "")"),"Cc1ccc(CN(c2cc(Cl)ccc2N(C)Cc2cc(C)c(C)c(C)n2)C2CCC(N(C)c3ccc4c(C)ccnc4c3)CC2)nc1C")</f>
        <v>Cc1ccc(CN(c2cc(Cl)ccc2N(C)Cc2cc(C)c(C)c(C)n2)C2CCC(N(C)c3ccc4c(C)ccnc4c3)CC2)nc1C</v>
      </c>
      <c r="C17644" s="7">
        <f>IFERROR(__xludf.DUMMYFUNCTION("""COMPUTED_VALUE"""),7.7306924)</f>
        <v>7.7306924</v>
      </c>
      <c r="D17644" s="7">
        <f>IFERROR(__xludf.DUMMYFUNCTION("""COMPUTED_VALUE"""),0.246753246753246)</f>
        <v>0.2467532468</v>
      </c>
    </row>
    <row r="17645">
      <c r="A17645" s="10" t="s">
        <v>19084</v>
      </c>
      <c r="B17645" s="7" t="str">
        <f>IFERROR(__xludf.DUMMYFUNCTION("SPLIT(A17645,"" "")"),"CCOC(=O)C(=O)C(=O)C(=O)C(=O)C(=O)C(=O)C(=O)C(=O)C(=O)C(=O)C(=O)C=O")</f>
        <v>CCOC(=O)C(=O)C(=O)C(=O)C(=O)C(=O)C(=O)C(=O)C(=O)C(=O)C(=O)C(=O)C=O</v>
      </c>
      <c r="C17645" s="7">
        <f>IFERROR(__xludf.DUMMYFUNCTION("""COMPUTED_VALUE"""),7.7306776)</f>
        <v>7.7306776</v>
      </c>
      <c r="D17645" s="7">
        <f>IFERROR(__xludf.DUMMYFUNCTION("""COMPUTED_VALUE"""),0.188679245283018)</f>
        <v>0.1886792453</v>
      </c>
    </row>
    <row r="17646">
      <c r="A17646" s="10" t="s">
        <v>19085</v>
      </c>
      <c r="B17646" s="7" t="str">
        <f>IFERROR(__xludf.DUMMYFUNCTION("SPLIT(A17646,"" "")"),"Cc1ccnc2cccc(N(C)CCNC(C)C)c12")</f>
        <v>Cc1ccnc2cccc(N(C)CCNC(C)C)c12</v>
      </c>
      <c r="C17646" s="7">
        <f>IFERROR(__xludf.DUMMYFUNCTION("""COMPUTED_VALUE"""),7.730672)</f>
        <v>7.730672</v>
      </c>
      <c r="D17646" s="7">
        <f>IFERROR(__xludf.DUMMYFUNCTION("""COMPUTED_VALUE"""),0.346938775510204)</f>
        <v>0.3469387755</v>
      </c>
    </row>
    <row r="17647">
      <c r="A17647" s="10" t="s">
        <v>19086</v>
      </c>
      <c r="B17647" s="7" t="str">
        <f>IFERROR(__xludf.DUMMYFUNCTION("SPLIT(A17647,"" "")"),"Cc1cnccc1CN(C)CC1=CC(N(C)c2ccc3ncccc3c2)C=CN1")</f>
        <v>Cc1cnccc1CN(C)CC1=CC(N(C)c2ccc3ncccc3c2)C=CN1</v>
      </c>
      <c r="C17647" s="7">
        <f>IFERROR(__xludf.DUMMYFUNCTION("""COMPUTED_VALUE"""),7.730658)</f>
        <v>7.730658</v>
      </c>
      <c r="D17647" s="7">
        <f>IFERROR(__xludf.DUMMYFUNCTION("""COMPUTED_VALUE"""),0.292307692307692)</f>
        <v>0.2923076923</v>
      </c>
    </row>
    <row r="17648">
      <c r="A17648" s="10" t="s">
        <v>19087</v>
      </c>
      <c r="B17648" s="7" t="str">
        <f>IFERROR(__xludf.DUMMYFUNCTION("SPLIT(A17648,"" "")"),"Cc1cncc(CN(C)Cc2ncccc2-c2cccc(N(C)C)c2)c1C")</f>
        <v>Cc1cncc(CN(C)Cc2ncccc2-c2cccc(N(C)C)c2)c1C</v>
      </c>
      <c r="C17648" s="7">
        <f>IFERROR(__xludf.DUMMYFUNCTION("""COMPUTED_VALUE"""),7.730656)</f>
        <v>7.730656</v>
      </c>
      <c r="D17648" s="7">
        <f>IFERROR(__xludf.DUMMYFUNCTION("""COMPUTED_VALUE"""),0.333333333333333)</f>
        <v>0.3333333333</v>
      </c>
    </row>
    <row r="17649">
      <c r="A17649" s="10" t="s">
        <v>19088</v>
      </c>
      <c r="B17649" s="7" t="str">
        <f>IFERROR(__xludf.DUMMYFUNCTION("SPLIT(A17649,"" "")"),"CNCN(Cc1ccccn1)c1cc(C)c2ccc(CN(C)Cc3cc(C)c(C)c(C)n3)nc2c1")</f>
        <v>CNCN(Cc1ccccn1)c1cc(C)c2ccc(CN(C)Cc3cc(C)c(C)c(C)n3)nc2c1</v>
      </c>
      <c r="C17649" s="7">
        <f>IFERROR(__xludf.DUMMYFUNCTION("""COMPUTED_VALUE"""),7.7306523)</f>
        <v>7.7306523</v>
      </c>
      <c r="D17649" s="7">
        <f>IFERROR(__xludf.DUMMYFUNCTION("""COMPUTED_VALUE"""),0.387096774193548)</f>
        <v>0.3870967742</v>
      </c>
    </row>
    <row r="17650">
      <c r="A17650" s="10" t="s">
        <v>19089</v>
      </c>
      <c r="B17650" s="7" t="str">
        <f>IFERROR(__xludf.DUMMYFUNCTION("SPLIT(A17650,"" "")"),"Cc1cccnc1CN(Cc1ccc(-c2cccc(N=Cc3ccccn3)c2)cn1)Cc1cc(C)c(C)c(C)n1")</f>
        <v>Cc1cccnc1CN(Cc1ccc(-c2cccc(N=Cc3ccccn3)c2)cn1)Cc1cc(C)c(C)c(C)n1</v>
      </c>
      <c r="C17650" s="7">
        <f>IFERROR(__xludf.DUMMYFUNCTION("""COMPUTED_VALUE"""),7.730652)</f>
        <v>7.730652</v>
      </c>
      <c r="D17650" s="7">
        <f>IFERROR(__xludf.DUMMYFUNCTION("""COMPUTED_VALUE"""),0.347826086956521)</f>
        <v>0.347826087</v>
      </c>
    </row>
    <row r="17651">
      <c r="A17651" s="10" t="s">
        <v>19090</v>
      </c>
      <c r="B17651" s="7" t="str">
        <f>IFERROR(__xludf.DUMMYFUNCTION("SPLIT(A17651,"" "")"),"Cc1cccnc1CN(C)Cc1ncccc1-c1cccc(N(C)C)c1")</f>
        <v>Cc1cccnc1CN(C)Cc1ncccc1-c1cccc(N(C)C)c1</v>
      </c>
      <c r="C17651" s="7">
        <f>IFERROR(__xludf.DUMMYFUNCTION("""COMPUTED_VALUE"""),7.730647)</f>
        <v>7.730647</v>
      </c>
      <c r="D17651" s="7">
        <f>IFERROR(__xludf.DUMMYFUNCTION("""COMPUTED_VALUE"""),0.307692307692307)</f>
        <v>0.3076923077</v>
      </c>
    </row>
    <row r="17652">
      <c r="A17652" s="10" t="s">
        <v>19091</v>
      </c>
      <c r="B17652" s="7" t="str">
        <f>IFERROR(__xludf.DUMMYFUNCTION("SPLIT(A17652,"" "")"),"CC(C)N(C)C1=CNC(CN(Cc2ccccn2)c2ccc3cccnc3c2)=CC1")</f>
        <v>CC(C)N(C)C1=CNC(CN(Cc2ccccn2)c2ccc3cccnc3c2)=CC1</v>
      </c>
      <c r="C17652" s="7">
        <f>IFERROR(__xludf.DUMMYFUNCTION("""COMPUTED_VALUE"""),7.7306457)</f>
        <v>7.7306457</v>
      </c>
      <c r="D17652" s="7">
        <f>IFERROR(__xludf.DUMMYFUNCTION("""COMPUTED_VALUE"""),0.393442622950819)</f>
        <v>0.393442623</v>
      </c>
    </row>
    <row r="17653">
      <c r="A17653" s="10" t="s">
        <v>19092</v>
      </c>
      <c r="B17653" s="7" t="str">
        <f>IFERROR(__xludf.DUMMYFUNCTION("SPLIT(A17653,"" "")"),"Cc1nc(CN(C)CCN(C)c2ccc3ccnc(CN(C)C)c3c2)c(C)c(C)c1C")</f>
        <v>Cc1nc(CN(C)CCN(C)c2ccc3ccnc(CN(C)C)c3c2)c(C)c(C)c1C</v>
      </c>
      <c r="C17653" s="7">
        <f>IFERROR(__xludf.DUMMYFUNCTION("""COMPUTED_VALUE"""),7.7306337)</f>
        <v>7.7306337</v>
      </c>
      <c r="D17653" s="7">
        <f>IFERROR(__xludf.DUMMYFUNCTION("""COMPUTED_VALUE"""),0.271186440677966)</f>
        <v>0.2711864407</v>
      </c>
    </row>
    <row r="17654">
      <c r="A17654" s="10" t="s">
        <v>19093</v>
      </c>
      <c r="B17654" s="7" t="str">
        <f>IFERROR(__xludf.DUMMYFUNCTION("SPLIT(A17654,"" "")"),"Cc1cccc(CN(C)c2ccc(C)c(-c3cncc(CN(C)C(C)C)c3)c2Cl)n1")</f>
        <v>Cc1cccc(CN(C)c2ccc(C)c(-c3cncc(CN(C)C(C)C)c3)c2Cl)n1</v>
      </c>
      <c r="C17654" s="7">
        <f>IFERROR(__xludf.DUMMYFUNCTION("""COMPUTED_VALUE"""),7.730633)</f>
        <v>7.730633</v>
      </c>
      <c r="D17654" s="7">
        <f>IFERROR(__xludf.DUMMYFUNCTION("""COMPUTED_VALUE"""),0.344827586206896)</f>
        <v>0.3448275862</v>
      </c>
    </row>
    <row r="17655">
      <c r="A17655" s="10" t="s">
        <v>19094</v>
      </c>
      <c r="B17655" s="7" t="str">
        <f>IFERROR(__xludf.DUMMYFUNCTION("SPLIT(A17655,"" "")"),"CCN(Cc1ccccn1)c1cc2ncccc2c(CN(C)Cc2cc(C)c(C)c(C)n2)c1C")</f>
        <v>CCN(Cc1ccccn1)c1cc2ncccc2c(CN(C)Cc2cc(C)c(C)c(C)n2)c1C</v>
      </c>
      <c r="C17655" s="7">
        <f>IFERROR(__xludf.DUMMYFUNCTION("""COMPUTED_VALUE"""),7.730619)</f>
        <v>7.730619</v>
      </c>
      <c r="D17655" s="7">
        <f>IFERROR(__xludf.DUMMYFUNCTION("""COMPUTED_VALUE"""),0.370967741935483)</f>
        <v>0.3709677419</v>
      </c>
    </row>
    <row r="17656">
      <c r="A17656" s="10" t="s">
        <v>19095</v>
      </c>
      <c r="B17656" s="7" t="str">
        <f>IFERROR(__xludf.DUMMYFUNCTION("SPLIT(A17656,"" "")"),"Cc1ccc(CN(C)CC2=CC(N(C)c3cccc4ncccc34)C=CN2)cn1")</f>
        <v>Cc1ccc(CN(C)CC2=CC(N(C)c3cccc4ncccc34)C=CN2)cn1</v>
      </c>
      <c r="C17656" s="7">
        <f>IFERROR(__xludf.DUMMYFUNCTION("""COMPUTED_VALUE"""),7.730611)</f>
        <v>7.730611</v>
      </c>
      <c r="D17656" s="7">
        <f>IFERROR(__xludf.DUMMYFUNCTION("""COMPUTED_VALUE"""),0.313432835820895)</f>
        <v>0.3134328358</v>
      </c>
    </row>
    <row r="17657">
      <c r="A17657" s="10" t="s">
        <v>19096</v>
      </c>
      <c r="B17657" s="7" t="str">
        <f>IFERROR(__xludf.DUMMYFUNCTION("SPLIT(A17657,"" "")"),"Cc1ccnc2ccc(N(C)CCCN(C)C)cc12")</f>
        <v>Cc1ccnc2ccc(N(C)CCCN(C)C)cc12</v>
      </c>
      <c r="C17657" s="7">
        <f>IFERROR(__xludf.DUMMYFUNCTION("""COMPUTED_VALUE"""),7.730608)</f>
        <v>7.730608</v>
      </c>
      <c r="D17657" s="7">
        <f>IFERROR(__xludf.DUMMYFUNCTION("""COMPUTED_VALUE"""),0.306122448979591)</f>
        <v>0.306122449</v>
      </c>
    </row>
    <row r="17658">
      <c r="A17658" s="10" t="s">
        <v>19097</v>
      </c>
      <c r="B17658" s="7" t="str">
        <f>IFERROR(__xludf.DUMMYFUNCTION("SPLIT(A17658,"" "")"),"Cc1ccc(CN(Cc2ccccn2)c2ccc3nc(CN(C)Cc4ncccc4C)ccc3c2)nc1C")</f>
        <v>Cc1ccc(CN(Cc2ccccn2)c2ccc3nc(CN(C)Cc4ncccc4C)ccc3c2)nc1C</v>
      </c>
      <c r="C17658" s="7">
        <f>IFERROR(__xludf.DUMMYFUNCTION("""COMPUTED_VALUE"""),7.730607)</f>
        <v>7.730607</v>
      </c>
      <c r="D17658" s="7">
        <f>IFERROR(__xludf.DUMMYFUNCTION("""COMPUTED_VALUE"""),0.421052631578947)</f>
        <v>0.4210526316</v>
      </c>
    </row>
    <row r="17659">
      <c r="A17659" s="10" t="s">
        <v>19098</v>
      </c>
      <c r="B17659" s="7" t="str">
        <f>IFERROR(__xludf.DUMMYFUNCTION("SPLIT(A17659,"" "")"),"Cc1ccnc(CN(C)Cc2ccnc3c(C)cccc23)c1")</f>
        <v>Cc1ccnc(CN(C)Cc2ccnc3c(C)cccc23)c1</v>
      </c>
      <c r="C17659" s="7">
        <f>IFERROR(__xludf.DUMMYFUNCTION("""COMPUTED_VALUE"""),7.7306066)</f>
        <v>7.7306066</v>
      </c>
      <c r="D17659" s="7">
        <f>IFERROR(__xludf.DUMMYFUNCTION("""COMPUTED_VALUE"""),0.36)</f>
        <v>0.36</v>
      </c>
    </row>
    <row r="17660">
      <c r="A17660" s="10" t="s">
        <v>19099</v>
      </c>
      <c r="B17660" s="7" t="str">
        <f>IFERROR(__xludf.DUMMYFUNCTION("SPLIT(A17660,"" "")"),"Cc1ccc(CN(C)CN(C)c2cccc3ncccc23)nc1")</f>
        <v>Cc1ccc(CN(C)CN(C)c2cccc3ncccc23)nc1</v>
      </c>
      <c r="C17660" s="7">
        <f>IFERROR(__xludf.DUMMYFUNCTION("""COMPUTED_VALUE"""),7.730605)</f>
        <v>7.730605</v>
      </c>
      <c r="D17660" s="7">
        <f>IFERROR(__xludf.DUMMYFUNCTION("""COMPUTED_VALUE"""),0.488888888888888)</f>
        <v>0.4888888889</v>
      </c>
    </row>
    <row r="17661">
      <c r="A17661" s="10" t="s">
        <v>19100</v>
      </c>
      <c r="B17661" s="7" t="str">
        <f>IFERROR(__xludf.DUMMYFUNCTION("SPLIT(A17661,"" "")"),"CN(CN(C)C1C=CC=CN1)c1cccc2ncccc12")</f>
        <v>CN(CN(C)C1C=CC=CN1)c1cccc2ncccc12</v>
      </c>
      <c r="C17661" s="7">
        <f>IFERROR(__xludf.DUMMYFUNCTION("""COMPUTED_VALUE"""),7.7306)</f>
        <v>7.7306</v>
      </c>
      <c r="D17661" s="7">
        <f>IFERROR(__xludf.DUMMYFUNCTION("""COMPUTED_VALUE"""),0.358490566037735)</f>
        <v>0.358490566</v>
      </c>
    </row>
    <row r="17662">
      <c r="A17662" s="10" t="s">
        <v>19101</v>
      </c>
      <c r="B17662" s="7" t="str">
        <f>IFERROR(__xludf.DUMMYFUNCTION("SPLIT(A17662,"" "")"),"CN(c1ccc2cc3c(nc2c1)CCC3)C1CCC(N(C)c2cccc3ncc4c(c23)CCC4)CC1")</f>
        <v>CN(c1ccc2cc3c(nc2c1)CCC3)C1CCC(N(C)c2cccc3ncc4c(c23)CCC4)CC1</v>
      </c>
      <c r="C17662" s="7">
        <f>IFERROR(__xludf.DUMMYFUNCTION("""COMPUTED_VALUE"""),7.7305975)</f>
        <v>7.7305975</v>
      </c>
      <c r="D17662" s="7">
        <f>IFERROR(__xludf.DUMMYFUNCTION("""COMPUTED_VALUE"""),0.421875)</f>
        <v>0.421875</v>
      </c>
    </row>
    <row r="17663">
      <c r="A17663" s="10" t="s">
        <v>19102</v>
      </c>
      <c r="B17663" s="7" t="str">
        <f>IFERROR(__xludf.DUMMYFUNCTION("SPLIT(A17663,"" "")"),"CN(c1ccc2cc3c(nc2c1)CCC3)C1CCCC(N(C)c2ccc3cc4c(nc3c2)CCC4)C1")</f>
        <v>CN(c1ccc2cc3c(nc2c1)CCC3)C1CCCC(N(C)c2ccc3cc4c(nc3c2)CCC4)C1</v>
      </c>
      <c r="C17663" s="7">
        <f>IFERROR(__xludf.DUMMYFUNCTION("""COMPUTED_VALUE"""),7.7305913)</f>
        <v>7.7305913</v>
      </c>
      <c r="D17663" s="7">
        <f>IFERROR(__xludf.DUMMYFUNCTION("""COMPUTED_VALUE"""),0.442307692307692)</f>
        <v>0.4423076923</v>
      </c>
    </row>
    <row r="17664">
      <c r="A17664" s="10" t="s">
        <v>19103</v>
      </c>
      <c r="B17664" s="7" t="str">
        <f>IFERROR(__xludf.DUMMYFUNCTION("SPLIT(A17664,"" "")"),"CN(CC1=CC(N(C)c2ccc3cccnc3c2)C=CN1)Cc1cccnn1")</f>
        <v>CN(CC1=CC(N(C)c2ccc3cccnc3c2)C=CN1)Cc1cccnn1</v>
      </c>
      <c r="C17664" s="7">
        <f>IFERROR(__xludf.DUMMYFUNCTION("""COMPUTED_VALUE"""),7.730589)</f>
        <v>7.730589</v>
      </c>
      <c r="D17664" s="7">
        <f>IFERROR(__xludf.DUMMYFUNCTION("""COMPUTED_VALUE"""),0.385964912280701)</f>
        <v>0.3859649123</v>
      </c>
    </row>
    <row r="17665">
      <c r="A17665" s="10" t="s">
        <v>19104</v>
      </c>
      <c r="B17665" s="7" t="str">
        <f>IFERROR(__xludf.DUMMYFUNCTION("SPLIT(A17665,"" "")"),"CN(c1ccc2nc3c(cc2c1)CCC3)C1CCC(N(C)c2ccc3c(CF)ccnc3c2)CC1")</f>
        <v>CN(c1ccc2nc3c(cc2c1)CCC3)C1CCC(N(C)c2ccc3c(CF)ccnc3c2)CC1</v>
      </c>
      <c r="C17665" s="7">
        <f>IFERROR(__xludf.DUMMYFUNCTION("""COMPUTED_VALUE"""),7.730576)</f>
        <v>7.730576</v>
      </c>
      <c r="D17665" s="7">
        <f>IFERROR(__xludf.DUMMYFUNCTION("""COMPUTED_VALUE"""),0.343283582089552)</f>
        <v>0.3432835821</v>
      </c>
    </row>
    <row r="17666">
      <c r="A17666" s="10" t="s">
        <v>19105</v>
      </c>
      <c r="B17666" s="7" t="str">
        <f>IFERROR(__xludf.DUMMYFUNCTION("SPLIT(A17666,"" "")"),"CN(CCF)Cc1cc(N(C)c2ccc3ncccc3c2)ccn1")</f>
        <v>CN(CCF)Cc1cc(N(C)c2ccc3ncccc3c2)ccn1</v>
      </c>
      <c r="C17666" s="7">
        <f>IFERROR(__xludf.DUMMYFUNCTION("""COMPUTED_VALUE"""),7.7305756)</f>
        <v>7.7305756</v>
      </c>
      <c r="D17666" s="7">
        <f>IFERROR(__xludf.DUMMYFUNCTION("""COMPUTED_VALUE"""),0.372549019607843)</f>
        <v>0.3725490196</v>
      </c>
    </row>
    <row r="17667">
      <c r="A17667" s="10" t="s">
        <v>19106</v>
      </c>
      <c r="B17667" s="7" t="str">
        <f>IFERROR(__xludf.DUMMYFUNCTION("SPLIT(A17667,"" "")"),"CN(Cc1ccc(F)cn1)Cc1ccc(-c2ccc(N=Cc3ccccn3)cc2)cn1")</f>
        <v>CN(Cc1ccc(F)cn1)Cc1ccc(-c2ccc(N=Cc3ccccn3)cc2)cn1</v>
      </c>
      <c r="C17667" s="7">
        <f>IFERROR(__xludf.DUMMYFUNCTION("""COMPUTED_VALUE"""),7.730564)</f>
        <v>7.730564</v>
      </c>
      <c r="D17667" s="7">
        <f>IFERROR(__xludf.DUMMYFUNCTION("""COMPUTED_VALUE"""),0.396226415094339)</f>
        <v>0.3962264151</v>
      </c>
    </row>
    <row r="17668">
      <c r="A17668" s="10" t="s">
        <v>19107</v>
      </c>
      <c r="B17668" s="7" t="str">
        <f>IFERROR(__xludf.DUMMYFUNCTION("SPLIT(A17668,"" "")"),"CC(C)c1cccc(N(C)Cc2ccccn2)c1-c1cnccc1CN(Cc1ccccn1)Cc1ncccc1-c1ccccc1N")</f>
        <v>CC(C)c1cccc(N(C)Cc2ccccn2)c1-c1cnccc1CN(Cc1ccccn1)Cc1ncccc1-c1ccccc1N</v>
      </c>
      <c r="C17668" s="7">
        <f>IFERROR(__xludf.DUMMYFUNCTION("""COMPUTED_VALUE"""),7.7305465)</f>
        <v>7.7305465</v>
      </c>
      <c r="D17668" s="7">
        <f>IFERROR(__xludf.DUMMYFUNCTION("""COMPUTED_VALUE"""),0.338235294117647)</f>
        <v>0.3382352941</v>
      </c>
    </row>
    <row r="17669">
      <c r="A17669" s="10" t="s">
        <v>19108</v>
      </c>
      <c r="B17669" s="7" t="str">
        <f>IFERROR(__xludf.DUMMYFUNCTION("SPLIT(A17669,"" "")"),"CNCc1ccc2cccc(N(C)C(C)(C)c3ccccn3)c2n1")</f>
        <v>CNCc1ccc2cccc(N(C)C(C)(C)c3ccccn3)c2n1</v>
      </c>
      <c r="C17669" s="7">
        <f>IFERROR(__xludf.DUMMYFUNCTION("""COMPUTED_VALUE"""),7.7305436)</f>
        <v>7.7305436</v>
      </c>
      <c r="D17669" s="7">
        <f>IFERROR(__xludf.DUMMYFUNCTION("""COMPUTED_VALUE"""),0.388888888888888)</f>
        <v>0.3888888889</v>
      </c>
    </row>
    <row r="17670">
      <c r="A17670" s="10" t="s">
        <v>19109</v>
      </c>
      <c r="B17670" s="7" t="str">
        <f>IFERROR(__xludf.DUMMYFUNCTION("SPLIT(A17670,"" "")"),"Cc1cc(C)c(C)c(CN(C)Cc2cc(-c3cccc(N=Cc4ccccn4)c3)ccn2)c1")</f>
        <v>Cc1cc(C)c(C)c(CN(C)Cc2cc(-c3cccc(N=Cc4ccccn4)c3)ccn2)c1</v>
      </c>
      <c r="C17670" s="7">
        <f>IFERROR(__xludf.DUMMYFUNCTION("""COMPUTED_VALUE"""),7.7305355)</f>
        <v>7.7305355</v>
      </c>
      <c r="D17670" s="7">
        <f>IFERROR(__xludf.DUMMYFUNCTION("""COMPUTED_VALUE"""),0.365079365079365)</f>
        <v>0.3650793651</v>
      </c>
    </row>
    <row r="17671">
      <c r="A17671" s="10" t="s">
        <v>19110</v>
      </c>
      <c r="B17671" s="7" t="str">
        <f>IFERROR(__xludf.DUMMYFUNCTION("SPLIT(A17671,"" "")"),"Cc1cccnc1CN(C)Cc1ccc(-c2cccc(N=Cc3ccccn3)c2)cn1")</f>
        <v>Cc1cccnc1CN(C)Cc1ccc(-c2cccc(N=Cc3ccccn3)c2)cn1</v>
      </c>
      <c r="C17671" s="7">
        <f>IFERROR(__xludf.DUMMYFUNCTION("""COMPUTED_VALUE"""),7.7305303)</f>
        <v>7.7305303</v>
      </c>
      <c r="D17671" s="7">
        <f>IFERROR(__xludf.DUMMYFUNCTION("""COMPUTED_VALUE"""),0.393442622950819)</f>
        <v>0.393442623</v>
      </c>
    </row>
    <row r="17672">
      <c r="A17672" s="10" t="s">
        <v>19111</v>
      </c>
      <c r="B17672" s="7" t="str">
        <f>IFERROR(__xludf.DUMMYFUNCTION("SPLIT(A17672,"" "")"),"CN(C)CC1=CC(N(C)c2ccc3cc(CF)cnc3c2)C=CN1")</f>
        <v>CN(C)CC1=CC(N(C)c2ccc3cc(CF)cnc3c2)C=CN1</v>
      </c>
      <c r="C17672" s="7">
        <f>IFERROR(__xludf.DUMMYFUNCTION("""COMPUTED_VALUE"""),7.7305274)</f>
        <v>7.7305274</v>
      </c>
      <c r="D17672" s="7">
        <f>IFERROR(__xludf.DUMMYFUNCTION("""COMPUTED_VALUE"""),0.301587301587301)</f>
        <v>0.3015873016</v>
      </c>
    </row>
    <row r="17673">
      <c r="A17673" s="10" t="s">
        <v>19112</v>
      </c>
      <c r="B17673" s="7" t="str">
        <f>IFERROR(__xludf.DUMMYFUNCTION("SPLIT(A17673,"" "")"),"Cc1cc(C)c(CN(Cc2ccccn2)c2ccc3ncc(CN(C)Cc4ncccc4C)cc3c2)cn1")</f>
        <v>Cc1cc(C)c(CN(Cc2ccccn2)c2ccc3ncc(CN(C)Cc4ncccc4C)cc3c2)cn1</v>
      </c>
      <c r="C17673" s="7">
        <f>IFERROR(__xludf.DUMMYFUNCTION("""COMPUTED_VALUE"""),7.7305055)</f>
        <v>7.7305055</v>
      </c>
      <c r="D17673" s="7">
        <f>IFERROR(__xludf.DUMMYFUNCTION("""COMPUTED_VALUE"""),0.343283582089552)</f>
        <v>0.3432835821</v>
      </c>
    </row>
    <row r="17674">
      <c r="A17674" s="10" t="s">
        <v>19113</v>
      </c>
      <c r="B17674" s="7" t="str">
        <f>IFERROR(__xludf.DUMMYFUNCTION("SPLIT(A17674,"" "")"),"Cc1ncccc1CN(C)CC1=CC(N(C)c2cccc3cccnc23)C=CN1")</f>
        <v>Cc1ncccc1CN(C)CC1=CC(N(C)c2cccc3cccnc23)C=CN1</v>
      </c>
      <c r="C17674" s="7">
        <f>IFERROR(__xludf.DUMMYFUNCTION("""COMPUTED_VALUE"""),7.7305007)</f>
        <v>7.7305007</v>
      </c>
      <c r="D17674" s="7">
        <f>IFERROR(__xludf.DUMMYFUNCTION("""COMPUTED_VALUE"""),0.428571428571428)</f>
        <v>0.4285714286</v>
      </c>
    </row>
    <row r="17675">
      <c r="A17675" s="10" t="s">
        <v>19114</v>
      </c>
      <c r="B17675" s="7" t="str">
        <f>IFERROR(__xludf.DUMMYFUNCTION("SPLIT(A17675,"" "")"),"Cc1ccc(CN(C)Cc2cccc(-c3cccc(N(C)C)c3)n2)nc1C")</f>
        <v>Cc1ccc(CN(C)Cc2cccc(-c3cccc(N(C)C)c3)n2)nc1C</v>
      </c>
      <c r="C17675" s="7">
        <f>IFERROR(__xludf.DUMMYFUNCTION("""COMPUTED_VALUE"""),7.7304974)</f>
        <v>7.7304974</v>
      </c>
      <c r="D17675" s="7">
        <f>IFERROR(__xludf.DUMMYFUNCTION("""COMPUTED_VALUE"""),0.42)</f>
        <v>0.42</v>
      </c>
    </row>
    <row r="17676">
      <c r="A17676" s="10" t="s">
        <v>19115</v>
      </c>
      <c r="B17676" s="7" t="str">
        <f>IFERROR(__xludf.DUMMYFUNCTION("SPLIT(A17676,"" "")"),"CN(Cc1ccc2cc(N(Cc3ccccn3)c3ccccc3)ccc2n1)C(C)(C)c1ccccn1")</f>
        <v>CN(Cc1ccc2cc(N(Cc3ccccn3)c3ccccc3)ccc2n1)C(C)(C)c1ccccn1</v>
      </c>
      <c r="C17676" s="7">
        <f>IFERROR(__xludf.DUMMYFUNCTION("""COMPUTED_VALUE"""),7.730492)</f>
        <v>7.730492</v>
      </c>
      <c r="D17676" s="7">
        <f>IFERROR(__xludf.DUMMYFUNCTION("""COMPUTED_VALUE"""),0.436363636363636)</f>
        <v>0.4363636364</v>
      </c>
    </row>
    <row r="17677">
      <c r="A17677" s="10" t="s">
        <v>19116</v>
      </c>
      <c r="B17677" s="7" t="str">
        <f>IFERROR(__xludf.DUMMYFUNCTION("SPLIT(A17677,"" "")"),"CN(c1ccc2nc3c(cc2c1)CCC3)C1CCC(N(C)c2ccc3nccc(CF)c3c2)CC1")</f>
        <v>CN(c1ccc2nc3c(cc2c1)CCC3)C1CCC(N(C)c2ccc3nccc(CF)c3c2)CC1</v>
      </c>
      <c r="C17677" s="7">
        <f>IFERROR(__xludf.DUMMYFUNCTION("""COMPUTED_VALUE"""),7.730489)</f>
        <v>7.730489</v>
      </c>
      <c r="D17677" s="7">
        <f>IFERROR(__xludf.DUMMYFUNCTION("""COMPUTED_VALUE"""),0.343283582089552)</f>
        <v>0.3432835821</v>
      </c>
    </row>
    <row r="17678">
      <c r="A17678" s="10" t="s">
        <v>19117</v>
      </c>
      <c r="B17678" s="7" t="str">
        <f>IFERROR(__xludf.DUMMYFUNCTION("SPLIT(A17678,"" "")"),"Cc1ccc2ccc(N(C)CCN(C)Cc3cc(C)c(C)c(C)n3)cc2n1")</f>
        <v>Cc1ccc2ccc(N(C)CCN(C)Cc3cc(C)c(C)c(C)n3)cc2n1</v>
      </c>
      <c r="C17678" s="7">
        <f>IFERROR(__xludf.DUMMYFUNCTION("""COMPUTED_VALUE"""),7.730487)</f>
        <v>7.730487</v>
      </c>
      <c r="D17678" s="7">
        <f>IFERROR(__xludf.DUMMYFUNCTION("""COMPUTED_VALUE"""),0.395833333333333)</f>
        <v>0.3958333333</v>
      </c>
    </row>
    <row r="17679">
      <c r="A17679" s="10" t="s">
        <v>19118</v>
      </c>
      <c r="B17679" s="7" t="str">
        <f>IFERROR(__xludf.DUMMYFUNCTION("SPLIT(A17679,"" "")"),"CCNCc1cc(-c2cccc(C)c2N=Cc2ccccn2)ccn1")</f>
        <v>CCNCc1cc(-c2cccc(C)c2N=Cc2ccccn2)ccn1</v>
      </c>
      <c r="C17679" s="7">
        <f>IFERROR(__xludf.DUMMYFUNCTION("""COMPUTED_VALUE"""),7.7304845)</f>
        <v>7.7304845</v>
      </c>
      <c r="D17679" s="7">
        <f>IFERROR(__xludf.DUMMYFUNCTION("""COMPUTED_VALUE"""),0.428571428571428)</f>
        <v>0.4285714286</v>
      </c>
    </row>
    <row r="17680">
      <c r="A17680" s="10" t="s">
        <v>19119</v>
      </c>
      <c r="B17680" s="7" t="str">
        <f>IFERROR(__xludf.DUMMYFUNCTION("SPLIT(A17680,"" "")"),"CNCc1cc(CN(C)c2ccc3nccc(CN(C)Cc4ncccc4C)c3c2)ccn1")</f>
        <v>CNCc1cc(CN(C)c2ccc3nccc(CN(C)Cc4ncccc4C)c3c2)ccn1</v>
      </c>
      <c r="C17680" s="7">
        <f>IFERROR(__xludf.DUMMYFUNCTION("""COMPUTED_VALUE"""),7.7304807)</f>
        <v>7.7304807</v>
      </c>
      <c r="D17680" s="7">
        <f>IFERROR(__xludf.DUMMYFUNCTION("""COMPUTED_VALUE"""),0.253731343283582)</f>
        <v>0.2537313433</v>
      </c>
    </row>
    <row r="17681">
      <c r="A17681" s="10" t="s">
        <v>19120</v>
      </c>
      <c r="B17681" s="7" t="str">
        <f>IFERROR(__xludf.DUMMYFUNCTION("SPLIT(A17681,"" "")"),"CN(Cc1ccccn1)Cc1cc(-c2ccc(N=Cc3ccccn3)cc2)ccn1")</f>
        <v>CN(Cc1ccccn1)Cc1cc(-c2ccc(N=Cc3ccccn3)cc2)ccn1</v>
      </c>
      <c r="C17681" s="7">
        <f>IFERROR(__xludf.DUMMYFUNCTION("""COMPUTED_VALUE"""),7.7304797)</f>
        <v>7.7304797</v>
      </c>
      <c r="D17681" s="7">
        <f>IFERROR(__xludf.DUMMYFUNCTION("""COMPUTED_VALUE"""),0.415094339622641)</f>
        <v>0.4150943396</v>
      </c>
    </row>
    <row r="17682">
      <c r="A17682" s="10" t="s">
        <v>19121</v>
      </c>
      <c r="B17682" s="7" t="str">
        <f>IFERROR(__xludf.DUMMYFUNCTION("SPLIT(A17682,"" "")"),"Cc1cccc(CN(C)Cc2ccc3cccc(N(C)Cc4cc(CF)ccn4)c3n2)n1")</f>
        <v>Cc1cccc(CN(C)Cc2ccc3cccc(N(C)Cc4cc(CF)ccn4)c3n2)n1</v>
      </c>
      <c r="C17682" s="7">
        <f>IFERROR(__xludf.DUMMYFUNCTION("""COMPUTED_VALUE"""),7.7304707)</f>
        <v>7.7304707</v>
      </c>
      <c r="D17682" s="7">
        <f>IFERROR(__xludf.DUMMYFUNCTION("""COMPUTED_VALUE"""),0.431372549019607)</f>
        <v>0.431372549</v>
      </c>
    </row>
    <row r="17683">
      <c r="A17683" s="10" t="s">
        <v>19122</v>
      </c>
      <c r="B17683" s="7" t="str">
        <f>IFERROR(__xludf.DUMMYFUNCTION("SPLIT(A17683,"" "")"),"CN(c1ccc2c(CF)ccnc2c1)C1CCC(N(C)c2cccc3cc(CF)cnc23)CC1")</f>
        <v>CN(c1ccc2c(CF)ccnc2c1)C1CCC(N(C)c2cccc3cc(CF)cnc23)CC1</v>
      </c>
      <c r="C17683" s="7">
        <f>IFERROR(__xludf.DUMMYFUNCTION("""COMPUTED_VALUE"""),7.730468)</f>
        <v>7.730468</v>
      </c>
      <c r="D17683" s="7">
        <f>IFERROR(__xludf.DUMMYFUNCTION("""COMPUTED_VALUE"""),0.34375)</f>
        <v>0.34375</v>
      </c>
    </row>
    <row r="17684">
      <c r="A17684" s="10" t="s">
        <v>19123</v>
      </c>
      <c r="B17684" s="7" t="str">
        <f>IFERROR(__xludf.DUMMYFUNCTION("SPLIT(A17684,"" "")"),"CN(c1ccc2ncccc2c1)C1CCCCC1N(C)c1ccc2nccc(CF)c2c1")</f>
        <v>CN(c1ccc2ncccc2c1)C1CCCCC1N(C)c1ccc2nccc(CF)c2c1</v>
      </c>
      <c r="C17684" s="7">
        <f>IFERROR(__xludf.DUMMYFUNCTION("""COMPUTED_VALUE"""),7.7304544)</f>
        <v>7.7304544</v>
      </c>
      <c r="D17684" s="7">
        <f>IFERROR(__xludf.DUMMYFUNCTION("""COMPUTED_VALUE"""),0.444444444444444)</f>
        <v>0.4444444444</v>
      </c>
    </row>
    <row r="17685">
      <c r="A17685" s="10" t="s">
        <v>19124</v>
      </c>
      <c r="B17685" s="7" t="str">
        <f>IFERROR(__xludf.DUMMYFUNCTION("SPLIT(A17685,"" "")"),"Cc1ccc2cc(N(C)C3CCCCC3N(C)c3ccc4nc(CN(C)C)ccc4c3)ccc2n1")</f>
        <v>Cc1ccc2cc(N(C)C3CCCCC3N(C)c3ccc4nc(CN(C)C)ccc4c3)ccc2n1</v>
      </c>
      <c r="C17685" s="7">
        <f>IFERROR(__xludf.DUMMYFUNCTION("""COMPUTED_VALUE"""),7.730444)</f>
        <v>7.730444</v>
      </c>
      <c r="D17685" s="7">
        <f>IFERROR(__xludf.DUMMYFUNCTION("""COMPUTED_VALUE"""),0.44)</f>
        <v>0.44</v>
      </c>
    </row>
    <row r="17686">
      <c r="A17686" s="10" t="s">
        <v>19125</v>
      </c>
      <c r="B17686" s="7" t="str">
        <f>IFERROR(__xludf.DUMMYFUNCTION("SPLIT(A17686,"" "")"),"CN(Cc1cccc(F)n1)Cc1cccc(-c2ccccc2N=Cc2ccccn2)n1")</f>
        <v>CN(Cc1cccc(F)n1)Cc1cccc(-c2ccccc2N=Cc2ccccn2)n1</v>
      </c>
      <c r="C17686" s="7">
        <f>IFERROR(__xludf.DUMMYFUNCTION("""COMPUTED_VALUE"""),7.730436)</f>
        <v>7.730436</v>
      </c>
      <c r="D17686" s="7">
        <f>IFERROR(__xludf.DUMMYFUNCTION("""COMPUTED_VALUE"""),0.490566037735849)</f>
        <v>0.4905660377</v>
      </c>
    </row>
    <row r="17687">
      <c r="A17687" s="10" t="s">
        <v>19126</v>
      </c>
      <c r="B17687" s="7" t="str">
        <f>IFERROR(__xludf.DUMMYFUNCTION("SPLIT(A17687,"" "")"),"Cc1cc(CN(C)Cc2ccnc3ccccc23)nc(C)c1C")</f>
        <v>Cc1cc(CN(C)Cc2ccnc3ccccc23)nc(C)c1C</v>
      </c>
      <c r="C17687" s="7">
        <f>IFERROR(__xludf.DUMMYFUNCTION("""COMPUTED_VALUE"""),7.730436)</f>
        <v>7.730436</v>
      </c>
      <c r="D17687" s="7">
        <f>IFERROR(__xludf.DUMMYFUNCTION("""COMPUTED_VALUE"""),0.339622641509433)</f>
        <v>0.3396226415</v>
      </c>
    </row>
    <row r="17688">
      <c r="A17688" s="10" t="s">
        <v>19127</v>
      </c>
      <c r="B17688" s="7" t="str">
        <f>IFERROR(__xludf.DUMMYFUNCTION("SPLIT(A17688,"" "")"),"Cc1cccc(CN(C)CC2=CC(N(C)c3ccc4ncccc4c3)C=CN2)n1")</f>
        <v>Cc1cccc(CN(C)CC2=CC(N(C)c3ccc4ncccc4c3)C=CN2)n1</v>
      </c>
      <c r="C17688" s="7">
        <f>IFERROR(__xludf.DUMMYFUNCTION("""COMPUTED_VALUE"""),7.7304316)</f>
        <v>7.7304316</v>
      </c>
      <c r="D17688" s="7">
        <f>IFERROR(__xludf.DUMMYFUNCTION("""COMPUTED_VALUE"""),0.385964912280701)</f>
        <v>0.3859649123</v>
      </c>
    </row>
    <row r="17689">
      <c r="A17689" s="10" t="s">
        <v>19128</v>
      </c>
      <c r="B17689" s="7" t="str">
        <f>IFERROR(__xludf.DUMMYFUNCTION("SPLIT(A17689,"" "")"),"CN(CC1=CC(N(C)Cc2ccccn2)C=CN1)c1ccc2c(CF)ccnc2c1")</f>
        <v>CN(CC1=CC(N(C)Cc2ccccn2)C=CN1)c1ccc2c(CF)ccnc2c1</v>
      </c>
      <c r="C17689" s="7">
        <f>IFERROR(__xludf.DUMMYFUNCTION("""COMPUTED_VALUE"""),7.7304254)</f>
        <v>7.7304254</v>
      </c>
      <c r="D17689" s="7">
        <f>IFERROR(__xludf.DUMMYFUNCTION("""COMPUTED_VALUE"""),0.34375)</f>
        <v>0.34375</v>
      </c>
    </row>
    <row r="17690">
      <c r="A17690" s="10" t="s">
        <v>19129</v>
      </c>
      <c r="B17690" s="7" t="str">
        <f>IFERROR(__xludf.DUMMYFUNCTION("SPLIT(A17690,"" "")"),"Cc1ccnc(C2CCC2(C)C)c1C(=O)C(=O)C(=O)C(=O)C(=O)C(=O)C(=O)C(=O)C(=O)C(=O)C(=O)C(=O)C(=O)C(=O)C(=O)C(=O)C(=O)C(=O)C(=O)C=O")</f>
        <v>Cc1ccnc(C2CCC2(C)C)c1C(=O)C(=O)C(=O)C(=O)C(=O)C(=O)C(=O)C(=O)C(=O)C(=O)C(=O)C(=O)C(=O)C(=O)C(=O)C(=O)C(=O)C(=O)C(=O)C=O</v>
      </c>
      <c r="C17690" s="7">
        <f>IFERROR(__xludf.DUMMYFUNCTION("""COMPUTED_VALUE"""),7.730421)</f>
        <v>7.730421</v>
      </c>
      <c r="D17690" s="7">
        <f>IFERROR(__xludf.DUMMYFUNCTION("""COMPUTED_VALUE"""),0.194444444444444)</f>
        <v>0.1944444444</v>
      </c>
    </row>
    <row r="17691">
      <c r="A17691" s="10" t="s">
        <v>19130</v>
      </c>
      <c r="B17691" s="7" t="str">
        <f>IFERROR(__xludf.DUMMYFUNCTION("SPLIT(A17691,"" "")"),"CN(CC1=CC(N(C)Cc2ccccn2)C=CN1)c1ccc2nccc(CF)c2c1")</f>
        <v>CN(CC1=CC(N(C)Cc2ccccn2)C=CN1)c1ccc2nccc(CF)c2c1</v>
      </c>
      <c r="C17691" s="7">
        <f>IFERROR(__xludf.DUMMYFUNCTION("""COMPUTED_VALUE"""),7.730417)</f>
        <v>7.730417</v>
      </c>
      <c r="D17691" s="7">
        <f>IFERROR(__xludf.DUMMYFUNCTION("""COMPUTED_VALUE"""),0.338461538461538)</f>
        <v>0.3384615385</v>
      </c>
    </row>
    <row r="17692">
      <c r="A17692" s="10" t="s">
        <v>19131</v>
      </c>
      <c r="B17692" s="7" t="str">
        <f>IFERROR(__xludf.DUMMYFUNCTION("SPLIT(A17692,"" "")"),"Cc1ncccc1-c1ccccc1NCc1ccccn1")</f>
        <v>Cc1ncccc1-c1ccccc1NCc1ccccn1</v>
      </c>
      <c r="C17692" s="7">
        <f>IFERROR(__xludf.DUMMYFUNCTION("""COMPUTED_VALUE"""),7.7304134)</f>
        <v>7.7304134</v>
      </c>
      <c r="D17692" s="7">
        <f>IFERROR(__xludf.DUMMYFUNCTION("""COMPUTED_VALUE"""),0.447368421052631)</f>
        <v>0.4473684211</v>
      </c>
    </row>
    <row r="17693">
      <c r="A17693" s="10" t="s">
        <v>19132</v>
      </c>
      <c r="B17693" s="7" t="str">
        <f>IFERROR(__xludf.DUMMYFUNCTION("SPLIT(A17693,"" "")"),"CCN(Cc1ccccn1)Cc1cccc(N(C)c2cccc3cccnc23)n1")</f>
        <v>CCN(Cc1ccccn1)Cc1cccc(N(C)c2cccc3cccnc23)n1</v>
      </c>
      <c r="C17693" s="7">
        <f>IFERROR(__xludf.DUMMYFUNCTION("""COMPUTED_VALUE"""),7.7304106)</f>
        <v>7.7304106</v>
      </c>
      <c r="D17693" s="7">
        <f>IFERROR(__xludf.DUMMYFUNCTION("""COMPUTED_VALUE"""),0.458333333333333)</f>
        <v>0.4583333333</v>
      </c>
    </row>
    <row r="17694">
      <c r="A17694" s="10" t="s">
        <v>19133</v>
      </c>
      <c r="B17694" s="7" t="str">
        <f>IFERROR(__xludf.DUMMYFUNCTION("SPLIT(A17694,"" "")"),"CCN(Cc1ccccn1)c1ccc2nccc(CN(C)Cc3ncc(C)cc3C)c2c1")</f>
        <v>CCN(Cc1ccccn1)c1ccc2nccc(CN(C)Cc3ncc(C)cc3C)c2c1</v>
      </c>
      <c r="C17694" s="7">
        <f>IFERROR(__xludf.DUMMYFUNCTION("""COMPUTED_VALUE"""),7.7304053)</f>
        <v>7.7304053</v>
      </c>
      <c r="D17694" s="7">
        <f>IFERROR(__xludf.DUMMYFUNCTION("""COMPUTED_VALUE"""),0.34375)</f>
        <v>0.34375</v>
      </c>
    </row>
    <row r="17695">
      <c r="A17695" s="10" t="s">
        <v>19134</v>
      </c>
      <c r="B17695" s="7" t="str">
        <f>IFERROR(__xludf.DUMMYFUNCTION("SPLIT(A17695,"" "")"),"Cc1cncc(CN(C)Cc2cccc(-c3cccc(N=Cc4ccccn4)c3)n2)c1C")</f>
        <v>Cc1cncc(CN(C)Cc2cccc(-c3cccc(N=Cc4ccccn4)c3)n2)c1C</v>
      </c>
      <c r="C17695" s="7">
        <f>IFERROR(__xludf.DUMMYFUNCTION("""COMPUTED_VALUE"""),7.7304053)</f>
        <v>7.7304053</v>
      </c>
      <c r="D17695" s="7">
        <f>IFERROR(__xludf.DUMMYFUNCTION("""COMPUTED_VALUE"""),0.412698412698412)</f>
        <v>0.4126984127</v>
      </c>
    </row>
    <row r="17696">
      <c r="A17696" s="10" t="s">
        <v>19135</v>
      </c>
      <c r="B17696" s="7" t="str">
        <f>IFERROR(__xludf.DUMMYFUNCTION("SPLIT(A17696,"" "")"),"CN(CC1=CC(N(C)c2ccc3ncccc3c2)C=CN1)Cc1cccnn1")</f>
        <v>CN(CC1=CC(N(C)c2ccc3ncccc3c2)C=CN1)Cc1cccnn1</v>
      </c>
      <c r="C17696" s="7">
        <f>IFERROR(__xludf.DUMMYFUNCTION("""COMPUTED_VALUE"""),7.730405)</f>
        <v>7.730405</v>
      </c>
      <c r="D17696" s="7">
        <f>IFERROR(__xludf.DUMMYFUNCTION("""COMPUTED_VALUE"""),0.392857142857142)</f>
        <v>0.3928571429</v>
      </c>
    </row>
    <row r="17697">
      <c r="A17697" s="10" t="s">
        <v>19136</v>
      </c>
      <c r="B17697" s="7" t="str">
        <f>IFERROR(__xludf.DUMMYFUNCTION("SPLIT(A17697,"" "")"),"Cc1cc(C)nc(CN(C)Cc2cc(-c3ccccc3N(C)C)ccn2)c1")</f>
        <v>Cc1cc(C)nc(CN(C)Cc2cc(-c3ccccc3N(C)C)ccn2)c1</v>
      </c>
      <c r="C17697" s="7">
        <f>IFERROR(__xludf.DUMMYFUNCTION("""COMPUTED_VALUE"""),7.7304044)</f>
        <v>7.7304044</v>
      </c>
      <c r="D17697" s="7">
        <f>IFERROR(__xludf.DUMMYFUNCTION("""COMPUTED_VALUE"""),0.345454545454545)</f>
        <v>0.3454545455</v>
      </c>
    </row>
    <row r="17698">
      <c r="A17698" s="10" t="s">
        <v>19137</v>
      </c>
      <c r="B17698" s="7" t="str">
        <f>IFERROR(__xludf.DUMMYFUNCTION("SPLIT(A17698,"" "")"),"Cc1ccc(C)c(CN(C)Cc2cc(-c3ccccc3N=Cc3ccccn3)ccn2)c1C")</f>
        <v>Cc1ccc(C)c(CN(C)Cc2cc(-c3ccccc3N=Cc3ccccn3)ccn2)c1C</v>
      </c>
      <c r="C17698" s="7">
        <f>IFERROR(__xludf.DUMMYFUNCTION("""COMPUTED_VALUE"""),7.730403)</f>
        <v>7.730403</v>
      </c>
      <c r="D17698" s="7">
        <f>IFERROR(__xludf.DUMMYFUNCTION("""COMPUTED_VALUE"""),0.423728813559322)</f>
        <v>0.4237288136</v>
      </c>
    </row>
    <row r="17699">
      <c r="A17699" s="10" t="s">
        <v>19138</v>
      </c>
      <c r="B17699" s="7" t="str">
        <f>IFERROR(__xludf.DUMMYFUNCTION("SPLIT(A17699,"" "")"),"Cc1ccc2ncccc2c1N(Cc1ccccn1)C1CCC(N(C)c2cccc3cccnc23)CC1")</f>
        <v>Cc1ccc2ncccc2c1N(Cc1ccccn1)C1CCC(N(C)c2cccc3cccnc23)CC1</v>
      </c>
      <c r="C17699" s="7">
        <f>IFERROR(__xludf.DUMMYFUNCTION("""COMPUTED_VALUE"""),7.7303977)</f>
        <v>7.7303977</v>
      </c>
      <c r="D17699" s="7">
        <f>IFERROR(__xludf.DUMMYFUNCTION("""COMPUTED_VALUE"""),0.433333333333333)</f>
        <v>0.4333333333</v>
      </c>
    </row>
    <row r="17700">
      <c r="A17700" s="10" t="s">
        <v>19139</v>
      </c>
      <c r="B17700" s="7" t="str">
        <f>IFERROR(__xludf.DUMMYFUNCTION("SPLIT(A17700,"" "")"),"CC(C)C1(C)COC(c2cccc(CN(Cc3ccccn3)C3CCC(N(C)c4ccc5ncc(-c6ccc7ncccc7c6)cc5c4)CC3)n2)=N1")</f>
        <v>CC(C)C1(C)COC(c2cccc(CN(Cc3ccccn3)C3CCC(N(C)c4ccc5ncc(-c6ccc7ncccc7c6)cc5c4)CC3)n2)=N1</v>
      </c>
      <c r="C17700" s="7">
        <f>IFERROR(__xludf.DUMMYFUNCTION("""COMPUTED_VALUE"""),7.730383)</f>
        <v>7.730383</v>
      </c>
      <c r="D17700" s="7">
        <f>IFERROR(__xludf.DUMMYFUNCTION("""COMPUTED_VALUE"""),0.308641975308641)</f>
        <v>0.3086419753</v>
      </c>
    </row>
    <row r="17701">
      <c r="A17701" s="10" t="s">
        <v>19140</v>
      </c>
      <c r="B17701" s="7" t="str">
        <f>IFERROR(__xludf.DUMMYFUNCTION("SPLIT(A17701,"" "")"),"Cc1ccnc(CN(C)C2C=CNC(CN(C)c3ccc4nccc(CF)c4c3)=C2)c1")</f>
        <v>Cc1ccnc(CN(C)C2C=CNC(CN(C)c3ccc4nccc(CF)c4c3)=C2)c1</v>
      </c>
      <c r="C17701" s="7">
        <f>IFERROR(__xludf.DUMMYFUNCTION("""COMPUTED_VALUE"""),7.730379)</f>
        <v>7.730379</v>
      </c>
      <c r="D17701" s="7">
        <f>IFERROR(__xludf.DUMMYFUNCTION("""COMPUTED_VALUE"""),0.246575342465753)</f>
        <v>0.2465753425</v>
      </c>
    </row>
    <row r="17702">
      <c r="A17702" s="10" t="s">
        <v>19141</v>
      </c>
      <c r="B17702" s="7" t="str">
        <f>IFERROR(__xludf.DUMMYFUNCTION("SPLIT(A17702,"" "")"),"CN(c1ccc2nc3c(cc2c1)CCC3)C1CCC(N(C)c2cccc3c4c(cnc23)CCC4)CC1")</f>
        <v>CN(c1ccc2nc3c(cc2c1)CCC3)C1CCC(N(C)c2cccc3c4c(cnc23)CCC4)CC1</v>
      </c>
      <c r="C17702" s="7">
        <f>IFERROR(__xludf.DUMMYFUNCTION("""COMPUTED_VALUE"""),7.730375)</f>
        <v>7.730375</v>
      </c>
      <c r="D17702" s="7">
        <f>IFERROR(__xludf.DUMMYFUNCTION("""COMPUTED_VALUE"""),0.453125)</f>
        <v>0.453125</v>
      </c>
    </row>
    <row r="17703">
      <c r="A17703" s="10" t="s">
        <v>19142</v>
      </c>
      <c r="B17703" s="7" t="str">
        <f>IFERROR(__xludf.DUMMYFUNCTION("SPLIT(A17703,"" "")"),"Cc1cccnc1CN(C)Cc1cccc(-c2ccccc2N=Cc2ccccn2)n1")</f>
        <v>Cc1cccnc1CN(C)Cc1cccc(-c2ccccc2N=Cc2ccccn2)n1</v>
      </c>
      <c r="C17703" s="7">
        <f>IFERROR(__xludf.DUMMYFUNCTION("""COMPUTED_VALUE"""),7.7303743)</f>
        <v>7.7303743</v>
      </c>
      <c r="D17703" s="7">
        <f>IFERROR(__xludf.DUMMYFUNCTION("""COMPUTED_VALUE"""),0.482142857142857)</f>
        <v>0.4821428571</v>
      </c>
    </row>
    <row r="17704">
      <c r="A17704" s="10" t="s">
        <v>19143</v>
      </c>
      <c r="B17704" s="7" t="str">
        <f>IFERROR(__xludf.DUMMYFUNCTION("SPLIT(A17704,"" "")"),"CNCc1cc(CN(Cc2ccccn2)c2ccc3nc(C)ccc3c2)ccn1")</f>
        <v>CNCc1cc(CN(Cc2ccccn2)c2ccc3nc(C)ccc3c2)ccn1</v>
      </c>
      <c r="C17704" s="7">
        <f>IFERROR(__xludf.DUMMYFUNCTION("""COMPUTED_VALUE"""),7.7303734)</f>
        <v>7.7303734</v>
      </c>
      <c r="D17704" s="7">
        <f>IFERROR(__xludf.DUMMYFUNCTION("""COMPUTED_VALUE"""),0.368421052631578)</f>
        <v>0.3684210526</v>
      </c>
    </row>
    <row r="17705">
      <c r="A17705" s="10" t="s">
        <v>19144</v>
      </c>
      <c r="B17705" s="7" t="str">
        <f>IFERROR(__xludf.DUMMYFUNCTION("SPLIT(A17705,"" "")"),"C1=CNC(Nc2cccc(C(c3ccccn3)c3ccccn3)n2)C=C1")</f>
        <v>C1=CNC(Nc2cccc(C(c3ccccn3)c3ccccn3)n2)C=C1</v>
      </c>
      <c r="C17705" s="7">
        <f>IFERROR(__xludf.DUMMYFUNCTION("""COMPUTED_VALUE"""),7.730371)</f>
        <v>7.730371</v>
      </c>
      <c r="D17705" s="7">
        <f>IFERROR(__xludf.DUMMYFUNCTION("""COMPUTED_VALUE"""),0.339285714285714)</f>
        <v>0.3392857143</v>
      </c>
    </row>
    <row r="17706">
      <c r="A17706" s="10" t="s">
        <v>19145</v>
      </c>
      <c r="B17706" s="7" t="str">
        <f>IFERROR(__xludf.DUMMYFUNCTION("SPLIT(A17706,"" "")"),"CN(c1ccc2ncccc2c1)C1C2CCC1C(Nc1cccc3cccnc13)C2")</f>
        <v>CN(c1ccc2ncccc2c1)C1C2CCC1C(Nc1cccc3cccnc13)C2</v>
      </c>
      <c r="C17706" s="7">
        <f>IFERROR(__xludf.DUMMYFUNCTION("""COMPUTED_VALUE"""),7.730357)</f>
        <v>7.730357</v>
      </c>
      <c r="D17706" s="7">
        <f>IFERROR(__xludf.DUMMYFUNCTION("""COMPUTED_VALUE"""),0.473684210526315)</f>
        <v>0.4736842105</v>
      </c>
    </row>
    <row r="17707">
      <c r="A17707" s="10" t="s">
        <v>19146</v>
      </c>
      <c r="B17707" s="7" t="str">
        <f>IFERROR(__xludf.DUMMYFUNCTION("SPLIT(A17707,"" "")"),"CCNC1=C(C)c2ncccc2CC1c1cc(CN(Cc2ccccn2)Cc2ccc(-c3cccc(N=Cc4ccccn4)c3)cn2)ccn1")</f>
        <v>CCNC1=C(C)c2ncccc2CC1c1cc(CN(Cc2ccccn2)Cc2ccc(-c3cccc(N=Cc4ccccn4)c3)cn2)ccn1</v>
      </c>
      <c r="C17707" s="7">
        <f>IFERROR(__xludf.DUMMYFUNCTION("""COMPUTED_VALUE"""),7.7303557)</f>
        <v>7.7303557</v>
      </c>
      <c r="D17707" s="7">
        <f>IFERROR(__xludf.DUMMYFUNCTION("""COMPUTED_VALUE"""),0.293478260869565)</f>
        <v>0.2934782609</v>
      </c>
    </row>
    <row r="17708">
      <c r="A17708" s="10" t="s">
        <v>19147</v>
      </c>
      <c r="B17708" s="7" t="str">
        <f>IFERROR(__xludf.DUMMYFUNCTION("SPLIT(A17708,"" "")"),"Cc1cc(-c2ccc(CN(C)Cc3ccccn3)cn2)ccc1N=Cc1ccccn1")</f>
        <v>Cc1cc(-c2ccc(CN(C)Cc3ccccn3)cn2)ccc1N=Cc1ccccn1</v>
      </c>
      <c r="C17708" s="7">
        <f>IFERROR(__xludf.DUMMYFUNCTION("""COMPUTED_VALUE"""),7.730343)</f>
        <v>7.730343</v>
      </c>
      <c r="D17708" s="7">
        <f>IFERROR(__xludf.DUMMYFUNCTION("""COMPUTED_VALUE"""),0.4)</f>
        <v>0.4</v>
      </c>
    </row>
    <row r="17709">
      <c r="A17709" s="10" t="s">
        <v>19148</v>
      </c>
      <c r="B17709" s="7" t="str">
        <f>IFERROR(__xludf.DUMMYFUNCTION("SPLIT(A17709,"" "")"),"Cc1ccc(CN(C)Cc2cc(-c3cccc(N=Cc4ccccn4)c3)ccn2)nc1")</f>
        <v>Cc1ccc(CN(C)Cc2cc(-c3cccc(N=Cc4ccccn4)c3)ccn2)nc1</v>
      </c>
      <c r="C17709" s="7">
        <f>IFERROR(__xludf.DUMMYFUNCTION("""COMPUTED_VALUE"""),7.7303367)</f>
        <v>7.7303367</v>
      </c>
      <c r="D17709" s="7">
        <f>IFERROR(__xludf.DUMMYFUNCTION("""COMPUTED_VALUE"""),0.4)</f>
        <v>0.4</v>
      </c>
    </row>
    <row r="17710">
      <c r="A17710" s="10" t="s">
        <v>19149</v>
      </c>
      <c r="B17710" s="7" t="str">
        <f>IFERROR(__xludf.DUMMYFUNCTION("SPLIT(A17710,"" "")"),"CN(c1ccc2nc(CF)ccc2c1)C1CCCC(N(C)c2cccc3c(CF)ccnc23)C1")</f>
        <v>CN(c1ccc2nc(CF)ccc2c1)C1CCCC(N(C)c2cccc3c(CF)ccnc23)C1</v>
      </c>
      <c r="C17710" s="7">
        <f>IFERROR(__xludf.DUMMYFUNCTION("""COMPUTED_VALUE"""),7.7303324)</f>
        <v>7.7303324</v>
      </c>
      <c r="D17710" s="7">
        <f>IFERROR(__xludf.DUMMYFUNCTION("""COMPUTED_VALUE"""),0.43076923076923)</f>
        <v>0.4307692308</v>
      </c>
    </row>
    <row r="17711">
      <c r="A17711" s="10" t="s">
        <v>19150</v>
      </c>
      <c r="B17711" s="7" t="str">
        <f>IFERROR(__xludf.DUMMYFUNCTION("SPLIT(A17711,"" "")"),"Cc1ccc(CN(C)Cc2cc(-c3ccccc3N=Cc3ccccn3)ccn2)cn1")</f>
        <v>Cc1ccc(CN(C)Cc2cc(-c3ccccc3N=Cc3ccccn3)ccn2)cn1</v>
      </c>
      <c r="C17711" s="7">
        <f>IFERROR(__xludf.DUMMYFUNCTION("""COMPUTED_VALUE"""),7.7303305)</f>
        <v>7.7303305</v>
      </c>
      <c r="D17711" s="7">
        <f>IFERROR(__xludf.DUMMYFUNCTION("""COMPUTED_VALUE"""),0.393442622950819)</f>
        <v>0.393442623</v>
      </c>
    </row>
    <row r="17712">
      <c r="A17712" s="10" t="s">
        <v>19151</v>
      </c>
      <c r="B17712" s="7" t="str">
        <f>IFERROR(__xludf.DUMMYFUNCTION("SPLIT(A17712,"" "")"),"Cc1cccc(CN(C)Cc2cccc(-c3ccccc3N=Cc3ccccn3)n2)n1")</f>
        <v>Cc1cccc(CN(C)Cc2cccc(-c3ccccc3N=Cc3ccccn3)n2)n1</v>
      </c>
      <c r="C17712" s="7">
        <f>IFERROR(__xludf.DUMMYFUNCTION("""COMPUTED_VALUE"""),7.7303233)</f>
        <v>7.7303233</v>
      </c>
      <c r="D17712" s="7">
        <f>IFERROR(__xludf.DUMMYFUNCTION("""COMPUTED_VALUE"""),0.490566037735849)</f>
        <v>0.4905660377</v>
      </c>
    </row>
    <row r="17713">
      <c r="A17713" s="10" t="s">
        <v>19152</v>
      </c>
      <c r="B17713" s="7" t="str">
        <f>IFERROR(__xludf.DUMMYFUNCTION("SPLIT(A17713,"" "")"),"Cc1cccnc1CN(C)CC1=C(N(C)c2ccc3nc(CF)ccc3c2)CC=CN1")</f>
        <v>Cc1cccnc1CN(C)CC1=C(N(C)c2ccc3nc(CF)ccc3c2)CC=CN1</v>
      </c>
      <c r="C17713" s="7">
        <f>IFERROR(__xludf.DUMMYFUNCTION("""COMPUTED_VALUE"""),7.730323)</f>
        <v>7.730323</v>
      </c>
      <c r="D17713" s="7">
        <f>IFERROR(__xludf.DUMMYFUNCTION("""COMPUTED_VALUE"""),0.253521126760563)</f>
        <v>0.2535211268</v>
      </c>
    </row>
    <row r="17714">
      <c r="A17714" s="10" t="s">
        <v>19153</v>
      </c>
      <c r="B17714" s="7" t="str">
        <f>IFERROR(__xludf.DUMMYFUNCTION("SPLIT(A17714,"" "")"),"CN(CC1=CCC=C(N(C)Cc2ccccn2)N1)Cc1cccc(-c2cccc(Cl)c2N)n1")</f>
        <v>CN(CC1=CCC=C(N(C)Cc2ccccn2)N1)Cc1cccc(-c2cccc(Cl)c2N)n1</v>
      </c>
      <c r="C17714" s="7">
        <f>IFERROR(__xludf.DUMMYFUNCTION("""COMPUTED_VALUE"""),7.730315)</f>
        <v>7.730315</v>
      </c>
      <c r="D17714" s="7">
        <f>IFERROR(__xludf.DUMMYFUNCTION("""COMPUTED_VALUE"""),0.459016393442622)</f>
        <v>0.4590163934</v>
      </c>
    </row>
    <row r="17715">
      <c r="A17715" s="10" t="s">
        <v>19154</v>
      </c>
      <c r="B17715" s="7" t="str">
        <f>IFERROR(__xludf.DUMMYFUNCTION("SPLIT(A17715,"" "")"),"Cc1cccnc1CN(C)c1cccnc1CN(Cc1ccccn1)Cc1ccc(-c2cccc(N=Cc3ccccn3)c2)cn1")</f>
        <v>Cc1cccnc1CN(C)c1cccnc1CN(Cc1ccccn1)Cc1ccc(-c2cccc(N=Cc3ccccn3)c2)cn1</v>
      </c>
      <c r="C17715" s="7">
        <f>IFERROR(__xludf.DUMMYFUNCTION("""COMPUTED_VALUE"""),7.730312)</f>
        <v>7.730312</v>
      </c>
      <c r="D17715" s="7">
        <f>IFERROR(__xludf.DUMMYFUNCTION("""COMPUTED_VALUE"""),0.342857142857142)</f>
        <v>0.3428571429</v>
      </c>
    </row>
    <row r="17716">
      <c r="A17716" s="10" t="s">
        <v>19155</v>
      </c>
      <c r="B17716" s="7" t="str">
        <f>IFERROR(__xludf.DUMMYFUNCTION("SPLIT(A17716,"" "")"),"CCNCc1cc(-c2ccc(C)c(N=Cc3ccccn3)c2)ccn1")</f>
        <v>CCNCc1cc(-c2ccc(C)c(N=Cc3ccccn3)c2)ccn1</v>
      </c>
      <c r="C17716" s="7">
        <f>IFERROR(__xludf.DUMMYFUNCTION("""COMPUTED_VALUE"""),7.73031)</f>
        <v>7.73031</v>
      </c>
      <c r="D17716" s="7">
        <f>IFERROR(__xludf.DUMMYFUNCTION("""COMPUTED_VALUE"""),0.444444444444444)</f>
        <v>0.4444444444</v>
      </c>
    </row>
    <row r="17717">
      <c r="A17717" s="10" t="s">
        <v>19156</v>
      </c>
      <c r="B17717" s="7" t="str">
        <f>IFERROR(__xludf.DUMMYFUNCTION("SPLIT(A17717,"" "")"),"CN(CC1=CC(N(C)Cc2ccccn2)C=CN1)c1cccc2cccnc12")</f>
        <v>CN(CC1=CC(N(C)Cc2ccccn2)C=CN1)c1cccc2cccnc12</v>
      </c>
      <c r="C17717" s="7">
        <f>IFERROR(__xludf.DUMMYFUNCTION("""COMPUTED_VALUE"""),7.730308)</f>
        <v>7.730308</v>
      </c>
      <c r="D17717" s="7">
        <f>IFERROR(__xludf.DUMMYFUNCTION("""COMPUTED_VALUE"""),0.462962962962962)</f>
        <v>0.462962963</v>
      </c>
    </row>
    <row r="17718">
      <c r="A17718" s="10" t="s">
        <v>19157</v>
      </c>
      <c r="B17718" s="7" t="str">
        <f>IFERROR(__xludf.DUMMYFUNCTION("SPLIT(A17718,"" "")"),"CNCN(Cc1ccccn1)c1cccc2nccc(CF)c12")</f>
        <v>CNCN(Cc1ccccn1)c1cccc2nccc(CF)c12</v>
      </c>
      <c r="C17718" s="7">
        <f>IFERROR(__xludf.DUMMYFUNCTION("""COMPUTED_VALUE"""),7.7303057)</f>
        <v>7.7303057</v>
      </c>
      <c r="D17718" s="7">
        <f>IFERROR(__xludf.DUMMYFUNCTION("""COMPUTED_VALUE"""),0.363636363636363)</f>
        <v>0.3636363636</v>
      </c>
    </row>
    <row r="17719">
      <c r="A17719" s="10" t="s">
        <v>19158</v>
      </c>
      <c r="B17719" s="7" t="str">
        <f>IFERROR(__xludf.DUMMYFUNCTION("SPLIT(A17719,"" "")"),"Cc1cc(-c2ccc(NCc3ccccn3)cc2)ccn1")</f>
        <v>Cc1cc(-c2ccc(NCc3ccccn3)cc2)ccn1</v>
      </c>
      <c r="C17719" s="7">
        <f>IFERROR(__xludf.DUMMYFUNCTION("""COMPUTED_VALUE"""),7.730302)</f>
        <v>7.730302</v>
      </c>
      <c r="D17719" s="7">
        <f>IFERROR(__xludf.DUMMYFUNCTION("""COMPUTED_VALUE"""),0.414634146341463)</f>
        <v>0.4146341463</v>
      </c>
    </row>
    <row r="17720">
      <c r="A17720" s="10" t="s">
        <v>19159</v>
      </c>
      <c r="B17720" s="7" t="str">
        <f>IFERROR(__xludf.DUMMYFUNCTION("SPLIT(A17720,"" "")"),"Cc1cc(CN(C)CC2=CC(N(C)c3cccc4ncccc34)C=CN2)ccn1")</f>
        <v>Cc1cc(CN(C)CC2=CC(N(C)c3cccc4ncccc34)C=CN2)ccn1</v>
      </c>
      <c r="C17720" s="7">
        <f>IFERROR(__xludf.DUMMYFUNCTION("""COMPUTED_VALUE"""),7.730297)</f>
        <v>7.730297</v>
      </c>
      <c r="D17720" s="7">
        <f>IFERROR(__xludf.DUMMYFUNCTION("""COMPUTED_VALUE"""),0.328358208955223)</f>
        <v>0.328358209</v>
      </c>
    </row>
    <row r="17721">
      <c r="A17721" s="10" t="s">
        <v>19160</v>
      </c>
      <c r="B17721" s="7" t="str">
        <f>IFERROR(__xludf.DUMMYFUNCTION("SPLIT(A17721,"" "")"),"Cc1c(N)ccc(CN(C)CC2=CC(N(C)c3ccc4cccnc4c3)C=CN2)c1C")</f>
        <v>Cc1c(N)ccc(CN(C)CC2=CC(N(C)c3ccc4cccnc4c3)C=CN2)c1C</v>
      </c>
      <c r="C17721" s="7">
        <f>IFERROR(__xludf.DUMMYFUNCTION("""COMPUTED_VALUE"""),7.7302933)</f>
        <v>7.7302933</v>
      </c>
      <c r="D17721" s="7">
        <f>IFERROR(__xludf.DUMMYFUNCTION("""COMPUTED_VALUE"""),0.279411764705882)</f>
        <v>0.2794117647</v>
      </c>
    </row>
    <row r="17722">
      <c r="A17722" s="10" t="s">
        <v>19161</v>
      </c>
      <c r="B17722" s="7" t="str">
        <f>IFERROR(__xludf.DUMMYFUNCTION("SPLIT(A17722,"" "")"),"C(=Nc1cccc(-c2cccc(CN(Cc3ccc(-c4ccccc4)nc3)Cc3ccccn3)n2)c1)c1ccccn1")</f>
        <v>C(=Nc1cccc(-c2cccc(CN(Cc3ccc(-c4ccccc4)nc3)Cc3ccccn3)n2)c1)c1ccccn1</v>
      </c>
      <c r="C17722" s="7">
        <f>IFERROR(__xludf.DUMMYFUNCTION("""COMPUTED_VALUE"""),7.730291)</f>
        <v>7.730291</v>
      </c>
      <c r="D17722" s="7">
        <f>IFERROR(__xludf.DUMMYFUNCTION("""COMPUTED_VALUE"""),0.476923076923076)</f>
        <v>0.4769230769</v>
      </c>
    </row>
    <row r="17723">
      <c r="A17723" s="10" t="s">
        <v>19162</v>
      </c>
      <c r="B17723" s="7" t="str">
        <f>IFERROR(__xludf.DUMMYFUNCTION("SPLIT(A17723,"" "")"),"Cc1c(N(C)Cc2ccccn2)c(C)c(C(C)(C)C)c(C)c1N(Cc1ccccn1)C(C)(C)N(Cc1ccccn1)c1c(C)c(N(C)Cc2ccccn2)c(C)c(C(C)(C)C)c1C")</f>
        <v>Cc1c(N(C)Cc2ccccn2)c(C)c(C(C)(C)C)c(C)c1N(Cc1ccccn1)C(C)(C)N(Cc1ccccn1)c1c(C)c(N(C)Cc2ccccn2)c(C)c(C(C)(C)C)c1C</v>
      </c>
      <c r="C17723" s="7">
        <f>IFERROR(__xludf.DUMMYFUNCTION("""COMPUTED_VALUE"""),7.730289)</f>
        <v>7.730289</v>
      </c>
      <c r="D17723" s="7">
        <f>IFERROR(__xludf.DUMMYFUNCTION("""COMPUTED_VALUE"""),0.4375)</f>
        <v>0.4375</v>
      </c>
    </row>
    <row r="17724">
      <c r="A17724" s="10" t="s">
        <v>19163</v>
      </c>
      <c r="B17724" s="7" t="str">
        <f>IFERROR(__xludf.DUMMYFUNCTION("SPLIT(A17724,"" "")"),"CN(Cc1ccc2ncccc2c1)Cc1ccccc1N=Cc1ccccn1")</f>
        <v>CN(Cc1ccc2ncccc2c1)Cc1ccccc1N=Cc1ccccn1</v>
      </c>
      <c r="C17724" s="7">
        <f>IFERROR(__xludf.DUMMYFUNCTION("""COMPUTED_VALUE"""),7.730284)</f>
        <v>7.730284</v>
      </c>
      <c r="D17724" s="7">
        <f>IFERROR(__xludf.DUMMYFUNCTION("""COMPUTED_VALUE"""),0.410714285714285)</f>
        <v>0.4107142857</v>
      </c>
    </row>
    <row r="17725">
      <c r="A17725" s="10" t="s">
        <v>19164</v>
      </c>
      <c r="B17725" s="7" t="str">
        <f>IFERROR(__xludf.DUMMYFUNCTION("SPLIT(A17725,"" "")"),"Cc1cccnc1CN(C)C1=CCC=C(CN(C)Cc2cccc3cccnc23)N1")</f>
        <v>Cc1cccnc1CN(C)C1=CCC=C(CN(C)Cc2cccc3cccnc23)N1</v>
      </c>
      <c r="C17725" s="7">
        <f>IFERROR(__xludf.DUMMYFUNCTION("""COMPUTED_VALUE"""),7.730278)</f>
        <v>7.730278</v>
      </c>
      <c r="D17725" s="7">
        <f>IFERROR(__xludf.DUMMYFUNCTION("""COMPUTED_VALUE"""),0.481481481481481)</f>
        <v>0.4814814815</v>
      </c>
    </row>
    <row r="17726">
      <c r="A17726" s="10" t="s">
        <v>19165</v>
      </c>
      <c r="B17726" s="7" t="str">
        <f>IFERROR(__xludf.DUMMYFUNCTION("SPLIT(A17726,"" "")"),"Cc1ccc(CN(C)c2ccccc2-c2cncc(CN(C)C(C)(c3cccnc3)c3ccccn3)c2)nc1C")</f>
        <v>Cc1ccc(CN(C)c2ccccc2-c2cncc(CN(C)C(C)(c3cccnc3)c3ccccn3)c2)nc1C</v>
      </c>
      <c r="C17726" s="7">
        <f>IFERROR(__xludf.DUMMYFUNCTION("""COMPUTED_VALUE"""),7.730276)</f>
        <v>7.730276</v>
      </c>
      <c r="D17726" s="7">
        <f>IFERROR(__xludf.DUMMYFUNCTION("""COMPUTED_VALUE"""),0.3)</f>
        <v>0.3</v>
      </c>
    </row>
    <row r="17727">
      <c r="A17727" s="10" t="s">
        <v>19166</v>
      </c>
      <c r="B17727" s="7" t="str">
        <f>IFERROR(__xludf.DUMMYFUNCTION("SPLIT(A17727,"" "")"),"CCN(Cc1ccccn1)C1CCCC(N(C)c2c3c(C)c(C)c(C)nc3c(C)c3nc(C)c(C)c(C)c23)C1")</f>
        <v>CCN(Cc1ccccn1)C1CCCC(N(C)c2c3c(C)c(C)c(C)nc3c(C)c3nc(C)c(C)c(C)c23)C1</v>
      </c>
      <c r="C17727" s="7">
        <f>IFERROR(__xludf.DUMMYFUNCTION("""COMPUTED_VALUE"""),7.730271)</f>
        <v>7.730271</v>
      </c>
      <c r="D17727" s="7">
        <f>IFERROR(__xludf.DUMMYFUNCTION("""COMPUTED_VALUE"""),0.389830508474576)</f>
        <v>0.3898305085</v>
      </c>
    </row>
    <row r="17728">
      <c r="A17728" s="10" t="s">
        <v>19167</v>
      </c>
      <c r="B17728" s="7" t="str">
        <f>IFERROR(__xludf.DUMMYFUNCTION("SPLIT(A17728,"" "")"),"Cc1cccnc1-c1ccc(NCc2ccccn2)cc1")</f>
        <v>Cc1cccnc1-c1ccc(NCc2ccccn2)cc1</v>
      </c>
      <c r="C17728" s="7">
        <f>IFERROR(__xludf.DUMMYFUNCTION("""COMPUTED_VALUE"""),7.7302666)</f>
        <v>7.7302666</v>
      </c>
      <c r="D17728" s="7">
        <f>IFERROR(__xludf.DUMMYFUNCTION("""COMPUTED_VALUE"""),0.425)</f>
        <v>0.425</v>
      </c>
    </row>
    <row r="17729">
      <c r="A17729" s="10" t="s">
        <v>19168</v>
      </c>
      <c r="B17729" s="7" t="str">
        <f>IFERROR(__xludf.DUMMYFUNCTION("SPLIT(A17729,"" "")"),"Cc1cnc(CN(C)Cc2ccnc3cc(C)ccc23)c(C)c1")</f>
        <v>Cc1cnc(CN(C)Cc2ccnc3cc(C)ccc23)c(C)c1</v>
      </c>
      <c r="C17729" s="7">
        <f>IFERROR(__xludf.DUMMYFUNCTION("""COMPUTED_VALUE"""),7.730266)</f>
        <v>7.730266</v>
      </c>
      <c r="D17729" s="7">
        <f>IFERROR(__xludf.DUMMYFUNCTION("""COMPUTED_VALUE"""),0.333333333333333)</f>
        <v>0.3333333333</v>
      </c>
    </row>
    <row r="17730">
      <c r="A17730" s="10" t="s">
        <v>19169</v>
      </c>
      <c r="B17730" s="7" t="str">
        <f>IFERROR(__xludf.DUMMYFUNCTION("SPLIT(A17730,"" "")"),"Cc1ccc2nccc(CN(C)Cc3nc(C)ccc3C)c2c1")</f>
        <v>Cc1ccc2nccc(CN(C)Cc3nc(C)ccc3C)c2c1</v>
      </c>
      <c r="C17730" s="7">
        <f>IFERROR(__xludf.DUMMYFUNCTION("""COMPUTED_VALUE"""),7.730265)</f>
        <v>7.730265</v>
      </c>
      <c r="D17730" s="7">
        <f>IFERROR(__xludf.DUMMYFUNCTION("""COMPUTED_VALUE"""),0.272727272727272)</f>
        <v>0.2727272727</v>
      </c>
    </row>
    <row r="17731">
      <c r="A17731" s="10" t="s">
        <v>19170</v>
      </c>
      <c r="B17731" s="7" t="str">
        <f>IFERROR(__xludf.DUMMYFUNCTION("SPLIT(A17731,"" "")"),"CN(c1ccc2ccc(CF)nc2c1)C1CCCC(N(C)c2ccc3nccc(CF)c3c2)C1")</f>
        <v>CN(c1ccc2ccc(CF)nc2c1)C1CCCC(N(C)c2ccc3nccc(CF)c3c2)C1</v>
      </c>
      <c r="C17731" s="7">
        <f>IFERROR(__xludf.DUMMYFUNCTION("""COMPUTED_VALUE"""),7.7302613)</f>
        <v>7.7302613</v>
      </c>
      <c r="D17731" s="7">
        <f>IFERROR(__xludf.DUMMYFUNCTION("""COMPUTED_VALUE"""),0.34375)</f>
        <v>0.34375</v>
      </c>
    </row>
    <row r="17732">
      <c r="A17732" s="10" t="s">
        <v>19171</v>
      </c>
      <c r="B17732" s="7" t="str">
        <f>IFERROR(__xludf.DUMMYFUNCTION("SPLIT(A17732,"" "")"),"Cc1cccnc1CN(Cc1ccccn1)Cc1ccc(N(C)Cc2ccc(-c3cccc(N=Cc4ccccn4)c3)cn2)cn1")</f>
        <v>Cc1cccnc1CN(Cc1ccccn1)Cc1ccc(N(C)Cc2ccc(-c3cccc(N=Cc4ccccn4)c3)cn2)cn1</v>
      </c>
      <c r="C17732" s="7">
        <f>IFERROR(__xludf.DUMMYFUNCTION("""COMPUTED_VALUE"""),7.730261)</f>
        <v>7.730261</v>
      </c>
      <c r="D17732" s="7">
        <f>IFERROR(__xludf.DUMMYFUNCTION("""COMPUTED_VALUE"""),0.347826086956521)</f>
        <v>0.347826087</v>
      </c>
    </row>
    <row r="17733">
      <c r="A17733" s="10" t="s">
        <v>19172</v>
      </c>
      <c r="B17733" s="7" t="str">
        <f>IFERROR(__xludf.DUMMYFUNCTION("SPLIT(A17733,"" "")"),"Cc1ccc(CN(C)Cc2ncccc2-c2ccc(N=Cc3ccccn3)cc2)nc1")</f>
        <v>Cc1ccc(CN(C)Cc2ncccc2-c2ccc(N=Cc3ccccn3)cc2)nc1</v>
      </c>
      <c r="C17733" s="7">
        <f>IFERROR(__xludf.DUMMYFUNCTION("""COMPUTED_VALUE"""),7.730258)</f>
        <v>7.730258</v>
      </c>
      <c r="D17733" s="7">
        <f>IFERROR(__xludf.DUMMYFUNCTION("""COMPUTED_VALUE"""),0.4)</f>
        <v>0.4</v>
      </c>
    </row>
    <row r="17734">
      <c r="A17734" s="10" t="s">
        <v>19173</v>
      </c>
      <c r="B17734" s="7" t="str">
        <f>IFERROR(__xludf.DUMMYFUNCTION("SPLIT(A17734,"" "")"),"CCN(Cc1ccccn1)C1CCC(N(C)c2c(C)c3nc(C)c(C)c(C)c3c3nc(C)c(C)c(C)c23)CC1")</f>
        <v>CCN(Cc1ccccn1)C1CCC(N(C)c2c(C)c3nc(C)c(C)c(C)c3c3nc(C)c(C)c(C)c23)CC1</v>
      </c>
      <c r="C17734" s="7">
        <f>IFERROR(__xludf.DUMMYFUNCTION("""COMPUTED_VALUE"""),7.7302537)</f>
        <v>7.7302537</v>
      </c>
      <c r="D17734" s="7">
        <f>IFERROR(__xludf.DUMMYFUNCTION("""COMPUTED_VALUE"""),0.372881355932203)</f>
        <v>0.3728813559</v>
      </c>
    </row>
    <row r="17735">
      <c r="A17735" s="10" t="s">
        <v>19174</v>
      </c>
      <c r="B17735" s="7" t="str">
        <f>IFERROR(__xludf.DUMMYFUNCTION("SPLIT(A17735,"" "")"),"CN(c1ccc2cccnc2c1)C1CCCC(N(C)c2ccc3cccnc3c2)C1")</f>
        <v>CN(c1ccc2cccnc2c1)C1CCCC(N(C)c2ccc3cccnc3c2)C1</v>
      </c>
      <c r="C17735" s="7">
        <f>IFERROR(__xludf.DUMMYFUNCTION("""COMPUTED_VALUE"""),7.7302427)</f>
        <v>7.7302427</v>
      </c>
      <c r="D17735" s="7">
        <f>IFERROR(__xludf.DUMMYFUNCTION("""COMPUTED_VALUE"""),0.395833333333333)</f>
        <v>0.3958333333</v>
      </c>
    </row>
    <row r="17736">
      <c r="A17736" s="10" t="s">
        <v>19175</v>
      </c>
      <c r="B17736" s="7" t="str">
        <f>IFERROR(__xludf.DUMMYFUNCTION("SPLIT(A17736,"" "")"),"CN(C)c1ccc2c(CN(C)C(C)(C)C)ccnc2c1")</f>
        <v>CN(C)c1ccc2c(CN(C)C(C)(C)C)ccnc2c1</v>
      </c>
      <c r="C17736" s="7">
        <f>IFERROR(__xludf.DUMMYFUNCTION("""COMPUTED_VALUE"""),7.73024)</f>
        <v>7.73024</v>
      </c>
      <c r="D17736" s="7">
        <f>IFERROR(__xludf.DUMMYFUNCTION("""COMPUTED_VALUE"""),0.235294117647058)</f>
        <v>0.2352941176</v>
      </c>
    </row>
    <row r="17737">
      <c r="A17737" s="10" t="s">
        <v>19176</v>
      </c>
      <c r="B17737" s="7" t="str">
        <f>IFERROR(__xludf.DUMMYFUNCTION("SPLIT(A17737,"" "")"),"CCN(Cc1ncccc1C(C)(C)C)c1ccc2ncccc2c1")</f>
        <v>CCN(Cc1ncccc1C(C)(C)C)c1ccc2ncccc2c1</v>
      </c>
      <c r="C17737" s="7">
        <f>IFERROR(__xludf.DUMMYFUNCTION("""COMPUTED_VALUE"""),7.730236)</f>
        <v>7.730236</v>
      </c>
      <c r="D17737" s="7">
        <f>IFERROR(__xludf.DUMMYFUNCTION("""COMPUTED_VALUE"""),0.277777777777777)</f>
        <v>0.2777777778</v>
      </c>
    </row>
    <row r="17738">
      <c r="A17738" s="10" t="s">
        <v>19177</v>
      </c>
      <c r="B17738" s="7" t="str">
        <f>IFERROR(__xludf.DUMMYFUNCTION("SPLIT(A17738,"" "")"),"CN(c1ccc2nc3c(cc2c1)CCC3)C1CCC(N(C)c2ccc3ncc4c(c3c2)CCC4)CC1")</f>
        <v>CN(c1ccc2nc3c(cc2c1)CCC3)C1CCC(N(C)c2ccc3ncc4c(c3c2)CCC4)CC1</v>
      </c>
      <c r="C17738" s="7">
        <f>IFERROR(__xludf.DUMMYFUNCTION("""COMPUTED_VALUE"""),7.730235)</f>
        <v>7.730235</v>
      </c>
      <c r="D17738" s="7">
        <f>IFERROR(__xludf.DUMMYFUNCTION("""COMPUTED_VALUE"""),0.365079365079365)</f>
        <v>0.3650793651</v>
      </c>
    </row>
    <row r="17739">
      <c r="A17739" s="10" t="s">
        <v>19178</v>
      </c>
      <c r="B17739" s="7" t="str">
        <f>IFERROR(__xludf.DUMMYFUNCTION("SPLIT(A17739,"" "")"),"C1=CNC(c2cccc(C(c3ccccc3)c3ccccn3)n2)=CC1")</f>
        <v>C1=CNC(c2cccc(C(c3ccccc3)c3ccccn3)n2)=CC1</v>
      </c>
      <c r="C17739" s="7">
        <f>IFERROR(__xludf.DUMMYFUNCTION("""COMPUTED_VALUE"""),7.730233)</f>
        <v>7.730233</v>
      </c>
      <c r="D17739" s="7">
        <f>IFERROR(__xludf.DUMMYFUNCTION("""COMPUTED_VALUE"""),0.350877192982456)</f>
        <v>0.350877193</v>
      </c>
    </row>
    <row r="17740">
      <c r="A17740" s="10" t="s">
        <v>19179</v>
      </c>
      <c r="B17740" s="7" t="str">
        <f>IFERROR(__xludf.DUMMYFUNCTION("SPLIT(A17740,"" "")"),"Cc1cc(-c2cc(CN(C)C(C)C)ccn2)c(C)c(N(C)Cc2cnc(C)c(C)c2)c1")</f>
        <v>Cc1cc(-c2cc(CN(C)C(C)C)ccn2)c(C)c(N(C)Cc2cnc(C)c(C)c2)c1</v>
      </c>
      <c r="C17740" s="7">
        <f>IFERROR(__xludf.DUMMYFUNCTION("""COMPUTED_VALUE"""),7.730227)</f>
        <v>7.730227</v>
      </c>
      <c r="D17740" s="7">
        <f>IFERROR(__xludf.DUMMYFUNCTION("""COMPUTED_VALUE"""),0.234375)</f>
        <v>0.234375</v>
      </c>
    </row>
    <row r="17741">
      <c r="A17741" s="10" t="s">
        <v>19180</v>
      </c>
      <c r="B17741" s="7" t="str">
        <f>IFERROR(__xludf.DUMMYFUNCTION("SPLIT(A17741,"" "")"),"CCNCc1cc(-c2cccc(N=Cc3ccccn3)c2C)ccn1")</f>
        <v>CCNCc1cc(-c2cccc(N=Cc3ccccn3)c2C)ccn1</v>
      </c>
      <c r="C17741" s="7">
        <f>IFERROR(__xludf.DUMMYFUNCTION("""COMPUTED_VALUE"""),7.7302256)</f>
        <v>7.7302256</v>
      </c>
      <c r="D17741" s="7">
        <f>IFERROR(__xludf.DUMMYFUNCTION("""COMPUTED_VALUE"""),0.454545454545454)</f>
        <v>0.4545454545</v>
      </c>
    </row>
    <row r="17742">
      <c r="A17742" s="10" t="s">
        <v>19181</v>
      </c>
      <c r="B17742" s="7" t="str">
        <f>IFERROR(__xludf.DUMMYFUNCTION("SPLIT(A17742,"" "")"),"c1ccc(CSc2ccccc2-c2ccccn2)nc1")</f>
        <v>c1ccc(CSc2ccccc2-c2ccccn2)nc1</v>
      </c>
      <c r="C17742" s="7">
        <f>IFERROR(__xludf.DUMMYFUNCTION("""COMPUTED_VALUE"""),7.7302256)</f>
        <v>7.7302256</v>
      </c>
      <c r="D17742" s="7">
        <f>IFERROR(__xludf.DUMMYFUNCTION("""COMPUTED_VALUE"""),0.485714285714285)</f>
        <v>0.4857142857</v>
      </c>
    </row>
    <row r="17743">
      <c r="A17743" s="10" t="s">
        <v>19182</v>
      </c>
      <c r="B17743" s="7" t="str">
        <f>IFERROR(__xludf.DUMMYFUNCTION("SPLIT(A17743,"" "")"),"CC1=NC2(COC(c3ncc(C)cc3C)=N2)C(C(C)C)O1")</f>
        <v>CC1=NC2(COC(c3ncc(C)cc3C)=N2)C(C(C)C)O1</v>
      </c>
      <c r="C17743" s="7">
        <f>IFERROR(__xludf.DUMMYFUNCTION("""COMPUTED_VALUE"""),7.730218)</f>
        <v>7.730218</v>
      </c>
      <c r="D17743" s="7">
        <f>IFERROR(__xludf.DUMMYFUNCTION("""COMPUTED_VALUE"""),0.236363636363636)</f>
        <v>0.2363636364</v>
      </c>
    </row>
    <row r="17744">
      <c r="A17744" s="10" t="s">
        <v>19183</v>
      </c>
      <c r="B17744" s="7" t="str">
        <f>IFERROR(__xludf.DUMMYFUNCTION("SPLIT(A17744,"" "")"),"CN(CCN)c1ccc2c(CF)ccnc2c1")</f>
        <v>CN(CCN)c1ccc2c(CF)ccnc2c1</v>
      </c>
      <c r="C17744" s="7">
        <f>IFERROR(__xludf.DUMMYFUNCTION("""COMPUTED_VALUE"""),7.730213)</f>
        <v>7.730213</v>
      </c>
      <c r="D17744" s="7">
        <f>IFERROR(__xludf.DUMMYFUNCTION("""COMPUTED_VALUE"""),0.235294117647058)</f>
        <v>0.2352941176</v>
      </c>
    </row>
    <row r="17745">
      <c r="A17745" s="10" t="s">
        <v>19184</v>
      </c>
      <c r="B17745" s="7" t="str">
        <f>IFERROR(__xludf.DUMMYFUNCTION("SPLIT(A17745,"" "")"),"Cc1ccc(-c2cccc(CN(C)C3CCC(N(C)Cc4cccc(-c5ccc6ncccc6c5)n4)CC3)n2)nc1-c1ccccn1")</f>
        <v>Cc1ccc(-c2cccc(CN(C)C3CCC(N(C)Cc4cccc(-c5ccc6ncccc6c5)n4)CC3)n2)nc1-c1ccccn1</v>
      </c>
      <c r="C17745" s="7">
        <f>IFERROR(__xludf.DUMMYFUNCTION("""COMPUTED_VALUE"""),7.7302046)</f>
        <v>7.7302046</v>
      </c>
      <c r="D17745" s="7">
        <f>IFERROR(__xludf.DUMMYFUNCTION("""COMPUTED_VALUE"""),0.403225806451612)</f>
        <v>0.4032258065</v>
      </c>
    </row>
    <row r="17746">
      <c r="A17746" s="10" t="s">
        <v>19185</v>
      </c>
      <c r="B17746" s="7" t="str">
        <f>IFERROR(__xludf.DUMMYFUNCTION("SPLIT(A17746,"" "")"),"CN(Cc1cccnn1)C1CCCCC1N(C)c1ccc2ncc(-c3ccc4ncccc4c3)cc2c1")</f>
        <v>CN(Cc1cccnn1)C1CCCCC1N(C)c1ccc2ncc(-c3ccc4ncccc4c3)cc2c1</v>
      </c>
      <c r="C17746" s="7">
        <f>IFERROR(__xludf.DUMMYFUNCTION("""COMPUTED_VALUE"""),7.730202)</f>
        <v>7.730202</v>
      </c>
      <c r="D17746" s="7">
        <f>IFERROR(__xludf.DUMMYFUNCTION("""COMPUTED_VALUE"""),0.433333333333333)</f>
        <v>0.4333333333</v>
      </c>
    </row>
    <row r="17747">
      <c r="A17747" s="10" t="s">
        <v>19186</v>
      </c>
      <c r="B17747" s="7" t="str">
        <f>IFERROR(__xludf.DUMMYFUNCTION("SPLIT(A17747,"" "")"),"CN(CCN)c1ccc2cccnc2c1")</f>
        <v>CN(CCN)c1ccc2cccnc2c1</v>
      </c>
      <c r="C17747" s="7">
        <f>IFERROR(__xludf.DUMMYFUNCTION("""COMPUTED_VALUE"""),7.730201)</f>
        <v>7.730201</v>
      </c>
      <c r="D17747" s="7">
        <f>IFERROR(__xludf.DUMMYFUNCTION("""COMPUTED_VALUE"""),0.395348837209302)</f>
        <v>0.3953488372</v>
      </c>
    </row>
    <row r="17748">
      <c r="A17748" s="10" t="s">
        <v>19187</v>
      </c>
      <c r="B17748" s="7" t="str">
        <f>IFERROR(__xludf.DUMMYFUNCTION("SPLIT(A17748,"" "")"),"CN(c1ccc2cc(CF)cnc2c1)C1CCCC(N(C)c2cccc3ncccc23)C1")</f>
        <v>CN(c1ccc2cc(CF)cnc2c1)C1CCCC(N(C)c2cccc3ncccc23)C1</v>
      </c>
      <c r="C17748" s="7">
        <f>IFERROR(__xludf.DUMMYFUNCTION("""COMPUTED_VALUE"""),7.7302)</f>
        <v>7.7302</v>
      </c>
      <c r="D17748" s="7">
        <f>IFERROR(__xludf.DUMMYFUNCTION("""COMPUTED_VALUE"""),0.323076923076923)</f>
        <v>0.3230769231</v>
      </c>
    </row>
    <row r="17749">
      <c r="A17749" s="10" t="s">
        <v>19188</v>
      </c>
      <c r="B17749" s="7" t="str">
        <f>IFERROR(__xludf.DUMMYFUNCTION("SPLIT(A17749,"" "")"),"Cc1cccc(-c2cccnc2CN(C)C)c1N")</f>
        <v>Cc1cccc(-c2cccnc2CN(C)C)c1N</v>
      </c>
      <c r="C17749" s="7">
        <f>IFERROR(__xludf.DUMMYFUNCTION("""COMPUTED_VALUE"""),7.730194)</f>
        <v>7.730194</v>
      </c>
      <c r="D17749" s="7">
        <f>IFERROR(__xludf.DUMMYFUNCTION("""COMPUTED_VALUE"""),0.319148936170212)</f>
        <v>0.3191489362</v>
      </c>
    </row>
    <row r="17750">
      <c r="A17750" s="10" t="s">
        <v>19189</v>
      </c>
      <c r="B17750" s="7" t="str">
        <f>IFERROR(__xludf.DUMMYFUNCTION("SPLIT(A17750,"" "")"),"Cc1ccc(C)c(CN(C)CC2=CC(N(C)Cc3cccc(-c4ccc5ncccc5c4)n3)C=CN2)c1C")</f>
        <v>Cc1ccc(C)c(CN(C)CC2=CC(N(C)Cc3cccc(-c4ccc5ncccc5c4)n3)C=CN2)c1C</v>
      </c>
      <c r="C17750" s="7">
        <f>IFERROR(__xludf.DUMMYFUNCTION("""COMPUTED_VALUE"""),7.7301893)</f>
        <v>7.7301893</v>
      </c>
      <c r="D17750" s="7">
        <f>IFERROR(__xludf.DUMMYFUNCTION("""COMPUTED_VALUE"""),0.328571428571428)</f>
        <v>0.3285714286</v>
      </c>
    </row>
    <row r="17751">
      <c r="A17751" s="10" t="s">
        <v>19190</v>
      </c>
      <c r="B17751" s="7" t="str">
        <f>IFERROR(__xludf.DUMMYFUNCTION("SPLIT(A17751,"" "")"),"Cc1cnc(CN(Cc2ccccn2)Cc2ccc3cc(N(C)Cc4ccc(C)c(C)n4)ccc3n2)c(C)c1")</f>
        <v>Cc1cnc(CN(Cc2ccccn2)Cc2ccc3cc(N(C)Cc4ccc(C)c(C)n4)ccc3n2)c(C)c1</v>
      </c>
      <c r="C17751" s="7">
        <f>IFERROR(__xludf.DUMMYFUNCTION("""COMPUTED_VALUE"""),7.730181)</f>
        <v>7.730181</v>
      </c>
      <c r="D17751" s="7">
        <f>IFERROR(__xludf.DUMMYFUNCTION("""COMPUTED_VALUE"""),0.46551724137931)</f>
        <v>0.4655172414</v>
      </c>
    </row>
    <row r="17752">
      <c r="A17752" s="10" t="s">
        <v>19191</v>
      </c>
      <c r="B17752" s="7" t="str">
        <f>IFERROR(__xludf.DUMMYFUNCTION("SPLIT(A17752,"" "")"),"Cc1ccc2cc(N(C)C3C=CNC(CN(C)Cc4ncccc4C)=C3)ccc2n1")</f>
        <v>Cc1ccc2cc(N(C)C3C=CNC(CN(C)Cc4ncccc4C)=C3)ccc2n1</v>
      </c>
      <c r="C17752" s="7">
        <f>IFERROR(__xludf.DUMMYFUNCTION("""COMPUTED_VALUE"""),7.730166)</f>
        <v>7.730166</v>
      </c>
      <c r="D17752" s="7">
        <f>IFERROR(__xludf.DUMMYFUNCTION("""COMPUTED_VALUE"""),0.289855072463768)</f>
        <v>0.2898550725</v>
      </c>
    </row>
    <row r="17753">
      <c r="A17753" s="10" t="s">
        <v>19192</v>
      </c>
      <c r="B17753" s="7" t="str">
        <f>IFERROR(__xludf.DUMMYFUNCTION("SPLIT(A17753,"" "")"),"Cc1ccc2cc(N(C)c3ccc4nc(CN(Cc5ncccc5C(C)C(C)C)C5CCC(N(C)c6ccc7nc(CF)ccc7c6)CC5)ccc4c3)ccc2n1")</f>
        <v>Cc1ccc2cc(N(C)c3ccc4nc(CN(Cc5ncccc5C(C)C(C)C)C5CCC(N(C)c6ccc7nc(CF)ccc7c6)CC5)ccc4c3)ccc2n1</v>
      </c>
      <c r="C17753" s="7">
        <f>IFERROR(__xludf.DUMMYFUNCTION("""COMPUTED_VALUE"""),7.7301655)</f>
        <v>7.7301655</v>
      </c>
      <c r="D17753" s="7">
        <f>IFERROR(__xludf.DUMMYFUNCTION("""COMPUTED_VALUE"""),0.271604938271604)</f>
        <v>0.2716049383</v>
      </c>
    </row>
    <row r="17754">
      <c r="A17754" s="10" t="s">
        <v>19193</v>
      </c>
      <c r="B17754" s="7" t="str">
        <f>IFERROR(__xludf.DUMMYFUNCTION("SPLIT(A17754,"" "")"),"Cc1ncccc1CN(C)Cc1ncccc1-c1cccc(N=Cc2ccccn2)c1")</f>
        <v>Cc1ncccc1CN(C)Cc1ncccc1-c1cccc(N=Cc2ccccn2)c1</v>
      </c>
      <c r="C17754" s="7">
        <f>IFERROR(__xludf.DUMMYFUNCTION("""COMPUTED_VALUE"""),7.730165)</f>
        <v>7.730165</v>
      </c>
      <c r="D17754" s="7">
        <f>IFERROR(__xludf.DUMMYFUNCTION("""COMPUTED_VALUE"""),0.360655737704918)</f>
        <v>0.3606557377</v>
      </c>
    </row>
    <row r="17755">
      <c r="A17755" s="10" t="s">
        <v>19194</v>
      </c>
      <c r="B17755" s="7" t="str">
        <f>IFERROR(__xludf.DUMMYFUNCTION("SPLIT(A17755,"" "")"),"Cc1ccnc(CN(C)Cc2ncccc2-c2ccccc2N(C)C)c1C")</f>
        <v>Cc1ccnc(CN(C)Cc2ncccc2-c2ccccc2N(C)C)c1C</v>
      </c>
      <c r="C17755" s="7">
        <f>IFERROR(__xludf.DUMMYFUNCTION("""COMPUTED_VALUE"""),7.730159)</f>
        <v>7.730159</v>
      </c>
      <c r="D17755" s="7">
        <f>IFERROR(__xludf.DUMMYFUNCTION("""COMPUTED_VALUE"""),0.30188679245283)</f>
        <v>0.3018867925</v>
      </c>
    </row>
    <row r="17756">
      <c r="A17756" s="10" t="s">
        <v>19195</v>
      </c>
      <c r="B17756" s="7" t="str">
        <f>IFERROR(__xludf.DUMMYFUNCTION("SPLIT(A17756,"" "")"),"CCCN(Cc1ccccn1)c1ccc(C)c(C)c1-c1cc(CN(Cc2ccccn2)Cc2cc(-c3cccc(N(C)C)c3)ccn2)ccn1")</f>
        <v>CCCN(Cc1ccccn1)c1ccc(C)c(C)c1-c1cc(CN(Cc2ccccn2)Cc2cc(-c3cccc(N(C)C)c3)ccn2)ccn1</v>
      </c>
      <c r="C17756" s="7">
        <f>IFERROR(__xludf.DUMMYFUNCTION("""COMPUTED_VALUE"""),7.7301536)</f>
        <v>7.7301536</v>
      </c>
      <c r="D17756" s="7">
        <f>IFERROR(__xludf.DUMMYFUNCTION("""COMPUTED_VALUE"""),0.333333333333333)</f>
        <v>0.3333333333</v>
      </c>
    </row>
    <row r="17757">
      <c r="A17757" s="10" t="s">
        <v>19196</v>
      </c>
      <c r="B17757" s="7" t="str">
        <f>IFERROR(__xludf.DUMMYFUNCTION("SPLIT(A17757,"" "")"),"CN(Cc1ccccn1)c1cc(N(Cc2ccccn2)C(C)(C)NCc2ccccn2)c2ncccc2c1")</f>
        <v>CN(Cc1ccccn1)c1cc(N(Cc2ccccn2)C(C)(C)NCc2ccccn2)c2ncccc2c1</v>
      </c>
      <c r="C17757" s="7">
        <f>IFERROR(__xludf.DUMMYFUNCTION("""COMPUTED_VALUE"""),7.7301517)</f>
        <v>7.7301517</v>
      </c>
      <c r="D17757" s="7">
        <f>IFERROR(__xludf.DUMMYFUNCTION("""COMPUTED_VALUE"""),0.425925925925925)</f>
        <v>0.4259259259</v>
      </c>
    </row>
    <row r="17758">
      <c r="A17758" s="10" t="s">
        <v>19197</v>
      </c>
      <c r="B17758" s="7" t="str">
        <f>IFERROR(__xludf.DUMMYFUNCTION("SPLIT(A17758,"" "")"),"Cc1ccnc2cc(N(C)C3=CNC(CN(C)C(C)C)=CC3)ccc12")</f>
        <v>Cc1ccnc2cc(N(C)C3=CNC(CN(C)C(C)C)=CC3)ccc12</v>
      </c>
      <c r="C17758" s="7">
        <f>IFERROR(__xludf.DUMMYFUNCTION("""COMPUTED_VALUE"""),7.7301474)</f>
        <v>7.7301474</v>
      </c>
      <c r="D17758" s="7">
        <f>IFERROR(__xludf.DUMMYFUNCTION("""COMPUTED_VALUE"""),0.231884057971014)</f>
        <v>0.231884058</v>
      </c>
    </row>
    <row r="17759">
      <c r="A17759" s="10" t="s">
        <v>19198</v>
      </c>
      <c r="B17759" s="7" t="str">
        <f>IFERROR(__xludf.DUMMYFUNCTION("SPLIT(A17759,"" "")"),"Cc1ccnc(CN(C)Cc2cc(-c3cccc(N=Cc4ccccn4)c3)ccn2)c1")</f>
        <v>Cc1ccnc(CN(C)Cc2cc(-c3cccc(N=Cc4ccccn4)c3)ccn2)c1</v>
      </c>
      <c r="C17759" s="7">
        <f>IFERROR(__xludf.DUMMYFUNCTION("""COMPUTED_VALUE"""),7.73014)</f>
        <v>7.73014</v>
      </c>
      <c r="D17759" s="7">
        <f>IFERROR(__xludf.DUMMYFUNCTION("""COMPUTED_VALUE"""),0.385964912280701)</f>
        <v>0.3859649123</v>
      </c>
    </row>
    <row r="17760">
      <c r="A17760" s="10" t="s">
        <v>19199</v>
      </c>
      <c r="B17760" s="7" t="str">
        <f>IFERROR(__xludf.DUMMYFUNCTION("SPLIT(A17760,"" "")"),"Cc1ccnc(CN(C)Cc2cccc(-c3cccc(N(C)C)c3)n2)c1C")</f>
        <v>Cc1ccnc(CN(C)Cc2cccc(-c3cccc(N(C)C)c3)n2)c1C</v>
      </c>
      <c r="C17760" s="7">
        <f>IFERROR(__xludf.DUMMYFUNCTION("""COMPUTED_VALUE"""),7.7301345)</f>
        <v>7.7301345</v>
      </c>
      <c r="D17760" s="7">
        <f>IFERROR(__xludf.DUMMYFUNCTION("""COMPUTED_VALUE"""),0.433962264150943)</f>
        <v>0.4339622642</v>
      </c>
    </row>
    <row r="17761">
      <c r="A17761" s="10" t="s">
        <v>19200</v>
      </c>
      <c r="B17761" s="7" t="str">
        <f>IFERROR(__xludf.DUMMYFUNCTION("SPLIT(A17761,"" "")"),"CNCc1cccc(-c2cccc(N(C)C)c2)n1")</f>
        <v>CNCc1cccc(-c2cccc(N(C)C)c2)n1</v>
      </c>
      <c r="C17761" s="7">
        <f>IFERROR(__xludf.DUMMYFUNCTION("""COMPUTED_VALUE"""),7.7301345)</f>
        <v>7.7301345</v>
      </c>
      <c r="D17761" s="7">
        <f>IFERROR(__xludf.DUMMYFUNCTION("""COMPUTED_VALUE"""),0.37037037037037)</f>
        <v>0.3703703704</v>
      </c>
    </row>
    <row r="17762">
      <c r="A17762" s="10" t="s">
        <v>19201</v>
      </c>
      <c r="B17762" s="7" t="str">
        <f>IFERROR(__xludf.DUMMYFUNCTION("SPLIT(A17762,"" "")"),"CN(c1ccc2cc3c(nc2c1)CCC3)C1CCC(N(C)c2cccc3c4c(cnc23)CCC4)CC1")</f>
        <v>CN(c1ccc2cc3c(nc2c1)CCC3)C1CCC(N(C)c2cccc3c4c(cnc23)CCC4)CC1</v>
      </c>
      <c r="C17762" s="7">
        <f>IFERROR(__xludf.DUMMYFUNCTION("""COMPUTED_VALUE"""),7.7301335)</f>
        <v>7.7301335</v>
      </c>
      <c r="D17762" s="7">
        <f>IFERROR(__xludf.DUMMYFUNCTION("""COMPUTED_VALUE"""),0.46031746031746)</f>
        <v>0.4603174603</v>
      </c>
    </row>
    <row r="17763">
      <c r="A17763" s="10" t="s">
        <v>19202</v>
      </c>
      <c r="B17763" s="7" t="str">
        <f>IFERROR(__xludf.DUMMYFUNCTION("SPLIT(A17763,"" "")"),"Cc1cnccc1-c1ccccc1NCc1ccccn1")</f>
        <v>Cc1cnccc1-c1ccccc1NCc1ccccn1</v>
      </c>
      <c r="C17763" s="7">
        <f>IFERROR(__xludf.DUMMYFUNCTION("""COMPUTED_VALUE"""),7.7301273)</f>
        <v>7.7301273</v>
      </c>
      <c r="D17763" s="7">
        <f>IFERROR(__xludf.DUMMYFUNCTION("""COMPUTED_VALUE"""),0.404761904761904)</f>
        <v>0.4047619048</v>
      </c>
    </row>
    <row r="17764">
      <c r="A17764" s="10" t="s">
        <v>19203</v>
      </c>
      <c r="B17764" s="7" t="str">
        <f>IFERROR(__xludf.DUMMYFUNCTION("SPLIT(A17764,"" "")"),"CCN(Cc1ccccn1)Cc1nccc2cccc(N(C)Cc3ncc(C)c(C)c3C)c12")</f>
        <v>CCN(Cc1ccccn1)Cc1nccc2cccc(N(C)Cc3ncc(C)c(C)c3C)c12</v>
      </c>
      <c r="C17764" s="7">
        <f>IFERROR(__xludf.DUMMYFUNCTION("""COMPUTED_VALUE"""),7.730108)</f>
        <v>7.730108</v>
      </c>
      <c r="D17764" s="7">
        <f>IFERROR(__xludf.DUMMYFUNCTION("""COMPUTED_VALUE"""),0.372881355932203)</f>
        <v>0.3728813559</v>
      </c>
    </row>
    <row r="17765">
      <c r="A17765" s="10" t="s">
        <v>19204</v>
      </c>
      <c r="B17765" s="7" t="str">
        <f>IFERROR(__xludf.DUMMYFUNCTION("SPLIT(A17765,"" "")"),"CN(c1cccc2cc(CF)cnc12)C1CCC(N(C)c2cccc3c(CF)ccnc23)CC1")</f>
        <v>CN(c1cccc2cc(CF)cnc12)C1CCC(N(C)c2cccc3c(CF)ccnc23)CC1</v>
      </c>
      <c r="C17765" s="7">
        <f>IFERROR(__xludf.DUMMYFUNCTION("""COMPUTED_VALUE"""),7.7301054)</f>
        <v>7.7301054</v>
      </c>
      <c r="D17765" s="7">
        <f>IFERROR(__xludf.DUMMYFUNCTION("""COMPUTED_VALUE"""),0.396551724137931)</f>
        <v>0.3965517241</v>
      </c>
    </row>
    <row r="17766">
      <c r="A17766" s="10" t="s">
        <v>19205</v>
      </c>
      <c r="B17766" s="7" t="str">
        <f>IFERROR(__xludf.DUMMYFUNCTION("SPLIT(A17766,"" "")"),"CCN(Cc1ccccn1)c1ccc2ncccc2c1")</f>
        <v>CCN(Cc1ccccn1)c1ccc2ncccc2c1</v>
      </c>
      <c r="C17766" s="7">
        <f>IFERROR(__xludf.DUMMYFUNCTION("""COMPUTED_VALUE"""),7.7301006)</f>
        <v>7.7301006</v>
      </c>
      <c r="D17766" s="7">
        <f>IFERROR(__xludf.DUMMYFUNCTION("""COMPUTED_VALUE"""),0.435897435897435)</f>
        <v>0.4358974359</v>
      </c>
    </row>
    <row r="17767">
      <c r="A17767" s="10" t="s">
        <v>19206</v>
      </c>
      <c r="B17767" s="7" t="str">
        <f>IFERROR(__xludf.DUMMYFUNCTION("SPLIT(A17767,"" "")"),"Cc1cnc(CN(C)Cc2cccc(-c3cccc(N(C)C)c3)n2)c(C)c1")</f>
        <v>Cc1cnc(CN(C)Cc2cccc(-c3cccc(N(C)C)c3)n2)c(C)c1</v>
      </c>
      <c r="C17767" s="7">
        <f>IFERROR(__xludf.DUMMYFUNCTION("""COMPUTED_VALUE"""),7.730098)</f>
        <v>7.730098</v>
      </c>
      <c r="D17767" s="7">
        <f>IFERROR(__xludf.DUMMYFUNCTION("""COMPUTED_VALUE"""),0.407407407407407)</f>
        <v>0.4074074074</v>
      </c>
    </row>
    <row r="17768">
      <c r="A17768" s="10" t="s">
        <v>19207</v>
      </c>
      <c r="B17768" s="7" t="str">
        <f>IFERROR(__xludf.DUMMYFUNCTION("SPLIT(A17768,"" "")"),"CNCc1ccc2cccc(N(C)CCN(Cc3ccc4ncccc4c3)C(C)(C)c3ccccn3)c2n1")</f>
        <v>CNCc1ccc2cccc(N(C)CCN(Cc3ccc4ncccc4c3)C(C)(C)c3ccccn3)c2n1</v>
      </c>
      <c r="C17768" s="7">
        <f>IFERROR(__xludf.DUMMYFUNCTION("""COMPUTED_VALUE"""),7.7300935)</f>
        <v>7.7300935</v>
      </c>
      <c r="D17768" s="7">
        <f>IFERROR(__xludf.DUMMYFUNCTION("""COMPUTED_VALUE"""),0.390625)</f>
        <v>0.390625</v>
      </c>
    </row>
    <row r="17769">
      <c r="A17769" s="10" t="s">
        <v>19208</v>
      </c>
      <c r="B17769" s="7" t="str">
        <f>IFERROR(__xludf.DUMMYFUNCTION("SPLIT(A17769,"" "")"),"CCOC(=O)c1cc(CN(Cc2ccccn2)Cc2cccc(-c3ccccc3N=Cc3ccccn3)n2)ccn1")</f>
        <v>CCOC(=O)c1cc(CN(Cc2ccccn2)Cc2cccc(-c3ccccc3N=Cc3ccccn3)n2)ccn1</v>
      </c>
      <c r="C17769" s="7">
        <f>IFERROR(__xludf.DUMMYFUNCTION("""COMPUTED_VALUE"""),7.730086)</f>
        <v>7.730086</v>
      </c>
      <c r="D17769" s="7">
        <f>IFERROR(__xludf.DUMMYFUNCTION("""COMPUTED_VALUE"""),0.381578947368421)</f>
        <v>0.3815789474</v>
      </c>
    </row>
    <row r="17770">
      <c r="A17770" s="10" t="s">
        <v>19209</v>
      </c>
      <c r="B17770" s="7" t="str">
        <f>IFERROR(__xludf.DUMMYFUNCTION("SPLIT(A17770,"" "")"),"Cc1cncc(CN(C)Cc2ccc(N(C)Cc3ncccc3-c3ccccn3)nc2)c1C")</f>
        <v>Cc1cncc(CN(C)Cc2ccc(N(C)Cc3ncccc3-c3ccccn3)nc2)c1C</v>
      </c>
      <c r="C17770" s="7">
        <f>IFERROR(__xludf.DUMMYFUNCTION("""COMPUTED_VALUE"""),7.730078)</f>
        <v>7.730078</v>
      </c>
      <c r="D17770" s="7">
        <f>IFERROR(__xludf.DUMMYFUNCTION("""COMPUTED_VALUE"""),0.333333333333333)</f>
        <v>0.3333333333</v>
      </c>
    </row>
    <row r="17771">
      <c r="A17771" s="10" t="s">
        <v>19210</v>
      </c>
      <c r="B17771" s="7" t="str">
        <f>IFERROR(__xludf.DUMMYFUNCTION("SPLIT(A17771,"" "")"),"Cc1cc([SiH3])cnc1CN(Cc1cccc([SiH3])n1)Cc1nc2ccccc2n1C")</f>
        <v>Cc1cc([SiH3])cnc1CN(Cc1cccc([SiH3])n1)Cc1nc2ccccc2n1C</v>
      </c>
      <c r="C17771" s="7">
        <f>IFERROR(__xludf.DUMMYFUNCTION("""COMPUTED_VALUE"""),7.730077)</f>
        <v>7.730077</v>
      </c>
      <c r="D17771" s="7">
        <f>IFERROR(__xludf.DUMMYFUNCTION("""COMPUTED_VALUE"""),0.338709677419354)</f>
        <v>0.3387096774</v>
      </c>
    </row>
    <row r="17772">
      <c r="A17772" s="10" t="s">
        <v>19211</v>
      </c>
      <c r="B17772" s="7" t="str">
        <f>IFERROR(__xludf.DUMMYFUNCTION("SPLIT(A17772,"" "")"),"CC(C)N(Cc1ccccn1)Cc1cccc(N(C)c2ccc3ncccc3c2)n1")</f>
        <v>CC(C)N(Cc1ccccn1)Cc1cccc(N(C)c2ccc3ncccc3c2)n1</v>
      </c>
      <c r="C17772" s="7">
        <f>IFERROR(__xludf.DUMMYFUNCTION("""COMPUTED_VALUE"""),7.730063)</f>
        <v>7.730063</v>
      </c>
      <c r="D17772" s="7">
        <f>IFERROR(__xludf.DUMMYFUNCTION("""COMPUTED_VALUE"""),0.489795918367346)</f>
        <v>0.4897959184</v>
      </c>
    </row>
    <row r="17773">
      <c r="A17773" s="10" t="s">
        <v>19212</v>
      </c>
      <c r="B17773" s="7" t="str">
        <f>IFERROR(__xludf.DUMMYFUNCTION("SPLIT(A17773,"" "")"),"Cc1cccnc1CN(Cc1ccc2ncccc2c1)Cc1cc(N(C)C)ccn1")</f>
        <v>Cc1cccnc1CN(Cc1ccc2ncccc2c1)Cc1cc(N(C)C)ccn1</v>
      </c>
      <c r="C17773" s="7">
        <f>IFERROR(__xludf.DUMMYFUNCTION("""COMPUTED_VALUE"""),7.7300596)</f>
        <v>7.7300596</v>
      </c>
      <c r="D17773" s="7">
        <f>IFERROR(__xludf.DUMMYFUNCTION("""COMPUTED_VALUE"""),0.327586206896551)</f>
        <v>0.3275862069</v>
      </c>
    </row>
    <row r="17774">
      <c r="A17774" s="10" t="s">
        <v>19213</v>
      </c>
      <c r="B17774" s="7" t="str">
        <f>IFERROR(__xludf.DUMMYFUNCTION("SPLIT(A17774,"" "")"),"CC(C)N(Cc1ccccn1)c1ccc2nc(CF)ccc2c1")</f>
        <v>CC(C)N(Cc1ccccn1)c1ccc2nc(CF)ccc2c1</v>
      </c>
      <c r="C17774" s="7">
        <f>IFERROR(__xludf.DUMMYFUNCTION("""COMPUTED_VALUE"""),7.730053)</f>
        <v>7.730053</v>
      </c>
      <c r="D17774" s="7">
        <f>IFERROR(__xludf.DUMMYFUNCTION("""COMPUTED_VALUE"""),0.46938775510204)</f>
        <v>0.4693877551</v>
      </c>
    </row>
    <row r="17775">
      <c r="A17775" s="10" t="s">
        <v>19214</v>
      </c>
      <c r="B17775" s="7" t="str">
        <f>IFERROR(__xludf.DUMMYFUNCTION("SPLIT(A17775,"" "")"),"Cc1cccnc1CN(C)CC1=CC(N(C)c2ccc3cccnc3c2)C=CN1")</f>
        <v>Cc1cccnc1CN(C)CC1=CC(N(C)c2ccc3cccnc3c2)C=CN1</v>
      </c>
      <c r="C17775" s="7">
        <f>IFERROR(__xludf.DUMMYFUNCTION("""COMPUTED_VALUE"""),7.7300515)</f>
        <v>7.7300515</v>
      </c>
      <c r="D17775" s="7">
        <f>IFERROR(__xludf.DUMMYFUNCTION("""COMPUTED_VALUE"""),0.298507462686567)</f>
        <v>0.2985074627</v>
      </c>
    </row>
    <row r="17776">
      <c r="A17776" s="10" t="s">
        <v>19215</v>
      </c>
      <c r="B17776" s="7" t="str">
        <f>IFERROR(__xludf.DUMMYFUNCTION("SPLIT(A17776,"" "")"),"Cc1cncc(CN(C)Cc2cc(-c3cccc(N=Cc4ccccn4)c3)ccn2)c1")</f>
        <v>Cc1cncc(CN(C)Cc2cc(-c3cccc(N=Cc4ccccn4)c3)ccn2)c1</v>
      </c>
      <c r="C17776" s="7">
        <f>IFERROR(__xludf.DUMMYFUNCTION("""COMPUTED_VALUE"""),7.7300353)</f>
        <v>7.7300353</v>
      </c>
      <c r="D17776" s="7">
        <f>IFERROR(__xludf.DUMMYFUNCTION("""COMPUTED_VALUE"""),0.34375)</f>
        <v>0.34375</v>
      </c>
    </row>
    <row r="17777">
      <c r="A17777" s="10" t="s">
        <v>19216</v>
      </c>
      <c r="B17777" s="7" t="str">
        <f>IFERROR(__xludf.DUMMYFUNCTION("SPLIT(A17777,"" "")"),"CC(C)N(Cc1ccccn1)Cc1cccc(N(C)c2ccc3cccnc3c2)n1")</f>
        <v>CC(C)N(Cc1ccccn1)Cc1cccc(N(C)c2ccc3cccnc3c2)n1</v>
      </c>
      <c r="C17777" s="7">
        <f>IFERROR(__xludf.DUMMYFUNCTION("""COMPUTED_VALUE"""),7.7300234)</f>
        <v>7.7300234</v>
      </c>
      <c r="D17777" s="7">
        <f>IFERROR(__xludf.DUMMYFUNCTION("""COMPUTED_VALUE"""),0.48)</f>
        <v>0.48</v>
      </c>
    </row>
    <row r="17778">
      <c r="A17778" s="10" t="s">
        <v>19217</v>
      </c>
      <c r="B17778" s="7" t="str">
        <f>IFERROR(__xludf.DUMMYFUNCTION("SPLIT(A17778,"" "")"),"C(=Nc1ccccc1-c1cccc(CN(Cc2ccccn2)Cc2cccc(-c3ccccc3)n2)n1)c1ccccn1")</f>
        <v>C(=Nc1ccccc1-c1cccc(CN(Cc2ccccn2)Cc2cccc(-c3ccccc3)n2)n1)c1ccccn1</v>
      </c>
      <c r="C17778" s="7">
        <f>IFERROR(__xludf.DUMMYFUNCTION("""COMPUTED_VALUE"""),7.730017)</f>
        <v>7.730017</v>
      </c>
      <c r="D17778" s="7">
        <f>IFERROR(__xludf.DUMMYFUNCTION("""COMPUTED_VALUE"""),0.491525423728813)</f>
        <v>0.4915254237</v>
      </c>
    </row>
    <row r="17779">
      <c r="A17779" s="10" t="s">
        <v>19218</v>
      </c>
      <c r="B17779" s="7" t="str">
        <f>IFERROR(__xludf.DUMMYFUNCTION("SPLIT(A17779,"" "")"),"CCN(Cc1ccccn1)c1cccc2nccc(CN(C)Cc3cc(C)c(C)c(C)n3)c12")</f>
        <v>CCN(Cc1ccccn1)c1cccc2nccc(CN(C)Cc3cc(C)c(C)c(C)n3)c12</v>
      </c>
      <c r="C17779" s="7">
        <f>IFERROR(__xludf.DUMMYFUNCTION("""COMPUTED_VALUE"""),7.7299986)</f>
        <v>7.7299986</v>
      </c>
      <c r="D17779" s="7">
        <f>IFERROR(__xludf.DUMMYFUNCTION("""COMPUTED_VALUE"""),0.387096774193548)</f>
        <v>0.3870967742</v>
      </c>
    </row>
    <row r="17780">
      <c r="A17780" s="10" t="s">
        <v>19219</v>
      </c>
      <c r="B17780" s="7" t="str">
        <f>IFERROR(__xludf.DUMMYFUNCTION("SPLIT(A17780,"" "")"),"CC(C)N(C)Cc1ccc2ccc(N(C)C)cc2n1")</f>
        <v>CC(C)N(C)Cc1ccc2ccc(N(C)C)cc2n1</v>
      </c>
      <c r="C17780" s="7">
        <f>IFERROR(__xludf.DUMMYFUNCTION("""COMPUTED_VALUE"""),7.7299943)</f>
        <v>7.7299943</v>
      </c>
      <c r="D17780" s="7">
        <f>IFERROR(__xludf.DUMMYFUNCTION("""COMPUTED_VALUE"""),0.384615384615384)</f>
        <v>0.3846153846</v>
      </c>
    </row>
    <row r="17781">
      <c r="A17781" s="10" t="s">
        <v>19220</v>
      </c>
      <c r="B17781" s="7" t="str">
        <f>IFERROR(__xludf.DUMMYFUNCTION("SPLIT(A17781,"" "")"),"CCN(Cc1ccccn1)Cc1cc(N(C)c2ccc3ncccc3c2)ccn1")</f>
        <v>CCN(Cc1ccccn1)Cc1cc(N(C)c2ccc3ncccc3c2)ccn1</v>
      </c>
      <c r="C17781" s="7">
        <f>IFERROR(__xludf.DUMMYFUNCTION("""COMPUTED_VALUE"""),7.7299933)</f>
        <v>7.7299933</v>
      </c>
      <c r="D17781" s="7">
        <f>IFERROR(__xludf.DUMMYFUNCTION("""COMPUTED_VALUE"""),0.431818181818181)</f>
        <v>0.4318181818</v>
      </c>
    </row>
    <row r="17782">
      <c r="A17782" s="10" t="s">
        <v>19221</v>
      </c>
      <c r="B17782" s="7" t="str">
        <f>IFERROR(__xludf.DUMMYFUNCTION("SPLIT(A17782,"" "")"),"Cc1cccnc1CN(C)Cc1ccc(-c2ccccc2N=Cc2ccccn2)cn1")</f>
        <v>Cc1cccnc1CN(C)Cc1ccc(-c2ccccc2N=Cc2ccccn2)cn1</v>
      </c>
      <c r="C17782" s="7">
        <f>IFERROR(__xludf.DUMMYFUNCTION("""COMPUTED_VALUE"""),7.7299933)</f>
        <v>7.7299933</v>
      </c>
      <c r="D17782" s="7">
        <f>IFERROR(__xludf.DUMMYFUNCTION("""COMPUTED_VALUE"""),0.456140350877192)</f>
        <v>0.4561403509</v>
      </c>
    </row>
    <row r="17783">
      <c r="A17783" s="10" t="s">
        <v>19222</v>
      </c>
      <c r="B17783" s="7" t="str">
        <f>IFERROR(__xludf.DUMMYFUNCTION("SPLIT(A17783,"" "")"),"COC(=O)C(=O)N=Cc1ccccn1")</f>
        <v>COC(=O)C(=O)N=Cc1ccccn1</v>
      </c>
      <c r="C17783" s="7">
        <f>IFERROR(__xludf.DUMMYFUNCTION("""COMPUTED_VALUE"""),7.729985)</f>
        <v>7.729985</v>
      </c>
      <c r="D17783" s="7">
        <f>IFERROR(__xludf.DUMMYFUNCTION("""COMPUTED_VALUE"""),0.4)</f>
        <v>0.4</v>
      </c>
    </row>
    <row r="17784">
      <c r="A17784" s="10" t="s">
        <v>19223</v>
      </c>
      <c r="B17784" s="7" t="str">
        <f>IFERROR(__xludf.DUMMYFUNCTION("SPLIT(A17784,"" "")"),"Cc1ccc2ccc(N(C)CCN(C)Cc3nc(C)c(C)c(C)c3C)cc2n1")</f>
        <v>Cc1ccc2ccc(N(C)CCN(C)Cc3nc(C)c(C)c(C)c3C)cc2n1</v>
      </c>
      <c r="C17784" s="7">
        <f>IFERROR(__xludf.DUMMYFUNCTION("""COMPUTED_VALUE"""),7.7299824)</f>
        <v>7.7299824</v>
      </c>
      <c r="D17784" s="7">
        <f>IFERROR(__xludf.DUMMYFUNCTION("""COMPUTED_VALUE"""),0.346938775510204)</f>
        <v>0.3469387755</v>
      </c>
    </row>
    <row r="17785">
      <c r="A17785" s="10" t="s">
        <v>19224</v>
      </c>
      <c r="B17785" s="7" t="str">
        <f>IFERROR(__xludf.DUMMYFUNCTION("SPLIT(A17785,"" "")"),"Cc1cc(C)nc(CN(C)Cc2ccnc3cc(C)ccc23)c1")</f>
        <v>Cc1cc(C)nc(CN(C)Cc2ccnc3cc(C)ccc23)c1</v>
      </c>
      <c r="C17785" s="7">
        <f>IFERROR(__xludf.DUMMYFUNCTION("""COMPUTED_VALUE"""),7.729976)</f>
        <v>7.729976</v>
      </c>
      <c r="D17785" s="7">
        <f>IFERROR(__xludf.DUMMYFUNCTION("""COMPUTED_VALUE"""),0.333333333333333)</f>
        <v>0.3333333333</v>
      </c>
    </row>
    <row r="17786">
      <c r="A17786" s="10" t="s">
        <v>19225</v>
      </c>
      <c r="B17786" s="7" t="str">
        <f>IFERROR(__xludf.DUMMYFUNCTION("SPLIT(A17786,"" "")"),"CCCN(Cc1ccccn1)c1ccc(C)c(C)c1-c1cc(CN(Cc2ccccn2)Cc2cc(-c3ccccc3N=Cc3ccccn3)ccn2)ccn1")</f>
        <v>CCCN(Cc1ccccn1)c1ccc(C)c(C)c1-c1cc(CN(Cc2ccccn2)Cc2cc(-c3ccccc3N=Cc3ccccn3)ccn2)ccn1</v>
      </c>
      <c r="C17786" s="7">
        <f>IFERROR(__xludf.DUMMYFUNCTION("""COMPUTED_VALUE"""),7.7299733)</f>
        <v>7.7299733</v>
      </c>
      <c r="D17786" s="7">
        <f>IFERROR(__xludf.DUMMYFUNCTION("""COMPUTED_VALUE"""),0.342105263157894)</f>
        <v>0.3421052632</v>
      </c>
    </row>
    <row r="17787">
      <c r="A17787" s="10" t="s">
        <v>19226</v>
      </c>
      <c r="B17787" s="7" t="str">
        <f>IFERROR(__xludf.DUMMYFUNCTION("SPLIT(A17787,"" "")"),"Cc1ccnc(-c2ccc(C)c(NCc3ccccn3)c2)c1")</f>
        <v>Cc1ccnc(-c2ccc(C)c(NCc3ccccn3)c2)c1</v>
      </c>
      <c r="C17787" s="7">
        <f>IFERROR(__xludf.DUMMYFUNCTION("""COMPUTED_VALUE"""),7.72996)</f>
        <v>7.72996</v>
      </c>
      <c r="D17787" s="7">
        <f>IFERROR(__xludf.DUMMYFUNCTION("""COMPUTED_VALUE"""),0.377777777777777)</f>
        <v>0.3777777778</v>
      </c>
    </row>
    <row r="17788">
      <c r="A17788" s="10" t="s">
        <v>19227</v>
      </c>
      <c r="B17788" s="7" t="str">
        <f>IFERROR(__xludf.DUMMYFUNCTION("SPLIT(A17788,"" "")"),"CN(CC1=CC(N(C)Cc2ccccn2)C=CN1)c1ccc2ncccc2c1")</f>
        <v>CN(CC1=CC(N(C)Cc2ccccn2)C=CN1)c1ccc2ncccc2c1</v>
      </c>
      <c r="C17788" s="7">
        <f>IFERROR(__xludf.DUMMYFUNCTION("""COMPUTED_VALUE"""),7.729947)</f>
        <v>7.729947</v>
      </c>
      <c r="D17788" s="7">
        <f>IFERROR(__xludf.DUMMYFUNCTION("""COMPUTED_VALUE"""),0.372881355932203)</f>
        <v>0.3728813559</v>
      </c>
    </row>
    <row r="17789">
      <c r="A17789" s="10" t="s">
        <v>19228</v>
      </c>
      <c r="B17789" s="7" t="str">
        <f>IFERROR(__xludf.DUMMYFUNCTION("SPLIT(A17789,"" "")"),"Cc1cccnc1-c1cccc(NCc2ccccn2)c1")</f>
        <v>Cc1cccnc1-c1cccc(NCc2ccccn2)c1</v>
      </c>
      <c r="C17789" s="7">
        <f>IFERROR(__xludf.DUMMYFUNCTION("""COMPUTED_VALUE"""),7.729942)</f>
        <v>7.729942</v>
      </c>
      <c r="D17789" s="7">
        <f>IFERROR(__xludf.DUMMYFUNCTION("""COMPUTED_VALUE"""),0.407407407407407)</f>
        <v>0.4074074074</v>
      </c>
    </row>
    <row r="17790">
      <c r="A17790" s="10" t="s">
        <v>19229</v>
      </c>
      <c r="B17790" s="7" t="str">
        <f>IFERROR(__xludf.DUMMYFUNCTION("SPLIT(A17790,"" "")"),"Cc1ccc(-c2cc(C)cc(NCc3ccccn3)c2)nc1")</f>
        <v>Cc1ccc(-c2cc(C)cc(NCc3ccccn3)c2)nc1</v>
      </c>
      <c r="C17790" s="7">
        <f>IFERROR(__xludf.DUMMYFUNCTION("""COMPUTED_VALUE"""),7.7299404)</f>
        <v>7.7299404</v>
      </c>
      <c r="D17790" s="7">
        <f>IFERROR(__xludf.DUMMYFUNCTION("""COMPUTED_VALUE"""),0.377777777777777)</f>
        <v>0.3777777778</v>
      </c>
    </row>
    <row r="17791">
      <c r="A17791" s="10" t="s">
        <v>19230</v>
      </c>
      <c r="B17791" s="7" t="str">
        <f>IFERROR(__xludf.DUMMYFUNCTION("SPLIT(A17791,"" "")"),"Cc1ccc(-c2ccnc(CN(C)Cc3cc(C)c(C)c(C)n3)c2)nc1C")</f>
        <v>Cc1ccc(-c2ccnc(CN(C)Cc3cc(C)c(C)c(C)n3)c2)nc1C</v>
      </c>
      <c r="C17791" s="7">
        <f>IFERROR(__xludf.DUMMYFUNCTION("""COMPUTED_VALUE"""),7.729931)</f>
        <v>7.729931</v>
      </c>
      <c r="D17791" s="7">
        <f>IFERROR(__xludf.DUMMYFUNCTION("""COMPUTED_VALUE"""),0.333333333333333)</f>
        <v>0.3333333333</v>
      </c>
    </row>
    <row r="17792">
      <c r="A17792" s="10" t="s">
        <v>19231</v>
      </c>
      <c r="B17792" s="7" t="str">
        <f>IFERROR(__xludf.DUMMYFUNCTION("SPLIT(A17792,"" "")"),"FCc1ccc2cccc(N(Cc3ccccn3)Cc3ccccn3)c2n1")</f>
        <v>FCc1ccc2cccc(N(Cc3ccccn3)Cc3ccccn3)c2n1</v>
      </c>
      <c r="C17792" s="7">
        <f>IFERROR(__xludf.DUMMYFUNCTION("""COMPUTED_VALUE"""),7.7299232)</f>
        <v>7.7299232</v>
      </c>
      <c r="D17792" s="7">
        <f>IFERROR(__xludf.DUMMYFUNCTION("""COMPUTED_VALUE"""),0.48)</f>
        <v>0.48</v>
      </c>
    </row>
    <row r="17793">
      <c r="A17793" s="10" t="s">
        <v>19232</v>
      </c>
      <c r="B17793" s="7" t="str">
        <f>IFERROR(__xludf.DUMMYFUNCTION("SPLIT(A17793,"" "")"),"CCc1cccc(CN(Cc2ccccn2)c2ccc3ncccc3c2)n1")</f>
        <v>CCc1cccc(CN(Cc2ccccn2)c2ccc3ncccc3c2)n1</v>
      </c>
      <c r="C17793" s="7">
        <f>IFERROR(__xludf.DUMMYFUNCTION("""COMPUTED_VALUE"""),7.729921)</f>
        <v>7.729921</v>
      </c>
      <c r="D17793" s="7">
        <f>IFERROR(__xludf.DUMMYFUNCTION("""COMPUTED_VALUE"""),0.448979591836734)</f>
        <v>0.4489795918</v>
      </c>
    </row>
    <row r="17794">
      <c r="A17794" s="10" t="s">
        <v>19233</v>
      </c>
      <c r="B17794" s="7" t="str">
        <f>IFERROR(__xludf.DUMMYFUNCTION("SPLIT(A17794,"" "")"),"CNCc1cccc(-c2cccc(Cl)c2N)n1")</f>
        <v>CNCc1cccc(-c2cccc(Cl)c2N)n1</v>
      </c>
      <c r="C17794" s="7">
        <f>IFERROR(__xludf.DUMMYFUNCTION("""COMPUTED_VALUE"""),7.729916)</f>
        <v>7.729916</v>
      </c>
      <c r="D17794" s="7">
        <f>IFERROR(__xludf.DUMMYFUNCTION("""COMPUTED_VALUE"""),0.274509803921568)</f>
        <v>0.2745098039</v>
      </c>
    </row>
    <row r="17795">
      <c r="A17795" s="10" t="s">
        <v>19234</v>
      </c>
      <c r="B17795" s="7" t="str">
        <f>IFERROR(__xludf.DUMMYFUNCTION("SPLIT(A17795,"" "")"),"Cc1cccnc1CN(C)CC1=CC(N(C)c2ccc3ncccc3c2)C=CN1")</f>
        <v>Cc1cccnc1CN(C)CC1=CC(N(C)c2ccc3ncccc3c2)C=CN1</v>
      </c>
      <c r="C17795" s="7">
        <f>IFERROR(__xludf.DUMMYFUNCTION("""COMPUTED_VALUE"""),7.7299128)</f>
        <v>7.7299128</v>
      </c>
      <c r="D17795" s="7">
        <f>IFERROR(__xludf.DUMMYFUNCTION("""COMPUTED_VALUE"""),0.303030303030303)</f>
        <v>0.303030303</v>
      </c>
    </row>
    <row r="17796">
      <c r="A17796" s="10" t="s">
        <v>19235</v>
      </c>
      <c r="B17796" s="7" t="str">
        <f>IFERROR(__xludf.DUMMYFUNCTION("SPLIT(A17796,"" "")"),"CN(c1ccc2cccnc2c1)C1CCC(N(C)c2cccc3ncccc23)CC1")</f>
        <v>CN(c1ccc2cccnc2c1)C1CCC(N(C)c2cccc3ncccc23)CC1</v>
      </c>
      <c r="C17796" s="7">
        <f>IFERROR(__xludf.DUMMYFUNCTION("""COMPUTED_VALUE"""),7.7299113)</f>
        <v>7.7299113</v>
      </c>
      <c r="D17796" s="7">
        <f>IFERROR(__xludf.DUMMYFUNCTION("""COMPUTED_VALUE"""),0.396226415094339)</f>
        <v>0.3962264151</v>
      </c>
    </row>
    <row r="17797">
      <c r="A17797" s="10" t="s">
        <v>19236</v>
      </c>
      <c r="B17797" s="7" t="str">
        <f>IFERROR(__xludf.DUMMYFUNCTION("SPLIT(A17797,"" "")"),"Cc1ccc(CN(C)CC2=CC(N(C)c3ccc4ncccc4c3)C=CN2)nc1C")</f>
        <v>Cc1ccc(CN(C)CC2=CC(N(C)c3ccc4ncccc4c3)C=CN2)nc1C</v>
      </c>
      <c r="C17797" s="7">
        <f>IFERROR(__xludf.DUMMYFUNCTION("""COMPUTED_VALUE"""),7.729909)</f>
        <v>7.729909</v>
      </c>
      <c r="D17797" s="7">
        <f>IFERROR(__xludf.DUMMYFUNCTION("""COMPUTED_VALUE"""),0.289855072463768)</f>
        <v>0.2898550725</v>
      </c>
    </row>
    <row r="17798">
      <c r="A17798" s="10" t="s">
        <v>19237</v>
      </c>
      <c r="B17798" s="7" t="str">
        <f>IFERROR(__xludf.DUMMYFUNCTION("SPLIT(A17798,"" "")"),"Cc1cncc(CN(C)Cc2ccc3cc(N(C)C4C=CC=CN4)ccc3n2)c1")</f>
        <v>Cc1cncc(CN(C)Cc2ccc3cc(N(C)C4C=CC=CN4)ccc3n2)c1</v>
      </c>
      <c r="C17798" s="7">
        <f>IFERROR(__xludf.DUMMYFUNCTION("""COMPUTED_VALUE"""),7.729904)</f>
        <v>7.729904</v>
      </c>
      <c r="D17798" s="7">
        <f>IFERROR(__xludf.DUMMYFUNCTION("""COMPUTED_VALUE"""),0.278688524590163)</f>
        <v>0.2786885246</v>
      </c>
    </row>
    <row r="17799">
      <c r="A17799" s="10" t="s">
        <v>19238</v>
      </c>
      <c r="B17799" s="7" t="str">
        <f>IFERROR(__xludf.DUMMYFUNCTION("SPLIT(A17799,"" "")"),"CN(c1cccc2ncc(CF)cc12)C1CCC(N(C)c2cccc3cccnc23)CC1")</f>
        <v>CN(c1cccc2ncc(CF)cc12)C1CCC(N(C)c2cccc3cccnc23)CC1</v>
      </c>
      <c r="C17799" s="7">
        <f>IFERROR(__xludf.DUMMYFUNCTION("""COMPUTED_VALUE"""),7.7298884)</f>
        <v>7.7298884</v>
      </c>
      <c r="D17799" s="7">
        <f>IFERROR(__xludf.DUMMYFUNCTION("""COMPUTED_VALUE"""),0.481481481481481)</f>
        <v>0.4814814815</v>
      </c>
    </row>
    <row r="17800">
      <c r="A17800" s="10" t="s">
        <v>19239</v>
      </c>
      <c r="B17800" s="7" t="str">
        <f>IFERROR(__xludf.DUMMYFUNCTION("SPLIT(A17800,"" "")"),"Cc1ccc(N)c(-c2ccnc(CN(C)C)c2)c1")</f>
        <v>Cc1ccc(N)c(-c2ccnc(CN(C)C)c2)c1</v>
      </c>
      <c r="C17800" s="7">
        <f>IFERROR(__xludf.DUMMYFUNCTION("""COMPUTED_VALUE"""),7.729888)</f>
        <v>7.729888</v>
      </c>
      <c r="D17800" s="7">
        <f>IFERROR(__xludf.DUMMYFUNCTION("""COMPUTED_VALUE"""),0.326530612244897)</f>
        <v>0.3265306122</v>
      </c>
    </row>
    <row r="17801">
      <c r="A17801" s="10" t="s">
        <v>19240</v>
      </c>
      <c r="B17801" s="7" t="str">
        <f>IFERROR(__xludf.DUMMYFUNCTION("SPLIT(A17801,"" "")"),"CC1C=Cc2ccc(C(C)(C)c3cc(C4=NC(c5ccccc5)C(C)O4)ccn3)cc2C1C")</f>
        <v>CC1C=Cc2ccc(C(C)(C)c3cc(C4=NC(c5ccccc5)C(C)O4)ccn3)cc2C1C</v>
      </c>
      <c r="C17801" s="7">
        <f>IFERROR(__xludf.DUMMYFUNCTION("""COMPUTED_VALUE"""),7.7298856)</f>
        <v>7.7298856</v>
      </c>
      <c r="D17801" s="7">
        <f>IFERROR(__xludf.DUMMYFUNCTION("""COMPUTED_VALUE"""),0.178082191780821)</f>
        <v>0.1780821918</v>
      </c>
    </row>
    <row r="17802">
      <c r="A17802" s="10" t="s">
        <v>19241</v>
      </c>
      <c r="B17802" s="7" t="str">
        <f>IFERROR(__xludf.DUMMYFUNCTION("SPLIT(A17802,"" "")"),"Cc1cccnc1-c1cccc(-c2ccccc2CNCc2ccccn2)c1")</f>
        <v>Cc1cccnc1-c1cccc(-c2ccccc2CNCc2ccccn2)c1</v>
      </c>
      <c r="C17802" s="7">
        <f>IFERROR(__xludf.DUMMYFUNCTION("""COMPUTED_VALUE"""),7.7298837)</f>
        <v>7.7298837</v>
      </c>
      <c r="D17802" s="7">
        <f>IFERROR(__xludf.DUMMYFUNCTION("""COMPUTED_VALUE"""),0.413043478260869)</f>
        <v>0.4130434783</v>
      </c>
    </row>
    <row r="17803">
      <c r="A17803" s="10" t="s">
        <v>19242</v>
      </c>
      <c r="B17803" s="7" t="str">
        <f>IFERROR(__xludf.DUMMYFUNCTION("SPLIT(A17803,"" "")"),"Cc1cc(C)c(CN(C)CC2=CC(N(C)c3ccc4ncccc4c3)C=CN2)cn1")</f>
        <v>Cc1cc(C)c(CN(C)CC2=CC(N(C)c3ccc4ncccc4c3)C=CN2)cn1</v>
      </c>
      <c r="C17803" s="7">
        <f>IFERROR(__xludf.DUMMYFUNCTION("""COMPUTED_VALUE"""),7.729877)</f>
        <v>7.729877</v>
      </c>
      <c r="D17803" s="7">
        <f>IFERROR(__xludf.DUMMYFUNCTION("""COMPUTED_VALUE"""),0.287878787878787)</f>
        <v>0.2878787879</v>
      </c>
    </row>
    <row r="17804">
      <c r="A17804" s="10" t="s">
        <v>19243</v>
      </c>
      <c r="B17804" s="7" t="str">
        <f>IFERROR(__xludf.DUMMYFUNCTION("SPLIT(A17804,"" "")"),"Cc1cc(-c2ccccc2NCc2cc(C(C)(C)c3ccccn3)ccn2)ccn1")</f>
        <v>Cc1cc(-c2ccccc2NCc2cc(C(C)(C)c3ccccn3)ccn2)ccn1</v>
      </c>
      <c r="C17804" s="7">
        <f>IFERROR(__xludf.DUMMYFUNCTION("""COMPUTED_VALUE"""),7.7298684)</f>
        <v>7.7298684</v>
      </c>
      <c r="D17804" s="7">
        <f>IFERROR(__xludf.DUMMYFUNCTION("""COMPUTED_VALUE"""),0.303030303030303)</f>
        <v>0.303030303</v>
      </c>
    </row>
    <row r="17805">
      <c r="A17805" s="10" t="s">
        <v>19244</v>
      </c>
      <c r="B17805" s="7" t="str">
        <f>IFERROR(__xludf.DUMMYFUNCTION("SPLIT(A17805,"" "")"),"CN(Cc1cccc(-c2cccc(N=Cc3ccccn3)c2)n1)C1C=CC=CN1")</f>
        <v>CN(Cc1cccc(-c2cccc(N=Cc3ccccn3)c2)n1)C1C=CC=CN1</v>
      </c>
      <c r="C17805" s="7">
        <f>IFERROR(__xludf.DUMMYFUNCTION("""COMPUTED_VALUE"""),7.729864)</f>
        <v>7.729864</v>
      </c>
      <c r="D17805" s="7">
        <f>IFERROR(__xludf.DUMMYFUNCTION("""COMPUTED_VALUE"""),0.385714285714285)</f>
        <v>0.3857142857</v>
      </c>
    </row>
    <row r="17806">
      <c r="A17806" s="10" t="s">
        <v>19245</v>
      </c>
      <c r="B17806" s="7" t="str">
        <f>IFERROR(__xludf.DUMMYFUNCTION("SPLIT(A17806,"" "")"),"CC1=C(c2ccccn2)NC=CC1")</f>
        <v>CC1=C(c2ccccn2)NC=CC1</v>
      </c>
      <c r="C17806" s="7">
        <f>IFERROR(__xludf.DUMMYFUNCTION("""COMPUTED_VALUE"""),7.7298584)</f>
        <v>7.7298584</v>
      </c>
      <c r="D17806" s="7">
        <f>IFERROR(__xludf.DUMMYFUNCTION("""COMPUTED_VALUE"""),0.333333333333333)</f>
        <v>0.3333333333</v>
      </c>
    </row>
    <row r="17807">
      <c r="A17807" s="10" t="s">
        <v>19246</v>
      </c>
      <c r="B17807" s="7" t="str">
        <f>IFERROR(__xludf.DUMMYFUNCTION("SPLIT(A17807,"" "")"),"Cc1cc(-c2ccccc2N=Cc2ccccn2)nc(CN(C)Cc2ccccn2)c1C")</f>
        <v>Cc1cc(-c2ccccc2N=Cc2ccccn2)nc(CN(C)Cc2ccccn2)c1C</v>
      </c>
      <c r="C17807" s="7">
        <f>IFERROR(__xludf.DUMMYFUNCTION("""COMPUTED_VALUE"""),7.7298503)</f>
        <v>7.7298503</v>
      </c>
      <c r="D17807" s="7">
        <f>IFERROR(__xludf.DUMMYFUNCTION("""COMPUTED_VALUE"""),0.43103448275862)</f>
        <v>0.4310344828</v>
      </c>
    </row>
    <row r="17808">
      <c r="A17808" s="10" t="s">
        <v>19247</v>
      </c>
      <c r="B17808" s="7" t="str">
        <f>IFERROR(__xludf.DUMMYFUNCTION("SPLIT(A17808,"" "")"),"Cc1ccc(CN(C)Cc2cccc(-c3cccc(N=Cc4ccccn4)c3)n2)nc1C")</f>
        <v>Cc1ccc(CN(C)Cc2cccc(-c3cccc(N=Cc4ccccn4)c3)n2)nc1C</v>
      </c>
      <c r="C17808" s="7">
        <f>IFERROR(__xludf.DUMMYFUNCTION("""COMPUTED_VALUE"""),7.729846)</f>
        <v>7.729846</v>
      </c>
      <c r="D17808" s="7">
        <f>IFERROR(__xludf.DUMMYFUNCTION("""COMPUTED_VALUE"""),0.448275862068965)</f>
        <v>0.4482758621</v>
      </c>
    </row>
    <row r="17809">
      <c r="A17809" s="10" t="s">
        <v>19248</v>
      </c>
      <c r="B17809" s="7" t="str">
        <f>IFERROR(__xludf.DUMMYFUNCTION("SPLIT(A17809,"" "")"),"CNc1cc(Cl)c(C)c(N(C)Cc2cccc(F)n2)c1")</f>
        <v>CNc1cc(Cl)c(C)c(N(C)Cc2cccc(F)n2)c1</v>
      </c>
      <c r="C17809" s="7">
        <f>IFERROR(__xludf.DUMMYFUNCTION("""COMPUTED_VALUE"""),7.729844)</f>
        <v>7.729844</v>
      </c>
      <c r="D17809" s="7">
        <f>IFERROR(__xludf.DUMMYFUNCTION("""COMPUTED_VALUE"""),0.392156862745098)</f>
        <v>0.3921568627</v>
      </c>
    </row>
    <row r="17810">
      <c r="A17810" s="10" t="s">
        <v>19249</v>
      </c>
      <c r="B17810" s="7" t="str">
        <f>IFERROR(__xludf.DUMMYFUNCTION("SPLIT(A17810,"" "")"),"Cc1ccc2ccc(N(C)C3CCCCC3N(C)c3ccc4nc(CN(C)C)ccc4c3)cc2n1")</f>
        <v>Cc1ccc2ccc(N(C)C3CCCCC3N(C)c3ccc4nc(CN(C)C)ccc4c3)cc2n1</v>
      </c>
      <c r="C17810" s="7">
        <f>IFERROR(__xludf.DUMMYFUNCTION("""COMPUTED_VALUE"""),7.729844)</f>
        <v>7.729844</v>
      </c>
      <c r="D17810" s="7">
        <f>IFERROR(__xludf.DUMMYFUNCTION("""COMPUTED_VALUE"""),0.423076923076923)</f>
        <v>0.4230769231</v>
      </c>
    </row>
    <row r="17811">
      <c r="A17811" s="10" t="s">
        <v>19250</v>
      </c>
      <c r="B17811" s="7" t="str">
        <f>IFERROR(__xludf.DUMMYFUNCTION("SPLIT(A17811,"" "")"),"Cc1cnc(CN(C)Cc2cc(-c3cccc(N(C)C)c3)ccn2)cc1C")</f>
        <v>Cc1cnc(CN(C)Cc2cc(-c3cccc(N(C)C)c3)ccn2)cc1C</v>
      </c>
      <c r="C17811" s="7">
        <f>IFERROR(__xludf.DUMMYFUNCTION("""COMPUTED_VALUE"""),7.7298393)</f>
        <v>7.7298393</v>
      </c>
      <c r="D17811" s="7">
        <f>IFERROR(__xludf.DUMMYFUNCTION("""COMPUTED_VALUE"""),0.365384615384615)</f>
        <v>0.3653846154</v>
      </c>
    </row>
    <row r="17812">
      <c r="A17812" s="10" t="s">
        <v>19251</v>
      </c>
      <c r="B17812" s="7" t="str">
        <f>IFERROR(__xludf.DUMMYFUNCTION("SPLIT(A17812,"" "")"),"Cc1ccc(CN(C)Cc2cccc(-c3ccc(N(C)C)cc3)n2)nc1C")</f>
        <v>Cc1ccc(CN(C)Cc2cccc(-c3ccc(N(C)C)cc3)n2)nc1C</v>
      </c>
      <c r="C17812" s="7">
        <f>IFERROR(__xludf.DUMMYFUNCTION("""COMPUTED_VALUE"""),7.729837)</f>
        <v>7.729837</v>
      </c>
      <c r="D17812" s="7">
        <f>IFERROR(__xludf.DUMMYFUNCTION("""COMPUTED_VALUE"""),0.4375)</f>
        <v>0.4375</v>
      </c>
    </row>
    <row r="17813">
      <c r="A17813" s="10" t="s">
        <v>19252</v>
      </c>
      <c r="B17813" s="7" t="str">
        <f>IFERROR(__xludf.DUMMYFUNCTION("SPLIT(A17813,"" "")"),"Cc1ccnc2cc(N(C)C3=C(CN(C)C(C)C)NC=CC3)ccc12")</f>
        <v>Cc1ccnc2cc(N(C)C3=C(CN(C)C(C)C)NC=CC3)ccc12</v>
      </c>
      <c r="C17813" s="7">
        <f>IFERROR(__xludf.DUMMYFUNCTION("""COMPUTED_VALUE"""),7.7298355)</f>
        <v>7.7298355</v>
      </c>
      <c r="D17813" s="7">
        <f>IFERROR(__xludf.DUMMYFUNCTION("""COMPUTED_VALUE"""),0.235294117647058)</f>
        <v>0.2352941176</v>
      </c>
    </row>
    <row r="17814">
      <c r="A17814" s="10" t="s">
        <v>19253</v>
      </c>
      <c r="B17814" s="7" t="str">
        <f>IFERROR(__xludf.DUMMYFUNCTION("SPLIT(A17814,"" "")"),"Cc1ccnc(CN(C)Cc2cc(-c3ccc(N=Cc4ccccn4)cc3)ccn2)c1")</f>
        <v>Cc1ccnc(CN(C)Cc2cc(-c3ccc(N=Cc4ccccn4)cc3)ccn2)c1</v>
      </c>
      <c r="C17814" s="7">
        <f>IFERROR(__xludf.DUMMYFUNCTION("""COMPUTED_VALUE"""),7.729834)</f>
        <v>7.729834</v>
      </c>
      <c r="D17814" s="7">
        <f>IFERROR(__xludf.DUMMYFUNCTION("""COMPUTED_VALUE"""),0.368421052631578)</f>
        <v>0.3684210526</v>
      </c>
    </row>
    <row r="17815">
      <c r="A17815" s="10" t="s">
        <v>19254</v>
      </c>
      <c r="B17815" s="7" t="str">
        <f>IFERROR(__xludf.DUMMYFUNCTION("SPLIT(A17815,"" "")"),"Cc1ccnc(CN(Cc2ncccc2C)c2ccc3nc(CN(C)Cc4nc(C)ccc4C)ccc3c2)c1")</f>
        <v>Cc1ccnc(CN(Cc2ncccc2C)c2ccc3nc(CN(C)Cc4nc(C)ccc4C)ccc3c2)c1</v>
      </c>
      <c r="C17815" s="7">
        <f>IFERROR(__xludf.DUMMYFUNCTION("""COMPUTED_VALUE"""),7.7298098)</f>
        <v>7.7298098</v>
      </c>
      <c r="D17815" s="7">
        <f>IFERROR(__xludf.DUMMYFUNCTION("""COMPUTED_VALUE"""),0.311475409836065)</f>
        <v>0.3114754098</v>
      </c>
    </row>
    <row r="17816">
      <c r="A17816" s="10" t="s">
        <v>19255</v>
      </c>
      <c r="B17816" s="7" t="str">
        <f>IFERROR(__xludf.DUMMYFUNCTION("SPLIT(A17816,"" "")"),"CN(Cc1cc(-c2cccc(N(C)C)c2)ccn1)Cc1cc(C(C)(C)c2ccccn2)ccn1")</f>
        <v>CN(Cc1cc(-c2cccc(N(C)C)c2)ccn1)Cc1cc(C(C)(C)c2ccccn2)ccn1</v>
      </c>
      <c r="C17816" s="7">
        <f>IFERROR(__xludf.DUMMYFUNCTION("""COMPUTED_VALUE"""),7.729804)</f>
        <v>7.729804</v>
      </c>
      <c r="D17816" s="7">
        <f>IFERROR(__xludf.DUMMYFUNCTION("""COMPUTED_VALUE"""),0.375)</f>
        <v>0.375</v>
      </c>
    </row>
    <row r="17817">
      <c r="A17817" s="10" t="s">
        <v>19256</v>
      </c>
      <c r="B17817" s="7" t="str">
        <f>IFERROR(__xludf.DUMMYFUNCTION("SPLIT(A17817,"" "")"),"CN(Cc1ncccc1-c1ccc2ncccc2c1)C1CCC(N(C)c2ccc3ncc(CF)cc3c2)CC1")</f>
        <v>CN(Cc1ncccc1-c1ccc2ncccc2c1)C1CCC(N(C)c2ccc3ncc(CF)cc3c2)CC1</v>
      </c>
      <c r="C17817" s="7">
        <f>IFERROR(__xludf.DUMMYFUNCTION("""COMPUTED_VALUE"""),7.7298026)</f>
        <v>7.7298026</v>
      </c>
      <c r="D17817" s="7">
        <f>IFERROR(__xludf.DUMMYFUNCTION("""COMPUTED_VALUE"""),0.25)</f>
        <v>0.25</v>
      </c>
    </row>
    <row r="17818">
      <c r="A17818" s="10" t="s">
        <v>19257</v>
      </c>
      <c r="B17818" s="7" t="str">
        <f>IFERROR(__xludf.DUMMYFUNCTION("SPLIT(A17818,"" "")"),"Cc1cc(CN(C)Cc2ncccc2-c2cccc(N=Cc3ccccn3)c2)ccn1")</f>
        <v>Cc1cc(CN(C)Cc2ncccc2-c2cccc(N=Cc3ccccn3)c2)ccn1</v>
      </c>
      <c r="C17818" s="7">
        <f>IFERROR(__xludf.DUMMYFUNCTION("""COMPUTED_VALUE"""),7.7298)</f>
        <v>7.7298</v>
      </c>
      <c r="D17818" s="7">
        <f>IFERROR(__xludf.DUMMYFUNCTION("""COMPUTED_VALUE"""),0.349206349206349)</f>
        <v>0.3492063492</v>
      </c>
    </row>
    <row r="17819">
      <c r="A17819" s="10" t="s">
        <v>19258</v>
      </c>
      <c r="B17819" s="7" t="str">
        <f>IFERROR(__xludf.DUMMYFUNCTION("SPLIT(A17819,"" "")"),"Cc1ncccc1CN(C)Cc1ncccc1-c1ccccc1N=Cc1ccccn1")</f>
        <v>Cc1ncccc1CN(C)Cc1ncccc1-c1ccccc1N=Cc1ccccn1</v>
      </c>
      <c r="C17819" s="7">
        <f>IFERROR(__xludf.DUMMYFUNCTION("""COMPUTED_VALUE"""),7.729799)</f>
        <v>7.729799</v>
      </c>
      <c r="D17819" s="7">
        <f>IFERROR(__xludf.DUMMYFUNCTION("""COMPUTED_VALUE"""),0.444444444444444)</f>
        <v>0.4444444444</v>
      </c>
    </row>
    <row r="17820">
      <c r="A17820" s="10" t="s">
        <v>19259</v>
      </c>
      <c r="B17820" s="7" t="str">
        <f>IFERROR(__xludf.DUMMYFUNCTION("SPLIT(A17820,"" "")"),"CC(C)N(Cc1ccccn1)C1=CNC(CN(C)c2ccc3cc(CF)cnc3c2)=CC1")</f>
        <v>CC(C)N(Cc1ccccn1)C1=CNC(CN(C)c2ccc3cc(CF)cnc3c2)=CC1</v>
      </c>
      <c r="C17820" s="7">
        <f>IFERROR(__xludf.DUMMYFUNCTION("""COMPUTED_VALUE"""),7.7297916)</f>
        <v>7.7297916</v>
      </c>
      <c r="D17820" s="7">
        <f>IFERROR(__xludf.DUMMYFUNCTION("""COMPUTED_VALUE"""),0.319444444444444)</f>
        <v>0.3194444444</v>
      </c>
    </row>
    <row r="17821">
      <c r="A17821" s="10" t="s">
        <v>19260</v>
      </c>
      <c r="B17821" s="7" t="str">
        <f>IFERROR(__xludf.DUMMYFUNCTION("SPLIT(A17821,"" "")"),"CCNCc1ncccc1-c1cc(N=Cc2ccccn2)ccc1C")</f>
        <v>CCNCc1ncccc1-c1cc(N=Cc2ccccn2)ccc1C</v>
      </c>
      <c r="C17821" s="7">
        <f>IFERROR(__xludf.DUMMYFUNCTION("""COMPUTED_VALUE"""),7.729791)</f>
        <v>7.729791</v>
      </c>
      <c r="D17821" s="7">
        <f>IFERROR(__xludf.DUMMYFUNCTION("""COMPUTED_VALUE"""),0.392857142857142)</f>
        <v>0.3928571429</v>
      </c>
    </row>
    <row r="17822">
      <c r="A17822" s="10" t="s">
        <v>19261</v>
      </c>
      <c r="B17822" s="7" t="str">
        <f>IFERROR(__xludf.DUMMYFUNCTION("SPLIT(A17822,"" "")"),"CN(CC1=CC(N(C)Cc2ccccn2)C=CN1)c1ccc2cccnc2c1")</f>
        <v>CN(CC1=CC(N(C)Cc2ccccn2)C=CN1)c1ccc2cccnc2c1</v>
      </c>
      <c r="C17822" s="7">
        <f>IFERROR(__xludf.DUMMYFUNCTION("""COMPUTED_VALUE"""),7.7297893)</f>
        <v>7.7297893</v>
      </c>
      <c r="D17822" s="7">
        <f>IFERROR(__xludf.DUMMYFUNCTION("""COMPUTED_VALUE"""),0.389830508474576)</f>
        <v>0.3898305085</v>
      </c>
    </row>
    <row r="17823">
      <c r="A17823" s="10" t="s">
        <v>19262</v>
      </c>
      <c r="B17823" s="7" t="str">
        <f>IFERROR(__xludf.DUMMYFUNCTION("SPLIT(A17823,"" "")"),"Cc1cc(CN(C)Cc2cc(-c3cccc(N=Cc4ccccn4)c3)ccn2)ccn1")</f>
        <v>Cc1cc(CN(C)Cc2cc(-c3cccc(N=Cc4ccccn4)c3)ccn2)ccn1</v>
      </c>
      <c r="C17823" s="7">
        <f>IFERROR(__xludf.DUMMYFUNCTION("""COMPUTED_VALUE"""),7.729776)</f>
        <v>7.729776</v>
      </c>
      <c r="D17823" s="7">
        <f>IFERROR(__xludf.DUMMYFUNCTION("""COMPUTED_VALUE"""),0.360655737704918)</f>
        <v>0.3606557377</v>
      </c>
    </row>
    <row r="17824">
      <c r="A17824" s="10" t="s">
        <v>19263</v>
      </c>
      <c r="B17824" s="7" t="str">
        <f>IFERROR(__xludf.DUMMYFUNCTION("SPLIT(A17824,"" "")"),"Cc1ccc(CN(C)c2cc(N(C)C(C)c3ccccn3)cc(Cl)c2Cl)cn1")</f>
        <v>Cc1ccc(CN(C)c2cc(N(C)C(C)c3ccccn3)cc(Cl)c2Cl)cn1</v>
      </c>
      <c r="C17824" s="7">
        <f>IFERROR(__xludf.DUMMYFUNCTION("""COMPUTED_VALUE"""),7.7297716)</f>
        <v>7.7297716</v>
      </c>
      <c r="D17824" s="7">
        <f>IFERROR(__xludf.DUMMYFUNCTION("""COMPUTED_VALUE"""),0.379310344827586)</f>
        <v>0.3793103448</v>
      </c>
    </row>
    <row r="17825">
      <c r="A17825" s="10" t="s">
        <v>19264</v>
      </c>
      <c r="B17825" s="7" t="str">
        <f>IFERROR(__xludf.DUMMYFUNCTION("SPLIT(A17825,"" "")"),"Cc1ccc2nccc(CN(C)Cc3nccc(C)c3C)c2c1")</f>
        <v>Cc1ccc2nccc(CN(C)Cc3nccc(C)c3C)c2c1</v>
      </c>
      <c r="C17825" s="7">
        <f>IFERROR(__xludf.DUMMYFUNCTION("""COMPUTED_VALUE"""),7.729763)</f>
        <v>7.729763</v>
      </c>
      <c r="D17825" s="7">
        <f>IFERROR(__xludf.DUMMYFUNCTION("""COMPUTED_VALUE"""),0.28)</f>
        <v>0.28</v>
      </c>
    </row>
    <row r="17826">
      <c r="A17826" s="10" t="s">
        <v>19265</v>
      </c>
      <c r="B17826" s="7" t="str">
        <f>IFERROR(__xludf.DUMMYFUNCTION("SPLIT(A17826,"" "")"),"CC(C)N(Cc1ncccc1C(C)(C)C)c1ccc2ncccc2c1")</f>
        <v>CC(C)N(Cc1ncccc1C(C)(C)C)c1ccc2ncccc2c1</v>
      </c>
      <c r="C17826" s="7">
        <f>IFERROR(__xludf.DUMMYFUNCTION("""COMPUTED_VALUE"""),7.7297564)</f>
        <v>7.7297564</v>
      </c>
      <c r="D17826" s="7">
        <f>IFERROR(__xludf.DUMMYFUNCTION("""COMPUTED_VALUE"""),0.283018867924528)</f>
        <v>0.2830188679</v>
      </c>
    </row>
    <row r="17827">
      <c r="A17827" s="10" t="s">
        <v>19266</v>
      </c>
      <c r="B17827" s="7" t="str">
        <f>IFERROR(__xludf.DUMMYFUNCTION("SPLIT(A17827,"" "")"),"CCN(Cc1ccccn1)Cc1cccc(N(C)c2ccc3nccc(CF)c3c2)n1")</f>
        <v>CCN(Cc1ccccn1)Cc1cccc(N(C)c2ccc3nccc(CF)c3c2)n1</v>
      </c>
      <c r="C17827" s="7">
        <f>IFERROR(__xludf.DUMMYFUNCTION("""COMPUTED_VALUE"""),7.72974)</f>
        <v>7.72974</v>
      </c>
      <c r="D17827" s="7">
        <f>IFERROR(__xludf.DUMMYFUNCTION("""COMPUTED_VALUE"""),0.377049180327868)</f>
        <v>0.3770491803</v>
      </c>
    </row>
    <row r="17828">
      <c r="A17828" s="10" t="s">
        <v>19267</v>
      </c>
      <c r="B17828" s="7" t="str">
        <f>IFERROR(__xludf.DUMMYFUNCTION("SPLIT(A17828,"" "")"),"Cc1c(NCc2ccccn2)ccnc1-c1cccc(NCc2ccccn2)c1")</f>
        <v>Cc1c(NCc2ccccn2)ccnc1-c1cccc(NCc2ccccn2)c1</v>
      </c>
      <c r="C17828" s="7">
        <f>IFERROR(__xludf.DUMMYFUNCTION("""COMPUTED_VALUE"""),7.729737)</f>
        <v>7.729737</v>
      </c>
      <c r="D17828" s="7">
        <f>IFERROR(__xludf.DUMMYFUNCTION("""COMPUTED_VALUE"""),0.4)</f>
        <v>0.4</v>
      </c>
    </row>
    <row r="17829">
      <c r="A17829" s="10" t="s">
        <v>19268</v>
      </c>
      <c r="B17829" s="7" t="str">
        <f>IFERROR(__xludf.DUMMYFUNCTION("SPLIT(A17829,"" "")"),"CCN(Cc1cc(C)ccn1)c1ccc2ncc(CN(C)Cc3nc(C)c(C)c(C)c3C)cc2c1")</f>
        <v>CCN(Cc1cc(C)ccn1)c1ccc2ncc(CN(C)Cc3nc(C)c(C)c(C)c3C)cc2c1</v>
      </c>
      <c r="C17829" s="7">
        <f>IFERROR(__xludf.DUMMYFUNCTION("""COMPUTED_VALUE"""),7.7297277)</f>
        <v>7.7297277</v>
      </c>
      <c r="D17829" s="7">
        <f>IFERROR(__xludf.DUMMYFUNCTION("""COMPUTED_VALUE"""),0.26865671641791)</f>
        <v>0.2686567164</v>
      </c>
    </row>
    <row r="17830">
      <c r="A17830" s="10" t="s">
        <v>19269</v>
      </c>
      <c r="B17830" s="7" t="str">
        <f>IFERROR(__xludf.DUMMYFUNCTION("SPLIT(A17830,"" "")"),"CN(c1ccc2ncccc2c1)C1CCC(N(C)c2cccc3ncccc23)CC1")</f>
        <v>CN(c1ccc2ncccc2c1)C1CCC(N(C)c2cccc3ncccc23)CC1</v>
      </c>
      <c r="C17830" s="7">
        <f>IFERROR(__xludf.DUMMYFUNCTION("""COMPUTED_VALUE"""),7.7297163)</f>
        <v>7.7297163</v>
      </c>
      <c r="D17830" s="7">
        <f>IFERROR(__xludf.DUMMYFUNCTION("""COMPUTED_VALUE"""),0.403846153846153)</f>
        <v>0.4038461538</v>
      </c>
    </row>
    <row r="17831">
      <c r="A17831" s="10" t="s">
        <v>19270</v>
      </c>
      <c r="B17831" s="7" t="str">
        <f>IFERROR(__xludf.DUMMYFUNCTION("SPLIT(A17831,"" "")"),"Cc1cc(C)c(C)c(CN(C)Cc2ncccc2-c2ccccc2N=Cc2ccccn2)c1")</f>
        <v>Cc1cc(C)c(C)c(CN(C)Cc2ncccc2-c2ccccc2N=Cc2ccccn2)c1</v>
      </c>
      <c r="C17831" s="7">
        <f>IFERROR(__xludf.DUMMYFUNCTION("""COMPUTED_VALUE"""),7.7297153)</f>
        <v>7.7297153</v>
      </c>
      <c r="D17831" s="7">
        <f>IFERROR(__xludf.DUMMYFUNCTION("""COMPUTED_VALUE"""),0.43103448275862)</f>
        <v>0.4310344828</v>
      </c>
    </row>
    <row r="17832">
      <c r="A17832" s="10" t="s">
        <v>19271</v>
      </c>
      <c r="B17832" s="7" t="str">
        <f>IFERROR(__xludf.DUMMYFUNCTION("SPLIT(A17832,"" "")"),"Cc1cnccc1CN(C)CC1=CC(N(C)c2cccc3ncccc23)C=CN1")</f>
        <v>Cc1cnccc1CN(C)CC1=CC(N(C)c2cccc3ncccc23)C=CN1</v>
      </c>
      <c r="C17832" s="7">
        <f>IFERROR(__xludf.DUMMYFUNCTION("""COMPUTED_VALUE"""),7.729713)</f>
        <v>7.729713</v>
      </c>
      <c r="D17832" s="7">
        <f>IFERROR(__xludf.DUMMYFUNCTION("""COMPUTED_VALUE"""),0.308823529411764)</f>
        <v>0.3088235294</v>
      </c>
    </row>
    <row r="17833">
      <c r="A17833" s="10" t="s">
        <v>19272</v>
      </c>
      <c r="B17833" s="7" t="str">
        <f>IFERROR(__xludf.DUMMYFUNCTION("SPLIT(A17833,"" "")"),"CN(C)CCN(C)c1cccc2ncc(CF)cc12")</f>
        <v>CN(C)CCN(C)c1cccc2ncc(CF)cc12</v>
      </c>
      <c r="C17833" s="7">
        <f>IFERROR(__xludf.DUMMYFUNCTION("""COMPUTED_VALUE"""),7.729706)</f>
        <v>7.729706</v>
      </c>
      <c r="D17833" s="7">
        <f>IFERROR(__xludf.DUMMYFUNCTION("""COMPUTED_VALUE"""),0.391304347826087)</f>
        <v>0.3913043478</v>
      </c>
    </row>
    <row r="17834">
      <c r="A17834" s="10" t="s">
        <v>19273</v>
      </c>
      <c r="B17834" s="7" t="str">
        <f>IFERROR(__xludf.DUMMYFUNCTION("SPLIT(A17834,"" "")"),"Cc1ccc2cc(N(C)C3CCC(N(C)c4ccc5nc(CN(C)C)ccc5c4)CC3)ccc2n1")</f>
        <v>Cc1ccc2cc(N(C)C3CCC(N(C)c4ccc5nc(CN(C)C)ccc5c4)CC3)ccc2n1</v>
      </c>
      <c r="C17834" s="7">
        <f>IFERROR(__xludf.DUMMYFUNCTION("""COMPUTED_VALUE"""),7.7297044)</f>
        <v>7.7297044</v>
      </c>
      <c r="D17834" s="7">
        <f>IFERROR(__xludf.DUMMYFUNCTION("""COMPUTED_VALUE"""),0.346153846153846)</f>
        <v>0.3461538462</v>
      </c>
    </row>
    <row r="17835">
      <c r="A17835" s="10" t="s">
        <v>19274</v>
      </c>
      <c r="B17835" s="7" t="str">
        <f>IFERROR(__xludf.DUMMYFUNCTION("SPLIT(A17835,"" "")"),"Cc1ccc(CN(C)c2ccc(C)c(N(C)Cc3ccccn3)c2C)nc1")</f>
        <v>Cc1ccc(CN(C)c2ccc(C)c(N(C)Cc3ccccn3)c2C)nc1</v>
      </c>
      <c r="C17835" s="7">
        <f>IFERROR(__xludf.DUMMYFUNCTION("""COMPUTED_VALUE"""),7.7296987)</f>
        <v>7.7296987</v>
      </c>
      <c r="D17835" s="7">
        <f>IFERROR(__xludf.DUMMYFUNCTION("""COMPUTED_VALUE"""),0.489361702127659)</f>
        <v>0.4893617021</v>
      </c>
    </row>
    <row r="17836">
      <c r="A17836" s="10" t="s">
        <v>19275</v>
      </c>
      <c r="B17836" s="7" t="str">
        <f>IFERROR(__xludf.DUMMYFUNCTION("SPLIT(A17836,"" "")"),"Cc1cc(C)c(N(C)Cc2nc(N)c(C)c(C)c2C)cc1C")</f>
        <v>Cc1cc(C)c(N(C)Cc2nc(N)c(C)c(C)c2C)cc1C</v>
      </c>
      <c r="C17836" s="7">
        <f>IFERROR(__xludf.DUMMYFUNCTION("""COMPUTED_VALUE"""),7.729691)</f>
        <v>7.729691</v>
      </c>
      <c r="D17836" s="7">
        <f>IFERROR(__xludf.DUMMYFUNCTION("""COMPUTED_VALUE"""),0.244897959183673)</f>
        <v>0.2448979592</v>
      </c>
    </row>
    <row r="17837">
      <c r="A17837" s="10" t="s">
        <v>19276</v>
      </c>
      <c r="B17837" s="7" t="str">
        <f>IFERROR(__xludf.DUMMYFUNCTION("SPLIT(A17837,"" "")"),"CCOC(=O)C(=O)C(=O)C(C)NC(=O)C(=O)C(=O)C(=O)C(=O)C(=O)C(=O)C(=O)C(=O)C(=O)C(=O)C(=O)C(=O)C(=O)C(=O)C(=O)C(=O)C=O")</f>
        <v>CCOC(=O)C(=O)C(=O)C(C)NC(=O)C(=O)C(=O)C(=O)C(=O)C(=O)C(=O)C(=O)C(=O)C(=O)C(=O)C(=O)C(=O)C(=O)C(=O)C(=O)C(=O)C=O</v>
      </c>
      <c r="C17837" s="7">
        <f>IFERROR(__xludf.DUMMYFUNCTION("""COMPUTED_VALUE"""),7.729681)</f>
        <v>7.729681</v>
      </c>
      <c r="D17837" s="7">
        <f>IFERROR(__xludf.DUMMYFUNCTION("""COMPUTED_VALUE"""),0.153846153846153)</f>
        <v>0.1538461538</v>
      </c>
    </row>
    <row r="17838">
      <c r="A17838" s="10" t="s">
        <v>19277</v>
      </c>
      <c r="B17838" s="7" t="str">
        <f>IFERROR(__xludf.DUMMYFUNCTION("SPLIT(A17838,"" "")"),"CC(C)N(Cc1ccccn1)Cc1ccc(N(C)c2ccc3cccnc3c2)cn1")</f>
        <v>CC(C)N(Cc1ccccn1)Cc1ccc(N(C)c2ccc3cccnc3c2)cn1</v>
      </c>
      <c r="C17838" s="7">
        <f>IFERROR(__xludf.DUMMYFUNCTION("""COMPUTED_VALUE"""),7.7296543)</f>
        <v>7.7296543</v>
      </c>
      <c r="D17838" s="7">
        <f>IFERROR(__xludf.DUMMYFUNCTION("""COMPUTED_VALUE"""),0.489795918367346)</f>
        <v>0.4897959184</v>
      </c>
    </row>
    <row r="17839">
      <c r="A17839" s="10" t="s">
        <v>19278</v>
      </c>
      <c r="B17839" s="7" t="str">
        <f>IFERROR(__xludf.DUMMYFUNCTION("SPLIT(A17839,"" "")"),"CN(c1ccc2nc3c(cc2c1)CCC3)C1CCCC(N(C)c2cccc3nc4c(cc23)CCC4)C1")</f>
        <v>CN(c1ccc2nc3c(cc2c1)CCC3)C1CCCC(N(C)c2cccc3nc4c(cc23)CCC4)C1</v>
      </c>
      <c r="C17839" s="7">
        <f>IFERROR(__xludf.DUMMYFUNCTION("""COMPUTED_VALUE"""),7.729651)</f>
        <v>7.729651</v>
      </c>
      <c r="D17839" s="7">
        <f>IFERROR(__xludf.DUMMYFUNCTION("""COMPUTED_VALUE"""),0.45)</f>
        <v>0.45</v>
      </c>
    </row>
    <row r="17840">
      <c r="A17840" s="10" t="s">
        <v>19279</v>
      </c>
      <c r="B17840" s="7" t="str">
        <f>IFERROR(__xludf.DUMMYFUNCTION("SPLIT(A17840,"" "")"),"CN(CN)c1ccc(Cl)c(Cl)c1N(C)Cc1cccc(F)n1")</f>
        <v>CN(CN)c1ccc(Cl)c(Cl)c1N(C)Cc1cccc(F)n1</v>
      </c>
      <c r="C17840" s="7">
        <f>IFERROR(__xludf.DUMMYFUNCTION("""COMPUTED_VALUE"""),7.7296467)</f>
        <v>7.7296467</v>
      </c>
      <c r="D17840" s="7">
        <f>IFERROR(__xludf.DUMMYFUNCTION("""COMPUTED_VALUE"""),0.346153846153846)</f>
        <v>0.3461538462</v>
      </c>
    </row>
    <row r="17841">
      <c r="A17841" s="10" t="s">
        <v>19280</v>
      </c>
      <c r="B17841" s="7" t="str">
        <f>IFERROR(__xludf.DUMMYFUNCTION("SPLIT(A17841,"" "")"),"Cc1cccnc1CN(C)Cc1cnccc1-c1ccccc1N=Cc1ccccn1")</f>
        <v>Cc1cccnc1CN(C)Cc1cnccc1-c1ccccc1N=Cc1ccccn1</v>
      </c>
      <c r="C17841" s="7">
        <f>IFERROR(__xludf.DUMMYFUNCTION("""COMPUTED_VALUE"""),7.7296467)</f>
        <v>7.7296467</v>
      </c>
      <c r="D17841" s="7">
        <f>IFERROR(__xludf.DUMMYFUNCTION("""COMPUTED_VALUE"""),0.456140350877192)</f>
        <v>0.4561403509</v>
      </c>
    </row>
    <row r="17842">
      <c r="A17842" s="10" t="s">
        <v>19281</v>
      </c>
      <c r="B17842" s="7" t="str">
        <f>IFERROR(__xludf.DUMMYFUNCTION("SPLIT(A17842,"" "")"),"Cc1cnc(CN(C)Cc2ccc(-c3ccc(Cl)c(Cl)c3)nc2)c(C)c1")</f>
        <v>Cc1cnc(CN(C)Cc2ccc(-c3ccc(Cl)c(Cl)c3)nc2)c(C)c1</v>
      </c>
      <c r="C17842" s="7">
        <f>IFERROR(__xludf.DUMMYFUNCTION("""COMPUTED_VALUE"""),7.729636)</f>
        <v>7.729636</v>
      </c>
      <c r="D17842" s="7">
        <f>IFERROR(__xludf.DUMMYFUNCTION("""COMPUTED_VALUE"""),0.277777777777777)</f>
        <v>0.2777777778</v>
      </c>
    </row>
    <row r="17843">
      <c r="A17843" s="10" t="s">
        <v>19282</v>
      </c>
      <c r="B17843" s="7" t="str">
        <f>IFERROR(__xludf.DUMMYFUNCTION("SPLIT(A17843,"" "")"),"CCN(C)CC1=CCC(N(C)c2cccc3nc(C)ccc23)=CN1")</f>
        <v>CCN(C)CC1=CCC(N(C)c2cccc3nc(C)ccc23)=CN1</v>
      </c>
      <c r="C17843" s="7">
        <f>IFERROR(__xludf.DUMMYFUNCTION("""COMPUTED_VALUE"""),7.729633)</f>
        <v>7.729633</v>
      </c>
      <c r="D17843" s="7">
        <f>IFERROR(__xludf.DUMMYFUNCTION("""COMPUTED_VALUE"""),0.285714285714285)</f>
        <v>0.2857142857</v>
      </c>
    </row>
    <row r="17844">
      <c r="A17844" s="10" t="s">
        <v>19283</v>
      </c>
      <c r="B17844" s="7" t="str">
        <f>IFERROR(__xludf.DUMMYFUNCTION("SPLIT(A17844,"" "")"),"CN(Cc1cc(-c2ccc3ncccc3c2)ccn1)C1CCC(N(C)c2ccc3ncccc3c2)CC1")</f>
        <v>CN(Cc1cc(-c2ccc3ncccc3c2)ccn1)C1CCC(N(C)c2ccc3ncccc3c2)CC1</v>
      </c>
      <c r="C17844" s="7">
        <f>IFERROR(__xludf.DUMMYFUNCTION("""COMPUTED_VALUE"""),7.729616)</f>
        <v>7.729616</v>
      </c>
      <c r="D17844" s="7">
        <f>IFERROR(__xludf.DUMMYFUNCTION("""COMPUTED_VALUE"""),0.350877192982456)</f>
        <v>0.350877193</v>
      </c>
    </row>
    <row r="17845">
      <c r="A17845" s="10" t="s">
        <v>19284</v>
      </c>
      <c r="B17845" s="7" t="str">
        <f>IFERROR(__xludf.DUMMYFUNCTION("SPLIT(A17845,"" "")"),"CCNc1ncccc1-c1cc(C(C)(C)c2ccccn2)ccn1")</f>
        <v>CCNc1ncccc1-c1cc(C(C)(C)c2ccccn2)ccn1</v>
      </c>
      <c r="C17845" s="7">
        <f>IFERROR(__xludf.DUMMYFUNCTION("""COMPUTED_VALUE"""),7.729616)</f>
        <v>7.729616</v>
      </c>
      <c r="D17845" s="7">
        <f>IFERROR(__xludf.DUMMYFUNCTION("""COMPUTED_VALUE"""),0.410714285714285)</f>
        <v>0.4107142857</v>
      </c>
    </row>
    <row r="17846">
      <c r="A17846" s="10" t="s">
        <v>19285</v>
      </c>
      <c r="B17846" s="7" t="str">
        <f>IFERROR(__xludf.DUMMYFUNCTION("SPLIT(A17846,"" "")"),"CC(C)N(Cc1cncc(C(C)(C)C)c1)c1ccc2ncccc2c1")</f>
        <v>CC(C)N(Cc1cncc(C(C)(C)C)c1)c1ccc2ncccc2c1</v>
      </c>
      <c r="C17846" s="7">
        <f>IFERROR(__xludf.DUMMYFUNCTION("""COMPUTED_VALUE"""),7.7295995)</f>
        <v>7.7295995</v>
      </c>
      <c r="D17846" s="7">
        <f>IFERROR(__xludf.DUMMYFUNCTION("""COMPUTED_VALUE"""),0.263157894736842)</f>
        <v>0.2631578947</v>
      </c>
    </row>
    <row r="17847">
      <c r="A17847" s="10" t="s">
        <v>19286</v>
      </c>
      <c r="B17847" s="7" t="str">
        <f>IFERROR(__xludf.DUMMYFUNCTION("SPLIT(A17847,"" "")"),"Cc1cnccc1CN(C)c1cccc2nccc(CN(Cc3ccccn3)Cc3ncccc3C)c12")</f>
        <v>Cc1cnccc1CN(C)c1cccc2nccc(CN(Cc3ccccn3)Cc3ncccc3C)c12</v>
      </c>
      <c r="C17847" s="7">
        <f>IFERROR(__xludf.DUMMYFUNCTION("""COMPUTED_VALUE"""),7.729594)</f>
        <v>7.729594</v>
      </c>
      <c r="D17847" s="7">
        <f>IFERROR(__xludf.DUMMYFUNCTION("""COMPUTED_VALUE"""),0.357142857142857)</f>
        <v>0.3571428571</v>
      </c>
    </row>
    <row r="17848">
      <c r="A17848" s="10" t="s">
        <v>19287</v>
      </c>
      <c r="B17848" s="7" t="str">
        <f>IFERROR(__xludf.DUMMYFUNCTION("SPLIT(A17848,"" "")"),"Cc1cc(C)c(CN(C)C2C=CNC(CN(Cc3ccccn3)c3ccc4ncccc4c3)=C2)nc1C")</f>
        <v>Cc1cc(C)c(CN(C)C2C=CNC(CN(Cc3ccccn3)c3ccc4ncccc4c3)=C2)nc1C</v>
      </c>
      <c r="C17848" s="7">
        <f>IFERROR(__xludf.DUMMYFUNCTION("""COMPUTED_VALUE"""),7.7295923)</f>
        <v>7.7295923</v>
      </c>
      <c r="D17848" s="7">
        <f>IFERROR(__xludf.DUMMYFUNCTION("""COMPUTED_VALUE"""),0.295774647887323)</f>
        <v>0.2957746479</v>
      </c>
    </row>
    <row r="17849">
      <c r="A17849" s="10" t="s">
        <v>19288</v>
      </c>
      <c r="B17849" s="7" t="str">
        <f>IFERROR(__xludf.DUMMYFUNCTION("SPLIT(A17849,"" "")"),"Cc1cnc(CN(C)c2cc(C)c(C)c(C)c2C)c(C)c1C")</f>
        <v>Cc1cnc(CN(C)c2cc(C)c(C)c(C)c2C)c(C)c1C</v>
      </c>
      <c r="C17849" s="7">
        <f>IFERROR(__xludf.DUMMYFUNCTION("""COMPUTED_VALUE"""),7.7295823)</f>
        <v>7.7295823</v>
      </c>
      <c r="D17849" s="7">
        <f>IFERROR(__xludf.DUMMYFUNCTION("""COMPUTED_VALUE"""),0.311111111111111)</f>
        <v>0.3111111111</v>
      </c>
    </row>
    <row r="17850">
      <c r="A17850" s="10" t="s">
        <v>19289</v>
      </c>
      <c r="B17850" s="7" t="str">
        <f>IFERROR(__xludf.DUMMYFUNCTION("SPLIT(A17850,"" "")"),"Cc1cnc(CN(C)Cc2cccnc2-c2cccc(N(C)C)c2)c(C)c1")</f>
        <v>Cc1cnc(CN(C)Cc2cccnc2-c2cccc(N(C)C)c2)c(C)c1</v>
      </c>
      <c r="C17850" s="7">
        <f>IFERROR(__xludf.DUMMYFUNCTION("""COMPUTED_VALUE"""),7.7295747)</f>
        <v>7.7295747</v>
      </c>
      <c r="D17850" s="7">
        <f>IFERROR(__xludf.DUMMYFUNCTION("""COMPUTED_VALUE"""),0.339285714285714)</f>
        <v>0.3392857143</v>
      </c>
    </row>
    <row r="17851">
      <c r="A17851" s="10" t="s">
        <v>19290</v>
      </c>
      <c r="B17851" s="7" t="str">
        <f>IFERROR(__xludf.DUMMYFUNCTION("SPLIT(A17851,"" "")"),"Cc1cncc(CN(C)c2ccc3nc(CN(C)Cc4ncccc4C)ccc3c2)c1")</f>
        <v>Cc1cncc(CN(C)c2ccc3nc(CN(C)Cc4ncccc4C)ccc3c2)c1</v>
      </c>
      <c r="C17851" s="7">
        <f>IFERROR(__xludf.DUMMYFUNCTION("""COMPUTED_VALUE"""),7.729573)</f>
        <v>7.729573</v>
      </c>
      <c r="D17851" s="7">
        <f>IFERROR(__xludf.DUMMYFUNCTION("""COMPUTED_VALUE"""),0.305084745762711)</f>
        <v>0.3050847458</v>
      </c>
    </row>
    <row r="17852">
      <c r="A17852" s="10" t="s">
        <v>19291</v>
      </c>
      <c r="B17852" s="7" t="str">
        <f>IFERROR(__xludf.DUMMYFUNCTION("SPLIT(A17852,"" "")"),"CC(C)N(Cc1ccccn1)c1ccc2nc(C(C)(C)C)ccc2c1")</f>
        <v>CC(C)N(Cc1ccccn1)c1ccc2nc(C(C)(C)C)ccc2c1</v>
      </c>
      <c r="C17852" s="7">
        <f>IFERROR(__xludf.DUMMYFUNCTION("""COMPUTED_VALUE"""),7.729571)</f>
        <v>7.729571</v>
      </c>
      <c r="D17852" s="7">
        <f>IFERROR(__xludf.DUMMYFUNCTION("""COMPUTED_VALUE"""),0.458333333333333)</f>
        <v>0.4583333333</v>
      </c>
    </row>
    <row r="17853">
      <c r="A17853" s="10" t="s">
        <v>19292</v>
      </c>
      <c r="B17853" s="7" t="str">
        <f>IFERROR(__xludf.DUMMYFUNCTION("SPLIT(A17853,"" "")"),"Cc1ccc2ccc(N(C)C3CCCC(N(C)c4ccc5nc(CF)ccc5c4)C3)cc2n1")</f>
        <v>Cc1ccc2ccc(N(C)C3CCCC(N(C)c4ccc5nc(CF)ccc5c4)C3)cc2n1</v>
      </c>
      <c r="C17853" s="7">
        <f>IFERROR(__xludf.DUMMYFUNCTION("""COMPUTED_VALUE"""),7.729558)</f>
        <v>7.729558</v>
      </c>
      <c r="D17853" s="7">
        <f>IFERROR(__xludf.DUMMYFUNCTION("""COMPUTED_VALUE"""),0.372881355932203)</f>
        <v>0.3728813559</v>
      </c>
    </row>
    <row r="17854">
      <c r="A17854" s="10" t="s">
        <v>19293</v>
      </c>
      <c r="B17854" s="7" t="str">
        <f>IFERROR(__xludf.DUMMYFUNCTION("SPLIT(A17854,"" "")"),"Clc1cccc(C2=CCC=CN2)n1")</f>
        <v>Clc1cccc(C2=CCC=CN2)n1</v>
      </c>
      <c r="C17854" s="7">
        <f>IFERROR(__xludf.DUMMYFUNCTION("""COMPUTED_VALUE"""),7.729554)</f>
        <v>7.729554</v>
      </c>
      <c r="D17854" s="7">
        <f>IFERROR(__xludf.DUMMYFUNCTION("""COMPUTED_VALUE"""),0.3)</f>
        <v>0.3</v>
      </c>
    </row>
    <row r="17855">
      <c r="A17855" s="10" t="s">
        <v>19294</v>
      </c>
      <c r="B17855" s="7" t="str">
        <f>IFERROR(__xludf.DUMMYFUNCTION("SPLIT(A17855,"" "")"),"CCN(Cc1ccccn1)c1ccc2nccc(CN(C)Cc3nc(C)c(C)c(C)c3C)c2c1")</f>
        <v>CCN(Cc1ccccn1)c1ccc2nccc(CN(C)Cc3nc(C)c(C)c(C)c3C)c2c1</v>
      </c>
      <c r="C17855" s="7">
        <f>IFERROR(__xludf.DUMMYFUNCTION("""COMPUTED_VALUE"""),7.7295523)</f>
        <v>7.7295523</v>
      </c>
      <c r="D17855" s="7">
        <f>IFERROR(__xludf.DUMMYFUNCTION("""COMPUTED_VALUE"""),0.365079365079365)</f>
        <v>0.3650793651</v>
      </c>
    </row>
    <row r="17856">
      <c r="A17856" s="10" t="s">
        <v>19295</v>
      </c>
      <c r="B17856" s="7" t="str">
        <f>IFERROR(__xludf.DUMMYFUNCTION("SPLIT(A17856,"" "")"),"CN(Cc1cccc(F)n1)Cc1ccc2cc(N(C)Cc3ccccn3)ccc2n1")</f>
        <v>CN(Cc1cccc(F)n1)Cc1ccc2cc(N(C)Cc3ccccn3)ccc2n1</v>
      </c>
      <c r="C17856" s="7">
        <f>IFERROR(__xludf.DUMMYFUNCTION("""COMPUTED_VALUE"""),7.7295456)</f>
        <v>7.7295456</v>
      </c>
      <c r="D17856" s="7">
        <f>IFERROR(__xludf.DUMMYFUNCTION("""COMPUTED_VALUE"""),0.5)</f>
        <v>0.5</v>
      </c>
    </row>
    <row r="17857">
      <c r="A17857" s="10" t="s">
        <v>19296</v>
      </c>
      <c r="B17857" s="7" t="str">
        <f>IFERROR(__xludf.DUMMYFUNCTION("SPLIT(A17857,"" "")"),"CN(Cc1ncccc1-c1ccc2ncccc2c1)C1CCCC(N(C)c2ccc3nc(CF)ccc3c2)C1")</f>
        <v>CN(Cc1ncccc1-c1ccc2ncccc2c1)C1CCCC(N(C)c2ccc3nc(CF)ccc3c2)C1</v>
      </c>
      <c r="C17857" s="7">
        <f>IFERROR(__xludf.DUMMYFUNCTION("""COMPUTED_VALUE"""),7.7295427)</f>
        <v>7.7295427</v>
      </c>
      <c r="D17857" s="7">
        <f>IFERROR(__xludf.DUMMYFUNCTION("""COMPUTED_VALUE"""),0.328767123287671)</f>
        <v>0.3287671233</v>
      </c>
    </row>
    <row r="17858">
      <c r="A17858" s="10" t="s">
        <v>19297</v>
      </c>
      <c r="B17858" s="7" t="str">
        <f>IFERROR(__xludf.DUMMYFUNCTION("SPLIT(A17858,"" "")"),"CNCc1cccc(-c2ccc(N(C)C)cc2)n1")</f>
        <v>CNCc1cccc(-c2ccc(N(C)C)cc2)n1</v>
      </c>
      <c r="C17858" s="7">
        <f>IFERROR(__xludf.DUMMYFUNCTION("""COMPUTED_VALUE"""),7.729542)</f>
        <v>7.729542</v>
      </c>
      <c r="D17858" s="7">
        <f>IFERROR(__xludf.DUMMYFUNCTION("""COMPUTED_VALUE"""),0.340425531914893)</f>
        <v>0.3404255319</v>
      </c>
    </row>
    <row r="17859">
      <c r="A17859" s="10" t="s">
        <v>19298</v>
      </c>
      <c r="B17859" s="7" t="str">
        <f>IFERROR(__xludf.DUMMYFUNCTION("SPLIT(A17859,"" "")"),"Cc1c(C2=NCC(C)(C)O2)cc(C2CCC2(C)C)nc1C1=NC(=O)C(C(C)c2cccc(C3=NC(C)(C)CO3)n2)O1")</f>
        <v>Cc1c(C2=NCC(C)(C)O2)cc(C2CCC2(C)C)nc1C1=NC(=O)C(C(C)c2cccc(C3=NC(C)(C)CO3)n2)O1</v>
      </c>
      <c r="C17859" s="7">
        <f>IFERROR(__xludf.DUMMYFUNCTION("""COMPUTED_VALUE"""),7.729534)</f>
        <v>7.729534</v>
      </c>
      <c r="D17859" s="7">
        <f>IFERROR(__xludf.DUMMYFUNCTION("""COMPUTED_VALUE"""),0.342465753424657)</f>
        <v>0.3424657534</v>
      </c>
    </row>
    <row r="17860">
      <c r="A17860" s="10" t="s">
        <v>19299</v>
      </c>
      <c r="B17860" s="7" t="str">
        <f>IFERROR(__xludf.DUMMYFUNCTION("SPLIT(A17860,"" "")"),"CC(C)N(C)Cc1ccc2c(N(C)C)cccc2n1")</f>
        <v>CC(C)N(C)Cc1ccc2c(N(C)C)cccc2n1</v>
      </c>
      <c r="C17860" s="7">
        <f>IFERROR(__xludf.DUMMYFUNCTION("""COMPUTED_VALUE"""),7.729524)</f>
        <v>7.729524</v>
      </c>
      <c r="D17860" s="7">
        <f>IFERROR(__xludf.DUMMYFUNCTION("""COMPUTED_VALUE"""),0.357142857142857)</f>
        <v>0.3571428571</v>
      </c>
    </row>
    <row r="17861">
      <c r="A17861" s="10" t="s">
        <v>19300</v>
      </c>
      <c r="B17861" s="7" t="str">
        <f>IFERROR(__xludf.DUMMYFUNCTION("SPLIT(A17861,"" "")"),"Cc1cnc(CN(C)CCN(C)c2ccc3nccc(C)c3c2)c(C)c1C")</f>
        <v>Cc1cnc(CN(C)CCN(C)c2ccc3nccc(C)c3c2)c(C)c1C</v>
      </c>
      <c r="C17861" s="7">
        <f>IFERROR(__xludf.DUMMYFUNCTION("""COMPUTED_VALUE"""),7.7295213)</f>
        <v>7.7295213</v>
      </c>
      <c r="D17861" s="7">
        <f>IFERROR(__xludf.DUMMYFUNCTION("""COMPUTED_VALUE"""),0.326923076923076)</f>
        <v>0.3269230769</v>
      </c>
    </row>
    <row r="17862">
      <c r="A17862" s="10" t="s">
        <v>19301</v>
      </c>
      <c r="B17862" s="7" t="str">
        <f>IFERROR(__xludf.DUMMYFUNCTION("SPLIT(A17862,"" "")"),"Cc1ccc(CN(C)Cc2cccc(-c3ccc(N=Cc4ccccn4)cc3)n2)nc1C")</f>
        <v>Cc1ccc(CN(C)Cc2cccc(-c3ccc(N=Cc4ccccn4)cc3)n2)nc1C</v>
      </c>
      <c r="C17862" s="7">
        <f>IFERROR(__xludf.DUMMYFUNCTION("""COMPUTED_VALUE"""),7.729515)</f>
        <v>7.729515</v>
      </c>
      <c r="D17862" s="7">
        <f>IFERROR(__xludf.DUMMYFUNCTION("""COMPUTED_VALUE"""),0.464285714285714)</f>
        <v>0.4642857143</v>
      </c>
    </row>
    <row r="17863">
      <c r="A17863" s="10" t="s">
        <v>19302</v>
      </c>
      <c r="B17863" s="7" t="str">
        <f>IFERROR(__xludf.DUMMYFUNCTION("SPLIT(A17863,"" "")"),"Cc1cccc2c(CN(C)Cc3ncccc3N)ccnc12")</f>
        <v>Cc1cccc2c(CN(C)Cc3ncccc3N)ccnc12</v>
      </c>
      <c r="C17863" s="7">
        <f>IFERROR(__xludf.DUMMYFUNCTION("""COMPUTED_VALUE"""),7.7295146)</f>
        <v>7.7295146</v>
      </c>
      <c r="D17863" s="7">
        <f>IFERROR(__xludf.DUMMYFUNCTION("""COMPUTED_VALUE"""),0.4)</f>
        <v>0.4</v>
      </c>
    </row>
    <row r="17864">
      <c r="A17864" s="10" t="s">
        <v>19303</v>
      </c>
      <c r="B17864" s="7" t="str">
        <f>IFERROR(__xludf.DUMMYFUNCTION("SPLIT(A17864,"" "")"),"Cc1ccnc(CN(C)Cc2cc(-c3ccccc3N=Cc3ccccn3)ccn2)c1")</f>
        <v>Cc1ccnc(CN(C)Cc2cc(-c3ccccc3N=Cc3ccccn3)ccn2)c1</v>
      </c>
      <c r="C17864" s="7">
        <f>IFERROR(__xludf.DUMMYFUNCTION("""COMPUTED_VALUE"""),7.7294984)</f>
        <v>7.7294984</v>
      </c>
      <c r="D17864" s="7">
        <f>IFERROR(__xludf.DUMMYFUNCTION("""COMPUTED_VALUE"""),0.436363636363636)</f>
        <v>0.4363636364</v>
      </c>
    </row>
    <row r="17865">
      <c r="A17865" s="10" t="s">
        <v>19304</v>
      </c>
      <c r="B17865" s="7" t="str">
        <f>IFERROR(__xludf.DUMMYFUNCTION("SPLIT(A17865,"" "")"),"Cc1cccnc1CN(C)Cc1ncccc1-c1cccc(N=Cc2ccccn2)c1")</f>
        <v>Cc1cccnc1CN(C)Cc1ncccc1-c1cccc(N=Cc2ccccn2)c1</v>
      </c>
      <c r="C17865" s="7">
        <f>IFERROR(__xludf.DUMMYFUNCTION("""COMPUTED_VALUE"""),7.729497)</f>
        <v>7.729497</v>
      </c>
      <c r="D17865" s="7">
        <f>IFERROR(__xludf.DUMMYFUNCTION("""COMPUTED_VALUE"""),0.428571428571428)</f>
        <v>0.4285714286</v>
      </c>
    </row>
    <row r="17866">
      <c r="A17866" s="10" t="s">
        <v>19305</v>
      </c>
      <c r="B17866" s="7" t="str">
        <f>IFERROR(__xludf.DUMMYFUNCTION("SPLIT(A17866,"" "")"),"CC(C)N(C)c1ccc2nc(CF)ccc2c1")</f>
        <v>CC(C)N(C)c1ccc2nc(CF)ccc2c1</v>
      </c>
      <c r="C17866" s="7">
        <f>IFERROR(__xludf.DUMMYFUNCTION("""COMPUTED_VALUE"""),7.7294855)</f>
        <v>7.7294855</v>
      </c>
      <c r="D17866" s="7">
        <f>IFERROR(__xludf.DUMMYFUNCTION("""COMPUTED_VALUE"""),0.333333333333333)</f>
        <v>0.3333333333</v>
      </c>
    </row>
    <row r="17867">
      <c r="A17867" s="10" t="s">
        <v>19306</v>
      </c>
      <c r="B17867" s="7" t="str">
        <f>IFERROR(__xludf.DUMMYFUNCTION("SPLIT(A17867,"" "")"),"CN(CCF)CCN(C)c1ccc2nc(-c3ccccn3)ccc2c1")</f>
        <v>CN(CCF)CCN(C)c1ccc2nc(-c3ccccn3)ccc2c1</v>
      </c>
      <c r="C17867" s="7">
        <f>IFERROR(__xludf.DUMMYFUNCTION("""COMPUTED_VALUE"""),7.729484)</f>
        <v>7.729484</v>
      </c>
      <c r="D17867" s="7">
        <f>IFERROR(__xludf.DUMMYFUNCTION("""COMPUTED_VALUE"""),0.431372549019607)</f>
        <v>0.431372549</v>
      </c>
    </row>
    <row r="17868">
      <c r="A17868" s="10" t="s">
        <v>19307</v>
      </c>
      <c r="B17868" s="7" t="str">
        <f>IFERROR(__xludf.DUMMYFUNCTION("SPLIT(A17868,"" "")"),"Cc1nc(CN(C)C2C=CNC(CN(Cc3ccccn3)c3ccc4cccnc4c3)=C2)c(C)c(C)c1C")</f>
        <v>Cc1nc(CN(C)C2C=CNC(CN(Cc3ccccn3)c3ccc4cccnc4c3)=C2)c(C)c(C)c1C</v>
      </c>
      <c r="C17868" s="7">
        <f>IFERROR(__xludf.DUMMYFUNCTION("""COMPUTED_VALUE"""),7.7294817)</f>
        <v>7.7294817</v>
      </c>
      <c r="D17868" s="7">
        <f>IFERROR(__xludf.DUMMYFUNCTION("""COMPUTED_VALUE"""),0.328571428571428)</f>
        <v>0.3285714286</v>
      </c>
    </row>
    <row r="17869">
      <c r="A17869" s="10" t="s">
        <v>19308</v>
      </c>
      <c r="B17869" s="7" t="str">
        <f>IFERROR(__xludf.DUMMYFUNCTION("SPLIT(A17869,"" "")"),"CN(CC1=CCC=C(N(C)c2ccc3nc(CF)ccc3c2)N1)Cc1ccccn1")</f>
        <v>CN(CC1=CCC=C(N(C)c2ccc3nc(CF)ccc3c2)N1)Cc1ccccn1</v>
      </c>
      <c r="C17869" s="7">
        <f>IFERROR(__xludf.DUMMYFUNCTION("""COMPUTED_VALUE"""),7.7294774)</f>
        <v>7.7294774</v>
      </c>
      <c r="D17869" s="7">
        <f>IFERROR(__xludf.DUMMYFUNCTION("""COMPUTED_VALUE"""),0.383333333333333)</f>
        <v>0.3833333333</v>
      </c>
    </row>
    <row r="17870">
      <c r="A17870" s="10" t="s">
        <v>19309</v>
      </c>
      <c r="B17870" s="7" t="str">
        <f>IFERROR(__xludf.DUMMYFUNCTION("SPLIT(A17870,"" "")"),"CN(c1ccc2c(CF)ccnc2c1)C1CCCCC1N(C)c1ccc2nccc(CF)c2c1")</f>
        <v>CN(c1ccc2c(CF)ccnc2c1)C1CCCCC1N(C)c1ccc2nccc(CF)c2c1</v>
      </c>
      <c r="C17870" s="7">
        <f>IFERROR(__xludf.DUMMYFUNCTION("""COMPUTED_VALUE"""),7.7294765)</f>
        <v>7.7294765</v>
      </c>
      <c r="D17870" s="7">
        <f>IFERROR(__xludf.DUMMYFUNCTION("""COMPUTED_VALUE"""),0.362068965517241)</f>
        <v>0.3620689655</v>
      </c>
    </row>
    <row r="17871">
      <c r="A17871" s="10" t="s">
        <v>19310</v>
      </c>
      <c r="B17871" s="7" t="str">
        <f>IFERROR(__xludf.DUMMYFUNCTION("SPLIT(A17871,"" "")"),"Cc1cccc(-c2ccc(C(C)C)c(CN(Cc3ccccn3)Cc3cccc(-c4ccc(N(C)C)cc4)n3)n2)c1")</f>
        <v>Cc1cccc(-c2ccc(C(C)C)c(CN(Cc3ccccn3)Cc3cccc(-c4ccc(N(C)C)cc4)n3)n2)c1</v>
      </c>
      <c r="C17871" s="7">
        <f>IFERROR(__xludf.DUMMYFUNCTION("""COMPUTED_VALUE"""),7.7294703)</f>
        <v>7.7294703</v>
      </c>
      <c r="D17871" s="7">
        <f>IFERROR(__xludf.DUMMYFUNCTION("""COMPUTED_VALUE"""),0.492307692307692)</f>
        <v>0.4923076923</v>
      </c>
    </row>
    <row r="17872">
      <c r="A17872" s="10" t="s">
        <v>19311</v>
      </c>
      <c r="B17872" s="7" t="str">
        <f>IFERROR(__xludf.DUMMYFUNCTION("SPLIT(A17872,"" "")"),"CN(Cc1cccnc1F)Cc1ncccc1-c1ccccc1N=Cc1ccccn1")</f>
        <v>CN(Cc1cccnc1F)Cc1ncccc1-c1ccccc1N=Cc1ccccn1</v>
      </c>
      <c r="C17872" s="7">
        <f>IFERROR(__xludf.DUMMYFUNCTION("""COMPUTED_VALUE"""),7.7294703)</f>
        <v>7.7294703</v>
      </c>
      <c r="D17872" s="7">
        <f>IFERROR(__xludf.DUMMYFUNCTION("""COMPUTED_VALUE"""),0.470588235294117)</f>
        <v>0.4705882353</v>
      </c>
    </row>
    <row r="17873">
      <c r="A17873" s="10" t="s">
        <v>19312</v>
      </c>
      <c r="B17873" s="7" t="str">
        <f>IFERROR(__xludf.DUMMYFUNCTION("SPLIT(A17873,"" "")"),"Cc1cnc(CN(C)Cc2cccc(-c3cccc(Cl)c3Cl)n2)c(C)c1")</f>
        <v>Cc1cnc(CN(C)Cc2cccc(-c3cccc(Cl)c3Cl)n2)c(C)c1</v>
      </c>
      <c r="C17873" s="7">
        <f>IFERROR(__xludf.DUMMYFUNCTION("""COMPUTED_VALUE"""),7.7294636)</f>
        <v>7.7294636</v>
      </c>
      <c r="D17873" s="7">
        <f>IFERROR(__xludf.DUMMYFUNCTION("""COMPUTED_VALUE"""),0.4)</f>
        <v>0.4</v>
      </c>
    </row>
    <row r="17874">
      <c r="A17874" s="10" t="s">
        <v>19313</v>
      </c>
      <c r="B17874" s="7" t="str">
        <f>IFERROR(__xludf.DUMMYFUNCTION("SPLIT(A17874,"" "")"),"CC(C)NCc1cc(CN(C)c2ccc3ncccc3c2)ccn1")</f>
        <v>CC(C)NCc1cc(CN(C)c2ccc3ncccc3c2)ccn1</v>
      </c>
      <c r="C17874" s="7">
        <f>IFERROR(__xludf.DUMMYFUNCTION("""COMPUTED_VALUE"""),7.7294526)</f>
        <v>7.7294526</v>
      </c>
      <c r="D17874" s="7">
        <f>IFERROR(__xludf.DUMMYFUNCTION("""COMPUTED_VALUE"""),0.303571428571428)</f>
        <v>0.3035714286</v>
      </c>
    </row>
    <row r="17875">
      <c r="A17875" s="10" t="s">
        <v>19314</v>
      </c>
      <c r="B17875" s="7" t="str">
        <f>IFERROR(__xludf.DUMMYFUNCTION("SPLIT(A17875,"" "")"),"CCN(Cc1ccon1)Cc1ncccc1-c1ccccc1N=Cc1ccccn1")</f>
        <v>CCN(Cc1ccon1)Cc1ncccc1-c1ccccc1N=Cc1ccccn1</v>
      </c>
      <c r="C17875" s="7">
        <f>IFERROR(__xludf.DUMMYFUNCTION("""COMPUTED_VALUE"""),7.7294474)</f>
        <v>7.7294474</v>
      </c>
      <c r="D17875" s="7">
        <f>IFERROR(__xludf.DUMMYFUNCTION("""COMPUTED_VALUE"""),0.383333333333333)</f>
        <v>0.3833333333</v>
      </c>
    </row>
    <row r="17876">
      <c r="A17876" s="10" t="s">
        <v>19315</v>
      </c>
      <c r="B17876" s="7" t="str">
        <f>IFERROR(__xludf.DUMMYFUNCTION("SPLIT(A17876,"" "")"),"Cc1ccc(N(C)Cc2ccc3ncccc3c2)cc1N(Cc1ccccn1)CC(C)(C)c1ccccn1")</f>
        <v>Cc1ccc(N(C)Cc2ccc3ncccc3c2)cc1N(Cc1ccccn1)CC(C)(C)c1ccccn1</v>
      </c>
      <c r="C17876" s="7">
        <f>IFERROR(__xludf.DUMMYFUNCTION("""COMPUTED_VALUE"""),7.729439)</f>
        <v>7.729439</v>
      </c>
      <c r="D17876" s="7">
        <f>IFERROR(__xludf.DUMMYFUNCTION("""COMPUTED_VALUE"""),0.365079365079365)</f>
        <v>0.3650793651</v>
      </c>
    </row>
    <row r="17877">
      <c r="A17877" s="10" t="s">
        <v>19316</v>
      </c>
      <c r="B17877" s="7" t="str">
        <f>IFERROR(__xludf.DUMMYFUNCTION("SPLIT(A17877,"" "")"),"CC(C)C(C)N(Cc1ccccn1)Cc1ncccc1-c1ccccc1N(C)c1cccc2cccnc12")</f>
        <v>CC(C)C(C)N(Cc1ccccn1)Cc1ncccc1-c1ccccc1N(C)c1cccc2cccnc12</v>
      </c>
      <c r="C17877" s="7">
        <f>IFERROR(__xludf.DUMMYFUNCTION("""COMPUTED_VALUE"""),7.7294226)</f>
        <v>7.7294226</v>
      </c>
      <c r="D17877" s="7">
        <f>IFERROR(__xludf.DUMMYFUNCTION("""COMPUTED_VALUE"""),0.407407407407407)</f>
        <v>0.4074074074</v>
      </c>
    </row>
    <row r="17878">
      <c r="A17878" s="10" t="s">
        <v>19317</v>
      </c>
      <c r="B17878" s="7" t="str">
        <f>IFERROR(__xludf.DUMMYFUNCTION("SPLIT(A17878,"" "")"),"Cc1cc(-c2ccc(CN(C)Cc3ccccn3)cc2N=Cc2ccccn2)ccn1")</f>
        <v>Cc1cc(-c2ccc(CN(C)Cc3ccccn3)cc2N=Cc2ccccn2)ccn1</v>
      </c>
      <c r="C17878" s="7">
        <f>IFERROR(__xludf.DUMMYFUNCTION("""COMPUTED_VALUE"""),7.729422)</f>
        <v>7.729422</v>
      </c>
      <c r="D17878" s="7">
        <f>IFERROR(__xludf.DUMMYFUNCTION("""COMPUTED_VALUE"""),0.383333333333333)</f>
        <v>0.3833333333</v>
      </c>
    </row>
    <row r="17879">
      <c r="A17879" s="10" t="s">
        <v>19318</v>
      </c>
      <c r="B17879" s="7" t="str">
        <f>IFERROR(__xludf.DUMMYFUNCTION("SPLIT(A17879,"" "")"),"Cc1cccc(CN(C)CC2=C(N(C)c3cccc4ncccc34)CC=CN2)c1")</f>
        <v>Cc1cccc(CN(C)CC2=C(N(C)c3cccc4ncccc34)CC=CN2)c1</v>
      </c>
      <c r="C17879" s="7">
        <f>IFERROR(__xludf.DUMMYFUNCTION("""COMPUTED_VALUE"""),7.729422)</f>
        <v>7.729422</v>
      </c>
      <c r="D17879" s="7">
        <f>IFERROR(__xludf.DUMMYFUNCTION("""COMPUTED_VALUE"""),0.261538461538461)</f>
        <v>0.2615384615</v>
      </c>
    </row>
    <row r="17880">
      <c r="A17880" s="10" t="s">
        <v>19319</v>
      </c>
      <c r="B17880" s="7" t="str">
        <f>IFERROR(__xludf.DUMMYFUNCTION("SPLIT(A17880,"" "")"),"Cc1cnc(CN(C)Cc2cccnc2-c2cccc(N(C)Cc3c(C)cncc3C)c2)c(C)c1")</f>
        <v>Cc1cnc(CN(C)Cc2cccnc2-c2cccc(N(C)Cc3c(C)cncc3C)c2)c(C)c1</v>
      </c>
      <c r="C17880" s="7">
        <f>IFERROR(__xludf.DUMMYFUNCTION("""COMPUTED_VALUE"""),7.7294)</f>
        <v>7.7294</v>
      </c>
      <c r="D17880" s="7">
        <f>IFERROR(__xludf.DUMMYFUNCTION("""COMPUTED_VALUE"""),0.301587301587301)</f>
        <v>0.3015873016</v>
      </c>
    </row>
    <row r="17881">
      <c r="A17881" s="10" t="s">
        <v>19320</v>
      </c>
      <c r="B17881" s="7" t="str">
        <f>IFERROR(__xludf.DUMMYFUNCTION("SPLIT(A17881,"" "")"),"CNc1ccc2nc(CN(C)Cc3ccc(N)c(C)n3)ccc2c1")</f>
        <v>CNc1ccc2nc(CN(C)Cc3ccc(N)c(C)n3)ccc2c1</v>
      </c>
      <c r="C17881" s="7">
        <f>IFERROR(__xludf.DUMMYFUNCTION("""COMPUTED_VALUE"""),7.7293987)</f>
        <v>7.7293987</v>
      </c>
      <c r="D17881" s="7">
        <f>IFERROR(__xludf.DUMMYFUNCTION("""COMPUTED_VALUE"""),0.326530612244897)</f>
        <v>0.3265306122</v>
      </c>
    </row>
    <row r="17882">
      <c r="A17882" s="10" t="s">
        <v>19321</v>
      </c>
      <c r="B17882" s="7" t="str">
        <f>IFERROR(__xludf.DUMMYFUNCTION("SPLIT(A17882,"" "")"),"Cc1ncccc1-c1cccc(NCc2ccccn2)c1")</f>
        <v>Cc1ncccc1-c1cccc(NCc2ccccn2)c1</v>
      </c>
      <c r="C17882" s="7">
        <f>IFERROR(__xludf.DUMMYFUNCTION("""COMPUTED_VALUE"""),7.7293954)</f>
        <v>7.7293954</v>
      </c>
      <c r="D17882" s="7">
        <f>IFERROR(__xludf.DUMMYFUNCTION("""COMPUTED_VALUE"""),0.433962264150943)</f>
        <v>0.4339622642</v>
      </c>
    </row>
    <row r="17883">
      <c r="A17883" s="10" t="s">
        <v>19322</v>
      </c>
      <c r="B17883" s="7" t="str">
        <f>IFERROR(__xludf.DUMMYFUNCTION("SPLIT(A17883,"" "")"),"Cc1ccc(CN(C)c2c(C)ccc(C)c2N(C)Cc2ccccn2)nc1C")</f>
        <v>Cc1ccc(CN(C)c2c(C)ccc(C)c2N(C)Cc2ccccn2)nc1C</v>
      </c>
      <c r="C17883" s="7">
        <f>IFERROR(__xludf.DUMMYFUNCTION("""COMPUTED_VALUE"""),7.7293878)</f>
        <v>7.7293878</v>
      </c>
      <c r="D17883" s="7">
        <f>IFERROR(__xludf.DUMMYFUNCTION("""COMPUTED_VALUE"""),0.488372093023255)</f>
        <v>0.488372093</v>
      </c>
    </row>
    <row r="17884">
      <c r="A17884" s="10" t="s">
        <v>19323</v>
      </c>
      <c r="B17884" s="7" t="str">
        <f>IFERROR(__xludf.DUMMYFUNCTION("SPLIT(A17884,"" "")"),"CN(CN(CCNc1ccc2cccnc2c1)Cc1ccccn1)c1ccc2ncccc2c1")</f>
        <v>CN(CN(CCNc1ccc2cccnc2c1)Cc1ccccn1)c1ccc2ncccc2c1</v>
      </c>
      <c r="C17884" s="7">
        <f>IFERROR(__xludf.DUMMYFUNCTION("""COMPUTED_VALUE"""),7.7293835)</f>
        <v>7.7293835</v>
      </c>
      <c r="D17884" s="7">
        <f>IFERROR(__xludf.DUMMYFUNCTION("""COMPUTED_VALUE"""),0.43859649122807)</f>
        <v>0.4385964912</v>
      </c>
    </row>
    <row r="17885">
      <c r="A17885" s="10" t="s">
        <v>19324</v>
      </c>
      <c r="B17885" s="7" t="str">
        <f>IFERROR(__xludf.DUMMYFUNCTION("SPLIT(A17885,"" "")"),"CN(C)CCN(C)c1cccc2nc(CF)ccc12")</f>
        <v>CN(C)CCN(C)c1cccc2nc(CF)ccc12</v>
      </c>
      <c r="C17885" s="7">
        <f>IFERROR(__xludf.DUMMYFUNCTION("""COMPUTED_VALUE"""),7.729383)</f>
        <v>7.729383</v>
      </c>
      <c r="D17885" s="7">
        <f>IFERROR(__xludf.DUMMYFUNCTION("""COMPUTED_VALUE"""),0.409090909090909)</f>
        <v>0.4090909091</v>
      </c>
    </row>
    <row r="17886">
      <c r="A17886" s="10" t="s">
        <v>19325</v>
      </c>
      <c r="B17886" s="7" t="str">
        <f>IFERROR(__xludf.DUMMYFUNCTION("SPLIT(A17886,"" "")"),"Cc1cnc(CN(C)CC2=CC(N(C)c3ccc4cccnc4c3)C=CN2)c(C)c1")</f>
        <v>Cc1cnc(CN(C)CC2=CC(N(C)c3ccc4cccnc4c3)C=CN2)c(C)c1</v>
      </c>
      <c r="C17886" s="7">
        <f>IFERROR(__xludf.DUMMYFUNCTION("""COMPUTED_VALUE"""),7.7293825)</f>
        <v>7.7293825</v>
      </c>
      <c r="D17886" s="7">
        <f>IFERROR(__xludf.DUMMYFUNCTION("""COMPUTED_VALUE"""),0.28169014084507)</f>
        <v>0.2816901408</v>
      </c>
    </row>
    <row r="17887">
      <c r="A17887" s="10" t="s">
        <v>19326</v>
      </c>
      <c r="B17887" s="7" t="str">
        <f>IFERROR(__xludf.DUMMYFUNCTION("SPLIT(A17887,"" "")"),"CN(CCN)Cc1cccnc1N(C)c1cccc2ncccc12")</f>
        <v>CN(CCN)Cc1cccnc1N(C)c1cccc2ncccc12</v>
      </c>
      <c r="C17887" s="7">
        <f>IFERROR(__xludf.DUMMYFUNCTION("""COMPUTED_VALUE"""),7.7293816)</f>
        <v>7.7293816</v>
      </c>
      <c r="D17887" s="7">
        <f>IFERROR(__xludf.DUMMYFUNCTION("""COMPUTED_VALUE"""),0.42)</f>
        <v>0.42</v>
      </c>
    </row>
    <row r="17888">
      <c r="A17888" s="10" t="s">
        <v>19327</v>
      </c>
      <c r="B17888" s="7" t="str">
        <f>IFERROR(__xludf.DUMMYFUNCTION("SPLIT(A17888,"" "")"),"CNCc1cccc(-c2ccc(C)c(N(C)Cc3ccccn3)c2)n1")</f>
        <v>CNCc1cccc(-c2ccc(C)c(N(C)Cc3ccccn3)c2)n1</v>
      </c>
      <c r="C17888" s="7">
        <f>IFERROR(__xludf.DUMMYFUNCTION("""COMPUTED_VALUE"""),7.729368)</f>
        <v>7.729368</v>
      </c>
      <c r="D17888" s="7">
        <f>IFERROR(__xludf.DUMMYFUNCTION("""COMPUTED_VALUE"""),0.470588235294117)</f>
        <v>0.4705882353</v>
      </c>
    </row>
    <row r="17889">
      <c r="A17889" s="10" t="s">
        <v>19328</v>
      </c>
      <c r="B17889" s="7" t="str">
        <f>IFERROR(__xludf.DUMMYFUNCTION("SPLIT(A17889,"" "")"),"Cc1cccnc1CN(C)Cc1cc(-c2cccc(N=Cc3ccccn3)c2)ccn1")</f>
        <v>Cc1cccnc1CN(C)Cc1cc(-c2cccc(N=Cc3ccccn3)c2)ccn1</v>
      </c>
      <c r="C17889" s="7">
        <f>IFERROR(__xludf.DUMMYFUNCTION("""COMPUTED_VALUE"""),7.7293677)</f>
        <v>7.7293677</v>
      </c>
      <c r="D17889" s="7">
        <f>IFERROR(__xludf.DUMMYFUNCTION("""COMPUTED_VALUE"""),0.406779661016949)</f>
        <v>0.406779661</v>
      </c>
    </row>
    <row r="17890">
      <c r="A17890" s="10" t="s">
        <v>19329</v>
      </c>
      <c r="B17890" s="7" t="str">
        <f>IFERROR(__xludf.DUMMYFUNCTION("SPLIT(A17890,"" "")"),"CN(c1cccc2nc3c(cc12)CCC3)C1CCC(N(C)c2cccc3ncc4c(c23)CCC4)CC1")</f>
        <v>CN(c1cccc2nc3c(cc12)CCC3)C1CCC(N(C)c2cccc3ncc4c(c23)CCC4)CC1</v>
      </c>
      <c r="C17890" s="7">
        <f>IFERROR(__xludf.DUMMYFUNCTION("""COMPUTED_VALUE"""),7.7293606)</f>
        <v>7.7293606</v>
      </c>
      <c r="D17890" s="7">
        <f>IFERROR(__xludf.DUMMYFUNCTION("""COMPUTED_VALUE"""),0.419354838709677)</f>
        <v>0.4193548387</v>
      </c>
    </row>
    <row r="17891">
      <c r="A17891" s="10" t="s">
        <v>19330</v>
      </c>
      <c r="B17891" s="7" t="str">
        <f>IFERROR(__xludf.DUMMYFUNCTION("SPLIT(A17891,"" "")"),"Cc1ccnc(CN(C)C2C=CNC(CN(C)c3ccc4ncccc4c3)=C2)c1")</f>
        <v>Cc1ccnc(CN(C)C2C=CNC(CN(C)c3ccc4ncccc4c3)=C2)c1</v>
      </c>
      <c r="C17891" s="7">
        <f>IFERROR(__xludf.DUMMYFUNCTION("""COMPUTED_VALUE"""),7.7293606)</f>
        <v>7.7293606</v>
      </c>
      <c r="D17891" s="7">
        <f>IFERROR(__xludf.DUMMYFUNCTION("""COMPUTED_VALUE"""),0.272727272727272)</f>
        <v>0.2727272727</v>
      </c>
    </row>
    <row r="17892">
      <c r="A17892" s="10" t="s">
        <v>19331</v>
      </c>
      <c r="B17892" s="7" t="str">
        <f>IFERROR(__xludf.DUMMYFUNCTION("SPLIT(A17892,"" "")"),"CN(c1ccc2cc3c(nc2c1)CCC3)C1CCCC(N(C)c2cccc3nc4c(cc23)CCC4)C1")</f>
        <v>CN(c1ccc2cc3c(nc2c1)CCC3)C1CCCC(N(C)c2cccc3nc4c(cc23)CCC4)C1</v>
      </c>
      <c r="C17892" s="7">
        <f>IFERROR(__xludf.DUMMYFUNCTION("""COMPUTED_VALUE"""),7.729358)</f>
        <v>7.729358</v>
      </c>
      <c r="D17892" s="7">
        <f>IFERROR(__xludf.DUMMYFUNCTION("""COMPUTED_VALUE"""),0.457627118644067)</f>
        <v>0.4576271186</v>
      </c>
    </row>
    <row r="17893">
      <c r="A17893" s="10" t="s">
        <v>19332</v>
      </c>
      <c r="B17893" s="7" t="str">
        <f>IFERROR(__xludf.DUMMYFUNCTION("SPLIT(A17893,"" "")"),"C1=CC(Nc2ncccc2C(c2ccccn2)c2ccccn2)=CCN1")</f>
        <v>C1=CC(Nc2ncccc2C(c2ccccn2)c2ccccn2)=CCN1</v>
      </c>
      <c r="C17893" s="7">
        <f>IFERROR(__xludf.DUMMYFUNCTION("""COMPUTED_VALUE"""),7.729355)</f>
        <v>7.729355</v>
      </c>
      <c r="D17893" s="7">
        <f>IFERROR(__xludf.DUMMYFUNCTION("""COMPUTED_VALUE"""),0.263157894736842)</f>
        <v>0.2631578947</v>
      </c>
    </row>
    <row r="17894">
      <c r="A17894" s="10" t="s">
        <v>19333</v>
      </c>
      <c r="B17894" s="7" t="str">
        <f>IFERROR(__xludf.DUMMYFUNCTION("SPLIT(A17894,"" "")"),"CN(c1ccc2nccc(CF)c2c1)C1CCCCC1N(C)c1ccc2nccc(CF)c2c1")</f>
        <v>CN(c1ccc2nccc(CF)c2c1)C1CCCCC1N(C)c1ccc2nccc(CF)c2c1</v>
      </c>
      <c r="C17894" s="7">
        <f>IFERROR(__xludf.DUMMYFUNCTION("""COMPUTED_VALUE"""),7.729353)</f>
        <v>7.729353</v>
      </c>
      <c r="D17894" s="7">
        <f>IFERROR(__xludf.DUMMYFUNCTION("""COMPUTED_VALUE"""),0.381818181818181)</f>
        <v>0.3818181818</v>
      </c>
    </row>
    <row r="17895">
      <c r="A17895" s="10" t="s">
        <v>19334</v>
      </c>
      <c r="B17895" s="7" t="str">
        <f>IFERROR(__xludf.DUMMYFUNCTION("SPLIT(A17895,"" "")"),"CC(C)N(C)Cc1ccc(N(C)c2ccc3ccc(CF)nc3c2)cn1")</f>
        <v>CC(C)N(C)Cc1ccc(N(C)c2ccc3ccc(CF)nc3c2)cn1</v>
      </c>
      <c r="C17895" s="7">
        <f>IFERROR(__xludf.DUMMYFUNCTION("""COMPUTED_VALUE"""),7.7293334)</f>
        <v>7.7293334</v>
      </c>
      <c r="D17895" s="7">
        <f>IFERROR(__xludf.DUMMYFUNCTION("""COMPUTED_VALUE"""),0.32)</f>
        <v>0.32</v>
      </c>
    </row>
    <row r="17896">
      <c r="A17896" s="10" t="s">
        <v>19335</v>
      </c>
      <c r="B17896" s="7" t="str">
        <f>IFERROR(__xludf.DUMMYFUNCTION("SPLIT(A17896,"" "")"),"CNCc1cc(CN(C)c2ccc3nc(CN(C)Cc4nc(C)c(C)c(C)c4C)ccc3c2)ccn1")</f>
        <v>CNCc1cc(CN(C)c2ccc3nc(CN(C)Cc4nc(C)c(C)c(C)c4C)ccc3c2)ccn1</v>
      </c>
      <c r="C17896" s="7">
        <f>IFERROR(__xludf.DUMMYFUNCTION("""COMPUTED_VALUE"""),7.729329)</f>
        <v>7.729329</v>
      </c>
      <c r="D17896" s="7">
        <f>IFERROR(__xludf.DUMMYFUNCTION("""COMPUTED_VALUE"""),0.272727272727272)</f>
        <v>0.2727272727</v>
      </c>
    </row>
    <row r="17897">
      <c r="A17897" s="10" t="s">
        <v>19336</v>
      </c>
      <c r="B17897" s="7" t="str">
        <f>IFERROR(__xludf.DUMMYFUNCTION("SPLIT(A17897,"" "")"),"CC(C)N(Cc1ccccn1)C1CCC(N(C)c2ccc3nccc(-c4ccc5ncccc5c4)c3c2)CC1")</f>
        <v>CC(C)N(Cc1ccccn1)C1CCC(N(C)c2ccc3nccc(-c4ccc5ncccc5c4)c3c2)CC1</v>
      </c>
      <c r="C17897" s="7">
        <f>IFERROR(__xludf.DUMMYFUNCTION("""COMPUTED_VALUE"""),7.7293286)</f>
        <v>7.7293286</v>
      </c>
      <c r="D17897" s="7">
        <f>IFERROR(__xludf.DUMMYFUNCTION("""COMPUTED_VALUE"""),0.338461538461538)</f>
        <v>0.3384615385</v>
      </c>
    </row>
    <row r="17898">
      <c r="A17898" s="10" t="s">
        <v>19337</v>
      </c>
      <c r="B17898" s="7" t="str">
        <f>IFERROR(__xludf.DUMMYFUNCTION("SPLIT(A17898,"" "")"),"Cc1ccc(-c2cc(NCc3ccccn3)ccc2C)nc1")</f>
        <v>Cc1ccc(-c2cc(NCc3ccccn3)ccc2C)nc1</v>
      </c>
      <c r="C17898" s="7">
        <f>IFERROR(__xludf.DUMMYFUNCTION("""COMPUTED_VALUE"""),7.729314)</f>
        <v>7.729314</v>
      </c>
      <c r="D17898" s="7">
        <f>IFERROR(__xludf.DUMMYFUNCTION("""COMPUTED_VALUE"""),0.369565217391304)</f>
        <v>0.3695652174</v>
      </c>
    </row>
    <row r="17899">
      <c r="A17899" s="10" t="s">
        <v>19338</v>
      </c>
      <c r="B17899" s="7" t="str">
        <f>IFERROR(__xludf.DUMMYFUNCTION("SPLIT(A17899,"" "")"),"Cc1ccc(C)c(CN(C)Cc2cc(-c3cccc(N(C)C)c3)ccn2)n1")</f>
        <v>Cc1ccc(C)c(CN(C)Cc2cc(-c3cccc(N(C)C)c3)ccn2)n1</v>
      </c>
      <c r="C17899" s="7">
        <f>IFERROR(__xludf.DUMMYFUNCTION("""COMPUTED_VALUE"""),7.7293134)</f>
        <v>7.7293134</v>
      </c>
      <c r="D17899" s="7">
        <f>IFERROR(__xludf.DUMMYFUNCTION("""COMPUTED_VALUE"""),0.352941176470588)</f>
        <v>0.3529411765</v>
      </c>
    </row>
    <row r="17900">
      <c r="A17900" s="10" t="s">
        <v>19339</v>
      </c>
      <c r="B17900" s="7" t="str">
        <f>IFERROR(__xludf.DUMMYFUNCTION("SPLIT(A17900,"" "")"),"CN(C)c1cccc(CN(Cc2cccc(F)n2)Cc2cccc(-c3cc(Cl)ccc3Cl)n2)n1")</f>
        <v>CN(C)c1cccc(CN(Cc2cccc(F)n2)Cc2cccc(-c3cc(Cl)ccc3Cl)n2)n1</v>
      </c>
      <c r="C17900" s="7">
        <f>IFERROR(__xludf.DUMMYFUNCTION("""COMPUTED_VALUE"""),7.729313)</f>
        <v>7.729313</v>
      </c>
      <c r="D17900" s="7">
        <f>IFERROR(__xludf.DUMMYFUNCTION("""COMPUTED_VALUE"""),0.333333333333333)</f>
        <v>0.3333333333</v>
      </c>
    </row>
    <row r="17901">
      <c r="A17901" s="10" t="s">
        <v>19340</v>
      </c>
      <c r="B17901" s="7" t="str">
        <f>IFERROR(__xludf.DUMMYFUNCTION("SPLIT(A17901,"" "")"),"CN(c1ccc2nccc(CF)c2c1)C1CCCCC1N(C)c1cccc2c(CF)ccnc12")</f>
        <v>CN(c1ccc2nccc(CF)c2c1)C1CCCCC1N(C)c1cccc2c(CF)ccnc12</v>
      </c>
      <c r="C17901" s="7">
        <f>IFERROR(__xludf.DUMMYFUNCTION("""COMPUTED_VALUE"""),7.729309)</f>
        <v>7.729309</v>
      </c>
      <c r="D17901" s="7">
        <f>IFERROR(__xludf.DUMMYFUNCTION("""COMPUTED_VALUE"""),0.472727272727272)</f>
        <v>0.4727272727</v>
      </c>
    </row>
    <row r="17902">
      <c r="A17902" s="10" t="s">
        <v>19341</v>
      </c>
      <c r="B17902" s="7" t="str">
        <f>IFERROR(__xludf.DUMMYFUNCTION("SPLIT(A17902,"" "")"),"Cc1ccnc(CN(C)C2C=CNC(CN(C)c3ccc4cccnc4c3)=C2)c1")</f>
        <v>Cc1ccnc(CN(C)C2C=CNC(CN(C)c3ccc4cccnc4c3)=C2)c1</v>
      </c>
      <c r="C17902" s="7">
        <f>IFERROR(__xludf.DUMMYFUNCTION("""COMPUTED_VALUE"""),7.7293086)</f>
        <v>7.7293086</v>
      </c>
      <c r="D17902" s="7">
        <f>IFERROR(__xludf.DUMMYFUNCTION("""COMPUTED_VALUE"""),0.287878787878787)</f>
        <v>0.2878787879</v>
      </c>
    </row>
    <row r="17903">
      <c r="A17903" s="10" t="s">
        <v>19342</v>
      </c>
      <c r="B17903" s="7" t="str">
        <f>IFERROR(__xludf.DUMMYFUNCTION("SPLIT(A17903,"" "")"),"Cc1cc(C)nc(CN(C)Cc2ccnc3ccc(C)cc23)c1")</f>
        <v>Cc1cc(C)nc(CN(C)Cc2ccnc3ccc(C)cc23)c1</v>
      </c>
      <c r="C17903" s="7">
        <f>IFERROR(__xludf.DUMMYFUNCTION("""COMPUTED_VALUE"""),7.729305)</f>
        <v>7.729305</v>
      </c>
      <c r="D17903" s="7">
        <f>IFERROR(__xludf.DUMMYFUNCTION("""COMPUTED_VALUE"""),0.326923076923076)</f>
        <v>0.3269230769</v>
      </c>
    </row>
    <row r="17904">
      <c r="A17904" s="10" t="s">
        <v>19343</v>
      </c>
      <c r="B17904" s="7" t="str">
        <f>IFERROR(__xludf.DUMMYFUNCTION("SPLIT(A17904,"" "")"),"Cc1cncc(CN(C)CC2=CCC=C(N(C)c3ccc4nc(CF)ccc4c3)N2)c1")</f>
        <v>Cc1cncc(CN(C)CC2=CCC=C(N(C)c3ccc4nc(CF)ccc4c3)N2)c1</v>
      </c>
      <c r="C17904" s="7">
        <f>IFERROR(__xludf.DUMMYFUNCTION("""COMPUTED_VALUE"""),7.729302)</f>
        <v>7.729302</v>
      </c>
      <c r="D17904" s="7">
        <f>IFERROR(__xludf.DUMMYFUNCTION("""COMPUTED_VALUE"""),0.265625)</f>
        <v>0.265625</v>
      </c>
    </row>
    <row r="17905">
      <c r="A17905" s="10" t="s">
        <v>19344</v>
      </c>
      <c r="B17905" s="7" t="str">
        <f>IFERROR(__xludf.DUMMYFUNCTION("SPLIT(A17905,"" "")"),"Cc1cc(C)c(CN(C)Cc2ncccc2-c2ccccc2N(C)C)c(C)c1")</f>
        <v>Cc1cc(C)c(CN(C)Cc2ncccc2-c2ccccc2N(C)C)c(C)c1</v>
      </c>
      <c r="C17905" s="7">
        <f>IFERROR(__xludf.DUMMYFUNCTION("""COMPUTED_VALUE"""),7.729294)</f>
        <v>7.729294</v>
      </c>
      <c r="D17905" s="7">
        <f>IFERROR(__xludf.DUMMYFUNCTION("""COMPUTED_VALUE"""),0.30188679245283)</f>
        <v>0.3018867925</v>
      </c>
    </row>
    <row r="17906">
      <c r="A17906" s="10" t="s">
        <v>19345</v>
      </c>
      <c r="B17906" s="7" t="str">
        <f>IFERROR(__xludf.DUMMYFUNCTION("SPLIT(A17906,"" "")"),"CNCN(Cc1cc(C)ccn1)c1ccc2nccc(CF)c2c1")</f>
        <v>CNCN(Cc1cc(C)ccn1)c1ccc2nccc(CF)c2c1</v>
      </c>
      <c r="C17906" s="7">
        <f>IFERROR(__xludf.DUMMYFUNCTION("""COMPUTED_VALUE"""),7.7292895)</f>
        <v>7.7292895</v>
      </c>
      <c r="D17906" s="7">
        <f>IFERROR(__xludf.DUMMYFUNCTION("""COMPUTED_VALUE"""),0.293103448275862)</f>
        <v>0.2931034483</v>
      </c>
    </row>
    <row r="17907">
      <c r="A17907" s="10" t="s">
        <v>19346</v>
      </c>
      <c r="B17907" s="7" t="str">
        <f>IFERROR(__xludf.DUMMYFUNCTION("SPLIT(A17907,"" "")"),"CCOC(=O)c1ncccc1CN(Cc1ccccn1)Cc1ncccc1-c1ccc(N=Cc2ccccn2)cc1")</f>
        <v>CCOC(=O)c1ncccc1CN(Cc1ccccn1)Cc1ncccc1-c1ccc(N=Cc2ccccn2)cc1</v>
      </c>
      <c r="C17907" s="7">
        <f>IFERROR(__xludf.DUMMYFUNCTION("""COMPUTED_VALUE"""),7.729289)</f>
        <v>7.729289</v>
      </c>
      <c r="D17907" s="7">
        <f>IFERROR(__xludf.DUMMYFUNCTION("""COMPUTED_VALUE"""),0.32258064516129)</f>
        <v>0.3225806452</v>
      </c>
    </row>
    <row r="17908">
      <c r="A17908" s="10" t="s">
        <v>19347</v>
      </c>
      <c r="B17908" s="7" t="str">
        <f>IFERROR(__xludf.DUMMYFUNCTION("SPLIT(A17908,"" "")"),"Cc1cnccc1CN(C)c1ccc2nccc(CN(Cc3ccccn3)Cc3ccc(N)cn3)c2c1")</f>
        <v>Cc1cnccc1CN(C)c1ccc2nccc(CN(Cc3ccccn3)Cc3ccc(N)cn3)c2c1</v>
      </c>
      <c r="C17908" s="7">
        <f>IFERROR(__xludf.DUMMYFUNCTION("""COMPUTED_VALUE"""),7.7292876)</f>
        <v>7.7292876</v>
      </c>
      <c r="D17908" s="7">
        <f>IFERROR(__xludf.DUMMYFUNCTION("""COMPUTED_VALUE"""),0.344827586206896)</f>
        <v>0.3448275862</v>
      </c>
    </row>
    <row r="17909">
      <c r="A17909" s="10" t="s">
        <v>19348</v>
      </c>
      <c r="B17909" s="7" t="str">
        <f>IFERROR(__xludf.DUMMYFUNCTION("SPLIT(A17909,"" "")"),"Cc1cccnc1CN(C)c1ccc2nc(CN(C)Cc3cccc(C(C)(C)C)n3)ccc2c1")</f>
        <v>Cc1cccnc1CN(C)c1ccc2nc(CN(C)Cc3cccc(C(C)(C)C)n3)ccc2c1</v>
      </c>
      <c r="C17909" s="7">
        <f>IFERROR(__xludf.DUMMYFUNCTION("""COMPUTED_VALUE"""),7.7292805)</f>
        <v>7.7292805</v>
      </c>
      <c r="D17909" s="7">
        <f>IFERROR(__xludf.DUMMYFUNCTION("""COMPUTED_VALUE"""),0.344262295081967)</f>
        <v>0.3442622951</v>
      </c>
    </row>
    <row r="17910">
      <c r="A17910" s="10" t="s">
        <v>19349</v>
      </c>
      <c r="B17910" s="7" t="str">
        <f>IFERROR(__xludf.DUMMYFUNCTION("SPLIT(A17910,"" "")"),"Cc1cc(CN(C)Cc2cc(-c3ccccc3N=Cc3ccccn3)ccn2)ccn1")</f>
        <v>Cc1cc(CN(C)Cc2cc(-c3ccccc3N=Cc3ccccn3)ccn2)ccn1</v>
      </c>
      <c r="C17910" s="7">
        <f>IFERROR(__xludf.DUMMYFUNCTION("""COMPUTED_VALUE"""),7.729278)</f>
        <v>7.729278</v>
      </c>
      <c r="D17910" s="7">
        <f>IFERROR(__xludf.DUMMYFUNCTION("""COMPUTED_VALUE"""),0.406779661016949)</f>
        <v>0.406779661</v>
      </c>
    </row>
    <row r="17911">
      <c r="A17911" s="10" t="s">
        <v>19350</v>
      </c>
      <c r="B17911" s="7" t="str">
        <f>IFERROR(__xludf.DUMMYFUNCTION("SPLIT(A17911,"" "")"),"CN(c1ccc2cccnc2c1)C1CCC(N(C)c2ccc3c(CF)ccnc3c2)CC1")</f>
        <v>CN(c1ccc2cccnc2c1)C1CCC(N(C)c2ccc3c(CF)ccnc3c2)CC1</v>
      </c>
      <c r="C17911" s="7">
        <f>IFERROR(__xludf.DUMMYFUNCTION("""COMPUTED_VALUE"""),7.7292767)</f>
        <v>7.7292767</v>
      </c>
      <c r="D17911" s="7">
        <f>IFERROR(__xludf.DUMMYFUNCTION("""COMPUTED_VALUE"""),0.310344827586206)</f>
        <v>0.3103448276</v>
      </c>
    </row>
    <row r="17912">
      <c r="A17912" s="10" t="s">
        <v>19351</v>
      </c>
      <c r="B17912" s="7" t="str">
        <f>IFERROR(__xludf.DUMMYFUNCTION("SPLIT(A17912,"" "")"),"Cc1cnc(CN(C)CC2=CC(N(C)c3ccc4ncccc4c3)C=CN2)c(C)c1")</f>
        <v>Cc1cnc(CN(C)CC2=CC(N(C)c3ccc4ncccc4c3)C=CN2)c(C)c1</v>
      </c>
      <c r="C17912" s="7">
        <f>IFERROR(__xludf.DUMMYFUNCTION("""COMPUTED_VALUE"""),7.7292666)</f>
        <v>7.7292666</v>
      </c>
      <c r="D17912" s="7">
        <f>IFERROR(__xludf.DUMMYFUNCTION("""COMPUTED_VALUE"""),0.285714285714285)</f>
        <v>0.2857142857</v>
      </c>
    </row>
    <row r="17913">
      <c r="A17913" s="10" t="s">
        <v>19352</v>
      </c>
      <c r="B17913" s="7" t="str">
        <f>IFERROR(__xludf.DUMMYFUNCTION("SPLIT(A17913,"" "")"),"Cc1cccc2nccc(CN(C)Cc3cc(N)ccn3)c12")</f>
        <v>Cc1cccc2nccc(CN(C)Cc3cc(N)ccn3)c12</v>
      </c>
      <c r="C17913" s="7">
        <f>IFERROR(__xludf.DUMMYFUNCTION("""COMPUTED_VALUE"""),7.7292614)</f>
        <v>7.7292614</v>
      </c>
      <c r="D17913" s="7">
        <f>IFERROR(__xludf.DUMMYFUNCTION("""COMPUTED_VALUE"""),0.333333333333333)</f>
        <v>0.3333333333</v>
      </c>
    </row>
    <row r="17914">
      <c r="A17914" s="10" t="s">
        <v>19353</v>
      </c>
      <c r="B17914" s="7" t="str">
        <f>IFERROR(__xludf.DUMMYFUNCTION("SPLIT(A17914,"" "")"),"CC(C)N(C)Cc1cncc(N(C)c2cccc3nc(CF)ccc23)c1")</f>
        <v>CC(C)N(C)Cc1cncc(N(C)c2cccc3nc(CF)ccc23)c1</v>
      </c>
      <c r="C17914" s="7">
        <f>IFERROR(__xludf.DUMMYFUNCTION("""COMPUTED_VALUE"""),7.729253)</f>
        <v>7.729253</v>
      </c>
      <c r="D17914" s="7">
        <f>IFERROR(__xludf.DUMMYFUNCTION("""COMPUTED_VALUE"""),0.303030303030303)</f>
        <v>0.303030303</v>
      </c>
    </row>
    <row r="17915">
      <c r="A17915" s="10" t="s">
        <v>19354</v>
      </c>
      <c r="B17915" s="7" t="str">
        <f>IFERROR(__xludf.DUMMYFUNCTION("SPLIT(A17915,"" "")"),"CC(C)N(Cc1ccccn1)c1ccc2ccc(CF)nc2c1")</f>
        <v>CC(C)N(Cc1ccccn1)c1ccc2ccc(CF)nc2c1</v>
      </c>
      <c r="C17915" s="7">
        <f>IFERROR(__xludf.DUMMYFUNCTION("""COMPUTED_VALUE"""),7.7292323)</f>
        <v>7.7292323</v>
      </c>
      <c r="D17915" s="7">
        <f>IFERROR(__xludf.DUMMYFUNCTION("""COMPUTED_VALUE"""),0.479166666666666)</f>
        <v>0.4791666667</v>
      </c>
    </row>
    <row r="17916">
      <c r="A17916" s="10" t="s">
        <v>19355</v>
      </c>
      <c r="B17916" s="7" t="str">
        <f>IFERROR(__xludf.DUMMYFUNCTION("SPLIT(A17916,"" "")"),"Cc1cc(N(C)C)nc(CN(Cc2ccccn2)c2cc(C)c(C)c(C)c2C)c1C")</f>
        <v>Cc1cc(N(C)C)nc(CN(Cc2ccccn2)c2cc(C)c(C)c(C)c2C)c1C</v>
      </c>
      <c r="C17916" s="7">
        <f>IFERROR(__xludf.DUMMYFUNCTION("""COMPUTED_VALUE"""),7.7292295)</f>
        <v>7.7292295</v>
      </c>
      <c r="D17916" s="7">
        <f>IFERROR(__xludf.DUMMYFUNCTION("""COMPUTED_VALUE"""),0.403846153846153)</f>
        <v>0.4038461538</v>
      </c>
    </row>
    <row r="17917">
      <c r="A17917" s="10" t="s">
        <v>19356</v>
      </c>
      <c r="B17917" s="7" t="str">
        <f>IFERROR(__xludf.DUMMYFUNCTION("SPLIT(A17917,"" "")"),"CNCc1nc(-c2ccc(NCc3ccccn3)c(C)c2C)ccc1C")</f>
        <v>CNCc1nc(-c2ccc(NCc3ccccn3)c(C)c2C)ccc1C</v>
      </c>
      <c r="C17917" s="7">
        <f>IFERROR(__xludf.DUMMYFUNCTION("""COMPUTED_VALUE"""),7.7292194)</f>
        <v>7.7292194</v>
      </c>
      <c r="D17917" s="7">
        <f>IFERROR(__xludf.DUMMYFUNCTION("""COMPUTED_VALUE"""),0.34)</f>
        <v>0.34</v>
      </c>
    </row>
    <row r="17918">
      <c r="A17918" s="10" t="s">
        <v>19357</v>
      </c>
      <c r="B17918" s="7" t="str">
        <f>IFERROR(__xludf.DUMMYFUNCTION("SPLIT(A17918,"" "")"),"c1ccc(NCc2cccc(-c3cccc(C(c4ccccn4)c4ccccn4)n3)n2)cc1")</f>
        <v>c1ccc(NCc2cccc(-c3cccc(C(c4ccccn4)c4ccccn4)n3)n2)cc1</v>
      </c>
      <c r="C17918" s="7">
        <f>IFERROR(__xludf.DUMMYFUNCTION("""COMPUTED_VALUE"""),7.7292094)</f>
        <v>7.7292094</v>
      </c>
      <c r="D17918" s="7">
        <f>IFERROR(__xludf.DUMMYFUNCTION("""COMPUTED_VALUE"""),0.38)</f>
        <v>0.38</v>
      </c>
    </row>
    <row r="17919">
      <c r="A17919" s="10" t="s">
        <v>19358</v>
      </c>
      <c r="B17919" s="7" t="str">
        <f>IFERROR(__xludf.DUMMYFUNCTION("SPLIT(A17919,"" "")"),"CN(c1cccc2ncccc12)C1CCC(N(C)c2cccc3ncc(CF)cc23)CC1")</f>
        <v>CN(c1cccc2ncccc12)C1CCC(N(C)c2cccc3ncc(CF)cc23)CC1</v>
      </c>
      <c r="C17919" s="7">
        <f>IFERROR(__xludf.DUMMYFUNCTION("""COMPUTED_VALUE"""),7.7292056)</f>
        <v>7.7292056</v>
      </c>
      <c r="D17919" s="7">
        <f>IFERROR(__xludf.DUMMYFUNCTION("""COMPUTED_VALUE"""),0.333333333333333)</f>
        <v>0.3333333333</v>
      </c>
    </row>
    <row r="17920">
      <c r="A17920" s="10" t="s">
        <v>19359</v>
      </c>
      <c r="B17920" s="7" t="str">
        <f>IFERROR(__xludf.DUMMYFUNCTION("SPLIT(A17920,"" "")"),"Cc1cccc2nccc(CN(C)Cc3ncccc3N)c12")</f>
        <v>Cc1cccc2nccc(CN(C)Cc3ncccc3N)c12</v>
      </c>
      <c r="C17920" s="7">
        <f>IFERROR(__xludf.DUMMYFUNCTION("""COMPUTED_VALUE"""),7.7292023)</f>
        <v>7.7292023</v>
      </c>
      <c r="D17920" s="7">
        <f>IFERROR(__xludf.DUMMYFUNCTION("""COMPUTED_VALUE"""),0.346153846153846)</f>
        <v>0.3461538462</v>
      </c>
    </row>
    <row r="17921">
      <c r="A17921" s="10" t="s">
        <v>19360</v>
      </c>
      <c r="B17921" s="7" t="str">
        <f>IFERROR(__xludf.DUMMYFUNCTION("SPLIT(A17921,"" "")"),"Cc1cc(-c2cccc(NCc3cc(C(C)(C)c4ccccn4)ccn3)c2)ccn1")</f>
        <v>Cc1cc(-c2cccc(NCc3cc(C(C)(C)c4ccccn4)ccn3)c2)ccn1</v>
      </c>
      <c r="C17921" s="7">
        <f>IFERROR(__xludf.DUMMYFUNCTION("""COMPUTED_VALUE"""),7.729202)</f>
        <v>7.729202</v>
      </c>
      <c r="D17921" s="7">
        <f>IFERROR(__xludf.DUMMYFUNCTION("""COMPUTED_VALUE"""),0.3125)</f>
        <v>0.3125</v>
      </c>
    </row>
    <row r="17922">
      <c r="A17922" s="10" t="s">
        <v>19361</v>
      </c>
      <c r="B17922" s="7" t="str">
        <f>IFERROR(__xludf.DUMMYFUNCTION("SPLIT(A17922,"" "")"),"Cc1nc(CN(C)C2C=CNC(CN(Cc3ccccn3)c3cccc4cccnc34)=C2)c(C)c(C)c1C")</f>
        <v>Cc1nc(CN(C)C2C=CNC(CN(Cc3ccccn3)c3cccc4cccnc34)=C2)c(C)c(C)c1C</v>
      </c>
      <c r="C17922" s="7">
        <f>IFERROR(__xludf.DUMMYFUNCTION("""COMPUTED_VALUE"""),7.729199)</f>
        <v>7.729199</v>
      </c>
      <c r="D17922" s="7">
        <f>IFERROR(__xludf.DUMMYFUNCTION("""COMPUTED_VALUE"""),0.348484848484848)</f>
        <v>0.3484848485</v>
      </c>
    </row>
    <row r="17923">
      <c r="A17923" s="10" t="s">
        <v>19362</v>
      </c>
      <c r="B17923" s="7" t="str">
        <f>IFERROR(__xludf.DUMMYFUNCTION("SPLIT(A17923,"" "")"),"CCN(Cc1cc(C(C)(C)C)ccn1)c1ccc2ncccc2c1")</f>
        <v>CCN(Cc1cc(C(C)(C)C)ccn1)c1ccc2ncccc2c1</v>
      </c>
      <c r="C17923" s="7">
        <f>IFERROR(__xludf.DUMMYFUNCTION("""COMPUTED_VALUE"""),7.7291937)</f>
        <v>7.7291937</v>
      </c>
      <c r="D17923" s="7">
        <f>IFERROR(__xludf.DUMMYFUNCTION("""COMPUTED_VALUE"""),0.29090909090909)</f>
        <v>0.2909090909</v>
      </c>
    </row>
    <row r="17924">
      <c r="A17924" s="10" t="s">
        <v>19363</v>
      </c>
      <c r="B17924" s="7" t="str">
        <f>IFERROR(__xludf.DUMMYFUNCTION("SPLIT(A17924,"" "")"),"CN(CC1=CC(N(C)Cc2ccccn2)C=CN1)c1cccc2ncccc12")</f>
        <v>CN(CC1=CC(N(C)Cc2ccccn2)C=CN1)c1cccc2ncccc12</v>
      </c>
      <c r="C17924" s="7">
        <f>IFERROR(__xludf.DUMMYFUNCTION("""COMPUTED_VALUE"""),7.729193)</f>
        <v>7.729193</v>
      </c>
      <c r="D17924" s="7">
        <f>IFERROR(__xludf.DUMMYFUNCTION("""COMPUTED_VALUE"""),0.379310344827586)</f>
        <v>0.3793103448</v>
      </c>
    </row>
    <row r="17925">
      <c r="A17925" s="10" t="s">
        <v>19364</v>
      </c>
      <c r="B17925" s="7" t="str">
        <f>IFERROR(__xludf.DUMMYFUNCTION("SPLIT(A17925,"" "")"),"Cc1cccnc1CN(C)c1ccc(-c2cc(CN(C)Cc3cc(C)c(C)c(C)n3)ccn2)cc1")</f>
        <v>Cc1cccnc1CN(C)c1ccc(-c2cc(CN(C)Cc3cc(C)c(C)c(C)n3)ccn2)cc1</v>
      </c>
      <c r="C17925" s="7">
        <f>IFERROR(__xludf.DUMMYFUNCTION("""COMPUTED_VALUE"""),7.729188)</f>
        <v>7.729188</v>
      </c>
      <c r="D17925" s="7">
        <f>IFERROR(__xludf.DUMMYFUNCTION("""COMPUTED_VALUE"""),0.3125)</f>
        <v>0.3125</v>
      </c>
    </row>
    <row r="17926">
      <c r="A17926" s="10" t="s">
        <v>19365</v>
      </c>
      <c r="B17926" s="7" t="str">
        <f>IFERROR(__xludf.DUMMYFUNCTION("SPLIT(A17926,"" "")"),"Cc1ncccc1-c1ccc(NCc2ccccn2)cc1")</f>
        <v>Cc1ncccc1-c1ccc(NCc2ccccn2)cc1</v>
      </c>
      <c r="C17926" s="7">
        <f>IFERROR(__xludf.DUMMYFUNCTION("""COMPUTED_VALUE"""),7.729186)</f>
        <v>7.729186</v>
      </c>
      <c r="D17926" s="7">
        <f>IFERROR(__xludf.DUMMYFUNCTION("""COMPUTED_VALUE"""),0.431372549019607)</f>
        <v>0.431372549</v>
      </c>
    </row>
    <row r="17927">
      <c r="A17927" s="10" t="s">
        <v>19366</v>
      </c>
      <c r="B17927" s="7" t="str">
        <f>IFERROR(__xludf.DUMMYFUNCTION("SPLIT(A17927,"" "")"),"Cc1ccc(C)c(CN(C)Cc2ncccc2-c2cccc(N(C)C)c2)n1")</f>
        <v>Cc1ccc(C)c(CN(C)Cc2ncccc2-c2cccc(N(C)C)c2)n1</v>
      </c>
      <c r="C17927" s="7">
        <f>IFERROR(__xludf.DUMMYFUNCTION("""COMPUTED_VALUE"""),7.729183)</f>
        <v>7.729183</v>
      </c>
      <c r="D17927" s="7">
        <f>IFERROR(__xludf.DUMMYFUNCTION("""COMPUTED_VALUE"""),0.303571428571428)</f>
        <v>0.3035714286</v>
      </c>
    </row>
    <row r="17928">
      <c r="A17928" s="10" t="s">
        <v>19367</v>
      </c>
      <c r="B17928" s="7" t="str">
        <f>IFERROR(__xludf.DUMMYFUNCTION("SPLIT(A17928,"" "")"),"CN(C)Cc1ccc2cccc(N(Cc3ccccn3)Cc3ccccn3)c2n1")</f>
        <v>CN(C)Cc1ccc2cccc(N(Cc3ccccn3)Cc3ccccn3)c2n1</v>
      </c>
      <c r="C17928" s="7">
        <f>IFERROR(__xludf.DUMMYFUNCTION("""COMPUTED_VALUE"""),7.7291827)</f>
        <v>7.7291827</v>
      </c>
      <c r="D17928" s="7">
        <f>IFERROR(__xludf.DUMMYFUNCTION("""COMPUTED_VALUE"""),0.478260869565217)</f>
        <v>0.4782608696</v>
      </c>
    </row>
    <row r="17929">
      <c r="A17929" s="10" t="s">
        <v>19368</v>
      </c>
      <c r="B17929" s="7" t="str">
        <f>IFERROR(__xludf.DUMMYFUNCTION("SPLIT(A17929,"" "")"),"Cc1cccnc1CN(C)Cc1ccc2cc(N(C)Cc3ccccn3)ccc2n1")</f>
        <v>Cc1cccnc1CN(C)Cc1ccc2cc(N(C)Cc3ccccn3)ccc2n1</v>
      </c>
      <c r="C17929" s="7">
        <f>IFERROR(__xludf.DUMMYFUNCTION("""COMPUTED_VALUE"""),7.729175)</f>
        <v>7.729175</v>
      </c>
      <c r="D17929" s="7">
        <f>IFERROR(__xludf.DUMMYFUNCTION("""COMPUTED_VALUE"""),0.452830188679245)</f>
        <v>0.4528301887</v>
      </c>
    </row>
    <row r="17930">
      <c r="A17930" s="10" t="s">
        <v>19369</v>
      </c>
      <c r="B17930" s="7" t="str">
        <f>IFERROR(__xludf.DUMMYFUNCTION("SPLIT(A17930,"" "")"),"CCN(Cc1ccccn1)c1ccc2cccnc2c1-c1cnccc1CN(Cc1ccccn1)Cc1ccccn1")</f>
        <v>CCN(Cc1ccccn1)c1ccc2cccnc2c1-c1cnccc1CN(Cc1ccccn1)Cc1ccccn1</v>
      </c>
      <c r="C17930" s="7">
        <f>IFERROR(__xludf.DUMMYFUNCTION("""COMPUTED_VALUE"""),7.7291503)</f>
        <v>7.7291503</v>
      </c>
      <c r="D17930" s="7">
        <f>IFERROR(__xludf.DUMMYFUNCTION("""COMPUTED_VALUE"""),0.396551724137931)</f>
        <v>0.3965517241</v>
      </c>
    </row>
    <row r="17931">
      <c r="A17931" s="10" t="s">
        <v>19370</v>
      </c>
      <c r="B17931" s="7" t="str">
        <f>IFERROR(__xludf.DUMMYFUNCTION("SPLIT(A17931,"" "")"),"Cc1nc(CN(C)Cc2ccc3ccc(N(Cc4ccccn4)C(C)C)cc3n2)c(C)c(C)c1C")</f>
        <v>Cc1nc(CN(C)Cc2ccc3ccc(N(Cc4ccccn4)C(C)C)cc3n2)c(C)c(C)c1C</v>
      </c>
      <c r="C17931" s="7">
        <f>IFERROR(__xludf.DUMMYFUNCTION("""COMPUTED_VALUE"""),7.7291493)</f>
        <v>7.7291493</v>
      </c>
      <c r="D17931" s="7">
        <f>IFERROR(__xludf.DUMMYFUNCTION("""COMPUTED_VALUE"""),0.413793103448275)</f>
        <v>0.4137931034</v>
      </c>
    </row>
    <row r="17932">
      <c r="A17932" s="10" t="s">
        <v>19371</v>
      </c>
      <c r="B17932" s="7" t="str">
        <f>IFERROR(__xludf.DUMMYFUNCTION("SPLIT(A17932,"" "")"),"CN(Cc1ccccn1)Cc1cccc(N(C)Cc2cc(-c3c(N)cccc3Cl)ccn2)n1")</f>
        <v>CN(Cc1ccccn1)Cc1cccc(N(C)Cc2cc(-c3c(N)cccc3Cl)ccn2)n1</v>
      </c>
      <c r="C17932" s="7">
        <f>IFERROR(__xludf.DUMMYFUNCTION("""COMPUTED_VALUE"""),7.7291493)</f>
        <v>7.7291493</v>
      </c>
      <c r="D17932" s="7">
        <f>IFERROR(__xludf.DUMMYFUNCTION("""COMPUTED_VALUE"""),0.462962962962962)</f>
        <v>0.462962963</v>
      </c>
    </row>
    <row r="17933">
      <c r="A17933" s="10" t="s">
        <v>19372</v>
      </c>
      <c r="B17933" s="7" t="str">
        <f>IFERROR(__xludf.DUMMYFUNCTION("SPLIT(A17933,"" "")"),"C1=CC(c2ccc(-c3cccc(NCc4ccccn4)c3)cn2)C=CN1")</f>
        <v>C1=CC(c2ccc(-c3cccc(NCc4ccccn4)c3)cn2)C=CN1</v>
      </c>
      <c r="C17933" s="7">
        <f>IFERROR(__xludf.DUMMYFUNCTION("""COMPUTED_VALUE"""),7.7291455)</f>
        <v>7.7291455</v>
      </c>
      <c r="D17933" s="7">
        <f>IFERROR(__xludf.DUMMYFUNCTION("""COMPUTED_VALUE"""),0.349206349206349)</f>
        <v>0.3492063492</v>
      </c>
    </row>
    <row r="17934">
      <c r="A17934" s="10" t="s">
        <v>19373</v>
      </c>
      <c r="B17934" s="7" t="str">
        <f>IFERROR(__xludf.DUMMYFUNCTION("SPLIT(A17934,"" "")"),"CN(C)Cc1ccnc2cc(N(C)C3CCC(N(C)c4ccc5ncccc5c4)CC3)ccc12")</f>
        <v>CN(C)Cc1ccnc2cc(N(C)C3CCC(N(C)c4ccc5ncccc5c4)CC3)ccc12</v>
      </c>
      <c r="C17934" s="7">
        <f>IFERROR(__xludf.DUMMYFUNCTION("""COMPUTED_VALUE"""),7.729145)</f>
        <v>7.729145</v>
      </c>
      <c r="D17934" s="7">
        <f>IFERROR(__xludf.DUMMYFUNCTION("""COMPUTED_VALUE"""),0.310344827586206)</f>
        <v>0.3103448276</v>
      </c>
    </row>
    <row r="17935">
      <c r="A17935" s="10" t="s">
        <v>19374</v>
      </c>
      <c r="B17935" s="7" t="str">
        <f>IFERROR(__xludf.DUMMYFUNCTION("SPLIT(A17935,"" "")"),"CC(C)N(Cc1ccccn1)Cc1ncccc1N(C)c1ccc2ncccc2c1")</f>
        <v>CC(C)N(Cc1ccccn1)Cc1ncccc1N(C)c1ccc2ncccc2c1</v>
      </c>
      <c r="C17935" s="7">
        <f>IFERROR(__xludf.DUMMYFUNCTION("""COMPUTED_VALUE"""),7.7291446)</f>
        <v>7.7291446</v>
      </c>
      <c r="D17935" s="7">
        <f>IFERROR(__xludf.DUMMYFUNCTION("""COMPUTED_VALUE"""),0.489795918367346)</f>
        <v>0.4897959184</v>
      </c>
    </row>
    <row r="17936">
      <c r="A17936" s="10" t="s">
        <v>19375</v>
      </c>
      <c r="B17936" s="7" t="str">
        <f>IFERROR(__xludf.DUMMYFUNCTION("SPLIT(A17936,"" "")"),"CN(Cc1ccccn1)Cc1ccc(N(C)Cc2ncccc2-c2cc(Cl)ccc2N)cn1")</f>
        <v>CN(Cc1ccccn1)Cc1ccc(N(C)Cc2ncccc2-c2cc(Cl)ccc2N)cn1</v>
      </c>
      <c r="C17936" s="7">
        <f>IFERROR(__xludf.DUMMYFUNCTION("""COMPUTED_VALUE"""),7.7291355)</f>
        <v>7.7291355</v>
      </c>
      <c r="D17936" s="7">
        <f>IFERROR(__xludf.DUMMYFUNCTION("""COMPUTED_VALUE"""),0.396551724137931)</f>
        <v>0.3965517241</v>
      </c>
    </row>
    <row r="17937">
      <c r="A17937" s="10" t="s">
        <v>19376</v>
      </c>
      <c r="B17937" s="7" t="str">
        <f>IFERROR(__xludf.DUMMYFUNCTION("SPLIT(A17937,"" "")"),"CN(c1ccc2ncccc2c1)C1CCC(N(C)c2ccc3c(CF)ccnc3c2)CC1")</f>
        <v>CN(c1ccc2ncccc2c1)C1CCC(N(C)c2ccc3c(CF)ccnc3c2)CC1</v>
      </c>
      <c r="C17937" s="7">
        <f>IFERROR(__xludf.DUMMYFUNCTION("""COMPUTED_VALUE"""),7.72913)</f>
        <v>7.72913</v>
      </c>
      <c r="D17937" s="7">
        <f>IFERROR(__xludf.DUMMYFUNCTION("""COMPUTED_VALUE"""),0.310344827586206)</f>
        <v>0.3103448276</v>
      </c>
    </row>
    <row r="17938">
      <c r="A17938" s="10" t="s">
        <v>19377</v>
      </c>
      <c r="B17938" s="7" t="str">
        <f>IFERROR(__xludf.DUMMYFUNCTION("SPLIT(A17938,"" "")"),"Cc1cnc(CN(C)c2ccccc2-c2cc(CN(Cc3ccccn3)Cc3ccc(C(C)(c4ccccn4)c4ccccn4)cn3)ccn2)c(C)c1")</f>
        <v>Cc1cnc(CN(C)c2ccccc2-c2cc(CN(Cc3ccccn3)Cc3ccc(C(C)(c4ccccn4)c4ccccn4)cn3)ccn2)c(C)c1</v>
      </c>
      <c r="C17938" s="7">
        <f>IFERROR(__xludf.DUMMYFUNCTION("""COMPUTED_VALUE"""),7.729128)</f>
        <v>7.729128</v>
      </c>
      <c r="D17938" s="7">
        <f>IFERROR(__xludf.DUMMYFUNCTION("""COMPUTED_VALUE"""),0.328571428571428)</f>
        <v>0.3285714286</v>
      </c>
    </row>
    <row r="17939">
      <c r="A17939" s="10" t="s">
        <v>19378</v>
      </c>
      <c r="B17939" s="7" t="str">
        <f>IFERROR(__xludf.DUMMYFUNCTION("SPLIT(A17939,"" "")"),"CN(c1ccc2nc3c(cc2c1)CCC3)C1CCCC(N(C)c2cccc3ncc4c(c23)CCC4)C1")</f>
        <v>CN(c1ccc2nc3c(cc2c1)CCC3)C1CCCC(N(C)c2cccc3ncc4c(c23)CCC4)C1</v>
      </c>
      <c r="C17939" s="7">
        <f>IFERROR(__xludf.DUMMYFUNCTION("""COMPUTED_VALUE"""),7.7291083)</f>
        <v>7.7291083</v>
      </c>
      <c r="D17939" s="7">
        <f>IFERROR(__xludf.DUMMYFUNCTION("""COMPUTED_VALUE"""),0.402985074626865)</f>
        <v>0.4029850746</v>
      </c>
    </row>
    <row r="17940">
      <c r="A17940" s="10" t="s">
        <v>19379</v>
      </c>
      <c r="B17940" s="7" t="str">
        <f>IFERROR(__xludf.DUMMYFUNCTION("SPLIT(A17940,"" "")"),"CN(Cc1ccccn1)Cc1ccc2ccc(N(Cc3ccccn3)C3=CC=CNC3)cc2n1")</f>
        <v>CN(Cc1ccccn1)Cc1ccc2ccc(N(Cc3ccccn3)C3=CC=CNC3)cc2n1</v>
      </c>
      <c r="C17940" s="7">
        <f>IFERROR(__xludf.DUMMYFUNCTION("""COMPUTED_VALUE"""),7.729107)</f>
        <v>7.729107</v>
      </c>
      <c r="D17940" s="7">
        <f>IFERROR(__xludf.DUMMYFUNCTION("""COMPUTED_VALUE"""),0.421052631578947)</f>
        <v>0.4210526316</v>
      </c>
    </row>
    <row r="17941">
      <c r="A17941" s="10" t="s">
        <v>19380</v>
      </c>
      <c r="B17941" s="7" t="str">
        <f>IFERROR(__xludf.DUMMYFUNCTION("SPLIT(A17941,"" "")"),"Cc1ccc(CN(C)CC2=CC(N(C)c3cccc4ncccc34)C=CN2)nc1C")</f>
        <v>Cc1ccc(CN(C)CC2=CC(N(C)c3cccc4ncccc34)C=CN2)nc1C</v>
      </c>
      <c r="C17941" s="7">
        <f>IFERROR(__xludf.DUMMYFUNCTION("""COMPUTED_VALUE"""),7.729098)</f>
        <v>7.729098</v>
      </c>
      <c r="D17941" s="7">
        <f>IFERROR(__xludf.DUMMYFUNCTION("""COMPUTED_VALUE"""),0.304347826086956)</f>
        <v>0.3043478261</v>
      </c>
    </row>
    <row r="17942">
      <c r="A17942" s="10" t="s">
        <v>19381</v>
      </c>
      <c r="B17942" s="7" t="str">
        <f>IFERROR(__xludf.DUMMYFUNCTION("SPLIT(A17942,"" "")"),"Cc1cccnc1CN(C)c1ccc2nc(CN(C)Cc3ccccn3)ccc2c1")</f>
        <v>Cc1cccnc1CN(C)c1ccc2nc(CN(C)Cc3ccccn3)ccc2c1</v>
      </c>
      <c r="C17942" s="7">
        <f>IFERROR(__xludf.DUMMYFUNCTION("""COMPUTED_VALUE"""),7.729092)</f>
        <v>7.729092</v>
      </c>
      <c r="D17942" s="7">
        <f>IFERROR(__xludf.DUMMYFUNCTION("""COMPUTED_VALUE"""),0.461538461538461)</f>
        <v>0.4615384615</v>
      </c>
    </row>
    <row r="17943">
      <c r="A17943" s="10" t="s">
        <v>19382</v>
      </c>
      <c r="B17943" s="7" t="str">
        <f>IFERROR(__xludf.DUMMYFUNCTION("SPLIT(A17943,"" "")"),"Cc1ccc(CN(C)C2C=CNC(CN(C)c3ccc4ncccc4c3)=C2)nc1")</f>
        <v>Cc1ccc(CN(C)C2C=CNC(CN(C)c3ccc4ncccc4c3)=C2)nc1</v>
      </c>
      <c r="C17943" s="7">
        <f>IFERROR(__xludf.DUMMYFUNCTION("""COMPUTED_VALUE"""),7.7290792)</f>
        <v>7.7290792</v>
      </c>
      <c r="D17943" s="7">
        <f>IFERROR(__xludf.DUMMYFUNCTION("""COMPUTED_VALUE"""),0.365079365079365)</f>
        <v>0.3650793651</v>
      </c>
    </row>
    <row r="17944">
      <c r="A17944" s="10" t="s">
        <v>19383</v>
      </c>
      <c r="B17944" s="7" t="str">
        <f>IFERROR(__xludf.DUMMYFUNCTION("SPLIT(A17944,"" "")"),"CN(Cc1ccccn1)Cc1cc(N(C)Cc2ncccc2-c2cc(Cl)ccc2N)ccn1")</f>
        <v>CN(Cc1ccccn1)Cc1cc(N(C)Cc2ncccc2-c2cc(Cl)ccc2N)ccn1</v>
      </c>
      <c r="C17944" s="7">
        <f>IFERROR(__xludf.DUMMYFUNCTION("""COMPUTED_VALUE"""),7.729073)</f>
        <v>7.729073</v>
      </c>
      <c r="D17944" s="7">
        <f>IFERROR(__xludf.DUMMYFUNCTION("""COMPUTED_VALUE"""),0.403508771929824)</f>
        <v>0.4035087719</v>
      </c>
    </row>
    <row r="17945">
      <c r="A17945" s="10" t="s">
        <v>19384</v>
      </c>
      <c r="B17945" s="7" t="str">
        <f>IFERROR(__xludf.DUMMYFUNCTION("SPLIT(A17945,"" "")"),"CNCc1cc(-c2ccccc2N(C)C)ccn1")</f>
        <v>CNCc1cc(-c2ccccc2N(C)C)ccn1</v>
      </c>
      <c r="C17945" s="7">
        <f>IFERROR(__xludf.DUMMYFUNCTION("""COMPUTED_VALUE"""),7.729072)</f>
        <v>7.729072</v>
      </c>
      <c r="D17945" s="7">
        <f>IFERROR(__xludf.DUMMYFUNCTION("""COMPUTED_VALUE"""),0.333333333333333)</f>
        <v>0.3333333333</v>
      </c>
    </row>
    <row r="17946">
      <c r="A17946" s="10" t="s">
        <v>19385</v>
      </c>
      <c r="B17946" s="7" t="str">
        <f>IFERROR(__xludf.DUMMYFUNCTION("SPLIT(A17946,"" "")"),"CN(c1cccc2ncc3c(c12)CCC3)C1CCCCC1N(C)c1cccc2ncc3c(c12)CCC3")</f>
        <v>CN(c1cccc2ncc3c(c12)CCC3)C1CCCCC1N(C)c1cccc2ncc3c(c12)CCC3</v>
      </c>
      <c r="C17946" s="7">
        <f>IFERROR(__xludf.DUMMYFUNCTION("""COMPUTED_VALUE"""),7.7290683)</f>
        <v>7.7290683</v>
      </c>
      <c r="D17946" s="7">
        <f>IFERROR(__xludf.DUMMYFUNCTION("""COMPUTED_VALUE"""),0.48076923076923)</f>
        <v>0.4807692308</v>
      </c>
    </row>
    <row r="17947">
      <c r="A17947" s="10" t="s">
        <v>19386</v>
      </c>
      <c r="B17947" s="7" t="str">
        <f>IFERROR(__xludf.DUMMYFUNCTION("SPLIT(A17947,"" "")"),"CN(c1ccc2cccnc2c1)C1CCC(N(C)c2ccc3nccc(CF)c3c2)CC1")</f>
        <v>CN(c1ccc2cccnc2c1)C1CCC(N(C)c2ccc3nccc(CF)c3c2)CC1</v>
      </c>
      <c r="C17947" s="7">
        <f>IFERROR(__xludf.DUMMYFUNCTION("""COMPUTED_VALUE"""),7.729067)</f>
        <v>7.729067</v>
      </c>
      <c r="D17947" s="7">
        <f>IFERROR(__xludf.DUMMYFUNCTION("""COMPUTED_VALUE"""),0.3)</f>
        <v>0.3</v>
      </c>
    </row>
    <row r="17948">
      <c r="A17948" s="10" t="s">
        <v>19387</v>
      </c>
      <c r="B17948" s="7" t="str">
        <f>IFERROR(__xludf.DUMMYFUNCTION("SPLIT(A17948,"" "")"),"CC(C)N(C)C1=C(CN(C)c2ccc3cccnc3c2)NC=CC1")</f>
        <v>CC(C)N(C)C1=C(CN(C)c2ccc3cccnc3c2)NC=CC1</v>
      </c>
      <c r="C17948" s="7">
        <f>IFERROR(__xludf.DUMMYFUNCTION("""COMPUTED_VALUE"""),7.729065)</f>
        <v>7.729065</v>
      </c>
      <c r="D17948" s="7">
        <f>IFERROR(__xludf.DUMMYFUNCTION("""COMPUTED_VALUE"""),0.305084745762711)</f>
        <v>0.3050847458</v>
      </c>
    </row>
    <row r="17949">
      <c r="A17949" s="10" t="s">
        <v>19388</v>
      </c>
      <c r="B17949" s="7" t="str">
        <f>IFERROR(__xludf.DUMMYFUNCTION("SPLIT(A17949,"" "")"),"CN(C)c1ccc(-c2cccc(CN(C)c3cccc(-c4cc(CN(Cc5ccccn5)C5CCC(N(C)c6ccc7cc(CF)cnc7c6)CC5)ccn4)c3)n2)cc1")</f>
        <v>CN(C)c1ccc(-c2cccc(CN(C)c3cccc(-c4cc(CN(Cc5ccccn5)C5CCC(N(C)c6ccc7cc(CF)cnc7c6)CC5)ccn4)c3)n2)cc1</v>
      </c>
      <c r="C17949" s="7">
        <f>IFERROR(__xludf.DUMMYFUNCTION("""COMPUTED_VALUE"""),7.7290635)</f>
        <v>7.7290635</v>
      </c>
      <c r="D17949" s="7">
        <f>IFERROR(__xludf.DUMMYFUNCTION("""COMPUTED_VALUE"""),0.333333333333333)</f>
        <v>0.3333333333</v>
      </c>
    </row>
    <row r="17950">
      <c r="A17950" s="10" t="s">
        <v>19389</v>
      </c>
      <c r="B17950" s="7" t="str">
        <f>IFERROR(__xludf.DUMMYFUNCTION("SPLIT(A17950,"" "")"),"CN(Cc1cccc(-c2ccccc2N=Cc2ccccn2)n1)C1C=CC=CN1")</f>
        <v>CN(Cc1cccc(-c2ccccc2N=Cc2ccccn2)n1)C1C=CC=CN1</v>
      </c>
      <c r="C17950" s="7">
        <f>IFERROR(__xludf.DUMMYFUNCTION("""COMPUTED_VALUE"""),7.7290606)</f>
        <v>7.7290606</v>
      </c>
      <c r="D17950" s="7">
        <f>IFERROR(__xludf.DUMMYFUNCTION("""COMPUTED_VALUE"""),0.387096774193548)</f>
        <v>0.3870967742</v>
      </c>
    </row>
    <row r="17951">
      <c r="A17951" s="10" t="s">
        <v>19390</v>
      </c>
      <c r="B17951" s="7" t="str">
        <f>IFERROR(__xludf.DUMMYFUNCTION("SPLIT(A17951,"" "")"),"CCN(CCN(C)Cc1ccc2ncccc2c1)c1ccc2ncccc2c1")</f>
        <v>CCN(CCN(C)Cc1ccc2ncccc2c1)c1ccc2ncccc2c1</v>
      </c>
      <c r="C17951" s="7">
        <f>IFERROR(__xludf.DUMMYFUNCTION("""COMPUTED_VALUE"""),7.729056)</f>
        <v>7.729056</v>
      </c>
      <c r="D17951" s="7">
        <f>IFERROR(__xludf.DUMMYFUNCTION("""COMPUTED_VALUE"""),0.408163265306122)</f>
        <v>0.4081632653</v>
      </c>
    </row>
    <row r="17952">
      <c r="A17952" s="10" t="s">
        <v>19391</v>
      </c>
      <c r="B17952" s="7" t="str">
        <f>IFERROR(__xludf.DUMMYFUNCTION("SPLIT(A17952,"" "")"),"CN(C)CCN(C)c1ccc2cc(CN(C)C)cnc2c1")</f>
        <v>CN(C)CCN(C)c1ccc2cc(CN(C)C)cnc2c1</v>
      </c>
      <c r="C17952" s="7">
        <f>IFERROR(__xludf.DUMMYFUNCTION("""COMPUTED_VALUE"""),7.7290435)</f>
        <v>7.7290435</v>
      </c>
      <c r="D17952" s="7">
        <f>IFERROR(__xludf.DUMMYFUNCTION("""COMPUTED_VALUE"""),0.297872340425531)</f>
        <v>0.2978723404</v>
      </c>
    </row>
    <row r="17953">
      <c r="A17953" s="10" t="s">
        <v>19392</v>
      </c>
      <c r="B17953" s="7" t="str">
        <f>IFERROR(__xludf.DUMMYFUNCTION("SPLIT(A17953,"" "")"),"CN(Cc1ccccn1)c1ccc2c(CN(C)C(C)(C)c3ccccn3)ccnc2c1")</f>
        <v>CN(Cc1ccccn1)c1ccc2c(CN(C)C(C)(C)c3ccccn3)ccnc2c1</v>
      </c>
      <c r="C17953" s="7">
        <f>IFERROR(__xludf.DUMMYFUNCTION("""COMPUTED_VALUE"""),7.7290387)</f>
        <v>7.7290387</v>
      </c>
      <c r="D17953" s="7">
        <f>IFERROR(__xludf.DUMMYFUNCTION("""COMPUTED_VALUE"""),0.433962264150943)</f>
        <v>0.4339622642</v>
      </c>
    </row>
    <row r="17954">
      <c r="A17954" s="10" t="s">
        <v>19393</v>
      </c>
      <c r="B17954" s="7" t="str">
        <f>IFERROR(__xludf.DUMMYFUNCTION("SPLIT(A17954,"" "")"),"Cc1cnc(C)c(C)c1CN(C)CCN(C)c1cccc2c(C)ccnc12")</f>
        <v>Cc1cnc(C)c(C)c1CN(C)CCN(C)c1cccc2c(C)ccnc12</v>
      </c>
      <c r="C17954" s="7">
        <f>IFERROR(__xludf.DUMMYFUNCTION("""COMPUTED_VALUE"""),7.7290297)</f>
        <v>7.7290297</v>
      </c>
      <c r="D17954" s="7">
        <f>IFERROR(__xludf.DUMMYFUNCTION("""COMPUTED_VALUE"""),0.411764705882352)</f>
        <v>0.4117647059</v>
      </c>
    </row>
    <row r="17955">
      <c r="A17955" s="10" t="s">
        <v>19394</v>
      </c>
      <c r="B17955" s="7" t="str">
        <f>IFERROR(__xludf.DUMMYFUNCTION("SPLIT(A17955,"" "")"),"Cc1cccnc1CN(C)C1C=CNC(CN(C)c2ccc3nccc(CF)c3c2)=C1")</f>
        <v>Cc1cccnc1CN(C)C1C=CNC(CN(C)c2ccc3nccc(CF)c3c2)=C1</v>
      </c>
      <c r="C17955" s="7">
        <f>IFERROR(__xludf.DUMMYFUNCTION("""COMPUTED_VALUE"""),7.729028)</f>
        <v>7.729028</v>
      </c>
      <c r="D17955" s="7">
        <f>IFERROR(__xludf.DUMMYFUNCTION("""COMPUTED_VALUE"""),0.24)</f>
        <v>0.24</v>
      </c>
    </row>
    <row r="17956">
      <c r="A17956" s="10" t="s">
        <v>19395</v>
      </c>
      <c r="B17956" s="7" t="str">
        <f>IFERROR(__xludf.DUMMYFUNCTION("SPLIT(A17956,"" "")"),"Cc1ccc(CN(C)C2C=CNC(CN(C)c3ccc4cccnc4c3)=C2)nc1")</f>
        <v>Cc1ccc(CN(C)C2C=CNC(CN(C)c3ccc4cccnc4c3)=C2)nc1</v>
      </c>
      <c r="C17956" s="7">
        <f>IFERROR(__xludf.DUMMYFUNCTION("""COMPUTED_VALUE"""),7.7290134)</f>
        <v>7.7290134</v>
      </c>
      <c r="D17956" s="7">
        <f>IFERROR(__xludf.DUMMYFUNCTION("""COMPUTED_VALUE"""),0.359375)</f>
        <v>0.359375</v>
      </c>
    </row>
    <row r="17957">
      <c r="A17957" s="10" t="s">
        <v>19396</v>
      </c>
      <c r="B17957" s="7" t="str">
        <f>IFERROR(__xludf.DUMMYFUNCTION("SPLIT(A17957,"" "")"),"Cc1cccc(CN(C)c2ccc(-c3cccc(CN(Cc4ccccn4)Cc4ccc(-c5cccc(NCc6ccccn6)c5)cn4)n3)cc2F)n1")</f>
        <v>Cc1cccc(CN(C)c2ccc(-c3cccc(CN(Cc4ccccn4)Cc4ccc(-c5cccc(NCc6ccccn6)c5)cn4)n3)cc2F)n1</v>
      </c>
      <c r="C17957" s="7">
        <f>IFERROR(__xludf.DUMMYFUNCTION("""COMPUTED_VALUE"""),7.7290096)</f>
        <v>7.7290096</v>
      </c>
      <c r="D17957" s="7">
        <f>IFERROR(__xludf.DUMMYFUNCTION("""COMPUTED_VALUE"""),0.432432432432432)</f>
        <v>0.4324324324</v>
      </c>
    </row>
    <row r="17958">
      <c r="A17958" s="10" t="s">
        <v>19397</v>
      </c>
      <c r="B17958" s="7" t="str">
        <f>IFERROR(__xludf.DUMMYFUNCTION("SPLIT(A17958,"" "")"),"CN(C)c1cccc(-c2cccc(CN(Cc3ccccn3)c3ccccc3F)n2)c1")</f>
        <v>CN(C)c1cccc(-c2cccc(CN(Cc3ccccn3)c3ccccc3F)n2)c1</v>
      </c>
      <c r="C17958" s="7">
        <f>IFERROR(__xludf.DUMMYFUNCTION("""COMPUTED_VALUE"""),7.729008)</f>
        <v>7.729008</v>
      </c>
      <c r="D17958" s="7">
        <f>IFERROR(__xludf.DUMMYFUNCTION("""COMPUTED_VALUE"""),0.5)</f>
        <v>0.5</v>
      </c>
    </row>
    <row r="17959">
      <c r="A17959" s="10" t="s">
        <v>19398</v>
      </c>
      <c r="B17959" s="7" t="str">
        <f>IFERROR(__xludf.DUMMYFUNCTION("SPLIT(A17959,"" "")"),"CC(C)(C)c1ccnc2c(N(CF)Cc3ccccn3)cccc12")</f>
        <v>CC(C)(C)c1ccnc2c(N(CF)Cc3ccccn3)cccc12</v>
      </c>
      <c r="C17959" s="7">
        <f>IFERROR(__xludf.DUMMYFUNCTION("""COMPUTED_VALUE"""),7.7290044)</f>
        <v>7.7290044</v>
      </c>
      <c r="D17959" s="7">
        <f>IFERROR(__xludf.DUMMYFUNCTION("""COMPUTED_VALUE"""),0.384615384615384)</f>
        <v>0.3846153846</v>
      </c>
    </row>
    <row r="17960">
      <c r="A17960" s="10" t="s">
        <v>19399</v>
      </c>
      <c r="B17960" s="7" t="str">
        <f>IFERROR(__xludf.DUMMYFUNCTION("SPLIT(A17960,"" "")"),"Cc1cc(C)c(CN(C)CC2=CC(N(C)c3ccc4nc(C)ccc4c3)C=CN2)cn1")</f>
        <v>Cc1cc(C)c(CN(C)CC2=CC(N(C)c3ccc4nc(C)ccc4c3)C=CN2)cn1</v>
      </c>
      <c r="C17960" s="7">
        <f>IFERROR(__xludf.DUMMYFUNCTION("""COMPUTED_VALUE"""),7.7290025)</f>
        <v>7.7290025</v>
      </c>
      <c r="D17960" s="7">
        <f>IFERROR(__xludf.DUMMYFUNCTION("""COMPUTED_VALUE"""),0.294117647058823)</f>
        <v>0.2941176471</v>
      </c>
    </row>
    <row r="17961">
      <c r="A17961" s="10" t="s">
        <v>19400</v>
      </c>
      <c r="B17961" s="7" t="str">
        <f>IFERROR(__xludf.DUMMYFUNCTION("SPLIT(A17961,"" "")"),"CC(C)C(C)N(Cc1ccccn1)Cc1ncccc1-c1ccccc1N(C)c1cccc2ncccc12")</f>
        <v>CC(C)C(C)N(Cc1ccccn1)Cc1ncccc1-c1ccccc1N(C)c1cccc2ncccc12</v>
      </c>
      <c r="C17961" s="7">
        <f>IFERROR(__xludf.DUMMYFUNCTION("""COMPUTED_VALUE"""),7.728997)</f>
        <v>7.728997</v>
      </c>
      <c r="D17961" s="7">
        <f>IFERROR(__xludf.DUMMYFUNCTION("""COMPUTED_VALUE"""),0.4)</f>
        <v>0.4</v>
      </c>
    </row>
    <row r="17962">
      <c r="A17962" s="10" t="s">
        <v>19401</v>
      </c>
      <c r="B17962" s="7" t="str">
        <f>IFERROR(__xludf.DUMMYFUNCTION("SPLIT(A17962,"" "")"),"Cc1cc(C)c(CN(C)Cc2ccc3cccc(C)c3n2)c(C)n1")</f>
        <v>Cc1cc(C)c(CN(C)Cc2ccc3cccc(C)c3n2)c(C)n1</v>
      </c>
      <c r="C17962" s="7">
        <f>IFERROR(__xludf.DUMMYFUNCTION("""COMPUTED_VALUE"""),7.7289968)</f>
        <v>7.7289968</v>
      </c>
      <c r="D17962" s="7">
        <f>IFERROR(__xludf.DUMMYFUNCTION("""COMPUTED_VALUE"""),0.391304347826087)</f>
        <v>0.3913043478</v>
      </c>
    </row>
    <row r="17963">
      <c r="A17963" s="10" t="s">
        <v>19402</v>
      </c>
      <c r="B17963" s="7" t="str">
        <f>IFERROR(__xludf.DUMMYFUNCTION("SPLIT(A17963,"" "")"),"Cc1cccnc1CN(C)Cc1ccnc2cccc(C)c12")</f>
        <v>Cc1cccnc1CN(C)Cc1ccnc2cccc(C)c12</v>
      </c>
      <c r="C17963" s="7">
        <f>IFERROR(__xludf.DUMMYFUNCTION("""COMPUTED_VALUE"""),7.728989)</f>
        <v>7.728989</v>
      </c>
      <c r="D17963" s="7">
        <f>IFERROR(__xludf.DUMMYFUNCTION("""COMPUTED_VALUE"""),0.375)</f>
        <v>0.375</v>
      </c>
    </row>
    <row r="17964">
      <c r="A17964" s="10" t="s">
        <v>19403</v>
      </c>
      <c r="B17964" s="7" t="str">
        <f>IFERROR(__xludf.DUMMYFUNCTION("SPLIT(A17964,"" "")"),"Cc1cccc(-c2cccc(NCc3ccc(C(C)(C)c4ccccn4)cn3)c2)n1")</f>
        <v>Cc1cccc(-c2cccc(NCc3ccc(C(C)(C)c4ccccn4)cn3)c2)n1</v>
      </c>
      <c r="C17964" s="7">
        <f>IFERROR(__xludf.DUMMYFUNCTION("""COMPUTED_VALUE"""),7.728986)</f>
        <v>7.728986</v>
      </c>
      <c r="D17964" s="7">
        <f>IFERROR(__xludf.DUMMYFUNCTION("""COMPUTED_VALUE"""),0.348484848484848)</f>
        <v>0.3484848485</v>
      </c>
    </row>
    <row r="17965">
      <c r="A17965" s="10" t="s">
        <v>19404</v>
      </c>
      <c r="B17965" s="7" t="str">
        <f>IFERROR(__xludf.DUMMYFUNCTION("SPLIT(A17965,"" "")"),"CN(C)CC1=CC(N(C)c2cccc3ncc(CF)cc23)C=CN1")</f>
        <v>CN(C)CC1=CC(N(C)c2cccc3ncc(CF)cc23)C=CN1</v>
      </c>
      <c r="C17965" s="7">
        <f>IFERROR(__xludf.DUMMYFUNCTION("""COMPUTED_VALUE"""),7.7289786)</f>
        <v>7.7289786</v>
      </c>
      <c r="D17965" s="7">
        <f>IFERROR(__xludf.DUMMYFUNCTION("""COMPUTED_VALUE"""),0.3125)</f>
        <v>0.3125</v>
      </c>
    </row>
    <row r="17966">
      <c r="A17966" s="10" t="s">
        <v>19405</v>
      </c>
      <c r="B17966" s="7" t="str">
        <f>IFERROR(__xludf.DUMMYFUNCTION("SPLIT(A17966,"" "")"),"CN(Cc1ccc2c(n1)CCC2)Cc1nc2ccccc2o1")</f>
        <v>CN(Cc1ccc2c(n1)CCC2)Cc1nc2ccccc2o1</v>
      </c>
      <c r="C17966" s="7">
        <f>IFERROR(__xludf.DUMMYFUNCTION("""COMPUTED_VALUE"""),7.728969)</f>
        <v>7.728969</v>
      </c>
      <c r="D17966" s="7">
        <f>IFERROR(__xludf.DUMMYFUNCTION("""COMPUTED_VALUE"""),0.303571428571428)</f>
        <v>0.3035714286</v>
      </c>
    </row>
    <row r="17967">
      <c r="A17967" s="10" t="s">
        <v>19406</v>
      </c>
      <c r="B17967" s="7" t="str">
        <f>IFERROR(__xludf.DUMMYFUNCTION("SPLIT(A17967,"" "")"),"Cc1cnccc1-c1ccc(NCc2ccccn2)cc1")</f>
        <v>Cc1cnccc1-c1ccc(NCc2ccccn2)cc1</v>
      </c>
      <c r="C17967" s="7">
        <f>IFERROR(__xludf.DUMMYFUNCTION("""COMPUTED_VALUE"""),7.7289667)</f>
        <v>7.7289667</v>
      </c>
      <c r="D17967" s="7">
        <f>IFERROR(__xludf.DUMMYFUNCTION("""COMPUTED_VALUE"""),0.407407407407407)</f>
        <v>0.4074074074</v>
      </c>
    </row>
    <row r="17968">
      <c r="A17968" s="10" t="s">
        <v>19407</v>
      </c>
      <c r="B17968" s="7" t="str">
        <f>IFERROR(__xludf.DUMMYFUNCTION("SPLIT(A17968,"" "")"),"CNCc1cc(CN(C)c2ccc3nc(CF)ccc3c2)ccn1")</f>
        <v>CNCc1cc(CN(C)c2ccc3nc(CF)ccc3c2)ccn1</v>
      </c>
      <c r="C17968" s="7">
        <f>IFERROR(__xludf.DUMMYFUNCTION("""COMPUTED_VALUE"""),7.728959)</f>
        <v>7.728959</v>
      </c>
      <c r="D17968" s="7">
        <f>IFERROR(__xludf.DUMMYFUNCTION("""COMPUTED_VALUE"""),0.298245614035087)</f>
        <v>0.298245614</v>
      </c>
    </row>
    <row r="17969">
      <c r="A17969" s="10" t="s">
        <v>19408</v>
      </c>
      <c r="B17969" s="7" t="str">
        <f>IFERROR(__xludf.DUMMYFUNCTION("SPLIT(A17969,"" "")"),"Cc1cccc2nccc(CN(C)Cc3ccc(N)cn3)c12")</f>
        <v>Cc1cccc2nccc(CN(C)Cc3ccc(N)cn3)c12</v>
      </c>
      <c r="C17969" s="7">
        <f>IFERROR(__xludf.DUMMYFUNCTION("""COMPUTED_VALUE"""),7.7289515)</f>
        <v>7.7289515</v>
      </c>
      <c r="D17969" s="7">
        <f>IFERROR(__xludf.DUMMYFUNCTION("""COMPUTED_VALUE"""),0.36734693877551)</f>
        <v>0.3673469388</v>
      </c>
    </row>
    <row r="17970">
      <c r="A17970" s="10" t="s">
        <v>19409</v>
      </c>
      <c r="B17970" s="7" t="str">
        <f>IFERROR(__xludf.DUMMYFUNCTION("SPLIT(A17970,"" "")"),"Nc1cccc(CN(Cc2ccnc(CNC3C=CC=CN3)c2)c2ccc3ncccc3c2)n1")</f>
        <v>Nc1cccc(CN(Cc2ccnc(CNC3C=CC=CN3)c2)c2ccc3ncccc3c2)n1</v>
      </c>
      <c r="C17970" s="7">
        <f>IFERROR(__xludf.DUMMYFUNCTION("""COMPUTED_VALUE"""),7.728947)</f>
        <v>7.728947</v>
      </c>
      <c r="D17970" s="7">
        <f>IFERROR(__xludf.DUMMYFUNCTION("""COMPUTED_VALUE"""),0.315068493150684)</f>
        <v>0.3150684932</v>
      </c>
    </row>
    <row r="17971">
      <c r="A17971" s="10" t="s">
        <v>19410</v>
      </c>
      <c r="B17971" s="7" t="str">
        <f>IFERROR(__xludf.DUMMYFUNCTION("SPLIT(A17971,"" "")"),"Cc1cccnc1CN(C)Cc1cc(-c2ccccc2N=Cc2ccccn2)ccn1")</f>
        <v>Cc1cccnc1CN(C)Cc1cc(-c2ccccc2N=Cc2ccccn2)ccn1</v>
      </c>
      <c r="C17971" s="7">
        <f>IFERROR(__xludf.DUMMYFUNCTION("""COMPUTED_VALUE"""),7.728939)</f>
        <v>7.728939</v>
      </c>
      <c r="D17971" s="7">
        <f>IFERROR(__xludf.DUMMYFUNCTION("""COMPUTED_VALUE"""),0.456140350877192)</f>
        <v>0.4561403509</v>
      </c>
    </row>
    <row r="17972">
      <c r="A17972" s="10" t="s">
        <v>19411</v>
      </c>
      <c r="B17972" s="7" t="str">
        <f>IFERROR(__xludf.DUMMYFUNCTION("SPLIT(A17972,"" "")"),"CN(Cc1ncccc1-c1ccccc1N)C1=CC=CCN1")</f>
        <v>CN(Cc1ncccc1-c1ccccc1N)C1=CC=CCN1</v>
      </c>
      <c r="C17972" s="7">
        <f>IFERROR(__xludf.DUMMYFUNCTION("""COMPUTED_VALUE"""),7.7289376)</f>
        <v>7.7289376</v>
      </c>
      <c r="D17972" s="7">
        <f>IFERROR(__xludf.DUMMYFUNCTION("""COMPUTED_VALUE"""),0.263157894736842)</f>
        <v>0.2631578947</v>
      </c>
    </row>
    <row r="17973">
      <c r="A17973" s="10" t="s">
        <v>19412</v>
      </c>
      <c r="B17973" s="7" t="str">
        <f>IFERROR(__xludf.DUMMYFUNCTION("SPLIT(A17973,"" "")"),"Cc1ccc(-c2cccc(C)n2)c(NCc2ccccn2)c1")</f>
        <v>Cc1ccc(-c2cccc(C)n2)c(NCc2ccccn2)c1</v>
      </c>
      <c r="C17973" s="7">
        <f>IFERROR(__xludf.DUMMYFUNCTION("""COMPUTED_VALUE"""),7.728937)</f>
        <v>7.728937</v>
      </c>
      <c r="D17973" s="7">
        <f>IFERROR(__xludf.DUMMYFUNCTION("""COMPUTED_VALUE"""),0.385964912280701)</f>
        <v>0.3859649123</v>
      </c>
    </row>
    <row r="17974">
      <c r="A17974" s="10" t="s">
        <v>19413</v>
      </c>
      <c r="B17974" s="7" t="str">
        <f>IFERROR(__xludf.DUMMYFUNCTION("SPLIT(A17974,"" "")"),"CN(C)Cc1ccc2ncccc2c1")</f>
        <v>CN(C)Cc1ccc2ncccc2c1</v>
      </c>
      <c r="C17974" s="7">
        <f>IFERROR(__xludf.DUMMYFUNCTION("""COMPUTED_VALUE"""),7.728933)</f>
        <v>7.728933</v>
      </c>
      <c r="D17974" s="7">
        <f>IFERROR(__xludf.DUMMYFUNCTION("""COMPUTED_VALUE"""),0.38095238095238)</f>
        <v>0.380952381</v>
      </c>
    </row>
    <row r="17975">
      <c r="A17975" s="10" t="s">
        <v>19414</v>
      </c>
      <c r="B17975" s="7" t="str">
        <f>IFERROR(__xludf.DUMMYFUNCTION("SPLIT(A17975,"" "")"),"Cc1ccnc2cc(N(C)C3=CNC(CN(C)CC(C)C)=CC3)ccc12")</f>
        <v>Cc1ccnc2cc(N(C)C3=CNC(CN(C)CC(C)C)=CC3)ccc12</v>
      </c>
      <c r="C17975" s="7">
        <f>IFERROR(__xludf.DUMMYFUNCTION("""COMPUTED_VALUE"""),7.72893)</f>
        <v>7.72893</v>
      </c>
      <c r="D17975" s="7">
        <f>IFERROR(__xludf.DUMMYFUNCTION("""COMPUTED_VALUE"""),0.242857142857142)</f>
        <v>0.2428571429</v>
      </c>
    </row>
    <row r="17976">
      <c r="A17976" s="10" t="s">
        <v>19415</v>
      </c>
      <c r="B17976" s="7" t="str">
        <f>IFERROR(__xludf.DUMMYFUNCTION("SPLIT(A17976,"" "")"),"CNCc1cccc(CN(C)Cc2cccc(N(C)c3ccc4ncccc4c3)n2)n1")</f>
        <v>CNCc1cccc(CN(C)Cc2cccc(N(C)c3ccc4ncccc4c3)n2)n1</v>
      </c>
      <c r="C17976" s="7">
        <f>IFERROR(__xludf.DUMMYFUNCTION("""COMPUTED_VALUE"""),7.7289286)</f>
        <v>7.7289286</v>
      </c>
      <c r="D17976" s="7">
        <f>IFERROR(__xludf.DUMMYFUNCTION("""COMPUTED_VALUE"""),0.375)</f>
        <v>0.375</v>
      </c>
    </row>
    <row r="17977">
      <c r="A17977" s="10" t="s">
        <v>19416</v>
      </c>
      <c r="B17977" s="7" t="str">
        <f>IFERROR(__xludf.DUMMYFUNCTION("SPLIT(A17977,"" "")"),"CN(C)Cc1ccc2cccnc2c1")</f>
        <v>CN(C)Cc1ccc2cccnc2c1</v>
      </c>
      <c r="C17977" s="7">
        <f>IFERROR(__xludf.DUMMYFUNCTION("""COMPUTED_VALUE"""),7.728926)</f>
        <v>7.728926</v>
      </c>
      <c r="D17977" s="7">
        <f>IFERROR(__xludf.DUMMYFUNCTION("""COMPUTED_VALUE"""),0.38095238095238)</f>
        <v>0.380952381</v>
      </c>
    </row>
    <row r="17978">
      <c r="A17978" s="10" t="s">
        <v>19417</v>
      </c>
      <c r="B17978" s="7" t="str">
        <f>IFERROR(__xludf.DUMMYFUNCTION("SPLIT(A17978,"" "")"),"CN(c1ccc2ncccc2c1)C1CCC(N(C)c2ccc3nccc(CF)c3c2)CC1")</f>
        <v>CN(c1ccc2ncccc2c1)C1CCC(N(C)c2ccc3nccc(CF)c3c2)CC1</v>
      </c>
      <c r="C17978" s="7">
        <f>IFERROR(__xludf.DUMMYFUNCTION("""COMPUTED_VALUE"""),7.7289205)</f>
        <v>7.7289205</v>
      </c>
      <c r="D17978" s="7">
        <f>IFERROR(__xludf.DUMMYFUNCTION("""COMPUTED_VALUE"""),0.310344827586206)</f>
        <v>0.3103448276</v>
      </c>
    </row>
    <row r="17979">
      <c r="A17979" s="10" t="s">
        <v>19418</v>
      </c>
      <c r="B17979" s="7" t="str">
        <f>IFERROR(__xludf.DUMMYFUNCTION("SPLIT(A17979,"" "")"),"COC(=O)c1cccc(-c2cccc(C(C)NCc3ccccn3)n2)n1")</f>
        <v>COC(=O)c1cccc(-c2cccc(C(C)NCc3ccccn3)n2)n1</v>
      </c>
      <c r="C17979" s="7">
        <f>IFERROR(__xludf.DUMMYFUNCTION("""COMPUTED_VALUE"""),7.7289195)</f>
        <v>7.7289195</v>
      </c>
      <c r="D17979" s="7">
        <f>IFERROR(__xludf.DUMMYFUNCTION("""COMPUTED_VALUE"""),0.350877192982456)</f>
        <v>0.350877193</v>
      </c>
    </row>
    <row r="17980">
      <c r="A17980" s="10" t="s">
        <v>19419</v>
      </c>
      <c r="B17980" s="7" t="str">
        <f>IFERROR(__xludf.DUMMYFUNCTION("SPLIT(A17980,"" "")"),"CN(Cc1ccccn1)Cc1cccc(N(C)Cc2ncccc2-c2ccc(Cl)cc2N)n1")</f>
        <v>CN(Cc1ccccn1)Cc1cccc(N(C)Cc2ncccc2-c2ccc(Cl)cc2N)n1</v>
      </c>
      <c r="C17980" s="7">
        <f>IFERROR(__xludf.DUMMYFUNCTION("""COMPUTED_VALUE"""),7.728919)</f>
        <v>7.728919</v>
      </c>
      <c r="D17980" s="7">
        <f>IFERROR(__xludf.DUMMYFUNCTION("""COMPUTED_VALUE"""),0.43103448275862)</f>
        <v>0.4310344828</v>
      </c>
    </row>
    <row r="17981">
      <c r="A17981" s="10" t="s">
        <v>19420</v>
      </c>
      <c r="B17981" s="7" t="str">
        <f>IFERROR(__xludf.DUMMYFUNCTION("SPLIT(A17981,"" "")"),"C1=C(c2ccccc2)C(c2ccccc2)=C(c2c(-c3ccccc3)ccc(-c3ccccc3)c2NCc2ccccn2)C(NCc2ccccn2)C1")</f>
        <v>C1=C(c2ccccc2)C(c2ccccc2)=C(c2c(-c3ccccc3)ccc(-c3ccccc3)c2NCc2ccccn2)C(NCc2ccccn2)C1</v>
      </c>
      <c r="C17981" s="7">
        <f>IFERROR(__xludf.DUMMYFUNCTION("""COMPUTED_VALUE"""),7.7289186)</f>
        <v>7.7289186</v>
      </c>
      <c r="D17981" s="7">
        <f>IFERROR(__xludf.DUMMYFUNCTION("""COMPUTED_VALUE"""),0.459016393442622)</f>
        <v>0.4590163934</v>
      </c>
    </row>
    <row r="17982">
      <c r="A17982" s="10" t="s">
        <v>19421</v>
      </c>
      <c r="B17982" s="7" t="str">
        <f>IFERROR(__xludf.DUMMYFUNCTION("SPLIT(A17982,"" "")"),"Cc1cccc(CN(C)Cc2cc(-c3ccccc3N=Cc3ccccn3)ccn2)n1")</f>
        <v>Cc1cccc(CN(C)Cc2cc(-c3ccccc3N=Cc3ccccn3)ccn2)n1</v>
      </c>
      <c r="C17982" s="7">
        <f>IFERROR(__xludf.DUMMYFUNCTION("""COMPUTED_VALUE"""),7.728917)</f>
        <v>7.728917</v>
      </c>
      <c r="D17982" s="7">
        <f>IFERROR(__xludf.DUMMYFUNCTION("""COMPUTED_VALUE"""),0.43103448275862)</f>
        <v>0.4310344828</v>
      </c>
    </row>
    <row r="17983">
      <c r="A17983" s="10" t="s">
        <v>19422</v>
      </c>
      <c r="B17983" s="7" t="str">
        <f>IFERROR(__xludf.DUMMYFUNCTION("SPLIT(A17983,"" "")"),"Cc1cnc(C)c(CN(C)c2ccc(C)c(N(C)Cc3ccccn3)c2C)c1")</f>
        <v>Cc1cnc(C)c(CN(C)c2ccc(C)c(N(C)Cc3ccccn3)c2C)c1</v>
      </c>
      <c r="C17983" s="7">
        <f>IFERROR(__xludf.DUMMYFUNCTION("""COMPUTED_VALUE"""),7.7289166)</f>
        <v>7.7289166</v>
      </c>
      <c r="D17983" s="7">
        <f>IFERROR(__xludf.DUMMYFUNCTION("""COMPUTED_VALUE"""),0.470588235294117)</f>
        <v>0.4705882353</v>
      </c>
    </row>
    <row r="17984">
      <c r="A17984" s="10" t="s">
        <v>19423</v>
      </c>
      <c r="B17984" s="7" t="str">
        <f>IFERROR(__xludf.DUMMYFUNCTION("SPLIT(A17984,"" "")"),"Cc1cnccc1-c1cccc(NCc2ccccn2)c1")</f>
        <v>Cc1cnccc1-c1cccc(NCc2ccccn2)c1</v>
      </c>
      <c r="C17984" s="7">
        <f>IFERROR(__xludf.DUMMYFUNCTION("""COMPUTED_VALUE"""),7.7289124)</f>
        <v>7.7289124</v>
      </c>
      <c r="D17984" s="7">
        <f>IFERROR(__xludf.DUMMYFUNCTION("""COMPUTED_VALUE"""),0.410714285714285)</f>
        <v>0.4107142857</v>
      </c>
    </row>
    <row r="17985">
      <c r="A17985" s="10" t="s">
        <v>19424</v>
      </c>
      <c r="B17985" s="7" t="str">
        <f>IFERROR(__xludf.DUMMYFUNCTION("SPLIT(A17985,"" "")"),"CCOC(=O)c1cc(CN(Cc2ccccn2)Cc2cc(-c3ccc(N=Cc4ccccn4)cc3)ccn2)ccn1")</f>
        <v>CCOC(=O)c1cc(CN(Cc2ccccn2)Cc2cc(-c3ccc(N=Cc4ccccn4)cc3)ccn2)ccn1</v>
      </c>
      <c r="C17985" s="7">
        <f>IFERROR(__xludf.DUMMYFUNCTION("""COMPUTED_VALUE"""),7.728909)</f>
        <v>7.728909</v>
      </c>
      <c r="D17985" s="7">
        <f>IFERROR(__xludf.DUMMYFUNCTION("""COMPUTED_VALUE"""),0.327868852459016)</f>
        <v>0.3278688525</v>
      </c>
    </row>
    <row r="17986">
      <c r="A17986" s="10" t="s">
        <v>19425</v>
      </c>
      <c r="B17986" s="7" t="str">
        <f>IFERROR(__xludf.DUMMYFUNCTION("SPLIT(A17986,"" "")"),"CN(CC1=C(N(Cc2ccccn2)Cc2ccc(F)cn2)CC=CN1)c1ccc2nc(CF)ccc2c1")</f>
        <v>CN(CC1=C(N(Cc2ccccn2)Cc2ccc(F)cn2)CC=CN1)c1ccc2nc(CF)ccc2c1</v>
      </c>
      <c r="C17986" s="7">
        <f>IFERROR(__xludf.DUMMYFUNCTION("""COMPUTED_VALUE"""),7.7289004)</f>
        <v>7.7289004</v>
      </c>
      <c r="D17986" s="7">
        <f>IFERROR(__xludf.DUMMYFUNCTION("""COMPUTED_VALUE"""),0.328571428571428)</f>
        <v>0.3285714286</v>
      </c>
    </row>
    <row r="17987">
      <c r="A17987" s="10" t="s">
        <v>19426</v>
      </c>
      <c r="B17987" s="7" t="str">
        <f>IFERROR(__xludf.DUMMYFUNCTION("SPLIT(A17987,"" "")"),"CN(Cc1ncccc1-c1ccc2ncccc2c1)C1CCC(N(C)c2ccc3ncccc3c2)CC1")</f>
        <v>CN(Cc1ncccc1-c1ccc2ncccc2c1)C1CCC(N(C)c2ccc3ncccc3c2)CC1</v>
      </c>
      <c r="C17987" s="7">
        <f>IFERROR(__xludf.DUMMYFUNCTION("""COMPUTED_VALUE"""),7.728896)</f>
        <v>7.728896</v>
      </c>
      <c r="D17987" s="7">
        <f>IFERROR(__xludf.DUMMYFUNCTION("""COMPUTED_VALUE"""),0.295081967213114)</f>
        <v>0.2950819672</v>
      </c>
    </row>
    <row r="17988">
      <c r="A17988" s="10" t="s">
        <v>19427</v>
      </c>
      <c r="B17988" s="7" t="str">
        <f>IFERROR(__xludf.DUMMYFUNCTION("SPLIT(A17988,"" "")"),"C1=CNC(NCc2cccc(-c3ccc(C(c4ccccn4)c4ccccn4)cn3)n2)C=C1")</f>
        <v>C1=CNC(NCc2cccc(-c3ccc(C(c4ccccn4)c4ccccn4)cn3)n2)C=C1</v>
      </c>
      <c r="C17988" s="7">
        <f>IFERROR(__xludf.DUMMYFUNCTION("""COMPUTED_VALUE"""),7.728887)</f>
        <v>7.728887</v>
      </c>
      <c r="D17988" s="7">
        <f>IFERROR(__xludf.DUMMYFUNCTION("""COMPUTED_VALUE"""),0.333333333333333)</f>
        <v>0.3333333333</v>
      </c>
    </row>
    <row r="17989">
      <c r="A17989" s="10" t="s">
        <v>19428</v>
      </c>
      <c r="B17989" s="7" t="str">
        <f>IFERROR(__xludf.DUMMYFUNCTION("SPLIT(A17989,"" "")"),"CC(C)N(C)Cc1ncccc1Nc1ccc2ncccc2c1")</f>
        <v>CC(C)N(C)Cc1ncccc1Nc1ccc2ncccc2c1</v>
      </c>
      <c r="C17989" s="7">
        <f>IFERROR(__xludf.DUMMYFUNCTION("""COMPUTED_VALUE"""),7.728884)</f>
        <v>7.728884</v>
      </c>
      <c r="D17989" s="7">
        <f>IFERROR(__xludf.DUMMYFUNCTION("""COMPUTED_VALUE"""),0.29090909090909)</f>
        <v>0.2909090909</v>
      </c>
    </row>
    <row r="17990">
      <c r="A17990" s="10" t="s">
        <v>19429</v>
      </c>
      <c r="B17990" s="7" t="str">
        <f>IFERROR(__xludf.DUMMYFUNCTION("SPLIT(A17990,"" "")"),"Cc1nc(F)n(C)c1CN(C)CCN(C)c1ccc2ncccc2c1")</f>
        <v>Cc1nc(F)n(C)c1CN(C)CCN(C)c1ccc2ncccc2c1</v>
      </c>
      <c r="C17990" s="7">
        <f>IFERROR(__xludf.DUMMYFUNCTION("""COMPUTED_VALUE"""),7.7288833)</f>
        <v>7.7288833</v>
      </c>
      <c r="D17990" s="7">
        <f>IFERROR(__xludf.DUMMYFUNCTION("""COMPUTED_VALUE"""),0.357142857142857)</f>
        <v>0.3571428571</v>
      </c>
    </row>
    <row r="17991">
      <c r="A17991" s="10" t="s">
        <v>19430</v>
      </c>
      <c r="B17991" s="7" t="str">
        <f>IFERROR(__xludf.DUMMYFUNCTION("SPLIT(A17991,"" "")"),"CCNCc1cccc(-c2cc(C)c(Cl)c(N(C)Cc3cccc(C)n3)c2)n1")</f>
        <v>CCNCc1cccc(-c2cc(C)c(Cl)c(N(C)Cc3cccc(C)n3)c2)n1</v>
      </c>
      <c r="C17991" s="7">
        <f>IFERROR(__xludf.DUMMYFUNCTION("""COMPUTED_VALUE"""),7.728874)</f>
        <v>7.728874</v>
      </c>
      <c r="D17991" s="7">
        <f>IFERROR(__xludf.DUMMYFUNCTION("""COMPUTED_VALUE"""),0.37037037037037)</f>
        <v>0.3703703704</v>
      </c>
    </row>
    <row r="17992">
      <c r="A17992" s="10" t="s">
        <v>19431</v>
      </c>
      <c r="B17992" s="7" t="str">
        <f>IFERROR(__xludf.DUMMYFUNCTION("SPLIT(A17992,"" "")"),"Cc1ccc(NCc2ccccn2)c(-c2cccc(C)n2)c1")</f>
        <v>Cc1ccc(NCc2ccccn2)c(-c2cccc(C)n2)c1</v>
      </c>
      <c r="C17992" s="7">
        <f>IFERROR(__xludf.DUMMYFUNCTION("""COMPUTED_VALUE"""),7.7288656)</f>
        <v>7.7288656</v>
      </c>
      <c r="D17992" s="7">
        <f>IFERROR(__xludf.DUMMYFUNCTION("""COMPUTED_VALUE"""),0.385964912280701)</f>
        <v>0.3859649123</v>
      </c>
    </row>
    <row r="17993">
      <c r="A17993" s="10" t="s">
        <v>19432</v>
      </c>
      <c r="B17993" s="7" t="str">
        <f>IFERROR(__xludf.DUMMYFUNCTION("SPLIT(A17993,"" "")"),"Cc1cnc2cc(N(C)C3CCCC(N(C)c4ccc5nc(CN(C)C)ccc5c4)C3)ccc2c1")</f>
        <v>Cc1cnc2cc(N(C)C3CCCC(N(C)c4ccc5nc(CN(C)C)ccc5c4)C3)ccc2c1</v>
      </c>
      <c r="C17993" s="7">
        <f>IFERROR(__xludf.DUMMYFUNCTION("""COMPUTED_VALUE"""),7.72886)</f>
        <v>7.72886</v>
      </c>
      <c r="D17993" s="7">
        <f>IFERROR(__xludf.DUMMYFUNCTION("""COMPUTED_VALUE"""),0.350877192982456)</f>
        <v>0.350877193</v>
      </c>
    </row>
    <row r="17994">
      <c r="A17994" s="10" t="s">
        <v>19433</v>
      </c>
      <c r="B17994" s="7" t="str">
        <f>IFERROR(__xludf.DUMMYFUNCTION("SPLIT(A17994,"" "")"),"CC(C)N(Cc1ccccn1)Cc1cc(N(C)c2ccc3cccnc3c2)ccn1")</f>
        <v>CC(C)N(Cc1ccccn1)Cc1cc(N(C)c2ccc3cccnc3c2)ccn1</v>
      </c>
      <c r="C17994" s="7">
        <f>IFERROR(__xludf.DUMMYFUNCTION("""COMPUTED_VALUE"""),7.728859)</f>
        <v>7.728859</v>
      </c>
      <c r="D17994" s="7">
        <f>IFERROR(__xludf.DUMMYFUNCTION("""COMPUTED_VALUE"""),0.5)</f>
        <v>0.5</v>
      </c>
    </row>
    <row r="17995">
      <c r="A17995" s="10" t="s">
        <v>19434</v>
      </c>
      <c r="B17995" s="7" t="str">
        <f>IFERROR(__xludf.DUMMYFUNCTION("SPLIT(A17995,"" "")"),"CCN(Cc1ccccn1)c1ccc2nccc(CF)c2c1")</f>
        <v>CCN(Cc1ccccn1)c1ccc2nccc(CF)c2c1</v>
      </c>
      <c r="C17995" s="7">
        <f>IFERROR(__xludf.DUMMYFUNCTION("""COMPUTED_VALUE"""),7.7288566)</f>
        <v>7.7288566</v>
      </c>
      <c r="D17995" s="7">
        <f>IFERROR(__xludf.DUMMYFUNCTION("""COMPUTED_VALUE"""),0.377777777777777)</f>
        <v>0.3777777778</v>
      </c>
    </row>
    <row r="17996">
      <c r="A17996" s="10" t="s">
        <v>19435</v>
      </c>
      <c r="B17996" s="7" t="str">
        <f>IFERROR(__xludf.DUMMYFUNCTION("SPLIT(A17996,"" "")"),"CC(C)N(Cc1ccccn1)c1ccc2ccc(C(C)(C)C)nc2c1")</f>
        <v>CC(C)N(Cc1ccccn1)c1ccc2ccc(C(C)(C)C)nc2c1</v>
      </c>
      <c r="C17996" s="7">
        <f>IFERROR(__xludf.DUMMYFUNCTION("""COMPUTED_VALUE"""),7.7288547)</f>
        <v>7.7288547</v>
      </c>
      <c r="D17996" s="7">
        <f>IFERROR(__xludf.DUMMYFUNCTION("""COMPUTED_VALUE"""),0.431372549019607)</f>
        <v>0.431372549</v>
      </c>
    </row>
    <row r="17997">
      <c r="A17997" s="10" t="s">
        <v>19436</v>
      </c>
      <c r="B17997" s="7" t="str">
        <f>IFERROR(__xludf.DUMMYFUNCTION("SPLIT(A17997,"" "")"),"Cc1cc(CN(C)Cc2cccc(-c3ccccc3N(C)C)n2)nc(C)c1C")</f>
        <v>Cc1cc(CN(C)Cc2cccc(-c3ccccc3N(C)C)n2)nc(C)c1C</v>
      </c>
      <c r="C17997" s="7">
        <f>IFERROR(__xludf.DUMMYFUNCTION("""COMPUTED_VALUE"""),7.7288146)</f>
        <v>7.7288146</v>
      </c>
      <c r="D17997" s="7">
        <f>IFERROR(__xludf.DUMMYFUNCTION("""COMPUTED_VALUE"""),0.431372549019607)</f>
        <v>0.431372549</v>
      </c>
    </row>
    <row r="17998">
      <c r="A17998" s="10" t="s">
        <v>19437</v>
      </c>
      <c r="B17998" s="7" t="str">
        <f>IFERROR(__xludf.DUMMYFUNCTION("SPLIT(A17998,"" "")"),"CC(C)N(C)C1=C(CN(C)c2ccc3ncccc3c2)NC=CC1")</f>
        <v>CC(C)N(C)C1=C(CN(C)c2ccc3ncccc3c2)NC=CC1</v>
      </c>
      <c r="C17998" s="7">
        <f>IFERROR(__xludf.DUMMYFUNCTION("""COMPUTED_VALUE"""),7.7288146)</f>
        <v>7.7288146</v>
      </c>
      <c r="D17998" s="7">
        <f>IFERROR(__xludf.DUMMYFUNCTION("""COMPUTED_VALUE"""),0.310344827586206)</f>
        <v>0.3103448276</v>
      </c>
    </row>
    <row r="17999">
      <c r="A17999" s="10" t="s">
        <v>19438</v>
      </c>
      <c r="B17999" s="7" t="str">
        <f>IFERROR(__xludf.DUMMYFUNCTION("SPLIT(A17999,"" "")"),"Cc1ccnc(CN(C)Cc2nc(-c3ccccc3N(C)C)c(C)c(C)c2C)c1")</f>
        <v>Cc1ccnc(CN(C)Cc2nc(-c3ccccc3N(C)C)c(C)c(C)c2C)c1</v>
      </c>
      <c r="C17999" s="7">
        <f>IFERROR(__xludf.DUMMYFUNCTION("""COMPUTED_VALUE"""),7.728814)</f>
        <v>7.728814</v>
      </c>
      <c r="D17999" s="7">
        <f>IFERROR(__xludf.DUMMYFUNCTION("""COMPUTED_VALUE"""),0.333333333333333)</f>
        <v>0.3333333333</v>
      </c>
    </row>
    <row r="18000">
      <c r="A18000" s="10" t="s">
        <v>19439</v>
      </c>
      <c r="B18000" s="7" t="str">
        <f>IFERROR(__xludf.DUMMYFUNCTION("SPLIT(A18000,"" "")"),"CNc1cc(Cl)c(C)cc1N(C)Cc1cccc(F)n1")</f>
        <v>CNc1cc(Cl)c(C)cc1N(C)Cc1cccc(F)n1</v>
      </c>
      <c r="C18000" s="7">
        <f>IFERROR(__xludf.DUMMYFUNCTION("""COMPUTED_VALUE"""),7.7288127)</f>
        <v>7.7288127</v>
      </c>
      <c r="D18000" s="7">
        <f>IFERROR(__xludf.DUMMYFUNCTION("""COMPUTED_VALUE"""),0.392156862745098)</f>
        <v>0.3921568627</v>
      </c>
    </row>
    <row r="18001">
      <c r="A18001" s="10" t="s">
        <v>19440</v>
      </c>
      <c r="B18001" s="7" t="str">
        <f>IFERROR(__xludf.DUMMYFUNCTION("SPLIT(A18001,"" "")"),"Cc1cnc(CN(C)Cc2ncccc2-c2cccc(N(C)C)c2)c(C)c1")</f>
        <v>Cc1cnc(CN(C)Cc2ncccc2-c2cccc(N(C)C)c2)c(C)c1</v>
      </c>
      <c r="C18001" s="7">
        <f>IFERROR(__xludf.DUMMYFUNCTION("""COMPUTED_VALUE"""),7.7288094)</f>
        <v>7.7288094</v>
      </c>
      <c r="D18001" s="7">
        <f>IFERROR(__xludf.DUMMYFUNCTION("""COMPUTED_VALUE"""),0.280701754385964)</f>
        <v>0.2807017544</v>
      </c>
    </row>
    <row r="18002">
      <c r="A18002" s="10" t="s">
        <v>19441</v>
      </c>
      <c r="B18002" s="7" t="str">
        <f>IFERROR(__xludf.DUMMYFUNCTION("SPLIT(A18002,"" "")"),"Cc1cnc(CN(C)Cc2ccnc3ccc(N(Cc4ccccn4)C(C)C)cc23)c(C)c1C")</f>
        <v>Cc1cnc(CN(C)Cc2ccnc3ccc(N(Cc4ccccn4)C(C)C)cc23)c(C)c1C</v>
      </c>
      <c r="C18002" s="7">
        <f>IFERROR(__xludf.DUMMYFUNCTION("""COMPUTED_VALUE"""),7.7287784)</f>
        <v>7.7287784</v>
      </c>
      <c r="D18002" s="7">
        <f>IFERROR(__xludf.DUMMYFUNCTION("""COMPUTED_VALUE"""),0.344262295081967)</f>
        <v>0.3442622951</v>
      </c>
    </row>
    <row r="18003">
      <c r="A18003" s="10" t="s">
        <v>19442</v>
      </c>
      <c r="B18003" s="7" t="str">
        <f>IFERROR(__xludf.DUMMYFUNCTION("SPLIT(A18003,"" "")"),"Cc1ncccc1-c1ccc(N=Cc2ccccn2)cc1CN(C)Cc1ccccn1")</f>
        <v>Cc1ncccc1-c1ccc(N=Cc2ccccn2)cc1CN(C)Cc1ccccn1</v>
      </c>
      <c r="C18003" s="7">
        <f>IFERROR(__xludf.DUMMYFUNCTION("""COMPUTED_VALUE"""),7.7287765)</f>
        <v>7.7287765</v>
      </c>
      <c r="D18003" s="7">
        <f>IFERROR(__xludf.DUMMYFUNCTION("""COMPUTED_VALUE"""),0.379310344827586)</f>
        <v>0.3793103448</v>
      </c>
    </row>
    <row r="18004">
      <c r="A18004" s="10" t="s">
        <v>19443</v>
      </c>
      <c r="B18004" s="7" t="str">
        <f>IFERROR(__xludf.DUMMYFUNCTION("SPLIT(A18004,"" "")"),"Cc1cncc(CN(C)CC2=CC(N(C)c3ccc4nccc(C)c4c3)C=CN2)c1")</f>
        <v>Cc1cncc(CN(C)CC2=CC(N(C)c3ccc4nccc(C)c4c3)C=CN2)c1</v>
      </c>
      <c r="C18004" s="7">
        <f>IFERROR(__xludf.DUMMYFUNCTION("""COMPUTED_VALUE"""),7.7287664)</f>
        <v>7.7287664</v>
      </c>
      <c r="D18004" s="7">
        <f>IFERROR(__xludf.DUMMYFUNCTION("""COMPUTED_VALUE"""),0.285714285714285)</f>
        <v>0.2857142857</v>
      </c>
    </row>
    <row r="18005">
      <c r="A18005" s="10" t="s">
        <v>19444</v>
      </c>
      <c r="B18005" s="7" t="str">
        <f>IFERROR(__xludf.DUMMYFUNCTION("SPLIT(A18005,"" "")"),"CN(c1cccc2ncc(CF)cc12)C1CCCC(N(C)c2cccc3cccnc23)C1")</f>
        <v>CN(c1cccc2ncc(CF)cc12)C1CCCC(N(C)c2cccc3cccnc23)C1</v>
      </c>
      <c r="C18005" s="7">
        <f>IFERROR(__xludf.DUMMYFUNCTION("""COMPUTED_VALUE"""),7.7287645)</f>
        <v>7.7287645</v>
      </c>
      <c r="D18005" s="7">
        <f>IFERROR(__xludf.DUMMYFUNCTION("""COMPUTED_VALUE"""),0.482142857142857)</f>
        <v>0.4821428571</v>
      </c>
    </row>
    <row r="18006">
      <c r="A18006" s="10" t="s">
        <v>19445</v>
      </c>
      <c r="B18006" s="7" t="str">
        <f>IFERROR(__xludf.DUMMYFUNCTION("SPLIT(A18006,"" "")"),"CN(Cc1cccnn1)C1CCC(N(C)c2ccc3ncc(-c4ccc5cccnc5c4)cc3c2)CC1")</f>
        <v>CN(Cc1cccnn1)C1CCC(N(C)c2ccc3ncc(-c4ccc5cccnc5c4)cc3c2)CC1</v>
      </c>
      <c r="C18006" s="7">
        <f>IFERROR(__xludf.DUMMYFUNCTION("""COMPUTED_VALUE"""),7.728762)</f>
        <v>7.728762</v>
      </c>
      <c r="D18006" s="7">
        <f>IFERROR(__xludf.DUMMYFUNCTION("""COMPUTED_VALUE"""),0.317460317460317)</f>
        <v>0.3174603175</v>
      </c>
    </row>
    <row r="18007">
      <c r="A18007" s="10" t="s">
        <v>19446</v>
      </c>
      <c r="B18007" s="7" t="str">
        <f>IFERROR(__xludf.DUMMYFUNCTION("SPLIT(A18007,"" "")"),"CN(c1ccc2ncc3c(c2c1)CCC3)C1CCC(N(C)c2cccc3nc4c(cc23)CCC4)CC1")</f>
        <v>CN(c1ccc2ncc3c(c2c1)CCC3)C1CCC(N(C)c2cccc3nc4c(cc23)CCC4)CC1</v>
      </c>
      <c r="C18007" s="7">
        <f>IFERROR(__xludf.DUMMYFUNCTION("""COMPUTED_VALUE"""),7.72876)</f>
        <v>7.72876</v>
      </c>
      <c r="D18007" s="7">
        <f>IFERROR(__xludf.DUMMYFUNCTION("""COMPUTED_VALUE"""),0.393939393939393)</f>
        <v>0.3939393939</v>
      </c>
    </row>
    <row r="18008">
      <c r="A18008" s="10" t="s">
        <v>19447</v>
      </c>
      <c r="B18008" s="7" t="str">
        <f>IFERROR(__xludf.DUMMYFUNCTION("SPLIT(A18008,"" "")"),"CC1(C)COC(c2cccc(CN(Cc3ccccn3)Cc3cccc(-c4cccc(N=Cc5ccccn5)c4)n3)n2)=N1")</f>
        <v>CC1(C)COC(c2cccc(CN(Cc3ccccn3)Cc3cccc(-c4cccc(N=Cc5ccccn5)c4)n3)n2)=N1</v>
      </c>
      <c r="C18008" s="7">
        <f>IFERROR(__xludf.DUMMYFUNCTION("""COMPUTED_VALUE"""),7.728748)</f>
        <v>7.728748</v>
      </c>
      <c r="D18008" s="7">
        <f>IFERROR(__xludf.DUMMYFUNCTION("""COMPUTED_VALUE"""),0.463768115942029)</f>
        <v>0.4637681159</v>
      </c>
    </row>
    <row r="18009">
      <c r="A18009" s="10" t="s">
        <v>19448</v>
      </c>
      <c r="B18009" s="7" t="str">
        <f>IFERROR(__xludf.DUMMYFUNCTION("SPLIT(A18009,"" "")"),"CN(Cc1ccccn1)c1cc(C(C)(C)C2=CC(N(C)Cc3ccccn3)C=CN2)cc2ncccc12")</f>
        <v>CN(Cc1ccccn1)c1cc(C(C)(C)C2=CC(N(C)Cc3ccccn3)C=CN2)cc2ncccc12</v>
      </c>
      <c r="C18009" s="7">
        <f>IFERROR(__xludf.DUMMYFUNCTION("""COMPUTED_VALUE"""),7.728735)</f>
        <v>7.728735</v>
      </c>
      <c r="D18009" s="7">
        <f>IFERROR(__xludf.DUMMYFUNCTION("""COMPUTED_VALUE"""),0.387096774193548)</f>
        <v>0.3870967742</v>
      </c>
    </row>
    <row r="18010">
      <c r="A18010" s="10" t="s">
        <v>19449</v>
      </c>
      <c r="B18010" s="7" t="str">
        <f>IFERROR(__xludf.DUMMYFUNCTION("SPLIT(A18010,"" "")"),"CNCc1ncccc1-c1cc(C)ccc1N(C)Cc1ccccn1")</f>
        <v>CNCc1ncccc1-c1cc(C)ccc1N(C)Cc1ccccn1</v>
      </c>
      <c r="C18010" s="7">
        <f>IFERROR(__xludf.DUMMYFUNCTION("""COMPUTED_VALUE"""),7.7287345)</f>
        <v>7.7287345</v>
      </c>
      <c r="D18010" s="7">
        <f>IFERROR(__xludf.DUMMYFUNCTION("""COMPUTED_VALUE"""),0.48)</f>
        <v>0.48</v>
      </c>
    </row>
    <row r="18011">
      <c r="A18011" s="10" t="s">
        <v>19450</v>
      </c>
      <c r="B18011" s="7" t="str">
        <f>IFERROR(__xludf.DUMMYFUNCTION("SPLIT(A18011,"" "")"),"CCN(Cc1ccccn1)Cc1ncccc1N(C)c1cccc2cccnc12")</f>
        <v>CCN(Cc1ccccn1)Cc1ncccc1N(C)c1cccc2cccnc12</v>
      </c>
      <c r="C18011" s="7">
        <f>IFERROR(__xludf.DUMMYFUNCTION("""COMPUTED_VALUE"""),7.728734)</f>
        <v>7.728734</v>
      </c>
      <c r="D18011" s="7">
        <f>IFERROR(__xludf.DUMMYFUNCTION("""COMPUTED_VALUE"""),0.458333333333333)</f>
        <v>0.4583333333</v>
      </c>
    </row>
    <row r="18012">
      <c r="A18012" s="10" t="s">
        <v>19451</v>
      </c>
      <c r="B18012" s="7" t="str">
        <f>IFERROR(__xludf.DUMMYFUNCTION("SPLIT(A18012,"" "")"),"Cc1cncc(CN(C)Cc2cc(-c3cccc(N=Cc4ccccn4)c3)ccn2)c1C")</f>
        <v>Cc1cncc(CN(C)Cc2cc(-c3cccc(N=Cc4ccccn4)c3)ccn2)c1C</v>
      </c>
      <c r="C18012" s="7">
        <f>IFERROR(__xludf.DUMMYFUNCTION("""COMPUTED_VALUE"""),7.728728)</f>
        <v>7.728728</v>
      </c>
      <c r="D18012" s="7">
        <f>IFERROR(__xludf.DUMMYFUNCTION("""COMPUTED_VALUE"""),0.359375)</f>
        <v>0.359375</v>
      </c>
    </row>
    <row r="18013">
      <c r="A18013" s="10" t="s">
        <v>19452</v>
      </c>
      <c r="B18013" s="7" t="str">
        <f>IFERROR(__xludf.DUMMYFUNCTION("SPLIT(A18013,"" "")"),"Cc1cccnc1CN(Cc1ccccn1)c1ccc(-c2cccc(CN(Cc3ccccn3)Cc3ncccc3N)n2)c(-c2ccccn2)c1")</f>
        <v>Cc1cccnc1CN(Cc1ccccn1)c1ccc(-c2cccc(CN(Cc3ccccn3)Cc3ncccc3N)n2)c(-c2ccccn2)c1</v>
      </c>
      <c r="C18013" s="7">
        <f>IFERROR(__xludf.DUMMYFUNCTION("""COMPUTED_VALUE"""),7.7287254)</f>
        <v>7.7287254</v>
      </c>
      <c r="D18013" s="7">
        <f>IFERROR(__xludf.DUMMYFUNCTION("""COMPUTED_VALUE"""),0.412698412698412)</f>
        <v>0.4126984127</v>
      </c>
    </row>
    <row r="18014">
      <c r="A18014" s="10" t="s">
        <v>19453</v>
      </c>
      <c r="B18014" s="7" t="str">
        <f>IFERROR(__xludf.DUMMYFUNCTION("SPLIT(A18014,"" "")"),"CN(c1cccc2ncc3c(c12)CCC3)C1CCC(N(C)c2cccc3ncc4c(c23)CCC4)CC1")</f>
        <v>CN(c1cccc2ncc3c(c12)CCC3)C1CCC(N(C)c2cccc3ncc4c(c23)CCC4)CC1</v>
      </c>
      <c r="C18014" s="7">
        <f>IFERROR(__xludf.DUMMYFUNCTION("""COMPUTED_VALUE"""),7.728724)</f>
        <v>7.728724</v>
      </c>
      <c r="D18014" s="7">
        <f>IFERROR(__xludf.DUMMYFUNCTION("""COMPUTED_VALUE"""),0.357142857142857)</f>
        <v>0.3571428571</v>
      </c>
    </row>
    <row r="18015">
      <c r="A18015" s="10" t="s">
        <v>19454</v>
      </c>
      <c r="B18015" s="7" t="str">
        <f>IFERROR(__xludf.DUMMYFUNCTION("SPLIT(A18015,"" "")"),"Cc1cnc(CN(C)Cc2ccc3c(C)cccc3n2)c(C)c1C")</f>
        <v>Cc1cnc(CN(C)Cc2ccc3c(C)cccc3n2)c(C)c1C</v>
      </c>
      <c r="C18015" s="7">
        <f>IFERROR(__xludf.DUMMYFUNCTION("""COMPUTED_VALUE"""),7.728712)</f>
        <v>7.728712</v>
      </c>
      <c r="D18015" s="7">
        <f>IFERROR(__xludf.DUMMYFUNCTION("""COMPUTED_VALUE"""),0.365384615384615)</f>
        <v>0.3653846154</v>
      </c>
    </row>
    <row r="18016">
      <c r="A18016" s="10" t="s">
        <v>19455</v>
      </c>
      <c r="B18016" s="7" t="str">
        <f>IFERROR(__xludf.DUMMYFUNCTION("SPLIT(A18016,"" "")"),"Cc1cccc(CN(Cc2ccccn2)c2ccc3nc(CN(C)Cc4nc(C)c(C)c(C)c4C)ccc3c2)n1")</f>
        <v>Cc1cccc(CN(Cc2ccccn2)c2ccc3nc(CN(C)Cc4nc(C)c(C)c(C)c4C)ccc3c2)n1</v>
      </c>
      <c r="C18016" s="7">
        <f>IFERROR(__xludf.DUMMYFUNCTION("""COMPUTED_VALUE"""),7.728709)</f>
        <v>7.728709</v>
      </c>
      <c r="D18016" s="7">
        <f>IFERROR(__xludf.DUMMYFUNCTION("""COMPUTED_VALUE"""),0.423728813559322)</f>
        <v>0.4237288136</v>
      </c>
    </row>
    <row r="18017">
      <c r="A18017" s="10" t="s">
        <v>19456</v>
      </c>
      <c r="B18017" s="7" t="str">
        <f>IFERROR(__xludf.DUMMYFUNCTION("SPLIT(A18017,"" "")"),"CCNCc1cccc(-c2cccc(N(C)Cc3ccccn3)c2-c2ccccc2NCc2ccccn2)n1")</f>
        <v>CCNCc1cccc(-c2cccc(N(C)Cc3ccccn3)c2-c2ccccc2NCc2ccccn2)n1</v>
      </c>
      <c r="C18017" s="7">
        <f>IFERROR(__xludf.DUMMYFUNCTION("""COMPUTED_VALUE"""),7.7287045)</f>
        <v>7.7287045</v>
      </c>
      <c r="D18017" s="7">
        <f>IFERROR(__xludf.DUMMYFUNCTION("""COMPUTED_VALUE"""),0.413793103448275)</f>
        <v>0.4137931034</v>
      </c>
    </row>
    <row r="18018">
      <c r="A18018" s="10" t="s">
        <v>19457</v>
      </c>
      <c r="B18018" s="7" t="str">
        <f>IFERROR(__xludf.DUMMYFUNCTION("SPLIT(A18018,"" "")"),"Cc1nc(CN(C)Cc2ccc3c(N(Cc4ccccn4)C(C)C)cccc3n2)c(C)c(C)c1C")</f>
        <v>Cc1nc(CN(C)Cc2ccc3c(N(Cc4ccccn4)C(C)C)cccc3n2)c(C)c(C)c1C</v>
      </c>
      <c r="C18018" s="7">
        <f>IFERROR(__xludf.DUMMYFUNCTION("""COMPUTED_VALUE"""),7.728704)</f>
        <v>7.728704</v>
      </c>
      <c r="D18018" s="7">
        <f>IFERROR(__xludf.DUMMYFUNCTION("""COMPUTED_VALUE"""),0.416666666666666)</f>
        <v>0.4166666667</v>
      </c>
    </row>
    <row r="18019">
      <c r="A18019" s="10" t="s">
        <v>19458</v>
      </c>
      <c r="B18019" s="7" t="str">
        <f>IFERROR(__xludf.DUMMYFUNCTION("SPLIT(A18019,"" "")"),"Cc1ccc(CN(C)Cc2ncccc2-c2cccc(N(C)C)c2)nc1C")</f>
        <v>Cc1ccc(CN(C)Cc2ncccc2-c2cccc(N(C)C)c2)nc1C</v>
      </c>
      <c r="C18019" s="7">
        <f>IFERROR(__xludf.DUMMYFUNCTION("""COMPUTED_VALUE"""),7.7287016)</f>
        <v>7.7287016</v>
      </c>
      <c r="D18019" s="7">
        <f>IFERROR(__xludf.DUMMYFUNCTION("""COMPUTED_VALUE"""),0.350877192982456)</f>
        <v>0.350877193</v>
      </c>
    </row>
    <row r="18020">
      <c r="A18020" s="10" t="s">
        <v>19459</v>
      </c>
      <c r="B18020" s="7" t="str">
        <f>IFERROR(__xludf.DUMMYFUNCTION("SPLIT(A18020,"" "")"),"Cc1cnc(CN(C)c2ccc3nc(CN(C)C(C)C)ccc3c2)c(C)c1")</f>
        <v>Cc1cnc(CN(C)c2ccc3nc(CN(C)C(C)C)ccc3c2)c(C)c1</v>
      </c>
      <c r="C18020" s="7">
        <f>IFERROR(__xludf.DUMMYFUNCTION("""COMPUTED_VALUE"""),7.728698)</f>
        <v>7.728698</v>
      </c>
      <c r="D18020" s="7">
        <f>IFERROR(__xludf.DUMMYFUNCTION("""COMPUTED_VALUE"""),0.320754716981132)</f>
        <v>0.320754717</v>
      </c>
    </row>
    <row r="18021">
      <c r="A18021" s="10" t="s">
        <v>19460</v>
      </c>
      <c r="B18021" s="7" t="str">
        <f>IFERROR(__xludf.DUMMYFUNCTION("SPLIT(A18021,"" "")"),"CC(C)N(C)C1=C(CN(C)c2cccc3ncccc23)NC=CC1")</f>
        <v>CC(C)N(C)C1=C(CN(C)c2cccc3ncccc23)NC=CC1</v>
      </c>
      <c r="C18021" s="7">
        <f>IFERROR(__xludf.DUMMYFUNCTION("""COMPUTED_VALUE"""),7.728694)</f>
        <v>7.728694</v>
      </c>
      <c r="D18021" s="7">
        <f>IFERROR(__xludf.DUMMYFUNCTION("""COMPUTED_VALUE"""),0.357142857142857)</f>
        <v>0.3571428571</v>
      </c>
    </row>
    <row r="18022">
      <c r="A18022" s="10" t="s">
        <v>19461</v>
      </c>
      <c r="B18022" s="7" t="str">
        <f>IFERROR(__xludf.DUMMYFUNCTION("SPLIT(A18022,"" "")"),"CN(Cc1ccccn1)Cc1nc2ccccc2n1Cc1ccccn1")</f>
        <v>CN(Cc1ccccn1)Cc1nc2ccccc2n1Cc1ccccn1</v>
      </c>
      <c r="C18022" s="7">
        <f>IFERROR(__xludf.DUMMYFUNCTION("""COMPUTED_VALUE"""),7.7286906)</f>
        <v>7.7286906</v>
      </c>
      <c r="D18022" s="7">
        <f>IFERROR(__xludf.DUMMYFUNCTION("""COMPUTED_VALUE"""),0.489361702127659)</f>
        <v>0.4893617021</v>
      </c>
    </row>
    <row r="18023">
      <c r="A18023" s="10" t="s">
        <v>19462</v>
      </c>
      <c r="B18023" s="7" t="str">
        <f>IFERROR(__xludf.DUMMYFUNCTION("SPLIT(A18023,"" "")"),"Cc1cnc(CN(C)c2cc(C)c(Cl)c(C(C)(C)C)c2N(C)Cc2ccccn2)c(C)c1")</f>
        <v>Cc1cnc(CN(C)c2cc(C)c(Cl)c(C(C)(C)C)c2N(C)Cc2ccccn2)c(C)c1</v>
      </c>
      <c r="C18023" s="7">
        <f>IFERROR(__xludf.DUMMYFUNCTION("""COMPUTED_VALUE"""),7.7286863)</f>
        <v>7.7286863</v>
      </c>
      <c r="D18023" s="7">
        <f>IFERROR(__xludf.DUMMYFUNCTION("""COMPUTED_VALUE"""),0.472727272727272)</f>
        <v>0.4727272727</v>
      </c>
    </row>
    <row r="18024">
      <c r="A18024" s="10" t="s">
        <v>19463</v>
      </c>
      <c r="B18024" s="7" t="str">
        <f>IFERROR(__xludf.DUMMYFUNCTION("SPLIT(A18024,"" "")"),"CN(C)CCN(C)c1ccc2ccc(CN(C)C)nc2c1")</f>
        <v>CN(C)CCN(C)c1ccc2ccc(CN(C)C)nc2c1</v>
      </c>
      <c r="C18024" s="7">
        <f>IFERROR(__xludf.DUMMYFUNCTION("""COMPUTED_VALUE"""),7.7286816)</f>
        <v>7.7286816</v>
      </c>
      <c r="D18024" s="7">
        <f>IFERROR(__xludf.DUMMYFUNCTION("""COMPUTED_VALUE"""),0.421052631578947)</f>
        <v>0.4210526316</v>
      </c>
    </row>
    <row r="18025">
      <c r="A18025" s="10" t="s">
        <v>19464</v>
      </c>
      <c r="B18025" s="7" t="str">
        <f>IFERROR(__xludf.DUMMYFUNCTION("SPLIT(A18025,"" "")"),"Cc1cc(C)c(C)c(CN(C)Cc2ccc3c(C)cccc3n2)n1")</f>
        <v>Cc1cc(C)c(C)c(CN(C)Cc2ccc3c(C)cccc3n2)n1</v>
      </c>
      <c r="C18025" s="7">
        <f>IFERROR(__xludf.DUMMYFUNCTION("""COMPUTED_VALUE"""),7.728677)</f>
        <v>7.728677</v>
      </c>
      <c r="D18025" s="7">
        <f>IFERROR(__xludf.DUMMYFUNCTION("""COMPUTED_VALUE"""),0.391304347826087)</f>
        <v>0.3913043478</v>
      </c>
    </row>
    <row r="18026">
      <c r="A18026" s="10" t="s">
        <v>19465</v>
      </c>
      <c r="B18026" s="7" t="str">
        <f>IFERROR(__xludf.DUMMYFUNCTION("SPLIT(A18026,"" "")"),"CN(C)Cc1cccc(-c2ccc(Cl)c(N)c2)n1")</f>
        <v>CN(C)Cc1cccc(-c2ccc(Cl)c(N)c2)n1</v>
      </c>
      <c r="C18026" s="7">
        <f>IFERROR(__xludf.DUMMYFUNCTION("""COMPUTED_VALUE"""),7.728676)</f>
        <v>7.728676</v>
      </c>
      <c r="D18026" s="7">
        <f>IFERROR(__xludf.DUMMYFUNCTION("""COMPUTED_VALUE"""),0.381818181818181)</f>
        <v>0.3818181818</v>
      </c>
    </row>
    <row r="18027">
      <c r="A18027" s="10" t="s">
        <v>19466</v>
      </c>
      <c r="B18027" s="7" t="str">
        <f>IFERROR(__xludf.DUMMYFUNCTION("SPLIT(A18027,"" "")"),"Cc1cnc(CN(C)Cc2cc(-c3cccc(N(C)C)c3)ccn2)c(C)c1")</f>
        <v>Cc1cnc(CN(C)Cc2cc(-c3cccc(N(C)C)c3)ccn2)c(C)c1</v>
      </c>
      <c r="C18027" s="7">
        <f>IFERROR(__xludf.DUMMYFUNCTION("""COMPUTED_VALUE"""),7.7286735)</f>
        <v>7.7286735</v>
      </c>
      <c r="D18027" s="7">
        <f>IFERROR(__xludf.DUMMYFUNCTION("""COMPUTED_VALUE"""),0.326923076923076)</f>
        <v>0.3269230769</v>
      </c>
    </row>
    <row r="18028">
      <c r="A18028" s="10" t="s">
        <v>19467</v>
      </c>
      <c r="B18028" s="7" t="str">
        <f>IFERROR(__xludf.DUMMYFUNCTION("SPLIT(A18028,"" "")"),"Cc1cc(C)c(C)c(CN(Cc2ncccc2-c2ccc3ncccc3c2)C2CCC(N(C)c3ccc4nc(CN(C)C)ccc4c3)CC2)n1")</f>
        <v>Cc1cc(C)c(C)c(CN(Cc2ncccc2-c2ccc3ncccc3c2)C2CCC(N(C)c3ccc4nc(CN(C)C)ccc4c3)CC2)n1</v>
      </c>
      <c r="C18028" s="7">
        <f>IFERROR(__xludf.DUMMYFUNCTION("""COMPUTED_VALUE"""),7.728671)</f>
        <v>7.728671</v>
      </c>
      <c r="D18028" s="7">
        <f>IFERROR(__xludf.DUMMYFUNCTION("""COMPUTED_VALUE"""),0.263157894736842)</f>
        <v>0.2631578947</v>
      </c>
    </row>
    <row r="18029">
      <c r="A18029" s="10" t="s">
        <v>19468</v>
      </c>
      <c r="B18029" s="7" t="str">
        <f>IFERROR(__xludf.DUMMYFUNCTION("SPLIT(A18029,"" "")"),"Cc1cc2ccccc2c(C2=C(c3ccccc3)C(c3ccccc3)=CCC2NCc2ccccn2)c1NCc1ccccn1")</f>
        <v>Cc1cc2ccccc2c(C2=C(c3ccccc3)C(c3ccccc3)=CCC2NCc2ccccn2)c1NCc1ccccn1</v>
      </c>
      <c r="C18029" s="7">
        <f>IFERROR(__xludf.DUMMYFUNCTION("""COMPUTED_VALUE"""),7.7286644)</f>
        <v>7.7286644</v>
      </c>
      <c r="D18029" s="7">
        <f>IFERROR(__xludf.DUMMYFUNCTION("""COMPUTED_VALUE"""),0.5)</f>
        <v>0.5</v>
      </c>
    </row>
    <row r="18030">
      <c r="A18030" s="10" t="s">
        <v>19469</v>
      </c>
      <c r="B18030" s="7" t="str">
        <f>IFERROR(__xludf.DUMMYFUNCTION("SPLIT(A18030,"" "")"),"Cc1cccnc1CN(C)c1cccc2ccc(CN(C)Cc3ccccn3)nc12")</f>
        <v>Cc1cccnc1CN(C)c1cccc2ccc(CN(C)Cc3ccccn3)nc12</v>
      </c>
      <c r="C18030" s="7">
        <f>IFERROR(__xludf.DUMMYFUNCTION("""COMPUTED_VALUE"""),7.728642)</f>
        <v>7.728642</v>
      </c>
      <c r="D18030" s="7">
        <f>IFERROR(__xludf.DUMMYFUNCTION("""COMPUTED_VALUE"""),0.48076923076923)</f>
        <v>0.4807692308</v>
      </c>
    </row>
    <row r="18031">
      <c r="A18031" s="10" t="s">
        <v>19470</v>
      </c>
      <c r="B18031" s="7" t="str">
        <f>IFERROR(__xludf.DUMMYFUNCTION("SPLIT(A18031,"" "")"),"CN(Cc1cccnn1)C1=C(N(C)c2cc(Cl)ccc2N)NCC=C1")</f>
        <v>CN(Cc1cccnn1)C1=C(N(C)c2cc(Cl)ccc2N)NCC=C1</v>
      </c>
      <c r="C18031" s="7">
        <f>IFERROR(__xludf.DUMMYFUNCTION("""COMPUTED_VALUE"""),7.7286305)</f>
        <v>7.7286305</v>
      </c>
      <c r="D18031" s="7">
        <f>IFERROR(__xludf.DUMMYFUNCTION("""COMPUTED_VALUE"""),0.350877192982456)</f>
        <v>0.350877193</v>
      </c>
    </row>
    <row r="18032">
      <c r="A18032" s="10" t="s">
        <v>19471</v>
      </c>
      <c r="B18032" s="7" t="str">
        <f>IFERROR(__xludf.DUMMYFUNCTION("SPLIT(A18032,"" "")"),"Cc1ccc(C)c(CN(C)Cc2ccnc3cccc(C)c23)n1")</f>
        <v>Cc1ccc(C)c(CN(C)Cc2ccnc3cccc(C)c23)n1</v>
      </c>
      <c r="C18032" s="7">
        <f>IFERROR(__xludf.DUMMYFUNCTION("""COMPUTED_VALUE"""),7.728622)</f>
        <v>7.728622</v>
      </c>
      <c r="D18032" s="7">
        <f>IFERROR(__xludf.DUMMYFUNCTION("""COMPUTED_VALUE"""),0.326923076923076)</f>
        <v>0.3269230769</v>
      </c>
    </row>
    <row r="18033">
      <c r="A18033" s="10" t="s">
        <v>19472</v>
      </c>
      <c r="B18033" s="7" t="str">
        <f>IFERROR(__xludf.DUMMYFUNCTION("SPLIT(A18033,"" "")"),"CN(C)Cc1ccccc1N(C)Cc1ccc2ncccc2c1")</f>
        <v>CN(C)Cc1ccccc1N(C)Cc1ccc2ncccc2c1</v>
      </c>
      <c r="C18033" s="7">
        <f>IFERROR(__xludf.DUMMYFUNCTION("""COMPUTED_VALUE"""),7.7286205)</f>
        <v>7.7286205</v>
      </c>
      <c r="D18033" s="7">
        <f>IFERROR(__xludf.DUMMYFUNCTION("""COMPUTED_VALUE"""),0.387755102040816)</f>
        <v>0.387755102</v>
      </c>
    </row>
    <row r="18034">
      <c r="A18034" s="10" t="s">
        <v>19473</v>
      </c>
      <c r="B18034" s="7" t="str">
        <f>IFERROR(__xludf.DUMMYFUNCTION("SPLIT(A18034,"" "")"),"C1=CNC(c2cc(C(c3ccccc3)c3ccccn3)ccn2)=CC1")</f>
        <v>C1=CNC(c2cc(C(c3ccccc3)c3ccccn3)ccn2)=CC1</v>
      </c>
      <c r="C18034" s="7">
        <f>IFERROR(__xludf.DUMMYFUNCTION("""COMPUTED_VALUE"""),7.728616)</f>
        <v>7.728616</v>
      </c>
      <c r="D18034" s="7">
        <f>IFERROR(__xludf.DUMMYFUNCTION("""COMPUTED_VALUE"""),0.344827586206896)</f>
        <v>0.3448275862</v>
      </c>
    </row>
    <row r="18035">
      <c r="A18035" s="10" t="s">
        <v>19474</v>
      </c>
      <c r="B18035" s="7" t="str">
        <f>IFERROR(__xludf.DUMMYFUNCTION("SPLIT(A18035,"" "")"),"Cc1ccnc2cc(N(C)CCNC(C)C)ccc12")</f>
        <v>Cc1ccnc2cc(N(C)CCNC(C)C)ccc12</v>
      </c>
      <c r="C18035" s="7">
        <f>IFERROR(__xludf.DUMMYFUNCTION("""COMPUTED_VALUE"""),7.728614)</f>
        <v>7.728614</v>
      </c>
      <c r="D18035" s="7">
        <f>IFERROR(__xludf.DUMMYFUNCTION("""COMPUTED_VALUE"""),0.222222222222222)</f>
        <v>0.2222222222</v>
      </c>
    </row>
    <row r="18036">
      <c r="A18036" s="10" t="s">
        <v>19475</v>
      </c>
      <c r="B18036" s="7" t="str">
        <f>IFERROR(__xludf.DUMMYFUNCTION("SPLIT(A18036,"" "")"),"CC(C)N(Cc1ccccn1)c1cccc2nccc(C(C)(C)C)c12")</f>
        <v>CC(C)N(Cc1ccccn1)c1cccc2nccc(C(C)(C)C)c12</v>
      </c>
      <c r="C18036" s="7">
        <f>IFERROR(__xludf.DUMMYFUNCTION("""COMPUTED_VALUE"""),7.7286057)</f>
        <v>7.7286057</v>
      </c>
      <c r="D18036" s="7">
        <f>IFERROR(__xludf.DUMMYFUNCTION("""COMPUTED_VALUE"""),0.428571428571428)</f>
        <v>0.4285714286</v>
      </c>
    </row>
    <row r="18037">
      <c r="A18037" s="10" t="s">
        <v>19476</v>
      </c>
      <c r="B18037" s="7" t="str">
        <f>IFERROR(__xludf.DUMMYFUNCTION("SPLIT(A18037,"" "")"),"Cc1cnc(CN(C)CC2=CC(N(C)c3ccc4ncccc4c3)C=CN2)c(C)c1C")</f>
        <v>Cc1cnc(CN(C)CC2=CC(N(C)c3ccc4ncccc4c3)C=CN2)c(C)c1C</v>
      </c>
      <c r="C18037" s="7">
        <f>IFERROR(__xludf.DUMMYFUNCTION("""COMPUTED_VALUE"""),7.7286034)</f>
        <v>7.7286034</v>
      </c>
      <c r="D18037" s="7">
        <f>IFERROR(__xludf.DUMMYFUNCTION("""COMPUTED_VALUE"""),0.285714285714285)</f>
        <v>0.2857142857</v>
      </c>
    </row>
    <row r="18038">
      <c r="A18038" s="10" t="s">
        <v>19477</v>
      </c>
      <c r="B18038" s="7" t="str">
        <f>IFERROR(__xludf.DUMMYFUNCTION("SPLIT(A18038,"" "")"),"CN(C)Cc1nccc2cc(N(C)CCF)ccc12")</f>
        <v>CN(C)Cc1nccc2cc(N(C)CCF)ccc12</v>
      </c>
      <c r="C18038" s="7">
        <f>IFERROR(__xludf.DUMMYFUNCTION("""COMPUTED_VALUE"""),7.728594)</f>
        <v>7.728594</v>
      </c>
      <c r="D18038" s="7">
        <f>IFERROR(__xludf.DUMMYFUNCTION("""COMPUTED_VALUE"""),0.254901960784313)</f>
        <v>0.2549019608</v>
      </c>
    </row>
    <row r="18039">
      <c r="A18039" s="10" t="s">
        <v>19478</v>
      </c>
      <c r="B18039" s="7" t="str">
        <f>IFERROR(__xludf.DUMMYFUNCTION("SPLIT(A18039,"" "")"),"CN(CCCN(C)c1ccc2ncccc2c1)Cc1ccc2ncccc2c1")</f>
        <v>CN(CCCN(C)c1ccc2ncccc2c1)Cc1ccc2ncccc2c1</v>
      </c>
      <c r="C18039" s="7">
        <f>IFERROR(__xludf.DUMMYFUNCTION("""COMPUTED_VALUE"""),7.728593)</f>
        <v>7.728593</v>
      </c>
      <c r="D18039" s="7">
        <f>IFERROR(__xludf.DUMMYFUNCTION("""COMPUTED_VALUE"""),0.416666666666666)</f>
        <v>0.4166666667</v>
      </c>
    </row>
    <row r="18040">
      <c r="A18040" s="10" t="s">
        <v>19479</v>
      </c>
      <c r="B18040" s="7" t="str">
        <f>IFERROR(__xludf.DUMMYFUNCTION("SPLIT(A18040,"" "")"),"Cc1ccc(CN(C)Cc2cc(-c3ccc(N(C)C)cc3)ccn2)nc1C")</f>
        <v>Cc1ccc(CN(C)Cc2cc(-c3ccc(N(C)C)cc3)ccn2)nc1C</v>
      </c>
      <c r="C18040" s="7">
        <f>IFERROR(__xludf.DUMMYFUNCTION("""COMPUTED_VALUE"""),7.7285805)</f>
        <v>7.7285805</v>
      </c>
      <c r="D18040" s="7">
        <f>IFERROR(__xludf.DUMMYFUNCTION("""COMPUTED_VALUE"""),0.339622641509433)</f>
        <v>0.3396226415</v>
      </c>
    </row>
    <row r="18041">
      <c r="A18041" s="10" t="s">
        <v>19480</v>
      </c>
      <c r="B18041" s="7" t="str">
        <f>IFERROR(__xludf.DUMMYFUNCTION("SPLIT(A18041,"" "")"),"Cc1cc(C)c(CN(C)c2cccc(-c3cc(C4CC(C)(C)C4)ccn3)c2-c2cc(CN(Cc3ccccn3)Cc3ncccc3F)ccn2)cn1")</f>
        <v>Cc1cc(C)c(CN(C)c2cccc(-c3cc(C4CC(C)(C)C4)ccn3)c2-c2cc(CN(Cc3ccccn3)Cc3ncccc3F)ccn2)cn1</v>
      </c>
      <c r="C18041" s="7">
        <f>IFERROR(__xludf.DUMMYFUNCTION("""COMPUTED_VALUE"""),7.7285805)</f>
        <v>7.7285805</v>
      </c>
      <c r="D18041" s="7">
        <f>IFERROR(__xludf.DUMMYFUNCTION("""COMPUTED_VALUE"""),0.294117647058823)</f>
        <v>0.2941176471</v>
      </c>
    </row>
    <row r="18042">
      <c r="A18042" s="10" t="s">
        <v>19481</v>
      </c>
      <c r="B18042" s="7" t="str">
        <f>IFERROR(__xludf.DUMMYFUNCTION("SPLIT(A18042,"" "")"),"Cc1cnc(CN(C)Cc2cccc(-c3cccc(N=Cc4ccccn4)c3)n2)c(C)c1")</f>
        <v>Cc1cnc(CN(C)Cc2cccc(-c3cccc(N=Cc4ccccn4)c3)n2)c(C)c1</v>
      </c>
      <c r="C18042" s="7">
        <f>IFERROR(__xludf.DUMMYFUNCTION("""COMPUTED_VALUE"""),7.728577)</f>
        <v>7.728577</v>
      </c>
      <c r="D18042" s="7">
        <f>IFERROR(__xludf.DUMMYFUNCTION("""COMPUTED_VALUE"""),0.419354838709677)</f>
        <v>0.4193548387</v>
      </c>
    </row>
    <row r="18043">
      <c r="A18043" s="10" t="s">
        <v>19482</v>
      </c>
      <c r="B18043" s="7" t="str">
        <f>IFERROR(__xludf.DUMMYFUNCTION("SPLIT(A18043,"" "")"),"Cc1cc(CN(C)CCN(C)c2cccc3nccc(C)c23)nc(C)c1C")</f>
        <v>Cc1cc(CN(C)CCN(C)c2cccc3nccc(C)c23)nc(C)c1C</v>
      </c>
      <c r="C18043" s="7">
        <f>IFERROR(__xludf.DUMMYFUNCTION("""COMPUTED_VALUE"""),7.728571)</f>
        <v>7.728571</v>
      </c>
      <c r="D18043" s="7">
        <f>IFERROR(__xludf.DUMMYFUNCTION("""COMPUTED_VALUE"""),0.365384615384615)</f>
        <v>0.3653846154</v>
      </c>
    </row>
    <row r="18044">
      <c r="A18044" s="10" t="s">
        <v>19483</v>
      </c>
      <c r="B18044" s="7" t="str">
        <f>IFERROR(__xludf.DUMMYFUNCTION("SPLIT(A18044,"" "")"),"CNCCN(C)Cc1cc(-c2cccc3ncccc23)ccn1")</f>
        <v>CNCCN(C)Cc1cc(-c2cccc3ncccc23)ccn1</v>
      </c>
      <c r="C18044" s="7">
        <f>IFERROR(__xludf.DUMMYFUNCTION("""COMPUTED_VALUE"""),7.728568)</f>
        <v>7.728568</v>
      </c>
      <c r="D18044" s="7">
        <f>IFERROR(__xludf.DUMMYFUNCTION("""COMPUTED_VALUE"""),0.321428571428571)</f>
        <v>0.3214285714</v>
      </c>
    </row>
    <row r="18045">
      <c r="A18045" s="10" t="s">
        <v>19484</v>
      </c>
      <c r="B18045" s="7" t="str">
        <f>IFERROR(__xludf.DUMMYFUNCTION("SPLIT(A18045,"" "")"),"CN(c1ccc2c3c(cnc2c1)CCC3)C1CCC(N(C)c2cccc3nc4c(cc23)CCC4)CC1")</f>
        <v>CN(c1ccc2c3c(cnc2c1)CCC3)C1CCC(N(C)c2cccc3nc4c(cc23)CCC4)CC1</v>
      </c>
      <c r="C18045" s="7">
        <f>IFERROR(__xludf.DUMMYFUNCTION("""COMPUTED_VALUE"""),7.728566)</f>
        <v>7.728566</v>
      </c>
      <c r="D18045" s="7">
        <f>IFERROR(__xludf.DUMMYFUNCTION("""COMPUTED_VALUE"""),0.393939393939393)</f>
        <v>0.3939393939</v>
      </c>
    </row>
    <row r="18046">
      <c r="A18046" s="10" t="s">
        <v>19485</v>
      </c>
      <c r="B18046" s="7" t="str">
        <f>IFERROR(__xludf.DUMMYFUNCTION("SPLIT(A18046,"" "")"),"CN(c1cccc2c3c(cnc12)CCC3)C1CCCCC1N(C)c1cccc2ncc3c(c12)CCC3")</f>
        <v>CN(c1cccc2c3c(cnc12)CCC3)C1CCCCC1N(C)c1cccc2ncc3c(c12)CCC3</v>
      </c>
      <c r="C18046" s="7">
        <f>IFERROR(__xludf.DUMMYFUNCTION("""COMPUTED_VALUE"""),7.728561)</f>
        <v>7.728561</v>
      </c>
      <c r="D18046" s="7">
        <f>IFERROR(__xludf.DUMMYFUNCTION("""COMPUTED_VALUE"""),0.46551724137931)</f>
        <v>0.4655172414</v>
      </c>
    </row>
    <row r="18047">
      <c r="A18047" s="10" t="s">
        <v>19486</v>
      </c>
      <c r="B18047" s="7" t="str">
        <f>IFERROR(__xludf.DUMMYFUNCTION("SPLIT(A18047,"" "")"),"Cc1cc(NCc2ccccn2)cc(-c2cccc(C)n2)c1")</f>
        <v>Cc1cc(NCc2ccccn2)cc(-c2cccc(C)n2)c1</v>
      </c>
      <c r="C18047" s="7">
        <f>IFERROR(__xludf.DUMMYFUNCTION("""COMPUTED_VALUE"""),7.72855)</f>
        <v>7.72855</v>
      </c>
      <c r="D18047" s="7">
        <f>IFERROR(__xludf.DUMMYFUNCTION("""COMPUTED_VALUE"""),0.392857142857142)</f>
        <v>0.3928571429</v>
      </c>
    </row>
    <row r="18048">
      <c r="A18048" s="10" t="s">
        <v>19487</v>
      </c>
      <c r="B18048" s="7" t="str">
        <f>IFERROR(__xludf.DUMMYFUNCTION("SPLIT(A18048,"" "")"),"CN(c1cccc2ncccc12)C1CCCCC1N(C)c1cccc2nccc(CF)c12")</f>
        <v>CN(c1cccc2ncccc12)C1CCCCC1N(C)c1cccc2nccc(CF)c12</v>
      </c>
      <c r="C18048" s="7">
        <f>IFERROR(__xludf.DUMMYFUNCTION("""COMPUTED_VALUE"""),7.7285423)</f>
        <v>7.7285423</v>
      </c>
      <c r="D18048" s="7">
        <f>IFERROR(__xludf.DUMMYFUNCTION("""COMPUTED_VALUE"""),0.471698113207547)</f>
        <v>0.4716981132</v>
      </c>
    </row>
    <row r="18049">
      <c r="A18049" s="10" t="s">
        <v>19488</v>
      </c>
      <c r="B18049" s="7" t="str">
        <f>IFERROR(__xludf.DUMMYFUNCTION("SPLIT(A18049,"" "")"),"COC(=O)c1cc(CN(Cc2ccccn2)Cc2cccc(-c3ccccc3N(C)C)n2)ccn1")</f>
        <v>COC(=O)c1cc(CN(Cc2ccccn2)Cc2cccc(-c3ccccc3N(C)C)n2)ccn1</v>
      </c>
      <c r="C18049" s="7">
        <f>IFERROR(__xludf.DUMMYFUNCTION("""COMPUTED_VALUE"""),7.7285404)</f>
        <v>7.7285404</v>
      </c>
      <c r="D18049" s="7">
        <f>IFERROR(__xludf.DUMMYFUNCTION("""COMPUTED_VALUE"""),0.454545454545454)</f>
        <v>0.4545454545</v>
      </c>
    </row>
    <row r="18050">
      <c r="A18050" s="10" t="s">
        <v>19489</v>
      </c>
      <c r="B18050" s="7" t="str">
        <f>IFERROR(__xludf.DUMMYFUNCTION("SPLIT(A18050,"" "")"),"Cc1ccc(-c2cccc(NCc3ccccn3)c2)nc1CN(C)Cc1ncccc1-c1cccc(N)c1")</f>
        <v>Cc1ccc(-c2cccc(NCc3ccccn3)c2)nc1CN(C)Cc1ncccc1-c1cccc(N)c1</v>
      </c>
      <c r="C18050" s="7">
        <f>IFERROR(__xludf.DUMMYFUNCTION("""COMPUTED_VALUE"""),7.728536)</f>
        <v>7.728536</v>
      </c>
      <c r="D18050" s="7">
        <f>IFERROR(__xludf.DUMMYFUNCTION("""COMPUTED_VALUE"""),0.338235294117647)</f>
        <v>0.3382352941</v>
      </c>
    </row>
    <row r="18051">
      <c r="A18051" s="10" t="s">
        <v>19490</v>
      </c>
      <c r="B18051" s="7" t="str">
        <f>IFERROR(__xludf.DUMMYFUNCTION("SPLIT(A18051,"" "")"),"Cc1cc(NCc2ccccn2)cc(-c2cc(C)ccn2)c1")</f>
        <v>Cc1cc(NCc2ccccn2)cc(-c2cc(C)ccn2)c1</v>
      </c>
      <c r="C18051" s="7">
        <f>IFERROR(__xludf.DUMMYFUNCTION("""COMPUTED_VALUE"""),7.728536)</f>
        <v>7.728536</v>
      </c>
      <c r="D18051" s="7">
        <f>IFERROR(__xludf.DUMMYFUNCTION("""COMPUTED_VALUE"""),0.386363636363636)</f>
        <v>0.3863636364</v>
      </c>
    </row>
    <row r="18052">
      <c r="A18052" s="10" t="s">
        <v>19491</v>
      </c>
      <c r="B18052" s="7" t="str">
        <f>IFERROR(__xludf.DUMMYFUNCTION("SPLIT(A18052,"" "")"),"c1ccc(C2=NC(c3ccccn3)CO2)nc1")</f>
        <v>c1ccc(C2=NC(c3ccccn3)CO2)nc1</v>
      </c>
      <c r="C18052" s="7">
        <f>IFERROR(__xludf.DUMMYFUNCTION("""COMPUTED_VALUE"""),7.7285275)</f>
        <v>7.7285275</v>
      </c>
      <c r="D18052" s="7">
        <f>IFERROR(__xludf.DUMMYFUNCTION("""COMPUTED_VALUE"""),0.333333333333333)</f>
        <v>0.3333333333</v>
      </c>
    </row>
    <row r="18053">
      <c r="A18053" s="10" t="s">
        <v>19492</v>
      </c>
      <c r="B18053" s="7" t="str">
        <f>IFERROR(__xludf.DUMMYFUNCTION("SPLIT(A18053,"" "")"),"CC(C)N(Cc1ccccn1)Cc1cccc(N(C)c2cccc3ncccc23)n1")</f>
        <v>CC(C)N(Cc1ccccn1)Cc1cccc(N(C)c2cccc3ncccc23)n1</v>
      </c>
      <c r="C18053" s="7">
        <f>IFERROR(__xludf.DUMMYFUNCTION("""COMPUTED_VALUE"""),7.728519)</f>
        <v>7.728519</v>
      </c>
      <c r="D18053" s="7">
        <f>IFERROR(__xludf.DUMMYFUNCTION("""COMPUTED_VALUE"""),0.489795918367346)</f>
        <v>0.4897959184</v>
      </c>
    </row>
    <row r="18054">
      <c r="A18054" s="10" t="s">
        <v>19493</v>
      </c>
      <c r="B18054" s="7" t="str">
        <f>IFERROR(__xludf.DUMMYFUNCTION("SPLIT(A18054,"" "")"),"CN(CCN(C)Cc1nc2ccccc2n1C)Cc1ccc2ncccc2c1")</f>
        <v>CN(CCN(C)Cc1nc2ccccc2n1C)Cc1ccc2ncccc2c1</v>
      </c>
      <c r="C18054" s="7">
        <f>IFERROR(__xludf.DUMMYFUNCTION("""COMPUTED_VALUE"""),7.728518)</f>
        <v>7.728518</v>
      </c>
      <c r="D18054" s="7">
        <f>IFERROR(__xludf.DUMMYFUNCTION("""COMPUTED_VALUE"""),0.425925925925925)</f>
        <v>0.4259259259</v>
      </c>
    </row>
    <row r="18055">
      <c r="A18055" s="10" t="s">
        <v>19494</v>
      </c>
      <c r="B18055" s="7" t="str">
        <f>IFERROR(__xludf.DUMMYFUNCTION("SPLIT(A18055,"" "")"),"Cc1ccc(CN(C)Cc2ccc3cccc(N(C)Cc4ncc(C)c(C)c4C)c3n2)cc1")</f>
        <v>Cc1ccc(CN(C)Cc2ccc3cccc(N(C)Cc4ncc(C)c(C)c4C)c3n2)cc1</v>
      </c>
      <c r="C18055" s="7">
        <f>IFERROR(__xludf.DUMMYFUNCTION("""COMPUTED_VALUE"""),7.7285094)</f>
        <v>7.7285094</v>
      </c>
      <c r="D18055" s="7">
        <f>IFERROR(__xludf.DUMMYFUNCTION("""COMPUTED_VALUE"""),0.345454545454545)</f>
        <v>0.3454545455</v>
      </c>
    </row>
    <row r="18056">
      <c r="A18056" s="10" t="s">
        <v>19495</v>
      </c>
      <c r="B18056" s="7" t="str">
        <f>IFERROR(__xludf.DUMMYFUNCTION("SPLIT(A18056,"" "")"),"CC(C)NCc1ncccc1CN(C)c1cccc2ncccc12")</f>
        <v>CC(C)NCc1ncccc1CN(C)c1cccc2ncccc12</v>
      </c>
      <c r="C18056" s="7">
        <f>IFERROR(__xludf.DUMMYFUNCTION("""COMPUTED_VALUE"""),7.728507)</f>
        <v>7.728507</v>
      </c>
      <c r="D18056" s="7">
        <f>IFERROR(__xludf.DUMMYFUNCTION("""COMPUTED_VALUE"""),0.346153846153846)</f>
        <v>0.3461538462</v>
      </c>
    </row>
    <row r="18057">
      <c r="A18057" s="10" t="s">
        <v>19496</v>
      </c>
      <c r="B18057" s="7" t="str">
        <f>IFERROR(__xludf.DUMMYFUNCTION("SPLIT(A18057,"" "")"),"CN(Cc1ccccn1)Cc1cccc(N(C)Cc2ncccc2-c2cccc(N(C)C)c2)n1")</f>
        <v>CN(Cc1ccccn1)Cc1cccc(N(C)Cc2ncccc2-c2cccc(N(C)C)c2)n1</v>
      </c>
      <c r="C18057" s="7">
        <f>IFERROR(__xludf.DUMMYFUNCTION("""COMPUTED_VALUE"""),7.7284966)</f>
        <v>7.7284966</v>
      </c>
      <c r="D18057" s="7">
        <f>IFERROR(__xludf.DUMMYFUNCTION("""COMPUTED_VALUE"""),0.454545454545454)</f>
        <v>0.4545454545</v>
      </c>
    </row>
    <row r="18058">
      <c r="A18058" s="10" t="s">
        <v>19497</v>
      </c>
      <c r="B18058" s="7" t="str">
        <f>IFERROR(__xludf.DUMMYFUNCTION("SPLIT(A18058,"" "")"),"CCN(Cc1ccccn1)Cc1cc(N(C)c2ccc3nccc(CF)c3c2)ccn1")</f>
        <v>CCN(Cc1ccccn1)Cc1cc(N(C)c2ccc3nccc(CF)c3c2)ccn1</v>
      </c>
      <c r="C18058" s="7">
        <f>IFERROR(__xludf.DUMMYFUNCTION("""COMPUTED_VALUE"""),7.7284274)</f>
        <v>7.7284274</v>
      </c>
      <c r="D18058" s="7">
        <f>IFERROR(__xludf.DUMMYFUNCTION("""COMPUTED_VALUE"""),0.381818181818181)</f>
        <v>0.3818181818</v>
      </c>
    </row>
    <row r="18059">
      <c r="A18059" s="10" t="s">
        <v>19498</v>
      </c>
      <c r="B18059" s="7" t="str">
        <f>IFERROR(__xludf.DUMMYFUNCTION("SPLIT(A18059,"" "")"),"Cc1cccc(CN(C)C2C=CNC(CN(C)c3ccc4ncccc4c3)=C2)n1")</f>
        <v>Cc1cccc(CN(C)C2C=CNC(CN(C)c3ccc4ncccc4c3)=C2)n1</v>
      </c>
      <c r="C18059" s="7">
        <f>IFERROR(__xludf.DUMMYFUNCTION("""COMPUTED_VALUE"""),7.7284136)</f>
        <v>7.7284136</v>
      </c>
      <c r="D18059" s="7">
        <f>IFERROR(__xludf.DUMMYFUNCTION("""COMPUTED_VALUE"""),0.370967741935483)</f>
        <v>0.3709677419</v>
      </c>
    </row>
    <row r="18060">
      <c r="A18060" s="10" t="s">
        <v>19499</v>
      </c>
      <c r="B18060" s="7" t="str">
        <f>IFERROR(__xludf.DUMMYFUNCTION("SPLIT(A18060,"" "")"),"Cc1cnc(-c2cccc(NC3CCC(N(C)c4ccc5ncccc5c4)CC3)c2)cc1-c1cccc(NCc2ccccn2)c1")</f>
        <v>Cc1cnc(-c2cccc(NC3CCC(N(C)c4ccc5ncccc5c4)CC3)c2)cc1-c1cccc(NCc2ccccn2)c1</v>
      </c>
      <c r="C18060" s="7">
        <f>IFERROR(__xludf.DUMMYFUNCTION("""COMPUTED_VALUE"""),7.728406)</f>
        <v>7.728406</v>
      </c>
      <c r="D18060" s="7">
        <f>IFERROR(__xludf.DUMMYFUNCTION("""COMPUTED_VALUE"""),0.308641975308641)</f>
        <v>0.3086419753</v>
      </c>
    </row>
    <row r="18061">
      <c r="A18061" s="10" t="s">
        <v>19500</v>
      </c>
      <c r="B18061" s="7" t="str">
        <f>IFERROR(__xludf.DUMMYFUNCTION("SPLIT(A18061,"" "")"),"CNc1cccc(C2=CCC=CN2)n1")</f>
        <v>CNc1cccc(C2=CCC=CN2)n1</v>
      </c>
      <c r="C18061" s="7">
        <f>IFERROR(__xludf.DUMMYFUNCTION("""COMPUTED_VALUE"""),7.7284036)</f>
        <v>7.7284036</v>
      </c>
      <c r="D18061" s="7">
        <f>IFERROR(__xludf.DUMMYFUNCTION("""COMPUTED_VALUE"""),0.283018867924528)</f>
        <v>0.2830188679</v>
      </c>
    </row>
    <row r="18062">
      <c r="A18062" s="10" t="s">
        <v>19501</v>
      </c>
      <c r="B18062" s="7" t="str">
        <f>IFERROR(__xludf.DUMMYFUNCTION("SPLIT(A18062,"" "")"),"Cc1ccnc(CN(C)Cc2nc3ccccc3n2C)c1")</f>
        <v>Cc1ccnc(CN(C)Cc2nc3ccccc3n2C)c1</v>
      </c>
      <c r="C18062" s="7">
        <f>IFERROR(__xludf.DUMMYFUNCTION("""COMPUTED_VALUE"""),7.7284)</f>
        <v>7.7284</v>
      </c>
      <c r="D18062" s="7">
        <f>IFERROR(__xludf.DUMMYFUNCTION("""COMPUTED_VALUE"""),0.431372549019607)</f>
        <v>0.431372549</v>
      </c>
    </row>
    <row r="18063">
      <c r="A18063" s="10" t="s">
        <v>19502</v>
      </c>
      <c r="B18063" s="7" t="str">
        <f>IFERROR(__xludf.DUMMYFUNCTION("SPLIT(A18063,"" "")"),"Cc1ccc2c(N(C)C3C=CNC(CN(C)Cc4ncccc4C)=C3)cccc2n1")</f>
        <v>Cc1ccc2c(N(C)C3C=CNC(CN(C)Cc4ncccc4C)=C3)cccc2n1</v>
      </c>
      <c r="C18063" s="7">
        <f>IFERROR(__xludf.DUMMYFUNCTION("""COMPUTED_VALUE"""),7.7283964)</f>
        <v>7.7283964</v>
      </c>
      <c r="D18063" s="7">
        <f>IFERROR(__xludf.DUMMYFUNCTION("""COMPUTED_VALUE"""),0.304347826086956)</f>
        <v>0.3043478261</v>
      </c>
    </row>
    <row r="18064">
      <c r="A18064" s="10" t="s">
        <v>19503</v>
      </c>
      <c r="B18064" s="7" t="str">
        <f>IFERROR(__xludf.DUMMYFUNCTION("SPLIT(A18064,"" "")"),"Cc1cnc(CN(C)Cc2cccc(-c3cccc(N=Cc4ccccn4)c3)n2)c(C)c1C")</f>
        <v>Cc1cnc(CN(C)Cc2cccc(-c3cccc(N=Cc4ccccn4)c3)n2)c(C)c1C</v>
      </c>
      <c r="C18064" s="7">
        <f>IFERROR(__xludf.DUMMYFUNCTION("""COMPUTED_VALUE"""),7.728389)</f>
        <v>7.728389</v>
      </c>
      <c r="D18064" s="7">
        <f>IFERROR(__xludf.DUMMYFUNCTION("""COMPUTED_VALUE"""),0.442622950819672)</f>
        <v>0.4426229508</v>
      </c>
    </row>
    <row r="18065">
      <c r="A18065" s="10" t="s">
        <v>19504</v>
      </c>
      <c r="B18065" s="7" t="str">
        <f>IFERROR(__xludf.DUMMYFUNCTION("SPLIT(A18065,"" "")"),"Cc1ccc(-c2ccc(NCc3ccccn3)cc2C)nc1")</f>
        <v>Cc1ccc(-c2ccc(NCc3ccccn3)cc2C)nc1</v>
      </c>
      <c r="C18065" s="7">
        <f>IFERROR(__xludf.DUMMYFUNCTION("""COMPUTED_VALUE"""),7.728385)</f>
        <v>7.728385</v>
      </c>
      <c r="D18065" s="7">
        <f>IFERROR(__xludf.DUMMYFUNCTION("""COMPUTED_VALUE"""),0.369565217391304)</f>
        <v>0.3695652174</v>
      </c>
    </row>
    <row r="18066">
      <c r="A18066" s="10" t="s">
        <v>19505</v>
      </c>
      <c r="B18066" s="7" t="str">
        <f>IFERROR(__xludf.DUMMYFUNCTION("SPLIT(A18066,"" "")"),"Cc1cccnc1CN(C)c1ccc2ccc(CN(C)Cc3ccccn3)nc2c1")</f>
        <v>Cc1cccnc1CN(C)c1ccc2ccc(CN(C)Cc3ccccn3)nc2c1</v>
      </c>
      <c r="C18066" s="7">
        <f>IFERROR(__xludf.DUMMYFUNCTION("""COMPUTED_VALUE"""),7.7283835)</f>
        <v>7.7283835</v>
      </c>
      <c r="D18066" s="7">
        <f>IFERROR(__xludf.DUMMYFUNCTION("""COMPUTED_VALUE"""),0.470588235294117)</f>
        <v>0.4705882353</v>
      </c>
    </row>
    <row r="18067">
      <c r="A18067" s="10" t="s">
        <v>19506</v>
      </c>
      <c r="B18067" s="7" t="str">
        <f>IFERROR(__xludf.DUMMYFUNCTION("SPLIT(A18067,"" "")"),"Cc1cccc(CN(C)C2C=CNC(CN(C)c3ccc4cccnc4c3)=C2)n1")</f>
        <v>Cc1cccc(CN(C)C2C=CNC(CN(C)c3ccc4cccnc4c3)=C2)n1</v>
      </c>
      <c r="C18067" s="7">
        <f>IFERROR(__xludf.DUMMYFUNCTION("""COMPUTED_VALUE"""),7.7283826)</f>
        <v>7.7283826</v>
      </c>
      <c r="D18067" s="7">
        <f>IFERROR(__xludf.DUMMYFUNCTION("""COMPUTED_VALUE"""),0.365079365079365)</f>
        <v>0.3650793651</v>
      </c>
    </row>
    <row r="18068">
      <c r="A18068" s="10" t="s">
        <v>19507</v>
      </c>
      <c r="B18068" s="7" t="str">
        <f>IFERROR(__xludf.DUMMYFUNCTION("SPLIT(A18068,"" "")"),"Cc1ccc(CN(Cc2ccccn2)C2=C(CN(C)c3cccc4ccc(CN(C)C)nc34)NC=CC2)nc1")</f>
        <v>Cc1ccc(CN(Cc2ccccn2)C2=C(CN(C)c3cccc4ccc(CN(C)C)nc34)NC=CC2)nc1</v>
      </c>
      <c r="C18068" s="7">
        <f>IFERROR(__xludf.DUMMYFUNCTION("""COMPUTED_VALUE"""),7.728382)</f>
        <v>7.728382</v>
      </c>
      <c r="D18068" s="7">
        <f>IFERROR(__xludf.DUMMYFUNCTION("""COMPUTED_VALUE"""),0.318840579710144)</f>
        <v>0.3188405797</v>
      </c>
    </row>
    <row r="18069">
      <c r="A18069" s="10" t="s">
        <v>19508</v>
      </c>
      <c r="B18069" s="7" t="str">
        <f>IFERROR(__xludf.DUMMYFUNCTION("SPLIT(A18069,"" "")"),"CN(C)Cc1ccnc2cccc(N(C)C3CCC(N(C)c4cccc5cccnc45)CC3)c12")</f>
        <v>CN(C)Cc1ccnc2cccc(N(C)C3CCC(N(C)c4cccc5cccnc45)CC3)c12</v>
      </c>
      <c r="C18069" s="7">
        <f>IFERROR(__xludf.DUMMYFUNCTION("""COMPUTED_VALUE"""),7.7283745)</f>
        <v>7.7283745</v>
      </c>
      <c r="D18069" s="7">
        <f>IFERROR(__xludf.DUMMYFUNCTION("""COMPUTED_VALUE"""),0.5)</f>
        <v>0.5</v>
      </c>
    </row>
    <row r="18070">
      <c r="A18070" s="10" t="s">
        <v>19509</v>
      </c>
      <c r="B18070" s="7" t="str">
        <f>IFERROR(__xludf.DUMMYFUNCTION("SPLIT(A18070,"" "")"),"CCN(Cc1ccccn1)Cc1ncccc1N(C)c1cccc2ncccc12")</f>
        <v>CCN(Cc1ccccn1)Cc1ncccc1N(C)c1cccc2ncccc12</v>
      </c>
      <c r="C18070" s="7">
        <f>IFERROR(__xludf.DUMMYFUNCTION("""COMPUTED_VALUE"""),7.728368)</f>
        <v>7.728368</v>
      </c>
      <c r="D18070" s="7">
        <f>IFERROR(__xludf.DUMMYFUNCTION("""COMPUTED_VALUE"""),0.422222222222222)</f>
        <v>0.4222222222</v>
      </c>
    </row>
    <row r="18071">
      <c r="A18071" s="10" t="s">
        <v>19510</v>
      </c>
      <c r="B18071" s="7" t="str">
        <f>IFERROR(__xludf.DUMMYFUNCTION("SPLIT(A18071,"" "")"),"CN(Cc1ccccn1)c1ccc(-c2ccccc2)nc1")</f>
        <v>CN(Cc1ccccn1)c1ccc(-c2ccccc2)nc1</v>
      </c>
      <c r="C18071" s="7">
        <f>IFERROR(__xludf.DUMMYFUNCTION("""COMPUTED_VALUE"""),7.7283587)</f>
        <v>7.7283587</v>
      </c>
      <c r="D18071" s="7">
        <f>IFERROR(__xludf.DUMMYFUNCTION("""COMPUTED_VALUE"""),0.488372093023255)</f>
        <v>0.488372093</v>
      </c>
    </row>
    <row r="18072">
      <c r="A18072" s="10" t="s">
        <v>19511</v>
      </c>
      <c r="B18072" s="7" t="str">
        <f>IFERROR(__xludf.DUMMYFUNCTION("SPLIT(A18072,"" "")"),"CC(C)N(Cc1ccccn1)c1ccc(N(C)C2CCC(N(C)c3ccc4ccc(CF)nc4c3)CC2)c2cccnc12")</f>
        <v>CC(C)N(Cc1ccccn1)c1ccc(N(C)C2CCC(N(C)c3ccc4ccc(CF)nc4c3)CC2)c2cccnc12</v>
      </c>
      <c r="C18072" s="7">
        <f>IFERROR(__xludf.DUMMYFUNCTION("""COMPUTED_VALUE"""),7.7283506)</f>
        <v>7.7283506</v>
      </c>
      <c r="D18072" s="7">
        <f>IFERROR(__xludf.DUMMYFUNCTION("""COMPUTED_VALUE"""),0.333333333333333)</f>
        <v>0.3333333333</v>
      </c>
    </row>
    <row r="18073">
      <c r="A18073" s="10" t="s">
        <v>19512</v>
      </c>
      <c r="B18073" s="7" t="str">
        <f>IFERROR(__xludf.DUMMYFUNCTION("SPLIT(A18073,"" "")"),"Cc1cc(C)c(CN(C)CC2=CC(N(C)c3ccc4ncccc4c3)C=CN2)nc1C")</f>
        <v>Cc1cc(C)c(CN(C)CC2=CC(N(C)c3ccc4ncccc4c3)C=CN2)nc1C</v>
      </c>
      <c r="C18073" s="7">
        <f>IFERROR(__xludf.DUMMYFUNCTION("""COMPUTED_VALUE"""),7.728344)</f>
        <v>7.728344</v>
      </c>
      <c r="D18073" s="7">
        <f>IFERROR(__xludf.DUMMYFUNCTION("""COMPUTED_VALUE"""),0.289855072463768)</f>
        <v>0.2898550725</v>
      </c>
    </row>
    <row r="18074">
      <c r="A18074" s="10" t="s">
        <v>19513</v>
      </c>
      <c r="B18074" s="7" t="str">
        <f>IFERROR(__xludf.DUMMYFUNCTION("SPLIT(A18074,"" "")"),"CNCc1cccc(-c2ccc(N(C)Cc3ccccn3)cc2C)n1")</f>
        <v>CNCc1cccc(-c2ccc(N(C)Cc3ccccn3)cc2C)n1</v>
      </c>
      <c r="C18074" s="7">
        <f>IFERROR(__xludf.DUMMYFUNCTION("""COMPUTED_VALUE"""),7.728325)</f>
        <v>7.728325</v>
      </c>
      <c r="D18074" s="7">
        <f>IFERROR(__xludf.DUMMYFUNCTION("""COMPUTED_VALUE"""),0.452830188679245)</f>
        <v>0.4528301887</v>
      </c>
    </row>
    <row r="18075">
      <c r="A18075" s="10" t="s">
        <v>19514</v>
      </c>
      <c r="B18075" s="7" t="str">
        <f>IFERROR(__xludf.DUMMYFUNCTION("SPLIT(A18075,"" "")"),"CN(c1ccc2ncc3c(c2c1)CCC3)C1CCC(N(C)c2cccc3ncc4c(c23)CCC4)CC1")</f>
        <v>CN(c1ccc2ncc3c(c2c1)CCC3)C1CCC(N(C)c2cccc3ncc4c(c23)CCC4)CC1</v>
      </c>
      <c r="C18075" s="7">
        <f>IFERROR(__xludf.DUMMYFUNCTION("""COMPUTED_VALUE"""),7.728323)</f>
        <v>7.728323</v>
      </c>
      <c r="D18075" s="7">
        <f>IFERROR(__xludf.DUMMYFUNCTION("""COMPUTED_VALUE"""),0.318181818181818)</f>
        <v>0.3181818182</v>
      </c>
    </row>
    <row r="18076">
      <c r="A18076" s="10" t="s">
        <v>19515</v>
      </c>
      <c r="B18076" s="7" t="str">
        <f>IFERROR(__xludf.DUMMYFUNCTION("SPLIT(A18076,"" "")"),"CNc1c(Cl)ccc(C)c1N(C)Cc1cc(C)ccn1")</f>
        <v>CNc1c(Cl)ccc(C)c1N(C)Cc1cc(C)ccn1</v>
      </c>
      <c r="C18076" s="7">
        <f>IFERROR(__xludf.DUMMYFUNCTION("""COMPUTED_VALUE"""),7.7283173)</f>
        <v>7.7283173</v>
      </c>
      <c r="D18076" s="7">
        <f>IFERROR(__xludf.DUMMYFUNCTION("""COMPUTED_VALUE"""),0.38)</f>
        <v>0.38</v>
      </c>
    </row>
    <row r="18077">
      <c r="A18077" s="10" t="s">
        <v>19516</v>
      </c>
      <c r="B18077" s="7" t="str">
        <f>IFERROR(__xludf.DUMMYFUNCTION("SPLIT(A18077,"" "")"),"CN(Cc1ccccn1)C1=CNC(N(C)c2ccc(Cl)c(Cl)c2)=CC1")</f>
        <v>CN(Cc1ccccn1)C1=CNC(N(C)c2ccc(Cl)c(Cl)c2)=CC1</v>
      </c>
      <c r="C18077" s="7">
        <f>IFERROR(__xludf.DUMMYFUNCTION("""COMPUTED_VALUE"""),7.7283154)</f>
        <v>7.7283154</v>
      </c>
      <c r="D18077" s="7">
        <f>IFERROR(__xludf.DUMMYFUNCTION("""COMPUTED_VALUE"""),0.5)</f>
        <v>0.5</v>
      </c>
    </row>
    <row r="18078">
      <c r="A18078" s="10" t="s">
        <v>19517</v>
      </c>
      <c r="B18078" s="7" t="str">
        <f>IFERROR(__xludf.DUMMYFUNCTION("SPLIT(A18078,"" "")"),"C1=C(c2ccccc2)C(c2ccccc2)=C(c2ccc(-c3ccccc3)c(-c3ccccc3)c2NCc2ccccn2)C(NCc2ccccn2)C1")</f>
        <v>C1=C(c2ccccc2)C(c2ccccc2)=C(c2ccc(-c3ccccc3)c(-c3ccccc3)c2NCc2ccccn2)C(NCc2ccccn2)C1</v>
      </c>
      <c r="C18078" s="7">
        <f>IFERROR(__xludf.DUMMYFUNCTION("""COMPUTED_VALUE"""),7.7283134)</f>
        <v>7.7283134</v>
      </c>
      <c r="D18078" s="7">
        <f>IFERROR(__xludf.DUMMYFUNCTION("""COMPUTED_VALUE"""),0.451612903225806)</f>
        <v>0.4516129032</v>
      </c>
    </row>
    <row r="18079">
      <c r="A18079" s="10" t="s">
        <v>19518</v>
      </c>
      <c r="B18079" s="7" t="str">
        <f>IFERROR(__xludf.DUMMYFUNCTION("SPLIT(A18079,"" "")"),"Cc1ccc(C)c(CN(C)c2ccc(C)c(N(C)Cc3ccccn3)c2C)n1")</f>
        <v>Cc1ccc(C)c(CN(C)c2ccc(C)c(N(C)Cc3ccccn3)c2C)n1</v>
      </c>
      <c r="C18079" s="7">
        <f>IFERROR(__xludf.DUMMYFUNCTION("""COMPUTED_VALUE"""),7.7283125)</f>
        <v>7.7283125</v>
      </c>
      <c r="D18079" s="7">
        <f>IFERROR(__xludf.DUMMYFUNCTION("""COMPUTED_VALUE"""),0.479166666666666)</f>
        <v>0.4791666667</v>
      </c>
    </row>
    <row r="18080">
      <c r="A18080" s="10" t="s">
        <v>19519</v>
      </c>
      <c r="B18080" s="7" t="str">
        <f>IFERROR(__xludf.DUMMYFUNCTION("SPLIT(A18080,"" "")"),"CNc1cncc(C)c1OC")</f>
        <v>CNc1cncc(C)c1OC</v>
      </c>
      <c r="C18080" s="7">
        <f>IFERROR(__xludf.DUMMYFUNCTION("""COMPUTED_VALUE"""),7.7283034)</f>
        <v>7.7283034</v>
      </c>
      <c r="D18080" s="7">
        <f>IFERROR(__xludf.DUMMYFUNCTION("""COMPUTED_VALUE"""),0.288888888888888)</f>
        <v>0.2888888889</v>
      </c>
    </row>
    <row r="18081">
      <c r="A18081" s="10" t="s">
        <v>19520</v>
      </c>
      <c r="B18081" s="7" t="str">
        <f>IFERROR(__xludf.DUMMYFUNCTION("SPLIT(A18081,"" "")"),"Cc1cncc(CN(C)Cc2ncc(-c3cccc(N=Cc4ccccn4)c3)cc2C)c1")</f>
        <v>Cc1cncc(CN(C)Cc2ncc(-c3cccc(N=Cc4ccccn4)c3)cc2C)c1</v>
      </c>
      <c r="C18081" s="7">
        <f>IFERROR(__xludf.DUMMYFUNCTION("""COMPUTED_VALUE"""),7.728303)</f>
        <v>7.728303</v>
      </c>
      <c r="D18081" s="7">
        <f>IFERROR(__xludf.DUMMYFUNCTION("""COMPUTED_VALUE"""),0.353846153846153)</f>
        <v>0.3538461538</v>
      </c>
    </row>
    <row r="18082">
      <c r="A18082" s="10" t="s">
        <v>19521</v>
      </c>
      <c r="B18082" s="7" t="str">
        <f>IFERROR(__xludf.DUMMYFUNCTION("SPLIT(A18082,"" "")"),"Cc1cncc(CN(C)CC2=CC(N(C)c3cccc4nccc(C)c34)C=CN2)c1")</f>
        <v>Cc1cncc(CN(C)CC2=CC(N(C)c3cccc4nccc(C)c34)C=CN2)c1</v>
      </c>
      <c r="C18082" s="7">
        <f>IFERROR(__xludf.DUMMYFUNCTION("""COMPUTED_VALUE"""),7.728299)</f>
        <v>7.728299</v>
      </c>
      <c r="D18082" s="7">
        <f>IFERROR(__xludf.DUMMYFUNCTION("""COMPUTED_VALUE"""),0.295774647887323)</f>
        <v>0.2957746479</v>
      </c>
    </row>
    <row r="18083">
      <c r="A18083" s="10" t="s">
        <v>19522</v>
      </c>
      <c r="B18083" s="7" t="str">
        <f>IFERROR(__xludf.DUMMYFUNCTION("SPLIT(A18083,"" "")"),"CNCc1cccc(CN(Cc2ncccc2C)c2ccc3ncccc3c2)n1")</f>
        <v>CNCc1cccc(CN(Cc2ncccc2C)c2ccc3ncccc3c2)n1</v>
      </c>
      <c r="C18083" s="7">
        <f>IFERROR(__xludf.DUMMYFUNCTION("""COMPUTED_VALUE"""),7.728297)</f>
        <v>7.728297</v>
      </c>
      <c r="D18083" s="7">
        <f>IFERROR(__xludf.DUMMYFUNCTION("""COMPUTED_VALUE"""),0.3)</f>
        <v>0.3</v>
      </c>
    </row>
    <row r="18084">
      <c r="A18084" s="10" t="s">
        <v>19523</v>
      </c>
      <c r="B18084" s="7" t="str">
        <f>IFERROR(__xludf.DUMMYFUNCTION("SPLIT(A18084,"" "")"),"Cc1ncccc1CN(C)c1ccc2nc(CN(C)Cc3ncccc3N)ccc2c1")</f>
        <v>Cc1ncccc1CN(C)c1ccc2nc(CN(C)Cc3ncccc3N)ccc2c1</v>
      </c>
      <c r="C18084" s="7">
        <f>IFERROR(__xludf.DUMMYFUNCTION("""COMPUTED_VALUE"""),7.7282805)</f>
        <v>7.7282805</v>
      </c>
      <c r="D18084" s="7">
        <f>IFERROR(__xludf.DUMMYFUNCTION("""COMPUTED_VALUE"""),0.316666666666666)</f>
        <v>0.3166666667</v>
      </c>
    </row>
    <row r="18085">
      <c r="A18085" s="10" t="s">
        <v>19524</v>
      </c>
      <c r="B18085" s="7" t="str">
        <f>IFERROR(__xludf.DUMMYFUNCTION("SPLIT(A18085,"" "")"),"Cc1nc(CN(C)CCN(C)c2ccc3nccc(C)c3c2)c(C)c(C)c1C")</f>
        <v>Cc1nc(CN(C)CCN(C)c2ccc3nccc(C)c3c2)c(C)c(C)c1C</v>
      </c>
      <c r="C18085" s="7">
        <f>IFERROR(__xludf.DUMMYFUNCTION("""COMPUTED_VALUE"""),7.728271)</f>
        <v>7.728271</v>
      </c>
      <c r="D18085" s="7">
        <f>IFERROR(__xludf.DUMMYFUNCTION("""COMPUTED_VALUE"""),0.275862068965517)</f>
        <v>0.275862069</v>
      </c>
    </row>
    <row r="18086">
      <c r="A18086" s="10" t="s">
        <v>19525</v>
      </c>
      <c r="B18086" s="7" t="str">
        <f>IFERROR(__xludf.DUMMYFUNCTION("SPLIT(A18086,"" "")"),"Cc1cc(C)c(CN(C)CCN(C)c2ccc3c(C)ccnc3c2)nc1C")</f>
        <v>Cc1cc(C)c(CN(C)CCN(C)c2ccc3c(C)ccnc3c2)nc1C</v>
      </c>
      <c r="C18086" s="7">
        <f>IFERROR(__xludf.DUMMYFUNCTION("""COMPUTED_VALUE"""),7.7282667)</f>
        <v>7.7282667</v>
      </c>
      <c r="D18086" s="7">
        <f>IFERROR(__xludf.DUMMYFUNCTION("""COMPUTED_VALUE"""),0.280701754385964)</f>
        <v>0.2807017544</v>
      </c>
    </row>
    <row r="18087">
      <c r="A18087" s="10" t="s">
        <v>19526</v>
      </c>
      <c r="B18087" s="7" t="str">
        <f>IFERROR(__xludf.DUMMYFUNCTION("SPLIT(A18087,"" "")"),"CN(CC1=CC(N(C)Cc2cccnn2)C=CN1)c1ccc2ncccc2c1")</f>
        <v>CN(CC1=CC(N(C)Cc2cccnn2)C=CN1)c1ccc2ncccc2c1</v>
      </c>
      <c r="C18087" s="7">
        <f>IFERROR(__xludf.DUMMYFUNCTION("""COMPUTED_VALUE"""),7.728266)</f>
        <v>7.728266</v>
      </c>
      <c r="D18087" s="7">
        <f>IFERROR(__xludf.DUMMYFUNCTION("""COMPUTED_VALUE"""),0.344827586206896)</f>
        <v>0.3448275862</v>
      </c>
    </row>
    <row r="18088">
      <c r="A18088" s="10" t="s">
        <v>19527</v>
      </c>
      <c r="B18088" s="7" t="str">
        <f>IFERROR(__xludf.DUMMYFUNCTION("SPLIT(A18088,"" "")"),"CNc1ccc(F)c(N(C)Cc2ccccn2)c1Cl")</f>
        <v>CNc1ccc(F)c(N(C)Cc2ccccn2)c1Cl</v>
      </c>
      <c r="C18088" s="7">
        <f>IFERROR(__xludf.DUMMYFUNCTION("""COMPUTED_VALUE"""),7.72826)</f>
        <v>7.72826</v>
      </c>
      <c r="D18088" s="7">
        <f>IFERROR(__xludf.DUMMYFUNCTION("""COMPUTED_VALUE"""),0.5)</f>
        <v>0.5</v>
      </c>
    </row>
    <row r="18089">
      <c r="A18089" s="10" t="s">
        <v>19528</v>
      </c>
      <c r="B18089" s="7" t="str">
        <f>IFERROR(__xludf.DUMMYFUNCTION("SPLIT(A18089,"" "")"),"Cc1cncc(CN(C)Cc2cccnc2-c2cccc(N=Cc3ccccn3)c2)c1C(C)C")</f>
        <v>Cc1cncc(CN(C)Cc2cccnc2-c2cccc(N=Cc3ccccn3)c2)c1C(C)C</v>
      </c>
      <c r="C18089" s="7">
        <f>IFERROR(__xludf.DUMMYFUNCTION("""COMPUTED_VALUE"""),7.728254)</f>
        <v>7.728254</v>
      </c>
      <c r="D18089" s="7">
        <f>IFERROR(__xludf.DUMMYFUNCTION("""COMPUTED_VALUE"""),0.343283582089552)</f>
        <v>0.3432835821</v>
      </c>
    </row>
    <row r="18090">
      <c r="A18090" s="10" t="s">
        <v>19529</v>
      </c>
      <c r="B18090" s="7" t="str">
        <f>IFERROR(__xludf.DUMMYFUNCTION("SPLIT(A18090,"" "")"),"Cc1ccc(CN(C)c2ccc3nc(CN(C)Cc4cccc(F)n4)ccc3c2)nc1")</f>
        <v>Cc1ccc(CN(C)c2ccc3nc(CN(C)Cc4cccc(F)n4)ccc3c2)nc1</v>
      </c>
      <c r="C18090" s="7">
        <f>IFERROR(__xludf.DUMMYFUNCTION("""COMPUTED_VALUE"""),7.7282486)</f>
        <v>7.7282486</v>
      </c>
      <c r="D18090" s="7">
        <f>IFERROR(__xludf.DUMMYFUNCTION("""COMPUTED_VALUE"""),0.479166666666666)</f>
        <v>0.4791666667</v>
      </c>
    </row>
    <row r="18091">
      <c r="A18091" s="10" t="s">
        <v>19530</v>
      </c>
      <c r="B18091" s="7" t="str">
        <f>IFERROR(__xludf.DUMMYFUNCTION("SPLIT(A18091,"" "")"),"CN(C)Cc1ccnc2cc(N(C)C3CCCC(N(C)c4ccc5cccnc5c4)C3)ccc12")</f>
        <v>CN(C)Cc1ccnc2cc(N(C)C3CCCC(N(C)c4ccc5cccnc5c4)C3)ccc12</v>
      </c>
      <c r="C18091" s="7">
        <f>IFERROR(__xludf.DUMMYFUNCTION("""COMPUTED_VALUE"""),7.728242)</f>
        <v>7.728242</v>
      </c>
      <c r="D18091" s="7">
        <f>IFERROR(__xludf.DUMMYFUNCTION("""COMPUTED_VALUE"""),0.316666666666666)</f>
        <v>0.3166666667</v>
      </c>
    </row>
    <row r="18092">
      <c r="A18092" s="10" t="s">
        <v>19531</v>
      </c>
      <c r="B18092" s="7" t="str">
        <f>IFERROR(__xludf.DUMMYFUNCTION("SPLIT(A18092,"" "")"),"CNCc1ncccc1-c1ccccc1N(C)C")</f>
        <v>CNCc1ncccc1-c1ccccc1N(C)C</v>
      </c>
      <c r="C18092" s="7">
        <f>IFERROR(__xludf.DUMMYFUNCTION("""COMPUTED_VALUE"""),7.7282395)</f>
        <v>7.7282395</v>
      </c>
      <c r="D18092" s="7">
        <f>IFERROR(__xludf.DUMMYFUNCTION("""COMPUTED_VALUE"""),0.34090909090909)</f>
        <v>0.3409090909</v>
      </c>
    </row>
    <row r="18093">
      <c r="A18093" s="10" t="s">
        <v>19532</v>
      </c>
      <c r="B18093" s="7" t="str">
        <f>IFERROR(__xludf.DUMMYFUNCTION("SPLIT(A18093,"" "")"),"CN(c1ccc2cccnc2c1)C1CCCC(N(C)c2cccc3ncccc23)C1")</f>
        <v>CN(c1ccc2cccnc2c1)C1CCCC(N(C)c2cccc3ncccc23)C1</v>
      </c>
      <c r="C18093" s="7">
        <f>IFERROR(__xludf.DUMMYFUNCTION("""COMPUTED_VALUE"""),7.7282305)</f>
        <v>7.7282305</v>
      </c>
      <c r="D18093" s="7">
        <f>IFERROR(__xludf.DUMMYFUNCTION("""COMPUTED_VALUE"""),0.4)</f>
        <v>0.4</v>
      </c>
    </row>
    <row r="18094">
      <c r="A18094" s="10" t="s">
        <v>19533</v>
      </c>
      <c r="B18094" s="7" t="str">
        <f>IFERROR(__xludf.DUMMYFUNCTION("SPLIT(A18094,"" "")"),"CN(C)CCN(C)c1cccc2nccc(CF)c12")</f>
        <v>CN(C)CCN(C)c1cccc2nccc(CF)c12</v>
      </c>
      <c r="C18094" s="7">
        <f>IFERROR(__xludf.DUMMYFUNCTION("""COMPUTED_VALUE"""),7.7282004)</f>
        <v>7.7282004</v>
      </c>
      <c r="D18094" s="7">
        <f>IFERROR(__xludf.DUMMYFUNCTION("""COMPUTED_VALUE"""),0.4)</f>
        <v>0.4</v>
      </c>
    </row>
    <row r="18095">
      <c r="A18095" s="10" t="s">
        <v>19534</v>
      </c>
      <c r="B18095" s="7" t="str">
        <f>IFERROR(__xludf.DUMMYFUNCTION("SPLIT(A18095,"" "")"),"Cc1cncc(C(C)(C)N(C)Cc2ccc3cc(N(C)C)ccc3n2)c1")</f>
        <v>Cc1cncc(C(C)(C)N(C)Cc2ccc3cc(N(C)C)ccc3n2)c1</v>
      </c>
      <c r="C18095" s="7">
        <f>IFERROR(__xludf.DUMMYFUNCTION("""COMPUTED_VALUE"""),7.728194)</f>
        <v>7.728194</v>
      </c>
      <c r="D18095" s="7">
        <f>IFERROR(__xludf.DUMMYFUNCTION("""COMPUTED_VALUE"""),0.294117647058823)</f>
        <v>0.2941176471</v>
      </c>
    </row>
    <row r="18096">
      <c r="A18096" s="10" t="s">
        <v>19535</v>
      </c>
      <c r="B18096" s="7" t="str">
        <f>IFERROR(__xludf.DUMMYFUNCTION("SPLIT(A18096,"" "")"),"Cc1cnc(CN(C)Cc2cccc(-c3ccc(N=Cc4ccccn4)cc3)n2)c(C)c1")</f>
        <v>Cc1cnc(CN(C)Cc2cccc(-c3ccc(N=Cc4ccccn4)cc3)n2)c(C)c1</v>
      </c>
      <c r="C18096" s="7">
        <f>IFERROR(__xludf.DUMMYFUNCTION("""COMPUTED_VALUE"""),7.7281885)</f>
        <v>7.7281885</v>
      </c>
      <c r="D18096" s="7">
        <f>IFERROR(__xludf.DUMMYFUNCTION("""COMPUTED_VALUE"""),0.426229508196721)</f>
        <v>0.4262295082</v>
      </c>
    </row>
    <row r="18097">
      <c r="A18097" s="10" t="s">
        <v>19536</v>
      </c>
      <c r="B18097" s="7" t="str">
        <f>IFERROR(__xludf.DUMMYFUNCTION("SPLIT(A18097,"" "")"),"Cc1cnc(CN(C)Cc2ccc(-c3cccc(N=Cc4ccccn4)c3)nc2)c(C)c1")</f>
        <v>Cc1cnc(CN(C)Cc2ccc(-c3cccc(N=Cc4ccccn4)c3)nc2)c(C)c1</v>
      </c>
      <c r="C18097" s="7">
        <f>IFERROR(__xludf.DUMMYFUNCTION("""COMPUTED_VALUE"""),7.7281885)</f>
        <v>7.7281885</v>
      </c>
      <c r="D18097" s="7">
        <f>IFERROR(__xludf.DUMMYFUNCTION("""COMPUTED_VALUE"""),0.353846153846153)</f>
        <v>0.3538461538</v>
      </c>
    </row>
    <row r="18098">
      <c r="A18098" s="10" t="s">
        <v>19537</v>
      </c>
      <c r="B18098" s="7" t="str">
        <f>IFERROR(__xludf.DUMMYFUNCTION("SPLIT(A18098,"" "")"),"CN(c1ccc2c(CF)ccnc2c1)C1CCC(N(C)c2ccc3c(CF)ccnc3c2)CC1")</f>
        <v>CN(c1ccc2c(CF)ccnc2c1)C1CCC(N(C)c2ccc3c(CF)ccnc3c2)CC1</v>
      </c>
      <c r="C18098" s="7">
        <f>IFERROR(__xludf.DUMMYFUNCTION("""COMPUTED_VALUE"""),7.728184)</f>
        <v>7.728184</v>
      </c>
      <c r="D18098" s="7">
        <f>IFERROR(__xludf.DUMMYFUNCTION("""COMPUTED_VALUE"""),0.258620689655172)</f>
        <v>0.2586206897</v>
      </c>
    </row>
    <row r="18099">
      <c r="A18099" s="10" t="s">
        <v>19538</v>
      </c>
      <c r="B18099" s="7" t="str">
        <f>IFERROR(__xludf.DUMMYFUNCTION("SPLIT(A18099,"" "")"),"Cc1ccc(-c2ccccn2)nc1")</f>
        <v>Cc1ccc(-c2ccccn2)nc1</v>
      </c>
      <c r="C18099" s="7">
        <f>IFERROR(__xludf.DUMMYFUNCTION("""COMPUTED_VALUE"""),7.7281733)</f>
        <v>7.7281733</v>
      </c>
      <c r="D18099" s="7">
        <f>IFERROR(__xludf.DUMMYFUNCTION("""COMPUTED_VALUE"""),0.384615384615384)</f>
        <v>0.3846153846</v>
      </c>
    </row>
    <row r="18100">
      <c r="A18100" s="10" t="s">
        <v>19539</v>
      </c>
      <c r="B18100" s="7" t="str">
        <f>IFERROR(__xludf.DUMMYFUNCTION("SPLIT(A18100,"" "")"),"Cc1ccc(CN(C)Cc2cc(-c3cccc(N=Cc4ccccn4)c3)ccn2)nc1C")</f>
        <v>Cc1ccc(CN(C)Cc2cc(-c3cccc(N=Cc4ccccn4)c3)ccn2)nc1C</v>
      </c>
      <c r="C18100" s="7">
        <f>IFERROR(__xludf.DUMMYFUNCTION("""COMPUTED_VALUE"""),7.728171)</f>
        <v>7.728171</v>
      </c>
      <c r="D18100" s="7">
        <f>IFERROR(__xludf.DUMMYFUNCTION("""COMPUTED_VALUE"""),0.377049180327868)</f>
        <v>0.3770491803</v>
      </c>
    </row>
    <row r="18101">
      <c r="A18101" s="10" t="s">
        <v>19540</v>
      </c>
      <c r="B18101" s="7" t="str">
        <f>IFERROR(__xludf.DUMMYFUNCTION("SPLIT(A18101,"" "")"),"CCN(Cc1ccccn1)c1ccc2nc(C(C)(C)c3ccccn3)ccc2c1")</f>
        <v>CCN(Cc1ccccn1)c1ccc2nc(C(C)(C)c3ccccn3)ccc2c1</v>
      </c>
      <c r="C18101" s="7">
        <f>IFERROR(__xludf.DUMMYFUNCTION("""COMPUTED_VALUE"""),7.728166)</f>
        <v>7.728166</v>
      </c>
      <c r="D18101" s="7">
        <f>IFERROR(__xludf.DUMMYFUNCTION("""COMPUTED_VALUE"""),0.396226415094339)</f>
        <v>0.3962264151</v>
      </c>
    </row>
    <row r="18102">
      <c r="A18102" s="10" t="s">
        <v>19541</v>
      </c>
      <c r="B18102" s="7" t="str">
        <f>IFERROR(__xludf.DUMMYFUNCTION("SPLIT(A18102,"" "")"),"Cc1cnc(CN(C)CC2=CC(N(C)c3ccc4nc(C)ccc4c3)C=CN2)c(C)c1")</f>
        <v>Cc1cnc(CN(C)CC2=CC(N(C)c3ccc4nc(C)ccc4c3)C=CN2)c(C)c1</v>
      </c>
      <c r="C18102" s="7">
        <f>IFERROR(__xludf.DUMMYFUNCTION("""COMPUTED_VALUE"""),7.728165)</f>
        <v>7.728165</v>
      </c>
      <c r="D18102" s="7">
        <f>IFERROR(__xludf.DUMMYFUNCTION("""COMPUTED_VALUE"""),0.289855072463768)</f>
        <v>0.2898550725</v>
      </c>
    </row>
    <row r="18103">
      <c r="A18103" s="10" t="s">
        <v>19542</v>
      </c>
      <c r="B18103" s="7" t="str">
        <f>IFERROR(__xludf.DUMMYFUNCTION("SPLIT(A18103,"" "")"),"CN(c1ccc2cccnc2c1)C1CC2CCC1C2N(C)c1ccc2cccnc2c1")</f>
        <v>CN(c1ccc2cccnc2c1)C1CC2CCC1C2N(C)c1ccc2cccnc2c1</v>
      </c>
      <c r="C18103" s="7">
        <f>IFERROR(__xludf.DUMMYFUNCTION("""COMPUTED_VALUE"""),7.7281647)</f>
        <v>7.7281647</v>
      </c>
      <c r="D18103" s="7">
        <f>IFERROR(__xludf.DUMMYFUNCTION("""COMPUTED_VALUE"""),0.470588235294117)</f>
        <v>0.4705882353</v>
      </c>
    </row>
    <row r="18104">
      <c r="A18104" s="10" t="s">
        <v>19543</v>
      </c>
      <c r="B18104" s="7" t="str">
        <f>IFERROR(__xludf.DUMMYFUNCTION("SPLIT(A18104,"" "")"),"CC(C)N(Cc1cccnc1)c1ccc2ncccc2c1")</f>
        <v>CC(C)N(Cc1cccnc1)c1ccc2ncccc2c1</v>
      </c>
      <c r="C18104" s="7">
        <f>IFERROR(__xludf.DUMMYFUNCTION("""COMPUTED_VALUE"""),7.728164)</f>
        <v>7.728164</v>
      </c>
      <c r="D18104" s="7">
        <f>IFERROR(__xludf.DUMMYFUNCTION("""COMPUTED_VALUE"""),0.294117647058823)</f>
        <v>0.2941176471</v>
      </c>
    </row>
    <row r="18105">
      <c r="A18105" s="10" t="s">
        <v>19544</v>
      </c>
      <c r="B18105" s="7" t="str">
        <f>IFERROR(__xludf.DUMMYFUNCTION("SPLIT(A18105,"" "")"),"CN(Cc1ccccn1)Cc1cc(N(C)Cc2ccccn2)cc2cccnc12")</f>
        <v>CN(Cc1ccccn1)Cc1cc(N(C)Cc2ccccn2)cc2cccnc12</v>
      </c>
      <c r="C18105" s="7">
        <f>IFERROR(__xludf.DUMMYFUNCTION("""COMPUTED_VALUE"""),7.728145)</f>
        <v>7.728145</v>
      </c>
      <c r="D18105" s="7">
        <f>IFERROR(__xludf.DUMMYFUNCTION("""COMPUTED_VALUE"""),0.479166666666666)</f>
        <v>0.4791666667</v>
      </c>
    </row>
    <row r="18106">
      <c r="A18106" s="10" t="s">
        <v>19545</v>
      </c>
      <c r="B18106" s="7" t="str">
        <f>IFERROR(__xludf.DUMMYFUNCTION("SPLIT(A18106,"" "")"),"Cc1cc(C)c(CN(C)Cc2ccnc3cc(N(Cc4ccccn4)C(C)C)ccc23)nc1C")</f>
        <v>Cc1cc(C)c(CN(C)Cc2ccnc3cc(N(Cc4ccccn4)C(C)C)ccc23)nc1C</v>
      </c>
      <c r="C18106" s="7">
        <f>IFERROR(__xludf.DUMMYFUNCTION("""COMPUTED_VALUE"""),7.7281375)</f>
        <v>7.7281375</v>
      </c>
      <c r="D18106" s="7">
        <f>IFERROR(__xludf.DUMMYFUNCTION("""COMPUTED_VALUE"""),0.344262295081967)</f>
        <v>0.3442622951</v>
      </c>
    </row>
    <row r="18107">
      <c r="A18107" s="10" t="s">
        <v>19546</v>
      </c>
      <c r="B18107" s="7" t="str">
        <f>IFERROR(__xludf.DUMMYFUNCTION("SPLIT(A18107,"" "")"),"CN(Cc1cccnn1)C1CCCC(N(C)c2ccc3cc(-c4ccc5cccnc5c4)cnc3c2)C1")</f>
        <v>CN(Cc1cccnn1)C1CCCC(N(C)c2ccc3cc(-c4ccc5cccnc5c4)cnc3c2)C1</v>
      </c>
      <c r="C18107" s="7">
        <f>IFERROR(__xludf.DUMMYFUNCTION("""COMPUTED_VALUE"""),7.7281327)</f>
        <v>7.7281327</v>
      </c>
      <c r="D18107" s="7">
        <f>IFERROR(__xludf.DUMMYFUNCTION("""COMPUTED_VALUE"""),0.317460317460317)</f>
        <v>0.3174603175</v>
      </c>
    </row>
    <row r="18108">
      <c r="A18108" s="10" t="s">
        <v>19547</v>
      </c>
      <c r="B18108" s="7" t="str">
        <f>IFERROR(__xludf.DUMMYFUNCTION("SPLIT(A18108,"" "")"),"Cc1cnc(CN(C)Cc2ccc(-c3cccc(N(C)C)c3)nc2)c(C)c1C")</f>
        <v>Cc1cnc(CN(C)Cc2ccc(-c3cccc(N(C)C)c3)nc2)c(C)c1C</v>
      </c>
      <c r="C18108" s="7">
        <f>IFERROR(__xludf.DUMMYFUNCTION("""COMPUTED_VALUE"""),7.7281275)</f>
        <v>7.7281275</v>
      </c>
      <c r="D18108" s="7">
        <f>IFERROR(__xludf.DUMMYFUNCTION("""COMPUTED_VALUE"""),0.266666666666666)</f>
        <v>0.2666666667</v>
      </c>
    </row>
    <row r="18109">
      <c r="A18109" s="10" t="s">
        <v>19548</v>
      </c>
      <c r="B18109" s="7" t="str">
        <f>IFERROR(__xludf.DUMMYFUNCTION("SPLIT(A18109,"" "")"),"CC1(C)COC(c2cccc(CN(Cc3ccccn3)Cc3cccc(-c4ccccc4N=Cc4ccccn4)n3)n2)=N1")</f>
        <v>CC1(C)COC(c2cccc(CN(Cc3ccccn3)Cc3cccc(-c4ccccc4N=Cc4ccccn4)n3)n2)=N1</v>
      </c>
      <c r="C18109" s="7">
        <f>IFERROR(__xludf.DUMMYFUNCTION("""COMPUTED_VALUE"""),7.7281256)</f>
        <v>7.7281256</v>
      </c>
      <c r="D18109" s="7">
        <f>IFERROR(__xludf.DUMMYFUNCTION("""COMPUTED_VALUE"""),0.416666666666666)</f>
        <v>0.4166666667</v>
      </c>
    </row>
    <row r="18110">
      <c r="A18110" s="10" t="s">
        <v>19549</v>
      </c>
      <c r="B18110" s="7" t="str">
        <f>IFERROR(__xludf.DUMMYFUNCTION("SPLIT(A18110,"" "")"),"CC(C)N(C)Cc1ccnc2cccc(N(C)C)c12")</f>
        <v>CC(C)N(C)Cc1ccnc2cccc(N(C)C)c12</v>
      </c>
      <c r="C18110" s="7">
        <f>IFERROR(__xludf.DUMMYFUNCTION("""COMPUTED_VALUE"""),7.728124)</f>
        <v>7.728124</v>
      </c>
      <c r="D18110" s="7">
        <f>IFERROR(__xludf.DUMMYFUNCTION("""COMPUTED_VALUE"""),0.319148936170212)</f>
        <v>0.3191489362</v>
      </c>
    </row>
    <row r="18111">
      <c r="A18111" s="10" t="s">
        <v>19550</v>
      </c>
      <c r="B18111" s="7" t="str">
        <f>IFERROR(__xludf.DUMMYFUNCTION("SPLIT(A18111,"" "")"),"CNCc1cc(-c2cccc(C)c2N(C)Cc2cc(C)ccn2)ccn1")</f>
        <v>CNCc1cc(-c2cccc(C)c2N(C)Cc2cc(C)ccn2)ccn1</v>
      </c>
      <c r="C18111" s="7">
        <f>IFERROR(__xludf.DUMMYFUNCTION("""COMPUTED_VALUE"""),7.7281194)</f>
        <v>7.7281194</v>
      </c>
      <c r="D18111" s="7">
        <f>IFERROR(__xludf.DUMMYFUNCTION("""COMPUTED_VALUE"""),0.298245614035087)</f>
        <v>0.298245614</v>
      </c>
    </row>
    <row r="18112">
      <c r="A18112" s="10" t="s">
        <v>19551</v>
      </c>
      <c r="B18112" s="7" t="str">
        <f>IFERROR(__xludf.DUMMYFUNCTION("SPLIT(A18112,"" "")"),"CN(Cc1cccc(F)n1)Cc1nc2ccccc2n1C")</f>
        <v>CN(Cc1cccc(F)n1)Cc1nc2ccccc2n1C</v>
      </c>
      <c r="C18112" s="7">
        <f>IFERROR(__xludf.DUMMYFUNCTION("""COMPUTED_VALUE"""),7.728113)</f>
        <v>7.728113</v>
      </c>
      <c r="D18112" s="7">
        <f>IFERROR(__xludf.DUMMYFUNCTION("""COMPUTED_VALUE"""),0.458333333333333)</f>
        <v>0.4583333333</v>
      </c>
    </row>
    <row r="18113">
      <c r="A18113" s="10" t="s">
        <v>19552</v>
      </c>
      <c r="B18113" s="7" t="str">
        <f>IFERROR(__xludf.DUMMYFUNCTION("SPLIT(A18113,"" "")"),"CN(C)c1cccc(C(C)(C)CN(Cc2ccccn2)c2ccc3ncccc3c2)c1")</f>
        <v>CN(C)c1cccc(C(C)(C)CN(Cc2ccccn2)c2ccc3ncccc3c2)c1</v>
      </c>
      <c r="C18113" s="7">
        <f>IFERROR(__xludf.DUMMYFUNCTION("""COMPUTED_VALUE"""),7.728111)</f>
        <v>7.728111</v>
      </c>
      <c r="D18113" s="7">
        <f>IFERROR(__xludf.DUMMYFUNCTION("""COMPUTED_VALUE"""),0.379310344827586)</f>
        <v>0.3793103448</v>
      </c>
    </row>
    <row r="18114">
      <c r="A18114" s="10" t="s">
        <v>19553</v>
      </c>
      <c r="B18114" s="7" t="str">
        <f>IFERROR(__xludf.DUMMYFUNCTION("SPLIT(A18114,"" "")"),"Cc1cc(C)nc(CN(C)Cc2ccnc3c(C)cccc23)c1")</f>
        <v>Cc1cc(C)nc(CN(C)Cc2ccnc3c(C)cccc23)c1</v>
      </c>
      <c r="C18114" s="7">
        <f>IFERROR(__xludf.DUMMYFUNCTION("""COMPUTED_VALUE"""),7.7281075)</f>
        <v>7.7281075</v>
      </c>
      <c r="D18114" s="7">
        <f>IFERROR(__xludf.DUMMYFUNCTION("""COMPUTED_VALUE"""),0.36734693877551)</f>
        <v>0.3673469388</v>
      </c>
    </row>
    <row r="18115">
      <c r="A18115" s="10" t="s">
        <v>19554</v>
      </c>
      <c r="B18115" s="7" t="str">
        <f>IFERROR(__xludf.DUMMYFUNCTION("SPLIT(A18115,"" "")"),"CN(c1cccc2ncccc12)C1CCCC(N(C)c2cccc3nc(CF)ccc23)C1")</f>
        <v>CN(c1cccc2ncccc12)C1CCCC(N(C)c2cccc3nc(CF)ccc23)C1</v>
      </c>
      <c r="C18115" s="7">
        <f>IFERROR(__xludf.DUMMYFUNCTION("""COMPUTED_VALUE"""),7.7281046)</f>
        <v>7.7281046</v>
      </c>
      <c r="D18115" s="7">
        <f>IFERROR(__xludf.DUMMYFUNCTION("""COMPUTED_VALUE"""),0.43103448275862)</f>
        <v>0.4310344828</v>
      </c>
    </row>
    <row r="18116">
      <c r="A18116" s="10" t="s">
        <v>19555</v>
      </c>
      <c r="B18116" s="7" t="str">
        <f>IFERROR(__xludf.DUMMYFUNCTION("SPLIT(A18116,"" "")"),"CC1(C)COC(c2ncccc2CN(Cc2ccccn2)Cc2ccc(-c3cccc(N=Cc4ccccn4)c3)cn2)=N1")</f>
        <v>CC1(C)COC(c2ncccc2CN(Cc2ccccn2)Cc2ccc(-c3cccc(N=Cc4ccccn4)c3)cn2)=N1</v>
      </c>
      <c r="C18116" s="7">
        <f>IFERROR(__xludf.DUMMYFUNCTION("""COMPUTED_VALUE"""),7.728104)</f>
        <v>7.728104</v>
      </c>
      <c r="D18116" s="7">
        <f>IFERROR(__xludf.DUMMYFUNCTION("""COMPUTED_VALUE"""),0.308641975308641)</f>
        <v>0.3086419753</v>
      </c>
    </row>
    <row r="18117">
      <c r="A18117" s="10" t="s">
        <v>19556</v>
      </c>
      <c r="B18117" s="7" t="str">
        <f>IFERROR(__xludf.DUMMYFUNCTION("SPLIT(A18117,"" "")"),"CC1(C)COC(c2cccc(CN(Cc3ccccn3)Cc3ccc(-c4cccc(N=Cc5ccccn5)c4)cn3)n2)=N1")</f>
        <v>CC1(C)COC(c2cccc(CN(Cc3ccccn3)Cc3ccc(-c4cccc(N=Cc5ccccn5)c4)cn3)n2)=N1</v>
      </c>
      <c r="C18117" s="7">
        <f>IFERROR(__xludf.DUMMYFUNCTION("""COMPUTED_VALUE"""),7.728098)</f>
        <v>7.728098</v>
      </c>
      <c r="D18117" s="7">
        <f>IFERROR(__xludf.DUMMYFUNCTION("""COMPUTED_VALUE"""),0.394736842105263)</f>
        <v>0.3947368421</v>
      </c>
    </row>
    <row r="18118">
      <c r="A18118" s="10" t="s">
        <v>19557</v>
      </c>
      <c r="B18118" s="7" t="str">
        <f>IFERROR(__xludf.DUMMYFUNCTION("SPLIT(A18118,"" "")"),"Cc1c(C)c(N(C)Cc2ccccn2)c(C)c(N(Cc2ccccn2)C(C)(C)N(Cc2ccccn2)c2c(C)c(C)c(C)c(N(C)Cc3ccccn3)c2C)c1C")</f>
        <v>Cc1c(C)c(N(C)Cc2ccccn2)c(C)c(N(Cc2ccccn2)C(C)(C)N(Cc2ccccn2)c2c(C)c(C)c(C)c(N(C)Cc3ccccn3)c2C)c1C</v>
      </c>
      <c r="C18118" s="7">
        <f>IFERROR(__xludf.DUMMYFUNCTION("""COMPUTED_VALUE"""),7.728097)</f>
        <v>7.728097</v>
      </c>
      <c r="D18118" s="7">
        <f>IFERROR(__xludf.DUMMYFUNCTION("""COMPUTED_VALUE"""),0.466666666666666)</f>
        <v>0.4666666667</v>
      </c>
    </row>
    <row r="18119">
      <c r="A18119" s="10" t="s">
        <v>19558</v>
      </c>
      <c r="B18119" s="7" t="str">
        <f>IFERROR(__xludf.DUMMYFUNCTION("SPLIT(A18119,"" "")"),"CN(c1ccc2cccnc2c1)C1CCCC(N(C)c2ccc3c(CF)ccnc3c2)C1")</f>
        <v>CN(c1ccc2cccnc2c1)C1CCCC(N(C)c2ccc3c(CF)ccnc3c2)C1</v>
      </c>
      <c r="C18119" s="7">
        <f>IFERROR(__xludf.DUMMYFUNCTION("""COMPUTED_VALUE"""),7.7280955)</f>
        <v>7.7280955</v>
      </c>
      <c r="D18119" s="7">
        <f>IFERROR(__xludf.DUMMYFUNCTION("""COMPUTED_VALUE"""),0.316666666666666)</f>
        <v>0.3166666667</v>
      </c>
    </row>
    <row r="18120">
      <c r="A18120" s="10" t="s">
        <v>19559</v>
      </c>
      <c r="B18120" s="7" t="str">
        <f>IFERROR(__xludf.DUMMYFUNCTION("SPLIT(A18120,"" "")"),"CC1N=COC1c1ncccc1CN(C)Cc1cc(-c2cccc(N=Cc3ccccn3)c2)ccn1")</f>
        <v>CC1N=COC1c1ncccc1CN(C)Cc1cc(-c2cccc(N=Cc3ccccn3)c2)ccn1</v>
      </c>
      <c r="C18120" s="7">
        <f>IFERROR(__xludf.DUMMYFUNCTION("""COMPUTED_VALUE"""),7.7280717)</f>
        <v>7.7280717</v>
      </c>
      <c r="D18120" s="7">
        <f>IFERROR(__xludf.DUMMYFUNCTION("""COMPUTED_VALUE"""),0.287671232876712)</f>
        <v>0.2876712329</v>
      </c>
    </row>
    <row r="18121">
      <c r="A18121" s="10" t="s">
        <v>19560</v>
      </c>
      <c r="B18121" s="7" t="str">
        <f>IFERROR(__xludf.DUMMYFUNCTION("SPLIT(A18121,"" "")"),"Cc1cccc(CN(Cc2ccccn2)Cc2ccc3cccc(N(C)Cc4ncccc4C(C)(c4ccccn4)c4ccccn4)c3n2)n1")</f>
        <v>Cc1cccc(CN(Cc2ccccn2)Cc2ccc3cccc(N(C)Cc4ncccc4C(C)(c4ccccn4)c4ccccn4)c3n2)n1</v>
      </c>
      <c r="C18121" s="7">
        <f>IFERROR(__xludf.DUMMYFUNCTION("""COMPUTED_VALUE"""),7.7280607)</f>
        <v>7.7280607</v>
      </c>
      <c r="D18121" s="7">
        <f>IFERROR(__xludf.DUMMYFUNCTION("""COMPUTED_VALUE"""),0.403225806451612)</f>
        <v>0.4032258065</v>
      </c>
    </row>
    <row r="18122">
      <c r="A18122" s="10" t="s">
        <v>19561</v>
      </c>
      <c r="B18122" s="7" t="str">
        <f>IFERROR(__xludf.DUMMYFUNCTION("SPLIT(A18122,"" "")"),"CN(c1ccc2ncccc2c1)C1CCCC(N(C)c2cccc3ncccc23)C1")</f>
        <v>CN(c1ccc2ncccc2c1)C1CCCC(N(C)c2cccc3ncccc23)C1</v>
      </c>
      <c r="C18122" s="7">
        <f>IFERROR(__xludf.DUMMYFUNCTION("""COMPUTED_VALUE"""),7.72806)</f>
        <v>7.72806</v>
      </c>
      <c r="D18122" s="7">
        <f>IFERROR(__xludf.DUMMYFUNCTION("""COMPUTED_VALUE"""),0.407407407407407)</f>
        <v>0.4074074074</v>
      </c>
    </row>
    <row r="18123">
      <c r="A18123" s="10" t="s">
        <v>19562</v>
      </c>
      <c r="B18123" s="7" t="str">
        <f>IFERROR(__xludf.DUMMYFUNCTION("SPLIT(A18123,"" "")"),"CN(Cc1ccccn1)Cc1ccc(N(C)Cc2ccc(-c3cccc(N(C)C)c3)cn2)cn1")</f>
        <v>CN(Cc1ccccn1)Cc1ccc(N(C)Cc2ccc(-c3cccc(N(C)C)c3)cn2)cn1</v>
      </c>
      <c r="C18123" s="7">
        <f>IFERROR(__xludf.DUMMYFUNCTION("""COMPUTED_VALUE"""),7.728058)</f>
        <v>7.728058</v>
      </c>
      <c r="D18123" s="7">
        <f>IFERROR(__xludf.DUMMYFUNCTION("""COMPUTED_VALUE"""),0.442307692307692)</f>
        <v>0.4423076923</v>
      </c>
    </row>
    <row r="18124">
      <c r="A18124" s="10" t="s">
        <v>19563</v>
      </c>
      <c r="B18124" s="7" t="str">
        <f>IFERROR(__xludf.DUMMYFUNCTION("SPLIT(A18124,"" "")"),"CC(C)c1cccc(CN(Cc2ccccn2)c2ccc3nc(CN(C)C)ccc3c2)n1")</f>
        <v>CC(C)c1cccc(CN(Cc2ccccn2)c2ccc3nc(CN(C)C)ccc3c2)n1</v>
      </c>
      <c r="C18124" s="7">
        <f>IFERROR(__xludf.DUMMYFUNCTION("""COMPUTED_VALUE"""),7.7280474)</f>
        <v>7.7280474</v>
      </c>
      <c r="D18124" s="7">
        <f>IFERROR(__xludf.DUMMYFUNCTION("""COMPUTED_VALUE"""),0.452830188679245)</f>
        <v>0.4528301887</v>
      </c>
    </row>
    <row r="18125">
      <c r="A18125" s="10" t="s">
        <v>19564</v>
      </c>
      <c r="B18125" s="7" t="str">
        <f>IFERROR(__xludf.DUMMYFUNCTION("SPLIT(A18125,"" "")"),"CN(c1ccc2c(CF)ccnc2c1)C1CCC(N(C)c2ccc3nccc(CF)c3c2)CC1")</f>
        <v>CN(c1ccc2c(CF)ccnc2c1)C1CCC(N(C)c2ccc3nccc(CF)c3c2)CC1</v>
      </c>
      <c r="C18125" s="7">
        <f>IFERROR(__xludf.DUMMYFUNCTION("""COMPUTED_VALUE"""),7.7280426)</f>
        <v>7.7280426</v>
      </c>
      <c r="D18125" s="7">
        <f>IFERROR(__xludf.DUMMYFUNCTION("""COMPUTED_VALUE"""),0.241935483870967)</f>
        <v>0.2419354839</v>
      </c>
    </row>
    <row r="18126">
      <c r="A18126" s="10" t="s">
        <v>19565</v>
      </c>
      <c r="B18126" s="7" t="str">
        <f>IFERROR(__xludf.DUMMYFUNCTION("SPLIT(A18126,"" "")"),"CCNCc1cccc(-c2cccc(N(C)Cc3ccccn3)c2-c2cccc(NCc3ccccn3)c2)n1")</f>
        <v>CCNCc1cccc(-c2cccc(N(C)Cc3ccccn3)c2-c2cccc(NCc3ccccn3)c2)n1</v>
      </c>
      <c r="C18126" s="7">
        <f>IFERROR(__xludf.DUMMYFUNCTION("""COMPUTED_VALUE"""),7.7280407)</f>
        <v>7.7280407</v>
      </c>
      <c r="D18126" s="7">
        <f>IFERROR(__xludf.DUMMYFUNCTION("""COMPUTED_VALUE"""),0.393442622950819)</f>
        <v>0.393442623</v>
      </c>
    </row>
    <row r="18127">
      <c r="A18127" s="10" t="s">
        <v>19566</v>
      </c>
      <c r="B18127" s="7" t="str">
        <f>IFERROR(__xludf.DUMMYFUNCTION("SPLIT(A18127,"" "")"),"Cc1cc(CN(C)c2ccc3nc(CN(C)Cc4ccccn4)ccc3c2)cnc1C")</f>
        <v>Cc1cc(CN(C)c2ccc3nc(CN(C)Cc4ccccn4)ccc3c2)cnc1C</v>
      </c>
      <c r="C18127" s="7">
        <f>IFERROR(__xludf.DUMMYFUNCTION("""COMPUTED_VALUE"""),7.72804)</f>
        <v>7.72804</v>
      </c>
      <c r="D18127" s="7">
        <f>IFERROR(__xludf.DUMMYFUNCTION("""COMPUTED_VALUE"""),0.436363636363636)</f>
        <v>0.4363636364</v>
      </c>
    </row>
    <row r="18128">
      <c r="A18128" s="10" t="s">
        <v>19567</v>
      </c>
      <c r="B18128" s="7" t="str">
        <f>IFERROR(__xludf.DUMMYFUNCTION("SPLIT(A18128,"" "")"),"CN(c1ccc2cccnc2c1)C1CC2CCC1C2N(C)c1ccc2ncccc2c1")</f>
        <v>CN(c1ccc2cccnc2c1)C1CC2CCC1C2N(C)c1ccc2ncccc2c1</v>
      </c>
      <c r="C18128" s="7">
        <f>IFERROR(__xludf.DUMMYFUNCTION("""COMPUTED_VALUE"""),7.7280235)</f>
        <v>7.7280235</v>
      </c>
      <c r="D18128" s="7">
        <f>IFERROR(__xludf.DUMMYFUNCTION("""COMPUTED_VALUE"""),0.444444444444444)</f>
        <v>0.4444444444</v>
      </c>
    </row>
    <row r="18129">
      <c r="A18129" s="10" t="s">
        <v>19568</v>
      </c>
      <c r="B18129" s="7" t="str">
        <f>IFERROR(__xludf.DUMMYFUNCTION("SPLIT(A18129,"" "")"),"CN(c1ccc2ncccc2c1)C1CC2CCC1C2N(C)c1ccc2cccnc2c1")</f>
        <v>CN(c1ccc2ncccc2c1)C1CC2CCC1C2N(C)c1ccc2cccnc2c1</v>
      </c>
      <c r="C18129" s="7">
        <f>IFERROR(__xludf.DUMMYFUNCTION("""COMPUTED_VALUE"""),7.7280207)</f>
        <v>7.7280207</v>
      </c>
      <c r="D18129" s="7">
        <f>IFERROR(__xludf.DUMMYFUNCTION("""COMPUTED_VALUE"""),0.444444444444444)</f>
        <v>0.4444444444</v>
      </c>
    </row>
    <row r="18130">
      <c r="A18130" s="10" t="s">
        <v>19569</v>
      </c>
      <c r="B18130" s="7" t="str">
        <f>IFERROR(__xludf.DUMMYFUNCTION("SPLIT(A18130,"" "")"),"CNCc1cncc(-c2ccc(N(C)Cc3ccccn3)cc2C)c1")</f>
        <v>CNCc1cncc(-c2ccc(N(C)Cc3ccccn3)cc2C)c1</v>
      </c>
      <c r="C18130" s="7">
        <f>IFERROR(__xludf.DUMMYFUNCTION("""COMPUTED_VALUE"""),7.7280183)</f>
        <v>7.7280183</v>
      </c>
      <c r="D18130" s="7">
        <f>IFERROR(__xludf.DUMMYFUNCTION("""COMPUTED_VALUE"""),0.392857142857142)</f>
        <v>0.3928571429</v>
      </c>
    </row>
    <row r="18131">
      <c r="A18131" s="10" t="s">
        <v>19570</v>
      </c>
      <c r="B18131" s="7" t="str">
        <f>IFERROR(__xludf.DUMMYFUNCTION("SPLIT(A18131,"" "")"),"COC(=O)c1cccc(C(=O)Cc2ccc(C3=NC(=O)C(C)(C(=O)C(=O)C(=O)C(=O)C(=O)C(=O)C(=O)C(=O)C(C)C(=O)C(=O)C(=O)C(C)C(=O)C(=O)C(=O)C(C)C(=O)C(=O)C(=O)C(=O)C(C)C(C)C(C)C(C)C(=O)C(=O)C(=O)C=O)O3)c(C3=NC(=O)C(=O)O3)n2)n1")</f>
        <v>COC(=O)c1cccc(C(=O)Cc2ccc(C3=NC(=O)C(C)(C(=O)C(=O)C(=O)C(=O)C(=O)C(=O)C(=O)C(=O)C(C)C(=O)C(=O)C(=O)C(C)C(=O)C(=O)C(=O)C(C)C(=O)C(=O)C(=O)C(=O)C(C)C(C)C(C)C(C)C(=O)C(=O)C(=O)C=O)O3)c(C3=NC(=O)C(=O)O3)n2)n1</v>
      </c>
      <c r="C18131" s="7">
        <f>IFERROR(__xludf.DUMMYFUNCTION("""COMPUTED_VALUE"""),7.728016)</f>
        <v>7.728016</v>
      </c>
      <c r="D18131" s="7">
        <f>IFERROR(__xludf.DUMMYFUNCTION("""COMPUTED_VALUE"""),0.150537634408602)</f>
        <v>0.1505376344</v>
      </c>
    </row>
    <row r="18132">
      <c r="A18132" s="10" t="s">
        <v>19571</v>
      </c>
      <c r="B18132" s="7" t="str">
        <f>IFERROR(__xludf.DUMMYFUNCTION("SPLIT(A18132,"" "")"),"CCCN(Cc1ccccn1)c1cc2ncccc2cc1-c1ncccc1CN(Cc1ccccn1)Cc1ncc(N)c(C)c1C")</f>
        <v>CCCN(Cc1ccccn1)c1cc2ncccc2cc1-c1ncccc1CN(Cc1ccccn1)Cc1ncc(N)c(C)c1C</v>
      </c>
      <c r="C18132" s="7">
        <f>IFERROR(__xludf.DUMMYFUNCTION("""COMPUTED_VALUE"""),7.7279997)</f>
        <v>7.7279997</v>
      </c>
      <c r="D18132" s="7">
        <f>IFERROR(__xludf.DUMMYFUNCTION("""COMPUTED_VALUE"""),0.342857142857142)</f>
        <v>0.3428571429</v>
      </c>
    </row>
    <row r="18133">
      <c r="A18133" s="10" t="s">
        <v>19572</v>
      </c>
      <c r="B18133" s="7" t="str">
        <f>IFERROR(__xludf.DUMMYFUNCTION("SPLIT(A18133,"" "")"),"Cc1cc(CN(C)CC2=CC(N(C)c3ccc4nccc(C)c4c3)C=CN2)ccn1")</f>
        <v>Cc1cc(CN(C)CC2=CC(N(C)c3ccc4nccc(C)c4c3)C=CN2)ccn1</v>
      </c>
      <c r="C18133" s="7">
        <f>IFERROR(__xludf.DUMMYFUNCTION("""COMPUTED_VALUE"""),7.7279935)</f>
        <v>7.7279935</v>
      </c>
      <c r="D18133" s="7">
        <f>IFERROR(__xludf.DUMMYFUNCTION("""COMPUTED_VALUE"""),0.318181818181818)</f>
        <v>0.3181818182</v>
      </c>
    </row>
    <row r="18134">
      <c r="A18134" s="10" t="s">
        <v>19573</v>
      </c>
      <c r="B18134" s="7" t="str">
        <f>IFERROR(__xludf.DUMMYFUNCTION("SPLIT(A18134,"" "")"),"COC(=O)c1ccc(CN(Cc2ccccn2)Cc2cc(-c3ccccc3N(C)C)ccn2)cn1")</f>
        <v>COC(=O)c1ccc(CN(Cc2ccccn2)Cc2cc(-c3ccccc3N(C)C)ccn2)cn1</v>
      </c>
      <c r="C18134" s="7">
        <f>IFERROR(__xludf.DUMMYFUNCTION("""COMPUTED_VALUE"""),7.727985)</f>
        <v>7.727985</v>
      </c>
      <c r="D18134" s="7">
        <f>IFERROR(__xludf.DUMMYFUNCTION("""COMPUTED_VALUE"""),0.357142857142857)</f>
        <v>0.3571428571</v>
      </c>
    </row>
    <row r="18135">
      <c r="A18135" s="10" t="s">
        <v>19574</v>
      </c>
      <c r="B18135" s="7" t="str">
        <f>IFERROR(__xludf.DUMMYFUNCTION("SPLIT(A18135,"" "")"),"Cc1cnc(CN(C)Cc2cccc(-c3ccc(N=Cc4ccccn4)cc3)n2)c(C)c1C")</f>
        <v>Cc1cnc(CN(C)Cc2cccc(-c3ccc(N=Cc4ccccn4)cc3)n2)c(C)c1C</v>
      </c>
      <c r="C18135" s="7">
        <f>IFERROR(__xludf.DUMMYFUNCTION("""COMPUTED_VALUE"""),7.7279563)</f>
        <v>7.7279563</v>
      </c>
      <c r="D18135" s="7">
        <f>IFERROR(__xludf.DUMMYFUNCTION("""COMPUTED_VALUE"""),0.457627118644067)</f>
        <v>0.4576271186</v>
      </c>
    </row>
    <row r="18136">
      <c r="A18136" s="10" t="s">
        <v>19575</v>
      </c>
      <c r="B18136" s="7" t="str">
        <f>IFERROR(__xludf.DUMMYFUNCTION("SPLIT(A18136,"" "")"),"CN(c1ccc2ncccc2c1)C1CCCC(N(C)c2ccc3c(CF)ccnc3c2)C1")</f>
        <v>CN(c1ccc2ncccc2c1)C1CCCC(N(C)c2ccc3c(CF)ccnc3c2)C1</v>
      </c>
      <c r="C18136" s="7">
        <f>IFERROR(__xludf.DUMMYFUNCTION("""COMPUTED_VALUE"""),7.7279506)</f>
        <v>7.7279506</v>
      </c>
      <c r="D18136" s="7">
        <f>IFERROR(__xludf.DUMMYFUNCTION("""COMPUTED_VALUE"""),0.316666666666666)</f>
        <v>0.3166666667</v>
      </c>
    </row>
    <row r="18137">
      <c r="A18137" s="10" t="s">
        <v>19576</v>
      </c>
      <c r="B18137" s="7" t="str">
        <f>IFERROR(__xludf.DUMMYFUNCTION("SPLIT(A18137,"" "")"),"CCN(Cc1ccccn1)Cc1ccc2cccc(N(C)Cc3cccc(N(C)C)n3)c2n1")</f>
        <v>CCN(Cc1ccccn1)Cc1ccc2cccc(N(C)Cc3cccc(N(C)C)n3)c2n1</v>
      </c>
      <c r="C18137" s="7">
        <f>IFERROR(__xludf.DUMMYFUNCTION("""COMPUTED_VALUE"""),7.727949)</f>
        <v>7.727949</v>
      </c>
      <c r="D18137" s="7">
        <f>IFERROR(__xludf.DUMMYFUNCTION("""COMPUTED_VALUE"""),0.452830188679245)</f>
        <v>0.4528301887</v>
      </c>
    </row>
    <row r="18138">
      <c r="A18138" s="10" t="s">
        <v>19577</v>
      </c>
      <c r="B18138" s="7" t="str">
        <f>IFERROR(__xludf.DUMMYFUNCTION("SPLIT(A18138,"" "")"),"Cc1cccc(N(C)C2CCCCC2N(C)c2ccc3nc(CN(C)C)ccc3c2)c1-c1cccc(-c2ccccc2)n1")</f>
        <v>Cc1cccc(N(C)C2CCCCC2N(C)c2ccc3nc(CN(C)C)ccc3c2)c1-c1cccc(-c2ccccc2)n1</v>
      </c>
      <c r="C18138" s="7">
        <f>IFERROR(__xludf.DUMMYFUNCTION("""COMPUTED_VALUE"""),7.72794)</f>
        <v>7.72794</v>
      </c>
      <c r="D18138" s="7">
        <f>IFERROR(__xludf.DUMMYFUNCTION("""COMPUTED_VALUE"""),0.38235294117647)</f>
        <v>0.3823529412</v>
      </c>
    </row>
    <row r="18139">
      <c r="A18139" s="10" t="s">
        <v>19578</v>
      </c>
      <c r="B18139" s="7" t="str">
        <f>IFERROR(__xludf.DUMMYFUNCTION("SPLIT(A18139,"" "")"),"Cc1ccc2nccc(CN(C)Cc3ncc(C)c(C)c3C)c2c1")</f>
        <v>Cc1ccc2nccc(CN(C)Cc3ncc(C)c(C)c3C)c2c1</v>
      </c>
      <c r="C18139" s="7">
        <f>IFERROR(__xludf.DUMMYFUNCTION("""COMPUTED_VALUE"""),7.727933)</f>
        <v>7.727933</v>
      </c>
      <c r="D18139" s="7">
        <f>IFERROR(__xludf.DUMMYFUNCTION("""COMPUTED_VALUE"""),0.32)</f>
        <v>0.32</v>
      </c>
    </row>
    <row r="18140">
      <c r="A18140" s="10" t="s">
        <v>19579</v>
      </c>
      <c r="B18140" s="7" t="str">
        <f>IFERROR(__xludf.DUMMYFUNCTION("SPLIT(A18140,"" "")"),"CN(Cc1ccccc1)c1ccc2nc(CF)ccc2c1")</f>
        <v>CN(Cc1ccccc1)c1ccc2nc(CF)ccc2c1</v>
      </c>
      <c r="C18140" s="7">
        <f>IFERROR(__xludf.DUMMYFUNCTION("""COMPUTED_VALUE"""),7.7279243)</f>
        <v>7.7279243</v>
      </c>
      <c r="D18140" s="7">
        <f>IFERROR(__xludf.DUMMYFUNCTION("""COMPUTED_VALUE"""),0.38095238095238)</f>
        <v>0.380952381</v>
      </c>
    </row>
    <row r="18141">
      <c r="A18141" s="10" t="s">
        <v>19580</v>
      </c>
      <c r="B18141" s="7" t="str">
        <f>IFERROR(__xludf.DUMMYFUNCTION("SPLIT(A18141,"" "")"),"Cc1c(CN(C)Cc2ccccn2)nc(-c2ccc(N=Cc3ccccn3)cc2)c(C)c1C")</f>
        <v>Cc1c(CN(C)Cc2ccccn2)nc(-c2ccc(N=Cc3ccccn3)cc2)c(C)c1C</v>
      </c>
      <c r="C18141" s="7">
        <f>IFERROR(__xludf.DUMMYFUNCTION("""COMPUTED_VALUE"""),7.7279215)</f>
        <v>7.7279215</v>
      </c>
      <c r="D18141" s="7">
        <f>IFERROR(__xludf.DUMMYFUNCTION("""COMPUTED_VALUE"""),0.396551724137931)</f>
        <v>0.3965517241</v>
      </c>
    </row>
    <row r="18142">
      <c r="A18142" s="10" t="s">
        <v>19581</v>
      </c>
      <c r="B18142" s="7" t="str">
        <f>IFERROR(__xludf.DUMMYFUNCTION("SPLIT(A18142,"" "")"),"CN(C)c1cccc(-c2cccc(CN(Cc3ccccn3)Cc3cccc(F)n3)n2)c1C1=CCC=CN1")</f>
        <v>CN(C)c1cccc(-c2cccc(CN(Cc3ccccn3)Cc3cccc(F)n3)n2)c1C1=CCC=CN1</v>
      </c>
      <c r="C18142" s="7">
        <f>IFERROR(__xludf.DUMMYFUNCTION("""COMPUTED_VALUE"""),7.727915)</f>
        <v>7.727915</v>
      </c>
      <c r="D18142" s="7">
        <f>IFERROR(__xludf.DUMMYFUNCTION("""COMPUTED_VALUE"""),0.476190476190476)</f>
        <v>0.4761904762</v>
      </c>
    </row>
    <row r="18143">
      <c r="A18143" s="10" t="s">
        <v>19582</v>
      </c>
      <c r="B18143" s="7" t="str">
        <f>IFERROR(__xludf.DUMMYFUNCTION("SPLIT(A18143,"" "")"),"Cc1cccnc1CN(C)Cc1c(N(C)Cc2ccccn2)ccc2cccnc12")</f>
        <v>Cc1cccnc1CN(C)Cc1c(N(C)Cc2ccccn2)ccc2cccnc12</v>
      </c>
      <c r="C18143" s="7">
        <f>IFERROR(__xludf.DUMMYFUNCTION("""COMPUTED_VALUE"""),7.727913)</f>
        <v>7.727913</v>
      </c>
      <c r="D18143" s="7">
        <f>IFERROR(__xludf.DUMMYFUNCTION("""COMPUTED_VALUE"""),0.442307692307692)</f>
        <v>0.4423076923</v>
      </c>
    </row>
    <row r="18144">
      <c r="A18144" s="10" t="s">
        <v>19583</v>
      </c>
      <c r="B18144" s="7" t="str">
        <f>IFERROR(__xludf.DUMMYFUNCTION("SPLIT(A18144,"" "")"),"CN(c1ccc2nccc(CF)c2c1)C1CCC(N(C)c2ccc3nccc(CF)c3c2)CC1")</f>
        <v>CN(c1ccc2nccc(CF)c2c1)C1CCC(N(C)c2ccc3nccc(CF)c3c2)CC1</v>
      </c>
      <c r="C18144" s="7">
        <f>IFERROR(__xludf.DUMMYFUNCTION("""COMPUTED_VALUE"""),7.727905)</f>
        <v>7.727905</v>
      </c>
      <c r="D18144" s="7">
        <f>IFERROR(__xludf.DUMMYFUNCTION("""COMPUTED_VALUE"""),0.254237288135593)</f>
        <v>0.2542372881</v>
      </c>
    </row>
    <row r="18145">
      <c r="A18145" s="10" t="s">
        <v>19584</v>
      </c>
      <c r="B18145" s="7" t="str">
        <f>IFERROR(__xludf.DUMMYFUNCTION("SPLIT(A18145,"" "")"),"CNc1ccc(C)c(N(C)Cc2cc(C)ccn2)c1Cl")</f>
        <v>CNc1ccc(C)c(N(C)Cc2cc(C)ccn2)c1Cl</v>
      </c>
      <c r="C18145" s="7">
        <f>IFERROR(__xludf.DUMMYFUNCTION("""COMPUTED_VALUE"""),7.7279043)</f>
        <v>7.7279043</v>
      </c>
      <c r="D18145" s="7">
        <f>IFERROR(__xludf.DUMMYFUNCTION("""COMPUTED_VALUE"""),0.352941176470588)</f>
        <v>0.3529411765</v>
      </c>
    </row>
    <row r="18146">
      <c r="A18146" s="10" t="s">
        <v>19585</v>
      </c>
      <c r="B18146" s="7" t="str">
        <f>IFERROR(__xludf.DUMMYFUNCTION("SPLIT(A18146,"" "")"),"CN(c1ccc2ncccc2c1)C1CC2CCC1C2N(C)c1ccc2ncccc2c1")</f>
        <v>CN(c1ccc2ncccc2c1)C1CC2CCC1C2N(C)c1ccc2ncccc2c1</v>
      </c>
      <c r="C18146" s="7">
        <f>IFERROR(__xludf.DUMMYFUNCTION("""COMPUTED_VALUE"""),7.72789)</f>
        <v>7.72789</v>
      </c>
      <c r="D18146" s="7">
        <f>IFERROR(__xludf.DUMMYFUNCTION("""COMPUTED_VALUE"""),0.48)</f>
        <v>0.48</v>
      </c>
    </row>
    <row r="18147">
      <c r="A18147" s="10" t="s">
        <v>19586</v>
      </c>
      <c r="B18147" s="7" t="str">
        <f>IFERROR(__xludf.DUMMYFUNCTION("SPLIT(A18147,"" "")"),"CN(c1ccc2cccnc2c1)C1CCCC(N(C)c2ccc3nccc(CF)c3c2)C1")</f>
        <v>CN(c1ccc2cccnc2c1)C1CCCC(N(C)c2ccc3nccc(CF)c3c2)C1</v>
      </c>
      <c r="C18147" s="7">
        <f>IFERROR(__xludf.DUMMYFUNCTION("""COMPUTED_VALUE"""),7.727884)</f>
        <v>7.727884</v>
      </c>
      <c r="D18147" s="7">
        <f>IFERROR(__xludf.DUMMYFUNCTION("""COMPUTED_VALUE"""),0.306451612903225)</f>
        <v>0.3064516129</v>
      </c>
    </row>
    <row r="18148">
      <c r="A18148" s="10" t="s">
        <v>19587</v>
      </c>
      <c r="B18148" s="7" t="str">
        <f>IFERROR(__xludf.DUMMYFUNCTION("SPLIT(A18148,"" "")"),"Cc1cc(CN(C)Cc2ccnc3ccc(N(Cc4ccccn4)C(C)C)cc23)nc(C)c1C")</f>
        <v>Cc1cc(CN(C)Cc2ccnc3ccc(N(Cc4ccccn4)C(C)C)cc23)nc(C)c1C</v>
      </c>
      <c r="C18148" s="7">
        <f>IFERROR(__xludf.DUMMYFUNCTION("""COMPUTED_VALUE"""),7.7278786)</f>
        <v>7.7278786</v>
      </c>
      <c r="D18148" s="7">
        <f>IFERROR(__xludf.DUMMYFUNCTION("""COMPUTED_VALUE"""),0.359375)</f>
        <v>0.359375</v>
      </c>
    </row>
    <row r="18149">
      <c r="A18149" s="10" t="s">
        <v>19588</v>
      </c>
      <c r="B18149" s="7" t="str">
        <f>IFERROR(__xludf.DUMMYFUNCTION("SPLIT(A18149,"" "")"),"Cc1ccc(N=Cc2ccccn2)c(C(C)(c2ccccn2)c2ccccn2)c1")</f>
        <v>Cc1ccc(N=Cc2ccccn2)c(C(C)(c2ccccn2)c2ccccn2)c1</v>
      </c>
      <c r="C18149" s="7">
        <f>IFERROR(__xludf.DUMMYFUNCTION("""COMPUTED_VALUE"""),7.727876)</f>
        <v>7.727876</v>
      </c>
      <c r="D18149" s="7">
        <f>IFERROR(__xludf.DUMMYFUNCTION("""COMPUTED_VALUE"""),0.479166666666666)</f>
        <v>0.4791666667</v>
      </c>
    </row>
    <row r="18150">
      <c r="A18150" s="10" t="s">
        <v>19589</v>
      </c>
      <c r="B18150" s="7" t="str">
        <f>IFERROR(__xludf.DUMMYFUNCTION("SPLIT(A18150,"" "")"),"Cc1ccnc(C)c1N(C)C")</f>
        <v>Cc1ccnc(C)c1N(C)C</v>
      </c>
      <c r="C18150" s="7">
        <f>IFERROR(__xludf.DUMMYFUNCTION("""COMPUTED_VALUE"""),7.7278705)</f>
        <v>7.7278705</v>
      </c>
      <c r="D18150" s="7">
        <f>IFERROR(__xludf.DUMMYFUNCTION("""COMPUTED_VALUE"""),0.243243243243243)</f>
        <v>0.2432432432</v>
      </c>
    </row>
    <row r="18151">
      <c r="A18151" s="10" t="s">
        <v>19590</v>
      </c>
      <c r="B18151" s="7" t="str">
        <f>IFERROR(__xludf.DUMMYFUNCTION("SPLIT(A18151,"" "")"),"CC(C)(CN(Cc1ccccn1)c1ccc2ncccc2c1)c1cccc(N=Cc2ccccn2)c1")</f>
        <v>CC(C)(CN(Cc1ccccn1)c1ccc2ncccc2c1)c1cccc(N=Cc2ccccn2)c1</v>
      </c>
      <c r="C18151" s="7">
        <f>IFERROR(__xludf.DUMMYFUNCTION("""COMPUTED_VALUE"""),7.7278643)</f>
        <v>7.7278643</v>
      </c>
      <c r="D18151" s="7">
        <f>IFERROR(__xludf.DUMMYFUNCTION("""COMPUTED_VALUE"""),0.323076923076923)</f>
        <v>0.3230769231</v>
      </c>
    </row>
    <row r="18152">
      <c r="A18152" s="10" t="s">
        <v>19591</v>
      </c>
      <c r="B18152" s="7" t="str">
        <f>IFERROR(__xludf.DUMMYFUNCTION("SPLIT(A18152,"" "")"),"CCNCC1=C(N(C)c2ccc3cccnc3c2)CC=CN1")</f>
        <v>CCNCC1=C(N(C)c2ccc3cccnc3c2)CC=CN1</v>
      </c>
      <c r="C18152" s="7">
        <f>IFERROR(__xludf.DUMMYFUNCTION("""COMPUTED_VALUE"""),7.727864)</f>
        <v>7.727864</v>
      </c>
      <c r="D18152" s="7">
        <f>IFERROR(__xludf.DUMMYFUNCTION("""COMPUTED_VALUE"""),0.262295081967213)</f>
        <v>0.262295082</v>
      </c>
    </row>
    <row r="18153">
      <c r="A18153" s="10" t="s">
        <v>19592</v>
      </c>
      <c r="B18153" s="7" t="str">
        <f>IFERROR(__xludf.DUMMYFUNCTION("SPLIT(A18153,"" "")"),"CCNCc1cccc(-c2cccc(-c3ccc(NCc4ccccn4)cc3C)n2)n1")</f>
        <v>CCNCc1cccc(-c2cccc(-c3ccc(NCc4ccccn4)cc3C)n2)n1</v>
      </c>
      <c r="C18153" s="7">
        <f>IFERROR(__xludf.DUMMYFUNCTION("""COMPUTED_VALUE"""),7.72786)</f>
        <v>7.72786</v>
      </c>
      <c r="D18153" s="7">
        <f>IFERROR(__xludf.DUMMYFUNCTION("""COMPUTED_VALUE"""),0.38)</f>
        <v>0.38</v>
      </c>
    </row>
    <row r="18154">
      <c r="A18154" s="10" t="s">
        <v>19593</v>
      </c>
      <c r="B18154" s="7" t="str">
        <f>IFERROR(__xludf.DUMMYFUNCTION("SPLIT(A18154,"" "")"),"Cc1ccnc2cc(N(CCN(C)C)Cc3ccccn3)ccc12")</f>
        <v>Cc1ccnc2cc(N(CCN(C)C)Cc3ccccn3)ccc12</v>
      </c>
      <c r="C18154" s="7">
        <f>IFERROR(__xludf.DUMMYFUNCTION("""COMPUTED_VALUE"""),7.7278585)</f>
        <v>7.7278585</v>
      </c>
      <c r="D18154" s="7">
        <f>IFERROR(__xludf.DUMMYFUNCTION("""COMPUTED_VALUE"""),0.489361702127659)</f>
        <v>0.4893617021</v>
      </c>
    </row>
    <row r="18155">
      <c r="A18155" s="10" t="s">
        <v>19594</v>
      </c>
      <c r="B18155" s="7" t="str">
        <f>IFERROR(__xludf.DUMMYFUNCTION("SPLIT(A18155,"" "")"),"CN(c1cccc2ncccc12)C1CCC(N(C)c2cccc3ncccc23)CC1")</f>
        <v>CN(c1cccc2ncccc12)C1CCC(N(C)c2cccc3ncccc23)CC1</v>
      </c>
      <c r="C18155" s="7">
        <f>IFERROR(__xludf.DUMMYFUNCTION("""COMPUTED_VALUE"""),7.727853)</f>
        <v>7.727853</v>
      </c>
      <c r="D18155" s="7">
        <f>IFERROR(__xludf.DUMMYFUNCTION("""COMPUTED_VALUE"""),0.431818181818181)</f>
        <v>0.4318181818</v>
      </c>
    </row>
    <row r="18156">
      <c r="A18156" s="10" t="s">
        <v>19595</v>
      </c>
      <c r="B18156" s="7" t="str">
        <f>IFERROR(__xludf.DUMMYFUNCTION("SPLIT(A18156,"" "")"),"CC(C)N(Cc1ccccn1)Cc1ccc(N(C)c2cccc3ncccc23)cn1")</f>
        <v>CC(C)N(Cc1ccccn1)Cc1ccc(N(C)c2cccc3ncccc23)cn1</v>
      </c>
      <c r="C18156" s="7">
        <f>IFERROR(__xludf.DUMMYFUNCTION("""COMPUTED_VALUE"""),7.727843)</f>
        <v>7.727843</v>
      </c>
      <c r="D18156" s="7">
        <f>IFERROR(__xludf.DUMMYFUNCTION("""COMPUTED_VALUE"""),0.5)</f>
        <v>0.5</v>
      </c>
    </row>
    <row r="18157">
      <c r="A18157" s="10" t="s">
        <v>19596</v>
      </c>
      <c r="B18157" s="7" t="str">
        <f>IFERROR(__xludf.DUMMYFUNCTION("SPLIT(A18157,"" "")"),"CC(C(=O)C(=O)C(=O)C(=O)C(=O)C(=O)C(=O)C(=O)C(=O)C(=O)C(=O)C(=O)C(=O)C(=O)C(=O)C(=O)C(=O)C(=O)C(=O)C(=O)C(=O)C(=O)C(=O)C(=O)C(=O)C(=O)C(=O)C(=O)C=O)C(=O)C(=O)C(=O)C(=O)C(=O)C(=O)c1cccc(C2CCC2(C)C)n1")</f>
        <v>CC(C(=O)C(=O)C(=O)C(=O)C(=O)C(=O)C(=O)C(=O)C(=O)C(=O)C(=O)C(=O)C(=O)C(=O)C(=O)C(=O)C(=O)C(=O)C(=O)C(=O)C(=O)C(=O)C(=O)C(=O)C(=O)C(=O)C(=O)C(=O)C=O)C(=O)C(=O)C(=O)C(=O)C(=O)C(=O)c1cccc(C2CCC2(C)C)n1</v>
      </c>
      <c r="C18157" s="7">
        <f>IFERROR(__xludf.DUMMYFUNCTION("""COMPUTED_VALUE"""),7.727831)</f>
        <v>7.727831</v>
      </c>
      <c r="D18157" s="7">
        <f>IFERROR(__xludf.DUMMYFUNCTION("""COMPUTED_VALUE"""),0.202702702702702)</f>
        <v>0.2027027027</v>
      </c>
    </row>
    <row r="18158">
      <c r="A18158" s="10" t="s">
        <v>19597</v>
      </c>
      <c r="B18158" s="7" t="str">
        <f>IFERROR(__xludf.DUMMYFUNCTION("SPLIT(A18158,"" "")"),"CN(Cc1ccccn1)Cc1ncccc1N(C)Cc1ncccc1-c1ccc(N)cc1Cl")</f>
        <v>CN(Cc1ccccn1)Cc1ncccc1N(C)Cc1ncccc1-c1ccc(N)cc1Cl</v>
      </c>
      <c r="C18158" s="7">
        <f>IFERROR(__xludf.DUMMYFUNCTION("""COMPUTED_VALUE"""),7.727823)</f>
        <v>7.727823</v>
      </c>
      <c r="D18158" s="7">
        <f>IFERROR(__xludf.DUMMYFUNCTION("""COMPUTED_VALUE"""),0.490566037735849)</f>
        <v>0.4905660377</v>
      </c>
    </row>
    <row r="18159">
      <c r="A18159" s="10" t="s">
        <v>19598</v>
      </c>
      <c r="B18159" s="7" t="str">
        <f>IFERROR(__xludf.DUMMYFUNCTION("SPLIT(A18159,"" "")"),"Cc1cnc(CN(C)c2ccc3nc(CN(C)C(C)C)ccc3c2)c(C)c1C")</f>
        <v>Cc1cnc(CN(C)c2ccc3nc(CN(C)C(C)C)ccc3c2)c(C)c1C</v>
      </c>
      <c r="C18159" s="7">
        <f>IFERROR(__xludf.DUMMYFUNCTION("""COMPUTED_VALUE"""),7.727821)</f>
        <v>7.727821</v>
      </c>
      <c r="D18159" s="7">
        <f>IFERROR(__xludf.DUMMYFUNCTION("""COMPUTED_VALUE"""),0.296296296296296)</f>
        <v>0.2962962963</v>
      </c>
    </row>
    <row r="18160">
      <c r="A18160" s="10" t="s">
        <v>19599</v>
      </c>
      <c r="B18160" s="7" t="str">
        <f>IFERROR(__xludf.DUMMYFUNCTION("SPLIT(A18160,"" "")"),"Cc1ccc(CN(Cc2ccccn2)c2ccccc2)nc1-c1cccc(N(C)C)c1")</f>
        <v>Cc1ccc(CN(Cc2ccccn2)c2ccccc2)nc1-c1cccc(N(C)C)c1</v>
      </c>
      <c r="C18160" s="7">
        <f>IFERROR(__xludf.DUMMYFUNCTION("""COMPUTED_VALUE"""),7.727819)</f>
        <v>7.727819</v>
      </c>
      <c r="D18160" s="7">
        <f>IFERROR(__xludf.DUMMYFUNCTION("""COMPUTED_VALUE"""),0.407407407407407)</f>
        <v>0.4074074074</v>
      </c>
    </row>
    <row r="18161">
      <c r="A18161" s="10" t="s">
        <v>19600</v>
      </c>
      <c r="B18161" s="7" t="str">
        <f>IFERROR(__xludf.DUMMYFUNCTION("SPLIT(A18161,"" "")"),"CN(Cc1cccc(-c2cccc(N(C)C)c2)n1)Cc1cccc(C(C)(c2ccccn2)c2ccccn2)n1")</f>
        <v>CN(Cc1cccc(-c2cccc(N(C)C)c2)n1)Cc1cccc(C(C)(c2ccccn2)c2ccccn2)n1</v>
      </c>
      <c r="C18161" s="7">
        <f>IFERROR(__xludf.DUMMYFUNCTION("""COMPUTED_VALUE"""),7.727818)</f>
        <v>7.727818</v>
      </c>
      <c r="D18161" s="7">
        <f>IFERROR(__xludf.DUMMYFUNCTION("""COMPUTED_VALUE"""),0.5)</f>
        <v>0.5</v>
      </c>
    </row>
    <row r="18162">
      <c r="A18162" s="10" t="s">
        <v>19601</v>
      </c>
      <c r="B18162" s="7" t="str">
        <f>IFERROR(__xludf.DUMMYFUNCTION("SPLIT(A18162,"" "")"),"CNCc1ncccc1-c1cccc(C)c1N(C)Cc1ccccn1")</f>
        <v>CNCc1ncccc1-c1cccc(C)c1N(C)Cc1ccccn1</v>
      </c>
      <c r="C18162" s="7">
        <f>IFERROR(__xludf.DUMMYFUNCTION("""COMPUTED_VALUE"""),7.7278047)</f>
        <v>7.7278047</v>
      </c>
      <c r="D18162" s="7">
        <f>IFERROR(__xludf.DUMMYFUNCTION("""COMPUTED_VALUE"""),0.411764705882352)</f>
        <v>0.4117647059</v>
      </c>
    </row>
    <row r="18163">
      <c r="A18163" s="10" t="s">
        <v>19602</v>
      </c>
      <c r="B18163" s="7" t="str">
        <f>IFERROR(__xludf.DUMMYFUNCTION("SPLIT(A18163,"" "")"),"CCCN(CC1=CCC=C(N(C)Cc2ccccn2)N1)c1ccc2ncccc2c1C")</f>
        <v>CCCN(CC1=CCC=C(N(C)Cc2ccccn2)N1)c1ccc2ncccc2c1C</v>
      </c>
      <c r="C18163" s="7">
        <f>IFERROR(__xludf.DUMMYFUNCTION("""COMPUTED_VALUE"""),7.7278037)</f>
        <v>7.7278037</v>
      </c>
      <c r="D18163" s="7">
        <f>IFERROR(__xludf.DUMMYFUNCTION("""COMPUTED_VALUE"""),0.34375)</f>
        <v>0.34375</v>
      </c>
    </row>
    <row r="18164">
      <c r="A18164" s="10" t="s">
        <v>19603</v>
      </c>
      <c r="B18164" s="7" t="str">
        <f>IFERROR(__xludf.DUMMYFUNCTION("SPLIT(A18164,"" "")"),"CN(C)c1cccc(-c2ccc(CN(Cc3ccnc(C4=NC(C)(C)CO4)c3)Cc3ccccn3)nc2)c1")</f>
        <v>CN(C)c1cccc(-c2ccc(CN(Cc3ccnc(C4=NC(C)(C)CO4)c3)Cc3ccccn3)nc2)c1</v>
      </c>
      <c r="C18164" s="7">
        <f>IFERROR(__xludf.DUMMYFUNCTION("""COMPUTED_VALUE"""),7.727802)</f>
        <v>7.727802</v>
      </c>
      <c r="D18164" s="7">
        <f>IFERROR(__xludf.DUMMYFUNCTION("""COMPUTED_VALUE"""),0.342105263157894)</f>
        <v>0.3421052632</v>
      </c>
    </row>
    <row r="18165">
      <c r="A18165" s="10" t="s">
        <v>19604</v>
      </c>
      <c r="B18165" s="7" t="str">
        <f>IFERROR(__xludf.DUMMYFUNCTION("SPLIT(A18165,"" "")"),"CN(c1cccc2cccnc12)C1CCC(N(C)c2cccc3nccc(CF)c23)CC1")</f>
        <v>CN(c1cccc2cccnc12)C1CCC(N(C)c2cccc3nccc(CF)c23)CC1</v>
      </c>
      <c r="C18165" s="7">
        <f>IFERROR(__xludf.DUMMYFUNCTION("""COMPUTED_VALUE"""),7.7278013)</f>
        <v>7.7278013</v>
      </c>
      <c r="D18165" s="7">
        <f>IFERROR(__xludf.DUMMYFUNCTION("""COMPUTED_VALUE"""),0.5)</f>
        <v>0.5</v>
      </c>
    </row>
    <row r="18166">
      <c r="A18166" s="10" t="s">
        <v>19605</v>
      </c>
      <c r="B18166" s="7" t="str">
        <f>IFERROR(__xludf.DUMMYFUNCTION("SPLIT(A18166,"" "")"),"CC(C)N(C)C1=CNC(CN(C)c2ccc3cccnc3c2)=CC1")</f>
        <v>CC(C)N(C)C1=CNC(CN(C)c2ccc3cccnc3c2)=CC1</v>
      </c>
      <c r="C18166" s="7">
        <f>IFERROR(__xludf.DUMMYFUNCTION("""COMPUTED_VALUE"""),7.7277946)</f>
        <v>7.7277946</v>
      </c>
      <c r="D18166" s="7">
        <f>IFERROR(__xludf.DUMMYFUNCTION("""COMPUTED_VALUE"""),0.3)</f>
        <v>0.3</v>
      </c>
    </row>
    <row r="18167">
      <c r="A18167" s="10" t="s">
        <v>19606</v>
      </c>
      <c r="B18167" s="7" t="str">
        <f>IFERROR(__xludf.DUMMYFUNCTION("SPLIT(A18167,"" "")"),"C=Nc1ccc(-c2ccnc(CN(C)C)c2)cc1")</f>
        <v>C=Nc1ccc(-c2ccnc(CN(C)C)c2)cc1</v>
      </c>
      <c r="C18167" s="7">
        <f>IFERROR(__xludf.DUMMYFUNCTION("""COMPUTED_VALUE"""),7.7277784)</f>
        <v>7.7277784</v>
      </c>
      <c r="D18167" s="7">
        <f>IFERROR(__xludf.DUMMYFUNCTION("""COMPUTED_VALUE"""),0.304347826086956)</f>
        <v>0.3043478261</v>
      </c>
    </row>
    <row r="18168">
      <c r="A18168" s="10" t="s">
        <v>19607</v>
      </c>
      <c r="B18168" s="7" t="str">
        <f>IFERROR(__xludf.DUMMYFUNCTION("SPLIT(A18168,"" "")"),"CN(c1ccc2c(CF)ccnc2c1)C1CCCC(N(C)c2cccc3nc4c(cc23)CCC4)C1")</f>
        <v>CN(c1ccc2c(CF)ccnc2c1)C1CCCC(N(C)c2cccc3nc4c(cc23)CCC4)C1</v>
      </c>
      <c r="C18168" s="7">
        <f>IFERROR(__xludf.DUMMYFUNCTION("""COMPUTED_VALUE"""),7.727772)</f>
        <v>7.727772</v>
      </c>
      <c r="D18168" s="7">
        <f>IFERROR(__xludf.DUMMYFUNCTION("""COMPUTED_VALUE"""),0.366197183098591)</f>
        <v>0.3661971831</v>
      </c>
    </row>
    <row r="18169">
      <c r="A18169" s="10" t="s">
        <v>19608</v>
      </c>
      <c r="B18169" s="7" t="str">
        <f>IFERROR(__xludf.DUMMYFUNCTION("SPLIT(A18169,"" "")"),"Cc1cc(N(Cc2ccccn2)C2CCCC(N(C)c3ccc4nccc(CN(C)C)c4c3)C2)c2cccnc2c1")</f>
        <v>Cc1cc(N(Cc2ccccn2)C2CCCC(N(C)c3ccc4nccc(CN(C)C)c4c3)C2)c2cccnc2c1</v>
      </c>
      <c r="C18169" s="7">
        <f>IFERROR(__xludf.DUMMYFUNCTION("""COMPUTED_VALUE"""),7.727767)</f>
        <v>7.727767</v>
      </c>
      <c r="D18169" s="7">
        <f>IFERROR(__xludf.DUMMYFUNCTION("""COMPUTED_VALUE"""),0.328571428571428)</f>
        <v>0.3285714286</v>
      </c>
    </row>
    <row r="18170">
      <c r="A18170" s="10" t="s">
        <v>19609</v>
      </c>
      <c r="B18170" s="7" t="str">
        <f>IFERROR(__xludf.DUMMYFUNCTION("SPLIT(A18170,"" "")"),"Cc1ccnc(CN(C)Cc2ccnc3cccc(C)c23)c1C")</f>
        <v>Cc1ccnc(CN(C)Cc2ccnc3cccc(C)c23)c1C</v>
      </c>
      <c r="C18170" s="7">
        <f>IFERROR(__xludf.DUMMYFUNCTION("""COMPUTED_VALUE"""),7.7277584)</f>
        <v>7.7277584</v>
      </c>
      <c r="D18170" s="7">
        <f>IFERROR(__xludf.DUMMYFUNCTION("""COMPUTED_VALUE"""),0.313725490196078)</f>
        <v>0.3137254902</v>
      </c>
    </row>
    <row r="18171">
      <c r="A18171" s="10" t="s">
        <v>19610</v>
      </c>
      <c r="B18171" s="7" t="str">
        <f>IFERROR(__xludf.DUMMYFUNCTION("SPLIT(A18171,"" "")"),"CN(c1ccc2ncccc2c1)C1CCCC(N(C)c2ccc3nccc(CF)c3c2)C1")</f>
        <v>CN(c1ccc2ncccc2c1)C1CCCC(N(C)c2ccc3nccc(CF)c3c2)C1</v>
      </c>
      <c r="C18171" s="7">
        <f>IFERROR(__xludf.DUMMYFUNCTION("""COMPUTED_VALUE"""),7.727755)</f>
        <v>7.727755</v>
      </c>
      <c r="D18171" s="7">
        <f>IFERROR(__xludf.DUMMYFUNCTION("""COMPUTED_VALUE"""),0.316666666666666)</f>
        <v>0.3166666667</v>
      </c>
    </row>
    <row r="18172">
      <c r="A18172" s="10" t="s">
        <v>19611</v>
      </c>
      <c r="B18172" s="7" t="str">
        <f>IFERROR(__xludf.DUMMYFUNCTION("SPLIT(A18172,"" "")"),"CN(c1ccc2ncc3c(c2c1)CCC3)C1CCC(N(C)c2cccc3c4c(cnc23)CCC4)CC1")</f>
        <v>CN(c1ccc2ncc3c(c2c1)CCC3)C1CCC(N(C)c2cccc3c4c(cnc23)CCC4)CC1</v>
      </c>
      <c r="C18172" s="7">
        <f>IFERROR(__xludf.DUMMYFUNCTION("""COMPUTED_VALUE"""),7.727753)</f>
        <v>7.727753</v>
      </c>
      <c r="D18172" s="7">
        <f>IFERROR(__xludf.DUMMYFUNCTION("""COMPUTED_VALUE"""),0.359375)</f>
        <v>0.359375</v>
      </c>
    </row>
    <row r="18173">
      <c r="A18173" s="10" t="s">
        <v>19612</v>
      </c>
      <c r="B18173" s="7" t="str">
        <f>IFERROR(__xludf.DUMMYFUNCTION("SPLIT(A18173,"" "")"),"CN(Cc1cc(-c2ccc3cccnc3c2)ccn1)C1CCC(N(C)c2ccc3c(CF)ccnc3c2)CC1")</f>
        <v>CN(Cc1cc(-c2ccc3cccnc3c2)ccn1)C1CCC(N(C)c2ccc3c(CF)ccnc3c2)CC1</v>
      </c>
      <c r="C18173" s="7">
        <f>IFERROR(__xludf.DUMMYFUNCTION("""COMPUTED_VALUE"""),7.727741)</f>
        <v>7.727741</v>
      </c>
      <c r="D18173" s="7">
        <f>IFERROR(__xludf.DUMMYFUNCTION("""COMPUTED_VALUE"""),0.294117647058823)</f>
        <v>0.2941176471</v>
      </c>
    </row>
    <row r="18174">
      <c r="A18174" s="10" t="s">
        <v>19613</v>
      </c>
      <c r="B18174" s="7" t="str">
        <f>IFERROR(__xludf.DUMMYFUNCTION("SPLIT(A18174,"" "")"),"CN(C)CCN(C)c1cccc2c(CF)ccnc12")</f>
        <v>CN(C)CCN(C)c1cccc2c(CF)ccnc12</v>
      </c>
      <c r="C18174" s="7">
        <f>IFERROR(__xludf.DUMMYFUNCTION("""COMPUTED_VALUE"""),7.727734)</f>
        <v>7.727734</v>
      </c>
      <c r="D18174" s="7">
        <f>IFERROR(__xludf.DUMMYFUNCTION("""COMPUTED_VALUE"""),0.5)</f>
        <v>0.5</v>
      </c>
    </row>
    <row r="18175">
      <c r="A18175" s="10" t="s">
        <v>19614</v>
      </c>
      <c r="B18175" s="7" t="str">
        <f>IFERROR(__xludf.DUMMYFUNCTION("SPLIT(A18175,"" "")"),"CN(c1ccc2c3c(cnc2c1)CCC3)C1CCCCC1N(C)c1cccc2c3c(cnc12)CCC3")</f>
        <v>CN(c1ccc2c3c(cnc2c1)CCC3)C1CCCCC1N(C)c1cccc2c3c(cnc12)CCC3</v>
      </c>
      <c r="C18175" s="7">
        <f>IFERROR(__xludf.DUMMYFUNCTION("""COMPUTED_VALUE"""),7.7277274)</f>
        <v>7.7277274</v>
      </c>
      <c r="D18175" s="7">
        <f>IFERROR(__xludf.DUMMYFUNCTION("""COMPUTED_VALUE"""),0.47457627118644)</f>
        <v>0.4745762712</v>
      </c>
    </row>
    <row r="18176">
      <c r="A18176" s="10" t="s">
        <v>19615</v>
      </c>
      <c r="B18176" s="7" t="str">
        <f>IFERROR(__xludf.DUMMYFUNCTION("SPLIT(A18176,"" "")"),"CNc1ccnc(CNCc2ncc(C)c(C)c2C)c1-c1ccc(C)cn1")</f>
        <v>CNc1ccnc(CNCc2ncc(C)c(C)c2C)c1-c1ccc(C)cn1</v>
      </c>
      <c r="C18176" s="7">
        <f>IFERROR(__xludf.DUMMYFUNCTION("""COMPUTED_VALUE"""),7.7277255)</f>
        <v>7.7277255</v>
      </c>
      <c r="D18176" s="7">
        <f>IFERROR(__xludf.DUMMYFUNCTION("""COMPUTED_VALUE"""),0.264150943396226)</f>
        <v>0.2641509434</v>
      </c>
    </row>
    <row r="18177">
      <c r="A18177" s="10" t="s">
        <v>19616</v>
      </c>
      <c r="B18177" s="7" t="str">
        <f>IFERROR(__xludf.DUMMYFUNCTION("SPLIT(A18177,"" "")"),"C1=CNC(NCc2cccc(-c3cccc(C(c4ccccn4)c4ccccn4)n3)n2)C=C1")</f>
        <v>C1=CNC(NCc2cccc(-c3cccc(C(c4ccccn4)c4ccccn4)n3)n2)C=C1</v>
      </c>
      <c r="C18177" s="7">
        <f>IFERROR(__xludf.DUMMYFUNCTION("""COMPUTED_VALUE"""),7.727724)</f>
        <v>7.727724</v>
      </c>
      <c r="D18177" s="7">
        <f>IFERROR(__xludf.DUMMYFUNCTION("""COMPUTED_VALUE"""),0.366666666666666)</f>
        <v>0.3666666667</v>
      </c>
    </row>
    <row r="18178">
      <c r="A18178" s="10" t="s">
        <v>19617</v>
      </c>
      <c r="B18178" s="7" t="str">
        <f>IFERROR(__xludf.DUMMYFUNCTION("SPLIT(A18178,"" "")"),"C1=CNC(NCc2ccc(-c3ccc(C(c4ccccn4)c4ccccn4)cn3)cn2)C=C1")</f>
        <v>C1=CNC(NCc2ccc(-c3ccc(C(c4ccccn4)c4ccccn4)cn3)cn2)C=C1</v>
      </c>
      <c r="C18178" s="7">
        <f>IFERROR(__xludf.DUMMYFUNCTION("""COMPUTED_VALUE"""),7.7277236)</f>
        <v>7.7277236</v>
      </c>
      <c r="D18178" s="7">
        <f>IFERROR(__xludf.DUMMYFUNCTION("""COMPUTED_VALUE"""),0.313432835820895)</f>
        <v>0.3134328358</v>
      </c>
    </row>
    <row r="18179">
      <c r="A18179" s="10" t="s">
        <v>19618</v>
      </c>
      <c r="B18179" s="7" t="str">
        <f>IFERROR(__xludf.DUMMYFUNCTION("SPLIT(A18179,"" "")"),"Cc1cccnc1CN(C)C1C=CNC(CN(C)c2ccc3ncccc3c2)=C1")</f>
        <v>Cc1cccnc1CN(C)C1C=CNC(CN(C)c2ccc3ncccc3c2)=C1</v>
      </c>
      <c r="C18179" s="7">
        <f>IFERROR(__xludf.DUMMYFUNCTION("""COMPUTED_VALUE"""),7.7277203)</f>
        <v>7.7277203</v>
      </c>
      <c r="D18179" s="7">
        <f>IFERROR(__xludf.DUMMYFUNCTION("""COMPUTED_VALUE"""),0.265625)</f>
        <v>0.265625</v>
      </c>
    </row>
    <row r="18180">
      <c r="A18180" s="10" t="s">
        <v>19619</v>
      </c>
      <c r="B18180" s="7" t="str">
        <f>IFERROR(__xludf.DUMMYFUNCTION("SPLIT(A18180,"" "")"),"CC1COC(c2cccc(CN(Cc3ccccn3)Cc3cccc(-c4cccc(N=Cc5ccccn5)c4)n3)n2)=N1")</f>
        <v>CC1COC(c2cccc(CN(Cc3ccccn3)Cc3cccc(-c4cccc(N=Cc5ccccn5)c4)n3)n2)=N1</v>
      </c>
      <c r="C18180" s="7">
        <f>IFERROR(__xludf.DUMMYFUNCTION("""COMPUTED_VALUE"""),7.727719)</f>
        <v>7.727719</v>
      </c>
      <c r="D18180" s="7">
        <f>IFERROR(__xludf.DUMMYFUNCTION("""COMPUTED_VALUE"""),0.463768115942029)</f>
        <v>0.4637681159</v>
      </c>
    </row>
    <row r="18181">
      <c r="A18181" s="10" t="s">
        <v>19620</v>
      </c>
      <c r="B18181" s="7" t="str">
        <f>IFERROR(__xludf.DUMMYFUNCTION("SPLIT(A18181,"" "")"),"CN(C)CCN(C)c1ccc2nccc(CF)c2c1")</f>
        <v>CN(C)CCN(C)c1ccc2nccc(CF)c2c1</v>
      </c>
      <c r="C18181" s="7">
        <f>IFERROR(__xludf.DUMMYFUNCTION("""COMPUTED_VALUE"""),7.727717)</f>
        <v>7.727717</v>
      </c>
      <c r="D18181" s="7">
        <f>IFERROR(__xludf.DUMMYFUNCTION("""COMPUTED_VALUE"""),0.285714285714285)</f>
        <v>0.2857142857</v>
      </c>
    </row>
    <row r="18182">
      <c r="A18182" s="10" t="s">
        <v>19621</v>
      </c>
      <c r="B18182" s="7" t="str">
        <f>IFERROR(__xludf.DUMMYFUNCTION("SPLIT(A18182,"" "")"),"Cc1cccnc1CN(C)C1C=CNC(CN(C)c2ccc3cccnc3c2)=C1")</f>
        <v>Cc1cccnc1CN(C)C1C=CNC(CN(C)c2ccc3cccnc3c2)=C1</v>
      </c>
      <c r="C18182" s="7">
        <f>IFERROR(__xludf.DUMMYFUNCTION("""COMPUTED_VALUE"""),7.727716)</f>
        <v>7.727716</v>
      </c>
      <c r="D18182" s="7">
        <f>IFERROR(__xludf.DUMMYFUNCTION("""COMPUTED_VALUE"""),0.261538461538461)</f>
        <v>0.2615384615</v>
      </c>
    </row>
    <row r="18183">
      <c r="A18183" s="10" t="s">
        <v>19622</v>
      </c>
      <c r="B18183" s="7" t="str">
        <f>IFERROR(__xludf.DUMMYFUNCTION("SPLIT(A18183,"" "")"),"Cc1cc(C)c(CN(C)Cc2cc(-c3cccc(N=Cc4ccccn4)c3)ccn2)cn1")</f>
        <v>Cc1cc(C)c(CN(C)Cc2cc(-c3cccc(N=Cc4ccccn4)c3)ccn2)cn1</v>
      </c>
      <c r="C18183" s="7">
        <f>IFERROR(__xludf.DUMMYFUNCTION("""COMPUTED_VALUE"""),7.7277155)</f>
        <v>7.7277155</v>
      </c>
      <c r="D18183" s="7">
        <f>IFERROR(__xludf.DUMMYFUNCTION("""COMPUTED_VALUE"""),0.365079365079365)</f>
        <v>0.3650793651</v>
      </c>
    </row>
    <row r="18184">
      <c r="A18184" s="10" t="s">
        <v>19623</v>
      </c>
      <c r="B18184" s="7" t="str">
        <f>IFERROR(__xludf.DUMMYFUNCTION("SPLIT(A18184,"" "")"),"CN(c1ccc2c(CF)ccnc2c1)C1CCC(N(C)c2cccc3nccc(CF)c23)CC1")</f>
        <v>CN(c1ccc2c(CF)ccnc2c1)C1CCC(N(C)c2cccc3nccc(CF)c23)CC1</v>
      </c>
      <c r="C18184" s="7">
        <f>IFERROR(__xludf.DUMMYFUNCTION("""COMPUTED_VALUE"""),7.727714)</f>
        <v>7.727714</v>
      </c>
      <c r="D18184" s="7">
        <f>IFERROR(__xludf.DUMMYFUNCTION("""COMPUTED_VALUE"""),0.292307692307692)</f>
        <v>0.2923076923</v>
      </c>
    </row>
    <row r="18185">
      <c r="A18185" s="10" t="s">
        <v>19624</v>
      </c>
      <c r="B18185" s="7" t="str">
        <f>IFERROR(__xludf.DUMMYFUNCTION("SPLIT(A18185,"" "")"),"CN(C)c1ccccc1-c1ccnc(CN(Cc2ccccn2)c2ccccc2F)c1")</f>
        <v>CN(C)c1ccccc1-c1ccnc(CN(Cc2ccccn2)c2ccccc2F)c1</v>
      </c>
      <c r="C18185" s="7">
        <f>IFERROR(__xludf.DUMMYFUNCTION("""COMPUTED_VALUE"""),7.72771)</f>
        <v>7.72771</v>
      </c>
      <c r="D18185" s="7">
        <f>IFERROR(__xludf.DUMMYFUNCTION("""COMPUTED_VALUE"""),0.411764705882352)</f>
        <v>0.4117647059</v>
      </c>
    </row>
    <row r="18186">
      <c r="A18186" s="10" t="s">
        <v>19625</v>
      </c>
      <c r="B18186" s="7" t="str">
        <f>IFERROR(__xludf.DUMMYFUNCTION("SPLIT(A18186,"" "")"),"Cc1cnc(C)c(CN(C)Cc2cc(-c3cccc(N=Cc4ccccn4)c3)ccn2)c1")</f>
        <v>Cc1cnc(C)c(CN(C)Cc2cc(-c3cccc(N=Cc4ccccn4)c3)ccn2)c1</v>
      </c>
      <c r="C18186" s="7">
        <f>IFERROR(__xludf.DUMMYFUNCTION("""COMPUTED_VALUE"""),7.7277026)</f>
        <v>7.7277026</v>
      </c>
      <c r="D18186" s="7">
        <f>IFERROR(__xludf.DUMMYFUNCTION("""COMPUTED_VALUE"""),0.34375)</f>
        <v>0.34375</v>
      </c>
    </row>
    <row r="18187">
      <c r="A18187" s="10" t="s">
        <v>19626</v>
      </c>
      <c r="B18187" s="7" t="str">
        <f>IFERROR(__xludf.DUMMYFUNCTION("SPLIT(A18187,"" "")"),"CN(C)CC1=CCC(N(C)Cc2ccc3ncccc3c2)=CN1")</f>
        <v>CN(C)CC1=CCC(N(C)Cc2ccc3ncccc3c2)=CN1</v>
      </c>
      <c r="C18187" s="7">
        <f>IFERROR(__xludf.DUMMYFUNCTION("""COMPUTED_VALUE"""),7.7277026)</f>
        <v>7.7277026</v>
      </c>
      <c r="D18187" s="7">
        <f>IFERROR(__xludf.DUMMYFUNCTION("""COMPUTED_VALUE"""),0.285714285714285)</f>
        <v>0.2857142857</v>
      </c>
    </row>
    <row r="18188">
      <c r="A18188" s="10" t="s">
        <v>19627</v>
      </c>
      <c r="B18188" s="7" t="str">
        <f>IFERROR(__xludf.DUMMYFUNCTION("SPLIT(A18188,"" "")"),"Cc1cnc(CN(CC2=C(N(C)C(C)C)CC=CN2)c2ccc3cccnc3c2)c(C)c1")</f>
        <v>Cc1cnc(CN(CC2=C(N(C)C(C)C)CC=CN2)c2ccc3cccnc3c2)c(C)c1</v>
      </c>
      <c r="C18188" s="7">
        <f>IFERROR(__xludf.DUMMYFUNCTION("""COMPUTED_VALUE"""),7.7276998)</f>
        <v>7.7276998</v>
      </c>
      <c r="D18188" s="7">
        <f>IFERROR(__xludf.DUMMYFUNCTION("""COMPUTED_VALUE"""),0.25)</f>
        <v>0.25</v>
      </c>
    </row>
    <row r="18189">
      <c r="A18189" s="10" t="s">
        <v>19628</v>
      </c>
      <c r="B18189" s="7" t="str">
        <f>IFERROR(__xludf.DUMMYFUNCTION("SPLIT(A18189,"" "")"),"CCN(Cc1ccccn1)c1ccc2cccnc2c1-c1cc(CN(Cc2ccccn2)Cc2ccc(F)cn2)ccn1")</f>
        <v>CCN(Cc1ccccn1)c1ccc2cccnc2c1-c1cc(CN(Cc2ccccn2)Cc2ccc(F)cn2)ccn1</v>
      </c>
      <c r="C18189" s="7">
        <f>IFERROR(__xludf.DUMMYFUNCTION("""COMPUTED_VALUE"""),7.727694)</f>
        <v>7.727694</v>
      </c>
      <c r="D18189" s="7">
        <f>IFERROR(__xludf.DUMMYFUNCTION("""COMPUTED_VALUE"""),0.369230769230769)</f>
        <v>0.3692307692</v>
      </c>
    </row>
    <row r="18190">
      <c r="A18190" s="10" t="s">
        <v>19629</v>
      </c>
      <c r="B18190" s="7" t="str">
        <f>IFERROR(__xludf.DUMMYFUNCTION("SPLIT(A18190,"" "")"),"CN(c1cccc2c3c(cnc12)CCC3)C1CCC(N(C)c2cccc3c4c(cnc23)CCC4)CC1")</f>
        <v>CN(c1cccc2c3c(cnc12)CCC3)C1CCC(N(C)c2cccc3c4c(cnc23)CCC4)CC1</v>
      </c>
      <c r="C18190" s="7">
        <f>IFERROR(__xludf.DUMMYFUNCTION("""COMPUTED_VALUE"""),7.727683)</f>
        <v>7.727683</v>
      </c>
      <c r="D18190" s="7">
        <f>IFERROR(__xludf.DUMMYFUNCTION("""COMPUTED_VALUE"""),0.407407407407407)</f>
        <v>0.4074074074</v>
      </c>
    </row>
    <row r="18191">
      <c r="A18191" s="10" t="s">
        <v>19630</v>
      </c>
      <c r="B18191" s="7" t="str">
        <f>IFERROR(__xludf.DUMMYFUNCTION("SPLIT(A18191,"" "")"),"Cc1cccc(-c2cccnc2C)c1NCc1ccccn1")</f>
        <v>Cc1cccc(-c2cccnc2C)c1NCc1ccccn1</v>
      </c>
      <c r="C18191" s="7">
        <f>IFERROR(__xludf.DUMMYFUNCTION("""COMPUTED_VALUE"""),7.7276697)</f>
        <v>7.7276697</v>
      </c>
      <c r="D18191" s="7">
        <f>IFERROR(__xludf.DUMMYFUNCTION("""COMPUTED_VALUE"""),0.423076923076923)</f>
        <v>0.4230769231</v>
      </c>
    </row>
    <row r="18192">
      <c r="A18192" s="10" t="s">
        <v>19631</v>
      </c>
      <c r="B18192" s="7" t="str">
        <f>IFERROR(__xludf.DUMMYFUNCTION("SPLIT(A18192,"" "")"),"CN(CCNc1ccc2ncccc2c1)Cc1ccc2ncccc2c1")</f>
        <v>CN(CCNc1ccc2ncccc2c1)Cc1ccc2ncccc2c1</v>
      </c>
      <c r="C18192" s="7">
        <f>IFERROR(__xludf.DUMMYFUNCTION("""COMPUTED_VALUE"""),7.727665)</f>
        <v>7.727665</v>
      </c>
      <c r="D18192" s="7">
        <f>IFERROR(__xludf.DUMMYFUNCTION("""COMPUTED_VALUE"""),0.38)</f>
        <v>0.38</v>
      </c>
    </row>
    <row r="18193">
      <c r="A18193" s="10" t="s">
        <v>19632</v>
      </c>
      <c r="B18193" s="7" t="str">
        <f>IFERROR(__xludf.DUMMYFUNCTION("SPLIT(A18193,"" "")"),"Cc1cc(-c2ccccc2)c(-c2c(C)cc(C)c(CNCc3ccccn3)c2NCc2ccccn2)cc1NCc1ccccn1")</f>
        <v>Cc1cc(-c2ccccc2)c(-c2c(C)cc(C)c(CNCc3ccccn3)c2NCc2ccccn2)cc1NCc1ccccn1</v>
      </c>
      <c r="C18193" s="7">
        <f>IFERROR(__xludf.DUMMYFUNCTION("""COMPUTED_VALUE"""),7.727662)</f>
        <v>7.727662</v>
      </c>
      <c r="D18193" s="7">
        <f>IFERROR(__xludf.DUMMYFUNCTION("""COMPUTED_VALUE"""),0.466666666666666)</f>
        <v>0.4666666667</v>
      </c>
    </row>
    <row r="18194">
      <c r="A18194" s="10" t="s">
        <v>19633</v>
      </c>
      <c r="B18194" s="7" t="str">
        <f>IFERROR(__xludf.DUMMYFUNCTION("SPLIT(A18194,"" "")"),"Cc1cnccc1CN(C)c1ccccc1-c1cccc(N(C)C(C)C)c1C")</f>
        <v>Cc1cnccc1CN(C)c1ccccc1-c1cccc(N(C)C(C)C)c1C</v>
      </c>
      <c r="C18194" s="7">
        <f>IFERROR(__xludf.DUMMYFUNCTION("""COMPUTED_VALUE"""),7.727647)</f>
        <v>7.727647</v>
      </c>
      <c r="D18194" s="7">
        <f>IFERROR(__xludf.DUMMYFUNCTION("""COMPUTED_VALUE"""),0.296296296296296)</f>
        <v>0.2962962963</v>
      </c>
    </row>
    <row r="18195">
      <c r="A18195" s="10" t="s">
        <v>19634</v>
      </c>
      <c r="B18195" s="7" t="str">
        <f>IFERROR(__xludf.DUMMYFUNCTION("SPLIT(A18195,"" "")"),"CN(c1cccc2nccc(CF)c12)C1CCC(N(C)c2cccc3nccc(CF)c23)CC1")</f>
        <v>CN(c1cccc2nccc(CF)c12)C1CCC(N(C)c2cccc3nccc(CF)c23)CC1</v>
      </c>
      <c r="C18195" s="7">
        <f>IFERROR(__xludf.DUMMYFUNCTION("""COMPUTED_VALUE"""),7.7276382)</f>
        <v>7.7276382</v>
      </c>
      <c r="D18195" s="7">
        <f>IFERROR(__xludf.DUMMYFUNCTION("""COMPUTED_VALUE"""),0.345454545454545)</f>
        <v>0.3454545455</v>
      </c>
    </row>
    <row r="18196">
      <c r="A18196" s="10" t="s">
        <v>19635</v>
      </c>
      <c r="B18196" s="7" t="str">
        <f>IFERROR(__xludf.DUMMYFUNCTION("SPLIT(A18196,"" "")"),"Cc1ccc2nccc(CN(C)Cc3nc(C)cc(C)c3C)c2c1")</f>
        <v>Cc1ccc2nccc(CN(C)Cc3nc(C)cc(C)c3C)c2c1</v>
      </c>
      <c r="C18196" s="7">
        <f>IFERROR(__xludf.DUMMYFUNCTION("""COMPUTED_VALUE"""),7.727637)</f>
        <v>7.727637</v>
      </c>
      <c r="D18196" s="7">
        <f>IFERROR(__xludf.DUMMYFUNCTION("""COMPUTED_VALUE"""),0.267857142857142)</f>
        <v>0.2678571429</v>
      </c>
    </row>
    <row r="18197">
      <c r="A18197" s="10" t="s">
        <v>19636</v>
      </c>
      <c r="B18197" s="7" t="str">
        <f>IFERROR(__xludf.DUMMYFUNCTION("SPLIT(A18197,"" "")"),"Cc1ccc(CN(C)CC2=CC(N(C)c3ccc4c(C)ccnc4c3)C=CN2)cn1")</f>
        <v>Cc1ccc(CN(C)CC2=CC(N(C)c3ccc4c(C)ccnc4c3)C=CN2)cn1</v>
      </c>
      <c r="C18197" s="7">
        <f>IFERROR(__xludf.DUMMYFUNCTION("""COMPUTED_VALUE"""),7.7276125)</f>
        <v>7.7276125</v>
      </c>
      <c r="D18197" s="7">
        <f>IFERROR(__xludf.DUMMYFUNCTION("""COMPUTED_VALUE"""),0.289855072463768)</f>
        <v>0.2898550725</v>
      </c>
    </row>
    <row r="18198">
      <c r="A18198" s="10" t="s">
        <v>19637</v>
      </c>
      <c r="B18198" s="7" t="str">
        <f>IFERROR(__xludf.DUMMYFUNCTION("SPLIT(A18198,"" "")"),"FCN(Cc1ccccn1)c1cccc2cccnc12")</f>
        <v>FCN(Cc1ccccn1)c1cccc2cccnc12</v>
      </c>
      <c r="C18198" s="7">
        <f>IFERROR(__xludf.DUMMYFUNCTION("""COMPUTED_VALUE"""),7.7276025)</f>
        <v>7.7276025</v>
      </c>
      <c r="D18198" s="7">
        <f>IFERROR(__xludf.DUMMYFUNCTION("""COMPUTED_VALUE"""),0.476190476190476)</f>
        <v>0.4761904762</v>
      </c>
    </row>
    <row r="18199">
      <c r="A18199" s="10" t="s">
        <v>19638</v>
      </c>
      <c r="B18199" s="7" t="str">
        <f>IFERROR(__xludf.DUMMYFUNCTION("SPLIT(A18199,"" "")"),"CN(c1ccc2c(CF)ccnc2c1)C1CCC(N(C)c2cccc3c(CF)ccnc23)CC1")</f>
        <v>CN(c1ccc2c(CF)ccnc2c1)C1CCC(N(C)c2cccc3c(CF)ccnc23)CC1</v>
      </c>
      <c r="C18199" s="7">
        <f>IFERROR(__xludf.DUMMYFUNCTION("""COMPUTED_VALUE"""),7.7276015)</f>
        <v>7.7276015</v>
      </c>
      <c r="D18199" s="7">
        <f>IFERROR(__xludf.DUMMYFUNCTION("""COMPUTED_VALUE"""),0.338983050847457)</f>
        <v>0.3389830508</v>
      </c>
    </row>
    <row r="18200">
      <c r="A18200" s="10" t="s">
        <v>19639</v>
      </c>
      <c r="B18200" s="7" t="str">
        <f>IFERROR(__xludf.DUMMYFUNCTION("SPLIT(A18200,"" "")"),"CC1=CC(C)(C)CC2(C=CC3(C=CC(C)C(C)(C)C3)CC2c2nc(C)ccc2CN(Cc2cc(-c3cc(N(C)c4ccc5nc(-c6ccc(N(C)C)cc6)ccc5c4)c4ncccc4c3)ccn2)Cc2cc(C(C)(c3ccccn3)C(C)C)ccn2)C1")</f>
        <v>CC1=CC(C)(C)CC2(C=CC3(C=CC(C)C(C)(C)C3)CC2c2nc(C)ccc2CN(Cc2cc(-c3cc(N(C)c4ccc5nc(-c6ccc(N(C)C)cc6)ccc5c4)c4ncccc4c3)ccn2)Cc2cc(C(C)(c3ccccn3)C(C)C)ccn2)C1</v>
      </c>
      <c r="C18200" s="7">
        <f>IFERROR(__xludf.DUMMYFUNCTION("""COMPUTED_VALUE"""),7.727599)</f>
        <v>7.727599</v>
      </c>
      <c r="D18200" s="7">
        <f>IFERROR(__xludf.DUMMYFUNCTION("""COMPUTED_VALUE"""),0.186991869918699)</f>
        <v>0.1869918699</v>
      </c>
    </row>
    <row r="18201">
      <c r="A18201" s="10" t="s">
        <v>19640</v>
      </c>
      <c r="B18201" s="7" t="str">
        <f>IFERROR(__xludf.DUMMYFUNCTION("SPLIT(A18201,"" "")"),"Cc1cnc(C)c(CN(C)Cc2cc(-c3ccc(N=Cc4ccccn4)cc3)ccn2)c1")</f>
        <v>Cc1cnc(C)c(CN(C)Cc2cc(-c3ccc(N=Cc4ccccn4)cc3)ccn2)c1</v>
      </c>
      <c r="C18201" s="7">
        <f>IFERROR(__xludf.DUMMYFUNCTION("""COMPUTED_VALUE"""),7.727595)</f>
        <v>7.727595</v>
      </c>
      <c r="D18201" s="7">
        <f>IFERROR(__xludf.DUMMYFUNCTION("""COMPUTED_VALUE"""),0.328125)</f>
        <v>0.328125</v>
      </c>
    </row>
    <row r="18202">
      <c r="A18202" s="10" t="s">
        <v>19641</v>
      </c>
      <c r="B18202" s="7" t="str">
        <f>IFERROR(__xludf.DUMMYFUNCTION("SPLIT(A18202,"" "")"),"CC(C)N(Cc1ccc2ccc3cccnc3c2n1)C1CCC(N(C)c2ccc3cc(CF)cnc3c2)CC1")</f>
        <v>CC(C)N(Cc1ccc2ccc3cccnc3c2n1)C1CCC(N(C)c2ccc3cc(CF)cnc3c2)CC1</v>
      </c>
      <c r="C18202" s="7">
        <f>IFERROR(__xludf.DUMMYFUNCTION("""COMPUTED_VALUE"""),7.727578)</f>
        <v>7.727578</v>
      </c>
      <c r="D18202" s="7">
        <f>IFERROR(__xludf.DUMMYFUNCTION("""COMPUTED_VALUE"""),0.338028169014084)</f>
        <v>0.338028169</v>
      </c>
    </row>
    <row r="18203">
      <c r="A18203" s="10" t="s">
        <v>19642</v>
      </c>
      <c r="B18203" s="7" t="str">
        <f>IFERROR(__xludf.DUMMYFUNCTION("SPLIT(A18203,"" "")"),"CN(C)CCN(C)c1ccc2nc3c(cc2c1)CCC3")</f>
        <v>CN(C)CCN(C)c1ccc2nc3c(cc2c1)CCC3</v>
      </c>
      <c r="C18203" s="7">
        <f>IFERROR(__xludf.DUMMYFUNCTION("""COMPUTED_VALUE"""),7.7275767)</f>
        <v>7.7275767</v>
      </c>
      <c r="D18203" s="7">
        <f>IFERROR(__xludf.DUMMYFUNCTION("""COMPUTED_VALUE"""),0.37037037037037)</f>
        <v>0.3703703704</v>
      </c>
    </row>
    <row r="18204">
      <c r="A18204" s="10" t="s">
        <v>19643</v>
      </c>
      <c r="B18204" s="7" t="str">
        <f>IFERROR(__xludf.DUMMYFUNCTION("SPLIT(A18204,"" "")"),"CN(c1ccc2c3c(cnc2c1)CCC3)C1CCC(N(C)c2cccc3c4c(cnc23)CCC4)CC1")</f>
        <v>CN(c1ccc2c3c(cnc2c1)CCC3)C1CCC(N(C)c2cccc3c4c(cnc23)CCC4)CC1</v>
      </c>
      <c r="C18204" s="7">
        <f>IFERROR(__xludf.DUMMYFUNCTION("""COMPUTED_VALUE"""),7.727573)</f>
        <v>7.727573</v>
      </c>
      <c r="D18204" s="7">
        <f>IFERROR(__xludf.DUMMYFUNCTION("""COMPUTED_VALUE"""),0.359375)</f>
        <v>0.359375</v>
      </c>
    </row>
    <row r="18205">
      <c r="A18205" s="10" t="s">
        <v>19644</v>
      </c>
      <c r="B18205" s="7" t="str">
        <f>IFERROR(__xludf.DUMMYFUNCTION("SPLIT(A18205,"" "")"),"CC(C)C(C)N(C)Cc1cccc(-c2cccc(N(C)c3ccc4ncccc4c3)c2)n1")</f>
        <v>CC(C)C(C)N(C)Cc1cccc(-c2cccc(N(C)c3ccc4ncccc4c3)c2)n1</v>
      </c>
      <c r="C18205" s="7">
        <f>IFERROR(__xludf.DUMMYFUNCTION("""COMPUTED_VALUE"""),7.7275705)</f>
        <v>7.7275705</v>
      </c>
      <c r="D18205" s="7">
        <f>IFERROR(__xludf.DUMMYFUNCTION("""COMPUTED_VALUE"""),0.390625)</f>
        <v>0.390625</v>
      </c>
    </row>
    <row r="18206">
      <c r="A18206" s="10" t="s">
        <v>19645</v>
      </c>
      <c r="B18206" s="7" t="str">
        <f>IFERROR(__xludf.DUMMYFUNCTION("SPLIT(A18206,"" "")"),"C=Nc1cccc(-c2cccc(CN(C)Cc3cccc(-c4cccc(C)c4)n3)n2)c1")</f>
        <v>C=Nc1cccc(-c2cccc(CN(C)Cc3cccc(-c4cccc(C)c4)n3)n2)c1</v>
      </c>
      <c r="C18206" s="7">
        <f>IFERROR(__xludf.DUMMYFUNCTION("""COMPUTED_VALUE"""),7.7275677)</f>
        <v>7.7275677</v>
      </c>
      <c r="D18206" s="7">
        <f>IFERROR(__xludf.DUMMYFUNCTION("""COMPUTED_VALUE"""),0.42)</f>
        <v>0.42</v>
      </c>
    </row>
    <row r="18207">
      <c r="A18207" s="10" t="s">
        <v>19646</v>
      </c>
      <c r="B18207" s="7" t="str">
        <f>IFERROR(__xludf.DUMMYFUNCTION("SPLIT(A18207,"" "")"),"C1=CC(c2cc(-c3ccccc3NCc3ccccn3)ccn2)C=CN1")</f>
        <v>C1=CC(c2cc(-c3ccccc3NCc3ccccn3)ccn2)C=CN1</v>
      </c>
      <c r="C18207" s="7">
        <f>IFERROR(__xludf.DUMMYFUNCTION("""COMPUTED_VALUE"""),7.7275667)</f>
        <v>7.7275667</v>
      </c>
      <c r="D18207" s="7">
        <f>IFERROR(__xludf.DUMMYFUNCTION("""COMPUTED_VALUE"""),0.366666666666666)</f>
        <v>0.3666666667</v>
      </c>
    </row>
    <row r="18208">
      <c r="A18208" s="10" t="s">
        <v>19647</v>
      </c>
      <c r="B18208" s="7" t="str">
        <f>IFERROR(__xludf.DUMMYFUNCTION("SPLIT(A18208,"" "")"),"CC(C)N(Cc1ccc2ccc3cccnc3c2n1)C1CCC(N(C)c2ccc3ccc(CF)nc3c2)CC1")</f>
        <v>CC(C)N(Cc1ccc2ccc3cccnc3c2n1)C1CCC(N(C)c2ccc3ccc(CF)nc3c2)CC1</v>
      </c>
      <c r="C18208" s="7">
        <f>IFERROR(__xludf.DUMMYFUNCTION("""COMPUTED_VALUE"""),7.727562)</f>
        <v>7.727562</v>
      </c>
      <c r="D18208" s="7">
        <f>IFERROR(__xludf.DUMMYFUNCTION("""COMPUTED_VALUE"""),0.4)</f>
        <v>0.4</v>
      </c>
    </row>
    <row r="18209">
      <c r="A18209" s="10" t="s">
        <v>19648</v>
      </c>
      <c r="B18209" s="7" t="str">
        <f>IFERROR(__xludf.DUMMYFUNCTION("SPLIT(A18209,"" "")"),"Cc1ccnc2ccc(N(C)C3C=CNC(CN(C)Cc4ccccn4)=C3)cc12")</f>
        <v>Cc1ccnc2ccc(N(C)C3C=CNC(CN(C)Cc4ccccn4)=C3)cc12</v>
      </c>
      <c r="C18209" s="7">
        <f>IFERROR(__xludf.DUMMYFUNCTION("""COMPUTED_VALUE"""),7.7275586)</f>
        <v>7.7275586</v>
      </c>
      <c r="D18209" s="7">
        <f>IFERROR(__xludf.DUMMYFUNCTION("""COMPUTED_VALUE"""),0.349206349206349)</f>
        <v>0.3492063492</v>
      </c>
    </row>
    <row r="18210">
      <c r="A18210" s="10" t="s">
        <v>19649</v>
      </c>
      <c r="B18210" s="7" t="str">
        <f>IFERROR(__xludf.DUMMYFUNCTION("SPLIT(A18210,"" "")"),"CC1N=COC1c1ncccc1CN(C)Cc1cc(-c2ccccc2N=Cc2ccccn2)ccn1")</f>
        <v>CC1N=COC1c1ncccc1CN(C)Cc1cc(-c2ccccc2N=Cc2ccccn2)ccn1</v>
      </c>
      <c r="C18210" s="7">
        <f>IFERROR(__xludf.DUMMYFUNCTION("""COMPUTED_VALUE"""),7.727558)</f>
        <v>7.727558</v>
      </c>
      <c r="D18210" s="7">
        <f>IFERROR(__xludf.DUMMYFUNCTION("""COMPUTED_VALUE"""),0.338235294117647)</f>
        <v>0.3382352941</v>
      </c>
    </row>
    <row r="18211">
      <c r="A18211" s="10" t="s">
        <v>19650</v>
      </c>
      <c r="B18211" s="7" t="str">
        <f>IFERROR(__xludf.DUMMYFUNCTION("SPLIT(A18211,"" "")"),"Cc1ccc2ccc(N(C)C3CCCC(N(C)c4ccc5ncccc5c4)C3)cc2n1")</f>
        <v>Cc1ccc2ccc(N(C)C3CCCC(N(C)c4ccc5ncccc5c4)C3)cc2n1</v>
      </c>
      <c r="C18211" s="7">
        <f>IFERROR(__xludf.DUMMYFUNCTION("""COMPUTED_VALUE"""),7.727555)</f>
        <v>7.727555</v>
      </c>
      <c r="D18211" s="7">
        <f>IFERROR(__xludf.DUMMYFUNCTION("""COMPUTED_VALUE"""),0.339285714285714)</f>
        <v>0.3392857143</v>
      </c>
    </row>
    <row r="18212">
      <c r="A18212" s="10" t="s">
        <v>19651</v>
      </c>
      <c r="B18212" s="7" t="str">
        <f>IFERROR(__xludf.DUMMYFUNCTION("SPLIT(A18212,"" "")"),"CN(Cc1cccnn1)c1cccc(N(C)Cc2ccon2)c1")</f>
        <v>CN(Cc1cccnn1)c1cccc(N(C)Cc2ccon2)c1</v>
      </c>
      <c r="C18212" s="7">
        <f>IFERROR(__xludf.DUMMYFUNCTION("""COMPUTED_VALUE"""),7.7275534)</f>
        <v>7.7275534</v>
      </c>
      <c r="D18212" s="7">
        <f>IFERROR(__xludf.DUMMYFUNCTION("""COMPUTED_VALUE"""),0.465116279069767)</f>
        <v>0.4651162791</v>
      </c>
    </row>
    <row r="18213">
      <c r="A18213" s="10" t="s">
        <v>19652</v>
      </c>
      <c r="B18213" s="7" t="str">
        <f>IFERROR(__xludf.DUMMYFUNCTION("SPLIT(A18213,"" "")"),"CNCc1ccc(-c2cccc(N(C)C)c2)cn1")</f>
        <v>CNCc1ccc(-c2cccc(N(C)C)c2)cn1</v>
      </c>
      <c r="C18213" s="7">
        <f>IFERROR(__xludf.DUMMYFUNCTION("""COMPUTED_VALUE"""),7.727539)</f>
        <v>7.727539</v>
      </c>
      <c r="D18213" s="7">
        <f>IFERROR(__xludf.DUMMYFUNCTION("""COMPUTED_VALUE"""),0.276595744680851)</f>
        <v>0.2765957447</v>
      </c>
    </row>
    <row r="18214">
      <c r="A18214" s="10" t="s">
        <v>19653</v>
      </c>
      <c r="B18214" s="7" t="str">
        <f>IFERROR(__xludf.DUMMYFUNCTION("SPLIT(A18214,"" "")"),"Cc1cncc(CN(C)CC2=C(N(C)c3ccc4cccnc4c3)CC=CN2)c1")</f>
        <v>Cc1cncc(CN(C)CC2=C(N(C)c3ccc4cccnc4c3)CC=CN2)c1</v>
      </c>
      <c r="C18214" s="7">
        <f>IFERROR(__xludf.DUMMYFUNCTION("""COMPUTED_VALUE"""),7.727536)</f>
        <v>7.727536</v>
      </c>
      <c r="D18214" s="7">
        <f>IFERROR(__xludf.DUMMYFUNCTION("""COMPUTED_VALUE"""),0.246376811594202)</f>
        <v>0.2463768116</v>
      </c>
    </row>
    <row r="18215">
      <c r="A18215" s="10" t="s">
        <v>19654</v>
      </c>
      <c r="B18215" s="7" t="str">
        <f>IFERROR(__xludf.DUMMYFUNCTION("SPLIT(A18215,"" "")"),"Cc1cccnc1-c1ccccc1N")</f>
        <v>Cc1cccnc1-c1ccccc1N</v>
      </c>
      <c r="C18215" s="7">
        <f>IFERROR(__xludf.DUMMYFUNCTION("""COMPUTED_VALUE"""),7.7275243)</f>
        <v>7.7275243</v>
      </c>
      <c r="D18215" s="7">
        <f>IFERROR(__xludf.DUMMYFUNCTION("""COMPUTED_VALUE"""),0.325581395348837)</f>
        <v>0.3255813953</v>
      </c>
    </row>
    <row r="18216">
      <c r="A18216" s="10" t="s">
        <v>19655</v>
      </c>
      <c r="B18216" s="7" t="str">
        <f>IFERROR(__xludf.DUMMYFUNCTION("SPLIT(A18216,"" "")"),"CN(C)CCN(C)c1ccc2c(CF)ccnc2c1")</f>
        <v>CN(C)CCN(C)c1ccc2c(CF)ccnc2c1</v>
      </c>
      <c r="C18216" s="7">
        <f>IFERROR(__xludf.DUMMYFUNCTION("""COMPUTED_VALUE"""),7.727522)</f>
        <v>7.727522</v>
      </c>
      <c r="D18216" s="7">
        <f>IFERROR(__xludf.DUMMYFUNCTION("""COMPUTED_VALUE"""),0.291666666666666)</f>
        <v>0.2916666667</v>
      </c>
    </row>
    <row r="18217">
      <c r="A18217" s="10" t="s">
        <v>19656</v>
      </c>
      <c r="B18217" s="7" t="str">
        <f>IFERROR(__xludf.DUMMYFUNCTION("SPLIT(A18217,"" "")"),"Cc1ccc(-c2ccccc2NCc2ccccn2)nc1CN(Cc1ccccn1)Cc1cc(-c2cccc(N=Cc3ccccn3)c2)ccn1")</f>
        <v>Cc1ccc(-c2ccccc2NCc2ccccn2)nc1CN(Cc1ccccn1)Cc1cc(-c2cccc(N=Cc3ccccn3)c2)ccn1</v>
      </c>
      <c r="C18217" s="7">
        <f>IFERROR(__xludf.DUMMYFUNCTION("""COMPUTED_VALUE"""),7.7275186)</f>
        <v>7.7275186</v>
      </c>
      <c r="D18217" s="7">
        <f>IFERROR(__xludf.DUMMYFUNCTION("""COMPUTED_VALUE"""),0.333333333333333)</f>
        <v>0.3333333333</v>
      </c>
    </row>
    <row r="18218">
      <c r="A18218" s="10" t="s">
        <v>19657</v>
      </c>
      <c r="B18218" s="7" t="str">
        <f>IFERROR(__xludf.DUMMYFUNCTION("SPLIT(A18218,"" "")"),"Cc1cccc(N)c1-c1cccnc1CN(C)C")</f>
        <v>Cc1cccc(N)c1-c1cccnc1CN(C)C</v>
      </c>
      <c r="C18218" s="7">
        <f>IFERROR(__xludf.DUMMYFUNCTION("""COMPUTED_VALUE"""),7.7275133)</f>
        <v>7.7275133</v>
      </c>
      <c r="D18218" s="7">
        <f>IFERROR(__xludf.DUMMYFUNCTION("""COMPUTED_VALUE"""),0.3125)</f>
        <v>0.3125</v>
      </c>
    </row>
    <row r="18219">
      <c r="A18219" s="10" t="s">
        <v>19658</v>
      </c>
      <c r="B18219" s="7" t="str">
        <f>IFERROR(__xludf.DUMMYFUNCTION("SPLIT(A18219,"" "")"),"Cc1cccc(CN(C)c2c(Cl)cc(Cl)cc2N(Cc2ccccn2)Cc2cccc(C(C)C)n2)n1")</f>
        <v>Cc1cccc(CN(C)c2c(Cl)cc(Cl)cc2N(Cc2ccccn2)Cc2cccc(C(C)C)n2)n1</v>
      </c>
      <c r="C18219" s="7">
        <f>IFERROR(__xludf.DUMMYFUNCTION("""COMPUTED_VALUE"""),7.7275133)</f>
        <v>7.7275133</v>
      </c>
      <c r="D18219" s="7">
        <f>IFERROR(__xludf.DUMMYFUNCTION("""COMPUTED_VALUE"""),0.464285714285714)</f>
        <v>0.4642857143</v>
      </c>
    </row>
    <row r="18220">
      <c r="A18220" s="10" t="s">
        <v>19659</v>
      </c>
      <c r="B18220" s="7" t="str">
        <f>IFERROR(__xludf.DUMMYFUNCTION("SPLIT(A18220,"" "")"),"CN(Cc1ccccn1)Cc1cncc2cc(N(C)CCN(C)Cc3cccc4ncccc34)ccc12")</f>
        <v>CN(Cc1ccccn1)Cc1cncc2cc(N(C)CCN(C)Cc3cccc4ncccc34)ccc12</v>
      </c>
      <c r="C18220" s="7">
        <f>IFERROR(__xludf.DUMMYFUNCTION("""COMPUTED_VALUE"""),7.7274947)</f>
        <v>7.7274947</v>
      </c>
      <c r="D18220" s="7">
        <f>IFERROR(__xludf.DUMMYFUNCTION("""COMPUTED_VALUE"""),0.387096774193548)</f>
        <v>0.3870967742</v>
      </c>
    </row>
    <row r="18221">
      <c r="A18221" s="10" t="s">
        <v>19660</v>
      </c>
      <c r="B18221" s="7" t="str">
        <f>IFERROR(__xludf.DUMMYFUNCTION("SPLIT(A18221,"" "")"),"CN(C)Cc1ccnc2ccc(N(C)C3CCCC(N(C)c4cccc5cc6c(nc45)CCC6)C3)cc12")</f>
        <v>CN(C)Cc1ccnc2ccc(N(C)C3CCCC(N(C)c4cccc5cc6c(nc45)CCC6)C3)cc12</v>
      </c>
      <c r="C18221" s="7">
        <f>IFERROR(__xludf.DUMMYFUNCTION("""COMPUTED_VALUE"""),7.7274947)</f>
        <v>7.7274947</v>
      </c>
      <c r="D18221" s="7">
        <f>IFERROR(__xludf.DUMMYFUNCTION("""COMPUTED_VALUE"""),0.5)</f>
        <v>0.5</v>
      </c>
    </row>
    <row r="18222">
      <c r="A18222" s="10" t="s">
        <v>19661</v>
      </c>
      <c r="B18222" s="7" t="str">
        <f>IFERROR(__xludf.DUMMYFUNCTION("SPLIT(A18222,"" "")"),"CN(CC1=C(N(C)c2ccc3cccnc3c2)CC=CN1)Cc1ccccn1")</f>
        <v>CN(CC1=C(N(C)c2ccc3cccnc3c2)CC=CN1)Cc1ccccn1</v>
      </c>
      <c r="C18222" s="7">
        <f>IFERROR(__xludf.DUMMYFUNCTION("""COMPUTED_VALUE"""),7.7274833)</f>
        <v>7.7274833</v>
      </c>
      <c r="D18222" s="7">
        <f>IFERROR(__xludf.DUMMYFUNCTION("""COMPUTED_VALUE"""),0.389830508474576)</f>
        <v>0.3898305085</v>
      </c>
    </row>
    <row r="18223">
      <c r="A18223" s="10" t="s">
        <v>19662</v>
      </c>
      <c r="B18223" s="7" t="str">
        <f>IFERROR(__xludf.DUMMYFUNCTION("SPLIT(A18223,"" "")"),"Cc1cncc(CN(C)c2ccc3nc(CN(C)C4C=CC=CN4)ccc3c2)c1C")</f>
        <v>Cc1cncc(CN(C)c2ccc3nc(CN(C)C4C=CC=CN4)ccc3c2)c1C</v>
      </c>
      <c r="C18223" s="7">
        <f>IFERROR(__xludf.DUMMYFUNCTION("""COMPUTED_VALUE"""),7.7274714)</f>
        <v>7.7274714</v>
      </c>
      <c r="D18223" s="7">
        <f>IFERROR(__xludf.DUMMYFUNCTION("""COMPUTED_VALUE"""),0.241935483870967)</f>
        <v>0.2419354839</v>
      </c>
    </row>
    <row r="18224">
      <c r="A18224" s="10" t="s">
        <v>19663</v>
      </c>
      <c r="B18224" s="7" t="str">
        <f>IFERROR(__xludf.DUMMYFUNCTION("SPLIT(A18224,"" "")"),"CN(CC1=CCC(N(C)c2ccc3cccnc3c2)=CN1)Cc1ccccn1")</f>
        <v>CN(CC1=CCC(N(C)c2ccc3cccnc3c2)=CN1)Cc1ccccn1</v>
      </c>
      <c r="C18224" s="7">
        <f>IFERROR(__xludf.DUMMYFUNCTION("""COMPUTED_VALUE"""),7.7274685)</f>
        <v>7.7274685</v>
      </c>
      <c r="D18224" s="7">
        <f>IFERROR(__xludf.DUMMYFUNCTION("""COMPUTED_VALUE"""),0.396551724137931)</f>
        <v>0.3965517241</v>
      </c>
    </row>
    <row r="18225">
      <c r="A18225" s="10" t="s">
        <v>19664</v>
      </c>
      <c r="B18225" s="7" t="str">
        <f>IFERROR(__xludf.DUMMYFUNCTION("SPLIT(A18225,"" "")"),"CN(Cc1ccc([SiH3])cn1)Cc1nc2ccccc2n1C")</f>
        <v>CN(Cc1ccc([SiH3])cn1)Cc1nc2ccccc2n1C</v>
      </c>
      <c r="C18225" s="7">
        <f>IFERROR(__xludf.DUMMYFUNCTION("""COMPUTED_VALUE"""),7.727466)</f>
        <v>7.727466</v>
      </c>
      <c r="D18225" s="7">
        <f>IFERROR(__xludf.DUMMYFUNCTION("""COMPUTED_VALUE"""),0.431372549019607)</f>
        <v>0.431372549</v>
      </c>
    </row>
    <row r="18226">
      <c r="A18226" s="10" t="s">
        <v>19665</v>
      </c>
      <c r="B18226" s="7" t="str">
        <f>IFERROR(__xludf.DUMMYFUNCTION("SPLIT(A18226,"" "")"),"CN(c1ccc2nccc(CF)c2c1)C1CCC(N(C)c2cccc3c(CF)ccnc23)CC1")</f>
        <v>CN(c1ccc2nccc(CF)c2c1)C1CCC(N(C)c2cccc3c(CF)ccnc23)CC1</v>
      </c>
      <c r="C18226" s="7">
        <f>IFERROR(__xludf.DUMMYFUNCTION("""COMPUTED_VALUE"""),7.727466)</f>
        <v>7.727466</v>
      </c>
      <c r="D18226" s="7">
        <f>IFERROR(__xludf.DUMMYFUNCTION("""COMPUTED_VALUE"""),0.333333333333333)</f>
        <v>0.3333333333</v>
      </c>
    </row>
    <row r="18227">
      <c r="A18227" s="10" t="s">
        <v>19666</v>
      </c>
      <c r="B18227" s="7" t="str">
        <f>IFERROR(__xludf.DUMMYFUNCTION("SPLIT(A18227,"" "")"),"c1ccc(CN(Cc2cccnc2)c2ccc3ncccc3c2)nc1")</f>
        <v>c1ccc(CN(Cc2cccnc2)c2ccc3ncccc3c2)nc1</v>
      </c>
      <c r="C18227" s="7">
        <f>IFERROR(__xludf.DUMMYFUNCTION("""COMPUTED_VALUE"""),7.7274613)</f>
        <v>7.7274613</v>
      </c>
      <c r="D18227" s="7">
        <f>IFERROR(__xludf.DUMMYFUNCTION("""COMPUTED_VALUE"""),0.392156862745098)</f>
        <v>0.3921568627</v>
      </c>
    </row>
    <row r="18228">
      <c r="A18228" s="10" t="s">
        <v>19667</v>
      </c>
      <c r="B18228" s="7" t="str">
        <f>IFERROR(__xludf.DUMMYFUNCTION("SPLIT(A18228,"" "")"),"CN(CC1=CCC(N(C)C2CCCC(N(C)c3cccc4ncccc34)C2)=CN1)c1cccc2ncccc12")</f>
        <v>CN(CC1=CCC(N(C)C2CCCC(N(C)c3cccc4ncccc34)C2)=CN1)c1cccc2ncccc12</v>
      </c>
      <c r="C18228" s="7">
        <f>IFERROR(__xludf.DUMMYFUNCTION("""COMPUTED_VALUE"""),7.7274365)</f>
        <v>7.7274365</v>
      </c>
      <c r="D18228" s="7">
        <f>IFERROR(__xludf.DUMMYFUNCTION("""COMPUTED_VALUE"""),0.365079365079365)</f>
        <v>0.3650793651</v>
      </c>
    </row>
    <row r="18229">
      <c r="A18229" s="10" t="s">
        <v>19668</v>
      </c>
      <c r="B18229" s="7" t="str">
        <f>IFERROR(__xludf.DUMMYFUNCTION("SPLIT(A18229,"" "")"),"CN(C)CCN(C)c1cccc2ncc(CN(C)C)cc12")</f>
        <v>CN(C)CCN(C)c1cccc2ncc(CN(C)C)cc12</v>
      </c>
      <c r="C18229" s="7">
        <f>IFERROR(__xludf.DUMMYFUNCTION("""COMPUTED_VALUE"""),7.727434)</f>
        <v>7.727434</v>
      </c>
      <c r="D18229" s="7">
        <f>IFERROR(__xludf.DUMMYFUNCTION("""COMPUTED_VALUE"""),0.4)</f>
        <v>0.4</v>
      </c>
    </row>
    <row r="18230">
      <c r="A18230" s="10" t="s">
        <v>19669</v>
      </c>
      <c r="B18230" s="7" t="str">
        <f>IFERROR(__xludf.DUMMYFUNCTION("SPLIT(A18230,"" "")"),"C1=CNC=C(c2ncccc2C(c2ccccn2)c2ccccn2)C1")</f>
        <v>C1=CNC=C(c2ncccc2C(c2ccccn2)c2ccccn2)C1</v>
      </c>
      <c r="C18230" s="7">
        <f>IFERROR(__xludf.DUMMYFUNCTION("""COMPUTED_VALUE"""),7.7274275)</f>
        <v>7.7274275</v>
      </c>
      <c r="D18230" s="7">
        <f>IFERROR(__xludf.DUMMYFUNCTION("""COMPUTED_VALUE"""),0.267857142857142)</f>
        <v>0.2678571429</v>
      </c>
    </row>
    <row r="18231">
      <c r="A18231" s="10" t="s">
        <v>19670</v>
      </c>
      <c r="B18231" s="7" t="str">
        <f>IFERROR(__xludf.DUMMYFUNCTION("SPLIT(A18231,"" "")"),"Cc1cnc(CN(C)Cc2cc(-c3cccc(N(C)C)c3)ccn2)c(C)c1C")</f>
        <v>Cc1cnc(CN(C)Cc2cc(-c3cccc(N(C)C)c3)ccn2)c(C)c1C</v>
      </c>
      <c r="C18231" s="7">
        <f>IFERROR(__xludf.DUMMYFUNCTION("""COMPUTED_VALUE"""),7.7274194)</f>
        <v>7.7274194</v>
      </c>
      <c r="D18231" s="7">
        <f>IFERROR(__xludf.DUMMYFUNCTION("""COMPUTED_VALUE"""),0.339285714285714)</f>
        <v>0.3392857143</v>
      </c>
    </row>
    <row r="18232">
      <c r="A18232" s="10" t="s">
        <v>19671</v>
      </c>
      <c r="B18232" s="7" t="str">
        <f>IFERROR(__xludf.DUMMYFUNCTION("SPLIT(A18232,"" "")"),"Cc1ccc(CN(Cc2ccccn2)C2=C(CN(C)c3ccc4nc(CF)ccc4c3)NC=CC2)nc1C")</f>
        <v>Cc1ccc(CN(Cc2ccccn2)C2=C(CN(C)c3ccc4nc(CF)ccc4c3)NC=CC2)nc1C</v>
      </c>
      <c r="C18232" s="7">
        <f>IFERROR(__xludf.DUMMYFUNCTION("""COMPUTED_VALUE"""),7.7274184)</f>
        <v>7.7274184</v>
      </c>
      <c r="D18232" s="7">
        <f>IFERROR(__xludf.DUMMYFUNCTION("""COMPUTED_VALUE"""),0.342857142857142)</f>
        <v>0.3428571429</v>
      </c>
    </row>
    <row r="18233">
      <c r="A18233" s="10" t="s">
        <v>19672</v>
      </c>
      <c r="B18233" s="7" t="str">
        <f>IFERROR(__xludf.DUMMYFUNCTION("SPLIT(A18233,"" "")"),"Cc1cccnc1-c1cccc(NCc2ccc(C(C)(C)c3ccccn3)cn2)c1")</f>
        <v>Cc1cccnc1-c1cccc(NCc2ccc(C(C)(C)c3ccccn3)cn2)c1</v>
      </c>
      <c r="C18233" s="7">
        <f>IFERROR(__xludf.DUMMYFUNCTION("""COMPUTED_VALUE"""),7.7274113)</f>
        <v>7.7274113</v>
      </c>
      <c r="D18233" s="7">
        <f>IFERROR(__xludf.DUMMYFUNCTION("""COMPUTED_VALUE"""),0.294117647058823)</f>
        <v>0.2941176471</v>
      </c>
    </row>
    <row r="18234">
      <c r="A18234" s="10" t="s">
        <v>19673</v>
      </c>
      <c r="B18234" s="7" t="str">
        <f>IFERROR(__xludf.DUMMYFUNCTION("SPLIT(A18234,"" "")"),"Cc1ccc2c(CN(C)Cc3cc(C)c(C)c(C)n3)ccnc2c1")</f>
        <v>Cc1ccc2c(CN(C)Cc3cc(C)c(C)c(C)n3)ccnc2c1</v>
      </c>
      <c r="C18234" s="7">
        <f>IFERROR(__xludf.DUMMYFUNCTION("""COMPUTED_VALUE"""),7.7274055)</f>
        <v>7.7274055</v>
      </c>
      <c r="D18234" s="7">
        <f>IFERROR(__xludf.DUMMYFUNCTION("""COMPUTED_VALUE"""),0.32)</f>
        <v>0.32</v>
      </c>
    </row>
    <row r="18235">
      <c r="A18235" s="10" t="s">
        <v>19674</v>
      </c>
      <c r="B18235" s="7" t="str">
        <f>IFERROR(__xludf.DUMMYFUNCTION("SPLIT(A18235,"" "")"),"Cc1ccnc(CN(C)Cc2cc(-c3ccccc3N=Cc3ccccn3)ccn2)c1C")</f>
        <v>Cc1ccnc(CN(C)Cc2cc(-c3ccccc3N=Cc3ccccn3)ccn2)c1C</v>
      </c>
      <c r="C18235" s="7">
        <f>IFERROR(__xludf.DUMMYFUNCTION("""COMPUTED_VALUE"""),7.7273993)</f>
        <v>7.7273993</v>
      </c>
      <c r="D18235" s="7">
        <f>IFERROR(__xludf.DUMMYFUNCTION("""COMPUTED_VALUE"""),0.423728813559322)</f>
        <v>0.4237288136</v>
      </c>
    </row>
    <row r="18236">
      <c r="A18236" s="10" t="s">
        <v>19675</v>
      </c>
      <c r="B18236" s="7" t="str">
        <f>IFERROR(__xludf.DUMMYFUNCTION("SPLIT(A18236,"" "")"),"CNCc1nccc2cc(N(C)C3=C(CN(C)Cc4nc(C)c(C)c(C)c4C)NC=CC3)ccc12")</f>
        <v>CNCc1nccc2cc(N(C)C3=C(CN(C)Cc4nc(C)c(C)c(C)c4C)NC=CC3)ccc12</v>
      </c>
      <c r="C18236" s="7">
        <f>IFERROR(__xludf.DUMMYFUNCTION("""COMPUTED_VALUE"""),7.7273955)</f>
        <v>7.7273955</v>
      </c>
      <c r="D18236" s="7">
        <f>IFERROR(__xludf.DUMMYFUNCTION("""COMPUTED_VALUE"""),0.1875)</f>
        <v>0.1875</v>
      </c>
    </row>
    <row r="18237">
      <c r="A18237" s="10" t="s">
        <v>19676</v>
      </c>
      <c r="B18237" s="7" t="str">
        <f>IFERROR(__xludf.DUMMYFUNCTION("SPLIT(A18237,"" "")"),"Cc1ccc(CN(C)Cc2ccc3cc(N(C)Cc4ncccc4C)ccc3n2)nc1")</f>
        <v>Cc1ccc(CN(C)Cc2ccc3cc(N(C)Cc4ncccc4C)ccc3n2)nc1</v>
      </c>
      <c r="C18237" s="7">
        <f>IFERROR(__xludf.DUMMYFUNCTION("""COMPUTED_VALUE"""),7.727387)</f>
        <v>7.727387</v>
      </c>
      <c r="D18237" s="7">
        <f>IFERROR(__xludf.DUMMYFUNCTION("""COMPUTED_VALUE"""),0.46)</f>
        <v>0.46</v>
      </c>
    </row>
    <row r="18238">
      <c r="A18238" s="10" t="s">
        <v>19677</v>
      </c>
      <c r="B18238" s="7" t="str">
        <f>IFERROR(__xludf.DUMMYFUNCTION("SPLIT(A18238,"" "")"),"CNCC1=CCC(N(C)c2ccc3nc(CF)ccc3c2)=CN1")</f>
        <v>CNCC1=CCC(N(C)c2ccc3nc(CF)ccc3c2)=CN1</v>
      </c>
      <c r="C18238" s="7">
        <f>IFERROR(__xludf.DUMMYFUNCTION("""COMPUTED_VALUE"""),7.7273836)</f>
        <v>7.7273836</v>
      </c>
      <c r="D18238" s="7">
        <f>IFERROR(__xludf.DUMMYFUNCTION("""COMPUTED_VALUE"""),0.296875)</f>
        <v>0.296875</v>
      </c>
    </row>
    <row r="18239">
      <c r="A18239" s="10" t="s">
        <v>19678</v>
      </c>
      <c r="B18239" s="7" t="str">
        <f>IFERROR(__xludf.DUMMYFUNCTION("SPLIT(A18239,"" "")"),"Cc1ccc(N(Cc2ccccn2)Cc2ncc(N(C)C)c(C)c2C)cc1C")</f>
        <v>Cc1ccc(N(Cc2ccccn2)Cc2ncc(N(C)C)c(C)c2C)cc1C</v>
      </c>
      <c r="C18239" s="7">
        <f>IFERROR(__xludf.DUMMYFUNCTION("""COMPUTED_VALUE"""),7.727383)</f>
        <v>7.727383</v>
      </c>
      <c r="D18239" s="7">
        <f>IFERROR(__xludf.DUMMYFUNCTION("""COMPUTED_VALUE"""),0.396226415094339)</f>
        <v>0.3962264151</v>
      </c>
    </row>
    <row r="18240">
      <c r="A18240" s="10" t="s">
        <v>19679</v>
      </c>
      <c r="B18240" s="7" t="str">
        <f>IFERROR(__xludf.DUMMYFUNCTION("SPLIT(A18240,"" "")"),"Cc1cc(-c2ncccc2C)ccc1NCc1ccccn1")</f>
        <v>Cc1cc(-c2ncccc2C)ccc1NCc1ccccn1</v>
      </c>
      <c r="C18240" s="7">
        <f>IFERROR(__xludf.DUMMYFUNCTION("""COMPUTED_VALUE"""),7.727382)</f>
        <v>7.727382</v>
      </c>
      <c r="D18240" s="7">
        <f>IFERROR(__xludf.DUMMYFUNCTION("""COMPUTED_VALUE"""),0.395348837209302)</f>
        <v>0.3953488372</v>
      </c>
    </row>
    <row r="18241">
      <c r="A18241" s="10" t="s">
        <v>19680</v>
      </c>
      <c r="B18241" s="7" t="str">
        <f>IFERROR(__xludf.DUMMYFUNCTION("SPLIT(A18241,"" "")"),"CC(C)N(Cc1ccccn1)c1c(-c2ncccc2CN(Cc2ccccn2)Cc2ccccn2)ccc2ncccc12")</f>
        <v>CC(C)N(Cc1ccccn1)c1c(-c2ncccc2CN(Cc2ccccn2)Cc2ccccn2)ccc2ncccc12</v>
      </c>
      <c r="C18241" s="7">
        <f>IFERROR(__xludf.DUMMYFUNCTION("""COMPUTED_VALUE"""),7.7273717)</f>
        <v>7.7273717</v>
      </c>
      <c r="D18241" s="7">
        <f>IFERROR(__xludf.DUMMYFUNCTION("""COMPUTED_VALUE"""),0.416666666666666)</f>
        <v>0.4166666667</v>
      </c>
    </row>
    <row r="18242">
      <c r="A18242" s="10" t="s">
        <v>19681</v>
      </c>
      <c r="B18242" s="7" t="str">
        <f>IFERROR(__xludf.DUMMYFUNCTION("SPLIT(A18242,"" "")"),"CN(C)Cc1cncc(-c2cccc(N)c2Cl)c1")</f>
        <v>CN(C)Cc1cncc(-c2cccc(N)c2Cl)c1</v>
      </c>
      <c r="C18242" s="7">
        <f>IFERROR(__xludf.DUMMYFUNCTION("""COMPUTED_VALUE"""),7.7273674)</f>
        <v>7.7273674</v>
      </c>
      <c r="D18242" s="7">
        <f>IFERROR(__xludf.DUMMYFUNCTION("""COMPUTED_VALUE"""),0.245283018867924)</f>
        <v>0.2452830189</v>
      </c>
    </row>
    <row r="18243">
      <c r="A18243" s="10" t="s">
        <v>19682</v>
      </c>
      <c r="B18243" s="7" t="str">
        <f>IFERROR(__xludf.DUMMYFUNCTION("SPLIT(A18243,"" "")"),"CN(Cc1ccccn1)Cc1cc(N(C)Cc2ccccn2)cc2ncccc12")</f>
        <v>CN(Cc1ccccn1)Cc1cc(N(C)Cc2ccccn2)cc2ncccc12</v>
      </c>
      <c r="C18243" s="7">
        <f>IFERROR(__xludf.DUMMYFUNCTION("""COMPUTED_VALUE"""),7.7273664)</f>
        <v>7.7273664</v>
      </c>
      <c r="D18243" s="7">
        <f>IFERROR(__xludf.DUMMYFUNCTION("""COMPUTED_VALUE"""),0.478260869565217)</f>
        <v>0.4782608696</v>
      </c>
    </row>
    <row r="18244">
      <c r="A18244" s="10" t="s">
        <v>19683</v>
      </c>
      <c r="B18244" s="7" t="str">
        <f>IFERROR(__xludf.DUMMYFUNCTION("SPLIT(A18244,"" "")"),"Cc1cc2cccnc2cc1CN(C)Cc1cccc(C(C)(c2ccccn2)c2ccccn2)n1")</f>
        <v>Cc1cc2cccnc2cc1CN(C)Cc1cccc(C(C)(c2ccccn2)c2ccccn2)n1</v>
      </c>
      <c r="C18244" s="7">
        <f>IFERROR(__xludf.DUMMYFUNCTION("""COMPUTED_VALUE"""),7.7273655)</f>
        <v>7.7273655</v>
      </c>
      <c r="D18244" s="7">
        <f>IFERROR(__xludf.DUMMYFUNCTION("""COMPUTED_VALUE"""),0.418181818181818)</f>
        <v>0.4181818182</v>
      </c>
    </row>
    <row r="18245">
      <c r="A18245" s="10" t="s">
        <v>19684</v>
      </c>
      <c r="B18245" s="7" t="str">
        <f>IFERROR(__xludf.DUMMYFUNCTION("SPLIT(A18245,"" "")"),"CN(CCNc1ccc2cccnc2c1)Cc1ccc2ncccc2c1")</f>
        <v>CN(CCNc1ccc2cccnc2c1)Cc1ccc2ncccc2c1</v>
      </c>
      <c r="C18245" s="7">
        <f>IFERROR(__xludf.DUMMYFUNCTION("""COMPUTED_VALUE"""),7.727363)</f>
        <v>7.727363</v>
      </c>
      <c r="D18245" s="7">
        <f>IFERROR(__xludf.DUMMYFUNCTION("""COMPUTED_VALUE"""),0.358490566037735)</f>
        <v>0.358490566</v>
      </c>
    </row>
    <row r="18246">
      <c r="A18246" s="10" t="s">
        <v>19685</v>
      </c>
      <c r="B18246" s="7" t="str">
        <f>IFERROR(__xludf.DUMMYFUNCTION("SPLIT(A18246,"" "")"),"CN(CC1=CCC(N(C)c2ccc3ncccc3c2)=CN1)Cc1ccccn1")</f>
        <v>CN(CC1=CCC(N(C)c2ccc3ncccc3c2)=CN1)Cc1ccccn1</v>
      </c>
      <c r="C18246" s="7">
        <f>IFERROR(__xludf.DUMMYFUNCTION("""COMPUTED_VALUE"""),7.727361)</f>
        <v>7.727361</v>
      </c>
      <c r="D18246" s="7">
        <f>IFERROR(__xludf.DUMMYFUNCTION("""COMPUTED_VALUE"""),0.396551724137931)</f>
        <v>0.3965517241</v>
      </c>
    </row>
    <row r="18247">
      <c r="A18247" s="10" t="s">
        <v>19686</v>
      </c>
      <c r="B18247" s="7" t="str">
        <f>IFERROR(__xludf.DUMMYFUNCTION("SPLIT(A18247,"" "")"),"CN(CC1=C(N(C)c2ccc3ncccc3c2)CC=CN1)Cc1ccccn1")</f>
        <v>CN(CC1=C(N(C)c2ccc3ncccc3c2)CC=CN1)Cc1ccccn1</v>
      </c>
      <c r="C18247" s="7">
        <f>IFERROR(__xludf.DUMMYFUNCTION("""COMPUTED_VALUE"""),7.727353)</f>
        <v>7.727353</v>
      </c>
      <c r="D18247" s="7">
        <f>IFERROR(__xludf.DUMMYFUNCTION("""COMPUTED_VALUE"""),0.389830508474576)</f>
        <v>0.3898305085</v>
      </c>
    </row>
    <row r="18248">
      <c r="A18248" s="10" t="s">
        <v>19687</v>
      </c>
      <c r="B18248" s="7" t="str">
        <f>IFERROR(__xludf.DUMMYFUNCTION("SPLIT(A18248,"" "")"),"CC1=C(C)C(N(C)c2cc(Cl)c3ncccc3c2N(C)Cc2ccccn2)CCC1C")</f>
        <v>CC1=C(C)C(N(C)c2cc(Cl)c3ncccc3c2N(C)Cc2ccccn2)CCC1C</v>
      </c>
      <c r="C18248" s="7">
        <f>IFERROR(__xludf.DUMMYFUNCTION("""COMPUTED_VALUE"""),7.72735)</f>
        <v>7.72735</v>
      </c>
      <c r="D18248" s="7">
        <f>IFERROR(__xludf.DUMMYFUNCTION("""COMPUTED_VALUE"""),0.5)</f>
        <v>0.5</v>
      </c>
    </row>
    <row r="18249">
      <c r="A18249" s="10" t="s">
        <v>19688</v>
      </c>
      <c r="B18249" s="7" t="str">
        <f>IFERROR(__xludf.DUMMYFUNCTION("SPLIT(A18249,"" "")"),"CN(C)c1ccccc1-c1cccnc1CN(Cc1ccccn1)c1ccccc1F")</f>
        <v>CN(C)c1ccccc1-c1cccnc1CN(Cc1ccccn1)c1ccccc1F</v>
      </c>
      <c r="C18249" s="7">
        <f>IFERROR(__xludf.DUMMYFUNCTION("""COMPUTED_VALUE"""),7.7273498)</f>
        <v>7.7273498</v>
      </c>
      <c r="D18249" s="7">
        <f>IFERROR(__xludf.DUMMYFUNCTION("""COMPUTED_VALUE"""),0.392156862745098)</f>
        <v>0.3921568627</v>
      </c>
    </row>
    <row r="18250">
      <c r="A18250" s="10" t="s">
        <v>19689</v>
      </c>
      <c r="B18250" s="7" t="str">
        <f>IFERROR(__xludf.DUMMYFUNCTION("SPLIT(A18250,"" "")"),"Cc1cc(CN(C)C2C=CNC(CN(C)c3ccc4cccnc4c3)=C2)nc(C)c1C")</f>
        <v>Cc1cc(CN(C)C2C=CNC(CN(C)c3ccc4cccnc4c3)=C2)nc(C)c1C</v>
      </c>
      <c r="C18250" s="7">
        <f>IFERROR(__xludf.DUMMYFUNCTION("""COMPUTED_VALUE"""),7.727349)</f>
        <v>7.727349</v>
      </c>
      <c r="D18250" s="7">
        <f>IFERROR(__xludf.DUMMYFUNCTION("""COMPUTED_VALUE"""),0.260869565217391)</f>
        <v>0.2608695652</v>
      </c>
    </row>
    <row r="18251">
      <c r="A18251" s="10" t="s">
        <v>19690</v>
      </c>
      <c r="B18251" s="7" t="str">
        <f>IFERROR(__xludf.DUMMYFUNCTION("SPLIT(A18251,"" "")"),"CN(CCN(C)c1cccc2ccnc(CN(Cc3ccccn3)CC(C)(C)C)c12)c1ccc2ncccc2c1")</f>
        <v>CN(CCN(C)c1cccc2ccnc(CN(Cc3ccccn3)CC(C)(C)C)c12)c1ccc2ncccc2c1</v>
      </c>
      <c r="C18251" s="7">
        <f>IFERROR(__xludf.DUMMYFUNCTION("""COMPUTED_VALUE"""),7.7273326)</f>
        <v>7.7273326</v>
      </c>
      <c r="D18251" s="7">
        <f>IFERROR(__xludf.DUMMYFUNCTION("""COMPUTED_VALUE"""),0.45)</f>
        <v>0.45</v>
      </c>
    </row>
    <row r="18252">
      <c r="A18252" s="10" t="s">
        <v>19691</v>
      </c>
      <c r="B18252" s="7" t="str">
        <f>IFERROR(__xludf.DUMMYFUNCTION("SPLIT(A18252,"" "")"),"Cc1cccc(CN(C)c2ccccc2-c2ccc(CN(C)C)nc2)n1")</f>
        <v>Cc1cccc(CN(C)c2ccccc2-c2ccc(CN(C)C)nc2)n1</v>
      </c>
      <c r="C18252" s="7">
        <f>IFERROR(__xludf.DUMMYFUNCTION("""COMPUTED_VALUE"""),7.7273297)</f>
        <v>7.7273297</v>
      </c>
      <c r="D18252" s="7">
        <f>IFERROR(__xludf.DUMMYFUNCTION("""COMPUTED_VALUE"""),0.425531914893617)</f>
        <v>0.4255319149</v>
      </c>
    </row>
    <row r="18253">
      <c r="A18253" s="10" t="s">
        <v>19692</v>
      </c>
      <c r="B18253" s="7" t="str">
        <f>IFERROR(__xludf.DUMMYFUNCTION("SPLIT(A18253,"" "")"),"CNc1ccc(-c2cccc(C(C)(C)C)n2)nc1")</f>
        <v>CNc1ccc(-c2cccc(C(C)(C)C)n2)nc1</v>
      </c>
      <c r="C18253" s="7">
        <f>IFERROR(__xludf.DUMMYFUNCTION("""COMPUTED_VALUE"""),7.7273293)</f>
        <v>7.7273293</v>
      </c>
      <c r="D18253" s="7">
        <f>IFERROR(__xludf.DUMMYFUNCTION("""COMPUTED_VALUE"""),0.352941176470588)</f>
        <v>0.3529411765</v>
      </c>
    </row>
    <row r="18254">
      <c r="A18254" s="10" t="s">
        <v>19693</v>
      </c>
      <c r="B18254" s="7" t="str">
        <f>IFERROR(__xludf.DUMMYFUNCTION("SPLIT(A18254,"" "")"),"Cc1cnc2c(N(C)C3CCCCC3N(C)c3cccc4cc(CF)cnc34)cccc2c1C")</f>
        <v>Cc1cnc2c(N(C)C3CCCCC3N(C)c3cccc4cc(CF)cnc34)cccc2c1C</v>
      </c>
      <c r="C18254" s="7">
        <f>IFERROR(__xludf.DUMMYFUNCTION("""COMPUTED_VALUE"""),7.727325)</f>
        <v>7.727325</v>
      </c>
      <c r="D18254" s="7">
        <f>IFERROR(__xludf.DUMMYFUNCTION("""COMPUTED_VALUE"""),0.5)</f>
        <v>0.5</v>
      </c>
    </row>
    <row r="18255">
      <c r="A18255" s="10" t="s">
        <v>19694</v>
      </c>
      <c r="B18255" s="7" t="str">
        <f>IFERROR(__xludf.DUMMYFUNCTION("SPLIT(A18255,"" "")"),"Cc1cccc(CN(C)c2cccc(-c3cccc(CN(C)C)n3)c2)n1")</f>
        <v>Cc1cccc(CN(C)c2cccc(-c3cccc(CN(C)C)n3)c2)n1</v>
      </c>
      <c r="C18255" s="7">
        <f>IFERROR(__xludf.DUMMYFUNCTION("""COMPUTED_VALUE"""),7.7273)</f>
        <v>7.7273</v>
      </c>
      <c r="D18255" s="7">
        <f>IFERROR(__xludf.DUMMYFUNCTION("""COMPUTED_VALUE"""),0.465116279069767)</f>
        <v>0.4651162791</v>
      </c>
    </row>
    <row r="18256">
      <c r="A18256" s="10" t="s">
        <v>19695</v>
      </c>
      <c r="B18256" s="7" t="str">
        <f>IFERROR(__xludf.DUMMYFUNCTION("SPLIT(A18256,"" "")"),"c1ccc(CN(Cc2cccnc2)c2ccc3cccnc3c2)nc1")</f>
        <v>c1ccc(CN(Cc2cccnc2)c2ccc3cccnc3c2)nc1</v>
      </c>
      <c r="C18256" s="7">
        <f>IFERROR(__xludf.DUMMYFUNCTION("""COMPUTED_VALUE"""),7.7272954)</f>
        <v>7.7272954</v>
      </c>
      <c r="D18256" s="7">
        <f>IFERROR(__xludf.DUMMYFUNCTION("""COMPUTED_VALUE"""),0.46938775510204)</f>
        <v>0.4693877551</v>
      </c>
    </row>
    <row r="18257">
      <c r="A18257" s="10" t="s">
        <v>19696</v>
      </c>
      <c r="B18257" s="7" t="str">
        <f>IFERROR(__xludf.DUMMYFUNCTION("SPLIT(A18257,"" "")"),"CC(C)N(Cc1ccccn1)c1ccc2nccc(C(C)(C)C)c2c1")</f>
        <v>CC(C)N(Cc1ccccn1)c1ccc2nccc(C(C)(C)C)c2c1</v>
      </c>
      <c r="C18257" s="7">
        <f>IFERROR(__xludf.DUMMYFUNCTION("""COMPUTED_VALUE"""),7.7272954)</f>
        <v>7.7272954</v>
      </c>
      <c r="D18257" s="7">
        <f>IFERROR(__xludf.DUMMYFUNCTION("""COMPUTED_VALUE"""),0.42)</f>
        <v>0.42</v>
      </c>
    </row>
    <row r="18258">
      <c r="A18258" s="10" t="s">
        <v>19697</v>
      </c>
      <c r="B18258" s="7" t="str">
        <f>IFERROR(__xludf.DUMMYFUNCTION("SPLIT(A18258,"" "")"),"Cc1cncc(CN(C)Cc2cnc3c(N(C)Cc4ncccc4C)cccc3c2)c1")</f>
        <v>Cc1cncc(CN(C)Cc2cnc3c(N(C)Cc4ncccc4C)cccc3c2)c1</v>
      </c>
      <c r="C18258" s="7">
        <f>IFERROR(__xludf.DUMMYFUNCTION("""COMPUTED_VALUE"""),7.727294)</f>
        <v>7.727294</v>
      </c>
      <c r="D18258" s="7">
        <f>IFERROR(__xludf.DUMMYFUNCTION("""COMPUTED_VALUE"""),0.4)</f>
        <v>0.4</v>
      </c>
    </row>
    <row r="18259">
      <c r="A18259" s="10" t="s">
        <v>19698</v>
      </c>
      <c r="B18259" s="7" t="str">
        <f>IFERROR(__xludf.DUMMYFUNCTION("SPLIT(A18259,"" "")"),"C=Nc1cccc(-c2cccc(CN(C)Cc3cccc(-c4ccc(C)cc4)n3)n2)c1")</f>
        <v>C=Nc1cccc(-c2cccc(CN(C)Cc3cccc(-c4ccc(C)cc4)n3)n2)c1</v>
      </c>
      <c r="C18259" s="7">
        <f>IFERROR(__xludf.DUMMYFUNCTION("""COMPUTED_VALUE"""),7.7272787)</f>
        <v>7.7272787</v>
      </c>
      <c r="D18259" s="7">
        <f>IFERROR(__xludf.DUMMYFUNCTION("""COMPUTED_VALUE"""),0.411764705882352)</f>
        <v>0.4117647059</v>
      </c>
    </row>
    <row r="18260">
      <c r="A18260" s="10" t="s">
        <v>19699</v>
      </c>
      <c r="B18260" s="7" t="str">
        <f>IFERROR(__xludf.DUMMYFUNCTION("SPLIT(A18260,"" "")"),"CN(c1ccc2c(CF)ccnc2c1)C1CCCC(N(C)c2ccc3c(CF)ccnc3c2)C1")</f>
        <v>CN(c1ccc2c(CF)ccnc2c1)C1CCCC(N(C)c2ccc3c(CF)ccnc3c2)C1</v>
      </c>
      <c r="C18260" s="7">
        <f>IFERROR(__xludf.DUMMYFUNCTION("""COMPUTED_VALUE"""),7.727274)</f>
        <v>7.727274</v>
      </c>
      <c r="D18260" s="7">
        <f>IFERROR(__xludf.DUMMYFUNCTION("""COMPUTED_VALUE"""),0.266666666666666)</f>
        <v>0.2666666667</v>
      </c>
    </row>
    <row r="18261">
      <c r="A18261" s="10" t="s">
        <v>19700</v>
      </c>
      <c r="B18261" s="7" t="str">
        <f>IFERROR(__xludf.DUMMYFUNCTION("SPLIT(A18261,"" "")"),"CC(C)N(C)c1ccc2nc(C(C)(C)C)ccc2c1")</f>
        <v>CC(C)N(C)c1ccc2nc(C(C)(C)C)ccc2c1</v>
      </c>
      <c r="C18261" s="7">
        <f>IFERROR(__xludf.DUMMYFUNCTION("""COMPUTED_VALUE"""),7.727272)</f>
        <v>7.727272</v>
      </c>
      <c r="D18261" s="7">
        <f>IFERROR(__xludf.DUMMYFUNCTION("""COMPUTED_VALUE"""),0.22)</f>
        <v>0.22</v>
      </c>
    </row>
    <row r="18262">
      <c r="A18262" s="10" t="s">
        <v>19701</v>
      </c>
      <c r="B18262" s="7" t="str">
        <f>IFERROR(__xludf.DUMMYFUNCTION("SPLIT(A18262,"" "")"),"CC(C)N(C)c1cc(Cl)c(C(C)(C)C)c(-c2ccccn2)c1")</f>
        <v>CC(C)N(C)c1cc(Cl)c(C(C)(C)C)c(-c2ccccn2)c1</v>
      </c>
      <c r="C18262" s="7">
        <f>IFERROR(__xludf.DUMMYFUNCTION("""COMPUTED_VALUE"""),7.7272687)</f>
        <v>7.7272687</v>
      </c>
      <c r="D18262" s="7">
        <f>IFERROR(__xludf.DUMMYFUNCTION("""COMPUTED_VALUE"""),0.326923076923076)</f>
        <v>0.3269230769</v>
      </c>
    </row>
    <row r="18263">
      <c r="A18263" s="10" t="s">
        <v>19702</v>
      </c>
      <c r="B18263" s="7" t="str">
        <f>IFERROR(__xludf.DUMMYFUNCTION("SPLIT(A18263,"" "")"),"Cc1ccnc(CN(C)Cc2nc(-c3cccc(N(C)C)c3)c(C)cc2C)c1")</f>
        <v>Cc1ccnc(CN(C)Cc2nc(-c3cccc(N(C)C)c3)c(C)cc2C)c1</v>
      </c>
      <c r="C18263" s="7">
        <f>IFERROR(__xludf.DUMMYFUNCTION("""COMPUTED_VALUE"""),7.727262)</f>
        <v>7.727262</v>
      </c>
      <c r="D18263" s="7">
        <f>IFERROR(__xludf.DUMMYFUNCTION("""COMPUTED_VALUE"""),0.327586206896551)</f>
        <v>0.3275862069</v>
      </c>
    </row>
    <row r="18264">
      <c r="A18264" s="10" t="s">
        <v>19703</v>
      </c>
      <c r="B18264" s="7" t="str">
        <f>IFERROR(__xludf.DUMMYFUNCTION("SPLIT(A18264,"" "")"),"Cc1cc(N(C)Cc2nc(C)c(C)c(C)c2C)c(C)c(C)c1C")</f>
        <v>Cc1cc(N(C)Cc2nc(C)c(C)c(C)c2C)c(C)c(C)c1C</v>
      </c>
      <c r="C18264" s="7">
        <f>IFERROR(__xludf.DUMMYFUNCTION("""COMPUTED_VALUE"""),7.7272573)</f>
        <v>7.7272573</v>
      </c>
      <c r="D18264" s="7">
        <f>IFERROR(__xludf.DUMMYFUNCTION("""COMPUTED_VALUE"""),0.25531914893617)</f>
        <v>0.2553191489</v>
      </c>
    </row>
    <row r="18265">
      <c r="A18265" s="10" t="s">
        <v>19704</v>
      </c>
      <c r="B18265" s="7" t="str">
        <f>IFERROR(__xludf.DUMMYFUNCTION("SPLIT(A18265,"" "")"),"Cc1ccnc2cccc(N(C)C3CCCCC3N(C)c3cccc4cc(CF)cnc34)c12")</f>
        <v>Cc1ccnc2cccc(N(C)C3CCCCC3N(C)c3cccc4cc(CF)cnc34)c12</v>
      </c>
      <c r="C18265" s="7">
        <f>IFERROR(__xludf.DUMMYFUNCTION("""COMPUTED_VALUE"""),7.727251)</f>
        <v>7.727251</v>
      </c>
      <c r="D18265" s="7">
        <f>IFERROR(__xludf.DUMMYFUNCTION("""COMPUTED_VALUE"""),0.491228070175438)</f>
        <v>0.4912280702</v>
      </c>
    </row>
    <row r="18266">
      <c r="A18266" s="10" t="s">
        <v>19705</v>
      </c>
      <c r="B18266" s="7" t="str">
        <f>IFERROR(__xludf.DUMMYFUNCTION("SPLIT(A18266,"" "")"),"Cc1cc2cccnc2cc1-c1ncccc1CN(C)C1CCCCC1N(C)c1ccc2ncccc2c1")</f>
        <v>Cc1cc2cccnc2cc1-c1ncccc1CN(C)C1CCCCC1N(C)c1ccc2ncccc2c1</v>
      </c>
      <c r="C18266" s="7">
        <f>IFERROR(__xludf.DUMMYFUNCTION("""COMPUTED_VALUE"""),7.7272406)</f>
        <v>7.7272406</v>
      </c>
      <c r="D18266" s="7">
        <f>IFERROR(__xludf.DUMMYFUNCTION("""COMPUTED_VALUE"""),0.393442622950819)</f>
        <v>0.393442623</v>
      </c>
    </row>
    <row r="18267">
      <c r="A18267" s="10" t="s">
        <v>19706</v>
      </c>
      <c r="B18267" s="7" t="str">
        <f>IFERROR(__xludf.DUMMYFUNCTION("SPLIT(A18267,"" "")"),"CCN(Cc1ccccn1)c1ccc2cccnc2c1-c1cccc(CN(Cc2ccccn2)Cc2ncccc2N)n1")</f>
        <v>CCN(Cc1ccccn1)c1ccc2cccnc2c1-c1cccc(CN(Cc2ccccn2)Cc2ncccc2N)n1</v>
      </c>
      <c r="C18267" s="7">
        <f>IFERROR(__xludf.DUMMYFUNCTION("""COMPUTED_VALUE"""),7.727239)</f>
        <v>7.727239</v>
      </c>
      <c r="D18267" s="7">
        <f>IFERROR(__xludf.DUMMYFUNCTION("""COMPUTED_VALUE"""),0.397058823529411)</f>
        <v>0.3970588235</v>
      </c>
    </row>
    <row r="18268">
      <c r="A18268" s="10" t="s">
        <v>19707</v>
      </c>
      <c r="B18268" s="7" t="str">
        <f>IFERROR(__xludf.DUMMYFUNCTION("SPLIT(A18268,"" "")"),"Cc1ccnc2cccc(N(CCN(C)C)Cc3ccccn3)c12")</f>
        <v>Cc1ccnc2cccc(N(CCN(C)C)Cc3ccccn3)c12</v>
      </c>
      <c r="C18268" s="7">
        <f>IFERROR(__xludf.DUMMYFUNCTION("""COMPUTED_VALUE"""),7.727234)</f>
        <v>7.727234</v>
      </c>
      <c r="D18268" s="7">
        <f>IFERROR(__xludf.DUMMYFUNCTION("""COMPUTED_VALUE"""),0.5)</f>
        <v>0.5</v>
      </c>
    </row>
    <row r="18269">
      <c r="A18269" s="10" t="s">
        <v>19708</v>
      </c>
      <c r="B18269" s="7" t="str">
        <f>IFERROR(__xludf.DUMMYFUNCTION("SPLIT(A18269,"" "")"),"Cc1cnc(CN(C)c2cc(Cl)cc(C(C)C)c2N(C)Cc2ccccn2)c(C)c1")</f>
        <v>Cc1cnc(CN(C)c2cc(Cl)cc(C(C)C)c2N(C)Cc2ccccn2)c(C)c1</v>
      </c>
      <c r="C18269" s="7">
        <f>IFERROR(__xludf.DUMMYFUNCTION("""COMPUTED_VALUE"""),7.727227)</f>
        <v>7.727227</v>
      </c>
      <c r="D18269" s="7">
        <f>IFERROR(__xludf.DUMMYFUNCTION("""COMPUTED_VALUE"""),0.472727272727272)</f>
        <v>0.4727272727</v>
      </c>
    </row>
    <row r="18270">
      <c r="A18270" s="10" t="s">
        <v>19709</v>
      </c>
      <c r="B18270" s="7" t="str">
        <f>IFERROR(__xludf.DUMMYFUNCTION("SPLIT(A18270,"" "")"),"CCN(Cc1ccccn1)c1ccc2nccc(C(C)(C)C)c2c1")</f>
        <v>CCN(Cc1ccccn1)c1ccc2nccc(C(C)(C)C)c2c1</v>
      </c>
      <c r="C18270" s="7">
        <f>IFERROR(__xludf.DUMMYFUNCTION("""COMPUTED_VALUE"""),7.7272243)</f>
        <v>7.7272243</v>
      </c>
      <c r="D18270" s="7">
        <f>IFERROR(__xludf.DUMMYFUNCTION("""COMPUTED_VALUE"""),0.384615384615384)</f>
        <v>0.3846153846</v>
      </c>
    </row>
    <row r="18271">
      <c r="A18271" s="10" t="s">
        <v>19710</v>
      </c>
      <c r="B18271" s="7" t="str">
        <f>IFERROR(__xludf.DUMMYFUNCTION("SPLIT(A18271,"" "")"),"Cc1cccnc1CN(C)Cc1ccc2cc(N(C)Cc3ncccc3C)ccc2n1")</f>
        <v>Cc1cccnc1CN(C)Cc1ccc2cc(N(C)Cc3ncccc3C)ccc2n1</v>
      </c>
      <c r="C18271" s="7">
        <f>IFERROR(__xludf.DUMMYFUNCTION("""COMPUTED_VALUE"""),7.727224)</f>
        <v>7.727224</v>
      </c>
      <c r="D18271" s="7">
        <f>IFERROR(__xludf.DUMMYFUNCTION("""COMPUTED_VALUE"""),0.358490566037735)</f>
        <v>0.358490566</v>
      </c>
    </row>
    <row r="18272">
      <c r="A18272" s="10" t="s">
        <v>19711</v>
      </c>
      <c r="B18272" s="7" t="str">
        <f>IFERROR(__xludf.DUMMYFUNCTION("SPLIT(A18272,"" "")"),"CN(CC1=C(N(C)C(c2ccccn2)c2ccccn2)CC=CN1)c1cc(Cl)ccc1Cl")</f>
        <v>CN(CC1=C(N(C)C(c2ccccn2)c2ccccn2)CC=CN1)c1cc(Cl)ccc1Cl</v>
      </c>
      <c r="C18272" s="7">
        <f>IFERROR(__xludf.DUMMYFUNCTION("""COMPUTED_VALUE"""),7.727221)</f>
        <v>7.727221</v>
      </c>
      <c r="D18272" s="7">
        <f>IFERROR(__xludf.DUMMYFUNCTION("""COMPUTED_VALUE"""),0.366666666666666)</f>
        <v>0.3666666667</v>
      </c>
    </row>
    <row r="18273">
      <c r="A18273" s="10" t="s">
        <v>19712</v>
      </c>
      <c r="B18273" s="7" t="str">
        <f>IFERROR(__xludf.DUMMYFUNCTION("SPLIT(A18273,"" "")"),"Cc1cnc(CN(c2ccc3cc4c(nc3c2)CCC4)C2CC(N(C)c3cccc4nc5c(cc34)CCC5)CCC2N(c2ccc3nc4c(cc3c2)CCC4)C2CCC(N(C)c3ccc4nc5c(cc4c3)CCC5)CC2)c(C)c1C")</f>
        <v>Cc1cnc(CN(c2ccc3cc4c(nc3c2)CCC4)C2CC(N(C)c3cccc4nc5c(cc34)CCC5)CCC2N(c2ccc3nc4c(cc3c2)CCC4)C2CCC(N(C)c3ccc4nc5c(cc4c3)CCC5)CC2)c(C)c1C</v>
      </c>
      <c r="C18273" s="7">
        <f>IFERROR(__xludf.DUMMYFUNCTION("""COMPUTED_VALUE"""),7.7272086)</f>
        <v>7.7272086</v>
      </c>
      <c r="D18273" s="7">
        <f>IFERROR(__xludf.DUMMYFUNCTION("""COMPUTED_VALUE"""),0.314606741573033)</f>
        <v>0.3146067416</v>
      </c>
    </row>
    <row r="18274">
      <c r="A18274" s="10" t="s">
        <v>19713</v>
      </c>
      <c r="B18274" s="7" t="str">
        <f>IFERROR(__xludf.DUMMYFUNCTION("SPLIT(A18274,"" "")"),"CNCc1ccc2cccc(N(Cc3cccnn3)C3C=CC=CN3)c2n1")</f>
        <v>CNCc1ccc2cccc(N(Cc3cccnn3)C3C=CC=CN3)c2n1</v>
      </c>
      <c r="C18274" s="7">
        <f>IFERROR(__xludf.DUMMYFUNCTION("""COMPUTED_VALUE"""),7.727206)</f>
        <v>7.727206</v>
      </c>
      <c r="D18274" s="7">
        <f>IFERROR(__xludf.DUMMYFUNCTION("""COMPUTED_VALUE"""),0.316666666666666)</f>
        <v>0.3166666667</v>
      </c>
    </row>
    <row r="18275">
      <c r="A18275" s="10" t="s">
        <v>19714</v>
      </c>
      <c r="B18275" s="7" t="str">
        <f>IFERROR(__xludf.DUMMYFUNCTION("SPLIT(A18275,"" "")"),"CN(CCN(C)c1ccccc1-c1ccc2cccnc2c1)Cc1ccccn1")</f>
        <v>CN(CCN(C)c1ccccc1-c1ccc2cccnc2c1)Cc1ccccn1</v>
      </c>
      <c r="C18275" s="7">
        <f>IFERROR(__xludf.DUMMYFUNCTION("""COMPUTED_VALUE"""),7.7271996)</f>
        <v>7.7271996</v>
      </c>
      <c r="D18275" s="7">
        <f>IFERROR(__xludf.DUMMYFUNCTION("""COMPUTED_VALUE"""),0.433962264150943)</f>
        <v>0.4339622642</v>
      </c>
    </row>
    <row r="18276">
      <c r="A18276" s="10" t="s">
        <v>19715</v>
      </c>
      <c r="B18276" s="7" t="str">
        <f>IFERROR(__xludf.DUMMYFUNCTION("SPLIT(A18276,"" "")"),"CN(CCN(Cc1ccccn1)Cc1cccc2cccnc12)c1ccc2ncccc2c1")</f>
        <v>CN(CCN(Cc1ccccn1)Cc1cccc2cccnc12)c1ccc2ncccc2c1</v>
      </c>
      <c r="C18276" s="7">
        <f>IFERROR(__xludf.DUMMYFUNCTION("""COMPUTED_VALUE"""),7.727185)</f>
        <v>7.727185</v>
      </c>
      <c r="D18276" s="7">
        <f>IFERROR(__xludf.DUMMYFUNCTION("""COMPUTED_VALUE"""),0.48076923076923)</f>
        <v>0.4807692308</v>
      </c>
    </row>
    <row r="18277">
      <c r="A18277" s="10" t="s">
        <v>19716</v>
      </c>
      <c r="B18277" s="7" t="str">
        <f>IFERROR(__xludf.DUMMYFUNCTION("SPLIT(A18277,"" "")"),"CCN(Cc1ccccn1)c1ccc(-c2cc(C)c(C)c(C)n2)c(-c2cc(CN(Cc3ccccn3)Cc3cc(C)ccn3)ccn2)c1")</f>
        <v>CCN(Cc1ccccn1)c1ccc(-c2cc(C)c(C)c(C)n2)c(-c2cc(CN(Cc3ccccn3)Cc3cc(C)ccn3)ccn2)c1</v>
      </c>
      <c r="C18277" s="7">
        <f>IFERROR(__xludf.DUMMYFUNCTION("""COMPUTED_VALUE"""),7.7271795)</f>
        <v>7.7271795</v>
      </c>
      <c r="D18277" s="7">
        <f>IFERROR(__xludf.DUMMYFUNCTION("""COMPUTED_VALUE"""),0.333333333333333)</f>
        <v>0.3333333333</v>
      </c>
    </row>
    <row r="18278">
      <c r="A18278" s="10" t="s">
        <v>19717</v>
      </c>
      <c r="B18278" s="7" t="str">
        <f>IFERROR(__xludf.DUMMYFUNCTION("SPLIT(A18278,"" "")"),"Cc1cccnc1CN(C)Cc1nc2ccccc2n1C")</f>
        <v>Cc1cccnc1CN(C)Cc1nc2ccccc2n1C</v>
      </c>
      <c r="C18278" s="7">
        <f>IFERROR(__xludf.DUMMYFUNCTION("""COMPUTED_VALUE"""),7.727178)</f>
        <v>7.727178</v>
      </c>
      <c r="D18278" s="7">
        <f>IFERROR(__xludf.DUMMYFUNCTION("""COMPUTED_VALUE"""),0.44)</f>
        <v>0.44</v>
      </c>
    </row>
    <row r="18279">
      <c r="A18279" s="10" t="s">
        <v>19718</v>
      </c>
      <c r="B18279" s="7" t="str">
        <f>IFERROR(__xludf.DUMMYFUNCTION("SPLIT(A18279,"" "")"),"CN(CCN(Cc1cccnc1)c1ccc2ncccc2c1)Cc1ccc2ncccc2c1")</f>
        <v>CN(CCN(Cc1cccnc1)c1ccc2ncccc2c1)Cc1ccc2ncccc2c1</v>
      </c>
      <c r="C18279" s="7">
        <f>IFERROR(__xludf.DUMMYFUNCTION("""COMPUTED_VALUE"""),7.7271476)</f>
        <v>7.7271476</v>
      </c>
      <c r="D18279" s="7">
        <f>IFERROR(__xludf.DUMMYFUNCTION("""COMPUTED_VALUE"""),0.37037037037037)</f>
        <v>0.3703703704</v>
      </c>
    </row>
    <row r="18280">
      <c r="A18280" s="10" t="s">
        <v>19719</v>
      </c>
      <c r="B18280" s="7" t="str">
        <f>IFERROR(__xludf.DUMMYFUNCTION("SPLIT(A18280,"" "")"),"Cc1ccc(-c2ccc(CN(Cc3ccccn3)Cc3ncccc3-c3cccc(N=Cc4ccccn4)c3)cc2)nc1")</f>
        <v>Cc1ccc(-c2ccc(CN(Cc3ccccn3)Cc3ncccc3-c3cccc(N=Cc4ccccn4)c3)cc2)nc1</v>
      </c>
      <c r="C18280" s="7">
        <f>IFERROR(__xludf.DUMMYFUNCTION("""COMPUTED_VALUE"""),7.7271338)</f>
        <v>7.7271338</v>
      </c>
      <c r="D18280" s="7">
        <f>IFERROR(__xludf.DUMMYFUNCTION("""COMPUTED_VALUE"""),0.333333333333333)</f>
        <v>0.3333333333</v>
      </c>
    </row>
    <row r="18281">
      <c r="A18281" s="10" t="s">
        <v>19720</v>
      </c>
      <c r="B18281" s="7" t="str">
        <f>IFERROR(__xludf.DUMMYFUNCTION("SPLIT(A18281,"" "")"),"CC(C)N(Cc1ccccn1)Cc1cc(N(C)c2cccc3ncccc23)ccn1")</f>
        <v>CC(C)N(Cc1ccccn1)Cc1cc(N(C)c2cccc3ncccc23)ccn1</v>
      </c>
      <c r="C18281" s="7">
        <f>IFERROR(__xludf.DUMMYFUNCTION("""COMPUTED_VALUE"""),7.7271295)</f>
        <v>7.7271295</v>
      </c>
      <c r="D18281" s="7">
        <f>IFERROR(__xludf.DUMMYFUNCTION("""COMPUTED_VALUE"""),0.48)</f>
        <v>0.48</v>
      </c>
    </row>
    <row r="18282">
      <c r="A18282" s="10" t="s">
        <v>19721</v>
      </c>
      <c r="B18282" s="7" t="str">
        <f>IFERROR(__xludf.DUMMYFUNCTION("SPLIT(A18282,"" "")"),"CN(c1ccc2c(CF)ccnc2c1)C1CCCC(N(C)c2ccc3nccc(CF)c3c2)C1")</f>
        <v>CN(c1ccc2c(CF)ccnc2c1)C1CCCC(N(C)c2ccc3nccc(CF)c3c2)C1</v>
      </c>
      <c r="C18282" s="7">
        <f>IFERROR(__xludf.DUMMYFUNCTION("""COMPUTED_VALUE"""),7.7271256)</f>
        <v>7.7271256</v>
      </c>
      <c r="D18282" s="7">
        <f>IFERROR(__xludf.DUMMYFUNCTION("""COMPUTED_VALUE"""),0.25)</f>
        <v>0.25</v>
      </c>
    </row>
    <row r="18283">
      <c r="A18283" s="10" t="s">
        <v>19722</v>
      </c>
      <c r="B18283" s="7" t="str">
        <f>IFERROR(__xludf.DUMMYFUNCTION("SPLIT(A18283,"" "")"),"CC(C)Nc1cc(-c2cc(C(C)(C)c3ccccn3)ccn2)ccn1")</f>
        <v>CC(C)Nc1cc(-c2cc(C(C)(C)c3ccccn3)ccn2)ccn1</v>
      </c>
      <c r="C18283" s="7">
        <f>IFERROR(__xludf.DUMMYFUNCTION("""COMPUTED_VALUE"""),7.7271185)</f>
        <v>7.7271185</v>
      </c>
      <c r="D18283" s="7">
        <f>IFERROR(__xludf.DUMMYFUNCTION("""COMPUTED_VALUE"""),0.316666666666666)</f>
        <v>0.3166666667</v>
      </c>
    </row>
    <row r="18284">
      <c r="A18284" s="10" t="s">
        <v>19723</v>
      </c>
      <c r="B18284" s="7" t="str">
        <f>IFERROR(__xludf.DUMMYFUNCTION("SPLIT(A18284,"" "")"),"Cc1c(-c2ccccc2N=Cc2ccccn2)cnc(CN(C)Cc2ccccn2)c1C")</f>
        <v>Cc1c(-c2ccccc2N=Cc2ccccn2)cnc(CN(C)Cc2ccccn2)c1C</v>
      </c>
      <c r="C18284" s="7">
        <f>IFERROR(__xludf.DUMMYFUNCTION("""COMPUTED_VALUE"""),7.7271094)</f>
        <v>7.7271094</v>
      </c>
      <c r="D18284" s="7">
        <f>IFERROR(__xludf.DUMMYFUNCTION("""COMPUTED_VALUE"""),0.428571428571428)</f>
        <v>0.4285714286</v>
      </c>
    </row>
    <row r="18285">
      <c r="A18285" s="10" t="s">
        <v>19724</v>
      </c>
      <c r="B18285" s="7" t="str">
        <f>IFERROR(__xludf.DUMMYFUNCTION("SPLIT(A18285,"" "")"),"COC(=O)c1ncccc1-c1ncccc1C(C)NCc1ccccn1")</f>
        <v>COC(=O)c1ncccc1-c1ncccc1C(C)NCc1ccccn1</v>
      </c>
      <c r="C18285" s="7">
        <f>IFERROR(__xludf.DUMMYFUNCTION("""COMPUTED_VALUE"""),7.7271094)</f>
        <v>7.7271094</v>
      </c>
      <c r="D18285" s="7">
        <f>IFERROR(__xludf.DUMMYFUNCTION("""COMPUTED_VALUE"""),0.333333333333333)</f>
        <v>0.3333333333</v>
      </c>
    </row>
    <row r="18286">
      <c r="A18286" s="10" t="s">
        <v>19725</v>
      </c>
      <c r="B18286" s="7" t="str">
        <f>IFERROR(__xludf.DUMMYFUNCTION("SPLIT(A18286,"" "")"),"C1=CC(Nc2cccc(C(c3ccccn3)c3ccccn3)n2)=CCN1")</f>
        <v>C1=CC(Nc2cccc(C(c3ccccn3)c3ccccn3)n2)=CCN1</v>
      </c>
      <c r="C18286" s="7">
        <f>IFERROR(__xludf.DUMMYFUNCTION("""COMPUTED_VALUE"""),7.727107)</f>
        <v>7.727107</v>
      </c>
      <c r="D18286" s="7">
        <f>IFERROR(__xludf.DUMMYFUNCTION("""COMPUTED_VALUE"""),0.25)</f>
        <v>0.25</v>
      </c>
    </row>
    <row r="18287">
      <c r="A18287" s="10" t="s">
        <v>19726</v>
      </c>
      <c r="B18287" s="7" t="str">
        <f>IFERROR(__xludf.DUMMYFUNCTION("SPLIT(A18287,"" "")"),"Cc1cncc(CN(C)c2ccc3nccc(CN(C)Cc4ccccn4)c3c2)c1")</f>
        <v>Cc1cncc(CN(C)c2ccc3nccc(CN(C)Cc4ccccn4)c3c2)c1</v>
      </c>
      <c r="C18287" s="7">
        <f>IFERROR(__xludf.DUMMYFUNCTION("""COMPUTED_VALUE"""),7.727103)</f>
        <v>7.727103</v>
      </c>
      <c r="D18287" s="7">
        <f>IFERROR(__xludf.DUMMYFUNCTION("""COMPUTED_VALUE"""),0.360655737704918)</f>
        <v>0.3606557377</v>
      </c>
    </row>
    <row r="18288">
      <c r="A18288" s="10" t="s">
        <v>19727</v>
      </c>
      <c r="B18288" s="7" t="str">
        <f>IFERROR(__xludf.DUMMYFUNCTION("SPLIT(A18288,"" "")"),"CC(C)N(C)C1=CNC(CN(C)c2cccc3ncccc23)=CC1")</f>
        <v>CC(C)N(C)C1=CNC(CN(C)c2cccc3ncccc23)=CC1</v>
      </c>
      <c r="C18288" s="7">
        <f>IFERROR(__xludf.DUMMYFUNCTION("""COMPUTED_VALUE"""),7.727101)</f>
        <v>7.727101</v>
      </c>
      <c r="D18288" s="7">
        <f>IFERROR(__xludf.DUMMYFUNCTION("""COMPUTED_VALUE"""),0.363636363636363)</f>
        <v>0.3636363636</v>
      </c>
    </row>
    <row r="18289">
      <c r="A18289" s="10" t="s">
        <v>19728</v>
      </c>
      <c r="B18289" s="7" t="str">
        <f>IFERROR(__xludf.DUMMYFUNCTION("SPLIT(A18289,"" "")"),"CN(C1=CNC(CN(C)C2C=CC=CN2)=CC1)c1ccc2cccnc2c1")</f>
        <v>CN(C1=CNC(CN(C)C2C=CC=CN2)=CC1)c1ccc2cccnc2c1</v>
      </c>
      <c r="C18289" s="7">
        <f>IFERROR(__xludf.DUMMYFUNCTION("""COMPUTED_VALUE"""),7.727099)</f>
        <v>7.727099</v>
      </c>
      <c r="D18289" s="7">
        <f>IFERROR(__xludf.DUMMYFUNCTION("""COMPUTED_VALUE"""),0.285714285714285)</f>
        <v>0.2857142857</v>
      </c>
    </row>
    <row r="18290">
      <c r="A18290" s="10" t="s">
        <v>19729</v>
      </c>
      <c r="B18290" s="7" t="str">
        <f>IFERROR(__xludf.DUMMYFUNCTION("SPLIT(A18290,"" "")"),"CNCN(Cc1ncccc1N)c1ccc2c(CF)ccnc2c1")</f>
        <v>CNCN(Cc1ncccc1N)c1ccc2c(CF)ccnc2c1</v>
      </c>
      <c r="C18290" s="7">
        <f>IFERROR(__xludf.DUMMYFUNCTION("""COMPUTED_VALUE"""),7.727098)</f>
        <v>7.727098</v>
      </c>
      <c r="D18290" s="7">
        <f>IFERROR(__xludf.DUMMYFUNCTION("""COMPUTED_VALUE"""),0.225806451612903)</f>
        <v>0.2258064516</v>
      </c>
    </row>
    <row r="18291">
      <c r="A18291" s="10" t="s">
        <v>19730</v>
      </c>
      <c r="B18291" s="7" t="str">
        <f>IFERROR(__xludf.DUMMYFUNCTION("SPLIT(A18291,"" "")"),"CCN(Cc1ccccn1)C1=CCC=C(CN(C)c2ccc3nc(CF)ccc3c2)N1")</f>
        <v>CCN(Cc1ccccn1)C1=CCC=C(CN(C)c2ccc3nc(CF)ccc3c2)N1</v>
      </c>
      <c r="C18291" s="7">
        <f>IFERROR(__xludf.DUMMYFUNCTION("""COMPUTED_VALUE"""),7.727078)</f>
        <v>7.727078</v>
      </c>
      <c r="D18291" s="7">
        <f>IFERROR(__xludf.DUMMYFUNCTION("""COMPUTED_VALUE"""),0.359375)</f>
        <v>0.359375</v>
      </c>
    </row>
    <row r="18292">
      <c r="A18292" s="10" t="s">
        <v>19731</v>
      </c>
      <c r="B18292" s="7" t="str">
        <f>IFERROR(__xludf.DUMMYFUNCTION("SPLIT(A18292,"" "")"),"CCN(Cc1ccccn1)c1ccc2ncccc2c1-c1cc(CN(Cc2ccccn2)Cc2cccc(F)n2)ccn1")</f>
        <v>CCN(Cc1ccccn1)c1ccc2ncccc2c1-c1cc(CN(Cc2ccccn2)Cc2cccc(F)n2)ccn1</v>
      </c>
      <c r="C18292" s="7">
        <f>IFERROR(__xludf.DUMMYFUNCTION("""COMPUTED_VALUE"""),7.7270455)</f>
        <v>7.7270455</v>
      </c>
      <c r="D18292" s="7">
        <f>IFERROR(__xludf.DUMMYFUNCTION("""COMPUTED_VALUE"""),0.384615384615384)</f>
        <v>0.3846153846</v>
      </c>
    </row>
    <row r="18293">
      <c r="A18293" s="10" t="s">
        <v>19732</v>
      </c>
      <c r="B18293" s="7" t="str">
        <f>IFERROR(__xludf.DUMMYFUNCTION("SPLIT(A18293,"" "")"),"Cc1ccc(N(C)Cc2ncccc2C)c(N(C)Cc2ncc(C)c(C)c2C)c1")</f>
        <v>Cc1ccc(N(C)Cc2ncccc2C)c(N(C)Cc2ncc(C)c(C)c2C)c1</v>
      </c>
      <c r="C18293" s="7">
        <f>IFERROR(__xludf.DUMMYFUNCTION("""COMPUTED_VALUE"""),7.727038)</f>
        <v>7.727038</v>
      </c>
      <c r="D18293" s="7">
        <f>IFERROR(__xludf.DUMMYFUNCTION("""COMPUTED_VALUE"""),0.372549019607843)</f>
        <v>0.3725490196</v>
      </c>
    </row>
    <row r="18294">
      <c r="A18294" s="10" t="s">
        <v>19733</v>
      </c>
      <c r="B18294" s="7" t="str">
        <f>IFERROR(__xludf.DUMMYFUNCTION("SPLIT(A18294,"" "")"),"CCN(Cc1ccccn1)Cc1ccc2cccc(N(Cc3ccc4ncccc4c3)Cc3ccccn3)c2n1")</f>
        <v>CCN(Cc1ccccn1)Cc1ccc2cccc(N(Cc3ccc4ncccc4c3)Cc3ccccn3)c2n1</v>
      </c>
      <c r="C18294" s="7">
        <f>IFERROR(__xludf.DUMMYFUNCTION("""COMPUTED_VALUE"""),7.727034)</f>
        <v>7.727034</v>
      </c>
      <c r="D18294" s="7">
        <f>IFERROR(__xludf.DUMMYFUNCTION("""COMPUTED_VALUE"""),0.43859649122807)</f>
        <v>0.4385964912</v>
      </c>
    </row>
    <row r="18295">
      <c r="A18295" s="10" t="s">
        <v>19734</v>
      </c>
      <c r="B18295" s="7" t="str">
        <f>IFERROR(__xludf.DUMMYFUNCTION("SPLIT(A18295,"" "")"),"CCNCC1=C(N(C)c2ccc3ccc(C)nc3c2)CC=CN1")</f>
        <v>CCNCC1=C(N(C)c2ccc3ccc(C)nc3c2)CC=CN1</v>
      </c>
      <c r="C18295" s="7">
        <f>IFERROR(__xludf.DUMMYFUNCTION("""COMPUTED_VALUE"""),7.7270336)</f>
        <v>7.7270336</v>
      </c>
      <c r="D18295" s="7">
        <f>IFERROR(__xludf.DUMMYFUNCTION("""COMPUTED_VALUE"""),0.203389830508474)</f>
        <v>0.2033898305</v>
      </c>
    </row>
    <row r="18296">
      <c r="A18296" s="10" t="s">
        <v>19735</v>
      </c>
      <c r="B18296" s="7" t="str">
        <f>IFERROR(__xludf.DUMMYFUNCTION("SPLIT(A18296,"" "")"),"CC(C)(c1cccc(NCc2ccccn2)c1)c1cccc(-c2cccc(N=Cc3ccccn3)c2)n1")</f>
        <v>CC(C)(c1cccc(NCc2ccccn2)c1)c1cccc(-c2cccc(N=Cc3ccccn3)c2)n1</v>
      </c>
      <c r="C18296" s="7">
        <f>IFERROR(__xludf.DUMMYFUNCTION("""COMPUTED_VALUE"""),7.727032)</f>
        <v>7.727032</v>
      </c>
      <c r="D18296" s="7">
        <f>IFERROR(__xludf.DUMMYFUNCTION("""COMPUTED_VALUE"""),0.32)</f>
        <v>0.32</v>
      </c>
    </row>
    <row r="18297">
      <c r="A18297" s="10" t="s">
        <v>19736</v>
      </c>
      <c r="B18297" s="7" t="str">
        <f>IFERROR(__xludf.DUMMYFUNCTION("SPLIT(A18297,"" "")"),"CN(CC1=CCC(N(C)c2cccc3cccnc23)=CN1)Cc1ccccn1")</f>
        <v>CN(CC1=CCC(N(C)c2cccc3cccnc23)=CN1)Cc1ccccn1</v>
      </c>
      <c r="C18297" s="7">
        <f>IFERROR(__xludf.DUMMYFUNCTION("""COMPUTED_VALUE"""),7.727028)</f>
        <v>7.727028</v>
      </c>
      <c r="D18297" s="7">
        <f>IFERROR(__xludf.DUMMYFUNCTION("""COMPUTED_VALUE"""),0.428571428571428)</f>
        <v>0.4285714286</v>
      </c>
    </row>
    <row r="18298">
      <c r="A18298" s="10" t="s">
        <v>19737</v>
      </c>
      <c r="B18298" s="7" t="str">
        <f>IFERROR(__xludf.DUMMYFUNCTION("SPLIT(A18298,"" "")"),"Cc1c2c(nc3c(N(C)C4CCC(N(C)c5ccc6ncc7c(c6c5)CCC7)CC4)cccc13)CCC2")</f>
        <v>Cc1c2c(nc3c(N(C)C4CCC(N(C)c5ccc6ncc7c(c6c5)CCC7)CC4)cccc13)CCC2</v>
      </c>
      <c r="C18298" s="7">
        <f>IFERROR(__xludf.DUMMYFUNCTION("""COMPUTED_VALUE"""),7.7270155)</f>
        <v>7.7270155</v>
      </c>
      <c r="D18298" s="7">
        <f>IFERROR(__xludf.DUMMYFUNCTION("""COMPUTED_VALUE"""),0.397058823529411)</f>
        <v>0.3970588235</v>
      </c>
    </row>
    <row r="18299">
      <c r="A18299" s="10" t="s">
        <v>19738</v>
      </c>
      <c r="B18299" s="7" t="str">
        <f>IFERROR(__xludf.DUMMYFUNCTION("SPLIT(A18299,"" "")"),"CC(C)c1cccc(CN(Cc2ccccn2)c2ccc3ncccc3c2)n1")</f>
        <v>CC(C)c1cccc(CN(Cc2ccccn2)c2ccc3ncccc3c2)n1</v>
      </c>
      <c r="C18299" s="7">
        <f>IFERROR(__xludf.DUMMYFUNCTION("""COMPUTED_VALUE"""),7.727011)</f>
        <v>7.727011</v>
      </c>
      <c r="D18299" s="7">
        <f>IFERROR(__xludf.DUMMYFUNCTION("""COMPUTED_VALUE"""),0.428571428571428)</f>
        <v>0.4285714286</v>
      </c>
    </row>
    <row r="18300">
      <c r="A18300" s="10" t="s">
        <v>19739</v>
      </c>
      <c r="B18300" s="7" t="str">
        <f>IFERROR(__xludf.DUMMYFUNCTION("SPLIT(A18300,"" "")"),"CC1=CC(c2cccc(N(C)C)c2)C(N(C)Cc2ccccn2)C=C1CN(C)Cc1ccc(-c2cc(C)cc3cccnc23)nc1")</f>
        <v>CC1=CC(c2cccc(N(C)C)c2)C(N(C)Cc2ccccn2)C=C1CN(C)Cc1ccc(-c2cc(C)cc3cccnc23)nc1</v>
      </c>
      <c r="C18300" s="7">
        <f>IFERROR(__xludf.DUMMYFUNCTION("""COMPUTED_VALUE"""),7.7269993)</f>
        <v>7.7269993</v>
      </c>
      <c r="D18300" s="7">
        <f>IFERROR(__xludf.DUMMYFUNCTION("""COMPUTED_VALUE"""),0.30379746835443)</f>
        <v>0.3037974684</v>
      </c>
    </row>
    <row r="18301">
      <c r="A18301" s="10" t="s">
        <v>19740</v>
      </c>
      <c r="B18301" s="7" t="str">
        <f>IFERROR(__xludf.DUMMYFUNCTION("SPLIT(A18301,"" "")"),"CN(c1ccc2nccc(CF)c2c1)C1CCCC(N(C)c2ccc3nccc(CF)c3c2)C1")</f>
        <v>CN(c1ccc2nccc(CF)c2c1)C1CCCC(N(C)c2ccc3nccc(CF)c3c2)C1</v>
      </c>
      <c r="C18301" s="7">
        <f>IFERROR(__xludf.DUMMYFUNCTION("""COMPUTED_VALUE"""),7.7269826)</f>
        <v>7.7269826</v>
      </c>
      <c r="D18301" s="7">
        <f>IFERROR(__xludf.DUMMYFUNCTION("""COMPUTED_VALUE"""),0.262295081967213)</f>
        <v>0.262295082</v>
      </c>
    </row>
    <row r="18302">
      <c r="A18302" s="10" t="s">
        <v>19741</v>
      </c>
      <c r="B18302" s="7" t="str">
        <f>IFERROR(__xludf.DUMMYFUNCTION("SPLIT(A18302,"" "")"),"C=Nc1ccccc1-c1cccc(CN(C)Cc2ccc(-c3cccc(C)c3)nc2)n1")</f>
        <v>C=Nc1ccccc1-c1cccc(CN(C)Cc2ccc(-c3cccc(C)c3)nc2)n1</v>
      </c>
      <c r="C18302" s="7">
        <f>IFERROR(__xludf.DUMMYFUNCTION("""COMPUTED_VALUE"""),7.7269816)</f>
        <v>7.7269816</v>
      </c>
      <c r="D18302" s="7">
        <f>IFERROR(__xludf.DUMMYFUNCTION("""COMPUTED_VALUE"""),0.377049180327868)</f>
        <v>0.3770491803</v>
      </c>
    </row>
    <row r="18303">
      <c r="A18303" s="10" t="s">
        <v>19742</v>
      </c>
      <c r="B18303" s="7" t="str">
        <f>IFERROR(__xludf.DUMMYFUNCTION("SPLIT(A18303,"" "")"),"c1ccc(CN(Cc2cccnc2)c2cccc3cccnc23)nc1")</f>
        <v>c1ccc(CN(Cc2cccnc2)c2cccc3cccnc23)nc1</v>
      </c>
      <c r="C18303" s="7">
        <f>IFERROR(__xludf.DUMMYFUNCTION("""COMPUTED_VALUE"""),7.7269764)</f>
        <v>7.7269764</v>
      </c>
      <c r="D18303" s="7">
        <f>IFERROR(__xludf.DUMMYFUNCTION("""COMPUTED_VALUE"""),0.425531914893617)</f>
        <v>0.4255319149</v>
      </c>
    </row>
    <row r="18304">
      <c r="A18304" s="10" t="s">
        <v>19743</v>
      </c>
      <c r="B18304" s="7" t="str">
        <f>IFERROR(__xludf.DUMMYFUNCTION("SPLIT(A18304,"" "")"),"CN(c1cccc2ncc3c(c12)CCC3)C1CCCC(N(C)c2cccc3ncc4c(c23)CCC4)C1")</f>
        <v>CN(c1cccc2ncc3c(c12)CCC3)C1CCCC(N(C)c2cccc3ncc4c(c23)CCC4)C1</v>
      </c>
      <c r="C18304" s="7">
        <f>IFERROR(__xludf.DUMMYFUNCTION("""COMPUTED_VALUE"""),7.72697)</f>
        <v>7.72697</v>
      </c>
      <c r="D18304" s="7">
        <f>IFERROR(__xludf.DUMMYFUNCTION("""COMPUTED_VALUE"""),0.344827586206896)</f>
        <v>0.3448275862</v>
      </c>
    </row>
    <row r="18305">
      <c r="A18305" s="10" t="s">
        <v>19744</v>
      </c>
      <c r="B18305" s="7" t="str">
        <f>IFERROR(__xludf.DUMMYFUNCTION("SPLIT(A18305,"" "")"),"CN(c1ccccc1F)c1cc(Cl)c(Cl)cc1N(Cc1ccccn1)Cc1cccc(F)n1")</f>
        <v>CN(c1ccccc1F)c1cc(Cl)c(Cl)cc1N(Cc1ccccn1)Cc1cccc(F)n1</v>
      </c>
      <c r="C18305" s="7">
        <f>IFERROR(__xludf.DUMMYFUNCTION("""COMPUTED_VALUE"""),7.726968)</f>
        <v>7.726968</v>
      </c>
      <c r="D18305" s="7">
        <f>IFERROR(__xludf.DUMMYFUNCTION("""COMPUTED_VALUE"""),0.5)</f>
        <v>0.5</v>
      </c>
    </row>
    <row r="18306">
      <c r="A18306" s="10" t="s">
        <v>19745</v>
      </c>
      <c r="B18306" s="7" t="str">
        <f>IFERROR(__xludf.DUMMYFUNCTION("SPLIT(A18306,"" "")"),"Cc1ccc(C2=NC(c3ccccn3)CO2)nc1")</f>
        <v>Cc1ccc(C2=NC(c3ccccn3)CO2)nc1</v>
      </c>
      <c r="C18306" s="7">
        <f>IFERROR(__xludf.DUMMYFUNCTION("""COMPUTED_VALUE"""),7.7269526)</f>
        <v>7.7269526</v>
      </c>
      <c r="D18306" s="7">
        <f>IFERROR(__xludf.DUMMYFUNCTION("""COMPUTED_VALUE"""),0.264150943396226)</f>
        <v>0.2641509434</v>
      </c>
    </row>
    <row r="18307">
      <c r="A18307" s="10" t="s">
        <v>19746</v>
      </c>
      <c r="B18307" s="7" t="str">
        <f>IFERROR(__xludf.DUMMYFUNCTION("SPLIT(A18307,"" "")"),"Cc1ccc2cccc(N(C)c3ccnc(CN(Cc4ccnc(C(C)(C)C)c4)Cc4ccccn4)c3)c2n1")</f>
        <v>Cc1ccc2cccc(N(C)c3ccnc(CN(Cc4ccnc(C(C)(C)C)c4)Cc4ccccn4)c3)c2n1</v>
      </c>
      <c r="C18307" s="7">
        <f>IFERROR(__xludf.DUMMYFUNCTION("""COMPUTED_VALUE"""),7.7269354)</f>
        <v>7.7269354</v>
      </c>
      <c r="D18307" s="7">
        <f>IFERROR(__xludf.DUMMYFUNCTION("""COMPUTED_VALUE"""),0.359375)</f>
        <v>0.359375</v>
      </c>
    </row>
    <row r="18308">
      <c r="A18308" s="10" t="s">
        <v>19747</v>
      </c>
      <c r="B18308" s="7" t="str">
        <f>IFERROR(__xludf.DUMMYFUNCTION("SPLIT(A18308,"" "")"),"Cc1cc(C)c(CN(C)CC2=CC(N(C)c3ccc4ncccc4c3)C=CN2)c(C)n1")</f>
        <v>Cc1cc(C)c(CN(C)CC2=CC(N(C)c3ccc4ncccc4c3)C=CN2)c(C)n1</v>
      </c>
      <c r="C18308" s="7">
        <f>IFERROR(__xludf.DUMMYFUNCTION("""COMPUTED_VALUE"""),7.7269263)</f>
        <v>7.7269263</v>
      </c>
      <c r="D18308" s="7">
        <f>IFERROR(__xludf.DUMMYFUNCTION("""COMPUTED_VALUE"""),0.285714285714285)</f>
        <v>0.2857142857</v>
      </c>
    </row>
    <row r="18309">
      <c r="A18309" s="10" t="s">
        <v>19748</v>
      </c>
      <c r="B18309" s="7" t="str">
        <f>IFERROR(__xludf.DUMMYFUNCTION("SPLIT(A18309,"" "")"),"CC(C)N(Cc1ccccn1)c1ccc2nccc(-c3ccc(CN(C)C4CCC(N(C)c5ccc6cccnc6c5)CC4)cn3)c2c1")</f>
        <v>CC(C)N(Cc1ccccn1)c1ccc2nccc(-c3ccc(CN(C)C4CCC(N(C)c5ccc6cccnc6c5)CC4)cn3)c2c1</v>
      </c>
      <c r="C18309" s="7">
        <f>IFERROR(__xludf.DUMMYFUNCTION("""COMPUTED_VALUE"""),7.7269115)</f>
        <v>7.7269115</v>
      </c>
      <c r="D18309" s="7">
        <f>IFERROR(__xludf.DUMMYFUNCTION("""COMPUTED_VALUE"""),0.302631578947368)</f>
        <v>0.3026315789</v>
      </c>
    </row>
    <row r="18310">
      <c r="A18310" s="10" t="s">
        <v>19749</v>
      </c>
      <c r="B18310" s="7" t="str">
        <f>IFERROR(__xludf.DUMMYFUNCTION("SPLIT(A18310,"" "")"),"Cc1cncc(CN(C)c2cc(C)cc3ncc(CN(C)Cc4ncccc4C)cc23)c1")</f>
        <v>Cc1cncc(CN(C)c2cc(C)cc3ncc(CN(C)Cc4ncccc4C)cc23)c1</v>
      </c>
      <c r="C18310" s="7">
        <f>IFERROR(__xludf.DUMMYFUNCTION("""COMPUTED_VALUE"""),7.726902)</f>
        <v>7.726902</v>
      </c>
      <c r="D18310" s="7">
        <f>IFERROR(__xludf.DUMMYFUNCTION("""COMPUTED_VALUE"""),0.269841269841269)</f>
        <v>0.2698412698</v>
      </c>
    </row>
    <row r="18311">
      <c r="A18311" s="10" t="s">
        <v>19750</v>
      </c>
      <c r="B18311" s="7" t="str">
        <f>IFERROR(__xludf.DUMMYFUNCTION("SPLIT(A18311,"" "")"),"CN(C)CCN(C)c1ccc2cccnc2c1")</f>
        <v>CN(C)CCN(C)c1ccc2cccnc2c1</v>
      </c>
      <c r="C18311" s="7">
        <f>IFERROR(__xludf.DUMMYFUNCTION("""COMPUTED_VALUE"""),7.7268996)</f>
        <v>7.7268996</v>
      </c>
      <c r="D18311" s="7">
        <f>IFERROR(__xludf.DUMMYFUNCTION("""COMPUTED_VALUE"""),0.439024390243902)</f>
        <v>0.4390243902</v>
      </c>
    </row>
    <row r="18312">
      <c r="A18312" s="10" t="s">
        <v>19751</v>
      </c>
      <c r="B18312" s="7" t="str">
        <f>IFERROR(__xludf.DUMMYFUNCTION("SPLIT(A18312,"" "")"),"CC(C)C(C)(c1cccnc1)N(Cc1ccccn1)Cc1ccc2ccc3cccnc3c2n1")</f>
        <v>CC(C)C(C)(c1cccnc1)N(Cc1ccccn1)Cc1ccc2ccc3cccnc3c2n1</v>
      </c>
      <c r="C18312" s="7">
        <f>IFERROR(__xludf.DUMMYFUNCTION("""COMPUTED_VALUE"""),7.726892)</f>
        <v>7.726892</v>
      </c>
      <c r="D18312" s="7">
        <f>IFERROR(__xludf.DUMMYFUNCTION("""COMPUTED_VALUE"""),0.385964912280701)</f>
        <v>0.3859649123</v>
      </c>
    </row>
    <row r="18313">
      <c r="A18313" s="10" t="s">
        <v>19752</v>
      </c>
      <c r="B18313" s="7" t="str">
        <f>IFERROR(__xludf.DUMMYFUNCTION("SPLIT(A18313,"" "")"),"Cc1ccc(CN(C)c2cc(-c3ccc(CN(Cc4ccccn4)Cc4cc(C)c(C)c(C)n4)cn3)cc(N(C)Cc3ccccn3)c2C)nc1C")</f>
        <v>Cc1ccc(CN(C)c2cc(-c3ccc(CN(Cc4ccccn4)Cc4cc(C)c(C)c(C)n4)cn3)cc(N(C)Cc3ccccn3)c2C)nc1C</v>
      </c>
      <c r="C18313" s="7">
        <f>IFERROR(__xludf.DUMMYFUNCTION("""COMPUTED_VALUE"""),7.726878)</f>
        <v>7.726878</v>
      </c>
      <c r="D18313" s="7">
        <f>IFERROR(__xludf.DUMMYFUNCTION("""COMPUTED_VALUE"""),0.38095238095238)</f>
        <v>0.380952381</v>
      </c>
    </row>
    <row r="18314">
      <c r="A18314" s="10" t="s">
        <v>19753</v>
      </c>
      <c r="B18314" s="7" t="str">
        <f>IFERROR(__xludf.DUMMYFUNCTION("SPLIT(A18314,"" "")"),"CN(C)Cc1ccnc2cc(N(C)C3CCC(N(C)c4cccc5c6c(cnc45)CCC6)CC3)ccc12")</f>
        <v>CN(C)Cc1ccnc2cc(N(C)C3CCC(N(C)c4cccc5c6c(cnc45)CCC6)CC3)ccc12</v>
      </c>
      <c r="C18314" s="7">
        <f>IFERROR(__xludf.DUMMYFUNCTION("""COMPUTED_VALUE"""),7.7268753)</f>
        <v>7.7268753</v>
      </c>
      <c r="D18314" s="7">
        <f>IFERROR(__xludf.DUMMYFUNCTION("""COMPUTED_VALUE"""),0.315068493150684)</f>
        <v>0.3150684932</v>
      </c>
    </row>
    <row r="18315">
      <c r="A18315" s="10" t="s">
        <v>19754</v>
      </c>
      <c r="B18315" s="7" t="str">
        <f>IFERROR(__xludf.DUMMYFUNCTION("SPLIT(A18315,"" "")"),"Cc1c(C)c(C)c(-c2ccc(-c3cccc(N=Cc4ccccn4)c3)nc2CN(C)C(C)C(C)C)c(NCc2ccccn2)c1C")</f>
        <v>Cc1c(C)c(C)c(-c2ccc(-c3cccc(N=Cc4ccccn4)c3)nc2CN(C)C(C)C(C)C)c(NCc2ccccn2)c1C</v>
      </c>
      <c r="C18315" s="7">
        <f>IFERROR(__xludf.DUMMYFUNCTION("""COMPUTED_VALUE"""),7.726864)</f>
        <v>7.726864</v>
      </c>
      <c r="D18315" s="7">
        <f>IFERROR(__xludf.DUMMYFUNCTION("""COMPUTED_VALUE"""),0.333333333333333)</f>
        <v>0.3333333333</v>
      </c>
    </row>
    <row r="18316">
      <c r="A18316" s="10" t="s">
        <v>19755</v>
      </c>
      <c r="B18316" s="7" t="str">
        <f>IFERROR(__xludf.DUMMYFUNCTION("SPLIT(A18316,"" "")"),"CNCc1cccc(-c2cccc(N=Cc3ccccn3)c2)n1")</f>
        <v>CNCc1cccc(-c2cccc(N=Cc3ccccn3)c2)n1</v>
      </c>
      <c r="C18316" s="7">
        <f>IFERROR(__xludf.DUMMYFUNCTION("""COMPUTED_VALUE"""),7.7268596)</f>
        <v>7.7268596</v>
      </c>
      <c r="D18316" s="7">
        <f>IFERROR(__xludf.DUMMYFUNCTION("""COMPUTED_VALUE"""),0.393442622950819)</f>
        <v>0.393442623</v>
      </c>
    </row>
    <row r="18317">
      <c r="A18317" s="10" t="s">
        <v>19756</v>
      </c>
      <c r="B18317" s="7" t="str">
        <f>IFERROR(__xludf.DUMMYFUNCTION("SPLIT(A18317,"" "")"),"Cc1cccnc1-c1c(C)cccc1NCc1ccccn1")</f>
        <v>Cc1cccnc1-c1c(C)cccc1NCc1ccccn1</v>
      </c>
      <c r="C18317" s="7">
        <f>IFERROR(__xludf.DUMMYFUNCTION("""COMPUTED_VALUE"""),7.7268553)</f>
        <v>7.7268553</v>
      </c>
      <c r="D18317" s="7">
        <f>IFERROR(__xludf.DUMMYFUNCTION("""COMPUTED_VALUE"""),0.414634146341463)</f>
        <v>0.4146341463</v>
      </c>
    </row>
    <row r="18318">
      <c r="A18318" s="10" t="s">
        <v>19757</v>
      </c>
      <c r="B18318" s="7" t="str">
        <f>IFERROR(__xludf.DUMMYFUNCTION("SPLIT(A18318,"" "")"),"CN(Cc1ccccn1)Cc1cc(N(C)Cc2ncccc2-c2cccc(N(C)C)c2)ccn1")</f>
        <v>CN(Cc1ccccn1)Cc1cc(N(C)Cc2ncccc2-c2cccc(N(C)C)c2)ccn1</v>
      </c>
      <c r="C18318" s="7">
        <f>IFERROR(__xludf.DUMMYFUNCTION("""COMPUTED_VALUE"""),7.726848)</f>
        <v>7.726848</v>
      </c>
      <c r="D18318" s="7">
        <f>IFERROR(__xludf.DUMMYFUNCTION("""COMPUTED_VALUE"""),0.410714285714285)</f>
        <v>0.4107142857</v>
      </c>
    </row>
    <row r="18319">
      <c r="A18319" s="10" t="s">
        <v>19758</v>
      </c>
      <c r="B18319" s="7" t="str">
        <f>IFERROR(__xludf.DUMMYFUNCTION("SPLIT(A18319,"" "")"),"CN(C)CCN(C)c1ccc2ncccc2c1")</f>
        <v>CN(C)CCN(C)c1ccc2ncccc2c1</v>
      </c>
      <c r="C18319" s="7">
        <f>IFERROR(__xludf.DUMMYFUNCTION("""COMPUTED_VALUE"""),7.7268467)</f>
        <v>7.7268467</v>
      </c>
      <c r="D18319" s="7">
        <f>IFERROR(__xludf.DUMMYFUNCTION("""COMPUTED_VALUE"""),0.45)</f>
        <v>0.45</v>
      </c>
    </row>
    <row r="18320">
      <c r="A18320" s="10" t="s">
        <v>19759</v>
      </c>
      <c r="B18320" s="7" t="str">
        <f>IFERROR(__xludf.DUMMYFUNCTION("SPLIT(A18320,"" "")"),"Cc1ccc2nccc(CN(C)Cc3cc(C)c(C)c(C)n3)c2c1")</f>
        <v>Cc1ccc2nccc(CN(C)Cc3cc(C)c(C)c(C)n3)c2c1</v>
      </c>
      <c r="C18320" s="7">
        <f>IFERROR(__xludf.DUMMYFUNCTION("""COMPUTED_VALUE"""),7.7268386)</f>
        <v>7.7268386</v>
      </c>
      <c r="D18320" s="7">
        <f>IFERROR(__xludf.DUMMYFUNCTION("""COMPUTED_VALUE"""),0.313725490196078)</f>
        <v>0.3137254902</v>
      </c>
    </row>
    <row r="18321">
      <c r="A18321" s="10" t="s">
        <v>19760</v>
      </c>
      <c r="B18321" s="7" t="str">
        <f>IFERROR(__xludf.DUMMYFUNCTION("SPLIT(A18321,"" "")"),"CN(CCN(C)c1cccc2ncccc12)c1cccc(F)c1")</f>
        <v>CN(CCN(C)c1cccc2ncccc12)c1cccc(F)c1</v>
      </c>
      <c r="C18321" s="7">
        <f>IFERROR(__xludf.DUMMYFUNCTION("""COMPUTED_VALUE"""),7.7268343)</f>
        <v>7.7268343</v>
      </c>
      <c r="D18321" s="7">
        <f>IFERROR(__xludf.DUMMYFUNCTION("""COMPUTED_VALUE"""),0.466666666666666)</f>
        <v>0.4666666667</v>
      </c>
    </row>
    <row r="18322">
      <c r="A18322" s="10" t="s">
        <v>19761</v>
      </c>
      <c r="B18322" s="7" t="str">
        <f>IFERROR(__xludf.DUMMYFUNCTION("SPLIT(A18322,"" "")"),"Cc1cccnc1CN(Cc1ccc2ncccc2c1)Cc1ccnc(-c2cccc(NCc3ccccn3)c2)c1C")</f>
        <v>Cc1cccnc1CN(Cc1ccc2ncccc2c1)Cc1ccnc(-c2cccc(NCc3ccccn3)c2)c1C</v>
      </c>
      <c r="C18322" s="7">
        <f>IFERROR(__xludf.DUMMYFUNCTION("""COMPUTED_VALUE"""),7.7268267)</f>
        <v>7.7268267</v>
      </c>
      <c r="D18322" s="7">
        <f>IFERROR(__xludf.DUMMYFUNCTION("""COMPUTED_VALUE"""),0.3125)</f>
        <v>0.3125</v>
      </c>
    </row>
    <row r="18323">
      <c r="A18323" s="10" t="s">
        <v>19762</v>
      </c>
      <c r="B18323" s="7" t="str">
        <f>IFERROR(__xludf.DUMMYFUNCTION("SPLIT(A18323,"" "")"),"CC(C)N(Cc1ccccn1)c1ccc2ncccc2c1")</f>
        <v>CC(C)N(Cc1ccccn1)c1ccc2ncccc2c1</v>
      </c>
      <c r="C18323" s="7">
        <f>IFERROR(__xludf.DUMMYFUNCTION("""COMPUTED_VALUE"""),7.726821)</f>
        <v>7.726821</v>
      </c>
      <c r="D18323" s="7">
        <f>IFERROR(__xludf.DUMMYFUNCTION("""COMPUTED_VALUE"""),0.488372093023255)</f>
        <v>0.488372093</v>
      </c>
    </row>
    <row r="18324">
      <c r="A18324" s="10" t="s">
        <v>19763</v>
      </c>
      <c r="B18324" s="7" t="str">
        <f>IFERROR(__xludf.DUMMYFUNCTION("SPLIT(A18324,"" "")"),"Cc1c(N(Cc2ccccn2)C2CCCCC2N(C)c2ccc3nccc(CF)c3c2)cc2ncccc2c1C")</f>
        <v>Cc1c(N(Cc2ccccn2)C2CCCCC2N(C)c2ccc3nccc(CF)c3c2)cc2ncccc2c1C</v>
      </c>
      <c r="C18324" s="7">
        <f>IFERROR(__xludf.DUMMYFUNCTION("""COMPUTED_VALUE"""),7.726819)</f>
        <v>7.726819</v>
      </c>
      <c r="D18324" s="7">
        <f>IFERROR(__xludf.DUMMYFUNCTION("""COMPUTED_VALUE"""),0.388059701492537)</f>
        <v>0.3880597015</v>
      </c>
    </row>
    <row r="18325">
      <c r="A18325" s="10" t="s">
        <v>19764</v>
      </c>
      <c r="B18325" s="7" t="str">
        <f>IFERROR(__xludf.DUMMYFUNCTION("SPLIT(A18325,"" "")"),"CCN(Cc1ccccn1)c1ccc2nc(C(C)(C)C)ccc2c1-c1cccc(CN(Cc2ccccn2)Cc2ncccc2C)n1")</f>
        <v>CCN(Cc1ccccn1)c1ccc2nc(C(C)(C)C)ccc2c1-c1cccc(CN(Cc2ccccn2)Cc2ncccc2C)n1</v>
      </c>
      <c r="C18325" s="7">
        <f>IFERROR(__xludf.DUMMYFUNCTION("""COMPUTED_VALUE"""),7.726815)</f>
        <v>7.726815</v>
      </c>
      <c r="D18325" s="7">
        <f>IFERROR(__xludf.DUMMYFUNCTION("""COMPUTED_VALUE"""),0.36)</f>
        <v>0.36</v>
      </c>
    </row>
    <row r="18326">
      <c r="A18326" s="10" t="s">
        <v>19765</v>
      </c>
      <c r="B18326" s="7" t="str">
        <f>IFERROR(__xludf.DUMMYFUNCTION("SPLIT(A18326,"" "")"),"CC(C)C(C)(c1cccnc1)c1cccc(CN(Cc2ccccn2)Cc2ccc3ccc4cccnc4c3n2)n1")</f>
        <v>CC(C)C(C)(c1cccnc1)c1cccc(CN(Cc2ccccn2)Cc2ccc3ccc4cccnc4c3n2)n1</v>
      </c>
      <c r="C18326" s="7">
        <f>IFERROR(__xludf.DUMMYFUNCTION("""COMPUTED_VALUE"""),7.7268133)</f>
        <v>7.7268133</v>
      </c>
      <c r="D18326" s="7">
        <f>IFERROR(__xludf.DUMMYFUNCTION("""COMPUTED_VALUE"""),0.423728813559322)</f>
        <v>0.4237288136</v>
      </c>
    </row>
    <row r="18327">
      <c r="A18327" s="10" t="s">
        <v>19766</v>
      </c>
      <c r="B18327" s="7" t="str">
        <f>IFERROR(__xludf.DUMMYFUNCTION("SPLIT(A18327,"" "")"),"CNCN(Cc1cccnn1)c1cccc2ncccc12")</f>
        <v>CNCN(Cc1cccnn1)c1cccc2ncccc12</v>
      </c>
      <c r="C18327" s="7">
        <f>IFERROR(__xludf.DUMMYFUNCTION("""COMPUTED_VALUE"""),7.726804)</f>
        <v>7.726804</v>
      </c>
      <c r="D18327" s="7">
        <f>IFERROR(__xludf.DUMMYFUNCTION("""COMPUTED_VALUE"""),0.416666666666666)</f>
        <v>0.4166666667</v>
      </c>
    </row>
    <row r="18328">
      <c r="A18328" s="10" t="s">
        <v>19767</v>
      </c>
      <c r="B18328" s="7" t="str">
        <f>IFERROR(__xludf.DUMMYFUNCTION("SPLIT(A18328,"" "")"),"CN(c1ccc2ncccc2c1)C1CC2CC1C(N(Cc1ccccn1)c1ccc3cccnc3c1)C2")</f>
        <v>CN(c1ccc2ncccc2c1)C1CC2CC1C(N(Cc1ccccn1)c1ccc3cccnc3c1)C2</v>
      </c>
      <c r="C18328" s="7">
        <f>IFERROR(__xludf.DUMMYFUNCTION("""COMPUTED_VALUE"""),7.726802)</f>
        <v>7.726802</v>
      </c>
      <c r="D18328" s="7">
        <f>IFERROR(__xludf.DUMMYFUNCTION("""COMPUTED_VALUE"""),0.383333333333333)</f>
        <v>0.3833333333</v>
      </c>
    </row>
    <row r="18329">
      <c r="A18329" s="10" t="s">
        <v>19768</v>
      </c>
      <c r="B18329" s="7" t="str">
        <f>IFERROR(__xludf.DUMMYFUNCTION("SPLIT(A18329,"" "")"),"CN(C)Cc1nccc2c(N(C)C3CCCC(N(C)c4cccc5c(CF)ccnc45)C3)cccc12")</f>
        <v>CN(C)Cc1nccc2c(N(C)C3CCCC(N(C)c4cccc5c(CF)ccnc45)C3)cccc12</v>
      </c>
      <c r="C18329" s="7">
        <f>IFERROR(__xludf.DUMMYFUNCTION("""COMPUTED_VALUE"""),7.726796)</f>
        <v>7.726796</v>
      </c>
      <c r="D18329" s="7">
        <f>IFERROR(__xludf.DUMMYFUNCTION("""COMPUTED_VALUE"""),0.338709677419354)</f>
        <v>0.3387096774</v>
      </c>
    </row>
    <row r="18330">
      <c r="A18330" s="10" t="s">
        <v>19769</v>
      </c>
      <c r="B18330" s="7" t="str">
        <f>IFERROR(__xludf.DUMMYFUNCTION("SPLIT(A18330,"" "")"),"CCN(Cc1ccccn1)c1cccc2ncccc12")</f>
        <v>CCN(Cc1ccccn1)c1cccc2ncccc12</v>
      </c>
      <c r="C18330" s="7">
        <f>IFERROR(__xludf.DUMMYFUNCTION("""COMPUTED_VALUE"""),7.726793)</f>
        <v>7.726793</v>
      </c>
      <c r="D18330" s="7">
        <f>IFERROR(__xludf.DUMMYFUNCTION("""COMPUTED_VALUE"""),0.435897435897435)</f>
        <v>0.4358974359</v>
      </c>
    </row>
    <row r="18331">
      <c r="A18331" s="10" t="s">
        <v>19770</v>
      </c>
      <c r="B18331" s="7" t="str">
        <f>IFERROR(__xludf.DUMMYFUNCTION("SPLIT(A18331,"" "")"),"CN(CC1=CC(N(C)C(c2ccccn2)c2ccccn2)C=CN1)c1ccc2nc(CF)ccc2c1")</f>
        <v>CN(CC1=CC(N(C)C(c2ccccn2)c2ccccn2)C=CN1)c1ccc2nc(CF)ccc2c1</v>
      </c>
      <c r="C18331" s="7">
        <f>IFERROR(__xludf.DUMMYFUNCTION("""COMPUTED_VALUE"""),7.726781)</f>
        <v>7.726781</v>
      </c>
      <c r="D18331" s="7">
        <f>IFERROR(__xludf.DUMMYFUNCTION("""COMPUTED_VALUE"""),0.291666666666666)</f>
        <v>0.2916666667</v>
      </c>
    </row>
    <row r="18332">
      <c r="A18332" s="10" t="s">
        <v>19771</v>
      </c>
      <c r="B18332" s="7" t="str">
        <f>IFERROR(__xludf.DUMMYFUNCTION("SPLIT(A18332,"" "")"),"Cc1ccc(CN(C)c2ccc(Cl)c(F)c2N(C)Cc2ncccc2C)nc1")</f>
        <v>Cc1ccc(CN(C)c2ccc(Cl)c(F)c2N(C)Cc2ncccc2C)nc1</v>
      </c>
      <c r="C18332" s="7">
        <f>IFERROR(__xludf.DUMMYFUNCTION("""COMPUTED_VALUE"""),7.726775)</f>
        <v>7.726775</v>
      </c>
      <c r="D18332" s="7">
        <f>IFERROR(__xludf.DUMMYFUNCTION("""COMPUTED_VALUE"""),0.396226415094339)</f>
        <v>0.3962264151</v>
      </c>
    </row>
    <row r="18333">
      <c r="A18333" s="10" t="s">
        <v>19772</v>
      </c>
      <c r="B18333" s="7" t="str">
        <f>IFERROR(__xludf.DUMMYFUNCTION("SPLIT(A18333,"" "")"),"CNCc1ccc(-c2ccc(N(C)C)cc2)cn1")</f>
        <v>CNCc1ccc(-c2ccc(N(C)C)cc2)cn1</v>
      </c>
      <c r="C18333" s="7">
        <f>IFERROR(__xludf.DUMMYFUNCTION("""COMPUTED_VALUE"""),7.7267733)</f>
        <v>7.7267733</v>
      </c>
      <c r="D18333" s="7">
        <f>IFERROR(__xludf.DUMMYFUNCTION("""COMPUTED_VALUE"""),0.309523809523809)</f>
        <v>0.3095238095</v>
      </c>
    </row>
    <row r="18334">
      <c r="A18334" s="10" t="s">
        <v>19773</v>
      </c>
      <c r="B18334" s="7" t="str">
        <f>IFERROR(__xludf.DUMMYFUNCTION("SPLIT(A18334,"" "")"),"CC(C)N(C)Cc1ccc(N(C)c2ccc3cccnc3c2)cn1")</f>
        <v>CC(C)N(C)Cc1ccc(N(C)c2ccc3cccnc3c2)cn1</v>
      </c>
      <c r="C18334" s="7">
        <f>IFERROR(__xludf.DUMMYFUNCTION("""COMPUTED_VALUE"""),7.726769)</f>
        <v>7.726769</v>
      </c>
      <c r="D18334" s="7">
        <f>IFERROR(__xludf.DUMMYFUNCTION("""COMPUTED_VALUE"""),0.384615384615384)</f>
        <v>0.3846153846</v>
      </c>
    </row>
    <row r="18335">
      <c r="A18335" s="10" t="s">
        <v>19774</v>
      </c>
      <c r="B18335" s="7" t="str">
        <f>IFERROR(__xludf.DUMMYFUNCTION("SPLIT(A18335,"" "")"),"CNCc1cccc(-c2ccc(N(C)Cc3cccc(C)n3)c(C)c2)n1")</f>
        <v>CNCc1cccc(-c2ccc(N(C)Cc3cccc(C)n3)c(C)c2)n1</v>
      </c>
      <c r="C18335" s="7">
        <f>IFERROR(__xludf.DUMMYFUNCTION("""COMPUTED_VALUE"""),7.726768)</f>
        <v>7.726768</v>
      </c>
      <c r="D18335" s="7">
        <f>IFERROR(__xludf.DUMMYFUNCTION("""COMPUTED_VALUE"""),0.408163265306122)</f>
        <v>0.4081632653</v>
      </c>
    </row>
    <row r="18336">
      <c r="A18336" s="10" t="s">
        <v>19775</v>
      </c>
      <c r="B18336" s="7" t="str">
        <f>IFERROR(__xludf.DUMMYFUNCTION("SPLIT(A18336,"" "")"),"Cc1cnc(CN(C)Cc2ccnc3cccc(C)c23)c(C)c1C")</f>
        <v>Cc1cnc(CN(C)Cc2ccnc3cccc(C)c23)c(C)c1C</v>
      </c>
      <c r="C18336" s="7">
        <f>IFERROR(__xludf.DUMMYFUNCTION("""COMPUTED_VALUE"""),7.726764)</f>
        <v>7.726764</v>
      </c>
      <c r="D18336" s="7">
        <f>IFERROR(__xludf.DUMMYFUNCTION("""COMPUTED_VALUE"""),0.30188679245283)</f>
        <v>0.3018867925</v>
      </c>
    </row>
    <row r="18337">
      <c r="A18337" s="10" t="s">
        <v>19776</v>
      </c>
      <c r="B18337" s="7" t="str">
        <f>IFERROR(__xludf.DUMMYFUNCTION("SPLIT(A18337,"" "")"),"FCc1cc2c(N(Cc3ccccn3)Cc3ccccn3)cccc2cn1")</f>
        <v>FCc1cc2c(N(Cc3ccccn3)Cc3ccccn3)cccc2cn1</v>
      </c>
      <c r="C18337" s="7">
        <f>IFERROR(__xludf.DUMMYFUNCTION("""COMPUTED_VALUE"""),7.726743)</f>
        <v>7.726743</v>
      </c>
      <c r="D18337" s="7">
        <f>IFERROR(__xludf.DUMMYFUNCTION("""COMPUTED_VALUE"""),0.404761904761904)</f>
        <v>0.4047619048</v>
      </c>
    </row>
    <row r="18338">
      <c r="A18338" s="10" t="s">
        <v>19777</v>
      </c>
      <c r="B18338" s="7" t="str">
        <f>IFERROR(__xludf.DUMMYFUNCTION("SPLIT(A18338,"" "")"),"Cc1cc(CN(C)CC2=C(N(C)c3ccc4ncccc4c3)CC=CN2)ccn1")</f>
        <v>Cc1cc(CN(C)CC2=C(N(C)c3ccc4ncccc4c3)CC=CN2)ccn1</v>
      </c>
      <c r="C18338" s="7">
        <f>IFERROR(__xludf.DUMMYFUNCTION("""COMPUTED_VALUE"""),7.7267375)</f>
        <v>7.7267375</v>
      </c>
      <c r="D18338" s="7">
        <f>IFERROR(__xludf.DUMMYFUNCTION("""COMPUTED_VALUE"""),0.257575757575757)</f>
        <v>0.2575757576</v>
      </c>
    </row>
    <row r="18339">
      <c r="A18339" s="10" t="s">
        <v>19778</v>
      </c>
      <c r="B18339" s="7" t="str">
        <f>IFERROR(__xludf.DUMMYFUNCTION("SPLIT(A18339,"" "")"),"Cc1ccc2c(N(C)C3CCCC(N(C)c4cccc5nc(CN)ccc45)C3)cccc2n1")</f>
        <v>Cc1ccc2c(N(C)C3CCCC(N(C)c4cccc5nc(CN)ccc45)C3)cccc2n1</v>
      </c>
      <c r="C18339" s="7">
        <f>IFERROR(__xludf.DUMMYFUNCTION("""COMPUTED_VALUE"""),7.726731)</f>
        <v>7.726731</v>
      </c>
      <c r="D18339" s="7">
        <f>IFERROR(__xludf.DUMMYFUNCTION("""COMPUTED_VALUE"""),0.339285714285714)</f>
        <v>0.3392857143</v>
      </c>
    </row>
    <row r="18340">
      <c r="A18340" s="10" t="s">
        <v>19779</v>
      </c>
      <c r="B18340" s="7" t="str">
        <f>IFERROR(__xludf.DUMMYFUNCTION("SPLIT(A18340,"" "")"),"CN(C)CCN(C)c1cccc2nc(CN(C)C)ccc12")</f>
        <v>CN(C)CCN(C)c1cccc2nc(CN(C)C)ccc12</v>
      </c>
      <c r="C18340" s="7">
        <f>IFERROR(__xludf.DUMMYFUNCTION("""COMPUTED_VALUE"""),7.726723)</f>
        <v>7.726723</v>
      </c>
      <c r="D18340" s="7">
        <f>IFERROR(__xludf.DUMMYFUNCTION("""COMPUTED_VALUE"""),0.41860465116279)</f>
        <v>0.4186046512</v>
      </c>
    </row>
    <row r="18341">
      <c r="A18341" s="10" t="s">
        <v>19780</v>
      </c>
      <c r="B18341" s="7" t="str">
        <f>IFERROR(__xludf.DUMMYFUNCTION("SPLIT(A18341,"" "")"),"CN(c1ccc2nccc(CF)c2c1)C1CCCC(N(C)c2cccc3nccc(CF)c23)C1")</f>
        <v>CN(c1ccc2nccc(CF)c2c1)C1CCCC(N(C)c2cccc3nccc(CF)c23)C1</v>
      </c>
      <c r="C18341" s="7">
        <f>IFERROR(__xludf.DUMMYFUNCTION("""COMPUTED_VALUE"""),7.726723)</f>
        <v>7.726723</v>
      </c>
      <c r="D18341" s="7">
        <f>IFERROR(__xludf.DUMMYFUNCTION("""COMPUTED_VALUE"""),0.294117647058823)</f>
        <v>0.2941176471</v>
      </c>
    </row>
    <row r="18342">
      <c r="A18342" s="10" t="s">
        <v>19781</v>
      </c>
      <c r="B18342" s="7" t="str">
        <f>IFERROR(__xludf.DUMMYFUNCTION("SPLIT(A18342,"" "")"),"Cc1cnc(CN(C)Cc2cc(-c3cccc(N=Cc4ccccn4)c3)ccn2)c(C)c1")</f>
        <v>Cc1cnc(CN(C)Cc2cc(-c3cccc(N=Cc4ccccn4)c3)ccn2)c(C)c1</v>
      </c>
      <c r="C18342" s="7">
        <f>IFERROR(__xludf.DUMMYFUNCTION("""COMPUTED_VALUE"""),7.726719)</f>
        <v>7.726719</v>
      </c>
      <c r="D18342" s="7">
        <f>IFERROR(__xludf.DUMMYFUNCTION("""COMPUTED_VALUE"""),0.365079365079365)</f>
        <v>0.3650793651</v>
      </c>
    </row>
    <row r="18343">
      <c r="A18343" s="10" t="s">
        <v>19782</v>
      </c>
      <c r="B18343" s="7" t="str">
        <f>IFERROR(__xludf.DUMMYFUNCTION("SPLIT(A18343,"" "")"),"Cc1cccnc1CN(C)CC1=CC(N(C)c2ccc3nccc(C)c3c2)C=CN1")</f>
        <v>Cc1cccnc1CN(C)CC1=CC(N(C)c2ccc3nccc(C)c3c2)C=CN1</v>
      </c>
      <c r="C18343" s="7">
        <f>IFERROR(__xludf.DUMMYFUNCTION("""COMPUTED_VALUE"""),7.726703)</f>
        <v>7.726703</v>
      </c>
      <c r="D18343" s="7">
        <f>IFERROR(__xludf.DUMMYFUNCTION("""COMPUTED_VALUE"""),0.294117647058823)</f>
        <v>0.2941176471</v>
      </c>
    </row>
    <row r="18344">
      <c r="A18344" s="10" t="s">
        <v>19783</v>
      </c>
      <c r="B18344" s="7" t="str">
        <f>IFERROR(__xludf.DUMMYFUNCTION("SPLIT(A18344,"" "")"),"CC(C)C(C)N(C)Cc1ccc(-c2cccc(N(C)c3ccc4cccnc4c3)c2)cn1")</f>
        <v>CC(C)C(C)N(C)Cc1ccc(-c2cccc(N(C)c3ccc4cccnc4c3)c2)cn1</v>
      </c>
      <c r="C18344" s="7">
        <f>IFERROR(__xludf.DUMMYFUNCTION("""COMPUTED_VALUE"""),7.7266965)</f>
        <v>7.7266965</v>
      </c>
      <c r="D18344" s="7">
        <f>IFERROR(__xludf.DUMMYFUNCTION("""COMPUTED_VALUE"""),0.327868852459016)</f>
        <v>0.3278688525</v>
      </c>
    </row>
    <row r="18345">
      <c r="A18345" s="10" t="s">
        <v>19784</v>
      </c>
      <c r="B18345" s="7" t="str">
        <f>IFERROR(__xludf.DUMMYFUNCTION("SPLIT(A18345,"" "")"),"Cc1cc(N(Cc2ccccn2)CC(C)C)cc2ncccc12")</f>
        <v>Cc1cc(N(Cc2ccccn2)CC(C)C)cc2ncccc12</v>
      </c>
      <c r="C18345" s="7">
        <f>IFERROR(__xludf.DUMMYFUNCTION("""COMPUTED_VALUE"""),7.7266946)</f>
        <v>7.7266946</v>
      </c>
      <c r="D18345" s="7">
        <f>IFERROR(__xludf.DUMMYFUNCTION("""COMPUTED_VALUE"""),0.408163265306122)</f>
        <v>0.4081632653</v>
      </c>
    </row>
    <row r="18346">
      <c r="A18346" s="10" t="s">
        <v>19785</v>
      </c>
      <c r="B18346" s="7" t="str">
        <f>IFERROR(__xludf.DUMMYFUNCTION("SPLIT(A18346,"" "")"),"Cc1cc(N(C)Cc2ccccn2)c2c(CN(C)C3CCCC(N(C)c4ccc5c(C)ccnc5c4)C3)ccnc2c1")</f>
        <v>Cc1cc(N(C)Cc2ccccn2)c2c(CN(C)C3CCCC(N(C)c4ccc5c(C)ccnc5c4)C3)ccnc2c1</v>
      </c>
      <c r="C18346" s="7">
        <f>IFERROR(__xludf.DUMMYFUNCTION("""COMPUTED_VALUE"""),7.7266917)</f>
        <v>7.7266917</v>
      </c>
      <c r="D18346" s="7">
        <f>IFERROR(__xludf.DUMMYFUNCTION("""COMPUTED_VALUE"""),0.342857142857142)</f>
        <v>0.3428571429</v>
      </c>
    </row>
    <row r="18347">
      <c r="A18347" s="10" t="s">
        <v>19786</v>
      </c>
      <c r="B18347" s="7" t="str">
        <f>IFERROR(__xludf.DUMMYFUNCTION("SPLIT(A18347,"" "")"),"CC(C)C1=CC(N(C)c2ccc3ncccc3c2)C=CN1")</f>
        <v>CC(C)C1=CC(N(C)c2ccc3ncccc3c2)C=CN1</v>
      </c>
      <c r="C18347" s="7">
        <f>IFERROR(__xludf.DUMMYFUNCTION("""COMPUTED_VALUE"""),7.726688)</f>
        <v>7.726688</v>
      </c>
      <c r="D18347" s="7">
        <f>IFERROR(__xludf.DUMMYFUNCTION("""COMPUTED_VALUE"""),0.271186440677966)</f>
        <v>0.2711864407</v>
      </c>
    </row>
    <row r="18348">
      <c r="A18348" s="10" t="s">
        <v>19787</v>
      </c>
      <c r="B18348" s="7" t="str">
        <f>IFERROR(__xludf.DUMMYFUNCTION("SPLIT(A18348,"" "")"),"Cc1cnc(CN(C)Cc2ccnc3c(C)cccc23)c(C)c1C")</f>
        <v>Cc1cnc(CN(C)Cc2ccnc3c(C)cccc23)c(C)c1C</v>
      </c>
      <c r="C18348" s="7">
        <f>IFERROR(__xludf.DUMMYFUNCTION("""COMPUTED_VALUE"""),7.726677)</f>
        <v>7.726677</v>
      </c>
      <c r="D18348" s="7">
        <f>IFERROR(__xludf.DUMMYFUNCTION("""COMPUTED_VALUE"""),0.352941176470588)</f>
        <v>0.3529411765</v>
      </c>
    </row>
    <row r="18349">
      <c r="A18349" s="10" t="s">
        <v>19788</v>
      </c>
      <c r="B18349" s="7" t="str">
        <f>IFERROR(__xludf.DUMMYFUNCTION("SPLIT(A18349,"" "")"),"CN(CC1=C(N(C)c2ccc3cccnc3c2)CC=CN1)Cc1cccnn1")</f>
        <v>CN(CC1=C(N(C)c2ccc3cccnc3c2)CC=CN1)Cc1cccnn1</v>
      </c>
      <c r="C18349" s="7">
        <f>IFERROR(__xludf.DUMMYFUNCTION("""COMPUTED_VALUE"""),7.726661)</f>
        <v>7.726661</v>
      </c>
      <c r="D18349" s="7">
        <f>IFERROR(__xludf.DUMMYFUNCTION("""COMPUTED_VALUE"""),0.385964912280701)</f>
        <v>0.3859649123</v>
      </c>
    </row>
    <row r="18350">
      <c r="A18350" s="10" t="s">
        <v>19789</v>
      </c>
      <c r="B18350" s="7" t="str">
        <f>IFERROR(__xludf.DUMMYFUNCTION("SPLIT(A18350,"" "")"),"Cc1cnc(CN(C)c2ccc3nc(CN(C)Cc4ccccn4)ccc3c2)c(C)c1")</f>
        <v>Cc1cnc(CN(C)c2ccc3nc(CN(C)Cc4ccccn4)ccc3c2)c(C)c1</v>
      </c>
      <c r="C18350" s="7">
        <f>IFERROR(__xludf.DUMMYFUNCTION("""COMPUTED_VALUE"""),7.7266517)</f>
        <v>7.7266517</v>
      </c>
      <c r="D18350" s="7">
        <f>IFERROR(__xludf.DUMMYFUNCTION("""COMPUTED_VALUE"""),0.436363636363636)</f>
        <v>0.4363636364</v>
      </c>
    </row>
    <row r="18351">
      <c r="A18351" s="10" t="s">
        <v>19790</v>
      </c>
      <c r="B18351" s="7" t="str">
        <f>IFERROR(__xludf.DUMMYFUNCTION("SPLIT(A18351,"" "")"),"CNc1ccc2nccc(CN(C)Cc3ncccc3C)c2c1")</f>
        <v>CNc1ccc2nccc(CN(C)Cc3ncccc3C)c2c1</v>
      </c>
      <c r="C18351" s="7">
        <f>IFERROR(__xludf.DUMMYFUNCTION("""COMPUTED_VALUE"""),7.726639)</f>
        <v>7.726639</v>
      </c>
      <c r="D18351" s="7">
        <f>IFERROR(__xludf.DUMMYFUNCTION("""COMPUTED_VALUE"""),0.303571428571428)</f>
        <v>0.3035714286</v>
      </c>
    </row>
    <row r="18352">
      <c r="A18352" s="10" t="s">
        <v>19791</v>
      </c>
      <c r="B18352" s="7" t="str">
        <f>IFERROR(__xludf.DUMMYFUNCTION("SPLIT(A18352,"" "")"),"CN(CCN(C)c1ccc2nc(C3=CCC=CN3)ccc2c1)Cc1ccccn1")</f>
        <v>CN(CCN(C)c1ccc2nc(C3=CCC=CN3)ccc2c1)Cc1ccccn1</v>
      </c>
      <c r="C18352" s="7">
        <f>IFERROR(__xludf.DUMMYFUNCTION("""COMPUTED_VALUE"""),7.7266126)</f>
        <v>7.7266126</v>
      </c>
      <c r="D18352" s="7">
        <f>IFERROR(__xludf.DUMMYFUNCTION("""COMPUTED_VALUE"""),0.435483870967741)</f>
        <v>0.435483871</v>
      </c>
    </row>
    <row r="18353">
      <c r="A18353" s="10" t="s">
        <v>19792</v>
      </c>
      <c r="B18353" s="7" t="str">
        <f>IFERROR(__xludf.DUMMYFUNCTION("SPLIT(A18353,"" "")"),"Cc1cncc(CN(C)CC2=CCC(N(C)c3cccc4cc(C)cnc34)=CN2)c1")</f>
        <v>Cc1cncc(CN(C)CC2=CCC(N(C)c3cccc4cc(C)cnc34)=CN2)c1</v>
      </c>
      <c r="C18353" s="7">
        <f>IFERROR(__xludf.DUMMYFUNCTION("""COMPUTED_VALUE"""),7.7266026)</f>
        <v>7.7266026</v>
      </c>
      <c r="D18353" s="7">
        <f>IFERROR(__xludf.DUMMYFUNCTION("""COMPUTED_VALUE"""),0.265625)</f>
        <v>0.265625</v>
      </c>
    </row>
    <row r="18354">
      <c r="A18354" s="10" t="s">
        <v>19793</v>
      </c>
      <c r="B18354" s="7" t="str">
        <f>IFERROR(__xludf.DUMMYFUNCTION("SPLIT(A18354,"" "")"),"CC(C)c1ccc(CN(Cc2ccccn2)c2cccc3cccnc23)cn1")</f>
        <v>CC(C)c1ccc(CN(Cc2ccccn2)c2cccc3cccnc23)cn1</v>
      </c>
      <c r="C18354" s="7">
        <f>IFERROR(__xludf.DUMMYFUNCTION("""COMPUTED_VALUE"""),7.7265925)</f>
        <v>7.7265925</v>
      </c>
      <c r="D18354" s="7">
        <f>IFERROR(__xludf.DUMMYFUNCTION("""COMPUTED_VALUE"""),0.403846153846153)</f>
        <v>0.4038461538</v>
      </c>
    </row>
    <row r="18355">
      <c r="A18355" s="10" t="s">
        <v>19794</v>
      </c>
      <c r="B18355" s="7" t="str">
        <f>IFERROR(__xludf.DUMMYFUNCTION("SPLIT(A18355,"" "")"),"Cc1cc(C)c(N(C)C)cc1C")</f>
        <v>Cc1cc(C)c(N(C)C)cc1C</v>
      </c>
      <c r="C18355" s="7">
        <f>IFERROR(__xludf.DUMMYFUNCTION("""COMPUTED_VALUE"""),7.726588)</f>
        <v>7.726588</v>
      </c>
      <c r="D18355" s="7">
        <f>IFERROR(__xludf.DUMMYFUNCTION("""COMPUTED_VALUE"""),0.184210526315789)</f>
        <v>0.1842105263</v>
      </c>
    </row>
    <row r="18356">
      <c r="A18356" s="10" t="s">
        <v>19795</v>
      </c>
      <c r="B18356" s="7" t="str">
        <f>IFERROR(__xludf.DUMMYFUNCTION("SPLIT(A18356,"" "")"),"Cc1cc(C)c(CN(C)Cc2cc(-c3cccc(N=Cc4ccccn4)c3)ccn2)nc1C")</f>
        <v>Cc1cc(C)c(CN(C)Cc2cc(-c3cccc(N=Cc4ccccn4)c3)ccn2)nc1C</v>
      </c>
      <c r="C18356" s="7">
        <f>IFERROR(__xludf.DUMMYFUNCTION("""COMPUTED_VALUE"""),7.726587)</f>
        <v>7.726587</v>
      </c>
      <c r="D18356" s="7">
        <f>IFERROR(__xludf.DUMMYFUNCTION("""COMPUTED_VALUE"""),0.365079365079365)</f>
        <v>0.3650793651</v>
      </c>
    </row>
    <row r="18357">
      <c r="A18357" s="10" t="s">
        <v>19796</v>
      </c>
      <c r="B18357" s="7" t="str">
        <f>IFERROR(__xludf.DUMMYFUNCTION("SPLIT(A18357,"" "")"),"CCNCc1ncccc1CN(C)c1ccc2nccc(C)c2c1")</f>
        <v>CCNCc1ncccc1CN(C)c1ccc2nccc(C)c2c1</v>
      </c>
      <c r="C18357" s="7">
        <f>IFERROR(__xludf.DUMMYFUNCTION("""COMPUTED_VALUE"""),7.726585)</f>
        <v>7.726585</v>
      </c>
      <c r="D18357" s="7">
        <f>IFERROR(__xludf.DUMMYFUNCTION("""COMPUTED_VALUE"""),0.266666666666666)</f>
        <v>0.2666666667</v>
      </c>
    </row>
    <row r="18358">
      <c r="A18358" s="10" t="s">
        <v>19797</v>
      </c>
      <c r="B18358" s="7" t="str">
        <f>IFERROR(__xludf.DUMMYFUNCTION("SPLIT(A18358,"" "")"),"c1ccc(CN(Cc2ccccn2)c2ccc3ncccc3c2)nc1")</f>
        <v>c1ccc(CN(Cc2ccccn2)c2ccc3ncccc3c2)nc1</v>
      </c>
      <c r="C18358" s="7">
        <f>IFERROR(__xludf.DUMMYFUNCTION("""COMPUTED_VALUE"""),7.7265844)</f>
        <v>7.7265844</v>
      </c>
      <c r="D18358" s="7">
        <f>IFERROR(__xludf.DUMMYFUNCTION("""COMPUTED_VALUE"""),0.485714285714285)</f>
        <v>0.4857142857</v>
      </c>
    </row>
    <row r="18359">
      <c r="A18359" s="10" t="s">
        <v>19798</v>
      </c>
      <c r="B18359" s="7" t="str">
        <f>IFERROR(__xludf.DUMMYFUNCTION("SPLIT(A18359,"" "")"),"CN(Cc1ccccn1)Cc1cccc(N(C)c2ccc3nc(CF)ccc3c2)n1")</f>
        <v>CN(Cc1ccccn1)Cc1cccc(N(C)c2ccc3nc(CF)ccc3c2)n1</v>
      </c>
      <c r="C18359" s="7">
        <f>IFERROR(__xludf.DUMMYFUNCTION("""COMPUTED_VALUE"""),7.7265825)</f>
        <v>7.7265825</v>
      </c>
      <c r="D18359" s="7">
        <f>IFERROR(__xludf.DUMMYFUNCTION("""COMPUTED_VALUE"""),0.48076923076923)</f>
        <v>0.4807692308</v>
      </c>
    </row>
    <row r="18360">
      <c r="A18360" s="10" t="s">
        <v>19799</v>
      </c>
      <c r="B18360" s="7" t="str">
        <f>IFERROR(__xludf.DUMMYFUNCTION("SPLIT(A18360,"" "")"),"CN(C)Cc1ccc(-c2cc(N)ccc2Cl)nc1")</f>
        <v>CN(C)Cc1ccc(-c2cc(N)ccc2Cl)nc1</v>
      </c>
      <c r="C18360" s="7">
        <f>IFERROR(__xludf.DUMMYFUNCTION("""COMPUTED_VALUE"""),7.726576)</f>
        <v>7.726576</v>
      </c>
      <c r="D18360" s="7">
        <f>IFERROR(__xludf.DUMMYFUNCTION("""COMPUTED_VALUE"""),0.274509803921568)</f>
        <v>0.2745098039</v>
      </c>
    </row>
    <row r="18361">
      <c r="A18361" s="10" t="s">
        <v>19800</v>
      </c>
      <c r="B18361" s="7" t="str">
        <f>IFERROR(__xludf.DUMMYFUNCTION("SPLIT(A18361,"" "")"),"CCN(CC1=CCC(N(C)Cc2ccccn2)=CN1)c1ccc2cccnc2c1")</f>
        <v>CCN(CC1=CCC(N(C)Cc2ccccn2)=CN1)c1ccc2cccnc2c1</v>
      </c>
      <c r="C18361" s="7">
        <f>IFERROR(__xludf.DUMMYFUNCTION("""COMPUTED_VALUE"""),7.726574)</f>
        <v>7.726574</v>
      </c>
      <c r="D18361" s="7">
        <f>IFERROR(__xludf.DUMMYFUNCTION("""COMPUTED_VALUE"""),0.377049180327868)</f>
        <v>0.3770491803</v>
      </c>
    </row>
    <row r="18362">
      <c r="A18362" s="10" t="s">
        <v>19801</v>
      </c>
      <c r="B18362" s="7" t="str">
        <f>IFERROR(__xludf.DUMMYFUNCTION("SPLIT(A18362,"" "")"),"Cc1cccnc1CN(C)C1C=CNC(CN(C)c2cccc3ncccc23)=C1")</f>
        <v>Cc1cccnc1CN(C)C1C=CNC(CN(C)c2cccc3ncccc23)=C1</v>
      </c>
      <c r="C18362" s="7">
        <f>IFERROR(__xludf.DUMMYFUNCTION("""COMPUTED_VALUE"""),7.7265444)</f>
        <v>7.7265444</v>
      </c>
      <c r="D18362" s="7">
        <f>IFERROR(__xludf.DUMMYFUNCTION("""COMPUTED_VALUE"""),0.306451612903225)</f>
        <v>0.3064516129</v>
      </c>
    </row>
    <row r="18363">
      <c r="A18363" s="10" t="s">
        <v>19802</v>
      </c>
      <c r="B18363" s="7" t="str">
        <f>IFERROR(__xludf.DUMMYFUNCTION("SPLIT(A18363,"" "")"),"Cc1cc(C)c(C)c(CN(C)Cc2ccnc3cccc(C)c23)n1")</f>
        <v>Cc1cc(C)c(C)c(CN(C)Cc2ccnc3cccc(C)c23)n1</v>
      </c>
      <c r="C18363" s="7">
        <f>IFERROR(__xludf.DUMMYFUNCTION("""COMPUTED_VALUE"""),7.7265434)</f>
        <v>7.7265434</v>
      </c>
      <c r="D18363" s="7">
        <f>IFERROR(__xludf.DUMMYFUNCTION("""COMPUTED_VALUE"""),0.314814814814814)</f>
        <v>0.3148148148</v>
      </c>
    </row>
    <row r="18364">
      <c r="A18364" s="10" t="s">
        <v>19803</v>
      </c>
      <c r="B18364" s="7" t="str">
        <f>IFERROR(__xludf.DUMMYFUNCTION("SPLIT(A18364,"" "")"),"Cc1c(-c2cccnc2C(C)(C)c2cccc(NCc3ccccn3)c2)cccc1N(C)Cc1ccccn1")</f>
        <v>Cc1c(-c2cccnc2C(C)(C)c2cccc(NCc3ccccn3)c2)cccc1N(C)Cc1ccccn1</v>
      </c>
      <c r="C18364" s="7">
        <f>IFERROR(__xludf.DUMMYFUNCTION("""COMPUTED_VALUE"""),7.7265363)</f>
        <v>7.7265363</v>
      </c>
      <c r="D18364" s="7">
        <f>IFERROR(__xludf.DUMMYFUNCTION("""COMPUTED_VALUE"""),0.4)</f>
        <v>0.4</v>
      </c>
    </row>
    <row r="18365">
      <c r="A18365" s="10" t="s">
        <v>19804</v>
      </c>
      <c r="B18365" s="7" t="str">
        <f>IFERROR(__xludf.DUMMYFUNCTION("SPLIT(A18365,"" "")"),"Cc1cnc(CN(Cc2cccc(-c3cccc(NCc4ccccn4)c3)n2)Cc2cccc(-c3cccc(N(C)C)c3)n2)c(C)c1")</f>
        <v>Cc1cnc(CN(Cc2cccc(-c3cccc(NCc4ccccn4)c3)n2)Cc2cccc(-c3cccc(N(C)C)c3)n2)c(C)c1</v>
      </c>
      <c r="C18365" s="7">
        <f>IFERROR(__xludf.DUMMYFUNCTION("""COMPUTED_VALUE"""),7.726522)</f>
        <v>7.726522</v>
      </c>
      <c r="D18365" s="7">
        <f>IFERROR(__xludf.DUMMYFUNCTION("""COMPUTED_VALUE"""),0.44927536231884)</f>
        <v>0.4492753623</v>
      </c>
    </row>
    <row r="18366">
      <c r="A18366" s="10" t="s">
        <v>19805</v>
      </c>
      <c r="B18366" s="7" t="str">
        <f>IFERROR(__xludf.DUMMYFUNCTION("SPLIT(A18366,"" "")"),"Cc1cncc(CN(C)c2cc(N(C)Cc3ccccn3)c3nc(CN(C)C(C)(C)c4cccnc4)ccc3c2)c1")</f>
        <v>Cc1cncc(CN(C)c2cc(N(C)Cc3ccccn3)c3nc(CN(C)C(C)(C)c4cccnc4)ccc3c2)c1</v>
      </c>
      <c r="C18366" s="7">
        <f>IFERROR(__xludf.DUMMYFUNCTION("""COMPUTED_VALUE"""),7.7265096)</f>
        <v>7.7265096</v>
      </c>
      <c r="D18366" s="7">
        <f>IFERROR(__xludf.DUMMYFUNCTION("""COMPUTED_VALUE"""),0.347826086956521)</f>
        <v>0.347826087</v>
      </c>
    </row>
    <row r="18367">
      <c r="A18367" s="10" t="s">
        <v>19806</v>
      </c>
      <c r="B18367" s="7" t="str">
        <f>IFERROR(__xludf.DUMMYFUNCTION("SPLIT(A18367,"" "")"),"CN(c1ccc2ncccc2c1)C12CCC(C1)C(N(Cc1ccccn1)c1cccc3cccnc13)C2")</f>
        <v>CN(c1ccc2ncccc2c1)C12CCC(C1)C(N(Cc1ccccn1)c1cccc3cccnc13)C2</v>
      </c>
      <c r="C18367" s="7">
        <f>IFERROR(__xludf.DUMMYFUNCTION("""COMPUTED_VALUE"""),7.726498)</f>
        <v>7.726498</v>
      </c>
      <c r="D18367" s="7">
        <f>IFERROR(__xludf.DUMMYFUNCTION("""COMPUTED_VALUE"""),0.384615384615384)</f>
        <v>0.3846153846</v>
      </c>
    </row>
    <row r="18368">
      <c r="A18368" s="10" t="s">
        <v>19807</v>
      </c>
      <c r="B18368" s="7" t="str">
        <f>IFERROR(__xludf.DUMMYFUNCTION("SPLIT(A18368,"" "")"),"CC(C)N(C)Cc1ccnc2ccc(N(C)C)cc12")</f>
        <v>CC(C)N(C)Cc1ccnc2ccc(N(C)C)cc12</v>
      </c>
      <c r="C18368" s="7">
        <f>IFERROR(__xludf.DUMMYFUNCTION("""COMPUTED_VALUE"""),7.726485)</f>
        <v>7.726485</v>
      </c>
      <c r="D18368" s="7">
        <f>IFERROR(__xludf.DUMMYFUNCTION("""COMPUTED_VALUE"""),0.265306122448979)</f>
        <v>0.2653061224</v>
      </c>
    </row>
    <row r="18369">
      <c r="A18369" s="10" t="s">
        <v>19808</v>
      </c>
      <c r="B18369" s="7" t="str">
        <f>IFERROR(__xludf.DUMMYFUNCTION("SPLIT(A18369,"" "")"),"CCN(CC1=CCC(N(C)Cc2ccccn2)=CN1)c1cccc2cccnc12")</f>
        <v>CCN(CC1=CCC(N(C)Cc2ccccn2)=CN1)c1cccc2cccnc12</v>
      </c>
      <c r="C18369" s="7">
        <f>IFERROR(__xludf.DUMMYFUNCTION("""COMPUTED_VALUE"""),7.7264786)</f>
        <v>7.7264786</v>
      </c>
      <c r="D18369" s="7">
        <f>IFERROR(__xludf.DUMMYFUNCTION("""COMPUTED_VALUE"""),0.410714285714285)</f>
        <v>0.4107142857</v>
      </c>
    </row>
    <row r="18370">
      <c r="A18370" s="10" t="s">
        <v>19809</v>
      </c>
      <c r="B18370" s="7" t="str">
        <f>IFERROR(__xludf.DUMMYFUNCTION("SPLIT(A18370,"" "")"),"CCN(Cc1ccccn1)c1ccc2cccnc2c1-c1cc(CN(Cc2ccccn2)Cc2ncccc2C)ccn1")</f>
        <v>CCN(Cc1ccccn1)c1ccc2cccnc2c1-c1cc(CN(Cc2ccccn2)Cc2ncccc2C)ccn1</v>
      </c>
      <c r="C18370" s="7">
        <f>IFERROR(__xludf.DUMMYFUNCTION("""COMPUTED_VALUE"""),7.726471)</f>
        <v>7.726471</v>
      </c>
      <c r="D18370" s="7">
        <f>IFERROR(__xludf.DUMMYFUNCTION("""COMPUTED_VALUE"""),0.353846153846153)</f>
        <v>0.3538461538</v>
      </c>
    </row>
    <row r="18371">
      <c r="A18371" s="10" t="s">
        <v>19810</v>
      </c>
      <c r="B18371" s="7" t="str">
        <f>IFERROR(__xludf.DUMMYFUNCTION("SPLIT(A18371,"" "")"),"CNc1cc(C)c(N(C)Cc2cc(C)ccn2)c(Cl)c1")</f>
        <v>CNc1cc(C)c(N(C)Cc2cc(C)ccn2)c(Cl)c1</v>
      </c>
      <c r="C18371" s="7">
        <f>IFERROR(__xludf.DUMMYFUNCTION("""COMPUTED_VALUE"""),7.7264647)</f>
        <v>7.7264647</v>
      </c>
      <c r="D18371" s="7">
        <f>IFERROR(__xludf.DUMMYFUNCTION("""COMPUTED_VALUE"""),0.387755102040816)</f>
        <v>0.387755102</v>
      </c>
    </row>
    <row r="18372">
      <c r="A18372" s="10" t="s">
        <v>19811</v>
      </c>
      <c r="B18372" s="7" t="str">
        <f>IFERROR(__xludf.DUMMYFUNCTION("SPLIT(A18372,"" "")"),"Cc1cncc(CN(C)CC2=CNC=C(N(C)c3cccc4cccnc34)C2)c1C")</f>
        <v>Cc1cncc(CN(C)CC2=CNC=C(N(C)c3cccc4cccnc34)C2)c1C</v>
      </c>
      <c r="C18372" s="7">
        <f>IFERROR(__xludf.DUMMYFUNCTION("""COMPUTED_VALUE"""),7.7264624)</f>
        <v>7.7264624</v>
      </c>
      <c r="D18372" s="7">
        <f>IFERROR(__xludf.DUMMYFUNCTION("""COMPUTED_VALUE"""),0.383333333333333)</f>
        <v>0.3833333333</v>
      </c>
    </row>
    <row r="18373">
      <c r="A18373" s="10" t="s">
        <v>19812</v>
      </c>
      <c r="B18373" s="7" t="str">
        <f>IFERROR(__xludf.DUMMYFUNCTION("SPLIT(A18373,"" "")"),"CNCc1cccc(CN(C)c2ccc3nc(CN(C)C)ccc3c2)n1")</f>
        <v>CNCc1cccc(CN(C)c2ccc3nc(CN(C)C)ccc3c2)n1</v>
      </c>
      <c r="C18373" s="7">
        <f>IFERROR(__xludf.DUMMYFUNCTION("""COMPUTED_VALUE"""),7.726454)</f>
        <v>7.726454</v>
      </c>
      <c r="D18373" s="7">
        <f>IFERROR(__xludf.DUMMYFUNCTION("""COMPUTED_VALUE"""),0.340425531914893)</f>
        <v>0.3404255319</v>
      </c>
    </row>
    <row r="18374">
      <c r="A18374" s="10" t="s">
        <v>19813</v>
      </c>
      <c r="B18374" s="7" t="str">
        <f>IFERROR(__xludf.DUMMYFUNCTION("SPLIT(A18374,"" "")"),"Cc1ncccc1CN(C)c1ccc2nccc(CN(C)Cc3ccccn3)c2c1")</f>
        <v>Cc1ncccc1CN(C)c1ccc2nccc(CN(C)Cc3ccccn3)c2c1</v>
      </c>
      <c r="C18374" s="7">
        <f>IFERROR(__xludf.DUMMYFUNCTION("""COMPUTED_VALUE"""),7.7264524)</f>
        <v>7.7264524</v>
      </c>
      <c r="D18374" s="7">
        <f>IFERROR(__xludf.DUMMYFUNCTION("""COMPUTED_VALUE"""),0.385964912280701)</f>
        <v>0.3859649123</v>
      </c>
    </row>
    <row r="18375">
      <c r="A18375" s="10" t="s">
        <v>19814</v>
      </c>
      <c r="B18375" s="7" t="str">
        <f>IFERROR(__xludf.DUMMYFUNCTION("SPLIT(A18375,"" "")"),"Cc1cccc(CN(C)Cc2cc3ncccc3cc2N(C)Cc2ccccn2)n1")</f>
        <v>Cc1cccc(CN(C)Cc2cc3ncccc3cc2N(C)Cc2ccccn2)n1</v>
      </c>
      <c r="C18375" s="7">
        <f>IFERROR(__xludf.DUMMYFUNCTION("""COMPUTED_VALUE"""),7.7264495)</f>
        <v>7.7264495</v>
      </c>
      <c r="D18375" s="7">
        <f>IFERROR(__xludf.DUMMYFUNCTION("""COMPUTED_VALUE"""),0.471698113207547)</f>
        <v>0.4716981132</v>
      </c>
    </row>
    <row r="18376">
      <c r="A18376" s="10" t="s">
        <v>19815</v>
      </c>
      <c r="B18376" s="7" t="str">
        <f>IFERROR(__xludf.DUMMYFUNCTION("SPLIT(A18376,"" "")"),"Cc1cccc(C2=NCC(c3ccccn3)O2)n1")</f>
        <v>Cc1cccc(C2=NCC(c3ccccn3)O2)n1</v>
      </c>
      <c r="C18376" s="7">
        <f>IFERROR(__xludf.DUMMYFUNCTION("""COMPUTED_VALUE"""),7.726428)</f>
        <v>7.726428</v>
      </c>
      <c r="D18376" s="7">
        <f>IFERROR(__xludf.DUMMYFUNCTION("""COMPUTED_VALUE"""),0.307692307692307)</f>
        <v>0.3076923077</v>
      </c>
    </row>
    <row r="18377">
      <c r="A18377" s="10" t="s">
        <v>19816</v>
      </c>
      <c r="B18377" s="7" t="str">
        <f>IFERROR(__xludf.DUMMYFUNCTION("SPLIT(A18377,"" "")"),"CN(C)c1ccccc1-c1ccnc(CN(Cc2ccccn2)c2cccc(CF)n2)c1")</f>
        <v>CN(C)c1ccccc1-c1ccnc(CN(Cc2ccccn2)c2cccc(CF)n2)c1</v>
      </c>
      <c r="C18377" s="7">
        <f>IFERROR(__xludf.DUMMYFUNCTION("""COMPUTED_VALUE"""),7.726427)</f>
        <v>7.726427</v>
      </c>
      <c r="D18377" s="7">
        <f>IFERROR(__xludf.DUMMYFUNCTION("""COMPUTED_VALUE"""),0.385964912280701)</f>
        <v>0.3859649123</v>
      </c>
    </row>
    <row r="18378">
      <c r="A18378" s="10" t="s">
        <v>19817</v>
      </c>
      <c r="B18378" s="7" t="str">
        <f>IFERROR(__xludf.DUMMYFUNCTION("SPLIT(A18378,"" "")"),"CN(c1cccc2cccnc12)C1CCCC(N(C)c2cccc3nccc(CF)c23)C1")</f>
        <v>CN(c1cccc2cccnc12)C1CCCC(N(C)c2cccc3nccc(CF)c23)C1</v>
      </c>
      <c r="C18378" s="7">
        <f>IFERROR(__xludf.DUMMYFUNCTION("""COMPUTED_VALUE"""),7.7264185)</f>
        <v>7.7264185</v>
      </c>
      <c r="D18378" s="7">
        <f>IFERROR(__xludf.DUMMYFUNCTION("""COMPUTED_VALUE"""),0.5)</f>
        <v>0.5</v>
      </c>
    </row>
    <row r="18379">
      <c r="A18379" s="10" t="s">
        <v>19818</v>
      </c>
      <c r="B18379" s="7" t="str">
        <f>IFERROR(__xludf.DUMMYFUNCTION("SPLIT(A18379,"" "")"),"CN(CCN(Cc1ccccn1)c1ccc2ncccc2c1)Cc1ccc2ncccc2c1")</f>
        <v>CN(CCN(Cc1ccccn1)c1ccc2ncccc2c1)Cc1ccc2ncccc2c1</v>
      </c>
      <c r="C18379" s="7">
        <f>IFERROR(__xludf.DUMMYFUNCTION("""COMPUTED_VALUE"""),7.726414)</f>
        <v>7.726414</v>
      </c>
      <c r="D18379" s="7">
        <f>IFERROR(__xludf.DUMMYFUNCTION("""COMPUTED_VALUE"""),0.448275862068965)</f>
        <v>0.4482758621</v>
      </c>
    </row>
    <row r="18380">
      <c r="A18380" s="10" t="s">
        <v>19819</v>
      </c>
      <c r="B18380" s="7" t="str">
        <f>IFERROR(__xludf.DUMMYFUNCTION("SPLIT(A18380,"" "")"),"CN(c1ccc2c3c(cnc2c1)CCC3)C1CCCC(N(C)c2cccc3ncc4c(c23)CCC4)C1")</f>
        <v>CN(c1ccc2c3c(cnc2c1)CCC3)C1CCCC(N(C)c2cccc3ncc4c(c23)CCC4)C1</v>
      </c>
      <c r="C18380" s="7">
        <f>IFERROR(__xludf.DUMMYFUNCTION("""COMPUTED_VALUE"""),7.7264094)</f>
        <v>7.7264094</v>
      </c>
      <c r="D18380" s="7">
        <f>IFERROR(__xludf.DUMMYFUNCTION("""COMPUTED_VALUE"""),0.308823529411764)</f>
        <v>0.3088235294</v>
      </c>
    </row>
    <row r="18381">
      <c r="A18381" s="10" t="s">
        <v>19820</v>
      </c>
      <c r="B18381" s="7" t="str">
        <f>IFERROR(__xludf.DUMMYFUNCTION("SPLIT(A18381,"" "")"),"Cc1cc(C)c(CN(C)Cc2ccnc3c(C)cccc23)nc1C")</f>
        <v>Cc1cc(C)c(CN(C)Cc2ccnc3c(C)cccc23)nc1C</v>
      </c>
      <c r="C18381" s="7">
        <f>IFERROR(__xludf.DUMMYFUNCTION("""COMPUTED_VALUE"""),7.7263956)</f>
        <v>7.7263956</v>
      </c>
      <c r="D18381" s="7">
        <f>IFERROR(__xludf.DUMMYFUNCTION("""COMPUTED_VALUE"""),0.372549019607843)</f>
        <v>0.3725490196</v>
      </c>
    </row>
    <row r="18382">
      <c r="A18382" s="10" t="s">
        <v>19821</v>
      </c>
      <c r="B18382" s="7" t="str">
        <f>IFERROR(__xludf.DUMMYFUNCTION("SPLIT(A18382,"" "")"),"Cc1cnc(CN(C)Cc2cnc3cc(N(C)Cc4ccccn4)ccc3c2)c(C)c1")</f>
        <v>Cc1cnc(CN(C)Cc2cnc3cc(N(C)Cc4ccccn4)ccc3c2)c(C)c1</v>
      </c>
      <c r="C18382" s="7">
        <f>IFERROR(__xludf.DUMMYFUNCTION("""COMPUTED_VALUE"""),7.7263927)</f>
        <v>7.7263927</v>
      </c>
      <c r="D18382" s="7">
        <f>IFERROR(__xludf.DUMMYFUNCTION("""COMPUTED_VALUE"""),0.379310344827586)</f>
        <v>0.3793103448</v>
      </c>
    </row>
    <row r="18383">
      <c r="A18383" s="10" t="s">
        <v>19822</v>
      </c>
      <c r="B18383" s="7" t="str">
        <f>IFERROR(__xludf.DUMMYFUNCTION("SPLIT(A18383,"" "")"),"Cc1ccc(N)cc1C(C)(C)N(C)C1=C(CN(C)c2ccc3cccnc3c2)NC=CC1")</f>
        <v>Cc1ccc(N)cc1C(C)(C)N(C)C1=C(CN(C)c2ccc3cccnc3c2)NC=CC1</v>
      </c>
      <c r="C18383" s="7">
        <f>IFERROR(__xludf.DUMMYFUNCTION("""COMPUTED_VALUE"""),7.726391)</f>
        <v>7.726391</v>
      </c>
      <c r="D18383" s="7">
        <f>IFERROR(__xludf.DUMMYFUNCTION("""COMPUTED_VALUE"""),0.232876712328767)</f>
        <v>0.2328767123</v>
      </c>
    </row>
    <row r="18384">
      <c r="A18384" s="10" t="s">
        <v>19823</v>
      </c>
      <c r="B18384" s="7" t="str">
        <f>IFERROR(__xludf.DUMMYFUNCTION("SPLIT(A18384,"" "")"),"Cc1cc(C)c(CN(C)Cc2ccnc3cccc(C)c23)nc1C")</f>
        <v>Cc1cc(C)c(CN(C)Cc2ccnc3cccc(C)c23)nc1C</v>
      </c>
      <c r="C18384" s="7">
        <f>IFERROR(__xludf.DUMMYFUNCTION("""COMPUTED_VALUE"""),7.7263885)</f>
        <v>7.7263885</v>
      </c>
      <c r="D18384" s="7">
        <f>IFERROR(__xludf.DUMMYFUNCTION("""COMPUTED_VALUE"""),0.320754716981132)</f>
        <v>0.320754717</v>
      </c>
    </row>
    <row r="18385">
      <c r="A18385" s="10" t="s">
        <v>19824</v>
      </c>
      <c r="B18385" s="7" t="str">
        <f>IFERROR(__xludf.DUMMYFUNCTION("SPLIT(A18385,"" "")"),"CN(c1cccc2ncccc12)C1CC2CCC1C2N(C)c1ccc2cccnc2c1")</f>
        <v>CN(c1cccc2ncccc12)C1CC2CCC1C2N(C)c1ccc2cccnc2c1</v>
      </c>
      <c r="C18385" s="7">
        <f>IFERROR(__xludf.DUMMYFUNCTION("""COMPUTED_VALUE"""),7.7263823)</f>
        <v>7.7263823</v>
      </c>
      <c r="D18385" s="7">
        <f>IFERROR(__xludf.DUMMYFUNCTION("""COMPUTED_VALUE"""),0.448275862068965)</f>
        <v>0.4482758621</v>
      </c>
    </row>
    <row r="18386">
      <c r="A18386" s="10" t="s">
        <v>19825</v>
      </c>
      <c r="B18386" s="7" t="str">
        <f>IFERROR(__xludf.DUMMYFUNCTION("SPLIT(A18386,"" "")"),"CC(C)NCc1cc(-c2cccnc2-c2cccc(NCc3cc(C(C)(C)C)ccn3)c2)ccn1")</f>
        <v>CC(C)NCc1cc(-c2cccnc2-c2cccc(NCc3cc(C(C)(C)C)ccn3)c2)ccn1</v>
      </c>
      <c r="C18386" s="7">
        <f>IFERROR(__xludf.DUMMYFUNCTION("""COMPUTED_VALUE"""),7.72638)</f>
        <v>7.72638</v>
      </c>
      <c r="D18386" s="7">
        <f>IFERROR(__xludf.DUMMYFUNCTION("""COMPUTED_VALUE"""),0.263888888888888)</f>
        <v>0.2638888889</v>
      </c>
    </row>
    <row r="18387">
      <c r="A18387" s="10" t="s">
        <v>19826</v>
      </c>
      <c r="B18387" s="7" t="str">
        <f>IFERROR(__xludf.DUMMYFUNCTION("SPLIT(A18387,"" "")"),"Cc1cc(C)c(-c2cccc(NCc3ccccn3)c2)cn1")</f>
        <v>Cc1cc(C)c(-c2cccc(NCc3ccccn3)c2)cn1</v>
      </c>
      <c r="C18387" s="7">
        <f>IFERROR(__xludf.DUMMYFUNCTION("""COMPUTED_VALUE"""),7.726374)</f>
        <v>7.726374</v>
      </c>
      <c r="D18387" s="7">
        <f>IFERROR(__xludf.DUMMYFUNCTION("""COMPUTED_VALUE"""),0.410714285714285)</f>
        <v>0.4107142857</v>
      </c>
    </row>
    <row r="18388">
      <c r="A18388" s="10" t="s">
        <v>19827</v>
      </c>
      <c r="B18388" s="7" t="str">
        <f>IFERROR(__xludf.DUMMYFUNCTION("SPLIT(A18388,"" "")"),"CCN(Cc1ccccn1)c1ccc2ncccc2c1-c1cnc(CN(Cc2ccccn2)Cc2ncccc2C)c(C(C)(C)C)c1")</f>
        <v>CCN(Cc1ccccn1)c1ccc2ncccc2c1-c1cnc(CN(Cc2ccccn2)Cc2ncccc2C)c(C(C)(C)C)c1</v>
      </c>
      <c r="C18388" s="7">
        <f>IFERROR(__xludf.DUMMYFUNCTION("""COMPUTED_VALUE"""),7.726357)</f>
        <v>7.726357</v>
      </c>
      <c r="D18388" s="7">
        <f>IFERROR(__xludf.DUMMYFUNCTION("""COMPUTED_VALUE"""),0.327868852459016)</f>
        <v>0.3278688525</v>
      </c>
    </row>
    <row r="18389">
      <c r="A18389" s="10" t="s">
        <v>19828</v>
      </c>
      <c r="B18389" s="7" t="str">
        <f>IFERROR(__xludf.DUMMYFUNCTION("SPLIT(A18389,"" "")"),"CCN(Cc1ccccn1)C1=CCC=C(CN(C)c2ccc3ccc(CF)nc3c2)N1")</f>
        <v>CCN(Cc1ccccn1)C1=CCC=C(CN(C)c2ccc3ccc(CF)nc3c2)N1</v>
      </c>
      <c r="C18389" s="7">
        <f>IFERROR(__xludf.DUMMYFUNCTION("""COMPUTED_VALUE"""),7.726355)</f>
        <v>7.726355</v>
      </c>
      <c r="D18389" s="7">
        <f>IFERROR(__xludf.DUMMYFUNCTION("""COMPUTED_VALUE"""),0.365079365079365)</f>
        <v>0.3650793651</v>
      </c>
    </row>
    <row r="18390">
      <c r="A18390" s="10" t="s">
        <v>19829</v>
      </c>
      <c r="B18390" s="7" t="str">
        <f>IFERROR(__xludf.DUMMYFUNCTION("SPLIT(A18390,"" "")"),"CN(CC1C=C(NCc2ccccn2)C=CN1)c1ccc2ncccc2c1")</f>
        <v>CN(CC1C=C(NCc2ccccn2)C=CN1)c1ccc2ncccc2c1</v>
      </c>
      <c r="C18390" s="7">
        <f>IFERROR(__xludf.DUMMYFUNCTION("""COMPUTED_VALUE"""),7.726349)</f>
        <v>7.726349</v>
      </c>
      <c r="D18390" s="7">
        <f>IFERROR(__xludf.DUMMYFUNCTION("""COMPUTED_VALUE"""),0.338461538461538)</f>
        <v>0.3384615385</v>
      </c>
    </row>
    <row r="18391">
      <c r="A18391" s="10" t="s">
        <v>19830</v>
      </c>
      <c r="B18391" s="7" t="str">
        <f>IFERROR(__xludf.DUMMYFUNCTION("SPLIT(A18391,"" "")"),"CN(c1ccc2ncccc2c1)C(C)(C)N=Cc1ccccn1")</f>
        <v>CN(c1ccc2ncccc2c1)C(C)(C)N=Cc1ccccn1</v>
      </c>
      <c r="C18391" s="7">
        <f>IFERROR(__xludf.DUMMYFUNCTION("""COMPUTED_VALUE"""),7.7263427)</f>
        <v>7.7263427</v>
      </c>
      <c r="D18391" s="7">
        <f>IFERROR(__xludf.DUMMYFUNCTION("""COMPUTED_VALUE"""),0.358490566037735)</f>
        <v>0.358490566</v>
      </c>
    </row>
    <row r="18392">
      <c r="A18392" s="10" t="s">
        <v>19831</v>
      </c>
      <c r="B18392" s="7" t="str">
        <f>IFERROR(__xludf.DUMMYFUNCTION("SPLIT(A18392,"" "")"),"CCOC(=O)C(=O)C(=O)C(C)C(C)NC(=O)C(=O)C(=O)C(=O)C(=O)C(=O)C(=O)C(=O)C(=O)C(=O)C(=O)C(=O)C(=O)C(=O)C(=O)C(=O)C(=O)C(=O)C(=O)C(=O)C(=O)C(=O)C(=O)C(=O)C(=O)C(=O)C(=O)C(=O)C(=O)C(=O)C(=O)C=O")</f>
        <v>CCOC(=O)C(=O)C(=O)C(C)C(C)NC(=O)C(=O)C(=O)C(=O)C(=O)C(=O)C(=O)C(=O)C(=O)C(=O)C(=O)C(=O)C(=O)C(=O)C(=O)C(=O)C(=O)C(=O)C(=O)C(=O)C(=O)C(=O)C(=O)C(=O)C(=O)C(=O)C(=O)C(=O)C(=O)C(=O)C(=O)C=O</v>
      </c>
      <c r="C18392" s="7">
        <f>IFERROR(__xludf.DUMMYFUNCTION("""COMPUTED_VALUE"""),7.7263427)</f>
        <v>7.7263427</v>
      </c>
      <c r="D18392" s="7">
        <f>IFERROR(__xludf.DUMMYFUNCTION("""COMPUTED_VALUE"""),0.151515151515151)</f>
        <v>0.1515151515</v>
      </c>
    </row>
    <row r="18393">
      <c r="A18393" s="10" t="s">
        <v>19832</v>
      </c>
      <c r="B18393" s="7" t="str">
        <f>IFERROR(__xludf.DUMMYFUNCTION("SPLIT(A18393,"" "")"),"CN(c1ccc2ncccc2c1)C1CC2CCC1C2N(C)c1cccc2ncccc12")</f>
        <v>CN(c1ccc2ncccc2c1)C1CC2CCC1C2N(C)c1cccc2ncccc12</v>
      </c>
      <c r="C18393" s="7">
        <f>IFERROR(__xludf.DUMMYFUNCTION("""COMPUTED_VALUE"""),7.7263403)</f>
        <v>7.7263403</v>
      </c>
      <c r="D18393" s="7">
        <f>IFERROR(__xludf.DUMMYFUNCTION("""COMPUTED_VALUE"""),0.49090909090909)</f>
        <v>0.4909090909</v>
      </c>
    </row>
    <row r="18394">
      <c r="A18394" s="10" t="s">
        <v>19833</v>
      </c>
      <c r="B18394" s="7" t="str">
        <f>IFERROR(__xludf.DUMMYFUNCTION("SPLIT(A18394,"" "")"),"CN(CCCN(C)c1ccc2nccc(CF)c2c1)Cc1ccc2ncccc2c1")</f>
        <v>CN(CCCN(C)c1ccc2nccc(CF)c2c1)Cc1ccc2ncccc2c1</v>
      </c>
      <c r="C18394" s="7">
        <f>IFERROR(__xludf.DUMMYFUNCTION("""COMPUTED_VALUE"""),7.7263393)</f>
        <v>7.7263393</v>
      </c>
      <c r="D18394" s="7">
        <f>IFERROR(__xludf.DUMMYFUNCTION("""COMPUTED_VALUE"""),0.338983050847457)</f>
        <v>0.3389830508</v>
      </c>
    </row>
    <row r="18395">
      <c r="A18395" s="10" t="s">
        <v>19834</v>
      </c>
      <c r="B18395" s="7" t="str">
        <f>IFERROR(__xludf.DUMMYFUNCTION("SPLIT(A18395,"" "")"),"Cc1cc(C)c(CN(C)Cc2cc(-c3ccc(N=Cc4ccccn4)cc3)ccn2)nc1C")</f>
        <v>Cc1cc(C)c(CN(C)Cc2cc(-c3ccc(N=Cc4ccccn4)cc3)ccn2)nc1C</v>
      </c>
      <c r="C18395" s="7">
        <f>IFERROR(__xludf.DUMMYFUNCTION("""COMPUTED_VALUE"""),7.7263384)</f>
        <v>7.7263384</v>
      </c>
      <c r="D18395" s="7">
        <f>IFERROR(__xludf.DUMMYFUNCTION("""COMPUTED_VALUE"""),0.349206349206349)</f>
        <v>0.3492063492</v>
      </c>
    </row>
    <row r="18396">
      <c r="A18396" s="10" t="s">
        <v>19835</v>
      </c>
      <c r="B18396" s="7" t="str">
        <f>IFERROR(__xludf.DUMMYFUNCTION("SPLIT(A18396,"" "")"),"Fc1ccccc1N(Cc1ccccn1)Cc1cccc(-c2ccccc2N=Cc2ccccn2)n1")</f>
        <v>Fc1ccccc1N(Cc1ccccn1)Cc1cccc(-c2ccccc2N=Cc2ccccn2)n1</v>
      </c>
      <c r="C18396" s="7">
        <f>IFERROR(__xludf.DUMMYFUNCTION("""COMPUTED_VALUE"""),7.7263374)</f>
        <v>7.7263374</v>
      </c>
      <c r="D18396" s="7">
        <f>IFERROR(__xludf.DUMMYFUNCTION("""COMPUTED_VALUE"""),0.490566037735849)</f>
        <v>0.4905660377</v>
      </c>
    </row>
    <row r="18397">
      <c r="A18397" s="10" t="s">
        <v>19836</v>
      </c>
      <c r="B18397" s="7" t="str">
        <f>IFERROR(__xludf.DUMMYFUNCTION("SPLIT(A18397,"" "")"),"CC(C)N(Cc1ccccn1)c1ccc2nc(C(C)(C)c3ccccn3)ccc2c1")</f>
        <v>CC(C)N(Cc1ccccn1)c1ccc2nc(C(C)(C)c3ccccn3)ccc2c1</v>
      </c>
      <c r="C18397" s="7">
        <f>IFERROR(__xludf.DUMMYFUNCTION("""COMPUTED_VALUE"""),7.7263374)</f>
        <v>7.7263374</v>
      </c>
      <c r="D18397" s="7">
        <f>IFERROR(__xludf.DUMMYFUNCTION("""COMPUTED_VALUE"""),0.431372549019607)</f>
        <v>0.431372549</v>
      </c>
    </row>
    <row r="18398">
      <c r="A18398" s="10" t="s">
        <v>19837</v>
      </c>
      <c r="B18398" s="7" t="str">
        <f>IFERROR(__xludf.DUMMYFUNCTION("SPLIT(A18398,"" "")"),"CNCc1cc(-c2cccc(N(C)C)c2)ccn1")</f>
        <v>CNCc1cc(-c2cccc(N(C)C)c2)ccn1</v>
      </c>
      <c r="C18398" s="7">
        <f>IFERROR(__xludf.DUMMYFUNCTION("""COMPUTED_VALUE"""),7.7263246)</f>
        <v>7.7263246</v>
      </c>
      <c r="D18398" s="7">
        <f>IFERROR(__xludf.DUMMYFUNCTION("""COMPUTED_VALUE"""),0.285714285714285)</f>
        <v>0.2857142857</v>
      </c>
    </row>
    <row r="18399">
      <c r="A18399" s="10" t="s">
        <v>19838</v>
      </c>
      <c r="B18399" s="7" t="str">
        <f>IFERROR(__xludf.DUMMYFUNCTION("SPLIT(A18399,"" "")"),"CN(c1cccc2cccnc12)C12CCC(CC1)C2Nc1ccc2cccnc2c1")</f>
        <v>CN(c1cccc2cccnc12)C12CCC(CC1)C2Nc1ccc2cccnc2c1</v>
      </c>
      <c r="C18399" s="7">
        <f>IFERROR(__xludf.DUMMYFUNCTION("""COMPUTED_VALUE"""),7.7263236)</f>
        <v>7.7263236</v>
      </c>
      <c r="D18399" s="7">
        <f>IFERROR(__xludf.DUMMYFUNCTION("""COMPUTED_VALUE"""),0.423728813559322)</f>
        <v>0.4237288136</v>
      </c>
    </row>
    <row r="18400">
      <c r="A18400" s="10" t="s">
        <v>19839</v>
      </c>
      <c r="B18400" s="7" t="str">
        <f>IFERROR(__xludf.DUMMYFUNCTION("SPLIT(A18400,"" "")"),"Cc1ccc(CN(C)c2ccc(C3=CCC(N(C)Cc4ccccn4)=CN3)nc2)nc1")</f>
        <v>Cc1ccc(CN(C)c2ccc(C3=CCC(N(C)Cc4ccccn4)=CN3)nc2)nc1</v>
      </c>
      <c r="C18400" s="7">
        <f>IFERROR(__xludf.DUMMYFUNCTION("""COMPUTED_VALUE"""),7.726319)</f>
        <v>7.726319</v>
      </c>
      <c r="D18400" s="7">
        <f>IFERROR(__xludf.DUMMYFUNCTION("""COMPUTED_VALUE"""),0.354838709677419)</f>
        <v>0.3548387097</v>
      </c>
    </row>
    <row r="18401">
      <c r="A18401" s="10" t="s">
        <v>19840</v>
      </c>
      <c r="B18401" s="7" t="str">
        <f>IFERROR(__xludf.DUMMYFUNCTION("SPLIT(A18401,"" "")"),"Cc1cc(CN(C)c2ccc3cc(CN(C)C(C)C)cnc3c2)nc(C)c1C")</f>
        <v>Cc1cc(CN(C)c2ccc3cc(CN(C)C(C)C)cnc3c2)nc(C)c1C</v>
      </c>
      <c r="C18401" s="7">
        <f>IFERROR(__xludf.DUMMYFUNCTION("""COMPUTED_VALUE"""),7.7263064)</f>
        <v>7.7263064</v>
      </c>
      <c r="D18401" s="7">
        <f>IFERROR(__xludf.DUMMYFUNCTION("""COMPUTED_VALUE"""),0.229508196721311)</f>
        <v>0.2295081967</v>
      </c>
    </row>
    <row r="18402">
      <c r="A18402" s="10" t="s">
        <v>19841</v>
      </c>
      <c r="B18402" s="7" t="str">
        <f>IFERROR(__xludf.DUMMYFUNCTION("SPLIT(A18402,"" "")"),"Cc1ccc2ccc(N(CC3=CCC=C(N(C)C(C)C)N3)Cc3ccccn3)cc2n1")</f>
        <v>Cc1ccc2ccc(N(CC3=CCC=C(N(C)C(C)C)N3)Cc3ccccn3)cc2n1</v>
      </c>
      <c r="C18402" s="7">
        <f>IFERROR(__xludf.DUMMYFUNCTION("""COMPUTED_VALUE"""),7.72629)</f>
        <v>7.72629</v>
      </c>
      <c r="D18402" s="7">
        <f>IFERROR(__xludf.DUMMYFUNCTION("""COMPUTED_VALUE"""),0.359375)</f>
        <v>0.359375</v>
      </c>
    </row>
    <row r="18403">
      <c r="A18403" s="10" t="s">
        <v>19842</v>
      </c>
      <c r="B18403" s="7" t="str">
        <f>IFERROR(__xludf.DUMMYFUNCTION("SPLIT(A18403,"" "")"),"CC(C)(c1ccccn1)c1ccnc2cccc(N(Cc3ccccc3)Cc3ccccn3)c12")</f>
        <v>CC(C)(c1ccccn1)c1ccnc2cccc(N(Cc3ccccc3)Cc3ccccn3)c12</v>
      </c>
      <c r="C18403" s="7">
        <f>IFERROR(__xludf.DUMMYFUNCTION("""COMPUTED_VALUE"""),7.7262735)</f>
        <v>7.7262735</v>
      </c>
      <c r="D18403" s="7">
        <f>IFERROR(__xludf.DUMMYFUNCTION("""COMPUTED_VALUE"""),0.350877192982456)</f>
        <v>0.350877193</v>
      </c>
    </row>
    <row r="18404">
      <c r="A18404" s="10" t="s">
        <v>19843</v>
      </c>
      <c r="B18404" s="7" t="str">
        <f>IFERROR(__xludf.DUMMYFUNCTION("SPLIT(A18404,"" "")"),"CNCc1ccc2cccc(N(C)CC3=C(N(C)Cc4ccccn4)CC=CN3)c2n1")</f>
        <v>CNCc1ccc2cccc(N(C)CC3=C(N(C)Cc4ccccn4)CC=CN3)c2n1</v>
      </c>
      <c r="C18404" s="7">
        <f>IFERROR(__xludf.DUMMYFUNCTION("""COMPUTED_VALUE"""),7.7262692)</f>
        <v>7.7262692</v>
      </c>
      <c r="D18404" s="7">
        <f>IFERROR(__xludf.DUMMYFUNCTION("""COMPUTED_VALUE"""),0.365079365079365)</f>
        <v>0.3650793651</v>
      </c>
    </row>
    <row r="18405">
      <c r="A18405" s="10" t="s">
        <v>19844</v>
      </c>
      <c r="B18405" s="7" t="str">
        <f>IFERROR(__xludf.DUMMYFUNCTION("SPLIT(A18405,"" "")"),"CC(C)C1=CCC(N(C)Cc2cccc(-c3cc(Cl)cc(Cl)c3)n2)=CN1")</f>
        <v>CC(C)C1=CCC(N(C)Cc2cccc(-c3cc(Cl)cc(Cl)c3)n2)=CN1</v>
      </c>
      <c r="C18405" s="7">
        <f>IFERROR(__xludf.DUMMYFUNCTION("""COMPUTED_VALUE"""),7.7262564)</f>
        <v>7.7262564</v>
      </c>
      <c r="D18405" s="7">
        <f>IFERROR(__xludf.DUMMYFUNCTION("""COMPUTED_VALUE"""),0.295081967213114)</f>
        <v>0.2950819672</v>
      </c>
    </row>
    <row r="18406">
      <c r="A18406" s="10" t="s">
        <v>19845</v>
      </c>
      <c r="B18406" s="7" t="str">
        <f>IFERROR(__xludf.DUMMYFUNCTION("SPLIT(A18406,"" "")"),"Cc1cccc(CN(C)Cc2ccc3cccc(N(C)Cc4ncccc4C)c3n2)n1")</f>
        <v>Cc1cccc(CN(C)Cc2ccc3cccc(N(C)Cc4ncccc4C)c3n2)n1</v>
      </c>
      <c r="C18406" s="7">
        <f>IFERROR(__xludf.DUMMYFUNCTION("""COMPUTED_VALUE"""),7.726255)</f>
        <v>7.726255</v>
      </c>
      <c r="D18406" s="7">
        <f>IFERROR(__xludf.DUMMYFUNCTION("""COMPUTED_VALUE"""),0.448979591836734)</f>
        <v>0.4489795918</v>
      </c>
    </row>
    <row r="18407">
      <c r="A18407" s="10" t="s">
        <v>19846</v>
      </c>
      <c r="B18407" s="7" t="str">
        <f>IFERROR(__xludf.DUMMYFUNCTION("SPLIT(A18407,"" "")"),"CCN(Cc1ccccn1)c1cc(-c2ccccn2)ccc1N(C)Cc1ncccc1C")</f>
        <v>CCN(Cc1ccccn1)c1cc(-c2ccccn2)ccc1N(C)Cc1ncccc1C</v>
      </c>
      <c r="C18407" s="7">
        <f>IFERROR(__xludf.DUMMYFUNCTION("""COMPUTED_VALUE"""),7.726246)</f>
        <v>7.726246</v>
      </c>
      <c r="D18407" s="7">
        <f>IFERROR(__xludf.DUMMYFUNCTION("""COMPUTED_VALUE"""),0.418181818181818)</f>
        <v>0.4181818182</v>
      </c>
    </row>
    <row r="18408">
      <c r="A18408" s="10" t="s">
        <v>19847</v>
      </c>
      <c r="B18408" s="7" t="str">
        <f>IFERROR(__xludf.DUMMYFUNCTION("SPLIT(A18408,"" "")"),"Cc1cncc(CN(Cc2ccccn2)Cc2ccc(-c3cccc(N(C)C)c3)cn2)c1-c1ccccc1NCc1ccccn1")</f>
        <v>Cc1cncc(CN(Cc2ccccn2)Cc2ccc(-c3cccc(N(C)C)c3)cn2)c1-c1ccccc1NCc1ccccn1</v>
      </c>
      <c r="C18408" s="7">
        <f>IFERROR(__xludf.DUMMYFUNCTION("""COMPUTED_VALUE"""),7.7262454)</f>
        <v>7.7262454</v>
      </c>
      <c r="D18408" s="7">
        <f>IFERROR(__xludf.DUMMYFUNCTION("""COMPUTED_VALUE"""),0.32051282051282)</f>
        <v>0.3205128205</v>
      </c>
    </row>
    <row r="18409">
      <c r="A18409" s="10" t="s">
        <v>19848</v>
      </c>
      <c r="B18409" s="7" t="str">
        <f>IFERROR(__xludf.DUMMYFUNCTION("SPLIT(A18409,"" "")"),"CC(=O)C(=O)C(=O)C(=O)C(=O)C(=O)C(=O)C(=O)C(=O)C(=O)C(=O)C(=O)C(=O)C(=O)C(=O)C(=O)C(=O)C(=O)C(=O)C(=O)C(=O)C(=O)C(=O)C(=O)C(=O)C(=O)C(=O)C(=O)C(=O)C(=O)C(=O)C(=O)C(=O)C(=O)CC(=O)c1cccc(C2CCC2(C)C)n1")</f>
        <v>CC(=O)C(=O)C(=O)C(=O)C(=O)C(=O)C(=O)C(=O)C(=O)C(=O)C(=O)C(=O)C(=O)C(=O)C(=O)C(=O)C(=O)C(=O)C(=O)C(=O)C(=O)C(=O)C(=O)C(=O)C(=O)C(=O)C(=O)C(=O)C(=O)C(=O)C(=O)C(=O)C(=O)C(=O)CC(=O)c1cccc(C2CCC2(C)C)n1</v>
      </c>
      <c r="C18409" s="7">
        <f>IFERROR(__xludf.DUMMYFUNCTION("""COMPUTED_VALUE"""),7.72624)</f>
        <v>7.72624</v>
      </c>
      <c r="D18409" s="7">
        <f>IFERROR(__xludf.DUMMYFUNCTION("""COMPUTED_VALUE"""),0.211267605633802)</f>
        <v>0.2112676056</v>
      </c>
    </row>
    <row r="18410">
      <c r="A18410" s="10" t="s">
        <v>19849</v>
      </c>
      <c r="B18410" s="7" t="str">
        <f>IFERROR(__xludf.DUMMYFUNCTION("SPLIT(A18410,"" "")"),"Cc1ccnc2ccc(N(C)CCN(Cc3ccc4ncccc4c3)CC(C)C)cc12")</f>
        <v>Cc1ccnc2ccc(N(C)CCN(Cc3ccc4ncccc4c3)CC(C)C)cc12</v>
      </c>
      <c r="C18410" s="7">
        <f>IFERROR(__xludf.DUMMYFUNCTION("""COMPUTED_VALUE"""),7.7262387)</f>
        <v>7.7262387</v>
      </c>
      <c r="D18410" s="7">
        <f>IFERROR(__xludf.DUMMYFUNCTION("""COMPUTED_VALUE"""),0.3)</f>
        <v>0.3</v>
      </c>
    </row>
    <row r="18411">
      <c r="A18411" s="10" t="s">
        <v>19850</v>
      </c>
      <c r="B18411" s="7" t="str">
        <f>IFERROR(__xludf.DUMMYFUNCTION("SPLIT(A18411,"" "")"),"CN(c1cccc2ncccc12)C1CC2CCC1C2N(C)c1ccc2ncccc2c1")</f>
        <v>CN(c1cccc2ncccc12)C1CC2CCC1C2N(C)c1ccc2ncccc2c1</v>
      </c>
      <c r="C18411" s="7">
        <f>IFERROR(__xludf.DUMMYFUNCTION("""COMPUTED_VALUE"""),7.7262278)</f>
        <v>7.7262278</v>
      </c>
      <c r="D18411" s="7">
        <f>IFERROR(__xludf.DUMMYFUNCTION("""COMPUTED_VALUE"""),0.456140350877192)</f>
        <v>0.4561403509</v>
      </c>
    </row>
    <row r="18412">
      <c r="A18412" s="10" t="s">
        <v>19851</v>
      </c>
      <c r="B18412" s="7" t="str">
        <f>IFERROR(__xludf.DUMMYFUNCTION("SPLIT(A18412,"" "")"),"CC(C)N(CC1=C(N(C)Cc2ccccn2)CC=CN1)c1ccc2cccnc2c1")</f>
        <v>CC(C)N(CC1=C(N(C)Cc2ccccn2)CC=CN1)c1ccc2cccnc2c1</v>
      </c>
      <c r="C18412" s="7">
        <f>IFERROR(__xludf.DUMMYFUNCTION("""COMPUTED_VALUE"""),7.7262273)</f>
        <v>7.7262273</v>
      </c>
      <c r="D18412" s="7">
        <f>IFERROR(__xludf.DUMMYFUNCTION("""COMPUTED_VALUE"""),0.370967741935483)</f>
        <v>0.3709677419</v>
      </c>
    </row>
    <row r="18413">
      <c r="A18413" s="10" t="s">
        <v>19852</v>
      </c>
      <c r="B18413" s="7" t="str">
        <f>IFERROR(__xludf.DUMMYFUNCTION("SPLIT(A18413,"" "")"),"CN(Cc1cc(-c2ccccc2N(C)C)ccn1)Cc1ccon1")</f>
        <v>CN(Cc1cc(-c2ccccc2N(C)C)ccn1)Cc1ccon1</v>
      </c>
      <c r="C18413" s="7">
        <f>IFERROR(__xludf.DUMMYFUNCTION("""COMPUTED_VALUE"""),7.726213)</f>
        <v>7.726213</v>
      </c>
      <c r="D18413" s="7">
        <f>IFERROR(__xludf.DUMMYFUNCTION("""COMPUTED_VALUE"""),0.477272727272727)</f>
        <v>0.4772727273</v>
      </c>
    </row>
    <row r="18414">
      <c r="A18414" s="10" t="s">
        <v>19853</v>
      </c>
      <c r="B18414" s="7" t="str">
        <f>IFERROR(__xludf.DUMMYFUNCTION("SPLIT(A18414,"" "")"),"CN(C)CC1=CCC(N(C)Cc2cccc3ncccc23)=CN1")</f>
        <v>CN(C)CC1=CCC(N(C)Cc2cccc3ncccc23)=CN1</v>
      </c>
      <c r="C18414" s="7">
        <f>IFERROR(__xludf.DUMMYFUNCTION("""COMPUTED_VALUE"""),7.726212)</f>
        <v>7.726212</v>
      </c>
      <c r="D18414" s="7">
        <f>IFERROR(__xludf.DUMMYFUNCTION("""COMPUTED_VALUE"""),0.327272727272727)</f>
        <v>0.3272727273</v>
      </c>
    </row>
    <row r="18415">
      <c r="A18415" s="10" t="s">
        <v>19854</v>
      </c>
      <c r="B18415" s="7" t="str">
        <f>IFERROR(__xludf.DUMMYFUNCTION("SPLIT(A18415,"" "")"),"CCN(Cc1ccccn1)c1ccc2cccnc2c1-c1ncccc1CN(Cc1ccccn1)Cc1cc(C(C)(C)c2ccccn2)ccn1")</f>
        <v>CCN(Cc1ccccn1)c1ccc2cccnc2c1-c1ncccc1CN(Cc1ccccn1)Cc1cc(C(C)(C)c2ccccn2)ccn1</v>
      </c>
      <c r="C18415" s="7">
        <f>IFERROR(__xludf.DUMMYFUNCTION("""COMPUTED_VALUE"""),7.72621)</f>
        <v>7.72621</v>
      </c>
      <c r="D18415" s="7">
        <f>IFERROR(__xludf.DUMMYFUNCTION("""COMPUTED_VALUE"""),0.333333333333333)</f>
        <v>0.3333333333</v>
      </c>
    </row>
    <row r="18416">
      <c r="A18416" s="10" t="s">
        <v>19855</v>
      </c>
      <c r="B18416" s="7" t="str">
        <f>IFERROR(__xludf.DUMMYFUNCTION("SPLIT(A18416,"" "")"),"FCc1cccc(N(Cc2ccccn2)Cc2cccc(-c3cccc(N=Cc4ccccn4)c3)n2)n1")</f>
        <v>FCc1cccc(N(Cc2ccccn2)Cc2cccc(-c3cccc(N=Cc4ccccn4)c3)n2)n1</v>
      </c>
      <c r="C18416" s="7">
        <f>IFERROR(__xludf.DUMMYFUNCTION("""COMPUTED_VALUE"""),7.7262087)</f>
        <v>7.7262087</v>
      </c>
      <c r="D18416" s="7">
        <f>IFERROR(__xludf.DUMMYFUNCTION("""COMPUTED_VALUE"""),0.424242424242424)</f>
        <v>0.4242424242</v>
      </c>
    </row>
    <row r="18417">
      <c r="A18417" s="10" t="s">
        <v>19856</v>
      </c>
      <c r="B18417" s="7" t="str">
        <f>IFERROR(__xludf.DUMMYFUNCTION("SPLIT(A18417,"" "")"),"CN(CCN(Cc1ccncc1)c1ccc2ncccc2c1)Cc1ccc2ncccc2c1")</f>
        <v>CN(CCN(Cc1ccncc1)c1ccc2ncccc2c1)Cc1ccc2ncccc2c1</v>
      </c>
      <c r="C18417" s="7">
        <f>IFERROR(__xludf.DUMMYFUNCTION("""COMPUTED_VALUE"""),7.7261963)</f>
        <v>7.7261963</v>
      </c>
      <c r="D18417" s="7">
        <f>IFERROR(__xludf.DUMMYFUNCTION("""COMPUTED_VALUE"""),0.384615384615384)</f>
        <v>0.3846153846</v>
      </c>
    </row>
    <row r="18418">
      <c r="A18418" s="10" t="s">
        <v>19857</v>
      </c>
      <c r="B18418" s="7" t="str">
        <f>IFERROR(__xludf.DUMMYFUNCTION("SPLIT(A18418,"" "")"),"CN(Cc1ccccn1)Cc1ccc(N(C)c2ccc3nc(CF)ccc3c2)cn1")</f>
        <v>CN(Cc1ccccn1)Cc1ccc(N(C)c2ccc3nc(CF)ccc3c2)cn1</v>
      </c>
      <c r="C18418" s="7">
        <f>IFERROR(__xludf.DUMMYFUNCTION("""COMPUTED_VALUE"""),7.7261896)</f>
        <v>7.7261896</v>
      </c>
      <c r="D18418" s="7">
        <f>IFERROR(__xludf.DUMMYFUNCTION("""COMPUTED_VALUE"""),0.470588235294117)</f>
        <v>0.4705882353</v>
      </c>
    </row>
    <row r="18419">
      <c r="A18419" s="10" t="s">
        <v>19858</v>
      </c>
      <c r="B18419" s="7" t="str">
        <f>IFERROR(__xludf.DUMMYFUNCTION("SPLIT(A18419,"" "")"),"CN(CCN(Cc1ccccn1)c1ccc2cccnc2c1)Cc1ccc2ncccc2c1")</f>
        <v>CN(CCN(Cc1ccccn1)c1ccc2cccnc2c1)Cc1ccc2ncccc2c1</v>
      </c>
      <c r="C18419" s="7">
        <f>IFERROR(__xludf.DUMMYFUNCTION("""COMPUTED_VALUE"""),7.7261853)</f>
        <v>7.7261853</v>
      </c>
      <c r="D18419" s="7">
        <f>IFERROR(__xludf.DUMMYFUNCTION("""COMPUTED_VALUE"""),0.452830188679245)</f>
        <v>0.4528301887</v>
      </c>
    </row>
    <row r="18420">
      <c r="A18420" s="10" t="s">
        <v>19859</v>
      </c>
      <c r="B18420" s="7" t="str">
        <f>IFERROR(__xludf.DUMMYFUNCTION("SPLIT(A18420,"" "")"),"CC(C)N(C)Cc1ccnc2cc(N(C)C)ccc12")</f>
        <v>CC(C)N(C)Cc1ccnc2cc(N(C)C)ccc12</v>
      </c>
      <c r="C18420" s="7">
        <f>IFERROR(__xludf.DUMMYFUNCTION("""COMPUTED_VALUE"""),7.7261844)</f>
        <v>7.7261844</v>
      </c>
      <c r="D18420" s="7">
        <f>IFERROR(__xludf.DUMMYFUNCTION("""COMPUTED_VALUE"""),0.270833333333333)</f>
        <v>0.2708333333</v>
      </c>
    </row>
    <row r="18421">
      <c r="A18421" s="10" t="s">
        <v>19860</v>
      </c>
      <c r="B18421" s="7" t="str">
        <f>IFERROR(__xludf.DUMMYFUNCTION("SPLIT(A18421,"" "")"),"Cc1nc(CN(C)C2C=CNC(CN(C)c3ccc4cccnc4c3)=C2)c(C)c(C)c1C")</f>
        <v>Cc1nc(CN(C)C2C=CNC(CN(C)c3ccc4cccnc4c3)=C2)c(C)c(C)c1C</v>
      </c>
      <c r="C18421" s="7">
        <f>IFERROR(__xludf.DUMMYFUNCTION("""COMPUTED_VALUE"""),7.726178)</f>
        <v>7.726178</v>
      </c>
      <c r="D18421" s="7">
        <f>IFERROR(__xludf.DUMMYFUNCTION("""COMPUTED_VALUE"""),0.25)</f>
        <v>0.25</v>
      </c>
    </row>
    <row r="18422">
      <c r="A18422" s="10" t="s">
        <v>19861</v>
      </c>
      <c r="B18422" s="7" t="str">
        <f>IFERROR(__xludf.DUMMYFUNCTION("SPLIT(A18422,"" "")"),"Cc1nc(CN(C)C2C=CNC(CN(C)c3ccc4ncccc4c3)=C2)c(C)c(C)c1C")</f>
        <v>Cc1nc(CN(C)C2C=CNC(CN(C)c3ccc4ncccc4c3)=C2)c(C)c(C)c1C</v>
      </c>
      <c r="C18422" s="7">
        <f>IFERROR(__xludf.DUMMYFUNCTION("""COMPUTED_VALUE"""),7.726169)</f>
        <v>7.726169</v>
      </c>
      <c r="D18422" s="7">
        <f>IFERROR(__xludf.DUMMYFUNCTION("""COMPUTED_VALUE"""),0.253731343283582)</f>
        <v>0.2537313433</v>
      </c>
    </row>
    <row r="18423">
      <c r="A18423" s="10" t="s">
        <v>19862</v>
      </c>
      <c r="B18423" s="7" t="str">
        <f>IFERROR(__xludf.DUMMYFUNCTION("SPLIT(A18423,"" "")"),"CNc1ccc2nc(CN(C)Cc3cc(C)c(C)c(C)n3)ccc2c1")</f>
        <v>CNc1ccc2nc(CN(C)Cc3cc(C)c(C)c(C)n3)ccc2c1</v>
      </c>
      <c r="C18423" s="7">
        <f>IFERROR(__xludf.DUMMYFUNCTION("""COMPUTED_VALUE"""),7.7261677)</f>
        <v>7.7261677</v>
      </c>
      <c r="D18423" s="7">
        <f>IFERROR(__xludf.DUMMYFUNCTION("""COMPUTED_VALUE"""),0.32)</f>
        <v>0.32</v>
      </c>
    </row>
    <row r="18424">
      <c r="A18424" s="10" t="s">
        <v>19863</v>
      </c>
      <c r="B18424" s="7" t="str">
        <f>IFERROR(__xludf.DUMMYFUNCTION("SPLIT(A18424,"" "")"),"CC(C)N(C)Cc1ncccc1N(C)c1ccc2cccnc2c1")</f>
        <v>CC(C)N(C)Cc1ncccc1N(C)c1ccc2cccnc2c1</v>
      </c>
      <c r="C18424" s="7">
        <f>IFERROR(__xludf.DUMMYFUNCTION("""COMPUTED_VALUE"""),7.7261653)</f>
        <v>7.7261653</v>
      </c>
      <c r="D18424" s="7">
        <f>IFERROR(__xludf.DUMMYFUNCTION("""COMPUTED_VALUE"""),0.333333333333333)</f>
        <v>0.3333333333</v>
      </c>
    </row>
    <row r="18425">
      <c r="A18425" s="10" t="s">
        <v>19864</v>
      </c>
      <c r="B18425" s="7" t="str">
        <f>IFERROR(__xludf.DUMMYFUNCTION("SPLIT(A18425,"" "")"),"Cc1cnc(CN(C)Cc2ncccc2-c2ccc(N=Cc3ccccn3)cc2)c(C)c1C")</f>
        <v>Cc1cnc(CN(C)Cc2ncccc2-c2ccc(N=Cc3ccccn3)cc2)c(C)c1C</v>
      </c>
      <c r="C18425" s="7">
        <f>IFERROR(__xludf.DUMMYFUNCTION("""COMPUTED_VALUE"""),7.7261596)</f>
        <v>7.7261596</v>
      </c>
      <c r="D18425" s="7">
        <f>IFERROR(__xludf.DUMMYFUNCTION("""COMPUTED_VALUE"""),0.366666666666666)</f>
        <v>0.3666666667</v>
      </c>
    </row>
    <row r="18426">
      <c r="A18426" s="10" t="s">
        <v>19865</v>
      </c>
      <c r="B18426" s="7" t="str">
        <f>IFERROR(__xludf.DUMMYFUNCTION("SPLIT(A18426,"" "")"),"Cc1ccc2ccc(N(C)C3CCC(N(C)c4ccc5nccc(CN(C)C)c5c4)CC3)cc2n1")</f>
        <v>Cc1ccc2ccc(N(C)C3CCC(N(C)c4ccc5nccc(CN(C)C)c5c4)CC3)cc2n1</v>
      </c>
      <c r="C18426" s="7">
        <f>IFERROR(__xludf.DUMMYFUNCTION("""COMPUTED_VALUE"""),7.7261543)</f>
        <v>7.7261543</v>
      </c>
      <c r="D18426" s="7">
        <f>IFERROR(__xludf.DUMMYFUNCTION("""COMPUTED_VALUE"""),0.258064516129032)</f>
        <v>0.2580645161</v>
      </c>
    </row>
    <row r="18427">
      <c r="A18427" s="10" t="s">
        <v>19866</v>
      </c>
      <c r="B18427" s="7" t="str">
        <f>IFERROR(__xludf.DUMMYFUNCTION("SPLIT(A18427,"" "")"),"CN(c1ccc2ncccc2c1)C1CC2CC1CC2N(C)c1ccc2ncccc2c1")</f>
        <v>CN(c1ccc2ncccc2c1)C1CC2CC1CC2N(C)c1ccc2ncccc2c1</v>
      </c>
      <c r="C18427" s="7">
        <f>IFERROR(__xludf.DUMMYFUNCTION("""COMPUTED_VALUE"""),7.72615)</f>
        <v>7.72615</v>
      </c>
      <c r="D18427" s="7">
        <f>IFERROR(__xludf.DUMMYFUNCTION("""COMPUTED_VALUE"""),0.478260869565217)</f>
        <v>0.4782608696</v>
      </c>
    </row>
    <row r="18428">
      <c r="A18428" s="10" t="s">
        <v>19867</v>
      </c>
      <c r="B18428" s="7" t="str">
        <f>IFERROR(__xludf.DUMMYFUNCTION("SPLIT(A18428,"" "")"),"CNCc1cccc(-c2ccc(N=Cc3ccccn3)cc2)n1")</f>
        <v>CNCc1cccc(-c2ccc(N=Cc3ccccn3)cc2)n1</v>
      </c>
      <c r="C18428" s="7">
        <f>IFERROR(__xludf.DUMMYFUNCTION("""COMPUTED_VALUE"""),7.7261453)</f>
        <v>7.7261453</v>
      </c>
      <c r="D18428" s="7">
        <f>IFERROR(__xludf.DUMMYFUNCTION("""COMPUTED_VALUE"""),0.396226415094339)</f>
        <v>0.3962264151</v>
      </c>
    </row>
    <row r="18429">
      <c r="A18429" s="10" t="s">
        <v>19868</v>
      </c>
      <c r="B18429" s="7" t="str">
        <f>IFERROR(__xludf.DUMMYFUNCTION("SPLIT(A18429,"" "")"),"FCc1nccc2cccc(N(Cc3ccccn3)Cc3ccccn3)c12")</f>
        <v>FCc1nccc2cccc(N(Cc3ccccn3)Cc3ccccn3)c12</v>
      </c>
      <c r="C18429" s="7">
        <f>IFERROR(__xludf.DUMMYFUNCTION("""COMPUTED_VALUE"""),7.726143)</f>
        <v>7.726143</v>
      </c>
      <c r="D18429" s="7">
        <f>IFERROR(__xludf.DUMMYFUNCTION("""COMPUTED_VALUE"""),0.414634146341463)</f>
        <v>0.4146341463</v>
      </c>
    </row>
    <row r="18430">
      <c r="A18430" s="10" t="s">
        <v>19869</v>
      </c>
      <c r="B18430" s="7" t="str">
        <f>IFERROR(__xludf.DUMMYFUNCTION("SPLIT(A18430,"" "")"),"Cc1cnc(CN(C)CC2=CC(N(C)c3ccc4c(C)ccnc4c3)C=CN2)cc1C")</f>
        <v>Cc1cnc(CN(C)CC2=CC(N(C)c3ccc4c(C)ccnc4c3)C=CN2)cc1C</v>
      </c>
      <c r="C18430" s="7">
        <f>IFERROR(__xludf.DUMMYFUNCTION("""COMPUTED_VALUE"""),7.7261424)</f>
        <v>7.7261424</v>
      </c>
      <c r="D18430" s="7">
        <f>IFERROR(__xludf.DUMMYFUNCTION("""COMPUTED_VALUE"""),0.294117647058823)</f>
        <v>0.2941176471</v>
      </c>
    </row>
    <row r="18431">
      <c r="A18431" s="10" t="s">
        <v>19870</v>
      </c>
      <c r="B18431" s="7" t="str">
        <f>IFERROR(__xludf.DUMMYFUNCTION("SPLIT(A18431,"" "")"),"CN(Cc1cccnn1)C1=CNC=CC1CN(C)c1ccc2nccc(CF)c2c1")</f>
        <v>CN(Cc1cccnn1)C1=CNC=CC1CN(C)c1ccc2nccc(CF)c2c1</v>
      </c>
      <c r="C18431" s="7">
        <f>IFERROR(__xludf.DUMMYFUNCTION("""COMPUTED_VALUE"""),7.7261415)</f>
        <v>7.7261415</v>
      </c>
      <c r="D18431" s="7">
        <f>IFERROR(__xludf.DUMMYFUNCTION("""COMPUTED_VALUE"""),0.328125)</f>
        <v>0.328125</v>
      </c>
    </row>
    <row r="18432">
      <c r="A18432" s="10" t="s">
        <v>19871</v>
      </c>
      <c r="B18432" s="7" t="str">
        <f>IFERROR(__xludf.DUMMYFUNCTION("SPLIT(A18432,"" "")"),"Cc1nc(CN(C)Cc2cc3cccc(C)c3cn2)c(C)c(C)c1C")</f>
        <v>Cc1nc(CN(C)Cc2cc3cccc(C)c3cn2)c(C)c(C)c1C</v>
      </c>
      <c r="C18432" s="7">
        <f>IFERROR(__xludf.DUMMYFUNCTION("""COMPUTED_VALUE"""),7.72614)</f>
        <v>7.72614</v>
      </c>
      <c r="D18432" s="7">
        <f>IFERROR(__xludf.DUMMYFUNCTION("""COMPUTED_VALUE"""),0.32)</f>
        <v>0.32</v>
      </c>
    </row>
    <row r="18433">
      <c r="A18433" s="10" t="s">
        <v>19872</v>
      </c>
      <c r="B18433" s="7" t="str">
        <f>IFERROR(__xludf.DUMMYFUNCTION("SPLIT(A18433,"" "")"),"CN(CC1=CCC(N(C)c2cccc3ncccc23)=CN1)Cc1ccccn1")</f>
        <v>CN(CC1=CCC(N(C)c2cccc3ncccc23)=CN1)Cc1ccccn1</v>
      </c>
      <c r="C18433" s="7">
        <f>IFERROR(__xludf.DUMMYFUNCTION("""COMPUTED_VALUE"""),7.7261395)</f>
        <v>7.7261395</v>
      </c>
      <c r="D18433" s="7">
        <f>IFERROR(__xludf.DUMMYFUNCTION("""COMPUTED_VALUE"""),0.413793103448275)</f>
        <v>0.4137931034</v>
      </c>
    </row>
    <row r="18434">
      <c r="A18434" s="10" t="s">
        <v>19873</v>
      </c>
      <c r="B18434" s="7" t="str">
        <f>IFERROR(__xludf.DUMMYFUNCTION("SPLIT(A18434,"" "")"),"CNCc1cc(-c2cc(C)c(C)cc2N(C)Cc2ccccn2)ccn1")</f>
        <v>CNCc1cc(-c2cc(C)c(C)cc2N(C)Cc2ccccn2)ccn1</v>
      </c>
      <c r="C18434" s="7">
        <f>IFERROR(__xludf.DUMMYFUNCTION("""COMPUTED_VALUE"""),7.726137)</f>
        <v>7.726137</v>
      </c>
      <c r="D18434" s="7">
        <f>IFERROR(__xludf.DUMMYFUNCTION("""COMPUTED_VALUE"""),0.489795918367346)</f>
        <v>0.4897959184</v>
      </c>
    </row>
    <row r="18435">
      <c r="A18435" s="10" t="s">
        <v>19874</v>
      </c>
      <c r="B18435" s="7" t="str">
        <f>IFERROR(__xludf.DUMMYFUNCTION("SPLIT(A18435,"" "")"),"Cc1cc(CN(C)Cc2ccc(-c3cccc(N(C)C)c3)cn2)nc(C)c1C")</f>
        <v>Cc1cc(CN(C)Cc2ccc(-c3cccc(N(C)C)c3)cn2)nc(C)c1C</v>
      </c>
      <c r="C18435" s="7">
        <f>IFERROR(__xludf.DUMMYFUNCTION("""COMPUTED_VALUE"""),7.7261333)</f>
        <v>7.7261333</v>
      </c>
      <c r="D18435" s="7">
        <f>IFERROR(__xludf.DUMMYFUNCTION("""COMPUTED_VALUE"""),0.352941176470588)</f>
        <v>0.3529411765</v>
      </c>
    </row>
    <row r="18436">
      <c r="A18436" s="10" t="s">
        <v>19875</v>
      </c>
      <c r="B18436" s="7" t="str">
        <f>IFERROR(__xludf.DUMMYFUNCTION("SPLIT(A18436,"" "")"),"Cc1ccc(-c2cccc(NCc3cccc(C(C)(c4ccccn4)c4ccccn4)n3)c2)nc1")</f>
        <v>Cc1ccc(-c2cccc(NCc3cccc(C(C)(c4ccccn4)c4ccccn4)n3)c2)nc1</v>
      </c>
      <c r="C18436" s="7">
        <f>IFERROR(__xludf.DUMMYFUNCTION("""COMPUTED_VALUE"""),7.7261333)</f>
        <v>7.7261333</v>
      </c>
      <c r="D18436" s="7">
        <f>IFERROR(__xludf.DUMMYFUNCTION("""COMPUTED_VALUE"""),0.426229508196721)</f>
        <v>0.4262295082</v>
      </c>
    </row>
    <row r="18437">
      <c r="A18437" s="10" t="s">
        <v>19876</v>
      </c>
      <c r="B18437" s="7" t="str">
        <f>IFERROR(__xludf.DUMMYFUNCTION("SPLIT(A18437,"" "")"),"CCN(Cc1ncccc1C)c1ccc2ncccc2c1")</f>
        <v>CCN(Cc1ncccc1C)c1ccc2ncccc2c1</v>
      </c>
      <c r="C18437" s="7">
        <f>IFERROR(__xludf.DUMMYFUNCTION("""COMPUTED_VALUE"""),7.726124)</f>
        <v>7.726124</v>
      </c>
      <c r="D18437" s="7">
        <f>IFERROR(__xludf.DUMMYFUNCTION("""COMPUTED_VALUE"""),0.294117647058823)</f>
        <v>0.2941176471</v>
      </c>
    </row>
    <row r="18438">
      <c r="A18438" s="10" t="s">
        <v>19877</v>
      </c>
      <c r="B18438" s="7" t="str">
        <f>IFERROR(__xludf.DUMMYFUNCTION("SPLIT(A18438,"" "")"),"CN(c1cccc2ncccc12)C1CCCC(N(C)c2cccc3ncccc23)C1")</f>
        <v>CN(c1cccc2ncccc12)C1CCCC(N(C)c2cccc3ncccc23)C1</v>
      </c>
      <c r="C18438" s="7">
        <f>IFERROR(__xludf.DUMMYFUNCTION("""COMPUTED_VALUE"""),7.72612)</f>
        <v>7.72612</v>
      </c>
      <c r="D18438" s="7">
        <f>IFERROR(__xludf.DUMMYFUNCTION("""COMPUTED_VALUE"""),0.434782608695652)</f>
        <v>0.4347826087</v>
      </c>
    </row>
    <row r="18439">
      <c r="A18439" s="10" t="s">
        <v>19878</v>
      </c>
      <c r="B18439" s="7" t="str">
        <f>IFERROR(__xludf.DUMMYFUNCTION("SPLIT(A18439,"" "")"),"CC(C)N(Cc1ccccn1)c1cccc2cccnc12")</f>
        <v>CC(C)N(Cc1ccccn1)c1cccc2cccnc12</v>
      </c>
      <c r="C18439" s="7">
        <f>IFERROR(__xludf.DUMMYFUNCTION("""COMPUTED_VALUE"""),7.72611)</f>
        <v>7.72611</v>
      </c>
      <c r="D18439" s="7">
        <f>IFERROR(__xludf.DUMMYFUNCTION("""COMPUTED_VALUE"""),0.5)</f>
        <v>0.5</v>
      </c>
    </row>
    <row r="18440">
      <c r="A18440" s="10" t="s">
        <v>19879</v>
      </c>
      <c r="B18440" s="7" t="str">
        <f>IFERROR(__xludf.DUMMYFUNCTION("SPLIT(A18440,"" "")"),"CCN(CC1=C(N(C)Cc2ncccc2C)CC=CN1)c1ccc2cccnc2c1")</f>
        <v>CCN(CC1=C(N(C)Cc2ncccc2C)CC=CN1)c1ccc2cccnc2c1</v>
      </c>
      <c r="C18440" s="7">
        <f>IFERROR(__xludf.DUMMYFUNCTION("""COMPUTED_VALUE"""),7.7261095)</f>
        <v>7.7261095</v>
      </c>
      <c r="D18440" s="7">
        <f>IFERROR(__xludf.DUMMYFUNCTION("""COMPUTED_VALUE"""),0.25)</f>
        <v>0.25</v>
      </c>
    </row>
    <row r="18441">
      <c r="A18441" s="10" t="s">
        <v>19880</v>
      </c>
      <c r="B18441" s="7" t="str">
        <f>IFERROR(__xludf.DUMMYFUNCTION("SPLIT(A18441,"" "")"),"Cc1ccccc1CN(C)CC1=C(N(C)c2ccc3nccc(C)c3c2)CC=CN1")</f>
        <v>Cc1ccccc1CN(C)CC1=C(N(C)c2ccc3nccc(C)c3c2)CC=CN1</v>
      </c>
      <c r="C18441" s="7">
        <f>IFERROR(__xludf.DUMMYFUNCTION("""COMPUTED_VALUE"""),7.7261066)</f>
        <v>7.7261066</v>
      </c>
      <c r="D18441" s="7">
        <f>IFERROR(__xludf.DUMMYFUNCTION("""COMPUTED_VALUE"""),0.253521126760563)</f>
        <v>0.2535211268</v>
      </c>
    </row>
    <row r="18442">
      <c r="A18442" s="10" t="s">
        <v>19881</v>
      </c>
      <c r="B18442" s="7" t="str">
        <f>IFERROR(__xludf.DUMMYFUNCTION("SPLIT(A18442,"" "")"),"CN(C)c1ccccc1-c1ccc(CF)c(NCc2ccccn2)n1")</f>
        <v>CN(C)c1ccccc1-c1ccc(CF)c(NCc2ccccn2)n1</v>
      </c>
      <c r="C18442" s="7">
        <f>IFERROR(__xludf.DUMMYFUNCTION("""COMPUTED_VALUE"""),7.726105)</f>
        <v>7.726105</v>
      </c>
      <c r="D18442" s="7">
        <f>IFERROR(__xludf.DUMMYFUNCTION("""COMPUTED_VALUE"""),0.357142857142857)</f>
        <v>0.3571428571</v>
      </c>
    </row>
    <row r="18443">
      <c r="A18443" s="10" t="s">
        <v>19882</v>
      </c>
      <c r="B18443" s="7" t="str">
        <f>IFERROR(__xludf.DUMMYFUNCTION("SPLIT(A18443,"" "")"),"Cc1cc(NCc2ccccn2)ccc1CNc1cccc2cccnc12")</f>
        <v>Cc1cc(NCc2ccccn2)ccc1CNc1cccc2cccnc12</v>
      </c>
      <c r="C18443" s="7">
        <f>IFERROR(__xludf.DUMMYFUNCTION("""COMPUTED_VALUE"""),7.726104)</f>
        <v>7.726104</v>
      </c>
      <c r="D18443" s="7">
        <f>IFERROR(__xludf.DUMMYFUNCTION("""COMPUTED_VALUE"""),0.360655737704918)</f>
        <v>0.3606557377</v>
      </c>
    </row>
    <row r="18444">
      <c r="A18444" s="10" t="s">
        <v>19883</v>
      </c>
      <c r="B18444" s="7" t="str">
        <f>IFERROR(__xludf.DUMMYFUNCTION("SPLIT(A18444,"" "")"),"CCNC1CCCCC1N(C)c1c(C)c2nc(C)c(C)c(C)c2c2nc(C)c(C)c(C)c12")</f>
        <v>CCNC1CCCCC1N(C)c1c(C)c2nc(C)c(C)c(C)c2c2nc(C)c(C)c(C)c12</v>
      </c>
      <c r="C18444" s="7">
        <f>IFERROR(__xludf.DUMMYFUNCTION("""COMPUTED_VALUE"""),7.726103)</f>
        <v>7.726103</v>
      </c>
      <c r="D18444" s="7">
        <f>IFERROR(__xludf.DUMMYFUNCTION("""COMPUTED_VALUE"""),0.258620689655172)</f>
        <v>0.2586206897</v>
      </c>
    </row>
    <row r="18445">
      <c r="A18445" s="10" t="s">
        <v>19884</v>
      </c>
      <c r="B18445" s="7" t="str">
        <f>IFERROR(__xludf.DUMMYFUNCTION("SPLIT(A18445,"" "")"),"Cc1cnc(CNCN(C)c2ccc3cccnc3c2)c(C)c1")</f>
        <v>Cc1cnc(CNCN(C)c2ccc3cccnc3c2)c(C)c1</v>
      </c>
      <c r="C18445" s="7">
        <f>IFERROR(__xludf.DUMMYFUNCTION("""COMPUTED_VALUE"""),7.7260838)</f>
        <v>7.7260838</v>
      </c>
      <c r="D18445" s="7">
        <f>IFERROR(__xludf.DUMMYFUNCTION("""COMPUTED_VALUE"""),0.285714285714285)</f>
        <v>0.2857142857</v>
      </c>
    </row>
    <row r="18446">
      <c r="A18446" s="10" t="s">
        <v>19885</v>
      </c>
      <c r="B18446" s="7" t="str">
        <f>IFERROR(__xludf.DUMMYFUNCTION("SPLIT(A18446,"" "")"),"CN(Cc1cccc([SiH3])n1)Cc1nc2ccccc2n1C")</f>
        <v>CN(Cc1cccc([SiH3])n1)Cc1nc2ccccc2n1C</v>
      </c>
      <c r="C18446" s="7">
        <f>IFERROR(__xludf.DUMMYFUNCTION("""COMPUTED_VALUE"""),7.726076)</f>
        <v>7.726076</v>
      </c>
      <c r="D18446" s="7">
        <f>IFERROR(__xludf.DUMMYFUNCTION("""COMPUTED_VALUE"""),0.458333333333333)</f>
        <v>0.4583333333</v>
      </c>
    </row>
    <row r="18447">
      <c r="A18447" s="10" t="s">
        <v>19886</v>
      </c>
      <c r="B18447" s="7" t="str">
        <f>IFERROR(__xludf.DUMMYFUNCTION("SPLIT(A18447,"" "")"),"Cc1ccccc1N(CCN(C)c1ccc2c(C)ccnc2c1)C(C)C")</f>
        <v>Cc1ccccc1N(CCN(C)c1ccc2c(C)ccnc2c1)C(C)C</v>
      </c>
      <c r="C18447" s="7">
        <f>IFERROR(__xludf.DUMMYFUNCTION("""COMPUTED_VALUE"""),7.726073)</f>
        <v>7.726073</v>
      </c>
      <c r="D18447" s="7">
        <f>IFERROR(__xludf.DUMMYFUNCTION("""COMPUTED_VALUE"""),0.29090909090909)</f>
        <v>0.2909090909</v>
      </c>
    </row>
    <row r="18448">
      <c r="A18448" s="10" t="s">
        <v>19887</v>
      </c>
      <c r="B18448" s="7" t="str">
        <f>IFERROR(__xludf.DUMMYFUNCTION("SPLIT(A18448,"" "")"),"CC(C)c1ncccc1CN(Cc1ccccn1)c1ccc2ncccc2c1")</f>
        <v>CC(C)c1ncccc1CN(Cc1ccccn1)c1ccc2ncccc2c1</v>
      </c>
      <c r="C18448" s="7">
        <f>IFERROR(__xludf.DUMMYFUNCTION("""COMPUTED_VALUE"""),7.7260675)</f>
        <v>7.7260675</v>
      </c>
      <c r="D18448" s="7">
        <f>IFERROR(__xludf.DUMMYFUNCTION("""COMPUTED_VALUE"""),0.4)</f>
        <v>0.4</v>
      </c>
    </row>
    <row r="18449">
      <c r="A18449" s="10" t="s">
        <v>19888</v>
      </c>
      <c r="B18449" s="7" t="str">
        <f>IFERROR(__xludf.DUMMYFUNCTION("SPLIT(A18449,"" "")"),"CNCc1cc(-c2ccc(C)c(N(C)Cc3cc(C)ccn3)c2)ccn1")</f>
        <v>CNCc1cc(-c2ccc(C)c(N(C)Cc3cc(C)ccn3)c2)ccn1</v>
      </c>
      <c r="C18449" s="7">
        <f>IFERROR(__xludf.DUMMYFUNCTION("""COMPUTED_VALUE"""),7.7260656)</f>
        <v>7.7260656</v>
      </c>
      <c r="D18449" s="7">
        <f>IFERROR(__xludf.DUMMYFUNCTION("""COMPUTED_VALUE"""),0.339622641509433)</f>
        <v>0.3396226415</v>
      </c>
    </row>
    <row r="18450">
      <c r="A18450" s="10" t="s">
        <v>19889</v>
      </c>
      <c r="B18450" s="7" t="str">
        <f>IFERROR(__xludf.DUMMYFUNCTION("SPLIT(A18450,"" "")"),"CNc1cc(-c2cccc(CN(Cc3ccccn3)C3CCC(N(C)c4ccc5nccc(CF)c5c4)CC3)n2)cc2cccnc12")</f>
        <v>CNc1cc(-c2cccc(CN(Cc3ccccn3)C3CCC(N(C)c4ccc5nccc(CF)c5c4)CC3)n2)cc2cccnc12</v>
      </c>
      <c r="C18450" s="7">
        <f>IFERROR(__xludf.DUMMYFUNCTION("""COMPUTED_VALUE"""),7.726064)</f>
        <v>7.726064</v>
      </c>
      <c r="D18450" s="7">
        <f>IFERROR(__xludf.DUMMYFUNCTION("""COMPUTED_VALUE"""),0.337662337662337)</f>
        <v>0.3376623377</v>
      </c>
    </row>
    <row r="18451">
      <c r="A18451" s="10" t="s">
        <v>19890</v>
      </c>
      <c r="B18451" s="7" t="str">
        <f>IFERROR(__xludf.DUMMYFUNCTION("SPLIT(A18451,"" "")"),"CC(C)N(Cc1cccnc1)c1ccc2c(CF)ccnc2c1")</f>
        <v>CC(C)N(Cc1cccnc1)c1ccc2c(CF)ccnc2c1</v>
      </c>
      <c r="C18451" s="7">
        <f>IFERROR(__xludf.DUMMYFUNCTION("""COMPUTED_VALUE"""),7.726062)</f>
        <v>7.726062</v>
      </c>
      <c r="D18451" s="7">
        <f>IFERROR(__xludf.DUMMYFUNCTION("""COMPUTED_VALUE"""),0.241379310344827)</f>
        <v>0.2413793103</v>
      </c>
    </row>
    <row r="18452">
      <c r="A18452" s="10" t="s">
        <v>19891</v>
      </c>
      <c r="B18452" s="7" t="str">
        <f>IFERROR(__xludf.DUMMYFUNCTION("SPLIT(A18452,"" "")"),"CC(C)N(Cc1ccc2ccc3cccnc3c2n1)C1CCC(N(C)c2ccc3cc4c(nc3c2)CCC4)CC1")</f>
        <v>CC(C)N(Cc1ccc2ccc3cccnc3c2n1)C1CCC(N(C)c2ccc3cc4c(nc3c2)CCC4)CC1</v>
      </c>
      <c r="C18452" s="7">
        <f>IFERROR(__xludf.DUMMYFUNCTION("""COMPUTED_VALUE"""),7.72605)</f>
        <v>7.72605</v>
      </c>
      <c r="D18452" s="7">
        <f>IFERROR(__xludf.DUMMYFUNCTION("""COMPUTED_VALUE"""),0.366197183098591)</f>
        <v>0.3661971831</v>
      </c>
    </row>
    <row r="18453">
      <c r="A18453" s="10" t="s">
        <v>19892</v>
      </c>
      <c r="B18453" s="7" t="str">
        <f>IFERROR(__xludf.DUMMYFUNCTION("SPLIT(A18453,"" "")"),"Cc1cc(C)c2cccc(N(C)C3CCCCC3N(C)c3ccc4nc(CN(C)C)ccc4c3)c2n1")</f>
        <v>Cc1cc(C)c2cccc(N(C)C3CCCCC3N(C)c3ccc4nc(CN(C)C)ccc4c3)c2n1</v>
      </c>
      <c r="C18453" s="7">
        <f>IFERROR(__xludf.DUMMYFUNCTION("""COMPUTED_VALUE"""),7.7260423)</f>
        <v>7.7260423</v>
      </c>
      <c r="D18453" s="7">
        <f>IFERROR(__xludf.DUMMYFUNCTION("""COMPUTED_VALUE"""),0.451612903225806)</f>
        <v>0.4516129032</v>
      </c>
    </row>
    <row r="18454">
      <c r="A18454" s="10" t="s">
        <v>19893</v>
      </c>
      <c r="B18454" s="7" t="str">
        <f>IFERROR(__xludf.DUMMYFUNCTION("SPLIT(A18454,"" "")"),"Cc1cc(CN(C)CC2=CC(N(C)c3ccc4nccc(C)c4c3)C=CN2)cnc1C")</f>
        <v>Cc1cc(CN(C)CC2=CC(N(C)c3ccc4nccc(C)c4c3)C=CN2)cnc1C</v>
      </c>
      <c r="C18454" s="7">
        <f>IFERROR(__xludf.DUMMYFUNCTION("""COMPUTED_VALUE"""),7.726033)</f>
        <v>7.726033</v>
      </c>
      <c r="D18454" s="7">
        <f>IFERROR(__xludf.DUMMYFUNCTION("""COMPUTED_VALUE"""),0.289855072463768)</f>
        <v>0.2898550725</v>
      </c>
    </row>
    <row r="18455">
      <c r="A18455" s="10" t="s">
        <v>19894</v>
      </c>
      <c r="B18455" s="7" t="str">
        <f>IFERROR(__xludf.DUMMYFUNCTION("SPLIT(A18455,"" "")"),"CCN(C)Cc1ccc2cccc(N(C)Cc3nc(C)c(C)c(C)c3C)c2n1")</f>
        <v>CCN(C)Cc1ccc2cccc(N(C)Cc3nc(C)c(C)c(C)c3C)c2n1</v>
      </c>
      <c r="C18455" s="7">
        <f>IFERROR(__xludf.DUMMYFUNCTION("""COMPUTED_VALUE"""),7.7260313)</f>
        <v>7.7260313</v>
      </c>
      <c r="D18455" s="7">
        <f>IFERROR(__xludf.DUMMYFUNCTION("""COMPUTED_VALUE"""),0.379310344827586)</f>
        <v>0.3793103448</v>
      </c>
    </row>
    <row r="18456">
      <c r="A18456" s="10" t="s">
        <v>19895</v>
      </c>
      <c r="B18456" s="7" t="str">
        <f>IFERROR(__xludf.DUMMYFUNCTION("SPLIT(A18456,"" "")"),"Cc1ccc(-c2ccc(CN(C)Cc3ccccn3)cc2)nc1CN(Cc1ccccn1)c1ccc2ncccc2c1")</f>
        <v>Cc1ccc(-c2ccc(CN(C)Cc3ccccn3)cc2)nc1CN(Cc1ccccn1)c1ccc2ncccc2c1</v>
      </c>
      <c r="C18456" s="7">
        <f>IFERROR(__xludf.DUMMYFUNCTION("""COMPUTED_VALUE"""),7.726022)</f>
        <v>7.726022</v>
      </c>
      <c r="D18456" s="7">
        <f>IFERROR(__xludf.DUMMYFUNCTION("""COMPUTED_VALUE"""),0.393442622950819)</f>
        <v>0.393442623</v>
      </c>
    </row>
    <row r="18457">
      <c r="A18457" s="10" t="s">
        <v>19896</v>
      </c>
      <c r="B18457" s="7" t="str">
        <f>IFERROR(__xludf.DUMMYFUNCTION("SPLIT(A18457,"" "")"),"Cc1cncc(CN(C)CC2=C(N(C)c3ccc4ncccc4c3)CC=CN2)c1C")</f>
        <v>Cc1cncc(CN(C)CC2=C(N(C)c3ccc4ncccc4c3)CC=CN2)c1C</v>
      </c>
      <c r="C18457" s="7">
        <f>IFERROR(__xludf.DUMMYFUNCTION("""COMPUTED_VALUE"""),7.726018)</f>
        <v>7.726018</v>
      </c>
      <c r="D18457" s="7">
        <f>IFERROR(__xludf.DUMMYFUNCTION("""COMPUTED_VALUE"""),0.303030303030303)</f>
        <v>0.303030303</v>
      </c>
    </row>
    <row r="18458">
      <c r="A18458" s="10" t="s">
        <v>19897</v>
      </c>
      <c r="B18458" s="7" t="str">
        <f>IFERROR(__xludf.DUMMYFUNCTION("SPLIT(A18458,"" "")"),"CC(C)N(C)Cc1cc(N(C)c2ccc3ncccc3c2)ccn1")</f>
        <v>CC(C)N(C)Cc1cc(N(C)c2ccc3ncccc3c2)ccn1</v>
      </c>
      <c r="C18458" s="7">
        <f>IFERROR(__xludf.DUMMYFUNCTION("""COMPUTED_VALUE"""),7.7260175)</f>
        <v>7.7260175</v>
      </c>
      <c r="D18458" s="7">
        <f>IFERROR(__xludf.DUMMYFUNCTION("""COMPUTED_VALUE"""),0.34)</f>
        <v>0.34</v>
      </c>
    </row>
    <row r="18459">
      <c r="A18459" s="10" t="s">
        <v>19898</v>
      </c>
      <c r="B18459" s="7" t="str">
        <f>IFERROR(__xludf.DUMMYFUNCTION("SPLIT(A18459,"" "")"),"CC(C)C(C)N(Cc1ccccn1)c1ccc2nc(CN(Cc3ccccn3)c3ccc4nc(CF)ccc4c3)ccc2c1")</f>
        <v>CC(C)C(C)N(Cc1ccccn1)c1ccc2nc(CN(Cc3ccccn3)c3ccc4nc(CF)ccc4c3)ccc2c1</v>
      </c>
      <c r="C18459" s="7">
        <f>IFERROR(__xludf.DUMMYFUNCTION("""COMPUTED_VALUE"""),7.7260103)</f>
        <v>7.7260103</v>
      </c>
      <c r="D18459" s="7">
        <f>IFERROR(__xludf.DUMMYFUNCTION("""COMPUTED_VALUE"""),0.444444444444444)</f>
        <v>0.4444444444</v>
      </c>
    </row>
    <row r="18460">
      <c r="A18460" s="10" t="s">
        <v>19899</v>
      </c>
      <c r="B18460" s="7" t="str">
        <f>IFERROR(__xludf.DUMMYFUNCTION("SPLIT(A18460,"" "")"),"CC(C)c1cc(CN(Cc2ccccn2)c2ccc3ncccc3c2)ccn1")</f>
        <v>CC(C)c1cc(CN(Cc2ccccn2)c2ccc3ncccc3c2)ccn1</v>
      </c>
      <c r="C18460" s="7">
        <f>IFERROR(__xludf.DUMMYFUNCTION("""COMPUTED_VALUE"""),7.7260017)</f>
        <v>7.7260017</v>
      </c>
      <c r="D18460" s="7">
        <f>IFERROR(__xludf.DUMMYFUNCTION("""COMPUTED_VALUE"""),0.377358490566037)</f>
        <v>0.3773584906</v>
      </c>
    </row>
    <row r="18461">
      <c r="A18461" s="10" t="s">
        <v>19900</v>
      </c>
      <c r="B18461" s="7" t="str">
        <f>IFERROR(__xludf.DUMMYFUNCTION("SPLIT(A18461,"" "")"),"CN(CCN(C)c1ccc2ccc(C3=CCC=CN3)nc2c1)Cc1ccccn1")</f>
        <v>CN(CCN(C)c1ccc2ccc(C3=CCC=CN3)nc2c1)Cc1ccccn1</v>
      </c>
      <c r="C18461" s="7">
        <f>IFERROR(__xludf.DUMMYFUNCTION("""COMPUTED_VALUE"""),7.7259994)</f>
        <v>7.7259994</v>
      </c>
      <c r="D18461" s="7">
        <f>IFERROR(__xludf.DUMMYFUNCTION("""COMPUTED_VALUE"""),0.428571428571428)</f>
        <v>0.4285714286</v>
      </c>
    </row>
    <row r="18462">
      <c r="A18462" s="10" t="s">
        <v>19901</v>
      </c>
      <c r="B18462" s="7" t="str">
        <f>IFERROR(__xludf.DUMMYFUNCTION("SPLIT(A18462,"" "")"),"Cc1cc(N)cc(-c2cc(CN(C)Cc3cc(N(C)C)ccn3)ccn2)c1")</f>
        <v>Cc1cc(N)cc(-c2cc(CN(C)Cc3cc(N(C)C)ccn3)ccn2)c1</v>
      </c>
      <c r="C18462" s="7">
        <f>IFERROR(__xludf.DUMMYFUNCTION("""COMPUTED_VALUE"""),7.725985)</f>
        <v>7.725985</v>
      </c>
      <c r="D18462" s="7">
        <f>IFERROR(__xludf.DUMMYFUNCTION("""COMPUTED_VALUE"""),0.310344827586206)</f>
        <v>0.3103448276</v>
      </c>
    </row>
    <row r="18463">
      <c r="A18463" s="10" t="s">
        <v>19902</v>
      </c>
      <c r="B18463" s="7" t="str">
        <f>IFERROR(__xludf.DUMMYFUNCTION("SPLIT(A18463,"" "")"),"CNCc1cccc(CN(C)C2=C(CN(C)c3ccc4ncccc4c3)NC=CC2)n1")</f>
        <v>CNCc1cccc(CN(C)C2=C(CN(C)c3ccc4ncccc4c3)NC=CC2)n1</v>
      </c>
      <c r="C18463" s="7">
        <f>IFERROR(__xludf.DUMMYFUNCTION("""COMPUTED_VALUE"""),7.725983)</f>
        <v>7.725983</v>
      </c>
      <c r="D18463" s="7">
        <f>IFERROR(__xludf.DUMMYFUNCTION("""COMPUTED_VALUE"""),0.26865671641791)</f>
        <v>0.2686567164</v>
      </c>
    </row>
    <row r="18464">
      <c r="A18464" s="10" t="s">
        <v>19903</v>
      </c>
      <c r="B18464" s="7" t="str">
        <f>IFERROR(__xludf.DUMMYFUNCTION("SPLIT(A18464,"" "")"),"CN(Cc1ncccc1-c1ccc2ncccc2c1)C1CCCC(N(C)c2ccc3nccc(CF)c3c2)C1")</f>
        <v>CN(Cc1ncccc1-c1ccc2ncccc2c1)C1CCCC(N(C)c2ccc3nccc(CF)c3c2)C1</v>
      </c>
      <c r="C18464" s="7">
        <f>IFERROR(__xludf.DUMMYFUNCTION("""COMPUTED_VALUE"""),7.725981)</f>
        <v>7.725981</v>
      </c>
      <c r="D18464" s="7">
        <f>IFERROR(__xludf.DUMMYFUNCTION("""COMPUTED_VALUE"""),0.256756756756756)</f>
        <v>0.2567567568</v>
      </c>
    </row>
    <row r="18465">
      <c r="A18465" s="10" t="s">
        <v>19904</v>
      </c>
      <c r="B18465" s="7" t="str">
        <f>IFERROR(__xludf.DUMMYFUNCTION("SPLIT(A18465,"" "")"),"Cc1cccc(CN(C)CC2=C(N(C)c3ccc4cccnc4c3)CC=CN2)n1")</f>
        <v>Cc1cccc(CN(C)CC2=C(N(C)c3ccc4cccnc4c3)CC=CN2)n1</v>
      </c>
      <c r="C18465" s="7">
        <f>IFERROR(__xludf.DUMMYFUNCTION("""COMPUTED_VALUE"""),7.725952)</f>
        <v>7.725952</v>
      </c>
      <c r="D18465" s="7">
        <f>IFERROR(__xludf.DUMMYFUNCTION("""COMPUTED_VALUE"""),0.379310344827586)</f>
        <v>0.3793103448</v>
      </c>
    </row>
    <row r="18466">
      <c r="A18466" s="10" t="s">
        <v>19905</v>
      </c>
      <c r="B18466" s="7" t="str">
        <f>IFERROR(__xludf.DUMMYFUNCTION("SPLIT(A18466,"" "")"),"CNCCN(C)c1cccc2nc(C)ccc12")</f>
        <v>CNCCN(C)c1cccc2nc(C)ccc12</v>
      </c>
      <c r="C18466" s="7">
        <f>IFERROR(__xludf.DUMMYFUNCTION("""COMPUTED_VALUE"""),7.7259088)</f>
        <v>7.7259088</v>
      </c>
      <c r="D18466" s="7">
        <f>IFERROR(__xludf.DUMMYFUNCTION("""COMPUTED_VALUE"""),0.377777777777777)</f>
        <v>0.3777777778</v>
      </c>
    </row>
    <row r="18467">
      <c r="A18467" s="10" t="s">
        <v>19906</v>
      </c>
      <c r="B18467" s="7" t="str">
        <f>IFERROR(__xludf.DUMMYFUNCTION("SPLIT(A18467,"" "")"),"CN(c1cccc2c3c(cnc12)CCC3)C1CCCC(N(C)c2cccc3c4c(cnc23)CCC4)C1")</f>
        <v>CN(c1cccc2c3c(cnc12)CCC3)C1CCCC(N(C)c2cccc3c4c(cnc23)CCC4)C1</v>
      </c>
      <c r="C18467" s="7">
        <f>IFERROR(__xludf.DUMMYFUNCTION("""COMPUTED_VALUE"""),7.725908)</f>
        <v>7.725908</v>
      </c>
      <c r="D18467" s="7">
        <f>IFERROR(__xludf.DUMMYFUNCTION("""COMPUTED_VALUE"""),0.392857142857142)</f>
        <v>0.3928571429</v>
      </c>
    </row>
    <row r="18468">
      <c r="A18468" s="10" t="s">
        <v>19907</v>
      </c>
      <c r="B18468" s="7" t="str">
        <f>IFERROR(__xludf.DUMMYFUNCTION("SPLIT(A18468,"" "")"),"Cc1nc(CN(Cc2ccnc(-c3cc(Cl)c(Cl)c(N(C)Cc4ccccn4)c3)c2)Cc2ccccn2)c(C)c(C)c1C")</f>
        <v>Cc1nc(CN(Cc2ccnc(-c3cc(Cl)c(Cl)c(N(C)Cc4ccccn4)c3)c2)Cc2ccccn2)c(C)c(C)c1C</v>
      </c>
      <c r="C18468" s="7">
        <f>IFERROR(__xludf.DUMMYFUNCTION("""COMPUTED_VALUE"""),7.725906)</f>
        <v>7.725906</v>
      </c>
      <c r="D18468" s="7">
        <f>IFERROR(__xludf.DUMMYFUNCTION("""COMPUTED_VALUE"""),0.442622950819672)</f>
        <v>0.4426229508</v>
      </c>
    </row>
    <row r="18469">
      <c r="A18469" s="10" t="s">
        <v>19908</v>
      </c>
      <c r="B18469" s="7" t="str">
        <f>IFERROR(__xludf.DUMMYFUNCTION("SPLIT(A18469,"" "")"),"CN(C)Cc1ncccc1-c1cc(Cl)ccc1N")</f>
        <v>CN(C)Cc1ncccc1-c1cc(Cl)ccc1N</v>
      </c>
      <c r="C18469" s="7">
        <f>IFERROR(__xludf.DUMMYFUNCTION("""COMPUTED_VALUE"""),7.725902)</f>
        <v>7.725902</v>
      </c>
      <c r="D18469" s="7">
        <f>IFERROR(__xludf.DUMMYFUNCTION("""COMPUTED_VALUE"""),0.326530612244897)</f>
        <v>0.3265306122</v>
      </c>
    </row>
    <row r="18470">
      <c r="A18470" s="10" t="s">
        <v>19909</v>
      </c>
      <c r="B18470" s="7" t="str">
        <f>IFERROR(__xludf.DUMMYFUNCTION("SPLIT(A18470,"" "")"),"Cc1ccc(CN(Cc2ccccn2)c2ccc(-c3cc(CN(Cc4ccccn4)Cc4ccc(-c5cccc(N(C)C)c5)cn4)ccn3)c(C(C)C)c2)nc1C")</f>
        <v>Cc1ccc(CN(Cc2ccccn2)c2ccc(-c3cc(CN(Cc4ccccn4)Cc4ccc(-c5cccc(N(C)C)c5)cn4)ccn3)c(C(C)C)c2)nc1C</v>
      </c>
      <c r="C18470" s="7">
        <f>IFERROR(__xludf.DUMMYFUNCTION("""COMPUTED_VALUE"""),7.725902)</f>
        <v>7.725902</v>
      </c>
      <c r="D18470" s="7">
        <f>IFERROR(__xludf.DUMMYFUNCTION("""COMPUTED_VALUE"""),0.342105263157894)</f>
        <v>0.3421052632</v>
      </c>
    </row>
    <row r="18471">
      <c r="A18471" s="10" t="s">
        <v>19910</v>
      </c>
      <c r="B18471" s="7" t="str">
        <f>IFERROR(__xludf.DUMMYFUNCTION("SPLIT(A18471,"" "")"),"CCN(Cc1ccccn1)Cc1cccc(N(C)c2ccc3nccc(C)c3c2)n1")</f>
        <v>CCN(Cc1ccccn1)Cc1cccc(N(C)c2ccc3nccc(C)c3c2)n1</v>
      </c>
      <c r="C18471" s="7">
        <f>IFERROR(__xludf.DUMMYFUNCTION("""COMPUTED_VALUE"""),7.7259016)</f>
        <v>7.7259016</v>
      </c>
      <c r="D18471" s="7">
        <f>IFERROR(__xludf.DUMMYFUNCTION("""COMPUTED_VALUE"""),0.379310344827586)</f>
        <v>0.3793103448</v>
      </c>
    </row>
    <row r="18472">
      <c r="A18472" s="10" t="s">
        <v>19911</v>
      </c>
      <c r="B18472" s="7" t="str">
        <f>IFERROR(__xludf.DUMMYFUNCTION("SPLIT(A18472,"" "")"),"Cc1cnc(C)c(CN(C)CC2=C(N(C)c3ccc4cccnc4c3)CC=CN2)c1")</f>
        <v>Cc1cnc(C)c(CN(C)CC2=C(N(C)c3ccc4cccnc4c3)CC=CN2)c1</v>
      </c>
      <c r="C18472" s="7">
        <f>IFERROR(__xludf.DUMMYFUNCTION("""COMPUTED_VALUE"""),7.725901)</f>
        <v>7.725901</v>
      </c>
      <c r="D18472" s="7">
        <f>IFERROR(__xludf.DUMMYFUNCTION("""COMPUTED_VALUE"""),0.283582089552238)</f>
        <v>0.2835820896</v>
      </c>
    </row>
    <row r="18473">
      <c r="A18473" s="10" t="s">
        <v>19912</v>
      </c>
      <c r="B18473" s="7" t="str">
        <f>IFERROR(__xludf.DUMMYFUNCTION("SPLIT(A18473,"" "")"),"Cc1cncc(CN(C)C2=CNC=CC2CN(C)c2ccc3cccnc3c2)c1")</f>
        <v>Cc1cncc(CN(C)C2=CNC=CC2CN(C)c2ccc3cccnc3c2)c1</v>
      </c>
      <c r="C18473" s="7">
        <f>IFERROR(__xludf.DUMMYFUNCTION("""COMPUTED_VALUE"""),7.7258983)</f>
        <v>7.7258983</v>
      </c>
      <c r="D18473" s="7">
        <f>IFERROR(__xludf.DUMMYFUNCTION("""COMPUTED_VALUE"""),0.246376811594202)</f>
        <v>0.2463768116</v>
      </c>
    </row>
    <row r="18474">
      <c r="A18474" s="10" t="s">
        <v>19913</v>
      </c>
      <c r="B18474" s="7" t="str">
        <f>IFERROR(__xludf.DUMMYFUNCTION("SPLIT(A18474,"" "")"),"Cc1cccnc1CN(C)c1cc2cccnc2cc1-c1cccnc1CN(C)C(C)C(C)C")</f>
        <v>Cc1cccnc1CN(C)c1cc2cccnc2cc1-c1cccnc1CN(C)C(C)C(C)C</v>
      </c>
      <c r="C18474" s="7">
        <f>IFERROR(__xludf.DUMMYFUNCTION("""COMPUTED_VALUE"""),7.7258964)</f>
        <v>7.7258964</v>
      </c>
      <c r="D18474" s="7">
        <f>IFERROR(__xludf.DUMMYFUNCTION("""COMPUTED_VALUE"""),0.288135593220339)</f>
        <v>0.2881355932</v>
      </c>
    </row>
    <row r="18475">
      <c r="A18475" s="10" t="s">
        <v>19914</v>
      </c>
      <c r="B18475" s="7" t="str">
        <f>IFERROR(__xludf.DUMMYFUNCTION("SPLIT(A18475,"" "")"),"Cc1cc(N(C)c2ccc3cccnc3c2)ccc1CN(C)Cc1ccccn1")</f>
        <v>Cc1cc(N(C)c2ccc3cccnc3c2)ccc1CN(C)Cc1ccccn1</v>
      </c>
      <c r="C18475" s="7">
        <f>IFERROR(__xludf.DUMMYFUNCTION("""COMPUTED_VALUE"""),7.7258945)</f>
        <v>7.7258945</v>
      </c>
      <c r="D18475" s="7">
        <f>IFERROR(__xludf.DUMMYFUNCTION("""COMPUTED_VALUE"""),0.442307692307692)</f>
        <v>0.4423076923</v>
      </c>
    </row>
    <row r="18476">
      <c r="A18476" s="10" t="s">
        <v>19915</v>
      </c>
      <c r="B18476" s="7" t="str">
        <f>IFERROR(__xludf.DUMMYFUNCTION("SPLIT(A18476,"" "")"),"c1ccc(CN(Cc2ccncc2)c2ccc3ncccc3c2)nc1")</f>
        <v>c1ccc(CN(Cc2ccncc2)c2ccc3ncccc3c2)nc1</v>
      </c>
      <c r="C18476" s="7">
        <f>IFERROR(__xludf.DUMMYFUNCTION("""COMPUTED_VALUE"""),7.725892)</f>
        <v>7.725892</v>
      </c>
      <c r="D18476" s="7">
        <f>IFERROR(__xludf.DUMMYFUNCTION("""COMPUTED_VALUE"""),0.408163265306122)</f>
        <v>0.4081632653</v>
      </c>
    </row>
    <row r="18477">
      <c r="A18477" s="10" t="s">
        <v>19916</v>
      </c>
      <c r="B18477" s="7" t="str">
        <f>IFERROR(__xludf.DUMMYFUNCTION("SPLIT(A18477,"" "")"),"Cc1cnccc1CN(C)c1ccc2nccc(CN(C)Cc3ccccn3)c2c1")</f>
        <v>Cc1cnccc1CN(C)c1ccc2nccc(CN(C)Cc3ccccn3)c2c1</v>
      </c>
      <c r="C18477" s="7">
        <f>IFERROR(__xludf.DUMMYFUNCTION("""COMPUTED_VALUE"""),7.7258883)</f>
        <v>7.7258883</v>
      </c>
      <c r="D18477" s="7">
        <f>IFERROR(__xludf.DUMMYFUNCTION("""COMPUTED_VALUE"""),0.372881355932203)</f>
        <v>0.3728813559</v>
      </c>
    </row>
    <row r="18478">
      <c r="A18478" s="10" t="s">
        <v>19917</v>
      </c>
      <c r="B18478" s="7" t="str">
        <f>IFERROR(__xludf.DUMMYFUNCTION("SPLIT(A18478,"" "")"),"CN(CCN(C)c1ccccc1F)c1ccc2cccnc2c1")</f>
        <v>CN(CCN(C)c1ccccc1F)c1ccc2cccnc2c1</v>
      </c>
      <c r="C18478" s="7">
        <f>IFERROR(__xludf.DUMMYFUNCTION("""COMPUTED_VALUE"""),7.725877)</f>
        <v>7.725877</v>
      </c>
      <c r="D18478" s="7">
        <f>IFERROR(__xludf.DUMMYFUNCTION("""COMPUTED_VALUE"""),0.466666666666666)</f>
        <v>0.4666666667</v>
      </c>
    </row>
    <row r="18479">
      <c r="A18479" s="10" t="s">
        <v>19918</v>
      </c>
      <c r="B18479" s="7" t="str">
        <f>IFERROR(__xludf.DUMMYFUNCTION("SPLIT(A18479,"" "")"),"Cc1cccnc1CN(Cc1ccc(-c2cc3ncccc3cc2N(C)C)cn1)C1CCCCC1N(C)c1ccc2nc(CF)ccc2c1")</f>
        <v>Cc1cccnc1CN(Cc1ccc(-c2cc3ncccc3cc2N(C)C)cn1)C1CCCCC1N(C)c1ccc2nc(CF)ccc2c1</v>
      </c>
      <c r="C18479" s="7">
        <f>IFERROR(__xludf.DUMMYFUNCTION("""COMPUTED_VALUE"""),7.725876)</f>
        <v>7.725876</v>
      </c>
      <c r="D18479" s="7">
        <f>IFERROR(__xludf.DUMMYFUNCTION("""COMPUTED_VALUE"""),0.379746835443038)</f>
        <v>0.3797468354</v>
      </c>
    </row>
    <row r="18480">
      <c r="A18480" s="10" t="s">
        <v>19919</v>
      </c>
      <c r="B18480" s="7" t="str">
        <f>IFERROR(__xludf.DUMMYFUNCTION("SPLIT(A18480,"" "")"),"CC(C)N(Cc1ccccn1)C1=CNC(CN(C)c2ccc3cccnc3c2)=CC1")</f>
        <v>CC(C)N(Cc1ccccn1)C1=CNC(CN(C)c2ccc3cccnc3c2)=CC1</v>
      </c>
      <c r="C18480" s="7">
        <f>IFERROR(__xludf.DUMMYFUNCTION("""COMPUTED_VALUE"""),7.7258744)</f>
        <v>7.7258744</v>
      </c>
      <c r="D18480" s="7">
        <f>IFERROR(__xludf.DUMMYFUNCTION("""COMPUTED_VALUE"""),0.377049180327868)</f>
        <v>0.3770491803</v>
      </c>
    </row>
    <row r="18481">
      <c r="A18481" s="10" t="s">
        <v>19920</v>
      </c>
      <c r="B18481" s="7" t="str">
        <f>IFERROR(__xludf.DUMMYFUNCTION("SPLIT(A18481,"" "")"),"CC(C)N(C)Cc1cc(N(C)c2ccc3cccnc3c2)ccn1")</f>
        <v>CC(C)N(C)Cc1cc(N(C)c2ccc3cccnc3c2)ccn1</v>
      </c>
      <c r="C18481" s="7">
        <f>IFERROR(__xludf.DUMMYFUNCTION("""COMPUTED_VALUE"""),7.7258735)</f>
        <v>7.7258735</v>
      </c>
      <c r="D18481" s="7">
        <f>IFERROR(__xludf.DUMMYFUNCTION("""COMPUTED_VALUE"""),0.365384615384615)</f>
        <v>0.3653846154</v>
      </c>
    </row>
    <row r="18482">
      <c r="A18482" s="10" t="s">
        <v>19921</v>
      </c>
      <c r="B18482" s="7" t="str">
        <f>IFERROR(__xludf.DUMMYFUNCTION("SPLIT(A18482,"" "")"),"CCN(Cc1ccccn1)c1ccc2ncccc2c1-c1cc(CN(Cc2ccccn2)Cc2ncccc2N)ccn1")</f>
        <v>CCN(Cc1ccccn1)c1ccc2ncccc2c1-c1cc(CN(Cc2ccccn2)Cc2ncccc2N)ccn1</v>
      </c>
      <c r="C18482" s="7">
        <f>IFERROR(__xludf.DUMMYFUNCTION("""COMPUTED_VALUE"""),7.7258577)</f>
        <v>7.7258577</v>
      </c>
      <c r="D18482" s="7">
        <f>IFERROR(__xludf.DUMMYFUNCTION("""COMPUTED_VALUE"""),0.338983050847457)</f>
        <v>0.3389830508</v>
      </c>
    </row>
    <row r="18483">
      <c r="A18483" s="10" t="s">
        <v>19922</v>
      </c>
      <c r="B18483" s="7" t="str">
        <f>IFERROR(__xludf.DUMMYFUNCTION("SPLIT(A18483,"" "")"),"Cc1cncc(CN(C)c2ccc3nccc(CN(C)Cc4ncccc4C)c3c2)c1")</f>
        <v>Cc1cncc(CN(C)c2ccc3nccc(CN(C)Cc4ncccc4C)c3c2)c1</v>
      </c>
      <c r="C18483" s="7">
        <f>IFERROR(__xludf.DUMMYFUNCTION("""COMPUTED_VALUE"""),7.7258563)</f>
        <v>7.7258563</v>
      </c>
      <c r="D18483" s="7">
        <f>IFERROR(__xludf.DUMMYFUNCTION("""COMPUTED_VALUE"""),0.261538461538461)</f>
        <v>0.2615384615</v>
      </c>
    </row>
    <row r="18484">
      <c r="A18484" s="10" t="s">
        <v>19923</v>
      </c>
      <c r="B18484" s="7" t="str">
        <f>IFERROR(__xludf.DUMMYFUNCTION("SPLIT(A18484,"" "")"),"CCN(Cc1cccnn1)c1ccc2ncccc2c1")</f>
        <v>CCN(Cc1cccnn1)c1ccc2ncccc2c1</v>
      </c>
      <c r="C18484" s="7">
        <f>IFERROR(__xludf.DUMMYFUNCTION("""COMPUTED_VALUE"""),7.725845)</f>
        <v>7.725845</v>
      </c>
      <c r="D18484" s="7">
        <f>IFERROR(__xludf.DUMMYFUNCTION("""COMPUTED_VALUE"""),0.465116279069767)</f>
        <v>0.4651162791</v>
      </c>
    </row>
    <row r="18485">
      <c r="A18485" s="10" t="s">
        <v>19924</v>
      </c>
      <c r="B18485" s="7" t="str">
        <f>IFERROR(__xludf.DUMMYFUNCTION("SPLIT(A18485,"" "")"),"Cc1cc(NCc2ccccn2)cc(-c2ncccc2C)c1")</f>
        <v>Cc1cc(NCc2ccccn2)cc(-c2ncccc2C)c1</v>
      </c>
      <c r="C18485" s="7">
        <f>IFERROR(__xludf.DUMMYFUNCTION("""COMPUTED_VALUE"""),7.7258406)</f>
        <v>7.7258406</v>
      </c>
      <c r="D18485" s="7">
        <f>IFERROR(__xludf.DUMMYFUNCTION("""COMPUTED_VALUE"""),0.386363636363636)</f>
        <v>0.3863636364</v>
      </c>
    </row>
    <row r="18486">
      <c r="A18486" s="10" t="s">
        <v>19925</v>
      </c>
      <c r="B18486" s="7" t="str">
        <f>IFERROR(__xludf.DUMMYFUNCTION("SPLIT(A18486,"" "")"),"CN(C)Cc1ccc(-c2cc(Cl)ccc2N)cn1")</f>
        <v>CN(C)Cc1ccc(-c2cc(Cl)ccc2N)cn1</v>
      </c>
      <c r="C18486" s="7">
        <f>IFERROR(__xludf.DUMMYFUNCTION("""COMPUTED_VALUE"""),7.725818)</f>
        <v>7.725818</v>
      </c>
      <c r="D18486" s="7">
        <f>IFERROR(__xludf.DUMMYFUNCTION("""COMPUTED_VALUE"""),0.326086956521739)</f>
        <v>0.3260869565</v>
      </c>
    </row>
    <row r="18487">
      <c r="A18487" s="10" t="s">
        <v>19926</v>
      </c>
      <c r="B18487" s="7" t="str">
        <f>IFERROR(__xludf.DUMMYFUNCTION("SPLIT(A18487,"" "")"),"CN(c1ccccc1-c1ccccn1)C1C=CC=CN1")</f>
        <v>CN(c1ccccc1-c1ccccn1)C1C=CC=CN1</v>
      </c>
      <c r="C18487" s="7">
        <f>IFERROR(__xludf.DUMMYFUNCTION("""COMPUTED_VALUE"""),7.725807)</f>
        <v>7.725807</v>
      </c>
      <c r="D18487" s="7">
        <f>IFERROR(__xludf.DUMMYFUNCTION("""COMPUTED_VALUE"""),0.377358490566037)</f>
        <v>0.3773584906</v>
      </c>
    </row>
    <row r="18488">
      <c r="A18488" s="10" t="s">
        <v>19927</v>
      </c>
      <c r="B18488" s="7" t="str">
        <f>IFERROR(__xludf.DUMMYFUNCTION("SPLIT(A18488,"" "")"),"CC(C)N(CC1=CCC(N(C)Cc2ccccn2)=CN1)c1cccc2cccnc12")</f>
        <v>CC(C)N(CC1=CCC(N(C)Cc2ccccn2)=CN1)c1cccc2cccnc12</v>
      </c>
      <c r="C18488" s="7">
        <f>IFERROR(__xludf.DUMMYFUNCTION("""COMPUTED_VALUE"""),7.7258034)</f>
        <v>7.7258034</v>
      </c>
      <c r="D18488" s="7">
        <f>IFERROR(__xludf.DUMMYFUNCTION("""COMPUTED_VALUE"""),0.410714285714285)</f>
        <v>0.4107142857</v>
      </c>
    </row>
    <row r="18489">
      <c r="A18489" s="10" t="s">
        <v>19928</v>
      </c>
      <c r="B18489" s="7" t="str">
        <f>IFERROR(__xludf.DUMMYFUNCTION("SPLIT(A18489,"" "")"),"C=Nc1cccc(-c2cccc(CN(C)Cc3cccc(-c4ccccc4C)n3)n2)c1")</f>
        <v>C=Nc1cccc(-c2cccc(CN(C)Cc3cccc(-c4ccccc4C)n3)n2)c1</v>
      </c>
      <c r="C18489" s="7">
        <f>IFERROR(__xludf.DUMMYFUNCTION("""COMPUTED_VALUE"""),7.7257934)</f>
        <v>7.7257934</v>
      </c>
      <c r="D18489" s="7">
        <f>IFERROR(__xludf.DUMMYFUNCTION("""COMPUTED_VALUE"""),0.415094339622641)</f>
        <v>0.4150943396</v>
      </c>
    </row>
    <row r="18490">
      <c r="A18490" s="10" t="s">
        <v>19929</v>
      </c>
      <c r="B18490" s="7" t="str">
        <f>IFERROR(__xludf.DUMMYFUNCTION("SPLIT(A18490,"" "")"),"CC(C)Nc1cccc(CN(Cc2ccccn2)c2ccc3ncccc3c2)n1")</f>
        <v>CC(C)Nc1cccc(CN(Cc2ccccn2)c2ccc3ncccc3c2)n1</v>
      </c>
      <c r="C18490" s="7">
        <f>IFERROR(__xludf.DUMMYFUNCTION("""COMPUTED_VALUE"""),7.7257934)</f>
        <v>7.7257934</v>
      </c>
      <c r="D18490" s="7">
        <f>IFERROR(__xludf.DUMMYFUNCTION("""COMPUTED_VALUE"""),0.407407407407407)</f>
        <v>0.4074074074</v>
      </c>
    </row>
    <row r="18491">
      <c r="A18491" s="10" t="s">
        <v>19930</v>
      </c>
      <c r="B18491" s="7" t="str">
        <f>IFERROR(__xludf.DUMMYFUNCTION("SPLIT(A18491,"" "")"),"Cc1cc(C)c(CN(C)c2ccc3nc(CN(C)Cc4ccccn4)ccc3c2)nc1C")</f>
        <v>Cc1cc(C)c(CN(C)c2ccc3nc(CN(C)Cc4ccccn4)ccc3c2)nc1C</v>
      </c>
      <c r="C18491" s="7">
        <f>IFERROR(__xludf.DUMMYFUNCTION("""COMPUTED_VALUE"""),7.7257924)</f>
        <v>7.7257924</v>
      </c>
      <c r="D18491" s="7">
        <f>IFERROR(__xludf.DUMMYFUNCTION("""COMPUTED_VALUE"""),0.444444444444444)</f>
        <v>0.4444444444</v>
      </c>
    </row>
    <row r="18492">
      <c r="A18492" s="10" t="s">
        <v>19931</v>
      </c>
      <c r="B18492" s="7" t="str">
        <f>IFERROR(__xludf.DUMMYFUNCTION("SPLIT(A18492,"" "")"),"c1ccc(CN(Cc2cccnc2)c2cccc3ncccc23)nc1")</f>
        <v>c1ccc(CN(Cc2cccnc2)c2cccc3ncccc23)nc1</v>
      </c>
      <c r="C18492" s="7">
        <f>IFERROR(__xludf.DUMMYFUNCTION("""COMPUTED_VALUE"""),7.725782)</f>
        <v>7.725782</v>
      </c>
      <c r="D18492" s="7">
        <f>IFERROR(__xludf.DUMMYFUNCTION("""COMPUTED_VALUE"""),0.386363636363636)</f>
        <v>0.3863636364</v>
      </c>
    </row>
    <row r="18493">
      <c r="A18493" s="10" t="s">
        <v>19932</v>
      </c>
      <c r="B18493" s="7" t="str">
        <f>IFERROR(__xludf.DUMMYFUNCTION("SPLIT(A18493,"" "")"),"CN(C)CCN(C)c1cccc2nccc(CN(C)C)c12")</f>
        <v>CN(C)CCN(C)c1cccc2nccc(CN(C)C)c12</v>
      </c>
      <c r="C18493" s="7">
        <f>IFERROR(__xludf.DUMMYFUNCTION("""COMPUTED_VALUE"""),7.725772)</f>
        <v>7.725772</v>
      </c>
      <c r="D18493" s="7">
        <f>IFERROR(__xludf.DUMMYFUNCTION("""COMPUTED_VALUE"""),0.409090909090909)</f>
        <v>0.4090909091</v>
      </c>
    </row>
    <row r="18494">
      <c r="A18494" s="10" t="s">
        <v>19933</v>
      </c>
      <c r="B18494" s="7" t="str">
        <f>IFERROR(__xludf.DUMMYFUNCTION("SPLIT(A18494,"" "")"),"CNCc1ncccc1-c1ccc(N(C)C)cc1")</f>
        <v>CNCc1ncccc1-c1ccc(N(C)C)cc1</v>
      </c>
      <c r="C18494" s="7">
        <f>IFERROR(__xludf.DUMMYFUNCTION("""COMPUTED_VALUE"""),7.725768)</f>
        <v>7.725768</v>
      </c>
      <c r="D18494" s="7">
        <f>IFERROR(__xludf.DUMMYFUNCTION("""COMPUTED_VALUE"""),0.276595744680851)</f>
        <v>0.2765957447</v>
      </c>
    </row>
    <row r="18495">
      <c r="A18495" s="10" t="s">
        <v>19934</v>
      </c>
      <c r="B18495" s="7" t="str">
        <f>IFERROR(__xludf.DUMMYFUNCTION("SPLIT(A18495,"" "")"),"CN(CCN(C)c1ccc2cc(C3=CCC=CN3)cnc2c1)Cc1ccccn1")</f>
        <v>CN(CCN(C)c1ccc2cc(C3=CCC=CN3)cnc2c1)Cc1ccccn1</v>
      </c>
      <c r="C18495" s="7">
        <f>IFERROR(__xludf.DUMMYFUNCTION("""COMPUTED_VALUE"""),7.725768)</f>
        <v>7.725768</v>
      </c>
      <c r="D18495" s="7">
        <f>IFERROR(__xludf.DUMMYFUNCTION("""COMPUTED_VALUE"""),0.421875)</f>
        <v>0.421875</v>
      </c>
    </row>
    <row r="18496">
      <c r="A18496" s="10" t="s">
        <v>19935</v>
      </c>
      <c r="B18496" s="7" t="str">
        <f>IFERROR(__xludf.DUMMYFUNCTION("SPLIT(A18496,"" "")"),"CNCC1=C(N(C)c2ccc3ccc(CF)nc3c2)CC=CN1")</f>
        <v>CNCC1=C(N(C)c2ccc3ccc(CF)nc3c2)CC=CN1</v>
      </c>
      <c r="C18496" s="7">
        <f>IFERROR(__xludf.DUMMYFUNCTION("""COMPUTED_VALUE"""),7.7257586)</f>
        <v>7.7257586</v>
      </c>
      <c r="D18496" s="7">
        <f>IFERROR(__xludf.DUMMYFUNCTION("""COMPUTED_VALUE"""),0.272727272727272)</f>
        <v>0.2727272727</v>
      </c>
    </row>
    <row r="18497">
      <c r="A18497" s="10" t="s">
        <v>19936</v>
      </c>
      <c r="B18497" s="7" t="str">
        <f>IFERROR(__xludf.DUMMYFUNCTION("SPLIT(A18497,"" "")"),"CC(C)c1cc(CN(Cc2ccccn2)c2cccc3cccnc23)ccn1")</f>
        <v>CC(C)c1cc(CN(Cc2ccccn2)c2cccc3cccnc23)ccn1</v>
      </c>
      <c r="C18497" s="7">
        <f>IFERROR(__xludf.DUMMYFUNCTION("""COMPUTED_VALUE"""),7.725751)</f>
        <v>7.725751</v>
      </c>
      <c r="D18497" s="7">
        <f>IFERROR(__xludf.DUMMYFUNCTION("""COMPUTED_VALUE"""),0.403846153846153)</f>
        <v>0.4038461538</v>
      </c>
    </row>
    <row r="18498">
      <c r="A18498" s="10" t="s">
        <v>19937</v>
      </c>
      <c r="B18498" s="7" t="str">
        <f>IFERROR(__xludf.DUMMYFUNCTION("SPLIT(A18498,"" "")"),"C1=CNC=C(CN(Cc2ccccn2)c2cccc3cccnc23)C1")</f>
        <v>C1=CNC=C(CN(Cc2ccccn2)c2cccc3cccnc23)C1</v>
      </c>
      <c r="C18498" s="7">
        <f>IFERROR(__xludf.DUMMYFUNCTION("""COMPUTED_VALUE"""),7.7257495)</f>
        <v>7.7257495</v>
      </c>
      <c r="D18498" s="7">
        <f>IFERROR(__xludf.DUMMYFUNCTION("""COMPUTED_VALUE"""),0.388888888888888)</f>
        <v>0.3888888889</v>
      </c>
    </row>
    <row r="18499">
      <c r="A18499" s="10" t="s">
        <v>19938</v>
      </c>
      <c r="B18499" s="7" t="str">
        <f>IFERROR(__xludf.DUMMYFUNCTION("SPLIT(A18499,"" "")"),"CN(C)CCN(C)c1ccc2nccc(CN(C)C)c2c1")</f>
        <v>CN(C)CCN(C)c1ccc2nccc(CN(C)C)c2c1</v>
      </c>
      <c r="C18499" s="7">
        <f>IFERROR(__xludf.DUMMYFUNCTION("""COMPUTED_VALUE"""),7.7257466)</f>
        <v>7.7257466</v>
      </c>
      <c r="D18499" s="7">
        <f>IFERROR(__xludf.DUMMYFUNCTION("""COMPUTED_VALUE"""),0.319148936170212)</f>
        <v>0.3191489362</v>
      </c>
    </row>
    <row r="18500">
      <c r="A18500" s="10" t="s">
        <v>19939</v>
      </c>
      <c r="B18500" s="7" t="str">
        <f>IFERROR(__xludf.DUMMYFUNCTION("SPLIT(A18500,"" "")"),"CCN(Cc1ccccn1)c1cc(-c2cc(CN(Cc3ccccn3)Cc3cc(C)ccn3)ccn2)cc2ncccc12")</f>
        <v>CCN(Cc1ccccn1)c1cc(-c2cc(CN(Cc3ccccn3)Cc3cc(C)ccn3)ccn2)cc2ncccc12</v>
      </c>
      <c r="C18500" s="7">
        <f>IFERROR(__xludf.DUMMYFUNCTION("""COMPUTED_VALUE"""),7.7257457)</f>
        <v>7.7257457</v>
      </c>
      <c r="D18500" s="7">
        <f>IFERROR(__xludf.DUMMYFUNCTION("""COMPUTED_VALUE"""),0.357142857142857)</f>
        <v>0.3571428571</v>
      </c>
    </row>
    <row r="18501">
      <c r="A18501" s="10" t="s">
        <v>19940</v>
      </c>
      <c r="B18501" s="7" t="str">
        <f>IFERROR(__xludf.DUMMYFUNCTION("SPLIT(A18501,"" "")"),"CNCc1ccc2cccc(N(C)CCN(C)Cc3ccc4ncccc4c3)c2n1")</f>
        <v>CNCc1ccc2cccc(N(C)CCN(C)Cc3ccc4ncccc4c3)c2n1</v>
      </c>
      <c r="C18501" s="7">
        <f>IFERROR(__xludf.DUMMYFUNCTION("""COMPUTED_VALUE"""),7.725734)</f>
        <v>7.725734</v>
      </c>
      <c r="D18501" s="7">
        <f>IFERROR(__xludf.DUMMYFUNCTION("""COMPUTED_VALUE"""),0.462962962962962)</f>
        <v>0.462962963</v>
      </c>
    </row>
    <row r="18502">
      <c r="A18502" s="10" t="s">
        <v>19941</v>
      </c>
      <c r="B18502" s="7" t="str">
        <f>IFERROR(__xludf.DUMMYFUNCTION("SPLIT(A18502,"" "")"),"Cc1cc(CN(C)Cc2ccnc3cccc(C)c23)nc(C)c1C")</f>
        <v>Cc1cc(CN(C)Cc2ccnc3cccc(C)c23)nc(C)c1C</v>
      </c>
      <c r="C18502" s="7">
        <f>IFERROR(__xludf.DUMMYFUNCTION("""COMPUTED_VALUE"""),7.7257304)</f>
        <v>7.7257304</v>
      </c>
      <c r="D18502" s="7">
        <f>IFERROR(__xludf.DUMMYFUNCTION("""COMPUTED_VALUE"""),0.327272727272727)</f>
        <v>0.3272727273</v>
      </c>
    </row>
    <row r="18503">
      <c r="A18503" s="10" t="s">
        <v>19942</v>
      </c>
      <c r="B18503" s="7" t="str">
        <f>IFERROR(__xludf.DUMMYFUNCTION("SPLIT(A18503,"" "")"),"Cc1cc(CN(C)Cc2ccnc3c(C)cccc23)nc(C)c1C")</f>
        <v>Cc1cc(CN(C)Cc2ccnc3c(C)cccc23)nc(C)c1C</v>
      </c>
      <c r="C18503" s="7">
        <f>IFERROR(__xludf.DUMMYFUNCTION("""COMPUTED_VALUE"""),7.7257247)</f>
        <v>7.7257247</v>
      </c>
      <c r="D18503" s="7">
        <f>IFERROR(__xludf.DUMMYFUNCTION("""COMPUTED_VALUE"""),0.365384615384615)</f>
        <v>0.3653846154</v>
      </c>
    </row>
    <row r="18504">
      <c r="A18504" s="10" t="s">
        <v>19943</v>
      </c>
      <c r="B18504" s="7" t="str">
        <f>IFERROR(__xludf.DUMMYFUNCTION("SPLIT(A18504,"" "")"),"CN(Cc1cc([SiH3])c([SiH3])cn1)Cc1nc2ccccc2n1C")</f>
        <v>CN(Cc1cc([SiH3])c([SiH3])cn1)Cc1nc2ccccc2n1C</v>
      </c>
      <c r="C18504" s="7">
        <f>IFERROR(__xludf.DUMMYFUNCTION("""COMPUTED_VALUE"""),7.725724)</f>
        <v>7.725724</v>
      </c>
      <c r="D18504" s="7">
        <f>IFERROR(__xludf.DUMMYFUNCTION("""COMPUTED_VALUE"""),0.423076923076923)</f>
        <v>0.4230769231</v>
      </c>
    </row>
    <row r="18505">
      <c r="A18505" s="10" t="s">
        <v>19944</v>
      </c>
      <c r="B18505" s="7" t="str">
        <f>IFERROR(__xludf.DUMMYFUNCTION("SPLIT(A18505,"" "")"),"CN(C)c1ccc(Cl)c(-c2cccc(CN(Cc3ccccn3)Cc3cc(F)ccn3)n2)c1Cl")</f>
        <v>CN(C)c1ccc(Cl)c(-c2cccc(CN(Cc3ccccn3)Cc3cc(F)ccn3)n2)c1Cl</v>
      </c>
      <c r="C18505" s="7">
        <f>IFERROR(__xludf.DUMMYFUNCTION("""COMPUTED_VALUE"""),7.725722)</f>
        <v>7.725722</v>
      </c>
      <c r="D18505" s="7">
        <f>IFERROR(__xludf.DUMMYFUNCTION("""COMPUTED_VALUE"""),0.456140350877192)</f>
        <v>0.4561403509</v>
      </c>
    </row>
    <row r="18506">
      <c r="A18506" s="10" t="s">
        <v>19945</v>
      </c>
      <c r="B18506" s="7" t="str">
        <f>IFERROR(__xludf.DUMMYFUNCTION("SPLIT(A18506,"" "")"),"CNCc1ncccc1-c1ccc(C)c(C)c1N(C)Cc1ccccn1")</f>
        <v>CNCc1ncccc1-c1ccc(C)c(C)c1N(C)Cc1ccccn1</v>
      </c>
      <c r="C18506" s="7">
        <f>IFERROR(__xludf.DUMMYFUNCTION("""COMPUTED_VALUE"""),7.7257133)</f>
        <v>7.7257133</v>
      </c>
      <c r="D18506" s="7">
        <f>IFERROR(__xludf.DUMMYFUNCTION("""COMPUTED_VALUE"""),0.396226415094339)</f>
        <v>0.3962264151</v>
      </c>
    </row>
    <row r="18507">
      <c r="A18507" s="10" t="s">
        <v>19946</v>
      </c>
      <c r="B18507" s="7" t="str">
        <f>IFERROR(__xludf.DUMMYFUNCTION("SPLIT(A18507,"" "")"),"CC1=C(c2ccc(CN(C)c3ccc4ncccc4c3)cn2)CC(C)CC1C")</f>
        <v>CC1=C(c2ccc(CN(C)c3ccc4ncccc4c3)cn2)CC(C)CC1C</v>
      </c>
      <c r="C18507" s="7">
        <f>IFERROR(__xludf.DUMMYFUNCTION("""COMPUTED_VALUE"""),7.7257113)</f>
        <v>7.7257113</v>
      </c>
      <c r="D18507" s="7">
        <f>IFERROR(__xludf.DUMMYFUNCTION("""COMPUTED_VALUE"""),0.253968253968253)</f>
        <v>0.253968254</v>
      </c>
    </row>
    <row r="18508">
      <c r="A18508" s="10" t="s">
        <v>19947</v>
      </c>
      <c r="B18508" s="7" t="str">
        <f>IFERROR(__xludf.DUMMYFUNCTION("SPLIT(A18508,"" "")"),"CN(Cc1ccccn1)C1=CCC=C(CN(C)c2cc(Cl)cc(Cl)c2N(Cc2ccccn2)Cc2ccccn2)N1")</f>
        <v>CN(Cc1ccccn1)C1=CCC=C(CN(C)c2cc(Cl)cc(Cl)c2N(Cc2ccccn2)Cc2ccccn2)N1</v>
      </c>
      <c r="C18508" s="7">
        <f>IFERROR(__xludf.DUMMYFUNCTION("""COMPUTED_VALUE"""),7.7257113)</f>
        <v>7.7257113</v>
      </c>
      <c r="D18508" s="7">
        <f>IFERROR(__xludf.DUMMYFUNCTION("""COMPUTED_VALUE"""),0.49090909090909)</f>
        <v>0.4909090909</v>
      </c>
    </row>
    <row r="18509">
      <c r="A18509" s="10" t="s">
        <v>19948</v>
      </c>
      <c r="B18509" s="7" t="str">
        <f>IFERROR(__xludf.DUMMYFUNCTION("SPLIT(A18509,"" "")"),"CN(CCN(C)c1ccc2ncc(C3=CCC=CN3)cc2c1)Cc1ccccn1")</f>
        <v>CN(CCN(C)c1ccc2ncc(C3=CCC=CN3)cc2c1)Cc1ccccn1</v>
      </c>
      <c r="C18509" s="7">
        <f>IFERROR(__xludf.DUMMYFUNCTION("""COMPUTED_VALUE"""),7.7257032)</f>
        <v>7.7257032</v>
      </c>
      <c r="D18509" s="7">
        <f>IFERROR(__xludf.DUMMYFUNCTION("""COMPUTED_VALUE"""),0.415384615384615)</f>
        <v>0.4153846154</v>
      </c>
    </row>
    <row r="18510">
      <c r="A18510" s="10" t="s">
        <v>19949</v>
      </c>
      <c r="B18510" s="7" t="str">
        <f>IFERROR(__xludf.DUMMYFUNCTION("SPLIT(A18510,"" "")"),"CNCc1cc(-c2ccc(N(C)C)cc2)ccn1")</f>
        <v>CNCc1cc(-c2ccc(N(C)C)cc2)ccn1</v>
      </c>
      <c r="C18510" s="7">
        <f>IFERROR(__xludf.DUMMYFUNCTION("""COMPUTED_VALUE"""),7.7257013)</f>
        <v>7.7257013</v>
      </c>
      <c r="D18510" s="7">
        <f>IFERROR(__xludf.DUMMYFUNCTION("""COMPUTED_VALUE"""),0.270833333333333)</f>
        <v>0.2708333333</v>
      </c>
    </row>
    <row r="18511">
      <c r="A18511" s="10" t="s">
        <v>19950</v>
      </c>
      <c r="B18511" s="7" t="str">
        <f>IFERROR(__xludf.DUMMYFUNCTION("SPLIT(A18511,"" "")"),"CNCc1ncccc1CN(C)c1ccc2ncccc2c1")</f>
        <v>CNCc1ncccc1CN(C)c1ccc2ncccc2c1</v>
      </c>
      <c r="C18511" s="7">
        <f>IFERROR(__xludf.DUMMYFUNCTION("""COMPUTED_VALUE"""),7.725701)</f>
        <v>7.725701</v>
      </c>
      <c r="D18511" s="7">
        <f>IFERROR(__xludf.DUMMYFUNCTION("""COMPUTED_VALUE"""),0.352941176470588)</f>
        <v>0.3529411765</v>
      </c>
    </row>
    <row r="18512">
      <c r="A18512" s="10" t="s">
        <v>19951</v>
      </c>
      <c r="B18512" s="7" t="str">
        <f>IFERROR(__xludf.DUMMYFUNCTION("SPLIT(A18512,"" "")"),"Cc1cnc(CN(C)Cc2ccc3ccc(N(C)Cc4cc(C(C)(C)C)ccn4)cc3n2)c(C)c1")</f>
        <v>Cc1cnc(CN(C)Cc2ccc3ccc(N(C)Cc4cc(C(C)(C)C)ccn4)cc3n2)c(C)c1</v>
      </c>
      <c r="C18512" s="7">
        <f>IFERROR(__xludf.DUMMYFUNCTION("""COMPUTED_VALUE"""),7.725694)</f>
        <v>7.725694</v>
      </c>
      <c r="D18512" s="7">
        <f>IFERROR(__xludf.DUMMYFUNCTION("""COMPUTED_VALUE"""),0.3)</f>
        <v>0.3</v>
      </c>
    </row>
    <row r="18513">
      <c r="A18513" s="10" t="s">
        <v>19952</v>
      </c>
      <c r="B18513" s="7" t="str">
        <f>IFERROR(__xludf.DUMMYFUNCTION("SPLIT(A18513,"" "")"),"Cc1cnc2ccc(N(C)C3CCCC(N(C)c4ccc5c(CN(C)C)ccnc5c4)C3)cc2c1")</f>
        <v>Cc1cnc2ccc(N(C)C3CCCC(N(C)c4ccc5c(CN(C)C)ccnc5c4)C3)cc2c1</v>
      </c>
      <c r="C18513" s="7">
        <f>IFERROR(__xludf.DUMMYFUNCTION("""COMPUTED_VALUE"""),7.7256827)</f>
        <v>7.7256827</v>
      </c>
      <c r="D18513" s="7">
        <f>IFERROR(__xludf.DUMMYFUNCTION("""COMPUTED_VALUE"""),0.28125)</f>
        <v>0.28125</v>
      </c>
    </row>
    <row r="18514">
      <c r="A18514" s="10" t="s">
        <v>19953</v>
      </c>
      <c r="B18514" s="7" t="str">
        <f>IFERROR(__xludf.DUMMYFUNCTION("SPLIT(A18514,"" "")"),"Cc1ccnc2ccc(N(C)C3CCC(N(C)c4ccc5ncccc5c4)CC3)cc12")</f>
        <v>Cc1ccnc2ccc(N(C)C3CCC(N(C)c4ccc5ncccc5c4)CC3)cc12</v>
      </c>
      <c r="C18514" s="7">
        <f>IFERROR(__xludf.DUMMYFUNCTION("""COMPUTED_VALUE"""),7.725682)</f>
        <v>7.725682</v>
      </c>
      <c r="D18514" s="7">
        <f>IFERROR(__xludf.DUMMYFUNCTION("""COMPUTED_VALUE"""),0.333333333333333)</f>
        <v>0.3333333333</v>
      </c>
    </row>
    <row r="18515">
      <c r="A18515" s="10" t="s">
        <v>19954</v>
      </c>
      <c r="B18515" s="7" t="str">
        <f>IFERROR(__xludf.DUMMYFUNCTION("SPLIT(A18515,"" "")"),"CCOC(=O)c1cccc(-c2cc(C(=O)C(=O)C(C)NCc3ccccn3)ccn2)n1")</f>
        <v>CCOC(=O)c1cccc(-c2cc(C(=O)C(=O)C(C)NCc3ccccn3)ccn2)n1</v>
      </c>
      <c r="C18515" s="7">
        <f>IFERROR(__xludf.DUMMYFUNCTION("""COMPUTED_VALUE"""),7.725662)</f>
        <v>7.725662</v>
      </c>
      <c r="D18515" s="7">
        <f>IFERROR(__xludf.DUMMYFUNCTION("""COMPUTED_VALUE"""),0.347222222222222)</f>
        <v>0.3472222222</v>
      </c>
    </row>
    <row r="18516">
      <c r="A18516" s="10" t="s">
        <v>19955</v>
      </c>
      <c r="B18516" s="7" t="str">
        <f>IFERROR(__xludf.DUMMYFUNCTION("SPLIT(A18516,"" "")"),"Fc1ccccc1N(Cc1ccccn1)Cc1ccc(-c2ccccc2N=Cc2ccccn2)cn1")</f>
        <v>Fc1ccccc1N(Cc1ccccn1)Cc1ccc(-c2ccccc2N=Cc2ccccn2)cn1</v>
      </c>
      <c r="C18516" s="7">
        <f>IFERROR(__xludf.DUMMYFUNCTION("""COMPUTED_VALUE"""),7.7256474)</f>
        <v>7.7256474</v>
      </c>
      <c r="D18516" s="7">
        <f>IFERROR(__xludf.DUMMYFUNCTION("""COMPUTED_VALUE"""),0.5)</f>
        <v>0.5</v>
      </c>
    </row>
    <row r="18517">
      <c r="A18517" s="10" t="s">
        <v>19956</v>
      </c>
      <c r="B18517" s="7" t="str">
        <f>IFERROR(__xludf.DUMMYFUNCTION("SPLIT(A18517,"" "")"),"CN(Cc1ccccn1)C1=CCC(CN(Cc2ccccn2)c2ccc3ncccc3c2)=CN1")</f>
        <v>CN(Cc1ccccn1)C1=CCC(CN(Cc2ccccn2)c2ccc3ncccc3c2)=CN1</v>
      </c>
      <c r="C18517" s="7">
        <f>IFERROR(__xludf.DUMMYFUNCTION("""COMPUTED_VALUE"""),7.725637)</f>
        <v>7.725637</v>
      </c>
      <c r="D18517" s="7">
        <f>IFERROR(__xludf.DUMMYFUNCTION("""COMPUTED_VALUE"""),0.372881355932203)</f>
        <v>0.3728813559</v>
      </c>
    </row>
    <row r="18518">
      <c r="A18518" s="10" t="s">
        <v>19957</v>
      </c>
      <c r="B18518" s="7" t="str">
        <f>IFERROR(__xludf.DUMMYFUNCTION("SPLIT(A18518,"" "")"),"CC(C)Nc1cccc(CN(Cc2ccccn2)c2ccc3cccnc3c2)n1")</f>
        <v>CC(C)Nc1cccc(CN(Cc2ccccn2)c2ccc3cccnc3c2)n1</v>
      </c>
      <c r="C18518" s="7">
        <f>IFERROR(__xludf.DUMMYFUNCTION("""COMPUTED_VALUE"""),7.7256327)</f>
        <v>7.7256327</v>
      </c>
      <c r="D18518" s="7">
        <f>IFERROR(__xludf.DUMMYFUNCTION("""COMPUTED_VALUE"""),0.461538461538461)</f>
        <v>0.4615384615</v>
      </c>
    </row>
    <row r="18519">
      <c r="A18519" s="10" t="s">
        <v>19958</v>
      </c>
      <c r="B18519" s="7" t="str">
        <f>IFERROR(__xludf.DUMMYFUNCTION("SPLIT(A18519,"" "")"),"FCc1nccc2ccc(N(Cc3ccccn3)Cc3ccccn3)cc12")</f>
        <v>FCc1nccc2ccc(N(Cc3ccccn3)Cc3ccccn3)cc12</v>
      </c>
      <c r="C18519" s="7">
        <f>IFERROR(__xludf.DUMMYFUNCTION("""COMPUTED_VALUE"""),7.7256308)</f>
        <v>7.7256308</v>
      </c>
      <c r="D18519" s="7">
        <f>IFERROR(__xludf.DUMMYFUNCTION("""COMPUTED_VALUE"""),0.414634146341463)</f>
        <v>0.4146341463</v>
      </c>
    </row>
    <row r="18520">
      <c r="A18520" s="10" t="s">
        <v>19959</v>
      </c>
      <c r="B18520" s="7" t="str">
        <f>IFERROR(__xludf.DUMMYFUNCTION("SPLIT(A18520,"" "")"),"Cc1cnc2c(N(C)C3CCC(N(C)c4cccc5cc(CF)cnc45)CC3)cccc2c1C")</f>
        <v>Cc1cnc2c(N(C)C3CCC(N(C)c4cccc5cc(CF)cnc45)CC3)cccc2c1C</v>
      </c>
      <c r="C18520" s="7">
        <f>IFERROR(__xludf.DUMMYFUNCTION("""COMPUTED_VALUE"""),7.725629)</f>
        <v>7.725629</v>
      </c>
      <c r="D18520" s="7">
        <f>IFERROR(__xludf.DUMMYFUNCTION("""COMPUTED_VALUE"""),0.370967741935483)</f>
        <v>0.3709677419</v>
      </c>
    </row>
    <row r="18521">
      <c r="A18521" s="10" t="s">
        <v>19960</v>
      </c>
      <c r="B18521" s="7" t="str">
        <f>IFERROR(__xludf.DUMMYFUNCTION("SPLIT(A18521,"" "")"),"CC(C)N(CC1=CCC(N(C)Cc2ccccn2)=CN1)c1ccc2cccnc2c1")</f>
        <v>CC(C)N(CC1=CCC(N(C)Cc2ccccn2)=CN1)c1ccc2cccnc2c1</v>
      </c>
      <c r="C18521" s="7">
        <f>IFERROR(__xludf.DUMMYFUNCTION("""COMPUTED_VALUE"""),7.725627)</f>
        <v>7.725627</v>
      </c>
      <c r="D18521" s="7">
        <f>IFERROR(__xludf.DUMMYFUNCTION("""COMPUTED_VALUE"""),0.377049180327868)</f>
        <v>0.3770491803</v>
      </c>
    </row>
    <row r="18522">
      <c r="A18522" s="10" t="s">
        <v>19961</v>
      </c>
      <c r="B18522" s="7" t="str">
        <f>IFERROR(__xludf.DUMMYFUNCTION("SPLIT(A18522,"" "")"),"CCN(Cc1cc(C(C)(C)c2ccccn2)ccn1)c1ccc2ncccc2c1")</f>
        <v>CCN(Cc1cc(C(C)(C)c2ccccn2)ccn1)c1ccc2ncccc2c1</v>
      </c>
      <c r="C18522" s="7">
        <f>IFERROR(__xludf.DUMMYFUNCTION("""COMPUTED_VALUE"""),7.725618)</f>
        <v>7.725618</v>
      </c>
      <c r="D18522" s="7">
        <f>IFERROR(__xludf.DUMMYFUNCTION("""COMPUTED_VALUE"""),0.316666666666666)</f>
        <v>0.3166666667</v>
      </c>
    </row>
    <row r="18523">
      <c r="A18523" s="10" t="s">
        <v>19962</v>
      </c>
      <c r="B18523" s="7" t="str">
        <f>IFERROR(__xludf.DUMMYFUNCTION("SPLIT(A18523,"" "")"),"CCc1ccccc1-c1ccc(C)cc1N=Cc1ccccn1")</f>
        <v>CCc1ccccc1-c1ccc(C)cc1N=Cc1ccccn1</v>
      </c>
      <c r="C18523" s="7">
        <f>IFERROR(__xludf.DUMMYFUNCTION("""COMPUTED_VALUE"""),7.7256136)</f>
        <v>7.7256136</v>
      </c>
      <c r="D18523" s="7">
        <f>IFERROR(__xludf.DUMMYFUNCTION("""COMPUTED_VALUE"""),0.46938775510204)</f>
        <v>0.4693877551</v>
      </c>
    </row>
    <row r="18524">
      <c r="A18524" s="10" t="s">
        <v>19963</v>
      </c>
      <c r="B18524" s="7" t="str">
        <f>IFERROR(__xludf.DUMMYFUNCTION("SPLIT(A18524,"" "")"),"CC(C)(c1cccc(NCc2ccccn2)c1)c1ncccc1-c1cccc(N=Cc2ccccn2)c1")</f>
        <v>CC(C)(c1cccc(NCc2ccccn2)c1)c1ncccc1-c1cccc(N=Cc2ccccn2)c1</v>
      </c>
      <c r="C18524" s="7">
        <f>IFERROR(__xludf.DUMMYFUNCTION("""COMPUTED_VALUE"""),7.725609)</f>
        <v>7.725609</v>
      </c>
      <c r="D18524" s="7">
        <f>IFERROR(__xludf.DUMMYFUNCTION("""COMPUTED_VALUE"""),0.315068493150684)</f>
        <v>0.3150684932</v>
      </c>
    </row>
    <row r="18525">
      <c r="A18525" s="10" t="s">
        <v>19964</v>
      </c>
      <c r="B18525" s="7" t="str">
        <f>IFERROR(__xludf.DUMMYFUNCTION("SPLIT(A18525,"" "")"),"CC(C)N(C)Cc1cnccc1N(C)c1cccc2ncccc12")</f>
        <v>CC(C)N(C)Cc1cnccc1N(C)c1cccc2ncccc12</v>
      </c>
      <c r="C18525" s="7">
        <f>IFERROR(__xludf.DUMMYFUNCTION("""COMPUTED_VALUE"""),7.7256045)</f>
        <v>7.7256045</v>
      </c>
      <c r="D18525" s="7">
        <f>IFERROR(__xludf.DUMMYFUNCTION("""COMPUTED_VALUE"""),0.320754716981132)</f>
        <v>0.320754717</v>
      </c>
    </row>
    <row r="18526">
      <c r="A18526" s="10" t="s">
        <v>19965</v>
      </c>
      <c r="B18526" s="7" t="str">
        <f>IFERROR(__xludf.DUMMYFUNCTION("SPLIT(A18526,"" "")"),"CN(Cc1ccccn1)C1=C(CN(Cc2ccccn2)c2ccc3ncccc3c2)NC=CC1")</f>
        <v>CN(Cc1ccccn1)C1=C(CN(Cc2ccccn2)c2ccc3ncccc3c2)NC=CC1</v>
      </c>
      <c r="C18526" s="7">
        <f>IFERROR(__xludf.DUMMYFUNCTION("""COMPUTED_VALUE"""),7.7255983)</f>
        <v>7.7255983</v>
      </c>
      <c r="D18526" s="7">
        <f>IFERROR(__xludf.DUMMYFUNCTION("""COMPUTED_VALUE"""),0.372881355932203)</f>
        <v>0.3728813559</v>
      </c>
    </row>
    <row r="18527">
      <c r="A18527" s="10" t="s">
        <v>19966</v>
      </c>
      <c r="B18527" s="7" t="str">
        <f>IFERROR(__xludf.DUMMYFUNCTION("SPLIT(A18527,"" "")"),"Cc1ccnc(CN(C)C2=C(CN(c3ccc4ncccc4c3)C(C)C)NC=CC2)c1")</f>
        <v>Cc1ccnc(CN(C)C2=C(CN(c3ccc4ncccc4c3)C(C)C)NC=CC2)c1</v>
      </c>
      <c r="C18527" s="7">
        <f>IFERROR(__xludf.DUMMYFUNCTION("""COMPUTED_VALUE"""),7.725596)</f>
        <v>7.725596</v>
      </c>
      <c r="D18527" s="7">
        <f>IFERROR(__xludf.DUMMYFUNCTION("""COMPUTED_VALUE"""),0.264705882352941)</f>
        <v>0.2647058824</v>
      </c>
    </row>
    <row r="18528">
      <c r="A18528" s="10" t="s">
        <v>19967</v>
      </c>
      <c r="B18528" s="7" t="str">
        <f>IFERROR(__xludf.DUMMYFUNCTION("SPLIT(A18528,"" "")"),"CC(C)c1cc(CN(Cc2ccccn2)c2ccc3nc(CN(C)Cc4ccc(-c5cccc(N)c5)cn4)ccc3c2)ccn1")</f>
        <v>CC(C)c1cc(CN(Cc2ccccn2)c2ccc3nc(CN(C)Cc4ccc(-c5cccc(N)c5)cn4)ccc3c2)ccn1</v>
      </c>
      <c r="C18528" s="7">
        <f>IFERROR(__xludf.DUMMYFUNCTION("""COMPUTED_VALUE"""),7.7255883)</f>
        <v>7.7255883</v>
      </c>
      <c r="D18528" s="7">
        <f>IFERROR(__xludf.DUMMYFUNCTION("""COMPUTED_VALUE"""),0.357142857142857)</f>
        <v>0.3571428571</v>
      </c>
    </row>
    <row r="18529">
      <c r="A18529" s="10" t="s">
        <v>19968</v>
      </c>
      <c r="B18529" s="7" t="str">
        <f>IFERROR(__xludf.DUMMYFUNCTION("SPLIT(A18529,"" "")"),"Cc1cnc2cccc(N(C)C3CCCC(N(C)c4cccc5ncccc45)C3)c2c1")</f>
        <v>Cc1cnc2cccc(N(C)C3CCCC(N(C)c4cccc5ncccc45)C3)c2c1</v>
      </c>
      <c r="C18529" s="7">
        <f>IFERROR(__xludf.DUMMYFUNCTION("""COMPUTED_VALUE"""),7.725576)</f>
        <v>7.725576</v>
      </c>
      <c r="D18529" s="7">
        <f>IFERROR(__xludf.DUMMYFUNCTION("""COMPUTED_VALUE"""),0.37037037037037)</f>
        <v>0.3703703704</v>
      </c>
    </row>
    <row r="18530">
      <c r="A18530" s="10" t="s">
        <v>19969</v>
      </c>
      <c r="B18530" s="7" t="str">
        <f>IFERROR(__xludf.DUMMYFUNCTION("SPLIT(A18530,"" "")"),"Cc1cncc(CN(Cc2ccccn2)c2cccc3cccnc23)c1")</f>
        <v>Cc1cncc(CN(Cc2ccccn2)c2cccc3cccnc23)c1</v>
      </c>
      <c r="C18530" s="7">
        <f>IFERROR(__xludf.DUMMYFUNCTION("""COMPUTED_VALUE"""),7.725575)</f>
        <v>7.725575</v>
      </c>
      <c r="D18530" s="7">
        <f>IFERROR(__xludf.DUMMYFUNCTION("""COMPUTED_VALUE"""),0.411764705882352)</f>
        <v>0.4117647059</v>
      </c>
    </row>
    <row r="18531">
      <c r="A18531" s="10" t="s">
        <v>19970</v>
      </c>
      <c r="B18531" s="7" t="str">
        <f>IFERROR(__xludf.DUMMYFUNCTION("SPLIT(A18531,"" "")"),"Cc1c(CN(C)Cc2ccccn2)cccc1N(C)c1ccc2cccnc2c1")</f>
        <v>Cc1c(CN(C)Cc2ccccn2)cccc1N(C)c1ccc2cccnc2c1</v>
      </c>
      <c r="C18531" s="7">
        <f>IFERROR(__xludf.DUMMYFUNCTION("""COMPUTED_VALUE"""),7.725572)</f>
        <v>7.725572</v>
      </c>
      <c r="D18531" s="7">
        <f>IFERROR(__xludf.DUMMYFUNCTION("""COMPUTED_VALUE"""),0.436363636363636)</f>
        <v>0.4363636364</v>
      </c>
    </row>
    <row r="18532">
      <c r="A18532" s="10" t="s">
        <v>19971</v>
      </c>
      <c r="B18532" s="7" t="str">
        <f>IFERROR(__xludf.DUMMYFUNCTION("SPLIT(A18532,"" "")"),"C1=CNCC(NCc2cccc(-c3cc(C(c4ccccn4)c4ccccn4)ccn3)n2)=C1")</f>
        <v>C1=CNCC(NCc2cccc(-c3cc(C(c4ccccn4)c4ccccn4)ccn3)n2)=C1</v>
      </c>
      <c r="C18532" s="7">
        <f>IFERROR(__xludf.DUMMYFUNCTION("""COMPUTED_VALUE"""),7.7255545)</f>
        <v>7.7255545</v>
      </c>
      <c r="D18532" s="7">
        <f>IFERROR(__xludf.DUMMYFUNCTION("""COMPUTED_VALUE"""),0.3125)</f>
        <v>0.3125</v>
      </c>
    </row>
    <row r="18533">
      <c r="A18533" s="10" t="s">
        <v>19972</v>
      </c>
      <c r="B18533" s="7" t="str">
        <f>IFERROR(__xludf.DUMMYFUNCTION("SPLIT(A18533,"" "")"),"Cc1cncc(CN(Cc2ccccn2)c2ccc3ncccc3c2)c1")</f>
        <v>Cc1cncc(CN(Cc2ccccn2)c2ccc3ncccc3c2)c1</v>
      </c>
      <c r="C18533" s="7">
        <f>IFERROR(__xludf.DUMMYFUNCTION("""COMPUTED_VALUE"""),7.7255516)</f>
        <v>7.7255516</v>
      </c>
      <c r="D18533" s="7">
        <f>IFERROR(__xludf.DUMMYFUNCTION("""COMPUTED_VALUE"""),0.363636363636363)</f>
        <v>0.3636363636</v>
      </c>
    </row>
    <row r="18534">
      <c r="A18534" s="10" t="s">
        <v>19973</v>
      </c>
      <c r="B18534" s="7" t="str">
        <f>IFERROR(__xludf.DUMMYFUNCTION("SPLIT(A18534,"" "")"),"Cc1cncc(CN(C)c2ccc(-c3cccc(CN(Cc4ccccn4)Cc4ccc(-c5cccc(N(C)C)c5)cn4)n3)cc2)c1")</f>
        <v>Cc1cncc(CN(C)c2ccc(-c3cccc(CN(Cc4ccccn4)Cc4ccc(-c5cccc(N(C)C)c5)cn4)n3)cc2)c1</v>
      </c>
      <c r="C18534" s="7">
        <f>IFERROR(__xludf.DUMMYFUNCTION("""COMPUTED_VALUE"""),7.725551)</f>
        <v>7.725551</v>
      </c>
      <c r="D18534" s="7">
        <f>IFERROR(__xludf.DUMMYFUNCTION("""COMPUTED_VALUE"""),0.442857142857142)</f>
        <v>0.4428571429</v>
      </c>
    </row>
    <row r="18535">
      <c r="A18535" s="10" t="s">
        <v>19974</v>
      </c>
      <c r="B18535" s="7" t="str">
        <f>IFERROR(__xludf.DUMMYFUNCTION("SPLIT(A18535,"" "")"),"Cc1c(CN(C)Cc2ccccn2)cccc1N(C)c1ccc2ncccc2c1")</f>
        <v>Cc1c(CN(C)Cc2ccccn2)cccc1N(C)c1ccc2ncccc2c1</v>
      </c>
      <c r="C18535" s="7">
        <f>IFERROR(__xludf.DUMMYFUNCTION("""COMPUTED_VALUE"""),7.725547)</f>
        <v>7.725547</v>
      </c>
      <c r="D18535" s="7">
        <f>IFERROR(__xludf.DUMMYFUNCTION("""COMPUTED_VALUE"""),0.444444444444444)</f>
        <v>0.4444444444</v>
      </c>
    </row>
    <row r="18536">
      <c r="A18536" s="10" t="s">
        <v>19975</v>
      </c>
      <c r="B18536" s="7" t="str">
        <f>IFERROR(__xludf.DUMMYFUNCTION("SPLIT(A18536,"" "")"),"CNCc1ccc(-c2cccc(N=Cc3ccccn3)c2)cn1")</f>
        <v>CNCc1ccc(-c2cccc(N=Cc3ccccn3)c2)cn1</v>
      </c>
      <c r="C18536" s="7">
        <f>IFERROR(__xludf.DUMMYFUNCTION("""COMPUTED_VALUE"""),7.7255344)</f>
        <v>7.7255344</v>
      </c>
      <c r="D18536" s="7">
        <f>IFERROR(__xludf.DUMMYFUNCTION("""COMPUTED_VALUE"""),0.381818181818181)</f>
        <v>0.3818181818</v>
      </c>
    </row>
    <row r="18537">
      <c r="A18537" s="10" t="s">
        <v>19976</v>
      </c>
      <c r="B18537" s="7" t="str">
        <f>IFERROR(__xludf.DUMMYFUNCTION("SPLIT(A18537,"" "")"),"CNCc1ccc2cc(N(C)C3C=CC=CN3)ccc2n1")</f>
        <v>CNCc1ccc2cc(N(C)C3C=CC=CN3)ccc2n1</v>
      </c>
      <c r="C18537" s="7">
        <f>IFERROR(__xludf.DUMMYFUNCTION("""COMPUTED_VALUE"""),7.725533)</f>
        <v>7.725533</v>
      </c>
      <c r="D18537" s="7">
        <f>IFERROR(__xludf.DUMMYFUNCTION("""COMPUTED_VALUE"""),0.258064516129032)</f>
        <v>0.2580645161</v>
      </c>
    </row>
    <row r="18538">
      <c r="A18538" s="10" t="s">
        <v>19977</v>
      </c>
      <c r="B18538" s="7" t="str">
        <f>IFERROR(__xludf.DUMMYFUNCTION("SPLIT(A18538,"" "")"),"Cc1c(C)c(C)c(N(C)CN(C)c2ccc3nc(CN(C)C(C)C)ccc3c2)c(C)c1C")</f>
        <v>Cc1c(C)c(C)c(N(C)CN(C)c2ccc3nc(CN(C)C(C)C)ccc3c2)c(C)c1C</v>
      </c>
      <c r="C18538" s="7">
        <f>IFERROR(__xludf.DUMMYFUNCTION("""COMPUTED_VALUE"""),7.7255282)</f>
        <v>7.7255282</v>
      </c>
      <c r="D18538" s="7">
        <f>IFERROR(__xludf.DUMMYFUNCTION("""COMPUTED_VALUE"""),0.306122448979591)</f>
        <v>0.306122449</v>
      </c>
    </row>
    <row r="18539">
      <c r="A18539" s="10" t="s">
        <v>19978</v>
      </c>
      <c r="B18539" s="7" t="str">
        <f>IFERROR(__xludf.DUMMYFUNCTION("SPLIT(A18539,"" "")"),"CC(C)C(C)N(C)Cc1ncccc1-c1cccc(N(C)c2ccc3ncccc3c2)c1")</f>
        <v>CC(C)C(C)N(C)Cc1ncccc1-c1cccc(N(C)c2ccc3ncccc3c2)c1</v>
      </c>
      <c r="C18539" s="7">
        <f>IFERROR(__xludf.DUMMYFUNCTION("""COMPUTED_VALUE"""),7.725513)</f>
        <v>7.725513</v>
      </c>
      <c r="D18539" s="7">
        <f>IFERROR(__xludf.DUMMYFUNCTION("""COMPUTED_VALUE"""),0.283333333333333)</f>
        <v>0.2833333333</v>
      </c>
    </row>
    <row r="18540">
      <c r="A18540" s="10" t="s">
        <v>19979</v>
      </c>
      <c r="B18540" s="7" t="str">
        <f>IFERROR(__xludf.DUMMYFUNCTION("SPLIT(A18540,"" "")"),"Cc1ccccc1N(Cc1ccccn1)Cc1ncccc1-c1ccc(N(C)C)cc1")</f>
        <v>Cc1ccccc1N(Cc1ccccn1)Cc1ncccc1-c1ccc(N(C)C)cc1</v>
      </c>
      <c r="C18540" s="7">
        <f>IFERROR(__xludf.DUMMYFUNCTION("""COMPUTED_VALUE"""),7.7255073)</f>
        <v>7.7255073</v>
      </c>
      <c r="D18540" s="7">
        <f>IFERROR(__xludf.DUMMYFUNCTION("""COMPUTED_VALUE"""),0.37037037037037)</f>
        <v>0.3703703704</v>
      </c>
    </row>
    <row r="18541">
      <c r="A18541" s="10" t="s">
        <v>19980</v>
      </c>
      <c r="B18541" s="7" t="str">
        <f>IFERROR(__xludf.DUMMYFUNCTION("SPLIT(A18541,"" "")"),"CNCc1nc(-c2cccc(Cl)c2Cl)ccc1C")</f>
        <v>CNCc1nc(-c2cccc(Cl)c2Cl)ccc1C</v>
      </c>
      <c r="C18541" s="7">
        <f>IFERROR(__xludf.DUMMYFUNCTION("""COMPUTED_VALUE"""),7.725491)</f>
        <v>7.725491</v>
      </c>
      <c r="D18541" s="7">
        <f>IFERROR(__xludf.DUMMYFUNCTION("""COMPUTED_VALUE"""),0.203703703703703)</f>
        <v>0.2037037037</v>
      </c>
    </row>
    <row r="18542">
      <c r="A18542" s="10" t="s">
        <v>19981</v>
      </c>
      <c r="B18542" s="7" t="str">
        <f>IFERROR(__xludf.DUMMYFUNCTION("SPLIT(A18542,"" "")"),"CN(Cc1ccc(-c2cccc(N(C)C)c2)cn1)Cc1ccon1")</f>
        <v>CN(Cc1ccc(-c2cccc(N(C)C)c2)cn1)Cc1ccon1</v>
      </c>
      <c r="C18542" s="7">
        <f>IFERROR(__xludf.DUMMYFUNCTION("""COMPUTED_VALUE"""),7.725487)</f>
        <v>7.725487</v>
      </c>
      <c r="D18542" s="7">
        <f>IFERROR(__xludf.DUMMYFUNCTION("""COMPUTED_VALUE"""),0.466666666666666)</f>
        <v>0.4666666667</v>
      </c>
    </row>
    <row r="18543">
      <c r="A18543" s="10" t="s">
        <v>19982</v>
      </c>
      <c r="B18543" s="7" t="str">
        <f>IFERROR(__xludf.DUMMYFUNCTION("SPLIT(A18543,"" "")"),"c1ccc(CN(Cc2ccncc2)c2cccc3cccnc23)nc1")</f>
        <v>c1ccc(CN(Cc2ccncc2)c2cccc3cccnc23)nc1</v>
      </c>
      <c r="C18543" s="7">
        <f>IFERROR(__xludf.DUMMYFUNCTION("""COMPUTED_VALUE"""),7.7254844)</f>
        <v>7.7254844</v>
      </c>
      <c r="D18543" s="7">
        <f>IFERROR(__xludf.DUMMYFUNCTION("""COMPUTED_VALUE"""),0.444444444444444)</f>
        <v>0.4444444444</v>
      </c>
    </row>
    <row r="18544">
      <c r="A18544" s="10" t="s">
        <v>19983</v>
      </c>
      <c r="B18544" s="7" t="str">
        <f>IFERROR(__xludf.DUMMYFUNCTION("SPLIT(A18544,"" "")"),"Cc1cccnc1CN(C)CC1=C(N(C)c2ccc3cccnc3c2)CC=CN1")</f>
        <v>Cc1cccnc1CN(C)CC1=C(N(C)c2ccc3cccnc3c2)CC=CN1</v>
      </c>
      <c r="C18544" s="7">
        <f>IFERROR(__xludf.DUMMYFUNCTION("""COMPUTED_VALUE"""),7.725449)</f>
        <v>7.725449</v>
      </c>
      <c r="D18544" s="7">
        <f>IFERROR(__xludf.DUMMYFUNCTION("""COMPUTED_VALUE"""),0.261538461538461)</f>
        <v>0.2615384615</v>
      </c>
    </row>
    <row r="18545">
      <c r="A18545" s="10" t="s">
        <v>19984</v>
      </c>
      <c r="B18545" s="7" t="str">
        <f>IFERROR(__xludf.DUMMYFUNCTION("SPLIT(A18545,"" "")"),"Cc1cccc(NCc2ccccn2)c1-c1cccnc1C")</f>
        <v>Cc1cccc(NCc2ccccn2)c1-c1cccnc1C</v>
      </c>
      <c r="C18545" s="7">
        <f>IFERROR(__xludf.DUMMYFUNCTION("""COMPUTED_VALUE"""),7.725439)</f>
        <v>7.725439</v>
      </c>
      <c r="D18545" s="7">
        <f>IFERROR(__xludf.DUMMYFUNCTION("""COMPUTED_VALUE"""),0.395348837209302)</f>
        <v>0.3953488372</v>
      </c>
    </row>
    <row r="18546">
      <c r="A18546" s="10" t="s">
        <v>19985</v>
      </c>
      <c r="B18546" s="7" t="str">
        <f>IFERROR(__xludf.DUMMYFUNCTION("SPLIT(A18546,"" "")"),"Cc1ccc2ccc(N(C)C3CCCC(N(C)c4ccc5nccc(CF)c5c4)C3)cc2n1")</f>
        <v>Cc1ccc2ccc(N(C)C3CCCC(N(C)c4ccc5nccc(CF)c5c4)C3)cc2n1</v>
      </c>
      <c r="C18546" s="7">
        <f>IFERROR(__xludf.DUMMYFUNCTION("""COMPUTED_VALUE"""),7.725435)</f>
        <v>7.725435</v>
      </c>
      <c r="D18546" s="7">
        <f>IFERROR(__xludf.DUMMYFUNCTION("""COMPUTED_VALUE"""),0.260869565217391)</f>
        <v>0.2608695652</v>
      </c>
    </row>
    <row r="18547">
      <c r="A18547" s="10" t="s">
        <v>19986</v>
      </c>
      <c r="B18547" s="7" t="str">
        <f>IFERROR(__xludf.DUMMYFUNCTION("SPLIT(A18547,"" "")"),"Cc1nc(CN(C)c2cccc3ccc(CN(C)Cc4ccccn4)nc23)c(C)c(C)c1C")</f>
        <v>Cc1nc(CN(C)c2cccc3ccc(CN(C)Cc4ccccn4)nc23)c(C)c(C)c1C</v>
      </c>
      <c r="C18547" s="7">
        <f>IFERROR(__xludf.DUMMYFUNCTION("""COMPUTED_VALUE"""),7.7254343)</f>
        <v>7.7254343</v>
      </c>
      <c r="D18547" s="7">
        <f>IFERROR(__xludf.DUMMYFUNCTION("""COMPUTED_VALUE"""),0.462962962962962)</f>
        <v>0.462962963</v>
      </c>
    </row>
    <row r="18548">
      <c r="A18548" s="10" t="s">
        <v>19987</v>
      </c>
      <c r="B18548" s="7" t="str">
        <f>IFERROR(__xludf.DUMMYFUNCTION("SPLIT(A18548,"" "")"),"CN(Cc1ccccn1)C1=CNC=CC1CN(C)c1ccc2ncccc2c1")</f>
        <v>CN(Cc1ccccn1)C1=CNC=CC1CN(C)c1ccc2ncccc2c1</v>
      </c>
      <c r="C18548" s="7">
        <f>IFERROR(__xludf.DUMMYFUNCTION("""COMPUTED_VALUE"""),7.725432)</f>
        <v>7.725432</v>
      </c>
      <c r="D18548" s="7">
        <f>IFERROR(__xludf.DUMMYFUNCTION("""COMPUTED_VALUE"""),0.379310344827586)</f>
        <v>0.3793103448</v>
      </c>
    </row>
    <row r="18549">
      <c r="A18549" s="10" t="s">
        <v>19988</v>
      </c>
      <c r="B18549" s="7" t="str">
        <f>IFERROR(__xludf.DUMMYFUNCTION("SPLIT(A18549,"" "")"),"c1ccc(-c2cccnc2)nc1")</f>
        <v>c1ccc(-c2cccnc2)nc1</v>
      </c>
      <c r="C18549" s="7">
        <f>IFERROR(__xludf.DUMMYFUNCTION("""COMPUTED_VALUE"""),7.7254314)</f>
        <v>7.7254314</v>
      </c>
      <c r="D18549" s="7">
        <f>IFERROR(__xludf.DUMMYFUNCTION("""COMPUTED_VALUE"""),0.361111111111111)</f>
        <v>0.3611111111</v>
      </c>
    </row>
    <row r="18550">
      <c r="A18550" s="10" t="s">
        <v>19989</v>
      </c>
      <c r="B18550" s="7" t="str">
        <f>IFERROR(__xludf.DUMMYFUNCTION("SPLIT(A18550,"" "")"),"CCN(C)c1ccc2cccnc2c1-c1cc(CN(C)C2CCC(N(C)c3ccc4ncccc4c3)CC2)ccn1")</f>
        <v>CCN(C)c1ccc2cccnc2c1-c1cc(CN(C)C2CCC(N(C)c3ccc4ncccc4c3)CC2)ccn1</v>
      </c>
      <c r="C18550" s="7">
        <f>IFERROR(__xludf.DUMMYFUNCTION("""COMPUTED_VALUE"""),7.7254305)</f>
        <v>7.7254305</v>
      </c>
      <c r="D18550" s="7">
        <f>IFERROR(__xludf.DUMMYFUNCTION("""COMPUTED_VALUE"""),0.318840579710144)</f>
        <v>0.3188405797</v>
      </c>
    </row>
    <row r="18551">
      <c r="A18551" s="10" t="s">
        <v>19990</v>
      </c>
      <c r="B18551" s="7" t="str">
        <f>IFERROR(__xludf.DUMMYFUNCTION("SPLIT(A18551,"" "")"),"Cc1ccc(CN(C)c2ccc3nc(CN(C)Cc4cc(N)ccn4)ccc3c2)nc1C")</f>
        <v>Cc1ccc(CN(C)c2ccc3nc(CN(C)Cc4cc(N)ccn4)ccc3c2)nc1C</v>
      </c>
      <c r="C18551" s="7">
        <f>IFERROR(__xludf.DUMMYFUNCTION("""COMPUTED_VALUE"""),7.725429)</f>
        <v>7.725429</v>
      </c>
      <c r="D18551" s="7">
        <f>IFERROR(__xludf.DUMMYFUNCTION("""COMPUTED_VALUE"""),0.305084745762711)</f>
        <v>0.3050847458</v>
      </c>
    </row>
    <row r="18552">
      <c r="A18552" s="10" t="s">
        <v>19991</v>
      </c>
      <c r="B18552" s="7" t="str">
        <f>IFERROR(__xludf.DUMMYFUNCTION("SPLIT(A18552,"" "")"),"Cc1cc(CN(C)Cc2nc3ccccc3n2C)ncc1[SiH3]")</f>
        <v>Cc1cc(CN(C)Cc2nc3ccccc3n2C)ncc1[SiH3]</v>
      </c>
      <c r="C18552" s="7">
        <f>IFERROR(__xludf.DUMMYFUNCTION("""COMPUTED_VALUE"""),7.725427)</f>
        <v>7.725427</v>
      </c>
      <c r="D18552" s="7">
        <f>IFERROR(__xludf.DUMMYFUNCTION("""COMPUTED_VALUE"""),0.407407407407407)</f>
        <v>0.4074074074</v>
      </c>
    </row>
    <row r="18553">
      <c r="A18553" s="10" t="s">
        <v>19992</v>
      </c>
      <c r="B18553" s="7" t="str">
        <f>IFERROR(__xludf.DUMMYFUNCTION("SPLIT(A18553,"" "")"),"Cc1ccc(C)c(CN(Cc2ccccn2)c2ccc3ncccc3c2)c1C")</f>
        <v>Cc1ccc(C)c(CN(Cc2ccccn2)c2ccc3ncccc3c2)c1C</v>
      </c>
      <c r="C18553" s="7">
        <f>IFERROR(__xludf.DUMMYFUNCTION("""COMPUTED_VALUE"""),7.7254233)</f>
        <v>7.7254233</v>
      </c>
      <c r="D18553" s="7">
        <f>IFERROR(__xludf.DUMMYFUNCTION("""COMPUTED_VALUE"""),0.377358490566037)</f>
        <v>0.3773584906</v>
      </c>
    </row>
    <row r="18554">
      <c r="A18554" s="10" t="s">
        <v>19993</v>
      </c>
      <c r="B18554" s="7" t="str">
        <f>IFERROR(__xludf.DUMMYFUNCTION("SPLIT(A18554,"" "")"),"Cc1cncc(CN(C)CC2=CCC=C(N(C)c3ccc4cccnc4c3)N2)c1")</f>
        <v>Cc1cncc(CN(C)CC2=CCC=C(N(C)c3ccc4cccnc4c3)N2)c1</v>
      </c>
      <c r="C18554" s="7">
        <f>IFERROR(__xludf.DUMMYFUNCTION("""COMPUTED_VALUE"""),7.725416)</f>
        <v>7.725416</v>
      </c>
      <c r="D18554" s="7">
        <f>IFERROR(__xludf.DUMMYFUNCTION("""COMPUTED_VALUE"""),0.25)</f>
        <v>0.25</v>
      </c>
    </row>
    <row r="18555">
      <c r="A18555" s="10" t="s">
        <v>19994</v>
      </c>
      <c r="B18555" s="7" t="str">
        <f>IFERROR(__xludf.DUMMYFUNCTION("SPLIT(A18555,"" "")"),"CN(C)CCN(C)c1ccc2c(CN(C)C)ccnc2c1")</f>
        <v>CN(C)CCN(C)c1ccc2c(CN(C)C)ccnc2c1</v>
      </c>
      <c r="C18555" s="7">
        <f>IFERROR(__xludf.DUMMYFUNCTION("""COMPUTED_VALUE"""),7.7253976)</f>
        <v>7.7253976</v>
      </c>
      <c r="D18555" s="7">
        <f>IFERROR(__xludf.DUMMYFUNCTION("""COMPUTED_VALUE"""),0.326086956521739)</f>
        <v>0.3260869565</v>
      </c>
    </row>
    <row r="18556">
      <c r="A18556" s="10" t="s">
        <v>19995</v>
      </c>
      <c r="B18556" s="7" t="str">
        <f>IFERROR(__xludf.DUMMYFUNCTION("SPLIT(A18556,"" "")"),"CCN(CC1=CCC(N(C)Cc2ccccn2)=CN1)c1cccc2ncccc12")</f>
        <v>CCN(CC1=CCC(N(C)Cc2ccccn2)=CN1)c1cccc2ncccc12</v>
      </c>
      <c r="C18556" s="7">
        <f>IFERROR(__xludf.DUMMYFUNCTION("""COMPUTED_VALUE"""),7.725394)</f>
        <v>7.725394</v>
      </c>
      <c r="D18556" s="7">
        <f>IFERROR(__xludf.DUMMYFUNCTION("""COMPUTED_VALUE"""),0.360655737704918)</f>
        <v>0.3606557377</v>
      </c>
    </row>
    <row r="18557">
      <c r="A18557" s="10" t="s">
        <v>19996</v>
      </c>
      <c r="B18557" s="7" t="str">
        <f>IFERROR(__xludf.DUMMYFUNCTION("SPLIT(A18557,"" "")"),"CC(C)Nc1cccc2ncccc12")</f>
        <v>CC(C)Nc1cccc2ncccc12</v>
      </c>
      <c r="C18557" s="7">
        <f>IFERROR(__xludf.DUMMYFUNCTION("""COMPUTED_VALUE"""),7.725393)</f>
        <v>7.725393</v>
      </c>
      <c r="D18557" s="7">
        <f>IFERROR(__xludf.DUMMYFUNCTION("""COMPUTED_VALUE"""),0.25)</f>
        <v>0.25</v>
      </c>
    </row>
    <row r="18558">
      <c r="A18558" s="10" t="s">
        <v>19997</v>
      </c>
      <c r="B18558" s="7" t="str">
        <f>IFERROR(__xludf.DUMMYFUNCTION("SPLIT(A18558,"" "")"),"CNCc1ccc2cccc(N(C)C3C=CC=CN3)c2n1")</f>
        <v>CNCc1ccc2cccc(N(C)C3C=CC=CN3)c2n1</v>
      </c>
      <c r="C18558" s="7">
        <f>IFERROR(__xludf.DUMMYFUNCTION("""COMPUTED_VALUE"""),7.725387)</f>
        <v>7.725387</v>
      </c>
      <c r="D18558" s="7">
        <f>IFERROR(__xludf.DUMMYFUNCTION("""COMPUTED_VALUE"""),0.421052631578947)</f>
        <v>0.4210526316</v>
      </c>
    </row>
    <row r="18559">
      <c r="A18559" s="10" t="s">
        <v>19998</v>
      </c>
      <c r="B18559" s="7" t="str">
        <f>IFERROR(__xludf.DUMMYFUNCTION("SPLIT(A18559,"" "")"),"CCc1ccccc1-c1cc(C)cc(N=Cc2ccccn2)c1")</f>
        <v>CCc1ccccc1-c1cc(C)cc(N=Cc2ccccn2)c1</v>
      </c>
      <c r="C18559" s="7">
        <f>IFERROR(__xludf.DUMMYFUNCTION("""COMPUTED_VALUE"""),7.7253857)</f>
        <v>7.7253857</v>
      </c>
      <c r="D18559" s="7">
        <f>IFERROR(__xludf.DUMMYFUNCTION("""COMPUTED_VALUE"""),0.403846153846153)</f>
        <v>0.4038461538</v>
      </c>
    </row>
    <row r="18560">
      <c r="A18560" s="10" t="s">
        <v>19999</v>
      </c>
      <c r="B18560" s="7" t="str">
        <f>IFERROR(__xludf.DUMMYFUNCTION("SPLIT(A18560,"" "")"),"Cc1ccc2nccc(CN(C)Cc3nc(C)c(C)c(C)c3C)c2c1")</f>
        <v>Cc1ccc2nccc(CN(C)Cc3nc(C)c(C)c(C)c3C)c2c1</v>
      </c>
      <c r="C18560" s="7">
        <f>IFERROR(__xludf.DUMMYFUNCTION("""COMPUTED_VALUE"""),7.7253757)</f>
        <v>7.7253757</v>
      </c>
      <c r="D18560" s="7">
        <f>IFERROR(__xludf.DUMMYFUNCTION("""COMPUTED_VALUE"""),0.272727272727272)</f>
        <v>0.2727272727</v>
      </c>
    </row>
    <row r="18561">
      <c r="A18561" s="10" t="s">
        <v>20000</v>
      </c>
      <c r="B18561" s="7" t="str">
        <f>IFERROR(__xludf.DUMMYFUNCTION("SPLIT(A18561,"" "")"),"CC1=NC(c2cccc(CN(C)Cc3cccc(-c4cccc(N=Cc5ccccn5)c4)n3)n2)CO1")</f>
        <v>CC1=NC(c2cccc(CN(C)Cc3cccc(-c4cccc(N=Cc5ccccn5)c4)n3)n2)CO1</v>
      </c>
      <c r="C18561" s="7">
        <f>IFERROR(__xludf.DUMMYFUNCTION("""COMPUTED_VALUE"""),7.725375)</f>
        <v>7.725375</v>
      </c>
      <c r="D18561" s="7">
        <f>IFERROR(__xludf.DUMMYFUNCTION("""COMPUTED_VALUE"""),0.388059701492537)</f>
        <v>0.3880597015</v>
      </c>
    </row>
    <row r="18562">
      <c r="A18562" s="10" t="s">
        <v>20001</v>
      </c>
      <c r="B18562" s="7" t="str">
        <f>IFERROR(__xludf.DUMMYFUNCTION("SPLIT(A18562,"" "")"),"Cc1nc(CN(C)Cc2nc3ccccc3n2C)ccc1[SiH3]")</f>
        <v>Cc1nc(CN(C)Cc2nc3ccccc3n2C)ccc1[SiH3]</v>
      </c>
      <c r="C18562" s="7">
        <f>IFERROR(__xludf.DUMMYFUNCTION("""COMPUTED_VALUE"""),7.725358)</f>
        <v>7.725358</v>
      </c>
      <c r="D18562" s="7">
        <f>IFERROR(__xludf.DUMMYFUNCTION("""COMPUTED_VALUE"""),0.431372549019607)</f>
        <v>0.431372549</v>
      </c>
    </row>
    <row r="18563">
      <c r="A18563" s="10" t="s">
        <v>20002</v>
      </c>
      <c r="B18563" s="7" t="str">
        <f>IFERROR(__xludf.DUMMYFUNCTION("SPLIT(A18563,"" "")"),"FCc1ccc(NCc2cccc(-c3cccc(C(c4ccccn4)c4ccccn4)n3)n2)cn1")</f>
        <v>FCc1ccc(NCc2cccc(-c3cccc(C(c4ccccn4)c4ccccn4)n3)n2)cn1</v>
      </c>
      <c r="C18563" s="7">
        <f>IFERROR(__xludf.DUMMYFUNCTION("""COMPUTED_VALUE"""),7.7253513)</f>
        <v>7.7253513</v>
      </c>
      <c r="D18563" s="7">
        <f>IFERROR(__xludf.DUMMYFUNCTION("""COMPUTED_VALUE"""),0.350877192982456)</f>
        <v>0.350877193</v>
      </c>
    </row>
    <row r="18564">
      <c r="A18564" s="10" t="s">
        <v>20003</v>
      </c>
      <c r="B18564" s="7" t="str">
        <f>IFERROR(__xludf.DUMMYFUNCTION("SPLIT(A18564,"" "")"),"CC(C)C(C)(c1cccnc1)c1cc(CN(Cc2ccccn2)Cc2ccc3ccc4cccnc4c3n2)ccn1")</f>
        <v>CC(C)C(C)(c1cccnc1)c1cc(CN(Cc2ccccn2)Cc2ccc3ccc4cccnc4c3n2)ccn1</v>
      </c>
      <c r="C18564" s="7">
        <f>IFERROR(__xludf.DUMMYFUNCTION("""COMPUTED_VALUE"""),7.725334)</f>
        <v>7.725334</v>
      </c>
      <c r="D18564" s="7">
        <f>IFERROR(__xludf.DUMMYFUNCTION("""COMPUTED_VALUE"""),0.390625)</f>
        <v>0.390625</v>
      </c>
    </row>
    <row r="18565">
      <c r="A18565" s="10" t="s">
        <v>20004</v>
      </c>
      <c r="B18565" s="7" t="str">
        <f>IFERROR(__xludf.DUMMYFUNCTION("SPLIT(A18565,"" "")"),"CN(C)c1cc(-c2cncc3c2CCC3)ccc1N(C)C1CCCCC1N(C)c1ccc2cccnc2c1")</f>
        <v>CN(C)c1cc(-c2cncc3c2CCC3)ccc1N(C)C1CCCCC1N(C)c1ccc2cccnc2c1</v>
      </c>
      <c r="C18565" s="7">
        <f>IFERROR(__xludf.DUMMYFUNCTION("""COMPUTED_VALUE"""),7.7253313)</f>
        <v>7.7253313</v>
      </c>
      <c r="D18565" s="7">
        <f>IFERROR(__xludf.DUMMYFUNCTION("""COMPUTED_VALUE"""),0.393939393939393)</f>
        <v>0.3939393939</v>
      </c>
    </row>
    <row r="18566">
      <c r="A18566" s="10" t="s">
        <v>20005</v>
      </c>
      <c r="B18566" s="7" t="str">
        <f>IFERROR(__xludf.DUMMYFUNCTION("SPLIT(A18566,"" "")"),"FCc1nccc2c(N(Cc3ccccn3)Cc3ccccn3)cccc12")</f>
        <v>FCc1nccc2c(N(Cc3ccccn3)Cc3ccccn3)cccc12</v>
      </c>
      <c r="C18566" s="7">
        <f>IFERROR(__xludf.DUMMYFUNCTION("""COMPUTED_VALUE"""),7.725329)</f>
        <v>7.725329</v>
      </c>
      <c r="D18566" s="7">
        <f>IFERROR(__xludf.DUMMYFUNCTION("""COMPUTED_VALUE"""),0.425)</f>
        <v>0.425</v>
      </c>
    </row>
    <row r="18567">
      <c r="A18567" s="10" t="s">
        <v>20006</v>
      </c>
      <c r="B18567" s="7" t="str">
        <f>IFERROR(__xludf.DUMMYFUNCTION("SPLIT(A18567,"" "")"),"Cc1ccnc2cc(N(C)C3CCC(N(C)c4ccc5cccnc5c4)CC3)ccc12")</f>
        <v>Cc1ccnc2cc(N(C)C3CCC(N(C)c4ccc5cccnc5c4)CC3)ccc12</v>
      </c>
      <c r="C18567" s="7">
        <f>IFERROR(__xludf.DUMMYFUNCTION("""COMPUTED_VALUE"""),7.725323)</f>
        <v>7.725323</v>
      </c>
      <c r="D18567" s="7">
        <f>IFERROR(__xludf.DUMMYFUNCTION("""COMPUTED_VALUE"""),0.327272727272727)</f>
        <v>0.3272727273</v>
      </c>
    </row>
    <row r="18568">
      <c r="A18568" s="10" t="s">
        <v>20007</v>
      </c>
      <c r="B18568" s="7" t="str">
        <f>IFERROR(__xludf.DUMMYFUNCTION("SPLIT(A18568,"" "")"),"Cc1cc(C)c(CN(C)c2ccc(C)c(N(C)Cc3cccnc3)c2C)nc1C")</f>
        <v>Cc1cc(C)c(CN(C)c2ccc(C)c(N(C)Cc3cccnc3)c2C)nc1C</v>
      </c>
      <c r="C18568" s="7">
        <f>IFERROR(__xludf.DUMMYFUNCTION("""COMPUTED_VALUE"""),7.7253222)</f>
        <v>7.7253222</v>
      </c>
      <c r="D18568" s="7">
        <f>IFERROR(__xludf.DUMMYFUNCTION("""COMPUTED_VALUE"""),0.25)</f>
        <v>0.25</v>
      </c>
    </row>
    <row r="18569">
      <c r="A18569" s="10" t="s">
        <v>20008</v>
      </c>
      <c r="B18569" s="7" t="str">
        <f>IFERROR(__xludf.DUMMYFUNCTION("SPLIT(A18569,"" "")"),"CN(Cc1ccon1)Cc1ncccc1-c1ccccc1N(C)C")</f>
        <v>CN(Cc1ccon1)Cc1ncccc1-c1ccccc1N(C)C</v>
      </c>
      <c r="C18569" s="7">
        <f>IFERROR(__xludf.DUMMYFUNCTION("""COMPUTED_VALUE"""),7.725318)</f>
        <v>7.725318</v>
      </c>
      <c r="D18569" s="7">
        <f>IFERROR(__xludf.DUMMYFUNCTION("""COMPUTED_VALUE"""),0.477272727272727)</f>
        <v>0.4772727273</v>
      </c>
    </row>
    <row r="18570">
      <c r="A18570" s="10" t="s">
        <v>20009</v>
      </c>
      <c r="B18570" s="7" t="str">
        <f>IFERROR(__xludf.DUMMYFUNCTION("SPLIT(A18570,"" "")"),"CC(C)N(CC1=C(N(C)Cc2ccccn2)CC=CN1)c1cccc2ncccc12")</f>
        <v>CC(C)N(CC1=C(N(C)Cc2ccccn2)CC=CN1)c1cccc2ncccc12</v>
      </c>
      <c r="C18570" s="7">
        <f>IFERROR(__xludf.DUMMYFUNCTION("""COMPUTED_VALUE"""),7.7253175)</f>
        <v>7.7253175</v>
      </c>
      <c r="D18570" s="7">
        <f>IFERROR(__xludf.DUMMYFUNCTION("""COMPUTED_VALUE"""),0.360655737704918)</f>
        <v>0.3606557377</v>
      </c>
    </row>
    <row r="18571">
      <c r="A18571" s="10" t="s">
        <v>20010</v>
      </c>
      <c r="B18571" s="7" t="str">
        <f>IFERROR(__xludf.DUMMYFUNCTION("SPLIT(A18571,"" "")"),"c1ccc(CN(Cc2ccccn2)c2cccc3ncccc23)nc1")</f>
        <v>c1ccc(CN(Cc2ccccn2)c2cccc3ncccc23)nc1</v>
      </c>
      <c r="C18571" s="7">
        <f>IFERROR(__xludf.DUMMYFUNCTION("""COMPUTED_VALUE"""),7.725299)</f>
        <v>7.725299</v>
      </c>
      <c r="D18571" s="7">
        <f>IFERROR(__xludf.DUMMYFUNCTION("""COMPUTED_VALUE"""),0.485714285714285)</f>
        <v>0.4857142857</v>
      </c>
    </row>
    <row r="18572">
      <c r="A18572" s="10" t="s">
        <v>20011</v>
      </c>
      <c r="B18572" s="7" t="str">
        <f>IFERROR(__xludf.DUMMYFUNCTION("SPLIT(A18572,"" "")"),"Cc1ccnc(CN(C)c2ccccc2-c2ccccn2)c1")</f>
        <v>Cc1ccnc(CN(C)c2ccccc2-c2ccccn2)c1</v>
      </c>
      <c r="C18572" s="7">
        <f>IFERROR(__xludf.DUMMYFUNCTION("""COMPUTED_VALUE"""),7.725294)</f>
        <v>7.725294</v>
      </c>
      <c r="D18572" s="7">
        <f>IFERROR(__xludf.DUMMYFUNCTION("""COMPUTED_VALUE"""),0.488888888888888)</f>
        <v>0.4888888889</v>
      </c>
    </row>
    <row r="18573">
      <c r="A18573" s="10" t="s">
        <v>20012</v>
      </c>
      <c r="B18573" s="7" t="str">
        <f>IFERROR(__xludf.DUMMYFUNCTION("SPLIT(A18573,"" "")"),"CN(Cc1ccccn1)C1=CNC=CC1CN(C)c1ccc2cccnc2c1")</f>
        <v>CN(Cc1ccccn1)C1=CNC=CC1CN(C)c1ccc2cccnc2c1</v>
      </c>
      <c r="C18573" s="7">
        <f>IFERROR(__xludf.DUMMYFUNCTION("""COMPUTED_VALUE"""),7.725292)</f>
        <v>7.725292</v>
      </c>
      <c r="D18573" s="7">
        <f>IFERROR(__xludf.DUMMYFUNCTION("""COMPUTED_VALUE"""),0.389830508474576)</f>
        <v>0.3898305085</v>
      </c>
    </row>
    <row r="18574">
      <c r="A18574" s="10" t="s">
        <v>20013</v>
      </c>
      <c r="B18574" s="7" t="str">
        <f>IFERROR(__xludf.DUMMYFUNCTION("SPLIT(A18574,"" "")"),"CNCc1ccc2cccc(N(C)CC3=C(N(C)Cc4ncccc4C)CC=CN3)c2n1")</f>
        <v>CNCc1ccc2cccc(N(C)CC3=C(N(C)Cc4ncccc4C)CC=CN3)c2n1</v>
      </c>
      <c r="C18574" s="7">
        <f>IFERROR(__xludf.DUMMYFUNCTION("""COMPUTED_VALUE"""),7.725264)</f>
        <v>7.725264</v>
      </c>
      <c r="D18574" s="7">
        <f>IFERROR(__xludf.DUMMYFUNCTION("""COMPUTED_VALUE"""),0.348484848484848)</f>
        <v>0.3484848485</v>
      </c>
    </row>
    <row r="18575">
      <c r="A18575" s="10" t="s">
        <v>20014</v>
      </c>
      <c r="B18575" s="7" t="str">
        <f>IFERROR(__xludf.DUMMYFUNCTION("SPLIT(A18575,"" "")"),"Cc1cc(C)c(CN(C)Cc2cc(-c3ccc(N(C)Cc4cc(C)c(C)c(C)n4)cc3)ccn2)nc1C")</f>
        <v>Cc1cc(C)c(CN(C)Cc2cc(-c3ccc(N(C)Cc4cc(C)c(C)c(C)n4)cc3)ccn2)nc1C</v>
      </c>
      <c r="C18575" s="7">
        <f>IFERROR(__xludf.DUMMYFUNCTION("""COMPUTED_VALUE"""),7.7252564)</f>
        <v>7.7252564</v>
      </c>
      <c r="D18575" s="7">
        <f>IFERROR(__xludf.DUMMYFUNCTION("""COMPUTED_VALUE"""),0.265625)</f>
        <v>0.265625</v>
      </c>
    </row>
    <row r="18576">
      <c r="A18576" s="10" t="s">
        <v>20015</v>
      </c>
      <c r="B18576" s="7" t="str">
        <f>IFERROR(__xludf.DUMMYFUNCTION("SPLIT(A18576,"" "")"),"CNCc1cccc(-c2ccc(N(C)Cc3cccc(C)n3)cc2C)n1")</f>
        <v>CNCc1cccc(-c2ccc(N(C)Cc3cccc(C)n3)cc2C)n1</v>
      </c>
      <c r="C18576" s="7">
        <f>IFERROR(__xludf.DUMMYFUNCTION("""COMPUTED_VALUE"""),7.725251)</f>
        <v>7.725251</v>
      </c>
      <c r="D18576" s="7">
        <f>IFERROR(__xludf.DUMMYFUNCTION("""COMPUTED_VALUE"""),0.408163265306122)</f>
        <v>0.4081632653</v>
      </c>
    </row>
    <row r="18577">
      <c r="A18577" s="10" t="s">
        <v>20016</v>
      </c>
      <c r="B18577" s="7" t="str">
        <f>IFERROR(__xludf.DUMMYFUNCTION("SPLIT(A18577,"" "")"),"Cc1nc(CN(C)c2ccc3nc(CN(C)Cc4ccccn4)ccc3c2)c(C)c(C)c1C")</f>
        <v>Cc1nc(CN(C)c2ccc3nc(CN(C)Cc4ccccn4)ccc3c2)c(C)c(C)c1C</v>
      </c>
      <c r="C18577" s="7">
        <f>IFERROR(__xludf.DUMMYFUNCTION("""COMPUTED_VALUE"""),7.72525)</f>
        <v>7.72525</v>
      </c>
      <c r="D18577" s="7">
        <f>IFERROR(__xludf.DUMMYFUNCTION("""COMPUTED_VALUE"""),0.444444444444444)</f>
        <v>0.4444444444</v>
      </c>
    </row>
    <row r="18578">
      <c r="A18578" s="10" t="s">
        <v>20017</v>
      </c>
      <c r="B18578" s="7" t="str">
        <f>IFERROR(__xludf.DUMMYFUNCTION("SPLIT(A18578,"" "")"),"CCNCc1cc(N(C)Cc2ncccc2C)c2cccnc2c1")</f>
        <v>CCNCc1cc(N(C)Cc2ncccc2C)c2cccnc2c1</v>
      </c>
      <c r="C18578" s="7">
        <f>IFERROR(__xludf.DUMMYFUNCTION("""COMPUTED_VALUE"""),7.7252417)</f>
        <v>7.7252417</v>
      </c>
      <c r="D18578" s="7">
        <f>IFERROR(__xludf.DUMMYFUNCTION("""COMPUTED_VALUE"""),0.298245614035087)</f>
        <v>0.298245614</v>
      </c>
    </row>
    <row r="18579">
      <c r="A18579" s="10" t="s">
        <v>20018</v>
      </c>
      <c r="B18579" s="7" t="str">
        <f>IFERROR(__xludf.DUMMYFUNCTION("SPLIT(A18579,"" "")"),"C1=CCNC(N(Cc2ccccn2)Cc2ncccc2-c2ccccc2N=Cc2ccccn2)=C1")</f>
        <v>C1=CCNC(N(Cc2ccccn2)Cc2ncccc2-c2ccccc2N=Cc2ccccn2)=C1</v>
      </c>
      <c r="C18579" s="7">
        <f>IFERROR(__xludf.DUMMYFUNCTION("""COMPUTED_VALUE"""),7.725225)</f>
        <v>7.725225</v>
      </c>
      <c r="D18579" s="7">
        <f>IFERROR(__xludf.DUMMYFUNCTION("""COMPUTED_VALUE"""),0.360655737704918)</f>
        <v>0.3606557377</v>
      </c>
    </row>
    <row r="18580">
      <c r="A18580" s="10" t="s">
        <v>20019</v>
      </c>
      <c r="B18580" s="7" t="str">
        <f>IFERROR(__xludf.DUMMYFUNCTION("SPLIT(A18580,"" "")"),"CCN(CC1=CCC(N(C)Cc2ncccc2C)=CN1)c1ccc2cccnc2c1")</f>
        <v>CCN(CC1=CCC(N(C)Cc2ncccc2C)=CN1)c1ccc2cccnc2c1</v>
      </c>
      <c r="C18580" s="7">
        <f>IFERROR(__xludf.DUMMYFUNCTION("""COMPUTED_VALUE"""),7.7252173)</f>
        <v>7.7252173</v>
      </c>
      <c r="D18580" s="7">
        <f>IFERROR(__xludf.DUMMYFUNCTION("""COMPUTED_VALUE"""),0.25)</f>
        <v>0.25</v>
      </c>
    </row>
    <row r="18581">
      <c r="A18581" s="10" t="s">
        <v>20020</v>
      </c>
      <c r="B18581" s="7" t="str">
        <f>IFERROR(__xludf.DUMMYFUNCTION("SPLIT(A18581,"" "")"),"CN(C)c1ccc2ccc(CN(C)C3C=CC=CN3)nc2c1")</f>
        <v>CN(C)c1ccc2ccc(CN(C)C3C=CC=CN3)nc2c1</v>
      </c>
      <c r="C18581" s="7">
        <f>IFERROR(__xludf.DUMMYFUNCTION("""COMPUTED_VALUE"""),7.7252145)</f>
        <v>7.7252145</v>
      </c>
      <c r="D18581" s="7">
        <f>IFERROR(__xludf.DUMMYFUNCTION("""COMPUTED_VALUE"""),0.3125)</f>
        <v>0.3125</v>
      </c>
    </row>
    <row r="18582">
      <c r="A18582" s="10" t="s">
        <v>20021</v>
      </c>
      <c r="B18582" s="7" t="str">
        <f>IFERROR(__xludf.DUMMYFUNCTION("SPLIT(A18582,"" "")"),"c1ccc(-c2ccccn2)nc1")</f>
        <v>c1ccc(-c2ccccn2)nc1</v>
      </c>
      <c r="C18582" s="7">
        <f>IFERROR(__xludf.DUMMYFUNCTION("""COMPUTED_VALUE"""),7.7252116)</f>
        <v>7.7252116</v>
      </c>
      <c r="D18582" s="7">
        <f>IFERROR(__xludf.DUMMYFUNCTION("""COMPUTED_VALUE"""),0.481481481481481)</f>
        <v>0.4814814815</v>
      </c>
    </row>
    <row r="18583">
      <c r="A18583" s="10" t="s">
        <v>20022</v>
      </c>
      <c r="B18583" s="7" t="str">
        <f>IFERROR(__xludf.DUMMYFUNCTION("SPLIT(A18583,"" "")"),"C1=CNC(NCc2ncccc2-c2ncccc2C(c2ccccn2)c2ccccn2)C=C1")</f>
        <v>C1=CNC(NCc2ncccc2-c2ncccc2C(c2ccccn2)c2ccccn2)C=C1</v>
      </c>
      <c r="C18583" s="7">
        <f>IFERROR(__xludf.DUMMYFUNCTION("""COMPUTED_VALUE"""),7.725211)</f>
        <v>7.725211</v>
      </c>
      <c r="D18583" s="7">
        <f>IFERROR(__xludf.DUMMYFUNCTION("""COMPUTED_VALUE"""),0.3125)</f>
        <v>0.3125</v>
      </c>
    </row>
    <row r="18584">
      <c r="A18584" s="10" t="s">
        <v>20023</v>
      </c>
      <c r="B18584" s="7" t="str">
        <f>IFERROR(__xludf.DUMMYFUNCTION("SPLIT(A18584,"" "")"),"Cc1cccnc1CN(C)Cc1ccc2cc(N(C)Cc3c(C)cncc3C)ccc2n1")</f>
        <v>Cc1cccnc1CN(C)Cc1ccc2cc(N(C)Cc3c(C)cncc3C)ccc2n1</v>
      </c>
      <c r="C18584" s="7">
        <f>IFERROR(__xludf.DUMMYFUNCTION("""COMPUTED_VALUE"""),7.725211)</f>
        <v>7.725211</v>
      </c>
      <c r="D18584" s="7">
        <f>IFERROR(__xludf.DUMMYFUNCTION("""COMPUTED_VALUE"""),0.316666666666666)</f>
        <v>0.3166666667</v>
      </c>
    </row>
    <row r="18585">
      <c r="A18585" s="10" t="s">
        <v>20024</v>
      </c>
      <c r="B18585" s="7" t="str">
        <f>IFERROR(__xludf.DUMMYFUNCTION("SPLIT(A18585,"" "")"),"CCNCC1=CCC=C(N(C)c2cccc3ncccc23)N1")</f>
        <v>CCNCC1=CCC=C(N(C)c2cccc3ncccc23)N1</v>
      </c>
      <c r="C18585" s="7">
        <f>IFERROR(__xludf.DUMMYFUNCTION("""COMPUTED_VALUE"""),7.725211)</f>
        <v>7.725211</v>
      </c>
      <c r="D18585" s="7">
        <f>IFERROR(__xludf.DUMMYFUNCTION("""COMPUTED_VALUE"""),0.280701754385964)</f>
        <v>0.2807017544</v>
      </c>
    </row>
    <row r="18586">
      <c r="A18586" s="10" t="s">
        <v>20025</v>
      </c>
      <c r="B18586" s="7" t="str">
        <f>IFERROR(__xludf.DUMMYFUNCTION("SPLIT(A18586,"" "")"),"FCNc1cccc(-c2cccc(C(c3ccccn3)c3ccccn3)n2)n1")</f>
        <v>FCNc1cccc(-c2cccc(C(c3ccccn3)c3ccccn3)n2)n1</v>
      </c>
      <c r="C18586" s="7">
        <f>IFERROR(__xludf.DUMMYFUNCTION("""COMPUTED_VALUE"""),7.725209)</f>
        <v>7.725209</v>
      </c>
      <c r="D18586" s="7">
        <f>IFERROR(__xludf.DUMMYFUNCTION("""COMPUTED_VALUE"""),0.431372549019607)</f>
        <v>0.431372549</v>
      </c>
    </row>
    <row r="18587">
      <c r="A18587" s="10" t="s">
        <v>20026</v>
      </c>
      <c r="B18587" s="7" t="str">
        <f>IFERROR(__xludf.DUMMYFUNCTION("SPLIT(A18587,"" "")"),"Cc1ccc2ccc(N(C)C3CCCC(N(C)c4ccc5nccc(CN(C)C)c5c4)C3)cc2n1")</f>
        <v>Cc1ccc2ccc(N(C)C3CCCC(N(C)c4ccc5nccc(CN(C)C)c5c4)C3)cc2n1</v>
      </c>
      <c r="C18587" s="7">
        <f>IFERROR(__xludf.DUMMYFUNCTION("""COMPUTED_VALUE"""),7.7252083)</f>
        <v>7.7252083</v>
      </c>
      <c r="D18587" s="7">
        <f>IFERROR(__xludf.DUMMYFUNCTION("""COMPUTED_VALUE"""),0.265625)</f>
        <v>0.265625</v>
      </c>
    </row>
    <row r="18588">
      <c r="A18588" s="10" t="s">
        <v>20027</v>
      </c>
      <c r="B18588" s="7" t="str">
        <f>IFERROR(__xludf.DUMMYFUNCTION("SPLIT(A18588,"" "")"),"CC(C)N(Cc1ccccn1)c1ccc2nccc(CF)c2c1")</f>
        <v>CC(C)N(Cc1ccccn1)c1ccc2nccc(CF)c2c1</v>
      </c>
      <c r="C18588" s="7">
        <f>IFERROR(__xludf.DUMMYFUNCTION("""COMPUTED_VALUE"""),7.725202)</f>
        <v>7.725202</v>
      </c>
      <c r="D18588" s="7">
        <f>IFERROR(__xludf.DUMMYFUNCTION("""COMPUTED_VALUE"""),0.42)</f>
        <v>0.42</v>
      </c>
    </row>
    <row r="18589">
      <c r="A18589" s="10" t="s">
        <v>20028</v>
      </c>
      <c r="B18589" s="7" t="str">
        <f>IFERROR(__xludf.DUMMYFUNCTION("SPLIT(A18589,"" "")"),"CC(C)N(C)c1ccc2nccc(C(C)(C)C)c2c1")</f>
        <v>CC(C)N(C)c1ccc2nccc(C(C)(C)C)c2c1</v>
      </c>
      <c r="C18589" s="7">
        <f>IFERROR(__xludf.DUMMYFUNCTION("""COMPUTED_VALUE"""),7.7251925)</f>
        <v>7.7251925</v>
      </c>
      <c r="D18589" s="7">
        <f>IFERROR(__xludf.DUMMYFUNCTION("""COMPUTED_VALUE"""),0.244897959183673)</f>
        <v>0.2448979592</v>
      </c>
    </row>
    <row r="18590">
      <c r="A18590" s="10" t="s">
        <v>20029</v>
      </c>
      <c r="B18590" s="7" t="str">
        <f>IFERROR(__xludf.DUMMYFUNCTION("SPLIT(A18590,"" "")"),"Cc1ccc2cccnc2c1N(C)CCN")</f>
        <v>Cc1ccc2cccnc2c1N(C)CCN</v>
      </c>
      <c r="C18590" s="7">
        <f>IFERROR(__xludf.DUMMYFUNCTION("""COMPUTED_VALUE"""),7.7251825)</f>
        <v>7.7251825</v>
      </c>
      <c r="D18590" s="7">
        <f>IFERROR(__xludf.DUMMYFUNCTION("""COMPUTED_VALUE"""),0.48780487804878)</f>
        <v>0.487804878</v>
      </c>
    </row>
    <row r="18591">
      <c r="A18591" s="10" t="s">
        <v>20030</v>
      </c>
      <c r="B18591" s="7" t="str">
        <f>IFERROR(__xludf.DUMMYFUNCTION("SPLIT(A18591,"" "")"),"Cc1cccnc1CN(C)c1ccc2nc(CN(C)C3C=CC=CN3)ccc2c1")</f>
        <v>Cc1cccnc1CN(C)c1ccc2nc(CN(C)C3C=CC=CN3)ccc2c1</v>
      </c>
      <c r="C18591" s="7">
        <f>IFERROR(__xludf.DUMMYFUNCTION("""COMPUTED_VALUE"""),7.725172)</f>
        <v>7.725172</v>
      </c>
      <c r="D18591" s="7">
        <f>IFERROR(__xludf.DUMMYFUNCTION("""COMPUTED_VALUE"""),0.308823529411764)</f>
        <v>0.3088235294</v>
      </c>
    </row>
    <row r="18592">
      <c r="A18592" s="10" t="s">
        <v>20031</v>
      </c>
      <c r="B18592" s="7" t="str">
        <f>IFERROR(__xludf.DUMMYFUNCTION("SPLIT(A18592,"" "")"),"Cc1ccc(C)c(N(Cc2ccc3ncccc3c2)Cc2ccccn2)c1C")</f>
        <v>Cc1ccc(C)c(N(Cc2ccc3ncccc3c2)Cc2ccccn2)c1C</v>
      </c>
      <c r="C18592" s="7">
        <f>IFERROR(__xludf.DUMMYFUNCTION("""COMPUTED_VALUE"""),7.7251678)</f>
        <v>7.7251678</v>
      </c>
      <c r="D18592" s="7">
        <f>IFERROR(__xludf.DUMMYFUNCTION("""COMPUTED_VALUE"""),0.37037037037037)</f>
        <v>0.3703703704</v>
      </c>
    </row>
    <row r="18593">
      <c r="A18593" s="10" t="s">
        <v>20032</v>
      </c>
      <c r="B18593" s="7" t="str">
        <f>IFERROR(__xludf.DUMMYFUNCTION("SPLIT(A18593,"" "")"),"Cc1cnc(CN(C)Cc2ccnc3ccc(N(Cc4ccccn4)C4C=CNC=C4)cc23)c(C)c1C")</f>
        <v>Cc1cnc(CN(C)Cc2ccnc3ccc(N(Cc4ccccn4)C4C=CNC=C4)cc23)c(C)c1C</v>
      </c>
      <c r="C18593" s="7">
        <f>IFERROR(__xludf.DUMMYFUNCTION("""COMPUTED_VALUE"""),7.725165)</f>
        <v>7.725165</v>
      </c>
      <c r="D18593" s="7">
        <f>IFERROR(__xludf.DUMMYFUNCTION("""COMPUTED_VALUE"""),0.297297297297297)</f>
        <v>0.2972972973</v>
      </c>
    </row>
    <row r="18594">
      <c r="A18594" s="10" t="s">
        <v>20033</v>
      </c>
      <c r="B18594" s="7" t="str">
        <f>IFERROR(__xludf.DUMMYFUNCTION("SPLIT(A18594,"" "")"),"Nc1ccc(Cl)c(-c2cccnc2CN(Cc2ccccn2)C2=CCC=CN2)c1")</f>
        <v>Nc1ccc(Cl)c(-c2cccnc2CN(Cc2ccccn2)C2=CCC=CN2)c1</v>
      </c>
      <c r="C18594" s="7">
        <f>IFERROR(__xludf.DUMMYFUNCTION("""COMPUTED_VALUE"""),7.725165)</f>
        <v>7.725165</v>
      </c>
      <c r="D18594" s="7">
        <f>IFERROR(__xludf.DUMMYFUNCTION("""COMPUTED_VALUE"""),0.428571428571428)</f>
        <v>0.4285714286</v>
      </c>
    </row>
    <row r="18595">
      <c r="A18595" s="10" t="s">
        <v>20034</v>
      </c>
      <c r="B18595" s="7" t="str">
        <f>IFERROR(__xludf.DUMMYFUNCTION("SPLIT(A18595,"" "")"),"CC(C)(c1ccccn1)c1cccc(CN(Cc2ccccn2)c2ccc3ncccc3c2)n1")</f>
        <v>CC(C)(c1ccccn1)c1cccc(CN(Cc2ccccn2)c2ccc3ncccc3c2)n1</v>
      </c>
      <c r="C18595" s="7">
        <f>IFERROR(__xludf.DUMMYFUNCTION("""COMPUTED_VALUE"""),7.725146)</f>
        <v>7.725146</v>
      </c>
      <c r="D18595" s="7">
        <f>IFERROR(__xludf.DUMMYFUNCTION("""COMPUTED_VALUE"""),0.407407407407407)</f>
        <v>0.4074074074</v>
      </c>
    </row>
    <row r="18596">
      <c r="A18596" s="10" t="s">
        <v>20035</v>
      </c>
      <c r="B18596" s="7" t="str">
        <f>IFERROR(__xludf.DUMMYFUNCTION("SPLIT(A18596,"" "")"),"CCNc1cnccc1-c1ncccc1C(C)(c1ccccn1)c1ccccn1")</f>
        <v>CCNc1cnccc1-c1ncccc1C(C)(c1ccccn1)c1ccccn1</v>
      </c>
      <c r="C18596" s="7">
        <f>IFERROR(__xludf.DUMMYFUNCTION("""COMPUTED_VALUE"""),7.7251444)</f>
        <v>7.7251444</v>
      </c>
      <c r="D18596" s="7">
        <f>IFERROR(__xludf.DUMMYFUNCTION("""COMPUTED_VALUE"""),0.428571428571428)</f>
        <v>0.4285714286</v>
      </c>
    </row>
    <row r="18597">
      <c r="A18597" s="10" t="s">
        <v>20036</v>
      </c>
      <c r="B18597" s="7" t="str">
        <f>IFERROR(__xludf.DUMMYFUNCTION("SPLIT(A18597,"" "")"),"Cc1cc(N(C)C2CCCC(N(C)c3cccc4ncccc34)C2)c2cccnc2c1")</f>
        <v>Cc1cc(N(C)C2CCCC(N(C)c3cccc4ncccc34)C2)c2cccnc2c1</v>
      </c>
      <c r="C18597" s="7">
        <f>IFERROR(__xludf.DUMMYFUNCTION("""COMPUTED_VALUE"""),7.7251334)</f>
        <v>7.7251334</v>
      </c>
      <c r="D18597" s="7">
        <f>IFERROR(__xludf.DUMMYFUNCTION("""COMPUTED_VALUE"""),0.37037037037037)</f>
        <v>0.3703703704</v>
      </c>
    </row>
    <row r="18598">
      <c r="A18598" s="10" t="s">
        <v>20037</v>
      </c>
      <c r="B18598" s="7" t="str">
        <f>IFERROR(__xludf.DUMMYFUNCTION("SPLIT(A18598,"" "")"),"CC(C)(C1=CC2C=Cc3cccnc3C2=CN1)c1ccccn1")</f>
        <v>CC(C)(C1=CC2C=Cc3cccnc3C2=CN1)c1ccccn1</v>
      </c>
      <c r="C18598" s="7">
        <f>IFERROR(__xludf.DUMMYFUNCTION("""COMPUTED_VALUE"""),7.7251306)</f>
        <v>7.7251306</v>
      </c>
      <c r="D18598" s="7">
        <f>IFERROR(__xludf.DUMMYFUNCTION("""COMPUTED_VALUE"""),0.293103448275862)</f>
        <v>0.2931034483</v>
      </c>
    </row>
    <row r="18599">
      <c r="A18599" s="10" t="s">
        <v>20038</v>
      </c>
      <c r="B18599" s="7" t="str">
        <f>IFERROR(__xludf.DUMMYFUNCTION("SPLIT(A18599,"" "")"),"CN(Cc1ccccn1)C1=CNC(CN(C)c2ccccc2-c2ccccn2)=CC1")</f>
        <v>CN(Cc1ccccn1)C1=CNC(CN(C)c2ccccc2-c2ccccn2)=CC1</v>
      </c>
      <c r="C18599" s="7">
        <f>IFERROR(__xludf.DUMMYFUNCTION("""COMPUTED_VALUE"""),7.7251134)</f>
        <v>7.7251134</v>
      </c>
      <c r="D18599" s="7">
        <f>IFERROR(__xludf.DUMMYFUNCTION("""COMPUTED_VALUE"""),0.425925925925925)</f>
        <v>0.4259259259</v>
      </c>
    </row>
    <row r="18600">
      <c r="A18600" s="10" t="s">
        <v>20039</v>
      </c>
      <c r="B18600" s="7" t="str">
        <f>IFERROR(__xludf.DUMMYFUNCTION("SPLIT(A18600,"" "")"),"Cc1cnc2c(N(C)C3CCCCC3N(C)c3ccc4nccc(CF)c4c3)cccc2c1C")</f>
        <v>Cc1cnc2c(N(C)C3CCCCC3N(C)c3ccc4nccc(CF)c4c3)cccc2c1C</v>
      </c>
      <c r="C18600" s="7">
        <f>IFERROR(__xludf.DUMMYFUNCTION("""COMPUTED_VALUE"""),7.7251067)</f>
        <v>7.7251067</v>
      </c>
      <c r="D18600" s="7">
        <f>IFERROR(__xludf.DUMMYFUNCTION("""COMPUTED_VALUE"""),0.409090909090909)</f>
        <v>0.4090909091</v>
      </c>
    </row>
    <row r="18601">
      <c r="A18601" s="10" t="s">
        <v>20040</v>
      </c>
      <c r="B18601" s="7" t="str">
        <f>IFERROR(__xludf.DUMMYFUNCTION("SPLIT(A18601,"" "")"),"Cc1ccc(CN(C)Cc2nc3ccccc3n2C)nc1C")</f>
        <v>Cc1ccc(CN(C)Cc2nc3ccccc3n2C)nc1C</v>
      </c>
      <c r="C18601" s="7">
        <f>IFERROR(__xludf.DUMMYFUNCTION("""COMPUTED_VALUE"""),7.725083)</f>
        <v>7.725083</v>
      </c>
      <c r="D18601" s="7">
        <f>IFERROR(__xludf.DUMMYFUNCTION("""COMPUTED_VALUE"""),0.448979591836734)</f>
        <v>0.4489795918</v>
      </c>
    </row>
    <row r="18602">
      <c r="A18602" s="10" t="s">
        <v>20041</v>
      </c>
      <c r="B18602" s="7" t="str">
        <f>IFERROR(__xludf.DUMMYFUNCTION("SPLIT(A18602,"" "")"),"CNCC1=CC(N(C)c2ccc3cccnc3c2)C=CN1")</f>
        <v>CNCC1=CC(N(C)c2ccc3cccnc3c2)C=CN1</v>
      </c>
      <c r="C18602" s="7">
        <f>IFERROR(__xludf.DUMMYFUNCTION("""COMPUTED_VALUE"""),7.7250824)</f>
        <v>7.7250824</v>
      </c>
      <c r="D18602" s="7">
        <f>IFERROR(__xludf.DUMMYFUNCTION("""COMPUTED_VALUE"""),0.306451612903225)</f>
        <v>0.3064516129</v>
      </c>
    </row>
    <row r="18603">
      <c r="A18603" s="10" t="s">
        <v>20042</v>
      </c>
      <c r="B18603" s="7" t="str">
        <f>IFERROR(__xludf.DUMMYFUNCTION("SPLIT(A18603,"" "")"),"CN(C)c1ccccc1-c1cccnc1CN(Cc1ccccn1)C1=CCNC=C1")</f>
        <v>CN(C)c1ccccc1-c1cccnc1CN(Cc1ccccn1)C1=CCNC=C1</v>
      </c>
      <c r="C18603" s="7">
        <f>IFERROR(__xludf.DUMMYFUNCTION("""COMPUTED_VALUE"""),7.7250767)</f>
        <v>7.7250767</v>
      </c>
      <c r="D18603" s="7">
        <f>IFERROR(__xludf.DUMMYFUNCTION("""COMPUTED_VALUE"""),0.338983050847457)</f>
        <v>0.3389830508</v>
      </c>
    </row>
    <row r="18604">
      <c r="A18604" s="10" t="s">
        <v>20043</v>
      </c>
      <c r="B18604" s="7" t="str">
        <f>IFERROR(__xludf.DUMMYFUNCTION("SPLIT(A18604,"" "")"),"CNCc1cccc(-c2ccccc2N=Cc2ccccn2)n1")</f>
        <v>CNCc1cccc(-c2ccccc2N=Cc2ccccn2)n1</v>
      </c>
      <c r="C18604" s="7">
        <f>IFERROR(__xludf.DUMMYFUNCTION("""COMPUTED_VALUE"""),7.72507)</f>
        <v>7.72507</v>
      </c>
      <c r="D18604" s="7">
        <f>IFERROR(__xludf.DUMMYFUNCTION("""COMPUTED_VALUE"""),0.48)</f>
        <v>0.48</v>
      </c>
    </row>
    <row r="18605">
      <c r="A18605" s="10" t="s">
        <v>20044</v>
      </c>
      <c r="B18605" s="7" t="str">
        <f>IFERROR(__xludf.DUMMYFUNCTION("SPLIT(A18605,"" "")"),"FCc1ncccc1NCc1cccc(-c2cccc(C(c3ccccn3)c3ccccn3)n2)n1")</f>
        <v>FCc1ncccc1NCc1cccc(-c2cccc(C(c3ccccn3)c3ccccn3)n2)n1</v>
      </c>
      <c r="C18605" s="7">
        <f>IFERROR(__xludf.DUMMYFUNCTION("""COMPUTED_VALUE"""),7.725054)</f>
        <v>7.725054</v>
      </c>
      <c r="D18605" s="7">
        <f>IFERROR(__xludf.DUMMYFUNCTION("""COMPUTED_VALUE"""),0.357142857142857)</f>
        <v>0.3571428571</v>
      </c>
    </row>
    <row r="18606">
      <c r="A18606" s="10" t="s">
        <v>20045</v>
      </c>
      <c r="B18606" s="7" t="str">
        <f>IFERROR(__xludf.DUMMYFUNCTION("SPLIT(A18606,"" "")"),"CN(CC1C(N(C)c2ccc3ncccc3c2)CCN1C)c1ccc2ncc(CF)cc2c1")</f>
        <v>CN(CC1C(N(C)c2ccc3ncccc3c2)CCN1C)c1ccc2ncc(CF)cc2c1</v>
      </c>
      <c r="C18606" s="7">
        <f>IFERROR(__xludf.DUMMYFUNCTION("""COMPUTED_VALUE"""),7.7250257)</f>
        <v>7.7250257</v>
      </c>
      <c r="D18606" s="7">
        <f>IFERROR(__xludf.DUMMYFUNCTION("""COMPUTED_VALUE"""),0.294117647058823)</f>
        <v>0.2941176471</v>
      </c>
    </row>
    <row r="18607">
      <c r="A18607" s="10" t="s">
        <v>20046</v>
      </c>
      <c r="B18607" s="7" t="str">
        <f>IFERROR(__xludf.DUMMYFUNCTION("SPLIT(A18607,"" "")"),"CNCc1cc(CN(C)c2ccc3ncccc3c2)ccn1")</f>
        <v>CNCc1cc(CN(C)c2ccc3ncccc3c2)ccn1</v>
      </c>
      <c r="C18607" s="7">
        <f>IFERROR(__xludf.DUMMYFUNCTION("""COMPUTED_VALUE"""),7.7250233)</f>
        <v>7.7250233</v>
      </c>
      <c r="D18607" s="7">
        <f>IFERROR(__xludf.DUMMYFUNCTION("""COMPUTED_VALUE"""),0.320754716981132)</f>
        <v>0.320754717</v>
      </c>
    </row>
    <row r="18608">
      <c r="A18608" s="10" t="s">
        <v>20047</v>
      </c>
      <c r="B18608" s="7" t="str">
        <f>IFERROR(__xludf.DUMMYFUNCTION("SPLIT(A18608,"" "")"),"CCN(Cc1cc(C)ccn1)c1ccc2nccc(CF)c2c1")</f>
        <v>CCN(Cc1cc(C)ccn1)c1ccc2nccc(CF)c2c1</v>
      </c>
      <c r="C18608" s="7">
        <f>IFERROR(__xludf.DUMMYFUNCTION("""COMPUTED_VALUE"""),7.725016)</f>
        <v>7.725016</v>
      </c>
      <c r="D18608" s="7">
        <f>IFERROR(__xludf.DUMMYFUNCTION("""COMPUTED_VALUE"""),0.309090909090909)</f>
        <v>0.3090909091</v>
      </c>
    </row>
    <row r="18609">
      <c r="A18609" s="10" t="s">
        <v>20048</v>
      </c>
      <c r="B18609" s="7" t="str">
        <f>IFERROR(__xludf.DUMMYFUNCTION("SPLIT(A18609,"" "")"),"Cc1cccnc1CN(C)Cc1ccnc2ccc(N(C)Cc3ccccn3)cc12")</f>
        <v>Cc1cccnc1CN(C)Cc1ccnc2ccc(N(C)Cc3ccccn3)cc12</v>
      </c>
      <c r="C18609" s="7">
        <f>IFERROR(__xludf.DUMMYFUNCTION("""COMPUTED_VALUE"""),7.725014)</f>
        <v>7.725014</v>
      </c>
      <c r="D18609" s="7">
        <f>IFERROR(__xludf.DUMMYFUNCTION("""COMPUTED_VALUE"""),0.392857142857142)</f>
        <v>0.3928571429</v>
      </c>
    </row>
    <row r="18610">
      <c r="A18610" s="10" t="s">
        <v>20049</v>
      </c>
      <c r="B18610" s="7" t="str">
        <f>IFERROR(__xludf.DUMMYFUNCTION("SPLIT(A18610,"" "")"),"CNCC1=CC(N(C)c2ccc3ncccc3c2)C=CN1")</f>
        <v>CNCC1=CC(N(C)c2ccc3ncccc3c2)C=CN1</v>
      </c>
      <c r="C18610" s="7">
        <f>IFERROR(__xludf.DUMMYFUNCTION("""COMPUTED_VALUE"""),7.725014)</f>
        <v>7.725014</v>
      </c>
      <c r="D18610" s="7">
        <f>IFERROR(__xludf.DUMMYFUNCTION("""COMPUTED_VALUE"""),0.311475409836065)</f>
        <v>0.3114754098</v>
      </c>
    </row>
    <row r="18611">
      <c r="A18611" s="10" t="s">
        <v>20050</v>
      </c>
      <c r="B18611" s="7" t="str">
        <f>IFERROR(__xludf.DUMMYFUNCTION("SPLIT(A18611,"" "")"),"C1=CCNC(NCc2cccc(-c3cccc(C(c4ccccn4)c4ccccn4)n3)n2)=C1")</f>
        <v>C1=CCNC(NCc2cccc(-c3cccc(C(c4ccccn4)c4ccccn4)n3)n2)=C1</v>
      </c>
      <c r="C18611" s="7">
        <f>IFERROR(__xludf.DUMMYFUNCTION("""COMPUTED_VALUE"""),7.725005)</f>
        <v>7.725005</v>
      </c>
      <c r="D18611" s="7">
        <f>IFERROR(__xludf.DUMMYFUNCTION("""COMPUTED_VALUE"""),0.322033898305084)</f>
        <v>0.3220338983</v>
      </c>
    </row>
    <row r="18612">
      <c r="A18612" s="10" t="s">
        <v>20051</v>
      </c>
      <c r="B18612" s="7" t="str">
        <f>IFERROR(__xludf.DUMMYFUNCTION("SPLIT(A18612,"" "")"),"Cc1ccnc(CN(Cc2ccnc(-c3c(N(Cc4ccccn4)C(C)C)ccc4nccc(C(C)(C)C)c34)c2)Cc2ccccn2)c1")</f>
        <v>Cc1ccnc(CN(Cc2ccnc(-c3c(N(Cc4ccccn4)C(C)C)ccc4nccc(C(C)(C)C)c34)c2)Cc2ccccn2)c1</v>
      </c>
      <c r="C18612" s="7">
        <f>IFERROR(__xludf.DUMMYFUNCTION("""COMPUTED_VALUE"""),7.724996)</f>
        <v>7.724996</v>
      </c>
      <c r="D18612" s="7">
        <f>IFERROR(__xludf.DUMMYFUNCTION("""COMPUTED_VALUE"""),0.32258064516129)</f>
        <v>0.3225806452</v>
      </c>
    </row>
    <row r="18613">
      <c r="A18613" s="10" t="s">
        <v>20052</v>
      </c>
      <c r="B18613" s="7" t="str">
        <f>IFERROR(__xludf.DUMMYFUNCTION("SPLIT(A18613,"" "")"),"Cc1nc(CN(C)Cc2ccc(-c3cccc(N(C)C)c3)nc2)c(C)c(C)c1C")</f>
        <v>Cc1nc(CN(C)Cc2ccc(-c3cccc(N(C)C)c3)nc2)c(C)c(C)c1C</v>
      </c>
      <c r="C18613" s="7">
        <f>IFERROR(__xludf.DUMMYFUNCTION("""COMPUTED_VALUE"""),7.724993)</f>
        <v>7.724993</v>
      </c>
      <c r="D18613" s="7">
        <f>IFERROR(__xludf.DUMMYFUNCTION("""COMPUTED_VALUE"""),0.262295081967213)</f>
        <v>0.262295082</v>
      </c>
    </row>
    <row r="18614">
      <c r="A18614" s="10" t="s">
        <v>20053</v>
      </c>
      <c r="B18614" s="7" t="str">
        <f>IFERROR(__xludf.DUMMYFUNCTION("SPLIT(A18614,"" "")"),"CN(Cc1ccccn1)C1=C(CN(Cc2cccnc2)c2cccc3ncccc23)NC=CC1")</f>
        <v>CN(Cc1ccccn1)C1=C(CN(Cc2cccnc2)c2cccc3ncccc23)NC=CC1</v>
      </c>
      <c r="C18614" s="7">
        <f>IFERROR(__xludf.DUMMYFUNCTION("""COMPUTED_VALUE"""),7.724982)</f>
        <v>7.724982</v>
      </c>
      <c r="D18614" s="7">
        <f>IFERROR(__xludf.DUMMYFUNCTION("""COMPUTED_VALUE"""),0.328358208955223)</f>
        <v>0.328358209</v>
      </c>
    </row>
    <row r="18615">
      <c r="A18615" s="10" t="s">
        <v>20054</v>
      </c>
      <c r="B18615" s="7" t="str">
        <f>IFERROR(__xludf.DUMMYFUNCTION("SPLIT(A18615,"" "")"),"Fc1ccc(N(Cc2ccccn2)Cc2ncccc2-c2ccccc2N=Cc2ccccn2)cc1")</f>
        <v>Fc1ccc(N(Cc2ccccn2)Cc2ncccc2-c2ccccc2N=Cc2ccccn2)cc1</v>
      </c>
      <c r="C18615" s="7">
        <f>IFERROR(__xludf.DUMMYFUNCTION("""COMPUTED_VALUE"""),7.72498)</f>
        <v>7.72498</v>
      </c>
      <c r="D18615" s="7">
        <f>IFERROR(__xludf.DUMMYFUNCTION("""COMPUTED_VALUE"""),0.444444444444444)</f>
        <v>0.4444444444</v>
      </c>
    </row>
    <row r="18616">
      <c r="A18616" s="10" t="s">
        <v>20055</v>
      </c>
      <c r="B18616" s="7" t="str">
        <f>IFERROR(__xludf.DUMMYFUNCTION("SPLIT(A18616,"" "")"),"CN(CC1=CCC=C(N(C)c2ccc3cccnc3c2)N1)Cc1ccccn1")</f>
        <v>CN(CC1=CCC=C(N(C)c2ccc3cccnc3c2)N1)Cc1ccccn1</v>
      </c>
      <c r="C18616" s="7">
        <f>IFERROR(__xludf.DUMMYFUNCTION("""COMPUTED_VALUE"""),7.7249794)</f>
        <v>7.7249794</v>
      </c>
      <c r="D18616" s="7">
        <f>IFERROR(__xludf.DUMMYFUNCTION("""COMPUTED_VALUE"""),0.396551724137931)</f>
        <v>0.3965517241</v>
      </c>
    </row>
    <row r="18617">
      <c r="A18617" s="10" t="s">
        <v>20056</v>
      </c>
      <c r="B18617" s="7" t="str">
        <f>IFERROR(__xludf.DUMMYFUNCTION("SPLIT(A18617,"" "")"),"Cc1cncc(CN(C)Cc2ccc(N(C)c3ccc4nc(CF)ccc4c3)cn2)c1")</f>
        <v>Cc1cncc(CN(C)Cc2ccc(N(C)c3ccc4nc(CF)ccc4c3)cn2)c1</v>
      </c>
      <c r="C18617" s="7">
        <f>IFERROR(__xludf.DUMMYFUNCTION("""COMPUTED_VALUE"""),7.724978)</f>
        <v>7.724978</v>
      </c>
      <c r="D18617" s="7">
        <f>IFERROR(__xludf.DUMMYFUNCTION("""COMPUTED_VALUE"""),0.377358490566037)</f>
        <v>0.3773584906</v>
      </c>
    </row>
    <row r="18618">
      <c r="A18618" s="10" t="s">
        <v>20057</v>
      </c>
      <c r="B18618" s="7" t="str">
        <f>IFERROR(__xludf.DUMMYFUNCTION("SPLIT(A18618,"" "")"),"Cc1ncccc1CN(C)Cc1cccc(N(C)c2ccc3nc(CF)ccc3c2)n1")</f>
        <v>Cc1ncccc1CN(C)Cc1cccc(N(C)c2ccc3nc(CF)ccc3c2)n1</v>
      </c>
      <c r="C18618" s="7">
        <f>IFERROR(__xludf.DUMMYFUNCTION("""COMPUTED_VALUE"""),7.7249765)</f>
        <v>7.7249765</v>
      </c>
      <c r="D18618" s="7">
        <f>IFERROR(__xludf.DUMMYFUNCTION("""COMPUTED_VALUE"""),0.35593220338983)</f>
        <v>0.3559322034</v>
      </c>
    </row>
    <row r="18619">
      <c r="A18619" s="10" t="s">
        <v>20058</v>
      </c>
      <c r="B18619" s="7" t="str">
        <f>IFERROR(__xludf.DUMMYFUNCTION("SPLIT(A18619,"" "")"),"CN(C)Cc1ccnc2ccc(N(C)CCCN(C)Cc3ccc4ncccc4c3)cc12")</f>
        <v>CN(C)Cc1ccnc2ccc(N(C)CCCN(C)Cc3ccc4ncccc4c3)cc12</v>
      </c>
      <c r="C18619" s="7">
        <f>IFERROR(__xludf.DUMMYFUNCTION("""COMPUTED_VALUE"""),7.7249727)</f>
        <v>7.7249727</v>
      </c>
      <c r="D18619" s="7">
        <f>IFERROR(__xludf.DUMMYFUNCTION("""COMPUTED_VALUE"""),0.344827586206896)</f>
        <v>0.3448275862</v>
      </c>
    </row>
    <row r="18620">
      <c r="A18620" s="10" t="s">
        <v>20059</v>
      </c>
      <c r="B18620" s="7" t="str">
        <f>IFERROR(__xludf.DUMMYFUNCTION("SPLIT(A18620,"" "")"),"Cc1cc(N)nc(-c2cc(C)ccc2NCc2ccccn2)c1")</f>
        <v>Cc1cc(N)nc(-c2cc(C)ccc2NCc2ccccn2)c1</v>
      </c>
      <c r="C18620" s="7">
        <f>IFERROR(__xludf.DUMMYFUNCTION("""COMPUTED_VALUE"""),7.724972)</f>
        <v>7.724972</v>
      </c>
      <c r="D18620" s="7">
        <f>IFERROR(__xludf.DUMMYFUNCTION("""COMPUTED_VALUE"""),0.372881355932203)</f>
        <v>0.3728813559</v>
      </c>
    </row>
    <row r="18621">
      <c r="A18621" s="10" t="s">
        <v>20060</v>
      </c>
      <c r="B18621" s="7" t="str">
        <f>IFERROR(__xludf.DUMMYFUNCTION("SPLIT(A18621,"" "")"),"Cc1c(N=Cc2ccccn2)cccc1-c1ccc(C(C)C)c(-c2cccc(CN(Cc3ccccn3)Cc3ccccn3)n2)c1C")</f>
        <v>Cc1c(N=Cc2ccccn2)cccc1-c1ccc(C(C)C)c(-c2cccc(CN(Cc3ccccn3)Cc3ccccn3)n2)c1C</v>
      </c>
      <c r="C18621" s="7">
        <f>IFERROR(__xludf.DUMMYFUNCTION("""COMPUTED_VALUE"""),7.7249537)</f>
        <v>7.7249537</v>
      </c>
      <c r="D18621" s="7">
        <f>IFERROR(__xludf.DUMMYFUNCTION("""COMPUTED_VALUE"""),0.412698412698412)</f>
        <v>0.4126984127</v>
      </c>
    </row>
    <row r="18622">
      <c r="A18622" s="10" t="s">
        <v>20061</v>
      </c>
      <c r="B18622" s="7" t="str">
        <f>IFERROR(__xludf.DUMMYFUNCTION("SPLIT(A18622,"" "")"),"Cc1cccnc1CN(C)Cc1ccc2c(N(C)Cc3ncccc3C)cccc2n1")</f>
        <v>Cc1cccnc1CN(C)Cc1ccc2c(N(C)Cc3ncccc3C)cccc2n1</v>
      </c>
      <c r="C18622" s="7">
        <f>IFERROR(__xludf.DUMMYFUNCTION("""COMPUTED_VALUE"""),7.724946)</f>
        <v>7.724946</v>
      </c>
      <c r="D18622" s="7">
        <f>IFERROR(__xludf.DUMMYFUNCTION("""COMPUTED_VALUE"""),0.372549019607843)</f>
        <v>0.3725490196</v>
      </c>
    </row>
    <row r="18623">
      <c r="A18623" s="10" t="s">
        <v>20062</v>
      </c>
      <c r="B18623" s="7" t="str">
        <f>IFERROR(__xludf.DUMMYFUNCTION("SPLIT(A18623,"" "")"),"CN(CC1=CCC=C(N(C)c2ccc3ncccc3c2)N1)Cc1ccccn1")</f>
        <v>CN(CC1=CCC=C(N(C)c2ccc3ncccc3c2)N1)Cc1ccccn1</v>
      </c>
      <c r="C18623" s="7">
        <f>IFERROR(__xludf.DUMMYFUNCTION("""COMPUTED_VALUE"""),7.724945)</f>
        <v>7.724945</v>
      </c>
      <c r="D18623" s="7">
        <f>IFERROR(__xludf.DUMMYFUNCTION("""COMPUTED_VALUE"""),0.396551724137931)</f>
        <v>0.3965517241</v>
      </c>
    </row>
    <row r="18624">
      <c r="A18624" s="10" t="s">
        <v>20063</v>
      </c>
      <c r="B18624" s="7" t="str">
        <f>IFERROR(__xludf.DUMMYFUNCTION("SPLIT(A18624,"" "")"),"FCc1cccc(NCc2cccc(-c3cccc(C(c4ccccn4)c4ccccn4)n3)n2)n1")</f>
        <v>FCc1cccc(NCc2cccc(-c3cccc(C(c4ccccn4)c4ccccn4)n3)n2)n1</v>
      </c>
      <c r="C18624" s="7">
        <f>IFERROR(__xludf.DUMMYFUNCTION("""COMPUTED_VALUE"""),7.724914)</f>
        <v>7.724914</v>
      </c>
      <c r="D18624" s="7">
        <f>IFERROR(__xludf.DUMMYFUNCTION("""COMPUTED_VALUE"""),0.396226415094339)</f>
        <v>0.3962264151</v>
      </c>
    </row>
    <row r="18625">
      <c r="A18625" s="10" t="s">
        <v>20064</v>
      </c>
      <c r="B18625" s="7" t="str">
        <f>IFERROR(__xludf.DUMMYFUNCTION("SPLIT(A18625,"" "")"),"Cc1cc(CN(C)Cc2cnc3cc(N(C)Cc4ccccn4)ccc3c2)nc(C)c1C")</f>
        <v>Cc1cc(CN(C)Cc2cnc3cc(N(C)Cc4ccccn4)ccc3c2)nc(C)c1C</v>
      </c>
      <c r="C18625" s="7">
        <f>IFERROR(__xludf.DUMMYFUNCTION("""COMPUTED_VALUE"""),7.7249136)</f>
        <v>7.7249136</v>
      </c>
      <c r="D18625" s="7">
        <f>IFERROR(__xludf.DUMMYFUNCTION("""COMPUTED_VALUE"""),0.389830508474576)</f>
        <v>0.3898305085</v>
      </c>
    </row>
    <row r="18626">
      <c r="A18626" s="10" t="s">
        <v>20065</v>
      </c>
      <c r="B18626" s="7" t="str">
        <f>IFERROR(__xludf.DUMMYFUNCTION("SPLIT(A18626,"" "")"),"Cc1cc(C)c(-c2c(C(C)(C)C)ccc(NCc3ccccn3)c2C)cn1")</f>
        <v>Cc1cc(C)c(-c2c(C(C)(C)C)ccc(NCc3ccccn3)c2C)cn1</v>
      </c>
      <c r="C18626" s="7">
        <f>IFERROR(__xludf.DUMMYFUNCTION("""COMPUTED_VALUE"""),7.724888)</f>
        <v>7.724888</v>
      </c>
      <c r="D18626" s="7">
        <f>IFERROR(__xludf.DUMMYFUNCTION("""COMPUTED_VALUE"""),0.349206349206349)</f>
        <v>0.3492063492</v>
      </c>
    </row>
    <row r="18627">
      <c r="A18627" s="10" t="s">
        <v>20066</v>
      </c>
      <c r="B18627" s="7" t="str">
        <f>IFERROR(__xludf.DUMMYFUNCTION("SPLIT(A18627,"" "")"),"Cc1nc(CN(C)CN(C)c2ccc3c(CF)ccnc3c2)c(C)c(C)c1C")</f>
        <v>Cc1nc(CN(C)CN(C)c2ccc3c(CF)ccnc3c2)c(C)c(C)c1C</v>
      </c>
      <c r="C18627" s="7">
        <f>IFERROR(__xludf.DUMMYFUNCTION("""COMPUTED_VALUE"""),7.724888)</f>
        <v>7.724888</v>
      </c>
      <c r="D18627" s="7">
        <f>IFERROR(__xludf.DUMMYFUNCTION("""COMPUTED_VALUE"""),0.225806451612903)</f>
        <v>0.2258064516</v>
      </c>
    </row>
    <row r="18628">
      <c r="A18628" s="10" t="s">
        <v>20067</v>
      </c>
      <c r="B18628" s="7" t="str">
        <f>IFERROR(__xludf.DUMMYFUNCTION("SPLIT(A18628,"" "")"),"COC(=O)C(=O)C(=O)C(=O)C(=O)C(=O)C(=O)C(=O)C(=O)C(=O)C(=O)C=O")</f>
        <v>COC(=O)C(=O)C(=O)C(=O)C(=O)C(=O)C(=O)C(=O)C(=O)C(=O)C(=O)C=O</v>
      </c>
      <c r="C18628" s="7">
        <f>IFERROR(__xludf.DUMMYFUNCTION("""COMPUTED_VALUE"""),7.724875)</f>
        <v>7.724875</v>
      </c>
      <c r="D18628" s="7">
        <f>IFERROR(__xludf.DUMMYFUNCTION("""COMPUTED_VALUE"""),0.127272727272727)</f>
        <v>0.1272727273</v>
      </c>
    </row>
    <row r="18629">
      <c r="A18629" s="10" t="s">
        <v>20068</v>
      </c>
      <c r="B18629" s="7" t="str">
        <f>IFERROR(__xludf.DUMMYFUNCTION("SPLIT(A18629,"" "")"),"CNc1cc(-c2cc(CN(C)C3CCCCC3N(C)c3ccc4cccnc4c3)ccn2)c2ncccc2c1")</f>
        <v>CNc1cc(-c2cc(CN(C)C3CCCCC3N(C)c3ccc4cccnc4c3)ccn2)c2ncccc2c1</v>
      </c>
      <c r="C18629" s="7">
        <f>IFERROR(__xludf.DUMMYFUNCTION("""COMPUTED_VALUE"""),7.7248745)</f>
        <v>7.7248745</v>
      </c>
      <c r="D18629" s="7">
        <f>IFERROR(__xludf.DUMMYFUNCTION("""COMPUTED_VALUE"""),0.393939393939393)</f>
        <v>0.3939393939</v>
      </c>
    </row>
    <row r="18630">
      <c r="A18630" s="10" t="s">
        <v>20069</v>
      </c>
      <c r="B18630" s="7" t="str">
        <f>IFERROR(__xludf.DUMMYFUNCTION("SPLIT(A18630,"" "")"),"FCNc1cccc(-c2ncccc2C(c2ccccn2)c2ccccn2)n1")</f>
        <v>FCNc1cccc(-c2ncccc2C(c2ccccn2)c2ccccn2)n1</v>
      </c>
      <c r="C18630" s="7">
        <f>IFERROR(__xludf.DUMMYFUNCTION("""COMPUTED_VALUE"""),7.7248406)</f>
        <v>7.7248406</v>
      </c>
      <c r="D18630" s="7">
        <f>IFERROR(__xludf.DUMMYFUNCTION("""COMPUTED_VALUE"""),0.368421052631578)</f>
        <v>0.3684210526</v>
      </c>
    </row>
    <row r="18631">
      <c r="A18631" s="10" t="s">
        <v>20070</v>
      </c>
      <c r="B18631" s="7" t="str">
        <f>IFERROR(__xludf.DUMMYFUNCTION("SPLIT(A18631,"" "")"),"Cc1ccc(CN(C)c2c(N(C)C)ccc(C)c2C)nc1")</f>
        <v>Cc1ccc(CN(C)c2c(N(C)C)ccc(C)c2C)nc1</v>
      </c>
      <c r="C18631" s="7">
        <f>IFERROR(__xludf.DUMMYFUNCTION("""COMPUTED_VALUE"""),7.7248373)</f>
        <v>7.7248373</v>
      </c>
      <c r="D18631" s="7">
        <f>IFERROR(__xludf.DUMMYFUNCTION("""COMPUTED_VALUE"""),0.5)</f>
        <v>0.5</v>
      </c>
    </row>
    <row r="18632">
      <c r="A18632" s="10" t="s">
        <v>20071</v>
      </c>
      <c r="B18632" s="7" t="str">
        <f>IFERROR(__xludf.DUMMYFUNCTION("SPLIT(A18632,"" "")"),"Cc1nc(CN(C)c2cccc3cc(CN(C)Cc4ccccn4)cnc23)c(C)c(C)c1C")</f>
        <v>Cc1nc(CN(C)c2cccc3cc(CN(C)Cc4ccccn4)cnc23)c(C)c(C)c1C</v>
      </c>
      <c r="C18632" s="7">
        <f>IFERROR(__xludf.DUMMYFUNCTION("""COMPUTED_VALUE"""),7.7248297)</f>
        <v>7.7248297</v>
      </c>
      <c r="D18632" s="7">
        <f>IFERROR(__xludf.DUMMYFUNCTION("""COMPUTED_VALUE"""),0.406779661016949)</f>
        <v>0.406779661</v>
      </c>
    </row>
    <row r="18633">
      <c r="A18633" s="10" t="s">
        <v>20072</v>
      </c>
      <c r="B18633" s="7" t="str">
        <f>IFERROR(__xludf.DUMMYFUNCTION("SPLIT(A18633,"" "")"),"CN(c1ccc2ncccc2c1)C1C2CCC1(N(Cc1ccccn1)c1ccc3cccnc3c1)CC2")</f>
        <v>CN(c1ccc2ncccc2c1)C1C2CCC1(N(Cc1ccccn1)c1ccc3cccnc3c1)CC2</v>
      </c>
      <c r="C18633" s="7">
        <f>IFERROR(__xludf.DUMMYFUNCTION("""COMPUTED_VALUE"""),7.724823)</f>
        <v>7.724823</v>
      </c>
      <c r="D18633" s="7">
        <f>IFERROR(__xludf.DUMMYFUNCTION("""COMPUTED_VALUE"""),0.377049180327868)</f>
        <v>0.3770491803</v>
      </c>
    </row>
    <row r="18634">
      <c r="A18634" s="10" t="s">
        <v>20073</v>
      </c>
      <c r="B18634" s="7" t="str">
        <f>IFERROR(__xludf.DUMMYFUNCTION("SPLIT(A18634,"" "")"),"C=Nc1cccc(-c2ccc(CN(C)Cc3cccc(-c4ccccc4C)n3)nc2)c1")</f>
        <v>C=Nc1cccc(-c2ccc(CN(C)Cc3cccc(-c4ccccc4C)n3)nc2)c1</v>
      </c>
      <c r="C18634" s="7">
        <f>IFERROR(__xludf.DUMMYFUNCTION("""COMPUTED_VALUE"""),7.7248187)</f>
        <v>7.7248187</v>
      </c>
      <c r="D18634" s="7">
        <f>IFERROR(__xludf.DUMMYFUNCTION("""COMPUTED_VALUE"""),0.413793103448275)</f>
        <v>0.4137931034</v>
      </c>
    </row>
    <row r="18635">
      <c r="A18635" s="10" t="s">
        <v>20074</v>
      </c>
      <c r="B18635" s="7" t="str">
        <f>IFERROR(__xludf.DUMMYFUNCTION("SPLIT(A18635,"" "")"),"CNc1cc(Cl)cc(N(C)Cc2cccc(F)n2)c1Cl")</f>
        <v>CNc1cc(Cl)cc(N(C)Cc2cccc(F)n2)c1Cl</v>
      </c>
      <c r="C18635" s="7">
        <f>IFERROR(__xludf.DUMMYFUNCTION("""COMPUTED_VALUE"""),7.724817)</f>
        <v>7.724817</v>
      </c>
      <c r="D18635" s="7">
        <f>IFERROR(__xludf.DUMMYFUNCTION("""COMPUTED_VALUE"""),0.372549019607843)</f>
        <v>0.3725490196</v>
      </c>
    </row>
    <row r="18636">
      <c r="A18636" s="10" t="s">
        <v>20075</v>
      </c>
      <c r="B18636" s="7" t="str">
        <f>IFERROR(__xludf.DUMMYFUNCTION("SPLIT(A18636,"" "")"),"CN(CC1=CC(N(C)c2ccc3cccnc3c2)C=CN1)Cc1ccon1")</f>
        <v>CN(CC1=CC(N(C)c2ccc3cccnc3c2)C=CN1)Cc1ccon1</v>
      </c>
      <c r="C18636" s="7">
        <f>IFERROR(__xludf.DUMMYFUNCTION("""COMPUTED_VALUE"""),7.7247934)</f>
        <v>7.7247934</v>
      </c>
      <c r="D18636" s="7">
        <f>IFERROR(__xludf.DUMMYFUNCTION("""COMPUTED_VALUE"""),0.35593220338983)</f>
        <v>0.3559322034</v>
      </c>
    </row>
    <row r="18637">
      <c r="A18637" s="10" t="s">
        <v>20076</v>
      </c>
      <c r="B18637" s="7" t="str">
        <f>IFERROR(__xludf.DUMMYFUNCTION("SPLIT(A18637,"" "")"),"Cc1ncccc1CN(C)C1=CNC=CC1CN(C)c1ccc2cccnc2c1")</f>
        <v>Cc1ncccc1CN(C)C1=CNC=CC1CN(C)c1ccc2cccnc2c1</v>
      </c>
      <c r="C18637" s="7">
        <f>IFERROR(__xludf.DUMMYFUNCTION("""COMPUTED_VALUE"""),7.724793)</f>
        <v>7.724793</v>
      </c>
      <c r="D18637" s="7">
        <f>IFERROR(__xludf.DUMMYFUNCTION("""COMPUTED_VALUE"""),0.28125)</f>
        <v>0.28125</v>
      </c>
    </row>
    <row r="18638">
      <c r="A18638" s="10" t="s">
        <v>20077</v>
      </c>
      <c r="B18638" s="7" t="str">
        <f>IFERROR(__xludf.DUMMYFUNCTION("SPLIT(A18638,"" "")"),"CC(C)N(C)c1ccc2ncccc2c1")</f>
        <v>CC(C)N(C)c1ccc2ncccc2c1</v>
      </c>
      <c r="C18638" s="7">
        <f>IFERROR(__xludf.DUMMYFUNCTION("""COMPUTED_VALUE"""),7.724792)</f>
        <v>7.724792</v>
      </c>
      <c r="D18638" s="7">
        <f>IFERROR(__xludf.DUMMYFUNCTION("""COMPUTED_VALUE"""),0.365853658536585)</f>
        <v>0.3658536585</v>
      </c>
    </row>
    <row r="18639">
      <c r="A18639" s="10" t="s">
        <v>20078</v>
      </c>
      <c r="B18639" s="7" t="str">
        <f>IFERROR(__xludf.DUMMYFUNCTION("SPLIT(A18639,"" "")"),"Cc1cnc(CN(C)CC2=C(N(C)c3ccc4cccnc4c3)CC=CN2)c(C)c1")</f>
        <v>Cc1cnc(CN(C)CC2=C(N(C)c3ccc4cccnc4c3)CC=CN2)c(C)c1</v>
      </c>
      <c r="C18639" s="7">
        <f>IFERROR(__xludf.DUMMYFUNCTION("""COMPUTED_VALUE"""),7.72479)</f>
        <v>7.72479</v>
      </c>
      <c r="D18639" s="7">
        <f>IFERROR(__xludf.DUMMYFUNCTION("""COMPUTED_VALUE"""),0.246376811594202)</f>
        <v>0.2463768116</v>
      </c>
    </row>
    <row r="18640">
      <c r="A18640" s="10" t="s">
        <v>20079</v>
      </c>
      <c r="B18640" s="7" t="str">
        <f>IFERROR(__xludf.DUMMYFUNCTION("SPLIT(A18640,"" "")"),"Cc1cc(CN(C)Cc2ccc(N(C)c3ccc4nc(CF)ccc4c3)cn2)ccn1")</f>
        <v>Cc1cc(CN(C)Cc2ccc(N(C)c3ccc4nc(CF)ccc4c3)cn2)ccn1</v>
      </c>
      <c r="C18640" s="7">
        <f>IFERROR(__xludf.DUMMYFUNCTION("""COMPUTED_VALUE"""),7.7247834)</f>
        <v>7.7247834</v>
      </c>
      <c r="D18640" s="7">
        <f>IFERROR(__xludf.DUMMYFUNCTION("""COMPUTED_VALUE"""),0.351851851851851)</f>
        <v>0.3518518519</v>
      </c>
    </row>
    <row r="18641">
      <c r="A18641" s="10" t="s">
        <v>20080</v>
      </c>
      <c r="B18641" s="7" t="str">
        <f>IFERROR(__xludf.DUMMYFUNCTION("SPLIT(A18641,"" "")"),"Cc1nc(CN(C)CN(C)c2ccc3cccnc3c2)c(C)c(C)c1C")</f>
        <v>Cc1nc(CN(C)CN(C)c2ccc3cccnc3c2)c(C)c(C)c1C</v>
      </c>
      <c r="C18641" s="7">
        <f>IFERROR(__xludf.DUMMYFUNCTION("""COMPUTED_VALUE"""),7.7247677)</f>
        <v>7.7247677</v>
      </c>
      <c r="D18641" s="7">
        <f>IFERROR(__xludf.DUMMYFUNCTION("""COMPUTED_VALUE"""),0.309090909090909)</f>
        <v>0.3090909091</v>
      </c>
    </row>
    <row r="18642">
      <c r="A18642" s="10" t="s">
        <v>20081</v>
      </c>
      <c r="B18642" s="7" t="str">
        <f>IFERROR(__xludf.DUMMYFUNCTION("SPLIT(A18642,"" "")"),"CN(Cc1ccccn1)C1=CC(CN(C)c2cccc3ncc(CF)cc23)C=CN1")</f>
        <v>CN(Cc1ccccn1)C1=CC(CN(C)c2cccc3ncc(CF)cc23)C=CN1</v>
      </c>
      <c r="C18642" s="7">
        <f>IFERROR(__xludf.DUMMYFUNCTION("""COMPUTED_VALUE"""),7.7247543)</f>
        <v>7.7247543</v>
      </c>
      <c r="D18642" s="7">
        <f>IFERROR(__xludf.DUMMYFUNCTION("""COMPUTED_VALUE"""),0.353846153846153)</f>
        <v>0.3538461538</v>
      </c>
    </row>
    <row r="18643">
      <c r="A18643" s="10" t="s">
        <v>20082</v>
      </c>
      <c r="B18643" s="7" t="str">
        <f>IFERROR(__xludf.DUMMYFUNCTION("SPLIT(A18643,"" "")"),"CN(C)Cc1cccc(-c2ccc(Cl)cc2N)n1")</f>
        <v>CN(C)Cc1cccc(-c2ccc(Cl)cc2N)n1</v>
      </c>
      <c r="C18643" s="7">
        <f>IFERROR(__xludf.DUMMYFUNCTION("""COMPUTED_VALUE"""),7.7247353)</f>
        <v>7.7247353</v>
      </c>
      <c r="D18643" s="7">
        <f>IFERROR(__xludf.DUMMYFUNCTION("""COMPUTED_VALUE"""),0.36734693877551)</f>
        <v>0.3673469388</v>
      </c>
    </row>
    <row r="18644">
      <c r="A18644" s="10" t="s">
        <v>20083</v>
      </c>
      <c r="B18644" s="7" t="str">
        <f>IFERROR(__xludf.DUMMYFUNCTION("SPLIT(A18644,"" "")"),"CNCc1ccc2cccc(N(C)Cc3ccccn3)c2n1")</f>
        <v>CNCc1ccc2cccc(N(C)Cc3ccccn3)c2n1</v>
      </c>
      <c r="C18644" s="7">
        <f>IFERROR(__xludf.DUMMYFUNCTION("""COMPUTED_VALUE"""),7.7247276)</f>
        <v>7.7247276</v>
      </c>
      <c r="D18644" s="7">
        <f>IFERROR(__xludf.DUMMYFUNCTION("""COMPUTED_VALUE"""),0.489361702127659)</f>
        <v>0.4893617021</v>
      </c>
    </row>
    <row r="18645">
      <c r="A18645" s="10" t="s">
        <v>20084</v>
      </c>
      <c r="B18645" s="7" t="str">
        <f>IFERROR(__xludf.DUMMYFUNCTION("SPLIT(A18645,"" "")"),"Cc1ccc(C)c(CN(C)C2=C(CN(c3ccc4ncccc4c3)C(C)C)NC=CC2)n1")</f>
        <v>Cc1ccc(C)c(CN(C)C2=C(CN(c3ccc4ncccc4c3)C(C)C)NC=CC2)n1</v>
      </c>
      <c r="C18645" s="7">
        <f>IFERROR(__xludf.DUMMYFUNCTION("""COMPUTED_VALUE"""),7.7247195)</f>
        <v>7.7247195</v>
      </c>
      <c r="D18645" s="7">
        <f>IFERROR(__xludf.DUMMYFUNCTION("""COMPUTED_VALUE"""),0.242857142857142)</f>
        <v>0.2428571429</v>
      </c>
    </row>
    <row r="18646">
      <c r="A18646" s="10" t="s">
        <v>20085</v>
      </c>
      <c r="B18646" s="7" t="str">
        <f>IFERROR(__xludf.DUMMYFUNCTION("SPLIT(A18646,"" "")"),"CN(c1ccc2ncccc2c1)C1C2CCC1(N(Cc1ccccn1)c1ccc3ncccc3c1)CC2")</f>
        <v>CN(c1ccc2ncccc2c1)C1C2CCC1(N(Cc1ccccn1)c1ccc3ncccc3c1)CC2</v>
      </c>
      <c r="C18646" s="7">
        <f>IFERROR(__xludf.DUMMYFUNCTION("""COMPUTED_VALUE"""),7.724711)</f>
        <v>7.724711</v>
      </c>
      <c r="D18646" s="7">
        <f>IFERROR(__xludf.DUMMYFUNCTION("""COMPUTED_VALUE"""),0.379310344827586)</f>
        <v>0.3793103448</v>
      </c>
    </row>
    <row r="18647">
      <c r="A18647" s="10" t="s">
        <v>20086</v>
      </c>
      <c r="B18647" s="7" t="str">
        <f>IFERROR(__xludf.DUMMYFUNCTION("SPLIT(A18647,"" "")"),"Cc1ccc(C)c(CN(C)CC2=CCC(N(C)c3cccc4ncccc34)=CN2)n1")</f>
        <v>Cc1ccc(C)c(CN(C)CC2=CCC(N(C)c3cccc4ncccc34)=CN2)n1</v>
      </c>
      <c r="C18647" s="7">
        <f>IFERROR(__xludf.DUMMYFUNCTION("""COMPUTED_VALUE"""),7.7247086)</f>
        <v>7.7247086</v>
      </c>
      <c r="D18647" s="7">
        <f>IFERROR(__xludf.DUMMYFUNCTION("""COMPUTED_VALUE"""),0.261538461538461)</f>
        <v>0.2615384615</v>
      </c>
    </row>
    <row r="18648">
      <c r="A18648" s="10" t="s">
        <v>20087</v>
      </c>
      <c r="B18648" s="7" t="str">
        <f>IFERROR(__xludf.DUMMYFUNCTION("SPLIT(A18648,"" "")"),"Cc1cncc(CN(C)c2ccc3nc(CN(C)C(C)(c4cccnc4)c4ccccn4)ccc3c2)c1C")</f>
        <v>Cc1cncc(CN(C)c2ccc3nc(CN(C)C(C)(c4cccnc4)c4ccccn4)ccc3c2)c1C</v>
      </c>
      <c r="C18648" s="7">
        <f>IFERROR(__xludf.DUMMYFUNCTION("""COMPUTED_VALUE"""),7.7247086)</f>
        <v>7.7247086</v>
      </c>
      <c r="D18648" s="7">
        <f>IFERROR(__xludf.DUMMYFUNCTION("""COMPUTED_VALUE"""),0.3)</f>
        <v>0.3</v>
      </c>
    </row>
    <row r="18649">
      <c r="A18649" s="10" t="s">
        <v>20088</v>
      </c>
      <c r="B18649" s="7" t="str">
        <f>IFERROR(__xludf.DUMMYFUNCTION("SPLIT(A18649,"" "")"),"Cc1cccc(CN(Cc2cccc(-c3ccc(N=Cc4ccccn4)cc3)n2)C2=CC=CNC2)n1")</f>
        <v>Cc1cccc(CN(Cc2cccc(-c3ccc(N=Cc4ccccn4)cc3)n2)C2=CC=CNC2)n1</v>
      </c>
      <c r="C18649" s="7">
        <f>IFERROR(__xludf.DUMMYFUNCTION("""COMPUTED_VALUE"""),7.724705)</f>
        <v>7.724705</v>
      </c>
      <c r="D18649" s="7">
        <f>IFERROR(__xludf.DUMMYFUNCTION("""COMPUTED_VALUE"""),0.314285714285714)</f>
        <v>0.3142857143</v>
      </c>
    </row>
    <row r="18650">
      <c r="A18650" s="10" t="s">
        <v>20089</v>
      </c>
      <c r="B18650" s="7" t="str">
        <f>IFERROR(__xludf.DUMMYFUNCTION("SPLIT(A18650,"" "")"),"CN(Cc1ccccn1)C1=C(CN(Cc2ccccn2)c2ccc3ncccc3c2)CC=CN1")</f>
        <v>CN(Cc1ccccn1)C1=C(CN(Cc2ccccn2)c2ccc3ncccc3c2)CC=CN1</v>
      </c>
      <c r="C18650" s="7">
        <f>IFERROR(__xludf.DUMMYFUNCTION("""COMPUTED_VALUE"""),7.7247005)</f>
        <v>7.7247005</v>
      </c>
      <c r="D18650" s="7">
        <f>IFERROR(__xludf.DUMMYFUNCTION("""COMPUTED_VALUE"""),0.372881355932203)</f>
        <v>0.3728813559</v>
      </c>
    </row>
    <row r="18651">
      <c r="A18651" s="10" t="s">
        <v>20090</v>
      </c>
      <c r="B18651" s="7" t="str">
        <f>IFERROR(__xludf.DUMMYFUNCTION("SPLIT(A18651,"" "")"),"CNc1cc(Cl)c(Cl)cc1N(C)Cc1cccc(F)n1")</f>
        <v>CNc1cc(Cl)c(Cl)cc1N(C)Cc1cccc(F)n1</v>
      </c>
      <c r="C18651" s="7">
        <f>IFERROR(__xludf.DUMMYFUNCTION("""COMPUTED_VALUE"""),7.724696)</f>
        <v>7.724696</v>
      </c>
      <c r="D18651" s="7">
        <f>IFERROR(__xludf.DUMMYFUNCTION("""COMPUTED_VALUE"""),0.456521739130434)</f>
        <v>0.4565217391</v>
      </c>
    </row>
    <row r="18652">
      <c r="A18652" s="10" t="s">
        <v>20091</v>
      </c>
      <c r="B18652" s="7" t="str">
        <f>IFERROR(__xludf.DUMMYFUNCTION("SPLIT(A18652,"" "")"),"Cc1ccc(CN(Cc2ccccn2)c2ccc3ncccc3c2)nc1")</f>
        <v>Cc1ccc(CN(Cc2ccccn2)c2ccc3ncccc3c2)nc1</v>
      </c>
      <c r="C18652" s="7">
        <f>IFERROR(__xludf.DUMMYFUNCTION("""COMPUTED_VALUE"""),7.724693)</f>
        <v>7.724693</v>
      </c>
      <c r="D18652" s="7">
        <f>IFERROR(__xludf.DUMMYFUNCTION("""COMPUTED_VALUE"""),0.434782608695652)</f>
        <v>0.4347826087</v>
      </c>
    </row>
    <row r="18653">
      <c r="A18653" s="10" t="s">
        <v>20092</v>
      </c>
      <c r="B18653" s="7" t="str">
        <f>IFERROR(__xludf.DUMMYFUNCTION("SPLIT(A18653,"" "")"),"Cc1cc(NCc2ccccn2)ccc1-c1ncccc1C")</f>
        <v>Cc1cc(NCc2ccccn2)ccc1-c1ncccc1C</v>
      </c>
      <c r="C18653" s="7">
        <f>IFERROR(__xludf.DUMMYFUNCTION("""COMPUTED_VALUE"""),7.72469)</f>
        <v>7.72469</v>
      </c>
      <c r="D18653" s="7">
        <f>IFERROR(__xludf.DUMMYFUNCTION("""COMPUTED_VALUE"""),0.395348837209302)</f>
        <v>0.3953488372</v>
      </c>
    </row>
    <row r="18654">
      <c r="A18654" s="10" t="s">
        <v>20093</v>
      </c>
      <c r="B18654" s="7" t="str">
        <f>IFERROR(__xludf.DUMMYFUNCTION("SPLIT(A18654,"" "")"),"CN(CC1=CC(N(C)c2ccc3ncccc3c2)C=CN1)Cc1ccon1")</f>
        <v>CN(CC1=CC(N(C)c2ccc3ncccc3c2)C=CN1)Cc1ccon1</v>
      </c>
      <c r="C18654" s="7">
        <f>IFERROR(__xludf.DUMMYFUNCTION("""COMPUTED_VALUE"""),7.7246833)</f>
        <v>7.7246833</v>
      </c>
      <c r="D18654" s="7">
        <f>IFERROR(__xludf.DUMMYFUNCTION("""COMPUTED_VALUE"""),0.362068965517241)</f>
        <v>0.3620689655</v>
      </c>
    </row>
    <row r="18655">
      <c r="A18655" s="10" t="s">
        <v>20094</v>
      </c>
      <c r="B18655" s="7" t="str">
        <f>IFERROR(__xludf.DUMMYFUNCTION("SPLIT(A18655,"" "")"),"Cc1ncccc1CN(C)C1=CNC=CC1CN(C)c1cccc2cccnc12")</f>
        <v>Cc1ncccc1CN(C)C1=CNC=CC1CN(C)c1cccc2cccnc12</v>
      </c>
      <c r="C18655" s="7">
        <f>IFERROR(__xludf.DUMMYFUNCTION("""COMPUTED_VALUE"""),7.7246814)</f>
        <v>7.7246814</v>
      </c>
      <c r="D18655" s="7">
        <f>IFERROR(__xludf.DUMMYFUNCTION("""COMPUTED_VALUE"""),0.454545454545454)</f>
        <v>0.4545454545</v>
      </c>
    </row>
    <row r="18656">
      <c r="A18656" s="10" t="s">
        <v>20095</v>
      </c>
      <c r="B18656" s="7" t="str">
        <f>IFERROR(__xludf.DUMMYFUNCTION("SPLIT(A18656,"" "")"),"CC(C)(C1=CC2C(=CN1)C=Cc1ncccc12)c1ccccn1")</f>
        <v>CC(C)(C1=CC2C(=CN1)C=Cc1ncccc12)c1ccccn1</v>
      </c>
      <c r="C18656" s="7">
        <f>IFERROR(__xludf.DUMMYFUNCTION("""COMPUTED_VALUE"""),7.724681)</f>
        <v>7.724681</v>
      </c>
      <c r="D18656" s="7">
        <f>IFERROR(__xludf.DUMMYFUNCTION("""COMPUTED_VALUE"""),0.298245614035087)</f>
        <v>0.298245614</v>
      </c>
    </row>
    <row r="18657">
      <c r="A18657" s="10" t="s">
        <v>20096</v>
      </c>
      <c r="B18657" s="7" t="str">
        <f>IFERROR(__xludf.DUMMYFUNCTION("SPLIT(A18657,"" "")"),"CNCc1ccc(-c2ccc(N=Cc3ccccn3)cc2)cn1")</f>
        <v>CNCc1ccc(-c2ccc(N=Cc3ccccn3)cc2)cn1</v>
      </c>
      <c r="C18657" s="7">
        <f>IFERROR(__xludf.DUMMYFUNCTION("""COMPUTED_VALUE"""),7.72468)</f>
        <v>7.72468</v>
      </c>
      <c r="D18657" s="7">
        <f>IFERROR(__xludf.DUMMYFUNCTION("""COMPUTED_VALUE"""),0.384615384615384)</f>
        <v>0.3846153846</v>
      </c>
    </row>
    <row r="18658">
      <c r="A18658" s="10" t="s">
        <v>20097</v>
      </c>
      <c r="B18658" s="7" t="str">
        <f>IFERROR(__xludf.DUMMYFUNCTION("SPLIT(A18658,"" "")"),"CC(C)N(C)Cc1ccc(N(C)c2cccc3ncccc23)cn1")</f>
        <v>CC(C)N(C)Cc1ccc(N(C)c2cccc3ncccc23)cn1</v>
      </c>
      <c r="C18658" s="7">
        <f>IFERROR(__xludf.DUMMYFUNCTION("""COMPUTED_VALUE"""),7.7246766)</f>
        <v>7.7246766</v>
      </c>
      <c r="D18658" s="7">
        <f>IFERROR(__xludf.DUMMYFUNCTION("""COMPUTED_VALUE"""),0.333333333333333)</f>
        <v>0.3333333333</v>
      </c>
    </row>
    <row r="18659">
      <c r="A18659" s="10" t="s">
        <v>20098</v>
      </c>
      <c r="B18659" s="7" t="str">
        <f>IFERROR(__xludf.DUMMYFUNCTION("SPLIT(A18659,"" "")"),"Cc1cccnc1CN(C)Cc1cc(C)c(-c2ccc(N(C)C)cc2)c(C)n1")</f>
        <v>Cc1cccnc1CN(C)Cc1cc(C)c(-c2ccc(N(C)C)cc2)c(C)n1</v>
      </c>
      <c r="C18659" s="7">
        <f>IFERROR(__xludf.DUMMYFUNCTION("""COMPUTED_VALUE"""),7.7246737)</f>
        <v>7.7246737</v>
      </c>
      <c r="D18659" s="7">
        <f>IFERROR(__xludf.DUMMYFUNCTION("""COMPUTED_VALUE"""),0.31578947368421)</f>
        <v>0.3157894737</v>
      </c>
    </row>
    <row r="18660">
      <c r="A18660" s="10" t="s">
        <v>20099</v>
      </c>
      <c r="B18660" s="7" t="str">
        <f>IFERROR(__xludf.DUMMYFUNCTION("SPLIT(A18660,"" "")"),"CN(Cc1cccnn1)C1=CNC=CC1CN(C)c1ccc2cccnc2c1")</f>
        <v>CN(Cc1cccnn1)C1=CNC=CC1CN(C)c1ccc2cccnc2c1</v>
      </c>
      <c r="C18660" s="7">
        <f>IFERROR(__xludf.DUMMYFUNCTION("""COMPUTED_VALUE"""),7.724672)</f>
        <v>7.724672</v>
      </c>
      <c r="D18660" s="7">
        <f>IFERROR(__xludf.DUMMYFUNCTION("""COMPUTED_VALUE"""),0.338983050847457)</f>
        <v>0.3389830508</v>
      </c>
    </row>
    <row r="18661">
      <c r="A18661" s="10" t="s">
        <v>20100</v>
      </c>
      <c r="B18661" s="7" t="str">
        <f>IFERROR(__xludf.DUMMYFUNCTION("SPLIT(A18661,"" "")"),"CC(C)N(CC1=CCC(N(C)Cc2ccccn2)=CN1)c1cccc2ncccc12")</f>
        <v>CC(C)N(CC1=CCC(N(C)Cc2ccccn2)=CN1)c1cccc2ncccc12</v>
      </c>
      <c r="C18661" s="7">
        <f>IFERROR(__xludf.DUMMYFUNCTION("""COMPUTED_VALUE"""),7.72467)</f>
        <v>7.72467</v>
      </c>
      <c r="D18661" s="7">
        <f>IFERROR(__xludf.DUMMYFUNCTION("""COMPUTED_VALUE"""),0.360655737704918)</f>
        <v>0.3606557377</v>
      </c>
    </row>
    <row r="18662">
      <c r="A18662" s="10" t="s">
        <v>20101</v>
      </c>
      <c r="B18662" s="7" t="str">
        <f>IFERROR(__xludf.DUMMYFUNCTION("SPLIT(A18662,"" "")"),"CNCc1cccc(-c2ccc(N(C)Cc3ccccn3)c(C)c2C)n1")</f>
        <v>CNCc1cccc(-c2ccc(N(C)Cc3ccccn3)c(C)c2C)n1</v>
      </c>
      <c r="C18662" s="7">
        <f>IFERROR(__xludf.DUMMYFUNCTION("""COMPUTED_VALUE"""),7.724667)</f>
        <v>7.724667</v>
      </c>
      <c r="D18662" s="7">
        <f>IFERROR(__xludf.DUMMYFUNCTION("""COMPUTED_VALUE"""),0.461538461538461)</f>
        <v>0.4615384615</v>
      </c>
    </row>
    <row r="18663">
      <c r="A18663" s="10" t="s">
        <v>20102</v>
      </c>
      <c r="B18663" s="7" t="str">
        <f>IFERROR(__xludf.DUMMYFUNCTION("SPLIT(A18663,"" "")"),"CN(Cc1ccc2c(N(C)Cc3ncccc3N)cccc2n1)Cc1ncccc1F")</f>
        <v>CN(Cc1ccc2c(N(C)Cc3ncccc3N)cccc2n1)Cc1ncccc1F</v>
      </c>
      <c r="C18663" s="7">
        <f>IFERROR(__xludf.DUMMYFUNCTION("""COMPUTED_VALUE"""),7.724666)</f>
        <v>7.724666</v>
      </c>
      <c r="D18663" s="7">
        <f>IFERROR(__xludf.DUMMYFUNCTION("""COMPUTED_VALUE"""),0.333333333333333)</f>
        <v>0.3333333333</v>
      </c>
    </row>
    <row r="18664">
      <c r="A18664" s="10" t="s">
        <v>20103</v>
      </c>
      <c r="B18664" s="7" t="str">
        <f>IFERROR(__xludf.DUMMYFUNCTION("SPLIT(A18664,"" "")"),"CC(C)N(Cc1ccccn1)c1cccc2nccc(CF)c12")</f>
        <v>CC(C)N(Cc1ccccn1)c1cccc2nccc(CF)c12</v>
      </c>
      <c r="C18664" s="7">
        <f>IFERROR(__xludf.DUMMYFUNCTION("""COMPUTED_VALUE"""),7.7246633)</f>
        <v>7.7246633</v>
      </c>
      <c r="D18664" s="7">
        <f>IFERROR(__xludf.DUMMYFUNCTION("""COMPUTED_VALUE"""),0.428571428571428)</f>
        <v>0.4285714286</v>
      </c>
    </row>
    <row r="18665">
      <c r="A18665" s="10" t="s">
        <v>20104</v>
      </c>
      <c r="B18665" s="7" t="str">
        <f>IFERROR(__xludf.DUMMYFUNCTION("SPLIT(A18665,"" "")"),"CC(C)N(C)c1ccc2nccc(CF)c2c1")</f>
        <v>CC(C)N(C)c1ccc2nccc(CF)c2c1</v>
      </c>
      <c r="C18665" s="7">
        <f>IFERROR(__xludf.DUMMYFUNCTION("""COMPUTED_VALUE"""),7.724647)</f>
        <v>7.724647</v>
      </c>
      <c r="D18665" s="7">
        <f>IFERROR(__xludf.DUMMYFUNCTION("""COMPUTED_VALUE"""),0.265306122448979)</f>
        <v>0.2653061224</v>
      </c>
    </row>
    <row r="18666">
      <c r="A18666" s="10" t="s">
        <v>20105</v>
      </c>
      <c r="B18666" s="7" t="str">
        <f>IFERROR(__xludf.DUMMYFUNCTION("SPLIT(A18666,"" "")"),"CN(CC1C=CNC=C1)c1ccc2cccnc2c1")</f>
        <v>CN(CC1C=CNC=C1)c1ccc2cccnc2c1</v>
      </c>
      <c r="C18666" s="7">
        <f>IFERROR(__xludf.DUMMYFUNCTION("""COMPUTED_VALUE"""),7.724647)</f>
        <v>7.724647</v>
      </c>
      <c r="D18666" s="7">
        <f>IFERROR(__xludf.DUMMYFUNCTION("""COMPUTED_VALUE"""),0.333333333333333)</f>
        <v>0.3333333333</v>
      </c>
    </row>
    <row r="18667">
      <c r="A18667" s="10" t="s">
        <v>20106</v>
      </c>
      <c r="B18667" s="7" t="str">
        <f>IFERROR(__xludf.DUMMYFUNCTION("SPLIT(A18667,"" "")"),"Cc1ccc(N(Cc2ccccn2)Cc2cccc(-c3cccc(N(C)C)c3)n2)c(C)c1")</f>
        <v>Cc1ccc(N(Cc2ccccn2)Cc2cccc(-c3cccc(N(C)C)c3)n2)c(C)c1</v>
      </c>
      <c r="C18667" s="7">
        <f>IFERROR(__xludf.DUMMYFUNCTION("""COMPUTED_VALUE"""),7.7246423)</f>
        <v>7.7246423</v>
      </c>
      <c r="D18667" s="7">
        <f>IFERROR(__xludf.DUMMYFUNCTION("""COMPUTED_VALUE"""),0.483333333333333)</f>
        <v>0.4833333333</v>
      </c>
    </row>
    <row r="18668">
      <c r="A18668" s="10" t="s">
        <v>20107</v>
      </c>
      <c r="B18668" s="7" t="str">
        <f>IFERROR(__xludf.DUMMYFUNCTION("SPLIT(A18668,"" "")"),"CCNc1cc(-c2ncccc2C(C)(c2ccccn2)c2ccccn2)ccn1")</f>
        <v>CCNc1cc(-c2ncccc2C(C)(c2ccccn2)c2ccccn2)ccn1</v>
      </c>
      <c r="C18668" s="7">
        <f>IFERROR(__xludf.DUMMYFUNCTION("""COMPUTED_VALUE"""),7.724635)</f>
        <v>7.724635</v>
      </c>
      <c r="D18668" s="7">
        <f>IFERROR(__xludf.DUMMYFUNCTION("""COMPUTED_VALUE"""),0.490566037735849)</f>
        <v>0.4905660377</v>
      </c>
    </row>
    <row r="18669">
      <c r="A18669" s="10" t="s">
        <v>20108</v>
      </c>
      <c r="B18669" s="7" t="str">
        <f>IFERROR(__xludf.DUMMYFUNCTION("SPLIT(A18669,"" "")"),"Cc1cccc(CN(C)Cc2nc(-c3ccc(N(C)C)cc3)c(C)c(C)c2C)n1")</f>
        <v>Cc1cccc(CN(C)Cc2nc(-c3ccc(N(C)C)cc3)c(C)c(C)c2C)n1</v>
      </c>
      <c r="C18669" s="7">
        <f>IFERROR(__xludf.DUMMYFUNCTION("""COMPUTED_VALUE"""),7.724633)</f>
        <v>7.724633</v>
      </c>
      <c r="D18669" s="7">
        <f>IFERROR(__xludf.DUMMYFUNCTION("""COMPUTED_VALUE"""),0.5)</f>
        <v>0.5</v>
      </c>
    </row>
    <row r="18670">
      <c r="A18670" s="10" t="s">
        <v>20109</v>
      </c>
      <c r="B18670" s="7" t="str">
        <f>IFERROR(__xludf.DUMMYFUNCTION("SPLIT(A18670,"" "")"),"Cc1cnc(C)c(CN(C)c2ccc3nccc(CN(C)Cc4ccccn4)c3c2)c1")</f>
        <v>Cc1cnc(C)c(CN(C)c2ccc3nccc(CN(C)Cc4ccccn4)c3c2)c1</v>
      </c>
      <c r="C18670" s="7">
        <f>IFERROR(__xludf.DUMMYFUNCTION("""COMPUTED_VALUE"""),7.724628)</f>
        <v>7.724628</v>
      </c>
      <c r="D18670" s="7">
        <f>IFERROR(__xludf.DUMMYFUNCTION("""COMPUTED_VALUE"""),0.366666666666666)</f>
        <v>0.3666666667</v>
      </c>
    </row>
    <row r="18671">
      <c r="A18671" s="10" t="s">
        <v>20110</v>
      </c>
      <c r="B18671" s="7" t="str">
        <f>IFERROR(__xludf.DUMMYFUNCTION("SPLIT(A18671,"" "")"),"Cc1cccnc1CN(C)Cc1ccnc2ccc(N(C)Cc3cccnc3C)cc12")</f>
        <v>Cc1cccnc1CN(C)Cc1ccnc2ccc(N(C)Cc3cccnc3C)cc12</v>
      </c>
      <c r="C18671" s="7">
        <f>IFERROR(__xludf.DUMMYFUNCTION("""COMPUTED_VALUE"""),7.724623)</f>
        <v>7.724623</v>
      </c>
      <c r="D18671" s="7">
        <f>IFERROR(__xludf.DUMMYFUNCTION("""COMPUTED_VALUE"""),0.305084745762711)</f>
        <v>0.3050847458</v>
      </c>
    </row>
    <row r="18672">
      <c r="A18672" s="10" t="s">
        <v>20111</v>
      </c>
      <c r="B18672" s="7" t="str">
        <f>IFERROR(__xludf.DUMMYFUNCTION("SPLIT(A18672,"" "")"),"CCN(Cc1ccccn1)c1cc2ncccc2cc1-c1cccc(CN(C)C(C)(C)c2ccccn2)n1")</f>
        <v>CCN(Cc1ccccn1)c1cc2ncccc2cc1-c1cccc(CN(C)C(C)(C)c2ccccn2)n1</v>
      </c>
      <c r="C18672" s="7">
        <f>IFERROR(__xludf.DUMMYFUNCTION("""COMPUTED_VALUE"""),7.724619)</f>
        <v>7.724619</v>
      </c>
      <c r="D18672" s="7">
        <f>IFERROR(__xludf.DUMMYFUNCTION("""COMPUTED_VALUE"""),0.433333333333333)</f>
        <v>0.4333333333</v>
      </c>
    </row>
    <row r="18673">
      <c r="A18673" s="10" t="s">
        <v>20112</v>
      </c>
      <c r="B18673" s="7" t="str">
        <f>IFERROR(__xludf.DUMMYFUNCTION("SPLIT(A18673,"" "")"),"CNCc1nc(-c2ccc(N=Cc3ccccn3)cc2)ccc1C")</f>
        <v>CNCc1nc(-c2ccc(N=Cc3ccccn3)cc2)ccc1C</v>
      </c>
      <c r="C18673" s="7">
        <f>IFERROR(__xludf.DUMMYFUNCTION("""COMPUTED_VALUE"""),7.7246184)</f>
        <v>7.7246184</v>
      </c>
      <c r="D18673" s="7">
        <f>IFERROR(__xludf.DUMMYFUNCTION("""COMPUTED_VALUE"""),0.407407407407407)</f>
        <v>0.4074074074</v>
      </c>
    </row>
    <row r="18674">
      <c r="A18674" s="10" t="s">
        <v>20113</v>
      </c>
      <c r="B18674" s="7" t="str">
        <f>IFERROR(__xludf.DUMMYFUNCTION("SPLIT(A18674,"" "")"),"Cc1cc(CN(Cc2ccccn2)C2=CNC(CN(C)c3ccc4ncccc4c3)=CC2)ccn1")</f>
        <v>Cc1cc(CN(Cc2ccccn2)C2=CNC(CN(C)c3ccc4ncccc4c3)=CC2)ccn1</v>
      </c>
      <c r="C18674" s="7">
        <f>IFERROR(__xludf.DUMMYFUNCTION("""COMPUTED_VALUE"""),7.7246127)</f>
        <v>7.7246127</v>
      </c>
      <c r="D18674" s="7">
        <f>IFERROR(__xludf.DUMMYFUNCTION("""COMPUTED_VALUE"""),0.323943661971831)</f>
        <v>0.323943662</v>
      </c>
    </row>
    <row r="18675">
      <c r="A18675" s="10" t="s">
        <v>20114</v>
      </c>
      <c r="B18675" s="7" t="str">
        <f>IFERROR(__xludf.DUMMYFUNCTION("SPLIT(A18675,"" "")"),"CN(Cc1ccon1)Cc1ncccc1-c1cccc(N(C)C)c1")</f>
        <v>CN(Cc1ccon1)Cc1ncccc1-c1cccc(N(C)C)c1</v>
      </c>
      <c r="C18675" s="7">
        <f>IFERROR(__xludf.DUMMYFUNCTION("""COMPUTED_VALUE"""),7.7246118)</f>
        <v>7.7246118</v>
      </c>
      <c r="D18675" s="7">
        <f>IFERROR(__xludf.DUMMYFUNCTION("""COMPUTED_VALUE"""),0.4375)</f>
        <v>0.4375</v>
      </c>
    </row>
    <row r="18676">
      <c r="A18676" s="10" t="s">
        <v>20115</v>
      </c>
      <c r="B18676" s="7" t="str">
        <f>IFERROR(__xludf.DUMMYFUNCTION("SPLIT(A18676,"" "")"),"Cc1cccnc1CN(Cc1cccnc1C(C)(C)C)c1ccc2ncccc2c1")</f>
        <v>Cc1cccnc1CN(Cc1cccnc1C(C)(C)C)c1ccc2ncccc2c1</v>
      </c>
      <c r="C18676" s="7">
        <f>IFERROR(__xludf.DUMMYFUNCTION("""COMPUTED_VALUE"""),7.7246103)</f>
        <v>7.7246103</v>
      </c>
      <c r="D18676" s="7">
        <f>IFERROR(__xludf.DUMMYFUNCTION("""COMPUTED_VALUE"""),0.298245614035087)</f>
        <v>0.298245614</v>
      </c>
    </row>
    <row r="18677">
      <c r="A18677" s="10" t="s">
        <v>20116</v>
      </c>
      <c r="B18677" s="7" t="str">
        <f>IFERROR(__xludf.DUMMYFUNCTION("SPLIT(A18677,"" "")"),"c1cncc(CN(Cc2cccnn2)c2cccc3cccnc23)c1")</f>
        <v>c1cncc(CN(Cc2cccnn2)c2cccc3cccnc23)c1</v>
      </c>
      <c r="C18677" s="7">
        <f>IFERROR(__xludf.DUMMYFUNCTION("""COMPUTED_VALUE"""),7.724601)</f>
        <v>7.724601</v>
      </c>
      <c r="D18677" s="7">
        <f>IFERROR(__xludf.DUMMYFUNCTION("""COMPUTED_VALUE"""),0.408163265306122)</f>
        <v>0.4081632653</v>
      </c>
    </row>
    <row r="18678">
      <c r="A18678" s="10" t="s">
        <v>20117</v>
      </c>
      <c r="B18678" s="7" t="str">
        <f>IFERROR(__xludf.DUMMYFUNCTION("SPLIT(A18678,"" "")"),"CN(Cc1ccccn1)Cc1cc(N(C)c2ccc3ncc(CF)cc3c2)ccn1")</f>
        <v>CN(Cc1ccccn1)Cc1cc(N(C)c2ccc3ncc(CF)cc3c2)ccn1</v>
      </c>
      <c r="C18678" s="7">
        <f>IFERROR(__xludf.DUMMYFUNCTION("""COMPUTED_VALUE"""),7.724583)</f>
        <v>7.724583</v>
      </c>
      <c r="D18678" s="7">
        <f>IFERROR(__xludf.DUMMYFUNCTION("""COMPUTED_VALUE"""),0.418181818181818)</f>
        <v>0.4181818182</v>
      </c>
    </row>
    <row r="18679">
      <c r="A18679" s="10" t="s">
        <v>20118</v>
      </c>
      <c r="B18679" s="7" t="str">
        <f>IFERROR(__xludf.DUMMYFUNCTION("SPLIT(A18679,"" "")"),"Cc1cnc(CN(C)c2cc(C)c(C)c(N(C)Cc3ccccn3)c2C)c(C)c1")</f>
        <v>Cc1cnc(CN(C)c2cc(C)c(C)c(N(C)Cc3ccccn3)c2C)c(C)c1</v>
      </c>
      <c r="C18679" s="7">
        <f>IFERROR(__xludf.DUMMYFUNCTION("""COMPUTED_VALUE"""),7.7245736)</f>
        <v>7.7245736</v>
      </c>
      <c r="D18679" s="7">
        <f>IFERROR(__xludf.DUMMYFUNCTION("""COMPUTED_VALUE"""),0.48)</f>
        <v>0.48</v>
      </c>
    </row>
    <row r="18680">
      <c r="A18680" s="10" t="s">
        <v>20119</v>
      </c>
      <c r="B18680" s="7" t="str">
        <f>IFERROR(__xludf.DUMMYFUNCTION("SPLIT(A18680,"" "")"),"CNc1ccccc1-c1ncccc1C(C)(N)c1ccccn1")</f>
        <v>CNc1ccccc1-c1ncccc1C(C)(N)c1ccccn1</v>
      </c>
      <c r="C18680" s="7">
        <f>IFERROR(__xludf.DUMMYFUNCTION("""COMPUTED_VALUE"""),7.7245665)</f>
        <v>7.7245665</v>
      </c>
      <c r="D18680" s="7">
        <f>IFERROR(__xludf.DUMMYFUNCTION("""COMPUTED_VALUE"""),0.352941176470588)</f>
        <v>0.3529411765</v>
      </c>
    </row>
    <row r="18681">
      <c r="A18681" s="10" t="s">
        <v>20120</v>
      </c>
      <c r="B18681" s="7" t="str">
        <f>IFERROR(__xludf.DUMMYFUNCTION("SPLIT(A18681,"" "")"),"CC(c1ccccc1)(c1ccccn1)c1ncccc1CN(Cc1ccccn1)c1cccc2cccnc12")</f>
        <v>CC(c1ccccc1)(c1ccccn1)c1ncccc1CN(Cc1ccccn1)c1cccc2cccnc12</v>
      </c>
      <c r="C18681" s="7">
        <f>IFERROR(__xludf.DUMMYFUNCTION("""COMPUTED_VALUE"""),7.7245646)</f>
        <v>7.7245646</v>
      </c>
      <c r="D18681" s="7">
        <f>IFERROR(__xludf.DUMMYFUNCTION("""COMPUTED_VALUE"""),0.413793103448275)</f>
        <v>0.4137931034</v>
      </c>
    </row>
    <row r="18682">
      <c r="A18682" s="10" t="s">
        <v>20121</v>
      </c>
      <c r="B18682" s="7" t="str">
        <f>IFERROR(__xludf.DUMMYFUNCTION("SPLIT(A18682,"" "")"),"FCNc1cc(-c2cccc(C(c3ccccn3)c3ccccn3)n2)ccn1")</f>
        <v>FCNc1cc(-c2cccc(C(c3ccccn3)c3ccccn3)n2)ccn1</v>
      </c>
      <c r="C18682" s="7">
        <f>IFERROR(__xludf.DUMMYFUNCTION("""COMPUTED_VALUE"""),7.724559)</f>
        <v>7.724559</v>
      </c>
      <c r="D18682" s="7">
        <f>IFERROR(__xludf.DUMMYFUNCTION("""COMPUTED_VALUE"""),0.306451612903225)</f>
        <v>0.3064516129</v>
      </c>
    </row>
    <row r="18683">
      <c r="A18683" s="10" t="s">
        <v>20122</v>
      </c>
      <c r="B18683" s="7" t="str">
        <f>IFERROR(__xludf.DUMMYFUNCTION("SPLIT(A18683,"" "")"),"Cc1cccc(CN(C)c2cccc3nccc(CN(C)Cc4nc(C)c(C)c(C)c4C)c23)c1")</f>
        <v>Cc1cccc(CN(C)c2cccc3nccc(CN(C)Cc4nc(C)c(C)c(C)c4C)c23)c1</v>
      </c>
      <c r="C18683" s="7">
        <f>IFERROR(__xludf.DUMMYFUNCTION("""COMPUTED_VALUE"""),7.7245555)</f>
        <v>7.7245555</v>
      </c>
      <c r="D18683" s="7">
        <f>IFERROR(__xludf.DUMMYFUNCTION("""COMPUTED_VALUE"""),0.265625)</f>
        <v>0.265625</v>
      </c>
    </row>
    <row r="18684">
      <c r="A18684" s="10" t="s">
        <v>20123</v>
      </c>
      <c r="B18684" s="7" t="str">
        <f>IFERROR(__xludf.DUMMYFUNCTION("SPLIT(A18684,"" "")"),"Cc1cc(C)c(CN(C)c2cccc(N=Cc3ccccn3)c2C)nc1C")</f>
        <v>Cc1cc(C)c(CN(C)c2cccc(N=Cc3ccccn3)c2C)nc1C</v>
      </c>
      <c r="C18684" s="7">
        <f>IFERROR(__xludf.DUMMYFUNCTION("""COMPUTED_VALUE"""),7.724536)</f>
        <v>7.724536</v>
      </c>
      <c r="D18684" s="7">
        <f>IFERROR(__xludf.DUMMYFUNCTION("""COMPUTED_VALUE"""),0.481481481481481)</f>
        <v>0.4814814815</v>
      </c>
    </row>
    <row r="18685">
      <c r="A18685" s="10" t="s">
        <v>20124</v>
      </c>
      <c r="B18685" s="7" t="str">
        <f>IFERROR(__xludf.DUMMYFUNCTION("SPLIT(A18685,"" "")"),"Cc1cncc(CN(C)Cc2cccc(N(C)c3cccc4ccc(CF)nc34)n2)c1")</f>
        <v>Cc1cncc(CN(C)Cc2cccc(N(C)c3cccc4ccc(CF)nc34)n2)c1</v>
      </c>
      <c r="C18685" s="7">
        <f>IFERROR(__xludf.DUMMYFUNCTION("""COMPUTED_VALUE"""),7.7245326)</f>
        <v>7.7245326</v>
      </c>
      <c r="D18685" s="7">
        <f>IFERROR(__xludf.DUMMYFUNCTION("""COMPUTED_VALUE"""),0.419354838709677)</f>
        <v>0.4193548387</v>
      </c>
    </row>
    <row r="18686">
      <c r="A18686" s="10" t="s">
        <v>20125</v>
      </c>
      <c r="B18686" s="7" t="str">
        <f>IFERROR(__xludf.DUMMYFUNCTION("SPLIT(A18686,"" "")"),"Cc1cc(CN(C)c2ccc3nccc(CN(C)Cc4ncccc4C)c3c2)ccn1")</f>
        <v>Cc1cc(CN(C)c2ccc3nccc(CN(C)Cc4ncccc4C)c3c2)ccn1</v>
      </c>
      <c r="C18686" s="7">
        <f>IFERROR(__xludf.DUMMYFUNCTION("""COMPUTED_VALUE"""),7.724532)</f>
        <v>7.724532</v>
      </c>
      <c r="D18686" s="7">
        <f>IFERROR(__xludf.DUMMYFUNCTION("""COMPUTED_VALUE"""),0.274193548387096)</f>
        <v>0.2741935484</v>
      </c>
    </row>
    <row r="18687">
      <c r="A18687" s="10" t="s">
        <v>20126</v>
      </c>
      <c r="B18687" s="7" t="str">
        <f>IFERROR(__xludf.DUMMYFUNCTION("SPLIT(A18687,"" "")"),"CC(C)N(Cc1ccc2ccc3cccnc3c2n1)C1CCC(N(C)c2ccc3c(CF)ccnc3c2)CC1")</f>
        <v>CC(C)N(Cc1ccc2ccc3cccnc3c2n1)C1CCC(N(C)c2ccc3c(CF)ccnc3c2)CC1</v>
      </c>
      <c r="C18687" s="7">
        <f>IFERROR(__xludf.DUMMYFUNCTION("""COMPUTED_VALUE"""),7.724526)</f>
        <v>7.724526</v>
      </c>
      <c r="D18687" s="7">
        <f>IFERROR(__xludf.DUMMYFUNCTION("""COMPUTED_VALUE"""),0.333333333333333)</f>
        <v>0.3333333333</v>
      </c>
    </row>
    <row r="18688">
      <c r="A18688" s="10" t="s">
        <v>20127</v>
      </c>
      <c r="B18688" s="7" t="str">
        <f>IFERROR(__xludf.DUMMYFUNCTION("SPLIT(A18688,"" "")"),"Cc1ccccc1N(C)CCN(C)c1ccc2cccnc2c1")</f>
        <v>Cc1ccccc1N(C)CCN(C)c1ccc2cccnc2c1</v>
      </c>
      <c r="C18688" s="7">
        <f>IFERROR(__xludf.DUMMYFUNCTION("""COMPUTED_VALUE"""),7.7245255)</f>
        <v>7.7245255</v>
      </c>
      <c r="D18688" s="7">
        <f>IFERROR(__xludf.DUMMYFUNCTION("""COMPUTED_VALUE"""),0.477272727272727)</f>
        <v>0.4772727273</v>
      </c>
    </row>
    <row r="18689">
      <c r="A18689" s="10" t="s">
        <v>20128</v>
      </c>
      <c r="B18689" s="7" t="str">
        <f>IFERROR(__xludf.DUMMYFUNCTION("SPLIT(A18689,"" "")"),"Cc1ccc(CN(C)Cc2cccc(N(C)c3ccc4nc(CF)ccc4c3)n2)nc1")</f>
        <v>Cc1ccc(CN(C)Cc2cccc(N(C)c3ccc4nc(CF)ccc4c3)n2)nc1</v>
      </c>
      <c r="C18689" s="7">
        <f>IFERROR(__xludf.DUMMYFUNCTION("""COMPUTED_VALUE"""),7.7245193)</f>
        <v>7.7245193</v>
      </c>
      <c r="D18689" s="7">
        <f>IFERROR(__xludf.DUMMYFUNCTION("""COMPUTED_VALUE"""),0.46)</f>
        <v>0.46</v>
      </c>
    </row>
    <row r="18690">
      <c r="A18690" s="10" t="s">
        <v>20129</v>
      </c>
      <c r="B18690" s="7" t="str">
        <f>IFERROR(__xludf.DUMMYFUNCTION("SPLIT(A18690,"" "")"),"FCc1ccc(N(Cc2ccccn2)Cc2cccc(-c3ccccc3N=Cc3ccccn3)n2)cn1")</f>
        <v>FCc1ccc(N(Cc2ccccn2)Cc2cccc(-c3ccccc3N=Cc3ccccn3)n2)cn1</v>
      </c>
      <c r="C18690" s="7">
        <f>IFERROR(__xludf.DUMMYFUNCTION("""COMPUTED_VALUE"""),7.7245173)</f>
        <v>7.7245173</v>
      </c>
      <c r="D18690" s="7">
        <f>IFERROR(__xludf.DUMMYFUNCTION("""COMPUTED_VALUE"""),0.393442622950819)</f>
        <v>0.393442623</v>
      </c>
    </row>
    <row r="18691">
      <c r="A18691" s="10" t="s">
        <v>20130</v>
      </c>
      <c r="B18691" s="7" t="str">
        <f>IFERROR(__xludf.DUMMYFUNCTION("SPLIT(A18691,"" "")"),"CN(Cc1ccccn1)C1=C(CN(Cc2ccccn2)c2cccc3ncccc23)NC=CC1")</f>
        <v>CN(Cc1ccccn1)C1=C(CN(Cc2ccccn2)c2cccc3ncccc23)NC=CC1</v>
      </c>
      <c r="C18691" s="7">
        <f>IFERROR(__xludf.DUMMYFUNCTION("""COMPUTED_VALUE"""),7.724517)</f>
        <v>7.724517</v>
      </c>
      <c r="D18691" s="7">
        <f>IFERROR(__xludf.DUMMYFUNCTION("""COMPUTED_VALUE"""),0.372881355932203)</f>
        <v>0.3728813559</v>
      </c>
    </row>
    <row r="18692">
      <c r="A18692" s="10" t="s">
        <v>20131</v>
      </c>
      <c r="B18692" s="7" t="str">
        <f>IFERROR(__xludf.DUMMYFUNCTION("SPLIT(A18692,"" "")"),"COC(=O)c1cccc(CN(Cc2ccccn2)Cc2cc(-c3ccccc3N=Cc3ccccn3)ccn2)n1")</f>
        <v>COC(=O)c1cccc(CN(Cc2ccccn2)Cc2cc(-c3ccccc3N=Cc3ccccn3)ccn2)n1</v>
      </c>
      <c r="C18692" s="7">
        <f>IFERROR(__xludf.DUMMYFUNCTION("""COMPUTED_VALUE"""),7.7245126)</f>
        <v>7.7245126</v>
      </c>
      <c r="D18692" s="7">
        <f>IFERROR(__xludf.DUMMYFUNCTION("""COMPUTED_VALUE"""),0.388888888888888)</f>
        <v>0.3888888889</v>
      </c>
    </row>
    <row r="18693">
      <c r="A18693" s="10" t="s">
        <v>20132</v>
      </c>
      <c r="B18693" s="7" t="str">
        <f>IFERROR(__xludf.DUMMYFUNCTION("SPLIT(A18693,"" "")"),"CC(C)N(C)Cc1ncccc1N(C)c1cccc2ncccc12")</f>
        <v>CC(C)N(C)Cc1ncccc1N(C)c1cccc2ncccc12</v>
      </c>
      <c r="C18693" s="7">
        <f>IFERROR(__xludf.DUMMYFUNCTION("""COMPUTED_VALUE"""),7.7245092)</f>
        <v>7.7245092</v>
      </c>
      <c r="D18693" s="7">
        <f>IFERROR(__xludf.DUMMYFUNCTION("""COMPUTED_VALUE"""),0.326530612244897)</f>
        <v>0.3265306122</v>
      </c>
    </row>
    <row r="18694">
      <c r="A18694" s="10" t="s">
        <v>20133</v>
      </c>
      <c r="B18694" s="7" t="str">
        <f>IFERROR(__xludf.DUMMYFUNCTION("SPLIT(A18694,"" "")"),"CN(C)CCN(C)Cc1ncccc1-c1cccc2ncccc12")</f>
        <v>CN(C)CCN(C)Cc1ncccc1-c1cccc2ncccc12</v>
      </c>
      <c r="C18694" s="7">
        <f>IFERROR(__xludf.DUMMYFUNCTION("""COMPUTED_VALUE"""),7.724507)</f>
        <v>7.724507</v>
      </c>
      <c r="D18694" s="7">
        <f>IFERROR(__xludf.DUMMYFUNCTION("""COMPUTED_VALUE"""),0.404255319148936)</f>
        <v>0.4042553191</v>
      </c>
    </row>
    <row r="18695">
      <c r="A18695" s="10" t="s">
        <v>20134</v>
      </c>
      <c r="B18695" s="7" t="str">
        <f>IFERROR(__xludf.DUMMYFUNCTION("SPLIT(A18695,"" "")"),"CNCc1cc(-c2cccc(N=Cc3ccccn3)c2)ccn1")</f>
        <v>CNCc1cc(-c2cccc(N=Cc3ccccn3)c2)ccn1</v>
      </c>
      <c r="C18695" s="7">
        <f>IFERROR(__xludf.DUMMYFUNCTION("""COMPUTED_VALUE"""),7.7245064)</f>
        <v>7.7245064</v>
      </c>
      <c r="D18695" s="7">
        <f>IFERROR(__xludf.DUMMYFUNCTION("""COMPUTED_VALUE"""),0.396226415094339)</f>
        <v>0.3962264151</v>
      </c>
    </row>
    <row r="18696">
      <c r="A18696" s="10" t="s">
        <v>20135</v>
      </c>
      <c r="B18696" s="7" t="str">
        <f>IFERROR(__xludf.DUMMYFUNCTION("SPLIT(A18696,"" "")"),"CC(C)C1(C)N=COC1c1ncccc1CN(Cc1ccccn1)Cc1ccc2ccc3cccnc3c2n1")</f>
        <v>CC(C)C1(C)N=COC1c1ncccc1CN(Cc1ccccn1)Cc1ccc2ccc3cccnc3c2n1</v>
      </c>
      <c r="C18696" s="7">
        <f>IFERROR(__xludf.DUMMYFUNCTION("""COMPUTED_VALUE"""),7.7244987)</f>
        <v>7.7244987</v>
      </c>
      <c r="D18696" s="7">
        <f>IFERROR(__xludf.DUMMYFUNCTION("""COMPUTED_VALUE"""),0.419354838709677)</f>
        <v>0.4193548387</v>
      </c>
    </row>
    <row r="18697">
      <c r="A18697" s="10" t="s">
        <v>20136</v>
      </c>
      <c r="B18697" s="7" t="str">
        <f>IFERROR(__xludf.DUMMYFUNCTION("SPLIT(A18697,"" "")"),"Cc1ccccc1N(C)CCN(C)c1cccc2nc(CN(C)C)ccc12")</f>
        <v>Cc1ccccc1N(C)CCN(C)c1cccc2nc(CN(C)C)ccc12</v>
      </c>
      <c r="C18697" s="7">
        <f>IFERROR(__xludf.DUMMYFUNCTION("""COMPUTED_VALUE"""),7.724489)</f>
        <v>7.724489</v>
      </c>
      <c r="D18697" s="7">
        <f>IFERROR(__xludf.DUMMYFUNCTION("""COMPUTED_VALUE"""),0.386363636363636)</f>
        <v>0.3863636364</v>
      </c>
    </row>
    <row r="18698">
      <c r="A18698" s="10" t="s">
        <v>20137</v>
      </c>
      <c r="B18698" s="7" t="str">
        <f>IFERROR(__xludf.DUMMYFUNCTION("SPLIT(A18698,"" "")"),"CN(Cc1ccccn1)c1ccccc1-c1cnccc1CN(Cc1ccccn1)Cc1ccc(-c2cccc(N=Cc3ccccn3)c2)cn1")</f>
        <v>CN(Cc1ccccn1)c1ccccc1-c1cnccc1CN(Cc1ccccn1)Cc1ccc(-c2cccc(N=Cc3ccccn3)c2)cn1</v>
      </c>
      <c r="C18698" s="7">
        <f>IFERROR(__xludf.DUMMYFUNCTION("""COMPUTED_VALUE"""),7.724476)</f>
        <v>7.724476</v>
      </c>
      <c r="D18698" s="7">
        <f>IFERROR(__xludf.DUMMYFUNCTION("""COMPUTED_VALUE"""),0.352941176470588)</f>
        <v>0.3529411765</v>
      </c>
    </row>
    <row r="18699">
      <c r="A18699" s="10" t="s">
        <v>20138</v>
      </c>
      <c r="B18699" s="7" t="str">
        <f>IFERROR(__xludf.DUMMYFUNCTION("SPLIT(A18699,"" "")"),"Cc1ccc(CN(C)C2=C(CN(C)c3ccc4ccc(CF)nc4c3)NC=CC2)cn1")</f>
        <v>Cc1ccc(CN(C)C2=C(CN(C)c3ccc4ccc(CF)nc4c3)NC=CC2)cn1</v>
      </c>
      <c r="C18699" s="7">
        <f>IFERROR(__xludf.DUMMYFUNCTION("""COMPUTED_VALUE"""),7.7244725)</f>
        <v>7.7244725</v>
      </c>
      <c r="D18699" s="7">
        <f>IFERROR(__xludf.DUMMYFUNCTION("""COMPUTED_VALUE"""),0.24)</f>
        <v>0.24</v>
      </c>
    </row>
    <row r="18700">
      <c r="A18700" s="10" t="s">
        <v>20139</v>
      </c>
      <c r="B18700" s="7" t="str">
        <f>IFERROR(__xludf.DUMMYFUNCTION("SPLIT(A18700,"" "")"),"Cc1cccnc1CN(C)c1ccc2ccc(CN(C)C3C=CC=CN3)nc2c1")</f>
        <v>Cc1cccnc1CN(C)c1ccc2ccc(CN(C)C3C=CC=CN3)nc2c1</v>
      </c>
      <c r="C18700" s="7">
        <f>IFERROR(__xludf.DUMMYFUNCTION("""COMPUTED_VALUE"""),7.7244678)</f>
        <v>7.7244678</v>
      </c>
      <c r="D18700" s="7">
        <f>IFERROR(__xludf.DUMMYFUNCTION("""COMPUTED_VALUE"""),0.313432835820895)</f>
        <v>0.3134328358</v>
      </c>
    </row>
    <row r="18701">
      <c r="A18701" s="10" t="s">
        <v>20140</v>
      </c>
      <c r="B18701" s="7" t="str">
        <f>IFERROR(__xludf.DUMMYFUNCTION("SPLIT(A18701,"" "")"),"CN(C)CC1=C(N(C)c2ccc3nc(CF)ccc3c2)CC=CN1")</f>
        <v>CN(C)CC1=C(N(C)c2ccc3nc(CF)ccc3c2)CC=CN1</v>
      </c>
      <c r="C18701" s="7">
        <f>IFERROR(__xludf.DUMMYFUNCTION("""COMPUTED_VALUE"""),7.7244596)</f>
        <v>7.7244596</v>
      </c>
      <c r="D18701" s="7">
        <f>IFERROR(__xludf.DUMMYFUNCTION("""COMPUTED_VALUE"""),0.276923076923076)</f>
        <v>0.2769230769</v>
      </c>
    </row>
    <row r="18702">
      <c r="A18702" s="10" t="s">
        <v>20141</v>
      </c>
      <c r="B18702" s="7" t="str">
        <f>IFERROR(__xludf.DUMMYFUNCTION("SPLIT(A18702,"" "")"),"Cc1ccnc(CN(C)C2=CNC=CC2CN(C)c2ccc3ncccc3c2)c1")</f>
        <v>Cc1ccnc(CN(C)C2=CNC=CC2CN(C)c2ccc3ncccc3c2)c1</v>
      </c>
      <c r="C18702" s="7">
        <f>IFERROR(__xludf.DUMMYFUNCTION("""COMPUTED_VALUE"""),7.7244554)</f>
        <v>7.7244554</v>
      </c>
      <c r="D18702" s="7">
        <f>IFERROR(__xludf.DUMMYFUNCTION("""COMPUTED_VALUE"""),0.276923076923076)</f>
        <v>0.2769230769</v>
      </c>
    </row>
    <row r="18703">
      <c r="A18703" s="10" t="s">
        <v>20142</v>
      </c>
      <c r="B18703" s="7" t="str">
        <f>IFERROR(__xludf.DUMMYFUNCTION("SPLIT(A18703,"" "")"),"Cc1cccnc1CN(C)Cc1cc(C)c(-c2ccccc2N=Cc2ccccn2)c(C)n1")</f>
        <v>Cc1cccnc1CN(C)Cc1cc(C)c(-c2ccccc2N=Cc2ccccn2)c(C)n1</v>
      </c>
      <c r="C18703" s="7">
        <f>IFERROR(__xludf.DUMMYFUNCTION("""COMPUTED_VALUE"""),7.7244534)</f>
        <v>7.7244534</v>
      </c>
      <c r="D18703" s="7">
        <f>IFERROR(__xludf.DUMMYFUNCTION("""COMPUTED_VALUE"""),0.46551724137931)</f>
        <v>0.4655172414</v>
      </c>
    </row>
    <row r="18704">
      <c r="A18704" s="10" t="s">
        <v>20143</v>
      </c>
      <c r="B18704" s="7" t="str">
        <f>IFERROR(__xludf.DUMMYFUNCTION("SPLIT(A18704,"" "")"),"Cc1cccnc1CN(C)Cc1c(NCc2ccccn2)cccc1N(C)c1cccc2ncccc12")</f>
        <v>Cc1cccnc1CN(C)Cc1c(NCc2ccccn2)cccc1N(C)c1cccc2ncccc12</v>
      </c>
      <c r="C18704" s="7">
        <f>IFERROR(__xludf.DUMMYFUNCTION("""COMPUTED_VALUE"""),7.724449)</f>
        <v>7.724449</v>
      </c>
      <c r="D18704" s="7">
        <f>IFERROR(__xludf.DUMMYFUNCTION("""COMPUTED_VALUE"""),0.323076923076923)</f>
        <v>0.3230769231</v>
      </c>
    </row>
    <row r="18705">
      <c r="A18705" s="10" t="s">
        <v>20144</v>
      </c>
      <c r="B18705" s="7" t="str">
        <f>IFERROR(__xludf.DUMMYFUNCTION("SPLIT(A18705,"" "")"),"Cc1cc(CN(C)c2cccc3ncc(CN(C)Cc4ccccn4)cc23)nc(C)c1C")</f>
        <v>Cc1cc(CN(C)c2cccc3ncc(CN(C)Cc4ccccn4)cc23)nc(C)c1C</v>
      </c>
      <c r="C18705" s="7">
        <f>IFERROR(__xludf.DUMMYFUNCTION("""COMPUTED_VALUE"""),7.724448)</f>
        <v>7.724448</v>
      </c>
      <c r="D18705" s="7">
        <f>IFERROR(__xludf.DUMMYFUNCTION("""COMPUTED_VALUE"""),0.413793103448275)</f>
        <v>0.4137931034</v>
      </c>
    </row>
    <row r="18706">
      <c r="A18706" s="10" t="s">
        <v>20145</v>
      </c>
      <c r="B18706" s="7" t="str">
        <f>IFERROR(__xludf.DUMMYFUNCTION("SPLIT(A18706,"" "")"),"CC(C)N(Cc1ccccn1)c1cccc2ncccc12")</f>
        <v>CC(C)N(Cc1ccccn1)c1cccc2ncccc12</v>
      </c>
      <c r="C18706" s="7">
        <f>IFERROR(__xludf.DUMMYFUNCTION("""COMPUTED_VALUE"""),7.724437)</f>
        <v>7.724437</v>
      </c>
      <c r="D18706" s="7">
        <f>IFERROR(__xludf.DUMMYFUNCTION("""COMPUTED_VALUE"""),0.488372093023255)</f>
        <v>0.488372093</v>
      </c>
    </row>
    <row r="18707">
      <c r="A18707" s="10" t="s">
        <v>20146</v>
      </c>
      <c r="B18707" s="7" t="str">
        <f>IFERROR(__xludf.DUMMYFUNCTION("SPLIT(A18707,"" "")"),"Cc1ccc(C)c(N(Cc2ccccn2)Cc2ccc(-c3cccc(N=Cc4ccccn4)c3)cn2)c1")</f>
        <v>Cc1ccc(C)c(N(Cc2ccccn2)Cc2ccc(-c3cccc(N=Cc4ccccn4)c3)cn2)c1</v>
      </c>
      <c r="C18707" s="7">
        <f>IFERROR(__xludf.DUMMYFUNCTION("""COMPUTED_VALUE"""),7.7244334)</f>
        <v>7.7244334</v>
      </c>
      <c r="D18707" s="7">
        <f>IFERROR(__xludf.DUMMYFUNCTION("""COMPUTED_VALUE"""),0.370967741935483)</f>
        <v>0.3709677419</v>
      </c>
    </row>
    <row r="18708">
      <c r="A18708" s="10" t="s">
        <v>20147</v>
      </c>
      <c r="B18708" s="7" t="str">
        <f>IFERROR(__xludf.DUMMYFUNCTION("SPLIT(A18708,"" "")"),"Cc1cnccc1CN(C)c1ccc2nccc(CN(C)Cc3ncccc3C)c2c1")</f>
        <v>Cc1cnccc1CN(C)c1ccc2nccc(CN(C)Cc3ncccc3C)c2c1</v>
      </c>
      <c r="C18708" s="7">
        <f>IFERROR(__xludf.DUMMYFUNCTION("""COMPUTED_VALUE"""),7.7244306)</f>
        <v>7.7244306</v>
      </c>
      <c r="D18708" s="7">
        <f>IFERROR(__xludf.DUMMYFUNCTION("""COMPUTED_VALUE"""),0.274193548387096)</f>
        <v>0.2741935484</v>
      </c>
    </row>
    <row r="18709">
      <c r="A18709" s="10" t="s">
        <v>20148</v>
      </c>
      <c r="B18709" s="7" t="str">
        <f>IFERROR(__xludf.DUMMYFUNCTION("SPLIT(A18709,"" "")"),"CN(C1=CC=CNC1N(C)Cc1ccccn1)c1ccc2cccnc2c1")</f>
        <v>CN(C1=CC=CNC1N(C)Cc1ccccn1)c1ccc2cccnc2c1</v>
      </c>
      <c r="C18709" s="7">
        <f>IFERROR(__xludf.DUMMYFUNCTION("""COMPUTED_VALUE"""),7.7244215)</f>
        <v>7.7244215</v>
      </c>
      <c r="D18709" s="7">
        <f>IFERROR(__xludf.DUMMYFUNCTION("""COMPUTED_VALUE"""),0.396551724137931)</f>
        <v>0.3965517241</v>
      </c>
    </row>
    <row r="18710">
      <c r="A18710" s="10" t="s">
        <v>20149</v>
      </c>
      <c r="B18710" s="7" t="str">
        <f>IFERROR(__xludf.DUMMYFUNCTION("SPLIT(A18710,"" "")"),"FCNc1ncccc1-c1ncccc1C(c1ccccn1)c1ccccn1")</f>
        <v>FCNc1ncccc1-c1ncccc1C(c1ccccn1)c1ccccn1</v>
      </c>
      <c r="C18710" s="7">
        <f>IFERROR(__xludf.DUMMYFUNCTION("""COMPUTED_VALUE"""),7.724415)</f>
        <v>7.724415</v>
      </c>
      <c r="D18710" s="7">
        <f>IFERROR(__xludf.DUMMYFUNCTION("""COMPUTED_VALUE"""),0.25)</f>
        <v>0.25</v>
      </c>
    </row>
    <row r="18711">
      <c r="A18711" s="10" t="s">
        <v>20150</v>
      </c>
      <c r="B18711" s="7" t="str">
        <f>IFERROR(__xludf.DUMMYFUNCTION("SPLIT(A18711,"" "")"),"Cc1ccnc2cc(N(C)C3CCC(N(C)c4cccc5nc6c(cc45)CCC6)CC3)ccc12")</f>
        <v>Cc1ccnc2cc(N(C)C3CCC(N(C)c4cccc5nc6c(cc45)CCC6)CC3)ccc12</v>
      </c>
      <c r="C18711" s="7">
        <f>IFERROR(__xludf.DUMMYFUNCTION("""COMPUTED_VALUE"""),7.7243934)</f>
        <v>7.7243934</v>
      </c>
      <c r="D18711" s="7">
        <f>IFERROR(__xludf.DUMMYFUNCTION("""COMPUTED_VALUE"""),0.393939393939393)</f>
        <v>0.3939393939</v>
      </c>
    </row>
    <row r="18712">
      <c r="A18712" s="10" t="s">
        <v>20151</v>
      </c>
      <c r="B18712" s="7" t="str">
        <f>IFERROR(__xludf.DUMMYFUNCTION("SPLIT(A18712,"" "")"),"Cc1c(N)nc(CN(C)Cc2ccnc3cccc(C)c23)c(C)c1C")</f>
        <v>Cc1c(N)nc(CN(C)Cc2ccnc3cccc(C)c23)c(C)c1C</v>
      </c>
      <c r="C18712" s="7">
        <f>IFERROR(__xludf.DUMMYFUNCTION("""COMPUTED_VALUE"""),7.724388)</f>
        <v>7.724388</v>
      </c>
      <c r="D18712" s="7">
        <f>IFERROR(__xludf.DUMMYFUNCTION("""COMPUTED_VALUE"""),0.309090909090909)</f>
        <v>0.3090909091</v>
      </c>
    </row>
    <row r="18713">
      <c r="A18713" s="10" t="s">
        <v>20152</v>
      </c>
      <c r="B18713" s="7" t="str">
        <f>IFERROR(__xludf.DUMMYFUNCTION("SPLIT(A18713,"" "")"),"Cc1ccc(C)c(CN(C)c2ccc3c(CN(C)Cc4ncccc4C)nccc3c2)n1")</f>
        <v>Cc1ccc(C)c(CN(C)c2ccc3c(CN(C)Cc4ncccc4C)nccc3c2)n1</v>
      </c>
      <c r="C18713" s="7">
        <f>IFERROR(__xludf.DUMMYFUNCTION("""COMPUTED_VALUE"""),7.724382)</f>
        <v>7.724382</v>
      </c>
      <c r="D18713" s="7">
        <f>IFERROR(__xludf.DUMMYFUNCTION("""COMPUTED_VALUE"""),0.271186440677966)</f>
        <v>0.2711864407</v>
      </c>
    </row>
    <row r="18714">
      <c r="A18714" s="10" t="s">
        <v>20153</v>
      </c>
      <c r="B18714" s="7" t="str">
        <f>IFERROR(__xludf.DUMMYFUNCTION("SPLIT(A18714,"" "")"),"Cc1cnccc1CN(C)Cc1cccc(N(C)c2ccc3ccc(CF)nc3c2)n1")</f>
        <v>Cc1cnccc1CN(C)Cc1cccc(N(C)c2ccc3ccc(CF)nc3c2)n1</v>
      </c>
      <c r="C18714" s="7">
        <f>IFERROR(__xludf.DUMMYFUNCTION("""COMPUTED_VALUE"""),7.724377)</f>
        <v>7.724377</v>
      </c>
      <c r="D18714" s="7">
        <f>IFERROR(__xludf.DUMMYFUNCTION("""COMPUTED_VALUE"""),0.310344827586206)</f>
        <v>0.3103448276</v>
      </c>
    </row>
    <row r="18715">
      <c r="A18715" s="10" t="s">
        <v>20154</v>
      </c>
      <c r="B18715" s="7" t="str">
        <f>IFERROR(__xludf.DUMMYFUNCTION("SPLIT(A18715,"" "")"),"CN(CCN(Cc1cccnc1)c1cccc2ncccc12)Cc1cccc2ncccc12")</f>
        <v>CN(CCN(Cc1cccnc1)c1cccc2ncccc12)Cc1cccc2ncccc12</v>
      </c>
      <c r="C18715" s="7">
        <f>IFERROR(__xludf.DUMMYFUNCTION("""COMPUTED_VALUE"""),7.7243657)</f>
        <v>7.7243657</v>
      </c>
      <c r="D18715" s="7">
        <f>IFERROR(__xludf.DUMMYFUNCTION("""COMPUTED_VALUE"""),0.423076923076923)</f>
        <v>0.4230769231</v>
      </c>
    </row>
    <row r="18716">
      <c r="A18716" s="10" t="s">
        <v>20155</v>
      </c>
      <c r="B18716" s="7" t="str">
        <f>IFERROR(__xludf.DUMMYFUNCTION("SPLIT(A18716,"" "")"),"C1=CNC(c2ccc(C(c3ccccn3)c3ccccn3)cn2)=CC1")</f>
        <v>C1=CNC(c2ccc(C(c3ccccn3)c3ccccn3)cn2)=CC1</v>
      </c>
      <c r="C18716" s="7">
        <f>IFERROR(__xludf.DUMMYFUNCTION("""COMPUTED_VALUE"""),7.7243414)</f>
        <v>7.7243414</v>
      </c>
      <c r="D18716" s="7">
        <f>IFERROR(__xludf.DUMMYFUNCTION("""COMPUTED_VALUE"""),0.388888888888888)</f>
        <v>0.3888888889</v>
      </c>
    </row>
    <row r="18717">
      <c r="A18717" s="10" t="s">
        <v>20156</v>
      </c>
      <c r="B18717" s="7" t="str">
        <f>IFERROR(__xludf.DUMMYFUNCTION("SPLIT(A18717,"" "")"),"CC1=C(CN(C)c2ccc3ncccc3c2)CC(C)C(N(C)Cc2ccccn2)=C1")</f>
        <v>CC1=C(CN(C)c2ccc3ncccc3c2)CC(C)C(N(C)Cc2ccccn2)=C1</v>
      </c>
      <c r="C18717" s="7">
        <f>IFERROR(__xludf.DUMMYFUNCTION("""COMPUTED_VALUE"""),7.724341)</f>
        <v>7.724341</v>
      </c>
      <c r="D18717" s="7">
        <f>IFERROR(__xludf.DUMMYFUNCTION("""COMPUTED_VALUE"""),0.372881355932203)</f>
        <v>0.3728813559</v>
      </c>
    </row>
    <row r="18718">
      <c r="A18718" s="10" t="s">
        <v>20157</v>
      </c>
      <c r="B18718" s="7" t="str">
        <f>IFERROR(__xludf.DUMMYFUNCTION("SPLIT(A18718,"" "")"),"CN(CC1=CCC=C(N(C)c2cccc3ncccc23)N1)Cc1cccnc1")</f>
        <v>CN(CC1=CCC=C(N(C)c2cccc3ncccc23)N1)Cc1cccnc1</v>
      </c>
      <c r="C18718" s="7">
        <f>IFERROR(__xludf.DUMMYFUNCTION("""COMPUTED_VALUE"""),7.7243295)</f>
        <v>7.7243295</v>
      </c>
      <c r="D18718" s="7">
        <f>IFERROR(__xludf.DUMMYFUNCTION("""COMPUTED_VALUE"""),0.253968253968253)</f>
        <v>0.253968254</v>
      </c>
    </row>
    <row r="18719">
      <c r="A18719" s="10" t="s">
        <v>20158</v>
      </c>
      <c r="B18719" s="7" t="str">
        <f>IFERROR(__xludf.DUMMYFUNCTION("SPLIT(A18719,"" "")"),"Cc1cccnc1CN(CCN(C)Cc1ccc2ncccc2c1)c1ccc2ncccc2c1")</f>
        <v>Cc1cccnc1CN(CCN(C)Cc1ccc2ncccc2c1)c1ccc2ncccc2c1</v>
      </c>
      <c r="C18719" s="7">
        <f>IFERROR(__xludf.DUMMYFUNCTION("""COMPUTED_VALUE"""),7.724328)</f>
        <v>7.724328</v>
      </c>
      <c r="D18719" s="7">
        <f>IFERROR(__xludf.DUMMYFUNCTION("""COMPUTED_VALUE"""),0.37037037037037)</f>
        <v>0.3703703704</v>
      </c>
    </row>
    <row r="18720">
      <c r="A18720" s="10" t="s">
        <v>20159</v>
      </c>
      <c r="B18720" s="7" t="str">
        <f>IFERROR(__xludf.DUMMYFUNCTION("SPLIT(A18720,"" "")"),"CN(C)Cc1ccc2cccc(N(C)CC3=C(N(C)Cc4ccccn4)CC=CN3)c2n1")</f>
        <v>CN(C)Cc1ccc2cccc(N(C)CC3=C(N(C)Cc4ccccn4)CC=CN3)c2n1</v>
      </c>
      <c r="C18720" s="7">
        <f>IFERROR(__xludf.DUMMYFUNCTION("""COMPUTED_VALUE"""),7.7243166)</f>
        <v>7.7243166</v>
      </c>
      <c r="D18720" s="7">
        <f>IFERROR(__xludf.DUMMYFUNCTION("""COMPUTED_VALUE"""),0.383333333333333)</f>
        <v>0.3833333333</v>
      </c>
    </row>
    <row r="18721">
      <c r="A18721" s="10" t="s">
        <v>20160</v>
      </c>
      <c r="B18721" s="7" t="str">
        <f>IFERROR(__xludf.DUMMYFUNCTION("SPLIT(A18721,"" "")"),"Cc1cccnc1CN(C)Cc1ccc(N(C)c2ccc3nc(CF)ccc3c2)cn1")</f>
        <v>Cc1cccnc1CN(C)Cc1ccc(N(C)c2ccc3nc(CF)ccc3c2)cn1</v>
      </c>
      <c r="C18721" s="7">
        <f>IFERROR(__xludf.DUMMYFUNCTION("""COMPUTED_VALUE"""),7.724316)</f>
        <v>7.724316</v>
      </c>
      <c r="D18721" s="7">
        <f>IFERROR(__xludf.DUMMYFUNCTION("""COMPUTED_VALUE"""),0.345454545454545)</f>
        <v>0.3454545455</v>
      </c>
    </row>
    <row r="18722">
      <c r="A18722" s="10" t="s">
        <v>20161</v>
      </c>
      <c r="B18722" s="7" t="str">
        <f>IFERROR(__xludf.DUMMYFUNCTION("SPLIT(A18722,"" "")"),"CN(C)c1c(-c2cnccc2CN(Cc2ccccn2)C2CCCCC2N(C)c2cccc3ncccc23)ccc2cccnc12")</f>
        <v>CN(C)c1c(-c2cnccc2CN(Cc2ccccn2)C2CCCCC2N(C)c2cccc3ncccc23)ccc2cccnc12</v>
      </c>
      <c r="C18722" s="7">
        <f>IFERROR(__xludf.DUMMYFUNCTION("""COMPUTED_VALUE"""),7.724305)</f>
        <v>7.724305</v>
      </c>
      <c r="D18722" s="7">
        <f>IFERROR(__xludf.DUMMYFUNCTION("""COMPUTED_VALUE"""),0.422535211267605)</f>
        <v>0.4225352113</v>
      </c>
    </row>
    <row r="18723">
      <c r="A18723" s="10" t="s">
        <v>20162</v>
      </c>
      <c r="B18723" s="7" t="str">
        <f>IFERROR(__xludf.DUMMYFUNCTION("SPLIT(A18723,"" "")"),"CN(C)Cc1ccc(-c2ccccc2N(C)C)cn1")</f>
        <v>CN(C)Cc1ccc(-c2ccccc2N(C)C)cn1</v>
      </c>
      <c r="C18723" s="7">
        <f>IFERROR(__xludf.DUMMYFUNCTION("""COMPUTED_VALUE"""),7.7243037)</f>
        <v>7.7243037</v>
      </c>
      <c r="D18723" s="7">
        <f>IFERROR(__xludf.DUMMYFUNCTION("""COMPUTED_VALUE"""),0.357142857142857)</f>
        <v>0.3571428571</v>
      </c>
    </row>
    <row r="18724">
      <c r="A18724" s="10" t="s">
        <v>20163</v>
      </c>
      <c r="B18724" s="7" t="str">
        <f>IFERROR(__xludf.DUMMYFUNCTION("SPLIT(A18724,"" "")"),"CN(C1=CC=CNC1N(C)Cc1ccccn1)c1cccc2cccnc12")</f>
        <v>CN(C1=CC=CNC1N(C)Cc1ccccn1)c1cccc2cccnc12</v>
      </c>
      <c r="C18724" s="7">
        <f>IFERROR(__xludf.DUMMYFUNCTION("""COMPUTED_VALUE"""),7.7243004)</f>
        <v>7.7243004</v>
      </c>
      <c r="D18724" s="7">
        <f>IFERROR(__xludf.DUMMYFUNCTION("""COMPUTED_VALUE"""),0.418181818181818)</f>
        <v>0.4181818182</v>
      </c>
    </row>
    <row r="18725">
      <c r="A18725" s="10" t="s">
        <v>20164</v>
      </c>
      <c r="B18725" s="7" t="str">
        <f>IFERROR(__xludf.DUMMYFUNCTION("SPLIT(A18725,"" "")"),"CN(Cc1ccon1)Cc1cccc(-c2cccc(N=Cc3ccccn3)c2)n1")</f>
        <v>CN(Cc1ccon1)Cc1cccc(-c2cccc(N=Cc3ccccn3)c2)n1</v>
      </c>
      <c r="C18725" s="7">
        <f>IFERROR(__xludf.DUMMYFUNCTION("""COMPUTED_VALUE"""),7.724295)</f>
        <v>7.724295</v>
      </c>
      <c r="D18725" s="7">
        <f>IFERROR(__xludf.DUMMYFUNCTION("""COMPUTED_VALUE"""),0.440677966101694)</f>
        <v>0.4406779661</v>
      </c>
    </row>
    <row r="18726">
      <c r="A18726" s="10" t="s">
        <v>20165</v>
      </c>
      <c r="B18726" s="7" t="str">
        <f>IFERROR(__xludf.DUMMYFUNCTION("SPLIT(A18726,"" "")"),"CN(c1ccc2ncccc2c1)C1C2CCC1(N(Cc1ccccn1)c1cccc3cccnc13)CC2")</f>
        <v>CN(c1ccc2ncccc2c1)C1C2CCC1(N(Cc1ccccn1)c1cccc3cccnc13)CC2</v>
      </c>
      <c r="C18726" s="7">
        <f>IFERROR(__xludf.DUMMYFUNCTION("""COMPUTED_VALUE"""),7.7242937)</f>
        <v>7.7242937</v>
      </c>
      <c r="D18726" s="7">
        <f>IFERROR(__xludf.DUMMYFUNCTION("""COMPUTED_VALUE"""),0.4)</f>
        <v>0.4</v>
      </c>
    </row>
    <row r="18727">
      <c r="A18727" s="10" t="s">
        <v>20166</v>
      </c>
      <c r="B18727" s="7" t="str">
        <f>IFERROR(__xludf.DUMMYFUNCTION("SPLIT(A18727,"" "")"),"Cc1nc(CN(C)Cc2cc(-c3cccc(N(C)C)c3)ccn2)c(C)c(C)c1C")</f>
        <v>Cc1nc(CN(C)Cc2cc(-c3cccc(N(C)C)c3)ccn2)c(C)c(C)c1C</v>
      </c>
      <c r="C18727" s="7">
        <f>IFERROR(__xludf.DUMMYFUNCTION("""COMPUTED_VALUE"""),7.7242827)</f>
        <v>7.7242827</v>
      </c>
      <c r="D18727" s="7">
        <f>IFERROR(__xludf.DUMMYFUNCTION("""COMPUTED_VALUE"""),0.339285714285714)</f>
        <v>0.3392857143</v>
      </c>
    </row>
    <row r="18728">
      <c r="A18728" s="10" t="s">
        <v>20167</v>
      </c>
      <c r="B18728" s="7" t="str">
        <f>IFERROR(__xludf.DUMMYFUNCTION("SPLIT(A18728,"" "")"),"Cc1ccc(N(Cc2ccccn2)Cc2ccc(-c3cccc(N(C)C)c3)cn2)cc1C")</f>
        <v>Cc1ccc(N(Cc2ccccn2)Cc2ccc(-c3cccc(N(C)C)c3)cn2)cc1C</v>
      </c>
      <c r="C18728" s="7">
        <f>IFERROR(__xludf.DUMMYFUNCTION("""COMPUTED_VALUE"""),7.724281)</f>
        <v>7.724281</v>
      </c>
      <c r="D18728" s="7">
        <f>IFERROR(__xludf.DUMMYFUNCTION("""COMPUTED_VALUE"""),0.375)</f>
        <v>0.375</v>
      </c>
    </row>
    <row r="18729">
      <c r="A18729" s="10" t="s">
        <v>20168</v>
      </c>
      <c r="B18729" s="7" t="str">
        <f>IFERROR(__xludf.DUMMYFUNCTION("SPLIT(A18729,"" "")"),"Cc1cccnc1CN(C)CC1=CCC(N(C)c2cccc3ncccc23)=CN1")</f>
        <v>Cc1cccnc1CN(C)CC1=CCC(N(C)c2cccc3ncccc23)=CN1</v>
      </c>
      <c r="C18729" s="7">
        <f>IFERROR(__xludf.DUMMYFUNCTION("""COMPUTED_VALUE"""),7.7242646)</f>
        <v>7.7242646</v>
      </c>
      <c r="D18729" s="7">
        <f>IFERROR(__xludf.DUMMYFUNCTION("""COMPUTED_VALUE"""),0.274193548387096)</f>
        <v>0.2741935484</v>
      </c>
    </row>
    <row r="18730">
      <c r="A18730" s="10" t="s">
        <v>20169</v>
      </c>
      <c r="B18730" s="7" t="str">
        <f>IFERROR(__xludf.DUMMYFUNCTION("SPLIT(A18730,"" "")"),"CNCc1cccc(N(C)Cc2cccc(-c3ccc(Cl)cc3N)n2)n1")</f>
        <v>CNCc1cccc(N(C)Cc2cccc(-c3ccc(Cl)cc3N)n2)n1</v>
      </c>
      <c r="C18730" s="7">
        <f>IFERROR(__xludf.DUMMYFUNCTION("""COMPUTED_VALUE"""),7.724255)</f>
        <v>7.724255</v>
      </c>
      <c r="D18730" s="7">
        <f>IFERROR(__xludf.DUMMYFUNCTION("""COMPUTED_VALUE"""),0.3)</f>
        <v>0.3</v>
      </c>
    </row>
    <row r="18731">
      <c r="A18731" s="10" t="s">
        <v>20170</v>
      </c>
      <c r="B18731" s="7" t="str">
        <f>IFERROR(__xludf.DUMMYFUNCTION("SPLIT(A18731,"" "")"),"CNc1cc(Cl)ccc1N(C)C")</f>
        <v>CNc1cc(Cl)ccc1N(C)C</v>
      </c>
      <c r="C18731" s="7">
        <f>IFERROR(__xludf.DUMMYFUNCTION("""COMPUTED_VALUE"""),7.724251)</f>
        <v>7.724251</v>
      </c>
      <c r="D18731" s="7">
        <f>IFERROR(__xludf.DUMMYFUNCTION("""COMPUTED_VALUE"""),0.232558139534883)</f>
        <v>0.2325581395</v>
      </c>
    </row>
    <row r="18732">
      <c r="A18732" s="10" t="s">
        <v>20171</v>
      </c>
      <c r="B18732" s="7" t="str">
        <f>IFERROR(__xludf.DUMMYFUNCTION("SPLIT(A18732,"" "")"),"CN(Cc1cccc(-c2ccccc2)n1)Cc1cccc(-c2cccc(N=Cc3ccccn3)c2)n1")</f>
        <v>CN(Cc1cccc(-c2ccccc2)n1)Cc1cccc(-c2cccc(N=Cc3ccccn3)c2)n1</v>
      </c>
      <c r="C18732" s="7">
        <f>IFERROR(__xludf.DUMMYFUNCTION("""COMPUTED_VALUE"""),7.7242427)</f>
        <v>7.7242427</v>
      </c>
      <c r="D18732" s="7">
        <f>IFERROR(__xludf.DUMMYFUNCTION("""COMPUTED_VALUE"""),0.5)</f>
        <v>0.5</v>
      </c>
    </row>
    <row r="18733">
      <c r="A18733" s="10" t="s">
        <v>20172</v>
      </c>
      <c r="B18733" s="7" t="str">
        <f>IFERROR(__xludf.DUMMYFUNCTION("SPLIT(A18733,"" "")"),"CN(CC1=CC(N(C)C(c2ccccn2)c2ccccn2)C=CN1)c1ccc2ncccc2c1")</f>
        <v>CN(CC1=CC(N(C)C(c2ccccn2)c2ccccn2)C=CN1)c1ccc2ncccc2c1</v>
      </c>
      <c r="C18733" s="7">
        <f>IFERROR(__xludf.DUMMYFUNCTION("""COMPUTED_VALUE"""),7.724242)</f>
        <v>7.724242</v>
      </c>
      <c r="D18733" s="7">
        <f>IFERROR(__xludf.DUMMYFUNCTION("""COMPUTED_VALUE"""),0.318181818181818)</f>
        <v>0.3181818182</v>
      </c>
    </row>
    <row r="18734">
      <c r="A18734" s="10" t="s">
        <v>20173</v>
      </c>
      <c r="B18734" s="7" t="str">
        <f>IFERROR(__xludf.DUMMYFUNCTION("SPLIT(A18734,"" "")"),"CN(CC1=CNCC=C1NCc1ccccn1)c1cccc2cccnc12")</f>
        <v>CN(CC1=CNCC=C1NCc1ccccn1)c1cccc2cccnc12</v>
      </c>
      <c r="C18734" s="7">
        <f>IFERROR(__xludf.DUMMYFUNCTION("""COMPUTED_VALUE"""),7.7242274)</f>
        <v>7.7242274</v>
      </c>
      <c r="D18734" s="7">
        <f>IFERROR(__xludf.DUMMYFUNCTION("""COMPUTED_VALUE"""),0.444444444444444)</f>
        <v>0.4444444444</v>
      </c>
    </row>
    <row r="18735">
      <c r="A18735" s="10" t="s">
        <v>20174</v>
      </c>
      <c r="B18735" s="7" t="str">
        <f>IFERROR(__xludf.DUMMYFUNCTION("SPLIT(A18735,"" "")"),"Cc1nc(CN(C)Cc2ccnc3cccc(C)c23)c(C)c(C)c1C")</f>
        <v>Cc1nc(CN(C)Cc2ccnc3cccc(C)c23)c(C)c(C)c1C</v>
      </c>
      <c r="C18735" s="7">
        <f>IFERROR(__xludf.DUMMYFUNCTION("""COMPUTED_VALUE"""),7.7242174)</f>
        <v>7.7242174</v>
      </c>
      <c r="D18735" s="7">
        <f>IFERROR(__xludf.DUMMYFUNCTION("""COMPUTED_VALUE"""),0.320754716981132)</f>
        <v>0.320754717</v>
      </c>
    </row>
    <row r="18736">
      <c r="A18736" s="10" t="s">
        <v>20175</v>
      </c>
      <c r="B18736" s="7" t="str">
        <f>IFERROR(__xludf.DUMMYFUNCTION("SPLIT(A18736,"" "")"),"FCNc1cccc(-c2cc(C(c3ccccn3)c3ccccn3)ccn2)n1")</f>
        <v>FCNc1cccc(-c2cc(C(c3ccccn3)c3ccccn3)ccn2)n1</v>
      </c>
      <c r="C18736" s="7">
        <f>IFERROR(__xludf.DUMMYFUNCTION("""COMPUTED_VALUE"""),7.7242107)</f>
        <v>7.7242107</v>
      </c>
      <c r="D18736" s="7">
        <f>IFERROR(__xludf.DUMMYFUNCTION("""COMPUTED_VALUE"""),0.385964912280701)</f>
        <v>0.3859649123</v>
      </c>
    </row>
    <row r="18737">
      <c r="A18737" s="10" t="s">
        <v>20176</v>
      </c>
      <c r="B18737" s="7" t="str">
        <f>IFERROR(__xludf.DUMMYFUNCTION("SPLIT(A18737,"" "")"),"CNCc1ccc(-c2ccccc2N=Cc2ccccn2)cn1")</f>
        <v>CNCc1ccc(-c2ccccc2N=Cc2ccccn2)cn1</v>
      </c>
      <c r="C18737" s="7">
        <f>IFERROR(__xludf.DUMMYFUNCTION("""COMPUTED_VALUE"""),7.724208)</f>
        <v>7.724208</v>
      </c>
      <c r="D18737" s="7">
        <f>IFERROR(__xludf.DUMMYFUNCTION("""COMPUTED_VALUE"""),0.450980392156862)</f>
        <v>0.4509803922</v>
      </c>
    </row>
    <row r="18738">
      <c r="A18738" s="10" t="s">
        <v>20177</v>
      </c>
      <c r="B18738" s="7" t="str">
        <f>IFERROR(__xludf.DUMMYFUNCTION("SPLIT(A18738,"" "")"),"Cc1cnc(CN(C)c2ccc3nc(CN(C)Cc4ccc(N)cn4)ccc3c2)c(C)c1")</f>
        <v>Cc1cnc(CN(C)c2ccc3nc(CN(C)Cc4ccc(N)cn4)ccc3c2)c(C)c1</v>
      </c>
      <c r="C18738" s="7">
        <f>IFERROR(__xludf.DUMMYFUNCTION("""COMPUTED_VALUE"""),7.724203)</f>
        <v>7.724203</v>
      </c>
      <c r="D18738" s="7">
        <f>IFERROR(__xludf.DUMMYFUNCTION("""COMPUTED_VALUE"""),0.396226415094339)</f>
        <v>0.3962264151</v>
      </c>
    </row>
    <row r="18739">
      <c r="A18739" s="10" t="s">
        <v>20178</v>
      </c>
      <c r="B18739" s="7" t="str">
        <f>IFERROR(__xludf.DUMMYFUNCTION("SPLIT(A18739,"" "")"),"CCNc1ncccc1-c1ncccc1C(C)(c1ccccn1)c1ccccn1")</f>
        <v>CCNc1ncccc1-c1ncccc1C(C)(c1ccccn1)c1ccccn1</v>
      </c>
      <c r="C18739" s="7">
        <f>IFERROR(__xludf.DUMMYFUNCTION("""COMPUTED_VALUE"""),7.7242002)</f>
        <v>7.7242002</v>
      </c>
      <c r="D18739" s="7">
        <f>IFERROR(__xludf.DUMMYFUNCTION("""COMPUTED_VALUE"""),0.461538461538461)</f>
        <v>0.4615384615</v>
      </c>
    </row>
    <row r="18740">
      <c r="A18740" s="10" t="s">
        <v>20179</v>
      </c>
      <c r="B18740" s="7" t="str">
        <f>IFERROR(__xludf.DUMMYFUNCTION("SPLIT(A18740,"" "")"),"CNCC1=CC(N(C)c2cccc3ncccc23)C=CN1")</f>
        <v>CNCC1=CC(N(C)c2cccc3ncccc23)C=CN1</v>
      </c>
      <c r="C18740" s="7">
        <f>IFERROR(__xludf.DUMMYFUNCTION("""COMPUTED_VALUE"""),7.7241983)</f>
        <v>7.7241983</v>
      </c>
      <c r="D18740" s="7">
        <f>IFERROR(__xludf.DUMMYFUNCTION("""COMPUTED_VALUE"""),0.333333333333333)</f>
        <v>0.3333333333</v>
      </c>
    </row>
    <row r="18741">
      <c r="A18741" s="10" t="s">
        <v>20180</v>
      </c>
      <c r="B18741" s="7" t="str">
        <f>IFERROR(__xludf.DUMMYFUNCTION("SPLIT(A18741,"" "")"),"Cc1nc(CN(C)Cc2ncccc2-c2ccccc2N=Cc2ccccn2)c(C)c(C)c1C")</f>
        <v>Cc1nc(CN(C)Cc2ncccc2-c2ccccc2N=Cc2ccccn2)c(C)c(C)c1C</v>
      </c>
      <c r="C18741" s="7">
        <f>IFERROR(__xludf.DUMMYFUNCTION("""COMPUTED_VALUE"""),7.7241983)</f>
        <v>7.7241983</v>
      </c>
      <c r="D18741" s="7">
        <f>IFERROR(__xludf.DUMMYFUNCTION("""COMPUTED_VALUE"""),0.428571428571428)</f>
        <v>0.4285714286</v>
      </c>
    </row>
    <row r="18742">
      <c r="A18742" s="10" t="s">
        <v>20181</v>
      </c>
      <c r="B18742" s="7" t="str">
        <f>IFERROR(__xludf.DUMMYFUNCTION("SPLIT(A18742,"" "")"),"Cc1cncc(CN(C)c2c(C)cc(N(C)Cc3ccccn3)cc2Cl)c1C")</f>
        <v>Cc1cncc(CN(C)c2c(C)cc(N(C)Cc3ccccn3)cc2Cl)c1C</v>
      </c>
      <c r="C18742" s="7">
        <f>IFERROR(__xludf.DUMMYFUNCTION("""COMPUTED_VALUE"""),7.724194)</f>
        <v>7.724194</v>
      </c>
      <c r="D18742" s="7">
        <f>IFERROR(__xludf.DUMMYFUNCTION("""COMPUTED_VALUE"""),0.490196078431372)</f>
        <v>0.4901960784</v>
      </c>
    </row>
    <row r="18743">
      <c r="A18743" s="10" t="s">
        <v>20182</v>
      </c>
      <c r="B18743" s="7" t="str">
        <f>IFERROR(__xludf.DUMMYFUNCTION("SPLIT(A18743,"" "")"),"Cc1cnc(CN(C)c2ccc3c(CN(C)Cc4ccccn4)nccc3c2)c(C)c1C")</f>
        <v>Cc1cnc(CN(C)c2ccc3c(CN(C)Cc4ccccn4)nccc3c2)c(C)c1C</v>
      </c>
      <c r="C18743" s="7">
        <f>IFERROR(__xludf.DUMMYFUNCTION("""COMPUTED_VALUE"""),7.724187)</f>
        <v>7.724187</v>
      </c>
      <c r="D18743" s="7">
        <f>IFERROR(__xludf.DUMMYFUNCTION("""COMPUTED_VALUE"""),0.396551724137931)</f>
        <v>0.3965517241</v>
      </c>
    </row>
    <row r="18744">
      <c r="A18744" s="10" t="s">
        <v>20183</v>
      </c>
      <c r="B18744" s="7" t="str">
        <f>IFERROR(__xludf.DUMMYFUNCTION("SPLIT(A18744,"" "")"),"Cc1cncc(CN(C)c2cc(C)c3ncc(CN(C)Cc4ncccc4C)cc3c2)c1")</f>
        <v>Cc1cncc(CN(C)c2cc(C)c3ncc(CN(C)Cc4ncccc4C)cc3c2)c1</v>
      </c>
      <c r="C18744" s="7">
        <f>IFERROR(__xludf.DUMMYFUNCTION("""COMPUTED_VALUE"""),7.724184)</f>
        <v>7.724184</v>
      </c>
      <c r="D18744" s="7">
        <f>IFERROR(__xludf.DUMMYFUNCTION("""COMPUTED_VALUE"""),0.269841269841269)</f>
        <v>0.2698412698</v>
      </c>
    </row>
    <row r="18745">
      <c r="A18745" s="10" t="s">
        <v>20184</v>
      </c>
      <c r="B18745" s="7" t="str">
        <f>IFERROR(__xludf.DUMMYFUNCTION("SPLIT(A18745,"" "")"),"Cc1nc(CN(C)Cc2cnc3ccc(N(C)Cc4ccccn4)cc3c2)c(C)c(C)c1C")</f>
        <v>Cc1nc(CN(C)Cc2cnc3ccc(N(C)Cc4ccccn4)cc3c2)c(C)c(C)c1C</v>
      </c>
      <c r="C18745" s="7">
        <f>IFERROR(__xludf.DUMMYFUNCTION("""COMPUTED_VALUE"""),7.724183)</f>
        <v>7.724183</v>
      </c>
      <c r="D18745" s="7">
        <f>IFERROR(__xludf.DUMMYFUNCTION("""COMPUTED_VALUE"""),0.372881355932203)</f>
        <v>0.3728813559</v>
      </c>
    </row>
    <row r="18746">
      <c r="A18746" s="10" t="s">
        <v>20185</v>
      </c>
      <c r="B18746" s="7" t="str">
        <f>IFERROR(__xludf.DUMMYFUNCTION("SPLIT(A18746,"" "")"),"c1ccc(-c2ccncc2)nc1")</f>
        <v>c1ccc(-c2ccncc2)nc1</v>
      </c>
      <c r="C18746" s="7">
        <f>IFERROR(__xludf.DUMMYFUNCTION("""COMPUTED_VALUE"""),7.7241507)</f>
        <v>7.7241507</v>
      </c>
      <c r="D18746" s="7">
        <f>IFERROR(__xludf.DUMMYFUNCTION("""COMPUTED_VALUE"""),0.393939393939393)</f>
        <v>0.3939393939</v>
      </c>
    </row>
    <row r="18747">
      <c r="A18747" s="10" t="s">
        <v>20186</v>
      </c>
      <c r="B18747" s="7" t="str">
        <f>IFERROR(__xludf.DUMMYFUNCTION("SPLIT(A18747,"" "")"),"Cc1cc(C)c2cccc(N(C)C3CCCC(N(C)c4ccc5nc(CN(C)C)ccc5c4)C3)c2n1")</f>
        <v>Cc1cc(C)c2cccc(N(C)C3CCCC(N(C)c4ccc5nc(CN(C)C)ccc5c4)C3)c2n1</v>
      </c>
      <c r="C18747" s="7">
        <f>IFERROR(__xludf.DUMMYFUNCTION("""COMPUTED_VALUE"""),7.7241435)</f>
        <v>7.7241435</v>
      </c>
      <c r="D18747" s="7">
        <f>IFERROR(__xludf.DUMMYFUNCTION("""COMPUTED_VALUE"""),0.338235294117647)</f>
        <v>0.3382352941</v>
      </c>
    </row>
    <row r="18748">
      <c r="A18748" s="10" t="s">
        <v>20187</v>
      </c>
      <c r="B18748" s="7" t="str">
        <f>IFERROR(__xludf.DUMMYFUNCTION("SPLIT(A18748,"" "")"),"CN(Cc1ccccn1)C1=CNC(CN(C)c2cc(N(C)Cc3ccccn3)cc(N(C)Cc3ccccn3)c2N(C)Cc2ccccn2)=CC1")</f>
        <v>CN(Cc1ccccn1)C1=CNC(CN(C)c2cc(N(C)Cc3ccccn3)cc(N(C)Cc3ccccn3)c2N(C)Cc2ccccn2)=CC1</v>
      </c>
      <c r="C18748" s="7">
        <f>IFERROR(__xludf.DUMMYFUNCTION("""COMPUTED_VALUE"""),7.724141)</f>
        <v>7.724141</v>
      </c>
      <c r="D18748" s="7">
        <f>IFERROR(__xludf.DUMMYFUNCTION("""COMPUTED_VALUE"""),0.452830188679245)</f>
        <v>0.4528301887</v>
      </c>
    </row>
    <row r="18749">
      <c r="A18749" s="10" t="s">
        <v>20188</v>
      </c>
      <c r="B18749" s="7" t="str">
        <f>IFERROR(__xludf.DUMMYFUNCTION("SPLIT(A18749,"" "")"),"CN(Cc1ccc2ncccc2c1)Cc1cc(-c2ccccc2)ccn1")</f>
        <v>CN(Cc1ccc2ncccc2c1)Cc1cc(-c2ccccc2)ccn1</v>
      </c>
      <c r="C18749" s="7">
        <f>IFERROR(__xludf.DUMMYFUNCTION("""COMPUTED_VALUE"""),7.7241325)</f>
        <v>7.7241325</v>
      </c>
      <c r="D18749" s="7">
        <f>IFERROR(__xludf.DUMMYFUNCTION("""COMPUTED_VALUE"""),0.377358490566037)</f>
        <v>0.3773584906</v>
      </c>
    </row>
    <row r="18750">
      <c r="A18750" s="10" t="s">
        <v>20189</v>
      </c>
      <c r="B18750" s="7" t="str">
        <f>IFERROR(__xludf.DUMMYFUNCTION("SPLIT(A18750,"" "")"),"CC(C)N(C)C1=CCC=C(CN(C)c2ccc3cccnc3c2)N1")</f>
        <v>CC(C)N(C)C1=CCC=C(CN(C)c2ccc3cccnc3c2)N1</v>
      </c>
      <c r="C18750" s="7">
        <f>IFERROR(__xludf.DUMMYFUNCTION("""COMPUTED_VALUE"""),7.72411)</f>
        <v>7.72411</v>
      </c>
      <c r="D18750" s="7">
        <f>IFERROR(__xludf.DUMMYFUNCTION("""COMPUTED_VALUE"""),0.3)</f>
        <v>0.3</v>
      </c>
    </row>
    <row r="18751">
      <c r="A18751" s="10" t="s">
        <v>20190</v>
      </c>
      <c r="B18751" s="7" t="str">
        <f>IFERROR(__xludf.DUMMYFUNCTION("SPLIT(A18751,"" "")"),"FCc1cc(NCc2cccc(-c3cccc(C(c4ccccn4)c4ccccn4)n3)n2)ccn1")</f>
        <v>FCc1cc(NCc2cccc(-c3cccc(C(c4ccccn4)c4ccccn4)n3)n2)ccn1</v>
      </c>
      <c r="C18751" s="7">
        <f>IFERROR(__xludf.DUMMYFUNCTION("""COMPUTED_VALUE"""),7.724108)</f>
        <v>7.724108</v>
      </c>
      <c r="D18751" s="7">
        <f>IFERROR(__xludf.DUMMYFUNCTION("""COMPUTED_VALUE"""),0.375)</f>
        <v>0.375</v>
      </c>
    </row>
    <row r="18752">
      <c r="A18752" s="10" t="s">
        <v>20191</v>
      </c>
      <c r="B18752" s="7" t="str">
        <f>IFERROR(__xludf.DUMMYFUNCTION("SPLIT(A18752,"" "")"),"CN(C)Cc1cnc2ccc(N(C)CC3=C(N(C)Cc4ccccn4)CC=CN3)cc2c1")</f>
        <v>CN(C)Cc1cnc2ccc(N(C)CC3=C(N(C)Cc4ccccn4)CC=CN3)cc2c1</v>
      </c>
      <c r="C18752" s="7">
        <f>IFERROR(__xludf.DUMMYFUNCTION("""COMPUTED_VALUE"""),7.724107)</f>
        <v>7.724107</v>
      </c>
      <c r="D18752" s="7">
        <f>IFERROR(__xludf.DUMMYFUNCTION("""COMPUTED_VALUE"""),0.34375)</f>
        <v>0.34375</v>
      </c>
    </row>
    <row r="18753">
      <c r="A18753" s="10" t="s">
        <v>20192</v>
      </c>
      <c r="B18753" s="7" t="str">
        <f>IFERROR(__xludf.DUMMYFUNCTION("SPLIT(A18753,"" "")"),"Cc1cccc(CN(Cc2ccccn2)C2=CNC(CN(C)c3ccc4ncccc4c3)=CC2)n1")</f>
        <v>Cc1cccc(CN(Cc2ccccn2)C2=CNC(CN(C)c3ccc4ncccc4c3)=CC2)n1</v>
      </c>
      <c r="C18753" s="7">
        <f>IFERROR(__xludf.DUMMYFUNCTION("""COMPUTED_VALUE"""),7.7241063)</f>
        <v>7.7241063</v>
      </c>
      <c r="D18753" s="7">
        <f>IFERROR(__xludf.DUMMYFUNCTION("""COMPUTED_VALUE"""),0.338461538461538)</f>
        <v>0.3384615385</v>
      </c>
    </row>
    <row r="18754">
      <c r="A18754" s="10" t="s">
        <v>20193</v>
      </c>
      <c r="B18754" s="7" t="str">
        <f>IFERROR(__xludf.DUMMYFUNCTION("SPLIT(A18754,"" "")"),"CNCCN(C)c1cccc2nccc(C)c12")</f>
        <v>CNCCN(C)c1cccc2nccc(C)c12</v>
      </c>
      <c r="C18754" s="7">
        <f>IFERROR(__xludf.DUMMYFUNCTION("""COMPUTED_VALUE"""),7.7240996)</f>
        <v>7.7240996</v>
      </c>
      <c r="D18754" s="7">
        <f>IFERROR(__xludf.DUMMYFUNCTION("""COMPUTED_VALUE"""),0.369565217391304)</f>
        <v>0.3695652174</v>
      </c>
    </row>
    <row r="18755">
      <c r="A18755" s="10" t="s">
        <v>20194</v>
      </c>
      <c r="B18755" s="7" t="str">
        <f>IFERROR(__xludf.DUMMYFUNCTION("SPLIT(A18755,"" "")"),"Cc1ccc(CN(C)Cc2ncccc2N(C)c2ccc3nc(CF)ccc3c2)nc1")</f>
        <v>Cc1ccc(CN(C)Cc2ncccc2N(C)c2ccc3nc(CF)ccc3c2)nc1</v>
      </c>
      <c r="C18755" s="7">
        <f>IFERROR(__xludf.DUMMYFUNCTION("""COMPUTED_VALUE"""),7.724092)</f>
        <v>7.724092</v>
      </c>
      <c r="D18755" s="7">
        <f>IFERROR(__xludf.DUMMYFUNCTION("""COMPUTED_VALUE"""),0.433962264150943)</f>
        <v>0.4339622642</v>
      </c>
    </row>
    <row r="18756">
      <c r="A18756" s="10" t="s">
        <v>20195</v>
      </c>
      <c r="B18756" s="7" t="str">
        <f>IFERROR(__xludf.DUMMYFUNCTION("SPLIT(A18756,"" "")"),"CC(C)C(C)(c1ccccn1)c1cc(CN(Cc2ccccn2)Cc2ccc3ccc4cccnc4c3n2)ccn1")</f>
        <v>CC(C)C(C)(c1ccccn1)c1cc(CN(Cc2ccccn2)Cc2ccc3ccc4cccnc4c3n2)ccn1</v>
      </c>
      <c r="C18756" s="7">
        <f>IFERROR(__xludf.DUMMYFUNCTION("""COMPUTED_VALUE"""),7.724071)</f>
        <v>7.724071</v>
      </c>
      <c r="D18756" s="7">
        <f>IFERROR(__xludf.DUMMYFUNCTION("""COMPUTED_VALUE"""),0.43859649122807)</f>
        <v>0.4385964912</v>
      </c>
    </row>
    <row r="18757">
      <c r="A18757" s="10" t="s">
        <v>20196</v>
      </c>
      <c r="B18757" s="7" t="str">
        <f>IFERROR(__xludf.DUMMYFUNCTION("SPLIT(A18757,"" "")"),"Cc1cc(C)c2ccc(N(C)C3CCCCC3N(C)c3ccc4cc(CN(C)C)cnc4c3)cc2n1")</f>
        <v>Cc1cc(C)c2ccc(N(C)C3CCCCC3N(C)c3ccc4cc(CN(C)C)cnc4c3)cc2n1</v>
      </c>
      <c r="C18757" s="7">
        <f>IFERROR(__xludf.DUMMYFUNCTION("""COMPUTED_VALUE"""),7.724067)</f>
        <v>7.724067</v>
      </c>
      <c r="D18757" s="7">
        <f>IFERROR(__xludf.DUMMYFUNCTION("""COMPUTED_VALUE"""),0.311475409836065)</f>
        <v>0.3114754098</v>
      </c>
    </row>
    <row r="18758">
      <c r="A18758" s="10" t="s">
        <v>20197</v>
      </c>
      <c r="B18758" s="7" t="str">
        <f>IFERROR(__xludf.DUMMYFUNCTION("SPLIT(A18758,"" "")"),"Cc1cccnc1CN(C)Cc1cccc(N(C)c2ccc3nc(CF)ccc3c2)n1")</f>
        <v>Cc1cccnc1CN(C)Cc1cccc(N(C)c2ccc3nc(CF)ccc3c2)n1</v>
      </c>
      <c r="C18758" s="7">
        <f>IFERROR(__xludf.DUMMYFUNCTION("""COMPUTED_VALUE"""),7.724066)</f>
        <v>7.724066</v>
      </c>
      <c r="D18758" s="7">
        <f>IFERROR(__xludf.DUMMYFUNCTION("""COMPUTED_VALUE"""),0.344262295081967)</f>
        <v>0.3442622951</v>
      </c>
    </row>
    <row r="18759">
      <c r="A18759" s="10" t="s">
        <v>20198</v>
      </c>
      <c r="B18759" s="7" t="str">
        <f>IFERROR(__xludf.DUMMYFUNCTION("SPLIT(A18759,"" "")"),"CC(C)N(C)c1cccc2ncccc12")</f>
        <v>CC(C)N(C)c1cccc2ncccc12</v>
      </c>
      <c r="C18759" s="7">
        <f>IFERROR(__xludf.DUMMYFUNCTION("""COMPUTED_VALUE"""),7.7240634)</f>
        <v>7.7240634</v>
      </c>
      <c r="D18759" s="7">
        <f>IFERROR(__xludf.DUMMYFUNCTION("""COMPUTED_VALUE"""),0.4)</f>
        <v>0.4</v>
      </c>
    </row>
    <row r="18760">
      <c r="A18760" s="10" t="s">
        <v>20199</v>
      </c>
      <c r="B18760" s="7" t="str">
        <f>IFERROR(__xludf.DUMMYFUNCTION("SPLIT(A18760,"" "")"),"CCN(CC1=CCC=C(N(C)Cc2ccccn2)N1)c1ccc2ncccc2c1")</f>
        <v>CCN(CC1=CCC=C(N(C)Cc2ccccn2)N1)c1ccc2ncccc2c1</v>
      </c>
      <c r="C18760" s="7">
        <f>IFERROR(__xludf.DUMMYFUNCTION("""COMPUTED_VALUE"""),7.7240543)</f>
        <v>7.7240543</v>
      </c>
      <c r="D18760" s="7">
        <f>IFERROR(__xludf.DUMMYFUNCTION("""COMPUTED_VALUE"""),0.366666666666666)</f>
        <v>0.3666666667</v>
      </c>
    </row>
    <row r="18761">
      <c r="A18761" s="10" t="s">
        <v>20200</v>
      </c>
      <c r="B18761" s="7" t="str">
        <f>IFERROR(__xludf.DUMMYFUNCTION("SPLIT(A18761,"" "")"),"CC(C)c1cc(Cl)cc(N(C)Cc2ccon2)c1N(C)Cc1ccccn1")</f>
        <v>CC(C)c1cc(Cl)cc(N(C)Cc2ccon2)c1N(C)Cc1ccccn1</v>
      </c>
      <c r="C18761" s="7">
        <f>IFERROR(__xludf.DUMMYFUNCTION("""COMPUTED_VALUE"""),7.724048)</f>
        <v>7.724048</v>
      </c>
      <c r="D18761" s="7">
        <f>IFERROR(__xludf.DUMMYFUNCTION("""COMPUTED_VALUE"""),0.5)</f>
        <v>0.5</v>
      </c>
    </row>
    <row r="18762">
      <c r="A18762" s="10" t="s">
        <v>20201</v>
      </c>
      <c r="B18762" s="7" t="str">
        <f>IFERROR(__xludf.DUMMYFUNCTION("SPLIT(A18762,"" "")"),"CCN(CC1=CCC(N(C)Cc2ncccc2C)=CN1)c1cccc2ncccc12")</f>
        <v>CCN(CC1=CCC(N(C)Cc2ncccc2C)=CN1)c1cccc2ncccc12</v>
      </c>
      <c r="C18762" s="7">
        <f>IFERROR(__xludf.DUMMYFUNCTION("""COMPUTED_VALUE"""),7.724043)</f>
        <v>7.724043</v>
      </c>
      <c r="D18762" s="7">
        <f>IFERROR(__xludf.DUMMYFUNCTION("""COMPUTED_VALUE"""),0.28125)</f>
        <v>0.28125</v>
      </c>
    </row>
    <row r="18763">
      <c r="A18763" s="10" t="s">
        <v>20202</v>
      </c>
      <c r="B18763" s="7" t="str">
        <f>IFERROR(__xludf.DUMMYFUNCTION("SPLIT(A18763,"" "")"),"CCN(Cc1ccccn1)c1ccc2nccc(C(C)(c3ccccc3)c3ccccn3)c2c1")</f>
        <v>CCN(Cc1ccccn1)c1ccc2nccc(C(C)(c3ccccc3)c3ccccn3)c2c1</v>
      </c>
      <c r="C18763" s="7">
        <f>IFERROR(__xludf.DUMMYFUNCTION("""COMPUTED_VALUE"""),7.7240396)</f>
        <v>7.7240396</v>
      </c>
      <c r="D18763" s="7">
        <f>IFERROR(__xludf.DUMMYFUNCTION("""COMPUTED_VALUE"""),0.333333333333333)</f>
        <v>0.3333333333</v>
      </c>
    </row>
    <row r="18764">
      <c r="A18764" s="10" t="s">
        <v>20203</v>
      </c>
      <c r="B18764" s="7" t="str">
        <f>IFERROR(__xludf.DUMMYFUNCTION("SPLIT(A18764,"" "")"),"CC1(C)CCC1c1cccc(C(=O)C(=O)C(=O)C(=O)C(=O)C(=O)C(=O)C(=O)C(=O)C(=O)C(=O)C(=O)C(=O)C(=O)C(=O)C(=O)C(=O)C(=O)C(=O)C(=O)C(=O)C(=O)C(=O)C(=O)C(=O)C(=O)C(=O)C(=O)C(=O)C(=O)C(=O)C(=O)C(=O)C(=O)C(=O)C=O)n1")</f>
        <v>CC1(C)CCC1c1cccc(C(=O)C(=O)C(=O)C(=O)C(=O)C(=O)C(=O)C(=O)C(=O)C(=O)C(=O)C(=O)C(=O)C(=O)C(=O)C(=O)C(=O)C(=O)C(=O)C(=O)C(=O)C(=O)C(=O)C(=O)C(=O)C(=O)C(=O)C(=O)C(=O)C(=O)C(=O)C(=O)C(=O)C(=O)C(=O)C=O)n1</v>
      </c>
      <c r="C18764" s="7">
        <f>IFERROR(__xludf.DUMMYFUNCTION("""COMPUTED_VALUE"""),7.724029)</f>
        <v>7.724029</v>
      </c>
      <c r="D18764" s="7">
        <f>IFERROR(__xludf.DUMMYFUNCTION("""COMPUTED_VALUE"""),0.214285714285714)</f>
        <v>0.2142857143</v>
      </c>
    </row>
    <row r="18765">
      <c r="A18765" s="10" t="s">
        <v>20204</v>
      </c>
      <c r="B18765" s="7" t="str">
        <f>IFERROR(__xludf.DUMMYFUNCTION("SPLIT(A18765,"" "")"),"CCN(Cc1ccccn1)c1ccc2nccc(C(C)(C)c3ccccn3)c2c1")</f>
        <v>CCN(Cc1ccccn1)c1ccc2nccc(C(C)(C)c3ccccn3)c2c1</v>
      </c>
      <c r="C18765" s="7">
        <f>IFERROR(__xludf.DUMMYFUNCTION("""COMPUTED_VALUE"""),7.724027)</f>
        <v>7.724027</v>
      </c>
      <c r="D18765" s="7">
        <f>IFERROR(__xludf.DUMMYFUNCTION("""COMPUTED_VALUE"""),0.357142857142857)</f>
        <v>0.3571428571</v>
      </c>
    </row>
    <row r="18766">
      <c r="A18766" s="10" t="s">
        <v>20205</v>
      </c>
      <c r="B18766" s="7" t="str">
        <f>IFERROR(__xludf.DUMMYFUNCTION("SPLIT(A18766,"" "")"),"CCN(Cc1ccccn1)Cc1ncccc1N(C)c1ccc2c(C)ccnc2c1")</f>
        <v>CCN(Cc1ccccn1)Cc1ncccc1N(C)c1ccc2c(C)ccnc2c1</v>
      </c>
      <c r="C18766" s="7">
        <f>IFERROR(__xludf.DUMMYFUNCTION("""COMPUTED_VALUE"""),7.7240252)</f>
        <v>7.7240252</v>
      </c>
      <c r="D18766" s="7">
        <f>IFERROR(__xludf.DUMMYFUNCTION("""COMPUTED_VALUE"""),0.368421052631578)</f>
        <v>0.3684210526</v>
      </c>
    </row>
    <row r="18767">
      <c r="A18767" s="10" t="s">
        <v>20206</v>
      </c>
      <c r="B18767" s="7" t="str">
        <f>IFERROR(__xludf.DUMMYFUNCTION("SPLIT(A18767,"" "")"),"C1=CNC(c2ncccc2C(c2ccccn2)c2ccccn2)=CC1")</f>
        <v>C1=CNC(c2ncccc2C(c2ccccn2)c2ccccn2)=CC1</v>
      </c>
      <c r="C18767" s="7">
        <f>IFERROR(__xludf.DUMMYFUNCTION("""COMPUTED_VALUE"""),7.7240214)</f>
        <v>7.7240214</v>
      </c>
      <c r="D18767" s="7">
        <f>IFERROR(__xludf.DUMMYFUNCTION("""COMPUTED_VALUE"""),0.377358490566037)</f>
        <v>0.3773584906</v>
      </c>
    </row>
    <row r="18768">
      <c r="A18768" s="10" t="s">
        <v>20207</v>
      </c>
      <c r="B18768" s="7" t="str">
        <f>IFERROR(__xludf.DUMMYFUNCTION("SPLIT(A18768,"" "")"),"CN(C)Cc1cccc(-c2ccc(N=Cc3ccccn3)cc2)n1")</f>
        <v>CN(C)Cc1cccc(-c2ccc(N=Cc3ccccn3)cc2)n1</v>
      </c>
      <c r="C18768" s="7">
        <f>IFERROR(__xludf.DUMMYFUNCTION("""COMPUTED_VALUE"""),7.7240095)</f>
        <v>7.7240095</v>
      </c>
      <c r="D18768" s="7">
        <f>IFERROR(__xludf.DUMMYFUNCTION("""COMPUTED_VALUE"""),0.450980392156862)</f>
        <v>0.4509803922</v>
      </c>
    </row>
    <row r="18769">
      <c r="A18769" s="10" t="s">
        <v>20208</v>
      </c>
      <c r="B18769" s="7" t="str">
        <f>IFERROR(__xludf.DUMMYFUNCTION("SPLIT(A18769,"" "")"),"Cc1cccnc1CN(Cc1ccccc1N(C)Cc1ccccn1)c1cccc2cccnc12")</f>
        <v>Cc1cccnc1CN(Cc1ccccc1N(C)Cc1ccccn1)c1cccc2cccnc12</v>
      </c>
      <c r="C18769" s="7">
        <f>IFERROR(__xludf.DUMMYFUNCTION("""COMPUTED_VALUE"""),7.7240086)</f>
        <v>7.7240086</v>
      </c>
      <c r="D18769" s="7">
        <f>IFERROR(__xludf.DUMMYFUNCTION("""COMPUTED_VALUE"""),0.452830188679245)</f>
        <v>0.4528301887</v>
      </c>
    </row>
    <row r="18770">
      <c r="A18770" s="10" t="s">
        <v>20209</v>
      </c>
      <c r="B18770" s="7" t="str">
        <f>IFERROR(__xludf.DUMMYFUNCTION("SPLIT(A18770,"" "")"),"CN(CC1=CC(N(C)C(c2ccccn2)c2ccccn2)C=CN1)c1ccc2cccnc2c1")</f>
        <v>CN(CC1=CC(N(C)C(c2ccccn2)c2ccccn2)C=CN1)c1ccc2cccnc2c1</v>
      </c>
      <c r="C18770" s="7">
        <f>IFERROR(__xludf.DUMMYFUNCTION("""COMPUTED_VALUE"""),7.724004)</f>
        <v>7.724004</v>
      </c>
      <c r="D18770" s="7">
        <f>IFERROR(__xludf.DUMMYFUNCTION("""COMPUTED_VALUE"""),0.313432835820895)</f>
        <v>0.3134328358</v>
      </c>
    </row>
    <row r="18771">
      <c r="A18771" s="10" t="s">
        <v>20210</v>
      </c>
      <c r="B18771" s="7" t="str">
        <f>IFERROR(__xludf.DUMMYFUNCTION("SPLIT(A18771,"" "")"),"CC(C)N(Cc1ccccn1)C(C)(C)N(C)Cc1ccnc2ccc(N(C)c3ccc4ncccc4c3)cc12")</f>
        <v>CC(C)N(Cc1ccccn1)C(C)(C)N(C)Cc1ccnc2ccc(N(C)c3ccc4ncccc4c3)cc12</v>
      </c>
      <c r="C18771" s="7">
        <f>IFERROR(__xludf.DUMMYFUNCTION("""COMPUTED_VALUE"""),7.724002)</f>
        <v>7.724002</v>
      </c>
      <c r="D18771" s="7">
        <f>IFERROR(__xludf.DUMMYFUNCTION("""COMPUTED_VALUE"""),0.344262295081967)</f>
        <v>0.3442622951</v>
      </c>
    </row>
    <row r="18772">
      <c r="A18772" s="10" t="s">
        <v>20211</v>
      </c>
      <c r="B18772" s="7" t="str">
        <f>IFERROR(__xludf.DUMMYFUNCTION("SPLIT(A18772,"" "")"),"CN(C1=CC=CNC1NCc1ccccn1)c1ccc2ncccc2c1")</f>
        <v>CN(C1=CC=CNC1NCc1ccccn1)c1ccc2ncccc2c1</v>
      </c>
      <c r="C18772" s="7">
        <f>IFERROR(__xludf.DUMMYFUNCTION("""COMPUTED_VALUE"""),7.724001)</f>
        <v>7.724001</v>
      </c>
      <c r="D18772" s="7">
        <f>IFERROR(__xludf.DUMMYFUNCTION("""COMPUTED_VALUE"""),0.323076923076923)</f>
        <v>0.3230769231</v>
      </c>
    </row>
    <row r="18773">
      <c r="A18773" s="10" t="s">
        <v>20212</v>
      </c>
      <c r="B18773" s="7" t="str">
        <f>IFERROR(__xludf.DUMMYFUNCTION("SPLIT(A18773,"" "")"),"CN(CN)c1ccc2cc(CF)cnc2c1")</f>
        <v>CN(CN)c1ccc2cc(CF)cnc2c1</v>
      </c>
      <c r="C18773" s="7">
        <f>IFERROR(__xludf.DUMMYFUNCTION("""COMPUTED_VALUE"""),7.723991)</f>
        <v>7.723991</v>
      </c>
      <c r="D18773" s="7">
        <f>IFERROR(__xludf.DUMMYFUNCTION("""COMPUTED_VALUE"""),0.229166666666666)</f>
        <v>0.2291666667</v>
      </c>
    </row>
    <row r="18774">
      <c r="A18774" s="10" t="s">
        <v>20213</v>
      </c>
      <c r="B18774" s="7" t="str">
        <f>IFERROR(__xludf.DUMMYFUNCTION("SPLIT(A18774,"" "")"),"Cc1cc(-c2ncccc2C)ccc1N")</f>
        <v>Cc1cc(-c2ncccc2C)ccc1N</v>
      </c>
      <c r="C18774" s="7">
        <f>IFERROR(__xludf.DUMMYFUNCTION("""COMPUTED_VALUE"""),7.7239895)</f>
        <v>7.7239895</v>
      </c>
      <c r="D18774" s="7">
        <f>IFERROR(__xludf.DUMMYFUNCTION("""COMPUTED_VALUE"""),0.282608695652173)</f>
        <v>0.2826086957</v>
      </c>
    </row>
    <row r="18775">
      <c r="A18775" s="10" t="s">
        <v>20214</v>
      </c>
      <c r="B18775" s="7" t="str">
        <f>IFERROR(__xludf.DUMMYFUNCTION("SPLIT(A18775,"" "")"),"CNc1cc(Cl)c(Cl)cc1N(C)Cc1cc(C)ccn1")</f>
        <v>CNc1cc(Cl)c(Cl)cc1N(C)Cc1cc(C)ccn1</v>
      </c>
      <c r="C18775" s="7">
        <f>IFERROR(__xludf.DUMMYFUNCTION("""COMPUTED_VALUE"""),7.7239895)</f>
        <v>7.7239895</v>
      </c>
      <c r="D18775" s="7">
        <f>IFERROR(__xludf.DUMMYFUNCTION("""COMPUTED_VALUE"""),0.5)</f>
        <v>0.5</v>
      </c>
    </row>
    <row r="18776">
      <c r="A18776" s="10" t="s">
        <v>20215</v>
      </c>
      <c r="B18776" s="7" t="str">
        <f>IFERROR(__xludf.DUMMYFUNCTION("SPLIT(A18776,"" "")"),"CC(C)N(Cc1cc(C(C)(C)c2ccccn2)ccn1)c1ccc2ncccc2c1")</f>
        <v>CC(C)N(Cc1cc(C(C)(C)c2ccccn2)ccn1)c1ccc2ncccc2c1</v>
      </c>
      <c r="C18776" s="7">
        <f>IFERROR(__xludf.DUMMYFUNCTION("""COMPUTED_VALUE"""),7.723989)</f>
        <v>7.723989</v>
      </c>
      <c r="D18776" s="7">
        <f>IFERROR(__xludf.DUMMYFUNCTION("""COMPUTED_VALUE"""),0.333333333333333)</f>
        <v>0.3333333333</v>
      </c>
    </row>
    <row r="18777">
      <c r="A18777" s="10" t="s">
        <v>20216</v>
      </c>
      <c r="B18777" s="7" t="str">
        <f>IFERROR(__xludf.DUMMYFUNCTION("SPLIT(A18777,"" "")"),"Cc1ccc(CN(C)c2cc(Cl)cc(N)c2-c2cccnc2CN(C)Cc2ccc(N)cn2)nc1")</f>
        <v>Cc1ccc(CN(C)c2cc(Cl)cc(N)c2-c2cccnc2CN(C)Cc2ccc(N)cn2)nc1</v>
      </c>
      <c r="C18777" s="7">
        <f>IFERROR(__xludf.DUMMYFUNCTION("""COMPUTED_VALUE"""),7.723966)</f>
        <v>7.723966</v>
      </c>
      <c r="D18777" s="7">
        <f>IFERROR(__xludf.DUMMYFUNCTION("""COMPUTED_VALUE"""),0.379310344827586)</f>
        <v>0.3793103448</v>
      </c>
    </row>
    <row r="18778">
      <c r="A18778" s="10" t="s">
        <v>20217</v>
      </c>
      <c r="B18778" s="7" t="str">
        <f>IFERROR(__xludf.DUMMYFUNCTION("SPLIT(A18778,"" "")"),"Cc1ccc(CN(C)C2=C(CN(C)c3ccc4nc(CF)ccc4c3)NC=CC2)nc1")</f>
        <v>Cc1ccc(CN(C)C2=C(CN(C)c3ccc4nc(CF)ccc4c3)NC=CC2)nc1</v>
      </c>
      <c r="C18778" s="7">
        <f>IFERROR(__xludf.DUMMYFUNCTION("""COMPUTED_VALUE"""),7.7239623)</f>
        <v>7.7239623</v>
      </c>
      <c r="D18778" s="7">
        <f>IFERROR(__xludf.DUMMYFUNCTION("""COMPUTED_VALUE"""),0.379310344827586)</f>
        <v>0.3793103448</v>
      </c>
    </row>
    <row r="18779">
      <c r="A18779" s="10" t="s">
        <v>20218</v>
      </c>
      <c r="B18779" s="7" t="str">
        <f>IFERROR(__xludf.DUMMYFUNCTION("SPLIT(A18779,"" "")"),"Cc1cccc(-c2cccc(CN(Cc3ccccn3)c3cccc(N(C)C)c3)n2)c1N")</f>
        <v>Cc1cccc(-c2cccc(CN(Cc3ccccn3)c3cccc(N(C)C)c3)n2)c1N</v>
      </c>
      <c r="C18779" s="7">
        <f>IFERROR(__xludf.DUMMYFUNCTION("""COMPUTED_VALUE"""),7.723961)</f>
        <v>7.723961</v>
      </c>
      <c r="D18779" s="7">
        <f>IFERROR(__xludf.DUMMYFUNCTION("""COMPUTED_VALUE"""),0.490566037735849)</f>
        <v>0.4905660377</v>
      </c>
    </row>
    <row r="18780">
      <c r="A18780" s="10" t="s">
        <v>20219</v>
      </c>
      <c r="B18780" s="7" t="str">
        <f>IFERROR(__xludf.DUMMYFUNCTION("SPLIT(A18780,"" "")"),"Cc1cccc(CN(Cc2cccc(-c3cccc(N(C)C)c3)n2)Cc2ccc3ccccc3n2)n1")</f>
        <v>Cc1cccc(CN(Cc2cccc(-c3cccc(N(C)C)c3)n2)Cc2ccc3ccccc3n2)n1</v>
      </c>
      <c r="C18780" s="7">
        <f>IFERROR(__xludf.DUMMYFUNCTION("""COMPUTED_VALUE"""),7.7239594)</f>
        <v>7.7239594</v>
      </c>
      <c r="D18780" s="7">
        <f>IFERROR(__xludf.DUMMYFUNCTION("""COMPUTED_VALUE"""),0.5)</f>
        <v>0.5</v>
      </c>
    </row>
    <row r="18781">
      <c r="A18781" s="10" t="s">
        <v>20220</v>
      </c>
      <c r="B18781" s="7" t="str">
        <f>IFERROR(__xludf.DUMMYFUNCTION("SPLIT(A18781,"" "")"),"Cc1ncccc1CN(C)CC1=CCC=C(N(C)c2ccc3cccnc3c2)N1")</f>
        <v>Cc1ncccc1CN(C)CC1=CCC=C(N(C)c2ccc3cccnc3c2)N1</v>
      </c>
      <c r="C18781" s="7">
        <f>IFERROR(__xludf.DUMMYFUNCTION("""COMPUTED_VALUE"""),7.723949)</f>
        <v>7.723949</v>
      </c>
      <c r="D18781" s="7">
        <f>IFERROR(__xludf.DUMMYFUNCTION("""COMPUTED_VALUE"""),0.327868852459016)</f>
        <v>0.3278688525</v>
      </c>
    </row>
    <row r="18782">
      <c r="A18782" s="10" t="s">
        <v>20221</v>
      </c>
      <c r="B18782" s="7" t="str">
        <f>IFERROR(__xludf.DUMMYFUNCTION("SPLIT(A18782,"" "")"),"Cc1ccc(C)c(CN(C)c2ccc3nccc(CN(C)Cc4ccccn4)c3c2)n1")</f>
        <v>Cc1ccc(C)c(CN(C)c2ccc3nccc(CN(C)Cc4ccccn4)c3c2)n1</v>
      </c>
      <c r="C18782" s="7">
        <f>IFERROR(__xludf.DUMMYFUNCTION("""COMPUTED_VALUE"""),7.723946)</f>
        <v>7.723946</v>
      </c>
      <c r="D18782" s="7">
        <f>IFERROR(__xludf.DUMMYFUNCTION("""COMPUTED_VALUE"""),0.383333333333333)</f>
        <v>0.3833333333</v>
      </c>
    </row>
    <row r="18783">
      <c r="A18783" s="10" t="s">
        <v>20222</v>
      </c>
      <c r="B18783" s="7" t="str">
        <f>IFERROR(__xludf.DUMMYFUNCTION("SPLIT(A18783,"" "")"),"CN(Cc1ccccn1)Cc1cccc(N(C)c2cccc3ncc(CF)cc23)n1")</f>
        <v>CN(Cc1ccccn1)Cc1cccc(N(C)c2cccc3ncc(CF)cc23)n1</v>
      </c>
      <c r="C18783" s="7">
        <f>IFERROR(__xludf.DUMMYFUNCTION("""COMPUTED_VALUE"""),7.7239456)</f>
        <v>7.7239456</v>
      </c>
      <c r="D18783" s="7">
        <f>IFERROR(__xludf.DUMMYFUNCTION("""COMPUTED_VALUE"""),0.454545454545454)</f>
        <v>0.4545454545</v>
      </c>
    </row>
    <row r="18784">
      <c r="A18784" s="10" t="s">
        <v>20223</v>
      </c>
      <c r="B18784" s="7" t="str">
        <f>IFERROR(__xludf.DUMMYFUNCTION("SPLIT(A18784,"" "")"),"FCNc1ncccc1-c1cccc(C(c2ccccn2)c2ccccn2)n1")</f>
        <v>FCNc1ncccc1-c1cccc(C(c2ccccn2)c2ccccn2)n1</v>
      </c>
      <c r="C18784" s="7">
        <f>IFERROR(__xludf.DUMMYFUNCTION("""COMPUTED_VALUE"""),7.7239428)</f>
        <v>7.7239428</v>
      </c>
      <c r="D18784" s="7">
        <f>IFERROR(__xludf.DUMMYFUNCTION("""COMPUTED_VALUE"""),0.296296296296296)</f>
        <v>0.2962962963</v>
      </c>
    </row>
    <row r="18785">
      <c r="A18785" s="10" t="s">
        <v>20224</v>
      </c>
      <c r="B18785" s="7" t="str">
        <f>IFERROR(__xludf.DUMMYFUNCTION("SPLIT(A18785,"" "")"),"CCN(CC1=CCC=C(N(C)Cc2ccccn2)N1)c1cccc2cccnc12")</f>
        <v>CCN(CC1=CCC=C(N(C)Cc2ccccn2)N1)c1cccc2cccnc12</v>
      </c>
      <c r="C18785" s="7">
        <f>IFERROR(__xludf.DUMMYFUNCTION("""COMPUTED_VALUE"""),7.7239337)</f>
        <v>7.7239337</v>
      </c>
      <c r="D18785" s="7">
        <f>IFERROR(__xludf.DUMMYFUNCTION("""COMPUTED_VALUE"""),0.410714285714285)</f>
        <v>0.4107142857</v>
      </c>
    </row>
    <row r="18786">
      <c r="A18786" s="10" t="s">
        <v>20225</v>
      </c>
      <c r="B18786" s="7" t="str">
        <f>IFERROR(__xludf.DUMMYFUNCTION("SPLIT(A18786,"" "")"),"Cc1cccc(-c2ccccn2)n1")</f>
        <v>Cc1cccc(-c2ccccn2)n1</v>
      </c>
      <c r="C18786" s="7">
        <f>IFERROR(__xludf.DUMMYFUNCTION("""COMPUTED_VALUE"""),7.7239323)</f>
        <v>7.7239323</v>
      </c>
      <c r="D18786" s="7">
        <f>IFERROR(__xludf.DUMMYFUNCTION("""COMPUTED_VALUE"""),0.5)</f>
        <v>0.5</v>
      </c>
    </row>
    <row r="18787">
      <c r="A18787" s="10" t="s">
        <v>20226</v>
      </c>
      <c r="B18787" s="7" t="str">
        <f>IFERROR(__xludf.DUMMYFUNCTION("SPLIT(A18787,"" "")"),"CC1(C)CCC1c1ncccc1C(=O)C(=O)C(=O)C(=O)C(=O)C(=O)C(=O)C(=O)C(=O)C(=O)C(=O)C(=O)C(=O)C(=O)C(=O)C(=O)C(=O)C(=O)C(=O)C(=O)C(=O)C(=O)C(=O)C(=O)C(=O)C(=O)C(=O)C(=O)C(=O)C(=O)C(=O)C(=O)C(=O)C(=O)C(=O)C=O")</f>
        <v>CC1(C)CCC1c1ncccc1C(=O)C(=O)C(=O)C(=O)C(=O)C(=O)C(=O)C(=O)C(=O)C(=O)C(=O)C(=O)C(=O)C(=O)C(=O)C(=O)C(=O)C(=O)C(=O)C(=O)C(=O)C(=O)C(=O)C(=O)C(=O)C(=O)C(=O)C(=O)C(=O)C(=O)C(=O)C(=O)C(=O)C(=O)C(=O)C=O</v>
      </c>
      <c r="C18787" s="7">
        <f>IFERROR(__xludf.DUMMYFUNCTION("""COMPUTED_VALUE"""),7.7239323)</f>
        <v>7.7239323</v>
      </c>
      <c r="D18787" s="7">
        <f>IFERROR(__xludf.DUMMYFUNCTION("""COMPUTED_VALUE"""),0.214285714285714)</f>
        <v>0.2142857143</v>
      </c>
    </row>
    <row r="18788">
      <c r="A18788" s="10" t="s">
        <v>20227</v>
      </c>
      <c r="B18788" s="7" t="str">
        <f>IFERROR(__xludf.DUMMYFUNCTION("SPLIT(A18788,"" "")"),"CC(C)(c1cccc(CNc2cccc(-c3cccc(-c4cccc(N=Cc5ccccn5)c4)n3)n2)n1)c1cccc(C2CCC2(C)C)n1")</f>
        <v>CC(C)(c1cccc(CNc2cccc(-c3cccc(-c4cccc(N=Cc5ccccn5)c4)n3)n2)n1)c1cccc(C2CCC2(C)C)n1</v>
      </c>
      <c r="C18788" s="7">
        <f>IFERROR(__xludf.DUMMYFUNCTION("""COMPUTED_VALUE"""),7.7239165)</f>
        <v>7.7239165</v>
      </c>
      <c r="D18788" s="7">
        <f>IFERROR(__xludf.DUMMYFUNCTION("""COMPUTED_VALUE"""),0.329268292682926)</f>
        <v>0.3292682927</v>
      </c>
    </row>
    <row r="18789">
      <c r="A18789" s="10" t="s">
        <v>20228</v>
      </c>
      <c r="B18789" s="7" t="str">
        <f>IFERROR(__xludf.DUMMYFUNCTION("SPLIT(A18789,"" "")"),"Cc1ccnc(-c2c(C)cccc2NCc2ccccn2)c1C")</f>
        <v>Cc1ccnc(-c2c(C)cccc2NCc2ccccn2)c1C</v>
      </c>
      <c r="C18789" s="7">
        <f>IFERROR(__xludf.DUMMYFUNCTION("""COMPUTED_VALUE"""),7.7239094)</f>
        <v>7.7239094</v>
      </c>
      <c r="D18789" s="7">
        <f>IFERROR(__xludf.DUMMYFUNCTION("""COMPUTED_VALUE"""),0.386363636363636)</f>
        <v>0.3863636364</v>
      </c>
    </row>
    <row r="18790">
      <c r="A18790" s="10" t="s">
        <v>20229</v>
      </c>
      <c r="B18790" s="7" t="str">
        <f>IFERROR(__xludf.DUMMYFUNCTION("SPLIT(A18790,"" "")"),"FCNc1ncccc1-c1ncccc1C(N=Cc1ccccn1)c1ccccn1")</f>
        <v>FCNc1ncccc1-c1ncccc1C(N=Cc1ccccn1)c1ccccn1</v>
      </c>
      <c r="C18790" s="7">
        <f>IFERROR(__xludf.DUMMYFUNCTION("""COMPUTED_VALUE"""),7.723907)</f>
        <v>7.723907</v>
      </c>
      <c r="D18790" s="7">
        <f>IFERROR(__xludf.DUMMYFUNCTION("""COMPUTED_VALUE"""),0.310344827586206)</f>
        <v>0.3103448276</v>
      </c>
    </row>
    <row r="18791">
      <c r="A18791" s="10" t="s">
        <v>20230</v>
      </c>
      <c r="B18791" s="7" t="str">
        <f>IFERROR(__xludf.DUMMYFUNCTION("SPLIT(A18791,"" "")"),"Cc1ccnc(CN(Cc2ccnc(-c3cc(N(Cc4ccccn4)C(C)C)cc4ncccc34)c2)Cc2ccccn2)c1")</f>
        <v>Cc1ccnc(CN(Cc2ccnc(-c3cc(N(Cc4ccccn4)C(C)C)cc4ncccc34)c2)Cc2ccccn2)c1</v>
      </c>
      <c r="C18791" s="7">
        <f>IFERROR(__xludf.DUMMYFUNCTION("""COMPUTED_VALUE"""),7.7239013)</f>
        <v>7.7239013</v>
      </c>
      <c r="D18791" s="7">
        <f>IFERROR(__xludf.DUMMYFUNCTION("""COMPUTED_VALUE"""),0.350877192982456)</f>
        <v>0.350877193</v>
      </c>
    </row>
    <row r="18792">
      <c r="A18792" s="10" t="s">
        <v>20231</v>
      </c>
      <c r="B18792" s="7" t="str">
        <f>IFERROR(__xludf.DUMMYFUNCTION("SPLIT(A18792,"" "")"),"Cc1ccc(CN(C)Cc2cccc(N(C)c3cccc4ccc(CF)nc34)n2)nc1")</f>
        <v>Cc1ccc(CN(C)Cc2cccc(N(C)c3cccc4ccc(CF)nc34)n2)nc1</v>
      </c>
      <c r="C18792" s="7">
        <f>IFERROR(__xludf.DUMMYFUNCTION("""COMPUTED_VALUE"""),7.723897)</f>
        <v>7.723897</v>
      </c>
      <c r="D18792" s="7">
        <f>IFERROR(__xludf.DUMMYFUNCTION("""COMPUTED_VALUE"""),0.448275862068965)</f>
        <v>0.4482758621</v>
      </c>
    </row>
    <row r="18793">
      <c r="A18793" s="10" t="s">
        <v>20232</v>
      </c>
      <c r="B18793" s="7" t="str">
        <f>IFERROR(__xludf.DUMMYFUNCTION("SPLIT(A18793,"" "")"),"CN(CN(Cc1ccccn1)c1cccc2ncccc12)c1ccccc1F")</f>
        <v>CN(CN(Cc1ccccn1)c1cccc2ncccc12)c1ccccc1F</v>
      </c>
      <c r="C18793" s="7">
        <f>IFERROR(__xludf.DUMMYFUNCTION("""COMPUTED_VALUE"""),7.72389)</f>
        <v>7.72389</v>
      </c>
      <c r="D18793" s="7">
        <f>IFERROR(__xludf.DUMMYFUNCTION("""COMPUTED_VALUE"""),0.403846153846153)</f>
        <v>0.4038461538</v>
      </c>
    </row>
    <row r="18794">
      <c r="A18794" s="10" t="s">
        <v>20233</v>
      </c>
      <c r="B18794" s="7" t="str">
        <f>IFERROR(__xludf.DUMMYFUNCTION("SPLIT(A18794,"" "")"),"Cc1cnccc1CN(C)c1ccccc1-c1ccc(CN(Cc2ccccn2)Cc2ccc(-c3cccc(N=Cc4ccccn4)c3)cn2)cn1")</f>
        <v>Cc1cnccc1CN(C)c1ccccc1-c1ccc(CN(Cc2ccccn2)Cc2ccc(-c3cccc(N=Cc4ccccn4)c3)cn2)cn1</v>
      </c>
      <c r="C18794" s="7">
        <f>IFERROR(__xludf.DUMMYFUNCTION("""COMPUTED_VALUE"""),7.7238717)</f>
        <v>7.7238717</v>
      </c>
      <c r="D18794" s="7">
        <f>IFERROR(__xludf.DUMMYFUNCTION("""COMPUTED_VALUE"""),0.310344827586206)</f>
        <v>0.3103448276</v>
      </c>
    </row>
    <row r="18795">
      <c r="A18795" s="10" t="s">
        <v>20234</v>
      </c>
      <c r="B18795" s="7" t="str">
        <f>IFERROR(__xludf.DUMMYFUNCTION("SPLIT(A18795,"" "")"),"CNCCN(C)c1ccc2nccc(C)c2c1")</f>
        <v>CNCCN(C)c1ccc2nccc(C)c2c1</v>
      </c>
      <c r="C18795" s="7">
        <f>IFERROR(__xludf.DUMMYFUNCTION("""COMPUTED_VALUE"""),7.723871)</f>
        <v>7.723871</v>
      </c>
      <c r="D18795" s="7">
        <f>IFERROR(__xludf.DUMMYFUNCTION("""COMPUTED_VALUE"""),0.235294117647058)</f>
        <v>0.2352941176</v>
      </c>
    </row>
    <row r="18796">
      <c r="A18796" s="10" t="s">
        <v>20235</v>
      </c>
      <c r="B18796" s="7" t="str">
        <f>IFERROR(__xludf.DUMMYFUNCTION("SPLIT(A18796,"" "")"),"CN(C)Cc1cncc(-c2c(N)cccc2Cl)c1")</f>
        <v>CN(C)Cc1cncc(-c2c(N)cccc2Cl)c1</v>
      </c>
      <c r="C18796" s="7">
        <f>IFERROR(__xludf.DUMMYFUNCTION("""COMPUTED_VALUE"""),7.7238708)</f>
        <v>7.7238708</v>
      </c>
      <c r="D18796" s="7">
        <f>IFERROR(__xludf.DUMMYFUNCTION("""COMPUTED_VALUE"""),0.274509803921568)</f>
        <v>0.2745098039</v>
      </c>
    </row>
    <row r="18797">
      <c r="A18797" s="10" t="s">
        <v>20236</v>
      </c>
      <c r="B18797" s="7" t="str">
        <f>IFERROR(__xludf.DUMMYFUNCTION("SPLIT(A18797,"" "")"),"CN(CCNc1ccc2ncccc2c1)Cc1ncccc1-c1cccc(N(C)C)c1")</f>
        <v>CN(CCNc1ccc2ncccc2c1)Cc1ncccc1-c1cccc(N(C)C)c1</v>
      </c>
      <c r="C18797" s="7">
        <f>IFERROR(__xludf.DUMMYFUNCTION("""COMPUTED_VALUE"""),7.723862)</f>
        <v>7.723862</v>
      </c>
      <c r="D18797" s="7">
        <f>IFERROR(__xludf.DUMMYFUNCTION("""COMPUTED_VALUE"""),0.333333333333333)</f>
        <v>0.3333333333</v>
      </c>
    </row>
    <row r="18798">
      <c r="A18798" s="10" t="s">
        <v>20237</v>
      </c>
      <c r="B18798" s="7" t="str">
        <f>IFERROR(__xludf.DUMMYFUNCTION("SPLIT(A18798,"" "")"),"Cc1ccc(CN(C)Cc2cccc(N(C)c3ccc4ccc(CF)nc4c3)n2)nc1")</f>
        <v>Cc1ccc(CN(C)Cc2cccc(N(C)c3ccc4ccc(CF)nc4c3)n2)nc1</v>
      </c>
      <c r="C18798" s="7">
        <f>IFERROR(__xludf.DUMMYFUNCTION("""COMPUTED_VALUE"""),7.7238555)</f>
        <v>7.7238555</v>
      </c>
      <c r="D18798" s="7">
        <f>IFERROR(__xludf.DUMMYFUNCTION("""COMPUTED_VALUE"""),0.44)</f>
        <v>0.44</v>
      </c>
    </row>
    <row r="18799">
      <c r="A18799" s="10" t="s">
        <v>20238</v>
      </c>
      <c r="B18799" s="7" t="str">
        <f>IFERROR(__xludf.DUMMYFUNCTION("SPLIT(A18799,"" "")"),"Cc1cccc(CN(Cc2ccccn2)c2cccc3cccnc23)n1")</f>
        <v>Cc1cccc(CN(Cc2ccccn2)c2cccc3cccnc23)n1</v>
      </c>
      <c r="C18799" s="7">
        <f>IFERROR(__xludf.DUMMYFUNCTION("""COMPUTED_VALUE"""),7.7238545)</f>
        <v>7.7238545</v>
      </c>
      <c r="D18799" s="7">
        <f>IFERROR(__xludf.DUMMYFUNCTION("""COMPUTED_VALUE"""),0.477272727272727)</f>
        <v>0.4772727273</v>
      </c>
    </row>
    <row r="18800">
      <c r="A18800" s="10" t="s">
        <v>20239</v>
      </c>
      <c r="B18800" s="7" t="str">
        <f>IFERROR(__xludf.DUMMYFUNCTION("SPLIT(A18800,"" "")"),"CNCc1ncccc1-c1cccc(N=Cc2ccccn2)c1")</f>
        <v>CNCc1ncccc1-c1cccc(N=Cc2ccccn2)c1</v>
      </c>
      <c r="C18800" s="7">
        <f>IFERROR(__xludf.DUMMYFUNCTION("""COMPUTED_VALUE"""),7.7238526)</f>
        <v>7.7238526</v>
      </c>
      <c r="D18800" s="7">
        <f>IFERROR(__xludf.DUMMYFUNCTION("""COMPUTED_VALUE"""),0.388888888888888)</f>
        <v>0.3888888889</v>
      </c>
    </row>
    <row r="18801">
      <c r="A18801" s="10" t="s">
        <v>20240</v>
      </c>
      <c r="B18801" s="7" t="str">
        <f>IFERROR(__xludf.DUMMYFUNCTION("SPLIT(A18801,"" "")"),"Cc1ncccc1CN(C)CC1=CCC=C(N(C)c2ccc3ncccc3c2)N1")</f>
        <v>Cc1ncccc1CN(C)CC1=CCC=C(N(C)c2ccc3ncccc3c2)N1</v>
      </c>
      <c r="C18801" s="7">
        <f>IFERROR(__xludf.DUMMYFUNCTION("""COMPUTED_VALUE"""),7.723848)</f>
        <v>7.723848</v>
      </c>
      <c r="D18801" s="7">
        <f>IFERROR(__xludf.DUMMYFUNCTION("""COMPUTED_VALUE"""),0.333333333333333)</f>
        <v>0.3333333333</v>
      </c>
    </row>
    <row r="18802">
      <c r="A18802" s="10" t="s">
        <v>20241</v>
      </c>
      <c r="B18802" s="7" t="str">
        <f>IFERROR(__xludf.DUMMYFUNCTION("SPLIT(A18802,"" "")"),"CN(C)Cc1ncccc1-c1ccccc1N(C)C")</f>
        <v>CN(C)Cc1ncccc1-c1ccccc1N(C)C</v>
      </c>
      <c r="C18802" s="7">
        <f>IFERROR(__xludf.DUMMYFUNCTION("""COMPUTED_VALUE"""),7.7238245)</f>
        <v>7.7238245</v>
      </c>
      <c r="D18802" s="7">
        <f>IFERROR(__xludf.DUMMYFUNCTION("""COMPUTED_VALUE"""),0.357142857142857)</f>
        <v>0.3571428571</v>
      </c>
    </row>
    <row r="18803">
      <c r="A18803" s="10" t="s">
        <v>20242</v>
      </c>
      <c r="B18803" s="7" t="str">
        <f>IFERROR(__xludf.DUMMYFUNCTION("SPLIT(A18803,"" "")"),"CN(C)CC1=C(N(C)c2ccc3ccc(CF)nc3c2)CC=CN1")</f>
        <v>CN(C)CC1=C(N(C)c2ccc3ccc(CF)nc3c2)CC=CN1</v>
      </c>
      <c r="C18803" s="7">
        <f>IFERROR(__xludf.DUMMYFUNCTION("""COMPUTED_VALUE"""),7.7237906)</f>
        <v>7.7237906</v>
      </c>
      <c r="D18803" s="7">
        <f>IFERROR(__xludf.DUMMYFUNCTION("""COMPUTED_VALUE"""),0.28125)</f>
        <v>0.28125</v>
      </c>
    </row>
    <row r="18804">
      <c r="A18804" s="10" t="s">
        <v>20243</v>
      </c>
      <c r="B18804" s="7" t="str">
        <f>IFERROR(__xludf.DUMMYFUNCTION("SPLIT(A18804,"" "")"),"CN(Cc1ccccn1)C1=C(CN(C)c2ccc3nc(CF)ccc3c2)NC=CC1")</f>
        <v>CN(Cc1ccccn1)C1=C(CN(C)c2ccc3nc(CF)ccc3c2)NC=CC1</v>
      </c>
      <c r="C18804" s="7">
        <f>IFERROR(__xludf.DUMMYFUNCTION("""COMPUTED_VALUE"""),7.723771)</f>
        <v>7.723771</v>
      </c>
      <c r="D18804" s="7">
        <f>IFERROR(__xludf.DUMMYFUNCTION("""COMPUTED_VALUE"""),0.370967741935483)</f>
        <v>0.3709677419</v>
      </c>
    </row>
    <row r="18805">
      <c r="A18805" s="10" t="s">
        <v>20244</v>
      </c>
      <c r="B18805" s="7" t="str">
        <f>IFERROR(__xludf.DUMMYFUNCTION("SPLIT(A18805,"" "")"),"CN(CCCN(Cc1ccccn1)c1ccc2nc(CF)ccc2c1)c1ccc2ncccc2c1")</f>
        <v>CN(CCCN(Cc1ccccn1)c1ccc2nc(CF)ccc2c1)c1ccc2ncccc2c1</v>
      </c>
      <c r="C18805" s="7">
        <f>IFERROR(__xludf.DUMMYFUNCTION("""COMPUTED_VALUE"""),7.7237673)</f>
        <v>7.7237673</v>
      </c>
      <c r="D18805" s="7">
        <f>IFERROR(__xludf.DUMMYFUNCTION("""COMPUTED_VALUE"""),0.436363636363636)</f>
        <v>0.4363636364</v>
      </c>
    </row>
    <row r="18806">
      <c r="A18806" s="10" t="s">
        <v>20245</v>
      </c>
      <c r="B18806" s="7" t="str">
        <f>IFERROR(__xludf.DUMMYFUNCTION("SPLIT(A18806,"" "")"),"CNCc1cc(-c2ccc(N=Cc3ccccn3)cc2)ccn1")</f>
        <v>CNCc1cc(-c2ccc(N=Cc3ccccn3)cc2)ccn1</v>
      </c>
      <c r="C18806" s="7">
        <f>IFERROR(__xludf.DUMMYFUNCTION("""COMPUTED_VALUE"""),7.723767)</f>
        <v>7.723767</v>
      </c>
      <c r="D18806" s="7">
        <f>IFERROR(__xludf.DUMMYFUNCTION("""COMPUTED_VALUE"""),0.377358490566037)</f>
        <v>0.3773584906</v>
      </c>
    </row>
    <row r="18807">
      <c r="A18807" s="10" t="s">
        <v>20246</v>
      </c>
      <c r="B18807" s="7" t="str">
        <f>IFERROR(__xludf.DUMMYFUNCTION("SPLIT(A18807,"" "")"),"Cc1ccc(CN(C)c2ccc3nccc(CN(C)Cc4ccccn4)c3c2)nc1C")</f>
        <v>Cc1ccc(CN(C)c2ccc3nccc(CN(C)Cc4ccccn4)c3c2)nc1C</v>
      </c>
      <c r="C18807" s="7">
        <f>IFERROR(__xludf.DUMMYFUNCTION("""COMPUTED_VALUE"""),7.7237587)</f>
        <v>7.7237587</v>
      </c>
      <c r="D18807" s="7">
        <f>IFERROR(__xludf.DUMMYFUNCTION("""COMPUTED_VALUE"""),0.413793103448275)</f>
        <v>0.4137931034</v>
      </c>
    </row>
    <row r="18808">
      <c r="A18808" s="10" t="s">
        <v>20247</v>
      </c>
      <c r="B18808" s="7" t="str">
        <f>IFERROR(__xludf.DUMMYFUNCTION("SPLIT(A18808,"" "")"),"Cc1nccc(CN(C)CC2=CCC(N(C)c3cccc4ncccc34)=CN2)c1C")</f>
        <v>Cc1nccc(CN(C)CC2=CCC(N(C)c3cccc4ncccc34)=CN2)c1C</v>
      </c>
      <c r="C18808" s="7">
        <f>IFERROR(__xludf.DUMMYFUNCTION("""COMPUTED_VALUE"""),7.7237544)</f>
        <v>7.7237544</v>
      </c>
      <c r="D18808" s="7">
        <f>IFERROR(__xludf.DUMMYFUNCTION("""COMPUTED_VALUE"""),0.292307692307692)</f>
        <v>0.2923076923</v>
      </c>
    </row>
    <row r="18809">
      <c r="A18809" s="10" t="s">
        <v>20248</v>
      </c>
      <c r="B18809" s="7" t="str">
        <f>IFERROR(__xludf.DUMMYFUNCTION("SPLIT(A18809,"" "")"),"CN(Cc1ccccn1)c1ccc2nccc(CN(C)C3C=CC=CN3)c2c1")</f>
        <v>CN(Cc1ccccn1)c1ccc2nccc(CN(C)C3C=CC=CN3)c2c1</v>
      </c>
      <c r="C18809" s="7">
        <f>IFERROR(__xludf.DUMMYFUNCTION("""COMPUTED_VALUE"""),7.7237463)</f>
        <v>7.7237463</v>
      </c>
      <c r="D18809" s="7">
        <f>IFERROR(__xludf.DUMMYFUNCTION("""COMPUTED_VALUE"""),0.419354838709677)</f>
        <v>0.4193548387</v>
      </c>
    </row>
    <row r="18810">
      <c r="A18810" s="10" t="s">
        <v>20249</v>
      </c>
      <c r="B18810" s="7" t="str">
        <f>IFERROR(__xludf.DUMMYFUNCTION("SPLIT(A18810,"" "")"),"Fc1cccc(CN(Cc2ccccn2)c2ccc3ncccc3c2)n1")</f>
        <v>Fc1cccc(CN(Cc2ccccn2)c2ccc3ncccc3c2)n1</v>
      </c>
      <c r="C18810" s="7">
        <f>IFERROR(__xludf.DUMMYFUNCTION("""COMPUTED_VALUE"""),7.7237396)</f>
        <v>7.7237396</v>
      </c>
      <c r="D18810" s="7">
        <f>IFERROR(__xludf.DUMMYFUNCTION("""COMPUTED_VALUE"""),0.448275862068965)</f>
        <v>0.4482758621</v>
      </c>
    </row>
    <row r="18811">
      <c r="A18811" s="10" t="s">
        <v>20250</v>
      </c>
      <c r="B18811" s="7" t="str">
        <f>IFERROR(__xludf.DUMMYFUNCTION("SPLIT(A18811,"" "")"),"CN(C)CC1=CC(N(C)c2ccc3cccnc3c2)C=CN1")</f>
        <v>CN(C)CC1=CC(N(C)c2ccc3cccnc3c2)C=CN1</v>
      </c>
      <c r="C18811" s="7">
        <f>IFERROR(__xludf.DUMMYFUNCTION("""COMPUTED_VALUE"""),7.7237263)</f>
        <v>7.7237263</v>
      </c>
      <c r="D18811" s="7">
        <f>IFERROR(__xludf.DUMMYFUNCTION("""COMPUTED_VALUE"""),0.316666666666666)</f>
        <v>0.3166666667</v>
      </c>
    </row>
    <row r="18812">
      <c r="A18812" s="10" t="s">
        <v>20251</v>
      </c>
      <c r="B18812" s="7" t="str">
        <f>IFERROR(__xludf.DUMMYFUNCTION("SPLIT(A18812,"" "")"),"CC(C)c1cccc(CN(C)Cc2ccc(N(C)c3ccc4ncccc4c3)cn2)n1")</f>
        <v>CC(C)c1cccc(CN(C)Cc2ccc(N(C)c3ccc4ncccc4c3)cn2)n1</v>
      </c>
      <c r="C18812" s="7">
        <f>IFERROR(__xludf.DUMMYFUNCTION("""COMPUTED_VALUE"""),7.7237177)</f>
        <v>7.7237177</v>
      </c>
      <c r="D18812" s="7">
        <f>IFERROR(__xludf.DUMMYFUNCTION("""COMPUTED_VALUE"""),0.392857142857142)</f>
        <v>0.3928571429</v>
      </c>
    </row>
    <row r="18813">
      <c r="A18813" s="10" t="s">
        <v>20252</v>
      </c>
      <c r="B18813" s="7" t="str">
        <f>IFERROR(__xludf.DUMMYFUNCTION("SPLIT(A18813,"" "")"),"CN(Cc1ccccn1)c1cc(C2CC(C)(C)C2)cc2cccnc12")</f>
        <v>CN(Cc1ccccn1)c1cc(C2CC(C)(C)C2)cc2cccnc12</v>
      </c>
      <c r="C18813" s="7">
        <f>IFERROR(__xludf.DUMMYFUNCTION("""COMPUTED_VALUE"""),7.7237043)</f>
        <v>7.7237043</v>
      </c>
      <c r="D18813" s="7">
        <f>IFERROR(__xludf.DUMMYFUNCTION("""COMPUTED_VALUE"""),0.470588235294117)</f>
        <v>0.4705882353</v>
      </c>
    </row>
    <row r="18814">
      <c r="A18814" s="10" t="s">
        <v>20253</v>
      </c>
      <c r="B18814" s="7" t="str">
        <f>IFERROR(__xludf.DUMMYFUNCTION("SPLIT(A18814,"" "")"),"CCN=Cc1cccc(-c2ccc(N=Cc3ccccn3)cc2)n1")</f>
        <v>CCN=Cc1cccc(-c2ccc(N=Cc3ccccn3)cc2)n1</v>
      </c>
      <c r="C18814" s="7">
        <f>IFERROR(__xludf.DUMMYFUNCTION("""COMPUTED_VALUE"""),7.7237034)</f>
        <v>7.7237034</v>
      </c>
      <c r="D18814" s="7">
        <f>IFERROR(__xludf.DUMMYFUNCTION("""COMPUTED_VALUE"""),0.411764705882352)</f>
        <v>0.4117647059</v>
      </c>
    </row>
    <row r="18815">
      <c r="A18815" s="10" t="s">
        <v>20254</v>
      </c>
      <c r="B18815" s="7" t="str">
        <f>IFERROR(__xludf.DUMMYFUNCTION("SPLIT(A18815,"" "")"),"CCNc1ncccc1-c1ccc(C(C)(c2ccccn2)c2ccccn2)cn1")</f>
        <v>CCNc1ncccc1-c1ccc(C(C)(c2ccccn2)c2ccccn2)cn1</v>
      </c>
      <c r="C18815" s="7">
        <f>IFERROR(__xludf.DUMMYFUNCTION("""COMPUTED_VALUE"""),7.7236986)</f>
        <v>7.7236986</v>
      </c>
      <c r="D18815" s="7">
        <f>IFERROR(__xludf.DUMMYFUNCTION("""COMPUTED_VALUE"""),0.471698113207547)</f>
        <v>0.4716981132</v>
      </c>
    </row>
    <row r="18816">
      <c r="A18816" s="10" t="s">
        <v>20255</v>
      </c>
      <c r="B18816" s="7" t="str">
        <f>IFERROR(__xludf.DUMMYFUNCTION("SPLIT(A18816,"" "")"),"CN(CCN)Cc1ncccc1-c1cccc2ncccc12")</f>
        <v>CN(CCN)Cc1ncccc1-c1cccc2ncccc12</v>
      </c>
      <c r="C18816" s="7">
        <f>IFERROR(__xludf.DUMMYFUNCTION("""COMPUTED_VALUE"""),7.723679)</f>
        <v>7.723679</v>
      </c>
      <c r="D18816" s="7">
        <f>IFERROR(__xludf.DUMMYFUNCTION("""COMPUTED_VALUE"""),0.36734693877551)</f>
        <v>0.3673469388</v>
      </c>
    </row>
    <row r="18817">
      <c r="A18817" s="10" t="s">
        <v>20256</v>
      </c>
      <c r="B18817" s="7" t="str">
        <f>IFERROR(__xludf.DUMMYFUNCTION("SPLIT(A18817,"" "")"),"CN(Cc1ccccn1)c1ccc2cccnc2c1-c1ncccc1CN(Cc1ccccn1)Cc1ccccn1")</f>
        <v>CN(Cc1ccccn1)c1ccc2cccnc2c1-c1ncccc1CN(Cc1ccccn1)Cc1ccccn1</v>
      </c>
      <c r="C18817" s="7">
        <f>IFERROR(__xludf.DUMMYFUNCTION("""COMPUTED_VALUE"""),7.7236733)</f>
        <v>7.7236733</v>
      </c>
      <c r="D18817" s="7">
        <f>IFERROR(__xludf.DUMMYFUNCTION("""COMPUTED_VALUE"""),0.450980392156862)</f>
        <v>0.4509803922</v>
      </c>
    </row>
    <row r="18818">
      <c r="A18818" s="10" t="s">
        <v>20257</v>
      </c>
      <c r="B18818" s="7" t="str">
        <f>IFERROR(__xludf.DUMMYFUNCTION("SPLIT(A18818,"" "")"),"CN(Cc1ccccn1)C1=CNC(CN(C)c2cc(Cl)c(Cl)c(N(C)Cc3ccccn3)c2)=CC1")</f>
        <v>CN(Cc1ccccn1)C1=CNC(CN(C)c2cc(Cl)c(Cl)c(N(C)Cc3ccccn3)c2)=CC1</v>
      </c>
      <c r="C18818" s="7">
        <f>IFERROR(__xludf.DUMMYFUNCTION("""COMPUTED_VALUE"""),7.72366)</f>
        <v>7.72366</v>
      </c>
      <c r="D18818" s="7">
        <f>IFERROR(__xludf.DUMMYFUNCTION("""COMPUTED_VALUE"""),0.5)</f>
        <v>0.5</v>
      </c>
    </row>
    <row r="18819">
      <c r="A18819" s="10" t="s">
        <v>20258</v>
      </c>
      <c r="B18819" s="7" t="str">
        <f>IFERROR(__xludf.DUMMYFUNCTION("SPLIT(A18819,"" "")"),"CN(Cc1ccccn1)C1=CNC(CN(Cc2ccccn2)c2cccc3ncccc23)=CC1")</f>
        <v>CN(Cc1ccccn1)C1=CNC(CN(Cc2ccccn2)c2cccc3ncccc23)=CC1</v>
      </c>
      <c r="C18819" s="7">
        <f>IFERROR(__xludf.DUMMYFUNCTION("""COMPUTED_VALUE"""),7.7236485)</f>
        <v>7.7236485</v>
      </c>
      <c r="D18819" s="7">
        <f>IFERROR(__xludf.DUMMYFUNCTION("""COMPUTED_VALUE"""),0.372881355932203)</f>
        <v>0.3728813559</v>
      </c>
    </row>
    <row r="18820">
      <c r="A18820" s="10" t="s">
        <v>20259</v>
      </c>
      <c r="B18820" s="7" t="str">
        <f>IFERROR(__xludf.DUMMYFUNCTION("SPLIT(A18820,"" "")"),"Cc1ccc(N(Cc2ccccn2)Cc2ncccc2-c2ccccc2N(C)C)cc1C")</f>
        <v>Cc1ccc(N(Cc2ccccn2)Cc2ncccc2-c2ccccc2N(C)C)cc1C</v>
      </c>
      <c r="C18820" s="7">
        <f>IFERROR(__xludf.DUMMYFUNCTION("""COMPUTED_VALUE"""),7.723627)</f>
        <v>7.723627</v>
      </c>
      <c r="D18820" s="7">
        <f>IFERROR(__xludf.DUMMYFUNCTION("""COMPUTED_VALUE"""),0.388888888888888)</f>
        <v>0.3888888889</v>
      </c>
    </row>
    <row r="18821">
      <c r="A18821" s="10" t="s">
        <v>20260</v>
      </c>
      <c r="B18821" s="7" t="str">
        <f>IFERROR(__xludf.DUMMYFUNCTION("SPLIT(A18821,"" "")"),"Cc1cc(-c2cccc(NCc3ccc(C(C)(c4ccccn4)c4ccccn4)cn3)c2)ccn1")</f>
        <v>Cc1cc(-c2cccc(NCc3ccc(C(C)(c4ccccn4)c4ccccn4)cn3)c2)ccn1</v>
      </c>
      <c r="C18821" s="7">
        <f>IFERROR(__xludf.DUMMYFUNCTION("""COMPUTED_VALUE"""),7.723622)</f>
        <v>7.723622</v>
      </c>
      <c r="D18821" s="7">
        <f>IFERROR(__xludf.DUMMYFUNCTION("""COMPUTED_VALUE"""),0.34375)</f>
        <v>0.34375</v>
      </c>
    </row>
    <row r="18822">
      <c r="A18822" s="10" t="s">
        <v>20261</v>
      </c>
      <c r="B18822" s="7" t="str">
        <f>IFERROR(__xludf.DUMMYFUNCTION("SPLIT(A18822,"" "")"),"CCN(Cc1ccccn1)c1ccc(-c2ncccc2CN(Cc2ccccn2)Cc2ncc(C)cc2C)c2ncccc12")</f>
        <v>CCN(Cc1ccccn1)c1ccc(-c2ncccc2CN(Cc2ccccn2)Cc2ncc(C)cc2C)c2ncccc12</v>
      </c>
      <c r="C18822" s="7">
        <f>IFERROR(__xludf.DUMMYFUNCTION("""COMPUTED_VALUE"""),7.723596)</f>
        <v>7.723596</v>
      </c>
      <c r="D18822" s="7">
        <f>IFERROR(__xludf.DUMMYFUNCTION("""COMPUTED_VALUE"""),0.333333333333333)</f>
        <v>0.3333333333</v>
      </c>
    </row>
    <row r="18823">
      <c r="A18823" s="10" t="s">
        <v>20262</v>
      </c>
      <c r="B18823" s="7" t="str">
        <f>IFERROR(__xludf.DUMMYFUNCTION("SPLIT(A18823,"" "")"),"Cc1cccnc1CN(C)C1=C(CN(c2cccc3ncccc23)C(C)C)NC=CC1")</f>
        <v>Cc1cccnc1CN(C)C1=C(CN(c2cccc3ncccc23)C(C)C)NC=CC1</v>
      </c>
      <c r="C18823" s="7">
        <f>IFERROR(__xludf.DUMMYFUNCTION("""COMPUTED_VALUE"""),7.7235827)</f>
        <v>7.7235827</v>
      </c>
      <c r="D18823" s="7">
        <f>IFERROR(__xludf.DUMMYFUNCTION("""COMPUTED_VALUE"""),0.272727272727272)</f>
        <v>0.2727272727</v>
      </c>
    </row>
    <row r="18824">
      <c r="A18824" s="10" t="s">
        <v>20263</v>
      </c>
      <c r="B18824" s="7" t="str">
        <f>IFERROR(__xludf.DUMMYFUNCTION("SPLIT(A18824,"" "")"),"Cc1cccc(CN(C)Cc2cccc(N(C)c3ccc4nc(CF)ccc4c3)n2)n1")</f>
        <v>Cc1cccc(CN(C)Cc2cccc(N(C)c3ccc4nc(CF)ccc4c3)n2)n1</v>
      </c>
      <c r="C18824" s="7">
        <f>IFERROR(__xludf.DUMMYFUNCTION("""COMPUTED_VALUE"""),7.7235746)</f>
        <v>7.7235746</v>
      </c>
      <c r="D18824" s="7">
        <f>IFERROR(__xludf.DUMMYFUNCTION("""COMPUTED_VALUE"""),0.5)</f>
        <v>0.5</v>
      </c>
    </row>
    <row r="18825">
      <c r="A18825" s="10" t="s">
        <v>20264</v>
      </c>
      <c r="B18825" s="7" t="str">
        <f>IFERROR(__xludf.DUMMYFUNCTION("SPLIT(A18825,"" "")"),"CNCC1=CCC=C(N(C)c2ccc3ccc(CF)nc3c2)N1")</f>
        <v>CNCC1=CCC=C(N(C)c2ccc3ccc(CF)nc3c2)N1</v>
      </c>
      <c r="C18825" s="7">
        <f>IFERROR(__xludf.DUMMYFUNCTION("""COMPUTED_VALUE"""),7.7235537)</f>
        <v>7.7235537</v>
      </c>
      <c r="D18825" s="7">
        <f>IFERROR(__xludf.DUMMYFUNCTION("""COMPUTED_VALUE"""),0.301587301587301)</f>
        <v>0.3015873016</v>
      </c>
    </row>
    <row r="18826">
      <c r="A18826" s="10" t="s">
        <v>20265</v>
      </c>
      <c r="B18826" s="7" t="str">
        <f>IFERROR(__xludf.DUMMYFUNCTION("SPLIT(A18826,"" "")"),"CC(C)N(Cc1ccccn1)c1cccc(-c2cc(CN(Cc3ccccn3)Cc3ccccn3)ccn2)c1N(C)c1ccc2ccc(CN(C)C)nc2c1")</f>
        <v>CC(C)N(Cc1ccccn1)c1cccc(-c2cc(CN(Cc3ccccn3)Cc3ccccn3)ccn2)c1N(C)c1ccc2ccc(CN(C)C)nc2c1</v>
      </c>
      <c r="C18826" s="7">
        <f>IFERROR(__xludf.DUMMYFUNCTION("""COMPUTED_VALUE"""),7.723553)</f>
        <v>7.723553</v>
      </c>
      <c r="D18826" s="7">
        <f>IFERROR(__xludf.DUMMYFUNCTION("""COMPUTED_VALUE"""),0.402985074626865)</f>
        <v>0.4029850746</v>
      </c>
    </row>
    <row r="18827">
      <c r="A18827" s="10" t="s">
        <v>20266</v>
      </c>
      <c r="B18827" s="7" t="str">
        <f>IFERROR(__xludf.DUMMYFUNCTION("SPLIT(A18827,"" "")"),"Cc1cccnc1-c1cccc(NCc2cccc(C(C)(c3ccccn3)c3ccccn3)n2)c1")</f>
        <v>Cc1cccnc1-c1cccc(NCc2cccc(C(C)(c3ccccn3)c3ccccn3)n2)c1</v>
      </c>
      <c r="C18827" s="7">
        <f>IFERROR(__xludf.DUMMYFUNCTION("""COMPUTED_VALUE"""),7.7235513)</f>
        <v>7.7235513</v>
      </c>
      <c r="D18827" s="7">
        <f>IFERROR(__xludf.DUMMYFUNCTION("""COMPUTED_VALUE"""),0.416666666666666)</f>
        <v>0.4166666667</v>
      </c>
    </row>
    <row r="18828">
      <c r="A18828" s="10" t="s">
        <v>20267</v>
      </c>
      <c r="B18828" s="7" t="str">
        <f>IFERROR(__xludf.DUMMYFUNCTION("SPLIT(A18828,"" "")"),"COC(=O)c1cc(CN(Cc2ccccn2)Cc2cc(-c3ccccc3N=Cc3ccccn3)ccn2)ccn1")</f>
        <v>COC(=O)c1cc(CN(Cc2ccccn2)Cc2cc(-c3ccccc3N=Cc3ccccn3)ccn2)ccn1</v>
      </c>
      <c r="C18828" s="7">
        <f>IFERROR(__xludf.DUMMYFUNCTION("""COMPUTED_VALUE"""),7.7235503)</f>
        <v>7.7235503</v>
      </c>
      <c r="D18828" s="7">
        <f>IFERROR(__xludf.DUMMYFUNCTION("""COMPUTED_VALUE"""),0.338235294117647)</f>
        <v>0.3382352941</v>
      </c>
    </row>
    <row r="18829">
      <c r="A18829" s="10" t="s">
        <v>20268</v>
      </c>
      <c r="B18829" s="7" t="str">
        <f>IFERROR(__xludf.DUMMYFUNCTION("SPLIT(A18829,"" "")"),"CN(CC1=CCC=C(N(C)c2cccc3ncccc23)N1)Cc1ccccn1")</f>
        <v>CN(CC1=CCC=C(N(C)c2cccc3ncccc23)N1)Cc1ccccn1</v>
      </c>
      <c r="C18829" s="7">
        <f>IFERROR(__xludf.DUMMYFUNCTION("""COMPUTED_VALUE"""),7.7235475)</f>
        <v>7.7235475</v>
      </c>
      <c r="D18829" s="7">
        <f>IFERROR(__xludf.DUMMYFUNCTION("""COMPUTED_VALUE"""),0.396551724137931)</f>
        <v>0.3965517241</v>
      </c>
    </row>
    <row r="18830">
      <c r="A18830" s="10" t="s">
        <v>20269</v>
      </c>
      <c r="B18830" s="7" t="str">
        <f>IFERROR(__xludf.DUMMYFUNCTION("SPLIT(A18830,"" "")"),"CN(CC1=CCC=C(N(C)c2ccc3cccnc3c2)N1)Cc1cccnn1")</f>
        <v>CN(CC1=CCC=C(N(C)c2ccc3cccnc3c2)N1)Cc1cccnn1</v>
      </c>
      <c r="C18830" s="7">
        <f>IFERROR(__xludf.DUMMYFUNCTION("""COMPUTED_VALUE"""),7.723545)</f>
        <v>7.723545</v>
      </c>
      <c r="D18830" s="7">
        <f>IFERROR(__xludf.DUMMYFUNCTION("""COMPUTED_VALUE"""),0.392857142857142)</f>
        <v>0.3928571429</v>
      </c>
    </row>
    <row r="18831">
      <c r="A18831" s="10" t="s">
        <v>20270</v>
      </c>
      <c r="B18831" s="7" t="str">
        <f>IFERROR(__xludf.DUMMYFUNCTION("SPLIT(A18831,"" "")"),"CC(C)c1cccc(-c2cc(CN(Cc3ccccn3)C3CCC(N(C)c4ccc5nccc(-c6ccc7ncccc7c6)c5c4)CC3)ccn2)c1")</f>
        <v>CC(C)c1cccc(-c2cc(CN(Cc3ccccn3)C3CCC(N(C)c4ccc5nccc(-c6ccc7ncccc7c6)c5c4)CC3)ccn2)c1</v>
      </c>
      <c r="C18831" s="7">
        <f>IFERROR(__xludf.DUMMYFUNCTION("""COMPUTED_VALUE"""),7.723542)</f>
        <v>7.723542</v>
      </c>
      <c r="D18831" s="7">
        <f>IFERROR(__xludf.DUMMYFUNCTION("""COMPUTED_VALUE"""),0.284090909090909)</f>
        <v>0.2840909091</v>
      </c>
    </row>
    <row r="18832">
      <c r="A18832" s="10" t="s">
        <v>20271</v>
      </c>
      <c r="B18832" s="7" t="str">
        <f>IFERROR(__xludf.DUMMYFUNCTION("SPLIT(A18832,"" "")"),"Cc1cccnc1CN(Cc1ccccn1)c1ccc2ncccc2c1")</f>
        <v>Cc1cccnc1CN(Cc1ccccn1)c1ccc2ncccc2c1</v>
      </c>
      <c r="C18832" s="7">
        <f>IFERROR(__xludf.DUMMYFUNCTION("""COMPUTED_VALUE"""),7.7235317)</f>
        <v>7.7235317</v>
      </c>
      <c r="D18832" s="7">
        <f>IFERROR(__xludf.DUMMYFUNCTION("""COMPUTED_VALUE"""),0.392156862745098)</f>
        <v>0.3921568627</v>
      </c>
    </row>
    <row r="18833">
      <c r="A18833" s="10" t="s">
        <v>20272</v>
      </c>
      <c r="B18833" s="7" t="str">
        <f>IFERROR(__xludf.DUMMYFUNCTION("SPLIT(A18833,"" "")"),"Cc1nc(CN(C)CC2=C(N(C)c3ccc4cccnc4c3)CC=CN2)c(C)c(C)c1C")</f>
        <v>Cc1nc(CN(C)CC2=C(N(C)c3ccc4cccnc4c3)CC=CN2)c(C)c(C)c1C</v>
      </c>
      <c r="C18833" s="7">
        <f>IFERROR(__xludf.DUMMYFUNCTION("""COMPUTED_VALUE"""),7.7235317)</f>
        <v>7.7235317</v>
      </c>
      <c r="D18833" s="7">
        <f>IFERROR(__xludf.DUMMYFUNCTION("""COMPUTED_VALUE"""),0.25)</f>
        <v>0.25</v>
      </c>
    </row>
    <row r="18834">
      <c r="A18834" s="10" t="s">
        <v>20273</v>
      </c>
      <c r="B18834" s="7" t="str">
        <f>IFERROR(__xludf.DUMMYFUNCTION("SPLIT(A18834,"" "")"),"CN(Cc1ccncc1)Cc1cccc(N(C)c2ccc3cccnc3c2)n1")</f>
        <v>CN(Cc1ccncc1)Cc1cccc(N(C)c2ccc3cccnc3c2)n1</v>
      </c>
      <c r="C18834" s="7">
        <f>IFERROR(__xludf.DUMMYFUNCTION("""COMPUTED_VALUE"""),7.7235303)</f>
        <v>7.7235303</v>
      </c>
      <c r="D18834" s="7">
        <f>IFERROR(__xludf.DUMMYFUNCTION("""COMPUTED_VALUE"""),0.375)</f>
        <v>0.375</v>
      </c>
    </row>
    <row r="18835">
      <c r="A18835" s="10" t="s">
        <v>20274</v>
      </c>
      <c r="B18835" s="7" t="str">
        <f>IFERROR(__xludf.DUMMYFUNCTION("SPLIT(A18835,"" "")"),"CN(Cc1ccc(-c2cccc(N=Cc3ccccn3)c2)cn1)Cc1ccon1")</f>
        <v>CN(Cc1ccc(-c2cccc(N=Cc3ccccn3)c2)cn1)Cc1ccon1</v>
      </c>
      <c r="C18835" s="7">
        <f>IFERROR(__xludf.DUMMYFUNCTION("""COMPUTED_VALUE"""),7.72353)</f>
        <v>7.72353</v>
      </c>
      <c r="D18835" s="7">
        <f>IFERROR(__xludf.DUMMYFUNCTION("""COMPUTED_VALUE"""),0.368421052631578)</f>
        <v>0.3684210526</v>
      </c>
    </row>
    <row r="18836">
      <c r="A18836" s="10" t="s">
        <v>20275</v>
      </c>
      <c r="B18836" s="7" t="str">
        <f>IFERROR(__xludf.DUMMYFUNCTION("SPLIT(A18836,"" "")"),"CNCc1nccc2cc(N(C)CC3=C(N(C)Cc4ccccn4)CC=CN3)ccc12")</f>
        <v>CNCc1nccc2cc(N(C)CC3=C(N(C)Cc4ccccn4)CC=CN3)ccc12</v>
      </c>
      <c r="C18836" s="7">
        <f>IFERROR(__xludf.DUMMYFUNCTION("""COMPUTED_VALUE"""),7.723523)</f>
        <v>7.723523</v>
      </c>
      <c r="D18836" s="7">
        <f>IFERROR(__xludf.DUMMYFUNCTION("""COMPUTED_VALUE"""),0.333333333333333)</f>
        <v>0.3333333333</v>
      </c>
    </row>
    <row r="18837">
      <c r="A18837" s="10" t="s">
        <v>20276</v>
      </c>
      <c r="B18837" s="7" t="str">
        <f>IFERROR(__xludf.DUMMYFUNCTION("SPLIT(A18837,"" "")"),"CN(C)CC1=CC(N(C)c2ccc3ncccc3c2)C=CN1")</f>
        <v>CN(C)CC1=CC(N(C)c2ccc3ncccc3c2)C=CN1</v>
      </c>
      <c r="C18837" s="7">
        <f>IFERROR(__xludf.DUMMYFUNCTION("""COMPUTED_VALUE"""),7.7235155)</f>
        <v>7.7235155</v>
      </c>
      <c r="D18837" s="7">
        <f>IFERROR(__xludf.DUMMYFUNCTION("""COMPUTED_VALUE"""),0.322033898305084)</f>
        <v>0.3220338983</v>
      </c>
    </row>
    <row r="18838">
      <c r="A18838" s="10" t="s">
        <v>20277</v>
      </c>
      <c r="B18838" s="7" t="str">
        <f>IFERROR(__xludf.DUMMYFUNCTION("SPLIT(A18838,"" "")"),"Cc1cccnc1CN(C)Cc1ccnc2ccc(N(C)Cc3cc(N)ccn3)cc12")</f>
        <v>Cc1cccnc1CN(C)Cc1ccnc2ccc(N(C)Cc3cc(N)ccn3)cc12</v>
      </c>
      <c r="C18838" s="7">
        <f>IFERROR(__xludf.DUMMYFUNCTION("""COMPUTED_VALUE"""),7.7235155)</f>
        <v>7.7235155</v>
      </c>
      <c r="D18838" s="7">
        <f>IFERROR(__xludf.DUMMYFUNCTION("""COMPUTED_VALUE"""),0.285714285714285)</f>
        <v>0.2857142857</v>
      </c>
    </row>
    <row r="18839">
      <c r="A18839" s="10" t="s">
        <v>20278</v>
      </c>
      <c r="B18839" s="7" t="str">
        <f>IFERROR(__xludf.DUMMYFUNCTION("SPLIT(A18839,"" "")"),"C1=CNC(c2cccc(C(c3ccccn3)c3ccccn3)n2)=CC1")</f>
        <v>C1=CNC(c2cccc(C(c3ccccn3)c3ccccn3)n2)=CC1</v>
      </c>
      <c r="C18839" s="7">
        <f>IFERROR(__xludf.DUMMYFUNCTION("""COMPUTED_VALUE"""),7.7235107)</f>
        <v>7.7235107</v>
      </c>
      <c r="D18839" s="7">
        <f>IFERROR(__xludf.DUMMYFUNCTION("""COMPUTED_VALUE"""),0.377358490566037)</f>
        <v>0.3773584906</v>
      </c>
    </row>
    <row r="18840">
      <c r="A18840" s="10" t="s">
        <v>20279</v>
      </c>
      <c r="B18840" s="7" t="str">
        <f>IFERROR(__xludf.DUMMYFUNCTION("SPLIT(A18840,"" "")"),"CC(C)C(C)(c1cccnc1)N(C)Cc1cccc(-c2cccc(N(C)c3ccc4ncccc4c3)c2)n1")</f>
        <v>CC(C)C(C)(c1cccnc1)N(C)Cc1cccc(-c2cccc(N(C)c3ccc4ncccc4c3)c2)n1</v>
      </c>
      <c r="C18840" s="7">
        <f>IFERROR(__xludf.DUMMYFUNCTION("""COMPUTED_VALUE"""),7.7235065)</f>
        <v>7.7235065</v>
      </c>
      <c r="D18840" s="7">
        <f>IFERROR(__xludf.DUMMYFUNCTION("""COMPUTED_VALUE"""),0.337837837837837)</f>
        <v>0.3378378378</v>
      </c>
    </row>
    <row r="18841">
      <c r="A18841" s="10" t="s">
        <v>20280</v>
      </c>
      <c r="B18841" s="7" t="str">
        <f>IFERROR(__xludf.DUMMYFUNCTION("SPLIT(A18841,"" "")"),"Cc1cccc(-c2cccc(CN(C)Cc3cccc(-c4cccc(N=Cc5ccccn5)c4)n3)n2)c1")</f>
        <v>Cc1cccc(-c2cccc(CN(C)Cc3cccc(-c4cccc(N=Cc5ccccn5)c4)n3)n2)c1</v>
      </c>
      <c r="C18841" s="7">
        <f>IFERROR(__xludf.DUMMYFUNCTION("""COMPUTED_VALUE"""),7.723503)</f>
        <v>7.723503</v>
      </c>
      <c r="D18841" s="7">
        <f>IFERROR(__xludf.DUMMYFUNCTION("""COMPUTED_VALUE"""),0.472727272727272)</f>
        <v>0.4727272727</v>
      </c>
    </row>
    <row r="18842">
      <c r="A18842" s="10" t="s">
        <v>20281</v>
      </c>
      <c r="B18842" s="7" t="str">
        <f>IFERROR(__xludf.DUMMYFUNCTION("SPLIT(A18842,"" "")"),"CNCc1ncccc1-c1ccc(N=Cc2ccccn2)cc1")</f>
        <v>CNCc1ncccc1-c1ccc(N=Cc2ccccn2)cc1</v>
      </c>
      <c r="C18842" s="7">
        <f>IFERROR(__xludf.DUMMYFUNCTION("""COMPUTED_VALUE"""),7.7235017)</f>
        <v>7.7235017</v>
      </c>
      <c r="D18842" s="7">
        <f>IFERROR(__xludf.DUMMYFUNCTION("""COMPUTED_VALUE"""),0.384615384615384)</f>
        <v>0.3846153846</v>
      </c>
    </row>
    <row r="18843">
      <c r="A18843" s="10" t="s">
        <v>20282</v>
      </c>
      <c r="B18843" s="7" t="str">
        <f>IFERROR(__xludf.DUMMYFUNCTION("SPLIT(A18843,"" "")"),"CCNCc1cccc(-c2cccc(NCc3ccccn3)c2-c2ccccc2N=Cc2ccccn2)n1")</f>
        <v>CCNCc1cccc(-c2cccc(NCc3ccccn3)c2-c2ccccc2N=Cc2ccccn2)n1</v>
      </c>
      <c r="C18843" s="7">
        <f>IFERROR(__xludf.DUMMYFUNCTION("""COMPUTED_VALUE"""),7.7234964)</f>
        <v>7.7234964</v>
      </c>
      <c r="D18843" s="7">
        <f>IFERROR(__xludf.DUMMYFUNCTION("""COMPUTED_VALUE"""),0.40983606557377)</f>
        <v>0.4098360656</v>
      </c>
    </row>
    <row r="18844">
      <c r="A18844" s="10" t="s">
        <v>20283</v>
      </c>
      <c r="B18844" s="7" t="str">
        <f>IFERROR(__xludf.DUMMYFUNCTION("SPLIT(A18844,"" "")"),"Cc1ccc2cc(N(C)CC3=CCC(N(Cc4ccccn4)Cc4ccc(C)c(C)n4)=CN3)ccc2n1")</f>
        <v>Cc1ccc2cc(N(C)CC3=CCC(N(Cc4ccccn4)Cc4ccc(C)c(C)n4)=CN3)ccc2n1</v>
      </c>
      <c r="C18844" s="7">
        <f>IFERROR(__xludf.DUMMYFUNCTION("""COMPUTED_VALUE"""),7.723496)</f>
        <v>7.723496</v>
      </c>
      <c r="D18844" s="7">
        <f>IFERROR(__xludf.DUMMYFUNCTION("""COMPUTED_VALUE"""),0.343283582089552)</f>
        <v>0.3432835821</v>
      </c>
    </row>
    <row r="18845">
      <c r="A18845" s="10" t="s">
        <v>20284</v>
      </c>
      <c r="B18845" s="7" t="str">
        <f>IFERROR(__xludf.DUMMYFUNCTION("SPLIT(A18845,"" "")"),"Cc1cccnc1CN(C)Cc1ccnc2ccc(N(C)Cc3ncccc3C)cc12")</f>
        <v>Cc1cccnc1CN(C)Cc1ccnc2ccc(N(C)Cc3ncccc3C)cc12</v>
      </c>
      <c r="C18845" s="7">
        <f>IFERROR(__xludf.DUMMYFUNCTION("""COMPUTED_VALUE"""),7.7234917)</f>
        <v>7.7234917</v>
      </c>
      <c r="D18845" s="7">
        <f>IFERROR(__xludf.DUMMYFUNCTION("""COMPUTED_VALUE"""),0.309090909090909)</f>
        <v>0.3090909091</v>
      </c>
    </row>
    <row r="18846">
      <c r="A18846" s="10" t="s">
        <v>20285</v>
      </c>
      <c r="B18846" s="7" t="str">
        <f>IFERROR(__xludf.DUMMYFUNCTION("SPLIT(A18846,"" "")"),"Cc1ccc(CN(Cc2ccccn2)C2=C(CN(C)c3ccc4ncccc4c3)NC=CC2)nc1C")</f>
        <v>Cc1ccc(CN(Cc2ccccn2)C2=C(CN(C)c3ccc4ncccc4c3)NC=CC2)nc1C</v>
      </c>
      <c r="C18846" s="7">
        <f>IFERROR(__xludf.DUMMYFUNCTION("""COMPUTED_VALUE"""),7.7234592)</f>
        <v>7.7234592</v>
      </c>
      <c r="D18846" s="7">
        <f>IFERROR(__xludf.DUMMYFUNCTION("""COMPUTED_VALUE"""),0.323529411764705)</f>
        <v>0.3235294118</v>
      </c>
    </row>
    <row r="18847">
      <c r="A18847" s="10" t="s">
        <v>20286</v>
      </c>
      <c r="B18847" s="7" t="str">
        <f>IFERROR(__xludf.DUMMYFUNCTION("SPLIT(A18847,"" "")"),"CN(CCN(C)c1cccc2cc3c(nc12)CCC3)Cc1cc(-c2ccccn2)ccn1")</f>
        <v>CN(CCN(C)c1cccc2cc3c(nc12)CCC3)Cc1cc(-c2ccccn2)ccn1</v>
      </c>
      <c r="C18847" s="7">
        <f>IFERROR(__xludf.DUMMYFUNCTION("""COMPUTED_VALUE"""),7.7234535)</f>
        <v>7.7234535</v>
      </c>
      <c r="D18847" s="7">
        <f>IFERROR(__xludf.DUMMYFUNCTION("""COMPUTED_VALUE"""),0.446153846153846)</f>
        <v>0.4461538462</v>
      </c>
    </row>
    <row r="18848">
      <c r="A18848" s="10" t="s">
        <v>20287</v>
      </c>
      <c r="B18848" s="7" t="str">
        <f>IFERROR(__xludf.DUMMYFUNCTION("SPLIT(A18848,"" "")"),"Cc1cc(C)c(CN(C)c2c(C)cc(C)c(C)c2N(C)Cc2ncccc2C)nc1C")</f>
        <v>Cc1cc(C)c(CN(C)c2c(C)cc(C)c(C)c2N(C)Cc2ncccc2C)nc1C</v>
      </c>
      <c r="C18848" s="7">
        <f>IFERROR(__xludf.DUMMYFUNCTION("""COMPUTED_VALUE"""),7.723452)</f>
        <v>7.723452</v>
      </c>
      <c r="D18848" s="7">
        <f>IFERROR(__xludf.DUMMYFUNCTION("""COMPUTED_VALUE"""),0.294117647058823)</f>
        <v>0.2941176471</v>
      </c>
    </row>
    <row r="18849">
      <c r="A18849" s="10" t="s">
        <v>20288</v>
      </c>
      <c r="B18849" s="7" t="str">
        <f>IFERROR(__xludf.DUMMYFUNCTION("SPLIT(A18849,"" "")"),"Cc1cccnc1CN(C)Cc1ccnc2cc(N(C)Cc3cc(N)ccn3)ccc12")</f>
        <v>Cc1cccnc1CN(C)Cc1ccnc2cc(N(C)Cc3cc(N)ccn3)ccc12</v>
      </c>
      <c r="C18849" s="7">
        <f>IFERROR(__xludf.DUMMYFUNCTION("""COMPUTED_VALUE"""),7.7234406)</f>
        <v>7.7234406</v>
      </c>
      <c r="D18849" s="7">
        <f>IFERROR(__xludf.DUMMYFUNCTION("""COMPUTED_VALUE"""),0.290322580645161)</f>
        <v>0.2903225806</v>
      </c>
    </row>
    <row r="18850">
      <c r="A18850" s="10" t="s">
        <v>20289</v>
      </c>
      <c r="B18850" s="7" t="str">
        <f>IFERROR(__xludf.DUMMYFUNCTION("SPLIT(A18850,"" "")"),"Cc1cc(C)c(CN(C)CC2=CCC(N(C)c3cccc4ncccc34)=CN2)nc1C")</f>
        <v>Cc1cc(C)c(CN(C)CC2=CCC(N(C)c3cccc4ncccc34)=CN2)nc1C</v>
      </c>
      <c r="C18850" s="7">
        <f>IFERROR(__xludf.DUMMYFUNCTION("""COMPUTED_VALUE"""),7.7234273)</f>
        <v>7.7234273</v>
      </c>
      <c r="D18850" s="7">
        <f>IFERROR(__xludf.DUMMYFUNCTION("""COMPUTED_VALUE"""),0.257575757575757)</f>
        <v>0.2575757576</v>
      </c>
    </row>
    <row r="18851">
      <c r="A18851" s="10" t="s">
        <v>20290</v>
      </c>
      <c r="B18851" s="7" t="str">
        <f>IFERROR(__xludf.DUMMYFUNCTION("SPLIT(A18851,"" "")"),"CN(Cc1ccccn1)C1=CNC(CN(C)c2c(Cl)cc(Cl)cc2N(C)Cc2ccccn2)=CC1")</f>
        <v>CN(Cc1ccccn1)C1=CNC(CN(C)c2c(Cl)cc(Cl)cc2N(C)Cc2ccccn2)=CC1</v>
      </c>
      <c r="C18851" s="7">
        <f>IFERROR(__xludf.DUMMYFUNCTION("""COMPUTED_VALUE"""),7.7234235)</f>
        <v>7.7234235</v>
      </c>
      <c r="D18851" s="7">
        <f>IFERROR(__xludf.DUMMYFUNCTION("""COMPUTED_VALUE"""),0.5)</f>
        <v>0.5</v>
      </c>
    </row>
    <row r="18852">
      <c r="A18852" s="10" t="s">
        <v>20291</v>
      </c>
      <c r="B18852" s="7" t="str">
        <f>IFERROR(__xludf.DUMMYFUNCTION("SPLIT(A18852,"" "")"),"CC(C)C(C)(c1cccnc1)N(C)c1ccc2nc(-c3cccc(NCc4ccccn4)c3)ccc2c1")</f>
        <v>CC(C)C(C)(c1cccnc1)N(C)c1ccc2nc(-c3cccc(NCc4ccccn4)c3)ccc2c1</v>
      </c>
      <c r="C18852" s="7">
        <f>IFERROR(__xludf.DUMMYFUNCTION("""COMPUTED_VALUE"""),7.723415)</f>
        <v>7.723415</v>
      </c>
      <c r="D18852" s="7">
        <f>IFERROR(__xludf.DUMMYFUNCTION("""COMPUTED_VALUE"""),0.30379746835443)</f>
        <v>0.3037974684</v>
      </c>
    </row>
    <row r="18853">
      <c r="A18853" s="10" t="s">
        <v>20292</v>
      </c>
      <c r="B18853" s="7" t="str">
        <f>IFERROR(__xludf.DUMMYFUNCTION("SPLIT(A18853,"" "")"),"CCN(CC1=CCC(N(C)Cc2cc(C)c(C)c(C)n2)=CN1)c1cccc2ncccc12")</f>
        <v>CCN(CC1=CCC(N(C)Cc2cc(C)c(C)c(C)n2)=CN1)c1cccc2ncccc12</v>
      </c>
      <c r="C18853" s="7">
        <f>IFERROR(__xludf.DUMMYFUNCTION("""COMPUTED_VALUE"""),7.7234135)</f>
        <v>7.7234135</v>
      </c>
      <c r="D18853" s="7">
        <f>IFERROR(__xludf.DUMMYFUNCTION("""COMPUTED_VALUE"""),0.260869565217391)</f>
        <v>0.2608695652</v>
      </c>
    </row>
    <row r="18854">
      <c r="A18854" s="10" t="s">
        <v>20293</v>
      </c>
      <c r="B18854" s="7" t="str">
        <f>IFERROR(__xludf.DUMMYFUNCTION("SPLIT(A18854,"" "")"),"Cc1cnc(C)c(CN(C)Cc2cccc(N(C)c3ccc4nc(CF)ccc4c3)n2)c1")</f>
        <v>Cc1cnc(C)c(CN(C)Cc2cccc(N(C)c3ccc4nc(CF)ccc4c3)n2)c1</v>
      </c>
      <c r="C18854" s="7">
        <f>IFERROR(__xludf.DUMMYFUNCTION("""COMPUTED_VALUE"""),7.7234125)</f>
        <v>7.7234125</v>
      </c>
      <c r="D18854" s="7">
        <f>IFERROR(__xludf.DUMMYFUNCTION("""COMPUTED_VALUE"""),0.327586206896551)</f>
        <v>0.3275862069</v>
      </c>
    </row>
    <row r="18855">
      <c r="A18855" s="10" t="s">
        <v>20294</v>
      </c>
      <c r="B18855" s="7" t="str">
        <f>IFERROR(__xludf.DUMMYFUNCTION("SPLIT(A18855,"" "")"),"FCNc1cc(-c2cc(C(c3ccccn3)c3ccccn3)ccn2)ccn1")</f>
        <v>FCNc1cc(-c2cc(C(c3ccccn3)c3ccccn3)ccn2)ccn1</v>
      </c>
      <c r="C18855" s="7">
        <f>IFERROR(__xludf.DUMMYFUNCTION("""COMPUTED_VALUE"""),7.7233973)</f>
        <v>7.7233973</v>
      </c>
      <c r="D18855" s="7">
        <f>IFERROR(__xludf.DUMMYFUNCTION("""COMPUTED_VALUE"""),0.25)</f>
        <v>0.25</v>
      </c>
    </row>
    <row r="18856">
      <c r="A18856" s="10" t="s">
        <v>20295</v>
      </c>
      <c r="B18856" s="7" t="str">
        <f>IFERROR(__xludf.DUMMYFUNCTION("SPLIT(A18856,"" "")"),"Cc1ccnc(CN(C)Cc2ncccc2N(C)c2ccc3ncc(CF)cc3c2)c1")</f>
        <v>Cc1ccnc(CN(C)Cc2ncccc2N(C)c2ccc3ncc(CF)cc3c2)c1</v>
      </c>
      <c r="C18856" s="7">
        <f>IFERROR(__xludf.DUMMYFUNCTION("""COMPUTED_VALUE"""),7.723388)</f>
        <v>7.723388</v>
      </c>
      <c r="D18856" s="7">
        <f>IFERROR(__xludf.DUMMYFUNCTION("""COMPUTED_VALUE"""),0.287878787878787)</f>
        <v>0.2878787879</v>
      </c>
    </row>
    <row r="18857">
      <c r="A18857" s="10" t="s">
        <v>20296</v>
      </c>
      <c r="B18857" s="7" t="str">
        <f>IFERROR(__xludf.DUMMYFUNCTION("SPLIT(A18857,"" "")"),"CNCc1ncccc1CN(C)c1cccc2ncccc12")</f>
        <v>CNCc1ncccc1CN(C)c1cccc2ncccc12</v>
      </c>
      <c r="C18857" s="7">
        <f>IFERROR(__xludf.DUMMYFUNCTION("""COMPUTED_VALUE"""),7.723382)</f>
        <v>7.723382</v>
      </c>
      <c r="D18857" s="7">
        <f>IFERROR(__xludf.DUMMYFUNCTION("""COMPUTED_VALUE"""),0.36734693877551)</f>
        <v>0.3673469388</v>
      </c>
    </row>
    <row r="18858">
      <c r="A18858" s="10" t="s">
        <v>20297</v>
      </c>
      <c r="B18858" s="7" t="str">
        <f>IFERROR(__xludf.DUMMYFUNCTION("SPLIT(A18858,"" "")"),"CN(c1ccc2ncccc2c1)c1ccccc1CN(C)C(C)(c1cccnc1)c1ccccn1")</f>
        <v>CN(c1ccc2ncccc2c1)c1ccccc1CN(C)C(C)(c1cccnc1)c1ccccn1</v>
      </c>
      <c r="C18858" s="7">
        <f>IFERROR(__xludf.DUMMYFUNCTION("""COMPUTED_VALUE"""),7.723381)</f>
        <v>7.723381</v>
      </c>
      <c r="D18858" s="7">
        <f>IFERROR(__xludf.DUMMYFUNCTION("""COMPUTED_VALUE"""),0.301587301587301)</f>
        <v>0.3015873016</v>
      </c>
    </row>
    <row r="18859">
      <c r="A18859" s="10" t="s">
        <v>20298</v>
      </c>
      <c r="B18859" s="7" t="str">
        <f>IFERROR(__xludf.DUMMYFUNCTION("SPLIT(A18859,"" "")"),"Cc1ccc(-c2cccc(N=Cc3ccccn3)c2)cc1")</f>
        <v>Cc1ccc(-c2cccc(N=Cc3ccccn3)c2)cc1</v>
      </c>
      <c r="C18859" s="7">
        <f>IFERROR(__xludf.DUMMYFUNCTION("""COMPUTED_VALUE"""),7.723378)</f>
        <v>7.723378</v>
      </c>
      <c r="D18859" s="7">
        <f>IFERROR(__xludf.DUMMYFUNCTION("""COMPUTED_VALUE"""),0.488888888888888)</f>
        <v>0.4888888889</v>
      </c>
    </row>
    <row r="18860">
      <c r="A18860" s="10" t="s">
        <v>20299</v>
      </c>
      <c r="B18860" s="7" t="str">
        <f>IFERROR(__xludf.DUMMYFUNCTION("SPLIT(A18860,"" "")"),"Cc1cnc(CN(C)c2ccc3nc(CN(C)Cc4nccc(C)c4C)ccc3c2)c(C)c1")</f>
        <v>Cc1cnc(CN(C)c2ccc3nc(CN(C)Cc4nccc(C)c4C)ccc3c2)c(C)c1</v>
      </c>
      <c r="C18860" s="7">
        <f>IFERROR(__xludf.DUMMYFUNCTION("""COMPUTED_VALUE"""),7.723378)</f>
        <v>7.723378</v>
      </c>
      <c r="D18860" s="7">
        <f>IFERROR(__xludf.DUMMYFUNCTION("""COMPUTED_VALUE"""),0.339285714285714)</f>
        <v>0.3392857143</v>
      </c>
    </row>
    <row r="18861">
      <c r="A18861" s="10" t="s">
        <v>20300</v>
      </c>
      <c r="B18861" s="7" t="str">
        <f>IFERROR(__xludf.DUMMYFUNCTION("SPLIT(A18861,"" "")"),"CC(C1=CC2C=Cc3cccnc3C2=CN1)(c1ccccc1)c1ccccn1")</f>
        <v>CC(C1=CC2C=Cc3cccnc3C2=CN1)(c1ccccc1)c1ccccn1</v>
      </c>
      <c r="C18861" s="7">
        <f>IFERROR(__xludf.DUMMYFUNCTION("""COMPUTED_VALUE"""),7.7233768)</f>
        <v>7.7233768</v>
      </c>
      <c r="D18861" s="7">
        <f>IFERROR(__xludf.DUMMYFUNCTION("""COMPUTED_VALUE"""),0.316666666666666)</f>
        <v>0.3166666667</v>
      </c>
    </row>
    <row r="18862">
      <c r="A18862" s="10" t="s">
        <v>20301</v>
      </c>
      <c r="B18862" s="7" t="str">
        <f>IFERROR(__xludf.DUMMYFUNCTION("SPLIT(A18862,"" "")"),"CN(Cc1ccccn1)C1=CNC=C(CN(C)c2ccc3ccc(CF)nc3c2)C1")</f>
        <v>CN(Cc1ccccn1)C1=CNC=C(CN(C)c2ccc3ccc(CF)nc3c2)C1</v>
      </c>
      <c r="C18862" s="7">
        <f>IFERROR(__xludf.DUMMYFUNCTION("""COMPUTED_VALUE"""),7.723372)</f>
        <v>7.723372</v>
      </c>
      <c r="D18862" s="7">
        <f>IFERROR(__xludf.DUMMYFUNCTION("""COMPUTED_VALUE"""),0.389830508474576)</f>
        <v>0.3898305085</v>
      </c>
    </row>
    <row r="18863">
      <c r="A18863" s="10" t="s">
        <v>20302</v>
      </c>
      <c r="B18863" s="7" t="str">
        <f>IFERROR(__xludf.DUMMYFUNCTION("SPLIT(A18863,"" "")"),"Cc1cccc(-c2ccc(CN(C)Cc3cccc(N)n3)cn2)c1-c1ccccn1")</f>
        <v>Cc1cccc(-c2ccc(CN(C)Cc3cccc(N)n3)cn2)c1-c1ccccn1</v>
      </c>
      <c r="C18863" s="7">
        <f>IFERROR(__xludf.DUMMYFUNCTION("""COMPUTED_VALUE"""),7.723372)</f>
        <v>7.723372</v>
      </c>
      <c r="D18863" s="7">
        <f>IFERROR(__xludf.DUMMYFUNCTION("""COMPUTED_VALUE"""),0.490566037735849)</f>
        <v>0.4905660377</v>
      </c>
    </row>
    <row r="18864">
      <c r="A18864" s="10" t="s">
        <v>20303</v>
      </c>
      <c r="B18864" s="7" t="str">
        <f>IFERROR(__xludf.DUMMYFUNCTION("SPLIT(A18864,"" "")"),"Cc1cc(C)c(C)c(CN(C)c2ccc3nccc(CN(C)Cc4nccc(C)c4C)c3c2)c1")</f>
        <v>Cc1cc(C)c(C)c(CN(C)c2ccc3nccc(CN(C)Cc4nccc(C)c4C)c3c2)c1</v>
      </c>
      <c r="C18864" s="7">
        <f>IFERROR(__xludf.DUMMYFUNCTION("""COMPUTED_VALUE"""),7.7233663)</f>
        <v>7.7233663</v>
      </c>
      <c r="D18864" s="7">
        <f>IFERROR(__xludf.DUMMYFUNCTION("""COMPUTED_VALUE"""),0.21875)</f>
        <v>0.21875</v>
      </c>
    </row>
    <row r="18865">
      <c r="A18865" s="10" t="s">
        <v>20304</v>
      </c>
      <c r="B18865" s="7" t="str">
        <f>IFERROR(__xludf.DUMMYFUNCTION("SPLIT(A18865,"" "")"),"Cc1nc(CN(C)Cc2ccc3cc(N(C)Cc4ccnc(C(C)C)c4)ccc3n2)c(C)c(C)c1C")</f>
        <v>Cc1nc(CN(C)Cc2ccc3cc(N(C)Cc4ccnc(C(C)C)c4)ccc3n2)c(C)c(C)c1C</v>
      </c>
      <c r="C18865" s="7">
        <f>IFERROR(__xludf.DUMMYFUNCTION("""COMPUTED_VALUE"""),7.7233653)</f>
        <v>7.7233653</v>
      </c>
      <c r="D18865" s="7">
        <f>IFERROR(__xludf.DUMMYFUNCTION("""COMPUTED_VALUE"""),0.253968253968253)</f>
        <v>0.253968254</v>
      </c>
    </row>
    <row r="18866">
      <c r="A18866" s="10" t="s">
        <v>20305</v>
      </c>
      <c r="B18866" s="7" t="str">
        <f>IFERROR(__xludf.DUMMYFUNCTION("SPLIT(A18866,"" "")"),"Cc1ccc(-c2cccc(CN(C)Cc3cccc(-c4cccc(N=Cc5ccccn5)c4)n3)n2)cc1")</f>
        <v>Cc1ccc(-c2cccc(CN(C)Cc3cccc(-c4cccc(N=Cc5ccccn5)c4)n3)n2)cc1</v>
      </c>
      <c r="C18866" s="7">
        <f>IFERROR(__xludf.DUMMYFUNCTION("""COMPUTED_VALUE"""),7.7233577)</f>
        <v>7.7233577</v>
      </c>
      <c r="D18866" s="7">
        <f>IFERROR(__xludf.DUMMYFUNCTION("""COMPUTED_VALUE"""),0.464285714285714)</f>
        <v>0.4642857143</v>
      </c>
    </row>
    <row r="18867">
      <c r="A18867" s="10" t="s">
        <v>20306</v>
      </c>
      <c r="B18867" s="7" t="str">
        <f>IFERROR(__xludf.DUMMYFUNCTION("SPLIT(A18867,"" "")"),"CC(C)N(C)C1=CCC=C(CN(C)c2cccc3ncccc23)N1")</f>
        <v>CC(C)N(C)C1=CCC=C(CN(C)c2cccc3ncccc23)N1</v>
      </c>
      <c r="C18867" s="7">
        <f>IFERROR(__xludf.DUMMYFUNCTION("""COMPUTED_VALUE"""),7.7233567)</f>
        <v>7.7233567</v>
      </c>
      <c r="D18867" s="7">
        <f>IFERROR(__xludf.DUMMYFUNCTION("""COMPUTED_VALUE"""),0.345454545454545)</f>
        <v>0.3454545455</v>
      </c>
    </row>
    <row r="18868">
      <c r="A18868" s="10" t="s">
        <v>20307</v>
      </c>
      <c r="B18868" s="7" t="str">
        <f>IFERROR(__xludf.DUMMYFUNCTION("SPLIT(A18868,"" "")"),"Cc1cnccc1CN(C)CC1=CCC=C(N(C)c2cccc3cccnc23)N1")</f>
        <v>Cc1cnccc1CN(C)CC1=CCC=C(N(C)c2cccc3cccnc23)N1</v>
      </c>
      <c r="C18868" s="7">
        <f>IFERROR(__xludf.DUMMYFUNCTION("""COMPUTED_VALUE"""),7.7233453)</f>
        <v>7.7233453</v>
      </c>
      <c r="D18868" s="7">
        <f>IFERROR(__xludf.DUMMYFUNCTION("""COMPUTED_VALUE"""),0.383333333333333)</f>
        <v>0.3833333333</v>
      </c>
    </row>
    <row r="18869">
      <c r="A18869" s="10" t="s">
        <v>20308</v>
      </c>
      <c r="B18869" s="7" t="str">
        <f>IFERROR(__xludf.DUMMYFUNCTION("SPLIT(A18869,"" "")"),"Cc1cccnc1CN(C)Cc1ccc2cc(N(C)C)ccc2n1")</f>
        <v>Cc1cccnc1CN(C)Cc1ccc2cc(N(C)C)ccc2n1</v>
      </c>
      <c r="C18869" s="7">
        <f>IFERROR(__xludf.DUMMYFUNCTION("""COMPUTED_VALUE"""),7.723343)</f>
        <v>7.723343</v>
      </c>
      <c r="D18869" s="7">
        <f>IFERROR(__xludf.DUMMYFUNCTION("""COMPUTED_VALUE"""),0.365384615384615)</f>
        <v>0.3653846154</v>
      </c>
    </row>
    <row r="18870">
      <c r="A18870" s="10" t="s">
        <v>20309</v>
      </c>
      <c r="B18870" s="7" t="str">
        <f>IFERROR(__xludf.DUMMYFUNCTION("SPLIT(A18870,"" "")"),"Cc1cc(-c2ncccc2CN(C)C2CCC(N(C)c3ccc4nccc(CF)c4c3)CC2)cc2cccnc12")</f>
        <v>Cc1cc(-c2ncccc2CN(C)C2CCC(N(C)c3ccc4nccc(CF)c4c3)CC2)cc2cccnc12</v>
      </c>
      <c r="C18870" s="7">
        <f>IFERROR(__xludf.DUMMYFUNCTION("""COMPUTED_VALUE"""),7.7233396)</f>
        <v>7.7233396</v>
      </c>
      <c r="D18870" s="7">
        <f>IFERROR(__xludf.DUMMYFUNCTION("""COMPUTED_VALUE"""),0.277777777777777)</f>
        <v>0.2777777778</v>
      </c>
    </row>
    <row r="18871">
      <c r="A18871" s="10" t="s">
        <v>20310</v>
      </c>
      <c r="B18871" s="7" t="str">
        <f>IFERROR(__xludf.DUMMYFUNCTION("SPLIT(A18871,"" "")"),"CCN(Cc1ccccn1)c1cccc(N(Cc2ccc3cccnc3c2)c2ccc3cccnc3c2)c1CN(Cc1ccccn1)Cc1ccccn1")</f>
        <v>CCN(Cc1ccccn1)c1cccc(N(Cc2ccc3cccnc3c2)c2ccc3cccnc3c2)c1CN(Cc1ccccn1)Cc1ccccn1</v>
      </c>
      <c r="C18871" s="7">
        <f>IFERROR(__xludf.DUMMYFUNCTION("""COMPUTED_VALUE"""),7.7233396)</f>
        <v>7.7233396</v>
      </c>
      <c r="D18871" s="7">
        <f>IFERROR(__xludf.DUMMYFUNCTION("""COMPUTED_VALUE"""),0.448275862068965)</f>
        <v>0.4482758621</v>
      </c>
    </row>
    <row r="18872">
      <c r="A18872" s="10" t="s">
        <v>20311</v>
      </c>
      <c r="B18872" s="7" t="str">
        <f>IFERROR(__xludf.DUMMYFUNCTION("SPLIT(A18872,"" "")"),"CN(Cc1cccc(C2=CCC=CN2)n1)Cc1cccc(-c2cccc(N(C)C)c2)n1")</f>
        <v>CN(Cc1cccc(C2=CCC=CN2)n1)Cc1cccc(-c2cccc(N(C)C)c2)n1</v>
      </c>
      <c r="C18872" s="7">
        <f>IFERROR(__xludf.DUMMYFUNCTION("""COMPUTED_VALUE"""),7.7233343)</f>
        <v>7.7233343</v>
      </c>
      <c r="D18872" s="7">
        <f>IFERROR(__xludf.DUMMYFUNCTION("""COMPUTED_VALUE"""),0.368421052631578)</f>
        <v>0.3684210526</v>
      </c>
    </row>
    <row r="18873">
      <c r="A18873" s="10" t="s">
        <v>20312</v>
      </c>
      <c r="B18873" s="7" t="str">
        <f>IFERROR(__xludf.DUMMYFUNCTION("SPLIT(A18873,"" "")"),"CN(Cc1ccc(-c2ccc(N=Cc3ccccn3)cc2)cn1)Cc1ccon1")</f>
        <v>CN(Cc1ccc(-c2ccc(N=Cc3ccccn3)cc2)cn1)Cc1ccon1</v>
      </c>
      <c r="C18873" s="7">
        <f>IFERROR(__xludf.DUMMYFUNCTION("""COMPUTED_VALUE"""),7.723331)</f>
        <v>7.723331</v>
      </c>
      <c r="D18873" s="7">
        <f>IFERROR(__xludf.DUMMYFUNCTION("""COMPUTED_VALUE"""),0.396226415094339)</f>
        <v>0.3962264151</v>
      </c>
    </row>
    <row r="18874">
      <c r="A18874" s="10" t="s">
        <v>20313</v>
      </c>
      <c r="B18874" s="7" t="str">
        <f>IFERROR(__xludf.DUMMYFUNCTION("SPLIT(A18874,"" "")"),"Cc1cccnc1CN(C)CC1=CCC=C(N(C)c2ccc3cccnc3c2)N1")</f>
        <v>Cc1cccnc1CN(C)CC1=CCC=C(N(C)c2ccc3cccnc3c2)N1</v>
      </c>
      <c r="C18874" s="7">
        <f>IFERROR(__xludf.DUMMYFUNCTION("""COMPUTED_VALUE"""),7.7233095)</f>
        <v>7.7233095</v>
      </c>
      <c r="D18874" s="7">
        <f>IFERROR(__xludf.DUMMYFUNCTION("""COMPUTED_VALUE"""),0.265625)</f>
        <v>0.265625</v>
      </c>
    </row>
    <row r="18875">
      <c r="A18875" s="10" t="s">
        <v>20314</v>
      </c>
      <c r="B18875" s="7" t="str">
        <f>IFERROR(__xludf.DUMMYFUNCTION("SPLIT(A18875,"" "")"),"Cc1ccc(CN(C)C2=C(CN(C)c3ccc4ccc(CF)nc4c3)NC=CC2)nc1")</f>
        <v>Cc1ccc(CN(C)C2=C(CN(C)c3ccc4ccc(CF)nc4c3)NC=CC2)nc1</v>
      </c>
      <c r="C18875" s="7">
        <f>IFERROR(__xludf.DUMMYFUNCTION("""COMPUTED_VALUE"""),7.723301)</f>
        <v>7.723301</v>
      </c>
      <c r="D18875" s="7">
        <f>IFERROR(__xludf.DUMMYFUNCTION("""COMPUTED_VALUE"""),0.362068965517241)</f>
        <v>0.3620689655</v>
      </c>
    </row>
    <row r="18876">
      <c r="A18876" s="10" t="s">
        <v>20315</v>
      </c>
      <c r="B18876" s="7" t="str">
        <f>IFERROR(__xludf.DUMMYFUNCTION("SPLIT(A18876,"" "")"),"Cc1cc(CN(C)c2cccc3ccnc(CN(C)Cc4ccccn4)c23)nc(C)c1C")</f>
        <v>Cc1cc(CN(C)c2cccc3ccnc(CN(C)Cc4ccccn4)c23)nc(C)c1C</v>
      </c>
      <c r="C18876" s="7">
        <f>IFERROR(__xludf.DUMMYFUNCTION("""COMPUTED_VALUE"""),7.723285)</f>
        <v>7.723285</v>
      </c>
      <c r="D18876" s="7">
        <f>IFERROR(__xludf.DUMMYFUNCTION("""COMPUTED_VALUE"""),0.428571428571428)</f>
        <v>0.4285714286</v>
      </c>
    </row>
    <row r="18877">
      <c r="A18877" s="10" t="s">
        <v>20316</v>
      </c>
      <c r="B18877" s="7" t="str">
        <f>IFERROR(__xludf.DUMMYFUNCTION("SPLIT(A18877,"" "")"),"CCOC(=O)c1cc(-c2cc(C(=O)C(=O)C(C)NCc3ccccn3)ccn2)ccn1")</f>
        <v>CCOC(=O)c1cc(-c2cc(C(=O)C(=O)C(C)NCc3ccccn3)ccn2)ccn1</v>
      </c>
      <c r="C18877" s="7">
        <f>IFERROR(__xludf.DUMMYFUNCTION("""COMPUTED_VALUE"""),7.7232804)</f>
        <v>7.7232804</v>
      </c>
      <c r="D18877" s="7">
        <f>IFERROR(__xludf.DUMMYFUNCTION("""COMPUTED_VALUE"""),0.338028169014084)</f>
        <v>0.338028169</v>
      </c>
    </row>
    <row r="18878">
      <c r="A18878" s="10" t="s">
        <v>20317</v>
      </c>
      <c r="B18878" s="7" t="str">
        <f>IFERROR(__xludf.DUMMYFUNCTION("SPLIT(A18878,"" "")"),"Cc1cccc(N(C)CC2=CC(N(C)c3ccc4cc(CF)cnc4c3)C=CN2)c1")</f>
        <v>Cc1cccc(N(C)CC2=CC(N(C)c3ccc4cc(CF)cnc4c3)C=CN2)c1</v>
      </c>
      <c r="C18878" s="7">
        <f>IFERROR(__xludf.DUMMYFUNCTION("""COMPUTED_VALUE"""),7.723279)</f>
        <v>7.723279</v>
      </c>
      <c r="D18878" s="7">
        <f>IFERROR(__xludf.DUMMYFUNCTION("""COMPUTED_VALUE"""),0.263888888888888)</f>
        <v>0.2638888889</v>
      </c>
    </row>
    <row r="18879">
      <c r="A18879" s="10" t="s">
        <v>20318</v>
      </c>
      <c r="B18879" s="7" t="str">
        <f>IFERROR(__xludf.DUMMYFUNCTION("SPLIT(A18879,"" "")"),"CN(Cc1ccccn1)Cc1ccc2cccc(N(C)Cc3ccon3)c2n1")</f>
        <v>CN(Cc1ccccn1)Cc1ccc2cccc(N(C)Cc3ccon3)c2n1</v>
      </c>
      <c r="C18879" s="7">
        <f>IFERROR(__xludf.DUMMYFUNCTION("""COMPUTED_VALUE"""),7.7232757)</f>
        <v>7.7232757</v>
      </c>
      <c r="D18879" s="7">
        <f>IFERROR(__xludf.DUMMYFUNCTION("""COMPUTED_VALUE"""),0.471698113207547)</f>
        <v>0.4716981132</v>
      </c>
    </row>
    <row r="18880">
      <c r="A18880" s="10" t="s">
        <v>20319</v>
      </c>
      <c r="B18880" s="7" t="str">
        <f>IFERROR(__xludf.DUMMYFUNCTION("SPLIT(A18880,"" "")"),"CNCc1cccc(-c2ccc(C)cc2N=Cc2ccccn2)n1")</f>
        <v>CNCc1cccc(-c2ccc(C)cc2N=Cc2ccccn2)n1</v>
      </c>
      <c r="C18880" s="7">
        <f>IFERROR(__xludf.DUMMYFUNCTION("""COMPUTED_VALUE"""),7.7232738)</f>
        <v>7.7232738</v>
      </c>
      <c r="D18880" s="7">
        <f>IFERROR(__xludf.DUMMYFUNCTION("""COMPUTED_VALUE"""),0.436363636363636)</f>
        <v>0.4363636364</v>
      </c>
    </row>
    <row r="18881">
      <c r="A18881" s="10" t="s">
        <v>20320</v>
      </c>
      <c r="B18881" s="7" t="str">
        <f>IFERROR(__xludf.DUMMYFUNCTION("SPLIT(A18881,"" "")"),"Cc1cccnc1CN(C)Cc1cccc(N(C)c2cccc3ccc(CF)nc23)n1")</f>
        <v>Cc1cccnc1CN(C)Cc1cccc(N(C)c2cccc3ccc(CF)nc23)n1</v>
      </c>
      <c r="C18881" s="7">
        <f>IFERROR(__xludf.DUMMYFUNCTION("""COMPUTED_VALUE"""),7.7232695)</f>
        <v>7.7232695</v>
      </c>
      <c r="D18881" s="7">
        <f>IFERROR(__xludf.DUMMYFUNCTION("""COMPUTED_VALUE"""),0.426229508196721)</f>
        <v>0.4262295082</v>
      </c>
    </row>
    <row r="18882">
      <c r="A18882" s="10" t="s">
        <v>20321</v>
      </c>
      <c r="B18882" s="7" t="str">
        <f>IFERROR(__xludf.DUMMYFUNCTION("SPLIT(A18882,"" "")"),"Cc1cc(CN(C)c2ccc3nccc(CN(C)Cc4ncccc4C)c3c2)cnc1C")</f>
        <v>Cc1cc(CN(C)c2ccc3nccc(CN(C)Cc4ncccc4C)c3c2)cnc1C</v>
      </c>
      <c r="C18882" s="7">
        <f>IFERROR(__xludf.DUMMYFUNCTION("""COMPUTED_VALUE"""),7.7232623)</f>
        <v>7.7232623</v>
      </c>
      <c r="D18882" s="7">
        <f>IFERROR(__xludf.DUMMYFUNCTION("""COMPUTED_VALUE"""),0.265625)</f>
        <v>0.265625</v>
      </c>
    </row>
    <row r="18883">
      <c r="A18883" s="10" t="s">
        <v>20322</v>
      </c>
      <c r="B18883" s="7" t="str">
        <f>IFERROR(__xludf.DUMMYFUNCTION("SPLIT(A18883,"" "")"),"Cc1cncc(CN(C)c2ccccc2-c2cccnc2CN(Cc2ccccn2)Cc2ncccc2-c2cccc(N=Cc3ccccn3)c2)c1")</f>
        <v>Cc1cncc(CN(C)c2ccccc2-c2cccnc2CN(Cc2ccccn2)Cc2ncccc2-c2cccc(N=Cc3ccccn3)c2)c1</v>
      </c>
      <c r="C18883" s="7">
        <f>IFERROR(__xludf.DUMMYFUNCTION("""COMPUTED_VALUE"""),7.72326)</f>
        <v>7.72326</v>
      </c>
      <c r="D18883" s="7">
        <f>IFERROR(__xludf.DUMMYFUNCTION("""COMPUTED_VALUE"""),0.315068493150684)</f>
        <v>0.3150684932</v>
      </c>
    </row>
    <row r="18884">
      <c r="A18884" s="10" t="s">
        <v>20323</v>
      </c>
      <c r="B18884" s="7" t="str">
        <f>IFERROR(__xludf.DUMMYFUNCTION("SPLIT(A18884,"" "")"),"FCc1cccc(NCc2cc(-c3cc(C(c4ccccn4)c4ccccn4)ccn3)ccn2)n1")</f>
        <v>FCc1cccc(NCc2cc(-c3cc(C(c4ccccn4)c4ccccn4)ccn3)ccn2)n1</v>
      </c>
      <c r="C18884" s="7">
        <f>IFERROR(__xludf.DUMMYFUNCTION("""COMPUTED_VALUE"""),7.7232413)</f>
        <v>7.7232413</v>
      </c>
      <c r="D18884" s="7">
        <f>IFERROR(__xludf.DUMMYFUNCTION("""COMPUTED_VALUE"""),0.32258064516129)</f>
        <v>0.3225806452</v>
      </c>
    </row>
    <row r="18885">
      <c r="A18885" s="10" t="s">
        <v>20324</v>
      </c>
      <c r="B18885" s="7" t="str">
        <f>IFERROR(__xludf.DUMMYFUNCTION("SPLIT(A18885,"" "")"),"CNc1ccccc1-c1cc(C(C)(C)c2ccccn2)ccn1")</f>
        <v>CNc1ccccc1-c1cc(C(C)(C)c2ccccn2)ccn1</v>
      </c>
      <c r="C18885" s="7">
        <f>IFERROR(__xludf.DUMMYFUNCTION("""COMPUTED_VALUE"""),7.723226)</f>
        <v>7.723226</v>
      </c>
      <c r="D18885" s="7">
        <f>IFERROR(__xludf.DUMMYFUNCTION("""COMPUTED_VALUE"""),0.326923076923076)</f>
        <v>0.3269230769</v>
      </c>
    </row>
    <row r="18886">
      <c r="A18886" s="10" t="s">
        <v>20325</v>
      </c>
      <c r="B18886" s="7" t="str">
        <f>IFERROR(__xludf.DUMMYFUNCTION("SPLIT(A18886,"" "")"),"Cc1ccc(CN(C)CC2=CCC=C(N(C)c3cccc4ncccc34)N2)nc1")</f>
        <v>Cc1ccc(CN(C)CC2=CCC=C(N(C)c3cccc4ncccc34)N2)nc1</v>
      </c>
      <c r="C18886" s="7">
        <f>IFERROR(__xludf.DUMMYFUNCTION("""COMPUTED_VALUE"""),7.723213)</f>
        <v>7.723213</v>
      </c>
      <c r="D18886" s="7">
        <f>IFERROR(__xludf.DUMMYFUNCTION("""COMPUTED_VALUE"""),0.385964912280701)</f>
        <v>0.3859649123</v>
      </c>
    </row>
    <row r="18887">
      <c r="A18887" s="10" t="s">
        <v>20326</v>
      </c>
      <c r="B18887" s="7" t="str">
        <f>IFERROR(__xludf.DUMMYFUNCTION("SPLIT(A18887,"" "")"),"CN(Cc1cccc(F)n1)c1c(N(C)C2CCCCC2N(C)c2ccc3cccnc3c2)ccc2cccnc12")</f>
        <v>CN(Cc1cccc(F)n1)c1c(N(C)C2CCCCC2N(C)c2ccc3cccnc3c2)ccc2cccnc12</v>
      </c>
      <c r="C18887" s="7">
        <f>IFERROR(__xludf.DUMMYFUNCTION("""COMPUTED_VALUE"""),7.723193)</f>
        <v>7.723193</v>
      </c>
      <c r="D18887" s="7">
        <f>IFERROR(__xludf.DUMMYFUNCTION("""COMPUTED_VALUE"""),0.491803278688524)</f>
        <v>0.4918032787</v>
      </c>
    </row>
    <row r="18888">
      <c r="A18888" s="10" t="s">
        <v>20327</v>
      </c>
      <c r="B18888" s="7" t="str">
        <f>IFERROR(__xludf.DUMMYFUNCTION("SPLIT(A18888,"" "")"),"CNCc1cc(-c2ccccc2N=Cc2ccccn2)ccn1")</f>
        <v>CNCc1cc(-c2ccccc2N=Cc2ccccn2)ccn1</v>
      </c>
      <c r="C18888" s="7">
        <f>IFERROR(__xludf.DUMMYFUNCTION("""COMPUTED_VALUE"""),7.7231812)</f>
        <v>7.7231812</v>
      </c>
      <c r="D18888" s="7">
        <f>IFERROR(__xludf.DUMMYFUNCTION("""COMPUTED_VALUE"""),0.450980392156862)</f>
        <v>0.4509803922</v>
      </c>
    </row>
    <row r="18889">
      <c r="A18889" s="10" t="s">
        <v>20328</v>
      </c>
      <c r="B18889" s="7" t="str">
        <f>IFERROR(__xludf.DUMMYFUNCTION("SPLIT(A18889,"" "")"),"Cc1cccnc1CN(C)C1=CNC=CC1CN(C)c1ccc2cccnc2c1")</f>
        <v>Cc1cccnc1CN(C)C1=CNC=CC1CN(C)c1ccc2cccnc2c1</v>
      </c>
      <c r="C18889" s="7">
        <f>IFERROR(__xludf.DUMMYFUNCTION("""COMPUTED_VALUE"""),7.72318)</f>
        <v>7.72318</v>
      </c>
      <c r="D18889" s="7">
        <f>IFERROR(__xludf.DUMMYFUNCTION("""COMPUTED_VALUE"""),0.261538461538461)</f>
        <v>0.2615384615</v>
      </c>
    </row>
    <row r="18890">
      <c r="A18890" s="10" t="s">
        <v>20329</v>
      </c>
      <c r="B18890" s="7" t="str">
        <f>IFERROR(__xludf.DUMMYFUNCTION("SPLIT(A18890,"" "")"),"Cc1ccnc(CN(C)C2=CNC(CN(c3ccc4ncccc4c3)C(C)C)=CC2)c1C")</f>
        <v>Cc1ccnc(CN(C)C2=CNC(CN(c3ccc4ncccc4c3)C(C)C)=CC2)c1C</v>
      </c>
      <c r="C18890" s="7">
        <f>IFERROR(__xludf.DUMMYFUNCTION("""COMPUTED_VALUE"""),7.723174)</f>
        <v>7.723174</v>
      </c>
      <c r="D18890" s="7">
        <f>IFERROR(__xludf.DUMMYFUNCTION("""COMPUTED_VALUE"""),0.235294117647058)</f>
        <v>0.2352941176</v>
      </c>
    </row>
    <row r="18891">
      <c r="A18891" s="10" t="s">
        <v>20330</v>
      </c>
      <c r="B18891" s="7" t="str">
        <f>IFERROR(__xludf.DUMMYFUNCTION("SPLIT(A18891,"" "")"),"CN(CC1=CCC=C(N(C)C(c2ccccn2)c2ccccn2)N1)c1ccc(Cl)c(Cl)c1")</f>
        <v>CN(CC1=CCC=C(N(C)C(c2ccccn2)c2ccccn2)N1)c1ccc(Cl)c(Cl)c1</v>
      </c>
      <c r="C18891" s="7">
        <f>IFERROR(__xludf.DUMMYFUNCTION("""COMPUTED_VALUE"""),7.723169)</f>
        <v>7.723169</v>
      </c>
      <c r="D18891" s="7">
        <f>IFERROR(__xludf.DUMMYFUNCTION("""COMPUTED_VALUE"""),0.35593220338983)</f>
        <v>0.3559322034</v>
      </c>
    </row>
    <row r="18892">
      <c r="A18892" s="10" t="s">
        <v>20331</v>
      </c>
      <c r="B18892" s="7" t="str">
        <f>IFERROR(__xludf.DUMMYFUNCTION("SPLIT(A18892,"" "")"),"Cc1cc(CN(C)C2CCC(N(C)c3ccc4nc(-c5cccc(-c6cccc(N(C)C)c6)n5)ccc4c3)CC2)nc(C)c1C")</f>
        <v>Cc1cc(CN(C)C2CCC(N(C)c3ccc4nc(-c5cccc(-c6cccc(N(C)C)c6)n5)ccc4c3)CC2)nc(C)c1C</v>
      </c>
      <c r="C18892" s="7">
        <f>IFERROR(__xludf.DUMMYFUNCTION("""COMPUTED_VALUE"""),7.7231536)</f>
        <v>7.7231536</v>
      </c>
      <c r="D18892" s="7">
        <f>IFERROR(__xludf.DUMMYFUNCTION("""COMPUTED_VALUE"""),0.271428571428571)</f>
        <v>0.2714285714</v>
      </c>
    </row>
    <row r="18893">
      <c r="A18893" s="10" t="s">
        <v>20332</v>
      </c>
      <c r="B18893" s="7" t="str">
        <f>IFERROR(__xludf.DUMMYFUNCTION("SPLIT(A18893,"" "")"),"CN(C)c1c(-c2cnccc2CN(Cc2ccccn2)C2CCCC(N(C)c3cccc4ncc(CF)cc34)C2)ccc2cccnc12")</f>
        <v>CN(C)c1c(-c2cnccc2CN(Cc2ccccn2)C2CCCC(N(C)c3cccc4ncc(CF)cc34)C2)ccc2cccnc12</v>
      </c>
      <c r="C18893" s="7">
        <f>IFERROR(__xludf.DUMMYFUNCTION("""COMPUTED_VALUE"""),7.723147)</f>
        <v>7.723147</v>
      </c>
      <c r="D18893" s="7">
        <f>IFERROR(__xludf.DUMMYFUNCTION("""COMPUTED_VALUE"""),0.294117647058823)</f>
        <v>0.2941176471</v>
      </c>
    </row>
    <row r="18894">
      <c r="A18894" s="10" t="s">
        <v>20333</v>
      </c>
      <c r="B18894" s="7" t="str">
        <f>IFERROR(__xludf.DUMMYFUNCTION("SPLIT(A18894,"" "")"),"CC(C)(C1=CC2C(=CN1)C=Cc1cccnc12)c1ccccn1")</f>
        <v>CC(C)(C1=CC2C(=CN1)C=Cc1cccnc12)c1ccccn1</v>
      </c>
      <c r="C18894" s="7">
        <f>IFERROR(__xludf.DUMMYFUNCTION("""COMPUTED_VALUE"""),7.723143)</f>
        <v>7.723143</v>
      </c>
      <c r="D18894" s="7">
        <f>IFERROR(__xludf.DUMMYFUNCTION("""COMPUTED_VALUE"""),0.298245614035087)</f>
        <v>0.298245614</v>
      </c>
    </row>
    <row r="18895">
      <c r="A18895" s="10" t="s">
        <v>20334</v>
      </c>
      <c r="B18895" s="7" t="str">
        <f>IFERROR(__xludf.DUMMYFUNCTION("SPLIT(A18895,"" "")"),"Cc1ccc(C)c(CN(C)Cc2cccc(N(C)c3ccc4nc(CF)ccc4c3)n2)n1")</f>
        <v>Cc1ccc(C)c(CN(C)Cc2cccc(N(C)c3ccc4nc(CF)ccc4c3)n2)n1</v>
      </c>
      <c r="C18895" s="7">
        <f>IFERROR(__xludf.DUMMYFUNCTION("""COMPUTED_VALUE"""),7.723139)</f>
        <v>7.723139</v>
      </c>
      <c r="D18895" s="7">
        <f>IFERROR(__xludf.DUMMYFUNCTION("""COMPUTED_VALUE"""),0.396226415094339)</f>
        <v>0.3962264151</v>
      </c>
    </row>
    <row r="18896">
      <c r="A18896" s="10" t="s">
        <v>20335</v>
      </c>
      <c r="B18896" s="7" t="str">
        <f>IFERROR(__xludf.DUMMYFUNCTION("SPLIT(A18896,"" "")"),"Cc1cncc(CN(C)c2ccc3nccc(CN(C)Cc4cc(C)c(C)c(C)n4)c3c2)c1")</f>
        <v>Cc1cncc(CN(C)c2ccc3nccc(CN(C)Cc4cc(C)c(C)c(C)n4)c3c2)c1</v>
      </c>
      <c r="C18896" s="7">
        <f>IFERROR(__xludf.DUMMYFUNCTION("""COMPUTED_VALUE"""),7.7231283)</f>
        <v>7.7231283</v>
      </c>
      <c r="D18896" s="7">
        <f>IFERROR(__xludf.DUMMYFUNCTION("""COMPUTED_VALUE"""),0.25)</f>
        <v>0.25</v>
      </c>
    </row>
    <row r="18897">
      <c r="A18897" s="10" t="s">
        <v>20336</v>
      </c>
      <c r="B18897" s="7" t="str">
        <f>IFERROR(__xludf.DUMMYFUNCTION("SPLIT(A18897,"" "")"),"CN(C)CC1=CC(N(C)c2cccc3ncccc23)C=CN1")</f>
        <v>CN(C)CC1=CC(N(C)c2cccc3ncccc23)C=CN1</v>
      </c>
      <c r="C18897" s="7">
        <f>IFERROR(__xludf.DUMMYFUNCTION("""COMPUTED_VALUE"""),7.723121)</f>
        <v>7.723121</v>
      </c>
      <c r="D18897" s="7">
        <f>IFERROR(__xludf.DUMMYFUNCTION("""COMPUTED_VALUE"""),0.344827586206896)</f>
        <v>0.3448275862</v>
      </c>
    </row>
    <row r="18898">
      <c r="A18898" s="10" t="s">
        <v>20337</v>
      </c>
      <c r="B18898" s="7" t="str">
        <f>IFERROR(__xludf.DUMMYFUNCTION("SPLIT(A18898,"" "")"),"CN(CCN(C)c1ccc2nccc(C3=CCC=CN3)c2c1)Cc1ccccn1")</f>
        <v>CN(CCN(C)c1ccc2nccc(C3=CCC=CN3)c2c1)Cc1ccccn1</v>
      </c>
      <c r="C18898" s="7">
        <f>IFERROR(__xludf.DUMMYFUNCTION("""COMPUTED_VALUE"""),7.723119)</f>
        <v>7.723119</v>
      </c>
      <c r="D18898" s="7">
        <f>IFERROR(__xludf.DUMMYFUNCTION("""COMPUTED_VALUE"""),0.421875)</f>
        <v>0.421875</v>
      </c>
    </row>
    <row r="18899">
      <c r="A18899" s="10" t="s">
        <v>20338</v>
      </c>
      <c r="B18899" s="7" t="str">
        <f>IFERROR(__xludf.DUMMYFUNCTION("SPLIT(A18899,"" "")"),"Cc1ccc(N(Cc2ccccn2)Cc2ncccc2-c2ccc(N=Cc3ccccn3)cc2)cc1C")</f>
        <v>Cc1ccc(N(Cc2ccccn2)Cc2ncccc2-c2ccc(N=Cc3ccccn3)cc2)cc1C</v>
      </c>
      <c r="C18899" s="7">
        <f>IFERROR(__xludf.DUMMYFUNCTION("""COMPUTED_VALUE"""),7.7230983)</f>
        <v>7.7230983</v>
      </c>
      <c r="D18899" s="7">
        <f>IFERROR(__xludf.DUMMYFUNCTION("""COMPUTED_VALUE"""),0.34375)</f>
        <v>0.34375</v>
      </c>
    </row>
    <row r="18900">
      <c r="A18900" s="10" t="s">
        <v>20339</v>
      </c>
      <c r="B18900" s="7" t="str">
        <f>IFERROR(__xludf.DUMMYFUNCTION("SPLIT(A18900,"" "")"),"CNCc1ncccc1-c1ccccc1N=Cc1ccccn1")</f>
        <v>CNCc1ncccc1-c1ccccc1N=Cc1ccccn1</v>
      </c>
      <c r="C18900" s="7">
        <f>IFERROR(__xludf.DUMMYFUNCTION("""COMPUTED_VALUE"""),7.7230964)</f>
        <v>7.7230964</v>
      </c>
      <c r="D18900" s="7">
        <f>IFERROR(__xludf.DUMMYFUNCTION("""COMPUTED_VALUE"""),0.489361702127659)</f>
        <v>0.4893617021</v>
      </c>
    </row>
    <row r="18901">
      <c r="A18901" s="10" t="s">
        <v>20340</v>
      </c>
      <c r="B18901" s="7" t="str">
        <f>IFERROR(__xludf.DUMMYFUNCTION("SPLIT(A18901,"" "")"),"Cc1ccc(C)c(CN(C)CC2=CCC=C(N(C)c3ccc4cccnc4c3)N2)n1")</f>
        <v>Cc1ccc(C)c(CN(C)CC2=CCC=C(N(C)c3ccc4cccnc4c3)N2)n1</v>
      </c>
      <c r="C18901" s="7">
        <f>IFERROR(__xludf.DUMMYFUNCTION("""COMPUTED_VALUE"""),7.723093)</f>
        <v>7.723093</v>
      </c>
      <c r="D18901" s="7">
        <f>IFERROR(__xludf.DUMMYFUNCTION("""COMPUTED_VALUE"""),0.253731343283582)</f>
        <v>0.2537313433</v>
      </c>
    </row>
    <row r="18902">
      <c r="A18902" s="10" t="s">
        <v>20341</v>
      </c>
      <c r="B18902" s="7" t="str">
        <f>IFERROR(__xludf.DUMMYFUNCTION("SPLIT(A18902,"" "")"),"CN(Cc1ccccn1)C1=C(CN(C)c2ccc3cc(CF)cnc3c2)NC=CC1")</f>
        <v>CN(Cc1ccccn1)C1=C(CN(C)c2ccc3cc(CF)cnc3c2)NC=CC1</v>
      </c>
      <c r="C18902" s="7">
        <f>IFERROR(__xludf.DUMMYFUNCTION("""COMPUTED_VALUE"""),7.7230897)</f>
        <v>7.7230897</v>
      </c>
      <c r="D18902" s="7">
        <f>IFERROR(__xludf.DUMMYFUNCTION("""COMPUTED_VALUE"""),0.34375)</f>
        <v>0.34375</v>
      </c>
    </row>
    <row r="18903">
      <c r="A18903" s="10" t="s">
        <v>20342</v>
      </c>
      <c r="B18903" s="7" t="str">
        <f>IFERROR(__xludf.DUMMYFUNCTION("SPLIT(A18903,"" "")"),"CN(Cc1ccccn1)Cc1ncccc1N(C)c1ccc2ncccc2c1")</f>
        <v>CN(Cc1ccccn1)Cc1ncccc1N(C)c1ccc2ncccc2c1</v>
      </c>
      <c r="C18903" s="7">
        <f>IFERROR(__xludf.DUMMYFUNCTION("""COMPUTED_VALUE"""),7.7230887)</f>
        <v>7.7230887</v>
      </c>
      <c r="D18903" s="7">
        <f>IFERROR(__xludf.DUMMYFUNCTION("""COMPUTED_VALUE"""),0.450980392156862)</f>
        <v>0.4509803922</v>
      </c>
    </row>
    <row r="18904">
      <c r="A18904" s="10" t="s">
        <v>20343</v>
      </c>
      <c r="B18904" s="7" t="str">
        <f>IFERROR(__xludf.DUMMYFUNCTION("SPLIT(A18904,"" "")"),"CN(C1=CC=CC(NCc2ccccn2)N1)c1ccc2ncccc2c1")</f>
        <v>CN(C1=CC=CC(NCc2ccccn2)N1)c1ccc2ncccc2c1</v>
      </c>
      <c r="C18904" s="7">
        <f>IFERROR(__xludf.DUMMYFUNCTION("""COMPUTED_VALUE"""),7.7230725)</f>
        <v>7.7230725</v>
      </c>
      <c r="D18904" s="7">
        <f>IFERROR(__xludf.DUMMYFUNCTION("""COMPUTED_VALUE"""),0.306451612903225)</f>
        <v>0.3064516129</v>
      </c>
    </row>
    <row r="18905">
      <c r="A18905" s="10" t="s">
        <v>20344</v>
      </c>
      <c r="B18905" s="7" t="str">
        <f>IFERROR(__xludf.DUMMYFUNCTION("SPLIT(A18905,"" "")"),"CN(Cc1ccccn1)Cc1ncccc1N(C)c1cccc2ncc(CF)cc12")</f>
        <v>CN(Cc1ccccn1)Cc1ncccc1N(C)c1cccc2ncc(CF)cc12</v>
      </c>
      <c r="C18905" s="7">
        <f>IFERROR(__xludf.DUMMYFUNCTION("""COMPUTED_VALUE"""),7.723071)</f>
        <v>7.723071</v>
      </c>
      <c r="D18905" s="7">
        <f>IFERROR(__xludf.DUMMYFUNCTION("""COMPUTED_VALUE"""),0.403508771929824)</f>
        <v>0.4035087719</v>
      </c>
    </row>
    <row r="18906">
      <c r="A18906" s="10" t="s">
        <v>20345</v>
      </c>
      <c r="B18906" s="7" t="str">
        <f>IFERROR(__xludf.DUMMYFUNCTION("SPLIT(A18906,"" "")"),"CN(Cc1cccnc1)c1ccc2nc(CF)ccc2c1")</f>
        <v>CN(Cc1cccnc1)c1ccc2nc(CF)ccc2c1</v>
      </c>
      <c r="C18906" s="7">
        <f>IFERROR(__xludf.DUMMYFUNCTION("""COMPUTED_VALUE"""),7.7230706)</f>
        <v>7.7230706</v>
      </c>
      <c r="D18906" s="7">
        <f>IFERROR(__xludf.DUMMYFUNCTION("""COMPUTED_VALUE"""),0.3125)</f>
        <v>0.3125</v>
      </c>
    </row>
    <row r="18907">
      <c r="A18907" s="10" t="s">
        <v>20346</v>
      </c>
      <c r="B18907" s="7" t="str">
        <f>IFERROR(__xludf.DUMMYFUNCTION("SPLIT(A18907,"" "")"),"Cc1ccc(N(Cc2ccccn2)Cc2ncccc2-c2ccccc2N=Cc2ccccn2)cc1C")</f>
        <v>Cc1ccc(N(Cc2ccccn2)Cc2ncccc2-c2ccccc2N=Cc2ccccn2)cc1C</v>
      </c>
      <c r="C18907" s="7">
        <f>IFERROR(__xludf.DUMMYFUNCTION("""COMPUTED_VALUE"""),7.7230697)</f>
        <v>7.7230697</v>
      </c>
      <c r="D18907" s="7">
        <f>IFERROR(__xludf.DUMMYFUNCTION("""COMPUTED_VALUE"""),0.423728813559322)</f>
        <v>0.4237288136</v>
      </c>
    </row>
    <row r="18908">
      <c r="A18908" s="10" t="s">
        <v>20347</v>
      </c>
      <c r="B18908" s="7" t="str">
        <f>IFERROR(__xludf.DUMMYFUNCTION("SPLIT(A18908,"" "")"),"CN(Cc1ccccn1)C1=CCC=C(CN(Cc2cccnc2)c2cccc3cccnc23)N1")</f>
        <v>CN(Cc1ccccn1)C1=CCC=C(CN(Cc2cccnc2)c2cccc3cccnc23)N1</v>
      </c>
      <c r="C18908" s="7">
        <f>IFERROR(__xludf.DUMMYFUNCTION("""COMPUTED_VALUE"""),7.7230687)</f>
        <v>7.7230687</v>
      </c>
      <c r="D18908" s="7">
        <f>IFERROR(__xludf.DUMMYFUNCTION("""COMPUTED_VALUE"""),0.370967741935483)</f>
        <v>0.3709677419</v>
      </c>
    </row>
    <row r="18909">
      <c r="A18909" s="10" t="s">
        <v>20348</v>
      </c>
      <c r="B18909" s="7" t="str">
        <f>IFERROR(__xludf.DUMMYFUNCTION("SPLIT(A18909,"" "")"),"CN(Cc1ccccn1)Cc1ncccc1N(C)c1ccc2cccnc2c1")</f>
        <v>CN(Cc1ccccn1)Cc1ncccc1N(C)c1ccc2cccnc2c1</v>
      </c>
      <c r="C18909" s="7">
        <f>IFERROR(__xludf.DUMMYFUNCTION("""COMPUTED_VALUE"""),7.723065)</f>
        <v>7.723065</v>
      </c>
      <c r="D18909" s="7">
        <f>IFERROR(__xludf.DUMMYFUNCTION("""COMPUTED_VALUE"""),0.450980392156862)</f>
        <v>0.4509803922</v>
      </c>
    </row>
    <row r="18910">
      <c r="A18910" s="10" t="s">
        <v>20349</v>
      </c>
      <c r="B18910" s="7" t="str">
        <f>IFERROR(__xludf.DUMMYFUNCTION("SPLIT(A18910,"" "")"),"CNc1ccc2nccc(CN(C)Cc3nc(C)cc(C)c3C)c2c1")</f>
        <v>CNc1ccc2nccc(CN(C)Cc3nc(C)cc(C)c3C)c2c1</v>
      </c>
      <c r="C18910" s="7">
        <f>IFERROR(__xludf.DUMMYFUNCTION("""COMPUTED_VALUE"""),7.7230635)</f>
        <v>7.7230635</v>
      </c>
      <c r="D18910" s="7">
        <f>IFERROR(__xludf.DUMMYFUNCTION("""COMPUTED_VALUE"""),0.25)</f>
        <v>0.25</v>
      </c>
    </row>
    <row r="18911">
      <c r="A18911" s="10" t="s">
        <v>20350</v>
      </c>
      <c r="B18911" s="7" t="str">
        <f>IFERROR(__xludf.DUMMYFUNCTION("SPLIT(A18911,"" "")"),"Cc1cc(CN(C)C2=CNC(CN(Cc3ccccn3)c3ccc4ncccc4c3)=CC2)cnc1C")</f>
        <v>Cc1cc(CN(C)C2=CNC(CN(Cc3ccccn3)c3ccc4ncccc4c3)=CC2)cnc1C</v>
      </c>
      <c r="C18911" s="7">
        <f>IFERROR(__xludf.DUMMYFUNCTION("""COMPUTED_VALUE"""),7.723033)</f>
        <v>7.723033</v>
      </c>
      <c r="D18911" s="7">
        <f>IFERROR(__xludf.DUMMYFUNCTION("""COMPUTED_VALUE"""),0.31081081081081)</f>
        <v>0.3108108108</v>
      </c>
    </row>
    <row r="18912">
      <c r="A18912" s="10" t="s">
        <v>20351</v>
      </c>
      <c r="B18912" s="7" t="str">
        <f>IFERROR(__xludf.DUMMYFUNCTION("SPLIT(A18912,"" "")"),"Cc1cccnc1CN(C)Cc1ncccc1N(C)c1ccc2ccc(CF)nc2c1")</f>
        <v>Cc1cccnc1CN(C)Cc1ncccc1N(C)c1ccc2ccc(CF)nc2c1</v>
      </c>
      <c r="C18912" s="7">
        <f>IFERROR(__xludf.DUMMYFUNCTION("""COMPUTED_VALUE"""),7.7230067)</f>
        <v>7.7230067</v>
      </c>
      <c r="D18912" s="7">
        <f>IFERROR(__xludf.DUMMYFUNCTION("""COMPUTED_VALUE"""),0.3125)</f>
        <v>0.3125</v>
      </c>
    </row>
    <row r="18913">
      <c r="A18913" s="10" t="s">
        <v>20352</v>
      </c>
      <c r="B18913" s="7" t="str">
        <f>IFERROR(__xludf.DUMMYFUNCTION("SPLIT(A18913,"" "")"),"Cc1ccc(-c2cc(C(C)C)ccn2)cc1N(C)Cc1ccccn1")</f>
        <v>Cc1ccc(-c2cc(C(C)C)ccn2)cc1N(C)Cc1ccccn1</v>
      </c>
      <c r="C18913" s="7">
        <f>IFERROR(__xludf.DUMMYFUNCTION("""COMPUTED_VALUE"""),7.7230043)</f>
        <v>7.7230043</v>
      </c>
      <c r="D18913" s="7">
        <f>IFERROR(__xludf.DUMMYFUNCTION("""COMPUTED_VALUE"""),0.48)</f>
        <v>0.48</v>
      </c>
    </row>
    <row r="18914">
      <c r="A18914" s="10" t="s">
        <v>20353</v>
      </c>
      <c r="B18914" s="7" t="str">
        <f>IFERROR(__xludf.DUMMYFUNCTION("SPLIT(A18914,"" "")"),"Cc1ncc(CN(C)C2=CNC=CC2CN(C)c2ccc3cccnc3c2)c(C)c1C")</f>
        <v>Cc1ncc(CN(C)C2=CNC=CC2CN(C)c2ccc3cccnc3c2)c(C)c1C</v>
      </c>
      <c r="C18914" s="7">
        <f>IFERROR(__xludf.DUMMYFUNCTION("""COMPUTED_VALUE"""),7.723002)</f>
        <v>7.723002</v>
      </c>
      <c r="D18914" s="7">
        <f>IFERROR(__xludf.DUMMYFUNCTION("""COMPUTED_VALUE"""),0.264705882352941)</f>
        <v>0.2647058824</v>
      </c>
    </row>
    <row r="18915">
      <c r="A18915" s="10" t="s">
        <v>20354</v>
      </c>
      <c r="B18915" s="7" t="str">
        <f>IFERROR(__xludf.DUMMYFUNCTION("SPLIT(A18915,"" "")"),"CN(C)c1ccccc1-c1cccc(CN(C)c2ccccc2)n1")</f>
        <v>CN(C)c1ccccc1-c1cccc(CN(C)c2ccccc2)n1</v>
      </c>
      <c r="C18915" s="7">
        <f>IFERROR(__xludf.DUMMYFUNCTION("""COMPUTED_VALUE"""),7.722995)</f>
        <v>7.722995</v>
      </c>
      <c r="D18915" s="7">
        <f>IFERROR(__xludf.DUMMYFUNCTION("""COMPUTED_VALUE"""),0.404255319148936)</f>
        <v>0.4042553191</v>
      </c>
    </row>
    <row r="18916">
      <c r="A18916" s="10" t="s">
        <v>20355</v>
      </c>
      <c r="B18916" s="7" t="str">
        <f>IFERROR(__xludf.DUMMYFUNCTION("SPLIT(A18916,"" "")"),"Cc1ccc(N(Cc2ccccn2)Cc2ncccc2-c2cccc(N=Cc3ccccn3)c2)c(C)c1")</f>
        <v>Cc1ccc(N(Cc2ccccn2)Cc2ncccc2-c2cccc(N=Cc3ccccn3)c2)c(C)c1</v>
      </c>
      <c r="C18916" s="7">
        <f>IFERROR(__xludf.DUMMYFUNCTION("""COMPUTED_VALUE"""),7.722989)</f>
        <v>7.722989</v>
      </c>
      <c r="D18916" s="7">
        <f>IFERROR(__xludf.DUMMYFUNCTION("""COMPUTED_VALUE"""),0.348484848484848)</f>
        <v>0.3484848485</v>
      </c>
    </row>
    <row r="18917">
      <c r="A18917" s="10" t="s">
        <v>20356</v>
      </c>
      <c r="B18917" s="7" t="str">
        <f>IFERROR(__xludf.DUMMYFUNCTION("SPLIT(A18917,"" "")"),"FCc1ncccc1NCc1ncccc1-c1ncccc1C(c1ccccn1)c1ccccn1")</f>
        <v>FCc1ncccc1NCc1ncccc1-c1ncccc1C(c1ccccn1)c1ccccn1</v>
      </c>
      <c r="C18917" s="7">
        <f>IFERROR(__xludf.DUMMYFUNCTION("""COMPUTED_VALUE"""),7.722984)</f>
        <v>7.722984</v>
      </c>
      <c r="D18917" s="7">
        <f>IFERROR(__xludf.DUMMYFUNCTION("""COMPUTED_VALUE"""),0.245283018867924)</f>
        <v>0.2452830189</v>
      </c>
    </row>
    <row r="18918">
      <c r="A18918" s="10" t="s">
        <v>20357</v>
      </c>
      <c r="B18918" s="7" t="str">
        <f>IFERROR(__xludf.DUMMYFUNCTION("SPLIT(A18918,"" "")"),"CNCc1cccc(-c2ccc(N(C)Cc3ccccn3)c(C(C)C)c2Cl)n1")</f>
        <v>CNCc1cccc(-c2ccc(N(C)Cc3ccccn3)c(C(C)C)c2Cl)n1</v>
      </c>
      <c r="C18918" s="7">
        <f>IFERROR(__xludf.DUMMYFUNCTION("""COMPUTED_VALUE"""),7.7229743)</f>
        <v>7.7229743</v>
      </c>
      <c r="D18918" s="7">
        <f>IFERROR(__xludf.DUMMYFUNCTION("""COMPUTED_VALUE"""),0.454545454545454)</f>
        <v>0.4545454545</v>
      </c>
    </row>
    <row r="18919">
      <c r="A18919" s="10" t="s">
        <v>20358</v>
      </c>
      <c r="B18919" s="7" t="str">
        <f>IFERROR(__xludf.DUMMYFUNCTION("SPLIT(A18919,"" "")"),"CN(C)Cc1cccc(-c2cccc(N(C)C)c2)n1")</f>
        <v>CN(C)Cc1cccc(-c2cccc(N(C)C)c2)n1</v>
      </c>
      <c r="C18919" s="7">
        <f>IFERROR(__xludf.DUMMYFUNCTION("""COMPUTED_VALUE"""),7.7229733)</f>
        <v>7.7229733</v>
      </c>
      <c r="D18919" s="7">
        <f>IFERROR(__xludf.DUMMYFUNCTION("""COMPUTED_VALUE"""),0.44)</f>
        <v>0.44</v>
      </c>
    </row>
    <row r="18920">
      <c r="A18920" s="10" t="s">
        <v>20359</v>
      </c>
      <c r="B18920" s="7" t="str">
        <f>IFERROR(__xludf.DUMMYFUNCTION("SPLIT(A18920,"" "")"),"CN(C)Cc1ccc(-c2ccc(N=Cc3ccccn3)cc2)cn1")</f>
        <v>CN(C)Cc1ccc(-c2ccc(N=Cc3ccccn3)cc2)cn1</v>
      </c>
      <c r="C18920" s="7">
        <f>IFERROR(__xludf.DUMMYFUNCTION("""COMPUTED_VALUE"""),7.722973)</f>
        <v>7.722973</v>
      </c>
      <c r="D18920" s="7">
        <f>IFERROR(__xludf.DUMMYFUNCTION("""COMPUTED_VALUE"""),0.384615384615384)</f>
        <v>0.3846153846</v>
      </c>
    </row>
    <row r="18921">
      <c r="A18921" s="10" t="s">
        <v>20360</v>
      </c>
      <c r="B18921" s="7" t="str">
        <f>IFERROR(__xludf.DUMMYFUNCTION("SPLIT(A18921,"" "")"),"Cc1cccc(CN(C)Cc2cccc(N(C)c3cccc4ccc(CF)nc34)n2)n1")</f>
        <v>Cc1cccc(CN(C)Cc2cccc(N(C)c3cccc4ccc(CF)nc34)n2)n1</v>
      </c>
      <c r="C18921" s="7">
        <f>IFERROR(__xludf.DUMMYFUNCTION("""COMPUTED_VALUE"""),7.7229705)</f>
        <v>7.7229705</v>
      </c>
      <c r="D18921" s="7">
        <f>IFERROR(__xludf.DUMMYFUNCTION("""COMPUTED_VALUE"""),0.481481481481481)</f>
        <v>0.4814814815</v>
      </c>
    </row>
    <row r="18922">
      <c r="A18922" s="10" t="s">
        <v>20361</v>
      </c>
      <c r="B18922" s="7" t="str">
        <f>IFERROR(__xludf.DUMMYFUNCTION("SPLIT(A18922,"" "")"),"CN(C)Cc1cc(-c2ccccc2N(C)C)ccn1")</f>
        <v>CN(C)Cc1cc(-c2ccccc2N(C)C)ccn1</v>
      </c>
      <c r="C18922" s="7">
        <f>IFERROR(__xludf.DUMMYFUNCTION("""COMPUTED_VALUE"""),7.722969)</f>
        <v>7.722969</v>
      </c>
      <c r="D18922" s="7">
        <f>IFERROR(__xludf.DUMMYFUNCTION("""COMPUTED_VALUE"""),0.377777777777777)</f>
        <v>0.3777777778</v>
      </c>
    </row>
    <row r="18923">
      <c r="A18923" s="10" t="s">
        <v>20362</v>
      </c>
      <c r="B18923" s="7" t="str">
        <f>IFERROR(__xludf.DUMMYFUNCTION("SPLIT(A18923,"" "")"),"CN(Cc1ccc(-c2cccc(N=Cc3ccccn3)c2)cn1)Cc1ccc(-c2cccc(NCc3ccccn3)c2)cn1")</f>
        <v>CN(Cc1ccc(-c2cccc(N=Cc3ccccn3)c2)cn1)Cc1ccc(-c2cccc(NCc3ccccn3)c2)cn1</v>
      </c>
      <c r="C18923" s="7">
        <f>IFERROR(__xludf.DUMMYFUNCTION("""COMPUTED_VALUE"""),7.7229433)</f>
        <v>7.7229433</v>
      </c>
      <c r="D18923" s="7">
        <f>IFERROR(__xludf.DUMMYFUNCTION("""COMPUTED_VALUE"""),0.353846153846153)</f>
        <v>0.3538461538</v>
      </c>
    </row>
    <row r="18924">
      <c r="A18924" s="10" t="s">
        <v>20363</v>
      </c>
      <c r="B18924" s="7" t="str">
        <f>IFERROR(__xludf.DUMMYFUNCTION("SPLIT(A18924,"" "")"),"Cc1ccc(-c2ccc(C)c(C)c2-c2cc(CN(Cc3ccccn3)Cc3ccccn3)ccn2)cc1N=Cc1ccccn1")</f>
        <v>Cc1ccc(-c2ccc(C)c(C)c2-c2cc(CN(Cc3ccccn3)Cc3ccccn3)ccn2)cc1N=Cc1ccccn1</v>
      </c>
      <c r="C18924" s="7">
        <f>IFERROR(__xludf.DUMMYFUNCTION("""COMPUTED_VALUE"""),7.7229433)</f>
        <v>7.7229433</v>
      </c>
      <c r="D18924" s="7">
        <f>IFERROR(__xludf.DUMMYFUNCTION("""COMPUTED_VALUE"""),0.384615384615384)</f>
        <v>0.3846153846</v>
      </c>
    </row>
    <row r="18925">
      <c r="A18925" s="10" t="s">
        <v>20364</v>
      </c>
      <c r="B18925" s="7" t="str">
        <f>IFERROR(__xludf.DUMMYFUNCTION("SPLIT(A18925,"" "")"),"CC(C)N(C)c1ccc2nc3c(cc2c1)CCC3")</f>
        <v>CC(C)N(C)c1ccc2nc3c(cc2c1)CCC3</v>
      </c>
      <c r="C18925" s="7">
        <f>IFERROR(__xludf.DUMMYFUNCTION("""COMPUTED_VALUE"""),7.7229385)</f>
        <v>7.7229385</v>
      </c>
      <c r="D18925" s="7">
        <f>IFERROR(__xludf.DUMMYFUNCTION("""COMPUTED_VALUE"""),0.384615384615384)</f>
        <v>0.3846153846</v>
      </c>
    </row>
    <row r="18926">
      <c r="A18926" s="10" t="s">
        <v>20365</v>
      </c>
      <c r="B18926" s="7" t="str">
        <f>IFERROR(__xludf.DUMMYFUNCTION("SPLIT(A18926,"" "")"),"Cc1cc(C)c(CN(C)Cc2cccc(N(C)c3ccc4nc(CF)ccc4c3)n2)cn1")</f>
        <v>Cc1cc(C)c(CN(C)Cc2cccc(N(C)c3ccc4nc(CF)ccc4c3)n2)cn1</v>
      </c>
      <c r="C18926" s="7">
        <f>IFERROR(__xludf.DUMMYFUNCTION("""COMPUTED_VALUE"""),7.722938)</f>
        <v>7.722938</v>
      </c>
      <c r="D18926" s="7">
        <f>IFERROR(__xludf.DUMMYFUNCTION("""COMPUTED_VALUE"""),0.350877192982456)</f>
        <v>0.350877193</v>
      </c>
    </row>
    <row r="18927">
      <c r="A18927" s="10" t="s">
        <v>20366</v>
      </c>
      <c r="B18927" s="7" t="str">
        <f>IFERROR(__xludf.DUMMYFUNCTION("SPLIT(A18927,"" "")"),"CN(c1ccc2cccnc2c1)C1CCC(N(c2ccc3ncccc3c2)c2ccccn2)CC1")</f>
        <v>CN(c1ccc2cccnc2c1)C1CCC(N(c2ccc3ncccc3c2)c2ccccn2)CC1</v>
      </c>
      <c r="C18927" s="7">
        <f>IFERROR(__xludf.DUMMYFUNCTION("""COMPUTED_VALUE"""),7.7229285)</f>
        <v>7.7229285</v>
      </c>
      <c r="D18927" s="7">
        <f>IFERROR(__xludf.DUMMYFUNCTION("""COMPUTED_VALUE"""),0.305084745762711)</f>
        <v>0.3050847458</v>
      </c>
    </row>
    <row r="18928">
      <c r="A18928" s="10" t="s">
        <v>20367</v>
      </c>
      <c r="B18928" s="7" t="str">
        <f>IFERROR(__xludf.DUMMYFUNCTION("SPLIT(A18928,"" "")"),"CC1=CCC(C)C=C1N(C)Cc1cc(-c2ccccc2N=Cc2ccccn2)ccn1")</f>
        <v>CC1=CCC(C)C=C1N(C)Cc1cc(-c2ccccc2N=Cc2ccccn2)ccn1</v>
      </c>
      <c r="C18928" s="7">
        <f>IFERROR(__xludf.DUMMYFUNCTION("""COMPUTED_VALUE"""),7.7229257)</f>
        <v>7.7229257</v>
      </c>
      <c r="D18928" s="7">
        <f>IFERROR(__xludf.DUMMYFUNCTION("""COMPUTED_VALUE"""),0.363636363636363)</f>
        <v>0.3636363636</v>
      </c>
    </row>
    <row r="18929">
      <c r="A18929" s="10" t="s">
        <v>20368</v>
      </c>
      <c r="B18929" s="7" t="str">
        <f>IFERROR(__xludf.DUMMYFUNCTION("SPLIT(A18929,"" "")"),"CNCc1ncc(-c2ccccc2N(C)C)cc1C")</f>
        <v>CNCc1ncc(-c2ccccc2N(C)C)cc1C</v>
      </c>
      <c r="C18929" s="7">
        <f>IFERROR(__xludf.DUMMYFUNCTION("""COMPUTED_VALUE"""),7.7229247)</f>
        <v>7.7229247</v>
      </c>
      <c r="D18929" s="7">
        <f>IFERROR(__xludf.DUMMYFUNCTION("""COMPUTED_VALUE"""),0.245283018867924)</f>
        <v>0.2452830189</v>
      </c>
    </row>
    <row r="18930">
      <c r="A18930" s="10" t="s">
        <v>20369</v>
      </c>
      <c r="B18930" s="7" t="str">
        <f>IFERROR(__xludf.DUMMYFUNCTION("SPLIT(A18930,"" "")"),"Cc1cccnc1CN(C)C1=C(CN(C)c2ccc3nc(CF)ccc3c2)NC=CC1")</f>
        <v>Cc1cccnc1CN(C)C1=C(CN(C)c2ccc3nc(CF)ccc3c2)NC=CC1</v>
      </c>
      <c r="C18930" s="7">
        <f>IFERROR(__xludf.DUMMYFUNCTION("""COMPUTED_VALUE"""),7.7229176)</f>
        <v>7.7229176</v>
      </c>
      <c r="D18930" s="7">
        <f>IFERROR(__xludf.DUMMYFUNCTION("""COMPUTED_VALUE"""),0.257142857142857)</f>
        <v>0.2571428571</v>
      </c>
    </row>
    <row r="18931">
      <c r="A18931" s="10" t="s">
        <v>20370</v>
      </c>
      <c r="B18931" s="7" t="str">
        <f>IFERROR(__xludf.DUMMYFUNCTION("SPLIT(A18931,"" "")"),"Cc1cnc(CN(C)Cc2nc3ccccc3n2C)c(C)c1C")</f>
        <v>Cc1cnc(CN(C)Cc2nc3ccccc3n2C)c(C)c1C</v>
      </c>
      <c r="C18931" s="7">
        <f>IFERROR(__xludf.DUMMYFUNCTION("""COMPUTED_VALUE"""),7.722912)</f>
        <v>7.722912</v>
      </c>
      <c r="D18931" s="7">
        <f>IFERROR(__xludf.DUMMYFUNCTION("""COMPUTED_VALUE"""),0.431372549019607)</f>
        <v>0.431372549</v>
      </c>
    </row>
    <row r="18932">
      <c r="A18932" s="10" t="s">
        <v>20371</v>
      </c>
      <c r="B18932" s="7" t="str">
        <f>IFERROR(__xludf.DUMMYFUNCTION("SPLIT(A18932,"" "")"),"CN(Cc1ccccn1)C1=C(CN(C)c2ccc3ncc(CF)cc3c2)NC=CC1")</f>
        <v>CN(Cc1ccccn1)C1=C(CN(C)c2ccc3ncc(CF)cc3c2)NC=CC1</v>
      </c>
      <c r="C18932" s="7">
        <f>IFERROR(__xludf.DUMMYFUNCTION("""COMPUTED_VALUE"""),7.722875)</f>
        <v>7.722875</v>
      </c>
      <c r="D18932" s="7">
        <f>IFERROR(__xludf.DUMMYFUNCTION("""COMPUTED_VALUE"""),0.338461538461538)</f>
        <v>0.3384615385</v>
      </c>
    </row>
    <row r="18933">
      <c r="A18933" s="10" t="s">
        <v>20372</v>
      </c>
      <c r="B18933" s="7" t="str">
        <f>IFERROR(__xludf.DUMMYFUNCTION("SPLIT(A18933,"" "")"),"CNCc1ccc2c(C)ccnc2c1")</f>
        <v>CNCc1ccc2c(C)ccnc2c1</v>
      </c>
      <c r="C18933" s="7">
        <f>IFERROR(__xludf.DUMMYFUNCTION("""COMPUTED_VALUE"""),7.722872)</f>
        <v>7.722872</v>
      </c>
      <c r="D18933" s="7">
        <f>IFERROR(__xludf.DUMMYFUNCTION("""COMPUTED_VALUE"""),0.224489795918367)</f>
        <v>0.2244897959</v>
      </c>
    </row>
    <row r="18934">
      <c r="A18934" s="10" t="s">
        <v>20373</v>
      </c>
      <c r="B18934" s="7" t="str">
        <f>IFERROR(__xludf.DUMMYFUNCTION("SPLIT(A18934,"" "")"),"Cc1cnc(CN(C)c2ccc3nccc(CN(C)Cc4ccccn4)c3c2)c(C)c1")</f>
        <v>Cc1cnc(CN(C)c2ccc3nccc(CN(C)Cc4ccccn4)c3c2)c(C)c1</v>
      </c>
      <c r="C18934" s="7">
        <f>IFERROR(__xludf.DUMMYFUNCTION("""COMPUTED_VALUE"""),7.7228703)</f>
        <v>7.7228703</v>
      </c>
      <c r="D18934" s="7">
        <f>IFERROR(__xludf.DUMMYFUNCTION("""COMPUTED_VALUE"""),0.360655737704918)</f>
        <v>0.3606557377</v>
      </c>
    </row>
    <row r="18935">
      <c r="A18935" s="10" t="s">
        <v>20374</v>
      </c>
      <c r="B18935" s="7" t="str">
        <f>IFERROR(__xludf.DUMMYFUNCTION("SPLIT(A18935,"" "")"),"CC(C)c1ncccc1CN(C)Cc1cccc(N(C)c2ccc3ncccc3c2)n1")</f>
        <v>CC(C)c1ncccc1CN(C)Cc1cccc(N(C)c2ccc3ncccc3c2)n1</v>
      </c>
      <c r="C18935" s="7">
        <f>IFERROR(__xludf.DUMMYFUNCTION("""COMPUTED_VALUE"""),7.7228627)</f>
        <v>7.7228627</v>
      </c>
      <c r="D18935" s="7">
        <f>IFERROR(__xludf.DUMMYFUNCTION("""COMPUTED_VALUE"""),0.375)</f>
        <v>0.375</v>
      </c>
    </row>
    <row r="18936">
      <c r="A18936" s="10" t="s">
        <v>20375</v>
      </c>
      <c r="B18936" s="7" t="str">
        <f>IFERROR(__xludf.DUMMYFUNCTION("SPLIT(A18936,"" "")"),"CC(C)C(C)(c1cccnc1)N(C)Cc1ccc2ccc3cccnc3c2n1")</f>
        <v>CC(C)C(C)(c1cccnc1)N(C)Cc1ccc2ccc3cccnc3c2n1</v>
      </c>
      <c r="C18936" s="7">
        <f>IFERROR(__xludf.DUMMYFUNCTION("""COMPUTED_VALUE"""),7.722843)</f>
        <v>7.722843</v>
      </c>
      <c r="D18936" s="7">
        <f>IFERROR(__xludf.DUMMYFUNCTION("""COMPUTED_VALUE"""),0.357142857142857)</f>
        <v>0.3571428571</v>
      </c>
    </row>
    <row r="18937">
      <c r="A18937" s="10" t="s">
        <v>20376</v>
      </c>
      <c r="B18937" s="7" t="str">
        <f>IFERROR(__xludf.DUMMYFUNCTION("SPLIT(A18937,"" "")"),"Cc1ccc(-c2cc(NCc3ccccn3)c(C)cc2-c2ccccc2)c(NCc2ccccn2)c1")</f>
        <v>Cc1ccc(-c2cc(NCc3ccccn3)c(C)cc2-c2ccccc2)c(NCc2ccccn2)c1</v>
      </c>
      <c r="C18937" s="7">
        <f>IFERROR(__xludf.DUMMYFUNCTION("""COMPUTED_VALUE"""),7.72284)</f>
        <v>7.72284</v>
      </c>
      <c r="D18937" s="7">
        <f>IFERROR(__xludf.DUMMYFUNCTION("""COMPUTED_VALUE"""),0.446428571428571)</f>
        <v>0.4464285714</v>
      </c>
    </row>
    <row r="18938">
      <c r="A18938" s="10" t="s">
        <v>20377</v>
      </c>
      <c r="B18938" s="7" t="str">
        <f>IFERROR(__xludf.DUMMYFUNCTION("SPLIT(A18938,"" "")"),"Cc1cccc(-c2ccc(NCc3ccc(C(C)(c4ccccn4)c4ccccn4)cn3)cc2)n1")</f>
        <v>Cc1cccc(-c2ccc(NCc3ccc(C(C)(c4ccccn4)c4ccccn4)cn3)cc2)n1</v>
      </c>
      <c r="C18938" s="7">
        <f>IFERROR(__xludf.DUMMYFUNCTION("""COMPUTED_VALUE"""),7.7228155)</f>
        <v>7.7228155</v>
      </c>
      <c r="D18938" s="7">
        <f>IFERROR(__xludf.DUMMYFUNCTION("""COMPUTED_VALUE"""),0.40983606557377)</f>
        <v>0.4098360656</v>
      </c>
    </row>
    <row r="18939">
      <c r="A18939" s="10" t="s">
        <v>20378</v>
      </c>
      <c r="B18939" s="7" t="str">
        <f>IFERROR(__xludf.DUMMYFUNCTION("SPLIT(A18939,"" "")"),"CN(Cc1ccccn1)C1=CNC(CN(C)c2ccc3nc(CF)ccc3c2)=CC1")</f>
        <v>CN(Cc1ccccn1)C1=CNC(CN(C)c2ccc3nc(CF)ccc3c2)=CC1</v>
      </c>
      <c r="C18939" s="7">
        <f>IFERROR(__xludf.DUMMYFUNCTION("""COMPUTED_VALUE"""),7.7227974)</f>
        <v>7.7227974</v>
      </c>
      <c r="D18939" s="7">
        <f>IFERROR(__xludf.DUMMYFUNCTION("""COMPUTED_VALUE"""),0.383333333333333)</f>
        <v>0.3833333333</v>
      </c>
    </row>
    <row r="18940">
      <c r="A18940" s="10" t="s">
        <v>20379</v>
      </c>
      <c r="B18940" s="7" t="str">
        <f>IFERROR(__xludf.DUMMYFUNCTION("SPLIT(A18940,"" "")"),"FCNc1ncccc1-c1cc(C(c2ccccn2)c2ccccn2)ccn1")</f>
        <v>FCNc1ncccc1-c1cc(C(c2ccccn2)c2ccccn2)ccn1</v>
      </c>
      <c r="C18940" s="7">
        <f>IFERROR(__xludf.DUMMYFUNCTION("""COMPUTED_VALUE"""),7.7227836)</f>
        <v>7.7227836</v>
      </c>
      <c r="D18940" s="7">
        <f>IFERROR(__xludf.DUMMYFUNCTION("""COMPUTED_VALUE"""),0.25)</f>
        <v>0.25</v>
      </c>
    </row>
    <row r="18941">
      <c r="A18941" s="10" t="s">
        <v>20380</v>
      </c>
      <c r="B18941" s="7" t="str">
        <f>IFERROR(__xludf.DUMMYFUNCTION("SPLIT(A18941,"" "")"),"CN(c1ccc2ncccc2c1)C1CCC(N(c2ccccn2)c2cccc3cccnc23)CC1")</f>
        <v>CN(c1ccc2ncccc2c1)C1CCC(N(c2ccccn2)c2cccc3cccnc23)CC1</v>
      </c>
      <c r="C18941" s="7">
        <f>IFERROR(__xludf.DUMMYFUNCTION("""COMPUTED_VALUE"""),7.7227817)</f>
        <v>7.7227817</v>
      </c>
      <c r="D18941" s="7">
        <f>IFERROR(__xludf.DUMMYFUNCTION("""COMPUTED_VALUE"""),0.454545454545454)</f>
        <v>0.4545454545</v>
      </c>
    </row>
    <row r="18942">
      <c r="A18942" s="10" t="s">
        <v>20381</v>
      </c>
      <c r="B18942" s="7" t="str">
        <f>IFERROR(__xludf.DUMMYFUNCTION("SPLIT(A18942,"" "")"),"Cc1cc(CN(C)Cc2cccc(N(C)c3ccc4nc(CF)ccc4c3)n2)cnc1C")</f>
        <v>Cc1cc(CN(C)Cc2cccc(N(C)c3ccc4nc(CF)ccc4c3)n2)cnc1C</v>
      </c>
      <c r="C18942" s="7">
        <f>IFERROR(__xludf.DUMMYFUNCTION("""COMPUTED_VALUE"""),7.722781)</f>
        <v>7.722781</v>
      </c>
      <c r="D18942" s="7">
        <f>IFERROR(__xludf.DUMMYFUNCTION("""COMPUTED_VALUE"""),0.327586206896551)</f>
        <v>0.3275862069</v>
      </c>
    </row>
    <row r="18943">
      <c r="A18943" s="10" t="s">
        <v>20382</v>
      </c>
      <c r="B18943" s="7" t="str">
        <f>IFERROR(__xludf.DUMMYFUNCTION("SPLIT(A18943,"" "")"),"Cc1ccc(CN(C)CC2=NCC(N(c3cccc4c(CF)c(CF)c(CF)nc34)c3c(C)c4c(CF)c(CF)c(CF)nc4c4c(CF)c(CF)c(CF)nc34)C=C2)c(C)n1")</f>
        <v>Cc1ccc(CN(C)CC2=NCC(N(c3cccc4c(CF)c(CF)c(CF)nc34)c3c(C)c4c(CF)c(CF)c(CF)nc4c4c(CF)c(CF)c(CF)nc34)C=C2)c(C)n1</v>
      </c>
      <c r="C18943" s="7">
        <f>IFERROR(__xludf.DUMMYFUNCTION("""COMPUTED_VALUE"""),7.722778)</f>
        <v>7.722778</v>
      </c>
      <c r="D18943" s="7">
        <f>IFERROR(__xludf.DUMMYFUNCTION("""COMPUTED_VALUE"""),0.217948717948717)</f>
        <v>0.2179487179</v>
      </c>
    </row>
    <row r="18944">
      <c r="A18944" s="10" t="s">
        <v>20383</v>
      </c>
      <c r="B18944" s="7" t="str">
        <f>IFERROR(__xludf.DUMMYFUNCTION("SPLIT(A18944,"" "")"),"Cc1cc(CN(C)c2ccc3nc(CN(Cc4nc(C)c(C)c(C)c4C)Cc4nc(C)c(C)c(C)c4C)ccc3c2)cnc1C")</f>
        <v>Cc1cc(CN(C)c2ccc3nc(CN(Cc4nc(C)c(C)c(C)c4C)Cc4nc(C)c(C)c(C)c4C)ccc3c2)cnc1C</v>
      </c>
      <c r="C18944" s="7">
        <f>IFERROR(__xludf.DUMMYFUNCTION("""COMPUTED_VALUE"""),7.722773)</f>
        <v>7.722773</v>
      </c>
      <c r="D18944" s="7">
        <f>IFERROR(__xludf.DUMMYFUNCTION("""COMPUTED_VALUE"""),0.327272727272727)</f>
        <v>0.3272727273</v>
      </c>
    </row>
    <row r="18945">
      <c r="A18945" s="10" t="s">
        <v>20384</v>
      </c>
      <c r="B18945" s="7" t="str">
        <f>IFERROR(__xludf.DUMMYFUNCTION("SPLIT(A18945,"" "")"),"CN(CC1=CCC=C(N(C)C(c2ccccn2)c2ccccn2)N1)c1cc(Cl)ccc1Cl")</f>
        <v>CN(CC1=CCC=C(N(C)C(c2ccccn2)c2ccccn2)N1)c1cc(Cl)ccc1Cl</v>
      </c>
      <c r="C18945" s="7">
        <f>IFERROR(__xludf.DUMMYFUNCTION("""COMPUTED_VALUE"""),7.722773)</f>
        <v>7.722773</v>
      </c>
      <c r="D18945" s="7">
        <f>IFERROR(__xludf.DUMMYFUNCTION("""COMPUTED_VALUE"""),0.372881355932203)</f>
        <v>0.3728813559</v>
      </c>
    </row>
    <row r="18946">
      <c r="A18946" s="10" t="s">
        <v>20385</v>
      </c>
      <c r="B18946" s="7" t="str">
        <f>IFERROR(__xludf.DUMMYFUNCTION("SPLIT(A18946,"" "")"),"Cc1ccc(CN(C)c2cccnc2C2=CCC=C(N(C)Cc3ccccn3)N2)nc1")</f>
        <v>Cc1ccc(CN(C)c2cccnc2C2=CCC=C(N(C)Cc3ccccn3)N2)nc1</v>
      </c>
      <c r="C18946" s="7">
        <f>IFERROR(__xludf.DUMMYFUNCTION("""COMPUTED_VALUE"""),7.7227716)</f>
        <v>7.7227716</v>
      </c>
      <c r="D18946" s="7">
        <f>IFERROR(__xludf.DUMMYFUNCTION("""COMPUTED_VALUE"""),0.403508771929824)</f>
        <v>0.4035087719</v>
      </c>
    </row>
    <row r="18947">
      <c r="A18947" s="10" t="s">
        <v>20386</v>
      </c>
      <c r="B18947" s="7" t="str">
        <f>IFERROR(__xludf.DUMMYFUNCTION("SPLIT(A18947,"" "")"),"CCN(CC1=CCC=C(N(C)Cc2ccccn2)N1)c1cccc2ncccc12")</f>
        <v>CCN(CC1=CCC=C(N(C)Cc2ccccn2)N1)c1cccc2ncccc12</v>
      </c>
      <c r="C18947" s="7">
        <f>IFERROR(__xludf.DUMMYFUNCTION("""COMPUTED_VALUE"""),7.7227354)</f>
        <v>7.7227354</v>
      </c>
      <c r="D18947" s="7">
        <f>IFERROR(__xludf.DUMMYFUNCTION("""COMPUTED_VALUE"""),0.366666666666666)</f>
        <v>0.3666666667</v>
      </c>
    </row>
    <row r="18948">
      <c r="A18948" s="10" t="s">
        <v>20387</v>
      </c>
      <c r="B18948" s="7" t="str">
        <f>IFERROR(__xludf.DUMMYFUNCTION("SPLIT(A18948,"" "")"),"CN(C)Cc1ccc(-c2ccc(Cl)cc2N)cn1")</f>
        <v>CN(C)Cc1ccc(-c2ccc(Cl)cc2N)cn1</v>
      </c>
      <c r="C18948" s="7">
        <f>IFERROR(__xludf.DUMMYFUNCTION("""COMPUTED_VALUE"""),7.7227325)</f>
        <v>7.7227325</v>
      </c>
      <c r="D18948" s="7">
        <f>IFERROR(__xludf.DUMMYFUNCTION("""COMPUTED_VALUE"""),0.326086956521739)</f>
        <v>0.3260869565</v>
      </c>
    </row>
    <row r="18949">
      <c r="A18949" s="10" t="s">
        <v>20388</v>
      </c>
      <c r="B18949" s="7" t="str">
        <f>IFERROR(__xludf.DUMMYFUNCTION("SPLIT(A18949,"" "")"),"Cc1cnccc1CN(C)CC1=CCC=C(N(C)c2cccc3ncccc23)N1")</f>
        <v>Cc1cnccc1CN(C)CC1=CCC=C(N(C)c2cccc3ncccc23)N1</v>
      </c>
      <c r="C18949" s="7">
        <f>IFERROR(__xludf.DUMMYFUNCTION("""COMPUTED_VALUE"""),7.7227173)</f>
        <v>7.7227173</v>
      </c>
      <c r="D18949" s="7">
        <f>IFERROR(__xludf.DUMMYFUNCTION("""COMPUTED_VALUE"""),0.272727272727272)</f>
        <v>0.2727272727</v>
      </c>
    </row>
    <row r="18950">
      <c r="A18950" s="10" t="s">
        <v>20389</v>
      </c>
      <c r="B18950" s="7" t="str">
        <f>IFERROR(__xludf.DUMMYFUNCTION("SPLIT(A18950,"" "")"),"C=Nc1cccc(-c2cccc(CN(C)Cc3cccc(-c4ccc(C)cc4C)n3)n2)c1")</f>
        <v>C=Nc1cccc(-c2cccc(CN(C)Cc3cccc(-c4ccc(C)cc4C)n3)n2)c1</v>
      </c>
      <c r="C18950" s="7">
        <f>IFERROR(__xludf.DUMMYFUNCTION("""COMPUTED_VALUE"""),7.722715)</f>
        <v>7.722715</v>
      </c>
      <c r="D18950" s="7">
        <f>IFERROR(__xludf.DUMMYFUNCTION("""COMPUTED_VALUE"""),0.375)</f>
        <v>0.375</v>
      </c>
    </row>
    <row r="18951">
      <c r="A18951" s="10" t="s">
        <v>20390</v>
      </c>
      <c r="B18951" s="7" t="str">
        <f>IFERROR(__xludf.DUMMYFUNCTION("SPLIT(A18951,"" "")"),"CN(C)c1ccc2nc3c(cc2c1)CCCC3")</f>
        <v>CN(C)c1ccc2nc3c(cc2c1)CCCC3</v>
      </c>
      <c r="C18951" s="7">
        <f>IFERROR(__xludf.DUMMYFUNCTION("""COMPUTED_VALUE"""),7.722705)</f>
        <v>7.722705</v>
      </c>
      <c r="D18951" s="7">
        <f>IFERROR(__xludf.DUMMYFUNCTION("""COMPUTED_VALUE"""),0.408163265306122)</f>
        <v>0.4081632653</v>
      </c>
    </row>
    <row r="18952">
      <c r="A18952" s="10" t="s">
        <v>20391</v>
      </c>
      <c r="B18952" s="7" t="str">
        <f>IFERROR(__xludf.DUMMYFUNCTION("SPLIT(A18952,"" "")"),"CCN(CC1=CCC=C(N(C)Cc2ncccc2C)N1)c1ccc2cccnc2c1")</f>
        <v>CCN(CC1=CCC=C(N(C)Cc2ncccc2C)N1)c1ccc2cccnc2c1</v>
      </c>
      <c r="C18952" s="7">
        <f>IFERROR(__xludf.DUMMYFUNCTION("""COMPUTED_VALUE"""),7.7226996)</f>
        <v>7.7226996</v>
      </c>
      <c r="D18952" s="7">
        <f>IFERROR(__xludf.DUMMYFUNCTION("""COMPUTED_VALUE"""),0.25)</f>
        <v>0.25</v>
      </c>
    </row>
    <row r="18953">
      <c r="A18953" s="10" t="s">
        <v>20392</v>
      </c>
      <c r="B18953" s="7" t="str">
        <f>IFERROR(__xludf.DUMMYFUNCTION("SPLIT(A18953,"" "")"),"Cc1cccnc1CN(C)Cc1ccnc2cccc(N(C)Cc3ncccc3C)c12")</f>
        <v>Cc1cccnc1CN(C)Cc1ccnc2cccc(N(C)Cc3ncccc3C)c12</v>
      </c>
      <c r="C18953" s="7">
        <f>IFERROR(__xludf.DUMMYFUNCTION("""COMPUTED_VALUE"""),7.722687)</f>
        <v>7.722687</v>
      </c>
      <c r="D18953" s="7">
        <f>IFERROR(__xludf.DUMMYFUNCTION("""COMPUTED_VALUE"""),0.339622641509433)</f>
        <v>0.3396226415</v>
      </c>
    </row>
    <row r="18954">
      <c r="A18954" s="10" t="s">
        <v>20393</v>
      </c>
      <c r="B18954" s="7" t="str">
        <f>IFERROR(__xludf.DUMMYFUNCTION("SPLIT(A18954,"" "")"),"CCN(Cc1ccccn1)c1c(C(C)(C)C)c(N(C)Cc2ccccn2)cc2ncccc12")</f>
        <v>CCN(Cc1ccccn1)c1c(C(C)(C)C)c(N(C)Cc2ccccn2)cc2ncccc12</v>
      </c>
      <c r="C18954" s="7">
        <f>IFERROR(__xludf.DUMMYFUNCTION("""COMPUTED_VALUE"""),7.7226853)</f>
        <v>7.7226853</v>
      </c>
      <c r="D18954" s="7">
        <f>IFERROR(__xludf.DUMMYFUNCTION("""COMPUTED_VALUE"""),0.461538461538461)</f>
        <v>0.4615384615</v>
      </c>
    </row>
    <row r="18955">
      <c r="A18955" s="10" t="s">
        <v>20394</v>
      </c>
      <c r="B18955" s="7" t="str">
        <f>IFERROR(__xludf.DUMMYFUNCTION("SPLIT(A18955,"" "")"),"Cc1cccc(CN(C)c2ccc3nc(CN(C)Cc4nc(C)c(C)c(C)c4C)ccc3c2)n1")</f>
        <v>Cc1cccc(CN(C)c2ccc3nc(CN(C)Cc4nc(C)c(C)c(C)c4C)ccc3c2)n1</v>
      </c>
      <c r="C18955" s="7">
        <f>IFERROR(__xludf.DUMMYFUNCTION("""COMPUTED_VALUE"""),7.722685)</f>
        <v>7.722685</v>
      </c>
      <c r="D18955" s="7">
        <f>IFERROR(__xludf.DUMMYFUNCTION("""COMPUTED_VALUE"""),0.46938775510204)</f>
        <v>0.4693877551</v>
      </c>
    </row>
    <row r="18956">
      <c r="A18956" s="10" t="s">
        <v>20395</v>
      </c>
      <c r="B18956" s="7" t="str">
        <f>IFERROR(__xludf.DUMMYFUNCTION("SPLIT(A18956,"" "")"),"Cc1cccnc1CN(C)C1=CNC(CN(c2cccc3ncccc23)C(C)C)=CC1")</f>
        <v>Cc1cccnc1CN(C)C1=CNC(CN(c2cccc3ncccc23)C(C)C)=CC1</v>
      </c>
      <c r="C18956" s="7">
        <f>IFERROR(__xludf.DUMMYFUNCTION("""COMPUTED_VALUE"""),7.7226744)</f>
        <v>7.7226744</v>
      </c>
      <c r="D18956" s="7">
        <f>IFERROR(__xludf.DUMMYFUNCTION("""COMPUTED_VALUE"""),0.28125)</f>
        <v>0.28125</v>
      </c>
    </row>
    <row r="18957">
      <c r="A18957" s="10" t="s">
        <v>20396</v>
      </c>
      <c r="B18957" s="7" t="str">
        <f>IFERROR(__xludf.DUMMYFUNCTION("SPLIT(A18957,"" "")"),"CN(C)Cc1cccc(-c2ccc(N(C)C)cc2)n1")</f>
        <v>CN(C)Cc1cccc(-c2ccc(N(C)C)cc2)n1</v>
      </c>
      <c r="C18957" s="7">
        <f>IFERROR(__xludf.DUMMYFUNCTION("""COMPUTED_VALUE"""),7.7226644)</f>
        <v>7.7226644</v>
      </c>
      <c r="D18957" s="7">
        <f>IFERROR(__xludf.DUMMYFUNCTION("""COMPUTED_VALUE"""),0.41860465116279)</f>
        <v>0.4186046512</v>
      </c>
    </row>
    <row r="18958">
      <c r="A18958" s="10" t="s">
        <v>20397</v>
      </c>
      <c r="B18958" s="7" t="str">
        <f>IFERROR(__xludf.DUMMYFUNCTION("SPLIT(A18958,"" "")"),"Cc1ccc(-c2ccc(CN(C)Cc3cccc(-c4cccc(N=Cc5ccccn5)c4)n3)cc2)nc1")</f>
        <v>Cc1ccc(-c2ccc(CN(C)Cc3cccc(-c4cccc(N=Cc5ccccn5)c4)n3)cc2)nc1</v>
      </c>
      <c r="C18958" s="7">
        <f>IFERROR(__xludf.DUMMYFUNCTION("""COMPUTED_VALUE"""),7.722655)</f>
        <v>7.722655</v>
      </c>
      <c r="D18958" s="7">
        <f>IFERROR(__xludf.DUMMYFUNCTION("""COMPUTED_VALUE"""),0.4)</f>
        <v>0.4</v>
      </c>
    </row>
    <row r="18959">
      <c r="A18959" s="10" t="s">
        <v>20398</v>
      </c>
      <c r="B18959" s="7" t="str">
        <f>IFERROR(__xludf.DUMMYFUNCTION("SPLIT(A18959,"" "")"),"CN(Cc1ccccn1)C1=CCC=C(CN(Cc2ccccn2)c2cccc3cccnc23)N1")</f>
        <v>CN(Cc1ccccn1)C1=CCC=C(CN(Cc2ccccn2)c2cccc3cccnc23)N1</v>
      </c>
      <c r="C18959" s="7">
        <f>IFERROR(__xludf.DUMMYFUNCTION("""COMPUTED_VALUE"""),7.7226434)</f>
        <v>7.7226434</v>
      </c>
      <c r="D18959" s="7">
        <f>IFERROR(__xludf.DUMMYFUNCTION("""COMPUTED_VALUE"""),0.425925925925925)</f>
        <v>0.4259259259</v>
      </c>
    </row>
    <row r="18960">
      <c r="A18960" s="10" t="s">
        <v>20399</v>
      </c>
      <c r="B18960" s="7" t="str">
        <f>IFERROR(__xludf.DUMMYFUNCTION("SPLIT(A18960,"" "")"),"CNCc1ccc(C)c(CN(C)c2ccc3ncccc3c2)n1")</f>
        <v>CNCc1ccc(C)c(CN(C)c2ccc3ncccc3c2)n1</v>
      </c>
      <c r="C18960" s="7">
        <f>IFERROR(__xludf.DUMMYFUNCTION("""COMPUTED_VALUE"""),7.722642)</f>
        <v>7.722642</v>
      </c>
      <c r="D18960" s="7">
        <f>IFERROR(__xludf.DUMMYFUNCTION("""COMPUTED_VALUE"""),0.29090909090909)</f>
        <v>0.2909090909</v>
      </c>
    </row>
    <row r="18961">
      <c r="A18961" s="10" t="s">
        <v>20400</v>
      </c>
      <c r="B18961" s="7" t="str">
        <f>IFERROR(__xludf.DUMMYFUNCTION("SPLIT(A18961,"" "")"),"Cc1cncc(CN(C)c2ccccc2-c2cccnc2CN(Cc2ccccn2)Cc2ccc(N)c(-c3ccc(N=Cc4ccccn4)cc3)n2)c1")</f>
        <v>Cc1cncc(CN(C)c2ccccc2-c2cccnc2CN(Cc2ccccn2)Cc2ccc(N)c(-c3ccc(N=Cc4ccccn4)cc3)n2)c1</v>
      </c>
      <c r="C18961" s="7">
        <f>IFERROR(__xludf.DUMMYFUNCTION("""COMPUTED_VALUE"""),7.7226305)</f>
        <v>7.7226305</v>
      </c>
      <c r="D18961" s="7">
        <f>IFERROR(__xludf.DUMMYFUNCTION("""COMPUTED_VALUE"""),0.28395061728395)</f>
        <v>0.2839506173</v>
      </c>
    </row>
    <row r="18962">
      <c r="A18962" s="10" t="s">
        <v>20401</v>
      </c>
      <c r="B18962" s="7" t="str">
        <f>IFERROR(__xludf.DUMMYFUNCTION("SPLIT(A18962,"" "")"),"CCNc1ncccc1-c1cc(C(C)(c2ccccn2)c2ccccn2)ccn1")</f>
        <v>CCNc1ncccc1-c1cc(C(C)(c2ccccn2)c2ccccn2)ccn1</v>
      </c>
      <c r="C18962" s="7">
        <f>IFERROR(__xludf.DUMMYFUNCTION("""COMPUTED_VALUE"""),7.7226286)</f>
        <v>7.7226286</v>
      </c>
      <c r="D18962" s="7">
        <f>IFERROR(__xludf.DUMMYFUNCTION("""COMPUTED_VALUE"""),0.462962962962962)</f>
        <v>0.462962963</v>
      </c>
    </row>
    <row r="18963">
      <c r="A18963" s="10" t="s">
        <v>20402</v>
      </c>
      <c r="B18963" s="7" t="str">
        <f>IFERROR(__xludf.DUMMYFUNCTION("SPLIT(A18963,"" "")"),"Cc1ccc(CN(Cc2ccccn2)c2ccc(N=Cc3ccccn3)cc2C2=CCC=CN2)nc1")</f>
        <v>Cc1ccc(CN(Cc2ccccn2)c2ccc(N=Cc3ccccn3)cc2C2=CCC=CN2)nc1</v>
      </c>
      <c r="C18963" s="7">
        <f>IFERROR(__xludf.DUMMYFUNCTION("""COMPUTED_VALUE"""),7.722624)</f>
        <v>7.722624</v>
      </c>
      <c r="D18963" s="7">
        <f>IFERROR(__xludf.DUMMYFUNCTION("""COMPUTED_VALUE"""),0.380281690140845)</f>
        <v>0.3802816901</v>
      </c>
    </row>
    <row r="18964">
      <c r="A18964" s="10" t="s">
        <v>20403</v>
      </c>
      <c r="B18964" s="7" t="str">
        <f>IFERROR(__xludf.DUMMYFUNCTION("SPLIT(A18964,"" "")"),"CN(c1ccc2ccc(C3=CCC=CN3)nc2c1)C1CCC(N(C)c2cccc3ccc(CF)nc23)CC1")</f>
        <v>CN(c1ccc2ccc(C3=CCC=CN3)nc2c1)C1CCC(N(C)c2cccc3ccc(CF)nc23)CC1</v>
      </c>
      <c r="C18964" s="7">
        <f>IFERROR(__xludf.DUMMYFUNCTION("""COMPUTED_VALUE"""),7.722604)</f>
        <v>7.722604</v>
      </c>
      <c r="D18964" s="7">
        <f>IFERROR(__xludf.DUMMYFUNCTION("""COMPUTED_VALUE"""),0.476923076923076)</f>
        <v>0.4769230769</v>
      </c>
    </row>
    <row r="18965">
      <c r="A18965" s="10" t="s">
        <v>20404</v>
      </c>
      <c r="B18965" s="7" t="str">
        <f>IFERROR(__xludf.DUMMYFUNCTION("SPLIT(A18965,"" "")"),"Cc1ccc(-c2ccccc2CNCc2ccccn2)nc1-c1cccc(-c2ccccc2)c1")</f>
        <v>Cc1ccc(-c2ccccc2CNCc2ccccn2)nc1-c1cccc(-c2ccccc2)c1</v>
      </c>
      <c r="C18965" s="7">
        <f>IFERROR(__xludf.DUMMYFUNCTION("""COMPUTED_VALUE"""),7.722594)</f>
        <v>7.722594</v>
      </c>
      <c r="D18965" s="7">
        <f>IFERROR(__xludf.DUMMYFUNCTION("""COMPUTED_VALUE"""),0.372549019607843)</f>
        <v>0.3725490196</v>
      </c>
    </row>
    <row r="18966">
      <c r="A18966" s="10" t="s">
        <v>20405</v>
      </c>
      <c r="B18966" s="7" t="str">
        <f>IFERROR(__xludf.DUMMYFUNCTION("SPLIT(A18966,"" "")"),"CC(C)N(CC1=CCC=C(N(C)Cc2ccccn2)N1)c1ccc2cccnc2c1")</f>
        <v>CC(C)N(CC1=CCC=C(N(C)Cc2ccccn2)N1)c1ccc2cccnc2c1</v>
      </c>
      <c r="C18966" s="7">
        <f>IFERROR(__xludf.DUMMYFUNCTION("""COMPUTED_VALUE"""),7.722593)</f>
        <v>7.722593</v>
      </c>
      <c r="D18966" s="7">
        <f>IFERROR(__xludf.DUMMYFUNCTION("""COMPUTED_VALUE"""),0.370967741935483)</f>
        <v>0.3709677419</v>
      </c>
    </row>
    <row r="18967">
      <c r="A18967" s="10" t="s">
        <v>20406</v>
      </c>
      <c r="B18967" s="7" t="str">
        <f>IFERROR(__xludf.DUMMYFUNCTION("SPLIT(A18967,"" "")"),"CC(C)N(Cc1ccccn1)c1ccc2nccc(C(C)(C)c3ccccn3)c2c1")</f>
        <v>CC(C)N(Cc1ccccn1)c1ccc2nccc(C(C)(C)c3ccccn3)c2c1</v>
      </c>
      <c r="C18967" s="7">
        <f>IFERROR(__xludf.DUMMYFUNCTION("""COMPUTED_VALUE"""),7.72259)</f>
        <v>7.72259</v>
      </c>
      <c r="D18967" s="7">
        <f>IFERROR(__xludf.DUMMYFUNCTION("""COMPUTED_VALUE"""),0.388888888888888)</f>
        <v>0.3888888889</v>
      </c>
    </row>
    <row r="18968">
      <c r="A18968" s="10" t="s">
        <v>20407</v>
      </c>
      <c r="B18968" s="7" t="str">
        <f>IFERROR(__xludf.DUMMYFUNCTION("SPLIT(A18968,"" "")"),"CN(CC1=C(N(C)C(c2ccccc2)c2ccccn2)CC=CN1)c1ccc2ncccc2c1")</f>
        <v>CN(CC1=C(N(C)C(c2ccccc2)c2ccccn2)CC=CN1)c1ccc2ncccc2c1</v>
      </c>
      <c r="C18968" s="7">
        <f>IFERROR(__xludf.DUMMYFUNCTION("""COMPUTED_VALUE"""),7.72258)</f>
        <v>7.72258</v>
      </c>
      <c r="D18968" s="7">
        <f>IFERROR(__xludf.DUMMYFUNCTION("""COMPUTED_VALUE"""),0.35820895522388)</f>
        <v>0.3582089552</v>
      </c>
    </row>
    <row r="18969">
      <c r="A18969" s="10" t="s">
        <v>20408</v>
      </c>
      <c r="B18969" s="7" t="str">
        <f>IFERROR(__xludf.DUMMYFUNCTION("SPLIT(A18969,"" "")"),"Cc1cncc(CNCc2ccc(N(C)c3ccc4ncccc4c3)cn2)c1")</f>
        <v>Cc1cncc(CNCc2ccc(N(C)c3ccc4ncccc4c3)cn2)c1</v>
      </c>
      <c r="C18969" s="7">
        <f>IFERROR(__xludf.DUMMYFUNCTION("""COMPUTED_VALUE"""),7.7225795)</f>
        <v>7.7225795</v>
      </c>
      <c r="D18969" s="7">
        <f>IFERROR(__xludf.DUMMYFUNCTION("""COMPUTED_VALUE"""),0.267857142857142)</f>
        <v>0.2678571429</v>
      </c>
    </row>
    <row r="18970">
      <c r="A18970" s="10" t="s">
        <v>20409</v>
      </c>
      <c r="B18970" s="7" t="str">
        <f>IFERROR(__xludf.DUMMYFUNCTION("SPLIT(A18970,"" "")"),"Cc1cc(-c2cccc(N(C)C)c2)c(C)nc1CN(C)c1ccnc(CN(C)Cc2ccccn2)c1")</f>
        <v>Cc1cc(-c2cccc(N(C)C)c2)c(C)nc1CN(C)c1ccnc(CN(C)Cc2ccccn2)c1</v>
      </c>
      <c r="C18970" s="7">
        <f>IFERROR(__xludf.DUMMYFUNCTION("""COMPUTED_VALUE"""),7.722577)</f>
        <v>7.722577</v>
      </c>
      <c r="D18970" s="7">
        <f>IFERROR(__xludf.DUMMYFUNCTION("""COMPUTED_VALUE"""),0.4)</f>
        <v>0.4</v>
      </c>
    </row>
    <row r="18971">
      <c r="A18971" s="10" t="s">
        <v>20410</v>
      </c>
      <c r="B18971" s="7" t="str">
        <f>IFERROR(__xludf.DUMMYFUNCTION("SPLIT(A18971,"" "")"),"Cc1cccc2ccc(CN(C)C)nc12")</f>
        <v>Cc1cccc2ccc(CN(C)C)nc12</v>
      </c>
      <c r="C18971" s="7">
        <f>IFERROR(__xludf.DUMMYFUNCTION("""COMPUTED_VALUE"""),7.722568)</f>
        <v>7.722568</v>
      </c>
      <c r="D18971" s="7">
        <f>IFERROR(__xludf.DUMMYFUNCTION("""COMPUTED_VALUE"""),0.394736842105263)</f>
        <v>0.3947368421</v>
      </c>
    </row>
    <row r="18972">
      <c r="A18972" s="10" t="s">
        <v>20411</v>
      </c>
      <c r="B18972" s="7" t="str">
        <f>IFERROR(__xludf.DUMMYFUNCTION("SPLIT(A18972,"" "")"),"CN(C)Cc1ccc2c(N(C)C3CCCC(N(C)c4cc5ncccc5cc4N(C)Cc4ccccn4)C3)cccc2n1")</f>
        <v>CN(C)Cc1ccc2c(N(C)C3CCCC(N(C)c4cc5ncccc5cc4N(C)Cc4ccccn4)C3)cccc2n1</v>
      </c>
      <c r="C18972" s="7">
        <f>IFERROR(__xludf.DUMMYFUNCTION("""COMPUTED_VALUE"""),7.7225413)</f>
        <v>7.7225413</v>
      </c>
      <c r="D18972" s="7">
        <f>IFERROR(__xludf.DUMMYFUNCTION("""COMPUTED_VALUE"""),0.390625)</f>
        <v>0.390625</v>
      </c>
    </row>
    <row r="18973">
      <c r="A18973" s="10" t="s">
        <v>20412</v>
      </c>
      <c r="B18973" s="7" t="str">
        <f>IFERROR(__xludf.DUMMYFUNCTION("SPLIT(A18973,"" "")"),"Cc1cccc(-c2cccc(CN(C)Cc3ccc(-c4cccc(N=Cc5ccccn5)c4)cn3)n2)c1")</f>
        <v>Cc1cccc(-c2cccc(CN(C)Cc3ccc(-c4cccc(N=Cc5ccccn5)c4)cn3)n2)c1</v>
      </c>
      <c r="C18973" s="7">
        <f>IFERROR(__xludf.DUMMYFUNCTION("""COMPUTED_VALUE"""),7.722517)</f>
        <v>7.722517</v>
      </c>
      <c r="D18973" s="7">
        <f>IFERROR(__xludf.DUMMYFUNCTION("""COMPUTED_VALUE"""),0.435483870967741)</f>
        <v>0.435483871</v>
      </c>
    </row>
    <row r="18974">
      <c r="A18974" s="10" t="s">
        <v>20413</v>
      </c>
      <c r="B18974" s="7" t="str">
        <f>IFERROR(__xludf.DUMMYFUNCTION("SPLIT(A18974,"" "")"),"CN(Cc1ccccc1)c1ccc2ncccc2c1")</f>
        <v>CN(Cc1ccccc1)c1ccc2ncccc2c1</v>
      </c>
      <c r="C18974" s="7">
        <f>IFERROR(__xludf.DUMMYFUNCTION("""COMPUTED_VALUE"""),7.7225084)</f>
        <v>7.7225084</v>
      </c>
      <c r="D18974" s="7">
        <f>IFERROR(__xludf.DUMMYFUNCTION("""COMPUTED_VALUE"""),0.363636363636363)</f>
        <v>0.3636363636</v>
      </c>
    </row>
    <row r="18975">
      <c r="A18975" s="10" t="s">
        <v>20414</v>
      </c>
      <c r="B18975" s="7" t="str">
        <f>IFERROR(__xludf.DUMMYFUNCTION("SPLIT(A18975,"" "")"),"CNCCN(C)c1ccc2c(C)ccnc2c1")</f>
        <v>CNCCN(C)c1ccc2c(C)ccnc2c1</v>
      </c>
      <c r="C18975" s="7">
        <f>IFERROR(__xludf.DUMMYFUNCTION("""COMPUTED_VALUE"""),7.7224975)</f>
        <v>7.7224975</v>
      </c>
      <c r="D18975" s="7">
        <f>IFERROR(__xludf.DUMMYFUNCTION("""COMPUTED_VALUE"""),0.235294117647058)</f>
        <v>0.2352941176</v>
      </c>
    </row>
    <row r="18976">
      <c r="A18976" s="10" t="s">
        <v>20415</v>
      </c>
      <c r="B18976" s="7" t="str">
        <f>IFERROR(__xludf.DUMMYFUNCTION("SPLIT(A18976,"" "")"),"Cc1cccnc1CN(C)Cc1ncccc1N(C)c1cccc2ccc(CF)nc12")</f>
        <v>Cc1cccnc1CN(C)Cc1ncccc1N(C)c1cccc2ccc(CF)nc12</v>
      </c>
      <c r="C18976" s="7">
        <f>IFERROR(__xludf.DUMMYFUNCTION("""COMPUTED_VALUE"""),7.7224975)</f>
        <v>7.7224975</v>
      </c>
      <c r="D18976" s="7">
        <f>IFERROR(__xludf.DUMMYFUNCTION("""COMPUTED_VALUE"""),0.456140350877192)</f>
        <v>0.4561403509</v>
      </c>
    </row>
    <row r="18977">
      <c r="A18977" s="10" t="s">
        <v>20416</v>
      </c>
      <c r="B18977" s="7" t="str">
        <f>IFERROR(__xludf.DUMMYFUNCTION("SPLIT(A18977,"" "")"),"CN(C)Cc1ncccc1-c1ccc(Cl)cc1N")</f>
        <v>CN(C)Cc1ncccc1-c1ccc(Cl)cc1N</v>
      </c>
      <c r="C18977" s="7">
        <f>IFERROR(__xludf.DUMMYFUNCTION("""COMPUTED_VALUE"""),7.722492)</f>
        <v>7.722492</v>
      </c>
      <c r="D18977" s="7">
        <f>IFERROR(__xludf.DUMMYFUNCTION("""COMPUTED_VALUE"""),0.326530612244897)</f>
        <v>0.3265306122</v>
      </c>
    </row>
    <row r="18978">
      <c r="A18978" s="10" t="s">
        <v>20417</v>
      </c>
      <c r="B18978" s="7" t="str">
        <f>IFERROR(__xludf.DUMMYFUNCTION("SPLIT(A18978,"" "")"),"CN(Cc1ccon1)Cc1ncccc1-c1cccc(N=Cc2ccccn2)c1")</f>
        <v>CN(Cc1ccon1)Cc1ncccc1-c1cccc(N=Cc2ccccn2)c1</v>
      </c>
      <c r="C18978" s="7">
        <f>IFERROR(__xludf.DUMMYFUNCTION("""COMPUTED_VALUE"""),7.7224917)</f>
        <v>7.7224917</v>
      </c>
      <c r="D18978" s="7">
        <f>IFERROR(__xludf.DUMMYFUNCTION("""COMPUTED_VALUE"""),0.362068965517241)</f>
        <v>0.3620689655</v>
      </c>
    </row>
    <row r="18979">
      <c r="A18979" s="10" t="s">
        <v>20418</v>
      </c>
      <c r="B18979" s="7" t="str">
        <f>IFERROR(__xludf.DUMMYFUNCTION("SPLIT(A18979,"" "")"),"CN(C)Cc1ccc2cc(N(C)C3C=CC=CN3)ccc2n1")</f>
        <v>CN(C)Cc1ccc2cc(N(C)C3C=CC=CN3)ccc2n1</v>
      </c>
      <c r="C18979" s="7">
        <f>IFERROR(__xludf.DUMMYFUNCTION("""COMPUTED_VALUE"""),7.722489)</f>
        <v>7.722489</v>
      </c>
      <c r="D18979" s="7">
        <f>IFERROR(__xludf.DUMMYFUNCTION("""COMPUTED_VALUE"""),0.306122448979591)</f>
        <v>0.306122449</v>
      </c>
    </row>
    <row r="18980">
      <c r="A18980" s="10" t="s">
        <v>20419</v>
      </c>
      <c r="B18980" s="7" t="str">
        <f>IFERROR(__xludf.DUMMYFUNCTION("SPLIT(A18980,"" "")"),"CC(C)N(C)c1cc(N(Cc2ccccn2)C(C)C)cc2ncccc12")</f>
        <v>CC(C)N(C)c1cc(N(Cc2ccccn2)C(C)C)cc2ncccc12</v>
      </c>
      <c r="C18980" s="7">
        <f>IFERROR(__xludf.DUMMYFUNCTION("""COMPUTED_VALUE"""),7.7224874)</f>
        <v>7.7224874</v>
      </c>
      <c r="D18980" s="7">
        <f>IFERROR(__xludf.DUMMYFUNCTION("""COMPUTED_VALUE"""),0.489361702127659)</f>
        <v>0.4893617021</v>
      </c>
    </row>
    <row r="18981">
      <c r="A18981" s="10" t="s">
        <v>20420</v>
      </c>
      <c r="B18981" s="7" t="str">
        <f>IFERROR(__xludf.DUMMYFUNCTION("SPLIT(A18981,"" "")"),"CN(CCN(C)c1ccc2nc(CF)ccc2c1)Cc1ccc2ncccc2c1")</f>
        <v>CN(CCN(C)c1ccc2nc(CF)ccc2c1)Cc1ccc2ncccc2c1</v>
      </c>
      <c r="C18981" s="7">
        <f>IFERROR(__xludf.DUMMYFUNCTION("""COMPUTED_VALUE"""),7.7224803)</f>
        <v>7.7224803</v>
      </c>
      <c r="D18981" s="7">
        <f>IFERROR(__xludf.DUMMYFUNCTION("""COMPUTED_VALUE"""),0.363636363636363)</f>
        <v>0.3636363636</v>
      </c>
    </row>
    <row r="18982">
      <c r="A18982" s="10" t="s">
        <v>20421</v>
      </c>
      <c r="B18982" s="7" t="str">
        <f>IFERROR(__xludf.DUMMYFUNCTION("SPLIT(A18982,"" "")"),"CNCc1cc(CN(C)c2ccc3nc(C)ccc3c2)ccn1")</f>
        <v>CNCc1cc(CN(C)c2ccc3nc(C)ccc3c2)ccn1</v>
      </c>
      <c r="C18982" s="7">
        <f>IFERROR(__xludf.DUMMYFUNCTION("""COMPUTED_VALUE"""),7.722475)</f>
        <v>7.722475</v>
      </c>
      <c r="D18982" s="7">
        <f>IFERROR(__xludf.DUMMYFUNCTION("""COMPUTED_VALUE"""),0.288461538461538)</f>
        <v>0.2884615385</v>
      </c>
    </row>
    <row r="18983">
      <c r="A18983" s="10" t="s">
        <v>20422</v>
      </c>
      <c r="B18983" s="7" t="str">
        <f>IFERROR(__xludf.DUMMYFUNCTION("SPLIT(A18983,"" "")"),"c1ccc(-c2cccnn2)nc1")</f>
        <v>c1ccc(-c2cccnn2)nc1</v>
      </c>
      <c r="C18983" s="7">
        <f>IFERROR(__xludf.DUMMYFUNCTION("""COMPUTED_VALUE"""),7.7224736)</f>
        <v>7.7224736</v>
      </c>
      <c r="D18983" s="7">
        <f>IFERROR(__xludf.DUMMYFUNCTION("""COMPUTED_VALUE"""),0.454545454545454)</f>
        <v>0.4545454545</v>
      </c>
    </row>
    <row r="18984">
      <c r="A18984" s="10" t="s">
        <v>20423</v>
      </c>
      <c r="B18984" s="7" t="str">
        <f>IFERROR(__xludf.DUMMYFUNCTION("SPLIT(A18984,"" "")"),"CC(C)N(C)Cc1cc(-c2ccc3ncccc3c2)ccn1")</f>
        <v>CC(C)N(C)Cc1cc(-c2ccc3ncccc3c2)ccn1</v>
      </c>
      <c r="C18984" s="7">
        <f>IFERROR(__xludf.DUMMYFUNCTION("""COMPUTED_VALUE"""),7.72247)</f>
        <v>7.72247</v>
      </c>
      <c r="D18984" s="7">
        <f>IFERROR(__xludf.DUMMYFUNCTION("""COMPUTED_VALUE"""),0.346938775510204)</f>
        <v>0.3469387755</v>
      </c>
    </row>
    <row r="18985">
      <c r="A18985" s="10" t="s">
        <v>20424</v>
      </c>
      <c r="B18985" s="7" t="str">
        <f>IFERROR(__xludf.DUMMYFUNCTION("SPLIT(A18985,"" "")"),"Cc1cc(CN(C)Cc2ccc(N(C)c3ccc4nc(CF)ccc4c3)cn2)cnc1C")</f>
        <v>Cc1cc(CN(C)Cc2ccc(N(C)c3ccc4nc(CF)ccc4c3)cn2)cnc1C</v>
      </c>
      <c r="C18985" s="7">
        <f>IFERROR(__xludf.DUMMYFUNCTION("""COMPUTED_VALUE"""),7.7224593)</f>
        <v>7.7224593</v>
      </c>
      <c r="D18985" s="7">
        <f>IFERROR(__xludf.DUMMYFUNCTION("""COMPUTED_VALUE"""),0.351851851851851)</f>
        <v>0.3518518519</v>
      </c>
    </row>
    <row r="18986">
      <c r="A18986" s="10" t="s">
        <v>20425</v>
      </c>
      <c r="B18986" s="7" t="str">
        <f>IFERROR(__xludf.DUMMYFUNCTION("SPLIT(A18986,"" "")"),"CCN(Cc1ccccn1)C1=CCC=C(CN(C)c2cccc3cccnc23)N1")</f>
        <v>CCN(Cc1ccccn1)C1=CCC=C(CN(C)c2cccc3cccnc23)N1</v>
      </c>
      <c r="C18986" s="7">
        <f>IFERROR(__xludf.DUMMYFUNCTION("""COMPUTED_VALUE"""),7.722453)</f>
        <v>7.722453</v>
      </c>
      <c r="D18986" s="7">
        <f>IFERROR(__xludf.DUMMYFUNCTION("""COMPUTED_VALUE"""),0.436363636363636)</f>
        <v>0.4363636364</v>
      </c>
    </row>
    <row r="18987">
      <c r="A18987" s="10" t="s">
        <v>20426</v>
      </c>
      <c r="B18987" s="7" t="str">
        <f>IFERROR(__xludf.DUMMYFUNCTION("SPLIT(A18987,"" "")"),"Cc1ccnc(CN(C)Cc2ccnc3cccc(N(C)Cc4ccccn4)c23)c1C")</f>
        <v>Cc1ccnc(CN(C)Cc2ccnc3cccc(N(C)Cc4ccccn4)c23)c1C</v>
      </c>
      <c r="C18987" s="7">
        <f>IFERROR(__xludf.DUMMYFUNCTION("""COMPUTED_VALUE"""),7.722453)</f>
        <v>7.722453</v>
      </c>
      <c r="D18987" s="7">
        <f>IFERROR(__xludf.DUMMYFUNCTION("""COMPUTED_VALUE"""),0.418181818181818)</f>
        <v>0.4181818182</v>
      </c>
    </row>
    <row r="18988">
      <c r="A18988" s="10" t="s">
        <v>20427</v>
      </c>
      <c r="B18988" s="7" t="str">
        <f>IFERROR(__xludf.DUMMYFUNCTION("SPLIT(A18988,"" "")"),"CN(CCN(CC(C)(C)C)c1ccc2ncccc2c1)c1ccc2ncccc2c1")</f>
        <v>CN(CCN(CC(C)(C)C)c1ccc2ncccc2c1)c1ccc2ncccc2c1</v>
      </c>
      <c r="C18988" s="7">
        <f>IFERROR(__xludf.DUMMYFUNCTION("""COMPUTED_VALUE"""),7.722442)</f>
        <v>7.722442</v>
      </c>
      <c r="D18988" s="7">
        <f>IFERROR(__xludf.DUMMYFUNCTION("""COMPUTED_VALUE"""),0.382978723404255)</f>
        <v>0.3829787234</v>
      </c>
    </row>
    <row r="18989">
      <c r="A18989" s="10" t="s">
        <v>20428</v>
      </c>
      <c r="B18989" s="7" t="str">
        <f>IFERROR(__xludf.DUMMYFUNCTION("SPLIT(A18989,"" "")"),"CC(C)C1=CC2(C=CN1)C(c1ccc(CN(Cc3ccccn3)c3ccc4ncccc4c3)cn1)=CCC(c1cccc(CN(Cc3ccccn3)c3ccc4ncccc4c3)n1)C2(C)C")</f>
        <v>CC(C)C1=CC2(C=CN1)C(c1ccc(CN(Cc3ccccn3)c3ccc4ncccc4c3)cn1)=CCC(c1cccc(CN(Cc3ccccn3)c3ccc4ncccc4c3)n1)C2(C)C</v>
      </c>
      <c r="C18989" s="7">
        <f>IFERROR(__xludf.DUMMYFUNCTION("""COMPUTED_VALUE"""),7.722408)</f>
        <v>7.722408</v>
      </c>
      <c r="D18989" s="7">
        <f>IFERROR(__xludf.DUMMYFUNCTION("""COMPUTED_VALUE"""),0.270588235294117)</f>
        <v>0.2705882353</v>
      </c>
    </row>
    <row r="18990">
      <c r="A18990" s="10" t="s">
        <v>20429</v>
      </c>
      <c r="B18990" s="7" t="str">
        <f>IFERROR(__xludf.DUMMYFUNCTION("SPLIT(A18990,"" "")"),"CCN(Cc1ccccn1)c1cccnc1-c1cc(C(C)(c2ccccn2)c2ccccn2)ccn1")</f>
        <v>CCN(Cc1ccccn1)c1cccnc1-c1cc(C(C)(c2ccccn2)c2ccccn2)ccn1</v>
      </c>
      <c r="C18990" s="7">
        <f>IFERROR(__xludf.DUMMYFUNCTION("""COMPUTED_VALUE"""),7.7223935)</f>
        <v>7.7223935</v>
      </c>
      <c r="D18990" s="7">
        <f>IFERROR(__xludf.DUMMYFUNCTION("""COMPUTED_VALUE"""),0.375)</f>
        <v>0.375</v>
      </c>
    </row>
    <row r="18991">
      <c r="A18991" s="10" t="s">
        <v>20430</v>
      </c>
      <c r="B18991" s="7" t="str">
        <f>IFERROR(__xludf.DUMMYFUNCTION("SPLIT(A18991,"" "")"),"CN(C)Cc1ccc2cccc(N(C)Cc3ncccc3C(C)(C)C)c2n1")</f>
        <v>CN(C)Cc1ccc2cccc(N(C)Cc3ncccc3C(C)(C)C)c2n1</v>
      </c>
      <c r="C18991" s="7">
        <f>IFERROR(__xludf.DUMMYFUNCTION("""COMPUTED_VALUE"""),7.7223935)</f>
        <v>7.7223935</v>
      </c>
      <c r="D18991" s="7">
        <f>IFERROR(__xludf.DUMMYFUNCTION("""COMPUTED_VALUE"""),0.448979591836734)</f>
        <v>0.4489795918</v>
      </c>
    </row>
    <row r="18992">
      <c r="A18992" s="10" t="s">
        <v>20431</v>
      </c>
      <c r="B18992" s="7" t="str">
        <f>IFERROR(__xludf.DUMMYFUNCTION("SPLIT(A18992,"" "")"),"Cc1ncccc1CN(C)CC1=CCC=C(N(C)c2cccc3ncccc23)N1")</f>
        <v>Cc1ncccc1CN(C)CC1=CCC=C(N(C)c2cccc3ncccc23)N1</v>
      </c>
      <c r="C18992" s="7">
        <f>IFERROR(__xludf.DUMMYFUNCTION("""COMPUTED_VALUE"""),7.7223926)</f>
        <v>7.7223926</v>
      </c>
      <c r="D18992" s="7">
        <f>IFERROR(__xludf.DUMMYFUNCTION("""COMPUTED_VALUE"""),0.311475409836065)</f>
        <v>0.3114754098</v>
      </c>
    </row>
    <row r="18993">
      <c r="A18993" s="10" t="s">
        <v>20432</v>
      </c>
      <c r="B18993" s="7" t="str">
        <f>IFERROR(__xludf.DUMMYFUNCTION("SPLIT(A18993,"" "")"),"CN(Cc1cc(-c2cccc(N=Cc3ccccn3)c2)ccn1)Cc1ccon1")</f>
        <v>CN(Cc1cc(-c2cccc(N=Cc3ccccn3)c2)ccn1)Cc1ccon1</v>
      </c>
      <c r="C18993" s="7">
        <f>IFERROR(__xludf.DUMMYFUNCTION("""COMPUTED_VALUE"""),7.7223825)</f>
        <v>7.7223825</v>
      </c>
      <c r="D18993" s="7">
        <f>IFERROR(__xludf.DUMMYFUNCTION("""COMPUTED_VALUE"""),0.388888888888888)</f>
        <v>0.3888888889</v>
      </c>
    </row>
    <row r="18994">
      <c r="A18994" s="10" t="s">
        <v>20433</v>
      </c>
      <c r="B18994" s="7" t="str">
        <f>IFERROR(__xludf.DUMMYFUNCTION("SPLIT(A18994,"" "")"),"COC(=O)NCNCc1cccc(C(=O)C(=O)C(=O)C(=O)C(=O)C(=O)C(=O)C(=O)C(=O)C(=O)C(=O)C(=O)C(=O)C(=O)C(=O)C(=O)C(=O)C(=O)C(=O)C(=O)C(=O)C(=O)C(=O)C(=O)C(=O)C(=O)C(=O)C(=O)C(=O)C(=O)C(=O)C(=O)C(=O)C(=O)C=O)n1")</f>
        <v>COC(=O)NCNCc1cccc(C(=O)C(=O)C(=O)C(=O)C(=O)C(=O)C(=O)C(=O)C(=O)C(=O)C(=O)C(=O)C(=O)C(=O)C(=O)C(=O)C(=O)C(=O)C(=O)C(=O)C(=O)C(=O)C(=O)C(=O)C(=O)C(=O)C(=O)C(=O)C(=O)C(=O)C(=O)C(=O)C(=O)C(=O)C=O)n1</v>
      </c>
      <c r="C18994" s="7">
        <f>IFERROR(__xludf.DUMMYFUNCTION("""COMPUTED_VALUE"""),7.7223806)</f>
        <v>7.7223806</v>
      </c>
      <c r="D18994" s="7">
        <f>IFERROR(__xludf.DUMMYFUNCTION("""COMPUTED_VALUE"""),0.222222222222222)</f>
        <v>0.2222222222</v>
      </c>
    </row>
    <row r="18995">
      <c r="A18995" s="10" t="s">
        <v>20434</v>
      </c>
      <c r="B18995" s="7" t="str">
        <f>IFERROR(__xludf.DUMMYFUNCTION("SPLIT(A18995,"" "")"),"Cc1ccc(CN(C)c2cccnc2CN(Cc2ccccn2)c2ccc3nc(CF)ccc3c2)nc1")</f>
        <v>Cc1ccc(CN(C)c2cccnc2CN(Cc2ccccn2)c2ccc3nc(CF)ccc3c2)nc1</v>
      </c>
      <c r="C18995" s="7">
        <f>IFERROR(__xludf.DUMMYFUNCTION("""COMPUTED_VALUE"""),7.7223735)</f>
        <v>7.7223735</v>
      </c>
      <c r="D18995" s="7">
        <f>IFERROR(__xludf.DUMMYFUNCTION("""COMPUTED_VALUE"""),0.393442622950819)</f>
        <v>0.393442623</v>
      </c>
    </row>
    <row r="18996">
      <c r="A18996" s="10" t="s">
        <v>20435</v>
      </c>
      <c r="B18996" s="7" t="str">
        <f>IFERROR(__xludf.DUMMYFUNCTION("SPLIT(A18996,"" "")"),"Cc1ccnc(-c2ccccc2N(C)Cc2ccnc(C)c2)c1")</f>
        <v>Cc1ccnc(-c2ccccc2N(C)Cc2ccnc(C)c2)c1</v>
      </c>
      <c r="C18996" s="7">
        <f>IFERROR(__xludf.DUMMYFUNCTION("""COMPUTED_VALUE"""),7.7223434)</f>
        <v>7.7223434</v>
      </c>
      <c r="D18996" s="7">
        <f>IFERROR(__xludf.DUMMYFUNCTION("""COMPUTED_VALUE"""),0.333333333333333)</f>
        <v>0.3333333333</v>
      </c>
    </row>
    <row r="18997">
      <c r="A18997" s="10" t="s">
        <v>20436</v>
      </c>
      <c r="B18997" s="7" t="str">
        <f>IFERROR(__xludf.DUMMYFUNCTION("SPLIT(A18997,"" "")"),"Cc1ccc(NC2CCC(N(C)c3cccc4cc(-c5ccc6ncccc6c5)cnc34)CC2)cc1")</f>
        <v>Cc1ccc(NC2CCC(N(C)c3cccc4cc(-c5ccc6ncccc6c5)cnc34)CC2)cc1</v>
      </c>
      <c r="C18997" s="7">
        <f>IFERROR(__xludf.DUMMYFUNCTION("""COMPUTED_VALUE"""),7.722334)</f>
        <v>7.722334</v>
      </c>
      <c r="D18997" s="7">
        <f>IFERROR(__xludf.DUMMYFUNCTION("""COMPUTED_VALUE"""),0.375)</f>
        <v>0.375</v>
      </c>
    </row>
    <row r="18998">
      <c r="A18998" s="10" t="s">
        <v>20437</v>
      </c>
      <c r="B18998" s="7" t="str">
        <f>IFERROR(__xludf.DUMMYFUNCTION("SPLIT(A18998,"" "")"),"Cc1ccc(-c2ccc(CN(C)Cc3cccc(-c4ccc(N=Cc5ccccn5)cc4)n3)cc2)nc1")</f>
        <v>Cc1ccc(-c2ccc(CN(C)Cc3cccc(-c4ccc(N=Cc5ccccn5)cc4)n3)cc2)nc1</v>
      </c>
      <c r="C18998" s="7">
        <f>IFERROR(__xludf.DUMMYFUNCTION("""COMPUTED_VALUE"""),7.722328)</f>
        <v>7.722328</v>
      </c>
      <c r="D18998" s="7">
        <f>IFERROR(__xludf.DUMMYFUNCTION("""COMPUTED_VALUE"""),0.426229508196721)</f>
        <v>0.4262295082</v>
      </c>
    </row>
    <row r="18999">
      <c r="A18999" s="10" t="s">
        <v>20438</v>
      </c>
      <c r="B18999" s="7" t="str">
        <f>IFERROR(__xludf.DUMMYFUNCTION("SPLIT(A18999,"" "")"),"CN(CCN(C)c1ccc2c(C3=CCC=CN3)ccnc2c1)Cc1ccccn1")</f>
        <v>CN(CCN(C)c1ccc2c(C3=CCC=CN3)ccnc2c1)Cc1ccccn1</v>
      </c>
      <c r="C18999" s="7">
        <f>IFERROR(__xludf.DUMMYFUNCTION("""COMPUTED_VALUE"""),7.7223277)</f>
        <v>7.7223277</v>
      </c>
      <c r="D18999" s="7">
        <f>IFERROR(__xludf.DUMMYFUNCTION("""COMPUTED_VALUE"""),0.421875)</f>
        <v>0.421875</v>
      </c>
    </row>
    <row r="19000">
      <c r="A19000" s="10" t="s">
        <v>20439</v>
      </c>
      <c r="B19000" s="7" t="str">
        <f>IFERROR(__xludf.DUMMYFUNCTION("SPLIT(A19000,"" "")"),"CN(Cc1ccccn1)C1=CCC=C(CN(C)c2ccc(Cl)c(Cl)c2N(C)Cc2ccccn2)N1")</f>
        <v>CN(Cc1ccccn1)C1=CCC=C(CN(C)c2ccc(Cl)c(Cl)c2N(C)Cc2ccccn2)N1</v>
      </c>
      <c r="C19000" s="7">
        <f>IFERROR(__xludf.DUMMYFUNCTION("""COMPUTED_VALUE"""),7.7223163)</f>
        <v>7.7223163</v>
      </c>
      <c r="D19000" s="7">
        <f>IFERROR(__xludf.DUMMYFUNCTION("""COMPUTED_VALUE"""),0.490566037735849)</f>
        <v>0.4905660377</v>
      </c>
    </row>
    <row r="19001">
      <c r="A19001" s="10" t="s">
        <v>20440</v>
      </c>
      <c r="B19001" s="7" t="str">
        <f>IFERROR(__xludf.DUMMYFUNCTION("SPLIT(A19001,"" "")"),"CN(C)Cc1ncccc1-c1cccc(N=Cc2ccccn2)c1")</f>
        <v>CN(C)Cc1ncccc1-c1cccc(N=Cc2ccccn2)c1</v>
      </c>
      <c r="C19001" s="7">
        <f>IFERROR(__xludf.DUMMYFUNCTION("""COMPUTED_VALUE"""),7.722303)</f>
        <v>7.722303</v>
      </c>
      <c r="D19001" s="7">
        <f>IFERROR(__xludf.DUMMYFUNCTION("""COMPUTED_VALUE"""),0.388888888888888)</f>
        <v>0.3888888889</v>
      </c>
    </row>
    <row r="19002">
      <c r="A19002" s="10" t="s">
        <v>20441</v>
      </c>
      <c r="B19002" s="7" t="str">
        <f>IFERROR(__xludf.DUMMYFUNCTION("SPLIT(A19002,"" "")"),"CN(CC1=C(N(C)C(c2ccccc2)c2ccccn2)CC=CN1)c1ccc2cccnc2c1")</f>
        <v>CN(CC1=C(N(C)C(c2ccccc2)c2ccccn2)CC=CN1)c1ccc2cccnc2c1</v>
      </c>
      <c r="C19002" s="7">
        <f>IFERROR(__xludf.DUMMYFUNCTION("""COMPUTED_VALUE"""),7.7222996)</f>
        <v>7.7222996</v>
      </c>
      <c r="D19002" s="7">
        <f>IFERROR(__xludf.DUMMYFUNCTION("""COMPUTED_VALUE"""),0.352941176470588)</f>
        <v>0.3529411765</v>
      </c>
    </row>
    <row r="19003">
      <c r="A19003" s="10" t="s">
        <v>20442</v>
      </c>
      <c r="B19003" s="7" t="str">
        <f>IFERROR(__xludf.DUMMYFUNCTION("SPLIT(A19003,"" "")"),"Cc1cccnc1CN(C)CCN(C)c1ccc2nc(-c3ccccn3)ccc2c1")</f>
        <v>Cc1cccnc1CN(C)CCN(C)c1ccc2nc(-c3ccccn3)ccc2c1</v>
      </c>
      <c r="C19003" s="7">
        <f>IFERROR(__xludf.DUMMYFUNCTION("""COMPUTED_VALUE"""),7.722296)</f>
        <v>7.722296</v>
      </c>
      <c r="D19003" s="7">
        <f>IFERROR(__xludf.DUMMYFUNCTION("""COMPUTED_VALUE"""),0.392857142857142)</f>
        <v>0.3928571429</v>
      </c>
    </row>
    <row r="19004">
      <c r="A19004" s="10" t="s">
        <v>20443</v>
      </c>
      <c r="B19004" s="7" t="str">
        <f>IFERROR(__xludf.DUMMYFUNCTION("SPLIT(A19004,"" "")"),"Cc1ccc(CN(C)c2c(Cl)ccc(N(C)Cc3cccc(F)n3)c2Cl)nc1")</f>
        <v>Cc1ccc(CN(C)c2c(Cl)ccc(N(C)Cc3cccc(F)n3)c2Cl)nc1</v>
      </c>
      <c r="C19004" s="7">
        <f>IFERROR(__xludf.DUMMYFUNCTION("""COMPUTED_VALUE"""),7.7222934)</f>
        <v>7.7222934</v>
      </c>
      <c r="D19004" s="7">
        <f>IFERROR(__xludf.DUMMYFUNCTION("""COMPUTED_VALUE"""),0.411764705882352)</f>
        <v>0.4117647059</v>
      </c>
    </row>
    <row r="19005">
      <c r="A19005" s="10" t="s">
        <v>20444</v>
      </c>
      <c r="B19005" s="7" t="str">
        <f>IFERROR(__xludf.DUMMYFUNCTION("SPLIT(A19005,"" "")"),"Cc1c(-c2ccccc2)ccc(NCc2ccccn2)c1-c1ccc(NCc2ccccn2)nc1CF")</f>
        <v>Cc1c(-c2ccccc2)ccc(NCc2ccccn2)c1-c1ccc(NCc2ccccn2)nc1CF</v>
      </c>
      <c r="C19005" s="7">
        <f>IFERROR(__xludf.DUMMYFUNCTION("""COMPUTED_VALUE"""),7.7222915)</f>
        <v>7.7222915</v>
      </c>
      <c r="D19005" s="7">
        <f>IFERROR(__xludf.DUMMYFUNCTION("""COMPUTED_VALUE"""),0.433333333333333)</f>
        <v>0.4333333333</v>
      </c>
    </row>
    <row r="19006">
      <c r="A19006" s="10" t="s">
        <v>20445</v>
      </c>
      <c r="B19006" s="7" t="str">
        <f>IFERROR(__xludf.DUMMYFUNCTION("SPLIT(A19006,"" "")"),"Cc1cccc(-c2c(C)ccc(C)c2-c2cc(CN(Cc3ccccn3)Cc3ccccn3)ccn2)c1N=Cc1ccccn1")</f>
        <v>Cc1cccc(-c2c(C)ccc(C)c2-c2cc(CN(Cc3ccccn3)Cc3ccccn3)ccn2)c1N=Cc1ccccn1</v>
      </c>
      <c r="C19006" s="7">
        <f>IFERROR(__xludf.DUMMYFUNCTION("""COMPUTED_VALUE"""),7.722288)</f>
        <v>7.722288</v>
      </c>
      <c r="D19006" s="7">
        <f>IFERROR(__xludf.DUMMYFUNCTION("""COMPUTED_VALUE"""),0.426229508196721)</f>
        <v>0.4262295082</v>
      </c>
    </row>
    <row r="19007">
      <c r="A19007" s="10" t="s">
        <v>20446</v>
      </c>
      <c r="B19007" s="7" t="str">
        <f>IFERROR(__xludf.DUMMYFUNCTION("SPLIT(A19007,"" "")"),"CCN(Cc1ccccn1)C1=CCC=C(CN(C)c2ccc3cccnc3c2)N1")</f>
        <v>CCN(Cc1ccccn1)C1=CCC=C(CN(C)c2ccc3cccnc3c2)N1</v>
      </c>
      <c r="C19007" s="7">
        <f>IFERROR(__xludf.DUMMYFUNCTION("""COMPUTED_VALUE"""),7.722286)</f>
        <v>7.722286</v>
      </c>
      <c r="D19007" s="7">
        <f>IFERROR(__xludf.DUMMYFUNCTION("""COMPUTED_VALUE"""),0.377049180327868)</f>
        <v>0.3770491803</v>
      </c>
    </row>
    <row r="19008">
      <c r="A19008" s="10" t="s">
        <v>20447</v>
      </c>
      <c r="B19008" s="7" t="str">
        <f>IFERROR(__xludf.DUMMYFUNCTION("SPLIT(A19008,"" "")"),"CN(Cc1ccccn1)Cc1cc(N(C)c2ccc3ncccc3c2)ccn1")</f>
        <v>CN(Cc1ccccn1)Cc1cc(N(C)c2ccc3ncccc3c2)ccn1</v>
      </c>
      <c r="C19008" s="7">
        <f>IFERROR(__xludf.DUMMYFUNCTION("""COMPUTED_VALUE"""),7.722279)</f>
        <v>7.722279</v>
      </c>
      <c r="D19008" s="7">
        <f>IFERROR(__xludf.DUMMYFUNCTION("""COMPUTED_VALUE"""),0.479166666666666)</f>
        <v>0.4791666667</v>
      </c>
    </row>
    <row r="19009">
      <c r="A19009" s="10" t="s">
        <v>20448</v>
      </c>
      <c r="B19009" s="7" t="str">
        <f>IFERROR(__xludf.DUMMYFUNCTION("SPLIT(A19009,"" "")"),"Cc1cccnc1CN(C)C1=C(CN(C)c2ccc3ccc(CF)nc3c2)NC=CC1")</f>
        <v>Cc1cccnc1CN(C)C1=C(CN(C)c2ccc3ccc(CF)nc3c2)NC=CC1</v>
      </c>
      <c r="C19009" s="7">
        <f>IFERROR(__xludf.DUMMYFUNCTION("""COMPUTED_VALUE"""),7.7222743)</f>
        <v>7.7222743</v>
      </c>
      <c r="D19009" s="7">
        <f>IFERROR(__xludf.DUMMYFUNCTION("""COMPUTED_VALUE"""),0.260869565217391)</f>
        <v>0.2608695652</v>
      </c>
    </row>
    <row r="19010">
      <c r="A19010" s="10" t="s">
        <v>20449</v>
      </c>
      <c r="B19010" s="7" t="str">
        <f>IFERROR(__xludf.DUMMYFUNCTION("SPLIT(A19010,"" "")"),"FCc1cc(-c2c(Cl)ccc(Cl)c2NCc2ccccn2)cc(NCc2ccccn2)n1")</f>
        <v>FCc1cc(-c2c(Cl)ccc(Cl)c2NCc2ccccn2)cc(NCc2ccccn2)n1</v>
      </c>
      <c r="C19010" s="7">
        <f>IFERROR(__xludf.DUMMYFUNCTION("""COMPUTED_VALUE"""),7.722267)</f>
        <v>7.722267</v>
      </c>
      <c r="D19010" s="7">
        <f>IFERROR(__xludf.DUMMYFUNCTION("""COMPUTED_VALUE"""),0.43859649122807)</f>
        <v>0.4385964912</v>
      </c>
    </row>
    <row r="19011">
      <c r="A19011" s="10" t="s">
        <v>20450</v>
      </c>
      <c r="B19011" s="7" t="str">
        <f>IFERROR(__xludf.DUMMYFUNCTION("SPLIT(A19011,"" "")"),"CN(c1cccc2ncc(CF)cc12)C1CCCCC1N(C)c1cccc2ccc(C3=CCC=CN3)nc12")</f>
        <v>CN(c1cccc2ncc(CF)cc12)C1CCCCC1N(C)c1cccc2ccc(C3=CCC=CN3)nc12</v>
      </c>
      <c r="C19011" s="7">
        <f>IFERROR(__xludf.DUMMYFUNCTION("""COMPUTED_VALUE"""),7.7222633)</f>
        <v>7.7222633</v>
      </c>
      <c r="D19011" s="7">
        <f>IFERROR(__xludf.DUMMYFUNCTION("""COMPUTED_VALUE"""),0.485294117647058)</f>
        <v>0.4852941176</v>
      </c>
    </row>
    <row r="19012">
      <c r="A19012" s="10" t="s">
        <v>20451</v>
      </c>
      <c r="B19012" s="7" t="str">
        <f>IFERROR(__xludf.DUMMYFUNCTION("SPLIT(A19012,"" "")"),"CC(C)N(CCN(C)c1cccc2ncccc12)Cc1cccc2ncccc12")</f>
        <v>CC(C)N(CCN(C)c1cccc2ncccc12)Cc1cccc2ncccc12</v>
      </c>
      <c r="C19012" s="7">
        <f>IFERROR(__xludf.DUMMYFUNCTION("""COMPUTED_VALUE"""),7.722254)</f>
        <v>7.722254</v>
      </c>
      <c r="D19012" s="7">
        <f>IFERROR(__xludf.DUMMYFUNCTION("""COMPUTED_VALUE"""),0.456521739130434)</f>
        <v>0.4565217391</v>
      </c>
    </row>
    <row r="19013">
      <c r="A19013" s="10" t="s">
        <v>20452</v>
      </c>
      <c r="B19013" s="7" t="str">
        <f>IFERROR(__xludf.DUMMYFUNCTION("SPLIT(A19013,"" "")"),"CN(Cc1ccon1)Cc1ncccc1-c1ccccc1N=Cc1ccccn1")</f>
        <v>CN(Cc1ccon1)Cc1ncccc1-c1ccccc1N=Cc1ccccn1</v>
      </c>
      <c r="C19013" s="7">
        <f>IFERROR(__xludf.DUMMYFUNCTION("""COMPUTED_VALUE"""),7.7222285)</f>
        <v>7.7222285</v>
      </c>
      <c r="D19013" s="7">
        <f>IFERROR(__xludf.DUMMYFUNCTION("""COMPUTED_VALUE"""),0.418181818181818)</f>
        <v>0.4181818182</v>
      </c>
    </row>
    <row r="19014">
      <c r="A19014" s="10" t="s">
        <v>20453</v>
      </c>
      <c r="B19014" s="7" t="str">
        <f>IFERROR(__xludf.DUMMYFUNCTION("SPLIT(A19014,"" "")"),"Cc1cccnc1CN(Cc1ccc(C(C)(C)c2ccccn2)nc1)c1ccc2ncccc2c1")</f>
        <v>Cc1cccnc1CN(Cc1ccc(C(C)(C)c2ccccn2)nc1)c1ccc2ncccc2c1</v>
      </c>
      <c r="C19014" s="7">
        <f>IFERROR(__xludf.DUMMYFUNCTION("""COMPUTED_VALUE"""),7.7222114)</f>
        <v>7.7222114</v>
      </c>
      <c r="D19014" s="7">
        <f>IFERROR(__xludf.DUMMYFUNCTION("""COMPUTED_VALUE"""),0.317460317460317)</f>
        <v>0.3174603175</v>
      </c>
    </row>
    <row r="19015">
      <c r="A19015" s="10" t="s">
        <v>20454</v>
      </c>
      <c r="B19015" s="7" t="str">
        <f>IFERROR(__xludf.DUMMYFUNCTION("SPLIT(A19015,"" "")"),"c1ccc(-c2cccc(-c3ccccc3NCc3ccccn3)n2)cc1")</f>
        <v>c1ccc(-c2cccc(-c3ccccc3NCc3ccccn3)n2)cc1</v>
      </c>
      <c r="C19015" s="7">
        <f>IFERROR(__xludf.DUMMYFUNCTION("""COMPUTED_VALUE"""),7.7222114)</f>
        <v>7.7222114</v>
      </c>
      <c r="D19015" s="7">
        <f>IFERROR(__xludf.DUMMYFUNCTION("""COMPUTED_VALUE"""),0.470588235294117)</f>
        <v>0.4705882353</v>
      </c>
    </row>
    <row r="19016">
      <c r="A19016" s="10" t="s">
        <v>20455</v>
      </c>
      <c r="B19016" s="7" t="str">
        <f>IFERROR(__xludf.DUMMYFUNCTION("SPLIT(A19016,"" "")"),"Cc1ccc(CN(C)c2ccc3ccc(CN(C)Cc4nc(C)c(C)c(C)c4C)nc3c2)nc1")</f>
        <v>Cc1ccc(CN(C)c2ccc3ccc(CN(C)Cc4nc(C)c(C)c(C)c4C)nc3c2)nc1</v>
      </c>
      <c r="C19016" s="7">
        <f>IFERROR(__xludf.DUMMYFUNCTION("""COMPUTED_VALUE"""),7.722208)</f>
        <v>7.722208</v>
      </c>
      <c r="D19016" s="7">
        <f>IFERROR(__xludf.DUMMYFUNCTION("""COMPUTED_VALUE"""),0.44)</f>
        <v>0.44</v>
      </c>
    </row>
    <row r="19017">
      <c r="A19017" s="10" t="s">
        <v>20456</v>
      </c>
      <c r="B19017" s="7" t="str">
        <f>IFERROR(__xludf.DUMMYFUNCTION("SPLIT(A19017,"" "")"),"Cc1cnc(CN(C)Cc2cccc(N(C)c3ccc4nc(CF)ccc4c3)n2)c(C)c1")</f>
        <v>Cc1cnc(CN(C)Cc2cccc(N(C)c3ccc4nc(CF)ccc4c3)n2)c(C)c1</v>
      </c>
      <c r="C19017" s="7">
        <f>IFERROR(__xludf.DUMMYFUNCTION("""COMPUTED_VALUE"""),7.722206)</f>
        <v>7.722206</v>
      </c>
      <c r="D19017" s="7">
        <f>IFERROR(__xludf.DUMMYFUNCTION("""COMPUTED_VALUE"""),0.327586206896551)</f>
        <v>0.3275862069</v>
      </c>
    </row>
    <row r="19018">
      <c r="A19018" s="10" t="s">
        <v>20457</v>
      </c>
      <c r="B19018" s="7" t="str">
        <f>IFERROR(__xludf.DUMMYFUNCTION("SPLIT(A19018,"" "")"),"Cc1cc(CN(C)Cc2ccnc3ccc(N(C)Cc4ccccn4)cc23)nc(C)c1C")</f>
        <v>Cc1cc(CN(C)Cc2ccnc3ccc(N(C)Cc4ccccn4)cc23)nc(C)c1C</v>
      </c>
      <c r="C19018" s="7">
        <f>IFERROR(__xludf.DUMMYFUNCTION("""COMPUTED_VALUE"""),7.722203)</f>
        <v>7.722203</v>
      </c>
      <c r="D19018" s="7">
        <f>IFERROR(__xludf.DUMMYFUNCTION("""COMPUTED_VALUE"""),0.383333333333333)</f>
        <v>0.3833333333</v>
      </c>
    </row>
    <row r="19019">
      <c r="A19019" s="10" t="s">
        <v>20458</v>
      </c>
      <c r="B19019" s="7" t="str">
        <f>IFERROR(__xludf.DUMMYFUNCTION("SPLIT(A19019,"" "")"),"CN(Cc1ccccn1)C1=CNC(CN(C)c2ccc3cc(CF)cnc3c2)=CC1")</f>
        <v>CN(Cc1ccccn1)C1=CNC(CN(C)c2ccc3cc(CF)cnc3c2)=CC1</v>
      </c>
      <c r="C19019" s="7">
        <f>IFERROR(__xludf.DUMMYFUNCTION("""COMPUTED_VALUE"""),7.722193)</f>
        <v>7.722193</v>
      </c>
      <c r="D19019" s="7">
        <f>IFERROR(__xludf.DUMMYFUNCTION("""COMPUTED_VALUE"""),0.349206349206349)</f>
        <v>0.3492063492</v>
      </c>
    </row>
    <row r="19020">
      <c r="A19020" s="10" t="s">
        <v>20459</v>
      </c>
      <c r="B19020" s="7" t="str">
        <f>IFERROR(__xludf.DUMMYFUNCTION("SPLIT(A19020,"" "")"),"Cc1ccccc1-c1cccc(CN(C)Cc2cccc(-c3cccc(N=Cc4ccccn4)c3)n2)n1")</f>
        <v>Cc1ccccc1-c1cccc(CN(C)Cc2cccc(-c3cccc(N=Cc4ccccn4)c3)n2)n1</v>
      </c>
      <c r="C19020" s="7">
        <f>IFERROR(__xludf.DUMMYFUNCTION("""COMPUTED_VALUE"""),7.722191)</f>
        <v>7.722191</v>
      </c>
      <c r="D19020" s="7">
        <f>IFERROR(__xludf.DUMMYFUNCTION("""COMPUTED_VALUE"""),0.448275862068965)</f>
        <v>0.4482758621</v>
      </c>
    </row>
    <row r="19021">
      <c r="A19021" s="10" t="s">
        <v>20460</v>
      </c>
      <c r="B19021" s="7" t="str">
        <f>IFERROR(__xludf.DUMMYFUNCTION("SPLIT(A19021,"" "")"),"Cc1ccnc(CN(C)c2ccc3nccc(CN(C)Cc4cc(C)c(C)c(C)n4)c3c2)c1")</f>
        <v>Cc1ccnc(CN(C)c2ccc3nccc(CN(C)Cc4cc(C)c(C)c(C)n4)c3c2)c1</v>
      </c>
      <c r="C19021" s="7">
        <f>IFERROR(__xludf.DUMMYFUNCTION("""COMPUTED_VALUE"""),7.7221875)</f>
        <v>7.7221875</v>
      </c>
      <c r="D19021" s="7">
        <f>IFERROR(__xludf.DUMMYFUNCTION("""COMPUTED_VALUE"""),0.285714285714285)</f>
        <v>0.2857142857</v>
      </c>
    </row>
    <row r="19022">
      <c r="A19022" s="10" t="s">
        <v>20461</v>
      </c>
      <c r="B19022" s="7" t="str">
        <f>IFERROR(__xludf.DUMMYFUNCTION("SPLIT(A19022,"" "")"),"Cc1ccc(-c2cccc(NCc3ccccn3)c2)nc1-c1cccc(NCc2ccccn2)c1")</f>
        <v>Cc1ccc(-c2cccc(NCc3ccccn3)c2)nc1-c1cccc(NCc2ccccn2)c1</v>
      </c>
      <c r="C19022" s="7">
        <f>IFERROR(__xludf.DUMMYFUNCTION("""COMPUTED_VALUE"""),7.722182)</f>
        <v>7.722182</v>
      </c>
      <c r="D19022" s="7">
        <f>IFERROR(__xludf.DUMMYFUNCTION("""COMPUTED_VALUE"""),0.403508771929824)</f>
        <v>0.4035087719</v>
      </c>
    </row>
    <row r="19023">
      <c r="A19023" s="10" t="s">
        <v>20462</v>
      </c>
      <c r="B19023" s="7" t="str">
        <f>IFERROR(__xludf.DUMMYFUNCTION("SPLIT(A19023,"" "")"),"Cc1nc(N(c2nc(C)c(C)c(C)c2C)C2CCC(N(C)c3ccc4cc5c(nc4c3)CCCC5)CC2N(C)c2ccc3cc(CF)cnc3c2)c(C)c(C)c1C")</f>
        <v>Cc1nc(N(c2nc(C)c(C)c(C)c2C)C2CCC(N(C)c3ccc4cc5c(nc4c3)CCCC5)CC2N(C)c2ccc3cc(CF)cnc3c2)c(C)c(C)c1C</v>
      </c>
      <c r="C19023" s="7">
        <f>IFERROR(__xludf.DUMMYFUNCTION("""COMPUTED_VALUE"""),7.7221704)</f>
        <v>7.7221704</v>
      </c>
      <c r="D19023" s="7">
        <f>IFERROR(__xludf.DUMMYFUNCTION("""COMPUTED_VALUE"""),0.316455696202531)</f>
        <v>0.3164556962</v>
      </c>
    </row>
    <row r="19024">
      <c r="A19024" s="10" t="s">
        <v>20463</v>
      </c>
      <c r="B19024" s="7" t="str">
        <f>IFERROR(__xludf.DUMMYFUNCTION("SPLIT(A19024,"" "")"),"Cc1cnc(CN(C)c2ccccc2-c2cnc(CN(Cc3ccccn3)Cc3ccc(-c4cccc(N=Cc5ccccn5)c4)cn3)c(C(C)C)c2)c(C)c1")</f>
        <v>Cc1cnc(CN(C)c2ccccc2-c2cnc(CN(Cc3ccccn3)Cc3ccc(-c4cccc(N=Cc5ccccn5)c4)cn3)c(C(C)C)c2)c(C)c1</v>
      </c>
      <c r="C19024" s="7">
        <f>IFERROR(__xludf.DUMMYFUNCTION("""COMPUTED_VALUE"""),7.722167)</f>
        <v>7.722167</v>
      </c>
      <c r="D19024" s="7">
        <f>IFERROR(__xludf.DUMMYFUNCTION("""COMPUTED_VALUE"""),0.2875)</f>
        <v>0.2875</v>
      </c>
    </row>
    <row r="19025">
      <c r="A19025" s="10" t="s">
        <v>20464</v>
      </c>
      <c r="B19025" s="7" t="str">
        <f>IFERROR(__xludf.DUMMYFUNCTION("SPLIT(A19025,"" "")"),"CC(C)C(C)(c1cccnc1)N(C)Cc1cc(-c2cccc(N(C)c3ccc4ncccc4c3)c2)ccn1")</f>
        <v>CC(C)C(C)(c1cccnc1)N(C)Cc1cc(-c2cccc(N(C)c3ccc4ncccc4c3)c2)ccn1</v>
      </c>
      <c r="C19025" s="7">
        <f>IFERROR(__xludf.DUMMYFUNCTION("""COMPUTED_VALUE"""),7.722166)</f>
        <v>7.722166</v>
      </c>
      <c r="D19025" s="7">
        <f>IFERROR(__xludf.DUMMYFUNCTION("""COMPUTED_VALUE"""),0.242857142857142)</f>
        <v>0.2428571429</v>
      </c>
    </row>
    <row r="19026">
      <c r="A19026" s="10" t="s">
        <v>20465</v>
      </c>
      <c r="B19026" s="7" t="str">
        <f>IFERROR(__xludf.DUMMYFUNCTION("SPLIT(A19026,"" "")"),"Cc1cc(-c2ccccc2N)c(N(C)Cc2ccccn2)c(N(C)Cc2cccnn2)c1")</f>
        <v>Cc1cc(-c2ccccc2N)c(N(C)Cc2ccccn2)c(N(C)Cc2cccnn2)c1</v>
      </c>
      <c r="C19026" s="7">
        <f>IFERROR(__xludf.DUMMYFUNCTION("""COMPUTED_VALUE"""),7.7221627)</f>
        <v>7.7221627</v>
      </c>
      <c r="D19026" s="7">
        <f>IFERROR(__xludf.DUMMYFUNCTION("""COMPUTED_VALUE"""),0.470588235294117)</f>
        <v>0.4705882353</v>
      </c>
    </row>
    <row r="19027">
      <c r="A19027" s="10" t="s">
        <v>20466</v>
      </c>
      <c r="B19027" s="7" t="str">
        <f>IFERROR(__xludf.DUMMYFUNCTION("SPLIT(A19027,"" "")"),"CN(Cc1ccccn1)Cc1cccc(N(C)c2cccc3c(CF)ccnc23)n1")</f>
        <v>CN(Cc1ccccn1)Cc1cccc(N(C)c2cccc3c(CF)ccnc23)n1</v>
      </c>
      <c r="C19027" s="7">
        <f>IFERROR(__xludf.DUMMYFUNCTION("""COMPUTED_VALUE"""),7.7221627)</f>
        <v>7.7221627</v>
      </c>
      <c r="D19027" s="7">
        <f>IFERROR(__xludf.DUMMYFUNCTION("""COMPUTED_VALUE"""),0.471698113207547)</f>
        <v>0.4716981132</v>
      </c>
    </row>
    <row r="19028">
      <c r="A19028" s="10" t="s">
        <v>20467</v>
      </c>
      <c r="B19028" s="7" t="str">
        <f>IFERROR(__xludf.DUMMYFUNCTION("SPLIT(A19028,"" "")"),"CC(C)N(C)Cc1ncccc1-c1ccc2ncccc2c1")</f>
        <v>CC(C)N(C)Cc1ncccc1-c1ccc2ncccc2c1</v>
      </c>
      <c r="C19028" s="7">
        <f>IFERROR(__xludf.DUMMYFUNCTION("""COMPUTED_VALUE"""),7.7221503)</f>
        <v>7.7221503</v>
      </c>
      <c r="D19028" s="7">
        <f>IFERROR(__xludf.DUMMYFUNCTION("""COMPUTED_VALUE"""),0.307692307692307)</f>
        <v>0.3076923077</v>
      </c>
    </row>
    <row r="19029">
      <c r="A19029" s="10" t="s">
        <v>20468</v>
      </c>
      <c r="B19029" s="7" t="str">
        <f>IFERROR(__xludf.DUMMYFUNCTION("SPLIT(A19029,"" "")"),"CC1COC(c2cccc(CN(C)Cc3cccc(-c4cccc(N=Cc5ccccn5)c4)n3)n2)=N1")</f>
        <v>CC1COC(c2cccc(CN(C)Cc3cccc(-c4cccc(N=Cc5ccccn5)c4)n3)n2)=N1</v>
      </c>
      <c r="C19029" s="7">
        <f>IFERROR(__xludf.DUMMYFUNCTION("""COMPUTED_VALUE"""),7.7221456)</f>
        <v>7.7221456</v>
      </c>
      <c r="D19029" s="7">
        <f>IFERROR(__xludf.DUMMYFUNCTION("""COMPUTED_VALUE"""),0.4)</f>
        <v>0.4</v>
      </c>
    </row>
    <row r="19030">
      <c r="A19030" s="10" t="s">
        <v>20469</v>
      </c>
      <c r="B19030" s="7" t="str">
        <f>IFERROR(__xludf.DUMMYFUNCTION("SPLIT(A19030,"" "")"),"CC(c1ccnc(-c2cc(CF)nc(NCc3ccccn3)c2)c1)(c1ccccn1)c1ccccn1")</f>
        <v>CC(c1ccnc(-c2cc(CF)nc(NCc3ccccn3)c2)c1)(c1ccccn1)c1ccccn1</v>
      </c>
      <c r="C19030" s="7">
        <f>IFERROR(__xludf.DUMMYFUNCTION("""COMPUTED_VALUE"""),7.7221107)</f>
        <v>7.7221107</v>
      </c>
      <c r="D19030" s="7">
        <f>IFERROR(__xludf.DUMMYFUNCTION("""COMPUTED_VALUE"""),0.38095238095238)</f>
        <v>0.380952381</v>
      </c>
    </row>
    <row r="19031">
      <c r="A19031" s="10" t="s">
        <v>20470</v>
      </c>
      <c r="B19031" s="7" t="str">
        <f>IFERROR(__xludf.DUMMYFUNCTION("SPLIT(A19031,"" "")"),"Cc1cccnc1-c1cccc(NCc2ccc(C(C)(c3ccccn3)c3ccccn3)cn2)c1")</f>
        <v>Cc1cccnc1-c1cccc(NCc2ccc(C(C)(c3ccccn3)c3ccccn3)cn2)c1</v>
      </c>
      <c r="C19031" s="7">
        <f>IFERROR(__xludf.DUMMYFUNCTION("""COMPUTED_VALUE"""),7.722101)</f>
        <v>7.722101</v>
      </c>
      <c r="D19031" s="7">
        <f>IFERROR(__xludf.DUMMYFUNCTION("""COMPUTED_VALUE"""),0.338461538461538)</f>
        <v>0.3384615385</v>
      </c>
    </row>
    <row r="19032">
      <c r="A19032" s="10" t="s">
        <v>20471</v>
      </c>
      <c r="B19032" s="7" t="str">
        <f>IFERROR(__xludf.DUMMYFUNCTION("SPLIT(A19032,"" "")"),"CN(c1cccc2ncccc12)C1CCCCC1N(c1cccnc1)c1cccc2ncccc12")</f>
        <v>CN(c1cccc2ncccc12)C1CCCCC1N(c1cccnc1)c1cccc2ncccc12</v>
      </c>
      <c r="C19032" s="7">
        <f>IFERROR(__xludf.DUMMYFUNCTION("""COMPUTED_VALUE"""),7.7221003)</f>
        <v>7.7221003</v>
      </c>
      <c r="D19032" s="7">
        <f>IFERROR(__xludf.DUMMYFUNCTION("""COMPUTED_VALUE"""),0.48076923076923)</f>
        <v>0.4807692308</v>
      </c>
    </row>
    <row r="19033">
      <c r="A19033" s="10" t="s">
        <v>20472</v>
      </c>
      <c r="B19033" s="7" t="str">
        <f>IFERROR(__xludf.DUMMYFUNCTION("SPLIT(A19033,"" "")"),"Cc1cc(CN(C)Cc2ccnc3cccc(N(C)Cc4ccccn4)c23)nc(C)c1C")</f>
        <v>Cc1cc(CN(C)Cc2ccnc3cccc(N(C)Cc4ccccn4)c23)nc(C)c1C</v>
      </c>
      <c r="C19033" s="7">
        <f>IFERROR(__xludf.DUMMYFUNCTION("""COMPUTED_VALUE"""),7.7220936)</f>
        <v>7.7220936</v>
      </c>
      <c r="D19033" s="7">
        <f>IFERROR(__xludf.DUMMYFUNCTION("""COMPUTED_VALUE"""),0.421052631578947)</f>
        <v>0.4210526316</v>
      </c>
    </row>
    <row r="19034">
      <c r="A19034" s="10" t="s">
        <v>20473</v>
      </c>
      <c r="B19034" s="7" t="str">
        <f>IFERROR(__xludf.DUMMYFUNCTION("SPLIT(A19034,"" "")"),"CN(Cc1ccccn1)C1=CCC=C(CN(Cc2cccnc2)c2cccc3ncccc23)N1")</f>
        <v>CN(Cc1ccccn1)C1=CCC=C(CN(Cc2cccnc2)c2cccc3ncccc23)N1</v>
      </c>
      <c r="C19034" s="7">
        <f>IFERROR(__xludf.DUMMYFUNCTION("""COMPUTED_VALUE"""),7.7220864)</f>
        <v>7.7220864</v>
      </c>
      <c r="D19034" s="7">
        <f>IFERROR(__xludf.DUMMYFUNCTION("""COMPUTED_VALUE"""),0.333333333333333)</f>
        <v>0.3333333333</v>
      </c>
    </row>
    <row r="19035">
      <c r="A19035" s="10" t="s">
        <v>20474</v>
      </c>
      <c r="B19035" s="7" t="str">
        <f>IFERROR(__xludf.DUMMYFUNCTION("SPLIT(A19035,"" "")"),"CN(Cc1ccccn1)C1=CNC(CN(C)c2ccc3ccc(CF)nc3c2)=CC1")</f>
        <v>CN(Cc1ccccn1)C1=CNC(CN(C)c2ccc3ccc(CF)nc3c2)=CC1</v>
      </c>
      <c r="C19035" s="7">
        <f>IFERROR(__xludf.DUMMYFUNCTION("""COMPUTED_VALUE"""),7.7220616)</f>
        <v>7.7220616</v>
      </c>
      <c r="D19035" s="7">
        <f>IFERROR(__xludf.DUMMYFUNCTION("""COMPUTED_VALUE"""),0.389830508474576)</f>
        <v>0.3898305085</v>
      </c>
    </row>
    <row r="19036">
      <c r="A19036" s="10" t="s">
        <v>20475</v>
      </c>
      <c r="B19036" s="7" t="str">
        <f>IFERROR(__xludf.DUMMYFUNCTION("SPLIT(A19036,"" "")"),"CCN(c1cccc2cccnc12)C12CCC(N(C)c3cccc4cccnc34)(CC1)C2")</f>
        <v>CCN(c1cccc2cccnc12)C12CCC(N(C)c3cccc4cccnc34)(CC1)C2</v>
      </c>
      <c r="C19036" s="7">
        <f>IFERROR(__xludf.DUMMYFUNCTION("""COMPUTED_VALUE"""),7.7220507)</f>
        <v>7.7220507</v>
      </c>
      <c r="D19036" s="7">
        <f>IFERROR(__xludf.DUMMYFUNCTION("""COMPUTED_VALUE"""),0.488888888888888)</f>
        <v>0.4888888889</v>
      </c>
    </row>
    <row r="19037">
      <c r="A19037" s="10" t="s">
        <v>20476</v>
      </c>
      <c r="B19037" s="7" t="str">
        <f>IFERROR(__xludf.DUMMYFUNCTION("SPLIT(A19037,"" "")"),"CN(Cc1ccccn1)C1=CNC(CN(C)c2ccc3ncc(CF)cc3c2)=CC1")</f>
        <v>CN(Cc1ccccn1)C1=CNC(CN(C)c2ccc3ncc(CF)cc3c2)=CC1</v>
      </c>
      <c r="C19037" s="7">
        <f>IFERROR(__xludf.DUMMYFUNCTION("""COMPUTED_VALUE"""),7.7220497)</f>
        <v>7.7220497</v>
      </c>
      <c r="D19037" s="7">
        <f>IFERROR(__xludf.DUMMYFUNCTION("""COMPUTED_VALUE"""),0.34375)</f>
        <v>0.34375</v>
      </c>
    </row>
    <row r="19038">
      <c r="A19038" s="10" t="s">
        <v>20477</v>
      </c>
      <c r="B19038" s="7" t="str">
        <f>IFERROR(__xludf.DUMMYFUNCTION("SPLIT(A19038,"" "")"),"Cc1ccc(CN(CC2=C(N(C)Cc3ncccc3C)CC=CN2)c2ccc3ncccc3c2)nc1C")</f>
        <v>Cc1ccc(CN(CC2=C(N(C)Cc3ncccc3C)CC=CN2)c2ccc3ncccc3c2)nc1C</v>
      </c>
      <c r="C19038" s="7">
        <f>IFERROR(__xludf.DUMMYFUNCTION("""COMPUTED_VALUE"""),7.722026)</f>
        <v>7.722026</v>
      </c>
      <c r="D19038" s="7">
        <f>IFERROR(__xludf.DUMMYFUNCTION("""COMPUTED_VALUE"""),0.232876712328767)</f>
        <v>0.2328767123</v>
      </c>
    </row>
    <row r="19039">
      <c r="A19039" s="10" t="s">
        <v>20478</v>
      </c>
      <c r="B19039" s="7" t="str">
        <f>IFERROR(__xludf.DUMMYFUNCTION("SPLIT(A19039,"" "")"),"CCN(Cc1ccccn1)c1ccc2nc(C(C)(c3ccccn3)c3ccccn3)ccc2c1")</f>
        <v>CCN(Cc1ccccn1)c1ccc2nc(C(C)(c3ccccn3)c3ccccn3)ccc2c1</v>
      </c>
      <c r="C19039" s="7">
        <f>IFERROR(__xludf.DUMMYFUNCTION("""COMPUTED_VALUE"""),7.7220182)</f>
        <v>7.7220182</v>
      </c>
      <c r="D19039" s="7">
        <f>IFERROR(__xludf.DUMMYFUNCTION("""COMPUTED_VALUE"""),0.433962264150943)</f>
        <v>0.4339622642</v>
      </c>
    </row>
    <row r="19040">
      <c r="A19040" s="10" t="s">
        <v>20479</v>
      </c>
      <c r="B19040" s="7" t="str">
        <f>IFERROR(__xludf.DUMMYFUNCTION("SPLIT(A19040,"" "")"),"CN(Cc1ccccn1)C1=CC(CN(C)c2cccc3cccnc23)C=CN1")</f>
        <v>CN(Cc1ccccn1)C1=CC(CN(C)c2cccc3cccnc23)C=CN1</v>
      </c>
      <c r="C19040" s="7">
        <f>IFERROR(__xludf.DUMMYFUNCTION("""COMPUTED_VALUE"""),7.7220087)</f>
        <v>7.7220087</v>
      </c>
      <c r="D19040" s="7">
        <f>IFERROR(__xludf.DUMMYFUNCTION("""COMPUTED_VALUE"""),0.462962962962962)</f>
        <v>0.462962963</v>
      </c>
    </row>
    <row r="19041">
      <c r="A19041" s="10" t="s">
        <v>20480</v>
      </c>
      <c r="B19041" s="7" t="str">
        <f>IFERROR(__xludf.DUMMYFUNCTION("SPLIT(A19041,"" "")"),"Cc1cc(C)c(CN(Cc2ccccn2)c2ccc3ncccc3c2)cn1")</f>
        <v>Cc1cc(C)c(CN(Cc2ccccn2)c2ccc3ncccc3c2)cn1</v>
      </c>
      <c r="C19041" s="7">
        <f>IFERROR(__xludf.DUMMYFUNCTION("""COMPUTED_VALUE"""),7.7220078)</f>
        <v>7.7220078</v>
      </c>
      <c r="D19041" s="7">
        <f>IFERROR(__xludf.DUMMYFUNCTION("""COMPUTED_VALUE"""),0.363636363636363)</f>
        <v>0.3636363636</v>
      </c>
    </row>
    <row r="19042">
      <c r="A19042" s="10" t="s">
        <v>20481</v>
      </c>
      <c r="B19042" s="7" t="str">
        <f>IFERROR(__xludf.DUMMYFUNCTION("SPLIT(A19042,"" "")"),"C1=CNC(c2cc(C(c3ccccn3)c3ccccn3)ccn2)=CC1")</f>
        <v>C1=CNC(c2cc(C(c3ccccn3)c3ccccn3)ccn2)=CC1</v>
      </c>
      <c r="C19042" s="7">
        <f>IFERROR(__xludf.DUMMYFUNCTION("""COMPUTED_VALUE"""),7.722001)</f>
        <v>7.722001</v>
      </c>
      <c r="D19042" s="7">
        <f>IFERROR(__xludf.DUMMYFUNCTION("""COMPUTED_VALUE"""),0.363636363636363)</f>
        <v>0.3636363636</v>
      </c>
    </row>
    <row r="19043">
      <c r="A19043" s="10" t="s">
        <v>20482</v>
      </c>
      <c r="B19043" s="7" t="str">
        <f>IFERROR(__xludf.DUMMYFUNCTION("SPLIT(A19043,"" "")"),"Cc1cnc(CN(C)Cc2cccc(N(C)c3cccc4ccc(CF)nc34)n2)c(C)c1")</f>
        <v>Cc1cnc(CN(C)Cc2cccc(N(C)c3cccc4ccc(CF)nc34)n2)c(C)c1</v>
      </c>
      <c r="C19043" s="7">
        <f>IFERROR(__xludf.DUMMYFUNCTION("""COMPUTED_VALUE"""),7.722)</f>
        <v>7.722</v>
      </c>
      <c r="D19043" s="7">
        <f>IFERROR(__xludf.DUMMYFUNCTION("""COMPUTED_VALUE"""),0.412698412698412)</f>
        <v>0.4126984127</v>
      </c>
    </row>
    <row r="19044">
      <c r="A19044" s="10" t="s">
        <v>20483</v>
      </c>
      <c r="B19044" s="7" t="str">
        <f>IFERROR(__xludf.DUMMYFUNCTION("SPLIT(A19044,"" "")"),"Cc1ccc(CN(C)c2ccc3ncc(CN(C)Cc4nc(C)c(C)c(C)c4C)cc3c2)nc1")</f>
        <v>Cc1ccc(CN(C)c2ccc3ncc(CN(C)Cc4nc(C)c(C)c(C)c4C)cc3c2)nc1</v>
      </c>
      <c r="C19044" s="7">
        <f>IFERROR(__xludf.DUMMYFUNCTION("""COMPUTED_VALUE"""),7.721999)</f>
        <v>7.721999</v>
      </c>
      <c r="D19044" s="7">
        <f>IFERROR(__xludf.DUMMYFUNCTION("""COMPUTED_VALUE"""),0.381818181818181)</f>
        <v>0.3818181818</v>
      </c>
    </row>
    <row r="19045">
      <c r="A19045" s="10" t="s">
        <v>20484</v>
      </c>
      <c r="B19045" s="7" t="str">
        <f>IFERROR(__xludf.DUMMYFUNCTION("SPLIT(A19045,"" "")"),"CN(c1cccc2ncccc12)C1C=CNC(CN)=C1")</f>
        <v>CN(c1cccc2ncccc12)C1C=CNC(CN)=C1</v>
      </c>
      <c r="C19045" s="7">
        <f>IFERROR(__xludf.DUMMYFUNCTION("""COMPUTED_VALUE"""),7.7219954)</f>
        <v>7.7219954</v>
      </c>
      <c r="D19045" s="7">
        <f>IFERROR(__xludf.DUMMYFUNCTION("""COMPUTED_VALUE"""),0.344827586206896)</f>
        <v>0.3448275862</v>
      </c>
    </row>
    <row r="19046">
      <c r="A19046" s="10" t="s">
        <v>20485</v>
      </c>
      <c r="B19046" s="7" t="str">
        <f>IFERROR(__xludf.DUMMYFUNCTION("SPLIT(A19046,"" "")"),"CN(CCN(C)c1ccc2ccc(CF)nc2c1)Cc1ccc2cccnc2c1")</f>
        <v>CN(CCN(C)c1ccc2ccc(CF)nc2c1)Cc1ccc2cccnc2c1</v>
      </c>
      <c r="C19046" s="7">
        <f>IFERROR(__xludf.DUMMYFUNCTION("""COMPUTED_VALUE"""),7.721981)</f>
        <v>7.721981</v>
      </c>
      <c r="D19046" s="7">
        <f>IFERROR(__xludf.DUMMYFUNCTION("""COMPUTED_VALUE"""),0.363636363636363)</f>
        <v>0.3636363636</v>
      </c>
    </row>
    <row r="19047">
      <c r="A19047" s="10" t="s">
        <v>20486</v>
      </c>
      <c r="B19047" s="7" t="str">
        <f>IFERROR(__xludf.DUMMYFUNCTION("SPLIT(A19047,"" "")"),"CNCc1ccc2cc(N(C)Cc3ncccc3C)ccc2n1")</f>
        <v>CNCc1ccc2cc(N(C)Cc3ncccc3C)ccc2n1</v>
      </c>
      <c r="C19047" s="7">
        <f>IFERROR(__xludf.DUMMYFUNCTION("""COMPUTED_VALUE"""),7.721975)</f>
        <v>7.721975</v>
      </c>
      <c r="D19047" s="7">
        <f>IFERROR(__xludf.DUMMYFUNCTION("""COMPUTED_VALUE"""),0.321428571428571)</f>
        <v>0.3214285714</v>
      </c>
    </row>
    <row r="19048">
      <c r="A19048" s="10" t="s">
        <v>20487</v>
      </c>
      <c r="B19048" s="7" t="str">
        <f>IFERROR(__xludf.DUMMYFUNCTION("SPLIT(A19048,"" "")"),"CNCc1ccc2ccc(N(C)Cc3cccc(N)n3)cc2n1")</f>
        <v>CNCc1ccc2ccc(N(C)Cc3cccc(N)n3)cc2n1</v>
      </c>
      <c r="C19048" s="7">
        <f>IFERROR(__xludf.DUMMYFUNCTION("""COMPUTED_VALUE"""),7.7219687)</f>
        <v>7.7219687</v>
      </c>
      <c r="D19048" s="7">
        <f>IFERROR(__xludf.DUMMYFUNCTION("""COMPUTED_VALUE"""),0.333333333333333)</f>
        <v>0.3333333333</v>
      </c>
    </row>
    <row r="19049">
      <c r="A19049" s="10" t="s">
        <v>20488</v>
      </c>
      <c r="B19049" s="7" t="str">
        <f>IFERROR(__xludf.DUMMYFUNCTION("SPLIT(A19049,"" "")"),"CN(C)Cc1ncccc1-c1ccccc1N=Cc1ccccn1")</f>
        <v>CN(C)Cc1ncccc1-c1ccccc1N=Cc1ccccn1</v>
      </c>
      <c r="C19049" s="7">
        <f>IFERROR(__xludf.DUMMYFUNCTION("""COMPUTED_VALUE"""),7.721958)</f>
        <v>7.721958</v>
      </c>
      <c r="D19049" s="7">
        <f>IFERROR(__xludf.DUMMYFUNCTION("""COMPUTED_VALUE"""),0.489361702127659)</f>
        <v>0.4893617021</v>
      </c>
    </row>
    <row r="19050">
      <c r="A19050" s="10" t="s">
        <v>20489</v>
      </c>
      <c r="B19050" s="7" t="str">
        <f>IFERROR(__xludf.DUMMYFUNCTION("SPLIT(A19050,"" "")"),"CN(Cc1ccccn1)C1=CNC(CN(C)c2cccc3cc(CF)cnc23)=CC1")</f>
        <v>CN(Cc1ccccn1)C1=CNC(CN(C)c2cccc3cc(CF)cnc23)=CC1</v>
      </c>
      <c r="C19050" s="7">
        <f>IFERROR(__xludf.DUMMYFUNCTION("""COMPUTED_VALUE"""),7.721949)</f>
        <v>7.721949</v>
      </c>
      <c r="D19050" s="7">
        <f>IFERROR(__xludf.DUMMYFUNCTION("""COMPUTED_VALUE"""),0.387096774193548)</f>
        <v>0.3870967742</v>
      </c>
    </row>
    <row r="19051">
      <c r="A19051" s="10" t="s">
        <v>20490</v>
      </c>
      <c r="B19051" s="7" t="str">
        <f>IFERROR(__xludf.DUMMYFUNCTION("SPLIT(A19051,"" "")"),"Cc1ncccc1CN(C)Cc1cccc(N(C)c2ccc3ncccc3c2)n1")</f>
        <v>Cc1ncccc1CN(C)Cc1cccc(N(C)c2ccc3ncccc3c2)n1</v>
      </c>
      <c r="C19051" s="7">
        <f>IFERROR(__xludf.DUMMYFUNCTION("""COMPUTED_VALUE"""),7.721946)</f>
        <v>7.721946</v>
      </c>
      <c r="D19051" s="7">
        <f>IFERROR(__xludf.DUMMYFUNCTION("""COMPUTED_VALUE"""),0.388888888888888)</f>
        <v>0.3888888889</v>
      </c>
    </row>
    <row r="19052">
      <c r="A19052" s="10" t="s">
        <v>20491</v>
      </c>
      <c r="B19052" s="7" t="str">
        <f>IFERROR(__xludf.DUMMYFUNCTION("SPLIT(A19052,"" "")"),"CNCc1cccc(-c2cccc(C)c2N=Cc2ccccn2)n1")</f>
        <v>CNCc1cccc(-c2cccc(C)c2N=Cc2ccccn2)n1</v>
      </c>
      <c r="C19052" s="7">
        <f>IFERROR(__xludf.DUMMYFUNCTION("""COMPUTED_VALUE"""),7.7219424)</f>
        <v>7.7219424</v>
      </c>
      <c r="D19052" s="7">
        <f>IFERROR(__xludf.DUMMYFUNCTION("""COMPUTED_VALUE"""),0.452830188679245)</f>
        <v>0.4528301887</v>
      </c>
    </row>
    <row r="19053">
      <c r="A19053" s="10" t="s">
        <v>20492</v>
      </c>
      <c r="B19053" s="7" t="str">
        <f>IFERROR(__xludf.DUMMYFUNCTION("SPLIT(A19053,"" "")"),"Cc1ccc(CN(C)c2c(C)cc(Cl)cc2N(C)Cc2ncc(C)cc2C)nc1")</f>
        <v>Cc1ccc(CN(C)c2c(C)cc(Cl)cc2N(C)Cc2ncc(C)cc2C)nc1</v>
      </c>
      <c r="C19053" s="7">
        <f>IFERROR(__xludf.DUMMYFUNCTION("""COMPUTED_VALUE"""),7.721937)</f>
        <v>7.721937</v>
      </c>
      <c r="D19053" s="7">
        <f>IFERROR(__xludf.DUMMYFUNCTION("""COMPUTED_VALUE"""),0.416666666666666)</f>
        <v>0.4166666667</v>
      </c>
    </row>
    <row r="19054">
      <c r="A19054" s="10" t="s">
        <v>20493</v>
      </c>
      <c r="B19054" s="7" t="str">
        <f>IFERROR(__xludf.DUMMYFUNCTION("SPLIT(A19054,"" "")"),"CN(C)Cc1ncccc1-c1ccc(N=Cc2ccccn2)cc1")</f>
        <v>CN(C)Cc1ncccc1-c1ccc(N=Cc2ccccn2)cc1</v>
      </c>
      <c r="C19054" s="7">
        <f>IFERROR(__xludf.DUMMYFUNCTION("""COMPUTED_VALUE"""),7.721935)</f>
        <v>7.721935</v>
      </c>
      <c r="D19054" s="7">
        <f>IFERROR(__xludf.DUMMYFUNCTION("""COMPUTED_VALUE"""),0.384615384615384)</f>
        <v>0.3846153846</v>
      </c>
    </row>
    <row r="19055">
      <c r="A19055" s="10" t="s">
        <v>20494</v>
      </c>
      <c r="B19055" s="7" t="str">
        <f>IFERROR(__xludf.DUMMYFUNCTION("SPLIT(A19055,"" "")"),"Cc1nc(CN(Cc2nc(C)c(C)c(C)c2C)C2CCC(N(C)c3ccc4cccnc4c3)C(N(C)c3ccc4cc(-c5ccccn5)cnc4c3)C2)c(C)c(C)c1C")</f>
        <v>Cc1nc(CN(Cc2nc(C)c(C)c(C)c2C)C2CCC(N(C)c3ccc4cccnc4c3)C(N(C)c3ccc4cc(-c5ccccn5)cnc4c3)C2)c(C)c(C)c1C</v>
      </c>
      <c r="C19055" s="7">
        <f>IFERROR(__xludf.DUMMYFUNCTION("""COMPUTED_VALUE"""),7.7219343)</f>
        <v>7.7219343</v>
      </c>
      <c r="D19055" s="7">
        <f>IFERROR(__xludf.DUMMYFUNCTION("""COMPUTED_VALUE"""),0.276315789473684)</f>
        <v>0.2763157895</v>
      </c>
    </row>
    <row r="19056">
      <c r="A19056" s="10" t="s">
        <v>20495</v>
      </c>
      <c r="B19056" s="7" t="str">
        <f>IFERROR(__xludf.DUMMYFUNCTION("SPLIT(A19056,"" "")"),"Cc1cc(CN(C)Cc2nc3ccccc3n2C)nc(C)c1C")</f>
        <v>Cc1cc(CN(C)Cc2nc3ccccc3n2C)nc(C)c1C</v>
      </c>
      <c r="C19056" s="7">
        <f>IFERROR(__xludf.DUMMYFUNCTION("""COMPUTED_VALUE"""),7.7219176)</f>
        <v>7.7219176</v>
      </c>
      <c r="D19056" s="7">
        <f>IFERROR(__xludf.DUMMYFUNCTION("""COMPUTED_VALUE"""),0.431372549019607)</f>
        <v>0.431372549</v>
      </c>
    </row>
    <row r="19057">
      <c r="A19057" s="10" t="s">
        <v>20496</v>
      </c>
      <c r="B19057" s="7" t="str">
        <f>IFERROR(__xludf.DUMMYFUNCTION("SPLIT(A19057,"" "")"),"CN(Cc1cc(-c2ccccc2N=Cc2ccccn2)ccn1)Cc1ccon1")</f>
        <v>CN(Cc1cc(-c2ccccc2N=Cc2ccccn2)ccn1)Cc1ccon1</v>
      </c>
      <c r="C19057" s="7">
        <f>IFERROR(__xludf.DUMMYFUNCTION("""COMPUTED_VALUE"""),7.7218995)</f>
        <v>7.7218995</v>
      </c>
      <c r="D19057" s="7">
        <f>IFERROR(__xludf.DUMMYFUNCTION("""COMPUTED_VALUE"""),0.410714285714285)</f>
        <v>0.4107142857</v>
      </c>
    </row>
    <row r="19058">
      <c r="A19058" s="10" t="s">
        <v>20497</v>
      </c>
      <c r="B19058" s="7" t="str">
        <f>IFERROR(__xludf.DUMMYFUNCTION("SPLIT(A19058,"" "")"),"CNCc1cc(-c2c(C)ccc(Cl)c2N(C)Cc2cccc(C)n2)ccn1")</f>
        <v>CNCc1cc(-c2c(C)ccc(Cl)c2N(C)Cc2cccc(C)n2)ccn1</v>
      </c>
      <c r="C19058" s="7">
        <f>IFERROR(__xludf.DUMMYFUNCTION("""COMPUTED_VALUE"""),7.7218957)</f>
        <v>7.7218957</v>
      </c>
      <c r="D19058" s="7">
        <f>IFERROR(__xludf.DUMMYFUNCTION("""COMPUTED_VALUE"""),0.357142857142857)</f>
        <v>0.3571428571</v>
      </c>
    </row>
    <row r="19059">
      <c r="A19059" s="10" t="s">
        <v>20498</v>
      </c>
      <c r="B19059" s="7" t="str">
        <f>IFERROR(__xludf.DUMMYFUNCTION("SPLIT(A19059,"" "")"),"CN(C)Cc1cc(-c2cccc(N=Cc3ccccn3)c2)ccn1")</f>
        <v>CN(C)Cc1cc(-c2cccc(N=Cc3ccccn3)c2)ccn1</v>
      </c>
      <c r="C19059" s="7">
        <f>IFERROR(__xludf.DUMMYFUNCTION("""COMPUTED_VALUE"""),7.721893)</f>
        <v>7.721893</v>
      </c>
      <c r="D19059" s="7">
        <f>IFERROR(__xludf.DUMMYFUNCTION("""COMPUTED_VALUE"""),0.396226415094339)</f>
        <v>0.3962264151</v>
      </c>
    </row>
    <row r="19060">
      <c r="A19060" s="10" t="s">
        <v>20499</v>
      </c>
      <c r="B19060" s="7" t="str">
        <f>IFERROR(__xludf.DUMMYFUNCTION("SPLIT(A19060,"" "")"),"CN(Cc1ccccn1)c1cccc(-c2cc(-c3ccccc3)ccc2NCc2ccccn2)c1")</f>
        <v>CN(Cc1ccccn1)c1cccc(-c2cc(-c3ccccc3)ccc2NCc2ccccn2)c1</v>
      </c>
      <c r="C19060" s="7">
        <f>IFERROR(__xludf.DUMMYFUNCTION("""COMPUTED_VALUE"""),7.7218766)</f>
        <v>7.7218766</v>
      </c>
      <c r="D19060" s="7">
        <f>IFERROR(__xludf.DUMMYFUNCTION("""COMPUTED_VALUE"""),0.407407407407407)</f>
        <v>0.4074074074</v>
      </c>
    </row>
    <row r="19061">
      <c r="A19061" s="10" t="s">
        <v>20500</v>
      </c>
      <c r="B19061" s="7" t="str">
        <f>IFERROR(__xludf.DUMMYFUNCTION("SPLIT(A19061,"" "")"),"CN(Cc1ccccn1)c1ccc2cccnc2c1-c1cccc(CN(Cc2ccccn2)Cc2ncccc2F)n1")</f>
        <v>CN(Cc1ccccn1)c1ccc2cccnc2c1-c1cccc(CN(Cc2ccccn2)Cc2ncccc2F)n1</v>
      </c>
      <c r="C19061" s="7">
        <f>IFERROR(__xludf.DUMMYFUNCTION("""COMPUTED_VALUE"""),7.7218738)</f>
        <v>7.7218738</v>
      </c>
      <c r="D19061" s="7">
        <f>IFERROR(__xludf.DUMMYFUNCTION("""COMPUTED_VALUE"""),0.448275862068965)</f>
        <v>0.4482758621</v>
      </c>
    </row>
    <row r="19062">
      <c r="A19062" s="10" t="s">
        <v>20501</v>
      </c>
      <c r="B19062" s="7" t="str">
        <f>IFERROR(__xludf.DUMMYFUNCTION("SPLIT(A19062,"" "")"),"Cc1cnc(CN(C)c2cc(C)c(N(C)Cc3ncccc3C)cc2C)c(C)c1")</f>
        <v>Cc1cnc(CN(C)c2cc(C)c(N(C)Cc3ncccc3C)cc2C)c(C)c1</v>
      </c>
      <c r="C19062" s="7">
        <f>IFERROR(__xludf.DUMMYFUNCTION("""COMPUTED_VALUE"""),7.7218204)</f>
        <v>7.7218204</v>
      </c>
      <c r="D19062" s="7">
        <f>IFERROR(__xludf.DUMMYFUNCTION("""COMPUTED_VALUE"""),0.354166666666666)</f>
        <v>0.3541666667</v>
      </c>
    </row>
    <row r="19063">
      <c r="A19063" s="10" t="s">
        <v>20502</v>
      </c>
      <c r="B19063" s="7" t="str">
        <f>IFERROR(__xludf.DUMMYFUNCTION("SPLIT(A19063,"" "")"),"CNCc1cc(-c2cc(C)ccc2N=Cc2ccccn2)ccn1")</f>
        <v>CNCc1cc(-c2cc(C)ccc2N=Cc2ccccn2)ccn1</v>
      </c>
      <c r="C19063" s="7">
        <f>IFERROR(__xludf.DUMMYFUNCTION("""COMPUTED_VALUE"""),7.721818)</f>
        <v>7.721818</v>
      </c>
      <c r="D19063" s="7">
        <f>IFERROR(__xludf.DUMMYFUNCTION("""COMPUTED_VALUE"""),0.418181818181818)</f>
        <v>0.4181818182</v>
      </c>
    </row>
    <row r="19064">
      <c r="A19064" s="10" t="s">
        <v>20503</v>
      </c>
      <c r="B19064" s="7" t="str">
        <f>IFERROR(__xludf.DUMMYFUNCTION("SPLIT(A19064,"" "")"),"Cc1cccnc1CN(C)c1c(C)ccc(N(C)C)c1C")</f>
        <v>Cc1cccnc1CN(C)c1c(C)ccc(N(C)C)c1C</v>
      </c>
      <c r="C19064" s="7">
        <f>IFERROR(__xludf.DUMMYFUNCTION("""COMPUTED_VALUE"""),7.721795)</f>
        <v>7.721795</v>
      </c>
      <c r="D19064" s="7">
        <f>IFERROR(__xludf.DUMMYFUNCTION("""COMPUTED_VALUE"""),0.326086956521739)</f>
        <v>0.3260869565</v>
      </c>
    </row>
    <row r="19065">
      <c r="A19065" s="10" t="s">
        <v>20504</v>
      </c>
      <c r="B19065" s="7" t="str">
        <f>IFERROR(__xludf.DUMMYFUNCTION("SPLIT(A19065,"" "")"),"Cc1c(-c2ccccc2)ccc(NCc2ccccn2)c1-c1cc(CF)nc(NCc2ccccn2)c1")</f>
        <v>Cc1c(-c2ccccc2)ccc(NCc2ccccn2)c1-c1cc(CF)nc(NCc2ccccn2)c1</v>
      </c>
      <c r="C19065" s="7">
        <f>IFERROR(__xludf.DUMMYFUNCTION("""COMPUTED_VALUE"""),7.7217855)</f>
        <v>7.7217855</v>
      </c>
      <c r="D19065" s="7">
        <f>IFERROR(__xludf.DUMMYFUNCTION("""COMPUTED_VALUE"""),0.45)</f>
        <v>0.45</v>
      </c>
    </row>
    <row r="19066">
      <c r="A19066" s="10" t="s">
        <v>20505</v>
      </c>
      <c r="B19066" s="7" t="str">
        <f>IFERROR(__xludf.DUMMYFUNCTION("SPLIT(A19066,"" "")"),"Cc1cccnc1-c1cccc(NCc2ccc(C(C)(C)N(C)Cc3cc(-c4cccc(N(C)C)c4)ccn3)cn2)c1")</f>
        <v>Cc1cccnc1-c1cccc(NCc2ccc(C(C)(C)N(C)Cc3cc(-c4cccc(N(C)C)c4)ccn3)cn2)c1</v>
      </c>
      <c r="C19066" s="7">
        <f>IFERROR(__xludf.DUMMYFUNCTION("""COMPUTED_VALUE"""),7.7217846)</f>
        <v>7.7217846</v>
      </c>
      <c r="D19066" s="7">
        <f>IFERROR(__xludf.DUMMYFUNCTION("""COMPUTED_VALUE"""),0.23170731707317)</f>
        <v>0.2317073171</v>
      </c>
    </row>
    <row r="19067">
      <c r="A19067" s="10" t="s">
        <v>20506</v>
      </c>
      <c r="B19067" s="7" t="str">
        <f>IFERROR(__xludf.DUMMYFUNCTION("SPLIT(A19067,"" "")"),"Cc1cc(N(c2cccc3cccnc23)C2CCC(N(C)c3ccc4ncccc4c3)CC2)ccn1")</f>
        <v>Cc1cc(N(c2cccc3cccnc23)C2CCC(N(C)c3ccc4ncccc4c3)CC2)ccn1</v>
      </c>
      <c r="C19067" s="7">
        <f>IFERROR(__xludf.DUMMYFUNCTION("""COMPUTED_VALUE"""),7.721756)</f>
        <v>7.721756</v>
      </c>
      <c r="D19067" s="7">
        <f>IFERROR(__xludf.DUMMYFUNCTION("""COMPUTED_VALUE"""),0.43859649122807)</f>
        <v>0.4385964912</v>
      </c>
    </row>
    <row r="19068">
      <c r="A19068" s="10" t="s">
        <v>20507</v>
      </c>
      <c r="B19068" s="7" t="str">
        <f>IFERROR(__xludf.DUMMYFUNCTION("SPLIT(A19068,"" "")"),"CNCc1ncccc1-c1cc(C)ccc1N=Cc1ccccn1")</f>
        <v>CNCc1ncccc1-c1cc(C)ccc1N=Cc1ccccn1</v>
      </c>
      <c r="C19068" s="7">
        <f>IFERROR(__xludf.DUMMYFUNCTION("""COMPUTED_VALUE"""),7.7217417)</f>
        <v>7.7217417</v>
      </c>
      <c r="D19068" s="7">
        <f>IFERROR(__xludf.DUMMYFUNCTION("""COMPUTED_VALUE"""),0.433962264150943)</f>
        <v>0.4339622642</v>
      </c>
    </row>
    <row r="19069">
      <c r="A19069" s="10" t="s">
        <v>20508</v>
      </c>
      <c r="B19069" s="7" t="str">
        <f>IFERROR(__xludf.DUMMYFUNCTION("SPLIT(A19069,"" "")"),"Cc1nc(CN(C)Cc2ccc3ncccc3c2)oc1C")</f>
        <v>Cc1nc(CN(C)Cc2ccc3ncccc3c2)oc1C</v>
      </c>
      <c r="C19069" s="7">
        <f>IFERROR(__xludf.DUMMYFUNCTION("""COMPUTED_VALUE"""),7.7217207)</f>
        <v>7.7217207</v>
      </c>
      <c r="D19069" s="7">
        <f>IFERROR(__xludf.DUMMYFUNCTION("""COMPUTED_VALUE"""),0.320754716981132)</f>
        <v>0.320754717</v>
      </c>
    </row>
    <row r="19070">
      <c r="A19070" s="10" t="s">
        <v>20509</v>
      </c>
      <c r="B19070" s="7" t="str">
        <f>IFERROR(__xludf.DUMMYFUNCTION("SPLIT(A19070,"" "")"),"CN(Cc1ccccn1)C1=C(CN(C)c2cccc3ncc(CF)cc23)NC=CC1")</f>
        <v>CN(Cc1ccccn1)C1=C(CN(C)c2cccc3ncc(CF)cc23)NC=CC1</v>
      </c>
      <c r="C19070" s="7">
        <f>IFERROR(__xludf.DUMMYFUNCTION("""COMPUTED_VALUE"""),7.7217183)</f>
        <v>7.7217183</v>
      </c>
      <c r="D19070" s="7">
        <f>IFERROR(__xludf.DUMMYFUNCTION("""COMPUTED_VALUE"""),0.38095238095238)</f>
        <v>0.380952381</v>
      </c>
    </row>
    <row r="19071">
      <c r="A19071" s="10" t="s">
        <v>20510</v>
      </c>
      <c r="B19071" s="7" t="str">
        <f>IFERROR(__xludf.DUMMYFUNCTION("SPLIT(A19071,"" "")"),"CN(C)c1ccc2cc3c(nc2c1)CCCC3")</f>
        <v>CN(C)c1ccc2cc3c(nc2c1)CCCC3</v>
      </c>
      <c r="C19071" s="7">
        <f>IFERROR(__xludf.DUMMYFUNCTION("""COMPUTED_VALUE"""),7.7217064)</f>
        <v>7.7217064</v>
      </c>
      <c r="D19071" s="7">
        <f>IFERROR(__xludf.DUMMYFUNCTION("""COMPUTED_VALUE"""),0.416666666666666)</f>
        <v>0.4166666667</v>
      </c>
    </row>
    <row r="19072">
      <c r="A19072" s="10" t="s">
        <v>20511</v>
      </c>
      <c r="B19072" s="7" t="str">
        <f>IFERROR(__xludf.DUMMYFUNCTION("SPLIT(A19072,"" "")"),"Cc1cccnc1CN(C)C1CCCC(N(C)c2cccc3nccc(-c4cccc5ncccc45)c23)C1")</f>
        <v>Cc1cccnc1CN(C)C1CCCC(N(C)c2cccc3nccc(-c4cccc5ncccc45)c23)C1</v>
      </c>
      <c r="C19072" s="7">
        <f>IFERROR(__xludf.DUMMYFUNCTION("""COMPUTED_VALUE"""),7.72169)</f>
        <v>7.72169</v>
      </c>
      <c r="D19072" s="7">
        <f>IFERROR(__xludf.DUMMYFUNCTION("""COMPUTED_VALUE"""),0.313432835820895)</f>
        <v>0.3134328358</v>
      </c>
    </row>
    <row r="19073">
      <c r="A19073" s="10" t="s">
        <v>20512</v>
      </c>
      <c r="B19073" s="7" t="str">
        <f>IFERROR(__xludf.DUMMYFUNCTION("SPLIT(A19073,"" "")"),"Cc1cccnc1CN(C)c1cccnc1C1=CCC=C(N(C)Cc2ccccn2)N1")</f>
        <v>Cc1cccnc1CN(C)c1cccnc1C1=CCC=C(N(C)Cc2ccccn2)N1</v>
      </c>
      <c r="C19073" s="7">
        <f>IFERROR(__xludf.DUMMYFUNCTION("""COMPUTED_VALUE"""),7.721688)</f>
        <v>7.721688</v>
      </c>
      <c r="D19073" s="7">
        <f>IFERROR(__xludf.DUMMYFUNCTION("""COMPUTED_VALUE"""),0.403508771929824)</f>
        <v>0.4035087719</v>
      </c>
    </row>
    <row r="19074">
      <c r="A19074" s="10" t="s">
        <v>20513</v>
      </c>
      <c r="B19074" s="7" t="str">
        <f>IFERROR(__xludf.DUMMYFUNCTION("SPLIT(A19074,"" "")"),"Cc1cc(C)c(C)c(CN(C)Cc2ccnc3ccc(N(C)Cc4ncccc4C)cc23)n1")</f>
        <v>Cc1cc(C)c(C)c(CN(C)Cc2ccnc3ccc(N(C)Cc4ncccc4C)cc23)n1</v>
      </c>
      <c r="C19074" s="7">
        <f>IFERROR(__xludf.DUMMYFUNCTION("""COMPUTED_VALUE"""),7.721686)</f>
        <v>7.721686</v>
      </c>
      <c r="D19074" s="7">
        <f>IFERROR(__xludf.DUMMYFUNCTION("""COMPUTED_VALUE"""),0.285714285714285)</f>
        <v>0.2857142857</v>
      </c>
    </row>
    <row r="19075">
      <c r="A19075" s="10" t="s">
        <v>20514</v>
      </c>
      <c r="B19075" s="7" t="str">
        <f>IFERROR(__xludf.DUMMYFUNCTION("SPLIT(A19075,"" "")"),"Cc1cncc(-c2ccc(CN(C)Cc3cccc(-c4cccc(N=Cc5ccccn5)c4)n3)cc2)c1")</f>
        <v>Cc1cncc(-c2ccc(CN(C)Cc3cccc(-c4cccc(N=Cc5ccccn5)c4)n3)cc2)c1</v>
      </c>
      <c r="C19075" s="7">
        <f>IFERROR(__xludf.DUMMYFUNCTION("""COMPUTED_VALUE"""),7.721677)</f>
        <v>7.721677</v>
      </c>
      <c r="D19075" s="7">
        <f>IFERROR(__xludf.DUMMYFUNCTION("""COMPUTED_VALUE"""),0.393939393939393)</f>
        <v>0.3939393939</v>
      </c>
    </row>
    <row r="19076">
      <c r="A19076" s="10" t="s">
        <v>20515</v>
      </c>
      <c r="B19076" s="7" t="str">
        <f>IFERROR(__xludf.DUMMYFUNCTION("SPLIT(A19076,"" "")"),"CN(Cc1ccccn1)C1=CC(CN(C)c2ccc3cccnc3c2)C=CN1")</f>
        <v>CN(Cc1ccccn1)C1=CC(CN(C)c2ccc3cccnc3c2)C=CN1</v>
      </c>
      <c r="C19076" s="7">
        <f>IFERROR(__xludf.DUMMYFUNCTION("""COMPUTED_VALUE"""),7.721668)</f>
        <v>7.721668</v>
      </c>
      <c r="D19076" s="7">
        <f>IFERROR(__xludf.DUMMYFUNCTION("""COMPUTED_VALUE"""),0.389830508474576)</f>
        <v>0.3898305085</v>
      </c>
    </row>
    <row r="19077">
      <c r="A19077" s="10" t="s">
        <v>20516</v>
      </c>
      <c r="B19077" s="7" t="str">
        <f>IFERROR(__xludf.DUMMYFUNCTION("SPLIT(A19077,"" "")"),"CN(C)Cc1cc(-c2ccccc2N=Cc2ccccn2)ccn1")</f>
        <v>CN(C)Cc1cc(-c2ccccc2N=Cc2ccccn2)ccn1</v>
      </c>
      <c r="C19077" s="7">
        <f>IFERROR(__xludf.DUMMYFUNCTION("""COMPUTED_VALUE"""),7.7216673)</f>
        <v>7.7216673</v>
      </c>
      <c r="D19077" s="7">
        <f>IFERROR(__xludf.DUMMYFUNCTION("""COMPUTED_VALUE"""),0.450980392156862)</f>
        <v>0.4509803922</v>
      </c>
    </row>
    <row r="19078">
      <c r="A19078" s="10" t="s">
        <v>20517</v>
      </c>
      <c r="B19078" s="7" t="str">
        <f>IFERROR(__xludf.DUMMYFUNCTION("SPLIT(A19078,"" "")"),"CN(CCN(CC(C)(C)C)c1ccc2ncccc2c1)c1ccc2nccc(CF)c2c1")</f>
        <v>CN(CCN(CC(C)(C)C)c1ccc2ncccc2c1)c1ccc2nccc(CF)c2c1</v>
      </c>
      <c r="C19078" s="7">
        <f>IFERROR(__xludf.DUMMYFUNCTION("""COMPUTED_VALUE"""),7.7216654)</f>
        <v>7.7216654</v>
      </c>
      <c r="D19078" s="7">
        <f>IFERROR(__xludf.DUMMYFUNCTION("""COMPUTED_VALUE"""),0.310344827586206)</f>
        <v>0.3103448276</v>
      </c>
    </row>
    <row r="19079">
      <c r="A19079" s="10" t="s">
        <v>20518</v>
      </c>
      <c r="B19079" s="7" t="str">
        <f>IFERROR(__xludf.DUMMYFUNCTION("SPLIT(A19079,"" "")"),"CN(Cc1ccccn1)C1=CCC=C(CN(Cc2ccccn2)c2cccc3ncccc23)N1")</f>
        <v>CN(Cc1ccccn1)C1=CCC=C(CN(Cc2ccccn2)c2cccc3ncccc23)N1</v>
      </c>
      <c r="C19079" s="7">
        <f>IFERROR(__xludf.DUMMYFUNCTION("""COMPUTED_VALUE"""),7.7216578)</f>
        <v>7.7216578</v>
      </c>
      <c r="D19079" s="7">
        <f>IFERROR(__xludf.DUMMYFUNCTION("""COMPUTED_VALUE"""),0.379310344827586)</f>
        <v>0.3793103448</v>
      </c>
    </row>
    <row r="19080">
      <c r="A19080" s="10" t="s">
        <v>20519</v>
      </c>
      <c r="B19080" s="7" t="str">
        <f>IFERROR(__xludf.DUMMYFUNCTION("SPLIT(A19080,"" "")"),"CC(C)N(CC1=CCC=C(N(C)Cc2ccccn2)N1)c1cccc2ncccc12")</f>
        <v>CC(C)N(CC1=CCC=C(N(C)Cc2ccccn2)N1)c1cccc2ncccc12</v>
      </c>
      <c r="C19080" s="7">
        <f>IFERROR(__xludf.DUMMYFUNCTION("""COMPUTED_VALUE"""),7.721651)</f>
        <v>7.721651</v>
      </c>
      <c r="D19080" s="7">
        <f>IFERROR(__xludf.DUMMYFUNCTION("""COMPUTED_VALUE"""),0.360655737704918)</f>
        <v>0.3606557377</v>
      </c>
    </row>
    <row r="19081">
      <c r="A19081" s="10" t="s">
        <v>20520</v>
      </c>
      <c r="B19081" s="7" t="str">
        <f>IFERROR(__xludf.DUMMYFUNCTION("SPLIT(A19081,"" "")"),"CN(CCN(C)c1ccc2cc(CF)cnc2c1)Cc1ccc2cccnc2c1")</f>
        <v>CN(CCN(C)c1ccc2cc(CF)cnc2c1)Cc1ccc2cccnc2c1</v>
      </c>
      <c r="C19081" s="7">
        <f>IFERROR(__xludf.DUMMYFUNCTION("""COMPUTED_VALUE"""),7.721647)</f>
        <v>7.721647</v>
      </c>
      <c r="D19081" s="7">
        <f>IFERROR(__xludf.DUMMYFUNCTION("""COMPUTED_VALUE"""),0.357142857142857)</f>
        <v>0.3571428571</v>
      </c>
    </row>
    <row r="19082">
      <c r="A19082" s="10" t="s">
        <v>20521</v>
      </c>
      <c r="B19082" s="7" t="str">
        <f>IFERROR(__xludf.DUMMYFUNCTION("SPLIT(A19082,"" "")"),"Cc1cccnc1CN(C)Cc1nccc2cc(N(C)Cc3nc(C)c(C)c(C)c3C)ccc12")</f>
        <v>Cc1cccnc1CN(C)Cc1nccc2cc(N(C)Cc3nc(C)c(C)c(C)c3C)ccc12</v>
      </c>
      <c r="C19082" s="7">
        <f>IFERROR(__xludf.DUMMYFUNCTION("""COMPUTED_VALUE"""),7.7216372)</f>
        <v>7.7216372</v>
      </c>
      <c r="D19082" s="7">
        <f>IFERROR(__xludf.DUMMYFUNCTION("""COMPUTED_VALUE"""),0.262295081967213)</f>
        <v>0.262295082</v>
      </c>
    </row>
    <row r="19083">
      <c r="A19083" s="10" t="s">
        <v>20522</v>
      </c>
      <c r="B19083" s="7" t="str">
        <f>IFERROR(__xludf.DUMMYFUNCTION("SPLIT(A19083,"" "")"),"CN(CCN(CC(C)(C)C)c1ccc2cccnc2c1)c1ccc2nccc(CF)c2c1")</f>
        <v>CN(CCN(CC(C)(C)C)c1ccc2cccnc2c1)c1ccc2nccc(CF)c2c1</v>
      </c>
      <c r="C19083" s="7">
        <f>IFERROR(__xludf.DUMMYFUNCTION("""COMPUTED_VALUE"""),7.7216363)</f>
        <v>7.7216363</v>
      </c>
      <c r="D19083" s="7">
        <f>IFERROR(__xludf.DUMMYFUNCTION("""COMPUTED_VALUE"""),0.3)</f>
        <v>0.3</v>
      </c>
    </row>
    <row r="19084">
      <c r="A19084" s="10" t="s">
        <v>20523</v>
      </c>
      <c r="B19084" s="7" t="str">
        <f>IFERROR(__xludf.DUMMYFUNCTION("SPLIT(A19084,"" "")"),"Cc1nc(CN(C)C2=C(CN(Cc3ccccn3)c3ccc4ncccc4c3)NC=CC2)c(C)c(C)c1C")</f>
        <v>Cc1nc(CN(C)C2=C(CN(Cc3ccccn3)c3ccc4ncccc4c3)NC=CC2)c(C)c(C)c1C</v>
      </c>
      <c r="C19084" s="7">
        <f>IFERROR(__xludf.DUMMYFUNCTION("""COMPUTED_VALUE"""),7.7216234)</f>
        <v>7.7216234</v>
      </c>
      <c r="D19084" s="7">
        <f>IFERROR(__xludf.DUMMYFUNCTION("""COMPUTED_VALUE"""),0.31081081081081)</f>
        <v>0.3108108108</v>
      </c>
    </row>
    <row r="19085">
      <c r="A19085" s="10" t="s">
        <v>20524</v>
      </c>
      <c r="B19085" s="7" t="str">
        <f>IFERROR(__xludf.DUMMYFUNCTION("SPLIT(A19085,"" "")"),"CN(Cc1cc(-c2ccccc2)ccn1)Cc1cccc(-c2ccc(N=Cc3ccccn3)cc2)n1")</f>
        <v>CN(Cc1cc(-c2ccccc2)ccn1)Cc1cccc(-c2ccc(N=Cc3ccccn3)cc2)n1</v>
      </c>
      <c r="C19085" s="7">
        <f>IFERROR(__xludf.DUMMYFUNCTION("""COMPUTED_VALUE"""),7.721611)</f>
        <v>7.721611</v>
      </c>
      <c r="D19085" s="7">
        <f>IFERROR(__xludf.DUMMYFUNCTION("""COMPUTED_VALUE"""),0.473684210526315)</f>
        <v>0.4736842105</v>
      </c>
    </row>
    <row r="19086">
      <c r="A19086" s="10" t="s">
        <v>20525</v>
      </c>
      <c r="B19086" s="7" t="str">
        <f>IFERROR(__xludf.DUMMYFUNCTION("SPLIT(A19086,"" "")"),"CN(C)Cc1cncc2cccc(N(C)Cc3ncccc3C(C)(C)C)c12")</f>
        <v>CN(C)Cc1cncc2cccc(N(C)Cc3ncccc3C(C)(C)C)c12</v>
      </c>
      <c r="C19086" s="7">
        <f>IFERROR(__xludf.DUMMYFUNCTION("""COMPUTED_VALUE"""),7.721598)</f>
        <v>7.721598</v>
      </c>
      <c r="D19086" s="7">
        <f>IFERROR(__xludf.DUMMYFUNCTION("""COMPUTED_VALUE"""),0.363636363636363)</f>
        <v>0.3636363636</v>
      </c>
    </row>
    <row r="19087">
      <c r="A19087" s="10" t="s">
        <v>20526</v>
      </c>
      <c r="B19087" s="7" t="str">
        <f>IFERROR(__xludf.DUMMYFUNCTION("SPLIT(A19087,"" "")"),"CN(CC1=C(N(C)C(c2ccccc2)c2ccccn2)CC=CN1)c1cccc2ncccc12")</f>
        <v>CN(CC1=C(N(C)C(c2ccccc2)c2ccccn2)CC=CN1)c1cccc2ncccc12</v>
      </c>
      <c r="C19087" s="7">
        <f>IFERROR(__xludf.DUMMYFUNCTION("""COMPUTED_VALUE"""),7.7215967)</f>
        <v>7.7215967</v>
      </c>
      <c r="D19087" s="7">
        <f>IFERROR(__xludf.DUMMYFUNCTION("""COMPUTED_VALUE"""),0.35820895522388)</f>
        <v>0.3582089552</v>
      </c>
    </row>
    <row r="19088">
      <c r="A19088" s="10" t="s">
        <v>20527</v>
      </c>
      <c r="B19088" s="7" t="str">
        <f>IFERROR(__xludf.DUMMYFUNCTION("SPLIT(A19088,"" "")"),"CNC1CCCCC1N(C(c1nc(C)c(C)c(C)c1C)(c1nc(C)c(C)c(C)c1C)c1nc(C)c(C)c(C)c1C)C(c1nc(C)c(C)c(C)c1C)(c1nc(C)c(C)c(C)c1C)c1nc(C)c(C)c(C)c1C")</f>
        <v>CNC1CCCCC1N(C(c1nc(C)c(C)c(C)c1C)(c1nc(C)c(C)c(C)c1C)c1nc(C)c(C)c(C)c1C)C(c1nc(C)c(C)c(C)c1C)(c1nc(C)c(C)c(C)c1C)c1nc(C)c(C)c(C)c1C</v>
      </c>
      <c r="C19088" s="7">
        <f>IFERROR(__xludf.DUMMYFUNCTION("""COMPUTED_VALUE"""),7.7215962)</f>
        <v>7.7215962</v>
      </c>
      <c r="D19088" s="7">
        <f>IFERROR(__xludf.DUMMYFUNCTION("""COMPUTED_VALUE"""),0.245283018867924)</f>
        <v>0.2452830189</v>
      </c>
    </row>
    <row r="19089">
      <c r="A19089" s="10" t="s">
        <v>20528</v>
      </c>
      <c r="B19089" s="7" t="str">
        <f>IFERROR(__xludf.DUMMYFUNCTION("SPLIT(A19089,"" "")"),"Cc1cnc(C)c(CN(C)Cc2ccc(N(C)c3cccc4cc(CF)cnc34)cn2)c1")</f>
        <v>Cc1cnc(C)c(CN(C)Cc2ccc(N(C)c3cccc4cc(CF)cnc34)cn2)c1</v>
      </c>
      <c r="C19089" s="7">
        <f>IFERROR(__xludf.DUMMYFUNCTION("""COMPUTED_VALUE"""),7.721594)</f>
        <v>7.721594</v>
      </c>
      <c r="D19089" s="7">
        <f>IFERROR(__xludf.DUMMYFUNCTION("""COMPUTED_VALUE"""),0.344827586206896)</f>
        <v>0.3448275862</v>
      </c>
    </row>
    <row r="19090">
      <c r="A19090" s="10" t="s">
        <v>20529</v>
      </c>
      <c r="B19090" s="7" t="str">
        <f>IFERROR(__xludf.DUMMYFUNCTION("SPLIT(A19090,"" "")"),"CN(CCN(C)c1ccc2nc(CF)ccc2c1)Cc1cccc2ncccc12")</f>
        <v>CN(CCN(C)c1ccc2nc(CF)ccc2c1)Cc1cccc2ncccc12</v>
      </c>
      <c r="C19090" s="7">
        <f>IFERROR(__xludf.DUMMYFUNCTION("""COMPUTED_VALUE"""),7.72159)</f>
        <v>7.72159</v>
      </c>
      <c r="D19090" s="7">
        <f>IFERROR(__xludf.DUMMYFUNCTION("""COMPUTED_VALUE"""),0.425925925925925)</f>
        <v>0.4259259259</v>
      </c>
    </row>
    <row r="19091">
      <c r="A19091" s="10" t="s">
        <v>20530</v>
      </c>
      <c r="B19091" s="7" t="str">
        <f>IFERROR(__xludf.DUMMYFUNCTION("SPLIT(A19091,"" "")"),"CCN(c1cccc2cccnc12)C12CCC(N(C)c3cccc4ncccc34)(CC1)C2")</f>
        <v>CCN(c1cccc2cccnc12)C12CCC(N(C)c3cccc4ncccc34)(CC1)C2</v>
      </c>
      <c r="C19091" s="7">
        <f>IFERROR(__xludf.DUMMYFUNCTION("""COMPUTED_VALUE"""),7.721557)</f>
        <v>7.721557</v>
      </c>
      <c r="D19091" s="7">
        <f>IFERROR(__xludf.DUMMYFUNCTION("""COMPUTED_VALUE"""),0.423076923076923)</f>
        <v>0.4230769231</v>
      </c>
    </row>
    <row r="19092">
      <c r="A19092" s="10" t="s">
        <v>20531</v>
      </c>
      <c r="B19092" s="7" t="str">
        <f>IFERROR(__xludf.DUMMYFUNCTION("SPLIT(A19092,"" "")"),"Cc1cccc(-c2ccc(CN(C)Cc3cccc(-c4cccc(N=Cc5ccccn5)c4)n3)cc2)n1")</f>
        <v>Cc1cccc(-c2ccc(CN(C)Cc3cccc(-c4cccc(N=Cc5ccccn5)c4)n3)cc2)n1</v>
      </c>
      <c r="C19092" s="7">
        <f>IFERROR(__xludf.DUMMYFUNCTION("""COMPUTED_VALUE"""),7.7215514)</f>
        <v>7.7215514</v>
      </c>
      <c r="D19092" s="7">
        <f>IFERROR(__xludf.DUMMYFUNCTION("""COMPUTED_VALUE"""),0.426229508196721)</f>
        <v>0.4262295082</v>
      </c>
    </row>
    <row r="19093">
      <c r="A19093" s="10" t="s">
        <v>20532</v>
      </c>
      <c r="B19093" s="7" t="str">
        <f>IFERROR(__xludf.DUMMYFUNCTION("SPLIT(A19093,"" "")"),"Cc1cc(CN(C)c2ccc3cccnc3c2)cc(NCc2ccccn2)c1")</f>
        <v>Cc1cc(CN(C)c2ccc3cccnc3c2)cc(NCc2ccccn2)c1</v>
      </c>
      <c r="C19093" s="7">
        <f>IFERROR(__xludf.DUMMYFUNCTION("""COMPUTED_VALUE"""),7.7215357)</f>
        <v>7.7215357</v>
      </c>
      <c r="D19093" s="7">
        <f>IFERROR(__xludf.DUMMYFUNCTION("""COMPUTED_VALUE"""),0.379310344827586)</f>
        <v>0.3793103448</v>
      </c>
    </row>
    <row r="19094">
      <c r="A19094" s="10" t="s">
        <v>20533</v>
      </c>
      <c r="B19094" s="7" t="str">
        <f>IFERROR(__xludf.DUMMYFUNCTION("SPLIT(A19094,"" "")"),"CC(C)C1=CC(N(C)Cc2cc(-c3cc(NCc4ccccn4)c4ncccc4c3)ccn2)C=CN1")</f>
        <v>CC(C)C1=CC(N(C)Cc2cc(-c3cc(NCc4ccccn4)c4ncccc4c3)ccn2)C=CN1</v>
      </c>
      <c r="C19094" s="7">
        <f>IFERROR(__xludf.DUMMYFUNCTION("""COMPUTED_VALUE"""),7.7215304)</f>
        <v>7.7215304</v>
      </c>
      <c r="D19094" s="7">
        <f>IFERROR(__xludf.DUMMYFUNCTION("""COMPUTED_VALUE"""),0.291139240506329)</f>
        <v>0.2911392405</v>
      </c>
    </row>
    <row r="19095">
      <c r="A19095" s="10" t="s">
        <v>20534</v>
      </c>
      <c r="B19095" s="7" t="str">
        <f>IFERROR(__xludf.DUMMYFUNCTION("SPLIT(A19095,"" "")"),"CN(Cc1ccccn1)Cc1ncccc1N(C)c1cccc2ncccc12")</f>
        <v>CN(Cc1ccccn1)Cc1ncccc1N(C)c1cccc2ncccc12</v>
      </c>
      <c r="C19095" s="7">
        <f>IFERROR(__xludf.DUMMYFUNCTION("""COMPUTED_VALUE"""),7.7215247)</f>
        <v>7.7215247</v>
      </c>
      <c r="D19095" s="7">
        <f>IFERROR(__xludf.DUMMYFUNCTION("""COMPUTED_VALUE"""),0.46938775510204)</f>
        <v>0.4693877551</v>
      </c>
    </row>
    <row r="19096">
      <c r="A19096" s="10" t="s">
        <v>20535</v>
      </c>
      <c r="B19096" s="7" t="str">
        <f>IFERROR(__xludf.DUMMYFUNCTION("SPLIT(A19096,"" "")"),"Cc1cc(C)c2ccc(N(C)C3CCCC(N(C)c4ccc5c(CF)ccnc5c4)C3)cc2n1")</f>
        <v>Cc1cc(C)c2ccc(N(C)C3CCCC(N(C)c4ccc5c(CF)ccnc5c4)C3)cc2n1</v>
      </c>
      <c r="C19096" s="7">
        <f>IFERROR(__xludf.DUMMYFUNCTION("""COMPUTED_VALUE"""),7.721524)</f>
        <v>7.721524</v>
      </c>
      <c r="D19096" s="7">
        <f>IFERROR(__xludf.DUMMYFUNCTION("""COMPUTED_VALUE"""),0.25)</f>
        <v>0.25</v>
      </c>
    </row>
    <row r="19097">
      <c r="A19097" s="10" t="s">
        <v>20536</v>
      </c>
      <c r="B19097" s="7" t="str">
        <f>IFERROR(__xludf.DUMMYFUNCTION("SPLIT(A19097,"" "")"),"CN(CCN(C)c1ccc2ncc(CF)cc2c1)Cc1ccc2ncccc2c1")</f>
        <v>CN(CCN(C)c1ccc2ncc(CF)cc2c1)Cc1ccc2ncccc2c1</v>
      </c>
      <c r="C19097" s="7">
        <f>IFERROR(__xludf.DUMMYFUNCTION("""COMPUTED_VALUE"""),7.721511)</f>
        <v>7.721511</v>
      </c>
      <c r="D19097" s="7">
        <f>IFERROR(__xludf.DUMMYFUNCTION("""COMPUTED_VALUE"""),0.363636363636363)</f>
        <v>0.3636363636</v>
      </c>
    </row>
    <row r="19098">
      <c r="A19098" s="10" t="s">
        <v>20537</v>
      </c>
      <c r="B19098" s="7" t="str">
        <f>IFERROR(__xludf.DUMMYFUNCTION("SPLIT(A19098,"" "")"),"Cc1cnc(CN(C)Cc2ccnc3ccc(N(C)Cc4cnc(C)c(C)c4)cc23)c(C)c1")</f>
        <v>Cc1cnc(CN(C)Cc2ccnc3ccc(N(C)Cc4cnc(C)c(C)c4)cc23)c(C)c1</v>
      </c>
      <c r="C19098" s="7">
        <f>IFERROR(__xludf.DUMMYFUNCTION("""COMPUTED_VALUE"""),7.7215075)</f>
        <v>7.7215075</v>
      </c>
      <c r="D19098" s="7">
        <f>IFERROR(__xludf.DUMMYFUNCTION("""COMPUTED_VALUE"""),0.241935483870967)</f>
        <v>0.2419354839</v>
      </c>
    </row>
    <row r="19099">
      <c r="A19099" s="10" t="s">
        <v>20538</v>
      </c>
      <c r="B19099" s="7" t="str">
        <f>IFERROR(__xludf.DUMMYFUNCTION("SPLIT(A19099,"" "")"),"Cc1ccc(CN(C)c2cc(Cl)cc(N(C)Cc3cccc(F)n3)c2Cl)nc1C")</f>
        <v>Cc1ccc(CN(C)c2cc(Cl)cc(N(C)Cc3cccc(F)n3)c2Cl)nc1C</v>
      </c>
      <c r="C19099" s="7">
        <f>IFERROR(__xludf.DUMMYFUNCTION("""COMPUTED_VALUE"""),7.7215014)</f>
        <v>7.7215014</v>
      </c>
      <c r="D19099" s="7">
        <f>IFERROR(__xludf.DUMMYFUNCTION("""COMPUTED_VALUE"""),0.365384615384615)</f>
        <v>0.3653846154</v>
      </c>
    </row>
    <row r="19100">
      <c r="A19100" s="10" t="s">
        <v>20539</v>
      </c>
      <c r="B19100" s="7" t="str">
        <f>IFERROR(__xludf.DUMMYFUNCTION("SPLIT(A19100,"" "")"),"Cc1cc(CN(C)CCN(C)c2ccc3ccc(-c4ccccn4)nc3c2)ccn1")</f>
        <v>Cc1cc(CN(C)CCN(C)c2ccc3ccc(-c4ccccn4)nc3c2)ccn1</v>
      </c>
      <c r="C19100" s="7">
        <f>IFERROR(__xludf.DUMMYFUNCTION("""COMPUTED_VALUE"""),7.7214975)</f>
        <v>7.7214975</v>
      </c>
      <c r="D19100" s="7">
        <f>IFERROR(__xludf.DUMMYFUNCTION("""COMPUTED_VALUE"""),0.379310344827586)</f>
        <v>0.3793103448</v>
      </c>
    </row>
    <row r="19101">
      <c r="A19101" s="10" t="s">
        <v>20540</v>
      </c>
      <c r="B19101" s="7" t="str">
        <f>IFERROR(__xludf.DUMMYFUNCTION("SPLIT(A19101,"" "")"),"CN(C)c1cccc(-c2ccc3c(n2)CCC3)c1")</f>
        <v>CN(C)c1cccc(-c2ccc3c(n2)CCC3)c1</v>
      </c>
      <c r="C19101" s="7">
        <f>IFERROR(__xludf.DUMMYFUNCTION("""COMPUTED_VALUE"""),7.7214956)</f>
        <v>7.7214956</v>
      </c>
      <c r="D19101" s="7">
        <f>IFERROR(__xludf.DUMMYFUNCTION("""COMPUTED_VALUE"""),0.377358490566037)</f>
        <v>0.3773584906</v>
      </c>
    </row>
    <row r="19102">
      <c r="A19102" s="10" t="s">
        <v>20541</v>
      </c>
      <c r="B19102" s="7" t="str">
        <f>IFERROR(__xludf.DUMMYFUNCTION("SPLIT(A19102,"" "")"),"CNCc1cc(-c2cc(C)cc(N=Cc3ccccn3)c2)ccn1")</f>
        <v>CNCc1cc(-c2cc(C)cc(N=Cc3ccccn3)c2)ccn1</v>
      </c>
      <c r="C19102" s="7">
        <f>IFERROR(__xludf.DUMMYFUNCTION("""COMPUTED_VALUE"""),7.7214704)</f>
        <v>7.7214704</v>
      </c>
      <c r="D19102" s="7">
        <f>IFERROR(__xludf.DUMMYFUNCTION("""COMPUTED_VALUE"""),0.375)</f>
        <v>0.375</v>
      </c>
    </row>
    <row r="19103">
      <c r="A19103" s="10" t="s">
        <v>20542</v>
      </c>
      <c r="B19103" s="7" t="str">
        <f>IFERROR(__xludf.DUMMYFUNCTION("SPLIT(A19103,"" "")"),"Cc1cnc(CN(C)Cc2ccc(N(C)c3cccc4ccc(CF)nc34)cn2)c(C)c1")</f>
        <v>Cc1cnc(CN(C)Cc2ccc(N(C)c3cccc4ccc(CF)nc34)cn2)c(C)c1</v>
      </c>
      <c r="C19103" s="7">
        <f>IFERROR(__xludf.DUMMYFUNCTION("""COMPUTED_VALUE"""),7.7214565)</f>
        <v>7.7214565</v>
      </c>
      <c r="D19103" s="7">
        <f>IFERROR(__xludf.DUMMYFUNCTION("""COMPUTED_VALUE"""),0.419354838709677)</f>
        <v>0.4193548387</v>
      </c>
    </row>
    <row r="19104">
      <c r="A19104" s="10" t="s">
        <v>20543</v>
      </c>
      <c r="B19104" s="7" t="str">
        <f>IFERROR(__xludf.DUMMYFUNCTION("SPLIT(A19104,"" "")"),"CN(C1=CC=CC(NCc2ccccn2)N1)c1cccc2ncccc12")</f>
        <v>CN(C1=CC=CC(NCc2ccccn2)N1)c1cccc2ncccc12</v>
      </c>
      <c r="C19104" s="7">
        <f>IFERROR(__xludf.DUMMYFUNCTION("""COMPUTED_VALUE"""),7.7214417)</f>
        <v>7.7214417</v>
      </c>
      <c r="D19104" s="7">
        <f>IFERROR(__xludf.DUMMYFUNCTION("""COMPUTED_VALUE"""),0.306451612903225)</f>
        <v>0.3064516129</v>
      </c>
    </row>
    <row r="19105">
      <c r="A19105" s="10" t="s">
        <v>20544</v>
      </c>
      <c r="B19105" s="7" t="str">
        <f>IFERROR(__xludf.DUMMYFUNCTION("SPLIT(A19105,"" "")"),"Cc1cc(-c2ccc(CN(C)CC3=CC(N(C)c4ccc5ncc(CF)cc5c4)C=CN3)nc2)ccc1N")</f>
        <v>Cc1cc(-c2ccc(CN(C)CC3=CC(N(C)c4ccc5ncc(CF)cc5c4)C=CN3)nc2)ccc1N</v>
      </c>
      <c r="C19105" s="7">
        <f>IFERROR(__xludf.DUMMYFUNCTION("""COMPUTED_VALUE"""),7.721436)</f>
        <v>7.721436</v>
      </c>
      <c r="D19105" s="7">
        <f>IFERROR(__xludf.DUMMYFUNCTION("""COMPUTED_VALUE"""),0.246913580246913)</f>
        <v>0.2469135802</v>
      </c>
    </row>
    <row r="19106">
      <c r="A19106" s="10" t="s">
        <v>20545</v>
      </c>
      <c r="B19106" s="7" t="str">
        <f>IFERROR(__xludf.DUMMYFUNCTION("SPLIT(A19106,"" "")"),"CC(C)N(C)Cc1cc(-c2cc(NCc3ccccn3)c3cccnc3c2)ccn1")</f>
        <v>CC(C)N(C)Cc1cc(-c2cc(NCc3ccccn3)c3cccnc3c2)ccn1</v>
      </c>
      <c r="C19106" s="7">
        <f>IFERROR(__xludf.DUMMYFUNCTION("""COMPUTED_VALUE"""),7.7214336)</f>
        <v>7.7214336</v>
      </c>
      <c r="D19106" s="7">
        <f>IFERROR(__xludf.DUMMYFUNCTION("""COMPUTED_VALUE"""),0.359375)</f>
        <v>0.359375</v>
      </c>
    </row>
    <row r="19107">
      <c r="A19107" s="10" t="s">
        <v>20546</v>
      </c>
      <c r="B19107" s="7" t="str">
        <f>IFERROR(__xludf.DUMMYFUNCTION("SPLIT(A19107,"" "")"),"Cc1ccc(-c2ccc(-c3ccccc3)cn2)cc1NCc1ccccn1")</f>
        <v>Cc1ccc(-c2ccc(-c3ccccc3)cn2)cc1NCc1ccccn1</v>
      </c>
      <c r="C19107" s="7">
        <f>IFERROR(__xludf.DUMMYFUNCTION("""COMPUTED_VALUE"""),7.7214317)</f>
        <v>7.7214317</v>
      </c>
      <c r="D19107" s="7">
        <f>IFERROR(__xludf.DUMMYFUNCTION("""COMPUTED_VALUE"""),0.403508771929824)</f>
        <v>0.4035087719</v>
      </c>
    </row>
    <row r="19108">
      <c r="A19108" s="10" t="s">
        <v>20547</v>
      </c>
      <c r="B19108" s="7" t="str">
        <f>IFERROR(__xludf.DUMMYFUNCTION("SPLIT(A19108,"" "")"),"CCN(Cc1ccccn1)Cc1ccc2cccc(N(C)Cc3ccc4ncccc4c3)c2n1")</f>
        <v>CCN(Cc1ccccn1)Cc1ccc2cccc(N(C)Cc3ccc4ncccc4c3)c2n1</v>
      </c>
      <c r="C19108" s="7">
        <f>IFERROR(__xludf.DUMMYFUNCTION("""COMPUTED_VALUE"""),7.7214236)</f>
        <v>7.7214236</v>
      </c>
      <c r="D19108" s="7">
        <f>IFERROR(__xludf.DUMMYFUNCTION("""COMPUTED_VALUE"""),0.43859649122807)</f>
        <v>0.4385964912</v>
      </c>
    </row>
    <row r="19109">
      <c r="A19109" s="10" t="s">
        <v>20548</v>
      </c>
      <c r="B19109" s="7" t="str">
        <f>IFERROR(__xludf.DUMMYFUNCTION("SPLIT(A19109,"" "")"),"CCN(Cc1ccccc1N(C)C)c1ccc2ncccc2c1")</f>
        <v>CCN(Cc1ccccc1N(C)C)c1ccc2ncccc2c1</v>
      </c>
      <c r="C19109" s="7">
        <f>IFERROR(__xludf.DUMMYFUNCTION("""COMPUTED_VALUE"""),7.721416)</f>
        <v>7.721416</v>
      </c>
      <c r="D19109" s="7">
        <f>IFERROR(__xludf.DUMMYFUNCTION("""COMPUTED_VALUE"""),0.352941176470588)</f>
        <v>0.3529411765</v>
      </c>
    </row>
    <row r="19110">
      <c r="A19110" s="10" t="s">
        <v>20549</v>
      </c>
      <c r="B19110" s="7" t="str">
        <f>IFERROR(__xludf.DUMMYFUNCTION("SPLIT(A19110,"" "")"),"CN(c1ccc2cccnc2c1)C1C2CCC1(N(C)c1ccc3cccnc3c1)CC2")</f>
        <v>CN(c1ccc2cccnc2c1)C1C2CCC1(N(C)c1ccc3cccnc3c1)CC2</v>
      </c>
      <c r="C19110" s="7">
        <f>IFERROR(__xludf.DUMMYFUNCTION("""COMPUTED_VALUE"""),7.7214108)</f>
        <v>7.7214108</v>
      </c>
      <c r="D19110" s="7">
        <f>IFERROR(__xludf.DUMMYFUNCTION("""COMPUTED_VALUE"""),0.333333333333333)</f>
        <v>0.3333333333</v>
      </c>
    </row>
    <row r="19111">
      <c r="A19111" s="10" t="s">
        <v>20550</v>
      </c>
      <c r="B19111" s="7" t="str">
        <f>IFERROR(__xludf.DUMMYFUNCTION("SPLIT(A19111,"" "")"),"CN(Cc1ccccn1)Cc1cc(N(C)c2ccc3nccc(CF)c3c2)ccn1")</f>
        <v>CN(Cc1ccccn1)Cc1cc(N(C)c2ccc3nccc(CF)c3c2)ccn1</v>
      </c>
      <c r="C19111" s="7">
        <f>IFERROR(__xludf.DUMMYFUNCTION("""COMPUTED_VALUE"""),7.7213993)</f>
        <v>7.7213993</v>
      </c>
      <c r="D19111" s="7">
        <f>IFERROR(__xludf.DUMMYFUNCTION("""COMPUTED_VALUE"""),0.407407407407407)</f>
        <v>0.4074074074</v>
      </c>
    </row>
    <row r="19112">
      <c r="A19112" s="10" t="s">
        <v>20551</v>
      </c>
      <c r="B19112" s="7" t="str">
        <f>IFERROR(__xludf.DUMMYFUNCTION("SPLIT(A19112,"" "")"),"Cc1cncc(CN(C)c2ccc3cccnc3c2-c2cccc(CN(Cc3ccccn3)Cc3ncccc3C)n2)c1")</f>
        <v>Cc1cncc(CN(C)c2ccc3cccnc3c2-c2cccc(CN(Cc3ccccn3)Cc3ncccc3C)n2)c1</v>
      </c>
      <c r="C19112" s="7">
        <f>IFERROR(__xludf.DUMMYFUNCTION("""COMPUTED_VALUE"""),7.721399)</f>
        <v>7.721399</v>
      </c>
      <c r="D19112" s="7">
        <f>IFERROR(__xludf.DUMMYFUNCTION("""COMPUTED_VALUE"""),0.373333333333333)</f>
        <v>0.3733333333</v>
      </c>
    </row>
    <row r="19113">
      <c r="A19113" s="10" t="s">
        <v>20552</v>
      </c>
      <c r="B19113" s="7" t="str">
        <f>IFERROR(__xludf.DUMMYFUNCTION("SPLIT(A19113,"" "")"),"Cc1cccnc1CN(C)Cc1nccc2c(N(C)Cc3nc(C)c(C)c(C)c3C)cccc12")</f>
        <v>Cc1cccnc1CN(C)Cc1nccc2c(N(C)Cc3nc(C)c(C)c(C)c3C)cccc12</v>
      </c>
      <c r="C19113" s="7">
        <f>IFERROR(__xludf.DUMMYFUNCTION("""COMPUTED_VALUE"""),7.7213907)</f>
        <v>7.7213907</v>
      </c>
      <c r="D19113" s="7">
        <f>IFERROR(__xludf.DUMMYFUNCTION("""COMPUTED_VALUE"""),0.345454545454545)</f>
        <v>0.3454545455</v>
      </c>
    </row>
    <row r="19114">
      <c r="A19114" s="10" t="s">
        <v>20553</v>
      </c>
      <c r="B19114" s="7" t="str">
        <f>IFERROR(__xludf.DUMMYFUNCTION("SPLIT(A19114,"" "")"),"Cc1cnc(CN(C)CC2=CCC=C(N(C)c3cccc4cccnc34)N2)c(C)c1")</f>
        <v>Cc1cnc(CN(C)CC2=CCC=C(N(C)c3cccc4cccnc34)N2)c(C)c1</v>
      </c>
      <c r="C19114" s="7">
        <f>IFERROR(__xludf.DUMMYFUNCTION("""COMPUTED_VALUE"""),7.7213807)</f>
        <v>7.7213807</v>
      </c>
      <c r="D19114" s="7">
        <f>IFERROR(__xludf.DUMMYFUNCTION("""COMPUTED_VALUE"""),0.366666666666666)</f>
        <v>0.3666666667</v>
      </c>
    </row>
    <row r="19115">
      <c r="A19115" s="10" t="s">
        <v>20554</v>
      </c>
      <c r="B19115" s="7" t="str">
        <f>IFERROR(__xludf.DUMMYFUNCTION("SPLIT(A19115,"" "")"),"c1cnnc(CNc2ccc3cccnc3c2)c1")</f>
        <v>c1cnnc(CNc2ccc3cccnc3c2)c1</v>
      </c>
      <c r="C19115" s="7">
        <f>IFERROR(__xludf.DUMMYFUNCTION("""COMPUTED_VALUE"""),7.721374)</f>
        <v>7.721374</v>
      </c>
      <c r="D19115" s="7">
        <f>IFERROR(__xludf.DUMMYFUNCTION("""COMPUTED_VALUE"""),0.377777777777777)</f>
        <v>0.3777777778</v>
      </c>
    </row>
    <row r="19116">
      <c r="A19116" s="10" t="s">
        <v>20555</v>
      </c>
      <c r="B19116" s="7" t="str">
        <f>IFERROR(__xludf.DUMMYFUNCTION("SPLIT(A19116,"" "")"),"CCN(CCN(C)c1ccc2nccc(C)c2c1)Cc1ccc2ncccc2c1")</f>
        <v>CCN(CCN(C)c1ccc2nccc(C)c2c1)Cc1ccc2ncccc2c1</v>
      </c>
      <c r="C19116" s="7">
        <f>IFERROR(__xludf.DUMMYFUNCTION("""COMPUTED_VALUE"""),7.721368)</f>
        <v>7.721368</v>
      </c>
      <c r="D19116" s="7">
        <f>IFERROR(__xludf.DUMMYFUNCTION("""COMPUTED_VALUE"""),0.31578947368421)</f>
        <v>0.3157894737</v>
      </c>
    </row>
    <row r="19117">
      <c r="A19117" s="10" t="s">
        <v>20556</v>
      </c>
      <c r="B19117" s="7" t="str">
        <f>IFERROR(__xludf.DUMMYFUNCTION("SPLIT(A19117,"" "")"),"Cc1cc(CN(C)Cc2ccc3c(C)ccc(N(C)Cc4ncccc4C)c3n2)cnc1C")</f>
        <v>Cc1cc(CN(C)Cc2ccc3c(C)ccc(N(C)Cc4ncccc4C)c3n2)cnc1C</v>
      </c>
      <c r="C19117" s="7">
        <f>IFERROR(__xludf.DUMMYFUNCTION("""COMPUTED_VALUE"""),7.721347)</f>
        <v>7.721347</v>
      </c>
      <c r="D19117" s="7">
        <f>IFERROR(__xludf.DUMMYFUNCTION("""COMPUTED_VALUE"""),0.292307692307692)</f>
        <v>0.2923076923</v>
      </c>
    </row>
    <row r="19118">
      <c r="A19118" s="10" t="s">
        <v>20557</v>
      </c>
      <c r="B19118" s="7" t="str">
        <f>IFERROR(__xludf.DUMMYFUNCTION("SPLIT(A19118,"" "")"),"CN(C)c1cc(-c2ncccc2CN(Cc2ccccn2)C2CCC(N(C)c3ccc4nccc(CF)c4c3)CC2)cc2cccnc12")</f>
        <v>CN(C)c1cc(-c2ncccc2CN(Cc2ccccn2)C2CCC(N(C)c3ccc4nccc(CF)c4c3)CC2)cc2cccnc12</v>
      </c>
      <c r="C19118" s="7">
        <f>IFERROR(__xludf.DUMMYFUNCTION("""COMPUTED_VALUE"""),7.721327)</f>
        <v>7.721327</v>
      </c>
      <c r="D19118" s="7">
        <f>IFERROR(__xludf.DUMMYFUNCTION("""COMPUTED_VALUE"""),0.278481012658227)</f>
        <v>0.2784810127</v>
      </c>
    </row>
    <row r="19119">
      <c r="A19119" s="10" t="s">
        <v>20558</v>
      </c>
      <c r="B19119" s="7" t="str">
        <f>IFERROR(__xludf.DUMMYFUNCTION("SPLIT(A19119,"" "")"),"Cc1cc(CN(C)Cc2cccc(N(C)c3ccc4ncccc4c3)n2)ccn1")</f>
        <v>Cc1cc(CN(C)Cc2cccc(N(C)c3ccc4ncccc4c3)n2)ccn1</v>
      </c>
      <c r="C19119" s="7">
        <f>IFERROR(__xludf.DUMMYFUNCTION("""COMPUTED_VALUE"""),7.7213206)</f>
        <v>7.7213206</v>
      </c>
      <c r="D19119" s="7">
        <f>IFERROR(__xludf.DUMMYFUNCTION("""COMPUTED_VALUE"""),0.362068965517241)</f>
        <v>0.3620689655</v>
      </c>
    </row>
    <row r="19120">
      <c r="A19120" s="10" t="s">
        <v>20559</v>
      </c>
      <c r="B19120" s="7" t="str">
        <f>IFERROR(__xludf.DUMMYFUNCTION("SPLIT(A19120,"" "")"),"CN(c1ccc2cccnc2c1)C1C2CCC1(N(C)c1ccc3ncccc3c1)CC2")</f>
        <v>CN(c1ccc2cccnc2c1)C1C2CCC1(N(C)c1ccc3ncccc3c1)CC2</v>
      </c>
      <c r="C19120" s="7">
        <f>IFERROR(__xludf.DUMMYFUNCTION("""COMPUTED_VALUE"""),7.7213116)</f>
        <v>7.7213116</v>
      </c>
      <c r="D19120" s="7">
        <f>IFERROR(__xludf.DUMMYFUNCTION("""COMPUTED_VALUE"""),0.316666666666666)</f>
        <v>0.3166666667</v>
      </c>
    </row>
    <row r="19121">
      <c r="A19121" s="10" t="s">
        <v>20560</v>
      </c>
      <c r="B19121" s="7" t="str">
        <f>IFERROR(__xludf.DUMMYFUNCTION("SPLIT(A19121,"" "")"),"CC(C)N(Cc1ccccn1)c1ccccc1-c1ncccc1C1=CCC=CN1")</f>
        <v>CC(C)N(Cc1ccccn1)c1ccccc1-c1ncccc1C1=CCC=CN1</v>
      </c>
      <c r="C19121" s="7">
        <f>IFERROR(__xludf.DUMMYFUNCTION("""COMPUTED_VALUE"""),7.7213073)</f>
        <v>7.7213073</v>
      </c>
      <c r="D19121" s="7">
        <f>IFERROR(__xludf.DUMMYFUNCTION("""COMPUTED_VALUE"""),0.46551724137931)</f>
        <v>0.4655172414</v>
      </c>
    </row>
    <row r="19122">
      <c r="A19122" s="10" t="s">
        <v>20561</v>
      </c>
      <c r="B19122" s="7" t="str">
        <f>IFERROR(__xludf.DUMMYFUNCTION("SPLIT(A19122,"" "")"),"CN(C)Cc1cc(-c2ccc(N=Cc3ccccn3)cc2)ccn1")</f>
        <v>CN(C)Cc1cc(-c2ccc(N=Cc3ccccn3)cc2)ccn1</v>
      </c>
      <c r="C19122" s="7">
        <f>IFERROR(__xludf.DUMMYFUNCTION("""COMPUTED_VALUE"""),7.7212977)</f>
        <v>7.7212977</v>
      </c>
      <c r="D19122" s="7">
        <f>IFERROR(__xludf.DUMMYFUNCTION("""COMPUTED_VALUE"""),0.377358490566037)</f>
        <v>0.3773584906</v>
      </c>
    </row>
    <row r="19123">
      <c r="A19123" s="10" t="s">
        <v>20562</v>
      </c>
      <c r="B19123" s="7" t="str">
        <f>IFERROR(__xludf.DUMMYFUNCTION("SPLIT(A19123,"" "")"),"Cc1cnccc1CN(C)Cc1cccc(N(C)c2ccc3nccc(CF)c3c2)n1")</f>
        <v>Cc1cnccc1CN(C)Cc1cccc(N(C)c2ccc3nccc(CF)c3c2)n1</v>
      </c>
      <c r="C19123" s="7">
        <f>IFERROR(__xludf.DUMMYFUNCTION("""COMPUTED_VALUE"""),7.721293)</f>
        <v>7.721293</v>
      </c>
      <c r="D19123" s="7">
        <f>IFERROR(__xludf.DUMMYFUNCTION("""COMPUTED_VALUE"""),0.307692307692307)</f>
        <v>0.3076923077</v>
      </c>
    </row>
    <row r="19124">
      <c r="A19124" s="10" t="s">
        <v>20563</v>
      </c>
      <c r="B19124" s="7" t="str">
        <f>IFERROR(__xludf.DUMMYFUNCTION("SPLIT(A19124,"" "")"),"Cc1cc(C)c(C)c(CN(C)C2=C(CN(Cc3ccccn3)c3cccc4ncccc34)NC=CC2)n1")</f>
        <v>Cc1cc(C)c(C)c(CN(C)C2=C(CN(Cc3ccccn3)c3cccc4ncccc34)NC=CC2)n1</v>
      </c>
      <c r="C19124" s="7">
        <f>IFERROR(__xludf.DUMMYFUNCTION("""COMPUTED_VALUE"""),7.721286)</f>
        <v>7.721286</v>
      </c>
      <c r="D19124" s="7">
        <f>IFERROR(__xludf.DUMMYFUNCTION("""COMPUTED_VALUE"""),0.305555555555555)</f>
        <v>0.3055555556</v>
      </c>
    </row>
    <row r="19125">
      <c r="A19125" s="10" t="s">
        <v>20564</v>
      </c>
      <c r="B19125" s="7" t="str">
        <f>IFERROR(__xludf.DUMMYFUNCTION("SPLIT(A19125,"" "")"),"Fc1cc(CN(Cc2nccc3ccccc23)Cc2nccc3ccccc23)ccn1")</f>
        <v>Fc1cc(CN(Cc2nccc3ccccc23)Cc2nccc3ccccc23)ccn1</v>
      </c>
      <c r="C19125" s="7">
        <f>IFERROR(__xludf.DUMMYFUNCTION("""COMPUTED_VALUE"""),7.7212696)</f>
        <v>7.7212696</v>
      </c>
      <c r="D19125" s="7">
        <f>IFERROR(__xludf.DUMMYFUNCTION("""COMPUTED_VALUE"""),0.302325581395348)</f>
        <v>0.3023255814</v>
      </c>
    </row>
    <row r="19126">
      <c r="A19126" s="10" t="s">
        <v>20565</v>
      </c>
      <c r="B19126" s="7" t="str">
        <f>IFERROR(__xludf.DUMMYFUNCTION("SPLIT(A19126,"" "")"),"Cc1cccnc1-c1ccccc1CN(C)Cc1cccc(-c2cccc(N=Cc3ccccn3)c2)n1")</f>
        <v>Cc1cccnc1-c1ccccc1CN(C)Cc1cccc(-c2cccc(N=Cc3ccccn3)c2)n1</v>
      </c>
      <c r="C19126" s="7">
        <f>IFERROR(__xludf.DUMMYFUNCTION("""COMPUTED_VALUE"""),7.7212577)</f>
        <v>7.7212577</v>
      </c>
      <c r="D19126" s="7">
        <f>IFERROR(__xludf.DUMMYFUNCTION("""COMPUTED_VALUE"""),0.4)</f>
        <v>0.4</v>
      </c>
    </row>
    <row r="19127">
      <c r="A19127" s="10" t="s">
        <v>20566</v>
      </c>
      <c r="B19127" s="7" t="str">
        <f>IFERROR(__xludf.DUMMYFUNCTION("SPLIT(A19127,"" "")"),"CC1COC(c2cccc(CN(C)Cc3cc(-c4cccc(N(C)C)c4)ccn3)n2)=N1")</f>
        <v>CC1COC(c2cccc(CN(C)Cc3cc(-c4cccc(N(C)C)c4)ccn3)n2)=N1</v>
      </c>
      <c r="C19127" s="7">
        <f>IFERROR(__xludf.DUMMYFUNCTION("""COMPUTED_VALUE"""),7.721243)</f>
        <v>7.721243</v>
      </c>
      <c r="D19127" s="7">
        <f>IFERROR(__xludf.DUMMYFUNCTION("""COMPUTED_VALUE"""),0.4)</f>
        <v>0.4</v>
      </c>
    </row>
    <row r="19128">
      <c r="A19128" s="10" t="s">
        <v>20567</v>
      </c>
      <c r="B19128" s="7" t="str">
        <f>IFERROR(__xludf.DUMMYFUNCTION("SPLIT(A19128,"" "")"),"CN(c1ccc2ncccc2c1)C1C2CCC1(N(C)c1ccc3cccnc3c1)CC2")</f>
        <v>CN(c1ccc2ncccc2c1)C1C2CCC1(N(C)c1ccc3cccnc3c1)CC2</v>
      </c>
      <c r="C19128" s="7">
        <f>IFERROR(__xludf.DUMMYFUNCTION("""COMPUTED_VALUE"""),7.721236)</f>
        <v>7.721236</v>
      </c>
      <c r="D19128" s="7">
        <f>IFERROR(__xludf.DUMMYFUNCTION("""COMPUTED_VALUE"""),0.316666666666666)</f>
        <v>0.3166666667</v>
      </c>
    </row>
    <row r="19129">
      <c r="A19129" s="10" t="s">
        <v>20568</v>
      </c>
      <c r="B19129" s="7" t="str">
        <f>IFERROR(__xludf.DUMMYFUNCTION("SPLIT(A19129,"" "")"),"CN(C)Cc1ccc2cc(N(C)CCN(C)Cc3ccc4ncccc4c3)ccc2n1")</f>
        <v>CN(C)Cc1ccc2cc(N(C)CCN(C)Cc3ccc4ncccc4c3)ccc2n1</v>
      </c>
      <c r="C19129" s="7">
        <f>IFERROR(__xludf.DUMMYFUNCTION("""COMPUTED_VALUE"""),7.721233)</f>
        <v>7.721233</v>
      </c>
      <c r="D19129" s="7">
        <f>IFERROR(__xludf.DUMMYFUNCTION("""COMPUTED_VALUE"""),0.37037037037037)</f>
        <v>0.3703703704</v>
      </c>
    </row>
    <row r="19130">
      <c r="A19130" s="10" t="s">
        <v>20569</v>
      </c>
      <c r="B19130" s="7" t="str">
        <f>IFERROR(__xludf.DUMMYFUNCTION("SPLIT(A19130,"" "")"),"CCN(CC1=CCC=C(N(C)Cc2nc(C)c(C)c(C)c2C)N1)c1cccc2ncccc12")</f>
        <v>CCN(CC1=CCC=C(N(C)Cc2nc(C)c(C)c(C)c2C)N1)c1cccc2ncccc12</v>
      </c>
      <c r="C19130" s="7">
        <f>IFERROR(__xludf.DUMMYFUNCTION("""COMPUTED_VALUE"""),7.721216)</f>
        <v>7.721216</v>
      </c>
      <c r="D19130" s="7">
        <f>IFERROR(__xludf.DUMMYFUNCTION("""COMPUTED_VALUE"""),0.26865671641791)</f>
        <v>0.2686567164</v>
      </c>
    </row>
    <row r="19131">
      <c r="A19131" s="10" t="s">
        <v>20570</v>
      </c>
      <c r="B19131" s="7" t="str">
        <f>IFERROR(__xludf.DUMMYFUNCTION("SPLIT(A19131,"" "")"),"Cc1cnccc1CN(CC1=CCC=C(N(C)Cc2ccccn2)N1)c1ccc2ncccc2c1")</f>
        <v>Cc1cnccc1CN(CC1=CCC=C(N(C)Cc2ccccn2)N1)c1ccc2ncccc2c1</v>
      </c>
      <c r="C19131" s="7">
        <f>IFERROR(__xludf.DUMMYFUNCTION("""COMPUTED_VALUE"""),7.721209)</f>
        <v>7.721209</v>
      </c>
      <c r="D19131" s="7">
        <f>IFERROR(__xludf.DUMMYFUNCTION("""COMPUTED_VALUE"""),0.318840579710144)</f>
        <v>0.3188405797</v>
      </c>
    </row>
    <row r="19132">
      <c r="A19132" s="10" t="s">
        <v>20571</v>
      </c>
      <c r="B19132" s="7" t="str">
        <f>IFERROR(__xludf.DUMMYFUNCTION("SPLIT(A19132,"" "")"),"CN(Cc1ccccn1)c1ccc2nc(CF)ccc2c1")</f>
        <v>CN(Cc1ccccn1)c1ccc2nc(CF)ccc2c1</v>
      </c>
      <c r="C19132" s="7">
        <f>IFERROR(__xludf.DUMMYFUNCTION("""COMPUTED_VALUE"""),7.7212048)</f>
        <v>7.7212048</v>
      </c>
      <c r="D19132" s="7">
        <f>IFERROR(__xludf.DUMMYFUNCTION("""COMPUTED_VALUE"""),0.5)</f>
        <v>0.5</v>
      </c>
    </row>
    <row r="19133">
      <c r="A19133" s="10" t="s">
        <v>20572</v>
      </c>
      <c r="B19133" s="7" t="str">
        <f>IFERROR(__xludf.DUMMYFUNCTION("SPLIT(A19133,"" "")"),"Cc1ccc(C)c(CN(C)c2cc(Cl)c(N(C)Cc3cccc(F)n3)cc2Cl)n1")</f>
        <v>Cc1ccc(C)c(CN(C)c2cc(Cl)c(N(C)Cc3cccc(F)n3)cc2Cl)n1</v>
      </c>
      <c r="C19133" s="7">
        <f>IFERROR(__xludf.DUMMYFUNCTION("""COMPUTED_VALUE"""),7.7212024)</f>
        <v>7.7212024</v>
      </c>
      <c r="D19133" s="7">
        <f>IFERROR(__xludf.DUMMYFUNCTION("""COMPUTED_VALUE"""),0.395833333333333)</f>
        <v>0.3958333333</v>
      </c>
    </row>
    <row r="19134">
      <c r="A19134" s="10" t="s">
        <v>20573</v>
      </c>
      <c r="B19134" s="7" t="str">
        <f>IFERROR(__xludf.DUMMYFUNCTION("SPLIT(A19134,"" "")"),"Cc1cccc2cnc(CN(Cc3cc4ccccc4cn3)Cc3cccnc3F)cc12")</f>
        <v>Cc1cccc2cnc(CN(Cc3cc4ccccc4cn3)Cc3cccnc3F)cc12</v>
      </c>
      <c r="C19134" s="7">
        <f>IFERROR(__xludf.DUMMYFUNCTION("""COMPUTED_VALUE"""),7.7211947)</f>
        <v>7.7211947</v>
      </c>
      <c r="D19134" s="7">
        <f>IFERROR(__xludf.DUMMYFUNCTION("""COMPUTED_VALUE"""),0.349206349206349)</f>
        <v>0.3492063492</v>
      </c>
    </row>
    <row r="19135">
      <c r="A19135" s="10" t="s">
        <v>20574</v>
      </c>
      <c r="B19135" s="7" t="str">
        <f>IFERROR(__xludf.DUMMYFUNCTION("SPLIT(A19135,"" "")"),"CN(CCCN(Cc1ccccn1)c1ccc2ncccc2c1)c1ccc2ncccc2c1")</f>
        <v>CN(CCCN(Cc1ccccn1)c1ccc2ncccc2c1)c1ccc2ncccc2c1</v>
      </c>
      <c r="C19135" s="7">
        <f>IFERROR(__xludf.DUMMYFUNCTION("""COMPUTED_VALUE"""),7.72118)</f>
        <v>7.72118</v>
      </c>
      <c r="D19135" s="7">
        <f>IFERROR(__xludf.DUMMYFUNCTION("""COMPUTED_VALUE"""),0.42)</f>
        <v>0.42</v>
      </c>
    </row>
    <row r="19136">
      <c r="A19136" s="10" t="s">
        <v>20575</v>
      </c>
      <c r="B19136" s="7" t="str">
        <f>IFERROR(__xludf.DUMMYFUNCTION("SPLIT(A19136,"" "")"),"CN(c1ccc2ncccc2c1)C1C2CCC1(N(C)c1ccc3ncccc3c1)CC2")</f>
        <v>CN(c1ccc2ncccc2c1)C1C2CCC1(N(C)c1ccc3ncccc3c1)CC2</v>
      </c>
      <c r="C19136" s="7">
        <f>IFERROR(__xludf.DUMMYFUNCTION("""COMPUTED_VALUE"""),7.721176)</f>
        <v>7.721176</v>
      </c>
      <c r="D19136" s="7">
        <f>IFERROR(__xludf.DUMMYFUNCTION("""COMPUTED_VALUE"""),0.339285714285714)</f>
        <v>0.3392857143</v>
      </c>
    </row>
    <row r="19137">
      <c r="A19137" s="10" t="s">
        <v>20576</v>
      </c>
      <c r="B19137" s="7" t="str">
        <f>IFERROR(__xludf.DUMMYFUNCTION("SPLIT(A19137,"" "")"),"Cc1cccc(-c2ncccc2CN(C)Cc2ncccc2-c2cccc(N=Cc3ccccn3)c2)c1")</f>
        <v>Cc1cccc(-c2ncccc2CN(C)Cc2ncccc2-c2cccc(N=Cc3ccccn3)c2)c1</v>
      </c>
      <c r="C19137" s="7">
        <f>IFERROR(__xludf.DUMMYFUNCTION("""COMPUTED_VALUE"""),7.7211733)</f>
        <v>7.7211733</v>
      </c>
      <c r="D19137" s="7">
        <f>IFERROR(__xludf.DUMMYFUNCTION("""COMPUTED_VALUE"""),0.333333333333333)</f>
        <v>0.3333333333</v>
      </c>
    </row>
    <row r="19138">
      <c r="A19138" s="10" t="s">
        <v>20577</v>
      </c>
      <c r="B19138" s="7" t="str">
        <f>IFERROR(__xludf.DUMMYFUNCTION("SPLIT(A19138,"" "")"),"CCN(CC1=CC(N(C)c2ccc3ncccc3c2)C=CN1)Cc1ccc2ncccc2c1")</f>
        <v>CCN(CC1=CC(N(C)c2ccc3ncccc3c2)C=CN1)Cc1ccc2ncccc2c1</v>
      </c>
      <c r="C19138" s="7">
        <f>IFERROR(__xludf.DUMMYFUNCTION("""COMPUTED_VALUE"""),7.7211614)</f>
        <v>7.7211614</v>
      </c>
      <c r="D19138" s="7">
        <f>IFERROR(__xludf.DUMMYFUNCTION("""COMPUTED_VALUE"""),0.303030303030303)</f>
        <v>0.303030303</v>
      </c>
    </row>
    <row r="19139">
      <c r="A19139" s="10" t="s">
        <v>20578</v>
      </c>
      <c r="B19139" s="7" t="str">
        <f>IFERROR(__xludf.DUMMYFUNCTION("SPLIT(A19139,"" "")"),"Cc1ccc(CN(C)Cc2cccc(N(C)c3ccc4ncccc4c3)n2)nc1")</f>
        <v>Cc1ccc(CN(C)Cc2cccc(N(C)c3ccc4ncccc4c3)n2)nc1</v>
      </c>
      <c r="C19139" s="7">
        <f>IFERROR(__xludf.DUMMYFUNCTION("""COMPUTED_VALUE"""),7.721144)</f>
        <v>7.721144</v>
      </c>
      <c r="D19139" s="7">
        <f>IFERROR(__xludf.DUMMYFUNCTION("""COMPUTED_VALUE"""),0.44)</f>
        <v>0.44</v>
      </c>
    </row>
    <row r="19140">
      <c r="A19140" s="10" t="s">
        <v>20579</v>
      </c>
      <c r="B19140" s="7" t="str">
        <f>IFERROR(__xludf.DUMMYFUNCTION("SPLIT(A19140,"" "")"),"CN(CC1=CCC(N(C)C(c2ccccc2)c2ccccn2)=CN1)c1cccc2cccnc12")</f>
        <v>CN(CC1=CCC(N(C)C(c2ccccc2)c2ccccn2)=CN1)c1cccc2cccnc12</v>
      </c>
      <c r="C19140" s="7">
        <f>IFERROR(__xludf.DUMMYFUNCTION("""COMPUTED_VALUE"""),7.7211313)</f>
        <v>7.7211313</v>
      </c>
      <c r="D19140" s="7">
        <f>IFERROR(__xludf.DUMMYFUNCTION("""COMPUTED_VALUE"""),0.413793103448275)</f>
        <v>0.4137931034</v>
      </c>
    </row>
    <row r="19141">
      <c r="A19141" s="10" t="s">
        <v>20580</v>
      </c>
      <c r="B19141" s="7" t="str">
        <f>IFERROR(__xludf.DUMMYFUNCTION("SPLIT(A19141,"" "")"),"Cc1cc(NCc2ccccn2)cc(-c2cc(NCc3ccccn3)cc(-c3ccccc3)c2C)c1")</f>
        <v>Cc1cc(NCc2ccccn2)cc(-c2cc(NCc3ccccn3)cc(-c3ccccc3)c2C)c1</v>
      </c>
      <c r="C19141" s="7">
        <f>IFERROR(__xludf.DUMMYFUNCTION("""COMPUTED_VALUE"""),7.7211266)</f>
        <v>7.7211266</v>
      </c>
      <c r="D19141" s="7">
        <f>IFERROR(__xludf.DUMMYFUNCTION("""COMPUTED_VALUE"""),0.471698113207547)</f>
        <v>0.4716981132</v>
      </c>
    </row>
    <row r="19142">
      <c r="A19142" s="10" t="s">
        <v>20581</v>
      </c>
      <c r="B19142" s="7" t="str">
        <f>IFERROR(__xludf.DUMMYFUNCTION("SPLIT(A19142,"" "")"),"CN(CC1CC(N(C)c2ccc3cccnc3c2)CN1C)c1ccc2cccnc2c1")</f>
        <v>CN(CC1CC(N(C)c2ccc3cccnc3c2)CN1C)c1ccc2cccnc2c1</v>
      </c>
      <c r="C19142" s="7">
        <f>IFERROR(__xludf.DUMMYFUNCTION("""COMPUTED_VALUE"""),7.7210956)</f>
        <v>7.7210956</v>
      </c>
      <c r="D19142" s="7">
        <f>IFERROR(__xludf.DUMMYFUNCTION("""COMPUTED_VALUE"""),0.290322580645161)</f>
        <v>0.2903225806</v>
      </c>
    </row>
    <row r="19143">
      <c r="A19143" s="10" t="s">
        <v>20582</v>
      </c>
      <c r="B19143" s="7" t="str">
        <f>IFERROR(__xludf.DUMMYFUNCTION("SPLIT(A19143,"" "")"),"Cc1cccnc1-c1cccc(CN(C)Cc2cccc(-c3cccc(N=Cc4ccccn4)c3)n2)c1")</f>
        <v>Cc1cccnc1-c1cccc(CN(C)Cc2cccc(-c3cccc(N=Cc4ccccn4)c3)n2)c1</v>
      </c>
      <c r="C19143" s="7">
        <f>IFERROR(__xludf.DUMMYFUNCTION("""COMPUTED_VALUE"""),7.721092)</f>
        <v>7.721092</v>
      </c>
      <c r="D19143" s="7">
        <f>IFERROR(__xludf.DUMMYFUNCTION("""COMPUTED_VALUE"""),0.40625)</f>
        <v>0.40625</v>
      </c>
    </row>
    <row r="19144">
      <c r="A19144" s="10" t="s">
        <v>20583</v>
      </c>
      <c r="B19144" s="7" t="str">
        <f>IFERROR(__xludf.DUMMYFUNCTION("SPLIT(A19144,"" "")"),"CN(CCN(C)c1ccc2nc3c(cc2c1)CCC3)Cc1ccc2ncccc2c1")</f>
        <v>CN(CCN(C)c1ccc2nc3c(cc2c1)CCC3)Cc1ccc2ncccc2c1</v>
      </c>
      <c r="C19144" s="7">
        <f>IFERROR(__xludf.DUMMYFUNCTION("""COMPUTED_VALUE"""),7.721085)</f>
        <v>7.721085</v>
      </c>
      <c r="D19144" s="7">
        <f>IFERROR(__xludf.DUMMYFUNCTION("""COMPUTED_VALUE"""),0.344827586206896)</f>
        <v>0.3448275862</v>
      </c>
    </row>
    <row r="19145">
      <c r="A19145" s="10" t="s">
        <v>20584</v>
      </c>
      <c r="B19145" s="7" t="str">
        <f>IFERROR(__xludf.DUMMYFUNCTION("SPLIT(A19145,"" "")"),"CN(CCCNc1ccc2ncccc2c1)c1ccc2ncccc2c1")</f>
        <v>CN(CCCNc1ccc2ncccc2c1)c1ccc2ncccc2c1</v>
      </c>
      <c r="C19145" s="7">
        <f>IFERROR(__xludf.DUMMYFUNCTION("""COMPUTED_VALUE"""),7.7210803)</f>
        <v>7.7210803</v>
      </c>
      <c r="D19145" s="7">
        <f>IFERROR(__xludf.DUMMYFUNCTION("""COMPUTED_VALUE"""),0.387755102040816)</f>
        <v>0.387755102</v>
      </c>
    </row>
    <row r="19146">
      <c r="A19146" s="10" t="s">
        <v>20585</v>
      </c>
      <c r="B19146" s="7" t="str">
        <f>IFERROR(__xludf.DUMMYFUNCTION("SPLIT(A19146,"" "")"),"Cc1cnc2c(N(C)CC3C=CNC(N(C)Cc4ncccc4C)=C3)cccc2c1")</f>
        <v>Cc1cnc2c(N(C)CC3C=CNC(N(C)Cc4ncccc4C)=C3)cccc2c1</v>
      </c>
      <c r="C19146" s="7">
        <f>IFERROR(__xludf.DUMMYFUNCTION("""COMPUTED_VALUE"""),7.72108)</f>
        <v>7.72108</v>
      </c>
      <c r="D19146" s="7">
        <f>IFERROR(__xludf.DUMMYFUNCTION("""COMPUTED_VALUE"""),0.365079365079365)</f>
        <v>0.3650793651</v>
      </c>
    </row>
    <row r="19147">
      <c r="A19147" s="10" t="s">
        <v>20586</v>
      </c>
      <c r="B19147" s="7" t="str">
        <f>IFERROR(__xludf.DUMMYFUNCTION("SPLIT(A19147,"" "")"),"Cc1cncc(CN(C)Cc2cccc(N(C)c3ccc4cccnc4c3)n2)c1")</f>
        <v>Cc1cncc(CN(C)Cc2cccc(N(C)c3ccc4cccnc4c3)n2)c1</v>
      </c>
      <c r="C19147" s="7">
        <f>IFERROR(__xludf.DUMMYFUNCTION("""COMPUTED_VALUE"""),7.721077)</f>
        <v>7.721077</v>
      </c>
      <c r="D19147" s="7">
        <f>IFERROR(__xludf.DUMMYFUNCTION("""COMPUTED_VALUE"""),0.344262295081967)</f>
        <v>0.3442622951</v>
      </c>
    </row>
    <row r="19148">
      <c r="A19148" s="10" t="s">
        <v>20587</v>
      </c>
      <c r="B19148" s="7" t="str">
        <f>IFERROR(__xludf.DUMMYFUNCTION("SPLIT(A19148,"" "")"),"CN(Cc1cc(-c2ccccc2)ccn1)Cc1cc(-c2cccc(N(C)C)c2)ccn1")</f>
        <v>CN(Cc1cc(-c2ccccc2)ccn1)Cc1cc(-c2cccc(N(C)C)c2)ccn1</v>
      </c>
      <c r="C19148" s="7">
        <f>IFERROR(__xludf.DUMMYFUNCTION("""COMPUTED_VALUE"""),7.7210712)</f>
        <v>7.7210712</v>
      </c>
      <c r="D19148" s="7">
        <f>IFERROR(__xludf.DUMMYFUNCTION("""COMPUTED_VALUE"""),0.404255319148936)</f>
        <v>0.4042553191</v>
      </c>
    </row>
    <row r="19149">
      <c r="A19149" s="10" t="s">
        <v>20588</v>
      </c>
      <c r="B19149" s="7" t="str">
        <f>IFERROR(__xludf.DUMMYFUNCTION("SPLIT(A19149,"" "")"),"Cc1ccc(-c2ccc(CN(C)Cc3cc(-c4cccc(N=Cc5ccccn5)c4)ccn3)cc2)nc1")</f>
        <v>Cc1ccc(-c2ccc(CN(C)Cc3cc(-c4cccc(N=Cc5ccccn5)c4)ccn3)cc2)nc1</v>
      </c>
      <c r="C19149" s="7">
        <f>IFERROR(__xludf.DUMMYFUNCTION("""COMPUTED_VALUE"""),7.721063)</f>
        <v>7.721063</v>
      </c>
      <c r="D19149" s="7">
        <f>IFERROR(__xludf.DUMMYFUNCTION("""COMPUTED_VALUE"""),0.323529411764705)</f>
        <v>0.3235294118</v>
      </c>
    </row>
    <row r="19150">
      <c r="A19150" s="10" t="s">
        <v>20589</v>
      </c>
      <c r="B19150" s="7" t="str">
        <f>IFERROR(__xludf.DUMMYFUNCTION("SPLIT(A19150,"" "")"),"CN(CCN(C)Cc1cccc2cc3c(nc12)CCC3)Cc1cc(-c2ccc3ncccc3c2)ccn1")</f>
        <v>CN(CCN(C)Cc1cccc2cc3c(nc12)CCC3)Cc1cc(-c2ccc3ncccc3c2)ccn1</v>
      </c>
      <c r="C19150" s="7">
        <f>IFERROR(__xludf.DUMMYFUNCTION("""COMPUTED_VALUE"""),7.7210546)</f>
        <v>7.7210546</v>
      </c>
      <c r="D19150" s="7">
        <f>IFERROR(__xludf.DUMMYFUNCTION("""COMPUTED_VALUE"""),0.440677966101694)</f>
        <v>0.4406779661</v>
      </c>
    </row>
    <row r="19151">
      <c r="A19151" s="10" t="s">
        <v>20590</v>
      </c>
      <c r="B19151" s="7" t="str">
        <f>IFERROR(__xludf.DUMMYFUNCTION("SPLIT(A19151,"" "")"),"CCN(Cc1ccccn1)c1cc2cccnc2cc1CN(C)Cc1ccc2ncccc2c1")</f>
        <v>CCN(Cc1ccccn1)c1cc2cccnc2cc1CN(C)Cc1ccc2ncccc2c1</v>
      </c>
      <c r="C19151" s="7">
        <f>IFERROR(__xludf.DUMMYFUNCTION("""COMPUTED_VALUE"""),7.7210402)</f>
        <v>7.7210402</v>
      </c>
      <c r="D19151" s="7">
        <f>IFERROR(__xludf.DUMMYFUNCTION("""COMPUTED_VALUE"""),0.385964912280701)</f>
        <v>0.3859649123</v>
      </c>
    </row>
    <row r="19152">
      <c r="A19152" s="10" t="s">
        <v>20591</v>
      </c>
      <c r="B19152" s="7" t="str">
        <f>IFERROR(__xludf.DUMMYFUNCTION("SPLIT(A19152,"" "")"),"CN(C)Cc1cncc(-c2cccc(N(C)C)c2)c1")</f>
        <v>CN(C)Cc1cncc(-c2cccc(N(C)C)c2)c1</v>
      </c>
      <c r="C19152" s="7">
        <f>IFERROR(__xludf.DUMMYFUNCTION("""COMPUTED_VALUE"""),7.721037)</f>
        <v>7.721037</v>
      </c>
      <c r="D19152" s="7">
        <f>IFERROR(__xludf.DUMMYFUNCTION("""COMPUTED_VALUE"""),0.234042553191489)</f>
        <v>0.2340425532</v>
      </c>
    </row>
    <row r="19153">
      <c r="A19153" s="10" t="s">
        <v>20592</v>
      </c>
      <c r="B19153" s="7" t="str">
        <f>IFERROR(__xludf.DUMMYFUNCTION("SPLIT(A19153,"" "")"),"CN(C)Cc1cnc2c(N(C)CCN(C)Cc3ccc4ncccc4c3)cccc2c1")</f>
        <v>CN(C)Cc1cnc2c(N(C)CCN(C)Cc3ccc4ncccc4c3)cccc2c1</v>
      </c>
      <c r="C19153" s="7">
        <f>IFERROR(__xludf.DUMMYFUNCTION("""COMPUTED_VALUE"""),7.721016)</f>
        <v>7.721016</v>
      </c>
      <c r="D19153" s="7">
        <f>IFERROR(__xludf.DUMMYFUNCTION("""COMPUTED_VALUE"""),0.5)</f>
        <v>0.5</v>
      </c>
    </row>
    <row r="19154">
      <c r="A19154" s="10" t="s">
        <v>20593</v>
      </c>
      <c r="B19154" s="7" t="str">
        <f>IFERROR(__xludf.DUMMYFUNCTION("SPLIT(A19154,"" "")"),"CC(C)N(Cc1ccc2ccc3cccnc3c2n1)Cc1ncccc1C(C)(C)C")</f>
        <v>CC(C)N(Cc1ccc2ccc3cccnc3c2n1)Cc1ncccc1C(C)(C)C</v>
      </c>
      <c r="C19154" s="7">
        <f>IFERROR(__xludf.DUMMYFUNCTION("""COMPUTED_VALUE"""),7.7209954)</f>
        <v>7.7209954</v>
      </c>
      <c r="D19154" s="7">
        <f>IFERROR(__xludf.DUMMYFUNCTION("""COMPUTED_VALUE"""),0.38)</f>
        <v>0.38</v>
      </c>
    </row>
    <row r="19155">
      <c r="A19155" s="10" t="s">
        <v>20594</v>
      </c>
      <c r="B19155" s="7" t="str">
        <f>IFERROR(__xludf.DUMMYFUNCTION("SPLIT(A19155,"" "")"),"CN(Cc1ccc2c(n1)CCC2)c1ccc2ncccc2c1")</f>
        <v>CN(Cc1ccc2c(n1)CCC2)c1ccc2ncccc2c1</v>
      </c>
      <c r="C19155" s="7">
        <f>IFERROR(__xludf.DUMMYFUNCTION("""COMPUTED_VALUE"""),7.7209816)</f>
        <v>7.7209816</v>
      </c>
      <c r="D19155" s="7">
        <f>IFERROR(__xludf.DUMMYFUNCTION("""COMPUTED_VALUE"""),0.327868852459016)</f>
        <v>0.3278688525</v>
      </c>
    </row>
    <row r="19156">
      <c r="A19156" s="10" t="s">
        <v>20595</v>
      </c>
      <c r="B19156" s="7" t="str">
        <f>IFERROR(__xludf.DUMMYFUNCTION("SPLIT(A19156,"" "")"),"CNc1c(N(C)Cc2cc(C)ccn2)cc(Cl)nc1C")</f>
        <v>CNc1c(N(C)Cc2cc(C)ccn2)cc(Cl)nc1C</v>
      </c>
      <c r="C19156" s="7">
        <f>IFERROR(__xludf.DUMMYFUNCTION("""COMPUTED_VALUE"""),7.7209725)</f>
        <v>7.7209725</v>
      </c>
      <c r="D19156" s="7">
        <f>IFERROR(__xludf.DUMMYFUNCTION("""COMPUTED_VALUE"""),0.4)</f>
        <v>0.4</v>
      </c>
    </row>
    <row r="19157">
      <c r="A19157" s="10" t="s">
        <v>20596</v>
      </c>
      <c r="B19157" s="7" t="str">
        <f>IFERROR(__xludf.DUMMYFUNCTION("SPLIT(A19157,"" "")"),"CN(C)Cc1cnccc1-c1cccc(N(C)C)c1")</f>
        <v>CN(C)Cc1cnccc1-c1cccc(N(C)C)c1</v>
      </c>
      <c r="C19157" s="7">
        <f>IFERROR(__xludf.DUMMYFUNCTION("""COMPUTED_VALUE"""),7.7209706)</f>
        <v>7.7209706</v>
      </c>
      <c r="D19157" s="7">
        <f>IFERROR(__xludf.DUMMYFUNCTION("""COMPUTED_VALUE"""),0.254901960784313)</f>
        <v>0.2549019608</v>
      </c>
    </row>
    <row r="19158">
      <c r="A19158" s="10" t="s">
        <v>20597</v>
      </c>
      <c r="B19158" s="7" t="str">
        <f>IFERROR(__xludf.DUMMYFUNCTION("SPLIT(A19158,"" "")"),"CNCc1ccc(CN(C)c2ccc3ccc(C)nc3c2)cn1")</f>
        <v>CNCc1ccc(CN(C)c2ccc3ccc(C)nc3c2)cn1</v>
      </c>
      <c r="C19158" s="7">
        <f>IFERROR(__xludf.DUMMYFUNCTION("""COMPUTED_VALUE"""),7.720967)</f>
        <v>7.720967</v>
      </c>
      <c r="D19158" s="7">
        <f>IFERROR(__xludf.DUMMYFUNCTION("""COMPUTED_VALUE"""),0.283018867924528)</f>
        <v>0.2830188679</v>
      </c>
    </row>
    <row r="19159">
      <c r="A19159" s="10" t="s">
        <v>20598</v>
      </c>
      <c r="B19159" s="7" t="str">
        <f>IFERROR(__xludf.DUMMYFUNCTION("SPLIT(A19159,"" "")"),"Cc1ccccc1CN(C)c1ccc2ncccc2c1")</f>
        <v>Cc1ccccc1CN(C)c1ccc2ncccc2c1</v>
      </c>
      <c r="C19159" s="7">
        <f>IFERROR(__xludf.DUMMYFUNCTION("""COMPUTED_VALUE"""),7.7209616)</f>
        <v>7.7209616</v>
      </c>
      <c r="D19159" s="7">
        <f>IFERROR(__xludf.DUMMYFUNCTION("""COMPUTED_VALUE"""),0.382978723404255)</f>
        <v>0.3829787234</v>
      </c>
    </row>
    <row r="19160">
      <c r="A19160" s="10" t="s">
        <v>20599</v>
      </c>
      <c r="B19160" s="7" t="str">
        <f>IFERROR(__xludf.DUMMYFUNCTION("SPLIT(A19160,"" "")"),"Cc1cccnc1CN(C)c1ccc(CN(C)c2ccccc2-c2cccnc2CF)nc1")</f>
        <v>Cc1cccnc1CN(C)c1ccc(CN(C)c2ccccc2-c2cccnc2CF)nc1</v>
      </c>
      <c r="C19160" s="7">
        <f>IFERROR(__xludf.DUMMYFUNCTION("""COMPUTED_VALUE"""),7.720952)</f>
        <v>7.720952</v>
      </c>
      <c r="D19160" s="7">
        <f>IFERROR(__xludf.DUMMYFUNCTION("""COMPUTED_VALUE"""),0.350877192982456)</f>
        <v>0.350877193</v>
      </c>
    </row>
    <row r="19161">
      <c r="A19161" s="10" t="s">
        <v>20600</v>
      </c>
      <c r="B19161" s="7" t="str">
        <f>IFERROR(__xludf.DUMMYFUNCTION("SPLIT(A19161,"" "")"),"Cc1cc(-c2ccc(-c3ccccc3)cn2)ccc1NCc1ccccn1")</f>
        <v>Cc1cc(-c2ccc(-c3ccccc3)cn2)ccc1NCc1ccccn1</v>
      </c>
      <c r="C19161" s="7">
        <f>IFERROR(__xludf.DUMMYFUNCTION("""COMPUTED_VALUE"""),7.7209487)</f>
        <v>7.7209487</v>
      </c>
      <c r="D19161" s="7">
        <f>IFERROR(__xludf.DUMMYFUNCTION("""COMPUTED_VALUE"""),0.403508771929824)</f>
        <v>0.4035087719</v>
      </c>
    </row>
    <row r="19162">
      <c r="A19162" s="10" t="s">
        <v>20601</v>
      </c>
      <c r="B19162" s="7" t="str">
        <f>IFERROR(__xludf.DUMMYFUNCTION("SPLIT(A19162,"" "")"),"Cc1cncc(CN(C)c2cccc(-c3cccc(CN(C)Cc4cccc(-c5cccc(N=Cc6ccccn6)c5)n4)n3)c2)c1")</f>
        <v>Cc1cncc(CN(C)c2cccc(-c3cccc(CN(C)Cc4cccc(-c5cccc(N=Cc6ccccn6)c5)n4)n3)c2)c1</v>
      </c>
      <c r="C19162" s="7">
        <f>IFERROR(__xludf.DUMMYFUNCTION("""COMPUTED_VALUE"""),7.7209435)</f>
        <v>7.7209435</v>
      </c>
      <c r="D19162" s="7">
        <f>IFERROR(__xludf.DUMMYFUNCTION("""COMPUTED_VALUE"""),0.38235294117647)</f>
        <v>0.3823529412</v>
      </c>
    </row>
    <row r="19163">
      <c r="A19163" s="10" t="s">
        <v>20602</v>
      </c>
      <c r="B19163" s="7" t="str">
        <f>IFERROR(__xludf.DUMMYFUNCTION("SPLIT(A19163,"" "")"),"Cc1cc(C)c(-c2ccc(NCc3ccccn3)cc2C)cn1")</f>
        <v>Cc1cc(C)c(-c2ccc(NCc3ccccn3)cc2C)cn1</v>
      </c>
      <c r="C19163" s="7">
        <f>IFERROR(__xludf.DUMMYFUNCTION("""COMPUTED_VALUE"""),7.720938)</f>
        <v>7.720938</v>
      </c>
      <c r="D19163" s="7">
        <f>IFERROR(__xludf.DUMMYFUNCTION("""COMPUTED_VALUE"""),0.386363636363636)</f>
        <v>0.3863636364</v>
      </c>
    </row>
    <row r="19164">
      <c r="A19164" s="10" t="s">
        <v>20603</v>
      </c>
      <c r="B19164" s="7" t="str">
        <f>IFERROR(__xludf.DUMMYFUNCTION("SPLIT(A19164,"" "")"),"CNCC1CCC(N(C)c2ccc3ncccc3c2)N1c1ccc2ncccc2c1")</f>
        <v>CNCC1CCC(N(C)c2ccc3ncccc3c2)N1c1ccc2ncccc2c1</v>
      </c>
      <c r="C19164" s="7">
        <f>IFERROR(__xludf.DUMMYFUNCTION("""COMPUTED_VALUE"""),7.7209306)</f>
        <v>7.7209306</v>
      </c>
      <c r="D19164" s="7">
        <f>IFERROR(__xludf.DUMMYFUNCTION("""COMPUTED_VALUE"""),0.290322580645161)</f>
        <v>0.2903225806</v>
      </c>
    </row>
    <row r="19165">
      <c r="A19165" s="10" t="s">
        <v>20604</v>
      </c>
      <c r="B19165" s="7" t="str">
        <f>IFERROR(__xludf.DUMMYFUNCTION("SPLIT(A19165,"" "")"),"Cc1cccnc1-c1ccc(CN(C)Cc2cccc(-c3cccc(N=Cc4ccccn4)c3)n2)cc1")</f>
        <v>Cc1cccnc1-c1ccc(CN(C)Cc2cccc(-c3cccc(N=Cc4ccccn4)c3)n2)cc1</v>
      </c>
      <c r="C19165" s="7">
        <f>IFERROR(__xludf.DUMMYFUNCTION("""COMPUTED_VALUE"""),7.7209296)</f>
        <v>7.7209296</v>
      </c>
      <c r="D19165" s="7">
        <f>IFERROR(__xludf.DUMMYFUNCTION("""COMPUTED_VALUE"""),0.40625)</f>
        <v>0.40625</v>
      </c>
    </row>
    <row r="19166">
      <c r="A19166" s="10" t="s">
        <v>20605</v>
      </c>
      <c r="B19166" s="7" t="str">
        <f>IFERROR(__xludf.DUMMYFUNCTION("SPLIT(A19166,"" "")"),"CNCN(C)c1ccc2c(CN(C)C)ccnc2c1")</f>
        <v>CNCN(C)c1ccc2c(CN(C)C)ccnc2c1</v>
      </c>
      <c r="C19166" s="7">
        <f>IFERROR(__xludf.DUMMYFUNCTION("""COMPUTED_VALUE"""),7.7209253)</f>
        <v>7.7209253</v>
      </c>
      <c r="D19166" s="7">
        <f>IFERROR(__xludf.DUMMYFUNCTION("""COMPUTED_VALUE"""),0.25)</f>
        <v>0.25</v>
      </c>
    </row>
    <row r="19167">
      <c r="A19167" s="10" t="s">
        <v>20606</v>
      </c>
      <c r="B19167" s="7" t="str">
        <f>IFERROR(__xludf.DUMMYFUNCTION("SPLIT(A19167,"" "")"),"CNCc1ccc2cccc(N(C)Cc3ncccc3C)c2n1")</f>
        <v>CNCc1ccc2cccc(N(C)Cc3ncccc3C)c2n1</v>
      </c>
      <c r="C19167" s="7">
        <f>IFERROR(__xludf.DUMMYFUNCTION("""COMPUTED_VALUE"""),7.7209053)</f>
        <v>7.7209053</v>
      </c>
      <c r="D19167" s="7">
        <f>IFERROR(__xludf.DUMMYFUNCTION("""COMPUTED_VALUE"""),0.448979591836734)</f>
        <v>0.4489795918</v>
      </c>
    </row>
    <row r="19168">
      <c r="A19168" s="10" t="s">
        <v>20607</v>
      </c>
      <c r="B19168" s="7" t="str">
        <f>IFERROR(__xludf.DUMMYFUNCTION("SPLIT(A19168,"" "")"),"CN(Cc1ccccn1)C1=CC(CN(C)c2cccc3ncccc23)C=CN1")</f>
        <v>CN(Cc1ccccn1)C1=CC(CN(C)c2cccc3ncccc23)C=CN1</v>
      </c>
      <c r="C19168" s="7">
        <f>IFERROR(__xludf.DUMMYFUNCTION("""COMPUTED_VALUE"""),7.720903)</f>
        <v>7.720903</v>
      </c>
      <c r="D19168" s="7">
        <f>IFERROR(__xludf.DUMMYFUNCTION("""COMPUTED_VALUE"""),0.379310344827586)</f>
        <v>0.3793103448</v>
      </c>
    </row>
    <row r="19169">
      <c r="A19169" s="10" t="s">
        <v>20608</v>
      </c>
      <c r="B19169" s="7" t="str">
        <f>IFERROR(__xludf.DUMMYFUNCTION("SPLIT(A19169,"" "")"),"Cc1cc(CN(C)c2ccc3cccnc3c2-c2cccc(CN(Cc3ccccn3)Cc3ncccc3N)n2)ccn1")</f>
        <v>Cc1cc(CN(C)c2ccc3cccnc3c2-c2cccc(CN(Cc3ccccn3)Cc3ncccc3N)n2)ccn1</v>
      </c>
      <c r="C19169" s="7">
        <f>IFERROR(__xludf.DUMMYFUNCTION("""COMPUTED_VALUE"""),7.7209024)</f>
        <v>7.7209024</v>
      </c>
      <c r="D19169" s="7">
        <f>IFERROR(__xludf.DUMMYFUNCTION("""COMPUTED_VALUE"""),0.373333333333333)</f>
        <v>0.3733333333</v>
      </c>
    </row>
    <row r="19170">
      <c r="A19170" s="10" t="s">
        <v>20609</v>
      </c>
      <c r="B19170" s="7" t="str">
        <f>IFERROR(__xludf.DUMMYFUNCTION("SPLIT(A19170,"" "")"),"c1ccc(CNc2cccc3ncccc23)nc1")</f>
        <v>c1ccc(CNc2cccc3ncccc23)nc1</v>
      </c>
      <c r="C19170" s="7">
        <f>IFERROR(__xludf.DUMMYFUNCTION("""COMPUTED_VALUE"""),7.7208867)</f>
        <v>7.7208867</v>
      </c>
      <c r="D19170" s="7">
        <f>IFERROR(__xludf.DUMMYFUNCTION("""COMPUTED_VALUE"""),0.472222222222222)</f>
        <v>0.4722222222</v>
      </c>
    </row>
    <row r="19171">
      <c r="A19171" s="10" t="s">
        <v>20610</v>
      </c>
      <c r="B19171" s="7" t="str">
        <f>IFERROR(__xludf.DUMMYFUNCTION("SPLIT(A19171,"" "")"),"CN(C)Cc1ncccc1-c1cccc(N(C)C)c1")</f>
        <v>CN(C)Cc1ncccc1-c1cccc(N(C)C)c1</v>
      </c>
      <c r="C19171" s="7">
        <f>IFERROR(__xludf.DUMMYFUNCTION("""COMPUTED_VALUE"""),7.720884)</f>
        <v>7.720884</v>
      </c>
      <c r="D19171" s="7">
        <f>IFERROR(__xludf.DUMMYFUNCTION("""COMPUTED_VALUE"""),0.3125)</f>
        <v>0.3125</v>
      </c>
    </row>
    <row r="19172">
      <c r="A19172" s="10" t="s">
        <v>20611</v>
      </c>
      <c r="B19172" s="7" t="str">
        <f>IFERROR(__xludf.DUMMYFUNCTION("SPLIT(A19172,"" "")"),"Cc1cc(NCc2ccccn2)ccc1CN(C)c1ccc2cccnc2c1")</f>
        <v>Cc1cc(NCc2ccccn2)ccc1CN(C)c1ccc2cccnc2c1</v>
      </c>
      <c r="C19172" s="7">
        <f>IFERROR(__xludf.DUMMYFUNCTION("""COMPUTED_VALUE"""),7.7208786)</f>
        <v>7.7208786</v>
      </c>
      <c r="D19172" s="7">
        <f>IFERROR(__xludf.DUMMYFUNCTION("""COMPUTED_VALUE"""),0.379310344827586)</f>
        <v>0.3793103448</v>
      </c>
    </row>
    <row r="19173">
      <c r="A19173" s="10" t="s">
        <v>20612</v>
      </c>
      <c r="B19173" s="7" t="str">
        <f>IFERROR(__xludf.DUMMYFUNCTION("SPLIT(A19173,"" "")"),"Cc1cccc(-c2cccc(CN(C)Cc3cccc(-c4cccc(N=Cc5ccccn5)c4)n3)n2)c1C")</f>
        <v>Cc1cccc(-c2cccc(CN(C)Cc3cccc(-c4cccc(N=Cc5ccccn5)c4)n3)n2)c1C</v>
      </c>
      <c r="C19173" s="7">
        <f>IFERROR(__xludf.DUMMYFUNCTION("""COMPUTED_VALUE"""),7.720876)</f>
        <v>7.720876</v>
      </c>
      <c r="D19173" s="7">
        <f>IFERROR(__xludf.DUMMYFUNCTION("""COMPUTED_VALUE"""),0.433333333333333)</f>
        <v>0.4333333333</v>
      </c>
    </row>
    <row r="19174">
      <c r="A19174" s="10" t="s">
        <v>20613</v>
      </c>
      <c r="B19174" s="7" t="str">
        <f>IFERROR(__xludf.DUMMYFUNCTION("SPLIT(A19174,"" "")"),"Cc1cccc(-c2ccc(-c3ccccc3)cn2)c1NCc1ccccn1")</f>
        <v>Cc1cccc(-c2ccc(-c3ccccc3)cn2)c1NCc1ccccn1</v>
      </c>
      <c r="C19174" s="7">
        <f>IFERROR(__xludf.DUMMYFUNCTION("""COMPUTED_VALUE"""),7.720867)</f>
        <v>7.720867</v>
      </c>
      <c r="D19174" s="7">
        <f>IFERROR(__xludf.DUMMYFUNCTION("""COMPUTED_VALUE"""),0.446428571428571)</f>
        <v>0.4464285714</v>
      </c>
    </row>
    <row r="19175">
      <c r="A19175" s="10" t="s">
        <v>20614</v>
      </c>
      <c r="B19175" s="7" t="str">
        <f>IFERROR(__xludf.DUMMYFUNCTION("SPLIT(A19175,"" "")"),"CN(C)Cc1nccc2cc(N(C)Cc3ncccc3N(C)C(C)(C)c3ccccn3)ccc12")</f>
        <v>CN(C)Cc1nccc2cc(N(C)Cc3ncccc3N(C)C(C)(C)c3ccccn3)ccc12</v>
      </c>
      <c r="C19175" s="7">
        <f>IFERROR(__xludf.DUMMYFUNCTION("""COMPUTED_VALUE"""),7.7208657)</f>
        <v>7.7208657</v>
      </c>
      <c r="D19175" s="7">
        <f>IFERROR(__xludf.DUMMYFUNCTION("""COMPUTED_VALUE"""),0.311475409836065)</f>
        <v>0.3114754098</v>
      </c>
    </row>
    <row r="19176">
      <c r="A19176" s="10" t="s">
        <v>20615</v>
      </c>
      <c r="B19176" s="7" t="str">
        <f>IFERROR(__xludf.DUMMYFUNCTION("SPLIT(A19176,"" "")"),"CC(C)NCc1ccc(N(C)c2ccc3cccnc3c2)cn1")</f>
        <v>CC(C)NCc1ccc(N(C)c2ccc3cccnc3c2)cn1</v>
      </c>
      <c r="C19176" s="7">
        <f>IFERROR(__xludf.DUMMYFUNCTION("""COMPUTED_VALUE"""),7.7208433)</f>
        <v>7.7208433</v>
      </c>
      <c r="D19176" s="7">
        <f>IFERROR(__xludf.DUMMYFUNCTION("""COMPUTED_VALUE"""),0.327272727272727)</f>
        <v>0.3272727273</v>
      </c>
    </row>
    <row r="19177">
      <c r="A19177" s="10" t="s">
        <v>20616</v>
      </c>
      <c r="B19177" s="7" t="str">
        <f>IFERROR(__xludf.DUMMYFUNCTION("SPLIT(A19177,"" "")"),"CCN(C)Cc1ncccc1-c1ccc2cccnc2c1")</f>
        <v>CCN(C)Cc1ncccc1-c1ccc2cccnc2c1</v>
      </c>
      <c r="C19177" s="7">
        <f>IFERROR(__xludf.DUMMYFUNCTION("""COMPUTED_VALUE"""),7.720834)</f>
        <v>7.720834</v>
      </c>
      <c r="D19177" s="7">
        <f>IFERROR(__xludf.DUMMYFUNCTION("""COMPUTED_VALUE"""),0.34)</f>
        <v>0.34</v>
      </c>
    </row>
    <row r="19178">
      <c r="A19178" s="10" t="s">
        <v>20617</v>
      </c>
      <c r="B19178" s="7" t="str">
        <f>IFERROR(__xludf.DUMMYFUNCTION("SPLIT(A19178,"" "")"),"Cc1cc(C)c2ccc(N(C)C3CCCC(N(C)c4ccc5c(CN(C)C)ccnc5c4)C3)cc2n1")</f>
        <v>Cc1cc(C)c2ccc(N(C)C3CCCC(N(C)c4ccc5c(CN(C)C)ccnc5c4)C3)cc2n1</v>
      </c>
      <c r="C19178" s="7">
        <f>IFERROR(__xludf.DUMMYFUNCTION("""COMPUTED_VALUE"""),7.720825)</f>
        <v>7.720825</v>
      </c>
      <c r="D19178" s="7">
        <f>IFERROR(__xludf.DUMMYFUNCTION("""COMPUTED_VALUE"""),0.253968253968253)</f>
        <v>0.253968254</v>
      </c>
    </row>
    <row r="19179">
      <c r="A19179" s="10" t="s">
        <v>20618</v>
      </c>
      <c r="B19179" s="7" t="str">
        <f>IFERROR(__xludf.DUMMYFUNCTION("SPLIT(A19179,"" "")"),"CNc1ccc(N(C)C)c(C)c1Cl")</f>
        <v>CNc1ccc(N(C)C)c(C)c1Cl</v>
      </c>
      <c r="C19179" s="7">
        <f>IFERROR(__xludf.DUMMYFUNCTION("""COMPUTED_VALUE"""),7.7208247)</f>
        <v>7.7208247</v>
      </c>
      <c r="D19179" s="7">
        <f>IFERROR(__xludf.DUMMYFUNCTION("""COMPUTED_VALUE"""),0.2)</f>
        <v>0.2</v>
      </c>
    </row>
    <row r="19180">
      <c r="A19180" s="10" t="s">
        <v>20619</v>
      </c>
      <c r="B19180" s="7" t="str">
        <f>IFERROR(__xludf.DUMMYFUNCTION("SPLIT(A19180,"" "")"),"CN(c1ccc2cccnc2c1)C12CCC(Nc3cccc4ncccc34)(CC1)C2")</f>
        <v>CN(c1ccc2cccnc2c1)C12CCC(Nc3cccc4ncccc34)(CC1)C2</v>
      </c>
      <c r="C19180" s="7">
        <f>IFERROR(__xludf.DUMMYFUNCTION("""COMPUTED_VALUE"""),7.7208233)</f>
        <v>7.7208233</v>
      </c>
      <c r="D19180" s="7">
        <f>IFERROR(__xludf.DUMMYFUNCTION("""COMPUTED_VALUE"""),0.274193548387096)</f>
        <v>0.2741935484</v>
      </c>
    </row>
    <row r="19181">
      <c r="A19181" s="10" t="s">
        <v>20620</v>
      </c>
      <c r="B19181" s="7" t="str">
        <f>IFERROR(__xludf.DUMMYFUNCTION("SPLIT(A19181,"" "")"),"Cc1c(NCc2ccccn2)cccc1-c1cccc(-c2ccccc2)n1")</f>
        <v>Cc1c(NCc2ccccn2)cccc1-c1cccc(-c2ccccc2)n1</v>
      </c>
      <c r="C19181" s="7">
        <f>IFERROR(__xludf.DUMMYFUNCTION("""COMPUTED_VALUE"""),7.720819)</f>
        <v>7.720819</v>
      </c>
      <c r="D19181" s="7">
        <f>IFERROR(__xludf.DUMMYFUNCTION("""COMPUTED_VALUE"""),0.436363636363636)</f>
        <v>0.4363636364</v>
      </c>
    </row>
    <row r="19182">
      <c r="A19182" s="10" t="s">
        <v>20621</v>
      </c>
      <c r="B19182" s="7" t="str">
        <f>IFERROR(__xludf.DUMMYFUNCTION("SPLIT(A19182,"" "")"),"CCN(C)c1ccc2ncccc2c1")</f>
        <v>CCN(C)c1ccc2ncccc2c1</v>
      </c>
      <c r="C19182" s="7">
        <f>IFERROR(__xludf.DUMMYFUNCTION("""COMPUTED_VALUE"""),7.720816)</f>
        <v>7.720816</v>
      </c>
      <c r="D19182" s="7">
        <f>IFERROR(__xludf.DUMMYFUNCTION("""COMPUTED_VALUE"""),0.4)</f>
        <v>0.4</v>
      </c>
    </row>
    <row r="19183">
      <c r="A19183" s="10" t="s">
        <v>20622</v>
      </c>
      <c r="B19183" s="7" t="str">
        <f>IFERROR(__xludf.DUMMYFUNCTION("SPLIT(A19183,"" "")"),"Cc1ccnc(CN(C)C2=C(CN(C)c3ccc4nccc(CF)c4c3)NC=CC2)c1")</f>
        <v>Cc1ccnc(CN(C)C2=C(CN(C)c3ccc4nccc(CF)c4c3)NC=CC2)c1</v>
      </c>
      <c r="C19183" s="7">
        <f>IFERROR(__xludf.DUMMYFUNCTION("""COMPUTED_VALUE"""),7.720805)</f>
        <v>7.720805</v>
      </c>
      <c r="D19183" s="7">
        <f>IFERROR(__xludf.DUMMYFUNCTION("""COMPUTED_VALUE"""),0.260869565217391)</f>
        <v>0.2608695652</v>
      </c>
    </row>
    <row r="19184">
      <c r="A19184" s="10" t="s">
        <v>20623</v>
      </c>
      <c r="B19184" s="7" t="str">
        <f>IFERROR(__xludf.DUMMYFUNCTION("SPLIT(A19184,"" "")"),"Cc1cccc(CN(Cc2ccc3ncccc3c2)Cc2ncccc2-c2ccccc2N(C)C)n1")</f>
        <v>Cc1cccc(CN(Cc2ccc3ncccc3c2)Cc2ncccc2-c2ccccc2N(C)C)n1</v>
      </c>
      <c r="C19184" s="7">
        <f>IFERROR(__xludf.DUMMYFUNCTION("""COMPUTED_VALUE"""),7.7208033)</f>
        <v>7.7208033</v>
      </c>
      <c r="D19184" s="7">
        <f>IFERROR(__xludf.DUMMYFUNCTION("""COMPUTED_VALUE"""),0.344827586206896)</f>
        <v>0.3448275862</v>
      </c>
    </row>
    <row r="19185">
      <c r="A19185" s="10" t="s">
        <v>20624</v>
      </c>
      <c r="B19185" s="7" t="str">
        <f>IFERROR(__xludf.DUMMYFUNCTION("SPLIT(A19185,"" "")"),"Cc1cnc(CN(C)c2cccc(-c3cc(C(C)(C)C)ccn3)c2)c(C)c1")</f>
        <v>Cc1cnc(CN(C)c2cccc(-c3cc(C(C)(C)C)ccn3)c2)c(C)c1</v>
      </c>
      <c r="C19185" s="7">
        <f>IFERROR(__xludf.DUMMYFUNCTION("""COMPUTED_VALUE"""),7.720792)</f>
        <v>7.720792</v>
      </c>
      <c r="D19185" s="7">
        <f>IFERROR(__xludf.DUMMYFUNCTION("""COMPUTED_VALUE"""),0.242857142857142)</f>
        <v>0.2428571429</v>
      </c>
    </row>
    <row r="19186">
      <c r="A19186" s="10" t="s">
        <v>20625</v>
      </c>
      <c r="B19186" s="7" t="str">
        <f>IFERROR(__xludf.DUMMYFUNCTION("SPLIT(A19186,"" "")"),"Cc1cccnc1CN(C)Cc1cccc(N(C)c2ccc3ncccc3c2)n1")</f>
        <v>Cc1cccnc1CN(C)Cc1cccc(N(C)c2ccc3ncccc3c2)n1</v>
      </c>
      <c r="C19186" s="7">
        <f>IFERROR(__xludf.DUMMYFUNCTION("""COMPUTED_VALUE"""),7.7207885)</f>
        <v>7.7207885</v>
      </c>
      <c r="D19186" s="7">
        <f>IFERROR(__xludf.DUMMYFUNCTION("""COMPUTED_VALUE"""),0.375)</f>
        <v>0.375</v>
      </c>
    </row>
    <row r="19187">
      <c r="A19187" s="10" t="s">
        <v>20626</v>
      </c>
      <c r="B19187" s="7" t="str">
        <f>IFERROR(__xludf.DUMMYFUNCTION("SPLIT(A19187,"" "")"),"CN(Cc1ccncc1CF)c1ccc2ncccc2c1")</f>
        <v>CN(Cc1ccncc1CF)c1ccc2ncccc2c1</v>
      </c>
      <c r="C19187" s="7">
        <f>IFERROR(__xludf.DUMMYFUNCTION("""COMPUTED_VALUE"""),7.720786)</f>
        <v>7.720786</v>
      </c>
      <c r="D19187" s="7">
        <f>IFERROR(__xludf.DUMMYFUNCTION("""COMPUTED_VALUE"""),0.320754716981132)</f>
        <v>0.320754717</v>
      </c>
    </row>
    <row r="19188">
      <c r="A19188" s="10" t="s">
        <v>20627</v>
      </c>
      <c r="B19188" s="7" t="str">
        <f>IFERROR(__xludf.DUMMYFUNCTION("SPLIT(A19188,"" "")"),"CNCc1nccc2cc(N(C)Cc3ccccn3)ccc12")</f>
        <v>CNCc1nccc2cc(N(C)Cc3ccccn3)ccc12</v>
      </c>
      <c r="C19188" s="7">
        <f>IFERROR(__xludf.DUMMYFUNCTION("""COMPUTED_VALUE"""),7.7207627)</f>
        <v>7.7207627</v>
      </c>
      <c r="D19188" s="7">
        <f>IFERROR(__xludf.DUMMYFUNCTION("""COMPUTED_VALUE"""),0.44)</f>
        <v>0.44</v>
      </c>
    </row>
    <row r="19189">
      <c r="A19189" s="10" t="s">
        <v>20628</v>
      </c>
      <c r="B19189" s="7" t="str">
        <f>IFERROR(__xludf.DUMMYFUNCTION("SPLIT(A19189,"" "")"),"CN(C)Cc1nccc2cccc(N(C)Cc3ncccc3C(C)(C)C)c12")</f>
        <v>CN(C)Cc1nccc2cccc(N(C)Cc3ncccc3C(C)(C)C)c12</v>
      </c>
      <c r="C19189" s="7">
        <f>IFERROR(__xludf.DUMMYFUNCTION("""COMPUTED_VALUE"""),7.720757)</f>
        <v>7.720757</v>
      </c>
      <c r="D19189" s="7">
        <f>IFERROR(__xludf.DUMMYFUNCTION("""COMPUTED_VALUE"""),0.38)</f>
        <v>0.38</v>
      </c>
    </row>
    <row r="19190">
      <c r="A19190" s="10" t="s">
        <v>20629</v>
      </c>
      <c r="B19190" s="7" t="str">
        <f>IFERROR(__xludf.DUMMYFUNCTION("SPLIT(A19190,"" "")"),"CCN(Cc1ccccn1)c1ccccc1-c1cc(-c2ccc(C(C)(C)C)cn2)ccn1")</f>
        <v>CCN(Cc1ccccn1)c1ccccc1-c1cc(-c2ccc(C(C)(C)C)cn2)ccn1</v>
      </c>
      <c r="C19190" s="7">
        <f>IFERROR(__xludf.DUMMYFUNCTION("""COMPUTED_VALUE"""),7.7207456)</f>
        <v>7.7207456</v>
      </c>
      <c r="D19190" s="7">
        <f>IFERROR(__xludf.DUMMYFUNCTION("""COMPUTED_VALUE"""),0.333333333333333)</f>
        <v>0.3333333333</v>
      </c>
    </row>
    <row r="19191">
      <c r="A19191" s="10" t="s">
        <v>20630</v>
      </c>
      <c r="B19191" s="7" t="str">
        <f>IFERROR(__xludf.DUMMYFUNCTION("SPLIT(A19191,"" "")"),"Cc1cccnc1-c1ccccc1CN(C)Cc1cccc(-c2ccc(N=Cc3ccccn3)cc2)n1")</f>
        <v>Cc1cccnc1-c1ccccc1CN(C)Cc1cccc(-c2ccc(N=Cc3ccccn3)cc2)n1</v>
      </c>
      <c r="C19191" s="7">
        <f>IFERROR(__xludf.DUMMYFUNCTION("""COMPUTED_VALUE"""),7.7207394)</f>
        <v>7.7207394</v>
      </c>
      <c r="D19191" s="7">
        <f>IFERROR(__xludf.DUMMYFUNCTION("""COMPUTED_VALUE"""),0.412698412698412)</f>
        <v>0.4126984127</v>
      </c>
    </row>
    <row r="19192">
      <c r="A19192" s="10" t="s">
        <v>20631</v>
      </c>
      <c r="B19192" s="7" t="str">
        <f>IFERROR(__xludf.DUMMYFUNCTION("SPLIT(A19192,"" "")"),"Cc1cncc(CN(C)Cc2ccc(N(C)c3ccc4ncccc4c3)cn2)c1")</f>
        <v>Cc1cncc(CN(C)Cc2ccc(N(C)c3ccc4ncccc4c3)cn2)c1</v>
      </c>
      <c r="C19192" s="7">
        <f>IFERROR(__xludf.DUMMYFUNCTION("""COMPUTED_VALUE"""),7.7207327)</f>
        <v>7.7207327</v>
      </c>
      <c r="D19192" s="7">
        <f>IFERROR(__xludf.DUMMYFUNCTION("""COMPUTED_VALUE"""),0.351851851851851)</f>
        <v>0.3518518519</v>
      </c>
    </row>
    <row r="19193">
      <c r="A19193" s="10" t="s">
        <v>20632</v>
      </c>
      <c r="B19193" s="7" t="str">
        <f>IFERROR(__xludf.DUMMYFUNCTION("SPLIT(A19193,"" "")"),"CNCc1ncccc1-c1ccc(N=Cc2ccccn2)c(C)c1")</f>
        <v>CNCc1ncccc1-c1ccc(N=Cc2ccccn2)c(C)c1</v>
      </c>
      <c r="C19193" s="7">
        <f>IFERROR(__xludf.DUMMYFUNCTION("""COMPUTED_VALUE"""),7.720723)</f>
        <v>7.720723</v>
      </c>
      <c r="D19193" s="7">
        <f>IFERROR(__xludf.DUMMYFUNCTION("""COMPUTED_VALUE"""),0.452830188679245)</f>
        <v>0.4528301887</v>
      </c>
    </row>
    <row r="19194">
      <c r="A19194" s="10" t="s">
        <v>20633</v>
      </c>
      <c r="B19194" s="7" t="str">
        <f>IFERROR(__xludf.DUMMYFUNCTION("SPLIT(A19194,"" "")"),"CN(C)Cc1cnc2cc(N(C)Cc3ncccc3C(C)(C)C)ccc2c1")</f>
        <v>CN(C)Cc1cnc2cc(N(C)Cc3ncccc3C(C)(C)C)ccc2c1</v>
      </c>
      <c r="C19194" s="7">
        <f>IFERROR(__xludf.DUMMYFUNCTION("""COMPUTED_VALUE"""),7.720717)</f>
        <v>7.720717</v>
      </c>
      <c r="D19194" s="7">
        <f>IFERROR(__xludf.DUMMYFUNCTION("""COMPUTED_VALUE"""),0.263157894736842)</f>
        <v>0.2631578947</v>
      </c>
    </row>
    <row r="19195">
      <c r="A19195" s="10" t="s">
        <v>20634</v>
      </c>
      <c r="B19195" s="7" t="str">
        <f>IFERROR(__xludf.DUMMYFUNCTION("SPLIT(A19195,"" "")"),"CN(Cc1ccccn1)C1=CNC(CN(C)c2cccc3ncc(CF)cc23)=CC1")</f>
        <v>CN(Cc1ccccn1)C1=CNC(CN(C)c2cccc3ncc(CF)cc23)=CC1</v>
      </c>
      <c r="C19195" s="7">
        <f>IFERROR(__xludf.DUMMYFUNCTION("""COMPUTED_VALUE"""),7.7207084)</f>
        <v>7.7207084</v>
      </c>
      <c r="D19195" s="7">
        <f>IFERROR(__xludf.DUMMYFUNCTION("""COMPUTED_VALUE"""),0.38095238095238)</f>
        <v>0.380952381</v>
      </c>
    </row>
    <row r="19196">
      <c r="A19196" s="10" t="s">
        <v>20635</v>
      </c>
      <c r="B19196" s="7" t="str">
        <f>IFERROR(__xludf.DUMMYFUNCTION("SPLIT(A19196,"" "")"),"Cc1cnc(C)c(CN(C)CC2=CCC(N(C)c3ccc4c(C)ccnc4c3)=CN2)c1")</f>
        <v>Cc1cnc(C)c(CN(C)CC2=CCC(N(C)c3ccc4c(C)ccnc4c3)=CN2)c1</v>
      </c>
      <c r="C19196" s="7">
        <f>IFERROR(__xludf.DUMMYFUNCTION("""COMPUTED_VALUE"""),7.7206964)</f>
        <v>7.7206964</v>
      </c>
      <c r="D19196" s="7">
        <f>IFERROR(__xludf.DUMMYFUNCTION("""COMPUTED_VALUE"""),0.223880597014925)</f>
        <v>0.223880597</v>
      </c>
    </row>
    <row r="19197">
      <c r="A19197" s="10" t="s">
        <v>20636</v>
      </c>
      <c r="B19197" s="7" t="str">
        <f>IFERROR(__xludf.DUMMYFUNCTION("SPLIT(A19197,"" "")"),"CN(c1cccc2cccnc12)C1C2CCC1(N(C)c1ccc3cccnc3c1)CC2")</f>
        <v>CN(c1cccc2cccnc12)C1C2CCC1(N(C)c1ccc3cccnc3c1)CC2</v>
      </c>
      <c r="C19197" s="7">
        <f>IFERROR(__xludf.DUMMYFUNCTION("""COMPUTED_VALUE"""),7.7206764)</f>
        <v>7.7206764</v>
      </c>
      <c r="D19197" s="7">
        <f>IFERROR(__xludf.DUMMYFUNCTION("""COMPUTED_VALUE"""),0.482142857142857)</f>
        <v>0.4821428571</v>
      </c>
    </row>
    <row r="19198">
      <c r="A19198" s="10" t="s">
        <v>20637</v>
      </c>
      <c r="B19198" s="7" t="str">
        <f>IFERROR(__xludf.DUMMYFUNCTION("SPLIT(A19198,"" "")"),"Cc1cccnc1CN(Cc1ccccn1)c1ccc(N(C)C(C)C)c2ncccc12")</f>
        <v>Cc1cccnc1CN(Cc1ccccn1)c1ccc(N(C)C(C)C)c2ncccc12</v>
      </c>
      <c r="C19198" s="7">
        <f>IFERROR(__xludf.DUMMYFUNCTION("""COMPUTED_VALUE"""),7.7206593)</f>
        <v>7.7206593</v>
      </c>
      <c r="D19198" s="7">
        <f>IFERROR(__xludf.DUMMYFUNCTION("""COMPUTED_VALUE"""),0.450980392156862)</f>
        <v>0.4509803922</v>
      </c>
    </row>
    <row r="19199">
      <c r="A19199" s="10" t="s">
        <v>20638</v>
      </c>
      <c r="B19199" s="7" t="str">
        <f>IFERROR(__xludf.DUMMYFUNCTION("SPLIT(A19199,"" "")"),"Cc1ccnc(CN(C)c2cc(Cl)cc(N(C)Cc3cnc(C)c(C)c3)c2Cl)c1")</f>
        <v>Cc1ccnc(CN(C)c2cc(Cl)cc(N(C)Cc3cnc(C)c(C)c3)c2Cl)c1</v>
      </c>
      <c r="C19199" s="7">
        <f>IFERROR(__xludf.DUMMYFUNCTION("""COMPUTED_VALUE"""),7.720649)</f>
        <v>7.720649</v>
      </c>
      <c r="D19199" s="7">
        <f>IFERROR(__xludf.DUMMYFUNCTION("""COMPUTED_VALUE"""),0.377358490566037)</f>
        <v>0.3773584906</v>
      </c>
    </row>
    <row r="19200">
      <c r="A19200" s="10" t="s">
        <v>20639</v>
      </c>
      <c r="B19200" s="7" t="str">
        <f>IFERROR(__xludf.DUMMYFUNCTION("SPLIT(A19200,"" "")"),"CN(Cc1ccccn1)C1=CNC(CN(C)c2cccc3nc(CF)ccc23)=CC1")</f>
        <v>CN(Cc1ccccn1)C1=CNC(CN(C)c2cccc3nc(CF)ccc23)=CC1</v>
      </c>
      <c r="C19200" s="7">
        <f>IFERROR(__xludf.DUMMYFUNCTION("""COMPUTED_VALUE"""),7.7206464)</f>
        <v>7.7206464</v>
      </c>
      <c r="D19200" s="7">
        <f>IFERROR(__xludf.DUMMYFUNCTION("""COMPUTED_VALUE"""),0.383333333333333)</f>
        <v>0.3833333333</v>
      </c>
    </row>
    <row r="19201">
      <c r="A19201" s="10" t="s">
        <v>20640</v>
      </c>
      <c r="B19201" s="7" t="str">
        <f>IFERROR(__xludf.DUMMYFUNCTION("SPLIT(A19201,"" "")"),"Cc1cc(-c2cccc(NCc3ccccn3)c2)cnc1-c1cccc(NCc2ccccn2)c1")</f>
        <v>Cc1cc(-c2cccc(NCc3ccccn3)c2)cnc1-c1cccc(NCc2ccccn2)c1</v>
      </c>
      <c r="C19201" s="7">
        <f>IFERROR(__xludf.DUMMYFUNCTION("""COMPUTED_VALUE"""),7.7206445)</f>
        <v>7.7206445</v>
      </c>
      <c r="D19201" s="7">
        <f>IFERROR(__xludf.DUMMYFUNCTION("""COMPUTED_VALUE"""),0.385964912280701)</f>
        <v>0.3859649123</v>
      </c>
    </row>
    <row r="19202">
      <c r="A19202" s="10" t="s">
        <v>20641</v>
      </c>
      <c r="B19202" s="7" t="str">
        <f>IFERROR(__xludf.DUMMYFUNCTION("SPLIT(A19202,"" "")"),"CCn1c(CN(CCN(C)Cc2cccc3cccnc23)Cc2ccc3ncccc3c2)nc2ccccc21")</f>
        <v>CCn1c(CN(CCN(C)Cc2cccc3cccnc23)Cc2ccc3ncccc3c2)nc2ccccc21</v>
      </c>
      <c r="C19202" s="7">
        <f>IFERROR(__xludf.DUMMYFUNCTION("""COMPUTED_VALUE"""),7.7206426)</f>
        <v>7.7206426</v>
      </c>
      <c r="D19202" s="7">
        <f>IFERROR(__xludf.DUMMYFUNCTION("""COMPUTED_VALUE"""),0.491525423728813)</f>
        <v>0.4915254237</v>
      </c>
    </row>
    <row r="19203">
      <c r="A19203" s="10" t="s">
        <v>20642</v>
      </c>
      <c r="B19203" s="7" t="str">
        <f>IFERROR(__xludf.DUMMYFUNCTION("SPLIT(A19203,"" "")"),"Cc1cncc(CN(C)c2ccc3nc(CN(Cc4ccccn4)Cc4ccc(-c5cccc(N=Cc6ccccn6)c5)cn4)ccc3c2)c1")</f>
        <v>Cc1cncc(CN(C)c2ccc3nc(CN(Cc4ccccn4)Cc4ccc(-c5cccc(N=Cc6ccccn6)c5)cn4)ccc3c2)c1</v>
      </c>
      <c r="C19203" s="7">
        <f>IFERROR(__xludf.DUMMYFUNCTION("""COMPUTED_VALUE"""),7.7206388)</f>
        <v>7.7206388</v>
      </c>
      <c r="D19203" s="7">
        <f>IFERROR(__xludf.DUMMYFUNCTION("""COMPUTED_VALUE"""),0.364864864864864)</f>
        <v>0.3648648649</v>
      </c>
    </row>
    <row r="19204">
      <c r="A19204" s="10" t="s">
        <v>20643</v>
      </c>
      <c r="B19204" s="7" t="str">
        <f>IFERROR(__xludf.DUMMYFUNCTION("SPLIT(A19204,"" "")"),"CN(Cc1ccccn1)C1=CCC=C(CNc2ccc3ncccc3c2)N1")</f>
        <v>CN(Cc1ccccn1)C1=CCC=C(CNc2ccc3ncccc3c2)N1</v>
      </c>
      <c r="C19204" s="7">
        <f>IFERROR(__xludf.DUMMYFUNCTION("""COMPUTED_VALUE"""),7.720622)</f>
        <v>7.720622</v>
      </c>
      <c r="D19204" s="7">
        <f>IFERROR(__xludf.DUMMYFUNCTION("""COMPUTED_VALUE"""),0.366666666666666)</f>
        <v>0.3666666667</v>
      </c>
    </row>
    <row r="19205">
      <c r="A19205" s="10" t="s">
        <v>20644</v>
      </c>
      <c r="B19205" s="7" t="str">
        <f>IFERROR(__xludf.DUMMYFUNCTION("SPLIT(A19205,"" "")"),"CN(Cc1ncccc1C(C)(C)C)c1ccc2ncccc2c1")</f>
        <v>CN(Cc1ncccc1C(C)(C)C)c1ccc2ncccc2c1</v>
      </c>
      <c r="C19205" s="7">
        <f>IFERROR(__xludf.DUMMYFUNCTION("""COMPUTED_VALUE"""),7.7206044)</f>
        <v>7.7206044</v>
      </c>
      <c r="D19205" s="7">
        <f>IFERROR(__xludf.DUMMYFUNCTION("""COMPUTED_VALUE"""),0.326530612244897)</f>
        <v>0.3265306122</v>
      </c>
    </row>
    <row r="19206">
      <c r="A19206" s="10" t="s">
        <v>20645</v>
      </c>
      <c r="B19206" s="7" t="str">
        <f>IFERROR(__xludf.DUMMYFUNCTION("SPLIT(A19206,"" "")"),"Cc1cc(N)ccc1-c1ccc(CN(C)CCN(C)c2ccc3cccnc3c2)cn1")</f>
        <v>Cc1cc(N)ccc1-c1ccc(CN(C)CCN(C)c2ccc3cccnc3c2)cn1</v>
      </c>
      <c r="C19206" s="7">
        <f>IFERROR(__xludf.DUMMYFUNCTION("""COMPUTED_VALUE"""),7.720591)</f>
        <v>7.720591</v>
      </c>
      <c r="D19206" s="7">
        <f>IFERROR(__xludf.DUMMYFUNCTION("""COMPUTED_VALUE"""),0.3125)</f>
        <v>0.3125</v>
      </c>
    </row>
    <row r="19207">
      <c r="A19207" s="10" t="s">
        <v>20646</v>
      </c>
      <c r="B19207" s="7" t="str">
        <f>IFERROR(__xludf.DUMMYFUNCTION("SPLIT(A19207,"" "")"),"Cc1cnccc1CN(C)c1ccc2nc(CN(Cc3ccccn3)Cc3cccc(-c4cccc(N=Cc5ccccn5)c4)n3)ccc2c1")</f>
        <v>Cc1cnccc1CN(C)c1ccc2nc(CN(Cc3ccccn3)Cc3cccc(-c4cccc(N=Cc5ccccn5)c4)n3)ccc2c1</v>
      </c>
      <c r="C19207" s="7">
        <f>IFERROR(__xludf.DUMMYFUNCTION("""COMPUTED_VALUE"""),7.7205863)</f>
        <v>7.7205863</v>
      </c>
      <c r="D19207" s="7">
        <f>IFERROR(__xludf.DUMMYFUNCTION("""COMPUTED_VALUE"""),0.41025641025641)</f>
        <v>0.4102564103</v>
      </c>
    </row>
    <row r="19208">
      <c r="A19208" s="10" t="s">
        <v>20647</v>
      </c>
      <c r="B19208" s="7" t="str">
        <f>IFERROR(__xludf.DUMMYFUNCTION("SPLIT(A19208,"" "")"),"CN(C)Cc1ccc(-c2cccc(N(C)C)c2)cn1")</f>
        <v>CN(C)Cc1ccc(-c2cccc(N(C)C)c2)cn1</v>
      </c>
      <c r="C19208" s="7">
        <f>IFERROR(__xludf.DUMMYFUNCTION("""COMPUTED_VALUE"""),7.7205825)</f>
        <v>7.7205825</v>
      </c>
      <c r="D19208" s="7">
        <f>IFERROR(__xludf.DUMMYFUNCTION("""COMPUTED_VALUE"""),0.348837209302325)</f>
        <v>0.3488372093</v>
      </c>
    </row>
    <row r="19209">
      <c r="A19209" s="10" t="s">
        <v>20648</v>
      </c>
      <c r="B19209" s="7" t="str">
        <f>IFERROR(__xludf.DUMMYFUNCTION("SPLIT(A19209,"" "")"),"Cc1cncc(CN(C)C2=C(CN(C)c3ccc4cccnc4c3)NC=CC2)c1")</f>
        <v>Cc1cncc(CN(C)C2=C(CN(C)c3ccc4cccnc4c3)NC=CC2)c1</v>
      </c>
      <c r="C19209" s="7">
        <f>IFERROR(__xludf.DUMMYFUNCTION("""COMPUTED_VALUE"""),7.720577)</f>
        <v>7.720577</v>
      </c>
      <c r="D19209" s="7">
        <f>IFERROR(__xludf.DUMMYFUNCTION("""COMPUTED_VALUE"""),0.25)</f>
        <v>0.25</v>
      </c>
    </row>
    <row r="19210">
      <c r="A19210" s="10" t="s">
        <v>20649</v>
      </c>
      <c r="B19210" s="7" t="str">
        <f>IFERROR(__xludf.DUMMYFUNCTION("SPLIT(A19210,"" "")"),"CNCc1cc(-c2ccc(N=Cc3ccccn3)cc2C)ccn1")</f>
        <v>CNCc1cc(-c2ccc(N=Cc3ccccn3)cc2C)ccn1</v>
      </c>
      <c r="C19210" s="7">
        <f>IFERROR(__xludf.DUMMYFUNCTION("""COMPUTED_VALUE"""),7.7205596)</f>
        <v>7.7205596</v>
      </c>
      <c r="D19210" s="7">
        <f>IFERROR(__xludf.DUMMYFUNCTION("""COMPUTED_VALUE"""),0.392857142857142)</f>
        <v>0.3928571429</v>
      </c>
    </row>
    <row r="19211">
      <c r="A19211" s="10" t="s">
        <v>20650</v>
      </c>
      <c r="B19211" s="7" t="str">
        <f>IFERROR(__xludf.DUMMYFUNCTION("SPLIT(A19211,"" "")"),"CN(C)Cc1cnc2ccc(N(C)CCN(C)Cc3ccc4ncccc4c3)cc2c1")</f>
        <v>CN(C)Cc1cnc2ccc(N(C)CCN(C)Cc3ccc4ncccc4c3)cc2c1</v>
      </c>
      <c r="C19211" s="7">
        <f>IFERROR(__xludf.DUMMYFUNCTION("""COMPUTED_VALUE"""),7.7205563)</f>
        <v>7.7205563</v>
      </c>
      <c r="D19211" s="7">
        <f>IFERROR(__xludf.DUMMYFUNCTION("""COMPUTED_VALUE"""),0.37037037037037)</f>
        <v>0.3703703704</v>
      </c>
    </row>
    <row r="19212">
      <c r="A19212" s="10" t="s">
        <v>20651</v>
      </c>
      <c r="B19212" s="7" t="str">
        <f>IFERROR(__xludf.DUMMYFUNCTION("SPLIT(A19212,"" "")"),"Cc1cccc(CN(C)Cc2cccc(N(C)c3ccc4ncccc4c3)n2)n1")</f>
        <v>Cc1cccc(CN(C)Cc2cccc(N(C)c3ccc4ncccc4c3)n2)n1</v>
      </c>
      <c r="C19212" s="7">
        <f>IFERROR(__xludf.DUMMYFUNCTION("""COMPUTED_VALUE"""),7.72055)</f>
        <v>7.72055</v>
      </c>
      <c r="D19212" s="7">
        <f>IFERROR(__xludf.DUMMYFUNCTION("""COMPUTED_VALUE"""),0.478260869565217)</f>
        <v>0.4782608696</v>
      </c>
    </row>
    <row r="19213">
      <c r="A19213" s="10" t="s">
        <v>20652</v>
      </c>
      <c r="B19213" s="7" t="str">
        <f>IFERROR(__xludf.DUMMYFUNCTION("SPLIT(A19213,"" "")"),"Cc1ccc(CN(C)c2ccc3cccnc3c2-c2cccc(CN(Cc3ccccn3)Cc3ncccc3N)n2)nc1")</f>
        <v>Cc1ccc(CN(C)c2ccc3cccnc3c2-c2cccc(CN(Cc3ccccn3)Cc3ncccc3N)n2)nc1</v>
      </c>
      <c r="C19213" s="7">
        <f>IFERROR(__xludf.DUMMYFUNCTION("""COMPUTED_VALUE"""),7.720547)</f>
        <v>7.720547</v>
      </c>
      <c r="D19213" s="7">
        <f>IFERROR(__xludf.DUMMYFUNCTION("""COMPUTED_VALUE"""),0.378787878787878)</f>
        <v>0.3787878788</v>
      </c>
    </row>
    <row r="19214">
      <c r="A19214" s="10" t="s">
        <v>20653</v>
      </c>
      <c r="B19214" s="7" t="str">
        <f>IFERROR(__xludf.DUMMYFUNCTION("SPLIT(A19214,"" "")"),"Cc1cc(-c2cc(-c3cccc(NCc4ccccn4)c3)ccn2)ccc1NCc1ccccn1")</f>
        <v>Cc1cc(-c2cc(-c3cccc(NCc4ccccn4)c3)ccn2)ccc1NCc1ccccn1</v>
      </c>
      <c r="C19214" s="7">
        <f>IFERROR(__xludf.DUMMYFUNCTION("""COMPUTED_VALUE"""),7.720538)</f>
        <v>7.720538</v>
      </c>
      <c r="D19214" s="7">
        <f>IFERROR(__xludf.DUMMYFUNCTION("""COMPUTED_VALUE"""),0.354838709677419)</f>
        <v>0.3548387097</v>
      </c>
    </row>
    <row r="19215">
      <c r="A19215" s="10" t="s">
        <v>20654</v>
      </c>
      <c r="B19215" s="7" t="str">
        <f>IFERROR(__xludf.DUMMYFUNCTION("SPLIT(A19215,"" "")"),"Cc1cc(-c2ccccc2N=Cc2ccccn2)cnc1CN(C)Cc1ccon1")</f>
        <v>Cc1cc(-c2ccccc2N=Cc2ccccn2)cnc1CN(C)Cc1ccon1</v>
      </c>
      <c r="C19215" s="7">
        <f>IFERROR(__xludf.DUMMYFUNCTION("""COMPUTED_VALUE"""),7.7205358)</f>
        <v>7.7205358</v>
      </c>
      <c r="D19215" s="7">
        <f>IFERROR(__xludf.DUMMYFUNCTION("""COMPUTED_VALUE"""),0.396825396825396)</f>
        <v>0.3968253968</v>
      </c>
    </row>
    <row r="19216">
      <c r="A19216" s="10" t="s">
        <v>20655</v>
      </c>
      <c r="B19216" s="7" t="str">
        <f>IFERROR(__xludf.DUMMYFUNCTION("SPLIT(A19216,"" "")"),"CNCc1cc(-c2cccc(N=Cc3ccccn3)c2C)ccn1")</f>
        <v>CNCc1cc(-c2cccc(N=Cc3ccccn3)c2C)ccn1</v>
      </c>
      <c r="C19216" s="7">
        <f>IFERROR(__xludf.DUMMYFUNCTION("""COMPUTED_VALUE"""),7.7205243)</f>
        <v>7.7205243</v>
      </c>
      <c r="D19216" s="7">
        <f>IFERROR(__xludf.DUMMYFUNCTION("""COMPUTED_VALUE"""),0.471698113207547)</f>
        <v>0.4716981132</v>
      </c>
    </row>
    <row r="19217">
      <c r="A19217" s="10" t="s">
        <v>20656</v>
      </c>
      <c r="B19217" s="7" t="str">
        <f>IFERROR(__xludf.DUMMYFUNCTION("SPLIT(A19217,"" "")"),"Cc1cc(C)nc(CN(Cc2ccccn2)c2ccc3cccnc3c2)c1")</f>
        <v>Cc1cc(C)nc(CN(Cc2ccccn2)c2ccc3cccnc3c2)c1</v>
      </c>
      <c r="C19217" s="7">
        <f>IFERROR(__xludf.DUMMYFUNCTION("""COMPUTED_VALUE"""),7.7205224)</f>
        <v>7.7205224</v>
      </c>
      <c r="D19217" s="7">
        <f>IFERROR(__xludf.DUMMYFUNCTION("""COMPUTED_VALUE"""),0.46)</f>
        <v>0.46</v>
      </c>
    </row>
    <row r="19218">
      <c r="A19218" s="10" t="s">
        <v>20657</v>
      </c>
      <c r="B19218" s="7" t="str">
        <f>IFERROR(__xludf.DUMMYFUNCTION("SPLIT(A19218,"" "")"),"CN(Cc1ccccn1)C1=CNC(CNc2cccc3ncccc23)=CC1")</f>
        <v>CN(Cc1ccccn1)C1=CNC(CNc2cccc3ncccc23)=CC1</v>
      </c>
      <c r="C19218" s="7">
        <f>IFERROR(__xludf.DUMMYFUNCTION("""COMPUTED_VALUE"""),7.720513)</f>
        <v>7.720513</v>
      </c>
      <c r="D19218" s="7">
        <f>IFERROR(__xludf.DUMMYFUNCTION("""COMPUTED_VALUE"""),0.35)</f>
        <v>0.35</v>
      </c>
    </row>
    <row r="19219">
      <c r="A19219" s="10" t="s">
        <v>20658</v>
      </c>
      <c r="B19219" s="7" t="str">
        <f>IFERROR(__xludf.DUMMYFUNCTION("SPLIT(A19219,"" "")"),"CN(c1ccc2nc(CF)ccc2c1)C1C=CC=CN1")</f>
        <v>CN(c1ccc2nc(CF)ccc2c1)C1C=CC=CN1</v>
      </c>
      <c r="C19219" s="7">
        <f>IFERROR(__xludf.DUMMYFUNCTION("""COMPUTED_VALUE"""),7.720493)</f>
        <v>7.720493</v>
      </c>
      <c r="D19219" s="7">
        <f>IFERROR(__xludf.DUMMYFUNCTION("""COMPUTED_VALUE"""),0.322033898305084)</f>
        <v>0.3220338983</v>
      </c>
    </row>
    <row r="19220">
      <c r="A19220" s="10" t="s">
        <v>20659</v>
      </c>
      <c r="B19220" s="7" t="str">
        <f>IFERROR(__xludf.DUMMYFUNCTION("SPLIT(A19220,"" "")"),"CN(Cc1ccc2ncccc2c1)c1cccc2ccc(CN(Cc3ccnc(C(C)(C)c4ccccn4)c3)Cc3ccccn3)nc12")</f>
        <v>CN(Cc1ccc2ncccc2c1)c1cccc2ccc(CN(Cc3ccnc(C(C)(C)c4ccccn4)c3)Cc3ccccn3)nc12</v>
      </c>
      <c r="C19220" s="7">
        <f>IFERROR(__xludf.DUMMYFUNCTION("""COMPUTED_VALUE"""),7.7204776)</f>
        <v>7.7204776</v>
      </c>
      <c r="D19220" s="7">
        <f>IFERROR(__xludf.DUMMYFUNCTION("""COMPUTED_VALUE"""),0.4)</f>
        <v>0.4</v>
      </c>
    </row>
    <row r="19221">
      <c r="A19221" s="10" t="s">
        <v>20660</v>
      </c>
      <c r="B19221" s="7" t="str">
        <f>IFERROR(__xludf.DUMMYFUNCTION("SPLIT(A19221,"" "")"),"CCNCC1=CCC=C(N(C)c2cccc3nccc(C)c23)N1")</f>
        <v>CCNCC1=CCC=C(N(C)c2cccc3nccc(C)c23)N1</v>
      </c>
      <c r="C19221" s="7">
        <f>IFERROR(__xludf.DUMMYFUNCTION("""COMPUTED_VALUE"""),7.7204595)</f>
        <v>7.7204595</v>
      </c>
      <c r="D19221" s="7">
        <f>IFERROR(__xludf.DUMMYFUNCTION("""COMPUTED_VALUE"""),0.23076923076923)</f>
        <v>0.2307692308</v>
      </c>
    </row>
    <row r="19222">
      <c r="A19222" s="10" t="s">
        <v>20661</v>
      </c>
      <c r="B19222" s="7" t="str">
        <f>IFERROR(__xludf.DUMMYFUNCTION("SPLIT(A19222,"" "")"),"CN(C)Cc1ccc2cccc(N(C)CC3=CCC=C(N(C)Cc4ccccn4)N3)c2n1")</f>
        <v>CN(C)Cc1ccc2cccc(N(C)CC3=CCC=C(N(C)Cc4ccccn4)N3)c2n1</v>
      </c>
      <c r="C19222" s="7">
        <f>IFERROR(__xludf.DUMMYFUNCTION("""COMPUTED_VALUE"""),7.7204566)</f>
        <v>7.7204566</v>
      </c>
      <c r="D19222" s="7">
        <f>IFERROR(__xludf.DUMMYFUNCTION("""COMPUTED_VALUE"""),0.389830508474576)</f>
        <v>0.3898305085</v>
      </c>
    </row>
    <row r="19223">
      <c r="A19223" s="10" t="s">
        <v>20662</v>
      </c>
      <c r="B19223" s="7" t="str">
        <f>IFERROR(__xludf.DUMMYFUNCTION("SPLIT(A19223,"" "")"),"CN(C)Cc1cnc2cc(N(C)CC3=CCC=C(N(C)Cc4ccccn4)N3)ccc2c1")</f>
        <v>CN(C)Cc1cnc2cc(N(C)CC3=CCC=C(N(C)Cc4ccccn4)N3)ccc2c1</v>
      </c>
      <c r="C19223" s="7">
        <f>IFERROR(__xludf.DUMMYFUNCTION("""COMPUTED_VALUE"""),7.720451)</f>
        <v>7.720451</v>
      </c>
      <c r="D19223" s="7">
        <f>IFERROR(__xludf.DUMMYFUNCTION("""COMPUTED_VALUE"""),0.360655737704918)</f>
        <v>0.3606557377</v>
      </c>
    </row>
    <row r="19224">
      <c r="A19224" s="10" t="s">
        <v>20663</v>
      </c>
      <c r="B19224" s="7" t="str">
        <f>IFERROR(__xludf.DUMMYFUNCTION("SPLIT(A19224,"" "")"),"CN(CCN(C)c1ccc2nccc(CF)c2c1)Cc1ccc2ccccc2n1")</f>
        <v>CN(CCN(C)c1ccc2nccc(CF)c2c1)Cc1ccc2ccccc2n1</v>
      </c>
      <c r="C19224" s="7">
        <f>IFERROR(__xludf.DUMMYFUNCTION("""COMPUTED_VALUE"""),7.7204385)</f>
        <v>7.7204385</v>
      </c>
      <c r="D19224" s="7">
        <f>IFERROR(__xludf.DUMMYFUNCTION("""COMPUTED_VALUE"""),0.392857142857142)</f>
        <v>0.3928571429</v>
      </c>
    </row>
    <row r="19225">
      <c r="A19225" s="10" t="s">
        <v>20664</v>
      </c>
      <c r="B19225" s="7" t="str">
        <f>IFERROR(__xludf.DUMMYFUNCTION("SPLIT(A19225,"" "")"),"CC(C)c1cc(CN(Cc2ccccn2)c2ccc3nc(CN(C)Cc4ccc(-c5cccc(N=Cc6ccccn6)c5)cn4)ccc3c2)ccn1")</f>
        <v>CC(C)c1cc(CN(Cc2ccccn2)c2ccc3nc(CN(C)Cc4ccc(-c5cccc(N=Cc6ccccn6)c5)cn4)ccc3c2)ccn1</v>
      </c>
      <c r="C19225" s="7">
        <f>IFERROR(__xludf.DUMMYFUNCTION("""COMPUTED_VALUE"""),7.7204347)</f>
        <v>7.7204347</v>
      </c>
      <c r="D19225" s="7">
        <f>IFERROR(__xludf.DUMMYFUNCTION("""COMPUTED_VALUE"""),0.324675324675324)</f>
        <v>0.3246753247</v>
      </c>
    </row>
    <row r="19226">
      <c r="A19226" s="10" t="s">
        <v>20665</v>
      </c>
      <c r="B19226" s="7" t="str">
        <f>IFERROR(__xludf.DUMMYFUNCTION("SPLIT(A19226,"" "")"),"CN(c1ccc2cc(-c3ccccc3)cnc2c1)C1CCCCC1N(C)c1ccc2c3c(cnc2c1)CCC3")</f>
        <v>CN(c1ccc2cc(-c3ccccc3)cnc2c1)C1CCCCC1N(C)c1ccc2c3c(cnc2c1)CCC3</v>
      </c>
      <c r="C19226" s="7">
        <f>IFERROR(__xludf.DUMMYFUNCTION("""COMPUTED_VALUE"""),7.7204285)</f>
        <v>7.7204285</v>
      </c>
      <c r="D19226" s="7">
        <f>IFERROR(__xludf.DUMMYFUNCTION("""COMPUTED_VALUE"""),0.369230769230769)</f>
        <v>0.3692307692</v>
      </c>
    </row>
    <row r="19227">
      <c r="A19227" s="10" t="s">
        <v>20666</v>
      </c>
      <c r="B19227" s="7" t="str">
        <f>IFERROR(__xludf.DUMMYFUNCTION("SPLIT(A19227,"" "")"),"CN(CCCN(C)c1ccc2ncccc2c1)Cc1nc2ccccc2n1C")</f>
        <v>CN(CCCN(C)c1ccc2ncccc2c1)Cc1nc2ccccc2n1C</v>
      </c>
      <c r="C19227" s="7">
        <f>IFERROR(__xludf.DUMMYFUNCTION("""COMPUTED_VALUE"""),7.720428)</f>
        <v>7.720428</v>
      </c>
      <c r="D19227" s="7">
        <f>IFERROR(__xludf.DUMMYFUNCTION("""COMPUTED_VALUE"""),0.379310344827586)</f>
        <v>0.3793103448</v>
      </c>
    </row>
    <row r="19228">
      <c r="A19228" s="10" t="s">
        <v>20667</v>
      </c>
      <c r="B19228" s="7" t="str">
        <f>IFERROR(__xludf.DUMMYFUNCTION("SPLIT(A19228,"" "")"),"Cc1cncc(CN(C)c2ccc(C)c3ccc(CN(C)Cc4cc(C)c(C)c(C)n4)nc23)c1")</f>
        <v>Cc1cncc(CN(C)c2ccc(C)c3ccc(CN(C)Cc4cc(C)c(C)c(C)n4)nc23)c1</v>
      </c>
      <c r="C19228" s="7">
        <f>IFERROR(__xludf.DUMMYFUNCTION("""COMPUTED_VALUE"""),7.720425)</f>
        <v>7.720425</v>
      </c>
      <c r="D19228" s="7">
        <f>IFERROR(__xludf.DUMMYFUNCTION("""COMPUTED_VALUE"""),0.266666666666666)</f>
        <v>0.2666666667</v>
      </c>
    </row>
    <row r="19229">
      <c r="A19229" s="10" t="s">
        <v>20668</v>
      </c>
      <c r="B19229" s="7" t="str">
        <f>IFERROR(__xludf.DUMMYFUNCTION("SPLIT(A19229,"" "")"),"CC1COC(c2cc(CN(C)Cc3cc(-c4cccc(N=Cc5ccccn5)c4)ccn3)ccn2)=N1")</f>
        <v>CC1COC(c2cc(CN(C)Cc3cc(-c4cccc(N=Cc5ccccn5)c4)ccn3)ccn2)=N1</v>
      </c>
      <c r="C19229" s="7">
        <f>IFERROR(__xludf.DUMMYFUNCTION("""COMPUTED_VALUE"""),7.7204213)</f>
        <v>7.7204213</v>
      </c>
      <c r="D19229" s="7">
        <f>IFERROR(__xludf.DUMMYFUNCTION("""COMPUTED_VALUE"""),0.315068493150684)</f>
        <v>0.3150684932</v>
      </c>
    </row>
    <row r="19230">
      <c r="A19230" s="10" t="s">
        <v>20669</v>
      </c>
      <c r="B19230" s="7" t="str">
        <f>IFERROR(__xludf.DUMMYFUNCTION("SPLIT(A19230,"" "")"),"CN(C)Cc1ncccc1-c1ccc(N(C)C)cc1")</f>
        <v>CN(C)Cc1ncccc1-c1ccc(N(C)C)cc1</v>
      </c>
      <c r="C19230" s="7">
        <f>IFERROR(__xludf.DUMMYFUNCTION("""COMPUTED_VALUE"""),7.720414)</f>
        <v>7.720414</v>
      </c>
      <c r="D19230" s="7">
        <f>IFERROR(__xludf.DUMMYFUNCTION("""COMPUTED_VALUE"""),0.318181818181818)</f>
        <v>0.3181818182</v>
      </c>
    </row>
    <row r="19231">
      <c r="A19231" s="10" t="s">
        <v>20670</v>
      </c>
      <c r="B19231" s="7" t="str">
        <f>IFERROR(__xludf.DUMMYFUNCTION("SPLIT(A19231,"" "")"),"CN(C)CC1=CCC(N(C)c2cccc3nccc(CF)c23)=CN1")</f>
        <v>CN(C)CC1=CCC(N(C)c2cccc3nccc(CF)c23)=CN1</v>
      </c>
      <c r="C19231" s="7">
        <f>IFERROR(__xludf.DUMMYFUNCTION("""COMPUTED_VALUE"""),7.7204113)</f>
        <v>7.7204113</v>
      </c>
      <c r="D19231" s="7">
        <f>IFERROR(__xludf.DUMMYFUNCTION("""COMPUTED_VALUE"""),0.283582089552238)</f>
        <v>0.2835820896</v>
      </c>
    </row>
    <row r="19232">
      <c r="A19232" s="10" t="s">
        <v>20671</v>
      </c>
      <c r="B19232" s="7" t="str">
        <f>IFERROR(__xludf.DUMMYFUNCTION("SPLIT(A19232,"" "")"),"CNCc1cc(-c2cccc(C)c2N=Cc2ccccn2)ccn1")</f>
        <v>CNCc1cc(-c2cccc(C)c2N=Cc2ccccn2)ccn1</v>
      </c>
      <c r="C19232" s="7">
        <f>IFERROR(__xludf.DUMMYFUNCTION("""COMPUTED_VALUE"""),7.720411)</f>
        <v>7.720411</v>
      </c>
      <c r="D19232" s="7">
        <f>IFERROR(__xludf.DUMMYFUNCTION("""COMPUTED_VALUE"""),0.444444444444444)</f>
        <v>0.4444444444</v>
      </c>
    </row>
    <row r="19233">
      <c r="A19233" s="10" t="s">
        <v>20672</v>
      </c>
      <c r="B19233" s="7" t="str">
        <f>IFERROR(__xludf.DUMMYFUNCTION("SPLIT(A19233,"" "")"),"Cc1c(NCc2ccccn2)cccc1-c1ncccc1-c1cccc(NCc2ccccn2)c1")</f>
        <v>Cc1c(NCc2ccccn2)cccc1-c1ncccc1-c1cccc(NCc2ccccn2)c1</v>
      </c>
      <c r="C19233" s="7">
        <f>IFERROR(__xludf.DUMMYFUNCTION("""COMPUTED_VALUE"""),7.7204027)</f>
        <v>7.7204027</v>
      </c>
      <c r="D19233" s="7">
        <f>IFERROR(__xludf.DUMMYFUNCTION("""COMPUTED_VALUE"""),0.383333333333333)</f>
        <v>0.3833333333</v>
      </c>
    </row>
    <row r="19234">
      <c r="A19234" s="10" t="s">
        <v>20673</v>
      </c>
      <c r="B19234" s="7" t="str">
        <f>IFERROR(__xludf.DUMMYFUNCTION("SPLIT(A19234,"" "")"),"COc1ccc(-c2ccc(-c3ccccn3)c(C)c2-c2cc(CN(Cc3ccccn3)Cc3ccccn3)ccn2)c(-c2cc(CN(Cc3ccccn3)Cc3ccccn3)ccn2)c1")</f>
        <v>COc1ccc(-c2ccc(-c3ccccn3)c(C)c2-c2cc(CN(Cc3ccccn3)Cc3ccccn3)ccn2)c(-c2cc(CN(Cc3ccccn3)Cc3ccccn3)ccn2)c1</v>
      </c>
      <c r="C19234" s="7">
        <f>IFERROR(__xludf.DUMMYFUNCTION("""COMPUTED_VALUE"""),7.7203918)</f>
        <v>7.7203918</v>
      </c>
      <c r="D19234" s="7">
        <f>IFERROR(__xludf.DUMMYFUNCTION("""COMPUTED_VALUE"""),0.476190476190476)</f>
        <v>0.4761904762</v>
      </c>
    </row>
    <row r="19235">
      <c r="A19235" s="10" t="s">
        <v>20674</v>
      </c>
      <c r="B19235" s="7" t="str">
        <f>IFERROR(__xludf.DUMMYFUNCTION("SPLIT(A19235,"" "")"),"CNc1cc(Cl)c(F)cc1N(C)C")</f>
        <v>CNc1cc(Cl)c(F)cc1N(C)C</v>
      </c>
      <c r="C19235" s="7">
        <f>IFERROR(__xludf.DUMMYFUNCTION("""COMPUTED_VALUE"""),7.7203865)</f>
        <v>7.7203865</v>
      </c>
      <c r="D19235" s="7">
        <f>IFERROR(__xludf.DUMMYFUNCTION("""COMPUTED_VALUE"""),0.222222222222222)</f>
        <v>0.2222222222</v>
      </c>
    </row>
    <row r="19236">
      <c r="A19236" s="10" t="s">
        <v>20675</v>
      </c>
      <c r="B19236" s="7" t="str">
        <f>IFERROR(__xludf.DUMMYFUNCTION("SPLIT(A19236,"" "")"),"CNCc1ncccc1-c1cccc(C)c1N=Cc1ccccn1")</f>
        <v>CNCc1ncccc1-c1cccc(C)c1N=Cc1ccccn1</v>
      </c>
      <c r="C19236" s="7">
        <f>IFERROR(__xludf.DUMMYFUNCTION("""COMPUTED_VALUE"""),7.720386)</f>
        <v>7.720386</v>
      </c>
      <c r="D19236" s="7">
        <f>IFERROR(__xludf.DUMMYFUNCTION("""COMPUTED_VALUE"""),0.48)</f>
        <v>0.48</v>
      </c>
    </row>
    <row r="19237">
      <c r="A19237" s="10" t="s">
        <v>20676</v>
      </c>
      <c r="B19237" s="7" t="str">
        <f>IFERROR(__xludf.DUMMYFUNCTION("SPLIT(A19237,"" "")"),"Cc1cccc(-c2ccc(C3=NC(C(C)C)C(c4ccccn4)O3)cc2)n1")</f>
        <v>Cc1cccc(-c2ccc(C3=NC(C(C)C)C(c4ccccn4)O3)cc2)n1</v>
      </c>
      <c r="C19237" s="7">
        <f>IFERROR(__xludf.DUMMYFUNCTION("""COMPUTED_VALUE"""),7.720384)</f>
        <v>7.720384</v>
      </c>
      <c r="D19237" s="7">
        <f>IFERROR(__xludf.DUMMYFUNCTION("""COMPUTED_VALUE"""),0.257575757575757)</f>
        <v>0.2575757576</v>
      </c>
    </row>
    <row r="19238">
      <c r="A19238" s="10" t="s">
        <v>20677</v>
      </c>
      <c r="B19238" s="7" t="str">
        <f>IFERROR(__xludf.DUMMYFUNCTION("SPLIT(A19238,"" "")"),"Cc1cncc(CN(C)c2cccnc2CN(Cc2ccc(N)cn2)c2ccc3nc(CF)ccc3c2)c1C")</f>
        <v>Cc1cncc(CN(C)c2cccnc2CN(Cc2ccc(N)cn2)c2ccc3nc(CF)ccc3c2)c1C</v>
      </c>
      <c r="C19238" s="7">
        <f>IFERROR(__xludf.DUMMYFUNCTION("""COMPUTED_VALUE"""),7.7203445)</f>
        <v>7.7203445</v>
      </c>
      <c r="D19238" s="7">
        <f>IFERROR(__xludf.DUMMYFUNCTION("""COMPUTED_VALUE"""),0.273972602739726)</f>
        <v>0.2739726027</v>
      </c>
    </row>
    <row r="19239">
      <c r="A19239" s="10" t="s">
        <v>20678</v>
      </c>
      <c r="B19239" s="7" t="str">
        <f>IFERROR(__xludf.DUMMYFUNCTION("SPLIT(A19239,"" "")"),"Cc1cccnc1CN(C)c1ccc2nccc(CN(C)Cc3nc(C)c(C)c(C)c3C)c2c1")</f>
        <v>Cc1cccnc1CN(C)c1ccc2nccc(CN(C)Cc3nc(C)c(C)c(C)c3C)c2c1</v>
      </c>
      <c r="C19239" s="7">
        <f>IFERROR(__xludf.DUMMYFUNCTION("""COMPUTED_VALUE"""),7.720343)</f>
        <v>7.720343</v>
      </c>
      <c r="D19239" s="7">
        <f>IFERROR(__xludf.DUMMYFUNCTION("""COMPUTED_VALUE"""),0.285714285714285)</f>
        <v>0.2857142857</v>
      </c>
    </row>
    <row r="19240">
      <c r="A19240" s="10" t="s">
        <v>20679</v>
      </c>
      <c r="B19240" s="7" t="str">
        <f>IFERROR(__xludf.DUMMYFUNCTION("SPLIT(A19240,"" "")"),"Cc1cc(C)c(CN(Cc2cccc(N(C)Cc3ccccn3)c2)c2ccc3ncccc3c2)nc1C")</f>
        <v>Cc1cc(C)c(CN(Cc2cccc(N(C)Cc3ccccn3)c2)c2ccc3ncccc3c2)nc1C</v>
      </c>
      <c r="C19240" s="7">
        <f>IFERROR(__xludf.DUMMYFUNCTION("""COMPUTED_VALUE"""),7.720337)</f>
        <v>7.720337</v>
      </c>
      <c r="D19240" s="7">
        <f>IFERROR(__xludf.DUMMYFUNCTION("""COMPUTED_VALUE"""),0.354838709677419)</f>
        <v>0.3548387097</v>
      </c>
    </row>
    <row r="19241">
      <c r="A19241" s="10" t="s">
        <v>20680</v>
      </c>
      <c r="B19241" s="7" t="str">
        <f>IFERROR(__xludf.DUMMYFUNCTION("SPLIT(A19241,"" "")"),"Cc1cccc(-c2cccc(NCc3ccc(-c4cccc(NCc5ccccn5)c4)cn3)c2)n1")</f>
        <v>Cc1cccc(-c2cccc(NCc3ccc(-c4cccc(NCc5ccccn5)c4)cn3)c2)n1</v>
      </c>
      <c r="C19241" s="7">
        <f>IFERROR(__xludf.DUMMYFUNCTION("""COMPUTED_VALUE"""),7.720333)</f>
        <v>7.720333</v>
      </c>
      <c r="D19241" s="7">
        <f>IFERROR(__xludf.DUMMYFUNCTION("""COMPUTED_VALUE"""),0.387096774193548)</f>
        <v>0.3870967742</v>
      </c>
    </row>
    <row r="19242">
      <c r="A19242" s="10" t="s">
        <v>20681</v>
      </c>
      <c r="B19242" s="7" t="str">
        <f>IFERROR(__xludf.DUMMYFUNCTION("SPLIT(A19242,"" "")"),"CNCc1cc(-c2ccc(N(C)C)cc2N)ccn1")</f>
        <v>CNCc1cc(-c2ccc(N(C)C)cc2N)ccn1</v>
      </c>
      <c r="C19242" s="7">
        <f>IFERROR(__xludf.DUMMYFUNCTION("""COMPUTED_VALUE"""),7.7203255)</f>
        <v>7.7203255</v>
      </c>
      <c r="D19242" s="7">
        <f>IFERROR(__xludf.DUMMYFUNCTION("""COMPUTED_VALUE"""),0.241379310344827)</f>
        <v>0.2413793103</v>
      </c>
    </row>
    <row r="19243">
      <c r="A19243" s="10" t="s">
        <v>20682</v>
      </c>
      <c r="B19243" s="7" t="str">
        <f>IFERROR(__xludf.DUMMYFUNCTION("SPLIT(A19243,"" "")"),"Cc1ccc2cccnc2c1")</f>
        <v>Cc1ccc2cccnc2c1</v>
      </c>
      <c r="C19243" s="7">
        <f>IFERROR(__xludf.DUMMYFUNCTION("""COMPUTED_VALUE"""),7.7203116)</f>
        <v>7.7203116</v>
      </c>
      <c r="D19243" s="7">
        <f>IFERROR(__xludf.DUMMYFUNCTION("""COMPUTED_VALUE"""),0.35)</f>
        <v>0.35</v>
      </c>
    </row>
    <row r="19244">
      <c r="A19244" s="10" t="s">
        <v>20683</v>
      </c>
      <c r="B19244" s="7" t="str">
        <f>IFERROR(__xludf.DUMMYFUNCTION("SPLIT(A19244,"" "")"),"Cc1cccnc1-c1ccc(CN(C)Cc2cccc(-c3ccccc3N=Cc3ccccn3)n2)cc1")</f>
        <v>Cc1cccnc1-c1ccc(CN(C)Cc2cccc(-c3ccccc3N=Cc3ccccn3)n2)cc1</v>
      </c>
      <c r="C19244" s="7">
        <f>IFERROR(__xludf.DUMMYFUNCTION("""COMPUTED_VALUE"""),7.720306)</f>
        <v>7.720306</v>
      </c>
      <c r="D19244" s="7">
        <f>IFERROR(__xludf.DUMMYFUNCTION("""COMPUTED_VALUE"""),0.435483870967741)</f>
        <v>0.435483871</v>
      </c>
    </row>
    <row r="19245">
      <c r="A19245" s="10" t="s">
        <v>20684</v>
      </c>
      <c r="B19245" s="7" t="str">
        <f>IFERROR(__xludf.DUMMYFUNCTION("SPLIT(A19245,"" "")"),"Cc1ccc(-c2ncccc2-c2ccccc2)cc1NCc1ccccn1")</f>
        <v>Cc1ccc(-c2ncccc2-c2ccccc2)cc1NCc1ccccn1</v>
      </c>
      <c r="C19245" s="7">
        <f>IFERROR(__xludf.DUMMYFUNCTION("""COMPUTED_VALUE"""),7.7203035)</f>
        <v>7.7203035</v>
      </c>
      <c r="D19245" s="7">
        <f>IFERROR(__xludf.DUMMYFUNCTION("""COMPUTED_VALUE"""),0.454545454545454)</f>
        <v>0.4545454545</v>
      </c>
    </row>
    <row r="19246">
      <c r="A19246" s="10" t="s">
        <v>20685</v>
      </c>
      <c r="B19246" s="7" t="str">
        <f>IFERROR(__xludf.DUMMYFUNCTION("SPLIT(A19246,"" "")"),"Cc1cccnc1CN(C)Cc1ccc(N(C)c2ccc3cccnc3c2)cn1")</f>
        <v>Cc1cccnc1CN(C)Cc1ccc(N(C)c2ccc3cccnc3c2)cn1</v>
      </c>
      <c r="C19246" s="7">
        <f>IFERROR(__xludf.DUMMYFUNCTION("""COMPUTED_VALUE"""),7.720292)</f>
        <v>7.720292</v>
      </c>
      <c r="D19246" s="7">
        <f>IFERROR(__xludf.DUMMYFUNCTION("""COMPUTED_VALUE"""),0.357142857142857)</f>
        <v>0.3571428571</v>
      </c>
    </row>
    <row r="19247">
      <c r="A19247" s="10" t="s">
        <v>20686</v>
      </c>
      <c r="B19247" s="7" t="str">
        <f>IFERROR(__xludf.DUMMYFUNCTION("SPLIT(A19247,"" "")"),"CCN(C)c1ccc2cccnc2c1")</f>
        <v>CCN(C)c1ccc2cccnc2c1</v>
      </c>
      <c r="C19247" s="7">
        <f>IFERROR(__xludf.DUMMYFUNCTION("""COMPUTED_VALUE"""),7.7202873)</f>
        <v>7.7202873</v>
      </c>
      <c r="D19247" s="7">
        <f>IFERROR(__xludf.DUMMYFUNCTION("""COMPUTED_VALUE"""),0.390243902439024)</f>
        <v>0.3902439024</v>
      </c>
    </row>
    <row r="19248">
      <c r="A19248" s="10" t="s">
        <v>20687</v>
      </c>
      <c r="B19248" s="7" t="str">
        <f>IFERROR(__xludf.DUMMYFUNCTION("SPLIT(A19248,"" "")"),"Cc1cccc(CN(C)c2ccc(-c3cccc(CN(Cc4ccccn4)Cc4ccccn4)n3)c3cccnc23)n1")</f>
        <v>Cc1cccc(CN(C)c2ccc(-c3cccc(CN(Cc4ccccn4)Cc4ccccn4)n3)c3cccnc23)n1</v>
      </c>
      <c r="C19248" s="7">
        <f>IFERROR(__xludf.DUMMYFUNCTION("""COMPUTED_VALUE"""),7.7202835)</f>
        <v>7.7202835</v>
      </c>
      <c r="D19248" s="7">
        <f>IFERROR(__xludf.DUMMYFUNCTION("""COMPUTED_VALUE"""),0.446428571428571)</f>
        <v>0.4464285714</v>
      </c>
    </row>
    <row r="19249">
      <c r="A19249" s="10" t="s">
        <v>20688</v>
      </c>
      <c r="B19249" s="7" t="str">
        <f>IFERROR(__xludf.DUMMYFUNCTION("SPLIT(A19249,"" "")"),"CN(Cc1cc(-c2ccc3ncccc3c2)ccn1)Cc1cc(C(C)(C)C)ccn1")</f>
        <v>CN(Cc1cc(-c2ccc3ncccc3c2)ccn1)Cc1cc(C(C)(C)C)ccn1</v>
      </c>
      <c r="C19249" s="7">
        <f>IFERROR(__xludf.DUMMYFUNCTION("""COMPUTED_VALUE"""),7.720276)</f>
        <v>7.720276</v>
      </c>
      <c r="D19249" s="7">
        <f>IFERROR(__xludf.DUMMYFUNCTION("""COMPUTED_VALUE"""),0.351851851851851)</f>
        <v>0.3518518519</v>
      </c>
    </row>
    <row r="19250">
      <c r="A19250" s="10" t="s">
        <v>20689</v>
      </c>
      <c r="B19250" s="7" t="str">
        <f>IFERROR(__xludf.DUMMYFUNCTION("SPLIT(A19250,"" "")"),"Cc1cccc(CN(C)c2ccc3cccnc3c2-c2cccc(CN(Cc3ccccn3)Cc3ncccc3C)n2)n1")</f>
        <v>Cc1cccc(CN(C)c2ccc3cccnc3c2-c2cccc(CN(Cc3ccccn3)Cc3ncccc3C)n2)n1</v>
      </c>
      <c r="C19250" s="7">
        <f>IFERROR(__xludf.DUMMYFUNCTION("""COMPUTED_VALUE"""),7.7202682)</f>
        <v>7.7202682</v>
      </c>
      <c r="D19250" s="7">
        <f>IFERROR(__xludf.DUMMYFUNCTION("""COMPUTED_VALUE"""),0.403225806451612)</f>
        <v>0.4032258065</v>
      </c>
    </row>
    <row r="19251">
      <c r="A19251" s="10" t="s">
        <v>20690</v>
      </c>
      <c r="B19251" s="7" t="str">
        <f>IFERROR(__xludf.DUMMYFUNCTION("SPLIT(A19251,"" "")"),"CN(CC1=C(N(C)C2C=CC=CN2)CC=CN1)c1ccc2cccnc2c1")</f>
        <v>CN(CC1=C(N(C)C2C=CC=CN2)CC=CN1)c1ccc2cccnc2c1</v>
      </c>
      <c r="C19251" s="7">
        <f>IFERROR(__xludf.DUMMYFUNCTION("""COMPUTED_VALUE"""),7.7202578)</f>
        <v>7.7202578</v>
      </c>
      <c r="D19251" s="7">
        <f>IFERROR(__xludf.DUMMYFUNCTION("""COMPUTED_VALUE"""),0.285714285714285)</f>
        <v>0.2857142857</v>
      </c>
    </row>
    <row r="19252">
      <c r="A19252" s="10" t="s">
        <v>20691</v>
      </c>
      <c r="B19252" s="7" t="str">
        <f>IFERROR(__xludf.DUMMYFUNCTION("SPLIT(A19252,"" "")"),"Cc1cccnc1CN(C)Cc1cccc(N(C)c2cccc3cccnc23)n1")</f>
        <v>Cc1cccnc1CN(C)Cc1cccc(N(C)c2cccc3cccnc23)n1</v>
      </c>
      <c r="C19252" s="7">
        <f>IFERROR(__xludf.DUMMYFUNCTION("""COMPUTED_VALUE"""),7.7202454)</f>
        <v>7.7202454</v>
      </c>
      <c r="D19252" s="7">
        <f>IFERROR(__xludf.DUMMYFUNCTION("""COMPUTED_VALUE"""),0.448979591836734)</f>
        <v>0.4489795918</v>
      </c>
    </row>
    <row r="19253">
      <c r="A19253" s="10" t="s">
        <v>20692</v>
      </c>
      <c r="B19253" s="7" t="str">
        <f>IFERROR(__xludf.DUMMYFUNCTION("SPLIT(A19253,"" "")"),"Cc1ccc(CN(C)c2ccccc2-c2cccc(CN(C)Cc3cccc(-c4cccc(N=Cc5ccccn5)c4)n3)n2)nc1")</f>
        <v>Cc1ccc(CN(C)c2ccccc2-c2cccc(CN(C)Cc3cccc(-c4cccc(N=Cc5ccccn5)c4)n3)n2)nc1</v>
      </c>
      <c r="C19253" s="7">
        <f>IFERROR(__xludf.DUMMYFUNCTION("""COMPUTED_VALUE"""),7.72024)</f>
        <v>7.72024</v>
      </c>
      <c r="D19253" s="7">
        <f>IFERROR(__xludf.DUMMYFUNCTION("""COMPUTED_VALUE"""),0.402985074626865)</f>
        <v>0.4029850746</v>
      </c>
    </row>
    <row r="19254">
      <c r="A19254" s="10" t="s">
        <v>20693</v>
      </c>
      <c r="B19254" s="7" t="str">
        <f>IFERROR(__xludf.DUMMYFUNCTION("SPLIT(A19254,"" "")"),"C1=CNC(Nc2cc(-c3ccc(C(c4ccccc4)c4ccccn4)cn3)ccn2)C=C1")</f>
        <v>C1=CNC(Nc2cc(-c3ccc(C(c4ccccc4)c4ccccn4)cn3)ccn2)C=C1</v>
      </c>
      <c r="C19254" s="7">
        <f>IFERROR(__xludf.DUMMYFUNCTION("""COMPUTED_VALUE"""),7.720235)</f>
        <v>7.720235</v>
      </c>
      <c r="D19254" s="7">
        <f>IFERROR(__xludf.DUMMYFUNCTION("""COMPUTED_VALUE"""),0.271428571428571)</f>
        <v>0.2714285714</v>
      </c>
    </row>
    <row r="19255">
      <c r="A19255" s="10" t="s">
        <v>20694</v>
      </c>
      <c r="B19255" s="7" t="str">
        <f>IFERROR(__xludf.DUMMYFUNCTION("SPLIT(A19255,"" "")"),"CN(CC1=C(N(C)C2C=CC=CN2)CC=CN1)c1ccc2ncccc2c1")</f>
        <v>CN(CC1=C(N(C)C2C=CC=CN2)CC=CN1)c1ccc2ncccc2c1</v>
      </c>
      <c r="C19255" s="7">
        <f>IFERROR(__xludf.DUMMYFUNCTION("""COMPUTED_VALUE"""),7.720229)</f>
        <v>7.720229</v>
      </c>
      <c r="D19255" s="7">
        <f>IFERROR(__xludf.DUMMYFUNCTION("""COMPUTED_VALUE"""),0.289855072463768)</f>
        <v>0.2898550725</v>
      </c>
    </row>
    <row r="19256">
      <c r="A19256" s="10" t="s">
        <v>20695</v>
      </c>
      <c r="B19256" s="7" t="str">
        <f>IFERROR(__xludf.DUMMYFUNCTION("SPLIT(A19256,"" "")"),"Cc1cccnc1CN(Cc1ccc2ncccc2c1)Cc1ncccc1-c1cccc(N=Cc2ccccn2)c1")</f>
        <v>Cc1cccnc1CN(Cc1ccc2ncccc2c1)Cc1ncccc1-c1cccc(N=Cc2ccccn2)c1</v>
      </c>
      <c r="C19256" s="7">
        <f>IFERROR(__xludf.DUMMYFUNCTION("""COMPUTED_VALUE"""),7.7202287)</f>
        <v>7.7202287</v>
      </c>
      <c r="D19256" s="7">
        <f>IFERROR(__xludf.DUMMYFUNCTION("""COMPUTED_VALUE"""),0.35820895522388)</f>
        <v>0.3582089552</v>
      </c>
    </row>
    <row r="19257">
      <c r="A19257" s="10" t="s">
        <v>20696</v>
      </c>
      <c r="B19257" s="7" t="str">
        <f>IFERROR(__xludf.DUMMYFUNCTION("SPLIT(A19257,"" "")"),"Cc1cccc(CN(C)Cc2cccc(N(C)c3cccc4cccnc34)n2)n1")</f>
        <v>Cc1cccc(CN(C)Cc2cccc(N(C)c3cccc4cccnc34)n2)n1</v>
      </c>
      <c r="C19257" s="7">
        <f>IFERROR(__xludf.DUMMYFUNCTION("""COMPUTED_VALUE"""),7.720209)</f>
        <v>7.720209</v>
      </c>
      <c r="D19257" s="7">
        <f>IFERROR(__xludf.DUMMYFUNCTION("""COMPUTED_VALUE"""),0.5)</f>
        <v>0.5</v>
      </c>
    </row>
    <row r="19258">
      <c r="A19258" s="10" t="s">
        <v>20697</v>
      </c>
      <c r="B19258" s="7" t="str">
        <f>IFERROR(__xludf.DUMMYFUNCTION("SPLIT(A19258,"" "")"),"Cc1ccc2c(N(C)CCN(C)C)cccc2n1")</f>
        <v>Cc1ccc2c(N(C)CCN(C)C)cccc2n1</v>
      </c>
      <c r="C19258" s="7">
        <f>IFERROR(__xludf.DUMMYFUNCTION("""COMPUTED_VALUE"""),7.720203)</f>
        <v>7.720203</v>
      </c>
      <c r="D19258" s="7">
        <f>IFERROR(__xludf.DUMMYFUNCTION("""COMPUTED_VALUE"""),0.439024390243902)</f>
        <v>0.4390243902</v>
      </c>
    </row>
    <row r="19259">
      <c r="A19259" s="10" t="s">
        <v>20698</v>
      </c>
      <c r="B19259" s="7" t="str">
        <f>IFERROR(__xludf.DUMMYFUNCTION("SPLIT(A19259,"" "")"),"CNc1cc(Cl)ccc1N=Cc1ccccn1")</f>
        <v>CNc1cc(Cl)ccc1N=Cc1ccccn1</v>
      </c>
      <c r="C19259" s="7">
        <f>IFERROR(__xludf.DUMMYFUNCTION("""COMPUTED_VALUE"""),7.720191)</f>
        <v>7.720191</v>
      </c>
      <c r="D19259" s="7">
        <f>IFERROR(__xludf.DUMMYFUNCTION("""COMPUTED_VALUE"""),0.478260869565217)</f>
        <v>0.4782608696</v>
      </c>
    </row>
    <row r="19260">
      <c r="A19260" s="10" t="s">
        <v>20699</v>
      </c>
      <c r="B19260" s="7" t="str">
        <f>IFERROR(__xludf.DUMMYFUNCTION("SPLIT(A19260,"" "")"),"CN(C)Cc1ccc(-c2ccc(N(C)C)cc2)cn1")</f>
        <v>CN(C)Cc1ccc(-c2ccc(N(C)C)cc2)cn1</v>
      </c>
      <c r="C19260" s="7">
        <f>IFERROR(__xludf.DUMMYFUNCTION("""COMPUTED_VALUE"""),7.7201896)</f>
        <v>7.7201896</v>
      </c>
      <c r="D19260" s="7">
        <f>IFERROR(__xludf.DUMMYFUNCTION("""COMPUTED_VALUE"""),0.394736842105263)</f>
        <v>0.3947368421</v>
      </c>
    </row>
    <row r="19261">
      <c r="A19261" s="10" t="s">
        <v>20700</v>
      </c>
      <c r="B19261" s="7" t="str">
        <f>IFERROR(__xludf.DUMMYFUNCTION("SPLIT(A19261,"" "")"),"Cc1ccc(CN(C)c2cccnc2CN(Cc2ccccn2)c2ccc3ncccc3c2)nc1")</f>
        <v>Cc1ccc(CN(C)c2cccnc2CN(Cc2ccccn2)c2ccc3ncccc3c2)nc1</v>
      </c>
      <c r="C19261" s="7">
        <f>IFERROR(__xludf.DUMMYFUNCTION("""COMPUTED_VALUE"""),7.720189)</f>
        <v>7.720189</v>
      </c>
      <c r="D19261" s="7">
        <f>IFERROR(__xludf.DUMMYFUNCTION("""COMPUTED_VALUE"""),0.421052631578947)</f>
        <v>0.4210526316</v>
      </c>
    </row>
    <row r="19262">
      <c r="A19262" s="10" t="s">
        <v>20701</v>
      </c>
      <c r="B19262" s="7" t="str">
        <f>IFERROR(__xludf.DUMMYFUNCTION("SPLIT(A19262,"" "")"),"C1=CNC(Nc2ncccc2-c2ccc(C(c3ccccc3)c3ccccn3)cn2)C=C1")</f>
        <v>C1=CNC(Nc2ncccc2-c2ccc(C(c3ccccc3)c3ccccn3)cn2)C=C1</v>
      </c>
      <c r="C19262" s="7">
        <f>IFERROR(__xludf.DUMMYFUNCTION("""COMPUTED_VALUE"""),7.7201333)</f>
        <v>7.7201333</v>
      </c>
      <c r="D19262" s="7">
        <f>IFERROR(__xludf.DUMMYFUNCTION("""COMPUTED_VALUE"""),0.279411764705882)</f>
        <v>0.2794117647</v>
      </c>
    </row>
    <row r="19263">
      <c r="A19263" s="10" t="s">
        <v>20702</v>
      </c>
      <c r="B19263" s="7" t="str">
        <f>IFERROR(__xludf.DUMMYFUNCTION("SPLIT(A19263,"" "")"),"CNCc1ccc2ncccc2c1-c1cc(CN(C)Cc2ncccc2N)ccn1")</f>
        <v>CNCc1ccc2ncccc2c1-c1cc(CN(C)Cc2ncccc2N)ccn1</v>
      </c>
      <c r="C19263" s="7">
        <f>IFERROR(__xludf.DUMMYFUNCTION("""COMPUTED_VALUE"""),7.7201333)</f>
        <v>7.7201333</v>
      </c>
      <c r="D19263" s="7">
        <f>IFERROR(__xludf.DUMMYFUNCTION("""COMPUTED_VALUE"""),0.253731343283582)</f>
        <v>0.2537313433</v>
      </c>
    </row>
    <row r="19264">
      <c r="A19264" s="10" t="s">
        <v>20703</v>
      </c>
      <c r="B19264" s="7" t="str">
        <f>IFERROR(__xludf.DUMMYFUNCTION("SPLIT(A19264,"" "")"),"CNCc1ncccc1-c1ccc(N=Cc2ccccn2)cc1C")</f>
        <v>CNCc1ncccc1-c1ccc(N=Cc2ccccn2)cc1C</v>
      </c>
      <c r="C19264" s="7">
        <f>IFERROR(__xludf.DUMMYFUNCTION("""COMPUTED_VALUE"""),7.720124)</f>
        <v>7.720124</v>
      </c>
      <c r="D19264" s="7">
        <f>IFERROR(__xludf.DUMMYFUNCTION("""COMPUTED_VALUE"""),0.407407407407407)</f>
        <v>0.4074074074</v>
      </c>
    </row>
    <row r="19265">
      <c r="A19265" s="10" t="s">
        <v>20704</v>
      </c>
      <c r="B19265" s="7" t="str">
        <f>IFERROR(__xludf.DUMMYFUNCTION("SPLIT(A19265,"" "")"),"Cc1cncc(CN(C)Cc2cccc(N(C)c3cccc4ncccc34)n2)c1")</f>
        <v>Cc1cncc(CN(C)Cc2cccc(N(C)c3cccc4ncccc34)n2)c1</v>
      </c>
      <c r="C19265" s="7">
        <f>IFERROR(__xludf.DUMMYFUNCTION("""COMPUTED_VALUE"""),7.7201214)</f>
        <v>7.7201214</v>
      </c>
      <c r="D19265" s="7">
        <f>IFERROR(__xludf.DUMMYFUNCTION("""COMPUTED_VALUE"""),0.344262295081967)</f>
        <v>0.3442622951</v>
      </c>
    </row>
    <row r="19266">
      <c r="A19266" s="10" t="s">
        <v>20705</v>
      </c>
      <c r="B19266" s="7" t="str">
        <f>IFERROR(__xludf.DUMMYFUNCTION("SPLIT(A19266,"" "")"),"CN(c1cccc2nc(CF)ccc12)C1CCC(N(C)c2cccc3nc(C4=CCC=CN4)ccc23)CC1")</f>
        <v>CN(c1cccc2nc(CF)ccc12)C1CCC(N(C)c2cccc3nc(C4=CCC=CN4)ccc23)CC1</v>
      </c>
      <c r="C19266" s="7">
        <f>IFERROR(__xludf.DUMMYFUNCTION("""COMPUTED_VALUE"""),7.7201033)</f>
        <v>7.7201033</v>
      </c>
      <c r="D19266" s="7">
        <f>IFERROR(__xludf.DUMMYFUNCTION("""COMPUTED_VALUE"""),0.375)</f>
        <v>0.375</v>
      </c>
    </row>
    <row r="19267">
      <c r="A19267" s="10" t="s">
        <v>20706</v>
      </c>
      <c r="B19267" s="7" t="str">
        <f>IFERROR(__xludf.DUMMYFUNCTION("SPLIT(A19267,"" "")"),"Cc1cccnc1CN(C)c1cc(Cl)c(N(C)Cc2cncc(C)c2C)cc1Cl")</f>
        <v>Cc1cccnc1CN(C)c1cc(Cl)c(N(C)Cc2cncc(C)c2C)cc1Cl</v>
      </c>
      <c r="C19267" s="7">
        <f>IFERROR(__xludf.DUMMYFUNCTION("""COMPUTED_VALUE"""),7.7201023)</f>
        <v>7.7201023</v>
      </c>
      <c r="D19267" s="7">
        <f>IFERROR(__xludf.DUMMYFUNCTION("""COMPUTED_VALUE"""),0.392156862745098)</f>
        <v>0.3921568627</v>
      </c>
    </row>
    <row r="19268">
      <c r="A19268" s="10" t="s">
        <v>20707</v>
      </c>
      <c r="B19268" s="7" t="str">
        <f>IFERROR(__xludf.DUMMYFUNCTION("SPLIT(A19268,"" "")"),"Cc1cccnc1-c1ccc(CN(C)Cc2ccc(-c3cccc(N=Cc4ccccn4)c3)cn2)cc1")</f>
        <v>Cc1cccnc1-c1ccc(CN(C)Cc2ccc(-c3cccc(N=Cc4ccccn4)c3)cn2)cc1</v>
      </c>
      <c r="C19268" s="7">
        <f>IFERROR(__xludf.DUMMYFUNCTION("""COMPUTED_VALUE"""),7.720034)</f>
        <v>7.720034</v>
      </c>
      <c r="D19268" s="7">
        <f>IFERROR(__xludf.DUMMYFUNCTION("""COMPUTED_VALUE"""),0.369230769230769)</f>
        <v>0.3692307692</v>
      </c>
    </row>
    <row r="19269">
      <c r="A19269" s="10" t="s">
        <v>20708</v>
      </c>
      <c r="B19269" s="7" t="str">
        <f>IFERROR(__xludf.DUMMYFUNCTION("SPLIT(A19269,"" "")"),"CNCc1nc(-c2ccc(N=Cc3ccccn3)cc2)c(C)c(C)c1C")</f>
        <v>CNCc1nc(-c2ccc(N=Cc3ccccn3)cc2)c(C)c(C)c1C</v>
      </c>
      <c r="C19269" s="7">
        <f>IFERROR(__xludf.DUMMYFUNCTION("""COMPUTED_VALUE"""),7.720017)</f>
        <v>7.720017</v>
      </c>
      <c r="D19269" s="7">
        <f>IFERROR(__xludf.DUMMYFUNCTION("""COMPUTED_VALUE"""),0.381818181818181)</f>
        <v>0.3818181818</v>
      </c>
    </row>
    <row r="19270">
      <c r="A19270" s="10" t="s">
        <v>20709</v>
      </c>
      <c r="B19270" s="7" t="str">
        <f>IFERROR(__xludf.DUMMYFUNCTION("SPLIT(A19270,"" "")"),"CN(Cc1ccccn1)c1cc(-c2ncccc2CN(Cc2ccccn2)Cc2cc(F)ccn2)c2ncccc2c1")</f>
        <v>CN(Cc1ccccn1)c1cc(-c2ncccc2CN(Cc2ccccn2)Cc2cc(F)ccn2)c2ncccc2c1</v>
      </c>
      <c r="C19270" s="7">
        <f>IFERROR(__xludf.DUMMYFUNCTION("""COMPUTED_VALUE"""),7.7200127)</f>
        <v>7.7200127</v>
      </c>
      <c r="D19270" s="7">
        <f>IFERROR(__xludf.DUMMYFUNCTION("""COMPUTED_VALUE"""),0.37037037037037)</f>
        <v>0.3703703704</v>
      </c>
    </row>
    <row r="19271">
      <c r="A19271" s="10" t="s">
        <v>20710</v>
      </c>
      <c r="B19271" s="7" t="str">
        <f>IFERROR(__xludf.DUMMYFUNCTION("SPLIT(A19271,"" "")"),"CN(C)CC1=CCC=C(N(C)c2ccc3ncc(CF)cc3c2)N1")</f>
        <v>CN(C)CC1=CCC=C(N(C)c2ccc3ncc(CF)cc3c2)N1</v>
      </c>
      <c r="C19271" s="7">
        <f>IFERROR(__xludf.DUMMYFUNCTION("""COMPUTED_VALUE"""),7.720004)</f>
        <v>7.720004</v>
      </c>
      <c r="D19271" s="7">
        <f>IFERROR(__xludf.DUMMYFUNCTION("""COMPUTED_VALUE"""),0.208955223880597)</f>
        <v>0.2089552239</v>
      </c>
    </row>
    <row r="19272">
      <c r="A19272" s="10" t="s">
        <v>20711</v>
      </c>
      <c r="B19272" s="7" t="str">
        <f>IFERROR(__xludf.DUMMYFUNCTION("SPLIT(A19272,"" "")"),"Cc1cccc(NCc2ccccn2)c1-c1cccc(-c2ccccc2)n1")</f>
        <v>Cc1cccc(NCc2ccccn2)c1-c1cccc(-c2ccccc2)n1</v>
      </c>
      <c r="C19272" s="7">
        <f>IFERROR(__xludf.DUMMYFUNCTION("""COMPUTED_VALUE"""),7.7199626)</f>
        <v>7.7199626</v>
      </c>
      <c r="D19272" s="7">
        <f>IFERROR(__xludf.DUMMYFUNCTION("""COMPUTED_VALUE"""),0.436363636363636)</f>
        <v>0.4363636364</v>
      </c>
    </row>
    <row r="19273">
      <c r="A19273" s="10" t="s">
        <v>20712</v>
      </c>
      <c r="B19273" s="7" t="str">
        <f>IFERROR(__xludf.DUMMYFUNCTION("SPLIT(A19273,"" "")"),"CN(c1cccc2ncccc12)C1CC2(N(C)c3cccc4ncccc34)CCC1C2")</f>
        <v>CN(c1cccc2ncccc12)C1CC2(N(C)c3cccc4ncccc34)CCC1C2</v>
      </c>
      <c r="C19273" s="7">
        <f>IFERROR(__xludf.DUMMYFUNCTION("""COMPUTED_VALUE"""),7.719955)</f>
        <v>7.719955</v>
      </c>
      <c r="D19273" s="7">
        <f>IFERROR(__xludf.DUMMYFUNCTION("""COMPUTED_VALUE"""),0.388888888888888)</f>
        <v>0.3888888889</v>
      </c>
    </row>
    <row r="19274">
      <c r="A19274" s="10" t="s">
        <v>20713</v>
      </c>
      <c r="B19274" s="7" t="str">
        <f>IFERROR(__xludf.DUMMYFUNCTION("SPLIT(A19274,"" "")"),"CN(Cc1ccccn1)c1ccc2ncc(CF)cc2c1")</f>
        <v>CN(Cc1ccccn1)c1ccc2ncc(CF)cc2c1</v>
      </c>
      <c r="C19274" s="7">
        <f>IFERROR(__xludf.DUMMYFUNCTION("""COMPUTED_VALUE"""),7.7199535)</f>
        <v>7.7199535</v>
      </c>
      <c r="D19274" s="7">
        <f>IFERROR(__xludf.DUMMYFUNCTION("""COMPUTED_VALUE"""),0.448979591836734)</f>
        <v>0.4489795918</v>
      </c>
    </row>
    <row r="19275">
      <c r="A19275" s="10" t="s">
        <v>20714</v>
      </c>
      <c r="B19275" s="7" t="str">
        <f>IFERROR(__xludf.DUMMYFUNCTION("SPLIT(A19275,"" "")"),"CN(Cc1cc(C(C)(c2ccccc2)c2ccccn2)ccn1)c1cccc2cc3c(nc12)CCC3")</f>
        <v>CN(Cc1cc(C(C)(c2ccccc2)c2ccccn2)ccn1)c1cccc2cc3c(nc12)CCC3</v>
      </c>
      <c r="C19275" s="7">
        <f>IFERROR(__xludf.DUMMYFUNCTION("""COMPUTED_VALUE"""),7.7199144)</f>
        <v>7.7199144</v>
      </c>
      <c r="D19275" s="7">
        <f>IFERROR(__xludf.DUMMYFUNCTION("""COMPUTED_VALUE"""),0.432835820895522)</f>
        <v>0.4328358209</v>
      </c>
    </row>
    <row r="19276">
      <c r="A19276" s="10" t="s">
        <v>20715</v>
      </c>
      <c r="B19276" s="7" t="str">
        <f>IFERROR(__xludf.DUMMYFUNCTION("SPLIT(A19276,"" "")"),"Cc1cccnc1CN(C)C1=CCC=C(CN(c2cccc3ncccc23)C(C)C)N1")</f>
        <v>Cc1cccnc1CN(C)C1=CCC=C(CN(c2cccc3ncccc23)C(C)C)N1</v>
      </c>
      <c r="C19276" s="7">
        <f>IFERROR(__xludf.DUMMYFUNCTION("""COMPUTED_VALUE"""),7.719905)</f>
        <v>7.719905</v>
      </c>
      <c r="D19276" s="7">
        <f>IFERROR(__xludf.DUMMYFUNCTION("""COMPUTED_VALUE"""),0.261538461538461)</f>
        <v>0.2615384615</v>
      </c>
    </row>
    <row r="19277">
      <c r="A19277" s="10" t="s">
        <v>20716</v>
      </c>
      <c r="B19277" s="7" t="str">
        <f>IFERROR(__xludf.DUMMYFUNCTION("SPLIT(A19277,"" "")"),"CN(Cc1ncccc1-c1ccccc1N(C)C)C1=CC=CCN1")</f>
        <v>CN(Cc1ncccc1-c1ccccc1N(C)C)C1=CC=CCN1</v>
      </c>
      <c r="C19277" s="7">
        <f>IFERROR(__xludf.DUMMYFUNCTION("""COMPUTED_VALUE"""),7.7198668)</f>
        <v>7.7198668</v>
      </c>
      <c r="D19277" s="7">
        <f>IFERROR(__xludf.DUMMYFUNCTION("""COMPUTED_VALUE"""),0.296296296296296)</f>
        <v>0.2962962963</v>
      </c>
    </row>
    <row r="19278">
      <c r="A19278" s="10" t="s">
        <v>20717</v>
      </c>
      <c r="B19278" s="7" t="str">
        <f>IFERROR(__xludf.DUMMYFUNCTION("SPLIT(A19278,"" "")"),"Cc1ccc(CN(C)c2ccc(CN(Cc3ccccn3)c3cccc4cccnc34)nc2)nc1")</f>
        <v>Cc1ccc(CN(C)c2ccc(CN(Cc3ccccn3)c3cccc4cccnc34)nc2)nc1</v>
      </c>
      <c r="C19278" s="7">
        <f>IFERROR(__xludf.DUMMYFUNCTION("""COMPUTED_VALUE"""),7.7198653)</f>
        <v>7.7198653</v>
      </c>
      <c r="D19278" s="7">
        <f>IFERROR(__xludf.DUMMYFUNCTION("""COMPUTED_VALUE"""),0.450980392156862)</f>
        <v>0.4509803922</v>
      </c>
    </row>
    <row r="19279">
      <c r="A19279" s="10" t="s">
        <v>20718</v>
      </c>
      <c r="B19279" s="7" t="str">
        <f>IFERROR(__xludf.DUMMYFUNCTION("SPLIT(A19279,"" "")"),"CN(Cc1cc(-c2ccccc2)ccn1)Cc1cc(-c2ccc(N=Cc3ccccn3)cc2)ccn1")</f>
        <v>CN(Cc1cc(-c2ccccc2)ccn1)Cc1cc(-c2ccc(N=Cc3ccccn3)cc2)ccn1</v>
      </c>
      <c r="C19279" s="7">
        <f>IFERROR(__xludf.DUMMYFUNCTION("""COMPUTED_VALUE"""),7.719865)</f>
        <v>7.719865</v>
      </c>
      <c r="D19279" s="7">
        <f>IFERROR(__xludf.DUMMYFUNCTION("""COMPUTED_VALUE"""),0.384615384615384)</f>
        <v>0.3846153846</v>
      </c>
    </row>
    <row r="19280">
      <c r="A19280" s="10" t="s">
        <v>20719</v>
      </c>
      <c r="B19280" s="7" t="str">
        <f>IFERROR(__xludf.DUMMYFUNCTION("SPLIT(A19280,"" "")"),"CNCc1cc(CN(C)c2cccc3nc(C)ccc23)ccn1")</f>
        <v>CNCc1cc(CN(C)c2cccc3nc(C)ccc23)ccn1</v>
      </c>
      <c r="C19280" s="7">
        <f>IFERROR(__xludf.DUMMYFUNCTION("""COMPUTED_VALUE"""),7.7198634)</f>
        <v>7.7198634</v>
      </c>
      <c r="D19280" s="7">
        <f>IFERROR(__xludf.DUMMYFUNCTION("""COMPUTED_VALUE"""),0.321428571428571)</f>
        <v>0.3214285714</v>
      </c>
    </row>
    <row r="19281">
      <c r="A19281" s="10" t="s">
        <v>20720</v>
      </c>
      <c r="B19281" s="7" t="str">
        <f>IFERROR(__xludf.DUMMYFUNCTION("SPLIT(A19281,"" "")"),"CN(CC1=CCC(N(C)c2ccc3cccnc3c2)=CN1)Cc1ccon1")</f>
        <v>CN(CC1=CCC(N(C)c2ccc3cccnc3c2)=CN1)Cc1ccon1</v>
      </c>
      <c r="C19281" s="7">
        <f>IFERROR(__xludf.DUMMYFUNCTION("""COMPUTED_VALUE"""),7.719855)</f>
        <v>7.719855</v>
      </c>
      <c r="D19281" s="7">
        <f>IFERROR(__xludf.DUMMYFUNCTION("""COMPUTED_VALUE"""),0.362068965517241)</f>
        <v>0.3620689655</v>
      </c>
    </row>
    <row r="19282">
      <c r="A19282" s="10" t="s">
        <v>20721</v>
      </c>
      <c r="B19282" s="7" t="str">
        <f>IFERROR(__xludf.DUMMYFUNCTION("SPLIT(A19282,"" "")"),"Cc1cc(-c2ncccc2C)ccc1N(C)Cc1ccc(C(C)(C)C)cn1")</f>
        <v>Cc1cc(-c2ncccc2C)ccc1N(C)Cc1ccc(C(C)(C)C)cn1</v>
      </c>
      <c r="C19282" s="7">
        <f>IFERROR(__xludf.DUMMYFUNCTION("""COMPUTED_VALUE"""),7.719853)</f>
        <v>7.719853</v>
      </c>
      <c r="D19282" s="7">
        <f>IFERROR(__xludf.DUMMYFUNCTION("""COMPUTED_VALUE"""),0.363636363636363)</f>
        <v>0.3636363636</v>
      </c>
    </row>
    <row r="19283">
      <c r="A19283" s="10" t="s">
        <v>20722</v>
      </c>
      <c r="B19283" s="7" t="str">
        <f>IFERROR(__xludf.DUMMYFUNCTION("SPLIT(A19283,"" "")"),"CN(Cc1ccccn1)C1=CNC=C(CN(C)c2cccc3cccnc23)C1")</f>
        <v>CN(Cc1ccccn1)C1=CNC=C(CN(C)c2cccc3cccnc23)C1</v>
      </c>
      <c r="C19283" s="7">
        <f>IFERROR(__xludf.DUMMYFUNCTION("""COMPUTED_VALUE"""),7.7198496)</f>
        <v>7.7198496</v>
      </c>
      <c r="D19283" s="7">
        <f>IFERROR(__xludf.DUMMYFUNCTION("""COMPUTED_VALUE"""),0.470588235294117)</f>
        <v>0.4705882353</v>
      </c>
    </row>
    <row r="19284">
      <c r="A19284" s="10" t="s">
        <v>20723</v>
      </c>
      <c r="B19284" s="7" t="str">
        <f>IFERROR(__xludf.DUMMYFUNCTION("SPLIT(A19284,"" "")"),"Cc1cnccc1CN(C)c1ccc2nc(CN(Cc3ccccn3)Cc3ccc(-c4cccc(N=Cc5ccccn5)c4)cn3)ccc2c1")</f>
        <v>Cc1cnccc1CN(C)c1ccc2nc(CN(Cc3ccccn3)Cc3ccc(-c4cccc(N=Cc5ccccn5)c4)cn3)ccc2c1</v>
      </c>
      <c r="C19284" s="7">
        <f>IFERROR(__xludf.DUMMYFUNCTION("""COMPUTED_VALUE"""),7.7198415)</f>
        <v>7.7198415</v>
      </c>
      <c r="D19284" s="7">
        <f>IFERROR(__xludf.DUMMYFUNCTION("""COMPUTED_VALUE"""),0.364864864864864)</f>
        <v>0.3648648649</v>
      </c>
    </row>
    <row r="19285">
      <c r="A19285" s="10" t="s">
        <v>20724</v>
      </c>
      <c r="B19285" s="7" t="str">
        <f>IFERROR(__xludf.DUMMYFUNCTION("SPLIT(A19285,"" "")"),"C1=CNC(Nc2ncccc2-c2ncccc2C(c2ccccc2)c2ccccn2)C=C1")</f>
        <v>C1=CNC(Nc2ncccc2-c2ncccc2C(c2ccccc2)c2ccccn2)C=C1</v>
      </c>
      <c r="C19285" s="7">
        <f>IFERROR(__xludf.DUMMYFUNCTION("""COMPUTED_VALUE"""),7.71984)</f>
        <v>7.71984</v>
      </c>
      <c r="D19285" s="7">
        <f>IFERROR(__xludf.DUMMYFUNCTION("""COMPUTED_VALUE"""),0.287878787878787)</f>
        <v>0.2878787879</v>
      </c>
    </row>
    <row r="19286">
      <c r="A19286" s="10" t="s">
        <v>20725</v>
      </c>
      <c r="B19286" s="7" t="str">
        <f>IFERROR(__xludf.DUMMYFUNCTION("SPLIT(A19286,"" "")"),"Cc1ncc(N(C)C)c(C)c1C")</f>
        <v>Cc1ncc(N(C)C)c(C)c1C</v>
      </c>
      <c r="C19286" s="7">
        <f>IFERROR(__xludf.DUMMYFUNCTION("""COMPUTED_VALUE"""),7.7198358)</f>
        <v>7.7198358</v>
      </c>
      <c r="D19286" s="7">
        <f>IFERROR(__xludf.DUMMYFUNCTION("""COMPUTED_VALUE"""),0.25)</f>
        <v>0.25</v>
      </c>
    </row>
    <row r="19287">
      <c r="A19287" s="10" t="s">
        <v>20726</v>
      </c>
      <c r="B19287" s="7" t="str">
        <f>IFERROR(__xludf.DUMMYFUNCTION("SPLIT(A19287,"" "")"),"CN(Cc1ccccn1)C1=CCC=C(CN(C)c2ccc3nc(CF)ccc3c2)N1")</f>
        <v>CN(Cc1ccccn1)C1=CCC=C(CN(C)c2ccc3nc(CF)ccc3c2)N1</v>
      </c>
      <c r="C19287" s="7">
        <f>IFERROR(__xludf.DUMMYFUNCTION("""COMPUTED_VALUE"""),7.719833)</f>
        <v>7.719833</v>
      </c>
      <c r="D19287" s="7">
        <f>IFERROR(__xludf.DUMMYFUNCTION("""COMPUTED_VALUE"""),0.383333333333333)</f>
        <v>0.3833333333</v>
      </c>
    </row>
    <row r="19288">
      <c r="A19288" s="10" t="s">
        <v>20727</v>
      </c>
      <c r="B19288" s="7" t="str">
        <f>IFERROR(__xludf.DUMMYFUNCTION("SPLIT(A19288,"" "")"),"Cc1cnc(CN(C)C2=CCC=C(CN(c3ccc4ncccc4c3)C(C)C)N2)c(C)c1")</f>
        <v>Cc1cnc(CN(C)C2=CCC=C(CN(c3ccc4ncccc4c3)C(C)C)N2)c(C)c1</v>
      </c>
      <c r="C19288" s="7">
        <f>IFERROR(__xludf.DUMMYFUNCTION("""COMPUTED_VALUE"""),7.7198243)</f>
        <v>7.7198243</v>
      </c>
      <c r="D19288" s="7">
        <f>IFERROR(__xludf.DUMMYFUNCTION("""COMPUTED_VALUE"""),0.228571428571428)</f>
        <v>0.2285714286</v>
      </c>
    </row>
    <row r="19289">
      <c r="A19289" s="10" t="s">
        <v>20728</v>
      </c>
      <c r="B19289" s="7" t="str">
        <f>IFERROR(__xludf.DUMMYFUNCTION("SPLIT(A19289,"" "")"),"Cc1cccnc1CN(C)c1ccc(Cl)c(N(C)Cc2ncccc2C)c1Cl")</f>
        <v>Cc1cccnc1CN(C)c1ccc(Cl)c(N(C)Cc2ncccc2C)c1Cl</v>
      </c>
      <c r="C19289" s="7">
        <f>IFERROR(__xludf.DUMMYFUNCTION("""COMPUTED_VALUE"""),7.719818)</f>
        <v>7.719818</v>
      </c>
      <c r="D19289" s="7">
        <f>IFERROR(__xludf.DUMMYFUNCTION("""COMPUTED_VALUE"""),0.404255319148936)</f>
        <v>0.4042553191</v>
      </c>
    </row>
    <row r="19290">
      <c r="A19290" s="10" t="s">
        <v>20729</v>
      </c>
      <c r="B19290" s="7" t="str">
        <f>IFERROR(__xludf.DUMMYFUNCTION("SPLIT(A19290,"" "")"),"C1=CNC(Nc2cccc(-c3cccc(C(c4ccccc4)c4ccccn4)n3)n2)C=C1")</f>
        <v>C1=CNC(Nc2cccc(-c3cccc(C(c4ccccc4)c4ccccn4)n3)n2)C=C1</v>
      </c>
      <c r="C19290" s="7">
        <f>IFERROR(__xludf.DUMMYFUNCTION("""COMPUTED_VALUE"""),7.719802)</f>
        <v>7.719802</v>
      </c>
      <c r="D19290" s="7">
        <f>IFERROR(__xludf.DUMMYFUNCTION("""COMPUTED_VALUE"""),0.296875)</f>
        <v>0.296875</v>
      </c>
    </row>
    <row r="19291">
      <c r="A19291" s="10" t="s">
        <v>20730</v>
      </c>
      <c r="B19291" s="7" t="str">
        <f>IFERROR(__xludf.DUMMYFUNCTION("SPLIT(A19291,"" "")"),"CN(CC1=C(N(C)C2C=CC=CN2)CC=CN1)c1cccc2ncccc12")</f>
        <v>CN(CC1=C(N(C)C2C=CC=CN2)CC=CN1)c1cccc2ncccc12</v>
      </c>
      <c r="C19291" s="7">
        <f>IFERROR(__xludf.DUMMYFUNCTION("""COMPUTED_VALUE"""),7.719792)</f>
        <v>7.719792</v>
      </c>
      <c r="D19291" s="7">
        <f>IFERROR(__xludf.DUMMYFUNCTION("""COMPUTED_VALUE"""),0.296875)</f>
        <v>0.296875</v>
      </c>
    </row>
    <row r="19292">
      <c r="A19292" s="10" t="s">
        <v>20731</v>
      </c>
      <c r="B19292" s="7" t="str">
        <f>IFERROR(__xludf.DUMMYFUNCTION("SPLIT(A19292,"" "")"),"CNCc1ncc(-c2cccc(N=Cc3ccccn3)c2)c(C)c1C")</f>
        <v>CNCc1ncc(-c2cccc(N=Cc3ccccn3)c2)c(C)c1C</v>
      </c>
      <c r="C19292" s="7">
        <f>IFERROR(__xludf.DUMMYFUNCTION("""COMPUTED_VALUE"""),7.7197695)</f>
        <v>7.7197695</v>
      </c>
      <c r="D19292" s="7">
        <f>IFERROR(__xludf.DUMMYFUNCTION("""COMPUTED_VALUE"""),0.385964912280701)</f>
        <v>0.3859649123</v>
      </c>
    </row>
    <row r="19293">
      <c r="A19293" s="10" t="s">
        <v>20732</v>
      </c>
      <c r="B19293" s="7" t="str">
        <f>IFERROR(__xludf.DUMMYFUNCTION("SPLIT(A19293,"" "")"),"Cc1cccnc1CN(C)C1=CNC(CN(C)c2cccc3nc(CF)ccc23)=CC1")</f>
        <v>Cc1cccnc1CN(C)C1=CNC(CN(C)c2cccc3nc(CF)ccc23)=CC1</v>
      </c>
      <c r="C19293" s="7">
        <f>IFERROR(__xludf.DUMMYFUNCTION("""COMPUTED_VALUE"""),7.719757)</f>
        <v>7.719757</v>
      </c>
      <c r="D19293" s="7">
        <f>IFERROR(__xludf.DUMMYFUNCTION("""COMPUTED_VALUE"""),0.305555555555555)</f>
        <v>0.3055555556</v>
      </c>
    </row>
    <row r="19294">
      <c r="A19294" s="10" t="s">
        <v>20733</v>
      </c>
      <c r="B19294" s="7" t="str">
        <f>IFERROR(__xludf.DUMMYFUNCTION("SPLIT(A19294,"" "")"),"CCN(C)c1cccc2nccc(CN(C)C)c12")</f>
        <v>CCN(C)c1cccc2nccc(CN(C)C)c12</v>
      </c>
      <c r="C19294" s="7">
        <f>IFERROR(__xludf.DUMMYFUNCTION("""COMPUTED_VALUE"""),7.719752)</f>
        <v>7.719752</v>
      </c>
      <c r="D19294" s="7">
        <f>IFERROR(__xludf.DUMMYFUNCTION("""COMPUTED_VALUE"""),0.326086956521739)</f>
        <v>0.3260869565</v>
      </c>
    </row>
    <row r="19295">
      <c r="A19295" s="10" t="s">
        <v>20734</v>
      </c>
      <c r="B19295" s="7" t="str">
        <f>IFERROR(__xludf.DUMMYFUNCTION("SPLIT(A19295,"" "")"),"Cc1cc(CN(C)c2ccc3nccc(CN(C)Cc4nc(C)c(C)cc4C)c3c2)cnc1C")</f>
        <v>Cc1cc(CN(C)c2ccc3nccc(CN(C)Cc4nc(C)c(C)cc4C)c3c2)cnc1C</v>
      </c>
      <c r="C19295" s="7">
        <f>IFERROR(__xludf.DUMMYFUNCTION("""COMPUTED_VALUE"""),7.7197514)</f>
        <v>7.7197514</v>
      </c>
      <c r="D19295" s="7">
        <f>IFERROR(__xludf.DUMMYFUNCTION("""COMPUTED_VALUE"""),0.23076923076923)</f>
        <v>0.2307692308</v>
      </c>
    </row>
    <row r="19296">
      <c r="A19296" s="10" t="s">
        <v>20735</v>
      </c>
      <c r="B19296" s="7" t="str">
        <f>IFERROR(__xludf.DUMMYFUNCTION("SPLIT(A19296,"" "")"),"Cc1cc(CN(C)C2=CCC=C(CN(c3ccc4cccnc4c3)C(C)C)N2)nc(C)c1C")</f>
        <v>Cc1cc(CN(C)C2=CCC=C(CN(c3ccc4cccnc4c3)C(C)C)N2)nc(C)c1C</v>
      </c>
      <c r="C19296" s="7">
        <f>IFERROR(__xludf.DUMMYFUNCTION("""COMPUTED_VALUE"""),7.719745)</f>
        <v>7.719745</v>
      </c>
      <c r="D19296" s="7">
        <f>IFERROR(__xludf.DUMMYFUNCTION("""COMPUTED_VALUE"""),0.25)</f>
        <v>0.25</v>
      </c>
    </row>
    <row r="19297">
      <c r="A19297" s="10" t="s">
        <v>20736</v>
      </c>
      <c r="B19297" s="7" t="str">
        <f>IFERROR(__xludf.DUMMYFUNCTION("SPLIT(A19297,"" "")"),"Cc1ccccc1N(C)Cc1ccc(-c2cc(N)cc(Cl)c2)cn1")</f>
        <v>Cc1ccccc1N(C)Cc1ccc(-c2cc(N)cc(Cl)c2)cn1</v>
      </c>
      <c r="C19297" s="7">
        <f>IFERROR(__xludf.DUMMYFUNCTION("""COMPUTED_VALUE"""),7.7197223)</f>
        <v>7.7197223</v>
      </c>
      <c r="D19297" s="7">
        <f>IFERROR(__xludf.DUMMYFUNCTION("""COMPUTED_VALUE"""),0.403846153846153)</f>
        <v>0.4038461538</v>
      </c>
    </row>
    <row r="19298">
      <c r="A19298" s="10" t="s">
        <v>20737</v>
      </c>
      <c r="B19298" s="7" t="str">
        <f>IFERROR(__xludf.DUMMYFUNCTION("SPLIT(A19298,"" "")"),"Cc1cccnc1CN(C)Cc1cccc(N(C)c2cccc3ncccc23)n1")</f>
        <v>Cc1cccnc1CN(C)Cc1cccc(N(C)c2cccc3ncccc23)n1</v>
      </c>
      <c r="C19298" s="7">
        <f>IFERROR(__xludf.DUMMYFUNCTION("""COMPUTED_VALUE"""),7.7197165)</f>
        <v>7.7197165</v>
      </c>
      <c r="D19298" s="7">
        <f>IFERROR(__xludf.DUMMYFUNCTION("""COMPUTED_VALUE"""),0.375)</f>
        <v>0.375</v>
      </c>
    </row>
    <row r="19299">
      <c r="A19299" s="10" t="s">
        <v>20738</v>
      </c>
      <c r="B19299" s="7" t="str">
        <f>IFERROR(__xludf.DUMMYFUNCTION("SPLIT(A19299,"" "")"),"CN(CCCN(Cc1ccccn1)c1cccc2ncccc12)c1cccc2ncc(CF)cc12")</f>
        <v>CN(CCCN(Cc1ccccn1)c1cccc2ncccc12)c1cccc2ncc(CF)cc12</v>
      </c>
      <c r="C19299" s="7">
        <f>IFERROR(__xludf.DUMMYFUNCTION("""COMPUTED_VALUE"""),7.719671)</f>
        <v>7.719671</v>
      </c>
      <c r="D19299" s="7">
        <f>IFERROR(__xludf.DUMMYFUNCTION("""COMPUTED_VALUE"""),0.383333333333333)</f>
        <v>0.3833333333</v>
      </c>
    </row>
    <row r="19300">
      <c r="A19300" s="10" t="s">
        <v>20739</v>
      </c>
      <c r="B19300" s="7" t="str">
        <f>IFERROR(__xludf.DUMMYFUNCTION("SPLIT(A19300,"" "")"),"CN(CC1=CCC(N(C)C2C=CC=CN2)=CN1)c1ccc2cccnc2c1")</f>
        <v>CN(CC1=CCC(N(C)C2C=CC=CN2)=CN1)c1ccc2cccnc2c1</v>
      </c>
      <c r="C19300" s="7">
        <f>IFERROR(__xludf.DUMMYFUNCTION("""COMPUTED_VALUE"""),7.7196455)</f>
        <v>7.7196455</v>
      </c>
      <c r="D19300" s="7">
        <f>IFERROR(__xludf.DUMMYFUNCTION("""COMPUTED_VALUE"""),0.28169014084507)</f>
        <v>0.2816901408</v>
      </c>
    </row>
    <row r="19301">
      <c r="A19301" s="10" t="s">
        <v>20740</v>
      </c>
      <c r="B19301" s="7" t="str">
        <f>IFERROR(__xludf.DUMMYFUNCTION("SPLIT(A19301,"" "")"),"Cc1cc(C)c(CN(C)Cc2cccc(N(C)c3ccc4ncccc4c3)n2)cn1")</f>
        <v>Cc1cc(C)c(CN(C)Cc2cccc(N(C)c3ccc4ncccc4c3)n2)cn1</v>
      </c>
      <c r="C19301" s="7">
        <f>IFERROR(__xludf.DUMMYFUNCTION("""COMPUTED_VALUE"""),7.719642)</f>
        <v>7.719642</v>
      </c>
      <c r="D19301" s="7">
        <f>IFERROR(__xludf.DUMMYFUNCTION("""COMPUTED_VALUE"""),0.35)</f>
        <v>0.35</v>
      </c>
    </row>
    <row r="19302">
      <c r="A19302" s="10" t="s">
        <v>20741</v>
      </c>
      <c r="B19302" s="7" t="str">
        <f>IFERROR(__xludf.DUMMYFUNCTION("SPLIT(A19302,"" "")"),"Cc1cncc(CN(C)c2ccc(Cl)c(N(C)Cc3cc(C)cc(C)n3)c2Cl)c1")</f>
        <v>Cc1cncc(CN(C)c2ccc(Cl)c(N(C)Cc3cc(C)cc(C)n3)c2Cl)c1</v>
      </c>
      <c r="C19302" s="7">
        <f>IFERROR(__xludf.DUMMYFUNCTION("""COMPUTED_VALUE"""),7.719628)</f>
        <v>7.719628</v>
      </c>
      <c r="D19302" s="7">
        <f>IFERROR(__xludf.DUMMYFUNCTION("""COMPUTED_VALUE"""),0.310344827586206)</f>
        <v>0.3103448276</v>
      </c>
    </row>
    <row r="19303">
      <c r="A19303" s="10" t="s">
        <v>20742</v>
      </c>
      <c r="B19303" s="7" t="str">
        <f>IFERROR(__xludf.DUMMYFUNCTION("SPLIT(A19303,"" "")"),"CN(C)CCN(C)c1ccc2cc(CN(C)Cc3ccc4cccnc4c3)cnc2c1")</f>
        <v>CN(C)CCN(C)c1ccc2cc(CN(C)Cc3ccc4cccnc4c3)cnc2c1</v>
      </c>
      <c r="C19303" s="7">
        <f>IFERROR(__xludf.DUMMYFUNCTION("""COMPUTED_VALUE"""),7.7196097)</f>
        <v>7.7196097</v>
      </c>
      <c r="D19303" s="7">
        <f>IFERROR(__xludf.DUMMYFUNCTION("""COMPUTED_VALUE"""),0.333333333333333)</f>
        <v>0.3333333333</v>
      </c>
    </row>
    <row r="19304">
      <c r="A19304" s="10" t="s">
        <v>20743</v>
      </c>
      <c r="B19304" s="7" t="str">
        <f>IFERROR(__xludf.DUMMYFUNCTION("SPLIT(A19304,"" "")"),"CN(C)c1c(Cl)ccc(-c2cncc(CN(Cc3ccccn3)Cc3ccccn3)c2)c1-c1ccccn1")</f>
        <v>CN(C)c1c(Cl)ccc(-c2cncc(CN(Cc3ccccn3)Cc3ccccn3)c2)c1-c1ccccn1</v>
      </c>
      <c r="C19304" s="7">
        <f>IFERROR(__xludf.DUMMYFUNCTION("""COMPUTED_VALUE"""),7.71958)</f>
        <v>7.71958</v>
      </c>
      <c r="D19304" s="7">
        <f>IFERROR(__xludf.DUMMYFUNCTION("""COMPUTED_VALUE"""),0.403508771929824)</f>
        <v>0.4035087719</v>
      </c>
    </row>
    <row r="19305">
      <c r="A19305" s="10" t="s">
        <v>20744</v>
      </c>
      <c r="B19305" s="7" t="str">
        <f>IFERROR(__xludf.DUMMYFUNCTION("SPLIT(A19305,"" "")"),"CCN(C)c1ccc2c(CF)ccnc2c1")</f>
        <v>CCN(C)c1ccc2c(CF)ccnc2c1</v>
      </c>
      <c r="C19305" s="7">
        <f>IFERROR(__xludf.DUMMYFUNCTION("""COMPUTED_VALUE"""),7.7195644)</f>
        <v>7.7195644</v>
      </c>
      <c r="D19305" s="7">
        <f>IFERROR(__xludf.DUMMYFUNCTION("""COMPUTED_VALUE"""),0.24)</f>
        <v>0.24</v>
      </c>
    </row>
    <row r="19306">
      <c r="A19306" s="10" t="s">
        <v>20745</v>
      </c>
      <c r="B19306" s="7" t="str">
        <f>IFERROR(__xludf.DUMMYFUNCTION("SPLIT(A19306,"" "")"),"Cc1cccc(-c2cc(N=Cc3ccccn3)ccc2C)c1")</f>
        <v>Cc1cccc(-c2cc(N=Cc3ccccn3)ccc2C)c1</v>
      </c>
      <c r="C19306" s="7">
        <f>IFERROR(__xludf.DUMMYFUNCTION("""COMPUTED_VALUE"""),7.7195497)</f>
        <v>7.7195497</v>
      </c>
      <c r="D19306" s="7">
        <f>IFERROR(__xludf.DUMMYFUNCTION("""COMPUTED_VALUE"""),0.479166666666666)</f>
        <v>0.4791666667</v>
      </c>
    </row>
    <row r="19307">
      <c r="A19307" s="10" t="s">
        <v>20746</v>
      </c>
      <c r="B19307" s="7" t="str">
        <f>IFERROR(__xludf.DUMMYFUNCTION("SPLIT(A19307,"" "")"),"C1=CNCC(Nc2cccc(-c3cccc(C(c4ccccc4)c4ccccn4)n3)n2)=C1")</f>
        <v>C1=CNCC(Nc2cccc(-c3cccc(C(c4ccccc4)c4ccccn4)n3)n2)=C1</v>
      </c>
      <c r="C19307" s="7">
        <f>IFERROR(__xludf.DUMMYFUNCTION("""COMPUTED_VALUE"""),7.7195487)</f>
        <v>7.7195487</v>
      </c>
      <c r="D19307" s="7">
        <f>IFERROR(__xludf.DUMMYFUNCTION("""COMPUTED_VALUE"""),0.287878787878787)</f>
        <v>0.2878787879</v>
      </c>
    </row>
    <row r="19308">
      <c r="A19308" s="10" t="s">
        <v>20747</v>
      </c>
      <c r="B19308" s="7" t="str">
        <f>IFERROR(__xludf.DUMMYFUNCTION("SPLIT(A19308,"" "")"),"Cc1cccnc1-c1cccnc1-c1cccnc1CN(C)Cc1ccccn1")</f>
        <v>Cc1cccnc1-c1cccnc1-c1cccnc1CN(C)Cc1ccccn1</v>
      </c>
      <c r="C19308" s="7">
        <f>IFERROR(__xludf.DUMMYFUNCTION("""COMPUTED_VALUE"""),7.7195106)</f>
        <v>7.7195106</v>
      </c>
      <c r="D19308" s="7">
        <f>IFERROR(__xludf.DUMMYFUNCTION("""COMPUTED_VALUE"""),0.458333333333333)</f>
        <v>0.4583333333</v>
      </c>
    </row>
    <row r="19309">
      <c r="A19309" s="10" t="s">
        <v>20748</v>
      </c>
      <c r="B19309" s="7" t="str">
        <f>IFERROR(__xludf.DUMMYFUNCTION("SPLIT(A19309,"" "")"),"CC(C)N(CCN(c1ccc2ncccc2c1)c1cccc2c(C(C)(C)N)ccnc12)Cc1ccccn1")</f>
        <v>CC(C)N(CCN(c1ccc2ncccc2c1)c1cccc2c(C(C)(C)N)ccnc12)Cc1ccccn1</v>
      </c>
      <c r="C19309" s="7">
        <f>IFERROR(__xludf.DUMMYFUNCTION("""COMPUTED_VALUE"""),7.7195086)</f>
        <v>7.7195086</v>
      </c>
      <c r="D19309" s="7">
        <f>IFERROR(__xludf.DUMMYFUNCTION("""COMPUTED_VALUE"""),0.435483870967741)</f>
        <v>0.435483871</v>
      </c>
    </row>
    <row r="19310">
      <c r="A19310" s="10" t="s">
        <v>20749</v>
      </c>
      <c r="B19310" s="7" t="str">
        <f>IFERROR(__xludf.DUMMYFUNCTION("SPLIT(A19310,"" "")"),"CC1C=CCC(C)C1(C)c1ccc2ccc3cccnc3c2n1")</f>
        <v>CC1C=CCC(C)C1(C)c1ccc2ccc3cccnc3c2n1</v>
      </c>
      <c r="C19310" s="7">
        <f>IFERROR(__xludf.DUMMYFUNCTION("""COMPUTED_VALUE"""),7.719501)</f>
        <v>7.719501</v>
      </c>
      <c r="D19310" s="7">
        <f>IFERROR(__xludf.DUMMYFUNCTION("""COMPUTED_VALUE"""),0.346153846153846)</f>
        <v>0.3461538462</v>
      </c>
    </row>
    <row r="19311">
      <c r="A19311" s="10" t="s">
        <v>20750</v>
      </c>
      <c r="B19311" s="7" t="str">
        <f>IFERROR(__xludf.DUMMYFUNCTION("SPLIT(A19311,"" "")"),"Cc1cccnc1CN(C)C1=C(CN(C)c2cccc3nc(CF)ccc23)CC=CN1")</f>
        <v>Cc1cccnc1CN(C)C1=C(CN(C)c2cccc3nc(CF)ccc23)CC=CN1</v>
      </c>
      <c r="C19311" s="7">
        <f>IFERROR(__xludf.DUMMYFUNCTION("""COMPUTED_VALUE"""),7.719501)</f>
        <v>7.719501</v>
      </c>
      <c r="D19311" s="7">
        <f>IFERROR(__xludf.DUMMYFUNCTION("""COMPUTED_VALUE"""),0.294117647058823)</f>
        <v>0.2941176471</v>
      </c>
    </row>
    <row r="19312">
      <c r="A19312" s="10" t="s">
        <v>20751</v>
      </c>
      <c r="B19312" s="7" t="str">
        <f>IFERROR(__xludf.DUMMYFUNCTION("SPLIT(A19312,"" "")"),"CN(C)Cc1ccc2c(N(C)Cc3cccc(N(C)Cc4ncccc4CF)n3)cccc2n1")</f>
        <v>CN(C)Cc1ccc2c(N(C)Cc3cccc(N(C)Cc4ncccc4CF)n3)cccc2n1</v>
      </c>
      <c r="C19312" s="7">
        <f>IFERROR(__xludf.DUMMYFUNCTION("""COMPUTED_VALUE"""),7.7195005)</f>
        <v>7.7195005</v>
      </c>
      <c r="D19312" s="7">
        <f>IFERROR(__xludf.DUMMYFUNCTION("""COMPUTED_VALUE"""),0.316666666666666)</f>
        <v>0.3166666667</v>
      </c>
    </row>
    <row r="19313">
      <c r="A19313" s="10" t="s">
        <v>20752</v>
      </c>
      <c r="B19313" s="7" t="str">
        <f>IFERROR(__xludf.DUMMYFUNCTION("SPLIT(A19313,"" "")"),"Cc1cccnc1CN(C)Cc1cc(N(C)c2ccc3ncccc3c2)ccn1")</f>
        <v>Cc1cccnc1CN(C)Cc1cc(N(C)c2ccc3ncccc3c2)ccn1</v>
      </c>
      <c r="C19313" s="7">
        <f>IFERROR(__xludf.DUMMYFUNCTION("""COMPUTED_VALUE"""),7.7194986)</f>
        <v>7.7194986</v>
      </c>
      <c r="D19313" s="7">
        <f>IFERROR(__xludf.DUMMYFUNCTION("""COMPUTED_VALUE"""),0.339285714285714)</f>
        <v>0.3392857143</v>
      </c>
    </row>
    <row r="19314">
      <c r="A19314" s="10" t="s">
        <v>20753</v>
      </c>
      <c r="B19314" s="7" t="str">
        <f>IFERROR(__xludf.DUMMYFUNCTION("SPLIT(A19314,"" "")"),"CN(Cc1ccccn1)C1=CCC=C(CN(C)c2cccc3ccc(CF)nc23)N1")</f>
        <v>CN(Cc1ccccn1)C1=CCC=C(CN(C)c2cccc3ccc(CF)nc23)N1</v>
      </c>
      <c r="C19314" s="7">
        <f>IFERROR(__xludf.DUMMYFUNCTION("""COMPUTED_VALUE"""),7.719497)</f>
        <v>7.719497</v>
      </c>
      <c r="D19314" s="7">
        <f>IFERROR(__xludf.DUMMYFUNCTION("""COMPUTED_VALUE"""),0.428571428571428)</f>
        <v>0.4285714286</v>
      </c>
    </row>
    <row r="19315">
      <c r="A19315" s="10" t="s">
        <v>20754</v>
      </c>
      <c r="B19315" s="7" t="str">
        <f>IFERROR(__xludf.DUMMYFUNCTION("SPLIT(A19315,"" "")"),"CN(c1cccc2cccnc12)C1C2CCC1(N(C)c1cccc3ncccc13)CC2")</f>
        <v>CN(c1cccc2cccnc12)C1C2CCC1(N(C)c1cccc3ncccc13)CC2</v>
      </c>
      <c r="C19315" s="7">
        <f>IFERROR(__xludf.DUMMYFUNCTION("""COMPUTED_VALUE"""),7.719482)</f>
        <v>7.719482</v>
      </c>
      <c r="D19315" s="7">
        <f>IFERROR(__xludf.DUMMYFUNCTION("""COMPUTED_VALUE"""),0.5)</f>
        <v>0.5</v>
      </c>
    </row>
    <row r="19316">
      <c r="A19316" s="10" t="s">
        <v>20755</v>
      </c>
      <c r="B19316" s="7" t="str">
        <f>IFERROR(__xludf.DUMMYFUNCTION("SPLIT(A19316,"" "")"),"CC(C)NCc1cc(N(C)c2ccc3ncccc3c2)ccn1")</f>
        <v>CC(C)NCc1cc(N(C)c2ccc3ncccc3c2)ccn1</v>
      </c>
      <c r="C19316" s="7">
        <f>IFERROR(__xludf.DUMMYFUNCTION("""COMPUTED_VALUE"""),7.719468)</f>
        <v>7.719468</v>
      </c>
      <c r="D19316" s="7">
        <f>IFERROR(__xludf.DUMMYFUNCTION("""COMPUTED_VALUE"""),0.31578947368421)</f>
        <v>0.3157894737</v>
      </c>
    </row>
    <row r="19317">
      <c r="A19317" s="10" t="s">
        <v>20756</v>
      </c>
      <c r="B19317" s="7" t="str">
        <f>IFERROR(__xludf.DUMMYFUNCTION("SPLIT(A19317,"" "")"),"Cc1cccnc1CN(Cc1ccc(-c2ccc3cccnc3c2N(C)Cc2ncccc2C)nc1)Cc1ccccn1")</f>
        <v>Cc1cccnc1CN(Cc1ccc(-c2ccc3cccnc3c2N(C)Cc2ncccc2C)nc1)Cc1ccccn1</v>
      </c>
      <c r="C19317" s="7">
        <f>IFERROR(__xludf.DUMMYFUNCTION("""COMPUTED_VALUE"""),7.7194567)</f>
        <v>7.7194567</v>
      </c>
      <c r="D19317" s="7">
        <f>IFERROR(__xludf.DUMMYFUNCTION("""COMPUTED_VALUE"""),0.365079365079365)</f>
        <v>0.3650793651</v>
      </c>
    </row>
    <row r="19318">
      <c r="A19318" s="10" t="s">
        <v>20757</v>
      </c>
      <c r="B19318" s="7" t="str">
        <f>IFERROR(__xludf.DUMMYFUNCTION("SPLIT(A19318,"" "")"),"CNc1ccc(-c2cccc(C(C)(C)C)n2)nc1C")</f>
        <v>CNc1ccc(-c2cccc(C(C)(C)C)n2)nc1C</v>
      </c>
      <c r="C19318" s="7">
        <f>IFERROR(__xludf.DUMMYFUNCTION("""COMPUTED_VALUE"""),7.719456)</f>
        <v>7.719456</v>
      </c>
      <c r="D19318" s="7">
        <f>IFERROR(__xludf.DUMMYFUNCTION("""COMPUTED_VALUE"""),0.34)</f>
        <v>0.34</v>
      </c>
    </row>
    <row r="19319">
      <c r="A19319" s="10" t="s">
        <v>20758</v>
      </c>
      <c r="B19319" s="7" t="str">
        <f>IFERROR(__xludf.DUMMYFUNCTION("SPLIT(A19319,"" "")"),"COC(=O)c1cccc(-c2cccc(C(=O)C(=O)C(C)NCc3ccccn3)n2)n1")</f>
        <v>COC(=O)c1cccc(-c2cccc(C(=O)C(=O)C(C)NCc3ccccn3)n2)n1</v>
      </c>
      <c r="C19319" s="7">
        <f>IFERROR(__xludf.DUMMYFUNCTION("""COMPUTED_VALUE"""),7.719453)</f>
        <v>7.719453</v>
      </c>
      <c r="D19319" s="7">
        <f>IFERROR(__xludf.DUMMYFUNCTION("""COMPUTED_VALUE"""),0.344827586206896)</f>
        <v>0.3448275862</v>
      </c>
    </row>
    <row r="19320">
      <c r="A19320" s="10" t="s">
        <v>20759</v>
      </c>
      <c r="B19320" s="7" t="str">
        <f>IFERROR(__xludf.DUMMYFUNCTION("SPLIT(A19320,"" "")"),"CN(c1ccc2ncccc2c1)C1CC2CCC1(N(C)c1ccc3ncccc3c1)C2")</f>
        <v>CN(c1ccc2ncccc2c1)C1CC2CCC1(N(C)c1ccc3ncccc3c1)C2</v>
      </c>
      <c r="C19320" s="7">
        <f>IFERROR(__xludf.DUMMYFUNCTION("""COMPUTED_VALUE"""),7.719448)</f>
        <v>7.719448</v>
      </c>
      <c r="D19320" s="7">
        <f>IFERROR(__xludf.DUMMYFUNCTION("""COMPUTED_VALUE"""),0.322033898305084)</f>
        <v>0.3220338983</v>
      </c>
    </row>
    <row r="19321">
      <c r="A19321" s="10" t="s">
        <v>20760</v>
      </c>
      <c r="B19321" s="7" t="str">
        <f>IFERROR(__xludf.DUMMYFUNCTION("SPLIT(A19321,"" "")"),"CC(C)(c1cccc(N=Cc2ccccn2)c1)c1cccc(-c2cccc(N=Cc3ccccn3)c2)n1")</f>
        <v>CC(C)(c1cccc(N=Cc2ccccn2)c1)c1cccc(-c2cccc(N=Cc3ccccn3)c2)n1</v>
      </c>
      <c r="C19321" s="7">
        <f>IFERROR(__xludf.DUMMYFUNCTION("""COMPUTED_VALUE"""),7.7194376)</f>
        <v>7.7194376</v>
      </c>
      <c r="D19321" s="7">
        <f>IFERROR(__xludf.DUMMYFUNCTION("""COMPUTED_VALUE"""),0.375)</f>
        <v>0.375</v>
      </c>
    </row>
    <row r="19322">
      <c r="A19322" s="10" t="s">
        <v>20761</v>
      </c>
      <c r="B19322" s="7" t="str">
        <f>IFERROR(__xludf.DUMMYFUNCTION("SPLIT(A19322,"" "")"),"CC(C)C(C)N(C)Cc1ccc2cc(N(C)c3ccc4ncccc4c3)ccc2n1")</f>
        <v>CC(C)C(C)N(C)Cc1ccc2cc(N(C)c3ccc4ncccc4c3)ccc2n1</v>
      </c>
      <c r="C19322" s="7">
        <f>IFERROR(__xludf.DUMMYFUNCTION("""COMPUTED_VALUE"""),7.719423)</f>
        <v>7.719423</v>
      </c>
      <c r="D19322" s="7">
        <f>IFERROR(__xludf.DUMMYFUNCTION("""COMPUTED_VALUE"""),0.384615384615384)</f>
        <v>0.3846153846</v>
      </c>
    </row>
    <row r="19323">
      <c r="A19323" s="10" t="s">
        <v>20762</v>
      </c>
      <c r="B19323" s="7" t="str">
        <f>IFERROR(__xludf.DUMMYFUNCTION("SPLIT(A19323,"" "")"),"CN(Cc1ccccn1)C1=C(CN(C)c2cccc3nccc(CF)c23)NC=CC1")</f>
        <v>CN(Cc1ccccn1)C1=C(CN(C)c2cccc3nccc(CF)c23)NC=CC1</v>
      </c>
      <c r="C19323" s="7">
        <f>IFERROR(__xludf.DUMMYFUNCTION("""COMPUTED_VALUE"""),7.719418)</f>
        <v>7.719418</v>
      </c>
      <c r="D19323" s="7">
        <f>IFERROR(__xludf.DUMMYFUNCTION("""COMPUTED_VALUE"""),0.370967741935483)</f>
        <v>0.3709677419</v>
      </c>
    </row>
    <row r="19324">
      <c r="A19324" s="10" t="s">
        <v>20763</v>
      </c>
      <c r="B19324" s="7" t="str">
        <f>IFERROR(__xludf.DUMMYFUNCTION("SPLIT(A19324,"" "")"),"Cc1cc(NCc2ccccn2)cc(-c2cc(N=Cc3ccccn3)ccc2C)c1")</f>
        <v>Cc1cc(NCc2ccccn2)cc(-c2cc(N=Cc3ccccn3)ccc2C)c1</v>
      </c>
      <c r="C19324" s="7">
        <f>IFERROR(__xludf.DUMMYFUNCTION("""COMPUTED_VALUE"""),7.7194114)</f>
        <v>7.7194114</v>
      </c>
      <c r="D19324" s="7">
        <f>IFERROR(__xludf.DUMMYFUNCTION("""COMPUTED_VALUE"""),0.366666666666666)</f>
        <v>0.3666666667</v>
      </c>
    </row>
    <row r="19325">
      <c r="A19325" s="10" t="s">
        <v>20764</v>
      </c>
      <c r="B19325" s="7" t="str">
        <f>IFERROR(__xludf.DUMMYFUNCTION("SPLIT(A19325,"" "")"),"Cc1cc(CN(C)C2=C(CN(C)c3ccc4cccnc4c3)NC=CC2)ccn1")</f>
        <v>Cc1cc(CN(C)C2=C(CN(C)c3ccc4cccnc4c3)NC=CC2)ccn1</v>
      </c>
      <c r="C19325" s="7">
        <f>IFERROR(__xludf.DUMMYFUNCTION("""COMPUTED_VALUE"""),7.7194033)</f>
        <v>7.7194033</v>
      </c>
      <c r="D19325" s="7">
        <f>IFERROR(__xludf.DUMMYFUNCTION("""COMPUTED_VALUE"""),0.257575757575757)</f>
        <v>0.2575757576</v>
      </c>
    </row>
    <row r="19326">
      <c r="A19326" s="10" t="s">
        <v>20765</v>
      </c>
      <c r="B19326" s="7" t="str">
        <f>IFERROR(__xludf.DUMMYFUNCTION("SPLIT(A19326,"" "")"),"C1=CNC(Nc2ncccc2-c2cccc(C(c3ccccc3)c3ccccn3)n2)C=C1")</f>
        <v>C1=CNC(Nc2ncccc2-c2cccc(C(c3ccccc3)c3ccccn3)n2)C=C1</v>
      </c>
      <c r="C19326" s="7">
        <f>IFERROR(__xludf.DUMMYFUNCTION("""COMPUTED_VALUE"""),7.719398)</f>
        <v>7.719398</v>
      </c>
      <c r="D19326" s="7">
        <f>IFERROR(__xludf.DUMMYFUNCTION("""COMPUTED_VALUE"""),0.283582089552238)</f>
        <v>0.2835820896</v>
      </c>
    </row>
    <row r="19327">
      <c r="A19327" s="10" t="s">
        <v>20766</v>
      </c>
      <c r="B19327" s="7" t="str">
        <f>IFERROR(__xludf.DUMMYFUNCTION("SPLIT(A19327,"" "")"),"Cc1ccc(CN(Cc2ncccc2C)c2ccc3ncccc3c2)nc1C")</f>
        <v>Cc1ccc(CN(Cc2ncccc2C)c2ccc3ncccc3c2)nc1C</v>
      </c>
      <c r="C19327" s="7">
        <f>IFERROR(__xludf.DUMMYFUNCTION("""COMPUTED_VALUE"""),7.719376)</f>
        <v>7.719376</v>
      </c>
      <c r="D19327" s="7">
        <f>IFERROR(__xludf.DUMMYFUNCTION("""COMPUTED_VALUE"""),0.303571428571428)</f>
        <v>0.3035714286</v>
      </c>
    </row>
    <row r="19328">
      <c r="A19328" s="10" t="s">
        <v>20767</v>
      </c>
      <c r="B19328" s="7" t="str">
        <f>IFERROR(__xludf.DUMMYFUNCTION("SPLIT(A19328,"" "")"),"Cc1cccc(N(C)CCN(C)c2ccc3nccc(C)c3c2)c1")</f>
        <v>Cc1cccc(N(C)CCN(C)c2ccc3nccc(C)c3c2)c1</v>
      </c>
      <c r="C19328" s="7">
        <f>IFERROR(__xludf.DUMMYFUNCTION("""COMPUTED_VALUE"""),7.7193694)</f>
        <v>7.7193694</v>
      </c>
      <c r="D19328" s="7">
        <f>IFERROR(__xludf.DUMMYFUNCTION("""COMPUTED_VALUE"""),0.306122448979591)</f>
        <v>0.306122449</v>
      </c>
    </row>
    <row r="19329">
      <c r="A19329" s="10" t="s">
        <v>20768</v>
      </c>
      <c r="B19329" s="7" t="str">
        <f>IFERROR(__xludf.DUMMYFUNCTION("SPLIT(A19329,"" "")"),"Cc1cc(NCc2ccccn2)cc(-c2cc(C)cnc2-c2cccc(NCc3ccccn3)c2)c1")</f>
        <v>Cc1cc(NCc2ccccn2)cc(-c2cc(C)cnc2-c2cccc(NCc3ccccn3)c2)c1</v>
      </c>
      <c r="C19329" s="7">
        <f>IFERROR(__xludf.DUMMYFUNCTION("""COMPUTED_VALUE"""),7.7193594)</f>
        <v>7.7193594</v>
      </c>
      <c r="D19329" s="7">
        <f>IFERROR(__xludf.DUMMYFUNCTION("""COMPUTED_VALUE"""),0.377049180327868)</f>
        <v>0.3770491803</v>
      </c>
    </row>
    <row r="19330">
      <c r="A19330" s="10" t="s">
        <v>20769</v>
      </c>
      <c r="B19330" s="7" t="str">
        <f>IFERROR(__xludf.DUMMYFUNCTION("SPLIT(A19330,"" "")"),"CC(=O)C(=O)C(=O)C(=O)C(=O)C(=O)C(=O)C(=O)C(=O)C(=O)C(=O)C(=O)C(=O)C(=O)C(=O)C(=O)C(=O)C(=O)C(=O)C(=O)C(=O)C(=O)C(=O)C(=O)C(=O)C(=O)C(=O)C(=O)C(=O)C(=O)C(=O)C(=O)C(=O)C(=O)C(=O)C(=O)C(=O)C1=CCC=CN1")</f>
        <v>CC(=O)C(=O)C(=O)C(=O)C(=O)C(=O)C(=O)C(=O)C(=O)C(=O)C(=O)C(=O)C(=O)C(=O)C(=O)C(=O)C(=O)C(=O)C(=O)C(=O)C(=O)C(=O)C(=O)C(=O)C(=O)C(=O)C(=O)C(=O)C(=O)C(=O)C(=O)C(=O)C(=O)C(=O)C(=O)C(=O)C(=O)C1=CCC=CN1</v>
      </c>
      <c r="C19330" s="7">
        <f>IFERROR(__xludf.DUMMYFUNCTION("""COMPUTED_VALUE"""),7.7193274)</f>
        <v>7.7193274</v>
      </c>
      <c r="D19330" s="7">
        <f>IFERROR(__xludf.DUMMYFUNCTION("""COMPUTED_VALUE"""),0.23076923076923)</f>
        <v>0.2307692308</v>
      </c>
    </row>
    <row r="19331">
      <c r="A19331" s="10" t="s">
        <v>20770</v>
      </c>
      <c r="B19331" s="7" t="str">
        <f>IFERROR(__xludf.DUMMYFUNCTION("SPLIT(A19331,"" "")"),"CN(C)Cc1nccc2cc(N(C)Cc3ncccc3C(C)(C)C)ccc12")</f>
        <v>CN(C)Cc1nccc2cc(N(C)Cc3ncccc3C(C)(C)C)ccc12</v>
      </c>
      <c r="C19331" s="7">
        <f>IFERROR(__xludf.DUMMYFUNCTION("""COMPUTED_VALUE"""),7.7193274)</f>
        <v>7.7193274</v>
      </c>
      <c r="D19331" s="7">
        <f>IFERROR(__xludf.DUMMYFUNCTION("""COMPUTED_VALUE"""),0.272727272727272)</f>
        <v>0.2727272727</v>
      </c>
    </row>
    <row r="19332">
      <c r="A19332" s="10" t="s">
        <v>20771</v>
      </c>
      <c r="B19332" s="7" t="str">
        <f>IFERROR(__xludf.DUMMYFUNCTION("SPLIT(A19332,"" "")"),"Cc1cccnc1CN(C)c1ccc(C)c2ccc(CN(C)Cc3cc(C)c(C)c(C)n3)nc12")</f>
        <v>Cc1cccnc1CN(C)c1ccc(C)c2ccc(CN(C)Cc3cc(C)c(C)c(C)n3)nc12</v>
      </c>
      <c r="C19332" s="7">
        <f>IFERROR(__xludf.DUMMYFUNCTION("""COMPUTED_VALUE"""),7.7193193)</f>
        <v>7.7193193</v>
      </c>
      <c r="D19332" s="7">
        <f>IFERROR(__xludf.DUMMYFUNCTION("""COMPUTED_VALUE"""),0.301587301587301)</f>
        <v>0.3015873016</v>
      </c>
    </row>
    <row r="19333">
      <c r="A19333" s="10" t="s">
        <v>20772</v>
      </c>
      <c r="B19333" s="7" t="str">
        <f>IFERROR(__xludf.DUMMYFUNCTION("SPLIT(A19333,"" "")"),"CC(C)N(Cc1ccccn1)c1ccc2ncccc2c1N(C)Cc1ccccn1")</f>
        <v>CC(C)N(Cc1ccccn1)c1ccc2ncccc2c1N(C)Cc1ccccn1</v>
      </c>
      <c r="C19333" s="7">
        <f>IFERROR(__xludf.DUMMYFUNCTION("""COMPUTED_VALUE"""),7.719302)</f>
        <v>7.719302</v>
      </c>
      <c r="D19333" s="7">
        <f>IFERROR(__xludf.DUMMYFUNCTION("""COMPUTED_VALUE"""),0.448979591836734)</f>
        <v>0.4489795918</v>
      </c>
    </row>
    <row r="19334">
      <c r="A19334" s="10" t="s">
        <v>20773</v>
      </c>
      <c r="B19334" s="7" t="str">
        <f>IFERROR(__xludf.DUMMYFUNCTION("SPLIT(A19334,"" "")"),"Cc1ccnc(CN(C)C2=CCC=C(CN(C)c3ccc4ccc(CF)nc4c3)N2)c1")</f>
        <v>Cc1ccnc(CN(C)C2=CCC=C(CN(C)c3ccc4ccc(CF)nc4c3)N2)c1</v>
      </c>
      <c r="C19334" s="7">
        <f>IFERROR(__xludf.DUMMYFUNCTION("""COMPUTED_VALUE"""),7.7192965)</f>
        <v>7.7192965</v>
      </c>
      <c r="D19334" s="7">
        <f>IFERROR(__xludf.DUMMYFUNCTION("""COMPUTED_VALUE"""),0.276923076923076)</f>
        <v>0.2769230769</v>
      </c>
    </row>
    <row r="19335">
      <c r="A19335" s="10" t="s">
        <v>20774</v>
      </c>
      <c r="B19335" s="7" t="str">
        <f>IFERROR(__xludf.DUMMYFUNCTION("SPLIT(A19335,"" "")"),"CN(C)c1ccccc1-c1ccccn1")</f>
        <v>CN(C)c1ccccc1-c1ccccn1</v>
      </c>
      <c r="C19335" s="7">
        <f>IFERROR(__xludf.DUMMYFUNCTION("""COMPUTED_VALUE"""),7.719288)</f>
        <v>7.719288</v>
      </c>
      <c r="D19335" s="7">
        <f>IFERROR(__xludf.DUMMYFUNCTION("""COMPUTED_VALUE"""),0.4)</f>
        <v>0.4</v>
      </c>
    </row>
    <row r="19336">
      <c r="A19336" s="10" t="s">
        <v>20775</v>
      </c>
      <c r="B19336" s="7" t="str">
        <f>IFERROR(__xludf.DUMMYFUNCTION("SPLIT(A19336,"" "")"),"CN(Cc1ccccn1)C1=CCC=C(CN(C)c2ccc3cc(CF)cnc3c2)N1")</f>
        <v>CN(Cc1ccccn1)C1=CCC=C(CN(C)c2ccc3cc(CF)cnc3c2)N1</v>
      </c>
      <c r="C19336" s="7">
        <f>IFERROR(__xludf.DUMMYFUNCTION("""COMPUTED_VALUE"""),7.7192845)</f>
        <v>7.7192845</v>
      </c>
      <c r="D19336" s="7">
        <f>IFERROR(__xludf.DUMMYFUNCTION("""COMPUTED_VALUE"""),0.354838709677419)</f>
        <v>0.3548387097</v>
      </c>
    </row>
    <row r="19337">
      <c r="A19337" s="10" t="s">
        <v>20776</v>
      </c>
      <c r="B19337" s="7" t="str">
        <f>IFERROR(__xludf.DUMMYFUNCTION("SPLIT(A19337,"" "")"),"Cc1ccc2ncccc2c1")</f>
        <v>Cc1ccc2ncccc2c1</v>
      </c>
      <c r="C19337" s="7">
        <f>IFERROR(__xludf.DUMMYFUNCTION("""COMPUTED_VALUE"""),7.719273)</f>
        <v>7.719273</v>
      </c>
      <c r="D19337" s="7">
        <f>IFERROR(__xludf.DUMMYFUNCTION("""COMPUTED_VALUE"""),0.31578947368421)</f>
        <v>0.3157894737</v>
      </c>
    </row>
    <row r="19338">
      <c r="A19338" s="10" t="s">
        <v>20777</v>
      </c>
      <c r="B19338" s="7" t="str">
        <f>IFERROR(__xludf.DUMMYFUNCTION("SPLIT(A19338,"" "")"),"Cc1cc(C)c(CN(C)c2cc(Cl)c(Cl)cc2N(C)Cc2cccc(F)n2)nc1C")</f>
        <v>Cc1cc(C)c(CN(C)c2cc(Cl)c(Cl)cc2N(C)Cc2cccc(F)n2)nc1C</v>
      </c>
      <c r="C19338" s="7">
        <f>IFERROR(__xludf.DUMMYFUNCTION("""COMPUTED_VALUE"""),7.719272)</f>
        <v>7.719272</v>
      </c>
      <c r="D19338" s="7">
        <f>IFERROR(__xludf.DUMMYFUNCTION("""COMPUTED_VALUE"""),0.448979591836734)</f>
        <v>0.4489795918</v>
      </c>
    </row>
    <row r="19339">
      <c r="A19339" s="10" t="s">
        <v>20778</v>
      </c>
      <c r="B19339" s="7" t="str">
        <f>IFERROR(__xludf.DUMMYFUNCTION("SPLIT(A19339,"" "")"),"CN(CCN(C)c1ccc2ncccc2c1)Cc1ccc2cccnc2c1")</f>
        <v>CN(CCN(C)c1ccc2ncccc2c1)Cc1ccc2cccnc2c1</v>
      </c>
      <c r="C19339" s="7">
        <f>IFERROR(__xludf.DUMMYFUNCTION("""COMPUTED_VALUE"""),7.7192698)</f>
        <v>7.7192698</v>
      </c>
      <c r="D19339" s="7">
        <f>IFERROR(__xludf.DUMMYFUNCTION("""COMPUTED_VALUE"""),0.408163265306122)</f>
        <v>0.4081632653</v>
      </c>
    </row>
    <row r="19340">
      <c r="A19340" s="10" t="s">
        <v>20779</v>
      </c>
      <c r="B19340" s="7" t="str">
        <f>IFERROR(__xludf.DUMMYFUNCTION("SPLIT(A19340,"" "")"),"CC(C)c1cc(CN(Cc2ccccn2)c2ccc3nc(CN(C)Cc4cc(-c5cccc(N(C)C)c5)ccn4)ccc3c2)ccn1")</f>
        <v>CC(C)c1cc(CN(Cc2ccccn2)c2ccc3nc(CN(C)Cc4cc(-c5cccc(N(C)C)c5)ccn4)ccc3c2)ccn1</v>
      </c>
      <c r="C19340" s="7">
        <f>IFERROR(__xludf.DUMMYFUNCTION("""COMPUTED_VALUE"""),7.719265)</f>
        <v>7.719265</v>
      </c>
      <c r="D19340" s="7">
        <f>IFERROR(__xludf.DUMMYFUNCTION("""COMPUTED_VALUE"""),0.367647058823529)</f>
        <v>0.3676470588</v>
      </c>
    </row>
    <row r="19341">
      <c r="A19341" s="10" t="s">
        <v>20780</v>
      </c>
      <c r="B19341" s="7" t="str">
        <f>IFERROR(__xludf.DUMMYFUNCTION("SPLIT(A19341,"" "")"),"CN(CCN(C)c1ccc2ncccc2c1)Cc1ccc2ncccc2c1")</f>
        <v>CN(CCN(C)c1ccc2ncccc2c1)Cc1ccc2ncccc2c1</v>
      </c>
      <c r="C19341" s="7">
        <f>IFERROR(__xludf.DUMMYFUNCTION("""COMPUTED_VALUE"""),7.719265)</f>
        <v>7.719265</v>
      </c>
      <c r="D19341" s="7">
        <f>IFERROR(__xludf.DUMMYFUNCTION("""COMPUTED_VALUE"""),0.434782608695652)</f>
        <v>0.4347826087</v>
      </c>
    </row>
    <row r="19342">
      <c r="A19342" s="10" t="s">
        <v>20781</v>
      </c>
      <c r="B19342" s="7" t="str">
        <f>IFERROR(__xludf.DUMMYFUNCTION("SPLIT(A19342,"" "")"),"CN(CCN(C)c1cccc2ncc(CF)cc12)Cc1cccc2ncccc12")</f>
        <v>CN(CCN(C)c1cccc2ncc(CF)cc12)Cc1cccc2ncccc12</v>
      </c>
      <c r="C19342" s="7">
        <f>IFERROR(__xludf.DUMMYFUNCTION("""COMPUTED_VALUE"""),7.7192636)</f>
        <v>7.7192636</v>
      </c>
      <c r="D19342" s="7">
        <f>IFERROR(__xludf.DUMMYFUNCTION("""COMPUTED_VALUE"""),0.433962264150943)</f>
        <v>0.4339622642</v>
      </c>
    </row>
    <row r="19343">
      <c r="A19343" s="10" t="s">
        <v>20782</v>
      </c>
      <c r="B19343" s="7" t="str">
        <f>IFERROR(__xludf.DUMMYFUNCTION("SPLIT(A19343,"" "")"),"Cc1cccnc1CN(Cc1ccccn1)c1ccc2nc(CN(C)Cc3cccc(-c4cccc(N=Cc5ccccn5)c4)n3)ccc2c1")</f>
        <v>Cc1cccnc1CN(Cc1ccccn1)c1ccc2nc(CN(C)Cc3cccc(-c4cccc(N=Cc5ccccn5)c4)n3)ccc2c1</v>
      </c>
      <c r="C19343" s="7">
        <f>IFERROR(__xludf.DUMMYFUNCTION("""COMPUTED_VALUE"""),7.71926)</f>
        <v>7.71926</v>
      </c>
      <c r="D19343" s="7">
        <f>IFERROR(__xludf.DUMMYFUNCTION("""COMPUTED_VALUE"""),0.394366197183098)</f>
        <v>0.3943661972</v>
      </c>
    </row>
    <row r="19344">
      <c r="A19344" s="10" t="s">
        <v>20783</v>
      </c>
      <c r="B19344" s="7" t="str">
        <f>IFERROR(__xludf.DUMMYFUNCTION("SPLIT(A19344,"" "")"),"CN(c1cccc2ncccc12)C1C2CCC1(N(C)c1cccc3cccnc13)CC2")</f>
        <v>CN(c1cccc2ncccc12)C1C2CCC1(N(C)c1cccc3cccnc13)CC2</v>
      </c>
      <c r="C19344" s="7">
        <f>IFERROR(__xludf.DUMMYFUNCTION("""COMPUTED_VALUE"""),7.719253)</f>
        <v>7.719253</v>
      </c>
      <c r="D19344" s="7">
        <f>IFERROR(__xludf.DUMMYFUNCTION("""COMPUTED_VALUE"""),0.472727272727272)</f>
        <v>0.4727272727</v>
      </c>
    </row>
    <row r="19345">
      <c r="A19345" s="10" t="s">
        <v>20784</v>
      </c>
      <c r="B19345" s="7" t="str">
        <f>IFERROR(__xludf.DUMMYFUNCTION("SPLIT(A19345,"" "")"),"CN(c1ccc2ncc(-c3ccc4cccnc4c3)cc2c1)C1CCC(N(C)c2ccccc2F)CC1")</f>
        <v>CN(c1ccc2ncc(-c3ccc4cccnc4c3)cc2c1)C1CCC(N(C)c2ccccc2F)CC1</v>
      </c>
      <c r="C19345" s="7">
        <f>IFERROR(__xludf.DUMMYFUNCTION("""COMPUTED_VALUE"""),7.7192287)</f>
        <v>7.7192287</v>
      </c>
      <c r="D19345" s="7">
        <f>IFERROR(__xludf.DUMMYFUNCTION("""COMPUTED_VALUE"""),0.303030303030303)</f>
        <v>0.303030303</v>
      </c>
    </row>
    <row r="19346">
      <c r="A19346" s="10" t="s">
        <v>20785</v>
      </c>
      <c r="B19346" s="7" t="str">
        <f>IFERROR(__xludf.DUMMYFUNCTION("SPLIT(A19346,"" "")"),"CN(CCN(C)c1cccc2nc(CF)ccc12)Cc1cccc2ncccc12")</f>
        <v>CN(CCN(C)c1cccc2nc(CF)ccc12)Cc1cccc2ncccc12</v>
      </c>
      <c r="C19346" s="7">
        <f>IFERROR(__xludf.DUMMYFUNCTION("""COMPUTED_VALUE"""),7.7192097)</f>
        <v>7.7192097</v>
      </c>
      <c r="D19346" s="7">
        <f>IFERROR(__xludf.DUMMYFUNCTION("""COMPUTED_VALUE"""),0.461538461538461)</f>
        <v>0.4615384615</v>
      </c>
    </row>
    <row r="19347">
      <c r="A19347" s="10" t="s">
        <v>20786</v>
      </c>
      <c r="B19347" s="7" t="str">
        <f>IFERROR(__xludf.DUMMYFUNCTION("SPLIT(A19347,"" "")"),"CC(C)N(Cc1ccccn1)Cc1cc(-c2cccc(N(C)c3ccc4ncccc4c3)c2)ccn1")</f>
        <v>CC(C)N(Cc1ccccn1)Cc1cc(-c2cccc(N(C)c3ccc4ncccc4c3)c2)ccn1</v>
      </c>
      <c r="C19347" s="7">
        <f>IFERROR(__xludf.DUMMYFUNCTION("""COMPUTED_VALUE"""),7.7192035)</f>
        <v>7.7192035</v>
      </c>
      <c r="D19347" s="7">
        <f>IFERROR(__xludf.DUMMYFUNCTION("""COMPUTED_VALUE"""),0.452830188679245)</f>
        <v>0.4528301887</v>
      </c>
    </row>
    <row r="19348">
      <c r="A19348" s="10" t="s">
        <v>20787</v>
      </c>
      <c r="B19348" s="7" t="str">
        <f>IFERROR(__xludf.DUMMYFUNCTION("SPLIT(A19348,"" "")"),"Cc1cccnc1-c1ccc(CN(C)Cc2cc(-c3cccc(N=Cc4ccccn4)c3)ccn2)cc1")</f>
        <v>Cc1cccnc1-c1ccc(CN(C)Cc2cc(-c3cccc(N=Cc4ccccn4)c3)ccn2)cc1</v>
      </c>
      <c r="C19348" s="7">
        <f>IFERROR(__xludf.DUMMYFUNCTION("""COMPUTED_VALUE"""),7.7192)</f>
        <v>7.7192</v>
      </c>
      <c r="D19348" s="7">
        <f>IFERROR(__xludf.DUMMYFUNCTION("""COMPUTED_VALUE"""),0.375)</f>
        <v>0.375</v>
      </c>
    </row>
    <row r="19349">
      <c r="A19349" s="10" t="s">
        <v>20788</v>
      </c>
      <c r="B19349" s="7" t="str">
        <f>IFERROR(__xludf.DUMMYFUNCTION("SPLIT(A19349,"" "")"),"CNCc1cc(C)c(-c2ccccc2N(C)C)c(C)n1")</f>
        <v>CNCc1cc(C)c(-c2ccccc2N(C)C)c(C)n1</v>
      </c>
      <c r="C19349" s="7">
        <f>IFERROR(__xludf.DUMMYFUNCTION("""COMPUTED_VALUE"""),7.7191896)</f>
        <v>7.7191896</v>
      </c>
      <c r="D19349" s="7">
        <f>IFERROR(__xludf.DUMMYFUNCTION("""COMPUTED_VALUE"""),0.245283018867924)</f>
        <v>0.2452830189</v>
      </c>
    </row>
    <row r="19350">
      <c r="A19350" s="10" t="s">
        <v>20789</v>
      </c>
      <c r="B19350" s="7" t="str">
        <f>IFERROR(__xludf.DUMMYFUNCTION("SPLIT(A19350,"" "")"),"CN(Cc1ccccn1)C1=CNC=C(CN(C)c2ccc3ncccc3c2)C1")</f>
        <v>CN(Cc1ccccn1)C1=CNC=C(CN(C)c2ccc3ncccc3c2)C1</v>
      </c>
      <c r="C19350" s="7">
        <f>IFERROR(__xludf.DUMMYFUNCTION("""COMPUTED_VALUE"""),7.71916)</f>
        <v>7.71916</v>
      </c>
      <c r="D19350" s="7">
        <f>IFERROR(__xludf.DUMMYFUNCTION("""COMPUTED_VALUE"""),0.392857142857142)</f>
        <v>0.3928571429</v>
      </c>
    </row>
    <row r="19351">
      <c r="A19351" s="10" t="s">
        <v>20790</v>
      </c>
      <c r="B19351" s="7" t="str">
        <f>IFERROR(__xludf.DUMMYFUNCTION("SPLIT(A19351,"" "")"),"C1=CNCC(Nc2ncccc2-c2ncccc2C(c2ccccc2)c2ccccn2)=C1")</f>
        <v>C1=CNCC(Nc2ncccc2-c2ncccc2C(c2ccccc2)c2ccccn2)=C1</v>
      </c>
      <c r="C19351" s="7">
        <f>IFERROR(__xludf.DUMMYFUNCTION("""COMPUTED_VALUE"""),7.71914)</f>
        <v>7.71914</v>
      </c>
      <c r="D19351" s="7">
        <f>IFERROR(__xludf.DUMMYFUNCTION("""COMPUTED_VALUE"""),0.272727272727272)</f>
        <v>0.2727272727</v>
      </c>
    </row>
    <row r="19352">
      <c r="A19352" s="10" t="s">
        <v>20791</v>
      </c>
      <c r="B19352" s="7" t="str">
        <f>IFERROR(__xludf.DUMMYFUNCTION("SPLIT(A19352,"" "")"),"CN(Cc1ccccn1)C1=CCC=C(CN(C)c2ccc3ccc(CF)nc3c2)N1")</f>
        <v>CN(Cc1ccccn1)C1=CCC=C(CN(C)c2ccc3ccc(CF)nc3c2)N1</v>
      </c>
      <c r="C19352" s="7">
        <f>IFERROR(__xludf.DUMMYFUNCTION("""COMPUTED_VALUE"""),7.719128)</f>
        <v>7.719128</v>
      </c>
      <c r="D19352" s="7">
        <f>IFERROR(__xludf.DUMMYFUNCTION("""COMPUTED_VALUE"""),0.389830508474576)</f>
        <v>0.3898305085</v>
      </c>
    </row>
    <row r="19353">
      <c r="A19353" s="10" t="s">
        <v>20792</v>
      </c>
      <c r="B19353" s="7" t="str">
        <f>IFERROR(__xludf.DUMMYFUNCTION("SPLIT(A19353,"" "")"),"Cc1cccnc1CN(C)C1=CCC=C(CN(C)c2ccc3ccc(CN(C)C)nc3c2)N1")</f>
        <v>Cc1cccnc1CN(C)C1=CCC=C(CN(C)c2ccc3ccc(CN(C)C)nc3c2)N1</v>
      </c>
      <c r="C19353" s="7">
        <f>IFERROR(__xludf.DUMMYFUNCTION("""COMPUTED_VALUE"""),7.7191277)</f>
        <v>7.7191277</v>
      </c>
      <c r="D19353" s="7">
        <f>IFERROR(__xludf.DUMMYFUNCTION("""COMPUTED_VALUE"""),0.287878787878787)</f>
        <v>0.2878787879</v>
      </c>
    </row>
    <row r="19354">
      <c r="A19354" s="10" t="s">
        <v>20793</v>
      </c>
      <c r="B19354" s="7" t="str">
        <f>IFERROR(__xludf.DUMMYFUNCTION("SPLIT(A19354,"" "")"),"Cc1cc(NCc2ccccn2)cnc1C(C)Nc1cccc2ncccc12")</f>
        <v>Cc1cc(NCc2ccccn2)cnc1C(C)Nc1cccc2ncccc12</v>
      </c>
      <c r="C19354" s="7">
        <f>IFERROR(__xludf.DUMMYFUNCTION("""COMPUTED_VALUE"""),7.719117)</f>
        <v>7.719117</v>
      </c>
      <c r="D19354" s="7">
        <f>IFERROR(__xludf.DUMMYFUNCTION("""COMPUTED_VALUE"""),0.328358208955223)</f>
        <v>0.328358209</v>
      </c>
    </row>
    <row r="19355">
      <c r="A19355" s="10" t="s">
        <v>20794</v>
      </c>
      <c r="B19355" s="7" t="str">
        <f>IFERROR(__xludf.DUMMYFUNCTION("SPLIT(A19355,"" "")"),"CN(C)c1cccc(-c2ccc(CN(C)c3ccccc3F)nc2)c1")</f>
        <v>CN(C)c1cccc(-c2ccc(CN(C)c3ccccc3F)nc2)c1</v>
      </c>
      <c r="C19355" s="7">
        <f>IFERROR(__xludf.DUMMYFUNCTION("""COMPUTED_VALUE"""),7.7191024)</f>
        <v>7.7191024</v>
      </c>
      <c r="D19355" s="7">
        <f>IFERROR(__xludf.DUMMYFUNCTION("""COMPUTED_VALUE"""),0.365384615384615)</f>
        <v>0.3653846154</v>
      </c>
    </row>
    <row r="19356">
      <c r="A19356" s="10" t="s">
        <v>20795</v>
      </c>
      <c r="B19356" s="7" t="str">
        <f>IFERROR(__xludf.DUMMYFUNCTION("SPLIT(A19356,"" "")"),"Cc1ccnc(CN(C)C2=C(CN(C)c3ccc4ncccc4c3)NC=CC2)c1")</f>
        <v>Cc1ccnc(CN(C)C2=C(CN(C)c3ccc4ncccc4c3)NC=CC2)c1</v>
      </c>
      <c r="C19356" s="7">
        <f>IFERROR(__xludf.DUMMYFUNCTION("""COMPUTED_VALUE"""),7.7190804)</f>
        <v>7.7190804</v>
      </c>
      <c r="D19356" s="7">
        <f>IFERROR(__xludf.DUMMYFUNCTION("""COMPUTED_VALUE"""),0.28125)</f>
        <v>0.28125</v>
      </c>
    </row>
    <row r="19357">
      <c r="A19357" s="10" t="s">
        <v>20796</v>
      </c>
      <c r="B19357" s="7" t="str">
        <f>IFERROR(__xludf.DUMMYFUNCTION("SPLIT(A19357,"" "")"),"CN(Cc1ccccn1)c1cc(Cl)c2ncccc2c1N(C)C1CCC(N(C)c2ccc3cc(CF)cnc3c2)CC1")</f>
        <v>CN(Cc1ccccn1)c1cc(Cl)c2ncccc2c1N(C)C1CCC(N(C)c2ccc3cc(CF)cnc3c2)CC1</v>
      </c>
      <c r="C19357" s="7">
        <f>IFERROR(__xludf.DUMMYFUNCTION("""COMPUTED_VALUE"""),7.7190804)</f>
        <v>7.7190804</v>
      </c>
      <c r="D19357" s="7">
        <f>IFERROR(__xludf.DUMMYFUNCTION("""COMPUTED_VALUE"""),0.402985074626865)</f>
        <v>0.4029850746</v>
      </c>
    </row>
    <row r="19358">
      <c r="A19358" s="10" t="s">
        <v>20797</v>
      </c>
      <c r="B19358" s="7" t="str">
        <f>IFERROR(__xludf.DUMMYFUNCTION("SPLIT(A19358,"" "")"),"Cc1cccnc1-c1cccc(CN(C)Cc2cc(-c3ccccc3N=Cc3ccccn3)ccn2)c1")</f>
        <v>Cc1cccnc1-c1cccc(CN(C)Cc2cc(-c3ccccc3N=Cc3ccccn3)ccn2)c1</v>
      </c>
      <c r="C19358" s="7">
        <f>IFERROR(__xludf.DUMMYFUNCTION("""COMPUTED_VALUE"""),7.7190504)</f>
        <v>7.7190504</v>
      </c>
      <c r="D19358" s="7">
        <f>IFERROR(__xludf.DUMMYFUNCTION("""COMPUTED_VALUE"""),0.428571428571428)</f>
        <v>0.4285714286</v>
      </c>
    </row>
    <row r="19359">
      <c r="A19359" s="10" t="s">
        <v>20798</v>
      </c>
      <c r="B19359" s="7" t="str">
        <f>IFERROR(__xludf.DUMMYFUNCTION("SPLIT(A19359,"" "")"),"CN(Cc1ccccn1)C1=CCC=C(CN(C)c2ccc3ncc(CF)cc3c2)N1")</f>
        <v>CN(Cc1ccccn1)C1=CCC=C(CN(C)c2ccc3ncc(CF)cc3c2)N1</v>
      </c>
      <c r="C19359" s="7">
        <f>IFERROR(__xludf.DUMMYFUNCTION("""COMPUTED_VALUE"""),7.7190495)</f>
        <v>7.7190495</v>
      </c>
      <c r="D19359" s="7">
        <f>IFERROR(__xludf.DUMMYFUNCTION("""COMPUTED_VALUE"""),0.349206349206349)</f>
        <v>0.3492063492</v>
      </c>
    </row>
    <row r="19360">
      <c r="A19360" s="10" t="s">
        <v>20799</v>
      </c>
      <c r="B19360" s="7" t="str">
        <f>IFERROR(__xludf.DUMMYFUNCTION("SPLIT(A19360,"" "")"),"CN(C)Cc1ccc2cc(N(C)Cc3cccc(F)n3)ccc2n1")</f>
        <v>CN(C)Cc1ccc2cc(N(C)Cc3cccc(F)n3)ccc2n1</v>
      </c>
      <c r="C19360" s="7">
        <f>IFERROR(__xludf.DUMMYFUNCTION("""COMPUTED_VALUE"""),7.7190495)</f>
        <v>7.7190495</v>
      </c>
      <c r="D19360" s="7">
        <f>IFERROR(__xludf.DUMMYFUNCTION("""COMPUTED_VALUE"""),0.369565217391304)</f>
        <v>0.3695652174</v>
      </c>
    </row>
    <row r="19361">
      <c r="A19361" s="10" t="s">
        <v>20800</v>
      </c>
      <c r="B19361" s="7" t="str">
        <f>IFERROR(__xludf.DUMMYFUNCTION("SPLIT(A19361,"" "")"),"CN(Cc1ccccn1)C1=CNC=C(CN(C)c2ccc3cccnc3c2)C1")</f>
        <v>CN(Cc1ccccn1)C1=CNC=C(CN(C)c2ccc3cccnc3c2)C1</v>
      </c>
      <c r="C19361" s="7">
        <f>IFERROR(__xludf.DUMMYFUNCTION("""COMPUTED_VALUE"""),7.7190456)</f>
        <v>7.7190456</v>
      </c>
      <c r="D19361" s="7">
        <f>IFERROR(__xludf.DUMMYFUNCTION("""COMPUTED_VALUE"""),0.410714285714285)</f>
        <v>0.4107142857</v>
      </c>
    </row>
    <row r="19362">
      <c r="A19362" s="10" t="s">
        <v>20801</v>
      </c>
      <c r="B19362" s="7" t="str">
        <f>IFERROR(__xludf.DUMMYFUNCTION("SPLIT(A19362,"" "")"),"Cc1ccccc1-c1cc(CN(C)Cc2cc(-c3cccc(N=Cc4ccccn4)c3)ccn2)ccn1")</f>
        <v>Cc1ccccc1-c1cc(CN(C)Cc2cc(-c3cccc(N=Cc4ccccn4)c3)ccn2)ccn1</v>
      </c>
      <c r="C19362" s="7">
        <f>IFERROR(__xludf.DUMMYFUNCTION("""COMPUTED_VALUE"""),7.719037)</f>
        <v>7.719037</v>
      </c>
      <c r="D19362" s="7">
        <f>IFERROR(__xludf.DUMMYFUNCTION("""COMPUTED_VALUE"""),0.369230769230769)</f>
        <v>0.3692307692</v>
      </c>
    </row>
    <row r="19363">
      <c r="A19363" s="10" t="s">
        <v>20802</v>
      </c>
      <c r="B19363" s="7" t="str">
        <f>IFERROR(__xludf.DUMMYFUNCTION("SPLIT(A19363,"" "")"),"Cc1ccnc(CN(C)c2ccc3nc(CF)ccc3c2)c1")</f>
        <v>Cc1ccnc(CN(C)c2ccc3nc(CF)ccc3c2)c1</v>
      </c>
      <c r="C19363" s="7">
        <f>IFERROR(__xludf.DUMMYFUNCTION("""COMPUTED_VALUE"""),7.7190247)</f>
        <v>7.7190247</v>
      </c>
      <c r="D19363" s="7">
        <f>IFERROR(__xludf.DUMMYFUNCTION("""COMPUTED_VALUE"""),0.326530612244897)</f>
        <v>0.3265306122</v>
      </c>
    </row>
    <row r="19364">
      <c r="A19364" s="10" t="s">
        <v>20803</v>
      </c>
      <c r="B19364" s="7" t="str">
        <f>IFERROR(__xludf.DUMMYFUNCTION("SPLIT(A19364,"" "")"),"Cc1cc(NCc2ccccn2)ccc1CN(C)Cc1ncccc1-c1cc(N)c2cccnc2c1")</f>
        <v>Cc1cc(NCc2ccccn2)ccc1CN(C)Cc1ncccc1-c1cc(N)c2cccnc2c1</v>
      </c>
      <c r="C19364" s="7">
        <f>IFERROR(__xludf.DUMMYFUNCTION("""COMPUTED_VALUE"""),7.7190194)</f>
        <v>7.7190194</v>
      </c>
      <c r="D19364" s="7">
        <f>IFERROR(__xludf.DUMMYFUNCTION("""COMPUTED_VALUE"""),0.324324324324324)</f>
        <v>0.3243243243</v>
      </c>
    </row>
    <row r="19365">
      <c r="A19365" s="10" t="s">
        <v>20804</v>
      </c>
      <c r="B19365" s="7" t="str">
        <f>IFERROR(__xludf.DUMMYFUNCTION("SPLIT(A19365,"" "")"),"CN(CCN(C)c1ccc2cccnc2c1)Cc1ccc2ncccc2c1")</f>
        <v>CN(CCN(C)c1ccc2cccnc2c1)Cc1ccc2ncccc2c1</v>
      </c>
      <c r="C19365" s="7">
        <f>IFERROR(__xludf.DUMMYFUNCTION("""COMPUTED_VALUE"""),7.719016)</f>
        <v>7.719016</v>
      </c>
      <c r="D19365" s="7">
        <f>IFERROR(__xludf.DUMMYFUNCTION("""COMPUTED_VALUE"""),0.408163265306122)</f>
        <v>0.4081632653</v>
      </c>
    </row>
    <row r="19366">
      <c r="A19366" s="10" t="s">
        <v>20805</v>
      </c>
      <c r="B19366" s="7" t="str">
        <f>IFERROR(__xludf.DUMMYFUNCTION("SPLIT(A19366,"" "")"),"CN(CCN(C)c1ccc2cccnc2c1)Cc1ccc2cccnc2c1")</f>
        <v>CN(CCN(C)c1ccc2cccnc2c1)Cc1ccc2cccnc2c1</v>
      </c>
      <c r="C19366" s="7">
        <f>IFERROR(__xludf.DUMMYFUNCTION("""COMPUTED_VALUE"""),7.7190137)</f>
        <v>7.7190137</v>
      </c>
      <c r="D19366" s="7">
        <f>IFERROR(__xludf.DUMMYFUNCTION("""COMPUTED_VALUE"""),0.425531914893617)</f>
        <v>0.4255319149</v>
      </c>
    </row>
    <row r="19367">
      <c r="A19367" s="10" t="s">
        <v>20806</v>
      </c>
      <c r="B19367" s="7" t="str">
        <f>IFERROR(__xludf.DUMMYFUNCTION("SPLIT(A19367,"" "")"),"Cc1cnc2cccc(N(C)CCN(C)c3c(C)cccc3C)c2c1")</f>
        <v>Cc1cnc2cccc(N(C)CCN(C)c3c(C)cccc3C)c2c1</v>
      </c>
      <c r="C19367" s="7">
        <f>IFERROR(__xludf.DUMMYFUNCTION("""COMPUTED_VALUE"""),7.7190056)</f>
        <v>7.7190056</v>
      </c>
      <c r="D19367" s="7">
        <f>IFERROR(__xludf.DUMMYFUNCTION("""COMPUTED_VALUE"""),0.4)</f>
        <v>0.4</v>
      </c>
    </row>
    <row r="19368">
      <c r="A19368" s="10" t="s">
        <v>20807</v>
      </c>
      <c r="B19368" s="7" t="str">
        <f>IFERROR(__xludf.DUMMYFUNCTION("SPLIT(A19368,"" "")"),"CNc1cccnc1CN(Cc1ccccn1)c1ccc2ncccc2c1")</f>
        <v>CNc1cccnc1CN(Cc1ccccn1)c1ccc2ncccc2c1</v>
      </c>
      <c r="C19368" s="7">
        <f>IFERROR(__xludf.DUMMYFUNCTION("""COMPUTED_VALUE"""),7.7189946)</f>
        <v>7.7189946</v>
      </c>
      <c r="D19368" s="7">
        <f>IFERROR(__xludf.DUMMYFUNCTION("""COMPUTED_VALUE"""),0.37037037037037)</f>
        <v>0.3703703704</v>
      </c>
    </row>
    <row r="19369">
      <c r="A19369" s="10" t="s">
        <v>20808</v>
      </c>
      <c r="B19369" s="7" t="str">
        <f>IFERROR(__xludf.DUMMYFUNCTION("SPLIT(A19369,"" "")"),"CC(C)N(C)c1ccc2nc(CN(C)Cc3ccc4ncccc4c3)ccc2c1")</f>
        <v>CC(C)N(C)c1ccc2nc(CN(C)Cc3ccc4ncccc4c3)ccc2c1</v>
      </c>
      <c r="C19369" s="7">
        <f>IFERROR(__xludf.DUMMYFUNCTION("""COMPUTED_VALUE"""),7.718964)</f>
        <v>7.718964</v>
      </c>
      <c r="D19369" s="7">
        <f>IFERROR(__xludf.DUMMYFUNCTION("""COMPUTED_VALUE"""),0.37037037037037)</f>
        <v>0.3703703704</v>
      </c>
    </row>
    <row r="19370">
      <c r="A19370" s="10" t="s">
        <v>20809</v>
      </c>
      <c r="B19370" s="7" t="str">
        <f>IFERROR(__xludf.DUMMYFUNCTION("SPLIT(A19370,"" "")"),"Cc1ccnc2cccc(N(C)CCN(C)C)c12")</f>
        <v>Cc1ccnc2cccc(N(C)CCN(C)C)c12</v>
      </c>
      <c r="C19370" s="7">
        <f>IFERROR(__xludf.DUMMYFUNCTION("""COMPUTED_VALUE"""),7.718959)</f>
        <v>7.718959</v>
      </c>
      <c r="D19370" s="7">
        <f>IFERROR(__xludf.DUMMYFUNCTION("""COMPUTED_VALUE"""),0.428571428571428)</f>
        <v>0.4285714286</v>
      </c>
    </row>
    <row r="19371">
      <c r="A19371" s="10" t="s">
        <v>20810</v>
      </c>
      <c r="B19371" s="7" t="str">
        <f>IFERROR(__xludf.DUMMYFUNCTION("SPLIT(A19371,"" "")"),"CN(Cc1cc(C(C)(C)C)ccn1)c1ccc2ncccc2c1")</f>
        <v>CN(Cc1cc(C(C)(C)C)ccn1)c1ccc2ncccc2c1</v>
      </c>
      <c r="C19371" s="7">
        <f>IFERROR(__xludf.DUMMYFUNCTION("""COMPUTED_VALUE"""),7.7189555)</f>
        <v>7.7189555</v>
      </c>
      <c r="D19371" s="7">
        <f>IFERROR(__xludf.DUMMYFUNCTION("""COMPUTED_VALUE"""),0.352941176470588)</f>
        <v>0.3529411765</v>
      </c>
    </row>
    <row r="19372">
      <c r="A19372" s="10" t="s">
        <v>20811</v>
      </c>
      <c r="B19372" s="7" t="str">
        <f>IFERROR(__xludf.DUMMYFUNCTION("SPLIT(A19372,"" "")"),"CNc1ccc2nc(CF)ccc2c1")</f>
        <v>CNc1ccc2nc(CF)ccc2c1</v>
      </c>
      <c r="C19372" s="7">
        <f>IFERROR(__xludf.DUMMYFUNCTION("""COMPUTED_VALUE"""),7.718944)</f>
        <v>7.718944</v>
      </c>
      <c r="D19372" s="7">
        <f>IFERROR(__xludf.DUMMYFUNCTION("""COMPUTED_VALUE"""),0.32)</f>
        <v>0.32</v>
      </c>
    </row>
    <row r="19373">
      <c r="A19373" s="10" t="s">
        <v>20812</v>
      </c>
      <c r="B19373" s="7" t="str">
        <f>IFERROR(__xludf.DUMMYFUNCTION("SPLIT(A19373,"" "")"),"C1=CNC(N(Cc2ccccn2)c2ccc3ncccc3c2)C=C1")</f>
        <v>C1=CNC(N(Cc2ccccn2)c2ccc3ncccc3c2)C=C1</v>
      </c>
      <c r="C19373" s="7">
        <f>IFERROR(__xludf.DUMMYFUNCTION("""COMPUTED_VALUE"""),7.7189436)</f>
        <v>7.7189436</v>
      </c>
      <c r="D19373" s="7">
        <f>IFERROR(__xludf.DUMMYFUNCTION("""COMPUTED_VALUE"""),0.481481481481481)</f>
        <v>0.4814814815</v>
      </c>
    </row>
    <row r="19374">
      <c r="A19374" s="10" t="s">
        <v>20813</v>
      </c>
      <c r="B19374" s="7" t="str">
        <f>IFERROR(__xludf.DUMMYFUNCTION("SPLIT(A19374,"" "")"),"Cc1cc(C2=CC(N(C)CC3=C(N(C)c4ccc5cccnc5c4)CC=CN3)C=CN2)ccc1N")</f>
        <v>Cc1cc(C2=CC(N(C)CC3=C(N(C)c4ccc5cccnc5c4)CC=CN3)C=CN2)ccc1N</v>
      </c>
      <c r="C19374" s="7">
        <f>IFERROR(__xludf.DUMMYFUNCTION("""COMPUTED_VALUE"""),7.718938)</f>
        <v>7.718938</v>
      </c>
      <c r="D19374" s="7">
        <f>IFERROR(__xludf.DUMMYFUNCTION("""COMPUTED_VALUE"""),0.211764705882352)</f>
        <v>0.2117647059</v>
      </c>
    </row>
    <row r="19375">
      <c r="A19375" s="10" t="s">
        <v>20814</v>
      </c>
      <c r="B19375" s="7" t="str">
        <f>IFERROR(__xludf.DUMMYFUNCTION("SPLIT(A19375,"" "")"),"Cc1cnc(C)c(CN(C)Cc2cc(N(C)c3ccc4ncccc4c3)ccn2)c1")</f>
        <v>Cc1cnc(C)c(CN(C)Cc2cc(N(C)c3ccc4ncccc4c3)ccn2)c1</v>
      </c>
      <c r="C19375" s="7">
        <f>IFERROR(__xludf.DUMMYFUNCTION("""COMPUTED_VALUE"""),7.7189245)</f>
        <v>7.7189245</v>
      </c>
      <c r="D19375" s="7">
        <f>IFERROR(__xludf.DUMMYFUNCTION("""COMPUTED_VALUE"""),0.327586206896551)</f>
        <v>0.3275862069</v>
      </c>
    </row>
    <row r="19376">
      <c r="A19376" s="10" t="s">
        <v>20815</v>
      </c>
      <c r="B19376" s="7" t="str">
        <f>IFERROR(__xludf.DUMMYFUNCTION("SPLIT(A19376,"" "")"),"CC(C)C(C)(c1cccnc1)N(C)c1ccc2nccc(-c3ccc(C(C)(C)C)cn3)c2c1")</f>
        <v>CC(C)C(C)(c1cccnc1)N(C)c1ccc2nccc(-c3ccc(C(C)(C)C)cn3)c2c1</v>
      </c>
      <c r="C19376" s="7">
        <f>IFERROR(__xludf.DUMMYFUNCTION("""COMPUTED_VALUE"""),7.7189155)</f>
        <v>7.7189155</v>
      </c>
      <c r="D19376" s="7">
        <f>IFERROR(__xludf.DUMMYFUNCTION("""COMPUTED_VALUE"""),0.169014084507042)</f>
        <v>0.1690140845</v>
      </c>
    </row>
    <row r="19377">
      <c r="A19377" s="10" t="s">
        <v>20816</v>
      </c>
      <c r="B19377" s="7" t="str">
        <f>IFERROR(__xludf.DUMMYFUNCTION("SPLIT(A19377,"" "")"),"Cc1cnc(CN(C)Cc2cccc(N(C)c3ccc4ncccc4c3)n2)c(C)c1")</f>
        <v>Cc1cnc(CN(C)Cc2cccc(N(C)c3ccc4ncccc4c3)n2)c(C)c1</v>
      </c>
      <c r="C19377" s="7">
        <f>IFERROR(__xludf.DUMMYFUNCTION("""COMPUTED_VALUE"""),7.7189136)</f>
        <v>7.7189136</v>
      </c>
      <c r="D19377" s="7">
        <f>IFERROR(__xludf.DUMMYFUNCTION("""COMPUTED_VALUE"""),0.35)</f>
        <v>0.35</v>
      </c>
    </row>
    <row r="19378">
      <c r="A19378" s="10" t="s">
        <v>20817</v>
      </c>
      <c r="B19378" s="7" t="str">
        <f>IFERROR(__xludf.DUMMYFUNCTION("SPLIT(A19378,"" "")"),"CN(Cc1ccccn1)c1cc(N(Cc2ccccn2)C(C)(C)C)c2ncccc2c1")</f>
        <v>CN(Cc1ccccn1)c1cc(N(Cc2ccccn2)C(C)(C)C)c2ncccc2c1</v>
      </c>
      <c r="C19378" s="7">
        <f>IFERROR(__xludf.DUMMYFUNCTION("""COMPUTED_VALUE"""),7.718909)</f>
        <v>7.718909</v>
      </c>
      <c r="D19378" s="7">
        <f>IFERROR(__xludf.DUMMYFUNCTION("""COMPUTED_VALUE"""),0.46938775510204)</f>
        <v>0.4693877551</v>
      </c>
    </row>
    <row r="19379">
      <c r="A19379" s="10" t="s">
        <v>20818</v>
      </c>
      <c r="B19379" s="7" t="str">
        <f>IFERROR(__xludf.DUMMYFUNCTION("SPLIT(A19379,"" "")"),"Cc1ccnc(CN(Cc2ccnc(-c3cc(N(C)Cc4ccccn4)cc4ncccc34)c2)Cc2ccccn2)c1")</f>
        <v>Cc1ccnc(CN(Cc2ccnc(-c3cc(N(C)Cc4ccccn4)cc4ncccc34)c2)Cc2ccccn2)c1</v>
      </c>
      <c r="C19379" s="7">
        <f>IFERROR(__xludf.DUMMYFUNCTION("""COMPUTED_VALUE"""),7.718906)</f>
        <v>7.718906</v>
      </c>
      <c r="D19379" s="7">
        <f>IFERROR(__xludf.DUMMYFUNCTION("""COMPUTED_VALUE"""),0.37037037037037)</f>
        <v>0.3703703704</v>
      </c>
    </row>
    <row r="19380">
      <c r="A19380" s="10" t="s">
        <v>20819</v>
      </c>
      <c r="B19380" s="7" t="str">
        <f>IFERROR(__xludf.DUMMYFUNCTION("SPLIT(A19380,"" "")"),"Cc1cccnc1CN(C)Cc1ccc(N(C)c2cccc3ncccc23)cn1")</f>
        <v>Cc1cccnc1CN(C)Cc1ccc(N(C)c2cccc3ncccc23)cn1</v>
      </c>
      <c r="C19380" s="7">
        <f>IFERROR(__xludf.DUMMYFUNCTION("""COMPUTED_VALUE"""),7.718884)</f>
        <v>7.718884</v>
      </c>
      <c r="D19380" s="7">
        <f>IFERROR(__xludf.DUMMYFUNCTION("""COMPUTED_VALUE"""),0.346153846153846)</f>
        <v>0.3461538462</v>
      </c>
    </row>
    <row r="19381">
      <c r="A19381" s="10" t="s">
        <v>20820</v>
      </c>
      <c r="B19381" s="7" t="str">
        <f>IFERROR(__xludf.DUMMYFUNCTION("SPLIT(A19381,"" "")"),"Cc1cnc(C)c(CN(C)c2ccc(Cl)c(N(C)Cc3cc(C)c(C)c(C)n3)c2C)c1")</f>
        <v>Cc1cnc(C)c(CN(C)c2ccc(Cl)c(N(C)Cc3cc(C)c(C)c(C)n3)c2C)c1</v>
      </c>
      <c r="C19381" s="7">
        <f>IFERROR(__xludf.DUMMYFUNCTION("""COMPUTED_VALUE"""),7.71888)</f>
        <v>7.71888</v>
      </c>
      <c r="D19381" s="7">
        <f>IFERROR(__xludf.DUMMYFUNCTION("""COMPUTED_VALUE"""),0.327586206896551)</f>
        <v>0.3275862069</v>
      </c>
    </row>
    <row r="19382">
      <c r="A19382" s="10" t="s">
        <v>20821</v>
      </c>
      <c r="B19382" s="7" t="str">
        <f>IFERROR(__xludf.DUMMYFUNCTION("SPLIT(A19382,"" "")"),"CN(CC1=CCC(N(C)C2C=CC=CN2)=CN1)c1cccc2ncccc12")</f>
        <v>CN(CC1=CCC(N(C)C2C=CC=CN2)=CN1)c1cccc2ncccc12</v>
      </c>
      <c r="C19382" s="7">
        <f>IFERROR(__xludf.DUMMYFUNCTION("""COMPUTED_VALUE"""),7.718868)</f>
        <v>7.718868</v>
      </c>
      <c r="D19382" s="7">
        <f>IFERROR(__xludf.DUMMYFUNCTION("""COMPUTED_VALUE"""),0.313432835820895)</f>
        <v>0.3134328358</v>
      </c>
    </row>
    <row r="19383">
      <c r="A19383" s="10" t="s">
        <v>20822</v>
      </c>
      <c r="B19383" s="7" t="str">
        <f>IFERROR(__xludf.DUMMYFUNCTION("SPLIT(A19383,"" "")"),"Cc1ccc(CN(C)Cc2cc(N(C)c3ccc4ncccc4c3)ccn2)nc1C")</f>
        <v>Cc1ccc(CN(C)Cc2cc(N(C)c3ccc4ncccc4c3)ccn2)nc1C</v>
      </c>
      <c r="C19383" s="7">
        <f>IFERROR(__xludf.DUMMYFUNCTION("""COMPUTED_VALUE"""),7.718855)</f>
        <v>7.718855</v>
      </c>
      <c r="D19383" s="7">
        <f>IFERROR(__xludf.DUMMYFUNCTION("""COMPUTED_VALUE"""),0.357142857142857)</f>
        <v>0.3571428571</v>
      </c>
    </row>
    <row r="19384">
      <c r="A19384" s="10" t="s">
        <v>20823</v>
      </c>
      <c r="B19384" s="7" t="str">
        <f>IFERROR(__xludf.DUMMYFUNCTION("SPLIT(A19384,"" "")"),"CN(CC1=CCC=CN1)Cc1cccc(-c2ccc3ncccc3c2)n1")</f>
        <v>CN(CC1=CCC=CN1)Cc1cccc(-c2ccc3ncccc3c2)n1</v>
      </c>
      <c r="C19384" s="7">
        <f>IFERROR(__xludf.DUMMYFUNCTION("""COMPUTED_VALUE"""),7.7188506)</f>
        <v>7.7188506</v>
      </c>
      <c r="D19384" s="7">
        <f>IFERROR(__xludf.DUMMYFUNCTION("""COMPUTED_VALUE"""),0.45)</f>
        <v>0.45</v>
      </c>
    </row>
    <row r="19385">
      <c r="A19385" s="10" t="s">
        <v>20824</v>
      </c>
      <c r="B19385" s="7" t="str">
        <f>IFERROR(__xludf.DUMMYFUNCTION("SPLIT(A19385,"" "")"),"CN(Cc1ccccn1)C1=CCC=C(CN(C)c2cccc3cc(CF)cnc23)N1")</f>
        <v>CN(Cc1ccccn1)C1=CCC=C(CN(C)c2cccc3cc(CF)cnc23)N1</v>
      </c>
      <c r="C19385" s="7">
        <f>IFERROR(__xludf.DUMMYFUNCTION("""COMPUTED_VALUE"""),7.7188497)</f>
        <v>7.7188497</v>
      </c>
      <c r="D19385" s="7">
        <f>IFERROR(__xludf.DUMMYFUNCTION("""COMPUTED_VALUE"""),0.393442622950819)</f>
        <v>0.393442623</v>
      </c>
    </row>
    <row r="19386">
      <c r="A19386" s="10" t="s">
        <v>20825</v>
      </c>
      <c r="B19386" s="7" t="str">
        <f>IFERROR(__xludf.DUMMYFUNCTION("SPLIT(A19386,"" "")"),"Cc1cccnc1CN(C)C1=CC(CN(C)c2cccc3ncccc23)C=CN1")</f>
        <v>Cc1cccnc1CN(C)C1=CC(CN(C)c2cccc3ncccc23)C=CN1</v>
      </c>
      <c r="C19386" s="7">
        <f>IFERROR(__xludf.DUMMYFUNCTION("""COMPUTED_VALUE"""),7.7188478)</f>
        <v>7.7188478</v>
      </c>
      <c r="D19386" s="7">
        <f>IFERROR(__xludf.DUMMYFUNCTION("""COMPUTED_VALUE"""),0.306451612903225)</f>
        <v>0.3064516129</v>
      </c>
    </row>
    <row r="19387">
      <c r="A19387" s="10" t="s">
        <v>20826</v>
      </c>
      <c r="B19387" s="7" t="str">
        <f>IFERROR(__xludf.DUMMYFUNCTION("SPLIT(A19387,"" "")"),"CN(Cc1cccnc1)c1cccc2ncc(CF)cc12")</f>
        <v>CN(Cc1cccnc1)c1cccc2ncc(CF)cc12</v>
      </c>
      <c r="C19387" s="7">
        <f>IFERROR(__xludf.DUMMYFUNCTION("""COMPUTED_VALUE"""),7.7188463)</f>
        <v>7.7188463</v>
      </c>
      <c r="D19387" s="7">
        <f>IFERROR(__xludf.DUMMYFUNCTION("""COMPUTED_VALUE"""),0.326923076923076)</f>
        <v>0.3269230769</v>
      </c>
    </row>
    <row r="19388">
      <c r="A19388" s="10" t="s">
        <v>20827</v>
      </c>
      <c r="B19388" s="7" t="str">
        <f>IFERROR(__xludf.DUMMYFUNCTION("SPLIT(A19388,"" "")"),"Cc1ccc(C)c(CN(C)Cc2cc(N(C)c3ccc4ncccc4c3)ccn2)n1")</f>
        <v>Cc1ccc(C)c(CN(C)Cc2cc(N(C)c3ccc4ncccc4c3)ccn2)n1</v>
      </c>
      <c r="C19388" s="7">
        <f>IFERROR(__xludf.DUMMYFUNCTION("""COMPUTED_VALUE"""),7.7188354)</f>
        <v>7.7188354</v>
      </c>
      <c r="D19388" s="7">
        <f>IFERROR(__xludf.DUMMYFUNCTION("""COMPUTED_VALUE"""),0.322033898305084)</f>
        <v>0.3220338983</v>
      </c>
    </row>
    <row r="19389">
      <c r="A19389" s="10" t="s">
        <v>20828</v>
      </c>
      <c r="B19389" s="7" t="str">
        <f>IFERROR(__xludf.DUMMYFUNCTION("SPLIT(A19389,"" "")"),"CN(C)Cc1cc(-c2cccc(N(C)C)c2)ccn1")</f>
        <v>CN(C)Cc1cc(-c2cccc(N(C)C)c2)ccn1</v>
      </c>
      <c r="C19389" s="7">
        <f>IFERROR(__xludf.DUMMYFUNCTION("""COMPUTED_VALUE"""),7.718821)</f>
        <v>7.718821</v>
      </c>
      <c r="D19389" s="7">
        <f>IFERROR(__xludf.DUMMYFUNCTION("""COMPUTED_VALUE"""),0.34090909090909)</f>
        <v>0.3409090909</v>
      </c>
    </row>
    <row r="19390">
      <c r="A19390" s="10" t="s">
        <v>20829</v>
      </c>
      <c r="B19390" s="7" t="str">
        <f>IFERROR(__xludf.DUMMYFUNCTION("SPLIT(A19390,"" "")"),"CN(Cc1ccccn1)C1=CNC(CN(C)c2ccc3nccc(CF)c3c2)=CC1")</f>
        <v>CN(Cc1ccccn1)C1=CNC(CN(C)c2ccc3nccc(CF)c3c2)=CC1</v>
      </c>
      <c r="C19390" s="7">
        <f>IFERROR(__xludf.DUMMYFUNCTION("""COMPUTED_VALUE"""),7.7188053)</f>
        <v>7.7188053</v>
      </c>
      <c r="D19390" s="7">
        <f>IFERROR(__xludf.DUMMYFUNCTION("""COMPUTED_VALUE"""),0.34375)</f>
        <v>0.34375</v>
      </c>
    </row>
    <row r="19391">
      <c r="A19391" s="10" t="s">
        <v>20830</v>
      </c>
      <c r="B19391" s="7" t="str">
        <f>IFERROR(__xludf.DUMMYFUNCTION("SPLIT(A19391,"" "")"),"Cc1cc(CN(Cc2ccccn2)c2cc(N(C)Cc3ccccn3)c3nc(CN(C)C)ccc3c2)cnc1C")</f>
        <v>Cc1cc(CN(Cc2ccccn2)c2cc(N(C)Cc3ccccn3)c3nc(CN(C)C)ccc3c2)cnc1C</v>
      </c>
      <c r="C19391" s="7">
        <f>IFERROR(__xludf.DUMMYFUNCTION("""COMPUTED_VALUE"""),7.7188025)</f>
        <v>7.7188025</v>
      </c>
      <c r="D19391" s="7">
        <f>IFERROR(__xludf.DUMMYFUNCTION("""COMPUTED_VALUE"""),0.4)</f>
        <v>0.4</v>
      </c>
    </row>
    <row r="19392">
      <c r="A19392" s="10" t="s">
        <v>20831</v>
      </c>
      <c r="B19392" s="7" t="str">
        <f>IFERROR(__xludf.DUMMYFUNCTION("SPLIT(A19392,"" "")"),"CN(Cc1ncccc1-c1ccc2ncccc2c1)Cc1ncccc1C(C)(C)c1ccccn1")</f>
        <v>CN(Cc1ncccc1-c1ccc2ncccc2c1)Cc1ncccc1C(C)(C)c1ccccn1</v>
      </c>
      <c r="C19392" s="7">
        <f>IFERROR(__xludf.DUMMYFUNCTION("""COMPUTED_VALUE"""),7.7188025)</f>
        <v>7.7188025</v>
      </c>
      <c r="D19392" s="7">
        <f>IFERROR(__xludf.DUMMYFUNCTION("""COMPUTED_VALUE"""),0.333333333333333)</f>
        <v>0.3333333333</v>
      </c>
    </row>
    <row r="19393">
      <c r="A19393" s="10" t="s">
        <v>20832</v>
      </c>
      <c r="B19393" s="7" t="str">
        <f>IFERROR(__xludf.DUMMYFUNCTION("SPLIT(A19393,"" "")"),"CN(Cc1cccnn1)C1=C(CN(C)c2ccc3cccnc3c2)NC=CC1")</f>
        <v>CN(Cc1cccnn1)C1=C(CN(C)c2ccc3cccnc3c2)NC=CC1</v>
      </c>
      <c r="C19393" s="7">
        <f>IFERROR(__xludf.DUMMYFUNCTION("""COMPUTED_VALUE"""),7.718778)</f>
        <v>7.718778</v>
      </c>
      <c r="D19393" s="7">
        <f>IFERROR(__xludf.DUMMYFUNCTION("""COMPUTED_VALUE"""),0.344827586206896)</f>
        <v>0.3448275862</v>
      </c>
    </row>
    <row r="19394">
      <c r="A19394" s="10" t="s">
        <v>20833</v>
      </c>
      <c r="B19394" s="7" t="str">
        <f>IFERROR(__xludf.DUMMYFUNCTION("SPLIT(A19394,"" "")"),"CN(c1cccc2ncccc12)C1C2CCC1(N(C)c1cccc3ncccc13)CC2")</f>
        <v>CN(c1cccc2ncccc12)C1C2CCC1(N(C)c1cccc3ncccc13)CC2</v>
      </c>
      <c r="C19394" s="7">
        <f>IFERROR(__xludf.DUMMYFUNCTION("""COMPUTED_VALUE"""),7.7187777)</f>
        <v>7.7187777</v>
      </c>
      <c r="D19394" s="7">
        <f>IFERROR(__xludf.DUMMYFUNCTION("""COMPUTED_VALUE"""),0.363636363636363)</f>
        <v>0.3636363636</v>
      </c>
    </row>
    <row r="19395">
      <c r="A19395" s="10" t="s">
        <v>20834</v>
      </c>
      <c r="B19395" s="7" t="str">
        <f>IFERROR(__xludf.DUMMYFUNCTION("SPLIT(A19395,"" "")"),"Cc1ccnc2ccc(N(C)CCN(C)C)cc12")</f>
        <v>Cc1ccnc2ccc(N(C)CCN(C)C)cc12</v>
      </c>
      <c r="C19395" s="7">
        <f>IFERROR(__xludf.DUMMYFUNCTION("""COMPUTED_VALUE"""),7.7187614)</f>
        <v>7.7187614</v>
      </c>
      <c r="D19395" s="7">
        <f>IFERROR(__xludf.DUMMYFUNCTION("""COMPUTED_VALUE"""),0.304347826086956)</f>
        <v>0.3043478261</v>
      </c>
    </row>
    <row r="19396">
      <c r="A19396" s="10" t="s">
        <v>20835</v>
      </c>
      <c r="B19396" s="7" t="str">
        <f>IFERROR(__xludf.DUMMYFUNCTION("SPLIT(A19396,"" "")"),"Cc1cccc(N(C)c2ccc3c(CN(C)Cc4nc(C)c(C)cc4C)ccnc3c2)c1")</f>
        <v>Cc1cccc(N(C)c2ccc3c(CN(C)Cc4nc(C)c(C)cc4C)ccnc3c2)c1</v>
      </c>
      <c r="C19396" s="7">
        <f>IFERROR(__xludf.DUMMYFUNCTION("""COMPUTED_VALUE"""),7.718759)</f>
        <v>7.718759</v>
      </c>
      <c r="D19396" s="7">
        <f>IFERROR(__xludf.DUMMYFUNCTION("""COMPUTED_VALUE"""),0.278688524590163)</f>
        <v>0.2786885246</v>
      </c>
    </row>
    <row r="19397">
      <c r="A19397" s="10" t="s">
        <v>20836</v>
      </c>
      <c r="B19397" s="7" t="str">
        <f>IFERROR(__xludf.DUMMYFUNCTION("SPLIT(A19397,"" "")"),"CN(C)Cc1nccc2cc(N(C)CCN(C)Cc3ccc4ncccc4c3)ccc12")</f>
        <v>CN(C)Cc1nccc2cc(N(C)CCN(C)Cc3ccc4ncccc4c3)ccc12</v>
      </c>
      <c r="C19397" s="7">
        <f>IFERROR(__xludf.DUMMYFUNCTION("""COMPUTED_VALUE"""),7.7187467)</f>
        <v>7.7187467</v>
      </c>
      <c r="D19397" s="7">
        <f>IFERROR(__xludf.DUMMYFUNCTION("""COMPUTED_VALUE"""),0.344827586206896)</f>
        <v>0.3448275862</v>
      </c>
    </row>
    <row r="19398">
      <c r="A19398" s="10" t="s">
        <v>20837</v>
      </c>
      <c r="B19398" s="7" t="str">
        <f>IFERROR(__xludf.DUMMYFUNCTION("SPLIT(A19398,"" "")"),"Cc1cccnc1CN(Cc1ccnc(-c2c(N(C)Cc3ncccc3C)ccc3cccnc23)c1)Cc1ccccn1")</f>
        <v>Cc1cccnc1CN(Cc1ccnc(-c2c(N(C)Cc3ncccc3C)ccc3cccnc23)c1)Cc1ccccn1</v>
      </c>
      <c r="C19398" s="7">
        <f>IFERROR(__xludf.DUMMYFUNCTION("""COMPUTED_VALUE"""),7.718746)</f>
        <v>7.718746</v>
      </c>
      <c r="D19398" s="7">
        <f>IFERROR(__xludf.DUMMYFUNCTION("""COMPUTED_VALUE"""),0.370967741935483)</f>
        <v>0.3709677419</v>
      </c>
    </row>
    <row r="19399">
      <c r="A19399" s="10" t="s">
        <v>20838</v>
      </c>
      <c r="B19399" s="7" t="str">
        <f>IFERROR(__xludf.DUMMYFUNCTION("SPLIT(A19399,"" "")"),"Cc1cc(C)c(CN(C)C2=C(CN(C)c3ccc4ncccc4c3)NC=CC2)cn1")</f>
        <v>Cc1cc(C)c(CN(C)C2=C(CN(C)c3ccc4ncccc4c3)NC=CC2)cn1</v>
      </c>
      <c r="C19399" s="7">
        <f>IFERROR(__xludf.DUMMYFUNCTION("""COMPUTED_VALUE"""),7.718736)</f>
        <v>7.718736</v>
      </c>
      <c r="D19399" s="7">
        <f>IFERROR(__xludf.DUMMYFUNCTION("""COMPUTED_VALUE"""),0.253731343283582)</f>
        <v>0.2537313433</v>
      </c>
    </row>
    <row r="19400">
      <c r="A19400" s="10" t="s">
        <v>20839</v>
      </c>
      <c r="B19400" s="7" t="str">
        <f>IFERROR(__xludf.DUMMYFUNCTION("SPLIT(A19400,"" "")"),"Cc1cc(C)c(CN(C)C2=C(CN(C)c3ccc4cccnc4c3)NC=CC2)cn1")</f>
        <v>Cc1cc(C)c(CN(C)C2=C(CN(C)c3ccc4cccnc4c3)NC=CC2)cn1</v>
      </c>
      <c r="C19400" s="7">
        <f>IFERROR(__xludf.DUMMYFUNCTION("""COMPUTED_VALUE"""),7.718735)</f>
        <v>7.718735</v>
      </c>
      <c r="D19400" s="7">
        <f>IFERROR(__xludf.DUMMYFUNCTION("""COMPUTED_VALUE"""),0.25)</f>
        <v>0.25</v>
      </c>
    </row>
    <row r="19401">
      <c r="A19401" s="10" t="s">
        <v>20840</v>
      </c>
      <c r="B19401" s="7" t="str">
        <f>IFERROR(__xludf.DUMMYFUNCTION("SPLIT(A19401,"" "")"),"CC(C)N(Cc1ccccn1)c1cc(N(C)Cc2ccccn2)c2ccc(C(C)(C)C)nc2c1")</f>
        <v>CC(C)N(Cc1ccccn1)c1cc(N(C)Cc2ccccn2)c2ccc(C(C)(C)C)nc2c1</v>
      </c>
      <c r="C19401" s="7">
        <f>IFERROR(__xludf.DUMMYFUNCTION("""COMPUTED_VALUE"""),7.718721)</f>
        <v>7.718721</v>
      </c>
      <c r="D19401" s="7">
        <f>IFERROR(__xludf.DUMMYFUNCTION("""COMPUTED_VALUE"""),0.444444444444444)</f>
        <v>0.4444444444</v>
      </c>
    </row>
    <row r="19402">
      <c r="A19402" s="10" t="s">
        <v>20841</v>
      </c>
      <c r="B19402" s="7" t="str">
        <f>IFERROR(__xludf.DUMMYFUNCTION("SPLIT(A19402,"" "")"),"C1=CNC(c2cccc(-c3ccccc3NCc3ccccn3)n2)=CC1")</f>
        <v>C1=CNC(c2cccc(-c3ccccc3NCc3ccccn3)n2)=CC1</v>
      </c>
      <c r="C19402" s="7">
        <f>IFERROR(__xludf.DUMMYFUNCTION("""COMPUTED_VALUE"""),7.718719)</f>
        <v>7.718719</v>
      </c>
      <c r="D19402" s="7">
        <f>IFERROR(__xludf.DUMMYFUNCTION("""COMPUTED_VALUE"""),0.413793103448275)</f>
        <v>0.4137931034</v>
      </c>
    </row>
    <row r="19403">
      <c r="A19403" s="10" t="s">
        <v>20842</v>
      </c>
      <c r="B19403" s="7" t="str">
        <f>IFERROR(__xludf.DUMMYFUNCTION("SPLIT(A19403,"" "")"),"Cc1cc(CN(C)C2=C(CN(C)c3ccc4cccnc4c3)NC=CC2)cnc1C")</f>
        <v>Cc1cc(CN(C)C2=C(CN(C)c3ccc4cccnc4c3)NC=CC2)cnc1C</v>
      </c>
      <c r="C19403" s="7">
        <f>IFERROR(__xludf.DUMMYFUNCTION("""COMPUTED_VALUE"""),7.7187114)</f>
        <v>7.7187114</v>
      </c>
      <c r="D19403" s="7">
        <f>IFERROR(__xludf.DUMMYFUNCTION("""COMPUTED_VALUE"""),0.25)</f>
        <v>0.25</v>
      </c>
    </row>
    <row r="19404">
      <c r="A19404" s="10" t="s">
        <v>20843</v>
      </c>
      <c r="B19404" s="7" t="str">
        <f>IFERROR(__xludf.DUMMYFUNCTION("SPLIT(A19404,"" "")"),"Cc1ccc(CN(Cc2ccccn2)c2ccc3nc(CN(C)Cc4cccc(-c5cccc(N=Cc6ccccn6)c5)n4)ccc3c2)nc1C")</f>
        <v>Cc1ccc(CN(Cc2ccccn2)c2ccc3nc(CN(C)Cc4cccc(-c5cccc(N=Cc6ccccn6)c5)n4)ccc3c2)nc1C</v>
      </c>
      <c r="C19404" s="7">
        <f>IFERROR(__xludf.DUMMYFUNCTION("""COMPUTED_VALUE"""),7.7187104)</f>
        <v>7.7187104</v>
      </c>
      <c r="D19404" s="7">
        <f>IFERROR(__xludf.DUMMYFUNCTION("""COMPUTED_VALUE"""),0.405797101449275)</f>
        <v>0.4057971014</v>
      </c>
    </row>
    <row r="19405">
      <c r="A19405" s="10" t="s">
        <v>20844</v>
      </c>
      <c r="B19405" s="7" t="str">
        <f>IFERROR(__xludf.DUMMYFUNCTION("SPLIT(A19405,"" "")"),"Cc1ccc(-c2cccc(NCc3ccccn3)c2)nc1CN(Cc1ccccn1)c1ccc2ncccc2c1")</f>
        <v>Cc1ccc(-c2cccc(NCc3ccccn3)c2)nc1CN(Cc1ccccn1)c1ccc2ncccc2c1</v>
      </c>
      <c r="C19405" s="7">
        <f>IFERROR(__xludf.DUMMYFUNCTION("""COMPUTED_VALUE"""),7.7187104)</f>
        <v>7.7187104</v>
      </c>
      <c r="D19405" s="7">
        <f>IFERROR(__xludf.DUMMYFUNCTION("""COMPUTED_VALUE"""),0.361111111111111)</f>
        <v>0.3611111111</v>
      </c>
    </row>
    <row r="19406">
      <c r="A19406" s="10" t="s">
        <v>20845</v>
      </c>
      <c r="B19406" s="7" t="str">
        <f>IFERROR(__xludf.DUMMYFUNCTION("SPLIT(A19406,"" "")"),"Cc1cnc(CN(C)c2ccc(-c3ccccn3)cc2-c2cccc(CN(Cc3ccccn3)Cc3ccc(-c4cccc(NCc5ccccn5)c4C)cn3)n2)c(C)c1")</f>
        <v>Cc1cnc(CN(C)c2ccc(-c3ccccn3)cc2-c2cccc(CN(Cc3ccccn3)Cc3ccc(-c4cccc(NCc5ccccn5)c4C)cn3)n2)c(C)c1</v>
      </c>
      <c r="C19406" s="7">
        <f>IFERROR(__xludf.DUMMYFUNCTION("""COMPUTED_VALUE"""),7.7187023)</f>
        <v>7.7187023</v>
      </c>
      <c r="D19406" s="7">
        <f>IFERROR(__xludf.DUMMYFUNCTION("""COMPUTED_VALUE"""),0.365853658536585)</f>
        <v>0.3658536585</v>
      </c>
    </row>
    <row r="19407">
      <c r="A19407" s="10" t="s">
        <v>20846</v>
      </c>
      <c r="B19407" s="7" t="str">
        <f>IFERROR(__xludf.DUMMYFUNCTION("SPLIT(A19407,"" "")"),"CN(Cc1ccccn1)C1=C(CN(C)c2ccc3ncccc3c2)NC=CC1")</f>
        <v>CN(Cc1ccccn1)C1=C(CN(C)c2ccc3ncccc3c2)NC=CC1</v>
      </c>
      <c r="C19407" s="7">
        <f>IFERROR(__xludf.DUMMYFUNCTION("""COMPUTED_VALUE"""),7.718698)</f>
        <v>7.718698</v>
      </c>
      <c r="D19407" s="7">
        <f>IFERROR(__xludf.DUMMYFUNCTION("""COMPUTED_VALUE"""),0.385964912280701)</f>
        <v>0.3859649123</v>
      </c>
    </row>
    <row r="19408">
      <c r="A19408" s="10" t="s">
        <v>20847</v>
      </c>
      <c r="B19408" s="7" t="str">
        <f>IFERROR(__xludf.DUMMYFUNCTION("SPLIT(A19408,"" "")"),"CN(Cc1ccccn1)C1=CNC(CN(C)c2cccc3c(CF)ccnc23)=CC1")</f>
        <v>CN(Cc1ccccn1)C1=CNC(CN(C)c2cccc3c(CF)ccnc23)=CC1</v>
      </c>
      <c r="C19408" s="7">
        <f>IFERROR(__xludf.DUMMYFUNCTION("""COMPUTED_VALUE"""),7.7186947)</f>
        <v>7.7186947</v>
      </c>
      <c r="D19408" s="7">
        <f>IFERROR(__xludf.DUMMYFUNCTION("""COMPUTED_VALUE"""),0.370967741935483)</f>
        <v>0.3709677419</v>
      </c>
    </row>
    <row r="19409">
      <c r="A19409" s="10" t="s">
        <v>20848</v>
      </c>
      <c r="B19409" s="7" t="str">
        <f>IFERROR(__xludf.DUMMYFUNCTION("SPLIT(A19409,"" "")"),"C=Nc1cccc(-c2ccc(CN(C)Cc3ccc4cc(C)ccc4n3)nc2)c1")</f>
        <v>C=Nc1cccc(-c2ccc(CN(C)Cc3ccc4cc(C)ccc4n3)nc2)c1</v>
      </c>
      <c r="C19409" s="7">
        <f>IFERROR(__xludf.DUMMYFUNCTION("""COMPUTED_VALUE"""),7.7186885)</f>
        <v>7.7186885</v>
      </c>
      <c r="D19409" s="7">
        <f>IFERROR(__xludf.DUMMYFUNCTION("""COMPUTED_VALUE"""),0.396226415094339)</f>
        <v>0.3962264151</v>
      </c>
    </row>
    <row r="19410">
      <c r="A19410" s="10" t="s">
        <v>20849</v>
      </c>
      <c r="B19410" s="7" t="str">
        <f>IFERROR(__xludf.DUMMYFUNCTION("SPLIT(A19410,"" "")"),"Cc1cccc(N(C)Cc2ncccc2-c2cccc(N=Cc3ccccn3)c2)c1")</f>
        <v>Cc1cccc(N(C)Cc2ncccc2-c2cccc(N=Cc3ccccn3)c2)c1</v>
      </c>
      <c r="C19410" s="7">
        <f>IFERROR(__xludf.DUMMYFUNCTION("""COMPUTED_VALUE"""),7.7186823)</f>
        <v>7.7186823</v>
      </c>
      <c r="D19410" s="7">
        <f>IFERROR(__xludf.DUMMYFUNCTION("""COMPUTED_VALUE"""),0.360655737704918)</f>
        <v>0.3606557377</v>
      </c>
    </row>
    <row r="19411">
      <c r="A19411" s="10" t="s">
        <v>20850</v>
      </c>
      <c r="B19411" s="7" t="str">
        <f>IFERROR(__xludf.DUMMYFUNCTION("SPLIT(A19411,"" "")"),"CC(C)N(C)Cc1cc(-c2cccc(N(C)c3ccc4nc(CF)ccc4c3)c2)ccn1")</f>
        <v>CC(C)N(C)Cc1cc(-c2cccc(N(C)c3ccc4nc(CF)ccc4c3)c2)ccn1</v>
      </c>
      <c r="C19411" s="7">
        <f>IFERROR(__xludf.DUMMYFUNCTION("""COMPUTED_VALUE"""),7.71868)</f>
        <v>7.71868</v>
      </c>
      <c r="D19411" s="7">
        <f>IFERROR(__xludf.DUMMYFUNCTION("""COMPUTED_VALUE"""),0.290322580645161)</f>
        <v>0.2903225806</v>
      </c>
    </row>
    <row r="19412">
      <c r="A19412" s="10" t="s">
        <v>20851</v>
      </c>
      <c r="B19412" s="7" t="str">
        <f>IFERROR(__xludf.DUMMYFUNCTION("SPLIT(A19412,"" "")"),"CN(CCN(C)c1ccc2c(CF)ccnc2c1)Cc1ccc2cccnc2c1")</f>
        <v>CN(CCN(C)c1ccc2c(CF)ccnc2c1)Cc1ccc2cccnc2c1</v>
      </c>
      <c r="C19412" s="7">
        <f>IFERROR(__xludf.DUMMYFUNCTION("""COMPUTED_VALUE"""),7.7186737)</f>
        <v>7.7186737</v>
      </c>
      <c r="D19412" s="7">
        <f>IFERROR(__xludf.DUMMYFUNCTION("""COMPUTED_VALUE"""),0.368421052631578)</f>
        <v>0.3684210526</v>
      </c>
    </row>
    <row r="19413">
      <c r="A19413" s="10" t="s">
        <v>20852</v>
      </c>
      <c r="B19413" s="7" t="str">
        <f>IFERROR(__xludf.DUMMYFUNCTION("SPLIT(A19413,"" "")"),"CN(c1cccc2cccnc12)C1CC2CCC1(N(C)c1ccc3ncccc3c1)C2")</f>
        <v>CN(c1cccc2cccnc12)C1CC2CCC1(N(C)c1ccc3ncccc3c1)C2</v>
      </c>
      <c r="C19413" s="7">
        <f>IFERROR(__xludf.DUMMYFUNCTION("""COMPUTED_VALUE"""),7.718665)</f>
        <v>7.718665</v>
      </c>
      <c r="D19413" s="7">
        <f>IFERROR(__xludf.DUMMYFUNCTION("""COMPUTED_VALUE"""),0.457627118644067)</f>
        <v>0.4576271186</v>
      </c>
    </row>
    <row r="19414">
      <c r="A19414" s="10" t="s">
        <v>20853</v>
      </c>
      <c r="B19414" s="7" t="str">
        <f>IFERROR(__xludf.DUMMYFUNCTION("SPLIT(A19414,"" "")"),"CN(CCN(C)c1ccc2nccc(CF)c2c1)Cc1ccc2ncccc2c1")</f>
        <v>CN(CCN(C)c1ccc2nccc(CF)c2c1)Cc1ccc2ncccc2c1</v>
      </c>
      <c r="C19414" s="7">
        <f>IFERROR(__xludf.DUMMYFUNCTION("""COMPUTED_VALUE"""),7.718662)</f>
        <v>7.718662</v>
      </c>
      <c r="D19414" s="7">
        <f>IFERROR(__xludf.DUMMYFUNCTION("""COMPUTED_VALUE"""),0.375)</f>
        <v>0.375</v>
      </c>
    </row>
    <row r="19415">
      <c r="A19415" s="10" t="s">
        <v>20854</v>
      </c>
      <c r="B19415" s="7" t="str">
        <f>IFERROR(__xludf.DUMMYFUNCTION("SPLIT(A19415,"" "")"),"CN(Cc1ccccn1)C1=C(CN(C)c2cccc3cccnc23)NC=CC1")</f>
        <v>CN(Cc1ccccn1)C1=C(CN(C)c2cccc3cccnc23)NC=CC1</v>
      </c>
      <c r="C19415" s="7">
        <f>IFERROR(__xludf.DUMMYFUNCTION("""COMPUTED_VALUE"""),7.7186604)</f>
        <v>7.7186604</v>
      </c>
      <c r="D19415" s="7">
        <f>IFERROR(__xludf.DUMMYFUNCTION("""COMPUTED_VALUE"""),0.471698113207547)</f>
        <v>0.4716981132</v>
      </c>
    </row>
    <row r="19416">
      <c r="A19416" s="10" t="s">
        <v>20855</v>
      </c>
      <c r="B19416" s="7" t="str">
        <f>IFERROR(__xludf.DUMMYFUNCTION("SPLIT(A19416,"" "")"),"CC1=CNC(N(C)Cc2cccc(-c3cc(Cl)ccc3N)n2)=CC1")</f>
        <v>CC1=CNC(N(C)Cc2cccc(-c3cc(Cl)ccc3N)n2)=CC1</v>
      </c>
      <c r="C19416" s="7">
        <f>IFERROR(__xludf.DUMMYFUNCTION("""COMPUTED_VALUE"""),7.7186522)</f>
        <v>7.7186522</v>
      </c>
      <c r="D19416" s="7">
        <f>IFERROR(__xludf.DUMMYFUNCTION("""COMPUTED_VALUE"""),0.28125)</f>
        <v>0.28125</v>
      </c>
    </row>
    <row r="19417">
      <c r="A19417" s="10" t="s">
        <v>20856</v>
      </c>
      <c r="B19417" s="7" t="str">
        <f>IFERROR(__xludf.DUMMYFUNCTION("SPLIT(A19417,"" "")"),"Cc1ccc(N=Cc2ccccn2)c(C)c1C1=NC(c2ccccc2)C(c2ccccc2)O1")</f>
        <v>Cc1ccc(N=Cc2ccccn2)c(C)c1C1=NC(c2ccccc2)C(c2ccccc2)O1</v>
      </c>
      <c r="C19417" s="7">
        <f>IFERROR(__xludf.DUMMYFUNCTION("""COMPUTED_VALUE"""),7.7186456)</f>
        <v>7.7186456</v>
      </c>
      <c r="D19417" s="7">
        <f>IFERROR(__xludf.DUMMYFUNCTION("""COMPUTED_VALUE"""),0.490566037735849)</f>
        <v>0.4905660377</v>
      </c>
    </row>
    <row r="19418">
      <c r="A19418" s="10" t="s">
        <v>20857</v>
      </c>
      <c r="B19418" s="7" t="str">
        <f>IFERROR(__xludf.DUMMYFUNCTION("SPLIT(A19418,"" "")"),"CN(CC1=CCC=C(N(C)C(c2ccccc2)c2ccccn2)N1)c1ccc2ncccc2c1")</f>
        <v>CN(CC1=CCC=C(N(C)C(c2ccccc2)c2ccccn2)N1)c1ccc2ncccc2c1</v>
      </c>
      <c r="C19418" s="7">
        <f>IFERROR(__xludf.DUMMYFUNCTION("""COMPUTED_VALUE"""),7.7186356)</f>
        <v>7.7186356</v>
      </c>
      <c r="D19418" s="7">
        <f>IFERROR(__xludf.DUMMYFUNCTION("""COMPUTED_VALUE"""),0.363636363636363)</f>
        <v>0.3636363636</v>
      </c>
    </row>
    <row r="19419">
      <c r="A19419" s="10" t="s">
        <v>20858</v>
      </c>
      <c r="B19419" s="7" t="str">
        <f>IFERROR(__xludf.DUMMYFUNCTION("SPLIT(A19419,"" "")"),"Cc1cnc(CN(C)Cc2ccc(N(C)c3ccc4ncccc4c3)cn2)c(C)c1")</f>
        <v>Cc1cnc(CN(C)Cc2ccc(N(C)c3ccc4ncccc4c3)cn2)c(C)c1</v>
      </c>
      <c r="C19419" s="7">
        <f>IFERROR(__xludf.DUMMYFUNCTION("""COMPUTED_VALUE"""),7.7186356)</f>
        <v>7.7186356</v>
      </c>
      <c r="D19419" s="7">
        <f>IFERROR(__xludf.DUMMYFUNCTION("""COMPUTED_VALUE"""),0.377358490566037)</f>
        <v>0.3773584906</v>
      </c>
    </row>
    <row r="19420">
      <c r="A19420" s="10" t="s">
        <v>20859</v>
      </c>
      <c r="B19420" s="7" t="str">
        <f>IFERROR(__xludf.DUMMYFUNCTION("SPLIT(A19420,"" "")"),"CN(Cc1ccccn1)C1=C(CN(C)c2ccc3cccnc3c2)NC=CC1")</f>
        <v>CN(Cc1ccccn1)C1=C(CN(C)c2ccc3cccnc3c2)NC=CC1</v>
      </c>
      <c r="C19420" s="7">
        <f>IFERROR(__xludf.DUMMYFUNCTION("""COMPUTED_VALUE"""),7.718623)</f>
        <v>7.718623</v>
      </c>
      <c r="D19420" s="7">
        <f>IFERROR(__xludf.DUMMYFUNCTION("""COMPUTED_VALUE"""),0.396551724137931)</f>
        <v>0.3965517241</v>
      </c>
    </row>
    <row r="19421">
      <c r="A19421" s="10" t="s">
        <v>20860</v>
      </c>
      <c r="B19421" s="7" t="str">
        <f>IFERROR(__xludf.DUMMYFUNCTION("SPLIT(A19421,"" "")"),"Cc1cc(N=Cc2ccccn2)cc(-c2ccccc2C)c1")</f>
        <v>Cc1cc(N=Cc2ccccn2)cc(-c2ccccc2C)c1</v>
      </c>
      <c r="C19421" s="7">
        <f>IFERROR(__xludf.DUMMYFUNCTION("""COMPUTED_VALUE"""),7.7186117)</f>
        <v>7.7186117</v>
      </c>
      <c r="D19421" s="7">
        <f>IFERROR(__xludf.DUMMYFUNCTION("""COMPUTED_VALUE"""),0.5)</f>
        <v>0.5</v>
      </c>
    </row>
    <row r="19422">
      <c r="A19422" s="10" t="s">
        <v>20861</v>
      </c>
      <c r="B19422" s="7" t="str">
        <f>IFERROR(__xludf.DUMMYFUNCTION("SPLIT(A19422,"" "")"),"C1=CCNC(Nc2cccc(-c3cccc(C(c4ccccc4)c4ccccn4)n3)n2)=C1")</f>
        <v>C1=CCNC(Nc2cccc(-c3cccc(C(c4ccccc4)c4ccccn4)n3)n2)=C1</v>
      </c>
      <c r="C19422" s="7">
        <f>IFERROR(__xludf.DUMMYFUNCTION("""COMPUTED_VALUE"""),7.7186093)</f>
        <v>7.7186093</v>
      </c>
      <c r="D19422" s="7">
        <f>IFERROR(__xludf.DUMMYFUNCTION("""COMPUTED_VALUE"""),0.287878787878787)</f>
        <v>0.2878787879</v>
      </c>
    </row>
    <row r="19423">
      <c r="A19423" s="10" t="s">
        <v>20862</v>
      </c>
      <c r="B19423" s="7" t="str">
        <f>IFERROR(__xludf.DUMMYFUNCTION("SPLIT(A19423,"" "")"),"C1=CNC(c2cccc(-c3cccc(NCc4ccccn4)c3)n2)=CC1")</f>
        <v>C1=CNC(c2cccc(-c3cccc(NCc4ccccn4)c3)n2)=CC1</v>
      </c>
      <c r="C19423" s="7">
        <f>IFERROR(__xludf.DUMMYFUNCTION("""COMPUTED_VALUE"""),7.718607)</f>
        <v>7.718607</v>
      </c>
      <c r="D19423" s="7">
        <f>IFERROR(__xludf.DUMMYFUNCTION("""COMPUTED_VALUE"""),0.4)</f>
        <v>0.4</v>
      </c>
    </row>
    <row r="19424">
      <c r="A19424" s="10" t="s">
        <v>20863</v>
      </c>
      <c r="B19424" s="7" t="str">
        <f>IFERROR(__xludf.DUMMYFUNCTION("SPLIT(A19424,"" "")"),"CN(CCN(C)c1ccc2c(CF)ccnc2c1)Cc1ccc2ncccc2c1")</f>
        <v>CN(CCN(C)c1ccc2c(CF)ccnc2c1)Cc1ccc2ncccc2c1</v>
      </c>
      <c r="C19424" s="7">
        <f>IFERROR(__xludf.DUMMYFUNCTION("""COMPUTED_VALUE"""),7.7186)</f>
        <v>7.7186</v>
      </c>
      <c r="D19424" s="7">
        <f>IFERROR(__xludf.DUMMYFUNCTION("""COMPUTED_VALUE"""),0.375)</f>
        <v>0.375</v>
      </c>
    </row>
    <row r="19425">
      <c r="A19425" s="10" t="s">
        <v>20864</v>
      </c>
      <c r="B19425" s="7" t="str">
        <f>IFERROR(__xludf.DUMMYFUNCTION("SPLIT(A19425,"" "")"),"CNCc1ccc2cccc(N(C)Cc3ncc(C)c(C)c3C)c2n1")</f>
        <v>CNCc1ccc2cccc(N(C)Cc3ncc(C)c(C)c3C)c2n1</v>
      </c>
      <c r="C19425" s="7">
        <f>IFERROR(__xludf.DUMMYFUNCTION("""COMPUTED_VALUE"""),7.7185745)</f>
        <v>7.7185745</v>
      </c>
      <c r="D19425" s="7">
        <f>IFERROR(__xludf.DUMMYFUNCTION("""COMPUTED_VALUE"""),0.358490566037735)</f>
        <v>0.358490566</v>
      </c>
    </row>
    <row r="19426">
      <c r="A19426" s="10" t="s">
        <v>20865</v>
      </c>
      <c r="B19426" s="7" t="str">
        <f>IFERROR(__xludf.DUMMYFUNCTION("SPLIT(A19426,"" "")"),"Cc1ccc(CN(C)C2=C(CN(C)c3ccc4cccnc4c3)NC=CC2)nc1")</f>
        <v>Cc1ccc(CN(C)C2=C(CN(C)c3ccc4cccnc4c3)NC=CC2)nc1</v>
      </c>
      <c r="C19426" s="7">
        <f>IFERROR(__xludf.DUMMYFUNCTION("""COMPUTED_VALUE"""),7.7185473)</f>
        <v>7.7185473</v>
      </c>
      <c r="D19426" s="7">
        <f>IFERROR(__xludf.DUMMYFUNCTION("""COMPUTED_VALUE"""),0.333333333333333)</f>
        <v>0.3333333333</v>
      </c>
    </row>
    <row r="19427">
      <c r="A19427" s="10" t="s">
        <v>20866</v>
      </c>
      <c r="B19427" s="7" t="str">
        <f>IFERROR(__xludf.DUMMYFUNCTION("SPLIT(A19427,"" "")"),"Cc1ccc(-c2cccc(NCc3ccccn3)c2)nc1N=Cc1ccccn1")</f>
        <v>Cc1ccc(-c2cccc(NCc3ccccn3)c2)nc1N=Cc1ccccn1</v>
      </c>
      <c r="C19427" s="7">
        <f>IFERROR(__xludf.DUMMYFUNCTION("""COMPUTED_VALUE"""),7.718544)</f>
        <v>7.718544</v>
      </c>
      <c r="D19427" s="7">
        <f>IFERROR(__xludf.DUMMYFUNCTION("""COMPUTED_VALUE"""),0.389830508474576)</f>
        <v>0.3898305085</v>
      </c>
    </row>
    <row r="19428">
      <c r="A19428" s="10" t="s">
        <v>20867</v>
      </c>
      <c r="B19428" s="7" t="str">
        <f>IFERROR(__xludf.DUMMYFUNCTION("SPLIT(A19428,"" "")"),"CN(CN)c1ccc2c(CF)ccnc2c1")</f>
        <v>CN(CN)c1ccc2c(CF)ccnc2c1</v>
      </c>
      <c r="C19428" s="7">
        <f>IFERROR(__xludf.DUMMYFUNCTION("""COMPUTED_VALUE"""),7.7185388)</f>
        <v>7.7185388</v>
      </c>
      <c r="D19428" s="7">
        <f>IFERROR(__xludf.DUMMYFUNCTION("""COMPUTED_VALUE"""),0.235294117647058)</f>
        <v>0.2352941176</v>
      </c>
    </row>
    <row r="19429">
      <c r="A19429" s="10" t="s">
        <v>20868</v>
      </c>
      <c r="B19429" s="7" t="str">
        <f>IFERROR(__xludf.DUMMYFUNCTION("SPLIT(A19429,"" "")"),"Cc1ccc(CN(C)C2=C(CN(C)c3ccc4ncccc4c3)NC=CC2)nc1")</f>
        <v>Cc1ccc(CN(C)C2=C(CN(C)c3ccc4ncccc4c3)NC=CC2)nc1</v>
      </c>
      <c r="C19429" s="7">
        <f>IFERROR(__xludf.DUMMYFUNCTION("""COMPUTED_VALUE"""),7.718538)</f>
        <v>7.718538</v>
      </c>
      <c r="D19429" s="7">
        <f>IFERROR(__xludf.DUMMYFUNCTION("""COMPUTED_VALUE"""),0.338983050847457)</f>
        <v>0.3389830508</v>
      </c>
    </row>
    <row r="19430">
      <c r="A19430" s="10" t="s">
        <v>20869</v>
      </c>
      <c r="B19430" s="7" t="str">
        <f>IFERROR(__xludf.DUMMYFUNCTION("SPLIT(A19430,"" "")"),"CN(Cc1ccc(C(C)(C)C)cn1)c1ccc2ncccc2c1")</f>
        <v>CN(Cc1ccc(C(C)(C)C)cn1)c1ccc2ncccc2c1</v>
      </c>
      <c r="C19430" s="7">
        <f>IFERROR(__xludf.DUMMYFUNCTION("""COMPUTED_VALUE"""),7.7185225)</f>
        <v>7.7185225</v>
      </c>
      <c r="D19430" s="7">
        <f>IFERROR(__xludf.DUMMYFUNCTION("""COMPUTED_VALUE"""),0.346153846153846)</f>
        <v>0.3461538462</v>
      </c>
    </row>
    <row r="19431">
      <c r="A19431" s="10" t="s">
        <v>20870</v>
      </c>
      <c r="B19431" s="7" t="str">
        <f>IFERROR(__xludf.DUMMYFUNCTION("SPLIT(A19431,"" "")"),"CC(C)N(Cc1ccccn1)Cc1ncccc1-c1ccccc1N(C)c1ccc2ncccc2c1")</f>
        <v>CC(C)N(Cc1ccccn1)Cc1ncccc1-c1ccccc1N(C)c1ccc2ncccc2c1</v>
      </c>
      <c r="C19431" s="7">
        <f>IFERROR(__xludf.DUMMYFUNCTION("""COMPUTED_VALUE"""),7.7185106)</f>
        <v>7.7185106</v>
      </c>
      <c r="D19431" s="7">
        <f>IFERROR(__xludf.DUMMYFUNCTION("""COMPUTED_VALUE"""),0.452830188679245)</f>
        <v>0.4528301887</v>
      </c>
    </row>
    <row r="19432">
      <c r="A19432" s="10" t="s">
        <v>20871</v>
      </c>
      <c r="B19432" s="7" t="str">
        <f>IFERROR(__xludf.DUMMYFUNCTION("SPLIT(A19432,"" "")"),"Cc1cnc2c(N(C)c3cccnc3CN(C)Cc3cccc(C)n3)cccc2c1")</f>
        <v>Cc1cnc2c(N(C)c3cccnc3CN(C)Cc3cccc(C)n3)cccc2c1</v>
      </c>
      <c r="C19432" s="7">
        <f>IFERROR(__xludf.DUMMYFUNCTION("""COMPUTED_VALUE"""),7.7185082)</f>
        <v>7.7185082</v>
      </c>
      <c r="D19432" s="7">
        <f>IFERROR(__xludf.DUMMYFUNCTION("""COMPUTED_VALUE"""),0.431372549019607)</f>
        <v>0.431372549</v>
      </c>
    </row>
    <row r="19433">
      <c r="A19433" s="10" t="s">
        <v>20872</v>
      </c>
      <c r="B19433" s="7" t="str">
        <f>IFERROR(__xludf.DUMMYFUNCTION("SPLIT(A19433,"" "")"),"C1=CCNC(Nc2ncccc2-c2ccc(C(c3ccccc3)c3ccccn3)cn2)=C1")</f>
        <v>C1=CCNC(Nc2ncccc2-c2ccc(C(c3ccccc3)c3ccccn3)cn2)=C1</v>
      </c>
      <c r="C19433" s="7">
        <f>IFERROR(__xludf.DUMMYFUNCTION("""COMPUTED_VALUE"""),7.7184973)</f>
        <v>7.7184973</v>
      </c>
      <c r="D19433" s="7">
        <f>IFERROR(__xludf.DUMMYFUNCTION("""COMPUTED_VALUE"""),0.264705882352941)</f>
        <v>0.2647058824</v>
      </c>
    </row>
    <row r="19434">
      <c r="A19434" s="10" t="s">
        <v>20873</v>
      </c>
      <c r="B19434" s="7" t="str">
        <f>IFERROR(__xludf.DUMMYFUNCTION("SPLIT(A19434,"" "")"),"CC(C)N(C)Cc1ncccc1-c1c(N)ccc2cccnc12")</f>
        <v>CC(C)N(C)Cc1ncccc1-c1c(N)ccc2cccnc12</v>
      </c>
      <c r="C19434" s="7">
        <f>IFERROR(__xludf.DUMMYFUNCTION("""COMPUTED_VALUE"""),7.718494)</f>
        <v>7.718494</v>
      </c>
      <c r="D19434" s="7">
        <f>IFERROR(__xludf.DUMMYFUNCTION("""COMPUTED_VALUE"""),0.372549019607843)</f>
        <v>0.3725490196</v>
      </c>
    </row>
    <row r="19435">
      <c r="A19435" s="10" t="s">
        <v>20874</v>
      </c>
      <c r="B19435" s="7" t="str">
        <f>IFERROR(__xludf.DUMMYFUNCTION("SPLIT(A19435,"" "")"),"C1=CNC(N(Cc2ccccn2)c2ccc3cccnc3c2)C=C1")</f>
        <v>C1=CNC(N(Cc2ccccn2)c2ccc3cccnc3c2)C=C1</v>
      </c>
      <c r="C19435" s="7">
        <f>IFERROR(__xludf.DUMMYFUNCTION("""COMPUTED_VALUE"""),7.718478)</f>
        <v>7.718478</v>
      </c>
      <c r="D19435" s="7">
        <f>IFERROR(__xludf.DUMMYFUNCTION("""COMPUTED_VALUE"""),0.472727272727272)</f>
        <v>0.4727272727</v>
      </c>
    </row>
    <row r="19436">
      <c r="A19436" s="10" t="s">
        <v>20875</v>
      </c>
      <c r="B19436" s="7" t="str">
        <f>IFERROR(__xludf.DUMMYFUNCTION("SPLIT(A19436,"" "")"),"Cc1cncc(C)c1CN(C)Cc1cccc(N(C)c2ccc3ncccc3c2)n1")</f>
        <v>Cc1cncc(C)c1CN(C)Cc1cccc(N(C)c2ccc3ncccc3c2)n1</v>
      </c>
      <c r="C19436" s="7">
        <f>IFERROR(__xludf.DUMMYFUNCTION("""COMPUTED_VALUE"""),7.7184777)</f>
        <v>7.7184777</v>
      </c>
      <c r="D19436" s="7">
        <f>IFERROR(__xludf.DUMMYFUNCTION("""COMPUTED_VALUE"""),0.362068965517241)</f>
        <v>0.3620689655</v>
      </c>
    </row>
    <row r="19437">
      <c r="A19437" s="10" t="s">
        <v>20876</v>
      </c>
      <c r="B19437" s="7" t="str">
        <f>IFERROR(__xludf.DUMMYFUNCTION("SPLIT(A19437,"" "")"),"Cc1ccc(N(C)CCN(C)c2ccc3nccc(C)c3c2)cc1")</f>
        <v>Cc1ccc(N(C)CCN(C)c2ccc3nccc(C)c3c2)cc1</v>
      </c>
      <c r="C19437" s="7">
        <f>IFERROR(__xludf.DUMMYFUNCTION("""COMPUTED_VALUE"""),7.718473)</f>
        <v>7.718473</v>
      </c>
      <c r="D19437" s="7">
        <f>IFERROR(__xludf.DUMMYFUNCTION("""COMPUTED_VALUE"""),0.282608695652173)</f>
        <v>0.2826086957</v>
      </c>
    </row>
    <row r="19438">
      <c r="A19438" s="10" t="s">
        <v>20877</v>
      </c>
      <c r="B19438" s="7" t="str">
        <f>IFERROR(__xludf.DUMMYFUNCTION("SPLIT(A19438,"" "")"),"CNCc1nc(-c2ccc(N(C)C)cc2)c(C)c(C)c1C")</f>
        <v>CNCc1nc(-c2ccc(N(C)C)cc2)c(C)c(C)c1C</v>
      </c>
      <c r="C19438" s="7">
        <f>IFERROR(__xludf.DUMMYFUNCTION("""COMPUTED_VALUE"""),7.718467)</f>
        <v>7.718467</v>
      </c>
      <c r="D19438" s="7">
        <f>IFERROR(__xludf.DUMMYFUNCTION("""COMPUTED_VALUE"""),0.208333333333333)</f>
        <v>0.2083333333</v>
      </c>
    </row>
    <row r="19439">
      <c r="A19439" s="10" t="s">
        <v>20878</v>
      </c>
      <c r="B19439" s="7" t="str">
        <f>IFERROR(__xludf.DUMMYFUNCTION("SPLIT(A19439,"" "")"),"Cc1cnc(-c2cccc(NCc3ccccn3)c2)c(C2=NC(C)(C)CO2)c1")</f>
        <v>Cc1cnc(-c2cccc(NCc3ccccn3)c2)c(C2=NC(C)(C)CO2)c1</v>
      </c>
      <c r="C19439" s="7">
        <f>IFERROR(__xludf.DUMMYFUNCTION("""COMPUTED_VALUE"""),7.718443)</f>
        <v>7.718443</v>
      </c>
      <c r="D19439" s="7">
        <f>IFERROR(__xludf.DUMMYFUNCTION("""COMPUTED_VALUE"""),0.328571428571428)</f>
        <v>0.3285714286</v>
      </c>
    </row>
    <row r="19440">
      <c r="A19440" s="10" t="s">
        <v>20879</v>
      </c>
      <c r="B19440" s="7" t="str">
        <f>IFERROR(__xludf.DUMMYFUNCTION("SPLIT(A19440,"" "")"),"CN(CC1C=CNC=C1N(C)C1=CCC=CN1)C1=C(N(C)c2cccc3ncccc23)NC=CC1")</f>
        <v>CN(CC1C=CNC=C1N(C)C1=CCC=CN1)C1=C(N(C)c2cccc3ncccc23)NC=CC1</v>
      </c>
      <c r="C19440" s="7">
        <f>IFERROR(__xludf.DUMMYFUNCTION("""COMPUTED_VALUE"""),7.718438)</f>
        <v>7.718438</v>
      </c>
      <c r="D19440" s="7">
        <f>IFERROR(__xludf.DUMMYFUNCTION("""COMPUTED_VALUE"""),0.25)</f>
        <v>0.25</v>
      </c>
    </row>
    <row r="19441">
      <c r="A19441" s="10" t="s">
        <v>20880</v>
      </c>
      <c r="B19441" s="7" t="str">
        <f>IFERROR(__xludf.DUMMYFUNCTION("SPLIT(A19441,"" "")"),"Cc1ccc(C)c(CN(C)C2=C(CN(C)c3ccc4ncccc4c3)NC=CC2)n1")</f>
        <v>Cc1ccc(C)c(CN(C)C2=C(CN(C)c3ccc4ncccc4c3)NC=CC2)n1</v>
      </c>
      <c r="C19441" s="7">
        <f>IFERROR(__xludf.DUMMYFUNCTION("""COMPUTED_VALUE"""),7.718431)</f>
        <v>7.718431</v>
      </c>
      <c r="D19441" s="7">
        <f>IFERROR(__xludf.DUMMYFUNCTION("""COMPUTED_VALUE"""),0.257575757575757)</f>
        <v>0.2575757576</v>
      </c>
    </row>
    <row r="19442">
      <c r="A19442" s="10" t="s">
        <v>20881</v>
      </c>
      <c r="B19442" s="7" t="str">
        <f>IFERROR(__xludf.DUMMYFUNCTION("SPLIT(A19442,"" "")"),"C1=CNC(c2cccc(-c3ccc(NCc4ccccn4)cc3)n2)=CC1")</f>
        <v>C1=CNC(c2cccc(-c3ccc(NCc4ccccn4)cc3)n2)=CC1</v>
      </c>
      <c r="C19442" s="7">
        <f>IFERROR(__xludf.DUMMYFUNCTION("""COMPUTED_VALUE"""),7.718431)</f>
        <v>7.718431</v>
      </c>
      <c r="D19442" s="7">
        <f>IFERROR(__xludf.DUMMYFUNCTION("""COMPUTED_VALUE"""),0.413793103448275)</f>
        <v>0.4137931034</v>
      </c>
    </row>
    <row r="19443">
      <c r="A19443" s="10" t="s">
        <v>20882</v>
      </c>
      <c r="B19443" s="7" t="str">
        <f>IFERROR(__xludf.DUMMYFUNCTION("SPLIT(A19443,"" "")"),"Cc1ccc(-c2cc(C(C)C)ccn2)cc1N=Cc1ccccn1")</f>
        <v>Cc1ccc(-c2cc(C(C)C)ccn2)cc1N=Cc1ccccn1</v>
      </c>
      <c r="C19443" s="7">
        <f>IFERROR(__xludf.DUMMYFUNCTION("""COMPUTED_VALUE"""),7.7184267)</f>
        <v>7.7184267</v>
      </c>
      <c r="D19443" s="7">
        <f>IFERROR(__xludf.DUMMYFUNCTION("""COMPUTED_VALUE"""),0.470588235294117)</f>
        <v>0.4705882353</v>
      </c>
    </row>
    <row r="19444">
      <c r="A19444" s="10" t="s">
        <v>20883</v>
      </c>
      <c r="B19444" s="7" t="str">
        <f>IFERROR(__xludf.DUMMYFUNCTION("SPLIT(A19444,"" "")"),"CNCc1cc(CN(C)c2ccc3nccc(C)c3c2)ccn1")</f>
        <v>CNCc1cc(CN(C)c2ccc3nccc(C)c3c2)ccn1</v>
      </c>
      <c r="C19444" s="7">
        <f>IFERROR(__xludf.DUMMYFUNCTION("""COMPUTED_VALUE"""),7.718407)</f>
        <v>7.718407</v>
      </c>
      <c r="D19444" s="7">
        <f>IFERROR(__xludf.DUMMYFUNCTION("""COMPUTED_VALUE"""),0.267857142857142)</f>
        <v>0.2678571429</v>
      </c>
    </row>
    <row r="19445">
      <c r="A19445" s="10" t="s">
        <v>20884</v>
      </c>
      <c r="B19445" s="7" t="str">
        <f>IFERROR(__xludf.DUMMYFUNCTION("SPLIT(A19445,"" "")"),"CN(Cc1cccc(-c2cccc(N(C)C)c2)n1)Cc1ccc2ccccc2n1")</f>
        <v>CN(Cc1cccc(-c2cccc(N(C)C)c2)n1)Cc1ccc2ccccc2n1</v>
      </c>
      <c r="C19445" s="7">
        <f>IFERROR(__xludf.DUMMYFUNCTION("""COMPUTED_VALUE"""),7.718398)</f>
        <v>7.718398</v>
      </c>
      <c r="D19445" s="7">
        <f>IFERROR(__xludf.DUMMYFUNCTION("""COMPUTED_VALUE"""),0.454545454545454)</f>
        <v>0.4545454545</v>
      </c>
    </row>
    <row r="19446">
      <c r="A19446" s="10" t="s">
        <v>20885</v>
      </c>
      <c r="B19446" s="7" t="str">
        <f>IFERROR(__xludf.DUMMYFUNCTION("SPLIT(A19446,"" "")"),"CN(C)C1=CC(CN(C)c2ccc3cccnc3c2)C=CN1")</f>
        <v>CN(C)C1=CC(CN(C)c2ccc3cccnc3c2)C=CN1</v>
      </c>
      <c r="C19446" s="7">
        <f>IFERROR(__xludf.DUMMYFUNCTION("""COMPUTED_VALUE"""),7.7183704)</f>
        <v>7.7183704</v>
      </c>
      <c r="D19446" s="7">
        <f>IFERROR(__xludf.DUMMYFUNCTION("""COMPUTED_VALUE"""),0.298245614035087)</f>
        <v>0.298245614</v>
      </c>
    </row>
    <row r="19447">
      <c r="A19447" s="10" t="s">
        <v>20886</v>
      </c>
      <c r="B19447" s="7" t="str">
        <f>IFERROR(__xludf.DUMMYFUNCTION("SPLIT(A19447,"" "")"),"Cc1cncc(CN(C)C2=CNC(CN(C)c3ccc4cccnc4c3)=CC2)c1C")</f>
        <v>Cc1cncc(CN(C)C2=CNC(CN(C)c3ccc4cccnc4c3)=CC2)c1C</v>
      </c>
      <c r="C19447" s="7">
        <f>IFERROR(__xludf.DUMMYFUNCTION("""COMPUTED_VALUE"""),7.7183642)</f>
        <v>7.7183642</v>
      </c>
      <c r="D19447" s="7">
        <f>IFERROR(__xludf.DUMMYFUNCTION("""COMPUTED_VALUE"""),0.26865671641791)</f>
        <v>0.2686567164</v>
      </c>
    </row>
    <row r="19448">
      <c r="A19448" s="10" t="s">
        <v>20887</v>
      </c>
      <c r="B19448" s="7" t="str">
        <f>IFERROR(__xludf.DUMMYFUNCTION("SPLIT(A19448,"" "")"),"CN(C)Cc1ccc2cccc(N(C)Cc3cccnn3)c2n1")</f>
        <v>CN(C)Cc1ccc2cccc(N(C)Cc3cccnn3)c2n1</v>
      </c>
      <c r="C19448" s="7">
        <f>IFERROR(__xludf.DUMMYFUNCTION("""COMPUTED_VALUE"""),7.718359)</f>
        <v>7.718359</v>
      </c>
      <c r="D19448" s="7">
        <f>IFERROR(__xludf.DUMMYFUNCTION("""COMPUTED_VALUE"""),0.454545454545454)</f>
        <v>0.4545454545</v>
      </c>
    </row>
    <row r="19449">
      <c r="A19449" s="10" t="s">
        <v>20888</v>
      </c>
      <c r="B19449" s="7" t="str">
        <f>IFERROR(__xludf.DUMMYFUNCTION("SPLIT(A19449,"" "")"),"C1=CC(Nc2cccc(-c3cccc(C(c4ccccc4)c4ccccn4)n3)n2)=CCN1")</f>
        <v>C1=CC(Nc2cccc(-c3cccc(C(c4ccccc4)c4ccccn4)n3)n2)=CCN1</v>
      </c>
      <c r="C19449" s="7">
        <f>IFERROR(__xludf.DUMMYFUNCTION("""COMPUTED_VALUE"""),7.7183356)</f>
        <v>7.7183356</v>
      </c>
      <c r="D19449" s="7">
        <f>IFERROR(__xludf.DUMMYFUNCTION("""COMPUTED_VALUE"""),0.283582089552238)</f>
        <v>0.2835820896</v>
      </c>
    </row>
    <row r="19450">
      <c r="A19450" s="10" t="s">
        <v>20889</v>
      </c>
      <c r="B19450" s="7" t="str">
        <f>IFERROR(__xludf.DUMMYFUNCTION("SPLIT(A19450,"" "")"),"Cc1ccc(C)c(CN(C)C2=C(CN(C)c3ccc4nc(C)ccc4c3)NC=CC2)n1")</f>
        <v>Cc1ccc(C)c(CN(C)C2=C(CN(C)c3ccc4nc(C)ccc4c3)NC=CC2)n1</v>
      </c>
      <c r="C19450" s="7">
        <f>IFERROR(__xludf.DUMMYFUNCTION("""COMPUTED_VALUE"""),7.7182927)</f>
        <v>7.7182927</v>
      </c>
      <c r="D19450" s="7">
        <f>IFERROR(__xludf.DUMMYFUNCTION("""COMPUTED_VALUE"""),0.233333333333333)</f>
        <v>0.2333333333</v>
      </c>
    </row>
    <row r="19451">
      <c r="A19451" s="10" t="s">
        <v>20890</v>
      </c>
      <c r="B19451" s="7" t="str">
        <f>IFERROR(__xludf.DUMMYFUNCTION("SPLIT(A19451,"" "")"),"CN(Cc1ccccn1)Cc1cc(-c2ccc3ncccc3c2)ccn1")</f>
        <v>CN(Cc1ccccn1)Cc1cc(-c2ccc3ncccc3c2)ccn1</v>
      </c>
      <c r="C19451" s="7">
        <f>IFERROR(__xludf.DUMMYFUNCTION("""COMPUTED_VALUE"""),7.7182817)</f>
        <v>7.7182817</v>
      </c>
      <c r="D19451" s="7">
        <f>IFERROR(__xludf.DUMMYFUNCTION("""COMPUTED_VALUE"""),0.489361702127659)</f>
        <v>0.4893617021</v>
      </c>
    </row>
    <row r="19452">
      <c r="A19452" s="10" t="s">
        <v>20891</v>
      </c>
      <c r="B19452" s="7" t="str">
        <f>IFERROR(__xludf.DUMMYFUNCTION("SPLIT(A19452,"" "")"),"Cc1ccnc(CN(C)C2=CNC(CN(C)c3ccc4cccnc4c3)=CC2)c1")</f>
        <v>Cc1ccnc(CN(C)C2=CNC(CN(C)c3ccc4cccnc4c3)=CC2)c1</v>
      </c>
      <c r="C19452" s="7">
        <f>IFERROR(__xludf.DUMMYFUNCTION("""COMPUTED_VALUE"""),7.718278)</f>
        <v>7.718278</v>
      </c>
      <c r="D19452" s="7">
        <f>IFERROR(__xludf.DUMMYFUNCTION("""COMPUTED_VALUE"""),0.296875)</f>
        <v>0.296875</v>
      </c>
    </row>
    <row r="19453">
      <c r="A19453" s="10" t="s">
        <v>20892</v>
      </c>
      <c r="B19453" s="7" t="str">
        <f>IFERROR(__xludf.DUMMYFUNCTION("SPLIT(A19453,"" "")"),"Cc1ccnc(CN(C)C2=CNC(CN(C)c3ccc4ncccc4c3)=CC2)c1")</f>
        <v>Cc1ccnc(CN(C)C2=CNC(CN(C)c3ccc4ncccc4c3)=CC2)c1</v>
      </c>
      <c r="C19453" s="7">
        <f>IFERROR(__xludf.DUMMYFUNCTION("""COMPUTED_VALUE"""),7.7182727)</f>
        <v>7.7182727</v>
      </c>
      <c r="D19453" s="7">
        <f>IFERROR(__xludf.DUMMYFUNCTION("""COMPUTED_VALUE"""),0.285714285714285)</f>
        <v>0.2857142857</v>
      </c>
    </row>
    <row r="19454">
      <c r="A19454" s="10" t="s">
        <v>20893</v>
      </c>
      <c r="B19454" s="7" t="str">
        <f>IFERROR(__xludf.DUMMYFUNCTION("SPLIT(A19454,"" "")"),"CN(Cc1ccccn1)c1cc(-c2cc(CN(Cc3ccccn3)Cc3ncccc3F)ccn2)c2cccnc2c1")</f>
        <v>CN(Cc1ccccn1)c1cc(-c2cc(CN(Cc3ccccn3)Cc3ncccc3F)ccn2)c2cccnc2c1</v>
      </c>
      <c r="C19454" s="7">
        <f>IFERROR(__xludf.DUMMYFUNCTION("""COMPUTED_VALUE"""),7.718272)</f>
        <v>7.718272</v>
      </c>
      <c r="D19454" s="7">
        <f>IFERROR(__xludf.DUMMYFUNCTION("""COMPUTED_VALUE"""),0.353846153846153)</f>
        <v>0.3538461538</v>
      </c>
    </row>
    <row r="19455">
      <c r="A19455" s="10" t="s">
        <v>20894</v>
      </c>
      <c r="B19455" s="7" t="str">
        <f>IFERROR(__xludf.DUMMYFUNCTION("SPLIT(A19455,"" "")"),"Cc1cc2cccnc2c(C(C)(C)C)c1N(C)Cc1ccccn1")</f>
        <v>Cc1cc2cccnc2c(C(C)(C)C)c1N(C)Cc1ccccn1</v>
      </c>
      <c r="C19455" s="7">
        <f>IFERROR(__xludf.DUMMYFUNCTION("""COMPUTED_VALUE"""),7.7182684)</f>
        <v>7.7182684</v>
      </c>
      <c r="D19455" s="7">
        <f>IFERROR(__xludf.DUMMYFUNCTION("""COMPUTED_VALUE"""),0.458333333333333)</f>
        <v>0.4583333333</v>
      </c>
    </row>
    <row r="19456">
      <c r="A19456" s="10" t="s">
        <v>20895</v>
      </c>
      <c r="B19456" s="7" t="str">
        <f>IFERROR(__xludf.DUMMYFUNCTION("SPLIT(A19456,"" "")"),"CN(c1ccc2ncccc2c1)C12CCC(N(C)c3ccc4cccnc4c3)(CC1)C2")</f>
        <v>CN(c1ccc2ncccc2c1)C12CCC(N(C)c3ccc4cccnc4c3)(CC1)C2</v>
      </c>
      <c r="C19456" s="7">
        <f>IFERROR(__xludf.DUMMYFUNCTION("""COMPUTED_VALUE"""),7.718265)</f>
        <v>7.718265</v>
      </c>
      <c r="D19456" s="7">
        <f>IFERROR(__xludf.DUMMYFUNCTION("""COMPUTED_VALUE"""),0.288461538461538)</f>
        <v>0.2884615385</v>
      </c>
    </row>
    <row r="19457">
      <c r="A19457" s="10" t="s">
        <v>20896</v>
      </c>
      <c r="B19457" s="7" t="str">
        <f>IFERROR(__xludf.DUMMYFUNCTION("SPLIT(A19457,"" "")"),"Cc1cccnc1CN(Cc1ncccc1N(C)Cc1cncc(C)c1-c1cccc(C2CCC2(C)C)n1)c1ccc2ncccc2c1")</f>
        <v>Cc1cccnc1CN(Cc1ncccc1N(C)Cc1cncc(C)c1-c1cccc(C2CCC2(C)C)n1)c1ccc2ncccc2c1</v>
      </c>
      <c r="C19457" s="7">
        <f>IFERROR(__xludf.DUMMYFUNCTION("""COMPUTED_VALUE"""),7.718244)</f>
        <v>7.718244</v>
      </c>
      <c r="D19457" s="7">
        <f>IFERROR(__xludf.DUMMYFUNCTION("""COMPUTED_VALUE"""),0.25)</f>
        <v>0.25</v>
      </c>
    </row>
    <row r="19458">
      <c r="A19458" s="10" t="s">
        <v>20897</v>
      </c>
      <c r="B19458" s="7" t="str">
        <f>IFERROR(__xludf.DUMMYFUNCTION("SPLIT(A19458,"" "")"),"Cc1c(C)c(C)c(N(C)CCN(C)c2ccc3ncccc3c2)c(C)c1C")</f>
        <v>Cc1c(C)c(C)c(N(C)CCN(C)c2ccc3ncccc3c2)c(C)c1C</v>
      </c>
      <c r="C19458" s="7">
        <f>IFERROR(__xludf.DUMMYFUNCTION("""COMPUTED_VALUE"""),7.718242)</f>
        <v>7.718242</v>
      </c>
      <c r="D19458" s="7">
        <f>IFERROR(__xludf.DUMMYFUNCTION("""COMPUTED_VALUE"""),0.409090909090909)</f>
        <v>0.4090909091</v>
      </c>
    </row>
    <row r="19459">
      <c r="A19459" s="10" t="s">
        <v>20898</v>
      </c>
      <c r="B19459" s="7" t="str">
        <f>IFERROR(__xludf.DUMMYFUNCTION("SPLIT(A19459,"" "")"),"CN(Cc1cccc(C(C)(C)c2ccccn2)n1)c1ccc2cccnc2c1")</f>
        <v>CN(Cc1cccc(C(C)(C)c2ccccn2)n1)c1ccc2cccnc2c1</v>
      </c>
      <c r="C19459" s="7">
        <f>IFERROR(__xludf.DUMMYFUNCTION("""COMPUTED_VALUE"""),7.7182307)</f>
        <v>7.7182307</v>
      </c>
      <c r="D19459" s="7">
        <f>IFERROR(__xludf.DUMMYFUNCTION("""COMPUTED_VALUE"""),0.415094339622641)</f>
        <v>0.4150943396</v>
      </c>
    </row>
    <row r="19460">
      <c r="A19460" s="10" t="s">
        <v>20899</v>
      </c>
      <c r="B19460" s="7" t="str">
        <f>IFERROR(__xludf.DUMMYFUNCTION("SPLIT(A19460,"" "")"),"CN(C)Cc1ccc2cc(N(C)Cc3ncccc3N)ccc2n1")</f>
        <v>CN(C)Cc1ccc2cc(N(C)Cc3ncccc3N)ccc2n1</v>
      </c>
      <c r="C19460" s="7">
        <f>IFERROR(__xludf.DUMMYFUNCTION("""COMPUTED_VALUE"""),7.718212)</f>
        <v>7.718212</v>
      </c>
      <c r="D19460" s="7">
        <f>IFERROR(__xludf.DUMMYFUNCTION("""COMPUTED_VALUE"""),0.358490566037735)</f>
        <v>0.358490566</v>
      </c>
    </row>
    <row r="19461">
      <c r="A19461" s="10" t="s">
        <v>20900</v>
      </c>
      <c r="B19461" s="7" t="str">
        <f>IFERROR(__xludf.DUMMYFUNCTION("SPLIT(A19461,"" "")"),"CN(c1cccc2nc(CF)ccc12)C1CCC(N(C)c2cccc3c(Cl)cc(Cl)nc23)CC1")</f>
        <v>CN(c1cccc2nc(CF)ccc12)C1CCC(N(C)c2cccc3c(Cl)cc(Cl)nc23)CC1</v>
      </c>
      <c r="C19461" s="7">
        <f>IFERROR(__xludf.DUMMYFUNCTION("""COMPUTED_VALUE"""),7.7181716)</f>
        <v>7.7181716</v>
      </c>
      <c r="D19461" s="7">
        <f>IFERROR(__xludf.DUMMYFUNCTION("""COMPUTED_VALUE"""),0.426229508196721)</f>
        <v>0.4262295082</v>
      </c>
    </row>
    <row r="19462">
      <c r="A19462" s="10" t="s">
        <v>20901</v>
      </c>
      <c r="B19462" s="7" t="str">
        <f>IFERROR(__xludf.DUMMYFUNCTION("SPLIT(A19462,"" "")"),"CNCc1cc2cc(N(C)Cc3ncc(C)cc3C)ccc2cn1")</f>
        <v>CNCc1cc2cc(N(C)Cc3ncc(C)cc3C)ccc2cn1</v>
      </c>
      <c r="C19462" s="7">
        <f>IFERROR(__xludf.DUMMYFUNCTION("""COMPUTED_VALUE"""),7.7181587)</f>
        <v>7.7181587</v>
      </c>
      <c r="D19462" s="7">
        <f>IFERROR(__xludf.DUMMYFUNCTION("""COMPUTED_VALUE"""),0.30188679245283)</f>
        <v>0.3018867925</v>
      </c>
    </row>
    <row r="19463">
      <c r="A19463" s="10" t="s">
        <v>20902</v>
      </c>
      <c r="B19463" s="7" t="str">
        <f>IFERROR(__xludf.DUMMYFUNCTION("SPLIT(A19463,"" "")"),"Cc1cc(-c2ccccc2NCc2ccccn2)cnc1-c1cccc(NCc2ccccn2)c1C")</f>
        <v>Cc1cc(-c2ccccc2NCc2ccccn2)cnc1-c1cccc(NCc2ccccn2)c1C</v>
      </c>
      <c r="C19463" s="7">
        <f>IFERROR(__xludf.DUMMYFUNCTION("""COMPUTED_VALUE"""),7.71815)</f>
        <v>7.71815</v>
      </c>
      <c r="D19463" s="7">
        <f>IFERROR(__xludf.DUMMYFUNCTION("""COMPUTED_VALUE"""),0.366666666666666)</f>
        <v>0.3666666667</v>
      </c>
    </row>
    <row r="19464">
      <c r="A19464" s="10" t="s">
        <v>20903</v>
      </c>
      <c r="B19464" s="7" t="str">
        <f>IFERROR(__xludf.DUMMYFUNCTION("SPLIT(A19464,"" "")"),"CN(C)Cc1ccnc2ccc(N(C)CCN(C)Cc3ccc4ncccc4c3)cc12")</f>
        <v>CN(C)Cc1ccnc2ccc(N(C)CCN(C)Cc3ccc4ncccc4c3)cc12</v>
      </c>
      <c r="C19464" s="7">
        <f>IFERROR(__xludf.DUMMYFUNCTION("""COMPUTED_VALUE"""),7.7181377)</f>
        <v>7.7181377</v>
      </c>
      <c r="D19464" s="7">
        <f>IFERROR(__xludf.DUMMYFUNCTION("""COMPUTED_VALUE"""),0.381818181818181)</f>
        <v>0.3818181818</v>
      </c>
    </row>
    <row r="19465">
      <c r="A19465" s="10" t="s">
        <v>20904</v>
      </c>
      <c r="B19465" s="7" t="str">
        <f>IFERROR(__xludf.DUMMYFUNCTION("SPLIT(A19465,"" "")"),"Cc1cc(-c2ccccn2)cnc1CN(c1ccc2ncccc2c1)C1CCC(N(C)c2ccc3nccc(CF)c3c2)CC1")</f>
        <v>Cc1cc(-c2ccccn2)cnc1CN(c1ccc2ncccc2c1)C1CCC(N(C)c2ccc3nccc(CF)c3c2)CC1</v>
      </c>
      <c r="C19465" s="7">
        <f>IFERROR(__xludf.DUMMYFUNCTION("""COMPUTED_VALUE"""),7.7181363)</f>
        <v>7.7181363</v>
      </c>
      <c r="D19465" s="7">
        <f>IFERROR(__xludf.DUMMYFUNCTION("""COMPUTED_VALUE"""),0.256410256410256)</f>
        <v>0.2564102564</v>
      </c>
    </row>
    <row r="19466">
      <c r="A19466" s="10" t="s">
        <v>20905</v>
      </c>
      <c r="B19466" s="7" t="str">
        <f>IFERROR(__xludf.DUMMYFUNCTION("SPLIT(A19466,"" "")"),"CN(Cc1ccccn1)C1=C(CN(C)c2cccc3cccnc23)CC=CN1")</f>
        <v>CN(Cc1ccccn1)C1=C(CN(C)c2cccc3cccnc23)CC=CN1</v>
      </c>
      <c r="C19466" s="7">
        <f>IFERROR(__xludf.DUMMYFUNCTION("""COMPUTED_VALUE"""),7.7181287)</f>
        <v>7.7181287</v>
      </c>
      <c r="D19466" s="7">
        <f>IFERROR(__xludf.DUMMYFUNCTION("""COMPUTED_VALUE"""),0.471698113207547)</f>
        <v>0.4716981132</v>
      </c>
    </row>
    <row r="19467">
      <c r="A19467" s="10" t="s">
        <v>20906</v>
      </c>
      <c r="B19467" s="7" t="str">
        <f>IFERROR(__xludf.DUMMYFUNCTION("SPLIT(A19467,"" "")"),"CN(Cc1ccc(F)cn1)C1=C(CN(C)c2ccc3cccnc3c2)CC=CN1")</f>
        <v>CN(Cc1ccc(F)cn1)C1=C(CN(C)c2ccc3cccnc3c2)CC=CN1</v>
      </c>
      <c r="C19467" s="7">
        <f>IFERROR(__xludf.DUMMYFUNCTION("""COMPUTED_VALUE"""),7.7181015)</f>
        <v>7.7181015</v>
      </c>
      <c r="D19467" s="7">
        <f>IFERROR(__xludf.DUMMYFUNCTION("""COMPUTED_VALUE"""),0.303030303030303)</f>
        <v>0.303030303</v>
      </c>
    </row>
    <row r="19468">
      <c r="A19468" s="10" t="s">
        <v>20907</v>
      </c>
      <c r="B19468" s="7" t="str">
        <f>IFERROR(__xludf.DUMMYFUNCTION("SPLIT(A19468,"" "")"),"CN(c1ccc2ncccc2c1)C12CCC(N(C)c3ccc4ncccc4c3)(CC1)C2")</f>
        <v>CN(c1ccc2ncccc2c1)C12CCC(N(C)c3ccc4ncccc4c3)(CC1)C2</v>
      </c>
      <c r="C19468" s="7">
        <f>IFERROR(__xludf.DUMMYFUNCTION("""COMPUTED_VALUE"""),7.7181005)</f>
        <v>7.7181005</v>
      </c>
      <c r="D19468" s="7">
        <f>IFERROR(__xludf.DUMMYFUNCTION("""COMPUTED_VALUE"""),0.304347826086956)</f>
        <v>0.3043478261</v>
      </c>
    </row>
    <row r="19469">
      <c r="A19469" s="10" t="s">
        <v>20908</v>
      </c>
      <c r="B19469" s="7" t="str">
        <f>IFERROR(__xludf.DUMMYFUNCTION("SPLIT(A19469,"" "")"),"c1ccc2ncccc2c1")</f>
        <v>c1ccc2ncccc2c1</v>
      </c>
      <c r="C19469" s="7">
        <f>IFERROR(__xludf.DUMMYFUNCTION("""COMPUTED_VALUE"""),7.7180996)</f>
        <v>7.7180996</v>
      </c>
      <c r="D19469" s="7">
        <f>IFERROR(__xludf.DUMMYFUNCTION("""COMPUTED_VALUE"""),0.424242424242424)</f>
        <v>0.4242424242</v>
      </c>
    </row>
    <row r="19470">
      <c r="A19470" s="10" t="s">
        <v>20909</v>
      </c>
      <c r="B19470" s="7" t="str">
        <f>IFERROR(__xludf.DUMMYFUNCTION("SPLIT(A19470,"" "")"),"Cc1cccc(-c2cccnc2CN(C)Cc2cc3ncccc3cc2N(C)Cc2ccccn2)c1")</f>
        <v>Cc1cccc(-c2cccnc2CN(C)Cc2cc3ncccc3cc2N(C)Cc2ccccn2)c1</v>
      </c>
      <c r="C19470" s="7">
        <f>IFERROR(__xludf.DUMMYFUNCTION("""COMPUTED_VALUE"""),7.7180896)</f>
        <v>7.7180896</v>
      </c>
      <c r="D19470" s="7">
        <f>IFERROR(__xludf.DUMMYFUNCTION("""COMPUTED_VALUE"""),0.4)</f>
        <v>0.4</v>
      </c>
    </row>
    <row r="19471">
      <c r="A19471" s="10" t="s">
        <v>20910</v>
      </c>
      <c r="B19471" s="7" t="str">
        <f>IFERROR(__xludf.DUMMYFUNCTION("SPLIT(A19471,"" "")"),"Cc1cc(C)c(N(C)C)c(Cl)c1")</f>
        <v>Cc1cc(C)c(N(C)C)c(Cl)c1</v>
      </c>
      <c r="C19471" s="7">
        <f>IFERROR(__xludf.DUMMYFUNCTION("""COMPUTED_VALUE"""),7.718087)</f>
        <v>7.718087</v>
      </c>
      <c r="D19471" s="7">
        <f>IFERROR(__xludf.DUMMYFUNCTION("""COMPUTED_VALUE"""),0.225)</f>
        <v>0.225</v>
      </c>
    </row>
    <row r="19472">
      <c r="A19472" s="10" t="s">
        <v>20911</v>
      </c>
      <c r="B19472" s="7" t="str">
        <f>IFERROR(__xludf.DUMMYFUNCTION("SPLIT(A19472,"" "")"),"CN(Cc1cccc(N)n1)C1=C(CN(C)c2ccc3ncccc3c2)NC=CC1")</f>
        <v>CN(Cc1cccc(N)n1)C1=C(CN(C)c2ccc3ncccc3c2)NC=CC1</v>
      </c>
      <c r="C19472" s="7">
        <f>IFERROR(__xludf.DUMMYFUNCTION("""COMPUTED_VALUE"""),7.718086)</f>
        <v>7.718086</v>
      </c>
      <c r="D19472" s="7">
        <f>IFERROR(__xludf.DUMMYFUNCTION("""COMPUTED_VALUE"""),0.276923076923076)</f>
        <v>0.2769230769</v>
      </c>
    </row>
    <row r="19473">
      <c r="A19473" s="10" t="s">
        <v>20912</v>
      </c>
      <c r="B19473" s="7" t="str">
        <f>IFERROR(__xludf.DUMMYFUNCTION("SPLIT(A19473,"" "")"),"CN(C)Cc1ccnc2cc(N(C)CCN(C)Cc3ccc4cccnc4c3)ccc12")</f>
        <v>CN(C)Cc1ccnc2cc(N(C)CCN(C)Cc3ccc4cccnc4c3)ccc12</v>
      </c>
      <c r="C19473" s="7">
        <f>IFERROR(__xludf.DUMMYFUNCTION("""COMPUTED_VALUE"""),7.7180767)</f>
        <v>7.7180767</v>
      </c>
      <c r="D19473" s="7">
        <f>IFERROR(__xludf.DUMMYFUNCTION("""COMPUTED_VALUE"""),0.375)</f>
        <v>0.375</v>
      </c>
    </row>
    <row r="19474">
      <c r="A19474" s="10" t="s">
        <v>20913</v>
      </c>
      <c r="B19474" s="7" t="str">
        <f>IFERROR(__xludf.DUMMYFUNCTION("SPLIT(A19474,"" "")"),"Cc1cccnc1CN(Cc1ccccn1)Cc1cccc(-c2cc(N(C)Cc3ncccc3C)cc3cccnc23)n1")</f>
        <v>Cc1cccnc1CN(Cc1ccccn1)Cc1cccc(-c2cc(N(C)Cc3ncccc3C)cc3cccnc23)n1</v>
      </c>
      <c r="C19474" s="7">
        <f>IFERROR(__xludf.DUMMYFUNCTION("""COMPUTED_VALUE"""),7.718074)</f>
        <v>7.718074</v>
      </c>
      <c r="D19474" s="7">
        <f>IFERROR(__xludf.DUMMYFUNCTION("""COMPUTED_VALUE"""),0.43076923076923)</f>
        <v>0.4307692308</v>
      </c>
    </row>
    <row r="19475">
      <c r="A19475" s="10" t="s">
        <v>20914</v>
      </c>
      <c r="B19475" s="7" t="str">
        <f>IFERROR(__xludf.DUMMYFUNCTION("SPLIT(A19475,"" "")"),"CNc1cc2cccnc2c(Cl)c1-c1cc(CN(Cc2ccccn2)C2CCC(N(C)c3ccc4nccc(C)c4c3)CC2)ccn1")</f>
        <v>CNc1cc2cccnc2c(Cl)c1-c1cc(CN(Cc2ccccn2)C2CCC(N(C)c3ccc4nccc(C)c4c3)CC2)ccn1</v>
      </c>
      <c r="C19475" s="7">
        <f>IFERROR(__xludf.DUMMYFUNCTION("""COMPUTED_VALUE"""),7.7180724)</f>
        <v>7.7180724</v>
      </c>
      <c r="D19475" s="7">
        <f>IFERROR(__xludf.DUMMYFUNCTION("""COMPUTED_VALUE"""),0.268292682926829)</f>
        <v>0.2682926829</v>
      </c>
    </row>
    <row r="19476">
      <c r="A19476" s="10" t="s">
        <v>20915</v>
      </c>
      <c r="B19476" s="7" t="str">
        <f>IFERROR(__xludf.DUMMYFUNCTION("SPLIT(A19476,"" "")"),"Cc1cccc(CN(C)C2=C(CN(C)c3ccc4ncccc4c3)NC=CC2)n1")</f>
        <v>Cc1cccc(CN(C)C2=C(CN(C)c3ccc4ncccc4c3)NC=CC2)n1</v>
      </c>
      <c r="C19476" s="7">
        <f>IFERROR(__xludf.DUMMYFUNCTION("""COMPUTED_VALUE"""),7.7180667)</f>
        <v>7.7180667</v>
      </c>
      <c r="D19476" s="7">
        <f>IFERROR(__xludf.DUMMYFUNCTION("""COMPUTED_VALUE"""),0.344827586206896)</f>
        <v>0.3448275862</v>
      </c>
    </row>
    <row r="19477">
      <c r="A19477" s="10" t="s">
        <v>20916</v>
      </c>
      <c r="B19477" s="7" t="str">
        <f>IFERROR(__xludf.DUMMYFUNCTION("SPLIT(A19477,"" "")"),"Cc1ccnc2cccc(N(C)CCN(Cc3cccc4ncccc34)C(C)C)c12")</f>
        <v>Cc1ccnc2cccc(N(C)CCN(Cc3cccc4ncccc34)C(C)C)c12</v>
      </c>
      <c r="C19477" s="7">
        <f>IFERROR(__xludf.DUMMYFUNCTION("""COMPUTED_VALUE"""),7.718063)</f>
        <v>7.718063</v>
      </c>
      <c r="D19477" s="7">
        <f>IFERROR(__xludf.DUMMYFUNCTION("""COMPUTED_VALUE"""),0.37037037037037)</f>
        <v>0.3703703704</v>
      </c>
    </row>
    <row r="19478">
      <c r="A19478" s="10" t="s">
        <v>20917</v>
      </c>
      <c r="B19478" s="7" t="str">
        <f>IFERROR(__xludf.DUMMYFUNCTION("SPLIT(A19478,"" "")"),"Cc1cccnc1CN(C)c1cc(C)c2ccc(CN(C)Cc3cc(C)c(C)c(C)n3)nc2c1")</f>
        <v>Cc1cccnc1CN(C)c1cc(C)c2ccc(CN(C)Cc3cc(C)c(C)c(C)n3)nc2c1</v>
      </c>
      <c r="C19478" s="7">
        <f>IFERROR(__xludf.DUMMYFUNCTION("""COMPUTED_VALUE"""),7.7180514)</f>
        <v>7.7180514</v>
      </c>
      <c r="D19478" s="7">
        <f>IFERROR(__xludf.DUMMYFUNCTION("""COMPUTED_VALUE"""),0.306451612903225)</f>
        <v>0.3064516129</v>
      </c>
    </row>
    <row r="19479">
      <c r="A19479" s="10" t="s">
        <v>20918</v>
      </c>
      <c r="B19479" s="7" t="str">
        <f>IFERROR(__xludf.DUMMYFUNCTION("SPLIT(A19479,"" "")"),"C1=CNC(Nc2cc(-c3cc(C(c4ccccc4)c4ccccn4)ccn3)ccn2)C=C1")</f>
        <v>C1=CNC(Nc2cc(-c3cc(C(c4ccccc4)c4ccccn4)ccn3)ccn2)C=C1</v>
      </c>
      <c r="C19479" s="7">
        <f>IFERROR(__xludf.DUMMYFUNCTION("""COMPUTED_VALUE"""),7.718049)</f>
        <v>7.718049</v>
      </c>
      <c r="D19479" s="7">
        <f>IFERROR(__xludf.DUMMYFUNCTION("""COMPUTED_VALUE"""),0.279411764705882)</f>
        <v>0.2794117647</v>
      </c>
    </row>
    <row r="19480">
      <c r="A19480" s="10" t="s">
        <v>20919</v>
      </c>
      <c r="B19480" s="7" t="str">
        <f>IFERROR(__xludf.DUMMYFUNCTION("SPLIT(A19480,"" "")"),"CNCC1=CCC(N(C)c2ccc3cccnc3c2)=CN1")</f>
        <v>CNCC1=CCC(N(C)c2ccc3cccnc3c2)=CN1</v>
      </c>
      <c r="C19480" s="7">
        <f>IFERROR(__xludf.DUMMYFUNCTION("""COMPUTED_VALUE"""),7.7180414)</f>
        <v>7.7180414</v>
      </c>
      <c r="D19480" s="7">
        <f>IFERROR(__xludf.DUMMYFUNCTION("""COMPUTED_VALUE"""),0.266666666666666)</f>
        <v>0.2666666667</v>
      </c>
    </row>
    <row r="19481">
      <c r="A19481" s="10" t="s">
        <v>20920</v>
      </c>
      <c r="B19481" s="7" t="str">
        <f>IFERROR(__xludf.DUMMYFUNCTION("SPLIT(A19481,"" "")"),"Cc1cccc(CN(C)C2=C(CN(C)c3ccc4cccnc4c3)NC=CC2)n1")</f>
        <v>Cc1cccc(CN(C)C2=C(CN(C)c3ccc4cccnc4c3)NC=CC2)n1</v>
      </c>
      <c r="C19481" s="7">
        <f>IFERROR(__xludf.DUMMYFUNCTION("""COMPUTED_VALUE"""),7.7180376)</f>
        <v>7.7180376</v>
      </c>
      <c r="D19481" s="7">
        <f>IFERROR(__xludf.DUMMYFUNCTION("""COMPUTED_VALUE"""),0.338983050847457)</f>
        <v>0.3389830508</v>
      </c>
    </row>
    <row r="19482">
      <c r="A19482" s="10" t="s">
        <v>20921</v>
      </c>
      <c r="B19482" s="7" t="str">
        <f>IFERROR(__xludf.DUMMYFUNCTION("SPLIT(A19482,"" "")"),"CN(C)Cc1nccc2cc(N(C)CC3=CCC=CN3)ccc12")</f>
        <v>CN(C)Cc1nccc2cc(N(C)CC3=CCC=CN3)ccc12</v>
      </c>
      <c r="C19482" s="7">
        <f>IFERROR(__xludf.DUMMYFUNCTION("""COMPUTED_VALUE"""),7.7180295)</f>
        <v>7.7180295</v>
      </c>
      <c r="D19482" s="7">
        <f>IFERROR(__xludf.DUMMYFUNCTION("""COMPUTED_VALUE"""),0.396551724137931)</f>
        <v>0.3965517241</v>
      </c>
    </row>
    <row r="19483">
      <c r="A19483" s="10" t="s">
        <v>20922</v>
      </c>
      <c r="B19483" s="7" t="str">
        <f>IFERROR(__xludf.DUMMYFUNCTION("SPLIT(A19483,"" "")"),"Cc1cnc(N=Cc2ccccn2)c(-c2ccccc2NCc2ccccn2)c1")</f>
        <v>Cc1cnc(N=Cc2ccccn2)c(-c2ccccc2NCc2ccccn2)c1</v>
      </c>
      <c r="C19483" s="7">
        <f>IFERROR(__xludf.DUMMYFUNCTION("""COMPUTED_VALUE"""),7.717985)</f>
        <v>7.717985</v>
      </c>
      <c r="D19483" s="7">
        <f>IFERROR(__xludf.DUMMYFUNCTION("""COMPUTED_VALUE"""),0.362068965517241)</f>
        <v>0.3620689655</v>
      </c>
    </row>
    <row r="19484">
      <c r="A19484" s="10" t="s">
        <v>20923</v>
      </c>
      <c r="B19484" s="7" t="str">
        <f>IFERROR(__xludf.DUMMYFUNCTION("SPLIT(A19484,"" "")"),"Cc1ccccc1N(C)CCN(C)c1ccc2nccc(C)c2c1")</f>
        <v>Cc1ccccc1N(C)CCN(C)c1ccc2nccc(C)c2c1</v>
      </c>
      <c r="C19484" s="7">
        <f>IFERROR(__xludf.DUMMYFUNCTION("""COMPUTED_VALUE"""),7.717973)</f>
        <v>7.717973</v>
      </c>
      <c r="D19484" s="7">
        <f>IFERROR(__xludf.DUMMYFUNCTION("""COMPUTED_VALUE"""),0.354166666666666)</f>
        <v>0.3541666667</v>
      </c>
    </row>
    <row r="19485">
      <c r="A19485" s="10" t="s">
        <v>20924</v>
      </c>
      <c r="B19485" s="7" t="str">
        <f>IFERROR(__xludf.DUMMYFUNCTION("SPLIT(A19485,"" "")"),"Cc1cc(-c2cccc(NCc3ccccn3)c2)cnc1-c1cccc(NCc2ccccn2)c1C")</f>
        <v>Cc1cc(-c2cccc(NCc3ccccn3)c2)cnc1-c1cccc(NCc2ccccn2)c1C</v>
      </c>
      <c r="C19485" s="7">
        <f>IFERROR(__xludf.DUMMYFUNCTION("""COMPUTED_VALUE"""),7.7179627)</f>
        <v>7.7179627</v>
      </c>
      <c r="D19485" s="7">
        <f>IFERROR(__xludf.DUMMYFUNCTION("""COMPUTED_VALUE"""),0.359375)</f>
        <v>0.359375</v>
      </c>
    </row>
    <row r="19486">
      <c r="A19486" s="10" t="s">
        <v>20925</v>
      </c>
      <c r="B19486" s="7" t="str">
        <f>IFERROR(__xludf.DUMMYFUNCTION("SPLIT(A19486,"" "")"),"Cc1cnc(CN(C)c2ccc3cccnc3c2-c2cnccc2CN(Cc2ccccn2)Cc2ncccc2C)c(C)c1")</f>
        <v>Cc1cnc(CN(C)c2ccc3cccnc3c2-c2cnccc2CN(Cc2ccccn2)Cc2ncccc2C)c(C)c1</v>
      </c>
      <c r="C19486" s="7">
        <f>IFERROR(__xludf.DUMMYFUNCTION("""COMPUTED_VALUE"""),7.7179236)</f>
        <v>7.7179236</v>
      </c>
      <c r="D19486" s="7">
        <f>IFERROR(__xludf.DUMMYFUNCTION("""COMPUTED_VALUE"""),0.328571428571428)</f>
        <v>0.3285714286</v>
      </c>
    </row>
    <row r="19487">
      <c r="A19487" s="10" t="s">
        <v>20926</v>
      </c>
      <c r="B19487" s="7" t="str">
        <f>IFERROR(__xludf.DUMMYFUNCTION("SPLIT(A19487,"" "")"),"CNc1ccccc1-c1ncccc1C(C)(c1ccccn1)c1ccccn1")</f>
        <v>CNc1ccccc1-c1ncccc1C(C)(c1ccccn1)c1ccccn1</v>
      </c>
      <c r="C19487" s="7">
        <f>IFERROR(__xludf.DUMMYFUNCTION("""COMPUTED_VALUE"""),7.717915)</f>
        <v>7.717915</v>
      </c>
      <c r="D19487" s="7">
        <f>IFERROR(__xludf.DUMMYFUNCTION("""COMPUTED_VALUE"""),0.425531914893617)</f>
        <v>0.4255319149</v>
      </c>
    </row>
    <row r="19488">
      <c r="A19488" s="10" t="s">
        <v>20927</v>
      </c>
      <c r="B19488" s="7" t="str">
        <f>IFERROR(__xludf.DUMMYFUNCTION("SPLIT(A19488,"" "")"),"Cc1ccc2cccc(N(C)CC3=C(N(C)Cc4ncccc4C)CC=CN3)c2n1")</f>
        <v>Cc1ccc2cccc(N(C)CC3=C(N(C)Cc4ncccc4C)CC=CN3)c2n1</v>
      </c>
      <c r="C19488" s="7">
        <f>IFERROR(__xludf.DUMMYFUNCTION("""COMPUTED_VALUE"""),7.717912)</f>
        <v>7.717912</v>
      </c>
      <c r="D19488" s="7">
        <f>IFERROR(__xludf.DUMMYFUNCTION("""COMPUTED_VALUE"""),0.383333333333333)</f>
        <v>0.3833333333</v>
      </c>
    </row>
    <row r="19489">
      <c r="A19489" s="10" t="s">
        <v>20928</v>
      </c>
      <c r="B19489" s="7" t="str">
        <f>IFERROR(__xludf.DUMMYFUNCTION("SPLIT(A19489,"" "")"),"Cc1ccccc1N(C)CCN(C)c1cccc2nccc(C)c12")</f>
        <v>Cc1ccccc1N(C)CCN(C)c1cccc2nccc(C)c12</v>
      </c>
      <c r="C19489" s="7">
        <f>IFERROR(__xludf.DUMMYFUNCTION("""COMPUTED_VALUE"""),7.717907)</f>
        <v>7.717907</v>
      </c>
      <c r="D19489" s="7">
        <f>IFERROR(__xludf.DUMMYFUNCTION("""COMPUTED_VALUE"""),0.41860465116279)</f>
        <v>0.4186046512</v>
      </c>
    </row>
    <row r="19490">
      <c r="A19490" s="10" t="s">
        <v>20929</v>
      </c>
      <c r="B19490" s="7" t="str">
        <f>IFERROR(__xludf.DUMMYFUNCTION("SPLIT(A19490,"" "")"),"Cc1ccnc(Nc2ccccc2)c1-c1ccc(C(c2ccccc2)c2ccccn2)cn1")</f>
        <v>Cc1ccnc(Nc2ccccc2)c1-c1ccc(C(c2ccccc2)c2ccccn2)cn1</v>
      </c>
      <c r="C19490" s="7">
        <f>IFERROR(__xludf.DUMMYFUNCTION("""COMPUTED_VALUE"""),7.717894)</f>
        <v>7.717894</v>
      </c>
      <c r="D19490" s="7">
        <f>IFERROR(__xludf.DUMMYFUNCTION("""COMPUTED_VALUE"""),0.295081967213114)</f>
        <v>0.2950819672</v>
      </c>
    </row>
    <row r="19491">
      <c r="A19491" s="10" t="s">
        <v>20930</v>
      </c>
      <c r="B19491" s="7" t="str">
        <f>IFERROR(__xludf.DUMMYFUNCTION("SPLIT(A19491,"" "")"),"COC(=O)c1cccc(-c2cc(C(=O)C(=O)C(C)NCc3ccccn3)ccn2)n1")</f>
        <v>COC(=O)c1cccc(-c2cc(C(=O)C(=O)C(C)NCc3ccccn3)ccn2)n1</v>
      </c>
      <c r="C19491" s="7">
        <f>IFERROR(__xludf.DUMMYFUNCTION("""COMPUTED_VALUE"""),7.7178926)</f>
        <v>7.7178926</v>
      </c>
      <c r="D19491" s="7">
        <f>IFERROR(__xludf.DUMMYFUNCTION("""COMPUTED_VALUE"""),0.328125)</f>
        <v>0.328125</v>
      </c>
    </row>
    <row r="19492">
      <c r="A19492" s="10" t="s">
        <v>20931</v>
      </c>
      <c r="B19492" s="7" t="str">
        <f>IFERROR(__xludf.DUMMYFUNCTION("SPLIT(A19492,"" "")"),"Cc1cccc(CN(C)c2ccc3cccnc3c2-c2cccc(CN(Cc3ccccn3)Cc3nc(C)cc(C)c3C)n2)n1")</f>
        <v>Cc1cccc(CN(C)c2ccc3cccnc3c2-c2cccc(CN(Cc3ccccn3)Cc3nc(C)cc(C)c3C)n2)n1</v>
      </c>
      <c r="C19492" s="7">
        <f>IFERROR(__xludf.DUMMYFUNCTION("""COMPUTED_VALUE"""),7.7178893)</f>
        <v>7.7178893</v>
      </c>
      <c r="D19492" s="7">
        <f>IFERROR(__xludf.DUMMYFUNCTION("""COMPUTED_VALUE"""),0.388888888888888)</f>
        <v>0.3888888889</v>
      </c>
    </row>
    <row r="19493">
      <c r="A19493" s="10" t="s">
        <v>20932</v>
      </c>
      <c r="B19493" s="7" t="str">
        <f>IFERROR(__xludf.DUMMYFUNCTION("SPLIT(A19493,"" "")"),"Cc1nccc(CN(C)C2=C(CN(C)c3ccc4cccnc4c3)NC=CC2)c1C")</f>
        <v>Cc1nccc(CN(C)C2=C(CN(C)c3ccc4cccnc4c3)NC=CC2)c1C</v>
      </c>
      <c r="C19493" s="7">
        <f>IFERROR(__xludf.DUMMYFUNCTION("""COMPUTED_VALUE"""),7.717887)</f>
        <v>7.717887</v>
      </c>
      <c r="D19493" s="7">
        <f>IFERROR(__xludf.DUMMYFUNCTION("""COMPUTED_VALUE"""),0.257575757575757)</f>
        <v>0.2575757576</v>
      </c>
    </row>
    <row r="19494">
      <c r="A19494" s="10" t="s">
        <v>20933</v>
      </c>
      <c r="B19494" s="7" t="str">
        <f>IFERROR(__xludf.DUMMYFUNCTION("SPLIT(A19494,"" "")"),"C1=CC(Nc2cc(-c3ccc(C(c4ccccc4)c4ccccn4)cn3)ccn2)=CCN1")</f>
        <v>C1=CC(Nc2cc(-c3ccc(C(c4ccccc4)c4ccccn4)cn3)ccn2)=CCN1</v>
      </c>
      <c r="C19494" s="7">
        <f>IFERROR(__xludf.DUMMYFUNCTION("""COMPUTED_VALUE"""),7.717867)</f>
        <v>7.717867</v>
      </c>
      <c r="D19494" s="7">
        <f>IFERROR(__xludf.DUMMYFUNCTION("""COMPUTED_VALUE"""),0.253521126760563)</f>
        <v>0.2535211268</v>
      </c>
    </row>
    <row r="19495">
      <c r="A19495" s="10" t="s">
        <v>20934</v>
      </c>
      <c r="B19495" s="7" t="str">
        <f>IFERROR(__xludf.DUMMYFUNCTION("SPLIT(A19495,"" "")"),"CN(CC1=CCC=C(N(C)C(c2ccccc2)c2ccccn2)N1)c1cccc2ncccc12")</f>
        <v>CN(CC1=CCC=C(N(C)C(c2ccccc2)c2ccccn2)N1)c1cccc2ncccc12</v>
      </c>
      <c r="C19495" s="7">
        <f>IFERROR(__xludf.DUMMYFUNCTION("""COMPUTED_VALUE"""),7.7178655)</f>
        <v>7.7178655</v>
      </c>
      <c r="D19495" s="7">
        <f>IFERROR(__xludf.DUMMYFUNCTION("""COMPUTED_VALUE"""),0.363636363636363)</f>
        <v>0.3636363636</v>
      </c>
    </row>
    <row r="19496">
      <c r="A19496" s="10" t="s">
        <v>20935</v>
      </c>
      <c r="B19496" s="7" t="str">
        <f>IFERROR(__xludf.DUMMYFUNCTION("SPLIT(A19496,"" "")"),"CN(C)C1=CC=CNC1Nc1cccc(-c2cccc(C(c3ccccc3)c3ccccn3)n2)n1")</f>
        <v>CN(C)C1=CC=CNC1Nc1cccc(-c2cccc(C(c3ccccc3)c3ccccn3)n2)n1</v>
      </c>
      <c r="C19496" s="7">
        <f>IFERROR(__xludf.DUMMYFUNCTION("""COMPUTED_VALUE"""),7.7178617)</f>
        <v>7.7178617</v>
      </c>
      <c r="D19496" s="7">
        <f>IFERROR(__xludf.DUMMYFUNCTION("""COMPUTED_VALUE"""),0.313432835820895)</f>
        <v>0.3134328358</v>
      </c>
    </row>
    <row r="19497">
      <c r="A19497" s="10" t="s">
        <v>20936</v>
      </c>
      <c r="B19497" s="7" t="str">
        <f>IFERROR(__xludf.DUMMYFUNCTION("SPLIT(A19497,"" "")"),"Cc1cncc(C)c1CN(C)Cc1cc(N(C)c2ccc3ncccc3c2)ccn1")</f>
        <v>Cc1cncc(C)c1CN(C)Cc1cc(N(C)c2ccc3ncccc3c2)ccn1</v>
      </c>
      <c r="C19497" s="7">
        <f>IFERROR(__xludf.DUMMYFUNCTION("""COMPUTED_VALUE"""),7.7178464)</f>
        <v>7.7178464</v>
      </c>
      <c r="D19497" s="7">
        <f>IFERROR(__xludf.DUMMYFUNCTION("""COMPUTED_VALUE"""),0.327586206896551)</f>
        <v>0.3275862069</v>
      </c>
    </row>
    <row r="19498">
      <c r="A19498" s="10" t="s">
        <v>20937</v>
      </c>
      <c r="B19498" s="7" t="str">
        <f>IFERROR(__xludf.DUMMYFUNCTION("SPLIT(A19498,"" "")"),"Cc1nccc(CN(C)C2=CNC=C(CN(C)c3ccc4cccnc4c3)C2)c1C")</f>
        <v>Cc1nccc(CN(C)C2=CNC=C(CN(C)c3ccc4cccnc4c3)C2)c1C</v>
      </c>
      <c r="C19498" s="7">
        <f>IFERROR(__xludf.DUMMYFUNCTION("""COMPUTED_VALUE"""),7.7178245)</f>
        <v>7.7178245</v>
      </c>
      <c r="D19498" s="7">
        <f>IFERROR(__xludf.DUMMYFUNCTION("""COMPUTED_VALUE"""),0.261538461538461)</f>
        <v>0.2615384615</v>
      </c>
    </row>
    <row r="19499">
      <c r="A19499" s="10" t="s">
        <v>20938</v>
      </c>
      <c r="B19499" s="7" t="str">
        <f>IFERROR(__xludf.DUMMYFUNCTION("SPLIT(A19499,"" "")"),"Cc1cccc(N(C)Cc2cc(-c3ccccc3N=Cc3ccccn3)ccn2)c1")</f>
        <v>Cc1cccc(N(C)Cc2cc(-c3ccccc3N=Cc3ccccn3)ccn2)c1</v>
      </c>
      <c r="C19499" s="7">
        <f>IFERROR(__xludf.DUMMYFUNCTION("""COMPUTED_VALUE"""),7.717823)</f>
        <v>7.717823</v>
      </c>
      <c r="D19499" s="7">
        <f>IFERROR(__xludf.DUMMYFUNCTION("""COMPUTED_VALUE"""),0.43103448275862)</f>
        <v>0.4310344828</v>
      </c>
    </row>
    <row r="19500">
      <c r="A19500" s="10" t="s">
        <v>20939</v>
      </c>
      <c r="B19500" s="7" t="str">
        <f>IFERROR(__xludf.DUMMYFUNCTION("SPLIT(A19500,"" "")"),"Cc1cccc(-c2cccc(CN(C)Cc3cccc(-c4cccc(N(C)C)c4)n3)n2)n1")</f>
        <v>Cc1cccc(-c2cccc(CN(C)Cc3cccc(-c4cccc(N(C)C)c4)n3)n2)n1</v>
      </c>
      <c r="C19500" s="7">
        <f>IFERROR(__xludf.DUMMYFUNCTION("""COMPUTED_VALUE"""),7.7178183)</f>
        <v>7.7178183</v>
      </c>
      <c r="D19500" s="7">
        <f>IFERROR(__xludf.DUMMYFUNCTION("""COMPUTED_VALUE"""),0.5)</f>
        <v>0.5</v>
      </c>
    </row>
    <row r="19501">
      <c r="A19501" s="10" t="s">
        <v>20940</v>
      </c>
      <c r="B19501" s="7" t="str">
        <f>IFERROR(__xludf.DUMMYFUNCTION("SPLIT(A19501,"" "")"),"Cc1ccccc1N(C)CC1=CC(N(C)c2ccc3cccnc3c2)C=CN1")</f>
        <v>Cc1ccccc1N(C)CC1=CC(N(C)c2ccc3cccnc3c2)C=CN1</v>
      </c>
      <c r="C19501" s="7">
        <f>IFERROR(__xludf.DUMMYFUNCTION("""COMPUTED_VALUE"""),7.717793)</f>
        <v>7.717793</v>
      </c>
      <c r="D19501" s="7">
        <f>IFERROR(__xludf.DUMMYFUNCTION("""COMPUTED_VALUE"""),0.301587301587301)</f>
        <v>0.3015873016</v>
      </c>
    </row>
    <row r="19502">
      <c r="A19502" s="10" t="s">
        <v>20941</v>
      </c>
      <c r="B19502" s="7" t="str">
        <f>IFERROR(__xludf.DUMMYFUNCTION("SPLIT(A19502,"" "")"),"C1=CC2=C(c3ccccc3)C=C(c3cc(-c4ccccc4)c(NCc4ccccn4)c4ccccc34)C(NCc3ccccn3)C2C=C1")</f>
        <v>C1=CC2=C(c3ccccc3)C=C(c3cc(-c4ccccc4)c(NCc4ccccn4)c4ccccc34)C(NCc3ccccn3)C2C=C1</v>
      </c>
      <c r="C19502" s="7">
        <f>IFERROR(__xludf.DUMMYFUNCTION("""COMPUTED_VALUE"""),7.7177916)</f>
        <v>7.7177916</v>
      </c>
      <c r="D19502" s="7">
        <f>IFERROR(__xludf.DUMMYFUNCTION("""COMPUTED_VALUE"""),0.461538461538461)</f>
        <v>0.4615384615</v>
      </c>
    </row>
    <row r="19503">
      <c r="A19503" s="10" t="s">
        <v>20942</v>
      </c>
      <c r="B19503" s="7" t="str">
        <f>IFERROR(__xludf.DUMMYFUNCTION("SPLIT(A19503,"" "")"),"CC(C)N(Cc1ccccn1)c1cc(N(C)Cc2ccccn2)c2ncccc2c1")</f>
        <v>CC(C)N(Cc1ccccn1)c1cc(N(C)Cc2ccccn2)c2ncccc2c1</v>
      </c>
      <c r="C19503" s="7">
        <f>IFERROR(__xludf.DUMMYFUNCTION("""COMPUTED_VALUE"""),7.717778)</f>
        <v>7.717778</v>
      </c>
      <c r="D19503" s="7">
        <f>IFERROR(__xludf.DUMMYFUNCTION("""COMPUTED_VALUE"""),0.5)</f>
        <v>0.5</v>
      </c>
    </row>
    <row r="19504">
      <c r="A19504" s="10" t="s">
        <v>20943</v>
      </c>
      <c r="B19504" s="7" t="str">
        <f>IFERROR(__xludf.DUMMYFUNCTION("SPLIT(A19504,"" "")"),"CN(c1ccc2ncccc2c1)C1C=C(NCc2ccccn2)C=CN1")</f>
        <v>CN(c1ccc2ncccc2c1)C1C=C(NCc2ccccn2)C=CN1</v>
      </c>
      <c r="C19504" s="7">
        <f>IFERROR(__xludf.DUMMYFUNCTION("""COMPUTED_VALUE"""),7.7177725)</f>
        <v>7.7177725</v>
      </c>
      <c r="D19504" s="7">
        <f>IFERROR(__xludf.DUMMYFUNCTION("""COMPUTED_VALUE"""),0.333333333333333)</f>
        <v>0.3333333333</v>
      </c>
    </row>
    <row r="19505">
      <c r="A19505" s="10" t="s">
        <v>20944</v>
      </c>
      <c r="B19505" s="7" t="str">
        <f>IFERROR(__xludf.DUMMYFUNCTION("SPLIT(A19505,"" "")"),"Cc1cc(CN(C)c2cc3cccnc3cc2-c2cc(CN(Cc3ccccn3)Cc3ncccc3C)ccn2)cnc1C")</f>
        <v>Cc1cc(CN(C)c2cc3cccnc3cc2-c2cc(CN(Cc3ccccn3)Cc3ncccc3C)ccn2)cnc1C</v>
      </c>
      <c r="C19505" s="7">
        <f>IFERROR(__xludf.DUMMYFUNCTION("""COMPUTED_VALUE"""),7.717769)</f>
        <v>7.717769</v>
      </c>
      <c r="D19505" s="7">
        <f>IFERROR(__xludf.DUMMYFUNCTION("""COMPUTED_VALUE"""),0.328571428571428)</f>
        <v>0.3285714286</v>
      </c>
    </row>
    <row r="19506">
      <c r="A19506" s="10" t="s">
        <v>20945</v>
      </c>
      <c r="B19506" s="7" t="str">
        <f>IFERROR(__xludf.DUMMYFUNCTION("SPLIT(A19506,"" "")"),"CN(c1ccc2cccnc2c1)C12CCC(N(C)c3cccc4cccnc34)(CC1)C2")</f>
        <v>CN(c1ccc2cccnc2c1)C12CCC(N(C)c3cccc4cccnc34)(CC1)C2</v>
      </c>
      <c r="C19506" s="7">
        <f>IFERROR(__xludf.DUMMYFUNCTION("""COMPUTED_VALUE"""),7.7177687)</f>
        <v>7.7177687</v>
      </c>
      <c r="D19506" s="7">
        <f>IFERROR(__xludf.DUMMYFUNCTION("""COMPUTED_VALUE"""),0.428571428571428)</f>
        <v>0.4285714286</v>
      </c>
    </row>
    <row r="19507">
      <c r="A19507" s="10" t="s">
        <v>20946</v>
      </c>
      <c r="B19507" s="7" t="str">
        <f>IFERROR(__xludf.DUMMYFUNCTION("SPLIT(A19507,"" "")"),"Cc1cc(N=Cc2ccccn2)cnc1-c1ccc(NCc2ccccn2)cc1")</f>
        <v>Cc1cc(N=Cc2ccccn2)cnc1-c1ccc(NCc2ccccn2)cc1</v>
      </c>
      <c r="C19507" s="7">
        <f>IFERROR(__xludf.DUMMYFUNCTION("""COMPUTED_VALUE"""),7.717768)</f>
        <v>7.717768</v>
      </c>
      <c r="D19507" s="7">
        <f>IFERROR(__xludf.DUMMYFUNCTION("""COMPUTED_VALUE"""),0.379310344827586)</f>
        <v>0.3793103448</v>
      </c>
    </row>
    <row r="19508">
      <c r="A19508" s="10" t="s">
        <v>20947</v>
      </c>
      <c r="B19508" s="7" t="str">
        <f>IFERROR(__xludf.DUMMYFUNCTION("SPLIT(A19508,"" "")"),"Cc1cc(C)nc(CN(C)C2=C(CN(C)c3ccc4cccnc4c3)NC=CC2)c1")</f>
        <v>Cc1cc(C)nc(CN(C)C2=C(CN(C)c3ccc4cccnc4c3)NC=CC2)c1</v>
      </c>
      <c r="C19508" s="7">
        <f>IFERROR(__xludf.DUMMYFUNCTION("""COMPUTED_VALUE"""),7.717759)</f>
        <v>7.717759</v>
      </c>
      <c r="D19508" s="7">
        <f>IFERROR(__xludf.DUMMYFUNCTION("""COMPUTED_VALUE"""),0.26865671641791)</f>
        <v>0.2686567164</v>
      </c>
    </row>
    <row r="19509">
      <c r="A19509" s="10" t="s">
        <v>20948</v>
      </c>
      <c r="B19509" s="7" t="str">
        <f>IFERROR(__xludf.DUMMYFUNCTION("SPLIT(A19509,"" "")"),"Cc1ccc(CN(Cc2ccc(N)cn2)c2ccc3nc(CN(C)Cc4cccc(-c5cccc(N=Cc6ccccn6)c5)n4)ccc3c2)nc1")</f>
        <v>Cc1ccc(CN(Cc2ccc(N)cn2)c2ccc3nc(CN(C)Cc4cccc(-c5cccc(N=Cc6ccccn6)c5)n4)ccc3c2)nc1</v>
      </c>
      <c r="C19509" s="7">
        <f>IFERROR(__xludf.DUMMYFUNCTION("""COMPUTED_VALUE"""),7.7177434)</f>
        <v>7.7177434</v>
      </c>
      <c r="D19509" s="7">
        <f>IFERROR(__xludf.DUMMYFUNCTION("""COMPUTED_VALUE"""),0.36)</f>
        <v>0.36</v>
      </c>
    </row>
    <row r="19510">
      <c r="A19510" s="10" t="s">
        <v>20949</v>
      </c>
      <c r="B19510" s="7" t="str">
        <f>IFERROR(__xludf.DUMMYFUNCTION("SPLIT(A19510,"" "")"),"Cc1cc(C)nc(CN(C)C2=C(CN(C)c3ccc4ncccc4c3)NC=CC2)c1")</f>
        <v>Cc1cc(C)nc(CN(C)C2=C(CN(C)c3ccc4ncccc4c3)NC=CC2)c1</v>
      </c>
      <c r="C19510" s="7">
        <f>IFERROR(__xludf.DUMMYFUNCTION("""COMPUTED_VALUE"""),7.7177367)</f>
        <v>7.7177367</v>
      </c>
      <c r="D19510" s="7">
        <f>IFERROR(__xludf.DUMMYFUNCTION("""COMPUTED_VALUE"""),0.257575757575757)</f>
        <v>0.2575757576</v>
      </c>
    </row>
    <row r="19511">
      <c r="A19511" s="10" t="s">
        <v>20950</v>
      </c>
      <c r="B19511" s="7" t="str">
        <f>IFERROR(__xludf.DUMMYFUNCTION("SPLIT(A19511,"" "")"),"Cc1cccnc1CN(C)c1cccnc1CN(Cc1cccc(N)n1)c1ccc2ncccc2c1")</f>
        <v>Cc1cccnc1CN(C)c1cccnc1CN(Cc1cccc(N)n1)c1ccc2ncccc2c1</v>
      </c>
      <c r="C19511" s="7">
        <f>IFERROR(__xludf.DUMMYFUNCTION("""COMPUTED_VALUE"""),7.717733)</f>
        <v>7.717733</v>
      </c>
      <c r="D19511" s="7">
        <f>IFERROR(__xludf.DUMMYFUNCTION("""COMPUTED_VALUE"""),0.32258064516129)</f>
        <v>0.3225806452</v>
      </c>
    </row>
    <row r="19512">
      <c r="A19512" s="10" t="s">
        <v>20951</v>
      </c>
      <c r="B19512" s="7" t="str">
        <f>IFERROR(__xludf.DUMMYFUNCTION("SPLIT(A19512,"" "")"),"Cc1ccc(CN(C)C2=CNC(CN(C)c3ccc4cccnc4c3)=CC2)nc1")</f>
        <v>Cc1ccc(CN(C)C2=CNC(CN(C)c3ccc4cccnc4c3)=CC2)nc1</v>
      </c>
      <c r="C19512" s="7">
        <f>IFERROR(__xludf.DUMMYFUNCTION("""COMPUTED_VALUE"""),7.717706)</f>
        <v>7.717706</v>
      </c>
      <c r="D19512" s="7">
        <f>IFERROR(__xludf.DUMMYFUNCTION("""COMPUTED_VALUE"""),0.338983050847457)</f>
        <v>0.3389830508</v>
      </c>
    </row>
    <row r="19513">
      <c r="A19513" s="10" t="s">
        <v>20952</v>
      </c>
      <c r="B19513" s="7" t="str">
        <f>IFERROR(__xludf.DUMMYFUNCTION("SPLIT(A19513,"" "")"),"Cc1ccc(N(C)Cc2ccc(-c3ccc(Cl)c(N)c3)cn2)cc1C")</f>
        <v>Cc1ccc(N(C)Cc2ccc(-c3ccc(Cl)c(N)c3)cn2)cc1C</v>
      </c>
      <c r="C19513" s="7">
        <f>IFERROR(__xludf.DUMMYFUNCTION("""COMPUTED_VALUE"""),7.7176948)</f>
        <v>7.7176948</v>
      </c>
      <c r="D19513" s="7">
        <f>IFERROR(__xludf.DUMMYFUNCTION("""COMPUTED_VALUE"""),0.333333333333333)</f>
        <v>0.3333333333</v>
      </c>
    </row>
    <row r="19514">
      <c r="A19514" s="10" t="s">
        <v>20953</v>
      </c>
      <c r="B19514" s="7" t="str">
        <f>IFERROR(__xludf.DUMMYFUNCTION("SPLIT(A19514,"" "")"),"CC(C)N(Cc1ccccn1)c1cc2cccnc2cc1N(C)Cc1cccnn1")</f>
        <v>CC(C)N(Cc1ccccn1)c1cc2cccnc2cc1N(C)Cc1cccnn1</v>
      </c>
      <c r="C19514" s="7">
        <f>IFERROR(__xludf.DUMMYFUNCTION("""COMPUTED_VALUE"""),7.7176747)</f>
        <v>7.7176747</v>
      </c>
      <c r="D19514" s="7">
        <f>IFERROR(__xludf.DUMMYFUNCTION("""COMPUTED_VALUE"""),0.48076923076923)</f>
        <v>0.4807692308</v>
      </c>
    </row>
    <row r="19515">
      <c r="A19515" s="10" t="s">
        <v>20954</v>
      </c>
      <c r="B19515" s="7" t="str">
        <f>IFERROR(__xludf.DUMMYFUNCTION("SPLIT(A19515,"" "")"),"CC(C1=C2C=Cc3cccnc3C2C=CN1)(c1ccccn1)c1ccccn1")</f>
        <v>CC(C1=C2C=Cc3cccnc3C2C=CN1)(c1ccccn1)c1ccccn1</v>
      </c>
      <c r="C19515" s="7">
        <f>IFERROR(__xludf.DUMMYFUNCTION("""COMPUTED_VALUE"""),7.7176743)</f>
        <v>7.7176743</v>
      </c>
      <c r="D19515" s="7">
        <f>IFERROR(__xludf.DUMMYFUNCTION("""COMPUTED_VALUE"""),0.351851851851851)</f>
        <v>0.3518518519</v>
      </c>
    </row>
    <row r="19516">
      <c r="A19516" s="10" t="s">
        <v>20955</v>
      </c>
      <c r="B19516" s="7" t="str">
        <f>IFERROR(__xludf.DUMMYFUNCTION("SPLIT(A19516,"" "")"),"CCN(Cc1ccccn1)Cc1ncccc1-c1cc(N(C)Cc2ncccc2C)cc2ncccc12")</f>
        <v>CCN(Cc1ccccn1)Cc1ncccc1-c1cc(N(C)Cc2ncccc2C)cc2ncccc12</v>
      </c>
      <c r="C19516" s="7">
        <f>IFERROR(__xludf.DUMMYFUNCTION("""COMPUTED_VALUE"""),7.7176714)</f>
        <v>7.7176714</v>
      </c>
      <c r="D19516" s="7">
        <f>IFERROR(__xludf.DUMMYFUNCTION("""COMPUTED_VALUE"""),0.35593220338983)</f>
        <v>0.3559322034</v>
      </c>
    </row>
    <row r="19517">
      <c r="A19517" s="10" t="s">
        <v>20956</v>
      </c>
      <c r="B19517" s="7" t="str">
        <f>IFERROR(__xludf.DUMMYFUNCTION("SPLIT(A19517,"" "")"),"CN(Cc1ccccn1)C1=C(CN(C)c2cccc3ncccc23)NC=CC1")</f>
        <v>CN(Cc1ccccn1)C1=C(CN(C)c2cccc3ncccc23)NC=CC1</v>
      </c>
      <c r="C19517" s="7">
        <f>IFERROR(__xludf.DUMMYFUNCTION("""COMPUTED_VALUE"""),7.717623)</f>
        <v>7.717623</v>
      </c>
      <c r="D19517" s="7">
        <f>IFERROR(__xludf.DUMMYFUNCTION("""COMPUTED_VALUE"""),0.410714285714285)</f>
        <v>0.4107142857</v>
      </c>
    </row>
    <row r="19518">
      <c r="A19518" s="10" t="s">
        <v>20957</v>
      </c>
      <c r="B19518" s="7" t="str">
        <f>IFERROR(__xludf.DUMMYFUNCTION("SPLIT(A19518,"" "")"),"CN(C)Cc1cncc2cc(N(C)Cc3ccccn3)ccc12")</f>
        <v>CN(C)Cc1cncc2cc(N(C)Cc3ccccn3)ccc12</v>
      </c>
      <c r="C19518" s="7">
        <f>IFERROR(__xludf.DUMMYFUNCTION("""COMPUTED_VALUE"""),7.7176104)</f>
        <v>7.7176104</v>
      </c>
      <c r="D19518" s="7">
        <f>IFERROR(__xludf.DUMMYFUNCTION("""COMPUTED_VALUE"""),0.448979591836734)</f>
        <v>0.4489795918</v>
      </c>
    </row>
    <row r="19519">
      <c r="A19519" s="10" t="s">
        <v>20958</v>
      </c>
      <c r="B19519" s="7" t="str">
        <f>IFERROR(__xludf.DUMMYFUNCTION("SPLIT(A19519,"" "")"),"CN(Cc1ccc(-c2ccccc2N=Cc2ccccn2)cn1)c1ccccc1F")</f>
        <v>CN(Cc1ccc(-c2ccccc2N=Cc2ccccn2)cn1)c1ccccc1F</v>
      </c>
      <c r="C19519" s="7">
        <f>IFERROR(__xludf.DUMMYFUNCTION("""COMPUTED_VALUE"""),7.7176094)</f>
        <v>7.7176094</v>
      </c>
      <c r="D19519" s="7">
        <f>IFERROR(__xludf.DUMMYFUNCTION("""COMPUTED_VALUE"""),0.490566037735849)</f>
        <v>0.4905660377</v>
      </c>
    </row>
    <row r="19520">
      <c r="A19520" s="10" t="s">
        <v>20959</v>
      </c>
      <c r="B19520" s="7" t="str">
        <f>IFERROR(__xludf.DUMMYFUNCTION("SPLIT(A19520,"" "")"),"CCNc1cccc2nccc(C(C)(c3ccccn3)c3ccccn3)c12")</f>
        <v>CCNc1cccc2nccc(C(C)(c3ccccn3)c3ccccn3)c12</v>
      </c>
      <c r="C19520" s="7">
        <f>IFERROR(__xludf.DUMMYFUNCTION("""COMPUTED_VALUE"""),7.7176056)</f>
        <v>7.7176056</v>
      </c>
      <c r="D19520" s="7">
        <f>IFERROR(__xludf.DUMMYFUNCTION("""COMPUTED_VALUE"""),0.490196078431372)</f>
        <v>0.4901960784</v>
      </c>
    </row>
    <row r="19521">
      <c r="A19521" s="10" t="s">
        <v>20960</v>
      </c>
      <c r="B19521" s="7" t="str">
        <f>IFERROR(__xludf.DUMMYFUNCTION("SPLIT(A19521,"" "")"),"CN(c1cccc(CN(Cc2ccccn2)C2=CNC=CC2)n1)c1cccc2cccnc12")</f>
        <v>CN(c1cccc(CN(Cc2ccccn2)C2=CNC=CC2)n1)c1cccc2cccnc12</v>
      </c>
      <c r="C19521" s="7">
        <f>IFERROR(__xludf.DUMMYFUNCTION("""COMPUTED_VALUE"""),7.7175865)</f>
        <v>7.7175865</v>
      </c>
      <c r="D19521" s="7">
        <f>IFERROR(__xludf.DUMMYFUNCTION("""COMPUTED_VALUE"""),0.383333333333333)</f>
        <v>0.3833333333</v>
      </c>
    </row>
    <row r="19522">
      <c r="A19522" s="10" t="s">
        <v>20961</v>
      </c>
      <c r="B19522" s="7" t="str">
        <f>IFERROR(__xludf.DUMMYFUNCTION("SPLIT(A19522,"" "")"),"CNCc1ncccc1-c1c(Cl)ccc(Cl)c1N")</f>
        <v>CNCc1ncccc1-c1c(Cl)ccc(Cl)c1N</v>
      </c>
      <c r="C19522" s="7">
        <f>IFERROR(__xludf.DUMMYFUNCTION("""COMPUTED_VALUE"""),7.717578)</f>
        <v>7.717578</v>
      </c>
      <c r="D19522" s="7">
        <f>IFERROR(__xludf.DUMMYFUNCTION("""COMPUTED_VALUE"""),0.254901960784313)</f>
        <v>0.2549019608</v>
      </c>
    </row>
    <row r="19523">
      <c r="A19523" s="10" t="s">
        <v>20962</v>
      </c>
      <c r="B19523" s="7" t="str">
        <f>IFERROR(__xludf.DUMMYFUNCTION("SPLIT(A19523,"" "")"),"CN(Cc1ccccn1)C1=CCC=C(CN(C)c2cccc3nc(CF)ccc23)N1")</f>
        <v>CN(Cc1ccccn1)C1=CCC=C(CN(C)c2cccc3nc(CF)ccc23)N1</v>
      </c>
      <c r="C19523" s="7">
        <f>IFERROR(__xludf.DUMMYFUNCTION("""COMPUTED_VALUE"""),7.7175703)</f>
        <v>7.7175703</v>
      </c>
      <c r="D19523" s="7">
        <f>IFERROR(__xludf.DUMMYFUNCTION("""COMPUTED_VALUE"""),0.383333333333333)</f>
        <v>0.3833333333</v>
      </c>
    </row>
    <row r="19524">
      <c r="A19524" s="10" t="s">
        <v>20963</v>
      </c>
      <c r="B19524" s="7" t="str">
        <f>IFERROR(__xludf.DUMMYFUNCTION("SPLIT(A19524,"" "")"),"CN(Cc1ccccn1)C1=CCC=C(CN(C)c2cccc3ncc(CF)cc23)N1")</f>
        <v>CN(Cc1ccccn1)C1=CCC=C(CN(C)c2cccc3ncc(CF)cc23)N1</v>
      </c>
      <c r="C19524" s="7">
        <f>IFERROR(__xludf.DUMMYFUNCTION("""COMPUTED_VALUE"""),7.7175655)</f>
        <v>7.7175655</v>
      </c>
      <c r="D19524" s="7">
        <f>IFERROR(__xludf.DUMMYFUNCTION("""COMPUTED_VALUE"""),0.393442622950819)</f>
        <v>0.393442623</v>
      </c>
    </row>
    <row r="19525">
      <c r="A19525" s="10" t="s">
        <v>20964</v>
      </c>
      <c r="B19525" s="7" t="str">
        <f>IFERROR(__xludf.DUMMYFUNCTION("SPLIT(A19525,"" "")"),"Cc1cc(N=Cc2ccccn2)cnc1-c1cccc(NCc2ccccn2)c1")</f>
        <v>Cc1cc(N=Cc2ccccn2)cnc1-c1cccc(NCc2ccccn2)c1</v>
      </c>
      <c r="C19525" s="7">
        <f>IFERROR(__xludf.DUMMYFUNCTION("""COMPUTED_VALUE"""),7.717555)</f>
        <v>7.717555</v>
      </c>
      <c r="D19525" s="7">
        <f>IFERROR(__xludf.DUMMYFUNCTION("""COMPUTED_VALUE"""),0.389830508474576)</f>
        <v>0.3898305085</v>
      </c>
    </row>
    <row r="19526">
      <c r="A19526" s="10" t="s">
        <v>20965</v>
      </c>
      <c r="B19526" s="7" t="str">
        <f>IFERROR(__xludf.DUMMYFUNCTION("SPLIT(A19526,"" "")"),"Cc1cccnc1CN(C)C1=C(CN(C)c2ccc3ncccc3c2)NC=CC1")</f>
        <v>Cc1cccnc1CN(C)C1=C(CN(C)c2ccc3ncccc3c2)NC=CC1</v>
      </c>
      <c r="C19526" s="7">
        <f>IFERROR(__xludf.DUMMYFUNCTION("""COMPUTED_VALUE"""),7.717554)</f>
        <v>7.717554</v>
      </c>
      <c r="D19526" s="7">
        <f>IFERROR(__xludf.DUMMYFUNCTION("""COMPUTED_VALUE"""),0.269841269841269)</f>
        <v>0.2698412698</v>
      </c>
    </row>
    <row r="19527">
      <c r="A19527" s="10" t="s">
        <v>20966</v>
      </c>
      <c r="B19527" s="7" t="str">
        <f>IFERROR(__xludf.DUMMYFUNCTION("SPLIT(A19527,"" "")"),"Cc1cccnc1CN(C)C1=C(CN(C)c2ccc3cccnc3c2)NC=CC1")</f>
        <v>Cc1cccnc1CN(C)C1=C(CN(C)c2ccc3cccnc3c2)NC=CC1</v>
      </c>
      <c r="C19527" s="7">
        <f>IFERROR(__xludf.DUMMYFUNCTION("""COMPUTED_VALUE"""),7.7175403)</f>
        <v>7.7175403</v>
      </c>
      <c r="D19527" s="7">
        <f>IFERROR(__xludf.DUMMYFUNCTION("""COMPUTED_VALUE"""),0.265625)</f>
        <v>0.265625</v>
      </c>
    </row>
    <row r="19528">
      <c r="A19528" s="10" t="s">
        <v>20967</v>
      </c>
      <c r="B19528" s="7" t="str">
        <f>IFERROR(__xludf.DUMMYFUNCTION("SPLIT(A19528,"" "")"),"Cc1ccc(-c2cc(SCc3ccccn3)ccc2C)c(N=Cc2ccccn2)c1")</f>
        <v>Cc1ccc(-c2cc(SCc3ccccn3)ccc2C)c(N=Cc2ccccn2)c1</v>
      </c>
      <c r="C19528" s="7">
        <f>IFERROR(__xludf.DUMMYFUNCTION("""COMPUTED_VALUE"""),7.7175355)</f>
        <v>7.7175355</v>
      </c>
      <c r="D19528" s="7">
        <f>IFERROR(__xludf.DUMMYFUNCTION("""COMPUTED_VALUE"""),0.421052631578947)</f>
        <v>0.4210526316</v>
      </c>
    </row>
    <row r="19529">
      <c r="A19529" s="10" t="s">
        <v>20968</v>
      </c>
      <c r="B19529" s="7" t="str">
        <f>IFERROR(__xludf.DUMMYFUNCTION("SPLIT(A19529,"" "")"),"Cc1ccccc1N(C)Cc1ncccc1-c1ccccc1N(C)C")</f>
        <v>Cc1ccccc1N(C)Cc1ncccc1-c1ccccc1N(C)C</v>
      </c>
      <c r="C19529" s="7">
        <f>IFERROR(__xludf.DUMMYFUNCTION("""COMPUTED_VALUE"""),7.717505)</f>
        <v>7.717505</v>
      </c>
      <c r="D19529" s="7">
        <f>IFERROR(__xludf.DUMMYFUNCTION("""COMPUTED_VALUE"""),0.361702127659574)</f>
        <v>0.3617021277</v>
      </c>
    </row>
    <row r="19530">
      <c r="A19530" s="10" t="s">
        <v>20969</v>
      </c>
      <c r="B19530" s="7" t="str">
        <f>IFERROR(__xludf.DUMMYFUNCTION("SPLIT(A19530,"" "")"),"CN(CCN(C)c1ccc2ncc3c(c2c1)CCC3)Cc1ccc2ncccc2c1")</f>
        <v>CN(CCN(C)c1ccc2ncc3c(c2c1)CCC3)Cc1ccc2ncccc2c1</v>
      </c>
      <c r="C19530" s="7">
        <f>IFERROR(__xludf.DUMMYFUNCTION("""COMPUTED_VALUE"""),7.7174997)</f>
        <v>7.7174997</v>
      </c>
      <c r="D19530" s="7">
        <f>IFERROR(__xludf.DUMMYFUNCTION("""COMPUTED_VALUE"""),0.327868852459016)</f>
        <v>0.3278688525</v>
      </c>
    </row>
    <row r="19531">
      <c r="A19531" s="10" t="s">
        <v>20970</v>
      </c>
      <c r="B19531" s="7" t="str">
        <f>IFERROR(__xludf.DUMMYFUNCTION("SPLIT(A19531,"" "")"),"CN(CCN(C)c1cccc2ncccc12)Cc1ccc2ncccc2c1")</f>
        <v>CN(CCN(C)c1cccc2ncccc12)Cc1ccc2ncccc2c1</v>
      </c>
      <c r="C19531" s="7">
        <f>IFERROR(__xludf.DUMMYFUNCTION("""COMPUTED_VALUE"""),7.7174783)</f>
        <v>7.7174783</v>
      </c>
      <c r="D19531" s="7">
        <f>IFERROR(__xludf.DUMMYFUNCTION("""COMPUTED_VALUE"""),0.489361702127659)</f>
        <v>0.4893617021</v>
      </c>
    </row>
    <row r="19532">
      <c r="A19532" s="10" t="s">
        <v>20971</v>
      </c>
      <c r="B19532" s="7" t="str">
        <f>IFERROR(__xludf.DUMMYFUNCTION("SPLIT(A19532,"" "")"),"CN(Cc1ccccn1)C1=CNC(CN(C)c2cccc3cccnc23)=CC1")</f>
        <v>CN(Cc1ccccn1)C1=CNC(CN(C)c2cccc3cccnc23)=CC1</v>
      </c>
      <c r="C19532" s="7">
        <f>IFERROR(__xludf.DUMMYFUNCTION("""COMPUTED_VALUE"""),7.717467)</f>
        <v>7.717467</v>
      </c>
      <c r="D19532" s="7">
        <f>IFERROR(__xludf.DUMMYFUNCTION("""COMPUTED_VALUE"""),0.470588235294117)</f>
        <v>0.4705882353</v>
      </c>
    </row>
    <row r="19533">
      <c r="A19533" s="10" t="s">
        <v>20972</v>
      </c>
      <c r="B19533" s="7" t="str">
        <f>IFERROR(__xludf.DUMMYFUNCTION("SPLIT(A19533,"" "")"),"CN(C)Cc1nccc2ccc(N(C)CC3=CCC=C(N(C)Cc4ccccn4)N3)cc12")</f>
        <v>CN(C)Cc1nccc2ccc(N(C)CC3=CCC=C(N(C)Cc4ccccn4)N3)cc12</v>
      </c>
      <c r="C19533" s="7">
        <f>IFERROR(__xludf.DUMMYFUNCTION("""COMPUTED_VALUE"""),7.717466)</f>
        <v>7.717466</v>
      </c>
      <c r="D19533" s="7">
        <f>IFERROR(__xludf.DUMMYFUNCTION("""COMPUTED_VALUE"""),0.354838709677419)</f>
        <v>0.3548387097</v>
      </c>
    </row>
    <row r="19534">
      <c r="A19534" s="10" t="s">
        <v>20973</v>
      </c>
      <c r="B19534" s="7" t="str">
        <f>IFERROR(__xludf.DUMMYFUNCTION("SPLIT(A19534,"" "")"),"Cc1cc(CN(C)c2ccc3nc(CN(C)Cc4cc(C)c(C)c(C)n4)ccc3c2C)cnc1C")</f>
        <v>Cc1cc(CN(C)c2ccc3nc(CN(C)Cc4cc(C)c(C)c(C)n4)ccc3c2C)cnc1C</v>
      </c>
      <c r="C19534" s="7">
        <f>IFERROR(__xludf.DUMMYFUNCTION("""COMPUTED_VALUE"""),7.7174535)</f>
        <v>7.7174535</v>
      </c>
      <c r="D19534" s="7">
        <f>IFERROR(__xludf.DUMMYFUNCTION("""COMPUTED_VALUE"""),0.271186440677966)</f>
        <v>0.2711864407</v>
      </c>
    </row>
    <row r="19535">
      <c r="A19535" s="10" t="s">
        <v>20974</v>
      </c>
      <c r="B19535" s="7" t="str">
        <f>IFERROR(__xludf.DUMMYFUNCTION("SPLIT(A19535,"" "")"),"Cc1cccnc1CN(C)CCN(C)c1ccc2nccc(-c3ccccn3)c2c1")</f>
        <v>Cc1cccnc1CN(C)CCN(C)c1ccc2nccc(-c3ccccn3)c2c1</v>
      </c>
      <c r="C19535" s="7">
        <f>IFERROR(__xludf.DUMMYFUNCTION("""COMPUTED_VALUE"""),7.717452)</f>
        <v>7.717452</v>
      </c>
      <c r="D19535" s="7">
        <f>IFERROR(__xludf.DUMMYFUNCTION("""COMPUTED_VALUE"""),0.306451612903225)</f>
        <v>0.3064516129</v>
      </c>
    </row>
    <row r="19536">
      <c r="A19536" s="10" t="s">
        <v>20975</v>
      </c>
      <c r="B19536" s="7" t="str">
        <f>IFERROR(__xludf.DUMMYFUNCTION("SPLIT(A19536,"" "")"),"CN(Cc1cccnn1)C1=CNC(CN(C)c2ccc3cccnc3c2)=CC1")</f>
        <v>CN(Cc1cccnn1)C1=CNC(CN(C)c2ccc3cccnc3c2)=CC1</v>
      </c>
      <c r="C19536" s="7">
        <f>IFERROR(__xludf.DUMMYFUNCTION("""COMPUTED_VALUE"""),7.7174435)</f>
        <v>7.7174435</v>
      </c>
      <c r="D19536" s="7">
        <f>IFERROR(__xludf.DUMMYFUNCTION("""COMPUTED_VALUE"""),0.350877192982456)</f>
        <v>0.350877193</v>
      </c>
    </row>
    <row r="19537">
      <c r="A19537" s="10" t="s">
        <v>20976</v>
      </c>
      <c r="B19537" s="7" t="str">
        <f>IFERROR(__xludf.DUMMYFUNCTION("SPLIT(A19537,"" "")"),"CN(C)c1cccc(-c2cncc(CN(CC(C)(C)C)c3ccc4ncccc4c3)c2)c1")</f>
        <v>CN(C)c1cccc(-c2cncc(CN(CC(C)(C)C)c3ccc4ncccc4c3)c2)c1</v>
      </c>
      <c r="C19537" s="7">
        <f>IFERROR(__xludf.DUMMYFUNCTION("""COMPUTED_VALUE"""),7.717439)</f>
        <v>7.717439</v>
      </c>
      <c r="D19537" s="7">
        <f>IFERROR(__xludf.DUMMYFUNCTION("""COMPUTED_VALUE"""),0.265625)</f>
        <v>0.265625</v>
      </c>
    </row>
    <row r="19538">
      <c r="A19538" s="10" t="s">
        <v>20977</v>
      </c>
      <c r="B19538" s="7" t="str">
        <f>IFERROR(__xludf.DUMMYFUNCTION("SPLIT(A19538,"" "")"),"CN(C)Cc1ccnc2cccc(N(C)CCN(C)Cc3cccc4ncccc34)c12")</f>
        <v>CN(C)Cc1ccnc2cccc(N(C)CCN(C)Cc3cccc4ncccc34)c12</v>
      </c>
      <c r="C19538" s="7">
        <f>IFERROR(__xludf.DUMMYFUNCTION("""COMPUTED_VALUE"""),7.717437)</f>
        <v>7.717437</v>
      </c>
      <c r="D19538" s="7">
        <f>IFERROR(__xludf.DUMMYFUNCTION("""COMPUTED_VALUE"""),0.431372549019607)</f>
        <v>0.431372549</v>
      </c>
    </row>
    <row r="19539">
      <c r="A19539" s="10" t="s">
        <v>20978</v>
      </c>
      <c r="B19539" s="7" t="str">
        <f>IFERROR(__xludf.DUMMYFUNCTION("SPLIT(A19539,"" "")"),"CN(c1cccc2cccnc12)C1CC2CCC1(N(C)c1cccc3ncccc13)C2")</f>
        <v>CN(c1cccc2cccnc12)C1CC2CCC1(N(C)c1cccc3ncccc13)C2</v>
      </c>
      <c r="C19539" s="7">
        <f>IFERROR(__xludf.DUMMYFUNCTION("""COMPUTED_VALUE"""),7.717435)</f>
        <v>7.717435</v>
      </c>
      <c r="D19539" s="7">
        <f>IFERROR(__xludf.DUMMYFUNCTION("""COMPUTED_VALUE"""),0.46551724137931)</f>
        <v>0.4655172414</v>
      </c>
    </row>
    <row r="19540">
      <c r="A19540" s="10" t="s">
        <v>20979</v>
      </c>
      <c r="B19540" s="7" t="str">
        <f>IFERROR(__xludf.DUMMYFUNCTION("SPLIT(A19540,"" "")"),"CN(Cc1ccccn1)C1=C(CN(C)c2ccc3cccnc3c2)CC=CN1")</f>
        <v>CN(Cc1ccccn1)C1=C(CN(C)c2ccc3cccnc3c2)CC=CN1</v>
      </c>
      <c r="C19540" s="7">
        <f>IFERROR(__xludf.DUMMYFUNCTION("""COMPUTED_VALUE"""),7.7174234)</f>
        <v>7.7174234</v>
      </c>
      <c r="D19540" s="7">
        <f>IFERROR(__xludf.DUMMYFUNCTION("""COMPUTED_VALUE"""),0.396551724137931)</f>
        <v>0.3965517241</v>
      </c>
    </row>
    <row r="19541">
      <c r="A19541" s="10" t="s">
        <v>20980</v>
      </c>
      <c r="B19541" s="7" t="str">
        <f>IFERROR(__xludf.DUMMYFUNCTION("SPLIT(A19541,"" "")"),"CNc1cc(Cl)ccc1-c1cc(C(C)(C)C)ccn1")</f>
        <v>CNc1cc(Cl)ccc1-c1cc(C(C)(C)C)ccn1</v>
      </c>
      <c r="C19541" s="7">
        <f>IFERROR(__xludf.DUMMYFUNCTION("""COMPUTED_VALUE"""),7.717416)</f>
        <v>7.717416</v>
      </c>
      <c r="D19541" s="7">
        <f>IFERROR(__xludf.DUMMYFUNCTION("""COMPUTED_VALUE"""),0.185185185185185)</f>
        <v>0.1851851852</v>
      </c>
    </row>
    <row r="19542">
      <c r="A19542" s="10" t="s">
        <v>20981</v>
      </c>
      <c r="B19542" s="7" t="str">
        <f>IFERROR(__xludf.DUMMYFUNCTION("SPLIT(A19542,"" "")"),"Cc1cc(-c2cccc(N=Cc3ccccn3)c2C)c(NCc2ccccn2)c(C)c1C")</f>
        <v>Cc1cc(-c2cccc(N=Cc3ccccn3)c2C)c(NCc2ccccn2)c(C)c1C</v>
      </c>
      <c r="C19542" s="7">
        <f>IFERROR(__xludf.DUMMYFUNCTION("""COMPUTED_VALUE"""),7.7174077)</f>
        <v>7.7174077</v>
      </c>
      <c r="D19542" s="7">
        <f>IFERROR(__xludf.DUMMYFUNCTION("""COMPUTED_VALUE"""),0.472727272727272)</f>
        <v>0.4727272727</v>
      </c>
    </row>
    <row r="19543">
      <c r="A19543" s="10" t="s">
        <v>20982</v>
      </c>
      <c r="B19543" s="7" t="str">
        <f>IFERROR(__xludf.DUMMYFUNCTION("SPLIT(A19543,"" "")"),"CC(C)N(C)Cc1cc(-c2cc(N)c3cccnc3c2)ccn1")</f>
        <v>CC(C)N(C)Cc1cc(-c2cc(N)c3cccnc3c2)ccn1</v>
      </c>
      <c r="C19543" s="7">
        <f>IFERROR(__xludf.DUMMYFUNCTION("""COMPUTED_VALUE"""),7.7174063)</f>
        <v>7.7174063</v>
      </c>
      <c r="D19543" s="7">
        <f>IFERROR(__xludf.DUMMYFUNCTION("""COMPUTED_VALUE"""),0.320754716981132)</f>
        <v>0.320754717</v>
      </c>
    </row>
    <row r="19544">
      <c r="A19544" s="10" t="s">
        <v>20983</v>
      </c>
      <c r="B19544" s="7" t="str">
        <f>IFERROR(__xludf.DUMMYFUNCTION("SPLIT(A19544,"" "")"),"CN(Cc1cccnn1)C1=CNC(CN(C)c2ccc3ncccc3c2)=CC1")</f>
        <v>CN(Cc1cccnn1)C1=CNC(CN(C)c2ccc3ncccc3c2)=CC1</v>
      </c>
      <c r="C19544" s="7">
        <f>IFERROR(__xludf.DUMMYFUNCTION("""COMPUTED_VALUE"""),7.717381)</f>
        <v>7.717381</v>
      </c>
      <c r="D19544" s="7">
        <f>IFERROR(__xludf.DUMMYFUNCTION("""COMPUTED_VALUE"""),0.357142857142857)</f>
        <v>0.3571428571</v>
      </c>
    </row>
    <row r="19545">
      <c r="A19545" s="10" t="s">
        <v>20984</v>
      </c>
      <c r="B19545" s="7" t="str">
        <f>IFERROR(__xludf.DUMMYFUNCTION("SPLIT(A19545,"" "")"),"Cc1cccnc1CN(C)C1=C(CN(C)c2cccc3cccnc23)NC=CC1")</f>
        <v>Cc1cccnc1CN(C)C1=C(CN(C)c2cccc3cccnc23)NC=CC1</v>
      </c>
      <c r="C19545" s="7">
        <f>IFERROR(__xludf.DUMMYFUNCTION("""COMPUTED_VALUE"""),7.717325)</f>
        <v>7.717325</v>
      </c>
      <c r="D19545" s="7">
        <f>IFERROR(__xludf.DUMMYFUNCTION("""COMPUTED_VALUE"""),0.462962962962962)</f>
        <v>0.462962963</v>
      </c>
    </row>
    <row r="19546">
      <c r="A19546" s="10" t="s">
        <v>20985</v>
      </c>
      <c r="B19546" s="7" t="str">
        <f>IFERROR(__xludf.DUMMYFUNCTION("SPLIT(A19546,"" "")"),"Cc1cnc2cccc(N(C)CC3=CNC=C(N(C)Cc4ncccc4C)C3)c2c1")</f>
        <v>Cc1cnc2cccc(N(C)CC3=CNC=C(N(C)Cc4ncccc4C)C3)c2c1</v>
      </c>
      <c r="C19546" s="7">
        <f>IFERROR(__xludf.DUMMYFUNCTION("""COMPUTED_VALUE"""),7.71732)</f>
        <v>7.71732</v>
      </c>
      <c r="D19546" s="7">
        <f>IFERROR(__xludf.DUMMYFUNCTION("""COMPUTED_VALUE"""),0.285714285714285)</f>
        <v>0.2857142857</v>
      </c>
    </row>
    <row r="19547">
      <c r="A19547" s="10" t="s">
        <v>20986</v>
      </c>
      <c r="B19547" s="7" t="str">
        <f>IFERROR(__xludf.DUMMYFUNCTION("SPLIT(A19547,"" "")"),"CN(C)c1ccccc1-c1cccnc1CN(CCNc1ccc2nccc(-c3ccccn3)c2c1)Cc1ccccn1")</f>
        <v>CN(C)c1ccccc1-c1cccnc1CN(CCNc1ccc2nccc(-c3ccccn3)c2c1)Cc1ccccn1</v>
      </c>
      <c r="C19547" s="7">
        <f>IFERROR(__xludf.DUMMYFUNCTION("""COMPUTED_VALUE"""),7.717311)</f>
        <v>7.717311</v>
      </c>
      <c r="D19547" s="7">
        <f>IFERROR(__xludf.DUMMYFUNCTION("""COMPUTED_VALUE"""),0.353846153846153)</f>
        <v>0.3538461538</v>
      </c>
    </row>
    <row r="19548">
      <c r="A19548" s="10" t="s">
        <v>20987</v>
      </c>
      <c r="B19548" s="7" t="str">
        <f>IFERROR(__xludf.DUMMYFUNCTION("SPLIT(A19548,"" "")"),"CN(Cc1cccc(F)n1)c1cc(-c2cccnc2CN(Cc2ccccn2)Cc2ncccc2F)c2cccnc2c1")</f>
        <v>CN(Cc1cccc(F)n1)c1cc(-c2cccnc2CN(Cc2ccccn2)Cc2ncccc2F)c2cccnc2c1</v>
      </c>
      <c r="C19548" s="7">
        <f>IFERROR(__xludf.DUMMYFUNCTION("""COMPUTED_VALUE"""),7.71731)</f>
        <v>7.71731</v>
      </c>
      <c r="D19548" s="7">
        <f>IFERROR(__xludf.DUMMYFUNCTION("""COMPUTED_VALUE"""),0.38095238095238)</f>
        <v>0.380952381</v>
      </c>
    </row>
    <row r="19549">
      <c r="A19549" s="10" t="s">
        <v>20988</v>
      </c>
      <c r="B19549" s="7" t="str">
        <f>IFERROR(__xludf.DUMMYFUNCTION("SPLIT(A19549,"" "")"),"CN(c1ccc2cccnc2c1)C12CCC(N(C)c3cccc4ncccc34)(CC1)C2")</f>
        <v>CN(c1ccc2cccnc2c1)C12CCC(N(C)c3cccc4ncccc34)(CC1)C2</v>
      </c>
      <c r="C19549" s="7">
        <f>IFERROR(__xludf.DUMMYFUNCTION("""COMPUTED_VALUE"""),7.717307)</f>
        <v>7.717307</v>
      </c>
      <c r="D19549" s="7">
        <f>IFERROR(__xludf.DUMMYFUNCTION("""COMPUTED_VALUE"""),0.314814814814814)</f>
        <v>0.3148148148</v>
      </c>
    </row>
    <row r="19550">
      <c r="A19550" s="10" t="s">
        <v>20989</v>
      </c>
      <c r="B19550" s="7" t="str">
        <f>IFERROR(__xludf.DUMMYFUNCTION("SPLIT(A19550,"" "")"),"Cc1ccc2ccc(CN(C)Cc3cccc(-c4cccc(N=Cc5ccccn5)c4)n3)nc2c1")</f>
        <v>Cc1ccc2ccc(CN(C)Cc3cccc(-c4cccc(N=Cc5ccccn5)c4)n3)nc2c1</v>
      </c>
      <c r="C19550" s="7">
        <f>IFERROR(__xludf.DUMMYFUNCTION("""COMPUTED_VALUE"""),7.7172723)</f>
        <v>7.7172723</v>
      </c>
      <c r="D19550" s="7">
        <f>IFERROR(__xludf.DUMMYFUNCTION("""COMPUTED_VALUE"""),0.426229508196721)</f>
        <v>0.4262295082</v>
      </c>
    </row>
    <row r="19551">
      <c r="A19551" s="10" t="s">
        <v>20990</v>
      </c>
      <c r="B19551" s="7" t="str">
        <f>IFERROR(__xludf.DUMMYFUNCTION("SPLIT(A19551,"" "")"),"CN(Cc1ccc(-c2cccc(N(C)C)c2)cn1)Cc1ccc2ccccc2n1")</f>
        <v>CN(Cc1ccc(-c2cccc(N(C)C)c2)cn1)Cc1ccc2ccccc2n1</v>
      </c>
      <c r="C19551" s="7">
        <f>IFERROR(__xludf.DUMMYFUNCTION("""COMPUTED_VALUE"""),7.7172675)</f>
        <v>7.7172675</v>
      </c>
      <c r="D19551" s="7">
        <f>IFERROR(__xludf.DUMMYFUNCTION("""COMPUTED_VALUE"""),0.434782608695652)</f>
        <v>0.4347826087</v>
      </c>
    </row>
    <row r="19552">
      <c r="A19552" s="10" t="s">
        <v>20991</v>
      </c>
      <c r="B19552" s="7" t="str">
        <f>IFERROR(__xludf.DUMMYFUNCTION("SPLIT(A19552,"" "")"),"Cc1cccc(-c2cccc(CN(C)Cc3cccc(N(C)c4ccc5nc(CF)ccc5c4)n3)n2)c1")</f>
        <v>Cc1cccc(-c2cccc(CN(C)Cc3cccc(N(C)c4ccc5nc(CF)ccc5c4)n3)n2)c1</v>
      </c>
      <c r="C19552" s="7">
        <f>IFERROR(__xludf.DUMMYFUNCTION("""COMPUTED_VALUE"""),7.717266)</f>
        <v>7.717266</v>
      </c>
      <c r="D19552" s="7">
        <f>IFERROR(__xludf.DUMMYFUNCTION("""COMPUTED_VALUE"""),0.344262295081967)</f>
        <v>0.3442622951</v>
      </c>
    </row>
    <row r="19553">
      <c r="A19553" s="10" t="s">
        <v>20992</v>
      </c>
      <c r="B19553" s="7" t="str">
        <f>IFERROR(__xludf.DUMMYFUNCTION("SPLIT(A19553,"" "")"),"CN(C)Cc1nccc2cc(N(C)Cc3ccccn3)ccc12")</f>
        <v>CN(C)Cc1nccc2cc(N(C)Cc3ccccn3)ccc12</v>
      </c>
      <c r="C19553" s="7">
        <f>IFERROR(__xludf.DUMMYFUNCTION("""COMPUTED_VALUE"""),7.7172637)</f>
        <v>7.7172637</v>
      </c>
      <c r="D19553" s="7">
        <f>IFERROR(__xludf.DUMMYFUNCTION("""COMPUTED_VALUE"""),0.468085106382978)</f>
        <v>0.4680851064</v>
      </c>
    </row>
    <row r="19554">
      <c r="A19554" s="10" t="s">
        <v>20993</v>
      </c>
      <c r="B19554" s="7" t="str">
        <f>IFERROR(__xludf.DUMMYFUNCTION("SPLIT(A19554,"" "")"),"Cc1cnc(CN(C)c2ccc3cccnc3c2-c2cc(CN(Cc3ccccn3)Cc3ncccc3C)ccn2)c(C)c1")</f>
        <v>Cc1cnc(CN(C)c2ccc3cccnc3c2-c2cc(CN(Cc3ccccn3)Cc3ncccc3C)ccn2)c(C)c1</v>
      </c>
      <c r="C19554" s="7">
        <f>IFERROR(__xludf.DUMMYFUNCTION("""COMPUTED_VALUE"""),7.7172613)</f>
        <v>7.7172613</v>
      </c>
      <c r="D19554" s="7">
        <f>IFERROR(__xludf.DUMMYFUNCTION("""COMPUTED_VALUE"""),0.333333333333333)</f>
        <v>0.3333333333</v>
      </c>
    </row>
    <row r="19555">
      <c r="A19555" s="10" t="s">
        <v>20994</v>
      </c>
      <c r="B19555" s="7" t="str">
        <f>IFERROR(__xludf.DUMMYFUNCTION("SPLIT(A19555,"" "")"),"CN(Cc1cc(-c2ccccc2N(C)C)ccn1)Cc1ccc2ccccc2n1")</f>
        <v>CN(Cc1cc(-c2ccccc2N(C)C)ccn1)Cc1ccc2ccccc2n1</v>
      </c>
      <c r="C19555" s="7">
        <f>IFERROR(__xludf.DUMMYFUNCTION("""COMPUTED_VALUE"""),7.717251)</f>
        <v>7.717251</v>
      </c>
      <c r="D19555" s="7">
        <f>IFERROR(__xludf.DUMMYFUNCTION("""COMPUTED_VALUE"""),0.46)</f>
        <v>0.46</v>
      </c>
    </row>
    <row r="19556">
      <c r="A19556" s="10" t="s">
        <v>20995</v>
      </c>
      <c r="B19556" s="7" t="str">
        <f>IFERROR(__xludf.DUMMYFUNCTION("SPLIT(A19556,"" "")"),"Cc1ccc(NCc2ccccn2)cc1-c1ncc(-c2cccc(NCc3ccccn3)c2)cc1C")</f>
        <v>Cc1ccc(NCc2ccccn2)cc1-c1ncc(-c2cccc(NCc3ccccn3)c2)cc1C</v>
      </c>
      <c r="C19556" s="7">
        <f>IFERROR(__xludf.DUMMYFUNCTION("""COMPUTED_VALUE"""),7.717244)</f>
        <v>7.717244</v>
      </c>
      <c r="D19556" s="7">
        <f>IFERROR(__xludf.DUMMYFUNCTION("""COMPUTED_VALUE"""),0.377049180327868)</f>
        <v>0.3770491803</v>
      </c>
    </row>
    <row r="19557">
      <c r="A19557" s="10" t="s">
        <v>20996</v>
      </c>
      <c r="B19557" s="7" t="str">
        <f>IFERROR(__xludf.DUMMYFUNCTION("SPLIT(A19557,"" "")"),"Cc1cccc(N(C)Cc2cc(-c3cccc(N(C)C)c3)ccn2)c1")</f>
        <v>Cc1cccc(N(C)Cc2cc(-c3cccc(N(C)C)c3)ccn2)c1</v>
      </c>
      <c r="C19557" s="7">
        <f>IFERROR(__xludf.DUMMYFUNCTION("""COMPUTED_VALUE"""),7.7172422)</f>
        <v>7.7172422</v>
      </c>
      <c r="D19557" s="7">
        <f>IFERROR(__xludf.DUMMYFUNCTION("""COMPUTED_VALUE"""),0.34)</f>
        <v>0.34</v>
      </c>
    </row>
    <row r="19558">
      <c r="A19558" s="10" t="s">
        <v>20997</v>
      </c>
      <c r="B19558" s="7" t="str">
        <f>IFERROR(__xludf.DUMMYFUNCTION("SPLIT(A19558,"" "")"),"Cc1ccc2cc(N(C)CC3=C(N(C)Cc4ccccn4)NC=CC3)ccc2n1")</f>
        <v>Cc1ccc2cc(N(C)CC3=C(N(C)Cc4ccccn4)NC=CC3)ccc2n1</v>
      </c>
      <c r="C19558" s="7">
        <f>IFERROR(__xludf.DUMMYFUNCTION("""COMPUTED_VALUE"""),7.7172422)</f>
        <v>7.7172422</v>
      </c>
      <c r="D19558" s="7">
        <f>IFERROR(__xludf.DUMMYFUNCTION("""COMPUTED_VALUE"""),0.366666666666666)</f>
        <v>0.3666666667</v>
      </c>
    </row>
    <row r="19559">
      <c r="A19559" s="10" t="s">
        <v>20998</v>
      </c>
      <c r="B19559" s="7" t="str">
        <f>IFERROR(__xludf.DUMMYFUNCTION("SPLIT(A19559,"" "")"),"Cc1cc(C)c2ccc(N(C)C3CCCC(N(C)c4ccc5c(C)ccnc5c4)C3)cc2n1")</f>
        <v>Cc1cc(C)c2ccc(N(C)C3CCCC(N(C)c4ccc5c(C)ccnc5c4)C3)cc2n1</v>
      </c>
      <c r="C19559" s="7">
        <f>IFERROR(__xludf.DUMMYFUNCTION("""COMPUTED_VALUE"""),7.7172413)</f>
        <v>7.7172413</v>
      </c>
      <c r="D19559" s="7">
        <f>IFERROR(__xludf.DUMMYFUNCTION("""COMPUTED_VALUE"""),0.254237288135593)</f>
        <v>0.2542372881</v>
      </c>
    </row>
    <row r="19560">
      <c r="A19560" s="10" t="s">
        <v>20999</v>
      </c>
      <c r="B19560" s="7" t="str">
        <f>IFERROR(__xludf.DUMMYFUNCTION("SPLIT(A19560,"" "")"),"CN(Cc1ccccn1)C1=CNC(CN(C)c2ccc3ncccc3c2)=CC1")</f>
        <v>CN(Cc1ccccn1)C1=CNC(CN(C)c2ccc3ncccc3c2)=CC1</v>
      </c>
      <c r="C19560" s="7">
        <f>IFERROR(__xludf.DUMMYFUNCTION("""COMPUTED_VALUE"""),7.7172213)</f>
        <v>7.7172213</v>
      </c>
      <c r="D19560" s="7">
        <f>IFERROR(__xludf.DUMMYFUNCTION("""COMPUTED_VALUE"""),0.392857142857142)</f>
        <v>0.3928571429</v>
      </c>
    </row>
    <row r="19561">
      <c r="A19561" s="10" t="s">
        <v>21000</v>
      </c>
      <c r="B19561" s="7" t="str">
        <f>IFERROR(__xludf.DUMMYFUNCTION("SPLIT(A19561,"" "")"),"CN(C)c1cc2cccnc2cc1-c1ncccc1CN(C)C1CCCC(N(C)c2cccc3ncccc23)C1")</f>
        <v>CN(C)c1cc2cccnc2cc1-c1ncccc1CN(C)C1CCCC(N(C)c2cccc3ncccc23)C1</v>
      </c>
      <c r="C19561" s="7">
        <f>IFERROR(__xludf.DUMMYFUNCTION("""COMPUTED_VALUE"""),7.7171984)</f>
        <v>7.7171984</v>
      </c>
      <c r="D19561" s="7">
        <f>IFERROR(__xludf.DUMMYFUNCTION("""COMPUTED_VALUE"""),0.323529411764705)</f>
        <v>0.3235294118</v>
      </c>
    </row>
    <row r="19562">
      <c r="A19562" s="10" t="s">
        <v>21001</v>
      </c>
      <c r="B19562" s="7" t="str">
        <f>IFERROR(__xludf.DUMMYFUNCTION("SPLIT(A19562,"" "")"),"Cc1ccc(C)c(CN(C)C2=CNC(CN(C)c3cccc4cccnc34)=CC2)n1")</f>
        <v>Cc1ccc(C)c(CN(C)C2=CNC(CN(C)c3cccc4cccnc34)=CC2)n1</v>
      </c>
      <c r="C19562" s="7">
        <f>IFERROR(__xludf.DUMMYFUNCTION("""COMPUTED_VALUE"""),7.7171946)</f>
        <v>7.7171946</v>
      </c>
      <c r="D19562" s="7">
        <f>IFERROR(__xludf.DUMMYFUNCTION("""COMPUTED_VALUE"""),0.436363636363636)</f>
        <v>0.4363636364</v>
      </c>
    </row>
    <row r="19563">
      <c r="A19563" s="10" t="s">
        <v>21002</v>
      </c>
      <c r="B19563" s="7" t="str">
        <f>IFERROR(__xludf.DUMMYFUNCTION("SPLIT(A19563,"" "")"),"CC(C)N(Cc1ccccn1)c1cc(N(C)Cc2ccccn2)c2cccnc2c1")</f>
        <v>CC(C)N(Cc1ccccn1)c1cc(N(C)Cc2ccccn2)c2cccnc2c1</v>
      </c>
      <c r="C19563" s="7">
        <f>IFERROR(__xludf.DUMMYFUNCTION("""COMPUTED_VALUE"""),7.7171774)</f>
        <v>7.7171774</v>
      </c>
      <c r="D19563" s="7">
        <f>IFERROR(__xludf.DUMMYFUNCTION("""COMPUTED_VALUE"""),0.5)</f>
        <v>0.5</v>
      </c>
    </row>
    <row r="19564">
      <c r="A19564" s="10" t="s">
        <v>21003</v>
      </c>
      <c r="B19564" s="7" t="str">
        <f>IFERROR(__xludf.DUMMYFUNCTION("SPLIT(A19564,"" "")"),"CN(c1ccc2ncccc2c1)C12CCC(N(C)c3cccc4ncccc34)(CC1)C2")</f>
        <v>CN(c1ccc2ncccc2c1)C12CCC(N(C)c3cccc4ncccc34)(CC1)C2</v>
      </c>
      <c r="C19564" s="7">
        <f>IFERROR(__xludf.DUMMYFUNCTION("""COMPUTED_VALUE"""),7.717164)</f>
        <v>7.717164</v>
      </c>
      <c r="D19564" s="7">
        <f>IFERROR(__xludf.DUMMYFUNCTION("""COMPUTED_VALUE"""),0.320754716981132)</f>
        <v>0.320754717</v>
      </c>
    </row>
    <row r="19565">
      <c r="A19565" s="10" t="s">
        <v>21004</v>
      </c>
      <c r="B19565" s="7" t="str">
        <f>IFERROR(__xludf.DUMMYFUNCTION("SPLIT(A19565,"" "")"),"Cc1ccccc1N(C)CCN(C)c1ccc2c(C)ccnc2c1")</f>
        <v>Cc1ccccc1N(C)CCN(C)c1ccc2c(C)ccnc2c1</v>
      </c>
      <c r="C19565" s="7">
        <f>IFERROR(__xludf.DUMMYFUNCTION("""COMPUTED_VALUE"""),7.717144)</f>
        <v>7.717144</v>
      </c>
      <c r="D19565" s="7">
        <f>IFERROR(__xludf.DUMMYFUNCTION("""COMPUTED_VALUE"""),0.354166666666666)</f>
        <v>0.3541666667</v>
      </c>
    </row>
    <row r="19566">
      <c r="A19566" s="10" t="s">
        <v>21005</v>
      </c>
      <c r="B19566" s="7" t="str">
        <f>IFERROR(__xludf.DUMMYFUNCTION("SPLIT(A19566,"" "")"),"Cc1cccc(CN(C)c2cccnc2CN(Cc2ccc(N)cn2)c2ccc3ncccc3c2)n1")</f>
        <v>Cc1cccc(CN(C)c2cccnc2CN(Cc2ccc(N)cn2)c2ccc3ncccc3c2)n1</v>
      </c>
      <c r="C19566" s="7">
        <f>IFERROR(__xludf.DUMMYFUNCTION("""COMPUTED_VALUE"""),7.71712)</f>
        <v>7.71712</v>
      </c>
      <c r="D19566" s="7">
        <f>IFERROR(__xludf.DUMMYFUNCTION("""COMPUTED_VALUE"""),0.344262295081967)</f>
        <v>0.3442622951</v>
      </c>
    </row>
    <row r="19567">
      <c r="A19567" s="10" t="s">
        <v>21006</v>
      </c>
      <c r="B19567" s="7" t="str">
        <f>IFERROR(__xludf.DUMMYFUNCTION("SPLIT(A19567,"" "")"),"Cc1cc2cccnc2cc1CN(C)CCN(C)c1ccc2cccnc2c1")</f>
        <v>Cc1cc2cccnc2cc1CN(C)CCN(C)c1ccc2cccnc2c1</v>
      </c>
      <c r="C19567" s="7">
        <f>IFERROR(__xludf.DUMMYFUNCTION("""COMPUTED_VALUE"""),7.717114)</f>
        <v>7.717114</v>
      </c>
      <c r="D19567" s="7">
        <f>IFERROR(__xludf.DUMMYFUNCTION("""COMPUTED_VALUE"""),0.458333333333333)</f>
        <v>0.4583333333</v>
      </c>
    </row>
    <row r="19568">
      <c r="A19568" s="10" t="s">
        <v>21007</v>
      </c>
      <c r="B19568" s="7" t="str">
        <f>IFERROR(__xludf.DUMMYFUNCTION("SPLIT(A19568,"" "")"),"CN(Cc1ccc(N)cn1)C1=C(CN(C)c2ccc3cccnc3c2)NC=CC1")</f>
        <v>CN(Cc1ccc(N)cn1)C1=C(CN(C)c2ccc3cccnc3c2)NC=CC1</v>
      </c>
      <c r="C19568" s="7">
        <f>IFERROR(__xludf.DUMMYFUNCTION("""COMPUTED_VALUE"""),7.7171125)</f>
        <v>7.7171125</v>
      </c>
      <c r="D19568" s="7">
        <f>IFERROR(__xludf.DUMMYFUNCTION("""COMPUTED_VALUE"""),0.303030303030303)</f>
        <v>0.303030303</v>
      </c>
    </row>
    <row r="19569">
      <c r="A19569" s="10" t="s">
        <v>21008</v>
      </c>
      <c r="B19569" s="7" t="str">
        <f>IFERROR(__xludf.DUMMYFUNCTION("SPLIT(A19569,"" "")"),"C1=CNC(Nc2cccc(-c3ccccn3)n2)C=C1")</f>
        <v>C1=CNC(Nc2cccc(-c3ccccn3)n2)C=C1</v>
      </c>
      <c r="C19569" s="7">
        <f>IFERROR(__xludf.DUMMYFUNCTION("""COMPUTED_VALUE"""),7.717105)</f>
        <v>7.717105</v>
      </c>
      <c r="D19569" s="7">
        <f>IFERROR(__xludf.DUMMYFUNCTION("""COMPUTED_VALUE"""),0.36)</f>
        <v>0.36</v>
      </c>
    </row>
    <row r="19570">
      <c r="A19570" s="10" t="s">
        <v>21009</v>
      </c>
      <c r="B19570" s="7" t="str">
        <f>IFERROR(__xludf.DUMMYFUNCTION("SPLIT(A19570,"" "")"),"CN(Cc1ccccn1)C1=CNC(CN(C)c2ccc3cccnc3c2)=CC1")</f>
        <v>CN(Cc1ccccn1)C1=CNC(CN(C)c2ccc3cccnc3c2)=CC1</v>
      </c>
      <c r="C19570" s="7">
        <f>IFERROR(__xludf.DUMMYFUNCTION("""COMPUTED_VALUE"""),7.7171035)</f>
        <v>7.7171035</v>
      </c>
      <c r="D19570" s="7">
        <f>IFERROR(__xludf.DUMMYFUNCTION("""COMPUTED_VALUE"""),0.403508771929824)</f>
        <v>0.4035087719</v>
      </c>
    </row>
    <row r="19571">
      <c r="A19571" s="10" t="s">
        <v>21010</v>
      </c>
      <c r="B19571" s="7" t="str">
        <f>IFERROR(__xludf.DUMMYFUNCTION("SPLIT(A19571,"" "")"),"CC(C)N(Cc1ccccn1)c1cc(Cl)cc(N(C)c2cccc3ncccc23)c1N(Cc1ccccn1)Cc1ccccn1")</f>
        <v>CC(C)N(Cc1ccccn1)c1cc(Cl)cc(N(C)c2cccc3ncccc23)c1N(Cc1ccccn1)Cc1ccccn1</v>
      </c>
      <c r="C19571" s="7">
        <f>IFERROR(__xludf.DUMMYFUNCTION("""COMPUTED_VALUE"""),7.7171025)</f>
        <v>7.7171025</v>
      </c>
      <c r="D19571" s="7">
        <f>IFERROR(__xludf.DUMMYFUNCTION("""COMPUTED_VALUE"""),0.389830508474576)</f>
        <v>0.3898305085</v>
      </c>
    </row>
    <row r="19572">
      <c r="A19572" s="10" t="s">
        <v>21011</v>
      </c>
      <c r="B19572" s="7" t="str">
        <f>IFERROR(__xludf.DUMMYFUNCTION("SPLIT(A19572,"" "")"),"CCN(C)c1cccc2ncccc12")</f>
        <v>CCN(C)c1cccc2ncccc12</v>
      </c>
      <c r="C19572" s="7">
        <f>IFERROR(__xludf.DUMMYFUNCTION("""COMPUTED_VALUE"""),7.7170978)</f>
        <v>7.7170978</v>
      </c>
      <c r="D19572" s="7">
        <f>IFERROR(__xludf.DUMMYFUNCTION("""COMPUTED_VALUE"""),0.473684210526315)</f>
        <v>0.4736842105</v>
      </c>
    </row>
    <row r="19573">
      <c r="A19573" s="10" t="s">
        <v>21012</v>
      </c>
      <c r="B19573" s="7" t="str">
        <f>IFERROR(__xludf.DUMMYFUNCTION("SPLIT(A19573,"" "")"),"Cc1cncc(CN(C)c2cc(Cl)c(N(C)Cc3cc(C)c(C)c(C)n3)cc2Cl)c1")</f>
        <v>Cc1cncc(CN(C)c2cc(Cl)c(N(C)Cc3cc(C)c(C)c(C)n3)cc2Cl)c1</v>
      </c>
      <c r="C19573" s="7">
        <f>IFERROR(__xludf.DUMMYFUNCTION("""COMPUTED_VALUE"""),7.7170854)</f>
        <v>7.7170854</v>
      </c>
      <c r="D19573" s="7">
        <f>IFERROR(__xludf.DUMMYFUNCTION("""COMPUTED_VALUE"""),0.320754716981132)</f>
        <v>0.320754717</v>
      </c>
    </row>
    <row r="19574">
      <c r="A19574" s="10" t="s">
        <v>21013</v>
      </c>
      <c r="B19574" s="7" t="str">
        <f>IFERROR(__xludf.DUMMYFUNCTION("SPLIT(A19574,"" "")"),"CN(CCN(C)c1cccc2nccc(CF)c12)Cc1cccc2ncccc12")</f>
        <v>CN(CCN(C)c1cccc2nccc(CF)c12)Cc1cccc2ncccc12</v>
      </c>
      <c r="C19574" s="7">
        <f>IFERROR(__xludf.DUMMYFUNCTION("""COMPUTED_VALUE"""),7.7170644)</f>
        <v>7.7170644</v>
      </c>
      <c r="D19574" s="7">
        <f>IFERROR(__xludf.DUMMYFUNCTION("""COMPUTED_VALUE"""),0.423076923076923)</f>
        <v>0.4230769231</v>
      </c>
    </row>
    <row r="19575">
      <c r="A19575" s="10" t="s">
        <v>21014</v>
      </c>
      <c r="B19575" s="7" t="str">
        <f>IFERROR(__xludf.DUMMYFUNCTION("SPLIT(A19575,"" "")"),"Cc1cc(N=Cc2ccccn2)cc(-c2c(NCc3ccccn3)cc(C)c(C)c2C)c1")</f>
        <v>Cc1cc(N=Cc2ccccn2)cc(-c2c(NCc3ccccn3)cc(C)c(C)c2C)c1</v>
      </c>
      <c r="C19575" s="7">
        <f>IFERROR(__xludf.DUMMYFUNCTION("""COMPUTED_VALUE"""),7.717061)</f>
        <v>7.717061</v>
      </c>
      <c r="D19575" s="7">
        <f>IFERROR(__xludf.DUMMYFUNCTION("""COMPUTED_VALUE"""),0.383333333333333)</f>
        <v>0.3833333333</v>
      </c>
    </row>
    <row r="19576">
      <c r="A19576" s="10" t="s">
        <v>21015</v>
      </c>
      <c r="B19576" s="7" t="str">
        <f>IFERROR(__xludf.DUMMYFUNCTION("SPLIT(A19576,"" "")"),"Cc1c(N=Cc2ccccn2)ccnc1-c1ccccc1NCc1ccccn1")</f>
        <v>Cc1c(N=Cc2ccccn2)ccnc1-c1ccccc1NCc1ccccn1</v>
      </c>
      <c r="C19576" s="7">
        <f>IFERROR(__xludf.DUMMYFUNCTION("""COMPUTED_VALUE"""),7.7170568)</f>
        <v>7.7170568</v>
      </c>
      <c r="D19576" s="7">
        <f>IFERROR(__xludf.DUMMYFUNCTION("""COMPUTED_VALUE"""),0.418181818181818)</f>
        <v>0.4181818182</v>
      </c>
    </row>
    <row r="19577">
      <c r="A19577" s="10" t="s">
        <v>21016</v>
      </c>
      <c r="B19577" s="7" t="str">
        <f>IFERROR(__xludf.DUMMYFUNCTION("SPLIT(A19577,"" "")"),"CN(CCN(Cc1ccccn1)c1ccc2nc3c(cc2c1)CCC3)c1ccc2ncccc2c1")</f>
        <v>CN(CCN(Cc1ccccn1)c1ccc2nc3c(cc2c1)CCC3)c1ccc2ncccc2c1</v>
      </c>
      <c r="C19577" s="7">
        <f>IFERROR(__xludf.DUMMYFUNCTION("""COMPUTED_VALUE"""),7.71705)</f>
        <v>7.71705</v>
      </c>
      <c r="D19577" s="7">
        <f>IFERROR(__xludf.DUMMYFUNCTION("""COMPUTED_VALUE"""),0.354838709677419)</f>
        <v>0.3548387097</v>
      </c>
    </row>
    <row r="19578">
      <c r="A19578" s="10" t="s">
        <v>21017</v>
      </c>
      <c r="B19578" s="7" t="str">
        <f>IFERROR(__xludf.DUMMYFUNCTION("SPLIT(A19578,"" "")"),"CN(CCN(C)c1cccc2c(CF)ccnc12)Cc1cccc2ncccc12")</f>
        <v>CN(CCN(C)c1cccc2c(CF)ccnc12)Cc1cccc2ncccc12</v>
      </c>
      <c r="C19578" s="7">
        <f>IFERROR(__xludf.DUMMYFUNCTION("""COMPUTED_VALUE"""),7.717032)</f>
        <v>7.717032</v>
      </c>
      <c r="D19578" s="7">
        <f>IFERROR(__xludf.DUMMYFUNCTION("""COMPUTED_VALUE"""),0.470588235294117)</f>
        <v>0.4705882353</v>
      </c>
    </row>
    <row r="19579">
      <c r="A19579" s="10" t="s">
        <v>21018</v>
      </c>
      <c r="B19579" s="7" t="str">
        <f>IFERROR(__xludf.DUMMYFUNCTION("SPLIT(A19579,"" "")"),"Cc1nc(CN(C)C2=C(CN(C)c3ccc4cccnc4c3)NC=CC2)c(C)c(C)c1C")</f>
        <v>Cc1nc(CN(C)C2=C(CN(C)c3ccc4cccnc4c3)NC=CC2)c(C)c(C)c1C</v>
      </c>
      <c r="C19579" s="7">
        <f>IFERROR(__xludf.DUMMYFUNCTION("""COMPUTED_VALUE"""),7.717022)</f>
        <v>7.717022</v>
      </c>
      <c r="D19579" s="7">
        <f>IFERROR(__xludf.DUMMYFUNCTION("""COMPUTED_VALUE"""),0.253731343283582)</f>
        <v>0.2537313433</v>
      </c>
    </row>
    <row r="19580">
      <c r="A19580" s="10" t="s">
        <v>21019</v>
      </c>
      <c r="B19580" s="7" t="str">
        <f>IFERROR(__xludf.DUMMYFUNCTION("SPLIT(A19580,"" "")"),"Cc1ccnc(CN(C)c2ccc3nc(CN(C)C)ccc3c2)c1")</f>
        <v>Cc1ccnc(CN(C)c2ccc3nc(CN(C)C)ccc3c2)c1</v>
      </c>
      <c r="C19580" s="7">
        <f>IFERROR(__xludf.DUMMYFUNCTION("""COMPUTED_VALUE"""),7.7170134)</f>
        <v>7.7170134</v>
      </c>
      <c r="D19580" s="7">
        <f>IFERROR(__xludf.DUMMYFUNCTION("""COMPUTED_VALUE"""),0.352941176470588)</f>
        <v>0.3529411765</v>
      </c>
    </row>
    <row r="19581">
      <c r="A19581" s="10" t="s">
        <v>21020</v>
      </c>
      <c r="B19581" s="7" t="str">
        <f>IFERROR(__xludf.DUMMYFUNCTION("SPLIT(A19581,"" "")"),"CN(C)CC1=CCC(N(C)c2ccc3cccnc3c2)=CN1")</f>
        <v>CN(C)CC1=CCC(N(C)c2ccc3cccnc3c2)=CN1</v>
      </c>
      <c r="C19581" s="7">
        <f>IFERROR(__xludf.DUMMYFUNCTION("""COMPUTED_VALUE"""),7.7170024)</f>
        <v>7.7170024</v>
      </c>
      <c r="D19581" s="7">
        <f>IFERROR(__xludf.DUMMYFUNCTION("""COMPUTED_VALUE"""),0.298245614035087)</f>
        <v>0.298245614</v>
      </c>
    </row>
    <row r="19582">
      <c r="A19582" s="10" t="s">
        <v>21021</v>
      </c>
      <c r="B19582" s="7" t="str">
        <f>IFERROR(__xludf.DUMMYFUNCTION("SPLIT(A19582,"" "")"),"Cc1cccnc1CN(Cc1ccccn1)c1cc(N(C)Cc2ccccn2)cc2ncc(C(C)(C)C)cc12")</f>
        <v>Cc1cccnc1CN(Cc1ccccn1)c1cc(N(C)Cc2ccccn2)cc2ncc(C(C)(C)C)cc12</v>
      </c>
      <c r="C19582" s="7">
        <f>IFERROR(__xludf.DUMMYFUNCTION("""COMPUTED_VALUE"""),7.7169843)</f>
        <v>7.7169843</v>
      </c>
      <c r="D19582" s="7">
        <f>IFERROR(__xludf.DUMMYFUNCTION("""COMPUTED_VALUE"""),0.377049180327868)</f>
        <v>0.3770491803</v>
      </c>
    </row>
    <row r="19583">
      <c r="A19583" s="10" t="s">
        <v>21022</v>
      </c>
      <c r="B19583" s="7" t="str">
        <f>IFERROR(__xludf.DUMMYFUNCTION("SPLIT(A19583,"" "")"),"CNCC1=CCC(N(C)c2cccc3cccnc23)=CN1")</f>
        <v>CNCC1=CCC(N(C)c2cccc3cccnc23)=CN1</v>
      </c>
      <c r="C19583" s="7">
        <f>IFERROR(__xludf.DUMMYFUNCTION("""COMPUTED_VALUE"""),7.7169843)</f>
        <v>7.7169843</v>
      </c>
      <c r="D19583" s="7">
        <f>IFERROR(__xludf.DUMMYFUNCTION("""COMPUTED_VALUE"""),0.448979591836734)</f>
        <v>0.4489795918</v>
      </c>
    </row>
    <row r="19584">
      <c r="A19584" s="10" t="s">
        <v>21023</v>
      </c>
      <c r="B19584" s="7" t="str">
        <f>IFERROR(__xludf.DUMMYFUNCTION("SPLIT(A19584,"" "")"),"CNCc1cc2c(N(C)CCN(Cc3ccccn3)c3ccc4ncccc4c3)cccc2cn1")</f>
        <v>CNCc1cc2c(N(C)CCN(Cc3ccccn3)c3ccc4ncccc4c3)cccc2cn1</v>
      </c>
      <c r="C19584" s="7">
        <f>IFERROR(__xludf.DUMMYFUNCTION("""COMPUTED_VALUE"""),7.716949)</f>
        <v>7.716949</v>
      </c>
      <c r="D19584" s="7">
        <f>IFERROR(__xludf.DUMMYFUNCTION("""COMPUTED_VALUE"""),0.377049180327868)</f>
        <v>0.3770491803</v>
      </c>
    </row>
    <row r="19585">
      <c r="A19585" s="10" t="s">
        <v>21024</v>
      </c>
      <c r="B19585" s="7" t="str">
        <f>IFERROR(__xludf.DUMMYFUNCTION("SPLIT(A19585,"" "")"),"Cc1cnc(CN(C)C2=C(CN(C)c3ccc4cccnc4c3)NC=CC2)c(C)c1")</f>
        <v>Cc1cnc(CN(C)C2=C(CN(C)c3ccc4cccnc4c3)NC=CC2)c(C)c1</v>
      </c>
      <c r="C19585" s="7">
        <f>IFERROR(__xludf.DUMMYFUNCTION("""COMPUTED_VALUE"""),7.716939)</f>
        <v>7.716939</v>
      </c>
      <c r="D19585" s="7">
        <f>IFERROR(__xludf.DUMMYFUNCTION("""COMPUTED_VALUE"""),0.25)</f>
        <v>0.25</v>
      </c>
    </row>
    <row r="19586">
      <c r="A19586" s="10" t="s">
        <v>21025</v>
      </c>
      <c r="B19586" s="7" t="str">
        <f>IFERROR(__xludf.DUMMYFUNCTION("SPLIT(A19586,"" "")"),"CNc1ncccc1CN(Cc1ncccc1C)c1cccc2cccnc12")</f>
        <v>CNc1ncccc1CN(Cc1ncccc1C)c1cccc2cccnc12</v>
      </c>
      <c r="C19586" s="7">
        <f>IFERROR(__xludf.DUMMYFUNCTION("""COMPUTED_VALUE"""),7.7169313)</f>
        <v>7.7169313</v>
      </c>
      <c r="D19586" s="7">
        <f>IFERROR(__xludf.DUMMYFUNCTION("""COMPUTED_VALUE"""),0.431372549019607)</f>
        <v>0.431372549</v>
      </c>
    </row>
    <row r="19587">
      <c r="A19587" s="10" t="s">
        <v>21026</v>
      </c>
      <c r="B19587" s="7" t="str">
        <f>IFERROR(__xludf.DUMMYFUNCTION("SPLIT(A19587,"" "")"),"Cc1cnc(CN(C)C2=C(CN(C)c3ccc4ncccc4c3)NC=CC2)c(C)c1")</f>
        <v>Cc1cnc(CN(C)C2=C(CN(C)c3ccc4ncccc4c3)NC=CC2)c(C)c1</v>
      </c>
      <c r="C19587" s="7">
        <f>IFERROR(__xludf.DUMMYFUNCTION("""COMPUTED_VALUE"""),7.7169213)</f>
        <v>7.7169213</v>
      </c>
      <c r="D19587" s="7">
        <f>IFERROR(__xludf.DUMMYFUNCTION("""COMPUTED_VALUE"""),0.253731343283582)</f>
        <v>0.2537313433</v>
      </c>
    </row>
    <row r="19588">
      <c r="A19588" s="10" t="s">
        <v>21027</v>
      </c>
      <c r="B19588" s="7" t="str">
        <f>IFERROR(__xludf.DUMMYFUNCTION("SPLIT(A19588,"" "")"),"CN(Cc1ccccn1)c1ccc2cccnc2c1N(C)C(C)(C)c1cccnc1")</f>
        <v>CN(Cc1ccccn1)c1ccc2cccnc2c1N(C)C(C)(C)c1cccnc1</v>
      </c>
      <c r="C19588" s="7">
        <f>IFERROR(__xludf.DUMMYFUNCTION("""COMPUTED_VALUE"""),7.716875)</f>
        <v>7.716875</v>
      </c>
      <c r="D19588" s="7">
        <f>IFERROR(__xludf.DUMMYFUNCTION("""COMPUTED_VALUE"""),0.418181818181818)</f>
        <v>0.4181818182</v>
      </c>
    </row>
    <row r="19589">
      <c r="A19589" s="10" t="s">
        <v>21028</v>
      </c>
      <c r="B19589" s="7" t="str">
        <f>IFERROR(__xludf.DUMMYFUNCTION("SPLIT(A19589,"" "")"),"CNCC1=C(N(C)c2ccc3cccnc3c2)CC=CN1")</f>
        <v>CNCC1=C(N(C)c2ccc3cccnc3c2)CC=CN1</v>
      </c>
      <c r="C19589" s="7">
        <f>IFERROR(__xludf.DUMMYFUNCTION("""COMPUTED_VALUE"""),7.7168603)</f>
        <v>7.7168603</v>
      </c>
      <c r="D19589" s="7">
        <f>IFERROR(__xludf.DUMMYFUNCTION("""COMPUTED_VALUE"""),0.266666666666666)</f>
        <v>0.2666666667</v>
      </c>
    </row>
    <row r="19590">
      <c r="A19590" s="10" t="s">
        <v>21029</v>
      </c>
      <c r="B19590" s="7" t="str">
        <f>IFERROR(__xludf.DUMMYFUNCTION("SPLIT(A19590,"" "")"),"Cc1cc(CN(Cc2cc(-c3ccccc3N(C)C)ccn2)Cc2ccnc3ccccc23)nc(C)c1C")</f>
        <v>Cc1cc(CN(Cc2cc(-c3ccccc3N(C)C)ccn2)Cc2ccnc3ccccc23)nc(C)c1C</v>
      </c>
      <c r="C19590" s="7">
        <f>IFERROR(__xludf.DUMMYFUNCTION("""COMPUTED_VALUE"""),7.716859)</f>
        <v>7.716859</v>
      </c>
      <c r="D19590" s="7">
        <f>IFERROR(__xludf.DUMMYFUNCTION("""COMPUTED_VALUE"""),0.292307692307692)</f>
        <v>0.2923076923</v>
      </c>
    </row>
    <row r="19591">
      <c r="A19591" s="10" t="s">
        <v>21030</v>
      </c>
      <c r="B19591" s="7" t="str">
        <f>IFERROR(__xludf.DUMMYFUNCTION("SPLIT(A19591,"" "")"),"Cc1cc(Cl)cc(N(C)CC2=CCC(N(C)Cc3ccccn3)=CN2)c1-c1ccccn1")</f>
        <v>Cc1cc(Cl)cc(N(C)CC2=CCC(N(C)Cc3ccccn3)=CN2)c1-c1ccccn1</v>
      </c>
      <c r="C19591" s="7">
        <f>IFERROR(__xludf.DUMMYFUNCTION("""COMPUTED_VALUE"""),7.716856)</f>
        <v>7.716856</v>
      </c>
      <c r="D19591" s="7">
        <f>IFERROR(__xludf.DUMMYFUNCTION("""COMPUTED_VALUE"""),0.456140350877192)</f>
        <v>0.4561403509</v>
      </c>
    </row>
    <row r="19592">
      <c r="A19592" s="10" t="s">
        <v>21031</v>
      </c>
      <c r="B19592" s="7" t="str">
        <f>IFERROR(__xludf.DUMMYFUNCTION("SPLIT(A19592,"" "")"),"Cc1cccnc1CN(C)c1cccc(-c2cccc(CN(Cc3ccccn3)Cc3cccc(-c4cccc(N=Cc5ccccn5)c4)n3)n2)c1-c1ccccn1")</f>
        <v>Cc1cccnc1CN(C)c1cccc(-c2cccc(CN(Cc3ccccn3)Cc3cccc(-c4cccc(N=Cc5ccccn5)c4)n3)n2)c1-c1ccccn1</v>
      </c>
      <c r="C19592" s="7">
        <f>IFERROR(__xludf.DUMMYFUNCTION("""COMPUTED_VALUE"""),7.716854)</f>
        <v>7.716854</v>
      </c>
      <c r="D19592" s="7">
        <f>IFERROR(__xludf.DUMMYFUNCTION("""COMPUTED_VALUE"""),0.432432432432432)</f>
        <v>0.4324324324</v>
      </c>
    </row>
    <row r="19593">
      <c r="A19593" s="10" t="s">
        <v>21032</v>
      </c>
      <c r="B19593" s="7" t="str">
        <f>IFERROR(__xludf.DUMMYFUNCTION("SPLIT(A19593,"" "")"),"Cc1cc(CN(Cc2ccccn2)c2ccc3ncccc3c2)cnc1-c1cccc(NCc2ccccn2)c1")</f>
        <v>Cc1cc(CN(Cc2ccccn2)c2ccc3ncccc3c2)cnc1-c1cccc(NCc2ccccn2)c1</v>
      </c>
      <c r="C19593" s="7">
        <f>IFERROR(__xludf.DUMMYFUNCTION("""COMPUTED_VALUE"""),7.716852)</f>
        <v>7.716852</v>
      </c>
      <c r="D19593" s="7">
        <f>IFERROR(__xludf.DUMMYFUNCTION("""COMPUTED_VALUE"""),0.328767123287671)</f>
        <v>0.3287671233</v>
      </c>
    </row>
    <row r="19594">
      <c r="A19594" s="10" t="s">
        <v>21033</v>
      </c>
      <c r="B19594" s="7" t="str">
        <f>IFERROR(__xludf.DUMMYFUNCTION("SPLIT(A19594,"" "")"),"CN(C)CC1=C(N(C)c2ccc3cccnc3c2)CC=CN1")</f>
        <v>CN(C)CC1=C(N(C)c2ccc3cccnc3c2)CC=CN1</v>
      </c>
      <c r="C19594" s="7">
        <f>IFERROR(__xludf.DUMMYFUNCTION("""COMPUTED_VALUE"""),7.7168384)</f>
        <v>7.7168384</v>
      </c>
      <c r="D19594" s="7">
        <f>IFERROR(__xludf.DUMMYFUNCTION("""COMPUTED_VALUE"""),0.293103448275862)</f>
        <v>0.2931034483</v>
      </c>
    </row>
    <row r="19595">
      <c r="A19595" s="10" t="s">
        <v>21034</v>
      </c>
      <c r="B19595" s="7" t="str">
        <f>IFERROR(__xludf.DUMMYFUNCTION("SPLIT(A19595,"" "")"),"Cc1ccc(CN(C)c2ccc3ncccc3c2)c(C)c1")</f>
        <v>Cc1ccc(CN(C)c2ccc3ncccc3c2)c(C)c1</v>
      </c>
      <c r="C19595" s="7">
        <f>IFERROR(__xludf.DUMMYFUNCTION("""COMPUTED_VALUE"""),7.716835)</f>
        <v>7.716835</v>
      </c>
      <c r="D19595" s="7">
        <f>IFERROR(__xludf.DUMMYFUNCTION("""COMPUTED_VALUE"""),0.34)</f>
        <v>0.34</v>
      </c>
    </row>
    <row r="19596">
      <c r="A19596" s="10" t="s">
        <v>21035</v>
      </c>
      <c r="B19596" s="7" t="str">
        <f>IFERROR(__xludf.DUMMYFUNCTION("SPLIT(A19596,"" "")"),"Cc1ccc2ccc(CN(C)Cc3cccc(-c4ccc(N=Cc5ccccn5)cc4)n3)nc2c1")</f>
        <v>Cc1ccc2ccc(CN(C)Cc3cccc(-c4ccc(N=Cc5ccccn5)cc4)n3)nc2c1</v>
      </c>
      <c r="C19596" s="7">
        <f>IFERROR(__xludf.DUMMYFUNCTION("""COMPUTED_VALUE"""),7.71683)</f>
        <v>7.71683</v>
      </c>
      <c r="D19596" s="7">
        <f>IFERROR(__xludf.DUMMYFUNCTION("""COMPUTED_VALUE"""),0.433333333333333)</f>
        <v>0.4333333333</v>
      </c>
    </row>
    <row r="19597">
      <c r="A19597" s="10" t="s">
        <v>21036</v>
      </c>
      <c r="B19597" s="7" t="str">
        <f>IFERROR(__xludf.DUMMYFUNCTION("SPLIT(A19597,"" "")"),"Cc1cc(NCc2ccccn2)ccc1-c1ncc(-c2cccc(NCc3ccccn3)c2)cc1C")</f>
        <v>Cc1cc(NCc2ccccn2)ccc1-c1ncc(-c2cccc(NCc3ccccn3)c2)cc1C</v>
      </c>
      <c r="C19597" s="7">
        <f>IFERROR(__xludf.DUMMYFUNCTION("""COMPUTED_VALUE"""),7.716829)</f>
        <v>7.716829</v>
      </c>
      <c r="D19597" s="7">
        <f>IFERROR(__xludf.DUMMYFUNCTION("""COMPUTED_VALUE"""),0.377049180327868)</f>
        <v>0.3770491803</v>
      </c>
    </row>
    <row r="19598">
      <c r="A19598" s="10" t="s">
        <v>21037</v>
      </c>
      <c r="B19598" s="7" t="str">
        <f>IFERROR(__xludf.DUMMYFUNCTION("SPLIT(A19598,"" "")"),"CC(C)C(C)(c1cccnc1)N(Cc1ccccn1)c1ccc2nc(-c3cccc(N(C)C)c3)ccc2c1")</f>
        <v>CC(C)C(C)(c1cccnc1)N(Cc1ccccn1)c1ccc2nc(-c3cccc(N(C)C)c3)ccc2c1</v>
      </c>
      <c r="C19598" s="7">
        <f>IFERROR(__xludf.DUMMYFUNCTION("""COMPUTED_VALUE"""),7.7168174)</f>
        <v>7.7168174</v>
      </c>
      <c r="D19598" s="7">
        <f>IFERROR(__xludf.DUMMYFUNCTION("""COMPUTED_VALUE"""),0.346666666666666)</f>
        <v>0.3466666667</v>
      </c>
    </row>
    <row r="19599">
      <c r="A19599" s="10" t="s">
        <v>21038</v>
      </c>
      <c r="B19599" s="7" t="str">
        <f>IFERROR(__xludf.DUMMYFUNCTION("SPLIT(A19599,"" "")"),"CC(C)N(Cc1ccccn1)c1cc(N(C)Cc2ccccn2)cc2ncccc12")</f>
        <v>CC(C)N(Cc1ccccn1)c1cc(N(C)Cc2ccccn2)cc2ncccc12</v>
      </c>
      <c r="C19599" s="7">
        <f>IFERROR(__xludf.DUMMYFUNCTION("""COMPUTED_VALUE"""),7.716814)</f>
        <v>7.716814</v>
      </c>
      <c r="D19599" s="7">
        <f>IFERROR(__xludf.DUMMYFUNCTION("""COMPUTED_VALUE"""),0.46938775510204)</f>
        <v>0.4693877551</v>
      </c>
    </row>
    <row r="19600">
      <c r="A19600" s="10" t="s">
        <v>21039</v>
      </c>
      <c r="B19600" s="7" t="str">
        <f>IFERROR(__xludf.DUMMYFUNCTION("SPLIT(A19600,"" "")"),"Cc1ccccc1N(C)Cc1ncccc1-c1cccc(N(C)C)c1")</f>
        <v>Cc1ccccc1N(C)Cc1ncccc1-c1cccc(N(C)C)c1</v>
      </c>
      <c r="C19600" s="7">
        <f>IFERROR(__xludf.DUMMYFUNCTION("""COMPUTED_VALUE"""),7.7168064)</f>
        <v>7.7168064</v>
      </c>
      <c r="D19600" s="7">
        <f>IFERROR(__xludf.DUMMYFUNCTION("""COMPUTED_VALUE"""),0.339622641509433)</f>
        <v>0.3396226415</v>
      </c>
    </row>
    <row r="19601">
      <c r="A19601" s="10" t="s">
        <v>21040</v>
      </c>
      <c r="B19601" s="7" t="str">
        <f>IFERROR(__xludf.DUMMYFUNCTION("SPLIT(A19601,"" "")"),"CNCc1ccc(CN(C)c2ccc3c(C)ccnc3c2)cn1")</f>
        <v>CNCc1ccc(CN(C)c2ccc3c(C)ccnc3c2)cn1</v>
      </c>
      <c r="C19601" s="7">
        <f>IFERROR(__xludf.DUMMYFUNCTION("""COMPUTED_VALUE"""),7.7167935)</f>
        <v>7.7167935</v>
      </c>
      <c r="D19601" s="7">
        <f>IFERROR(__xludf.DUMMYFUNCTION("""COMPUTED_VALUE"""),0.272727272727272)</f>
        <v>0.2727272727</v>
      </c>
    </row>
    <row r="19602">
      <c r="A19602" s="10" t="s">
        <v>21041</v>
      </c>
      <c r="B19602" s="7" t="str">
        <f>IFERROR(__xludf.DUMMYFUNCTION("SPLIT(A19602,"" "")"),"CC(C1=CC2C=Cc3cccnc3C2=CN1)(c1ccccn1)c1ccccn1")</f>
        <v>CC(C1=CC2C=Cc3cccnc3C2=CN1)(c1ccccn1)c1ccccn1</v>
      </c>
      <c r="C19602" s="7">
        <f>IFERROR(__xludf.DUMMYFUNCTION("""COMPUTED_VALUE"""),7.7167864)</f>
        <v>7.7167864</v>
      </c>
      <c r="D19602" s="7">
        <f>IFERROR(__xludf.DUMMYFUNCTION("""COMPUTED_VALUE"""),0.339285714285714)</f>
        <v>0.3392857143</v>
      </c>
    </row>
    <row r="19603">
      <c r="A19603" s="10" t="s">
        <v>21042</v>
      </c>
      <c r="B19603" s="7" t="str">
        <f>IFERROR(__xludf.DUMMYFUNCTION("SPLIT(A19603,"" "")"),"Cc1cccnc1CN(C)Cc1ncccc1-c1ccc2ncccc2c1")</f>
        <v>Cc1cccnc1CN(C)Cc1ncccc1-c1ccc2ncccc2c1</v>
      </c>
      <c r="C19603" s="7">
        <f>IFERROR(__xludf.DUMMYFUNCTION("""COMPUTED_VALUE"""),7.716779)</f>
        <v>7.716779</v>
      </c>
      <c r="D19603" s="7">
        <f>IFERROR(__xludf.DUMMYFUNCTION("""COMPUTED_VALUE"""),0.326923076923076)</f>
        <v>0.3269230769</v>
      </c>
    </row>
    <row r="19604">
      <c r="A19604" s="10" t="s">
        <v>21043</v>
      </c>
      <c r="B19604" s="7" t="str">
        <f>IFERROR(__xludf.DUMMYFUNCTION("SPLIT(A19604,"" "")"),"CN(c1cccc2ncccc12)C12CCC(N(C)c3cccc4cccnc34)(CC1)C2")</f>
        <v>CN(c1cccc2ncccc12)C12CCC(N(C)c3cccc4cccnc34)(CC1)C2</v>
      </c>
      <c r="C19604" s="7">
        <f>IFERROR(__xludf.DUMMYFUNCTION("""COMPUTED_VALUE"""),7.7167726)</f>
        <v>7.7167726</v>
      </c>
      <c r="D19604" s="7">
        <f>IFERROR(__xludf.DUMMYFUNCTION("""COMPUTED_VALUE"""),0.456521739130434)</f>
        <v>0.4565217391</v>
      </c>
    </row>
    <row r="19605">
      <c r="A19605" s="10" t="s">
        <v>21044</v>
      </c>
      <c r="B19605" s="7" t="str">
        <f>IFERROR(__xludf.DUMMYFUNCTION("SPLIT(A19605,"" "")"),"CC(C)N(C)c1ccccc1-c1cc(CN(Cc2ccccn2)c2ccc3ncccc3c2)ccn1")</f>
        <v>CC(C)N(C)c1ccccc1-c1cc(CN(Cc2ccccn2)c2ccc3ncccc3c2)ccn1</v>
      </c>
      <c r="C19605" s="7">
        <f>IFERROR(__xludf.DUMMYFUNCTION("""COMPUTED_VALUE"""),7.716765)</f>
        <v>7.716765</v>
      </c>
      <c r="D19605" s="7">
        <f>IFERROR(__xludf.DUMMYFUNCTION("""COMPUTED_VALUE"""),0.389830508474576)</f>
        <v>0.3898305085</v>
      </c>
    </row>
    <row r="19606">
      <c r="A19606" s="10" t="s">
        <v>21045</v>
      </c>
      <c r="B19606" s="7" t="str">
        <f>IFERROR(__xludf.DUMMYFUNCTION("SPLIT(A19606,"" "")"),"CN(c1cccc2ncccc12)C1CC2CCC1(N(C)c1cccc3ncccc13)C2")</f>
        <v>CN(c1cccc2ncccc12)C1CC2CCC1(N(C)c1cccc3ncccc13)C2</v>
      </c>
      <c r="C19606" s="7">
        <f>IFERROR(__xludf.DUMMYFUNCTION("""COMPUTED_VALUE"""),7.7167134)</f>
        <v>7.7167134</v>
      </c>
      <c r="D19606" s="7">
        <f>IFERROR(__xludf.DUMMYFUNCTION("""COMPUTED_VALUE"""),0.338983050847457)</f>
        <v>0.3389830508</v>
      </c>
    </row>
    <row r="19607">
      <c r="A19607" s="10" t="s">
        <v>21046</v>
      </c>
      <c r="B19607" s="7" t="str">
        <f>IFERROR(__xludf.DUMMYFUNCTION("SPLIT(A19607,"" "")"),"Cc1cnc(CN(C)C2=C(CN(C)c3cccc4cccnc34)NC=CC2)c(C)c1")</f>
        <v>Cc1cnc(CN(C)C2=C(CN(C)c3cccc4cccnc34)NC=CC2)c(C)c1</v>
      </c>
      <c r="C19607" s="7">
        <f>IFERROR(__xludf.DUMMYFUNCTION("""COMPUTED_VALUE"""),7.716708)</f>
        <v>7.716708</v>
      </c>
      <c r="D19607" s="7">
        <f>IFERROR(__xludf.DUMMYFUNCTION("""COMPUTED_VALUE"""),0.423728813559322)</f>
        <v>0.4237288136</v>
      </c>
    </row>
    <row r="19608">
      <c r="A19608" s="10" t="s">
        <v>21047</v>
      </c>
      <c r="B19608" s="7" t="str">
        <f>IFERROR(__xludf.DUMMYFUNCTION("SPLIT(A19608,"" "")"),"Cc1ncccc1CN(C)c1ccc2nccc(C(C)(C)C)c2c1")</f>
        <v>Cc1ncccc1CN(C)c1ccc2nccc(C(C)(C)C)c2c1</v>
      </c>
      <c r="C19608" s="7">
        <f>IFERROR(__xludf.DUMMYFUNCTION("""COMPUTED_VALUE"""),7.7166934)</f>
        <v>7.7166934</v>
      </c>
      <c r="D19608" s="7">
        <f>IFERROR(__xludf.DUMMYFUNCTION("""COMPUTED_VALUE"""),0.285714285714285)</f>
        <v>0.2857142857</v>
      </c>
    </row>
    <row r="19609">
      <c r="A19609" s="10" t="s">
        <v>21048</v>
      </c>
      <c r="B19609" s="7" t="str">
        <f>IFERROR(__xludf.DUMMYFUNCTION("SPLIT(A19609,"" "")"),"CN(C)CC1=CCC(N(C)c2cccc3cccnc23)=CN1")</f>
        <v>CN(C)CC1=CCC(N(C)c2cccc3cccnc23)=CN1</v>
      </c>
      <c r="C19609" s="7">
        <f>IFERROR(__xludf.DUMMYFUNCTION("""COMPUTED_VALUE"""),7.7166853)</f>
        <v>7.7166853</v>
      </c>
      <c r="D19609" s="7">
        <f>IFERROR(__xludf.DUMMYFUNCTION("""COMPUTED_VALUE"""),0.468085106382978)</f>
        <v>0.4680851064</v>
      </c>
    </row>
    <row r="19610">
      <c r="A19610" s="10" t="s">
        <v>21049</v>
      </c>
      <c r="B19610" s="7" t="str">
        <f>IFERROR(__xludf.DUMMYFUNCTION("SPLIT(A19610,"" "")"),"CCN(Cc1ccccn1)c1ccc2cccnc2c1-c1ccc(CN(Cc2ccccn2)Cc2ccc(-c3cccc(N=Cc4ccccn4)c3)cn2)cn1")</f>
        <v>CCN(Cc1ccccn1)c1ccc2cccnc2c1-c1ccc(CN(Cc2ccccn2)Cc2ccc(-c3cccc(N=Cc4ccccn4)c3)cn2)cn1</v>
      </c>
      <c r="C19610" s="7">
        <f>IFERROR(__xludf.DUMMYFUNCTION("""COMPUTED_VALUE"""),7.7166815)</f>
        <v>7.7166815</v>
      </c>
      <c r="D19610" s="7">
        <f>IFERROR(__xludf.DUMMYFUNCTION("""COMPUTED_VALUE"""),0.317647058823529)</f>
        <v>0.3176470588</v>
      </c>
    </row>
    <row r="19611">
      <c r="A19611" s="10" t="s">
        <v>21050</v>
      </c>
      <c r="B19611" s="7" t="str">
        <f>IFERROR(__xludf.DUMMYFUNCTION("SPLIT(A19611,"" "")"),"CC(C)N(C)Cc1ncccc1-c1c(N(C)Cc2ccccn2)ccc2ncccc12")</f>
        <v>CC(C)N(C)Cc1ncccc1-c1c(N(C)Cc2ccccn2)ccc2ncccc12</v>
      </c>
      <c r="C19611" s="7">
        <f>IFERROR(__xludf.DUMMYFUNCTION("""COMPUTED_VALUE"""),7.7166758)</f>
        <v>7.7166758</v>
      </c>
      <c r="D19611" s="7">
        <f>IFERROR(__xludf.DUMMYFUNCTION("""COMPUTED_VALUE"""),0.425925925925925)</f>
        <v>0.4259259259</v>
      </c>
    </row>
    <row r="19612">
      <c r="A19612" s="10" t="s">
        <v>21051</v>
      </c>
      <c r="B19612" s="7" t="str">
        <f>IFERROR(__xludf.DUMMYFUNCTION("SPLIT(A19612,"" "")"),"CCn1c(CN(C)CCN(C)c2cccc3cc4c(nc23)CCC4)nc2ccccc21")</f>
        <v>CCn1c(CN(C)CCN(C)c2cccc3cc4c(nc23)CCC4)nc2ccccc21</v>
      </c>
      <c r="C19612" s="7">
        <f>IFERROR(__xludf.DUMMYFUNCTION("""COMPUTED_VALUE"""),7.716664)</f>
        <v>7.716664</v>
      </c>
      <c r="D19612" s="7">
        <f>IFERROR(__xludf.DUMMYFUNCTION("""COMPUTED_VALUE"""),0.453125)</f>
        <v>0.453125</v>
      </c>
    </row>
    <row r="19613">
      <c r="A19613" s="10" t="s">
        <v>21052</v>
      </c>
      <c r="B19613" s="7" t="str">
        <f>IFERROR(__xludf.DUMMYFUNCTION("SPLIT(A19613,"" "")"),"CC(C1=CC2C(=CN1)C=Cc1ncccc12)(c1ccccn1)c1ccccn1")</f>
        <v>CC(C1=CC2C(=CN1)C=Cc1ncccc12)(c1ccccn1)c1ccccn1</v>
      </c>
      <c r="C19613" s="7">
        <f>IFERROR(__xludf.DUMMYFUNCTION("""COMPUTED_VALUE"""),7.7166524)</f>
        <v>7.7166524</v>
      </c>
      <c r="D19613" s="7">
        <f>IFERROR(__xludf.DUMMYFUNCTION("""COMPUTED_VALUE"""),0.345454545454545)</f>
        <v>0.3454545455</v>
      </c>
    </row>
    <row r="19614">
      <c r="A19614" s="10" t="s">
        <v>21053</v>
      </c>
      <c r="B19614" s="7" t="str">
        <f>IFERROR(__xludf.DUMMYFUNCTION("SPLIT(A19614,"" "")"),"CC(C1=CC2C=Cc3ncccc3C2=CN1)(c1ccccn1)c1ccccn1")</f>
        <v>CC(C1=CC2C=Cc3ncccc3C2=CN1)(c1ccccn1)c1ccccn1</v>
      </c>
      <c r="C19614" s="7">
        <f>IFERROR(__xludf.DUMMYFUNCTION("""COMPUTED_VALUE"""),7.7166433)</f>
        <v>7.7166433</v>
      </c>
      <c r="D19614" s="7">
        <f>IFERROR(__xludf.DUMMYFUNCTION("""COMPUTED_VALUE"""),0.363636363636363)</f>
        <v>0.3636363636</v>
      </c>
    </row>
    <row r="19615">
      <c r="A19615" s="10" t="s">
        <v>21054</v>
      </c>
      <c r="B19615" s="7" t="str">
        <f>IFERROR(__xludf.DUMMYFUNCTION("SPLIT(A19615,"" "")"),"Cc1cccnc1CN(C)CC1=CC(N(C)c2ccc3nc(-c4ccccn4)ccc3c2)C=CN1")</f>
        <v>Cc1cccnc1CN(C)CC1=CC(N(C)c2ccc3nc(-c4ccccn4)ccc3c2)C=CN1</v>
      </c>
      <c r="C19615" s="7">
        <f>IFERROR(__xludf.DUMMYFUNCTION("""COMPUTED_VALUE"""),7.7166414)</f>
        <v>7.7166414</v>
      </c>
      <c r="D19615" s="7">
        <f>IFERROR(__xludf.DUMMYFUNCTION("""COMPUTED_VALUE"""),0.338235294117647)</f>
        <v>0.3382352941</v>
      </c>
    </row>
    <row r="19616">
      <c r="A19616" s="10" t="s">
        <v>21055</v>
      </c>
      <c r="B19616" s="7" t="str">
        <f>IFERROR(__xludf.DUMMYFUNCTION("SPLIT(A19616,"" "")"),"Cc1ccc(CN(C)Cc2cccc(N(C)c3ccc4nccc(C)c4c3)n2)nc1")</f>
        <v>Cc1ccc(CN(C)Cc2cccc(N(C)c3ccc4nccc(C)c4c3)n2)nc1</v>
      </c>
      <c r="C19616" s="7">
        <f>IFERROR(__xludf.DUMMYFUNCTION("""COMPUTED_VALUE"""),7.7166357)</f>
        <v>7.7166357</v>
      </c>
      <c r="D19616" s="7">
        <f>IFERROR(__xludf.DUMMYFUNCTION("""COMPUTED_VALUE"""),0.415094339622641)</f>
        <v>0.4150943396</v>
      </c>
    </row>
    <row r="19617">
      <c r="A19617" s="10" t="s">
        <v>21056</v>
      </c>
      <c r="B19617" s="7" t="str">
        <f>IFERROR(__xludf.DUMMYFUNCTION("SPLIT(A19617,"" "")"),"Cc1ccc(CN(C)C2=CNC(CN(C)c3cccc4ncccc34)=CC2)nc1")</f>
        <v>Cc1ccc(CN(C)C2=CNC(CN(C)c3cccc4ncccc34)=CC2)nc1</v>
      </c>
      <c r="C19617" s="7">
        <f>IFERROR(__xludf.DUMMYFUNCTION("""COMPUTED_VALUE"""),7.716632)</f>
        <v>7.716632</v>
      </c>
      <c r="D19617" s="7">
        <f>IFERROR(__xludf.DUMMYFUNCTION("""COMPUTED_VALUE"""),0.338983050847457)</f>
        <v>0.3389830508</v>
      </c>
    </row>
    <row r="19618">
      <c r="A19618" s="10" t="s">
        <v>21057</v>
      </c>
      <c r="B19618" s="7" t="str">
        <f>IFERROR(__xludf.DUMMYFUNCTION("SPLIT(A19618,"" "")"),"Cc1ccc(N(C)CCN(C)c2ccc3nccc(C)c3c2)cc1C")</f>
        <v>Cc1ccc(N(C)CCN(C)c2ccc3nccc(C)c3c2)cc1C</v>
      </c>
      <c r="C19618" s="7">
        <f>IFERROR(__xludf.DUMMYFUNCTION("""COMPUTED_VALUE"""),7.7166305)</f>
        <v>7.7166305</v>
      </c>
      <c r="D19618" s="7">
        <f>IFERROR(__xludf.DUMMYFUNCTION("""COMPUTED_VALUE"""),0.270833333333333)</f>
        <v>0.2708333333</v>
      </c>
    </row>
    <row r="19619">
      <c r="A19619" s="10" t="s">
        <v>21058</v>
      </c>
      <c r="B19619" s="7" t="str">
        <f>IFERROR(__xludf.DUMMYFUNCTION("SPLIT(A19619,"" "")"),"CN(Cc1cccnc1)c1ccc2ncccc2c1")</f>
        <v>CN(Cc1cccnc1)c1ccc2ncccc2c1</v>
      </c>
      <c r="C19619" s="7">
        <f>IFERROR(__xludf.DUMMYFUNCTION("""COMPUTED_VALUE"""),7.716626)</f>
        <v>7.716626</v>
      </c>
      <c r="D19619" s="7">
        <f>IFERROR(__xludf.DUMMYFUNCTION("""COMPUTED_VALUE"""),0.340425531914893)</f>
        <v>0.3404255319</v>
      </c>
    </row>
    <row r="19620">
      <c r="A19620" s="10" t="s">
        <v>21059</v>
      </c>
      <c r="B19620" s="7" t="str">
        <f>IFERROR(__xludf.DUMMYFUNCTION("SPLIT(A19620,"" "")"),"CC(C)(CN(Cc1ccccn1)c1ccc2ncccc2c1)c1ccc2ncccc2c1")</f>
        <v>CC(C)(CN(Cc1ccccn1)c1ccc2ncccc2c1)c1ccc2ncccc2c1</v>
      </c>
      <c r="C19620" s="7">
        <f>IFERROR(__xludf.DUMMYFUNCTION("""COMPUTED_VALUE"""),7.716616)</f>
        <v>7.716616</v>
      </c>
      <c r="D19620" s="7">
        <f>IFERROR(__xludf.DUMMYFUNCTION("""COMPUTED_VALUE"""),0.411764705882352)</f>
        <v>0.4117647059</v>
      </c>
    </row>
    <row r="19621">
      <c r="A19621" s="10" t="s">
        <v>21060</v>
      </c>
      <c r="B19621" s="7" t="str">
        <f>IFERROR(__xludf.DUMMYFUNCTION("SPLIT(A19621,"" "")"),"Cc1cccnc1CN(C)c1ccc2nc(CN(C)C)ccc2c1")</f>
        <v>Cc1cccnc1CN(C)c1ccc2nc(CN(C)C)ccc2c1</v>
      </c>
      <c r="C19621" s="7">
        <f>IFERROR(__xludf.DUMMYFUNCTION("""COMPUTED_VALUE"""),7.716603)</f>
        <v>7.716603</v>
      </c>
      <c r="D19621" s="7">
        <f>IFERROR(__xludf.DUMMYFUNCTION("""COMPUTED_VALUE"""),0.365384615384615)</f>
        <v>0.3653846154</v>
      </c>
    </row>
    <row r="19622">
      <c r="A19622" s="10" t="s">
        <v>21061</v>
      </c>
      <c r="B19622" s="7" t="str">
        <f>IFERROR(__xludf.DUMMYFUNCTION("SPLIT(A19622,"" "")"),"C=Nc1cccc(-c2cccc(CN(Cc3ccnc(-c4cccc(C)c4)c3)Cc3cc(-c4ccccc4N=C)ccn3)n2)c1")</f>
        <v>C=Nc1cccc(-c2cccc(CN(Cc3ccnc(-c4cccc(C)c4)c3)Cc3cc(-c4ccccc4N=C)ccn3)n2)c1</v>
      </c>
      <c r="C19622" s="7">
        <f>IFERROR(__xludf.DUMMYFUNCTION("""COMPUTED_VALUE"""),7.7165804)</f>
        <v>7.7165804</v>
      </c>
      <c r="D19622" s="7">
        <f>IFERROR(__xludf.DUMMYFUNCTION("""COMPUTED_VALUE"""),0.397260273972602)</f>
        <v>0.397260274</v>
      </c>
    </row>
    <row r="19623">
      <c r="A19623" s="10" t="s">
        <v>21062</v>
      </c>
      <c r="B19623" s="7" t="str">
        <f>IFERROR(__xludf.DUMMYFUNCTION("SPLIT(A19623,"" "")"),"CC(C)N(C)Cc1ccc2c(N(Cc3ccccn3)CN(C)c3cccc4ncccc34)cccc2n1")</f>
        <v>CC(C)N(C)Cc1ccc2c(N(Cc3ccccn3)CN(C)c3cccc4ncccc34)cccc2n1</v>
      </c>
      <c r="C19623" s="7">
        <f>IFERROR(__xludf.DUMMYFUNCTION("""COMPUTED_VALUE"""),7.716567)</f>
        <v>7.716567</v>
      </c>
      <c r="D19623" s="7">
        <f>IFERROR(__xludf.DUMMYFUNCTION("""COMPUTED_VALUE"""),0.389830508474576)</f>
        <v>0.3898305085</v>
      </c>
    </row>
    <row r="19624">
      <c r="A19624" s="10" t="s">
        <v>21063</v>
      </c>
      <c r="B19624" s="7" t="str">
        <f>IFERROR(__xludf.DUMMYFUNCTION("SPLIT(A19624,"" "")"),"CN(Cc1cc(-c2cccc3ncccc23)ccn1)Cc1cc(C(C)(C)c2ccccn2)ccn1")</f>
        <v>CN(Cc1cc(-c2cccc3ncccc23)ccn1)Cc1cc(C(C)(C)c2ccccn2)ccn1</v>
      </c>
      <c r="C19624" s="7">
        <f>IFERROR(__xludf.DUMMYFUNCTION("""COMPUTED_VALUE"""),7.7165594)</f>
        <v>7.7165594</v>
      </c>
      <c r="D19624" s="7">
        <f>IFERROR(__xludf.DUMMYFUNCTION("""COMPUTED_VALUE"""),0.344262295081967)</f>
        <v>0.3442622951</v>
      </c>
    </row>
    <row r="19625">
      <c r="A19625" s="10" t="s">
        <v>21064</v>
      </c>
      <c r="B19625" s="7" t="str">
        <f>IFERROR(__xludf.DUMMYFUNCTION("SPLIT(A19625,"" "")"),"Cc1nc(CN(C)C2=C(CN(C)c3cccc4ncccc34)NC=CC2)c(C)c(C)c1C")</f>
        <v>Cc1nc(CN(C)C2=C(CN(C)c3cccc4ncccc34)NC=CC2)c(C)c(C)c1C</v>
      </c>
      <c r="C19625" s="7">
        <f>IFERROR(__xludf.DUMMYFUNCTION("""COMPUTED_VALUE"""),7.716557)</f>
        <v>7.716557</v>
      </c>
      <c r="D19625" s="7">
        <f>IFERROR(__xludf.DUMMYFUNCTION("""COMPUTED_VALUE"""),0.3125)</f>
        <v>0.3125</v>
      </c>
    </row>
    <row r="19626">
      <c r="A19626" s="10" t="s">
        <v>21065</v>
      </c>
      <c r="B19626" s="7" t="str">
        <f>IFERROR(__xludf.DUMMYFUNCTION("SPLIT(A19626,"" "")"),"CC(C)N(Cc1ccccn1)c1cccc(N(C)c2cccc3cccnc23)c1")</f>
        <v>CC(C)N(Cc1ccccn1)c1cccc(N(C)c2cccc3cccnc23)c1</v>
      </c>
      <c r="C19626" s="7">
        <f>IFERROR(__xludf.DUMMYFUNCTION("""COMPUTED_VALUE"""),7.716555)</f>
        <v>7.716555</v>
      </c>
      <c r="D19626" s="7">
        <f>IFERROR(__xludf.DUMMYFUNCTION("""COMPUTED_VALUE"""),0.44)</f>
        <v>0.44</v>
      </c>
    </row>
    <row r="19627">
      <c r="A19627" s="10" t="s">
        <v>21066</v>
      </c>
      <c r="B19627" s="7" t="str">
        <f>IFERROR(__xludf.DUMMYFUNCTION("SPLIT(A19627,"" "")"),"Cc1cncc(-c2cccc(N=Cc3ccccn3)c2)c1")</f>
        <v>Cc1cncc(-c2cccc(N=Cc3ccccn3)c2)c1</v>
      </c>
      <c r="C19627" s="7">
        <f>IFERROR(__xludf.DUMMYFUNCTION("""COMPUTED_VALUE"""),7.7165456)</f>
        <v>7.7165456</v>
      </c>
      <c r="D19627" s="7">
        <f>IFERROR(__xludf.DUMMYFUNCTION("""COMPUTED_VALUE"""),0.448979591836734)</f>
        <v>0.4489795918</v>
      </c>
    </row>
    <row r="19628">
      <c r="A19628" s="10" t="s">
        <v>21067</v>
      </c>
      <c r="B19628" s="7" t="str">
        <f>IFERROR(__xludf.DUMMYFUNCTION("SPLIT(A19628,"" "")"),"Cc1cccnc1CN(C)C1=C(CN(C)c2cccc3ncccc23)NC=CC1")</f>
        <v>Cc1cccnc1CN(C)C1=C(CN(C)c2cccc3ncccc23)NC=CC1</v>
      </c>
      <c r="C19628" s="7">
        <f>IFERROR(__xludf.DUMMYFUNCTION("""COMPUTED_VALUE"""),7.7165275)</f>
        <v>7.7165275</v>
      </c>
      <c r="D19628" s="7">
        <f>IFERROR(__xludf.DUMMYFUNCTION("""COMPUTED_VALUE"""),0.311475409836065)</f>
        <v>0.3114754098</v>
      </c>
    </row>
    <row r="19629">
      <c r="A19629" s="10" t="s">
        <v>21068</v>
      </c>
      <c r="B19629" s="7" t="str">
        <f>IFERROR(__xludf.DUMMYFUNCTION("SPLIT(A19629,"" "")"),"CN(CC1CC1N(Cc1ccccn1)c1ccc2ncccc2c1)c1ccc2ncccc2c1")</f>
        <v>CN(CC1CC1N(Cc1ccccn1)c1ccc2ncccc2c1)c1ccc2ncccc2c1</v>
      </c>
      <c r="C19629" s="7">
        <f>IFERROR(__xludf.DUMMYFUNCTION("""COMPUTED_VALUE"""),7.7165194)</f>
        <v>7.7165194</v>
      </c>
      <c r="D19629" s="7">
        <f>IFERROR(__xludf.DUMMYFUNCTION("""COMPUTED_VALUE"""),0.4)</f>
        <v>0.4</v>
      </c>
    </row>
    <row r="19630">
      <c r="A19630" s="10" t="s">
        <v>21069</v>
      </c>
      <c r="B19630" s="7" t="str">
        <f>IFERROR(__xludf.DUMMYFUNCTION("SPLIT(A19630,"" "")"),"CN(C)c1ccc2c(CF)ccnc2c1-c1cc(CN(Cc2ccccn2)Cc2cccc(F)n2)ccn1")</f>
        <v>CN(C)c1ccc2c(CF)ccnc2c1-c1cc(CN(Cc2ccccn2)Cc2cccc(F)n2)ccn1</v>
      </c>
      <c r="C19630" s="7">
        <f>IFERROR(__xludf.DUMMYFUNCTION("""COMPUTED_VALUE"""),7.716517)</f>
        <v>7.716517</v>
      </c>
      <c r="D19630" s="7">
        <f>IFERROR(__xludf.DUMMYFUNCTION("""COMPUTED_VALUE"""),0.4)</f>
        <v>0.4</v>
      </c>
    </row>
    <row r="19631">
      <c r="A19631" s="10" t="s">
        <v>21070</v>
      </c>
      <c r="B19631" s="7" t="str">
        <f>IFERROR(__xludf.DUMMYFUNCTION("SPLIT(A19631,"" "")"),"CN(CC1=CCC=C(N(C)C2C=CC=CN2)N1)c1ccc2cccnc2c1")</f>
        <v>CN(CC1=CCC=C(N(C)C2C=CC=CN2)N1)c1ccc2cccnc2c1</v>
      </c>
      <c r="C19631" s="7">
        <f>IFERROR(__xludf.DUMMYFUNCTION("""COMPUTED_VALUE"""),7.716515)</f>
        <v>7.716515</v>
      </c>
      <c r="D19631" s="7">
        <f>IFERROR(__xludf.DUMMYFUNCTION("""COMPUTED_VALUE"""),0.28169014084507)</f>
        <v>0.2816901408</v>
      </c>
    </row>
    <row r="19632">
      <c r="A19632" s="10" t="s">
        <v>21071</v>
      </c>
      <c r="B19632" s="7" t="str">
        <f>IFERROR(__xludf.DUMMYFUNCTION("SPLIT(A19632,"" "")"),"CN(CC1=C(N(C)C(c2ccccn2)c2ccccn2)CC=CN1)c1ccc2ncccc2c1")</f>
        <v>CN(CC1=C(N(C)C(c2ccccn2)c2ccccn2)CC=CN1)c1ccc2ncccc2c1</v>
      </c>
      <c r="C19632" s="7">
        <f>IFERROR(__xludf.DUMMYFUNCTION("""COMPUTED_VALUE"""),7.7165003)</f>
        <v>7.7165003</v>
      </c>
      <c r="D19632" s="7">
        <f>IFERROR(__xludf.DUMMYFUNCTION("""COMPUTED_VALUE"""),0.298507462686567)</f>
        <v>0.2985074627</v>
      </c>
    </row>
    <row r="19633">
      <c r="A19633" s="10" t="s">
        <v>21072</v>
      </c>
      <c r="B19633" s="7" t="str">
        <f>IFERROR(__xludf.DUMMYFUNCTION("SPLIT(A19633,"" "")"),"Cc1cccnc1CN(C)C1=CNC(CN(C)c2ccc3ncccc3c2)=CC1")</f>
        <v>Cc1cccnc1CN(C)C1=CNC(CN(C)c2ccc3ncccc3c2)=CC1</v>
      </c>
      <c r="C19633" s="7">
        <f>IFERROR(__xludf.DUMMYFUNCTION("""COMPUTED_VALUE"""),7.716487)</f>
        <v>7.716487</v>
      </c>
      <c r="D19633" s="7">
        <f>IFERROR(__xludf.DUMMYFUNCTION("""COMPUTED_VALUE"""),0.262295081967213)</f>
        <v>0.262295082</v>
      </c>
    </row>
    <row r="19634">
      <c r="A19634" s="10" t="s">
        <v>21073</v>
      </c>
      <c r="B19634" s="7" t="str">
        <f>IFERROR(__xludf.DUMMYFUNCTION("SPLIT(A19634,"" "")"),"Cc1ccc2nc(CN(C)Cc3ccc(-c4cccc(N=Cc5ccccn5)c4)cn3)ccc2c1")</f>
        <v>Cc1ccc2nc(CN(C)Cc3ccc(-c4cccc(N=Cc5ccccn5)c4)cn3)ccc2c1</v>
      </c>
      <c r="C19634" s="7">
        <f>IFERROR(__xludf.DUMMYFUNCTION("""COMPUTED_VALUE"""),7.716479)</f>
        <v>7.716479</v>
      </c>
      <c r="D19634" s="7">
        <f>IFERROR(__xludf.DUMMYFUNCTION("""COMPUTED_VALUE"""),0.348484848484848)</f>
        <v>0.3484848485</v>
      </c>
    </row>
    <row r="19635">
      <c r="A19635" s="10" t="s">
        <v>21074</v>
      </c>
      <c r="B19635" s="7" t="str">
        <f>IFERROR(__xludf.DUMMYFUNCTION("SPLIT(A19635,"" "")"),"Cc1ccc(N(C)Cc2cccc(-c3ccccc3N(C)C)n2)cc1C")</f>
        <v>Cc1ccc(N(C)Cc2cccc(-c3ccccc3N(C)C)n2)cc1C</v>
      </c>
      <c r="C19635" s="7">
        <f>IFERROR(__xludf.DUMMYFUNCTION("""COMPUTED_VALUE"""),7.716478)</f>
        <v>7.716478</v>
      </c>
      <c r="D19635" s="7">
        <f>IFERROR(__xludf.DUMMYFUNCTION("""COMPUTED_VALUE"""),0.358490566037735)</f>
        <v>0.358490566</v>
      </c>
    </row>
    <row r="19636">
      <c r="A19636" s="10" t="s">
        <v>21075</v>
      </c>
      <c r="B19636" s="7" t="str">
        <f>IFERROR(__xludf.DUMMYFUNCTION("SPLIT(A19636,"" "")"),"CNc1ccc(-c2cc(C(C)(c3ccccn3)c3ccccn3)ccn2)c(NCc2ccccn2)c1F")</f>
        <v>CNc1ccc(-c2cc(C(C)(c3ccccn3)c3ccccn3)ccn2)c(NCc2ccccn2)c1F</v>
      </c>
      <c r="C19636" s="7">
        <f>IFERROR(__xludf.DUMMYFUNCTION("""COMPUTED_VALUE"""),7.7164774)</f>
        <v>7.7164774</v>
      </c>
      <c r="D19636" s="7">
        <f>IFERROR(__xludf.DUMMYFUNCTION("""COMPUTED_VALUE"""),0.338235294117647)</f>
        <v>0.3382352941</v>
      </c>
    </row>
    <row r="19637">
      <c r="A19637" s="10" t="s">
        <v>21076</v>
      </c>
      <c r="B19637" s="7" t="str">
        <f>IFERROR(__xludf.DUMMYFUNCTION("SPLIT(A19637,"" "")"),"Cc1cccnc1CN(C)C1=CNC(CN(C)c2ccc3cccnc3c2)=CC1")</f>
        <v>Cc1cccnc1CN(C)C1=CNC(CN(C)c2ccc3cccnc3c2)=CC1</v>
      </c>
      <c r="C19637" s="7">
        <f>IFERROR(__xludf.DUMMYFUNCTION("""COMPUTED_VALUE"""),7.7164745)</f>
        <v>7.7164745</v>
      </c>
      <c r="D19637" s="7">
        <f>IFERROR(__xludf.DUMMYFUNCTION("""COMPUTED_VALUE"""),0.265625)</f>
        <v>0.265625</v>
      </c>
    </row>
    <row r="19638">
      <c r="A19638" s="10" t="s">
        <v>21077</v>
      </c>
      <c r="B19638" s="7" t="str">
        <f>IFERROR(__xludf.DUMMYFUNCTION("SPLIT(A19638,"" "")"),"CN(CC1=CCC=C(N(C)C2C=CC=CN2)N1)c1ccc2ncccc2c1")</f>
        <v>CN(CC1=CCC=C(N(C)C2C=CC=CN2)N1)c1ccc2ncccc2c1</v>
      </c>
      <c r="C19638" s="7">
        <f>IFERROR(__xludf.DUMMYFUNCTION("""COMPUTED_VALUE"""),7.7164655)</f>
        <v>7.7164655</v>
      </c>
      <c r="D19638" s="7">
        <f>IFERROR(__xludf.DUMMYFUNCTION("""COMPUTED_VALUE"""),0.285714285714285)</f>
        <v>0.2857142857</v>
      </c>
    </row>
    <row r="19639">
      <c r="A19639" s="10" t="s">
        <v>21078</v>
      </c>
      <c r="B19639" s="7" t="str">
        <f>IFERROR(__xludf.DUMMYFUNCTION("SPLIT(A19639,"" "")"),"c1ccc(CNc2ccccc2-c2cccc(-c3ccccn3)n2)nc1")</f>
        <v>c1ccc(CNc2ccccc2-c2cccc(-c3ccccn3)n2)nc1</v>
      </c>
      <c r="C19639" s="7">
        <f>IFERROR(__xludf.DUMMYFUNCTION("""COMPUTED_VALUE"""),7.7164626)</f>
        <v>7.7164626</v>
      </c>
      <c r="D19639" s="7">
        <f>IFERROR(__xludf.DUMMYFUNCTION("""COMPUTED_VALUE"""),0.466666666666666)</f>
        <v>0.4666666667</v>
      </c>
    </row>
    <row r="19640">
      <c r="A19640" s="10" t="s">
        <v>21079</v>
      </c>
      <c r="B19640" s="7" t="str">
        <f>IFERROR(__xludf.DUMMYFUNCTION("SPLIT(A19640,"" "")"),"CN(Cc1ccccn1)C1=CNC(CN(C)c2cccc3ncccc23)=CC1")</f>
        <v>CN(Cc1ccccn1)C1=CNC(CN(C)c2cccc3ncccc23)=CC1</v>
      </c>
      <c r="C19640" s="7">
        <f>IFERROR(__xludf.DUMMYFUNCTION("""COMPUTED_VALUE"""),7.716453)</f>
        <v>7.716453</v>
      </c>
      <c r="D19640" s="7">
        <f>IFERROR(__xludf.DUMMYFUNCTION("""COMPUTED_VALUE"""),0.410714285714285)</f>
        <v>0.4107142857</v>
      </c>
    </row>
    <row r="19641">
      <c r="A19641" s="10" t="s">
        <v>21080</v>
      </c>
      <c r="B19641" s="7" t="str">
        <f>IFERROR(__xludf.DUMMYFUNCTION("SPLIT(A19641,"" "")"),"Cc1cc(-c2cccc(NCc3ccccn3)c2)cnc1N=Cc1ccccn1")</f>
        <v>Cc1cc(-c2cccc(NCc3ccccn3)c2)cnc1N=Cc1ccccn1</v>
      </c>
      <c r="C19641" s="7">
        <f>IFERROR(__xludf.DUMMYFUNCTION("""COMPUTED_VALUE"""),7.71645)</f>
        <v>7.71645</v>
      </c>
      <c r="D19641" s="7">
        <f>IFERROR(__xludf.DUMMYFUNCTION("""COMPUTED_VALUE"""),0.396551724137931)</f>
        <v>0.3965517241</v>
      </c>
    </row>
    <row r="19642">
      <c r="A19642" s="10" t="s">
        <v>21081</v>
      </c>
      <c r="B19642" s="7" t="str">
        <f>IFERROR(__xludf.DUMMYFUNCTION("SPLIT(A19642,"" "")"),"c1ccc(CNc2cccc(-c3cccc(-c4ccccn4)n3)c2)nc1")</f>
        <v>c1ccc(CNc2cccc(-c3cccc(-c4ccccn4)n3)c2)nc1</v>
      </c>
      <c r="C19642" s="7">
        <f>IFERROR(__xludf.DUMMYFUNCTION("""COMPUTED_VALUE"""),7.716442)</f>
        <v>7.716442</v>
      </c>
      <c r="D19642" s="7">
        <f>IFERROR(__xludf.DUMMYFUNCTION("""COMPUTED_VALUE"""),0.446808510638297)</f>
        <v>0.4468085106</v>
      </c>
    </row>
    <row r="19643">
      <c r="A19643" s="10" t="s">
        <v>21082</v>
      </c>
      <c r="B19643" s="7" t="str">
        <f>IFERROR(__xludf.DUMMYFUNCTION("SPLIT(A19643,"" "")"),"Cc1c(N=Cc2ccccn2)ccnc1-c1cccc(NCc2ccccn2)c1")</f>
        <v>Cc1c(N=Cc2ccccn2)ccnc1-c1cccc(NCc2ccccn2)c1</v>
      </c>
      <c r="C19643" s="7">
        <f>IFERROR(__xludf.DUMMYFUNCTION("""COMPUTED_VALUE"""),7.716439)</f>
        <v>7.716439</v>
      </c>
      <c r="D19643" s="7">
        <f>IFERROR(__xludf.DUMMYFUNCTION("""COMPUTED_VALUE"""),0.421052631578947)</f>
        <v>0.4210526316</v>
      </c>
    </row>
    <row r="19644">
      <c r="A19644" s="10" t="s">
        <v>21083</v>
      </c>
      <c r="B19644" s="7" t="str">
        <f>IFERROR(__xludf.DUMMYFUNCTION("SPLIT(A19644,"" "")"),"CN(C)CC1=C(N(C)c2ccc3ncccc3c2)CC=CN1")</f>
        <v>CN(C)CC1=C(N(C)c2ccc3ncccc3c2)CC=CN1</v>
      </c>
      <c r="C19644" s="7">
        <f>IFERROR(__xludf.DUMMYFUNCTION("""COMPUTED_VALUE"""),7.71643)</f>
        <v>7.71643</v>
      </c>
      <c r="D19644" s="7">
        <f>IFERROR(__xludf.DUMMYFUNCTION("""COMPUTED_VALUE"""),0.280701754385964)</f>
        <v>0.2807017544</v>
      </c>
    </row>
    <row r="19645">
      <c r="A19645" s="10" t="s">
        <v>21084</v>
      </c>
      <c r="B19645" s="7" t="str">
        <f>IFERROR(__xludf.DUMMYFUNCTION("SPLIT(A19645,"" "")"),"Cc1cc(CN(c2c(C)c(C)c(C)c(C)c2C)C2CCC(N(C)c3ccc4nc(-c5ccc6ncccc6c5)ccc4c3)CC2)nc(C)c1C")</f>
        <v>Cc1cc(CN(c2c(C)c(C)c(C)c(C)c2C)C2CCC(N(C)c3ccc4nc(-c5ccc6ncccc6c5)ccc4c3)CC2)nc(C)c1C</v>
      </c>
      <c r="C19645" s="7">
        <f>IFERROR(__xludf.DUMMYFUNCTION("""COMPUTED_VALUE"""),7.7163954)</f>
        <v>7.7163954</v>
      </c>
      <c r="D19645" s="7">
        <f>IFERROR(__xludf.DUMMYFUNCTION("""COMPUTED_VALUE"""),0.243243243243243)</f>
        <v>0.2432432432</v>
      </c>
    </row>
    <row r="19646">
      <c r="A19646" s="10" t="s">
        <v>21085</v>
      </c>
      <c r="B19646" s="7" t="str">
        <f>IFERROR(__xludf.DUMMYFUNCTION("SPLIT(A19646,"" "")"),"C(=Nc1cccc(-c2ccc(-c3ccccc3)cc2NCc2ccccn2)c1)c1ccccn1")</f>
        <v>C(=Nc1cccc(-c2ccc(-c3ccccc3)cc2NCc2ccccn2)c1)c1ccccn1</v>
      </c>
      <c r="C19646" s="7">
        <f>IFERROR(__xludf.DUMMYFUNCTION("""COMPUTED_VALUE"""),7.716385)</f>
        <v>7.716385</v>
      </c>
      <c r="D19646" s="7">
        <f>IFERROR(__xludf.DUMMYFUNCTION("""COMPUTED_VALUE"""),0.38095238095238)</f>
        <v>0.380952381</v>
      </c>
    </row>
    <row r="19647">
      <c r="A19647" s="10" t="s">
        <v>21086</v>
      </c>
      <c r="B19647" s="7" t="str">
        <f>IFERROR(__xludf.DUMMYFUNCTION("SPLIT(A19647,"" "")"),"Cc1cccnc1CN(C)C1=CNC(CN(C)c2cccc3cccnc23)=CC1")</f>
        <v>Cc1cccnc1CN(C)C1=CNC(CN(C)c2cccc3cccnc23)=CC1</v>
      </c>
      <c r="C19647" s="7">
        <f>IFERROR(__xludf.DUMMYFUNCTION("""COMPUTED_VALUE"""),7.716385)</f>
        <v>7.716385</v>
      </c>
      <c r="D19647" s="7">
        <f>IFERROR(__xludf.DUMMYFUNCTION("""COMPUTED_VALUE"""),0.461538461538461)</f>
        <v>0.4615384615</v>
      </c>
    </row>
    <row r="19648">
      <c r="A19648" s="10" t="s">
        <v>21087</v>
      </c>
      <c r="B19648" s="7" t="str">
        <f>IFERROR(__xludf.DUMMYFUNCTION("SPLIT(A19648,"" "")"),"CCNCc1cc(-c2cc(-c3cccc(N=Cc4ccccn4)c3)ccn2)ccn1")</f>
        <v>CCNCc1cc(-c2cc(-c3cccc(N=Cc4ccccn4)c3)ccn2)ccn1</v>
      </c>
      <c r="C19648" s="7">
        <f>IFERROR(__xludf.DUMMYFUNCTION("""COMPUTED_VALUE"""),7.716375)</f>
        <v>7.716375</v>
      </c>
      <c r="D19648" s="7">
        <f>IFERROR(__xludf.DUMMYFUNCTION("""COMPUTED_VALUE"""),0.35)</f>
        <v>0.35</v>
      </c>
    </row>
    <row r="19649">
      <c r="A19649" s="10" t="s">
        <v>21088</v>
      </c>
      <c r="B19649" s="7" t="str">
        <f>IFERROR(__xludf.DUMMYFUNCTION("SPLIT(A19649,"" "")"),"CN(CC1=C(N(C)C(c2ccccn2)c2ccccn2)CC=CN1)c1cccc2cccnc12")</f>
        <v>CN(CC1=C(N(C)C(c2ccccn2)c2ccccn2)CC=CN1)c1cccc2cccnc12</v>
      </c>
      <c r="C19649" s="7">
        <f>IFERROR(__xludf.DUMMYFUNCTION("""COMPUTED_VALUE"""),7.7163696)</f>
        <v>7.7163696</v>
      </c>
      <c r="D19649" s="7">
        <f>IFERROR(__xludf.DUMMYFUNCTION("""COMPUTED_VALUE"""),0.446428571428571)</f>
        <v>0.4464285714</v>
      </c>
    </row>
    <row r="19650">
      <c r="A19650" s="10" t="s">
        <v>21089</v>
      </c>
      <c r="B19650" s="7" t="str">
        <f>IFERROR(__xludf.DUMMYFUNCTION("SPLIT(A19650,"" "")"),"Cc1ccc2nc(CN(C)Cc3cccc(-c4ccccc4N=Cc4ccccn4)n3)ccc2c1")</f>
        <v>Cc1ccc2nc(CN(C)Cc3cccc(-c4ccccc4N=Cc4ccccn4)n3)ccc2c1</v>
      </c>
      <c r="C19650" s="7">
        <f>IFERROR(__xludf.DUMMYFUNCTION("""COMPUTED_VALUE"""),7.7163625)</f>
        <v>7.7163625</v>
      </c>
      <c r="D19650" s="7">
        <f>IFERROR(__xludf.DUMMYFUNCTION("""COMPUTED_VALUE"""),0.426229508196721)</f>
        <v>0.4262295082</v>
      </c>
    </row>
    <row r="19651">
      <c r="A19651" s="10" t="s">
        <v>21090</v>
      </c>
      <c r="B19651" s="7" t="str">
        <f>IFERROR(__xludf.DUMMYFUNCTION("SPLIT(A19651,"" "")"),"Cc1cc(-c2ccccc2NCc2ccccn2)cnc1N=Cc1ccccn1")</f>
        <v>Cc1cc(-c2ccccc2NCc2ccccn2)cnc1N=Cc1ccccn1</v>
      </c>
      <c r="C19651" s="7">
        <f>IFERROR(__xludf.DUMMYFUNCTION("""COMPUTED_VALUE"""),7.7163615)</f>
        <v>7.7163615</v>
      </c>
      <c r="D19651" s="7">
        <f>IFERROR(__xludf.DUMMYFUNCTION("""COMPUTED_VALUE"""),0.379310344827586)</f>
        <v>0.3793103448</v>
      </c>
    </row>
    <row r="19652">
      <c r="A19652" s="10" t="s">
        <v>21091</v>
      </c>
      <c r="B19652" s="7" t="str">
        <f>IFERROR(__xludf.DUMMYFUNCTION("SPLIT(A19652,"" "")"),"CCN(Cc1ccccn1)c1ccc2ncccc2c1N(C)Cc1nc(C)cc(C)c1C")</f>
        <v>CCN(Cc1ccccn1)c1ccc2ncccc2c1N(C)Cc1nc(C)cc(C)c1C</v>
      </c>
      <c r="C19652" s="7">
        <f>IFERROR(__xludf.DUMMYFUNCTION("""COMPUTED_VALUE"""),7.7163606)</f>
        <v>7.7163606</v>
      </c>
      <c r="D19652" s="7">
        <f>IFERROR(__xludf.DUMMYFUNCTION("""COMPUTED_VALUE"""),0.360655737704918)</f>
        <v>0.3606557377</v>
      </c>
    </row>
    <row r="19653">
      <c r="A19653" s="10" t="s">
        <v>21092</v>
      </c>
      <c r="B19653" s="7" t="str">
        <f>IFERROR(__xludf.DUMMYFUNCTION("SPLIT(A19653,"" "")"),"Cc1cnc(CN(C)c2cc(Cl)c(Cl)cc2N(C)Cc2ncc(C)c(C)c2C)c(C)c1C")</f>
        <v>Cc1cnc(CN(C)c2cc(Cl)c(Cl)cc2N(C)Cc2ncc(C)c(C)c2C)c(C)c1C</v>
      </c>
      <c r="C19653" s="7">
        <f>IFERROR(__xludf.DUMMYFUNCTION("""COMPUTED_VALUE"""),7.7163587)</f>
        <v>7.7163587</v>
      </c>
      <c r="D19653" s="7">
        <f>IFERROR(__xludf.DUMMYFUNCTION("""COMPUTED_VALUE"""),0.475)</f>
        <v>0.475</v>
      </c>
    </row>
    <row r="19654">
      <c r="A19654" s="10" t="s">
        <v>21093</v>
      </c>
      <c r="B19654" s="7" t="str">
        <f>IFERROR(__xludf.DUMMYFUNCTION("SPLIT(A19654,"" "")"),"Cc1cccc(N(C)Cc2cccc(-c3cccc(N(C)C)c3)n2)c1C")</f>
        <v>Cc1cccc(N(C)Cc2cccc(-c3cccc(N(C)C)c3)n2)c1C</v>
      </c>
      <c r="C19654" s="7">
        <f>IFERROR(__xludf.DUMMYFUNCTION("""COMPUTED_VALUE"""),7.7163105)</f>
        <v>7.7163105</v>
      </c>
      <c r="D19654" s="7">
        <f>IFERROR(__xludf.DUMMYFUNCTION("""COMPUTED_VALUE"""),0.372881355932203)</f>
        <v>0.3728813559</v>
      </c>
    </row>
    <row r="19655">
      <c r="A19655" s="10" t="s">
        <v>21094</v>
      </c>
      <c r="B19655" s="7" t="str">
        <f>IFERROR(__xludf.DUMMYFUNCTION("SPLIT(A19655,"" "")"),"CC(C1=C2c3ncccc3C=CC2C=CN1)(c1ccccn1)c1ccccn1")</f>
        <v>CC(C1=C2c3ncccc3C=CC2C=CN1)(c1ccccn1)c1ccccn1</v>
      </c>
      <c r="C19655" s="7">
        <f>IFERROR(__xludf.DUMMYFUNCTION("""COMPUTED_VALUE"""),7.7163067)</f>
        <v>7.7163067</v>
      </c>
      <c r="D19655" s="7">
        <f>IFERROR(__xludf.DUMMYFUNCTION("""COMPUTED_VALUE"""),0.345454545454545)</f>
        <v>0.3454545455</v>
      </c>
    </row>
    <row r="19656">
      <c r="A19656" s="10" t="s">
        <v>21095</v>
      </c>
      <c r="B19656" s="7" t="str">
        <f>IFERROR(__xludf.DUMMYFUNCTION("SPLIT(A19656,"" "")"),"CNCc1ccc2cc(N(C)Cc3nc(C)c(C)c(C)c3C)ccc2n1")</f>
        <v>CNCc1ccc2cc(N(C)Cc3nc(C)c(C)c(C)c3C)ccc2n1</v>
      </c>
      <c r="C19656" s="7">
        <f>IFERROR(__xludf.DUMMYFUNCTION("""COMPUTED_VALUE"""),7.7162867)</f>
        <v>7.7162867</v>
      </c>
      <c r="D19656" s="7">
        <f>IFERROR(__xludf.DUMMYFUNCTION("""COMPUTED_VALUE"""),0.274509803921568)</f>
        <v>0.2745098039</v>
      </c>
    </row>
    <row r="19657">
      <c r="A19657" s="10" t="s">
        <v>21096</v>
      </c>
      <c r="B19657" s="7" t="str">
        <f>IFERROR(__xludf.DUMMYFUNCTION("SPLIT(A19657,"" "")"),"Cc1nc(CN(C)C2=CNC(CN(C)c3cccc4cccnc34)=CC2)c(C)c(C)c1C")</f>
        <v>Cc1nc(CN(C)C2=CNC(CN(C)c3cccc4cccnc34)=CC2)c(C)c(C)c1C</v>
      </c>
      <c r="C19657" s="7">
        <f>IFERROR(__xludf.DUMMYFUNCTION("""COMPUTED_VALUE"""),7.716284)</f>
        <v>7.716284</v>
      </c>
      <c r="D19657" s="7">
        <f>IFERROR(__xludf.DUMMYFUNCTION("""COMPUTED_VALUE"""),0.436363636363636)</f>
        <v>0.4363636364</v>
      </c>
    </row>
    <row r="19658">
      <c r="A19658" s="10" t="s">
        <v>21097</v>
      </c>
      <c r="B19658" s="7" t="str">
        <f>IFERROR(__xludf.DUMMYFUNCTION("SPLIT(A19658,"" "")"),"CCN(Cc1ccccn1)c1cc2ncccc2cc1-c1ccc(N(C)C(C)C)cc1")</f>
        <v>CCN(Cc1ccccn1)c1cc2ncccc2cc1-c1ccc(N(C)C(C)C)cc1</v>
      </c>
      <c r="C19658" s="7">
        <f>IFERROR(__xludf.DUMMYFUNCTION("""COMPUTED_VALUE"""),7.7162805)</f>
        <v>7.7162805</v>
      </c>
      <c r="D19658" s="7">
        <f>IFERROR(__xludf.DUMMYFUNCTION("""COMPUTED_VALUE"""),0.407407407407407)</f>
        <v>0.4074074074</v>
      </c>
    </row>
    <row r="19659">
      <c r="A19659" s="10" t="s">
        <v>21098</v>
      </c>
      <c r="B19659" s="7" t="str">
        <f>IFERROR(__xludf.DUMMYFUNCTION("SPLIT(A19659,"" "")"),"CC(C)(CN(Cc1ccccn1)c1ccc2nccc(CF)c2c1)c1ccc2ncccc2c1")</f>
        <v>CC(C)(CN(Cc1ccccn1)c1ccc2nccc(CF)c2c1)c1ccc2ncccc2c1</v>
      </c>
      <c r="C19659" s="7">
        <f>IFERROR(__xludf.DUMMYFUNCTION("""COMPUTED_VALUE"""),7.716279)</f>
        <v>7.716279</v>
      </c>
      <c r="D19659" s="7">
        <f>IFERROR(__xludf.DUMMYFUNCTION("""COMPUTED_VALUE"""),0.344262295081967)</f>
        <v>0.3442622951</v>
      </c>
    </row>
    <row r="19660">
      <c r="A19660" s="10" t="s">
        <v>21099</v>
      </c>
      <c r="B19660" s="7" t="str">
        <f>IFERROR(__xludf.DUMMYFUNCTION("SPLIT(A19660,"" "")"),"CN(CC1=C(N(C)C(c2ccccn2)c2ccccn2)CC=CN1)c1ccc2cccnc2c1")</f>
        <v>CN(CC1=C(N(C)C(c2ccccn2)c2ccccn2)CC=CN1)c1ccc2cccnc2c1</v>
      </c>
      <c r="C19660" s="7">
        <f>IFERROR(__xludf.DUMMYFUNCTION("""COMPUTED_VALUE"""),7.7162704)</f>
        <v>7.7162704</v>
      </c>
      <c r="D19660" s="7">
        <f>IFERROR(__xludf.DUMMYFUNCTION("""COMPUTED_VALUE"""),0.294117647058823)</f>
        <v>0.2941176471</v>
      </c>
    </row>
    <row r="19661">
      <c r="A19661" s="10" t="s">
        <v>21100</v>
      </c>
      <c r="B19661" s="7" t="str">
        <f>IFERROR(__xludf.DUMMYFUNCTION("SPLIT(A19661,"" "")"),"Cc1c(C)c(C)c(N(C)c2c(C)c(C)c(C)c(C)c2C)c(C)c1C")</f>
        <v>Cc1c(C)c(C)c(N(C)c2c(C)c(C)c(C)c(C)c2C)c(C)c1C</v>
      </c>
      <c r="C19661" s="7">
        <f>IFERROR(__xludf.DUMMYFUNCTION("""COMPUTED_VALUE"""),7.716268)</f>
        <v>7.716268</v>
      </c>
      <c r="D19661" s="7">
        <f>IFERROR(__xludf.DUMMYFUNCTION("""COMPUTED_VALUE"""),0.15625)</f>
        <v>0.15625</v>
      </c>
    </row>
    <row r="19662">
      <c r="A19662" s="10" t="s">
        <v>21101</v>
      </c>
      <c r="B19662" s="7" t="str">
        <f>IFERROR(__xludf.DUMMYFUNCTION("SPLIT(A19662,"" "")"),"CN(Cc1cc(N)ccn1)C1=CNC(CN(C)c2ccc3cccnc3c2)=CC1")</f>
        <v>CN(Cc1cc(N)ccn1)C1=CNC(CN(C)c2ccc3cccnc3c2)=CC1</v>
      </c>
      <c r="C19662" s="7">
        <f>IFERROR(__xludf.DUMMYFUNCTION("""COMPUTED_VALUE"""),7.716265)</f>
        <v>7.716265</v>
      </c>
      <c r="D19662" s="7">
        <f>IFERROR(__xludf.DUMMYFUNCTION("""COMPUTED_VALUE"""),0.292307692307692)</f>
        <v>0.2923076923</v>
      </c>
    </row>
    <row r="19663">
      <c r="A19663" s="10" t="s">
        <v>21102</v>
      </c>
      <c r="B19663" s="7" t="str">
        <f>IFERROR(__xludf.DUMMYFUNCTION("SPLIT(A19663,"" "")"),"Cc1cccnc1CN(C)Cc1cccc(N(C)c2ccc3nccc(C)c3c2)n1")</f>
        <v>Cc1cccnc1CN(C)Cc1cccc(N(C)c2ccc3nccc(C)c3c2)n1</v>
      </c>
      <c r="C19663" s="7">
        <f>IFERROR(__xludf.DUMMYFUNCTION("""COMPUTED_VALUE"""),7.7162223)</f>
        <v>7.7162223</v>
      </c>
      <c r="D19663" s="7">
        <f>IFERROR(__xludf.DUMMYFUNCTION("""COMPUTED_VALUE"""),0.35)</f>
        <v>0.35</v>
      </c>
    </row>
    <row r="19664">
      <c r="A19664" s="10" t="s">
        <v>21103</v>
      </c>
      <c r="B19664" s="7" t="str">
        <f>IFERROR(__xludf.DUMMYFUNCTION("SPLIT(A19664,"" "")"),"Cc1cncc(CN(C)Cc2ccc(N(C)c3cccc4c(C)ccnc34)cn2)c1")</f>
        <v>Cc1cncc(CN(C)Cc2ccc(N(C)c3cccc4c(C)ccnc34)cn2)c1</v>
      </c>
      <c r="C19664" s="7">
        <f>IFERROR(__xludf.DUMMYFUNCTION("""COMPUTED_VALUE"""),7.716183)</f>
        <v>7.716183</v>
      </c>
      <c r="D19664" s="7">
        <f>IFERROR(__xludf.DUMMYFUNCTION("""COMPUTED_VALUE"""),0.333333333333333)</f>
        <v>0.3333333333</v>
      </c>
    </row>
    <row r="19665">
      <c r="A19665" s="10" t="s">
        <v>21104</v>
      </c>
      <c r="B19665" s="7" t="str">
        <f>IFERROR(__xludf.DUMMYFUNCTION("SPLIT(A19665,"" "")"),"Cc1ccccc1N(Cc1ccccn1)C1=CNC(CN(C)c2cccc3cccnc23)=CC1")</f>
        <v>Cc1ccccc1N(Cc1ccccn1)C1=CNC(CN(C)c2cccc3cccnc23)=CC1</v>
      </c>
      <c r="C19665" s="7">
        <f>IFERROR(__xludf.DUMMYFUNCTION("""COMPUTED_VALUE"""),7.716178)</f>
        <v>7.716178</v>
      </c>
      <c r="D19665" s="7">
        <f>IFERROR(__xludf.DUMMYFUNCTION("""COMPUTED_VALUE"""),0.421052631578947)</f>
        <v>0.4210526316</v>
      </c>
    </row>
    <row r="19666">
      <c r="A19666" s="10" t="s">
        <v>21105</v>
      </c>
      <c r="B19666" s="7" t="str">
        <f>IFERROR(__xludf.DUMMYFUNCTION("SPLIT(A19666,"" "")"),"CN(Cc1cccnn1)C1=CNC(CN(C)c2cccc3ncccc23)=CC1")</f>
        <v>CN(Cc1cccnn1)C1=CNC(CN(C)c2cccc3ncccc23)=CC1</v>
      </c>
      <c r="C19666" s="7">
        <f>IFERROR(__xludf.DUMMYFUNCTION("""COMPUTED_VALUE"""),7.7161713)</f>
        <v>7.7161713</v>
      </c>
      <c r="D19666" s="7">
        <f>IFERROR(__xludf.DUMMYFUNCTION("""COMPUTED_VALUE"""),0.350877192982456)</f>
        <v>0.350877193</v>
      </c>
    </row>
    <row r="19667">
      <c r="A19667" s="10" t="s">
        <v>21106</v>
      </c>
      <c r="B19667" s="7" t="str">
        <f>IFERROR(__xludf.DUMMYFUNCTION("SPLIT(A19667,"" "")"),"CNC1NC=CC=C1N(Cc1ccccn1)c1ccc2ncccc2c1")</f>
        <v>CNC1NC=CC=C1N(Cc1ccccn1)c1ccc2ncccc2c1</v>
      </c>
      <c r="C19667" s="7">
        <f>IFERROR(__xludf.DUMMYFUNCTION("""COMPUTED_VALUE"""),7.7161546)</f>
        <v>7.7161546</v>
      </c>
      <c r="D19667" s="7">
        <f>IFERROR(__xludf.DUMMYFUNCTION("""COMPUTED_VALUE"""),0.365079365079365)</f>
        <v>0.3650793651</v>
      </c>
    </row>
    <row r="19668">
      <c r="A19668" s="10" t="s">
        <v>21107</v>
      </c>
      <c r="B19668" s="7" t="str">
        <f>IFERROR(__xludf.DUMMYFUNCTION("SPLIT(A19668,"" "")"),"Cc1nc(CN(C)C2=CNC(CN(C)c3ccc4cccnc4c3)=CC2)c(C)c(C)c1C")</f>
        <v>Cc1nc(CN(C)C2=CNC(CN(C)c3ccc4cccnc4c3)=CC2)c(C)c(C)c1C</v>
      </c>
      <c r="C19668" s="7">
        <f>IFERROR(__xludf.DUMMYFUNCTION("""COMPUTED_VALUE"""),7.7161536)</f>
        <v>7.7161536</v>
      </c>
      <c r="D19668" s="7">
        <f>IFERROR(__xludf.DUMMYFUNCTION("""COMPUTED_VALUE"""),0.253731343283582)</f>
        <v>0.2537313433</v>
      </c>
    </row>
    <row r="19669">
      <c r="A19669" s="10" t="s">
        <v>21108</v>
      </c>
      <c r="B19669" s="7" t="str">
        <f>IFERROR(__xludf.DUMMYFUNCTION("SPLIT(A19669,"" "")"),"Cc1cccnc1CN(C)C1=C(CN(C)c2ccc3cccnc3c2)CC=CN1")</f>
        <v>Cc1cccnc1CN(C)C1=C(CN(C)c2ccc3cccnc3c2)CC=CN1</v>
      </c>
      <c r="C19669" s="7">
        <f>IFERROR(__xludf.DUMMYFUNCTION("""COMPUTED_VALUE"""),7.7161427)</f>
        <v>7.7161427</v>
      </c>
      <c r="D19669" s="7">
        <f>IFERROR(__xludf.DUMMYFUNCTION("""COMPUTED_VALUE"""),0.265625)</f>
        <v>0.265625</v>
      </c>
    </row>
    <row r="19670">
      <c r="A19670" s="10" t="s">
        <v>21109</v>
      </c>
      <c r="B19670" s="7" t="str">
        <f>IFERROR(__xludf.DUMMYFUNCTION("SPLIT(A19670,"" "")"),"CN(C)Cc1ccnc2ccc(N(C)Cc3ccccn3)cc12")</f>
        <v>CN(C)Cc1ccnc2ccc(N(C)Cc3ccccn3)cc12</v>
      </c>
      <c r="C19670" s="7">
        <f>IFERROR(__xludf.DUMMYFUNCTION("""COMPUTED_VALUE"""),7.7161365)</f>
        <v>7.7161365</v>
      </c>
      <c r="D19670" s="7">
        <f>IFERROR(__xludf.DUMMYFUNCTION("""COMPUTED_VALUE"""),0.468085106382978)</f>
        <v>0.4680851064</v>
      </c>
    </row>
    <row r="19671">
      <c r="A19671" s="10" t="s">
        <v>21110</v>
      </c>
      <c r="B19671" s="7" t="str">
        <f>IFERROR(__xludf.DUMMYFUNCTION("SPLIT(A19671,"" "")"),"CNCC1=CCC(N(C)c2cccc3ncccc23)=CN1")</f>
        <v>CNCC1=CCC(N(C)c2cccc3ncccc23)=CN1</v>
      </c>
      <c r="C19671" s="7">
        <f>IFERROR(__xludf.DUMMYFUNCTION("""COMPUTED_VALUE"""),7.716129)</f>
        <v>7.716129</v>
      </c>
      <c r="D19671" s="7">
        <f>IFERROR(__xludf.DUMMYFUNCTION("""COMPUTED_VALUE"""),0.303571428571428)</f>
        <v>0.3035714286</v>
      </c>
    </row>
    <row r="19672">
      <c r="A19672" s="10" t="s">
        <v>21111</v>
      </c>
      <c r="B19672" s="7" t="str">
        <f>IFERROR(__xludf.DUMMYFUNCTION("SPLIT(A19672,"" "")"),"Cc1ccnc2c(N(C)c3ccnc(CN(C)Cc4ccccn4)c3)cccc12")</f>
        <v>Cc1ccnc2c(N(C)c3ccnc(CN(C)Cc4ccccn4)c3)cccc12</v>
      </c>
      <c r="C19672" s="7">
        <f>IFERROR(__xludf.DUMMYFUNCTION("""COMPUTED_VALUE"""),7.716125)</f>
        <v>7.716125</v>
      </c>
      <c r="D19672" s="7">
        <f>IFERROR(__xludf.DUMMYFUNCTION("""COMPUTED_VALUE"""),0.433962264150943)</f>
        <v>0.4339622642</v>
      </c>
    </row>
    <row r="19673">
      <c r="A19673" s="10" t="s">
        <v>21112</v>
      </c>
      <c r="B19673" s="7" t="str">
        <f>IFERROR(__xludf.DUMMYFUNCTION("SPLIT(A19673,"" "")"),"CC(C)N(Cc1ccccn1)c1ccc2nc(CN(Cc3ccccn3)c3ccc4nc(CF)ccc4c3)ccc2c1")</f>
        <v>CC(C)N(Cc1ccccn1)c1ccc2nc(CN(Cc3ccccn3)c3ccc4nc(CF)ccc4c3)ccc2c1</v>
      </c>
      <c r="C19673" s="7">
        <f>IFERROR(__xludf.DUMMYFUNCTION("""COMPUTED_VALUE"""),7.716111)</f>
        <v>7.716111</v>
      </c>
      <c r="D19673" s="7">
        <f>IFERROR(__xludf.DUMMYFUNCTION("""COMPUTED_VALUE"""),0.461538461538461)</f>
        <v>0.4615384615</v>
      </c>
    </row>
    <row r="19674">
      <c r="A19674" s="10" t="s">
        <v>21113</v>
      </c>
      <c r="B19674" s="7" t="str">
        <f>IFERROR(__xludf.DUMMYFUNCTION("SPLIT(A19674,"" "")"),"CN(CCCN(C)c1ccc2nc(CF)ccc2c1)c1ccc2ncccc2c1")</f>
        <v>CN(CCCN(C)c1ccc2nc(CF)ccc2c1)c1ccc2ncccc2c1</v>
      </c>
      <c r="C19674" s="7">
        <f>IFERROR(__xludf.DUMMYFUNCTION("""COMPUTED_VALUE"""),7.7160835)</f>
        <v>7.7160835</v>
      </c>
      <c r="D19674" s="7">
        <f>IFERROR(__xludf.DUMMYFUNCTION("""COMPUTED_VALUE"""),0.416666666666666)</f>
        <v>0.4166666667</v>
      </c>
    </row>
    <row r="19675">
      <c r="A19675" s="10" t="s">
        <v>21114</v>
      </c>
      <c r="B19675" s="7" t="str">
        <f>IFERROR(__xludf.DUMMYFUNCTION("SPLIT(A19675,"" "")"),"CN(CC1=CCC=C(N(C)C2C=CC=CN2)N1)c1cccc2ncccc12")</f>
        <v>CN(CC1=CCC=C(N(C)C2C=CC=CN2)N1)c1cccc2ncccc12</v>
      </c>
      <c r="C19675" s="7">
        <f>IFERROR(__xludf.DUMMYFUNCTION("""COMPUTED_VALUE"""),7.7160687)</f>
        <v>7.7160687</v>
      </c>
      <c r="D19675" s="7">
        <f>IFERROR(__xludf.DUMMYFUNCTION("""COMPUTED_VALUE"""),0.292307692307692)</f>
        <v>0.2923076923</v>
      </c>
    </row>
    <row r="19676">
      <c r="A19676" s="10" t="s">
        <v>21115</v>
      </c>
      <c r="B19676" s="7" t="str">
        <f>IFERROR(__xludf.DUMMYFUNCTION("SPLIT(A19676,"" "")"),"C1=CNC(c2cc(-c3ccccc3NCc3ccccn3)ccn2)=CC1")</f>
        <v>C1=CNC(c2cc(-c3ccccc3NCc3ccccn3)ccn2)=CC1</v>
      </c>
      <c r="C19676" s="7">
        <f>IFERROR(__xludf.DUMMYFUNCTION("""COMPUTED_VALUE"""),7.7160664)</f>
        <v>7.7160664</v>
      </c>
      <c r="D19676" s="7">
        <f>IFERROR(__xludf.DUMMYFUNCTION("""COMPUTED_VALUE"""),0.4)</f>
        <v>0.4</v>
      </c>
    </row>
    <row r="19677">
      <c r="A19677" s="10" t="s">
        <v>21116</v>
      </c>
      <c r="B19677" s="7" t="str">
        <f>IFERROR(__xludf.DUMMYFUNCTION("SPLIT(A19677,"" "")"),"CN(C)CC1=CCC=C(N(C)c2ccc3nccc(CF)c3c2)N1")</f>
        <v>CN(C)CC1=CCC=C(N(C)c2ccc3nccc(CF)c3c2)N1</v>
      </c>
      <c r="C19677" s="7">
        <f>IFERROR(__xludf.DUMMYFUNCTION("""COMPUTED_VALUE"""),7.7160525)</f>
        <v>7.7160525</v>
      </c>
      <c r="D19677" s="7">
        <f>IFERROR(__xludf.DUMMYFUNCTION("""COMPUTED_VALUE"""),0.223880597014925)</f>
        <v>0.223880597</v>
      </c>
    </row>
    <row r="19678">
      <c r="A19678" s="10" t="s">
        <v>21117</v>
      </c>
      <c r="B19678" s="7" t="str">
        <f>IFERROR(__xludf.DUMMYFUNCTION("SPLIT(A19678,"" "")"),"CN(C)c1ccc2cccnc2c1-c1cnccc1CN(Cc1ccccn1)Cc1ncccc1F")</f>
        <v>CN(C)c1ccc2cccnc2c1-c1cnccc1CN(Cc1ccccn1)Cc1ncccc1F</v>
      </c>
      <c r="C19678" s="7">
        <f>IFERROR(__xludf.DUMMYFUNCTION("""COMPUTED_VALUE"""),7.7160497)</f>
        <v>7.7160497</v>
      </c>
      <c r="D19678" s="7">
        <f>IFERROR(__xludf.DUMMYFUNCTION("""COMPUTED_VALUE"""),0.359375)</f>
        <v>0.359375</v>
      </c>
    </row>
    <row r="19679">
      <c r="A19679" s="10" t="s">
        <v>21118</v>
      </c>
      <c r="B19679" s="7" t="str">
        <f>IFERROR(__xludf.DUMMYFUNCTION("SPLIT(A19679,"" "")"),"Cc1cnc(CN(C)C2=C(CN(C)c3cccc4ncccc34)NC=CC2)c(C)c1")</f>
        <v>Cc1cnc(CN(C)C2=C(CN(C)c3cccc4ncccc34)NC=CC2)c(C)c1</v>
      </c>
      <c r="C19679" s="7">
        <f>IFERROR(__xludf.DUMMYFUNCTION("""COMPUTED_VALUE"""),7.716047)</f>
        <v>7.716047</v>
      </c>
      <c r="D19679" s="7">
        <f>IFERROR(__xludf.DUMMYFUNCTION("""COMPUTED_VALUE"""),0.287878787878787)</f>
        <v>0.2878787879</v>
      </c>
    </row>
    <row r="19680">
      <c r="A19680" s="10" t="s">
        <v>21119</v>
      </c>
      <c r="B19680" s="7" t="str">
        <f>IFERROR(__xludf.DUMMYFUNCTION("SPLIT(A19680,"" "")"),"CNc1ccccc1-c1cc(CN(C)Cc2cc(-c3cccc(N=Cc4ccccn4)c3)ccn2)ccn1")</f>
        <v>CNc1ccccc1-c1cc(CN(C)Cc2cc(-c3cccc(N=Cc4ccccn4)c3)ccn2)ccn1</v>
      </c>
      <c r="C19680" s="7">
        <f>IFERROR(__xludf.DUMMYFUNCTION("""COMPUTED_VALUE"""),7.716039)</f>
        <v>7.716039</v>
      </c>
      <c r="D19680" s="7">
        <f>IFERROR(__xludf.DUMMYFUNCTION("""COMPUTED_VALUE"""),0.333333333333333)</f>
        <v>0.3333333333</v>
      </c>
    </row>
    <row r="19681">
      <c r="A19681" s="10" t="s">
        <v>21120</v>
      </c>
      <c r="B19681" s="7" t="str">
        <f>IFERROR(__xludf.DUMMYFUNCTION("SPLIT(A19681,"" "")"),"Cc1cncc(-c2ccc(N=Cc3ccccn3)cc2)c1")</f>
        <v>Cc1cncc(-c2ccc(N=Cc3ccccn3)cc2)c1</v>
      </c>
      <c r="C19681" s="7">
        <f>IFERROR(__xludf.DUMMYFUNCTION("""COMPUTED_VALUE"""),7.7160363)</f>
        <v>7.7160363</v>
      </c>
      <c r="D19681" s="7">
        <f>IFERROR(__xludf.DUMMYFUNCTION("""COMPUTED_VALUE"""),0.4375)</f>
        <v>0.4375</v>
      </c>
    </row>
    <row r="19682">
      <c r="A19682" s="10" t="s">
        <v>21121</v>
      </c>
      <c r="B19682" s="7" t="str">
        <f>IFERROR(__xludf.DUMMYFUNCTION("SPLIT(A19682,"" "")"),"CN(Cc1ccccn1)c1ccc2nccc(CF)c2c1")</f>
        <v>CN(Cc1ccccn1)c1ccc2nccc(CF)c2c1</v>
      </c>
      <c r="C19682" s="7">
        <f>IFERROR(__xludf.DUMMYFUNCTION("""COMPUTED_VALUE"""),7.7160344)</f>
        <v>7.7160344</v>
      </c>
      <c r="D19682" s="7">
        <f>IFERROR(__xludf.DUMMYFUNCTION("""COMPUTED_VALUE"""),0.458333333333333)</f>
        <v>0.4583333333</v>
      </c>
    </row>
    <row r="19683">
      <c r="A19683" s="10" t="s">
        <v>21122</v>
      </c>
      <c r="B19683" s="7" t="str">
        <f>IFERROR(__xludf.DUMMYFUNCTION("SPLIT(A19683,"" "")"),"CN(C)c1cc2ncccc2cc1-c1ncccc1CN(Cc1ccccn1)Cc1cccc(F)n1")</f>
        <v>CN(C)c1cc2ncccc2cc1-c1ncccc1CN(Cc1ccccn1)Cc1cccc(F)n1</v>
      </c>
      <c r="C19683" s="7">
        <f>IFERROR(__xludf.DUMMYFUNCTION("""COMPUTED_VALUE"""),7.7160163)</f>
        <v>7.7160163</v>
      </c>
      <c r="D19683" s="7">
        <f>IFERROR(__xludf.DUMMYFUNCTION("""COMPUTED_VALUE"""),0.406779661016949)</f>
        <v>0.406779661</v>
      </c>
    </row>
    <row r="19684">
      <c r="A19684" s="10" t="s">
        <v>21123</v>
      </c>
      <c r="B19684" s="7" t="str">
        <f>IFERROR(__xludf.DUMMYFUNCTION("SPLIT(A19684,"" "")"),"Cc1cnc2cc(N(C)C3=CNC(CN(C)C)=CC3)ccc2c1")</f>
        <v>Cc1cnc2cc(N(C)C3=CNC(CN(C)C)=CC3)ccc2c1</v>
      </c>
      <c r="C19684" s="7">
        <f>IFERROR(__xludf.DUMMYFUNCTION("""COMPUTED_VALUE"""),7.7159934)</f>
        <v>7.7159934</v>
      </c>
      <c r="D19684" s="7">
        <f>IFERROR(__xludf.DUMMYFUNCTION("""COMPUTED_VALUE"""),0.254545454545454)</f>
        <v>0.2545454545</v>
      </c>
    </row>
    <row r="19685">
      <c r="A19685" s="10" t="s">
        <v>21124</v>
      </c>
      <c r="B19685" s="7" t="str">
        <f>IFERROR(__xludf.DUMMYFUNCTION("SPLIT(A19685,"" "")"),"CN(C)CC1=C(N(C)c2cccc3ncccc23)CC=CN1")</f>
        <v>CN(C)CC1=C(N(C)c2cccc3ncccc23)CC=CN1</v>
      </c>
      <c r="C19685" s="7">
        <f>IFERROR(__xludf.DUMMYFUNCTION("""COMPUTED_VALUE"""),7.71599)</f>
        <v>7.71599</v>
      </c>
      <c r="D19685" s="7">
        <f>IFERROR(__xludf.DUMMYFUNCTION("""COMPUTED_VALUE"""),0.303571428571428)</f>
        <v>0.3035714286</v>
      </c>
    </row>
    <row r="19686">
      <c r="A19686" s="10" t="s">
        <v>21125</v>
      </c>
      <c r="B19686" s="7" t="str">
        <f>IFERROR(__xludf.DUMMYFUNCTION("SPLIT(A19686,"" "")"),"Cc1ccc(C)c(CN(Cc2ncccc2N(C)Cc2nc(C)cc(C)c2C)c2ccc3ncccc3c2)n1")</f>
        <v>Cc1ccc(C)c(CN(Cc2ncccc2N(C)Cc2nc(C)cc(C)c2C)c2ccc3ncccc3c2)n1</v>
      </c>
      <c r="C19686" s="7">
        <f>IFERROR(__xludf.DUMMYFUNCTION("""COMPUTED_VALUE"""),7.715957)</f>
        <v>7.715957</v>
      </c>
      <c r="D19686" s="7">
        <f>IFERROR(__xludf.DUMMYFUNCTION("""COMPUTED_VALUE"""),0.306451612903225)</f>
        <v>0.3064516129</v>
      </c>
    </row>
    <row r="19687">
      <c r="A19687" s="10" t="s">
        <v>21126</v>
      </c>
      <c r="B19687" s="7" t="str">
        <f>IFERROR(__xludf.DUMMYFUNCTION("SPLIT(A19687,"" "")"),"C1=CNCC(N(Cc2ccccn2)c2ccc3cccnc3c2)=C1")</f>
        <v>C1=CNCC(N(Cc2ccccn2)c2ccc3cccnc3c2)=C1</v>
      </c>
      <c r="C19687" s="7">
        <f>IFERROR(__xludf.DUMMYFUNCTION("""COMPUTED_VALUE"""),7.715942)</f>
        <v>7.715942</v>
      </c>
      <c r="D19687" s="7">
        <f>IFERROR(__xludf.DUMMYFUNCTION("""COMPUTED_VALUE"""),0.425925925925925)</f>
        <v>0.4259259259</v>
      </c>
    </row>
    <row r="19688">
      <c r="A19688" s="10" t="s">
        <v>21127</v>
      </c>
      <c r="B19688" s="7" t="str">
        <f>IFERROR(__xludf.DUMMYFUNCTION("SPLIT(A19688,"" "")"),"C1=CNCC(Nc2cccc(-c3ccccn3)n2)=C1")</f>
        <v>C1=CNCC(Nc2cccc(-c3ccccn3)n2)=C1</v>
      </c>
      <c r="C19688" s="7">
        <f>IFERROR(__xludf.DUMMYFUNCTION("""COMPUTED_VALUE"""),7.715938)</f>
        <v>7.715938</v>
      </c>
      <c r="D19688" s="7">
        <f>IFERROR(__xludf.DUMMYFUNCTION("""COMPUTED_VALUE"""),0.36)</f>
        <v>0.36</v>
      </c>
    </row>
    <row r="19689">
      <c r="A19689" s="10" t="s">
        <v>21128</v>
      </c>
      <c r="B19689" s="7" t="str">
        <f>IFERROR(__xludf.DUMMYFUNCTION("SPLIT(A19689,"" "")"),"COC1(C)N=COC1c1cc(CN(Cc2ccccn2)Cc2ncccc2-c2c(N(C)C)ccc3cccnc23)ccn1")</f>
        <v>COC1(C)N=COC1c1cc(CN(Cc2ccccn2)Cc2ncccc2-c2c(N(C)C)ccc3cccnc23)ccn1</v>
      </c>
      <c r="C19689" s="7">
        <f>IFERROR(__xludf.DUMMYFUNCTION("""COMPUTED_VALUE"""),7.7159266)</f>
        <v>7.7159266</v>
      </c>
      <c r="D19689" s="7">
        <f>IFERROR(__xludf.DUMMYFUNCTION("""COMPUTED_VALUE"""),0.317647058823529)</f>
        <v>0.3176470588</v>
      </c>
    </row>
    <row r="19690">
      <c r="A19690" s="10" t="s">
        <v>21129</v>
      </c>
      <c r="B19690" s="7" t="str">
        <f>IFERROR(__xludf.DUMMYFUNCTION("SPLIT(A19690,"" "")"),"CN(C)C1=CCC=C(CN(C)c2ccc3ccc(CF)nc3c2)N1")</f>
        <v>CN(C)C1=CCC=C(CN(C)c2ccc3ccc(CF)nc3c2)N1</v>
      </c>
      <c r="C19690" s="7">
        <f>IFERROR(__xludf.DUMMYFUNCTION("""COMPUTED_VALUE"""),7.7159195)</f>
        <v>7.7159195</v>
      </c>
      <c r="D19690" s="7">
        <f>IFERROR(__xludf.DUMMYFUNCTION("""COMPUTED_VALUE"""),0.290322580645161)</f>
        <v>0.2903225806</v>
      </c>
    </row>
    <row r="19691">
      <c r="A19691" s="10" t="s">
        <v>21130</v>
      </c>
      <c r="B19691" s="7" t="str">
        <f>IFERROR(__xludf.DUMMYFUNCTION("SPLIT(A19691,"" "")"),"Cc1ccc2nc(CN(C)Cc3cccc(-c4ccccc4N(C)C)n3)ccc2c1")</f>
        <v>Cc1ccc2nc(CN(C)Cc3cccc(-c4ccccc4N(C)C)n3)ccc2c1</v>
      </c>
      <c r="C19691" s="7">
        <f>IFERROR(__xludf.DUMMYFUNCTION("""COMPUTED_VALUE"""),7.7159176)</f>
        <v>7.7159176</v>
      </c>
      <c r="D19691" s="7">
        <f>IFERROR(__xludf.DUMMYFUNCTION("""COMPUTED_VALUE"""),0.415094339622641)</f>
        <v>0.4150943396</v>
      </c>
    </row>
    <row r="19692">
      <c r="A19692" s="10" t="s">
        <v>21131</v>
      </c>
      <c r="B19692" s="7" t="str">
        <f>IFERROR(__xludf.DUMMYFUNCTION("SPLIT(A19692,"" "")"),"Cc1ccnc(CN(C)c2ccc3cc4c(nc3c2)CCC4)c1")</f>
        <v>Cc1ccnc(CN(C)c2ccc3cc4c(nc3c2)CCC4)c1</v>
      </c>
      <c r="C19692" s="7">
        <f>IFERROR(__xludf.DUMMYFUNCTION("""COMPUTED_VALUE"""),7.7159147)</f>
        <v>7.7159147</v>
      </c>
      <c r="D19692" s="7">
        <f>IFERROR(__xludf.DUMMYFUNCTION("""COMPUTED_VALUE"""),0.345454545454545)</f>
        <v>0.3454545455</v>
      </c>
    </row>
    <row r="19693">
      <c r="A19693" s="10" t="s">
        <v>21132</v>
      </c>
      <c r="B19693" s="7" t="str">
        <f>IFERROR(__xludf.DUMMYFUNCTION("SPLIT(A19693,"" "")"),"Cc1cccc(N(C)Cc2cc(-c3ccccc3N=Cc3ccccn3)ccn2)c1C")</f>
        <v>Cc1cccc(N(C)Cc2cc(-c3ccccc3N=Cc3ccccn3)ccn2)c1C</v>
      </c>
      <c r="C19693" s="7">
        <f>IFERROR(__xludf.DUMMYFUNCTION("""COMPUTED_VALUE"""),7.715901)</f>
        <v>7.715901</v>
      </c>
      <c r="D19693" s="7">
        <f>IFERROR(__xludf.DUMMYFUNCTION("""COMPUTED_VALUE"""),0.473684210526315)</f>
        <v>0.4736842105</v>
      </c>
    </row>
    <row r="19694">
      <c r="A19694" s="10" t="s">
        <v>21133</v>
      </c>
      <c r="B19694" s="7" t="str">
        <f>IFERROR(__xludf.DUMMYFUNCTION("SPLIT(A19694,"" "")"),"CC(C)NCc1ncccc1-c1cc(NCc2ccccn2)c2cccnc2c1")</f>
        <v>CC(C)NCc1ncccc1-c1cc(NCc2ccccn2)c2cccnc2c1</v>
      </c>
      <c r="C19694" s="7">
        <f>IFERROR(__xludf.DUMMYFUNCTION("""COMPUTED_VALUE"""),7.7158966)</f>
        <v>7.7158966</v>
      </c>
      <c r="D19694" s="7">
        <f>IFERROR(__xludf.DUMMYFUNCTION("""COMPUTED_VALUE"""),0.387096774193548)</f>
        <v>0.3870967742</v>
      </c>
    </row>
    <row r="19695">
      <c r="A19695" s="10" t="s">
        <v>21134</v>
      </c>
      <c r="B19695" s="7" t="str">
        <f>IFERROR(__xludf.DUMMYFUNCTION("SPLIT(A19695,"" "")"),"Cc1cnc(CN(C)C2=CNC(CN(C)c3ccc4cccnc4c3)=CC2)c(C)c1")</f>
        <v>Cc1cnc(CN(C)C2=CNC(CN(C)c3ccc4cccnc4c3)=CC2)c(C)c1</v>
      </c>
      <c r="C19695" s="7">
        <f>IFERROR(__xludf.DUMMYFUNCTION("""COMPUTED_VALUE"""),7.7158937)</f>
        <v>7.7158937</v>
      </c>
      <c r="D19695" s="7">
        <f>IFERROR(__xludf.DUMMYFUNCTION("""COMPUTED_VALUE"""),0.25)</f>
        <v>0.25</v>
      </c>
    </row>
    <row r="19696">
      <c r="A19696" s="10" t="s">
        <v>21135</v>
      </c>
      <c r="B19696" s="7" t="str">
        <f>IFERROR(__xludf.DUMMYFUNCTION("SPLIT(A19696,"" "")"),"Cc1cc(C)nc(CN(C)c2cc(Cl)c(Cl)c(N(C)Cc3cc(C)cc(C)n3)c2)c1")</f>
        <v>Cc1cc(C)nc(CN(C)c2cc(Cl)c(Cl)c(N(C)Cc3cc(C)cc(C)n3)c2)c1</v>
      </c>
      <c r="C19696" s="7">
        <f>IFERROR(__xludf.DUMMYFUNCTION("""COMPUTED_VALUE"""),7.715877)</f>
        <v>7.715877</v>
      </c>
      <c r="D19696" s="7">
        <f>IFERROR(__xludf.DUMMYFUNCTION("""COMPUTED_VALUE"""),0.354166666666666)</f>
        <v>0.3541666667</v>
      </c>
    </row>
    <row r="19697">
      <c r="A19697" s="10" t="s">
        <v>21136</v>
      </c>
      <c r="B19697" s="7" t="str">
        <f>IFERROR(__xludf.DUMMYFUNCTION("SPLIT(A19697,"" "")"),"CN(C)c1ccccc1-c1ccc(CN(C)c2ccccn2)nc1")</f>
        <v>CN(C)c1ccccc1-c1ccc(CN(C)c2ccccn2)nc1</v>
      </c>
      <c r="C19697" s="7">
        <f>IFERROR(__xludf.DUMMYFUNCTION("""COMPUTED_VALUE"""),7.7158713)</f>
        <v>7.7158713</v>
      </c>
      <c r="D19697" s="7">
        <f>IFERROR(__xludf.DUMMYFUNCTION("""COMPUTED_VALUE"""),0.416666666666666)</f>
        <v>0.4166666667</v>
      </c>
    </row>
    <row r="19698">
      <c r="A19698" s="10" t="s">
        <v>21137</v>
      </c>
      <c r="B19698" s="7" t="str">
        <f>IFERROR(__xludf.DUMMYFUNCTION("SPLIT(A19698,"" "")"),"CNCC1=C(N(C)c2cccc3ncccc23)CC=CN1")</f>
        <v>CNCC1=C(N(C)c2cccc3ncccc23)CC=CN1</v>
      </c>
      <c r="C19698" s="7">
        <f>IFERROR(__xludf.DUMMYFUNCTION("""COMPUTED_VALUE"""),7.7158537)</f>
        <v>7.7158537</v>
      </c>
      <c r="D19698" s="7">
        <f>IFERROR(__xludf.DUMMYFUNCTION("""COMPUTED_VALUE"""),0.293103448275862)</f>
        <v>0.2931034483</v>
      </c>
    </row>
    <row r="19699">
      <c r="A19699" s="10" t="s">
        <v>21138</v>
      </c>
      <c r="B19699" s="7" t="str">
        <f>IFERROR(__xludf.DUMMYFUNCTION("SPLIT(A19699,"" "")"),"CN(C)CC1=CCC(N(C)c2cccc3ncccc23)=CN1")</f>
        <v>CN(C)CC1=CCC(N(C)c2cccc3ncccc23)=CN1</v>
      </c>
      <c r="C19699" s="7">
        <f>IFERROR(__xludf.DUMMYFUNCTION("""COMPUTED_VALUE"""),7.7158437)</f>
        <v>7.7158437</v>
      </c>
      <c r="D19699" s="7">
        <f>IFERROR(__xludf.DUMMYFUNCTION("""COMPUTED_VALUE"""),0.314814814814814)</f>
        <v>0.3148148148</v>
      </c>
    </row>
    <row r="19700">
      <c r="A19700" s="10" t="s">
        <v>21139</v>
      </c>
      <c r="B19700" s="7" t="str">
        <f>IFERROR(__xludf.DUMMYFUNCTION("SPLIT(A19700,"" "")"),"C=Nc1ccccc1-c1cccc(CN(C)Cc2ccnc3ccc(C)cc23)n1")</f>
        <v>C=Nc1ccccc1-c1cccc(CN(C)Cc2ccnc3ccc(C)cc23)n1</v>
      </c>
      <c r="C19700" s="7">
        <f>IFERROR(__xludf.DUMMYFUNCTION("""COMPUTED_VALUE"""),7.715836)</f>
        <v>7.715836</v>
      </c>
      <c r="D19700" s="7">
        <f>IFERROR(__xludf.DUMMYFUNCTION("""COMPUTED_VALUE"""),0.4)</f>
        <v>0.4</v>
      </c>
    </row>
    <row r="19701">
      <c r="A19701" s="10" t="s">
        <v>21140</v>
      </c>
      <c r="B19701" s="7" t="str">
        <f>IFERROR(__xludf.DUMMYFUNCTION("SPLIT(A19701,"" "")"),"CN(Cc1ccccn1)C1=C2N=CC=CC2CC=C1CN(C)c1ccc2ncccc2c1")</f>
        <v>CN(Cc1ccccn1)C1=C2N=CC=CC2CC=C1CN(C)c1ccc2ncccc2c1</v>
      </c>
      <c r="C19701" s="7">
        <f>IFERROR(__xludf.DUMMYFUNCTION("""COMPUTED_VALUE"""),7.7158203)</f>
        <v>7.7158203</v>
      </c>
      <c r="D19701" s="7">
        <f>IFERROR(__xludf.DUMMYFUNCTION("""COMPUTED_VALUE"""),0.338461538461538)</f>
        <v>0.3384615385</v>
      </c>
    </row>
    <row r="19702">
      <c r="A19702" s="10" t="s">
        <v>21141</v>
      </c>
      <c r="B19702" s="7" t="str">
        <f>IFERROR(__xludf.DUMMYFUNCTION("SPLIT(A19702,"" "")"),"CN(Cc1ccc2ncccc2c1)Cc1ccc2ncccc2c1")</f>
        <v>CN(Cc1ccc2ncccc2c1)Cc1ccc2ncccc2c1</v>
      </c>
      <c r="C19702" s="7">
        <f>IFERROR(__xludf.DUMMYFUNCTION("""COMPUTED_VALUE"""),7.7158093)</f>
        <v>7.7158093</v>
      </c>
      <c r="D19702" s="7">
        <f>IFERROR(__xludf.DUMMYFUNCTION("""COMPUTED_VALUE"""),0.414634146341463)</f>
        <v>0.4146341463</v>
      </c>
    </row>
    <row r="19703">
      <c r="A19703" s="10" t="s">
        <v>21142</v>
      </c>
      <c r="B19703" s="7" t="str">
        <f>IFERROR(__xludf.DUMMYFUNCTION("SPLIT(A19703,"" "")"),"Cc1ccnc(CN(C)CCN(C)c2cccc3c(-c4cccc(C)n4)ccnc23)c1")</f>
        <v>Cc1ccnc(CN(C)CCN(C)c2cccc3c(-c4cccc(C)n4)ccnc23)c1</v>
      </c>
      <c r="C19703" s="7">
        <f>IFERROR(__xludf.DUMMYFUNCTION("""COMPUTED_VALUE"""),7.7157946)</f>
        <v>7.7157946</v>
      </c>
      <c r="D19703" s="7">
        <f>IFERROR(__xludf.DUMMYFUNCTION("""COMPUTED_VALUE"""),0.407407407407407)</f>
        <v>0.4074074074</v>
      </c>
    </row>
    <row r="19704">
      <c r="A19704" s="10" t="s">
        <v>21143</v>
      </c>
      <c r="B19704" s="7" t="str">
        <f>IFERROR(__xludf.DUMMYFUNCTION("SPLIT(A19704,"" "")"),"CN(Cc1ccnc(-c2c(N(C)Cc3ccccn3)ccc3cccnc23)c1)Cc1ccccn1")</f>
        <v>CN(Cc1ccnc(-c2c(N(C)Cc3ccccn3)ccc3cccnc23)c1)Cc1ccccn1</v>
      </c>
      <c r="C19704" s="7">
        <f>IFERROR(__xludf.DUMMYFUNCTION("""COMPUTED_VALUE"""),7.715783)</f>
        <v>7.715783</v>
      </c>
      <c r="D19704" s="7">
        <f>IFERROR(__xludf.DUMMYFUNCTION("""COMPUTED_VALUE"""),0.462962962962962)</f>
        <v>0.462962963</v>
      </c>
    </row>
    <row r="19705">
      <c r="A19705" s="10" t="s">
        <v>21144</v>
      </c>
      <c r="B19705" s="7" t="str">
        <f>IFERROR(__xludf.DUMMYFUNCTION("SPLIT(A19705,"" "")"),"Cc1nc(CN(C)C2=CNC(CN(C)c3cccc4ncccc34)=CC2)c(C)c(C)c1C")</f>
        <v>Cc1nc(CN(C)C2=CNC(CN(C)c3cccc4ncccc34)=CC2)c(C)c(C)c1C</v>
      </c>
      <c r="C19705" s="7">
        <f>IFERROR(__xludf.DUMMYFUNCTION("""COMPUTED_VALUE"""),7.715778)</f>
        <v>7.715778</v>
      </c>
      <c r="D19705" s="7">
        <f>IFERROR(__xludf.DUMMYFUNCTION("""COMPUTED_VALUE"""),0.306451612903225)</f>
        <v>0.3064516129</v>
      </c>
    </row>
    <row r="19706">
      <c r="A19706" s="10" t="s">
        <v>21145</v>
      </c>
      <c r="B19706" s="7" t="str">
        <f>IFERROR(__xludf.DUMMYFUNCTION("SPLIT(A19706,"" "")"),"Cc1cccnc1CN(C)Cc1ncccc1-c1cccc2cccnc12")</f>
        <v>Cc1cccnc1CN(C)Cc1ncccc1-c1cccc2cccnc12</v>
      </c>
      <c r="C19706" s="7">
        <f>IFERROR(__xludf.DUMMYFUNCTION("""COMPUTED_VALUE"""),7.7157774)</f>
        <v>7.7157774</v>
      </c>
      <c r="D19706" s="7">
        <f>IFERROR(__xludf.DUMMYFUNCTION("""COMPUTED_VALUE"""),0.477272727272727)</f>
        <v>0.4772727273</v>
      </c>
    </row>
    <row r="19707">
      <c r="A19707" s="10" t="s">
        <v>21146</v>
      </c>
      <c r="B19707" s="7" t="str">
        <f>IFERROR(__xludf.DUMMYFUNCTION("SPLIT(A19707,"" "")"),"CNCc1ncccc1-c1c(-c2ccccn2)ccc(NCc2ccccn2)c1Cl")</f>
        <v>CNCc1ncccc1-c1c(-c2ccccn2)ccc(NCc2ccccn2)c1Cl</v>
      </c>
      <c r="C19707" s="7">
        <f>IFERROR(__xludf.DUMMYFUNCTION("""COMPUTED_VALUE"""),7.7157555)</f>
        <v>7.7157555</v>
      </c>
      <c r="D19707" s="7">
        <f>IFERROR(__xludf.DUMMYFUNCTION("""COMPUTED_VALUE"""),0.377049180327868)</f>
        <v>0.3770491803</v>
      </c>
    </row>
    <row r="19708">
      <c r="A19708" s="10" t="s">
        <v>21147</v>
      </c>
      <c r="B19708" s="7" t="str">
        <f>IFERROR(__xludf.DUMMYFUNCTION("SPLIT(A19708,"" "")"),"COC(=O)c1cc(-c2cc(C(=O)C(=O)C(C)NCc3ccccn3)ccn2)ccn1")</f>
        <v>COC(=O)c1cc(-c2cc(C(=O)C(=O)C(C)NCc3ccccn3)ccn2)ccn1</v>
      </c>
      <c r="C19708" s="7">
        <f>IFERROR(__xludf.DUMMYFUNCTION("""COMPUTED_VALUE"""),7.7157536)</f>
        <v>7.7157536</v>
      </c>
      <c r="D19708" s="7">
        <f>IFERROR(__xludf.DUMMYFUNCTION("""COMPUTED_VALUE"""),0.298245614035087)</f>
        <v>0.298245614</v>
      </c>
    </row>
    <row r="19709">
      <c r="A19709" s="10" t="s">
        <v>21148</v>
      </c>
      <c r="B19709" s="7" t="str">
        <f>IFERROR(__xludf.DUMMYFUNCTION("SPLIT(A19709,"" "")"),"Cc1cncc(CN(C)Cc2cc(N(C)c3ccc4c(C)ccnc4c3)ccn2)c1")</f>
        <v>Cc1cncc(CN(C)Cc2cc(N(C)c3ccc4c(C)ccnc4c3)ccn2)c1</v>
      </c>
      <c r="C19709" s="7">
        <f>IFERROR(__xludf.DUMMYFUNCTION("""COMPUTED_VALUE"""),7.715752)</f>
        <v>7.715752</v>
      </c>
      <c r="D19709" s="7">
        <f>IFERROR(__xludf.DUMMYFUNCTION("""COMPUTED_VALUE"""),0.28125)</f>
        <v>0.28125</v>
      </c>
    </row>
    <row r="19710">
      <c r="A19710" s="10" t="s">
        <v>21149</v>
      </c>
      <c r="B19710" s="7" t="str">
        <f>IFERROR(__xludf.DUMMYFUNCTION("SPLIT(A19710,"" "")"),"Cc1cc(CN(C)c2ccc3nccc(CN(C)Cc4ccc(-c5cccc(N)c5)cn4)c3c2)ccn1")</f>
        <v>Cc1cc(CN(C)c2ccc3nccc(CN(C)Cc4ccc(-c5cccc(N)c5)cn4)c3c2)ccn1</v>
      </c>
      <c r="C19710" s="7">
        <f>IFERROR(__xludf.DUMMYFUNCTION("""COMPUTED_VALUE"""),7.7157416)</f>
        <v>7.7157416</v>
      </c>
      <c r="D19710" s="7">
        <f>IFERROR(__xludf.DUMMYFUNCTION("""COMPUTED_VALUE"""),0.26865671641791)</f>
        <v>0.2686567164</v>
      </c>
    </row>
    <row r="19711">
      <c r="A19711" s="10" t="s">
        <v>21150</v>
      </c>
      <c r="B19711" s="7" t="str">
        <f>IFERROR(__xludf.DUMMYFUNCTION("SPLIT(A19711,"" "")"),"CN(C)c1ccc2cccnc2c1-c1cccnc1CN(Cc1ccccn1)Cc1ncccc1F")</f>
        <v>CN(C)c1ccc2cccnc2c1-c1cccnc1CN(Cc1ccccn1)Cc1ncccc1F</v>
      </c>
      <c r="C19711" s="7">
        <f>IFERROR(__xludf.DUMMYFUNCTION("""COMPUTED_VALUE"""),7.71574)</f>
        <v>7.71574</v>
      </c>
      <c r="D19711" s="7">
        <f>IFERROR(__xludf.DUMMYFUNCTION("""COMPUTED_VALUE"""),0.410714285714285)</f>
        <v>0.4107142857</v>
      </c>
    </row>
    <row r="19712">
      <c r="A19712" s="10" t="s">
        <v>21151</v>
      </c>
      <c r="B19712" s="7" t="str">
        <f>IFERROR(__xludf.DUMMYFUNCTION("SPLIT(A19712,"" "")"),"Cc1cccnc1CN(C)c1ccc2ccc(CN(C)C)nc2c1")</f>
        <v>Cc1cccnc1CN(C)c1ccc2ccc(CN(C)C)nc2c1</v>
      </c>
      <c r="C19712" s="7">
        <f>IFERROR(__xludf.DUMMYFUNCTION("""COMPUTED_VALUE"""),7.715739)</f>
        <v>7.715739</v>
      </c>
      <c r="D19712" s="7">
        <f>IFERROR(__xludf.DUMMYFUNCTION("""COMPUTED_VALUE"""),0.372549019607843)</f>
        <v>0.3725490196</v>
      </c>
    </row>
    <row r="19713">
      <c r="A19713" s="10" t="s">
        <v>21152</v>
      </c>
      <c r="B19713" s="7" t="str">
        <f>IFERROR(__xludf.DUMMYFUNCTION("SPLIT(A19713,"" "")"),"CN(C)Cc1cncc2c(N(C)Cc3ccccn3)cccc12")</f>
        <v>CN(C)Cc1cncc2c(N(C)Cc3ccccn3)cccc12</v>
      </c>
      <c r="C19713" s="7">
        <f>IFERROR(__xludf.DUMMYFUNCTION("""COMPUTED_VALUE"""),7.7157345)</f>
        <v>7.7157345</v>
      </c>
      <c r="D19713" s="7">
        <f>IFERROR(__xludf.DUMMYFUNCTION("""COMPUTED_VALUE"""),0.5)</f>
        <v>0.5</v>
      </c>
    </row>
    <row r="19714">
      <c r="A19714" s="10" t="s">
        <v>21153</v>
      </c>
      <c r="B19714" s="7" t="str">
        <f>IFERROR(__xludf.DUMMYFUNCTION("SPLIT(A19714,"" "")"),"CN(C)c1cc(-c2ccc(CN(Cc3ccccn3)Cc3cccc(F)n3)nc2)c2ncccc2c1")</f>
        <v>CN(C)c1cc(-c2ccc(CN(Cc3ccccn3)Cc3cccc(F)n3)nc2)c2ncccc2c1</v>
      </c>
      <c r="C19714" s="7">
        <f>IFERROR(__xludf.DUMMYFUNCTION("""COMPUTED_VALUE"""),7.7157135)</f>
        <v>7.7157135</v>
      </c>
      <c r="D19714" s="7">
        <f>IFERROR(__xludf.DUMMYFUNCTION("""COMPUTED_VALUE"""),0.406779661016949)</f>
        <v>0.406779661</v>
      </c>
    </row>
    <row r="19715">
      <c r="A19715" s="10" t="s">
        <v>21154</v>
      </c>
      <c r="B19715" s="7" t="str">
        <f>IFERROR(__xludf.DUMMYFUNCTION("SPLIT(A19715,"" "")"),"Cc1cc(N(C)Cc2ccccn2)cc(C(C)(C)c2cc(-c3cccc(N=Cc4ccccn4)c3)ccn2)c1C")</f>
        <v>Cc1cc(N(C)Cc2ccccn2)cc(C(C)(C)c2cc(-c3cccc(N=Cc4ccccn4)c3)ccn2)c1C</v>
      </c>
      <c r="C19715" s="7">
        <f>IFERROR(__xludf.DUMMYFUNCTION("""COMPUTED_VALUE"""),7.7157)</f>
        <v>7.7157</v>
      </c>
      <c r="D19715" s="7">
        <f>IFERROR(__xludf.DUMMYFUNCTION("""COMPUTED_VALUE"""),0.343283582089552)</f>
        <v>0.3432835821</v>
      </c>
    </row>
    <row r="19716">
      <c r="A19716" s="10" t="s">
        <v>21155</v>
      </c>
      <c r="B19716" s="7" t="str">
        <f>IFERROR(__xludf.DUMMYFUNCTION("SPLIT(A19716,"" "")"),"Cc1cnc(CN(C)C2=CNC(CN(C)c3cccc4cccnc34)=CC2)c(C)c1C")</f>
        <v>Cc1cnc(CN(C)C2=CNC(CN(C)c3cccc4cccnc34)=CC2)c(C)c1C</v>
      </c>
      <c r="C19716" s="7">
        <f>IFERROR(__xludf.DUMMYFUNCTION("""COMPUTED_VALUE"""),7.715697)</f>
        <v>7.715697</v>
      </c>
      <c r="D19716" s="7">
        <f>IFERROR(__xludf.DUMMYFUNCTION("""COMPUTED_VALUE"""),0.428571428571428)</f>
        <v>0.4285714286</v>
      </c>
    </row>
    <row r="19717">
      <c r="A19717" s="10" t="s">
        <v>21156</v>
      </c>
      <c r="B19717" s="7" t="str">
        <f>IFERROR(__xludf.DUMMYFUNCTION("SPLIT(A19717,"" "")"),"CN(Cc1ccccn1)C1=CCC=C(CN(C)c2ccc3c(CF)ccnc3c2)N1")</f>
        <v>CN(Cc1ccccn1)C1=CCC=C(CN(C)c2ccc3c(CF)ccnc3c2)N1</v>
      </c>
      <c r="C19717" s="7">
        <f>IFERROR(__xludf.DUMMYFUNCTION("""COMPUTED_VALUE"""),7.7156916)</f>
        <v>7.7156916</v>
      </c>
      <c r="D19717" s="7">
        <f>IFERROR(__xludf.DUMMYFUNCTION("""COMPUTED_VALUE"""),0.354838709677419)</f>
        <v>0.3548387097</v>
      </c>
    </row>
    <row r="19718">
      <c r="A19718" s="10" t="s">
        <v>21157</v>
      </c>
      <c r="B19718" s="7" t="str">
        <f>IFERROR(__xludf.DUMMYFUNCTION("SPLIT(A19718,"" "")"),"CN(Cc1ccccn1)C1=CCC=C(CN(C)c2ccc3nccc(CF)c3c2)N1")</f>
        <v>CN(Cc1ccccn1)C1=CCC=C(CN(C)c2ccc3nccc(CF)c3c2)N1</v>
      </c>
      <c r="C19718" s="7">
        <f>IFERROR(__xludf.DUMMYFUNCTION("""COMPUTED_VALUE"""),7.715689)</f>
        <v>7.715689</v>
      </c>
      <c r="D19718" s="7">
        <f>IFERROR(__xludf.DUMMYFUNCTION("""COMPUTED_VALUE"""),0.349206349206349)</f>
        <v>0.3492063492</v>
      </c>
    </row>
    <row r="19719">
      <c r="A19719" s="10" t="s">
        <v>21158</v>
      </c>
      <c r="B19719" s="7" t="str">
        <f>IFERROR(__xludf.DUMMYFUNCTION("SPLIT(A19719,"" "")"),"Cc1cccc(-c2cccc(N=Cc3ccccn3)c2)n1")</f>
        <v>Cc1cccc(-c2cccc(N=Cc3ccccn3)c2)n1</v>
      </c>
      <c r="C19719" s="7">
        <f>IFERROR(__xludf.DUMMYFUNCTION("""COMPUTED_VALUE"""),7.7156606)</f>
        <v>7.7156606</v>
      </c>
      <c r="D19719" s="7">
        <f>IFERROR(__xludf.DUMMYFUNCTION("""COMPUTED_VALUE"""),0.458333333333333)</f>
        <v>0.4583333333</v>
      </c>
    </row>
    <row r="19720">
      <c r="A19720" s="10" t="s">
        <v>21159</v>
      </c>
      <c r="B19720" s="7" t="str">
        <f>IFERROR(__xludf.DUMMYFUNCTION("SPLIT(A19720,"" "")"),"CCOC(=O)c1cccc(C(=O)C(=O)C(=O)C(=O)C(=O)C(=O)C(=O)C(=O)C(=O)C(=O)C(=O)C(=O)C(=O)C(=O)C(=O)C(=O)C(=O)C(=O)C(=O)C(=O)C(=O)C(=O)C(=O)C(=O)C(=O)C(=O)C(=O)C(=O)C(=O)C(=O)C(=O)C(=O)C(=O)C(=O)C(=O)C=O)n1")</f>
        <v>CCOC(=O)c1cccc(C(=O)C(=O)C(=O)C(=O)C(=O)C(=O)C(=O)C(=O)C(=O)C(=O)C(=O)C(=O)C(=O)C(=O)C(=O)C(=O)C(=O)C(=O)C(=O)C(=O)C(=O)C(=O)C(=O)C(=O)C(=O)C(=O)C(=O)C(=O)C(=O)C(=O)C(=O)C(=O)C(=O)C(=O)C(=O)C=O)n1</v>
      </c>
      <c r="C19720" s="7">
        <f>IFERROR(__xludf.DUMMYFUNCTION("""COMPUTED_VALUE"""),7.7156606)</f>
        <v>7.7156606</v>
      </c>
      <c r="D19720" s="7">
        <f>IFERROR(__xludf.DUMMYFUNCTION("""COMPUTED_VALUE"""),0.262295081967213)</f>
        <v>0.262295082</v>
      </c>
    </row>
    <row r="19721">
      <c r="A19721" s="10" t="s">
        <v>21160</v>
      </c>
      <c r="B19721" s="7" t="str">
        <f>IFERROR(__xludf.DUMMYFUNCTION("SPLIT(A19721,"" "")"),"Cc1cnc(CN(C)Cc2cc(N(C)Cc3ccon3)cc3cccnc23)c(C)c1C")</f>
        <v>Cc1cnc(CN(C)Cc2cc(N(C)Cc3ccon3)cc3cccnc23)c(C)c1C</v>
      </c>
      <c r="C19721" s="7">
        <f>IFERROR(__xludf.DUMMYFUNCTION("""COMPUTED_VALUE"""),7.7156453)</f>
        <v>7.7156453</v>
      </c>
      <c r="D19721" s="7">
        <f>IFERROR(__xludf.DUMMYFUNCTION("""COMPUTED_VALUE"""),0.354838709677419)</f>
        <v>0.3548387097</v>
      </c>
    </row>
    <row r="19722">
      <c r="A19722" s="10" t="s">
        <v>21161</v>
      </c>
      <c r="B19722" s="7" t="str">
        <f>IFERROR(__xludf.DUMMYFUNCTION("SPLIT(A19722,"" "")"),"CCN(C)Cc1nccc2cccc(N(C)CCN(C)c3ccc4ncccc4c3)c12")</f>
        <v>CCN(C)Cc1nccc2cccc(N(C)CCN(C)c3ccc4ncccc4c3)c12</v>
      </c>
      <c r="C19722" s="7">
        <f>IFERROR(__xludf.DUMMYFUNCTION("""COMPUTED_VALUE"""),7.715621)</f>
        <v>7.715621</v>
      </c>
      <c r="D19722" s="7">
        <f>IFERROR(__xludf.DUMMYFUNCTION("""COMPUTED_VALUE"""),0.415094339622641)</f>
        <v>0.4150943396</v>
      </c>
    </row>
    <row r="19723">
      <c r="A19723" s="10" t="s">
        <v>21162</v>
      </c>
      <c r="B19723" s="7" t="str">
        <f>IFERROR(__xludf.DUMMYFUNCTION("SPLIT(A19723,"" "")"),"CN(Cc1ccccn1)C1=CC=CNC1N(C)c1ccc2ncccc2c1")</f>
        <v>CN(Cc1ccccn1)C1=CC=CNC1N(C)c1ccc2ncccc2c1</v>
      </c>
      <c r="C19723" s="7">
        <f>IFERROR(__xludf.DUMMYFUNCTION("""COMPUTED_VALUE"""),7.7156177)</f>
        <v>7.7156177</v>
      </c>
      <c r="D19723" s="7">
        <f>IFERROR(__xludf.DUMMYFUNCTION("""COMPUTED_VALUE"""),0.385964912280701)</f>
        <v>0.3859649123</v>
      </c>
    </row>
    <row r="19724">
      <c r="A19724" s="10" t="s">
        <v>21163</v>
      </c>
      <c r="B19724" s="7" t="str">
        <f>IFERROR(__xludf.DUMMYFUNCTION("SPLIT(A19724,"" "")"),"Cc1ccnc(CN(Cc2ccccn2)Cc2cccc(-c3cc(N(C)C)c4cccnc4c3)n2)c1")</f>
        <v>Cc1ccnc(CN(Cc2ccccn2)Cc2cccc(-c3cc(N(C)C)c4cccnc4c3)n2)c1</v>
      </c>
      <c r="C19724" s="7">
        <f>IFERROR(__xludf.DUMMYFUNCTION("""COMPUTED_VALUE"""),7.715597)</f>
        <v>7.715597</v>
      </c>
      <c r="D19724" s="7">
        <f>IFERROR(__xludf.DUMMYFUNCTION("""COMPUTED_VALUE"""),0.483870967741935)</f>
        <v>0.4838709677</v>
      </c>
    </row>
    <row r="19725">
      <c r="A19725" s="10" t="s">
        <v>21164</v>
      </c>
      <c r="B19725" s="7" t="str">
        <f>IFERROR(__xludf.DUMMYFUNCTION("SPLIT(A19725,"" "")"),"Cc1ccc(-c2cccc(NCc3ccccn3)c2)nc1-c1ccc(NCc2ccccn2)cc1-c1ccccc1")</f>
        <v>Cc1ccc(-c2cccc(NCc3ccccn3)c2)nc1-c1ccc(NCc2ccccn2)cc1-c1ccccc1</v>
      </c>
      <c r="C19725" s="7">
        <f>IFERROR(__xludf.DUMMYFUNCTION("""COMPUTED_VALUE"""),7.715577)</f>
        <v>7.715577</v>
      </c>
      <c r="D19725" s="7">
        <f>IFERROR(__xludf.DUMMYFUNCTION("""COMPUTED_VALUE"""),0.426229508196721)</f>
        <v>0.4262295082</v>
      </c>
    </row>
    <row r="19726">
      <c r="A19726" s="10" t="s">
        <v>21165</v>
      </c>
      <c r="B19726" s="7" t="str">
        <f>IFERROR(__xludf.DUMMYFUNCTION("SPLIT(A19726,"" "")"),"CN(C)c1cc(-c2cccc(CN(Cc3ccccn3)Cc3ncccc3F)n2)c2ncccc2c1")</f>
        <v>CN(C)c1cc(-c2cccc(CN(Cc3ccccn3)Cc3ncccc3F)n2)c2ncccc2c1</v>
      </c>
      <c r="C19726" s="7">
        <f>IFERROR(__xludf.DUMMYFUNCTION("""COMPUTED_VALUE"""),7.715554)</f>
        <v>7.715554</v>
      </c>
      <c r="D19726" s="7">
        <f>IFERROR(__xludf.DUMMYFUNCTION("""COMPUTED_VALUE"""),0.448275862068965)</f>
        <v>0.4482758621</v>
      </c>
    </row>
    <row r="19727">
      <c r="A19727" s="10" t="s">
        <v>21166</v>
      </c>
      <c r="B19727" s="7" t="str">
        <f>IFERROR(__xludf.DUMMYFUNCTION("SPLIT(A19727,"" "")"),"Cc1cnc2cccc(N(C)CCN(C)Cc3cccc4ncccc34)c2c1")</f>
        <v>Cc1cnc2cccc(N(C)CCN(C)Cc3cccc4ncccc34)c2c1</v>
      </c>
      <c r="C19727" s="7">
        <f>IFERROR(__xludf.DUMMYFUNCTION("""COMPUTED_VALUE"""),7.715552)</f>
        <v>7.715552</v>
      </c>
      <c r="D19727" s="7">
        <f>IFERROR(__xludf.DUMMYFUNCTION("""COMPUTED_VALUE"""),0.46938775510204)</f>
        <v>0.4693877551</v>
      </c>
    </row>
    <row r="19728">
      <c r="A19728" s="10" t="s">
        <v>21167</v>
      </c>
      <c r="B19728" s="7" t="str">
        <f>IFERROR(__xludf.DUMMYFUNCTION("SPLIT(A19728,"" "")"),"CC(C)C(C)(c1cccnc1)N(C)Cc1ccc2cccc(N(C)c3ccc4ncccc4c3)c2n1")</f>
        <v>CC(C)C(C)(c1cccnc1)N(C)Cc1ccc2cccc(N(C)c3ccc4ncccc4c3)c2n1</v>
      </c>
      <c r="C19728" s="7">
        <f>IFERROR(__xludf.DUMMYFUNCTION("""COMPUTED_VALUE"""),7.715547)</f>
        <v>7.715547</v>
      </c>
      <c r="D19728" s="7">
        <f>IFERROR(__xludf.DUMMYFUNCTION("""COMPUTED_VALUE"""),0.307692307692307)</f>
        <v>0.3076923077</v>
      </c>
    </row>
    <row r="19729">
      <c r="A19729" s="10" t="s">
        <v>21168</v>
      </c>
      <c r="B19729" s="7" t="str">
        <f>IFERROR(__xludf.DUMMYFUNCTION("SPLIT(A19729,"" "")"),"CN(C)Cc1nccc2cc(N(C)Cc3cccnn3)ccc12")</f>
        <v>CN(C)Cc1nccc2cc(N(C)Cc3cccnn3)ccc12</v>
      </c>
      <c r="C19729" s="7">
        <f>IFERROR(__xludf.DUMMYFUNCTION("""COMPUTED_VALUE"""),7.715536)</f>
        <v>7.715536</v>
      </c>
      <c r="D19729" s="7">
        <f>IFERROR(__xludf.DUMMYFUNCTION("""COMPUTED_VALUE"""),0.425531914893617)</f>
        <v>0.4255319149</v>
      </c>
    </row>
    <row r="19730">
      <c r="A19730" s="10" t="s">
        <v>21169</v>
      </c>
      <c r="B19730" s="7" t="str">
        <f>IFERROR(__xludf.DUMMYFUNCTION("SPLIT(A19730,"" "")"),"Cc1cc(-c2cccc(N=Cc3ccccn3)c2)ccn1")</f>
        <v>Cc1cc(-c2cccc(N=Cc3ccccn3)c2)ccn1</v>
      </c>
      <c r="C19730" s="7">
        <f>IFERROR(__xludf.DUMMYFUNCTION("""COMPUTED_VALUE"""),7.715531)</f>
        <v>7.715531</v>
      </c>
      <c r="D19730" s="7">
        <f>IFERROR(__xludf.DUMMYFUNCTION("""COMPUTED_VALUE"""),0.478260869565217)</f>
        <v>0.4782608696</v>
      </c>
    </row>
    <row r="19731">
      <c r="A19731" s="10" t="s">
        <v>21170</v>
      </c>
      <c r="B19731" s="7" t="str">
        <f>IFERROR(__xludf.DUMMYFUNCTION("SPLIT(A19731,"" "")"),"CN(C)c1cc2ncccc2cc1-c1ncccc1CN(Cc1ccccn1)Cc1ncccc1F")</f>
        <v>CN(C)c1cc2ncccc2cc1-c1ncccc1CN(Cc1ccccn1)Cc1ncccc1F</v>
      </c>
      <c r="C19731" s="7">
        <f>IFERROR(__xludf.DUMMYFUNCTION("""COMPUTED_VALUE"""),7.7155237)</f>
        <v>7.7155237</v>
      </c>
      <c r="D19731" s="7">
        <f>IFERROR(__xludf.DUMMYFUNCTION("""COMPUTED_VALUE"""),0.377049180327868)</f>
        <v>0.3770491803</v>
      </c>
    </row>
    <row r="19732">
      <c r="A19732" s="10" t="s">
        <v>21171</v>
      </c>
      <c r="B19732" s="7" t="str">
        <f>IFERROR(__xludf.DUMMYFUNCTION("SPLIT(A19732,"" "")"),"CN(Cc1ccc(N)cn1)C1=CNC(CN(C)c2ccc3cccnc3c2)=CC1")</f>
        <v>CN(Cc1ccc(N)cn1)C1=CNC(CN(C)c2ccc3cccnc3c2)=CC1</v>
      </c>
      <c r="C19732" s="7">
        <f>IFERROR(__xludf.DUMMYFUNCTION("""COMPUTED_VALUE"""),7.71551)</f>
        <v>7.71551</v>
      </c>
      <c r="D19732" s="7">
        <f>IFERROR(__xludf.DUMMYFUNCTION("""COMPUTED_VALUE"""),0.307692307692307)</f>
        <v>0.3076923077</v>
      </c>
    </row>
    <row r="19733">
      <c r="A19733" s="10" t="s">
        <v>21172</v>
      </c>
      <c r="B19733" s="7" t="str">
        <f>IFERROR(__xludf.DUMMYFUNCTION("SPLIT(A19733,"" "")"),"Cc1ccc2ccc(N(C)Cc3ccc(C(C)(C)C)nc3)cc2n1")</f>
        <v>Cc1ccc2ccc(N(C)Cc3ccc(C(C)(C)C)nc3)cc2n1</v>
      </c>
      <c r="C19733" s="7">
        <f>IFERROR(__xludf.DUMMYFUNCTION("""COMPUTED_VALUE"""),7.7154846)</f>
        <v>7.7154846</v>
      </c>
      <c r="D19733" s="7">
        <f>IFERROR(__xludf.DUMMYFUNCTION("""COMPUTED_VALUE"""),0.245283018867924)</f>
        <v>0.2452830189</v>
      </c>
    </row>
    <row r="19734">
      <c r="A19734" s="10" t="s">
        <v>21173</v>
      </c>
      <c r="B19734" s="7" t="str">
        <f>IFERROR(__xludf.DUMMYFUNCTION("SPLIT(A19734,"" "")"),"CC(C1=CC2C(=CN1)C=Cc1cccnc12)(c1ccccn1)c1ccccn1")</f>
        <v>CC(C1=CC2C(=CN1)C=Cc1cccnc12)(c1ccccn1)c1ccccn1</v>
      </c>
      <c r="C19734" s="7">
        <f>IFERROR(__xludf.DUMMYFUNCTION("""COMPUTED_VALUE"""),7.7154837)</f>
        <v>7.7154837</v>
      </c>
      <c r="D19734" s="7">
        <f>IFERROR(__xludf.DUMMYFUNCTION("""COMPUTED_VALUE"""),0.345454545454545)</f>
        <v>0.3454545455</v>
      </c>
    </row>
    <row r="19735">
      <c r="A19735" s="10" t="s">
        <v>21174</v>
      </c>
      <c r="B19735" s="7" t="str">
        <f>IFERROR(__xludf.DUMMYFUNCTION("SPLIT(A19735,"" "")"),"Cc1cccnc1CN(C)c1cc(Cl)c2ncccc2c1N(C)C1CCC(N(C)c2ccc3cccnc3c2)CC1")</f>
        <v>Cc1cccnc1CN(C)c1cc(Cl)c2ncccc2c1N(C)C1CCC(N(C)c2ccc3cccnc3c2)CC1</v>
      </c>
      <c r="C19735" s="7">
        <f>IFERROR(__xludf.DUMMYFUNCTION("""COMPUTED_VALUE"""),7.715471)</f>
        <v>7.715471</v>
      </c>
      <c r="D19735" s="7">
        <f>IFERROR(__xludf.DUMMYFUNCTION("""COMPUTED_VALUE"""),0.3)</f>
        <v>0.3</v>
      </c>
    </row>
    <row r="19736">
      <c r="A19736" s="10" t="s">
        <v>21175</v>
      </c>
      <c r="B19736" s="7" t="str">
        <f>IFERROR(__xludf.DUMMYFUNCTION("SPLIT(A19736,"" "")"),"CNCc1nccc2cccc(N(C)Cc3cc(C)c(C)c(C)n3)c12")</f>
        <v>CNCc1nccc2cccc(N(C)Cc3cc(C)c(C)c(C)n3)c12</v>
      </c>
      <c r="C19736" s="7">
        <f>IFERROR(__xludf.DUMMYFUNCTION("""COMPUTED_VALUE"""),7.715469)</f>
        <v>7.715469</v>
      </c>
      <c r="D19736" s="7">
        <f>IFERROR(__xludf.DUMMYFUNCTION("""COMPUTED_VALUE"""),0.310344827586206)</f>
        <v>0.3103448276</v>
      </c>
    </row>
    <row r="19737">
      <c r="A19737" s="10" t="s">
        <v>21176</v>
      </c>
      <c r="B19737" s="7" t="str">
        <f>IFERROR(__xludf.DUMMYFUNCTION("SPLIT(A19737,"" "")"),"CN(Cc1cccc(-c2ccc(Cl)cc2N)n1)Cc1cccc(-c2cccc(Cl)c2N)n1")</f>
        <v>CN(Cc1cccc(-c2ccc(Cl)cc2N)n1)Cc1cccc(-c2cccc(Cl)c2N)n1</v>
      </c>
      <c r="C19737" s="7">
        <f>IFERROR(__xludf.DUMMYFUNCTION("""COMPUTED_VALUE"""),7.7154255)</f>
        <v>7.7154255</v>
      </c>
      <c r="D19737" s="7">
        <f>IFERROR(__xludf.DUMMYFUNCTION("""COMPUTED_VALUE"""),0.396226415094339)</f>
        <v>0.3962264151</v>
      </c>
    </row>
    <row r="19738">
      <c r="A19738" s="10" t="s">
        <v>21177</v>
      </c>
      <c r="B19738" s="7" t="str">
        <f>IFERROR(__xludf.DUMMYFUNCTION("SPLIT(A19738,"" "")"),"Cc1cccnc1CN(C)C1=CNC(CN(C)c2cccc3ncccc23)=CC1")</f>
        <v>Cc1cccnc1CN(C)C1=CNC(CN(C)c2cccc3ncccc23)=CC1</v>
      </c>
      <c r="C19738" s="7">
        <f>IFERROR(__xludf.DUMMYFUNCTION("""COMPUTED_VALUE"""),7.7154207)</f>
        <v>7.7154207</v>
      </c>
      <c r="D19738" s="7">
        <f>IFERROR(__xludf.DUMMYFUNCTION("""COMPUTED_VALUE"""),0.322033898305084)</f>
        <v>0.3220338983</v>
      </c>
    </row>
    <row r="19739">
      <c r="A19739" s="10" t="s">
        <v>21178</v>
      </c>
      <c r="B19739" s="7" t="str">
        <f>IFERROR(__xludf.DUMMYFUNCTION("SPLIT(A19739,"" "")"),"CN(CCCN(C)c1ccc2ncccc2c1)Cc1cccc(-c2ccc3ncccc3c2)n1")</f>
        <v>CN(CCCN(C)c1ccc2ncccc2c1)Cc1cccc(-c2ccc3ncccc3c2)n1</v>
      </c>
      <c r="C19739" s="7">
        <f>IFERROR(__xludf.DUMMYFUNCTION("""COMPUTED_VALUE"""),7.7154107)</f>
        <v>7.7154107</v>
      </c>
      <c r="D19739" s="7">
        <f>IFERROR(__xludf.DUMMYFUNCTION("""COMPUTED_VALUE"""),0.418181818181818)</f>
        <v>0.4181818182</v>
      </c>
    </row>
    <row r="19740">
      <c r="A19740" s="10" t="s">
        <v>21179</v>
      </c>
      <c r="B19740" s="7" t="str">
        <f>IFERROR(__xludf.DUMMYFUNCTION("SPLIT(A19740,"" "")"),"Cc1ccc(CN(C)c2cc3cccnc3cc2-c2ccnc(CN(C)C(C)C)c2)nc1")</f>
        <v>Cc1ccc(CN(C)c2cc3cccnc3cc2-c2ccnc(CN(C)C(C)C)c2)nc1</v>
      </c>
      <c r="C19740" s="7">
        <f>IFERROR(__xludf.DUMMYFUNCTION("""COMPUTED_VALUE"""),7.7154064)</f>
        <v>7.7154064</v>
      </c>
      <c r="D19740" s="7">
        <f>IFERROR(__xludf.DUMMYFUNCTION("""COMPUTED_VALUE"""),0.338983050847457)</f>
        <v>0.3389830508</v>
      </c>
    </row>
    <row r="19741">
      <c r="A19741" s="10" t="s">
        <v>21180</v>
      </c>
      <c r="B19741" s="7" t="str">
        <f>IFERROR(__xludf.DUMMYFUNCTION("SPLIT(A19741,"" "")"),"Cc1ccc(-c2cccc(NCc3ccccn3)c2)nc1-c1cccc(NCc2ccccn2)c1-c1ccccc1")</f>
        <v>Cc1ccc(-c2cccc(NCc3ccccn3)c2)nc1-c1cccc(NCc2ccccn2)c1-c1ccccc1</v>
      </c>
      <c r="C19741" s="7">
        <f>IFERROR(__xludf.DUMMYFUNCTION("""COMPUTED_VALUE"""),7.7154045)</f>
        <v>7.7154045</v>
      </c>
      <c r="D19741" s="7">
        <f>IFERROR(__xludf.DUMMYFUNCTION("""COMPUTED_VALUE"""),0.40625)</f>
        <v>0.40625</v>
      </c>
    </row>
    <row r="19742">
      <c r="A19742" s="10" t="s">
        <v>21181</v>
      </c>
      <c r="B19742" s="7" t="str">
        <f>IFERROR(__xludf.DUMMYFUNCTION("SPLIT(A19742,"" "")"),"CCN(Cc1ccccn1)c1ccc2cccnc2c1N(C)Cc1nc(C)c(C)c(C)c1C")</f>
        <v>CCN(Cc1ccccn1)c1ccc2cccnc2c1N(C)Cc1nc(C)c(C)c(C)c1C</v>
      </c>
      <c r="C19742" s="7">
        <f>IFERROR(__xludf.DUMMYFUNCTION("""COMPUTED_VALUE"""),7.715385)</f>
        <v>7.715385</v>
      </c>
      <c r="D19742" s="7">
        <f>IFERROR(__xludf.DUMMYFUNCTION("""COMPUTED_VALUE"""),0.35593220338983)</f>
        <v>0.3559322034</v>
      </c>
    </row>
    <row r="19743">
      <c r="A19743" s="10" t="s">
        <v>21182</v>
      </c>
      <c r="B19743" s="7" t="str">
        <f>IFERROR(__xludf.DUMMYFUNCTION("SPLIT(A19743,"" "")"),"CC(C)NCc1cc(-c2cccnc2-c2cccc(N=Cc3ccccn3)c2)ccn1")</f>
        <v>CC(C)NCc1cc(-c2cccnc2-c2cccc(N=Cc3ccccn3)c2)ccn1</v>
      </c>
      <c r="C19743" s="7">
        <f>IFERROR(__xludf.DUMMYFUNCTION("""COMPUTED_VALUE"""),7.715383)</f>
        <v>7.715383</v>
      </c>
      <c r="D19743" s="7">
        <f>IFERROR(__xludf.DUMMYFUNCTION("""COMPUTED_VALUE"""),0.328125)</f>
        <v>0.328125</v>
      </c>
    </row>
    <row r="19744">
      <c r="A19744" s="10" t="s">
        <v>21183</v>
      </c>
      <c r="B19744" s="7" t="str">
        <f>IFERROR(__xludf.DUMMYFUNCTION("SPLIT(A19744,"" "")"),"C1=CNC(c2ccc3cc(N(Cc4ccccn4)Cc4ccccn4)ccc3n2)=CC1")</f>
        <v>C1=CNC(c2ccc3cc(N(Cc4ccccn4)Cc4ccccn4)ccc3n2)=CC1</v>
      </c>
      <c r="C19744" s="7">
        <f>IFERROR(__xludf.DUMMYFUNCTION("""COMPUTED_VALUE"""),7.715365)</f>
        <v>7.715365</v>
      </c>
      <c r="D19744" s="7">
        <f>IFERROR(__xludf.DUMMYFUNCTION("""COMPUTED_VALUE"""),0.482142857142857)</f>
        <v>0.4821428571</v>
      </c>
    </row>
    <row r="19745">
      <c r="A19745" s="10" t="s">
        <v>21184</v>
      </c>
      <c r="B19745" s="7" t="str">
        <f>IFERROR(__xludf.DUMMYFUNCTION("SPLIT(A19745,"" "")"),"CN(Cc1ccccn1)c1ccc2ncccc2c1N(C)C(C)(C)c1ccccn1")</f>
        <v>CN(Cc1ccccn1)c1ccc2ncccc2c1N(C)C(C)(C)c1ccccn1</v>
      </c>
      <c r="C19745" s="7">
        <f>IFERROR(__xludf.DUMMYFUNCTION("""COMPUTED_VALUE"""),7.7153645)</f>
        <v>7.7153645</v>
      </c>
      <c r="D19745" s="7">
        <f>IFERROR(__xludf.DUMMYFUNCTION("""COMPUTED_VALUE"""),0.46)</f>
        <v>0.46</v>
      </c>
    </row>
    <row r="19746">
      <c r="A19746" s="10" t="s">
        <v>21185</v>
      </c>
      <c r="B19746" s="7" t="str">
        <f>IFERROR(__xludf.DUMMYFUNCTION("SPLIT(A19746,"" "")"),"Cc1cnc(-c2cccc(NCc3ccccn3)c2)c(-c2ccc(-c3ccccc3)cc2NCc2ccccn2)c1")</f>
        <v>Cc1cnc(-c2cccc(NCc3ccccn3)c2)c(-c2ccc(-c3ccccc3)cc2NCc2ccccn2)c1</v>
      </c>
      <c r="C19746" s="7">
        <f>IFERROR(__xludf.DUMMYFUNCTION("""COMPUTED_VALUE"""),7.715337)</f>
        <v>7.715337</v>
      </c>
      <c r="D19746" s="7">
        <f>IFERROR(__xludf.DUMMYFUNCTION("""COMPUTED_VALUE"""),0.369230769230769)</f>
        <v>0.3692307692</v>
      </c>
    </row>
    <row r="19747">
      <c r="A19747" s="10" t="s">
        <v>21186</v>
      </c>
      <c r="B19747" s="7" t="str">
        <f>IFERROR(__xludf.DUMMYFUNCTION("SPLIT(A19747,"" "")"),"Cc1cc(CN(C)c2cc(Cl)c(Cl)cc2N(C)Cc2cc(C)c(C)c(C)n2)cnc1C")</f>
        <v>Cc1cc(CN(C)c2cc(Cl)c(Cl)cc2N(C)Cc2cc(C)c(C)c(C)n2)cnc1C</v>
      </c>
      <c r="C19747" s="7">
        <f>IFERROR(__xludf.DUMMYFUNCTION("""COMPUTED_VALUE"""),7.715326)</f>
        <v>7.715326</v>
      </c>
      <c r="D19747" s="7">
        <f>IFERROR(__xludf.DUMMYFUNCTION("""COMPUTED_VALUE"""),0.408163265306122)</f>
        <v>0.4081632653</v>
      </c>
    </row>
    <row r="19748">
      <c r="A19748" s="10" t="s">
        <v>21187</v>
      </c>
      <c r="B19748" s="7" t="str">
        <f>IFERROR(__xludf.DUMMYFUNCTION("SPLIT(A19748,"" "")"),"CN(C)c1cc(-c2cccc(CN(Cc3ccccn3)Cc3ncccc3F)n2)cc2ncccc12")</f>
        <v>CN(C)c1cc(-c2cccc(CN(Cc3ccccn3)Cc3ncccc3F)n2)cc2ncccc12</v>
      </c>
      <c r="C19748" s="7">
        <f>IFERROR(__xludf.DUMMYFUNCTION("""COMPUTED_VALUE"""),7.715307)</f>
        <v>7.715307</v>
      </c>
      <c r="D19748" s="7">
        <f>IFERROR(__xludf.DUMMYFUNCTION("""COMPUTED_VALUE"""),0.46875)</f>
        <v>0.46875</v>
      </c>
    </row>
    <row r="19749">
      <c r="A19749" s="10" t="s">
        <v>21188</v>
      </c>
      <c r="B19749" s="7" t="str">
        <f>IFERROR(__xludf.DUMMYFUNCTION("SPLIT(A19749,"" "")"),"Cc1cc(-c2ccc(N=Cc3ccccn3)cc2)ccn1")</f>
        <v>Cc1cc(-c2ccc(N=Cc3ccccn3)cc2)ccn1</v>
      </c>
      <c r="C19749" s="7">
        <f>IFERROR(__xludf.DUMMYFUNCTION("""COMPUTED_VALUE"""),7.715304)</f>
        <v>7.715304</v>
      </c>
      <c r="D19749" s="7">
        <f>IFERROR(__xludf.DUMMYFUNCTION("""COMPUTED_VALUE"""),0.456521739130434)</f>
        <v>0.4565217391</v>
      </c>
    </row>
    <row r="19750">
      <c r="A19750" s="10" t="s">
        <v>21189</v>
      </c>
      <c r="B19750" s="7" t="str">
        <f>IFERROR(__xludf.DUMMYFUNCTION("SPLIT(A19750,"" "")"),"C1=CNC(Nc2cccc(-c3ccc(C(c4ccccn4)c4ccccn4)cn3)n2)C=C1")</f>
        <v>C1=CNC(Nc2cccc(-c3ccc(C(c4ccccn4)c4ccccn4)cn3)n2)C=C1</v>
      </c>
      <c r="C19750" s="7">
        <f>IFERROR(__xludf.DUMMYFUNCTION("""COMPUTED_VALUE"""),7.715282)</f>
        <v>7.715282</v>
      </c>
      <c r="D19750" s="7">
        <f>IFERROR(__xludf.DUMMYFUNCTION("""COMPUTED_VALUE"""),0.287878787878787)</f>
        <v>0.2878787879</v>
      </c>
    </row>
    <row r="19751">
      <c r="A19751" s="10" t="s">
        <v>21190</v>
      </c>
      <c r="B19751" s="7" t="str">
        <f>IFERROR(__xludf.DUMMYFUNCTION("SPLIT(A19751,"" "")"),"Cc1ccnc(CN(Cc2nc3ccccc3n2C2CC=C(c3nc4ccccc4o3)C=N2)CC2CCCN2Cc2nc3ccccc3n2Cc2cc(C)ccn2)c1")</f>
        <v>Cc1ccnc(CN(Cc2nc3ccccc3n2C2CC=C(c3nc4ccccc4o3)C=N2)CC2CCCN2Cc2nc3ccccc3n2Cc2cc(C)ccn2)c1</v>
      </c>
      <c r="C19751" s="7">
        <f>IFERROR(__xludf.DUMMYFUNCTION("""COMPUTED_VALUE"""),7.715275)</f>
        <v>7.715275</v>
      </c>
      <c r="D19751" s="7">
        <f>IFERROR(__xludf.DUMMYFUNCTION("""COMPUTED_VALUE"""),0.397849462365591)</f>
        <v>0.3978494624</v>
      </c>
    </row>
    <row r="19752">
      <c r="A19752" s="10" t="s">
        <v>21191</v>
      </c>
      <c r="B19752" s="7" t="str">
        <f>IFERROR(__xludf.DUMMYFUNCTION("SPLIT(A19752,"" "")"),"Cc1cccc(-c2ccc(N=Cc3ccccn3)cc2)n1")</f>
        <v>Cc1cccc(-c2ccc(N=Cc3ccccn3)cc2)n1</v>
      </c>
      <c r="C19752" s="7">
        <f>IFERROR(__xludf.DUMMYFUNCTION("""COMPUTED_VALUE"""),7.715269)</f>
        <v>7.715269</v>
      </c>
      <c r="D19752" s="7">
        <f>IFERROR(__xludf.DUMMYFUNCTION("""COMPUTED_VALUE"""),0.478260869565217)</f>
        <v>0.4782608696</v>
      </c>
    </row>
    <row r="19753">
      <c r="A19753" s="10" t="s">
        <v>21192</v>
      </c>
      <c r="B19753" s="7" t="str">
        <f>IFERROR(__xludf.DUMMYFUNCTION("SPLIT(A19753,"" "")"),"Cc1cc2cccnc2cc1CN(C)Cc1cccc(-c2cccc(N=Cc3ccccn3)c2)n1")</f>
        <v>Cc1cc2cccnc2cc1CN(C)Cc1cccc(-c2cccc(N=Cc3ccccn3)c2)n1</v>
      </c>
      <c r="C19753" s="7">
        <f>IFERROR(__xludf.DUMMYFUNCTION("""COMPUTED_VALUE"""),7.7152085)</f>
        <v>7.7152085</v>
      </c>
      <c r="D19753" s="7">
        <f>IFERROR(__xludf.DUMMYFUNCTION("""COMPUTED_VALUE"""),0.40625)</f>
        <v>0.40625</v>
      </c>
    </row>
    <row r="19754">
      <c r="A19754" s="10" t="s">
        <v>21193</v>
      </c>
      <c r="B19754" s="7" t="str">
        <f>IFERROR(__xludf.DUMMYFUNCTION("SPLIT(A19754,"" "")"),"CN(CN(c1ccc2ncccc2c1)C1CCCC(N(C)c2cccc3cccnc23)C1)c1ccc2cccnc2c1")</f>
        <v>CN(CN(c1ccc2ncccc2c1)C1CCCC(N(C)c2cccc3cccnc23)C1)c1ccc2cccnc2c1</v>
      </c>
      <c r="C19754" s="7">
        <f>IFERROR(__xludf.DUMMYFUNCTION("""COMPUTED_VALUE"""),7.715207)</f>
        <v>7.715207</v>
      </c>
      <c r="D19754" s="7">
        <f>IFERROR(__xludf.DUMMYFUNCTION("""COMPUTED_VALUE"""),0.45)</f>
        <v>0.45</v>
      </c>
    </row>
    <row r="19755">
      <c r="A19755" s="10" t="s">
        <v>21194</v>
      </c>
      <c r="B19755" s="7" t="str">
        <f>IFERROR(__xludf.DUMMYFUNCTION("SPLIT(A19755,"" "")"),"Cc1ccc(CN(C)c2cc(Cl)c3cccnc3c2-c2cccnc2CN(Cc2ccccn2)Cc2ncccc2N)nc1")</f>
        <v>Cc1ccc(CN(C)c2cc(Cl)c3cccnc3c2-c2cccnc2CN(Cc2ccccn2)Cc2ncccc2N)nc1</v>
      </c>
      <c r="C19755" s="7">
        <f>IFERROR(__xludf.DUMMYFUNCTION("""COMPUTED_VALUE"""),7.7151985)</f>
        <v>7.7151985</v>
      </c>
      <c r="D19755" s="7">
        <f>IFERROR(__xludf.DUMMYFUNCTION("""COMPUTED_VALUE"""),0.421875)</f>
        <v>0.421875</v>
      </c>
    </row>
    <row r="19756">
      <c r="A19756" s="10" t="s">
        <v>21195</v>
      </c>
      <c r="B19756" s="7" t="str">
        <f>IFERROR(__xludf.DUMMYFUNCTION("SPLIT(A19756,"" "")"),"CN(Cc1ccc2ncccc2c1)Cc1cc(-c2ccccc2N(C)C)ccn1")</f>
        <v>CN(Cc1ccc2ncccc2c1)Cc1cc(-c2ccccc2N(C)C)ccn1</v>
      </c>
      <c r="C19756" s="7">
        <f>IFERROR(__xludf.DUMMYFUNCTION("""COMPUTED_VALUE"""),7.7151904)</f>
        <v>7.7151904</v>
      </c>
      <c r="D19756" s="7">
        <f>IFERROR(__xludf.DUMMYFUNCTION("""COMPUTED_VALUE"""),0.344827586206896)</f>
        <v>0.3448275862</v>
      </c>
    </row>
    <row r="19757">
      <c r="A19757" s="10" t="s">
        <v>21196</v>
      </c>
      <c r="B19757" s="7" t="str">
        <f>IFERROR(__xludf.DUMMYFUNCTION("SPLIT(A19757,"" "")"),"Cc1ccc(N(C)CC2=CC(N(C)c3cccc4ncccc34)C=CN2)cc1C")</f>
        <v>Cc1ccc(N(C)CC2=CC(N(C)c3cccc4ncccc34)C=CN2)cc1C</v>
      </c>
      <c r="C19757" s="7">
        <f>IFERROR(__xludf.DUMMYFUNCTION("""COMPUTED_VALUE"""),7.715172)</f>
        <v>7.715172</v>
      </c>
      <c r="D19757" s="7">
        <f>IFERROR(__xludf.DUMMYFUNCTION("""COMPUTED_VALUE"""),0.294117647058823)</f>
        <v>0.2941176471</v>
      </c>
    </row>
    <row r="19758">
      <c r="A19758" s="10" t="s">
        <v>21197</v>
      </c>
      <c r="B19758" s="7" t="str">
        <f>IFERROR(__xludf.DUMMYFUNCTION("SPLIT(A19758,"" "")"),"Cc1cccc(-c2cccnc2CN(C)CC2=CCC(N(C)c3ccc4cccnc4c3)=CN2)c1")</f>
        <v>Cc1cccc(-c2cccnc2CN(C)CC2=CCC(N(C)c3ccc4cccnc4c3)=CN2)c1</v>
      </c>
      <c r="C19758" s="7">
        <f>IFERROR(__xludf.DUMMYFUNCTION("""COMPUTED_VALUE"""),7.715167)</f>
        <v>7.715167</v>
      </c>
      <c r="D19758" s="7">
        <f>IFERROR(__xludf.DUMMYFUNCTION("""COMPUTED_VALUE"""),0.253521126760563)</f>
        <v>0.2535211268</v>
      </c>
    </row>
    <row r="19759">
      <c r="A19759" s="10" t="s">
        <v>21198</v>
      </c>
      <c r="B19759" s="7" t="str">
        <f>IFERROR(__xludf.DUMMYFUNCTION("SPLIT(A19759,"" "")"),"Cc1cccc2ccc(CN(C)Cc3ccc(-c4cccc(N=Cc5ccccn5)c4)cn3)nc12")</f>
        <v>Cc1cccc2ccc(CN(C)Cc3ccc(-c4cccc(N=Cc5ccccn5)c4)cn3)nc12</v>
      </c>
      <c r="C19759" s="7">
        <f>IFERROR(__xludf.DUMMYFUNCTION("""COMPUTED_VALUE"""),7.715158)</f>
        <v>7.715158</v>
      </c>
      <c r="D19759" s="7">
        <f>IFERROR(__xludf.DUMMYFUNCTION("""COMPUTED_VALUE"""),0.375)</f>
        <v>0.375</v>
      </c>
    </row>
    <row r="19760">
      <c r="A19760" s="10" t="s">
        <v>21199</v>
      </c>
      <c r="B19760" s="7" t="str">
        <f>IFERROR(__xludf.DUMMYFUNCTION("SPLIT(A19760,"" "")"),"CN(CC1=CCC(N(C)C(c2ccccn2)c2ccccn2)=CN1)c1ccc2ncccc2c1")</f>
        <v>CN(CC1=CCC(N(C)C(c2ccccn2)c2ccccn2)=CN1)c1ccc2ncccc2c1</v>
      </c>
      <c r="C19760" s="7">
        <f>IFERROR(__xludf.DUMMYFUNCTION("""COMPUTED_VALUE"""),7.715157)</f>
        <v>7.715157</v>
      </c>
      <c r="D19760" s="7">
        <f>IFERROR(__xludf.DUMMYFUNCTION("""COMPUTED_VALUE"""),0.303030303030303)</f>
        <v>0.303030303</v>
      </c>
    </row>
    <row r="19761">
      <c r="A19761" s="10" t="s">
        <v>21200</v>
      </c>
      <c r="B19761" s="7" t="str">
        <f>IFERROR(__xludf.DUMMYFUNCTION("SPLIT(A19761,"" "")"),"CCN(Cc1ccccn1)c1cc2ncccc2c(N(C)Cc2ncccc2C)c1C")</f>
        <v>CCN(Cc1ccccn1)c1cc2ncccc2c(N(C)Cc2ncccc2C)c1C</v>
      </c>
      <c r="C19761" s="7">
        <f>IFERROR(__xludf.DUMMYFUNCTION("""COMPUTED_VALUE"""),7.715157)</f>
        <v>7.715157</v>
      </c>
      <c r="D19761" s="7">
        <f>IFERROR(__xludf.DUMMYFUNCTION("""COMPUTED_VALUE"""),0.392857142857142)</f>
        <v>0.3928571429</v>
      </c>
    </row>
    <row r="19762">
      <c r="A19762" s="10" t="s">
        <v>21201</v>
      </c>
      <c r="B19762" s="7" t="str">
        <f>IFERROR(__xludf.DUMMYFUNCTION("SPLIT(A19762,"" "")"),"CN(C)c1cc(-c2cccc(CN(Cc3ccccn3)Cc3ncccc3F)n2)c2cccnc2c1")</f>
        <v>CN(C)c1cc(-c2cccc(CN(Cc3ccccn3)Cc3ncccc3F)n2)c2cccnc2c1</v>
      </c>
      <c r="C19762" s="7">
        <f>IFERROR(__xludf.DUMMYFUNCTION("""COMPUTED_VALUE"""),7.715144)</f>
        <v>7.715144</v>
      </c>
      <c r="D19762" s="7">
        <f>IFERROR(__xludf.DUMMYFUNCTION("""COMPUTED_VALUE"""),0.440677966101694)</f>
        <v>0.4406779661</v>
      </c>
    </row>
    <row r="19763">
      <c r="A19763" s="10" t="s">
        <v>21202</v>
      </c>
      <c r="B19763" s="7" t="str">
        <f>IFERROR(__xludf.DUMMYFUNCTION("SPLIT(A19763,"" "")"),"Cc1cnc(-c2cccc(NCc3ccccn3)c2)c(-c2cccc(NCc3ccccn3)c2-c2ccccc2)c1")</f>
        <v>Cc1cnc(-c2cccc(NCc3ccccn3)c2)c(-c2cccc(NCc3ccccn3)c2-c2ccccc2)c1</v>
      </c>
      <c r="C19763" s="7">
        <f>IFERROR(__xludf.DUMMYFUNCTION("""COMPUTED_VALUE"""),7.715127)</f>
        <v>7.715127</v>
      </c>
      <c r="D19763" s="7">
        <f>IFERROR(__xludf.DUMMYFUNCTION("""COMPUTED_VALUE"""),0.390625)</f>
        <v>0.390625</v>
      </c>
    </row>
    <row r="19764">
      <c r="A19764" s="10" t="s">
        <v>21203</v>
      </c>
      <c r="B19764" s="7" t="str">
        <f>IFERROR(__xludf.DUMMYFUNCTION("SPLIT(A19764,"" "")"),"CCN(Cc1ccccn1)Cc1ccc2cccc(N(C)Cc3cccc(N(C)c4ccc5nc(CF)ccc5c4)n3)c2n1")</f>
        <v>CCN(Cc1ccccn1)Cc1ccc2cccc(N(C)Cc3cccc(N(C)c4ccc5nc(CF)ccc5c4)n3)c2n1</v>
      </c>
      <c r="C19764" s="7">
        <f>IFERROR(__xludf.DUMMYFUNCTION("""COMPUTED_VALUE"""),7.715077)</f>
        <v>7.715077</v>
      </c>
      <c r="D19764" s="7">
        <f>IFERROR(__xludf.DUMMYFUNCTION("""COMPUTED_VALUE"""),0.421875)</f>
        <v>0.421875</v>
      </c>
    </row>
    <row r="19765">
      <c r="A19765" s="10" t="s">
        <v>21204</v>
      </c>
      <c r="B19765" s="7" t="str">
        <f>IFERROR(__xludf.DUMMYFUNCTION("SPLIT(A19765,"" "")"),"CN(CC1=CCC=C(N(C)c2cccc3ncccc23)N1)Cc1ccon1")</f>
        <v>CN(CC1=CCC=C(N(C)c2cccc3ncccc23)N1)Cc1ccon1</v>
      </c>
      <c r="C19765" s="7">
        <f>IFERROR(__xludf.DUMMYFUNCTION("""COMPUTED_VALUE"""),7.7150683)</f>
        <v>7.7150683</v>
      </c>
      <c r="D19765" s="7">
        <f>IFERROR(__xludf.DUMMYFUNCTION("""COMPUTED_VALUE"""),0.368421052631578)</f>
        <v>0.3684210526</v>
      </c>
    </row>
    <row r="19766">
      <c r="A19766" s="10" t="s">
        <v>21205</v>
      </c>
      <c r="B19766" s="7" t="str">
        <f>IFERROR(__xludf.DUMMYFUNCTION("SPLIT(A19766,"" "")"),"c1ccc(Nc2cccc(-c3cccc(C(c4ccccn4)c4ccccn4)n3)n2)cc1")</f>
        <v>c1ccc(Nc2cccc(-c3cccc(C(c4ccccn4)c4ccccn4)n3)n2)cc1</v>
      </c>
      <c r="C19766" s="7">
        <f>IFERROR(__xludf.DUMMYFUNCTION("""COMPUTED_VALUE"""),7.7150636)</f>
        <v>7.7150636</v>
      </c>
      <c r="D19766" s="7">
        <f>IFERROR(__xludf.DUMMYFUNCTION("""COMPUTED_VALUE"""),0.358490566037735)</f>
        <v>0.358490566</v>
      </c>
    </row>
    <row r="19767">
      <c r="A19767" s="10" t="s">
        <v>21206</v>
      </c>
      <c r="B19767" s="7" t="str">
        <f>IFERROR(__xludf.DUMMYFUNCTION("SPLIT(A19767,"" "")"),"Cc1ccnc(CN(C)c2ccc3nc(CN(C)Cc4cccc(-c5cccc(N=Cc6ccccn6)c5)n4)ccc3c2)c1")</f>
        <v>Cc1ccnc(CN(C)c2ccc3nc(CN(C)Cc4cccc(-c5cccc(N=Cc6ccccn6)c5)n4)ccc3c2)c1</v>
      </c>
      <c r="C19767" s="7">
        <f>IFERROR(__xludf.DUMMYFUNCTION("""COMPUTED_VALUE"""),7.715062)</f>
        <v>7.715062</v>
      </c>
      <c r="D19767" s="7">
        <f>IFERROR(__xludf.DUMMYFUNCTION("""COMPUTED_VALUE"""),0.385714285714285)</f>
        <v>0.3857142857</v>
      </c>
    </row>
    <row r="19768">
      <c r="A19768" s="10" t="s">
        <v>21207</v>
      </c>
      <c r="B19768" s="7" t="str">
        <f>IFERROR(__xludf.DUMMYFUNCTION("SPLIT(A19768,"" "")"),"CNc1cccc(-c2ccccn2)n1")</f>
        <v>CNc1cccc(-c2ccccn2)n1</v>
      </c>
      <c r="C19768" s="7">
        <f>IFERROR(__xludf.DUMMYFUNCTION("""COMPUTED_VALUE"""),7.71506)</f>
        <v>7.71506</v>
      </c>
      <c r="D19768" s="7">
        <f>IFERROR(__xludf.DUMMYFUNCTION("""COMPUTED_VALUE"""),0.5)</f>
        <v>0.5</v>
      </c>
    </row>
    <row r="19769">
      <c r="A19769" s="10" t="s">
        <v>21208</v>
      </c>
      <c r="B19769" s="7" t="str">
        <f>IFERROR(__xludf.DUMMYFUNCTION("SPLIT(A19769,"" "")"),"Cc1cccc(CN(C)Cc2ccc3cccc(N(C)Cc4cccc(-c5cccc(N)c5F)n4)c3n2)n1")</f>
        <v>Cc1cccc(CN(C)Cc2ccc3cccc(N(C)Cc4cccc(-c5cccc(N)c5F)n4)c3n2)n1</v>
      </c>
      <c r="C19769" s="7">
        <f>IFERROR(__xludf.DUMMYFUNCTION("""COMPUTED_VALUE"""),7.7150536)</f>
        <v>7.7150536</v>
      </c>
      <c r="D19769" s="7">
        <f>IFERROR(__xludf.DUMMYFUNCTION("""COMPUTED_VALUE"""),0.407407407407407)</f>
        <v>0.4074074074</v>
      </c>
    </row>
    <row r="19770">
      <c r="A19770" s="10" t="s">
        <v>21209</v>
      </c>
      <c r="B19770" s="7" t="str">
        <f>IFERROR(__xludf.DUMMYFUNCTION("SPLIT(A19770,"" "")"),"CNc1cnc(CN(Cc2ccccn2)c2cccc3ncccc23)c(C)c1")</f>
        <v>CNc1cnc(CN(Cc2ccccn2)c2cccc3ncccc23)c(C)c1</v>
      </c>
      <c r="C19770" s="7">
        <f>IFERROR(__xludf.DUMMYFUNCTION("""COMPUTED_VALUE"""),7.7150435)</f>
        <v>7.7150435</v>
      </c>
      <c r="D19770" s="7">
        <f>IFERROR(__xludf.DUMMYFUNCTION("""COMPUTED_VALUE"""),0.338983050847457)</f>
        <v>0.3389830508</v>
      </c>
    </row>
    <row r="19771">
      <c r="A19771" s="10" t="s">
        <v>21210</v>
      </c>
      <c r="B19771" s="7" t="str">
        <f>IFERROR(__xludf.DUMMYFUNCTION("SPLIT(A19771,"" "")"),"Cc1ncccc1CN(C)c1ccc2ncccc2c1")</f>
        <v>Cc1ncccc1CN(C)c1ccc2ncccc2c1</v>
      </c>
      <c r="C19771" s="7">
        <f>IFERROR(__xludf.DUMMYFUNCTION("""COMPUTED_VALUE"""),7.715036)</f>
        <v>7.715036</v>
      </c>
      <c r="D19771" s="7">
        <f>IFERROR(__xludf.DUMMYFUNCTION("""COMPUTED_VALUE"""),0.391304347826087)</f>
        <v>0.3913043478</v>
      </c>
    </row>
    <row r="19772">
      <c r="A19772" s="10" t="s">
        <v>21211</v>
      </c>
      <c r="B19772" s="7" t="str">
        <f>IFERROR(__xludf.DUMMYFUNCTION("SPLIT(A19772,"" "")"),"CN(C)c1cc(-c2cccnc2CN(Cc2ccccn2)Cc2cccnc2F)cc2cccnc12")</f>
        <v>CN(C)c1cc(-c2cccnc2CN(Cc2ccccn2)Cc2cccnc2F)cc2cccnc12</v>
      </c>
      <c r="C19772" s="7">
        <f>IFERROR(__xludf.DUMMYFUNCTION("""COMPUTED_VALUE"""),7.7150292)</f>
        <v>7.7150292</v>
      </c>
      <c r="D19772" s="7">
        <f>IFERROR(__xludf.DUMMYFUNCTION("""COMPUTED_VALUE"""),0.379310344827586)</f>
        <v>0.3793103448</v>
      </c>
    </row>
    <row r="19773">
      <c r="A19773" s="10" t="s">
        <v>21212</v>
      </c>
      <c r="B19773" s="7" t="str">
        <f>IFERROR(__xludf.DUMMYFUNCTION("SPLIT(A19773,"" "")"),"Cc1cc(N(C)CC2=CC(N(C)c3ccc4cccnc4c3)C=CN2)cc(C)c1C")</f>
        <v>Cc1cc(N(C)CC2=CC(N(C)c3ccc4cccnc4c3)C=CN2)cc(C)c1C</v>
      </c>
      <c r="C19773" s="7">
        <f>IFERROR(__xludf.DUMMYFUNCTION("""COMPUTED_VALUE"""),7.7150264)</f>
        <v>7.7150264</v>
      </c>
      <c r="D19773" s="7">
        <f>IFERROR(__xludf.DUMMYFUNCTION("""COMPUTED_VALUE"""),0.283582089552238)</f>
        <v>0.2835820896</v>
      </c>
    </row>
    <row r="19774">
      <c r="A19774" s="10" t="s">
        <v>21213</v>
      </c>
      <c r="B19774" s="7" t="str">
        <f>IFERROR(__xludf.DUMMYFUNCTION("SPLIT(A19774,"" "")"),"Cc1ccc(N(C)Cc2ncccc2-c2ccccc2N(C)C)cc1C")</f>
        <v>Cc1ccc(N(C)Cc2ncccc2-c2ccccc2N(C)C)cc1C</v>
      </c>
      <c r="C19774" s="7">
        <f>IFERROR(__xludf.DUMMYFUNCTION("""COMPUTED_VALUE"""),7.7150135)</f>
        <v>7.7150135</v>
      </c>
      <c r="D19774" s="7">
        <f>IFERROR(__xludf.DUMMYFUNCTION("""COMPUTED_VALUE"""),0.326923076923076)</f>
        <v>0.3269230769</v>
      </c>
    </row>
    <row r="19775">
      <c r="A19775" s="10" t="s">
        <v>21214</v>
      </c>
      <c r="B19775" s="7" t="str">
        <f>IFERROR(__xludf.DUMMYFUNCTION("SPLIT(A19775,"" "")"),"Cc1cc(C)cc(N(C)Cc2cc(-c3cccc(N=Cc4ccccn4)c3)ccn2)c1")</f>
        <v>Cc1cc(C)cc(N(C)Cc2cc(-c3cccc(N=Cc4ccccn4)c3)ccn2)c1</v>
      </c>
      <c r="C19775" s="7">
        <f>IFERROR(__xludf.DUMMYFUNCTION("""COMPUTED_VALUE"""),7.7150097)</f>
        <v>7.7150097</v>
      </c>
      <c r="D19775" s="7">
        <f>IFERROR(__xludf.DUMMYFUNCTION("""COMPUTED_VALUE"""),0.372881355932203)</f>
        <v>0.3728813559</v>
      </c>
    </row>
    <row r="19776">
      <c r="A19776" s="10" t="s">
        <v>21215</v>
      </c>
      <c r="B19776" s="7" t="str">
        <f>IFERROR(__xludf.DUMMYFUNCTION("SPLIT(A19776,"" "")"),"CNCN(CCN(C)c1ccc2c(CN(C)C)ccnc2c1)c1ccc2c(CN(C)C)ccnc2c1")</f>
        <v>CNCN(CCN(C)c1ccc2c(CN(C)C)ccnc2c1)c1ccc2c(CN(C)C)ccnc2c1</v>
      </c>
      <c r="C19776" s="7">
        <f>IFERROR(__xludf.DUMMYFUNCTION("""COMPUTED_VALUE"""),7.714995)</f>
        <v>7.714995</v>
      </c>
      <c r="D19776" s="7">
        <f>IFERROR(__xludf.DUMMYFUNCTION("""COMPUTED_VALUE"""),0.232142857142857)</f>
        <v>0.2321428571</v>
      </c>
    </row>
    <row r="19777">
      <c r="A19777" s="10" t="s">
        <v>21216</v>
      </c>
      <c r="B19777" s="7" t="str">
        <f>IFERROR(__xludf.DUMMYFUNCTION("SPLIT(A19777,"" "")"),"CN(CC1=CCC(N(C)C(c2ccccn2)c2ccccn2)=CN1)c1ccc2cccnc2c1")</f>
        <v>CN(CC1=CCC(N(C)C(c2ccccn2)c2ccccn2)=CN1)c1ccc2cccnc2c1</v>
      </c>
      <c r="C19777" s="7">
        <f>IFERROR(__xludf.DUMMYFUNCTION("""COMPUTED_VALUE"""),7.714988)</f>
        <v>7.714988</v>
      </c>
      <c r="D19777" s="7">
        <f>IFERROR(__xludf.DUMMYFUNCTION("""COMPUTED_VALUE"""),0.298507462686567)</f>
        <v>0.2985074627</v>
      </c>
    </row>
    <row r="19778">
      <c r="A19778" s="10" t="s">
        <v>21217</v>
      </c>
      <c r="B19778" s="7" t="str">
        <f>IFERROR(__xludf.DUMMYFUNCTION("SPLIT(A19778,"" "")"),"Cc1ccc(CN(C)C2=CCC=C(CN(C)c3ccc4cccnc4c3)N2)nc1")</f>
        <v>Cc1ccc(CN(C)C2=CCC=C(CN(C)c3ccc4cccnc4c3)N2)nc1</v>
      </c>
      <c r="C19778" s="7">
        <f>IFERROR(__xludf.DUMMYFUNCTION("""COMPUTED_VALUE"""),7.714983)</f>
        <v>7.714983</v>
      </c>
      <c r="D19778" s="7">
        <f>IFERROR(__xludf.DUMMYFUNCTION("""COMPUTED_VALUE"""),0.338983050847457)</f>
        <v>0.3389830508</v>
      </c>
    </row>
    <row r="19779">
      <c r="A19779" s="10" t="s">
        <v>21218</v>
      </c>
      <c r="B19779" s="7" t="str">
        <f>IFERROR(__xludf.DUMMYFUNCTION("SPLIT(A19779,"" "")"),"Cc1cccc2ccc(CN(C)Cc3cccc(-c4ccccc4N(C)C)n3)nc12")</f>
        <v>Cc1cccc2ccc(CN(C)Cc3cccc(-c4ccccc4N(C)C)n3)nc12</v>
      </c>
      <c r="C19779" s="7">
        <f>IFERROR(__xludf.DUMMYFUNCTION("""COMPUTED_VALUE"""),7.7149715)</f>
        <v>7.7149715</v>
      </c>
      <c r="D19779" s="7">
        <f>IFERROR(__xludf.DUMMYFUNCTION("""COMPUTED_VALUE"""),0.431372549019607)</f>
        <v>0.431372549</v>
      </c>
    </row>
    <row r="19780">
      <c r="A19780" s="10" t="s">
        <v>21219</v>
      </c>
      <c r="B19780" s="7" t="str">
        <f>IFERROR(__xludf.DUMMYFUNCTION("SPLIT(A19780,"" "")"),"CN(Cc1ccccn1)Cc1ccc2cccc(N(C)Cc3ccc4cccnc4c3)c2n1")</f>
        <v>CN(Cc1ccccn1)Cc1ccc2cccc(N(C)Cc3ccc4cccnc4c3)c2n1</v>
      </c>
      <c r="C19780" s="7">
        <f>IFERROR(__xludf.DUMMYFUNCTION("""COMPUTED_VALUE"""),7.714952)</f>
        <v>7.714952</v>
      </c>
      <c r="D19780" s="7">
        <f>IFERROR(__xludf.DUMMYFUNCTION("""COMPUTED_VALUE"""),0.462962962962962)</f>
        <v>0.462962963</v>
      </c>
    </row>
    <row r="19781">
      <c r="A19781" s="10" t="s">
        <v>21220</v>
      </c>
      <c r="B19781" s="7" t="str">
        <f>IFERROR(__xludf.DUMMYFUNCTION("SPLIT(A19781,"" "")"),"Cc1ccc(CN(C)C2=CCC=C(CN(C)c3ccc4ncccc4c3)N2)nc1")</f>
        <v>Cc1ccc(CN(C)C2=CCC=C(CN(C)c3ccc4ncccc4c3)N2)nc1</v>
      </c>
      <c r="C19781" s="7">
        <f>IFERROR(__xludf.DUMMYFUNCTION("""COMPUTED_VALUE"""),7.714951)</f>
        <v>7.714951</v>
      </c>
      <c r="D19781" s="7">
        <f>IFERROR(__xludf.DUMMYFUNCTION("""COMPUTED_VALUE"""),0.344827586206896)</f>
        <v>0.3448275862</v>
      </c>
    </row>
    <row r="19782">
      <c r="A19782" s="10" t="s">
        <v>21221</v>
      </c>
      <c r="B19782" s="7" t="str">
        <f>IFERROR(__xludf.DUMMYFUNCTION("SPLIT(A19782,"" "")"),"Cc1cc(C)c(-c2ccc(NCc3ccccn3)c(C)c2C)nc1-c1ccccc1NCc1ccccn1")</f>
        <v>Cc1cc(C)c(-c2ccc(NCc3ccccn3)c(C)c2C)nc1-c1ccccc1NCc1ccccn1</v>
      </c>
      <c r="C19782" s="7">
        <f>IFERROR(__xludf.DUMMYFUNCTION("""COMPUTED_VALUE"""),7.7149405)</f>
        <v>7.7149405</v>
      </c>
      <c r="D19782" s="7">
        <f>IFERROR(__xludf.DUMMYFUNCTION("""COMPUTED_VALUE"""),0.372881355932203)</f>
        <v>0.3728813559</v>
      </c>
    </row>
    <row r="19783">
      <c r="A19783" s="10" t="s">
        <v>21222</v>
      </c>
      <c r="B19783" s="7" t="str">
        <f>IFERROR(__xludf.DUMMYFUNCTION("SPLIT(A19783,"" "")"),"Cc1cnc(CN(C)c2cc(N(C)Cc3nc(C)cc(C)c3C)cc(Cl)c2Cl)c(C)c1")</f>
        <v>Cc1cnc(CN(C)c2cc(N(C)Cc3nc(C)cc(C)c3C)cc(Cl)c2Cl)c(C)c1</v>
      </c>
      <c r="C19783" s="7">
        <f>IFERROR(__xludf.DUMMYFUNCTION("""COMPUTED_VALUE"""),7.7149396)</f>
        <v>7.7149396</v>
      </c>
      <c r="D19783" s="7">
        <f>IFERROR(__xludf.DUMMYFUNCTION("""COMPUTED_VALUE"""),0.271186440677966)</f>
        <v>0.2711864407</v>
      </c>
    </row>
    <row r="19784">
      <c r="A19784" s="10" t="s">
        <v>21223</v>
      </c>
      <c r="B19784" s="7" t="str">
        <f>IFERROR(__xludf.DUMMYFUNCTION("SPLIT(A19784,"" "")"),"CN(Cc1ccccn1)Cc1ccc2cccc(N(C)Cc3ccc4ncccc4c3)c2n1")</f>
        <v>CN(Cc1ccccn1)Cc1ccc2cccc(N(C)Cc3ccc4ncccc4c3)c2n1</v>
      </c>
      <c r="C19784" s="7">
        <f>IFERROR(__xludf.DUMMYFUNCTION("""COMPUTED_VALUE"""),7.71493)</f>
        <v>7.71493</v>
      </c>
      <c r="D19784" s="7">
        <f>IFERROR(__xludf.DUMMYFUNCTION("""COMPUTED_VALUE"""),0.454545454545454)</f>
        <v>0.4545454545</v>
      </c>
    </row>
    <row r="19785">
      <c r="A19785" s="10" t="s">
        <v>21224</v>
      </c>
      <c r="B19785" s="7" t="str">
        <f>IFERROR(__xludf.DUMMYFUNCTION("SPLIT(A19785,"" "")"),"CC(C)N(C)Cc1ncccc1-c1cccc(N(C)c2ccc3cccnc3c2)c1")</f>
        <v>CC(C)N(C)Cc1ncccc1-c1cccc(N(C)c2ccc3cccnc3c2)c1</v>
      </c>
      <c r="C19785" s="7">
        <f>IFERROR(__xludf.DUMMYFUNCTION("""COMPUTED_VALUE"""),7.714924)</f>
        <v>7.714924</v>
      </c>
      <c r="D19785" s="7">
        <f>IFERROR(__xludf.DUMMYFUNCTION("""COMPUTED_VALUE"""),0.288135593220339)</f>
        <v>0.2881355932</v>
      </c>
    </row>
    <row r="19786">
      <c r="A19786" s="10" t="s">
        <v>21225</v>
      </c>
      <c r="B19786" s="7" t="str">
        <f>IFERROR(__xludf.DUMMYFUNCTION("SPLIT(A19786,"" "")"),"CN(C)CC1=C(N(C)c2cccc3ncccc23)NC=CC1")</f>
        <v>CN(C)CC1=C(N(C)c2cccc3ncccc23)NC=CC1</v>
      </c>
      <c r="C19786" s="7">
        <f>IFERROR(__xludf.DUMMYFUNCTION("""COMPUTED_VALUE"""),7.714897)</f>
        <v>7.714897</v>
      </c>
      <c r="D19786" s="7">
        <f>IFERROR(__xludf.DUMMYFUNCTION("""COMPUTED_VALUE"""),0.303571428571428)</f>
        <v>0.3035714286</v>
      </c>
    </row>
    <row r="19787">
      <c r="A19787" s="10" t="s">
        <v>21226</v>
      </c>
      <c r="B19787" s="7" t="str">
        <f>IFERROR(__xludf.DUMMYFUNCTION("SPLIT(A19787,"" "")"),"Cc1cc(C)c(CN(C)c2ccccc2-c2ccccc2N(C)C)nc1C")</f>
        <v>Cc1cc(C)c(CN(C)c2ccccc2-c2ccccc2N(C)C)nc1C</v>
      </c>
      <c r="C19787" s="7">
        <f>IFERROR(__xludf.DUMMYFUNCTION("""COMPUTED_VALUE"""),7.714868)</f>
        <v>7.714868</v>
      </c>
      <c r="D19787" s="7">
        <f>IFERROR(__xludf.DUMMYFUNCTION("""COMPUTED_VALUE"""),0.306122448979591)</f>
        <v>0.306122449</v>
      </c>
    </row>
    <row r="19788">
      <c r="A19788" s="10" t="s">
        <v>21227</v>
      </c>
      <c r="B19788" s="7" t="str">
        <f>IFERROR(__xludf.DUMMYFUNCTION("SPLIT(A19788,"" "")"),"CCNCc1cc(-c2cc(-c3ccc(N(C)C)cc3)ccn2)ccn1")</f>
        <v>CCNCc1cc(-c2cc(-c3ccc(N(C)C)cc3)ccn2)ccn1</v>
      </c>
      <c r="C19788" s="7">
        <f>IFERROR(__xludf.DUMMYFUNCTION("""COMPUTED_VALUE"""),7.714862)</f>
        <v>7.714862</v>
      </c>
      <c r="D19788" s="7">
        <f>IFERROR(__xludf.DUMMYFUNCTION("""COMPUTED_VALUE"""),0.270833333333333)</f>
        <v>0.2708333333</v>
      </c>
    </row>
    <row r="19789">
      <c r="A19789" s="10" t="s">
        <v>21228</v>
      </c>
      <c r="B19789" s="7" t="str">
        <f>IFERROR(__xludf.DUMMYFUNCTION("SPLIT(A19789,"" "")"),"Cc1cccnc1CN(C)C1=C(CN(C)c2ccc3nccc(C)c3c2)NC=CC1")</f>
        <v>Cc1cccnc1CN(C)C1=C(CN(C)c2ccc3nccc(C)c3c2)NC=CC1</v>
      </c>
      <c r="C19789" s="7">
        <f>IFERROR(__xludf.DUMMYFUNCTION("""COMPUTED_VALUE"""),7.714769)</f>
        <v>7.714769</v>
      </c>
      <c r="D19789" s="7">
        <f>IFERROR(__xludf.DUMMYFUNCTION("""COMPUTED_VALUE"""),0.253521126760563)</f>
        <v>0.2535211268</v>
      </c>
    </row>
    <row r="19790">
      <c r="A19790" s="10" t="s">
        <v>21229</v>
      </c>
      <c r="B19790" s="7" t="str">
        <f>IFERROR(__xludf.DUMMYFUNCTION("SPLIT(A19790,"" "")"),"CNCC1=CCC=C(N(C)c2ccc3cccnc3c2)N1")</f>
        <v>CNCC1=CCC=C(N(C)c2ccc3cccnc3c2)N1</v>
      </c>
      <c r="C19790" s="7">
        <f>IFERROR(__xludf.DUMMYFUNCTION("""COMPUTED_VALUE"""),7.7147174)</f>
        <v>7.7147174</v>
      </c>
      <c r="D19790" s="7">
        <f>IFERROR(__xludf.DUMMYFUNCTION("""COMPUTED_VALUE"""),0.266666666666666)</f>
        <v>0.2666666667</v>
      </c>
    </row>
    <row r="19791">
      <c r="A19791" s="10" t="s">
        <v>21230</v>
      </c>
      <c r="B19791" s="7" t="str">
        <f>IFERROR(__xludf.DUMMYFUNCTION("SPLIT(A19791,"" "")"),"Cc1cccnc1CN(C)c1ccc2cccnc2c1N(C)C(C)C")</f>
        <v>Cc1cccnc1CN(C)c1ccc2cccnc2c1N(C)C(C)C</v>
      </c>
      <c r="C19791" s="7">
        <f>IFERROR(__xludf.DUMMYFUNCTION("""COMPUTED_VALUE"""),7.7147055)</f>
        <v>7.7147055</v>
      </c>
      <c r="D19791" s="7">
        <f>IFERROR(__xludf.DUMMYFUNCTION("""COMPUTED_VALUE"""),0.4375)</f>
        <v>0.4375</v>
      </c>
    </row>
    <row r="19792">
      <c r="A19792" s="10" t="s">
        <v>21231</v>
      </c>
      <c r="B19792" s="7" t="str">
        <f>IFERROR(__xludf.DUMMYFUNCTION("SPLIT(A19792,"" "")"),"Cc1cnc2cccc(N(C)C3=CNC(CN(C)C)=CC3)c2c1")</f>
        <v>Cc1cnc2cccc(N(C)C3=CNC(CN(C)C)=CC3)c2c1</v>
      </c>
      <c r="C19792" s="7">
        <f>IFERROR(__xludf.DUMMYFUNCTION("""COMPUTED_VALUE"""),7.714691)</f>
        <v>7.714691</v>
      </c>
      <c r="D19792" s="7">
        <f>IFERROR(__xludf.DUMMYFUNCTION("""COMPUTED_VALUE"""),0.245614035087719)</f>
        <v>0.2456140351</v>
      </c>
    </row>
    <row r="19793">
      <c r="A19793" s="10" t="s">
        <v>21232</v>
      </c>
      <c r="B19793" s="7" t="str">
        <f>IFERROR(__xludf.DUMMYFUNCTION("SPLIT(A19793,"" "")"),"CN(Cc1ccccn1)C1=CCC=C(CN(C)c2cccc3cccnc23)N1")</f>
        <v>CN(Cc1ccccn1)C1=CCC=C(CN(C)c2cccc3cccnc23)N1</v>
      </c>
      <c r="C19793" s="7">
        <f>IFERROR(__xludf.DUMMYFUNCTION("""COMPUTED_VALUE"""),7.7146764)</f>
        <v>7.7146764</v>
      </c>
      <c r="D19793" s="7">
        <f>IFERROR(__xludf.DUMMYFUNCTION("""COMPUTED_VALUE"""),0.470588235294117)</f>
        <v>0.4705882353</v>
      </c>
    </row>
    <row r="19794">
      <c r="A19794" s="10" t="s">
        <v>21233</v>
      </c>
      <c r="B19794" s="7" t="str">
        <f>IFERROR(__xludf.DUMMYFUNCTION("SPLIT(A19794,"" "")"),"Cc1ccnc(CN(C)c2cccc(CN(C)c3ccc4nc(CN(C)C)ccc4c3)n2)c1C")</f>
        <v>Cc1ccnc(CN(C)c2cccc(CN(C)c3ccc4nc(CN(C)C)ccc4c3)n2)c1C</v>
      </c>
      <c r="C19794" s="7">
        <f>IFERROR(__xludf.DUMMYFUNCTION("""COMPUTED_VALUE"""),7.714666)</f>
        <v>7.714666</v>
      </c>
      <c r="D19794" s="7">
        <f>IFERROR(__xludf.DUMMYFUNCTION("""COMPUTED_VALUE"""),0.311475409836065)</f>
        <v>0.3114754098</v>
      </c>
    </row>
    <row r="19795">
      <c r="A19795" s="10" t="s">
        <v>21234</v>
      </c>
      <c r="B19795" s="7" t="str">
        <f>IFERROR(__xludf.DUMMYFUNCTION("SPLIT(A19795,"" "")"),"Cc1cncc(CN(C)c2cc(N(C)Cc3cc(C)c(C)c(C)n3)c(Cl)cc2Cl)c1C")</f>
        <v>Cc1cncc(CN(C)c2cc(N(C)Cc3cc(C)c(C)c(C)n3)c(Cl)cc2Cl)c1C</v>
      </c>
      <c r="C19795" s="7">
        <f>IFERROR(__xludf.DUMMYFUNCTION("""COMPUTED_VALUE"""),7.7146583)</f>
        <v>7.7146583</v>
      </c>
      <c r="D19795" s="7">
        <f>IFERROR(__xludf.DUMMYFUNCTION("""COMPUTED_VALUE"""),0.314814814814814)</f>
        <v>0.3148148148</v>
      </c>
    </row>
    <row r="19796">
      <c r="A19796" s="10" t="s">
        <v>21235</v>
      </c>
      <c r="B19796" s="7" t="str">
        <f>IFERROR(__xludf.DUMMYFUNCTION("SPLIT(A19796,"" "")"),"Cc1cccc2ccc(CN(C)Cc3cccc(-c4cccc(N(C)C)c4)n3)nc12")</f>
        <v>Cc1cccc2ccc(CN(C)Cc3cccc(-c4cccc(N(C)C)c4)n3)nc12</v>
      </c>
      <c r="C19796" s="7">
        <f>IFERROR(__xludf.DUMMYFUNCTION("""COMPUTED_VALUE"""),7.714643)</f>
        <v>7.714643</v>
      </c>
      <c r="D19796" s="7">
        <f>IFERROR(__xludf.DUMMYFUNCTION("""COMPUTED_VALUE"""),0.396226415094339)</f>
        <v>0.3962264151</v>
      </c>
    </row>
    <row r="19797">
      <c r="A19797" s="10" t="s">
        <v>21236</v>
      </c>
      <c r="B19797" s="7" t="str">
        <f>IFERROR(__xludf.DUMMYFUNCTION("SPLIT(A19797,"" "")"),"Cc1ccc2cccnc2c1-c1ccc(CN(C)Cc2cccc(N)n2)cn1")</f>
        <v>Cc1ccc2cccnc2c1-c1ccc(CN(C)Cc2cccc(N)n2)cn1</v>
      </c>
      <c r="C19797" s="7">
        <f>IFERROR(__xludf.DUMMYFUNCTION("""COMPUTED_VALUE"""),7.7146378)</f>
        <v>7.7146378</v>
      </c>
      <c r="D19797" s="7">
        <f>IFERROR(__xludf.DUMMYFUNCTION("""COMPUTED_VALUE"""),0.385964912280701)</f>
        <v>0.3859649123</v>
      </c>
    </row>
    <row r="19798">
      <c r="A19798" s="10" t="s">
        <v>21237</v>
      </c>
      <c r="B19798" s="7" t="str">
        <f>IFERROR(__xludf.DUMMYFUNCTION("SPLIT(A19798,"" "")"),"Cc1ccc2nccc(CN(C)CCN(C)c3ccc4ncccc4c3)c2c1")</f>
        <v>Cc1ccc2nccc(CN(C)CCN(C)c3ccc4ncccc4c3)c2c1</v>
      </c>
      <c r="C19798" s="7">
        <f>IFERROR(__xludf.DUMMYFUNCTION("""COMPUTED_VALUE"""),7.7146277)</f>
        <v>7.7146277</v>
      </c>
      <c r="D19798" s="7">
        <f>IFERROR(__xludf.DUMMYFUNCTION("""COMPUTED_VALUE"""),0.423076923076923)</f>
        <v>0.4230769231</v>
      </c>
    </row>
    <row r="19799">
      <c r="A19799" s="10" t="s">
        <v>21238</v>
      </c>
      <c r="B19799" s="7" t="str">
        <f>IFERROR(__xludf.DUMMYFUNCTION("SPLIT(A19799,"" "")"),"CN(Cc1cccnc1)c1cccc2ncccc12")</f>
        <v>CN(Cc1cccnc1)c1cccc2ncccc12</v>
      </c>
      <c r="C19799" s="7">
        <f>IFERROR(__xludf.DUMMYFUNCTION("""COMPUTED_VALUE"""),7.71462)</f>
        <v>7.71462</v>
      </c>
      <c r="D19799" s="7">
        <f>IFERROR(__xludf.DUMMYFUNCTION("""COMPUTED_VALUE"""),0.4)</f>
        <v>0.4</v>
      </c>
    </row>
    <row r="19800">
      <c r="A19800" s="10" t="s">
        <v>21239</v>
      </c>
      <c r="B19800" s="7" t="str">
        <f>IFERROR(__xludf.DUMMYFUNCTION("SPLIT(A19800,"" "")"),"Cc1ccc2cccc(C)c2n1")</f>
        <v>Cc1ccc2cccc(C)c2n1</v>
      </c>
      <c r="C19800" s="7">
        <f>IFERROR(__xludf.DUMMYFUNCTION("""COMPUTED_VALUE"""),7.71461)</f>
        <v>7.71461</v>
      </c>
      <c r="D19800" s="7">
        <f>IFERROR(__xludf.DUMMYFUNCTION("""COMPUTED_VALUE"""),0.314285714285714)</f>
        <v>0.3142857143</v>
      </c>
    </row>
    <row r="19801">
      <c r="A19801" s="10" t="s">
        <v>21240</v>
      </c>
      <c r="B19801" s="7" t="str">
        <f>IFERROR(__xludf.DUMMYFUNCTION("SPLIT(A19801,"" "")"),"Cc1ccc2nc(CN(C)Cc3ccc(-c4cccc(N(C)C)c4)cn3)ccc2c1")</f>
        <v>Cc1ccc2nc(CN(C)Cc3ccc(-c4cccc(N(C)C)c4)cn3)ccc2c1</v>
      </c>
      <c r="C19801" s="7">
        <f>IFERROR(__xludf.DUMMYFUNCTION("""COMPUTED_VALUE"""),7.714606)</f>
        <v>7.714606</v>
      </c>
      <c r="D19801" s="7">
        <f>IFERROR(__xludf.DUMMYFUNCTION("""COMPUTED_VALUE"""),0.428571428571428)</f>
        <v>0.4285714286</v>
      </c>
    </row>
    <row r="19802">
      <c r="A19802" s="10" t="s">
        <v>21241</v>
      </c>
      <c r="B19802" s="7" t="str">
        <f>IFERROR(__xludf.DUMMYFUNCTION("SPLIT(A19802,"" "")"),"CN(C)c1cc(-c2cccnc2CN(Cc2ccccn2)Cc2cccc(F)n2)cc2cccnc12")</f>
        <v>CN(C)c1cc(-c2cccnc2CN(Cc2ccccn2)Cc2cccc(F)n2)cc2cccnc12</v>
      </c>
      <c r="C19802" s="7">
        <f>IFERROR(__xludf.DUMMYFUNCTION("""COMPUTED_VALUE"""),7.714591)</f>
        <v>7.714591</v>
      </c>
      <c r="D19802" s="7">
        <f>IFERROR(__xludf.DUMMYFUNCTION("""COMPUTED_VALUE"""),0.4)</f>
        <v>0.4</v>
      </c>
    </row>
    <row r="19803">
      <c r="A19803" s="10" t="s">
        <v>21242</v>
      </c>
      <c r="B19803" s="7" t="str">
        <f>IFERROR(__xludf.DUMMYFUNCTION("SPLIT(A19803,"" "")"),"CNCC1=CCC=C(N(C)c2ccc3ncccc3c2)N1")</f>
        <v>CNCC1=CCC=C(N(C)c2ccc3ncccc3c2)N1</v>
      </c>
      <c r="C19803" s="7">
        <f>IFERROR(__xludf.DUMMYFUNCTION("""COMPUTED_VALUE"""),7.714569)</f>
        <v>7.714569</v>
      </c>
      <c r="D19803" s="7">
        <f>IFERROR(__xludf.DUMMYFUNCTION("""COMPUTED_VALUE"""),0.263157894736842)</f>
        <v>0.2631578947</v>
      </c>
    </row>
    <row r="19804">
      <c r="A19804" s="10" t="s">
        <v>21243</v>
      </c>
      <c r="B19804" s="7" t="str">
        <f>IFERROR(__xludf.DUMMYFUNCTION("SPLIT(A19804,"" "")"),"CN(Cc1cc(-c2ccc3ncccc3c2)ccn1)Cc1cc(C(C)(c2ccccn2)c2ccccn2)ccn1")</f>
        <v>CN(Cc1cc(-c2ccc3ncccc3c2)ccn1)Cc1cc(C(C)(c2ccccn2)c2ccccn2)ccn1</v>
      </c>
      <c r="C19804" s="7">
        <f>IFERROR(__xludf.DUMMYFUNCTION("""COMPUTED_VALUE"""),7.714549)</f>
        <v>7.714549</v>
      </c>
      <c r="D19804" s="7">
        <f>IFERROR(__xludf.DUMMYFUNCTION("""COMPUTED_VALUE"""),0.362068965517241)</f>
        <v>0.3620689655</v>
      </c>
    </row>
    <row r="19805">
      <c r="A19805" s="10" t="s">
        <v>21244</v>
      </c>
      <c r="B19805" s="7" t="str">
        <f>IFERROR(__xludf.DUMMYFUNCTION("SPLIT(A19805,"" "")"),"CN(C)c1cc(-c2ncccc2CN(Cc2ccccn2)Cc2ncccc2F)cc2cccnc12")</f>
        <v>CN(C)c1cc(-c2ncccc2CN(Cc2ccccn2)Cc2ncccc2F)cc2cccnc12</v>
      </c>
      <c r="C19805" s="7">
        <f>IFERROR(__xludf.DUMMYFUNCTION("""COMPUTED_VALUE"""),7.714521)</f>
        <v>7.714521</v>
      </c>
      <c r="D19805" s="7">
        <f>IFERROR(__xludf.DUMMYFUNCTION("""COMPUTED_VALUE"""),0.37037037037037)</f>
        <v>0.3703703704</v>
      </c>
    </row>
    <row r="19806">
      <c r="A19806" s="10" t="s">
        <v>21245</v>
      </c>
      <c r="B19806" s="7" t="str">
        <f>IFERROR(__xludf.DUMMYFUNCTION("SPLIT(A19806,"" "")"),"C1=CNC(Nc2ncccc2-c2ccc(C(c3ccccn3)c3ccccn3)cn2)C=C1")</f>
        <v>C1=CNC(Nc2ncccc2-c2ccc(C(c3ccccn3)c3ccccn3)cn2)C=C1</v>
      </c>
      <c r="C19806" s="7">
        <f>IFERROR(__xludf.DUMMYFUNCTION("""COMPUTED_VALUE"""),7.7145085)</f>
        <v>7.7145085</v>
      </c>
      <c r="D19806" s="7">
        <f>IFERROR(__xludf.DUMMYFUNCTION("""COMPUTED_VALUE"""),0.292307692307692)</f>
        <v>0.2923076923</v>
      </c>
    </row>
    <row r="19807">
      <c r="A19807" s="10" t="s">
        <v>21246</v>
      </c>
      <c r="B19807" s="7" t="str">
        <f>IFERROR(__xludf.DUMMYFUNCTION("SPLIT(A19807,"" "")"),"Cc1ccc2ccc(CN(C)Cc3ccc(-c4cccc(N(C)C)c4)cn3)nc2c1")</f>
        <v>Cc1ccc2ccc(CN(C)Cc3ccc(-c4cccc(N(C)C)c4)cn3)nc2c1</v>
      </c>
      <c r="C19807" s="7">
        <f>IFERROR(__xludf.DUMMYFUNCTION("""COMPUTED_VALUE"""),7.714496)</f>
        <v>7.714496</v>
      </c>
      <c r="D19807" s="7">
        <f>IFERROR(__xludf.DUMMYFUNCTION("""COMPUTED_VALUE"""),0.4)</f>
        <v>0.4</v>
      </c>
    </row>
    <row r="19808">
      <c r="A19808" s="10" t="s">
        <v>21247</v>
      </c>
      <c r="B19808" s="7" t="str">
        <f>IFERROR(__xludf.DUMMYFUNCTION("SPLIT(A19808,"" "")"),"Cc1ccnc(CN(C)c2cccc3ccc(CN(C)C)nc23)c1C")</f>
        <v>Cc1ccnc(CN(C)c2cccc3ccc(CN(C)C)nc23)c1C</v>
      </c>
      <c r="C19808" s="7">
        <f>IFERROR(__xludf.DUMMYFUNCTION("""COMPUTED_VALUE"""),7.7144794)</f>
        <v>7.7144794</v>
      </c>
      <c r="D19808" s="7">
        <f>IFERROR(__xludf.DUMMYFUNCTION("""COMPUTED_VALUE"""),0.408163265306122)</f>
        <v>0.4081632653</v>
      </c>
    </row>
    <row r="19809">
      <c r="A19809" s="10" t="s">
        <v>21248</v>
      </c>
      <c r="B19809" s="7" t="str">
        <f>IFERROR(__xludf.DUMMYFUNCTION("SPLIT(A19809,"" "")"),"CN(CC1=CCC(N(C)C(c2ccccn2)c2ccccn2)=CN1)c1cccc2ncccc12")</f>
        <v>CN(CC1=CCC(N(C)C(c2ccccn2)c2ccccn2)=CN1)c1cccc2ncccc12</v>
      </c>
      <c r="C19809" s="7">
        <f>IFERROR(__xludf.DUMMYFUNCTION("""COMPUTED_VALUE"""),7.7144613)</f>
        <v>7.7144613</v>
      </c>
      <c r="D19809" s="7">
        <f>IFERROR(__xludf.DUMMYFUNCTION("""COMPUTED_VALUE"""),0.311475409836065)</f>
        <v>0.3114754098</v>
      </c>
    </row>
    <row r="19810">
      <c r="A19810" s="10" t="s">
        <v>21249</v>
      </c>
      <c r="B19810" s="7" t="str">
        <f>IFERROR(__xludf.DUMMYFUNCTION("SPLIT(A19810,"" "")"),"CN(Cc1ccncc1)c1ccc2ncccc2c1")</f>
        <v>CN(Cc1ccncc1)c1ccc2ncccc2c1</v>
      </c>
      <c r="C19810" s="7">
        <f>IFERROR(__xludf.DUMMYFUNCTION("""COMPUTED_VALUE"""),7.7144604)</f>
        <v>7.7144604</v>
      </c>
      <c r="D19810" s="7">
        <f>IFERROR(__xludf.DUMMYFUNCTION("""COMPUTED_VALUE"""),0.355555555555555)</f>
        <v>0.3555555556</v>
      </c>
    </row>
    <row r="19811">
      <c r="A19811" s="10" t="s">
        <v>21250</v>
      </c>
      <c r="B19811" s="7" t="str">
        <f>IFERROR(__xludf.DUMMYFUNCTION("SPLIT(A19811,"" "")"),"CN(Cc1ccc2ccccc2n1)c1ccc2nccc(CN(C)C(C)(C)c3ccccn3)c2c1")</f>
        <v>CN(Cc1ccc2ccccc2n1)c1ccc2nccc(CN(C)C(C)(C)c3ccccn3)c2c1</v>
      </c>
      <c r="C19811" s="7">
        <f>IFERROR(__xludf.DUMMYFUNCTION("""COMPUTED_VALUE"""),7.7144527)</f>
        <v>7.7144527</v>
      </c>
      <c r="D19811" s="7">
        <f>IFERROR(__xludf.DUMMYFUNCTION("""COMPUTED_VALUE"""),0.4)</f>
        <v>0.4</v>
      </c>
    </row>
    <row r="19812">
      <c r="A19812" s="10" t="s">
        <v>21251</v>
      </c>
      <c r="B19812" s="7" t="str">
        <f>IFERROR(__xludf.DUMMYFUNCTION("SPLIT(A19812,"" "")"),"CN(Cc1ccccn1)C1=CCC=C(CN(C)c2ccc3ncccc3c2)N1")</f>
        <v>CN(Cc1ccccn1)C1=CCC=C(CN(C)c2ccc3ncccc3c2)N1</v>
      </c>
      <c r="C19812" s="7">
        <f>IFERROR(__xludf.DUMMYFUNCTION("""COMPUTED_VALUE"""),7.714445)</f>
        <v>7.714445</v>
      </c>
      <c r="D19812" s="7">
        <f>IFERROR(__xludf.DUMMYFUNCTION("""COMPUTED_VALUE"""),0.392857142857142)</f>
        <v>0.3928571429</v>
      </c>
    </row>
    <row r="19813">
      <c r="A19813" s="10" t="s">
        <v>21252</v>
      </c>
      <c r="B19813" s="7" t="str">
        <f>IFERROR(__xludf.DUMMYFUNCTION("SPLIT(A19813,"" "")"),"Cc1cncc(CN(C)c2cc(N(C)Cc3ccccn3)cc3cc(CN(C)C)cnc23)c1")</f>
        <v>Cc1cncc(CN(C)c2cc(N(C)Cc3ccccn3)cc3cc(CN(C)C)cnc23)c1</v>
      </c>
      <c r="C19813" s="7">
        <f>IFERROR(__xludf.DUMMYFUNCTION("""COMPUTED_VALUE"""),7.7144294)</f>
        <v>7.7144294</v>
      </c>
      <c r="D19813" s="7">
        <f>IFERROR(__xludf.DUMMYFUNCTION("""COMPUTED_VALUE"""),0.421052631578947)</f>
        <v>0.4210526316</v>
      </c>
    </row>
    <row r="19814">
      <c r="A19814" s="10" t="s">
        <v>21253</v>
      </c>
      <c r="B19814" s="7" t="str">
        <f>IFERROR(__xludf.DUMMYFUNCTION("SPLIT(A19814,"" "")"),"CC(C)N(Cc1ccccn1)c1ccc2nc(-c3ccc4c(n3)CCC4)ccc2c1")</f>
        <v>CC(C)N(Cc1ccccn1)c1ccc2nc(-c3ccc4c(n3)CCC4)ccc2c1</v>
      </c>
      <c r="C19814" s="7">
        <f>IFERROR(__xludf.DUMMYFUNCTION("""COMPUTED_VALUE"""),7.714412)</f>
        <v>7.714412</v>
      </c>
      <c r="D19814" s="7">
        <f>IFERROR(__xludf.DUMMYFUNCTION("""COMPUTED_VALUE"""),0.392857142857142)</f>
        <v>0.3928571429</v>
      </c>
    </row>
    <row r="19815">
      <c r="A19815" s="10" t="s">
        <v>21254</v>
      </c>
      <c r="B19815" s="7" t="str">
        <f>IFERROR(__xludf.DUMMYFUNCTION("SPLIT(A19815,"" "")"),"Cc1ccc2cccnc2c1-c1ncccc1CN(C)Cc1cccc(N)n1")</f>
        <v>Cc1ccc2cccnc2c1-c1ncccc1CN(C)Cc1cccc(N)n1</v>
      </c>
      <c r="C19815" s="7">
        <f>IFERROR(__xludf.DUMMYFUNCTION("""COMPUTED_VALUE"""),7.714396)</f>
        <v>7.714396</v>
      </c>
      <c r="D19815" s="7">
        <f>IFERROR(__xludf.DUMMYFUNCTION("""COMPUTED_VALUE"""),0.470588235294117)</f>
        <v>0.4705882353</v>
      </c>
    </row>
    <row r="19816">
      <c r="A19816" s="10" t="s">
        <v>21255</v>
      </c>
      <c r="B19816" s="7" t="str">
        <f>IFERROR(__xludf.DUMMYFUNCTION("SPLIT(A19816,"" "")"),"Cc1cccnc1CN(C)c1ccc2cccnc2c1-c1ccc(CN(C)Cc2ccccn2)cn1")</f>
        <v>Cc1cccnc1CN(C)c1ccc2cccnc2c1-c1ccc(CN(C)Cc2ccccn2)cn1</v>
      </c>
      <c r="C19816" s="7">
        <f>IFERROR(__xludf.DUMMYFUNCTION("""COMPUTED_VALUE"""),7.7143893)</f>
        <v>7.7143893</v>
      </c>
      <c r="D19816" s="7">
        <f>IFERROR(__xludf.DUMMYFUNCTION("""COMPUTED_VALUE"""),0.393442622950819)</f>
        <v>0.393442623</v>
      </c>
    </row>
    <row r="19817">
      <c r="A19817" s="10" t="s">
        <v>21256</v>
      </c>
      <c r="B19817" s="7" t="str">
        <f>IFERROR(__xludf.DUMMYFUNCTION("SPLIT(A19817,"" "")"),"CCN(Cc1ccccn1)c1cc2ncccc2c(N(C)Cc2cc(C)c(C)c(C)n2)c1C")</f>
        <v>CCN(Cc1ccccn1)c1cc2ncccc2c(N(C)Cc2cc(C)c(C)c(C)n2)c1C</v>
      </c>
      <c r="C19817" s="7">
        <f>IFERROR(__xludf.DUMMYFUNCTION("""COMPUTED_VALUE"""),7.7143855)</f>
        <v>7.7143855</v>
      </c>
      <c r="D19817" s="7">
        <f>IFERROR(__xludf.DUMMYFUNCTION("""COMPUTED_VALUE"""),0.389830508474576)</f>
        <v>0.3898305085</v>
      </c>
    </row>
    <row r="19818">
      <c r="A19818" s="10" t="s">
        <v>21257</v>
      </c>
      <c r="B19818" s="7" t="str">
        <f>IFERROR(__xludf.DUMMYFUNCTION("SPLIT(A19818,"" "")"),"C1=CNC(Nc2cc(-c3ccc(C(c4ccccn4)c4ccccn4)cn3)ccn2)C=C1")</f>
        <v>C1=CNC(Nc2cc(-c3ccc(C(c4ccccn4)c4ccccn4)cn3)ccn2)C=C1</v>
      </c>
      <c r="C19818" s="7">
        <f>IFERROR(__xludf.DUMMYFUNCTION("""COMPUTED_VALUE"""),7.7143703)</f>
        <v>7.7143703</v>
      </c>
      <c r="D19818" s="7">
        <f>IFERROR(__xludf.DUMMYFUNCTION("""COMPUTED_VALUE"""),0.283582089552238)</f>
        <v>0.2835820896</v>
      </c>
    </row>
    <row r="19819">
      <c r="A19819" s="10" t="s">
        <v>21258</v>
      </c>
      <c r="B19819" s="7" t="str">
        <f>IFERROR(__xludf.DUMMYFUNCTION("SPLIT(A19819,"" "")"),"C1=CNC(c2ccc(C3=CCC=CN3)c(C3=CCC=CN3)n2)=CC1")</f>
        <v>C1=CNC(c2ccc(C3=CCC=CN3)c(C3=CCC=CN3)n2)=CC1</v>
      </c>
      <c r="C19819" s="7">
        <f>IFERROR(__xludf.DUMMYFUNCTION("""COMPUTED_VALUE"""),7.7143517)</f>
        <v>7.7143517</v>
      </c>
      <c r="D19819" s="7">
        <f>IFERROR(__xludf.DUMMYFUNCTION("""COMPUTED_VALUE"""),0.274509803921568)</f>
        <v>0.2745098039</v>
      </c>
    </row>
    <row r="19820">
      <c r="A19820" s="10" t="s">
        <v>21259</v>
      </c>
      <c r="B19820" s="7" t="str">
        <f>IFERROR(__xludf.DUMMYFUNCTION("SPLIT(A19820,"" "")"),"CN(Cc1ccccn1)C1=CCC=C(CN(C)c2ccc3cccnc3c2)N1")</f>
        <v>CN(Cc1ccccn1)C1=CCC=C(CN(C)c2ccc3cccnc3c2)N1</v>
      </c>
      <c r="C19820" s="7">
        <f>IFERROR(__xludf.DUMMYFUNCTION("""COMPUTED_VALUE"""),7.714328)</f>
        <v>7.714328</v>
      </c>
      <c r="D19820" s="7">
        <f>IFERROR(__xludf.DUMMYFUNCTION("""COMPUTED_VALUE"""),0.403508771929824)</f>
        <v>0.4035087719</v>
      </c>
    </row>
    <row r="19821">
      <c r="A19821" s="10" t="s">
        <v>21260</v>
      </c>
      <c r="B19821" s="7" t="str">
        <f>IFERROR(__xludf.DUMMYFUNCTION("SPLIT(A19821,"" "")"),"Cc1cccc(CN(C)C2=CCC=C(CN(C)c3ccc4cccnc4c3)N2)n1")</f>
        <v>Cc1cccc(CN(C)C2=CCC=C(CN(C)c3ccc4cccnc4c3)N2)n1</v>
      </c>
      <c r="C19821" s="7">
        <f>IFERROR(__xludf.DUMMYFUNCTION("""COMPUTED_VALUE"""),7.7143183)</f>
        <v>7.7143183</v>
      </c>
      <c r="D19821" s="7">
        <f>IFERROR(__xludf.DUMMYFUNCTION("""COMPUTED_VALUE"""),0.344827586206896)</f>
        <v>0.3448275862</v>
      </c>
    </row>
    <row r="19822">
      <c r="A19822" s="10" t="s">
        <v>21261</v>
      </c>
      <c r="B19822" s="7" t="str">
        <f>IFERROR(__xludf.DUMMYFUNCTION("SPLIT(A19822,"" "")"),"Cc1cncc(CN(C)c2ccc3cccnc3c2)c1")</f>
        <v>Cc1cncc(CN(C)c2ccc3cccnc3c2)c1</v>
      </c>
      <c r="C19822" s="7">
        <f>IFERROR(__xludf.DUMMYFUNCTION("""COMPUTED_VALUE"""),7.7143025)</f>
        <v>7.7143025</v>
      </c>
      <c r="D19822" s="7">
        <f>IFERROR(__xludf.DUMMYFUNCTION("""COMPUTED_VALUE"""),0.320754716981132)</f>
        <v>0.320754717</v>
      </c>
    </row>
    <row r="19823">
      <c r="A19823" s="10" t="s">
        <v>21262</v>
      </c>
      <c r="B19823" s="7" t="str">
        <f>IFERROR(__xludf.DUMMYFUNCTION("SPLIT(A19823,"" "")"),"CN(CC1=CC(N(C)c2ccc3ncccc3c2)C=CN1)Cc1ccc2ncccc2c1")</f>
        <v>CN(CC1=CC(N(C)c2ccc3ncccc3c2)C=CN1)Cc1ccc2ncccc2c1</v>
      </c>
      <c r="C19823" s="7">
        <f>IFERROR(__xludf.DUMMYFUNCTION("""COMPUTED_VALUE"""),7.7142806)</f>
        <v>7.7142806</v>
      </c>
      <c r="D19823" s="7">
        <f>IFERROR(__xludf.DUMMYFUNCTION("""COMPUTED_VALUE"""),0.338709677419354)</f>
        <v>0.3387096774</v>
      </c>
    </row>
    <row r="19824">
      <c r="A19824" s="10" t="s">
        <v>21263</v>
      </c>
      <c r="B19824" s="7" t="str">
        <f>IFERROR(__xludf.DUMMYFUNCTION("SPLIT(A19824,"" "")"),"Cc1ccc2nc(CN(C)Cc3ccc(-c4ccc(N(C)C)cc4)cn3)ccc2c1")</f>
        <v>Cc1ccc2nc(CN(C)Cc3ccc(-c4ccc(N(C)C)cc4)cn3)ccc2c1</v>
      </c>
      <c r="C19824" s="7">
        <f>IFERROR(__xludf.DUMMYFUNCTION("""COMPUTED_VALUE"""),7.7142596)</f>
        <v>7.7142596</v>
      </c>
      <c r="D19824" s="7">
        <f>IFERROR(__xludf.DUMMYFUNCTION("""COMPUTED_VALUE"""),0.466666666666666)</f>
        <v>0.4666666667</v>
      </c>
    </row>
    <row r="19825">
      <c r="A19825" s="10" t="s">
        <v>21264</v>
      </c>
      <c r="B19825" s="7" t="str">
        <f>IFERROR(__xludf.DUMMYFUNCTION("SPLIT(A19825,"" "")"),"FCc1cccc(NCc2cccc(-c3cccc(-c4cccc(C(c5ccccn5)c5ccccn5)n4)n3)n2)n1")</f>
        <v>FCc1cccc(NCc2cccc(-c3cccc(-c4cccc(C(c5ccccn5)c5ccccn5)n4)n3)n2)n1</v>
      </c>
      <c r="C19825" s="7">
        <f>IFERROR(__xludf.DUMMYFUNCTION("""COMPUTED_VALUE"""),7.7142506)</f>
        <v>7.7142506</v>
      </c>
      <c r="D19825" s="7">
        <f>IFERROR(__xludf.DUMMYFUNCTION("""COMPUTED_VALUE"""),0.388888888888888)</f>
        <v>0.3888888889</v>
      </c>
    </row>
    <row r="19826">
      <c r="A19826" s="10" t="s">
        <v>21265</v>
      </c>
      <c r="B19826" s="7" t="str">
        <f>IFERROR(__xludf.DUMMYFUNCTION("SPLIT(A19826,"" "")"),"Cc1ccc(N(C)Cc2ccc(-c3cccc(N(C)C)c3)cn2)cc1C")</f>
        <v>Cc1ccc(N(C)Cc2ccc(-c3cccc(N(C)C)c3)cn2)cc1C</v>
      </c>
      <c r="C19826" s="7">
        <f>IFERROR(__xludf.DUMMYFUNCTION("""COMPUTED_VALUE"""),7.7142434)</f>
        <v>7.7142434</v>
      </c>
      <c r="D19826" s="7">
        <f>IFERROR(__xludf.DUMMYFUNCTION("""COMPUTED_VALUE"""),0.32)</f>
        <v>0.32</v>
      </c>
    </row>
    <row r="19827">
      <c r="A19827" s="10" t="s">
        <v>21266</v>
      </c>
      <c r="B19827" s="7" t="str">
        <f>IFERROR(__xludf.DUMMYFUNCTION("SPLIT(A19827,"" "")"),"CNCc1ccnc2c(NC)cccc12")</f>
        <v>CNCc1ccnc2c(NC)cccc12</v>
      </c>
      <c r="C19827" s="7">
        <f>IFERROR(__xludf.DUMMYFUNCTION("""COMPUTED_VALUE"""),7.714227)</f>
        <v>7.714227</v>
      </c>
      <c r="D19827" s="7">
        <f>IFERROR(__xludf.DUMMYFUNCTION("""COMPUTED_VALUE"""),0.276595744680851)</f>
        <v>0.2765957447</v>
      </c>
    </row>
    <row r="19828">
      <c r="A19828" s="10" t="s">
        <v>21267</v>
      </c>
      <c r="B19828" s="7" t="str">
        <f>IFERROR(__xludf.DUMMYFUNCTION("SPLIT(A19828,"" "")"),"Cc1cccc(N(C)Cc2cc(-c3cccc(N(C)C)c3)ccn2)c1C")</f>
        <v>Cc1cccc(N(C)Cc2cc(-c3cccc(N(C)C)c3)ccn2)c1C</v>
      </c>
      <c r="C19828" s="7">
        <f>IFERROR(__xludf.DUMMYFUNCTION("""COMPUTED_VALUE"""),7.7142134)</f>
        <v>7.7142134</v>
      </c>
      <c r="D19828" s="7">
        <f>IFERROR(__xludf.DUMMYFUNCTION("""COMPUTED_VALUE"""),0.372549019607843)</f>
        <v>0.3725490196</v>
      </c>
    </row>
    <row r="19829">
      <c r="A19829" s="10" t="s">
        <v>21268</v>
      </c>
      <c r="B19829" s="7" t="str">
        <f>IFERROR(__xludf.DUMMYFUNCTION("SPLIT(A19829,"" "")"),"Cc1ccc(-c2cc(N=Cc3ccccn3)ccc2C)nc1")</f>
        <v>Cc1ccc(-c2cc(N=Cc3ccccn3)ccc2C)nc1</v>
      </c>
      <c r="C19829" s="7">
        <f>IFERROR(__xludf.DUMMYFUNCTION("""COMPUTED_VALUE"""),7.7141795)</f>
        <v>7.7141795</v>
      </c>
      <c r="D19829" s="7">
        <f>IFERROR(__xludf.DUMMYFUNCTION("""COMPUTED_VALUE"""),0.44)</f>
        <v>0.44</v>
      </c>
    </row>
    <row r="19830">
      <c r="A19830" s="10" t="s">
        <v>21269</v>
      </c>
      <c r="B19830" s="7" t="str">
        <f>IFERROR(__xludf.DUMMYFUNCTION("SPLIT(A19830,"" "")"),"C1=CNC(Nc2cccc(-c3cccc(C(c4ccccn4)c4ccccn4)n3)n2)C=C1")</f>
        <v>C1=CNC(Nc2cccc(-c3cccc(C(c4ccccn4)c4ccccn4)n3)n2)C=C1</v>
      </c>
      <c r="C19830" s="7">
        <f>IFERROR(__xludf.DUMMYFUNCTION("""COMPUTED_VALUE"""),7.7141685)</f>
        <v>7.7141685</v>
      </c>
      <c r="D19830" s="7">
        <f>IFERROR(__xludf.DUMMYFUNCTION("""COMPUTED_VALUE"""),0.316666666666666)</f>
        <v>0.3166666667</v>
      </c>
    </row>
    <row r="19831">
      <c r="A19831" s="10" t="s">
        <v>21270</v>
      </c>
      <c r="B19831" s="7" t="str">
        <f>IFERROR(__xludf.DUMMYFUNCTION("SPLIT(A19831,"" "")"),"Cc1cccc(N(C)Cc2ncccc2-c2cccc(N(C)C)c2)c1C")</f>
        <v>Cc1cccc(N(C)Cc2ncccc2-c2cccc(N(C)C)c2)c1C</v>
      </c>
      <c r="C19831" s="7">
        <f>IFERROR(__xludf.DUMMYFUNCTION("""COMPUTED_VALUE"""),7.714149)</f>
        <v>7.714149</v>
      </c>
      <c r="D19831" s="7">
        <f>IFERROR(__xludf.DUMMYFUNCTION("""COMPUTED_VALUE"""),0.320754716981132)</f>
        <v>0.320754717</v>
      </c>
    </row>
    <row r="19832">
      <c r="A19832" s="10" t="s">
        <v>21271</v>
      </c>
      <c r="B19832" s="7" t="str">
        <f>IFERROR(__xludf.DUMMYFUNCTION("SPLIT(A19832,"" "")"),"Cc1cccnc1CN(Cc1ncc(-c2cccc(NCc3ccccn3)c2)cc1C)c1ccc2ncccc2c1")</f>
        <v>Cc1cccnc1CN(Cc1ncc(-c2cccc(NCc3ccccn3)c2)cc1C)c1ccc2ncccc2c1</v>
      </c>
      <c r="C19832" s="7">
        <f>IFERROR(__xludf.DUMMYFUNCTION("""COMPUTED_VALUE"""),7.7141185)</f>
        <v>7.7141185</v>
      </c>
      <c r="D19832" s="7">
        <f>IFERROR(__xludf.DUMMYFUNCTION("""COMPUTED_VALUE"""),0.328767123287671)</f>
        <v>0.3287671233</v>
      </c>
    </row>
    <row r="19833">
      <c r="A19833" s="10" t="s">
        <v>21272</v>
      </c>
      <c r="B19833" s="7" t="str">
        <f>IFERROR(__xludf.DUMMYFUNCTION("SPLIT(A19833,"" "")"),"Cc1ccc2ccc(CN(C)Cc3ccc(-c4ccc(N(C)C)cc4)cn3)nc2c1")</f>
        <v>Cc1ccc2ccc(CN(C)Cc3ccc(-c4ccc(N(C)C)cc4)cn3)nc2c1</v>
      </c>
      <c r="C19833" s="7">
        <f>IFERROR(__xludf.DUMMYFUNCTION("""COMPUTED_VALUE"""),7.714118)</f>
        <v>7.714118</v>
      </c>
      <c r="D19833" s="7">
        <f>IFERROR(__xludf.DUMMYFUNCTION("""COMPUTED_VALUE"""),0.434782608695652)</f>
        <v>0.4347826087</v>
      </c>
    </row>
    <row r="19834">
      <c r="A19834" s="10" t="s">
        <v>21273</v>
      </c>
      <c r="B19834" s="7" t="str">
        <f>IFERROR(__xludf.DUMMYFUNCTION("SPLIT(A19834,"" "")"),"Cc1cc(CN(C)c2cc(Cl)c(Cl)cc2N(C)Cc2cc(C)c(C)c(C)n2)nc(C)c1C")</f>
        <v>Cc1cc(CN(C)c2cc(Cl)c(Cl)cc2N(C)Cc2cc(C)c(C)c(C)n2)nc(C)c1C</v>
      </c>
      <c r="C19834" s="7">
        <f>IFERROR(__xludf.DUMMYFUNCTION("""COMPUTED_VALUE"""),7.7141175)</f>
        <v>7.7141175</v>
      </c>
      <c r="D19834" s="7">
        <f>IFERROR(__xludf.DUMMYFUNCTION("""COMPUTED_VALUE"""),0.475)</f>
        <v>0.475</v>
      </c>
    </row>
    <row r="19835">
      <c r="A19835" s="10" t="s">
        <v>21274</v>
      </c>
      <c r="B19835" s="7" t="str">
        <f>IFERROR(__xludf.DUMMYFUNCTION("SPLIT(A19835,"" "")"),"Cc1ccnc(CN(C)C2=CNC(CN(C)c3ccc4c(C)ccnc4c3)=CC2)c1")</f>
        <v>Cc1ccnc(CN(C)C2=CNC(CN(C)c3ccc4c(C)ccnc4c3)=CC2)c1</v>
      </c>
      <c r="C19835" s="7">
        <f>IFERROR(__xludf.DUMMYFUNCTION("""COMPUTED_VALUE"""),7.7141047)</f>
        <v>7.7141047</v>
      </c>
      <c r="D19835" s="7">
        <f>IFERROR(__xludf.DUMMYFUNCTION("""COMPUTED_VALUE"""),0.276923076923076)</f>
        <v>0.2769230769</v>
      </c>
    </row>
    <row r="19836">
      <c r="A19836" s="10" t="s">
        <v>21275</v>
      </c>
      <c r="B19836" s="7" t="str">
        <f>IFERROR(__xludf.DUMMYFUNCTION("SPLIT(A19836,"" "")"),"Cc1cc(NCc2ccccn2)cc(-c2ncc(-c3c(C)cccc3NCc3ccccn3)cc2C)c1")</f>
        <v>Cc1cc(NCc2ccccn2)cc(-c2ncc(-c3c(C)cccc3NCc3ccccn3)cc2C)c1</v>
      </c>
      <c r="C19836" s="7">
        <f>IFERROR(__xludf.DUMMYFUNCTION("""COMPUTED_VALUE"""),7.714079)</f>
        <v>7.714079</v>
      </c>
      <c r="D19836" s="7">
        <f>IFERROR(__xludf.DUMMYFUNCTION("""COMPUTED_VALUE"""),0.333333333333333)</f>
        <v>0.3333333333</v>
      </c>
    </row>
    <row r="19837">
      <c r="A19837" s="10" t="s">
        <v>21276</v>
      </c>
      <c r="B19837" s="7" t="str">
        <f>IFERROR(__xludf.DUMMYFUNCTION("SPLIT(A19837,"" "")"),"C1=CNCC(Nc2cc(-c3ccc(C(c4ccccn4)c4ccccn4)cn3)ccn2)=C1")</f>
        <v>C1=CNCC(Nc2cc(-c3ccc(C(c4ccccn4)c4ccccn4)cn3)ccn2)=C1</v>
      </c>
      <c r="C19837" s="7">
        <f>IFERROR(__xludf.DUMMYFUNCTION("""COMPUTED_VALUE"""),7.7140727)</f>
        <v>7.7140727</v>
      </c>
      <c r="D19837" s="7">
        <f>IFERROR(__xludf.DUMMYFUNCTION("""COMPUTED_VALUE"""),0.231884057971014)</f>
        <v>0.231884058</v>
      </c>
    </row>
    <row r="19838">
      <c r="A19838" s="10" t="s">
        <v>21277</v>
      </c>
      <c r="B19838" s="7" t="str">
        <f>IFERROR(__xludf.DUMMYFUNCTION("SPLIT(A19838,"" "")"),"CN(Cc1ccc2ncccc2c1)Cc1cc(-c2cccc(N=Cc3ccccn3)c2)ccn1")</f>
        <v>CN(Cc1ccc2ncccc2c1)Cc1cc(-c2cccc(N=Cc3ccccn3)c2)ccn1</v>
      </c>
      <c r="C19838" s="7">
        <f>IFERROR(__xludf.DUMMYFUNCTION("""COMPUTED_VALUE"""),7.7140636)</f>
        <v>7.7140636</v>
      </c>
      <c r="D19838" s="7">
        <f>IFERROR(__xludf.DUMMYFUNCTION("""COMPUTED_VALUE"""),0.338461538461538)</f>
        <v>0.3384615385</v>
      </c>
    </row>
    <row r="19839">
      <c r="A19839" s="10" t="s">
        <v>21278</v>
      </c>
      <c r="B19839" s="7" t="str">
        <f>IFERROR(__xludf.DUMMYFUNCTION("SPLIT(A19839,"" "")"),"Cc1ccnc(CN(C)c2ccc3ncccc3c2)c1")</f>
        <v>Cc1ccnc(CN(C)c2ccc3ncccc3c2)c1</v>
      </c>
      <c r="C19839" s="7">
        <f>IFERROR(__xludf.DUMMYFUNCTION("""COMPUTED_VALUE"""),7.7140613)</f>
        <v>7.7140613</v>
      </c>
      <c r="D19839" s="7">
        <f>IFERROR(__xludf.DUMMYFUNCTION("""COMPUTED_VALUE"""),0.375)</f>
        <v>0.375</v>
      </c>
    </row>
    <row r="19840">
      <c r="A19840" s="10" t="s">
        <v>21279</v>
      </c>
      <c r="B19840" s="7" t="str">
        <f>IFERROR(__xludf.DUMMYFUNCTION("SPLIT(A19840,"" "")"),"Cc1cc(C)c(CN(C)c2cc(Cl)c(Cl)cc2N(C)Cc2cc(C)c(C)c(C)n2)nc1C")</f>
        <v>Cc1cc(C)c(CN(C)c2cc(Cl)c(Cl)cc2N(C)Cc2cc(C)c(C)c(C)n2)nc1C</v>
      </c>
      <c r="C19840" s="7">
        <f>IFERROR(__xludf.DUMMYFUNCTION("""COMPUTED_VALUE"""),7.7140603)</f>
        <v>7.7140603</v>
      </c>
      <c r="D19840" s="7">
        <f>IFERROR(__xludf.DUMMYFUNCTION("""COMPUTED_VALUE"""),0.395833333333333)</f>
        <v>0.3958333333</v>
      </c>
    </row>
    <row r="19841">
      <c r="A19841" s="10" t="s">
        <v>21280</v>
      </c>
      <c r="B19841" s="7" t="str">
        <f>IFERROR(__xludf.DUMMYFUNCTION("SPLIT(A19841,"" "")"),"CN(Cc1ccc2ncccc2c1)Cc1cc(N(C)Cc2ccc3ncccc3c2)ccn1")</f>
        <v>CN(Cc1ccc2ncccc2c1)Cc1cc(N(C)Cc2ccc3ncccc3c2)ccn1</v>
      </c>
      <c r="C19841" s="7">
        <f>IFERROR(__xludf.DUMMYFUNCTION("""COMPUTED_VALUE"""),7.714029)</f>
        <v>7.714029</v>
      </c>
      <c r="D19841" s="7">
        <f>IFERROR(__xludf.DUMMYFUNCTION("""COMPUTED_VALUE"""),0.365384615384615)</f>
        <v>0.3653846154</v>
      </c>
    </row>
    <row r="19842">
      <c r="A19842" s="10" t="s">
        <v>21281</v>
      </c>
      <c r="B19842" s="7" t="str">
        <f>IFERROR(__xludf.DUMMYFUNCTION("SPLIT(A19842,"" "")"),"CNC1=C(c2ccccc2)C(c2ccccc2)CC=C1c1cc(-c2ccccc2N(C)C)ccn1")</f>
        <v>CNC1=C(c2ccccc2)C(c2ccccc2)CC=C1c1cc(-c2ccccc2N(C)C)ccn1</v>
      </c>
      <c r="C19842" s="7">
        <f>IFERROR(__xludf.DUMMYFUNCTION("""COMPUTED_VALUE"""),7.7140145)</f>
        <v>7.7140145</v>
      </c>
      <c r="D19842" s="7">
        <f>IFERROR(__xludf.DUMMYFUNCTION("""COMPUTED_VALUE"""),0.211267605633802)</f>
        <v>0.2112676056</v>
      </c>
    </row>
    <row r="19843">
      <c r="A19843" s="10" t="s">
        <v>21282</v>
      </c>
      <c r="B19843" s="7" t="str">
        <f>IFERROR(__xludf.DUMMYFUNCTION("SPLIT(A19843,"" "")"),"CNc1cc(N(Cc2ccccn2)Cc2ccccn2)c(C)c2ncccc12")</f>
        <v>CNc1cc(N(Cc2ccccn2)Cc2ccccn2)c(C)c2ncccc12</v>
      </c>
      <c r="C19843" s="7">
        <f>IFERROR(__xludf.DUMMYFUNCTION("""COMPUTED_VALUE"""),7.7140074)</f>
        <v>7.7140074</v>
      </c>
      <c r="D19843" s="7">
        <f>IFERROR(__xludf.DUMMYFUNCTION("""COMPUTED_VALUE"""),0.4)</f>
        <v>0.4</v>
      </c>
    </row>
    <row r="19844">
      <c r="A19844" s="10" t="s">
        <v>21283</v>
      </c>
      <c r="B19844" s="7" t="str">
        <f>IFERROR(__xludf.DUMMYFUNCTION("SPLIT(A19844,"" "")"),"Cc1cnc(CN(C)c2cc(N(C)Cc3cc(C)c(C)c(C)n3)cc(Cl)c2Cl)c(C)c1")</f>
        <v>Cc1cnc(CN(C)c2cc(N(C)Cc3cc(C)c(C)c(C)n3)cc(Cl)c2Cl)c(C)c1</v>
      </c>
      <c r="C19844" s="7">
        <f>IFERROR(__xludf.DUMMYFUNCTION("""COMPUTED_VALUE"""),7.714004)</f>
        <v>7.714004</v>
      </c>
      <c r="D19844" s="7">
        <f>IFERROR(__xludf.DUMMYFUNCTION("""COMPUTED_VALUE"""),0.305084745762711)</f>
        <v>0.3050847458</v>
      </c>
    </row>
    <row r="19845">
      <c r="A19845" s="10" t="s">
        <v>21284</v>
      </c>
      <c r="B19845" s="7" t="str">
        <f>IFERROR(__xludf.DUMMYFUNCTION("SPLIT(A19845,"" "")"),"Cc1cccc2cccnc12")</f>
        <v>Cc1cccc2cccnc12</v>
      </c>
      <c r="C19845" s="7">
        <f>IFERROR(__xludf.DUMMYFUNCTION("""COMPUTED_VALUE"""),7.713989)</f>
        <v>7.713989</v>
      </c>
      <c r="D19845" s="7">
        <f>IFERROR(__xludf.DUMMYFUNCTION("""COMPUTED_VALUE"""),0.5)</f>
        <v>0.5</v>
      </c>
    </row>
    <row r="19846">
      <c r="A19846" s="10" t="s">
        <v>21285</v>
      </c>
      <c r="B19846" s="7" t="str">
        <f>IFERROR(__xludf.DUMMYFUNCTION("SPLIT(A19846,"" "")"),"Cc1ccc(N(C)Cc2cc(-c3ccccc3N=Cc3ccccn3)ccn2)c(C)c1")</f>
        <v>Cc1ccc(N(C)Cc2cc(-c3ccccc3N=Cc3ccccn3)ccn2)c(C)c1</v>
      </c>
      <c r="C19846" s="7">
        <f>IFERROR(__xludf.DUMMYFUNCTION("""COMPUTED_VALUE"""),7.7139826)</f>
        <v>7.7139826</v>
      </c>
      <c r="D19846" s="7">
        <f>IFERROR(__xludf.DUMMYFUNCTION("""COMPUTED_VALUE"""),0.423728813559322)</f>
        <v>0.4237288136</v>
      </c>
    </row>
    <row r="19847">
      <c r="A19847" s="10" t="s">
        <v>21286</v>
      </c>
      <c r="B19847" s="7" t="str">
        <f>IFERROR(__xludf.DUMMYFUNCTION("SPLIT(A19847,"" "")"),"CN(CCCN(C)c1ccc2ncccc2c1)Cc1ncccc1-c1ccc2ncccc2c1")</f>
        <v>CN(CCCN(C)c1ccc2ncccc2c1)Cc1ncccc1-c1ccc2ncccc2c1</v>
      </c>
      <c r="C19847" s="7">
        <f>IFERROR(__xludf.DUMMYFUNCTION("""COMPUTED_VALUE"""),7.7139564)</f>
        <v>7.7139564</v>
      </c>
      <c r="D19847" s="7">
        <f>IFERROR(__xludf.DUMMYFUNCTION("""COMPUTED_VALUE"""),0.37037037037037)</f>
        <v>0.3703703704</v>
      </c>
    </row>
    <row r="19848">
      <c r="A19848" s="10" t="s">
        <v>21287</v>
      </c>
      <c r="B19848" s="7" t="str">
        <f>IFERROR(__xludf.DUMMYFUNCTION("SPLIT(A19848,"" "")"),"Cc1cccc(N(Cc2ccccn2)c2ccc3cccnc3c2)c1")</f>
        <v>Cc1cccc(N(Cc2ccccn2)c2ccc3cccnc3c2)c1</v>
      </c>
      <c r="C19848" s="7">
        <f>IFERROR(__xludf.DUMMYFUNCTION("""COMPUTED_VALUE"""),7.7139564)</f>
        <v>7.7139564</v>
      </c>
      <c r="D19848" s="7">
        <f>IFERROR(__xludf.DUMMYFUNCTION("""COMPUTED_VALUE"""),0.479166666666666)</f>
        <v>0.4791666667</v>
      </c>
    </row>
    <row r="19849">
      <c r="A19849" s="10" t="s">
        <v>21288</v>
      </c>
      <c r="B19849" s="7" t="str">
        <f>IFERROR(__xludf.DUMMYFUNCTION("SPLIT(A19849,"" "")"),"CN(Cc1ccc2ncccc2c1)Cc1cc(-c2ccccc2N=Cc2ccccn2)ccn1")</f>
        <v>CN(Cc1ccc2ncccc2c1)Cc1cc(-c2ccccc2N=Cc2ccccn2)ccn1</v>
      </c>
      <c r="C19849" s="7">
        <f>IFERROR(__xludf.DUMMYFUNCTION("""COMPUTED_VALUE"""),7.713952)</f>
        <v>7.713952</v>
      </c>
      <c r="D19849" s="7">
        <f>IFERROR(__xludf.DUMMYFUNCTION("""COMPUTED_VALUE"""),0.377049180327868)</f>
        <v>0.3770491803</v>
      </c>
    </row>
    <row r="19850">
      <c r="A19850" s="10" t="s">
        <v>21289</v>
      </c>
      <c r="B19850" s="7" t="str">
        <f>IFERROR(__xludf.DUMMYFUNCTION("SPLIT(A19850,"" "")"),"CN(Cc1cccnn1)C1=CCC=C(CN(C)c2ccc3ncccc3c2)N1")</f>
        <v>CN(Cc1cccnn1)C1=CCC=C(CN(C)c2ccc3ncccc3c2)N1</v>
      </c>
      <c r="C19850" s="7">
        <f>IFERROR(__xludf.DUMMYFUNCTION("""COMPUTED_VALUE"""),7.713925)</f>
        <v>7.713925</v>
      </c>
      <c r="D19850" s="7">
        <f>IFERROR(__xludf.DUMMYFUNCTION("""COMPUTED_VALUE"""),0.357142857142857)</f>
        <v>0.3571428571</v>
      </c>
    </row>
    <row r="19851">
      <c r="A19851" s="10" t="s">
        <v>21290</v>
      </c>
      <c r="B19851" s="7" t="str">
        <f>IFERROR(__xludf.DUMMYFUNCTION("SPLIT(A19851,"" "")"),"CN(c1ccc2cccnc2c1)C1CC(N(C)c2ccc3ncccc3c2)C2N=CC=CC21")</f>
        <v>CN(c1ccc2cccnc2c1)C1CC(N(C)c2ccc3ncccc3c2)C2N=CC=CC21</v>
      </c>
      <c r="C19851" s="7">
        <f>IFERROR(__xludf.DUMMYFUNCTION("""COMPUTED_VALUE"""),7.713919)</f>
        <v>7.713919</v>
      </c>
      <c r="D19851" s="7">
        <f>IFERROR(__xludf.DUMMYFUNCTION("""COMPUTED_VALUE"""),0.311475409836065)</f>
        <v>0.3114754098</v>
      </c>
    </row>
    <row r="19852">
      <c r="A19852" s="10" t="s">
        <v>21291</v>
      </c>
      <c r="B19852" s="7" t="str">
        <f>IFERROR(__xludf.DUMMYFUNCTION("SPLIT(A19852,"" "")"),"CC(C)N(C)Cc1ncccc1-c1ccc(N(C)Cc2ccccn2)c2ncccc12")</f>
        <v>CC(C)N(C)Cc1ncccc1-c1ccc(N(C)Cc2ccccn2)c2ncccc12</v>
      </c>
      <c r="C19852" s="7">
        <f>IFERROR(__xludf.DUMMYFUNCTION("""COMPUTED_VALUE"""),7.7139134)</f>
        <v>7.7139134</v>
      </c>
      <c r="D19852" s="7">
        <f>IFERROR(__xludf.DUMMYFUNCTION("""COMPUTED_VALUE"""),0.433962264150943)</f>
        <v>0.4339622642</v>
      </c>
    </row>
    <row r="19853">
      <c r="A19853" s="10" t="s">
        <v>21292</v>
      </c>
      <c r="B19853" s="7" t="str">
        <f>IFERROR(__xludf.DUMMYFUNCTION("SPLIT(A19853,"" "")"),"Cc1ccnc(CN(Cc2cccc(-c3cc(N(C)C)c4ncccc4c3)n2)Cc2ncccc2C)c1")</f>
        <v>Cc1ccnc(CN(Cc2cccc(-c3cc(N(C)C)c4ncccc4c3)n2)Cc2ncccc2C)c1</v>
      </c>
      <c r="C19853" s="7">
        <f>IFERROR(__xludf.DUMMYFUNCTION("""COMPUTED_VALUE"""),7.713907)</f>
        <v>7.713907</v>
      </c>
      <c r="D19853" s="7">
        <f>IFERROR(__xludf.DUMMYFUNCTION("""COMPUTED_VALUE"""),0.397058823529411)</f>
        <v>0.3970588235</v>
      </c>
    </row>
    <row r="19854">
      <c r="A19854" s="10" t="s">
        <v>21293</v>
      </c>
      <c r="B19854" s="7" t="str">
        <f>IFERROR(__xludf.DUMMYFUNCTION("SPLIT(A19854,"" "")"),"CCN(CCN(C)c1ccc2ncccc2c1)c1ccc2ncccc2c1")</f>
        <v>CCN(CCN(C)c1ccc2ncccc2c1)c1ccc2ncccc2c1</v>
      </c>
      <c r="C19854" s="7">
        <f>IFERROR(__xludf.DUMMYFUNCTION("""COMPUTED_VALUE"""),7.7139063)</f>
        <v>7.7139063</v>
      </c>
      <c r="D19854" s="7">
        <f>IFERROR(__xludf.DUMMYFUNCTION("""COMPUTED_VALUE"""),0.409090909090909)</f>
        <v>0.4090909091</v>
      </c>
    </row>
    <row r="19855">
      <c r="A19855" s="10" t="s">
        <v>21294</v>
      </c>
      <c r="B19855" s="7" t="str">
        <f>IFERROR(__xludf.DUMMYFUNCTION("SPLIT(A19855,"" "")"),"Cc1c(-c2cccc(NCc3ccccn3)c2)ccnc1N=Cc1ccccn1")</f>
        <v>Cc1c(-c2cccc(NCc3ccccn3)c2)ccnc1N=Cc1ccccn1</v>
      </c>
      <c r="C19855" s="7">
        <f>IFERROR(__xludf.DUMMYFUNCTION("""COMPUTED_VALUE"""),7.7138844)</f>
        <v>7.7138844</v>
      </c>
      <c r="D19855" s="7">
        <f>IFERROR(__xludf.DUMMYFUNCTION("""COMPUTED_VALUE"""),0.379310344827586)</f>
        <v>0.3793103448</v>
      </c>
    </row>
    <row r="19856">
      <c r="A19856" s="10" t="s">
        <v>21295</v>
      </c>
      <c r="B19856" s="7" t="str">
        <f>IFERROR(__xludf.DUMMYFUNCTION("SPLIT(A19856,"" "")"),"CC(C)c1cc(CN(Cc2ccccn2)c2ccc3nc(-c4ccccn4)ccc3c2)ccn1")</f>
        <v>CC(C)c1cc(CN(Cc2ccccn2)c2ccc3nc(-c4ccccn4)ccc3c2)ccn1</v>
      </c>
      <c r="C19856" s="7">
        <f>IFERROR(__xludf.DUMMYFUNCTION("""COMPUTED_VALUE"""),7.7138815)</f>
        <v>7.7138815</v>
      </c>
      <c r="D19856" s="7">
        <f>IFERROR(__xludf.DUMMYFUNCTION("""COMPUTED_VALUE"""),0.43859649122807)</f>
        <v>0.4385964912</v>
      </c>
    </row>
    <row r="19857">
      <c r="A19857" s="10" t="s">
        <v>21296</v>
      </c>
      <c r="B19857" s="7" t="str">
        <f>IFERROR(__xludf.DUMMYFUNCTION("SPLIT(A19857,"" "")"),"C1=CNC(Nc2ncccc2-c2ncccc2C(c2ccccn2)c2ccccn2)C=C1")</f>
        <v>C1=CNC(Nc2ncccc2-c2ncccc2C(c2ccccn2)c2ccccn2)C=C1</v>
      </c>
      <c r="C19857" s="7">
        <f>IFERROR(__xludf.DUMMYFUNCTION("""COMPUTED_VALUE"""),7.713878)</f>
        <v>7.713878</v>
      </c>
      <c r="D19857" s="7">
        <f>IFERROR(__xludf.DUMMYFUNCTION("""COMPUTED_VALUE"""),0.306451612903225)</f>
        <v>0.3064516129</v>
      </c>
    </row>
    <row r="19858">
      <c r="A19858" s="10" t="s">
        <v>21297</v>
      </c>
      <c r="B19858" s="7" t="str">
        <f>IFERROR(__xludf.DUMMYFUNCTION("SPLIT(A19858,"" "")"),"Cc1cccnc1CN(C)c1c(-c2ccccn2)cc(Cl)cc1N(C)Cc1ccccn1")</f>
        <v>Cc1cccnc1CN(C)c1c(-c2ccccn2)cc(Cl)cc1N(C)Cc1ccccn1</v>
      </c>
      <c r="C19858" s="7">
        <f>IFERROR(__xludf.DUMMYFUNCTION("""COMPUTED_VALUE"""),7.713855)</f>
        <v>7.713855</v>
      </c>
      <c r="D19858" s="7">
        <f>IFERROR(__xludf.DUMMYFUNCTION("""COMPUTED_VALUE"""),0.5)</f>
        <v>0.5</v>
      </c>
    </row>
    <row r="19859">
      <c r="A19859" s="10" t="s">
        <v>21298</v>
      </c>
      <c r="B19859" s="7" t="str">
        <f>IFERROR(__xludf.DUMMYFUNCTION("SPLIT(A19859,"" "")"),"CC(C)N(Cc1ccccn1)c1ccc2nc(C3=CCC=CN3)ccc2c1")</f>
        <v>CC(C)N(Cc1ccccn1)c1ccc2nc(C3=CCC=CN3)ccc2c1</v>
      </c>
      <c r="C19859" s="7">
        <f>IFERROR(__xludf.DUMMYFUNCTION("""COMPUTED_VALUE"""),7.713855)</f>
        <v>7.713855</v>
      </c>
      <c r="D19859" s="7">
        <f>IFERROR(__xludf.DUMMYFUNCTION("""COMPUTED_VALUE"""),0.442622950819672)</f>
        <v>0.4426229508</v>
      </c>
    </row>
    <row r="19860">
      <c r="A19860" s="10" t="s">
        <v>21299</v>
      </c>
      <c r="B19860" s="7" t="str">
        <f>IFERROR(__xludf.DUMMYFUNCTION("SPLIT(A19860,"" "")"),"Cc1ncccc1-c1cccc(N=Cc2ccccn2)c1")</f>
        <v>Cc1ncccc1-c1cccc(N=Cc2ccccn2)c1</v>
      </c>
      <c r="C19860" s="7">
        <f>IFERROR(__xludf.DUMMYFUNCTION("""COMPUTED_VALUE"""),7.713832)</f>
        <v>7.713832</v>
      </c>
      <c r="D19860" s="7">
        <f>IFERROR(__xludf.DUMMYFUNCTION("""COMPUTED_VALUE"""),0.468085106382978)</f>
        <v>0.4680851064</v>
      </c>
    </row>
    <row r="19861">
      <c r="A19861" s="10" t="s">
        <v>21300</v>
      </c>
      <c r="B19861" s="7" t="str">
        <f>IFERROR(__xludf.DUMMYFUNCTION("SPLIT(A19861,"" "")"),"C1=CC(Nc2cccc(-c3ccccn3)n2)=CCN1")</f>
        <v>C1=CC(Nc2cccc(-c3ccccn3)n2)=CCN1</v>
      </c>
      <c r="C19861" s="7">
        <f>IFERROR(__xludf.DUMMYFUNCTION("""COMPUTED_VALUE"""),7.7137837)</f>
        <v>7.7137837</v>
      </c>
      <c r="D19861" s="7">
        <f>IFERROR(__xludf.DUMMYFUNCTION("""COMPUTED_VALUE"""),0.352941176470588)</f>
        <v>0.3529411765</v>
      </c>
    </row>
    <row r="19862">
      <c r="A19862" s="10" t="s">
        <v>21301</v>
      </c>
      <c r="B19862" s="7" t="str">
        <f>IFERROR(__xludf.DUMMYFUNCTION("SPLIT(A19862,"" "")"),"CN(CCN(Cc1cccnc1)c1ccc2ncccc2c1)c1ccc2ncccc2c1")</f>
        <v>CN(CCN(Cc1cccnc1)c1ccc2ncccc2c1)c1ccc2ncccc2c1</v>
      </c>
      <c r="C19862" s="7">
        <f>IFERROR(__xludf.DUMMYFUNCTION("""COMPUTED_VALUE"""),7.713779)</f>
        <v>7.713779</v>
      </c>
      <c r="D19862" s="7">
        <f>IFERROR(__xludf.DUMMYFUNCTION("""COMPUTED_VALUE"""),0.352941176470588)</f>
        <v>0.3529411765</v>
      </c>
    </row>
    <row r="19863">
      <c r="A19863" s="10" t="s">
        <v>21302</v>
      </c>
      <c r="B19863" s="7" t="str">
        <f>IFERROR(__xludf.DUMMYFUNCTION("SPLIT(A19863,"" "")"),"Cc1ncccc1-c1ccc(N=Cc2ccccn2)cc1")</f>
        <v>Cc1ncccc1-c1ccc(N=Cc2ccccn2)cc1</v>
      </c>
      <c r="C19863" s="7">
        <f>IFERROR(__xludf.DUMMYFUNCTION("""COMPUTED_VALUE"""),7.7137713)</f>
        <v>7.7137713</v>
      </c>
      <c r="D19863" s="7">
        <f>IFERROR(__xludf.DUMMYFUNCTION("""COMPUTED_VALUE"""),0.466666666666666)</f>
        <v>0.4666666667</v>
      </c>
    </row>
    <row r="19864">
      <c r="A19864" s="10" t="s">
        <v>21303</v>
      </c>
      <c r="B19864" s="7" t="str">
        <f>IFERROR(__xludf.DUMMYFUNCTION("SPLIT(A19864,"" "")"),"C=CCN(Cc1ccccn1)c1cc2ncccc2cc1-c1c(N=Cc2ccccn2)cccc1C(C)(C)C")</f>
        <v>C=CCN(Cc1ccccn1)c1cc2ncccc2cc1-c1c(N=Cc2ccccn2)cccc1C(C)(C)C</v>
      </c>
      <c r="C19864" s="7">
        <f>IFERROR(__xludf.DUMMYFUNCTION("""COMPUTED_VALUE"""),7.7137375)</f>
        <v>7.7137375</v>
      </c>
      <c r="D19864" s="7">
        <f>IFERROR(__xludf.DUMMYFUNCTION("""COMPUTED_VALUE"""),0.376811594202898)</f>
        <v>0.3768115942</v>
      </c>
    </row>
    <row r="19865">
      <c r="A19865" s="10" t="s">
        <v>21304</v>
      </c>
      <c r="B19865" s="7" t="str">
        <f>IFERROR(__xludf.DUMMYFUNCTION("SPLIT(A19865,"" "")"),"CN(Cc1ccccn1)Cc1ccncc1-c1cc(N(C)Cc2ccccn2)cc2ncccc12")</f>
        <v>CN(Cc1ccccn1)Cc1ccncc1-c1cc(N(C)Cc2ccccn2)cc2ncccc12</v>
      </c>
      <c r="C19865" s="7">
        <f>IFERROR(__xludf.DUMMYFUNCTION("""COMPUTED_VALUE"""),7.713737)</f>
        <v>7.713737</v>
      </c>
      <c r="D19865" s="7">
        <f>IFERROR(__xludf.DUMMYFUNCTION("""COMPUTED_VALUE"""),0.392857142857142)</f>
        <v>0.3928571429</v>
      </c>
    </row>
    <row r="19866">
      <c r="A19866" s="10" t="s">
        <v>21305</v>
      </c>
      <c r="B19866" s="7" t="str">
        <f>IFERROR(__xludf.DUMMYFUNCTION("SPLIT(A19866,"" "")"),"C1=CNC(Nc2ncccc2-c2cccc(C(c3ccccn3)c3ccccn3)n2)C=C1")</f>
        <v>C1=CNC(Nc2ncccc2-c2cccc(C(c3ccccn3)c3ccccn3)n2)C=C1</v>
      </c>
      <c r="C19866" s="7">
        <f>IFERROR(__xludf.DUMMYFUNCTION("""COMPUTED_VALUE"""),7.7137322)</f>
        <v>7.7137322</v>
      </c>
      <c r="D19866" s="7">
        <f>IFERROR(__xludf.DUMMYFUNCTION("""COMPUTED_VALUE"""),0.301587301587301)</f>
        <v>0.3015873016</v>
      </c>
    </row>
    <row r="19867">
      <c r="A19867" s="10" t="s">
        <v>21306</v>
      </c>
      <c r="B19867" s="7" t="str">
        <f>IFERROR(__xludf.DUMMYFUNCTION("SPLIT(A19867,"" "")"),"CCNCc1cccc(-c2ccc(N(C)Cc3ccccn3)c3ncccc23)n1")</f>
        <v>CCNCc1cccc(-c2ccc(N(C)Cc3ccccn3)c3ncccc23)n1</v>
      </c>
      <c r="C19867" s="7">
        <f>IFERROR(__xludf.DUMMYFUNCTION("""COMPUTED_VALUE"""),7.7137213)</f>
        <v>7.7137213</v>
      </c>
      <c r="D19867" s="7">
        <f>IFERROR(__xludf.DUMMYFUNCTION("""COMPUTED_VALUE"""),0.421052631578947)</f>
        <v>0.4210526316</v>
      </c>
    </row>
    <row r="19868">
      <c r="A19868" s="10" t="s">
        <v>21307</v>
      </c>
      <c r="B19868" s="7" t="str">
        <f>IFERROR(__xludf.DUMMYFUNCTION("SPLIT(A19868,"" "")"),"Cc1cccnc1CN(C)c1cc(-c2ccnc(CN(C)C(C)C)c2)cc2ncccc12")</f>
        <v>Cc1cccnc1CN(C)c1cc(-c2ccnc(CN(C)C(C)C)c2)cc2ncccc12</v>
      </c>
      <c r="C19868" s="7">
        <f>IFERROR(__xludf.DUMMYFUNCTION("""COMPUTED_VALUE"""),7.71371)</f>
        <v>7.71371</v>
      </c>
      <c r="D19868" s="7">
        <f>IFERROR(__xludf.DUMMYFUNCTION("""COMPUTED_VALUE"""),0.311475409836065)</f>
        <v>0.3114754098</v>
      </c>
    </row>
    <row r="19869">
      <c r="A19869" s="10" t="s">
        <v>21308</v>
      </c>
      <c r="B19869" s="7" t="str">
        <f>IFERROR(__xludf.DUMMYFUNCTION("SPLIT(A19869,"" "")"),"CN(C)C1=CCC(CN(C)c2ccc3cccnc3c2)=CN1")</f>
        <v>CN(C)C1=CCC(CN(C)c2ccc3cccnc3c2)=CN1</v>
      </c>
      <c r="C19869" s="7">
        <f>IFERROR(__xludf.DUMMYFUNCTION("""COMPUTED_VALUE"""),7.713659)</f>
        <v>7.713659</v>
      </c>
      <c r="D19869" s="7">
        <f>IFERROR(__xludf.DUMMYFUNCTION("""COMPUTED_VALUE"""),0.293103448275862)</f>
        <v>0.2931034483</v>
      </c>
    </row>
    <row r="19870">
      <c r="A19870" s="10" t="s">
        <v>21309</v>
      </c>
      <c r="B19870" s="7" t="str">
        <f>IFERROR(__xludf.DUMMYFUNCTION("SPLIT(A19870,"" "")"),"Cc1cccnc1CN(C)C1=CCC=C(CN(C)c2ccc3cccnc3c2)N1")</f>
        <v>Cc1cccnc1CN(C)C1=CCC=C(CN(C)c2ccc3cccnc3c2)N1</v>
      </c>
      <c r="C19870" s="7">
        <f>IFERROR(__xludf.DUMMYFUNCTION("""COMPUTED_VALUE"""),7.7136393)</f>
        <v>7.7136393</v>
      </c>
      <c r="D19870" s="7">
        <f>IFERROR(__xludf.DUMMYFUNCTION("""COMPUTED_VALUE"""),0.265625)</f>
        <v>0.265625</v>
      </c>
    </row>
    <row r="19871">
      <c r="A19871" s="10" t="s">
        <v>21310</v>
      </c>
      <c r="B19871" s="7" t="str">
        <f>IFERROR(__xludf.DUMMYFUNCTION("SPLIT(A19871,"" "")"),"Cc1cccnc1CN(C)C1=CCC=C(CN(C)c2ccc3ncccc3c2)N1")</f>
        <v>Cc1cccnc1CN(C)C1=CCC=C(CN(C)c2ccc3ncccc3c2)N1</v>
      </c>
      <c r="C19871" s="7">
        <f>IFERROR(__xludf.DUMMYFUNCTION("""COMPUTED_VALUE"""),7.7136164)</f>
        <v>7.7136164</v>
      </c>
      <c r="D19871" s="7">
        <f>IFERROR(__xludf.DUMMYFUNCTION("""COMPUTED_VALUE"""),0.262295081967213)</f>
        <v>0.262295082</v>
      </c>
    </row>
    <row r="19872">
      <c r="A19872" s="10" t="s">
        <v>21311</v>
      </c>
      <c r="B19872" s="7" t="str">
        <f>IFERROR(__xludf.DUMMYFUNCTION("SPLIT(A19872,"" "")"),"CCN(CCN(C)c1ccc2cccnc2c1)c1ccc2ncccc2c1")</f>
        <v>CCN(CCN(C)c1ccc2cccnc2c1)c1ccc2ncccc2c1</v>
      </c>
      <c r="C19872" s="7">
        <f>IFERROR(__xludf.DUMMYFUNCTION("""COMPUTED_VALUE"""),7.7135916)</f>
        <v>7.7135916</v>
      </c>
      <c r="D19872" s="7">
        <f>IFERROR(__xludf.DUMMYFUNCTION("""COMPUTED_VALUE"""),0.375)</f>
        <v>0.375</v>
      </c>
    </row>
    <row r="19873">
      <c r="A19873" s="10" t="s">
        <v>21312</v>
      </c>
      <c r="B19873" s="7" t="str">
        <f>IFERROR(__xludf.DUMMYFUNCTION("SPLIT(A19873,"" "")"),"Cc1cccnc1CN(C)Cc1cccnc1-c1cc2cccnc2cc1N(C)Cc1ccccn1")</f>
        <v>Cc1cccnc1CN(C)Cc1cccnc1-c1cc2cccnc2cc1N(C)Cc1ccccn1</v>
      </c>
      <c r="C19873" s="7">
        <f>IFERROR(__xludf.DUMMYFUNCTION("""COMPUTED_VALUE"""),7.713588)</f>
        <v>7.713588</v>
      </c>
      <c r="D19873" s="7">
        <f>IFERROR(__xludf.DUMMYFUNCTION("""COMPUTED_VALUE"""),0.413793103448275)</f>
        <v>0.4137931034</v>
      </c>
    </row>
    <row r="19874">
      <c r="A19874" s="10" t="s">
        <v>21313</v>
      </c>
      <c r="B19874" s="7" t="str">
        <f>IFERROR(__xludf.DUMMYFUNCTION("SPLIT(A19874,"" "")"),"CN(Cc1ccccn1)C1=CCC=C(CN(C)c2cccc3ncccc23)N1")</f>
        <v>CN(Cc1ccccn1)C1=CCC=C(CN(C)c2cccc3ncccc23)N1</v>
      </c>
      <c r="C19874" s="7">
        <f>IFERROR(__xludf.DUMMYFUNCTION("""COMPUTED_VALUE"""),7.7135844)</f>
        <v>7.7135844</v>
      </c>
      <c r="D19874" s="7">
        <f>IFERROR(__xludf.DUMMYFUNCTION("""COMPUTED_VALUE"""),0.418181818181818)</f>
        <v>0.4181818182</v>
      </c>
    </row>
    <row r="19875">
      <c r="A19875" s="10" t="s">
        <v>21314</v>
      </c>
      <c r="B19875" s="7" t="str">
        <f>IFERROR(__xludf.DUMMYFUNCTION("SPLIT(A19875,"" "")"),"Cc1ccccc1N(Cc1ccccn1)c1ccc2ncccc2c1")</f>
        <v>Cc1ccccc1N(Cc1ccccn1)c1ccc2ncccc2c1</v>
      </c>
      <c r="C19875" s="7">
        <f>IFERROR(__xludf.DUMMYFUNCTION("""COMPUTED_VALUE"""),7.713581)</f>
        <v>7.713581</v>
      </c>
      <c r="D19875" s="7">
        <f>IFERROR(__xludf.DUMMYFUNCTION("""COMPUTED_VALUE"""),0.408163265306122)</f>
        <v>0.4081632653</v>
      </c>
    </row>
    <row r="19876">
      <c r="A19876" s="10" t="s">
        <v>21315</v>
      </c>
      <c r="B19876" s="7" t="str">
        <f>IFERROR(__xludf.DUMMYFUNCTION("SPLIT(A19876,"" "")"),"CNc1ccc(-c2cc(C(C)(c3ccccn3)c3ccccn3)ccn2)nc1")</f>
        <v>CNc1ccc(-c2cc(C(C)(c3ccccn3)c3ccccn3)ccn2)nc1</v>
      </c>
      <c r="C19876" s="7">
        <f>IFERROR(__xludf.DUMMYFUNCTION("""COMPUTED_VALUE"""),7.7135644)</f>
        <v>7.7135644</v>
      </c>
      <c r="D19876" s="7">
        <f>IFERROR(__xludf.DUMMYFUNCTION("""COMPUTED_VALUE"""),0.350877192982456)</f>
        <v>0.350877193</v>
      </c>
    </row>
    <row r="19877">
      <c r="A19877" s="10" t="s">
        <v>21316</v>
      </c>
      <c r="B19877" s="7" t="str">
        <f>IFERROR(__xludf.DUMMYFUNCTION("SPLIT(A19877,"" "")"),"Cc1cnccc1-c1ccc(N=Cc2ccccn2)cc1")</f>
        <v>Cc1cnccc1-c1ccc(N=Cc2ccccn2)cc1</v>
      </c>
      <c r="C19877" s="7">
        <f>IFERROR(__xludf.DUMMYFUNCTION("""COMPUTED_VALUE"""),7.713536)</f>
        <v>7.713536</v>
      </c>
      <c r="D19877" s="7">
        <f>IFERROR(__xludf.DUMMYFUNCTION("""COMPUTED_VALUE"""),0.468085106382978)</f>
        <v>0.4680851064</v>
      </c>
    </row>
    <row r="19878">
      <c r="A19878" s="10" t="s">
        <v>21317</v>
      </c>
      <c r="B19878" s="7" t="str">
        <f>IFERROR(__xludf.DUMMYFUNCTION("SPLIT(A19878,"" "")"),"CN(c1ccc2cccnc2c1)C1CC2C=CC=NC2C1N(C)c1ccc2cccnc2c1")</f>
        <v>CN(c1ccc2cccnc2c1)C1CC2C=CC=NC2C1N(C)c1ccc2cccnc2c1</v>
      </c>
      <c r="C19878" s="7">
        <f>IFERROR(__xludf.DUMMYFUNCTION("""COMPUTED_VALUE"""),7.7135344)</f>
        <v>7.7135344</v>
      </c>
      <c r="D19878" s="7">
        <f>IFERROR(__xludf.DUMMYFUNCTION("""COMPUTED_VALUE"""),0.327868852459016)</f>
        <v>0.3278688525</v>
      </c>
    </row>
    <row r="19879">
      <c r="A19879" s="10" t="s">
        <v>21318</v>
      </c>
      <c r="B19879" s="7" t="str">
        <f>IFERROR(__xludf.DUMMYFUNCTION("SPLIT(A19879,"" "")"),"Cc1cc2cccnc2cc1CN(C)Cc1cc(-c2cccc(N=Cc3ccccn3)c2)ccn1")</f>
        <v>Cc1cc2cccnc2cc1CN(C)Cc1cc(-c2cccc(N=Cc3ccccn3)c2)ccn1</v>
      </c>
      <c r="C19879" s="7">
        <f>IFERROR(__xludf.DUMMYFUNCTION("""COMPUTED_VALUE"""),7.713501)</f>
        <v>7.713501</v>
      </c>
      <c r="D19879" s="7">
        <f>IFERROR(__xludf.DUMMYFUNCTION("""COMPUTED_VALUE"""),0.348484848484848)</f>
        <v>0.3484848485</v>
      </c>
    </row>
    <row r="19880">
      <c r="A19880" s="10" t="s">
        <v>21319</v>
      </c>
      <c r="B19880" s="7" t="str">
        <f>IFERROR(__xludf.DUMMYFUNCTION("SPLIT(A19880,"" "")"),"Cc1cnccc1CN(C)c1ccc2ncccc2c1")</f>
        <v>Cc1cnccc1CN(C)c1ccc2ncccc2c1</v>
      </c>
      <c r="C19880" s="7">
        <f>IFERROR(__xludf.DUMMYFUNCTION("""COMPUTED_VALUE"""),7.7135)</f>
        <v>7.7135</v>
      </c>
      <c r="D19880" s="7">
        <f>IFERROR(__xludf.DUMMYFUNCTION("""COMPUTED_VALUE"""),0.333333333333333)</f>
        <v>0.3333333333</v>
      </c>
    </row>
    <row r="19881">
      <c r="A19881" s="10" t="s">
        <v>21320</v>
      </c>
      <c r="B19881" s="7" t="str">
        <f>IFERROR(__xludf.DUMMYFUNCTION("SPLIT(A19881,"" "")"),"Cc1ccc(-c2cccc(NCc3cccc(-c4cccc(N=Cc5ccccn5)c4)n3)c2)nc1")</f>
        <v>Cc1ccc(-c2cccc(NCc3cccc(-c4cccc(N=Cc5ccccn5)c4)n3)c2)nc1</v>
      </c>
      <c r="C19881" s="7">
        <f>IFERROR(__xludf.DUMMYFUNCTION("""COMPUTED_VALUE"""),7.7134957)</f>
        <v>7.7134957</v>
      </c>
      <c r="D19881" s="7">
        <f>IFERROR(__xludf.DUMMYFUNCTION("""COMPUTED_VALUE"""),0.333333333333333)</f>
        <v>0.3333333333</v>
      </c>
    </row>
    <row r="19882">
      <c r="A19882" s="10" t="s">
        <v>21321</v>
      </c>
      <c r="B19882" s="7" t="str">
        <f>IFERROR(__xludf.DUMMYFUNCTION("SPLIT(A19882,"" "")"),"CN(CCN(Cc1cccnc1)c1ccc2cccnc2c1)c1ccc2cccnc2c1")</f>
        <v>CN(CCN(Cc1cccnc1)c1ccc2cccnc2c1)c1ccc2cccnc2c1</v>
      </c>
      <c r="C19882" s="7">
        <f>IFERROR(__xludf.DUMMYFUNCTION("""COMPUTED_VALUE"""),7.713489)</f>
        <v>7.713489</v>
      </c>
      <c r="D19882" s="7">
        <f>IFERROR(__xludf.DUMMYFUNCTION("""COMPUTED_VALUE"""),0.346153846153846)</f>
        <v>0.3461538462</v>
      </c>
    </row>
    <row r="19883">
      <c r="A19883" s="10" t="s">
        <v>21322</v>
      </c>
      <c r="B19883" s="7" t="str">
        <f>IFERROR(__xludf.DUMMYFUNCTION("SPLIT(A19883,"" "")"),"Cc1c(N(C)CC2=CCC=C(N(C)Cc3ccccn3)N2)ccc(Cl)c1-c1ccccn1")</f>
        <v>Cc1c(N(C)CC2=CCC=C(N(C)Cc3ccccn3)N2)ccc(Cl)c1-c1ccccn1</v>
      </c>
      <c r="C19883" s="7">
        <f>IFERROR(__xludf.DUMMYFUNCTION("""COMPUTED_VALUE"""),7.7134705)</f>
        <v>7.7134705</v>
      </c>
      <c r="D19883" s="7">
        <f>IFERROR(__xludf.DUMMYFUNCTION("""COMPUTED_VALUE"""),0.464285714285714)</f>
        <v>0.4642857143</v>
      </c>
    </row>
    <row r="19884">
      <c r="A19884" s="10" t="s">
        <v>21323</v>
      </c>
      <c r="B19884" s="7" t="str">
        <f>IFERROR(__xludf.DUMMYFUNCTION("SPLIT(A19884,"" "")"),"CCN(Cc1ccccn1)c1cc2cccnc2cc1-c1cccc(N(C)Cc2ccccn2)c1")</f>
        <v>CCN(Cc1ccccn1)c1cc2cccnc2cc1-c1cccc(N(C)Cc2ccccn2)c1</v>
      </c>
      <c r="C19884" s="7">
        <f>IFERROR(__xludf.DUMMYFUNCTION("""COMPUTED_VALUE"""),7.713462)</f>
        <v>7.713462</v>
      </c>
      <c r="D19884" s="7">
        <f>IFERROR(__xludf.DUMMYFUNCTION("""COMPUTED_VALUE"""),0.425925925925925)</f>
        <v>0.4259259259</v>
      </c>
    </row>
    <row r="19885">
      <c r="A19885" s="10" t="s">
        <v>21324</v>
      </c>
      <c r="B19885" s="7" t="str">
        <f>IFERROR(__xludf.DUMMYFUNCTION("SPLIT(A19885,"" "")"),"C1=CNCC(Nc2ncccc2-c2ncccc2C(c2ccccn2)c2ccccn2)=C1")</f>
        <v>C1=CNCC(Nc2ncccc2-c2ncccc2C(c2ccccn2)c2ccccn2)=C1</v>
      </c>
      <c r="C19885" s="7">
        <f>IFERROR(__xludf.DUMMYFUNCTION("""COMPUTED_VALUE"""),7.7134476)</f>
        <v>7.7134476</v>
      </c>
      <c r="D19885" s="7">
        <f>IFERROR(__xludf.DUMMYFUNCTION("""COMPUTED_VALUE"""),0.23076923076923)</f>
        <v>0.2307692308</v>
      </c>
    </row>
    <row r="19886">
      <c r="A19886" s="10" t="s">
        <v>21325</v>
      </c>
      <c r="B19886" s="7" t="str">
        <f>IFERROR(__xludf.DUMMYFUNCTION("SPLIT(A19886,"" "")"),"Cc1cccnc1CN(C)c1c(Cl)ccc(C)c1-c1cnc(CN(C)C(C)C)c(-c2c(C)c(C)c(C)c(C)c2N(C)Cc2ncccc2C)c1")</f>
        <v>Cc1cccnc1CN(C)c1c(Cl)ccc(C)c1-c1cnc(CN(C)C(C)C)c(-c2c(C)c(C)c(C)c(C)c2N(C)Cc2ncccc2C)c1</v>
      </c>
      <c r="C19886" s="7">
        <f>IFERROR(__xludf.DUMMYFUNCTION("""COMPUTED_VALUE"""),7.713446)</f>
        <v>7.713446</v>
      </c>
      <c r="D19886" s="7">
        <f>IFERROR(__xludf.DUMMYFUNCTION("""COMPUTED_VALUE"""),0.260869565217391)</f>
        <v>0.2608695652</v>
      </c>
    </row>
    <row r="19887">
      <c r="A19887" s="10" t="s">
        <v>21326</v>
      </c>
      <c r="B19887" s="7" t="str">
        <f>IFERROR(__xludf.DUMMYFUNCTION("SPLIT(A19887,"" "")"),"C1=CCNC(Nc2cccc(-c3cccc(C(c4ccccn4)c4ccccn4)n3)n2)=C1")</f>
        <v>C1=CCNC(Nc2cccc(-c3cccc(C(c4ccccn4)c4ccccn4)n3)n2)=C1</v>
      </c>
      <c r="C19887" s="7">
        <f>IFERROR(__xludf.DUMMYFUNCTION("""COMPUTED_VALUE"""),7.7134395)</f>
        <v>7.7134395</v>
      </c>
      <c r="D19887" s="7">
        <f>IFERROR(__xludf.DUMMYFUNCTION("""COMPUTED_VALUE"""),0.306451612903225)</f>
        <v>0.3064516129</v>
      </c>
    </row>
    <row r="19888">
      <c r="A19888" s="10" t="s">
        <v>21327</v>
      </c>
      <c r="B19888" s="7" t="str">
        <f>IFERROR(__xludf.DUMMYFUNCTION("SPLIT(A19888,"" "")"),"CC(C)N(Cc1ccccn1)c1cccc2ccc(C3=CCC=CN3)nc12")</f>
        <v>CC(C)N(Cc1ccccn1)c1cccc2ccc(C3=CCC=CN3)nc12</v>
      </c>
      <c r="C19888" s="7">
        <f>IFERROR(__xludf.DUMMYFUNCTION("""COMPUTED_VALUE"""),7.713433)</f>
        <v>7.713433</v>
      </c>
      <c r="D19888" s="7">
        <f>IFERROR(__xludf.DUMMYFUNCTION("""COMPUTED_VALUE"""),0.442622950819672)</f>
        <v>0.4426229508</v>
      </c>
    </row>
    <row r="19889">
      <c r="A19889" s="10" t="s">
        <v>21328</v>
      </c>
      <c r="B19889" s="7" t="str">
        <f>IFERROR(__xludf.DUMMYFUNCTION("SPLIT(A19889,"" "")"),"Cc1c(C)c(C)c(-c2cc(-c3ccccc3)c(-c3c(C)c(C)c(C)c(C)c3C)nc2CN(Cc2ccccn2)Cc2ccccn2)c(C)c1C")</f>
        <v>Cc1c(C)c(C)c(-c2cc(-c3ccccc3)c(-c3c(C)c(C)c(C)c(C)c3C)nc2CN(Cc2ccccn2)Cc2ccccn2)c(C)c1C</v>
      </c>
      <c r="C19889" s="7">
        <f>IFERROR(__xludf.DUMMYFUNCTION("""COMPUTED_VALUE"""),7.7134323)</f>
        <v>7.7134323</v>
      </c>
      <c r="D19889" s="7">
        <f>IFERROR(__xludf.DUMMYFUNCTION("""COMPUTED_VALUE"""),0.465116279069767)</f>
        <v>0.4651162791</v>
      </c>
    </row>
    <row r="19890">
      <c r="A19890" s="10" t="s">
        <v>21329</v>
      </c>
      <c r="B19890" s="7" t="str">
        <f>IFERROR(__xludf.DUMMYFUNCTION("SPLIT(A19890,"" "")"),"CNCc1ccc2cccc(N(C)CCN(C)c3ccc4nc(CF)ccc4c3)c2n1")</f>
        <v>CNCc1ccc2cccc(N(C)CCN(C)c3ccc4nc(CF)ccc4c3)c2n1</v>
      </c>
      <c r="C19890" s="7">
        <f>IFERROR(__xludf.DUMMYFUNCTION("""COMPUTED_VALUE"""),7.713429)</f>
        <v>7.713429</v>
      </c>
      <c r="D19890" s="7">
        <f>IFERROR(__xludf.DUMMYFUNCTION("""COMPUTED_VALUE"""),0.448275862068965)</f>
        <v>0.4482758621</v>
      </c>
    </row>
    <row r="19891">
      <c r="A19891" s="10" t="s">
        <v>21330</v>
      </c>
      <c r="B19891" s="7" t="str">
        <f>IFERROR(__xludf.DUMMYFUNCTION("SPLIT(A19891,"" "")"),"Cc1cncc(CN(C)c2cc(N(C)C(C)C)cc3ncccc23)c1")</f>
        <v>Cc1cncc(CN(C)c2cc(N(C)C(C)C)cc3ncccc23)c1</v>
      </c>
      <c r="C19891" s="7">
        <f>IFERROR(__xludf.DUMMYFUNCTION("""COMPUTED_VALUE"""),7.7134213)</f>
        <v>7.7134213</v>
      </c>
      <c r="D19891" s="7">
        <f>IFERROR(__xludf.DUMMYFUNCTION("""COMPUTED_VALUE"""),0.288135593220339)</f>
        <v>0.2881355932</v>
      </c>
    </row>
    <row r="19892">
      <c r="A19892" s="10" t="s">
        <v>21331</v>
      </c>
      <c r="B19892" s="7" t="str">
        <f>IFERROR(__xludf.DUMMYFUNCTION("SPLIT(A19892,"" "")"),"CN(CCN(Cc1ccccn1)c1ccc2nccc(CF)c2c1)c1ccc2ncccc2c1")</f>
        <v>CN(CCN(Cc1ccccn1)c1ccc2nccc(CF)c2c1)c1ccc2ncccc2c1</v>
      </c>
      <c r="C19892" s="7">
        <f>IFERROR(__xludf.DUMMYFUNCTION("""COMPUTED_VALUE"""),7.7134185)</f>
        <v>7.7134185</v>
      </c>
      <c r="D19892" s="7">
        <f>IFERROR(__xludf.DUMMYFUNCTION("""COMPUTED_VALUE"""),0.35593220338983)</f>
        <v>0.3559322034</v>
      </c>
    </row>
    <row r="19893">
      <c r="A19893" s="10" t="s">
        <v>21332</v>
      </c>
      <c r="B19893" s="7" t="str">
        <f>IFERROR(__xludf.DUMMYFUNCTION("SPLIT(A19893,"" "")"),"Cc1ccc2c(CN(C)Cc3ccc(-c4cccc(N=Cc5ccccn5)c4)cn3)ccnc2c1")</f>
        <v>Cc1ccc2c(CN(C)Cc3ccc(-c4cccc(N=Cc5ccccn5)c4)cn3)ccnc2c1</v>
      </c>
      <c r="C19893" s="7">
        <f>IFERROR(__xludf.DUMMYFUNCTION("""COMPUTED_VALUE"""),7.7133784)</f>
        <v>7.7133784</v>
      </c>
      <c r="D19893" s="7">
        <f>IFERROR(__xludf.DUMMYFUNCTION("""COMPUTED_VALUE"""),0.318840579710144)</f>
        <v>0.3188405797</v>
      </c>
    </row>
    <row r="19894">
      <c r="A19894" s="10" t="s">
        <v>21333</v>
      </c>
      <c r="B19894" s="7" t="str">
        <f>IFERROR(__xludf.DUMMYFUNCTION("SPLIT(A19894,"" "")"),"CN(Cc1cccnn1)C1=CC(CN(Cc2ccc3ncccc3c2)c2ccc3cccnc3c2)C=CN1")</f>
        <v>CN(Cc1cccnn1)C1=CC(CN(Cc2ccc3ncccc3c2)c2ccc3cccnc3c2)C=CN1</v>
      </c>
      <c r="C19894" s="7">
        <f>IFERROR(__xludf.DUMMYFUNCTION("""COMPUTED_VALUE"""),7.713366)</f>
        <v>7.713366</v>
      </c>
      <c r="D19894" s="7">
        <f>IFERROR(__xludf.DUMMYFUNCTION("""COMPUTED_VALUE"""),0.318181818181818)</f>
        <v>0.3181818182</v>
      </c>
    </row>
    <row r="19895">
      <c r="A19895" s="10" t="s">
        <v>21334</v>
      </c>
      <c r="B19895" s="7" t="str">
        <f>IFERROR(__xludf.DUMMYFUNCTION("SPLIT(A19895,"" "")"),"CN(CCN(Cc1ccccn1)c1ccc2ncccc2c1)c1ccc2nccc(CF)c2c1")</f>
        <v>CN(CCN(Cc1ccccn1)c1ccc2ncccc2c1)c1ccc2nccc(CF)c2c1</v>
      </c>
      <c r="C19895" s="7">
        <f>IFERROR(__xludf.DUMMYFUNCTION("""COMPUTED_VALUE"""),7.7133603)</f>
        <v>7.7133603</v>
      </c>
      <c r="D19895" s="7">
        <f>IFERROR(__xludf.DUMMYFUNCTION("""COMPUTED_VALUE"""),0.35593220338983)</f>
        <v>0.3559322034</v>
      </c>
    </row>
    <row r="19896">
      <c r="A19896" s="10" t="s">
        <v>21335</v>
      </c>
      <c r="B19896" s="7" t="str">
        <f>IFERROR(__xludf.DUMMYFUNCTION("SPLIT(A19896,"" "")"),"CCNCc1cccc(-c2cc(N(C)Cc3ccccn3)cc3ncccc23)n1")</f>
        <v>CCNCc1cccc(-c2cc(N(C)Cc3ccccn3)cc3ncccc23)n1</v>
      </c>
      <c r="C19896" s="7">
        <f>IFERROR(__xludf.DUMMYFUNCTION("""COMPUTED_VALUE"""),7.7133317)</f>
        <v>7.7133317</v>
      </c>
      <c r="D19896" s="7">
        <f>IFERROR(__xludf.DUMMYFUNCTION("""COMPUTED_VALUE"""),0.413793103448275)</f>
        <v>0.4137931034</v>
      </c>
    </row>
    <row r="19897">
      <c r="A19897" s="10" t="s">
        <v>21336</v>
      </c>
      <c r="B19897" s="7" t="str">
        <f>IFERROR(__xludf.DUMMYFUNCTION("SPLIT(A19897,"" "")"),"CCN(CCN(C)c1ccc2cccnc2c1)c1ccc2cccnc2c1")</f>
        <v>CCN(CCN(C)c1ccc2cccnc2c1)c1ccc2cccnc2c1</v>
      </c>
      <c r="C19897" s="7">
        <f>IFERROR(__xludf.DUMMYFUNCTION("""COMPUTED_VALUE"""),7.7133203)</f>
        <v>7.7133203</v>
      </c>
      <c r="D19897" s="7">
        <f>IFERROR(__xludf.DUMMYFUNCTION("""COMPUTED_VALUE"""),0.4)</f>
        <v>0.4</v>
      </c>
    </row>
    <row r="19898">
      <c r="A19898" s="10" t="s">
        <v>21337</v>
      </c>
      <c r="B19898" s="7" t="str">
        <f>IFERROR(__xludf.DUMMYFUNCTION("SPLIT(A19898,"" "")"),"Cc1nc(CN(C)C2=CCC=C(CN(C)c3ccc4cccnc4c3)N2)c(C)c(C)c1C")</f>
        <v>Cc1nc(CN(C)C2=CCC=C(CN(C)c3ccc4cccnc4c3)N2)c(C)c(C)c1C</v>
      </c>
      <c r="C19898" s="7">
        <f>IFERROR(__xludf.DUMMYFUNCTION("""COMPUTED_VALUE"""),7.7133174)</f>
        <v>7.7133174</v>
      </c>
      <c r="D19898" s="7">
        <f>IFERROR(__xludf.DUMMYFUNCTION("""COMPUTED_VALUE"""),0.253731343283582)</f>
        <v>0.2537313433</v>
      </c>
    </row>
    <row r="19899">
      <c r="A19899" s="10" t="s">
        <v>21338</v>
      </c>
      <c r="B19899" s="7" t="str">
        <f>IFERROR(__xludf.DUMMYFUNCTION("SPLIT(A19899,"" "")"),"Cc1nc(CN(C)C2=CCC=C(CN(C)c3ccc4ncccc4c3)N2)c(C)c(C)c1C")</f>
        <v>Cc1nc(CN(C)C2=CCC=C(CN(C)c3ccc4ncccc4c3)N2)c(C)c(C)c1C</v>
      </c>
      <c r="C19899" s="7">
        <f>IFERROR(__xludf.DUMMYFUNCTION("""COMPUTED_VALUE"""),7.7133164)</f>
        <v>7.7133164</v>
      </c>
      <c r="D19899" s="7">
        <f>IFERROR(__xludf.DUMMYFUNCTION("""COMPUTED_VALUE"""),0.25)</f>
        <v>0.25</v>
      </c>
    </row>
    <row r="19900">
      <c r="A19900" s="10" t="s">
        <v>21339</v>
      </c>
      <c r="B19900" s="7" t="str">
        <f>IFERROR(__xludf.DUMMYFUNCTION("SPLIT(A19900,"" "")"),"Cc1cnc(CN(C)c2ccc3nc(CN(C)C)ccc3c2)c(C)c1")</f>
        <v>Cc1cnc(CN(C)c2ccc3nc(CN(C)C)ccc3c2)c(C)c1</v>
      </c>
      <c r="C19900" s="7">
        <f>IFERROR(__xludf.DUMMYFUNCTION("""COMPUTED_VALUE"""),7.713311)</f>
        <v>7.713311</v>
      </c>
      <c r="D19900" s="7">
        <f>IFERROR(__xludf.DUMMYFUNCTION("""COMPUTED_VALUE"""),0.346938775510204)</f>
        <v>0.3469387755</v>
      </c>
    </row>
    <row r="19901">
      <c r="A19901" s="10" t="s">
        <v>21340</v>
      </c>
      <c r="B19901" s="7" t="str">
        <f>IFERROR(__xludf.DUMMYFUNCTION("SPLIT(A19901,"" "")"),"CN(Cc1ccccn1)c1cc(C(C)(C)CN(Cc2ccccn2)c2ccc3ncccc3c2)c2ncccc2c1")</f>
        <v>CN(Cc1ccccn1)c1cc(C(C)(C)CN(Cc2ccccn2)c2ccc3ncccc3c2)c2ncccc2c1</v>
      </c>
      <c r="C19901" s="7">
        <f>IFERROR(__xludf.DUMMYFUNCTION("""COMPUTED_VALUE"""),7.7133107)</f>
        <v>7.7133107</v>
      </c>
      <c r="D19901" s="7">
        <f>IFERROR(__xludf.DUMMYFUNCTION("""COMPUTED_VALUE"""),0.385964912280701)</f>
        <v>0.3859649123</v>
      </c>
    </row>
    <row r="19902">
      <c r="A19902" s="10" t="s">
        <v>21341</v>
      </c>
      <c r="B19902" s="7" t="str">
        <f>IFERROR(__xludf.DUMMYFUNCTION("SPLIT(A19902,"" "")"),"Cc1cnc(CN(C)c2cc(N(Cc3ccccn3)C(C)C)cc3ncccc23)c(C)c1C")</f>
        <v>Cc1cnc(CN(C)c2cc(N(Cc3ccccn3)C(C)C)cc3ncccc23)c(C)c1C</v>
      </c>
      <c r="C19902" s="7">
        <f>IFERROR(__xludf.DUMMYFUNCTION("""COMPUTED_VALUE"""),7.7132883)</f>
        <v>7.7132883</v>
      </c>
      <c r="D19902" s="7">
        <f>IFERROR(__xludf.DUMMYFUNCTION("""COMPUTED_VALUE"""),0.389830508474576)</f>
        <v>0.3898305085</v>
      </c>
    </row>
    <row r="19903">
      <c r="A19903" s="10" t="s">
        <v>21342</v>
      </c>
      <c r="B19903" s="7" t="str">
        <f>IFERROR(__xludf.DUMMYFUNCTION("SPLIT(A19903,"" "")"),"Cc1c(C)c(C)c(N(CN(C)CN(CN(c2ccc3cc(C(C)(C)C)cnc3c2)C(C)C)c2cc(C)c3cccnc3c2)CN(c2ccc3ncc(C(C)(C)C)cc3c2)C(C)C)c(C)c1C")</f>
        <v>Cc1c(C)c(C)c(N(CN(C)CN(CN(c2ccc3cc(C(C)(C)C)cnc3c2)C(C)C)c2cc(C)c3cccnc3c2)CN(c2ccc3ncc(C(C)(C)C)cc3c2)C(C)C)c(C)c1C</v>
      </c>
      <c r="C19903" s="7">
        <f>IFERROR(__xludf.DUMMYFUNCTION("""COMPUTED_VALUE"""),7.7132874)</f>
        <v>7.7132874</v>
      </c>
      <c r="D19903" s="7">
        <f>IFERROR(__xludf.DUMMYFUNCTION("""COMPUTED_VALUE"""),0.2)</f>
        <v>0.2</v>
      </c>
    </row>
    <row r="19904">
      <c r="A19904" s="10" t="s">
        <v>21343</v>
      </c>
      <c r="B19904" s="7" t="str">
        <f>IFERROR(__xludf.DUMMYFUNCTION("SPLIT(A19904,"" "")"),"CN(Cc1cccc(F)n1)c1ccc2ncccc2c1")</f>
        <v>CN(Cc1cccc(F)n1)c1ccc2ncccc2c1</v>
      </c>
      <c r="C19904" s="7">
        <f>IFERROR(__xludf.DUMMYFUNCTION("""COMPUTED_VALUE"""),7.7132664)</f>
        <v>7.7132664</v>
      </c>
      <c r="D19904" s="7">
        <f>IFERROR(__xludf.DUMMYFUNCTION("""COMPUTED_VALUE"""),0.38)</f>
        <v>0.38</v>
      </c>
    </row>
    <row r="19905">
      <c r="A19905" s="10" t="s">
        <v>21344</v>
      </c>
      <c r="B19905" s="7" t="str">
        <f>IFERROR(__xludf.DUMMYFUNCTION("SPLIT(A19905,"" "")"),"Cc1cc(N=Cc2ccccn2)cc(-c2cccc(C)n2)c1")</f>
        <v>Cc1cc(N=Cc2ccccn2)cc(-c2cccc(C)n2)c1</v>
      </c>
      <c r="C19905" s="7">
        <f>IFERROR(__xludf.DUMMYFUNCTION("""COMPUTED_VALUE"""),7.713259)</f>
        <v>7.713259</v>
      </c>
      <c r="D19905" s="7">
        <f>IFERROR(__xludf.DUMMYFUNCTION("""COMPUTED_VALUE"""),0.44)</f>
        <v>0.44</v>
      </c>
    </row>
    <row r="19906">
      <c r="A19906" s="10" t="s">
        <v>21345</v>
      </c>
      <c r="B19906" s="7" t="str">
        <f>IFERROR(__xludf.DUMMYFUNCTION("SPLIT(A19906,"" "")"),"CCN(CCN(C)c1ccc2nccc(CF)c2c1)c1ccc2ncccc2c1")</f>
        <v>CCN(CCN(C)c1ccc2nccc(CF)c2c1)c1ccc2ncccc2c1</v>
      </c>
      <c r="C19906" s="7">
        <f>IFERROR(__xludf.DUMMYFUNCTION("""COMPUTED_VALUE"""),7.713237)</f>
        <v>7.713237</v>
      </c>
      <c r="D19906" s="7">
        <f>IFERROR(__xludf.DUMMYFUNCTION("""COMPUTED_VALUE"""),0.327272727272727)</f>
        <v>0.3272727273</v>
      </c>
    </row>
    <row r="19907">
      <c r="A19907" s="10" t="s">
        <v>21346</v>
      </c>
      <c r="B19907" s="7" t="str">
        <f>IFERROR(__xludf.DUMMYFUNCTION("SPLIT(A19907,"" "")"),"Cc1ccc(-c2cccc(N=Cc3ccccn3)c2)nc1-c1ccccc1NCc1ccccn1")</f>
        <v>Cc1ccc(-c2cccc(N=Cc3ccccn3)c2)nc1-c1ccccc1NCc1ccccn1</v>
      </c>
      <c r="C19907" s="7">
        <f>IFERROR(__xludf.DUMMYFUNCTION("""COMPUTED_VALUE"""),7.7132344)</f>
        <v>7.7132344</v>
      </c>
      <c r="D19907" s="7">
        <f>IFERROR(__xludf.DUMMYFUNCTION("""COMPUTED_VALUE"""),0.353846153846153)</f>
        <v>0.3538461538</v>
      </c>
    </row>
    <row r="19908">
      <c r="A19908" s="10" t="s">
        <v>21347</v>
      </c>
      <c r="B19908" s="7" t="str">
        <f>IFERROR(__xludf.DUMMYFUNCTION("SPLIT(A19908,"" "")"),"Cc1cccnc1-c1ccc(CN(C)Cc2cccc(N(C)c3cccc4nc(CN(C)C)ccc34)n2)cc1")</f>
        <v>Cc1cccnc1-c1ccc(CN(C)Cc2cccc(N(C)c3cccc4nc(CN(C)C)ccc34)n2)cc1</v>
      </c>
      <c r="C19908" s="7">
        <f>IFERROR(__xludf.DUMMYFUNCTION("""COMPUTED_VALUE"""),7.7132297)</f>
        <v>7.7132297</v>
      </c>
      <c r="D19908" s="7">
        <f>IFERROR(__xludf.DUMMYFUNCTION("""COMPUTED_VALUE"""),0.318181818181818)</f>
        <v>0.3181818182</v>
      </c>
    </row>
    <row r="19909">
      <c r="A19909" s="10" t="s">
        <v>21348</v>
      </c>
      <c r="B19909" s="7" t="str">
        <f>IFERROR(__xludf.DUMMYFUNCTION("SPLIT(A19909,"" "")"),"CC(C)N(Cc1ccccn1)c1ccc2ccc(C3=CCC=CN3)nc2c1")</f>
        <v>CC(C)N(Cc1ccccn1)c1ccc2ccc(C3=CCC=CN3)nc2c1</v>
      </c>
      <c r="C19909" s="7">
        <f>IFERROR(__xludf.DUMMYFUNCTION("""COMPUTED_VALUE"""),7.7132053)</f>
        <v>7.7132053</v>
      </c>
      <c r="D19909" s="7">
        <f>IFERROR(__xludf.DUMMYFUNCTION("""COMPUTED_VALUE"""),0.442622950819672)</f>
        <v>0.4426229508</v>
      </c>
    </row>
    <row r="19910">
      <c r="A19910" s="10" t="s">
        <v>21349</v>
      </c>
      <c r="B19910" s="7" t="str">
        <f>IFERROR(__xludf.DUMMYFUNCTION("SPLIT(A19910,"" "")"),"Cc1ccc(C)c(N(C)Cc2cc(-c3cccc(N(C)C)c3)ccn2)c1")</f>
        <v>Cc1ccc(C)c(N(C)Cc2cc(-c3cccc(N(C)C)c3)ccn2)c1</v>
      </c>
      <c r="C19910" s="7">
        <f>IFERROR(__xludf.DUMMYFUNCTION("""COMPUTED_VALUE"""),7.713182)</f>
        <v>7.713182</v>
      </c>
      <c r="D19910" s="7">
        <f>IFERROR(__xludf.DUMMYFUNCTION("""COMPUTED_VALUE"""),0.365384615384615)</f>
        <v>0.3653846154</v>
      </c>
    </row>
    <row r="19911">
      <c r="A19911" s="10" t="s">
        <v>21350</v>
      </c>
      <c r="B19911" s="7" t="str">
        <f>IFERROR(__xludf.DUMMYFUNCTION("SPLIT(A19911,"" "")"),"Cc1cnccc1-c1cccc(N=Cc2ccccn2)c1")</f>
        <v>Cc1cnccc1-c1cccc(N=Cc2ccccn2)c1</v>
      </c>
      <c r="C19911" s="7">
        <f>IFERROR(__xludf.DUMMYFUNCTION("""COMPUTED_VALUE"""),7.713178)</f>
        <v>7.713178</v>
      </c>
      <c r="D19911" s="7">
        <f>IFERROR(__xludf.DUMMYFUNCTION("""COMPUTED_VALUE"""),0.46938775510204)</f>
        <v>0.4693877551</v>
      </c>
    </row>
    <row r="19912">
      <c r="A19912" s="10" t="s">
        <v>21351</v>
      </c>
      <c r="B19912" s="7" t="str">
        <f>IFERROR(__xludf.DUMMYFUNCTION("SPLIT(A19912,"" "")"),"CN(C)c1cncc(CN(Cc2ccccn2)c2cccc3ncccc23)c1")</f>
        <v>CN(C)c1cncc(CN(Cc2ccccn2)c2cccc3ncccc23)c1</v>
      </c>
      <c r="C19912" s="7">
        <f>IFERROR(__xludf.DUMMYFUNCTION("""COMPUTED_VALUE"""),7.713167)</f>
        <v>7.713167</v>
      </c>
      <c r="D19912" s="7">
        <f>IFERROR(__xludf.DUMMYFUNCTION("""COMPUTED_VALUE"""),0.375)</f>
        <v>0.375</v>
      </c>
    </row>
    <row r="19913">
      <c r="A19913" s="10" t="s">
        <v>21352</v>
      </c>
      <c r="B19913" s="7" t="str">
        <f>IFERROR(__xludf.DUMMYFUNCTION("SPLIT(A19913,"" "")"),"Cc1cccnc1CN(C)c1ccc(CN(Cc2ccc(N)cn2)c2cccc3c(C)ccnc23)nc1")</f>
        <v>Cc1cccnc1CN(C)c1ccc(CN(Cc2ccc(N)cn2)c2cccc3c(C)ccnc23)nc1</v>
      </c>
      <c r="C19913" s="7">
        <f>IFERROR(__xludf.DUMMYFUNCTION("""COMPUTED_VALUE"""),7.713135)</f>
        <v>7.713135</v>
      </c>
      <c r="D19913" s="7">
        <f>IFERROR(__xludf.DUMMYFUNCTION("""COMPUTED_VALUE"""),0.306451612903225)</f>
        <v>0.3064516129</v>
      </c>
    </row>
    <row r="19914">
      <c r="A19914" s="10" t="s">
        <v>21353</v>
      </c>
      <c r="B19914" s="7" t="str">
        <f>IFERROR(__xludf.DUMMYFUNCTION("SPLIT(A19914,"" "")"),"CN(CCN(Cc1ccccn1)c1ccc2ncccc2c1)c1ccc2ncccc2c1")</f>
        <v>CN(CCN(Cc1ccccn1)c1ccc2ncccc2c1)c1ccc2ncccc2c1</v>
      </c>
      <c r="C19914" s="7">
        <f>IFERROR(__xludf.DUMMYFUNCTION("""COMPUTED_VALUE"""),7.7131214)</f>
        <v>7.7131214</v>
      </c>
      <c r="D19914" s="7">
        <f>IFERROR(__xludf.DUMMYFUNCTION("""COMPUTED_VALUE"""),0.4375)</f>
        <v>0.4375</v>
      </c>
    </row>
    <row r="19915">
      <c r="A19915" s="10" t="s">
        <v>21354</v>
      </c>
      <c r="B19915" s="7" t="str">
        <f>IFERROR(__xludf.DUMMYFUNCTION("SPLIT(A19915,"" "")"),"Cc1cc(CN(C)C2=CCC=C(CN(C)c3cccc4cccnc34)N2)nc(C)c1C")</f>
        <v>Cc1cc(CN(C)C2=CCC=C(CN(C)c3cccc4cccnc34)N2)nc(C)c1C</v>
      </c>
      <c r="C19915" s="7">
        <f>IFERROR(__xludf.DUMMYFUNCTION("""COMPUTED_VALUE"""),7.7131)</f>
        <v>7.7131</v>
      </c>
      <c r="D19915" s="7">
        <f>IFERROR(__xludf.DUMMYFUNCTION("""COMPUTED_VALUE"""),0.421052631578947)</f>
        <v>0.4210526316</v>
      </c>
    </row>
    <row r="19916">
      <c r="A19916" s="10" t="s">
        <v>21355</v>
      </c>
      <c r="B19916" s="7" t="str">
        <f>IFERROR(__xludf.DUMMYFUNCTION("SPLIT(A19916,"" "")"),"Cc1cc(C)c(CN(C)c2cc(N(Cc3ccccn3)C(C)C)cc3ncccc23)nc1C")</f>
        <v>Cc1cc(C)c(CN(C)c2cc(N(Cc3ccccn3)C(C)C)cc3ncccc23)nc1C</v>
      </c>
      <c r="C19916" s="7">
        <f>IFERROR(__xludf.DUMMYFUNCTION("""COMPUTED_VALUE"""),7.713096)</f>
        <v>7.713096</v>
      </c>
      <c r="D19916" s="7">
        <f>IFERROR(__xludf.DUMMYFUNCTION("""COMPUTED_VALUE"""),0.383333333333333)</f>
        <v>0.3833333333</v>
      </c>
    </row>
    <row r="19917">
      <c r="A19917" s="10" t="s">
        <v>21356</v>
      </c>
      <c r="B19917" s="7" t="str">
        <f>IFERROR(__xludf.DUMMYFUNCTION("SPLIT(A19917,"" "")"),"CCN(Cc1ccccn1)Cc1ccc2cccc(N(C)c3ccc4ncccc4c3)c2n1")</f>
        <v>CCN(Cc1ccccn1)Cc1ccc2cccc(N(C)c3ccc4ncccc4c3)c2n1</v>
      </c>
      <c r="C19917" s="7">
        <f>IFERROR(__xludf.DUMMYFUNCTION("""COMPUTED_VALUE"""),7.7130957)</f>
        <v>7.7130957</v>
      </c>
      <c r="D19917" s="7">
        <f>IFERROR(__xludf.DUMMYFUNCTION("""COMPUTED_VALUE"""),0.454545454545454)</f>
        <v>0.4545454545</v>
      </c>
    </row>
    <row r="19918">
      <c r="A19918" s="10" t="s">
        <v>21357</v>
      </c>
      <c r="B19918" s="7" t="str">
        <f>IFERROR(__xludf.DUMMYFUNCTION("SPLIT(A19918,"" "")"),"Cc1cc2cccnc2cc1CN(C)Cc1cc(-c2ccccc2N=Cc2ccccn2)ccn1")</f>
        <v>Cc1cc2cccnc2cc1CN(C)Cc1cc(-c2ccccc2N=Cc2ccccn2)ccn1</v>
      </c>
      <c r="C19918" s="7">
        <f>IFERROR(__xludf.DUMMYFUNCTION("""COMPUTED_VALUE"""),7.7130923)</f>
        <v>7.7130923</v>
      </c>
      <c r="D19918" s="7">
        <f>IFERROR(__xludf.DUMMYFUNCTION("""COMPUTED_VALUE"""),0.390625)</f>
        <v>0.390625</v>
      </c>
    </row>
    <row r="19919">
      <c r="A19919" s="10" t="s">
        <v>21358</v>
      </c>
      <c r="B19919" s="7" t="str">
        <f>IFERROR(__xludf.DUMMYFUNCTION("SPLIT(A19919,"" "")"),"CCN(Cc1ccccn1)c1ccc(-c2cc(-c3ccccn3)ccn2)cc1-c1cc(CN(Cc2ccccn2)Cc2ccc(-c3cccc(N=Cc4ccccn4)c3)cn2)ccn1")</f>
        <v>CCN(Cc1ccccn1)c1ccc(-c2cc(-c3ccccn3)ccn2)cc1-c1cc(CN(Cc2ccccn2)Cc2ccc(-c3cccc(N=Cc4ccccn4)c3)cn2)ccn1</v>
      </c>
      <c r="C19919" s="7">
        <f>IFERROR(__xludf.DUMMYFUNCTION("""COMPUTED_VALUE"""),7.713087)</f>
        <v>7.713087</v>
      </c>
      <c r="D19919" s="7">
        <f>IFERROR(__xludf.DUMMYFUNCTION("""COMPUTED_VALUE"""),0.333333333333333)</f>
        <v>0.3333333333</v>
      </c>
    </row>
    <row r="19920">
      <c r="A19920" s="10" t="s">
        <v>21359</v>
      </c>
      <c r="B19920" s="7" t="str">
        <f>IFERROR(__xludf.DUMMYFUNCTION("SPLIT(A19920,"" "")"),"CC(C)N(Cc1ccccn1)c1ccccc1-c1cncc(CN(C)c2cccc3cccnc23)c1")</f>
        <v>CC(C)N(Cc1ccccn1)c1ccccc1-c1cncc(CN(C)c2cccc3cccnc23)c1</v>
      </c>
      <c r="C19920" s="7">
        <f>IFERROR(__xludf.DUMMYFUNCTION("""COMPUTED_VALUE"""),7.71305)</f>
        <v>7.71305</v>
      </c>
      <c r="D19920" s="7">
        <f>IFERROR(__xludf.DUMMYFUNCTION("""COMPUTED_VALUE"""),0.413793103448275)</f>
        <v>0.4137931034</v>
      </c>
    </row>
    <row r="19921">
      <c r="A19921" s="10" t="s">
        <v>21360</v>
      </c>
      <c r="B19921" s="7" t="str">
        <f>IFERROR(__xludf.DUMMYFUNCTION("SPLIT(A19921,"" "")"),"Cc1cnc(CN(C)c2ccc(N(Cc3ccccn3)C(C)C)c3ncccc23)c(C)c1")</f>
        <v>Cc1cnc(CN(C)c2ccc(N(Cc3ccccn3)C(C)C)c3ncccc23)c(C)c1</v>
      </c>
      <c r="C19921" s="7">
        <f>IFERROR(__xludf.DUMMYFUNCTION("""COMPUTED_VALUE"""),7.713031)</f>
        <v>7.713031</v>
      </c>
      <c r="D19921" s="7">
        <f>IFERROR(__xludf.DUMMYFUNCTION("""COMPUTED_VALUE"""),0.403508771929824)</f>
        <v>0.4035087719</v>
      </c>
    </row>
    <row r="19922">
      <c r="A19922" s="10" t="s">
        <v>21361</v>
      </c>
      <c r="B19922" s="7" t="str">
        <f>IFERROR(__xludf.DUMMYFUNCTION("SPLIT(A19922,"" "")"),"Cc1nc(CN(C)C2=CCC=C(CN(C)c3cccc4ncccc34)N2)c(C)c(C)c1C")</f>
        <v>Cc1nc(CN(C)C2=CCC=C(CN(C)c3cccc4ncccc34)N2)c(C)c(C)c1C</v>
      </c>
      <c r="C19922" s="7">
        <f>IFERROR(__xludf.DUMMYFUNCTION("""COMPUTED_VALUE"""),7.7130256)</f>
        <v>7.7130256</v>
      </c>
      <c r="D19922" s="7">
        <f>IFERROR(__xludf.DUMMYFUNCTION("""COMPUTED_VALUE"""),0.306451612903225)</f>
        <v>0.3064516129</v>
      </c>
    </row>
    <row r="19923">
      <c r="A19923" s="10" t="s">
        <v>21362</v>
      </c>
      <c r="B19923" s="7" t="str">
        <f>IFERROR(__xludf.DUMMYFUNCTION("SPLIT(A19923,"" "")"),"CCNc1cccc2c(-c3cc(C)cc(NCc4ccccn4)c3)ccnc12")</f>
        <v>CCNc1cccc2c(-c3cc(C)cc(NCc4ccccn4)c3)ccnc12</v>
      </c>
      <c r="C19923" s="7">
        <f>IFERROR(__xludf.DUMMYFUNCTION("""COMPUTED_VALUE"""),7.7130136)</f>
        <v>7.7130136</v>
      </c>
      <c r="D19923" s="7">
        <f>IFERROR(__xludf.DUMMYFUNCTION("""COMPUTED_VALUE"""),0.375)</f>
        <v>0.375</v>
      </c>
    </row>
    <row r="19924">
      <c r="A19924" s="10" t="s">
        <v>21363</v>
      </c>
      <c r="B19924" s="7" t="str">
        <f>IFERROR(__xludf.DUMMYFUNCTION("SPLIT(A19924,"" "")"),"Cc1cnc(CN(C)C2=CCC=C(CN(C)c3ccc4cccnc4c3)N2)c(C)c1")</f>
        <v>Cc1cnc(CN(C)C2=CCC=C(CN(C)c3ccc4cccnc4c3)N2)c(C)c1</v>
      </c>
      <c r="C19924" s="7">
        <f>IFERROR(__xludf.DUMMYFUNCTION("""COMPUTED_VALUE"""),7.7130075)</f>
        <v>7.7130075</v>
      </c>
      <c r="D19924" s="7">
        <f>IFERROR(__xludf.DUMMYFUNCTION("""COMPUTED_VALUE"""),0.25)</f>
        <v>0.25</v>
      </c>
    </row>
    <row r="19925">
      <c r="A19925" s="10" t="s">
        <v>21364</v>
      </c>
      <c r="B19925" s="7" t="str">
        <f>IFERROR(__xludf.DUMMYFUNCTION("SPLIT(A19925,"" "")"),"CN(Cc1ccc2cccnc2c1)C1CCC(N(C)c2ccc3nccc(-c4ccc5ncccc5c4)c3c2)CC1")</f>
        <v>CN(Cc1ccc2cccnc2c1)C1CCC(N(C)c2ccc3nccc(-c4ccc5ncccc5c4)c3c2)CC1</v>
      </c>
      <c r="C19925" s="7">
        <f>IFERROR(__xludf.DUMMYFUNCTION("""COMPUTED_VALUE"""),7.7130075)</f>
        <v>7.7130075</v>
      </c>
      <c r="D19925" s="7">
        <f>IFERROR(__xludf.DUMMYFUNCTION("""COMPUTED_VALUE"""),0.260869565217391)</f>
        <v>0.2608695652</v>
      </c>
    </row>
    <row r="19926">
      <c r="A19926" s="10" t="s">
        <v>21365</v>
      </c>
      <c r="B19926" s="7" t="str">
        <f>IFERROR(__xludf.DUMMYFUNCTION("SPLIT(A19926,"" "")"),"Cc1cnc(CN(C)C2=CCC=C(CN(C)c3ccc4ncccc4c3)N2)c(C)c1")</f>
        <v>Cc1cnc(CN(C)C2=CCC=C(CN(C)c3ccc4ncccc4c3)N2)c(C)c1</v>
      </c>
      <c r="C19926" s="7">
        <f>IFERROR(__xludf.DUMMYFUNCTION("""COMPUTED_VALUE"""),7.713002)</f>
        <v>7.713002</v>
      </c>
      <c r="D19926" s="7">
        <f>IFERROR(__xludf.DUMMYFUNCTION("""COMPUTED_VALUE"""),0.246153846153846)</f>
        <v>0.2461538462</v>
      </c>
    </row>
    <row r="19927">
      <c r="A19927" s="10" t="s">
        <v>21366</v>
      </c>
      <c r="B19927" s="7" t="str">
        <f>IFERROR(__xludf.DUMMYFUNCTION("SPLIT(A19927,"" "")"),"CNCC1=CCC=C(N(C)c2cccc3ncccc23)N1")</f>
        <v>CNCC1=CCC=C(N(C)c2cccc3ncccc23)N1</v>
      </c>
      <c r="C19927" s="7">
        <f>IFERROR(__xludf.DUMMYFUNCTION("""COMPUTED_VALUE"""),7.7130013)</f>
        <v>7.7130013</v>
      </c>
      <c r="D19927" s="7">
        <f>IFERROR(__xludf.DUMMYFUNCTION("""COMPUTED_VALUE"""),0.285714285714285)</f>
        <v>0.2857142857</v>
      </c>
    </row>
    <row r="19928">
      <c r="A19928" s="10" t="s">
        <v>21367</v>
      </c>
      <c r="B19928" s="7" t="str">
        <f>IFERROR(__xludf.DUMMYFUNCTION("SPLIT(A19928,"" "")"),"C1=CC(Nc2cccc(-c3cccc(C(c4ccccn4)c4ccccn4)n3)n2)=CCN1")</f>
        <v>C1=CC(Nc2cccc(-c3cccc(C(c4ccccn4)c4ccccn4)n3)n2)=CCN1</v>
      </c>
      <c r="C19928" s="7">
        <f>IFERROR(__xludf.DUMMYFUNCTION("""COMPUTED_VALUE"""),7.712999)</f>
        <v>7.712999</v>
      </c>
      <c r="D19928" s="7">
        <f>IFERROR(__xludf.DUMMYFUNCTION("""COMPUTED_VALUE"""),0.301587301587301)</f>
        <v>0.3015873016</v>
      </c>
    </row>
    <row r="19929">
      <c r="A19929" s="10" t="s">
        <v>21368</v>
      </c>
      <c r="B19929" s="7" t="str">
        <f>IFERROR(__xludf.DUMMYFUNCTION("SPLIT(A19929,"" "")"),"Cc1cc(C)cc(N(C)Cc2cc(-c3cccc(N(C)C)c3)ccn2)c1")</f>
        <v>Cc1cc(C)cc(N(C)Cc2cc(-c3cccc(N(C)C)c3)ccn2)c1</v>
      </c>
      <c r="C19929" s="7">
        <f>IFERROR(__xludf.DUMMYFUNCTION("""COMPUTED_VALUE"""),7.712985)</f>
        <v>7.712985</v>
      </c>
      <c r="D19929" s="7">
        <f>IFERROR(__xludf.DUMMYFUNCTION("""COMPUTED_VALUE"""),0.34)</f>
        <v>0.34</v>
      </c>
    </row>
    <row r="19930">
      <c r="A19930" s="10" t="s">
        <v>21369</v>
      </c>
      <c r="B19930" s="7" t="str">
        <f>IFERROR(__xludf.DUMMYFUNCTION("SPLIT(A19930,"" "")"),"Cc1cccc2ncccc12")</f>
        <v>Cc1cccc2ncccc12</v>
      </c>
      <c r="C19930" s="7">
        <f>IFERROR(__xludf.DUMMYFUNCTION("""COMPUTED_VALUE"""),7.712981)</f>
        <v>7.712981</v>
      </c>
      <c r="D19930" s="7">
        <f>IFERROR(__xludf.DUMMYFUNCTION("""COMPUTED_VALUE"""),0.325)</f>
        <v>0.325</v>
      </c>
    </row>
    <row r="19931">
      <c r="A19931" s="10" t="s">
        <v>21370</v>
      </c>
      <c r="B19931" s="7" t="str">
        <f>IFERROR(__xludf.DUMMYFUNCTION("SPLIT(A19931,"" "")"),"CC(C)N(C)c1ccccc1-c1cc(-c2ccc(N)cn2)ccn1")</f>
        <v>CC(C)N(C)c1ccccc1-c1cc(-c2ccc(N)cn2)ccn1</v>
      </c>
      <c r="C19931" s="7">
        <f>IFERROR(__xludf.DUMMYFUNCTION("""COMPUTED_VALUE"""),7.712976)</f>
        <v>7.712976</v>
      </c>
      <c r="D19931" s="7">
        <f>IFERROR(__xludf.DUMMYFUNCTION("""COMPUTED_VALUE"""),0.277777777777777)</f>
        <v>0.2777777778</v>
      </c>
    </row>
    <row r="19932">
      <c r="A19932" s="10" t="s">
        <v>21371</v>
      </c>
      <c r="B19932" s="7" t="str">
        <f>IFERROR(__xludf.DUMMYFUNCTION("SPLIT(A19932,"" "")"),"Fc1ccccc1N(Cc1ccccn1)c1ccc2cccnc2c1")</f>
        <v>Fc1ccccc1N(Cc1ccccn1)c1ccc2cccnc2c1</v>
      </c>
      <c r="C19932" s="7">
        <f>IFERROR(__xludf.DUMMYFUNCTION("""COMPUTED_VALUE"""),7.7129736)</f>
        <v>7.7129736</v>
      </c>
      <c r="D19932" s="7">
        <f>IFERROR(__xludf.DUMMYFUNCTION("""COMPUTED_VALUE"""),0.479166666666666)</f>
        <v>0.4791666667</v>
      </c>
    </row>
    <row r="19933">
      <c r="A19933" s="10" t="s">
        <v>21372</v>
      </c>
      <c r="B19933" s="7" t="str">
        <f>IFERROR(__xludf.DUMMYFUNCTION("SPLIT(A19933,"" "")"),"Cc1nc(CN(C)Cc2cc(N(C)c3ccc4nccc(C)c4c3)ccn2)c(C)c(C)c1C")</f>
        <v>Cc1nc(CN(C)Cc2cc(N(C)c3ccc4nccc(C)c4c3)ccn2)c(C)c(C)c1C</v>
      </c>
      <c r="C19933" s="7">
        <f>IFERROR(__xludf.DUMMYFUNCTION("""COMPUTED_VALUE"""),7.712973)</f>
        <v>7.712973</v>
      </c>
      <c r="D19933" s="7">
        <f>IFERROR(__xludf.DUMMYFUNCTION("""COMPUTED_VALUE"""),0.28125)</f>
        <v>0.28125</v>
      </c>
    </row>
    <row r="19934">
      <c r="A19934" s="10" t="s">
        <v>21373</v>
      </c>
      <c r="B19934" s="7" t="str">
        <f>IFERROR(__xludf.DUMMYFUNCTION("SPLIT(A19934,"" "")"),"CN(CCN(Cc1cccnc1)c1cccc2cccnc12)c1ccc2ncccc2c1")</f>
        <v>CN(CCN(Cc1cccnc1)c1cccc2cccnc12)c1ccc2ncccc2c1</v>
      </c>
      <c r="C19934" s="7">
        <f>IFERROR(__xludf.DUMMYFUNCTION("""COMPUTED_VALUE"""),7.7129655)</f>
        <v>7.7129655</v>
      </c>
      <c r="D19934" s="7">
        <f>IFERROR(__xludf.DUMMYFUNCTION("""COMPUTED_VALUE"""),0.490196078431372)</f>
        <v>0.4901960784</v>
      </c>
    </row>
    <row r="19935">
      <c r="A19935" s="10" t="s">
        <v>21374</v>
      </c>
      <c r="B19935" s="7" t="str">
        <f>IFERROR(__xludf.DUMMYFUNCTION("SPLIT(A19935,"" "")"),"CN(CCN(Cc1ccccn1)c1ccc2cccnc2c1)c1ccc2ncccc2c1")</f>
        <v>CN(CCN(Cc1ccccn1)c1ccc2cccnc2c1)c1ccc2ncccc2c1</v>
      </c>
      <c r="C19935" s="7">
        <f>IFERROR(__xludf.DUMMYFUNCTION("""COMPUTED_VALUE"""),7.712949)</f>
        <v>7.712949</v>
      </c>
      <c r="D19935" s="7">
        <f>IFERROR(__xludf.DUMMYFUNCTION("""COMPUTED_VALUE"""),0.48)</f>
        <v>0.48</v>
      </c>
    </row>
    <row r="19936">
      <c r="A19936" s="10" t="s">
        <v>21375</v>
      </c>
      <c r="B19936" s="7" t="str">
        <f>IFERROR(__xludf.DUMMYFUNCTION("SPLIT(A19936,"" "")"),"FCc1ccc2cccc(N(Cc3ccccn3)Cc3cccc(-c4cccc(N=Cc5ccccn5)c4)n3)c2n1")</f>
        <v>FCc1ccc2cccc(N(Cc3ccccn3)Cc3cccc(-c4cccc(N=Cc5ccccn5)c4)n3)c2n1</v>
      </c>
      <c r="C19936" s="7">
        <f>IFERROR(__xludf.DUMMYFUNCTION("""COMPUTED_VALUE"""),7.7129445)</f>
        <v>7.7129445</v>
      </c>
      <c r="D19936" s="7">
        <f>IFERROR(__xludf.DUMMYFUNCTION("""COMPUTED_VALUE"""),0.408450704225352)</f>
        <v>0.4084507042</v>
      </c>
    </row>
    <row r="19937">
      <c r="A19937" s="10" t="s">
        <v>21376</v>
      </c>
      <c r="B19937" s="7" t="str">
        <f>IFERROR(__xludf.DUMMYFUNCTION("SPLIT(A19937,"" "")"),"Cc1cc(C)c(CN(C)C2=CCC=C(CN(C)c3ccc4cccnc4c3)N2)nc1C")</f>
        <v>Cc1cc(C)c(CN(C)C2=CCC=C(CN(C)c3ccc4cccnc4c3)N2)nc1C</v>
      </c>
      <c r="C19937" s="7">
        <f>IFERROR(__xludf.DUMMYFUNCTION("""COMPUTED_VALUE"""),7.7129292)</f>
        <v>7.7129292</v>
      </c>
      <c r="D19937" s="7">
        <f>IFERROR(__xludf.DUMMYFUNCTION("""COMPUTED_VALUE"""),0.253731343283582)</f>
        <v>0.2537313433</v>
      </c>
    </row>
    <row r="19938">
      <c r="A19938" s="10" t="s">
        <v>21377</v>
      </c>
      <c r="B19938" s="7" t="str">
        <f>IFERROR(__xludf.DUMMYFUNCTION("SPLIT(A19938,"" "")"),"C1=CNC(c2cc(C3=CCC=CN3)c(C3=CCC=CN3)c(C3=CCC=CN3)n2)=CC1")</f>
        <v>C1=CNC(c2cc(C3=CCC=CN3)c(C3=CCC=CN3)c(C3=CCC=CN3)n2)=CC1</v>
      </c>
      <c r="C19938" s="7">
        <f>IFERROR(__xludf.DUMMYFUNCTION("""COMPUTED_VALUE"""),7.712891)</f>
        <v>7.712891</v>
      </c>
      <c r="D19938" s="7">
        <f>IFERROR(__xludf.DUMMYFUNCTION("""COMPUTED_VALUE"""),0.245283018867924)</f>
        <v>0.2452830189</v>
      </c>
    </row>
    <row r="19939">
      <c r="A19939" s="10" t="s">
        <v>21378</v>
      </c>
      <c r="B19939" s="7" t="str">
        <f>IFERROR(__xludf.DUMMYFUNCTION("SPLIT(A19939,"" "")"),"Cc1cnc2ccc(N(C)CCN(C)Cc3ccnc4ccc(C)cc34)cc2c1")</f>
        <v>Cc1cnc2ccc(N(C)CCN(C)Cc3ccnc4ccc(C)cc34)cc2c1</v>
      </c>
      <c r="C19939" s="7">
        <f>IFERROR(__xludf.DUMMYFUNCTION("""COMPUTED_VALUE"""),7.7128773)</f>
        <v>7.7128773</v>
      </c>
      <c r="D19939" s="7">
        <f>IFERROR(__xludf.DUMMYFUNCTION("""COMPUTED_VALUE"""),0.358490566037735)</f>
        <v>0.358490566</v>
      </c>
    </row>
    <row r="19940">
      <c r="A19940" s="10" t="s">
        <v>21379</v>
      </c>
      <c r="B19940" s="7" t="str">
        <f>IFERROR(__xludf.DUMMYFUNCTION("SPLIT(A19940,"" "")"),"Cc1cc(C)c(-c2c(C)cc(NCc3ccccn3)cc2C)nc1-c1ccccc1NCc1ccccn1")</f>
        <v>Cc1cc(C)c(-c2c(C)cc(NCc3ccccn3)cc2C)nc1-c1ccccc1NCc1ccccn1</v>
      </c>
      <c r="C19940" s="7">
        <f>IFERROR(__xludf.DUMMYFUNCTION("""COMPUTED_VALUE"""),7.712875)</f>
        <v>7.712875</v>
      </c>
      <c r="D19940" s="7">
        <f>IFERROR(__xludf.DUMMYFUNCTION("""COMPUTED_VALUE"""),0.389830508474576)</f>
        <v>0.3898305085</v>
      </c>
    </row>
    <row r="19941">
      <c r="A19941" s="10" t="s">
        <v>21380</v>
      </c>
      <c r="B19941" s="7" t="str">
        <f>IFERROR(__xludf.DUMMYFUNCTION("SPLIT(A19941,"" "")"),"CCCN(Cc1ccccn1)c1cc2cccnc2cc1-c1cccc(N(C)C)c1")</f>
        <v>CCCN(Cc1ccccn1)c1cc2cccnc2cc1-c1cccc(N(C)C)c1</v>
      </c>
      <c r="C19941" s="7">
        <f>IFERROR(__xludf.DUMMYFUNCTION("""COMPUTED_VALUE"""),7.712869)</f>
        <v>7.712869</v>
      </c>
      <c r="D19941" s="7">
        <f>IFERROR(__xludf.DUMMYFUNCTION("""COMPUTED_VALUE"""),0.362068965517241)</f>
        <v>0.3620689655</v>
      </c>
    </row>
    <row r="19942">
      <c r="A19942" s="10" t="s">
        <v>21381</v>
      </c>
      <c r="B19942" s="7" t="str">
        <f>IFERROR(__xludf.DUMMYFUNCTION("SPLIT(A19942,"" "")"),"Cc1ccnc2cccc(N(C)C3CCC(N(C)c4cccc5nccc(-c6ccccc6)c45)CC3)c12")</f>
        <v>Cc1ccnc2cccc(N(C)C3CCC(N(C)c4cccc5nccc(-c6ccccc6)c45)CC3)c12</v>
      </c>
      <c r="C19942" s="7">
        <f>IFERROR(__xludf.DUMMYFUNCTION("""COMPUTED_VALUE"""),7.71286)</f>
        <v>7.71286</v>
      </c>
      <c r="D19942" s="7">
        <f>IFERROR(__xludf.DUMMYFUNCTION("""COMPUTED_VALUE"""),0.321428571428571)</f>
        <v>0.3214285714</v>
      </c>
    </row>
    <row r="19943">
      <c r="A19943" s="10" t="s">
        <v>21382</v>
      </c>
      <c r="B19943" s="7" t="str">
        <f>IFERROR(__xludf.DUMMYFUNCTION("SPLIT(A19943,"" "")"),"CCN(Cc1ccccn1)Cc1ccc2cccc(N(C)Cc3cccc(N(C)c4ccc5ncccc5c4)n3)c2n1")</f>
        <v>CCN(Cc1ccccn1)Cc1ccc2cccc(N(C)Cc3cccc(N(C)c4ccc5ncccc5c4)n3)c2n1</v>
      </c>
      <c r="C19943" s="7">
        <f>IFERROR(__xludf.DUMMYFUNCTION("""COMPUTED_VALUE"""),7.7128553)</f>
        <v>7.7128553</v>
      </c>
      <c r="D19943" s="7">
        <f>IFERROR(__xludf.DUMMYFUNCTION("""COMPUTED_VALUE"""),0.403225806451612)</f>
        <v>0.4032258065</v>
      </c>
    </row>
    <row r="19944">
      <c r="A19944" s="10" t="s">
        <v>21383</v>
      </c>
      <c r="B19944" s="7" t="str">
        <f>IFERROR(__xludf.DUMMYFUNCTION("SPLIT(A19944,"" "")"),"Cc1ccc2c(N(C)CC3=CCC=C(N(C)Cc4ccccn4)N3)cccc2n1")</f>
        <v>Cc1ccc2c(N(C)CC3=CCC=C(N(C)Cc4ccccn4)N3)cccc2n1</v>
      </c>
      <c r="C19944" s="7">
        <f>IFERROR(__xludf.DUMMYFUNCTION("""COMPUTED_VALUE"""),7.712843)</f>
        <v>7.712843</v>
      </c>
      <c r="D19944" s="7">
        <f>IFERROR(__xludf.DUMMYFUNCTION("""COMPUTED_VALUE"""),0.389830508474576)</f>
        <v>0.3898305085</v>
      </c>
    </row>
    <row r="19945">
      <c r="A19945" s="10" t="s">
        <v>21384</v>
      </c>
      <c r="B19945" s="7" t="str">
        <f>IFERROR(__xludf.DUMMYFUNCTION("SPLIT(A19945,"" "")"),"CN(Cc1cccnn1)C1=CCC=C(CN(C)c2cccc3ncccc23)N1")</f>
        <v>CN(Cc1cccnn1)C1=CCC=C(CN(C)c2cccc3ncccc23)N1</v>
      </c>
      <c r="C19945" s="7">
        <f>IFERROR(__xludf.DUMMYFUNCTION("""COMPUTED_VALUE"""),7.7128425)</f>
        <v>7.7128425</v>
      </c>
      <c r="D19945" s="7">
        <f>IFERROR(__xludf.DUMMYFUNCTION("""COMPUTED_VALUE"""),0.357142857142857)</f>
        <v>0.3571428571</v>
      </c>
    </row>
    <row r="19946">
      <c r="A19946" s="10" t="s">
        <v>21385</v>
      </c>
      <c r="B19946" s="7" t="str">
        <f>IFERROR(__xludf.DUMMYFUNCTION("SPLIT(A19946,"" "")"),"CN(CCN(Cc1ccccn1)c1cccc2ncc(CF)cc12)c1cccc2ncccc12")</f>
        <v>CN(CCN(Cc1ccccn1)c1cccc2ncc(CF)cc12)c1cccc2ncccc12</v>
      </c>
      <c r="C19946" s="7">
        <f>IFERROR(__xludf.DUMMYFUNCTION("""COMPUTED_VALUE"""),7.7128415)</f>
        <v>7.7128415</v>
      </c>
      <c r="D19946" s="7">
        <f>IFERROR(__xludf.DUMMYFUNCTION("""COMPUTED_VALUE"""),0.372881355932203)</f>
        <v>0.3728813559</v>
      </c>
    </row>
    <row r="19947">
      <c r="A19947" s="10" t="s">
        <v>21386</v>
      </c>
      <c r="B19947" s="7" t="str">
        <f>IFERROR(__xludf.DUMMYFUNCTION("SPLIT(A19947,"" "")"),"Cc1cc(CN(C)C2=CCC=C(CN(C)c3ccc4ncccc4c3)N2)nc(C)c1C")</f>
        <v>Cc1cc(CN(C)C2=CCC=C(CN(C)c3ccc4ncccc4c3)N2)nc(C)c1C</v>
      </c>
      <c r="C19947" s="7">
        <f>IFERROR(__xludf.DUMMYFUNCTION("""COMPUTED_VALUE"""),7.7128096)</f>
        <v>7.7128096</v>
      </c>
      <c r="D19947" s="7">
        <f>IFERROR(__xludf.DUMMYFUNCTION("""COMPUTED_VALUE"""),0.257575757575757)</f>
        <v>0.2575757576</v>
      </c>
    </row>
    <row r="19948">
      <c r="A19948" s="10" t="s">
        <v>21387</v>
      </c>
      <c r="B19948" s="7" t="str">
        <f>IFERROR(__xludf.DUMMYFUNCTION("SPLIT(A19948,"" "")"),"Cc1ccc(-c2cccc(C)n2)c(N=Cc2ccccn2)c1")</f>
        <v>Cc1ccc(-c2cccc(C)n2)c(N=Cc2ccccn2)c1</v>
      </c>
      <c r="C19948" s="7">
        <f>IFERROR(__xludf.DUMMYFUNCTION("""COMPUTED_VALUE"""),7.7127876)</f>
        <v>7.7127876</v>
      </c>
      <c r="D19948" s="7">
        <f>IFERROR(__xludf.DUMMYFUNCTION("""COMPUTED_VALUE"""),0.5)</f>
        <v>0.5</v>
      </c>
    </row>
    <row r="19949">
      <c r="A19949" s="10" t="s">
        <v>21388</v>
      </c>
      <c r="B19949" s="7" t="str">
        <f>IFERROR(__xludf.DUMMYFUNCTION("SPLIT(A19949,"" "")"),"Cc1cc(CN(C)c2cc(N(Cc3ccccn3)C(C)C)cc3ncccc23)nc(C)c1C")</f>
        <v>Cc1cc(CN(C)c2cc(N(Cc3ccccn3)C(C)C)cc3ncccc23)nc(C)c1C</v>
      </c>
      <c r="C19949" s="7">
        <f>IFERROR(__xludf.DUMMYFUNCTION("""COMPUTED_VALUE"""),7.712764)</f>
        <v>7.712764</v>
      </c>
      <c r="D19949" s="7">
        <f>IFERROR(__xludf.DUMMYFUNCTION("""COMPUTED_VALUE"""),0.406779661016949)</f>
        <v>0.406779661</v>
      </c>
    </row>
    <row r="19950">
      <c r="A19950" s="10" t="s">
        <v>21389</v>
      </c>
      <c r="B19950" s="7" t="str">
        <f>IFERROR(__xludf.DUMMYFUNCTION("SPLIT(A19950,"" "")"),"Cc1cnc(CN(C)C2=CCC=C(CN(C)c3ccc4cccnc4c3)N2)c(C)c1C")</f>
        <v>Cc1cnc(CN(C)C2=CCC=C(CN(C)c3ccc4cccnc4c3)N2)c(C)c1C</v>
      </c>
      <c r="C19950" s="7">
        <f>IFERROR(__xludf.DUMMYFUNCTION("""COMPUTED_VALUE"""),7.7127495)</f>
        <v>7.7127495</v>
      </c>
      <c r="D19950" s="7">
        <f>IFERROR(__xludf.DUMMYFUNCTION("""COMPUTED_VALUE"""),0.26865671641791)</f>
        <v>0.2686567164</v>
      </c>
    </row>
    <row r="19951">
      <c r="A19951" s="10" t="s">
        <v>21390</v>
      </c>
      <c r="B19951" s="7" t="str">
        <f>IFERROR(__xludf.DUMMYFUNCTION("SPLIT(A19951,"" "")"),"CN(Cc1ccc2ncccc2c1)Cc1cc2ncccc2cc1N(C)Cc1ccccn1")</f>
        <v>CN(Cc1ccc2ncccc2c1)Cc1cc2ncccc2cc1N(C)Cc1ccccn1</v>
      </c>
      <c r="C19951" s="7">
        <f>IFERROR(__xludf.DUMMYFUNCTION("""COMPUTED_VALUE"""),7.7127423)</f>
        <v>7.7127423</v>
      </c>
      <c r="D19951" s="7">
        <f>IFERROR(__xludf.DUMMYFUNCTION("""COMPUTED_VALUE"""),0.470588235294117)</f>
        <v>0.4705882353</v>
      </c>
    </row>
    <row r="19952">
      <c r="A19952" s="10" t="s">
        <v>21391</v>
      </c>
      <c r="B19952" s="7" t="str">
        <f>IFERROR(__xludf.DUMMYFUNCTION("SPLIT(A19952,"" "")"),"CNCC1=C(N(C)c2ccc3c(C)ccnc3c2)CC=CN1")</f>
        <v>CNCC1=C(N(C)c2ccc3c(C)ccnc3c2)CC=CN1</v>
      </c>
      <c r="C19952" s="7">
        <f>IFERROR(__xludf.DUMMYFUNCTION("""COMPUTED_VALUE"""),7.712734)</f>
        <v>7.712734</v>
      </c>
      <c r="D19952" s="7">
        <f>IFERROR(__xludf.DUMMYFUNCTION("""COMPUTED_VALUE"""),0.220588235294117)</f>
        <v>0.2205882353</v>
      </c>
    </row>
    <row r="19953">
      <c r="A19953" s="10" t="s">
        <v>21392</v>
      </c>
      <c r="B19953" s="7" t="str">
        <f>IFERROR(__xludf.DUMMYFUNCTION("SPLIT(A19953,"" "")"),"CN(CCN(Cc1ccccn1)c1cccc2ncccc12)c1cccc2ncc(CF)cc12")</f>
        <v>CN(CCN(Cc1ccccn1)c1cccc2ncccc12)c1cccc2ncc(CF)cc12</v>
      </c>
      <c r="C19953" s="7">
        <f>IFERROR(__xludf.DUMMYFUNCTION("""COMPUTED_VALUE"""),7.712718)</f>
        <v>7.712718</v>
      </c>
      <c r="D19953" s="7">
        <f>IFERROR(__xludf.DUMMYFUNCTION("""COMPUTED_VALUE"""),0.372881355932203)</f>
        <v>0.3728813559</v>
      </c>
    </row>
    <row r="19954">
      <c r="A19954" s="10" t="s">
        <v>21393</v>
      </c>
      <c r="B19954" s="7" t="str">
        <f>IFERROR(__xludf.DUMMYFUNCTION("SPLIT(A19954,"" "")"),"CNCc1ccc(N(C)c2ccc3cccnc3c2)cn1")</f>
        <v>CNCc1ccc(N(C)c2ccc3cccnc3c2)cn1</v>
      </c>
      <c r="C19954" s="7">
        <f>IFERROR(__xludf.DUMMYFUNCTION("""COMPUTED_VALUE"""),7.7126985)</f>
        <v>7.7126985</v>
      </c>
      <c r="D19954" s="7">
        <f>IFERROR(__xludf.DUMMYFUNCTION("""COMPUTED_VALUE"""),0.346153846153846)</f>
        <v>0.3461538462</v>
      </c>
    </row>
    <row r="19955">
      <c r="A19955" s="10" t="s">
        <v>21394</v>
      </c>
      <c r="B19955" s="7" t="str">
        <f>IFERROR(__xludf.DUMMYFUNCTION("SPLIT(A19955,"" "")"),"Cc1cccnc1CN(C)c1ccc2ncccc2c1")</f>
        <v>Cc1cccnc1CN(C)c1ccc2ncccc2c1</v>
      </c>
      <c r="C19955" s="7">
        <f>IFERROR(__xludf.DUMMYFUNCTION("""COMPUTED_VALUE"""),7.712677)</f>
        <v>7.712677</v>
      </c>
      <c r="D19955" s="7">
        <f>IFERROR(__xludf.DUMMYFUNCTION("""COMPUTED_VALUE"""),0.347826086956521)</f>
        <v>0.347826087</v>
      </c>
    </row>
    <row r="19956">
      <c r="A19956" s="10" t="s">
        <v>21395</v>
      </c>
      <c r="B19956" s="7" t="str">
        <f>IFERROR(__xludf.DUMMYFUNCTION("SPLIT(A19956,"" "")"),"CN(C)CC1=CCC=C(N(C)c2ccc3cccnc3c2)N1")</f>
        <v>CN(C)CC1=CCC=C(N(C)c2ccc3cccnc3c2)N1</v>
      </c>
      <c r="C19956" s="7">
        <f>IFERROR(__xludf.DUMMYFUNCTION("""COMPUTED_VALUE"""),7.712669)</f>
        <v>7.712669</v>
      </c>
      <c r="D19956" s="7">
        <f>IFERROR(__xludf.DUMMYFUNCTION("""COMPUTED_VALUE"""),0.298245614035087)</f>
        <v>0.298245614</v>
      </c>
    </row>
    <row r="19957">
      <c r="A19957" s="10" t="s">
        <v>21396</v>
      </c>
      <c r="B19957" s="7" t="str">
        <f>IFERROR(__xludf.DUMMYFUNCTION("SPLIT(A19957,"" "")"),"Cc1cccc2ccc(CN(C)Cc3ncccc3-c3cccc(N(C)C)c3)nc12")</f>
        <v>Cc1cccc2ccc(CN(C)Cc3ncccc3-c3cccc(N(C)C)c3)nc12</v>
      </c>
      <c r="C19957" s="7">
        <f>IFERROR(__xludf.DUMMYFUNCTION("""COMPUTED_VALUE"""),7.712668)</f>
        <v>7.712668</v>
      </c>
      <c r="D19957" s="7">
        <f>IFERROR(__xludf.DUMMYFUNCTION("""COMPUTED_VALUE"""),0.344827586206896)</f>
        <v>0.3448275862</v>
      </c>
    </row>
    <row r="19958">
      <c r="A19958" s="10" t="s">
        <v>21397</v>
      </c>
      <c r="B19958" s="7" t="str">
        <f>IFERROR(__xludf.DUMMYFUNCTION("SPLIT(A19958,"" "")"),"CN(C)CCN(C)c1cccc2nc(C3=CCC=CN3)ccc12")</f>
        <v>CN(C)CCN(C)c1cccc2nc(C3=CCC=CN3)ccc12</v>
      </c>
      <c r="C19958" s="7">
        <f>IFERROR(__xludf.DUMMYFUNCTION("""COMPUTED_VALUE"""),7.7126517)</f>
        <v>7.7126517</v>
      </c>
      <c r="D19958" s="7">
        <f>IFERROR(__xludf.DUMMYFUNCTION("""COMPUTED_VALUE"""),0.333333333333333)</f>
        <v>0.3333333333</v>
      </c>
    </row>
    <row r="19959">
      <c r="A19959" s="10" t="s">
        <v>21398</v>
      </c>
      <c r="B19959" s="7" t="str">
        <f>IFERROR(__xludf.DUMMYFUNCTION("SPLIT(A19959,"" "")"),"C1=CCNC(Nc2ncccc2-c2ncccc2C(c2ccccn2)c2ccccn2)=C1")</f>
        <v>C1=CCNC(Nc2ncccc2-c2ncccc2C(c2ccccn2)c2ccccn2)=C1</v>
      </c>
      <c r="C19959" s="7">
        <f>IFERROR(__xludf.DUMMYFUNCTION("""COMPUTED_VALUE"""),7.712634)</f>
        <v>7.712634</v>
      </c>
      <c r="D19959" s="7">
        <f>IFERROR(__xludf.DUMMYFUNCTION("""COMPUTED_VALUE"""),0.23076923076923)</f>
        <v>0.2307692308</v>
      </c>
    </row>
    <row r="19960">
      <c r="A19960" s="10" t="s">
        <v>21399</v>
      </c>
      <c r="B19960" s="7" t="str">
        <f>IFERROR(__xludf.DUMMYFUNCTION("SPLIT(A19960,"" "")"),"CCN(CCN(C)c1ccc2nccc(CF)c2c1)c1ccc2nccc(CF)c2c1")</f>
        <v>CCN(CCN(C)c1ccc2nccc(CF)c2c1)c1ccc2nccc(CF)c2c1</v>
      </c>
      <c r="C19960" s="7">
        <f>IFERROR(__xludf.DUMMYFUNCTION("""COMPUTED_VALUE"""),7.712631)</f>
        <v>7.712631</v>
      </c>
      <c r="D19960" s="7">
        <f>IFERROR(__xludf.DUMMYFUNCTION("""COMPUTED_VALUE"""),0.245283018867924)</f>
        <v>0.2452830189</v>
      </c>
    </row>
    <row r="19961">
      <c r="A19961" s="10" t="s">
        <v>21400</v>
      </c>
      <c r="B19961" s="7" t="str">
        <f>IFERROR(__xludf.DUMMYFUNCTION("SPLIT(A19961,"" "")"),"CCNCc1ncccc1-c1cc(N(C)Cc2ccccn2)c2ncccc2c1")</f>
        <v>CCNCc1ncccc1-c1cc(N(C)Cc2ccccn2)c2ncccc2c1</v>
      </c>
      <c r="C19961" s="7">
        <f>IFERROR(__xludf.DUMMYFUNCTION("""COMPUTED_VALUE"""),7.712622)</f>
        <v>7.712622</v>
      </c>
      <c r="D19961" s="7">
        <f>IFERROR(__xludf.DUMMYFUNCTION("""COMPUTED_VALUE"""),0.436363636363636)</f>
        <v>0.4363636364</v>
      </c>
    </row>
    <row r="19962">
      <c r="A19962" s="10" t="s">
        <v>21401</v>
      </c>
      <c r="B19962" s="7" t="str">
        <f>IFERROR(__xludf.DUMMYFUNCTION("SPLIT(A19962,"" "")"),"CCN(CCN(C)c1cccc2nc(CN(C)C)ccc12)c1cccc2ncccc12")</f>
        <v>CCN(CCN(C)c1cccc2nc(CN(C)C)ccc12)c1cccc2ncccc12</v>
      </c>
      <c r="C19962" s="7">
        <f>IFERROR(__xludf.DUMMYFUNCTION("""COMPUTED_VALUE"""),7.7126207)</f>
        <v>7.7126207</v>
      </c>
      <c r="D19962" s="7">
        <f>IFERROR(__xludf.DUMMYFUNCTION("""COMPUTED_VALUE"""),0.431372549019607)</f>
        <v>0.431372549</v>
      </c>
    </row>
    <row r="19963">
      <c r="A19963" s="10" t="s">
        <v>21402</v>
      </c>
      <c r="B19963" s="7" t="str">
        <f>IFERROR(__xludf.DUMMYFUNCTION("SPLIT(A19963,"" "")"),"CCSCc1ccc2c(n1)c(N(C)Cc1cccc3cccnc13)cc1c(CSCc3ccccn3)c(CSCc3ccccn3)c(CSCc3ccccn3)nc12")</f>
        <v>CCSCc1ccc2c(n1)c(N(C)Cc1cccc3cccnc13)cc1c(CSCc3ccccn3)c(CSCc3ccccn3)c(CSCc3ccccn3)nc12</v>
      </c>
      <c r="C19963" s="7">
        <f>IFERROR(__xludf.DUMMYFUNCTION("""COMPUTED_VALUE"""),7.712591)</f>
        <v>7.712591</v>
      </c>
      <c r="D19963" s="7">
        <f>IFERROR(__xludf.DUMMYFUNCTION("""COMPUTED_VALUE"""),0.35820895522388)</f>
        <v>0.3582089552</v>
      </c>
    </row>
    <row r="19964">
      <c r="A19964" s="10" t="s">
        <v>21403</v>
      </c>
      <c r="B19964" s="7" t="str">
        <f>IFERROR(__xludf.DUMMYFUNCTION("SPLIT(A19964,"" "")"),"Cc1ccc(N=Cc2ccccn2)c(-c2cccc(C)n2)c1")</f>
        <v>Cc1ccc(N=Cc2ccccn2)c(-c2cccc(C)n2)c1</v>
      </c>
      <c r="C19964" s="7">
        <f>IFERROR(__xludf.DUMMYFUNCTION("""COMPUTED_VALUE"""),7.712586)</f>
        <v>7.712586</v>
      </c>
      <c r="D19964" s="7">
        <f>IFERROR(__xludf.DUMMYFUNCTION("""COMPUTED_VALUE"""),0.5)</f>
        <v>0.5</v>
      </c>
    </row>
    <row r="19965">
      <c r="A19965" s="10" t="s">
        <v>21404</v>
      </c>
      <c r="B19965" s="7" t="str">
        <f>IFERROR(__xludf.DUMMYFUNCTION("SPLIT(A19965,"" "")"),"COC(=O)c1ncccc1C(=O)C(=O)C(=O)C(=O)C(=O)C(=O)C(=O)C(=O)C(=O)C(=O)C(=O)C(=O)C(=O)C(=O)C(=O)C(=O)C(=O)C(=O)C(=O)C(=O)C(=O)C(=O)C(=O)C(=O)C(=O)C(=O)C(=O)C(=O)C(=O)C(=O)C(=O)C(=O)C(=O)C(=O)C(=O)C=O")</f>
        <v>COC(=O)c1ncccc1C(=O)C(=O)C(=O)C(=O)C(=O)C(=O)C(=O)C(=O)C(=O)C(=O)C(=O)C(=O)C(=O)C(=O)C(=O)C(=O)C(=O)C(=O)C(=O)C(=O)C(=O)C(=O)C(=O)C(=O)C(=O)C(=O)C(=O)C(=O)C(=O)C(=O)C(=O)C(=O)C(=O)C(=O)C(=O)C=O</v>
      </c>
      <c r="C19965" s="7">
        <f>IFERROR(__xludf.DUMMYFUNCTION("""COMPUTED_VALUE"""),7.7125745)</f>
        <v>7.7125745</v>
      </c>
      <c r="D19965" s="7">
        <f>IFERROR(__xludf.DUMMYFUNCTION("""COMPUTED_VALUE"""),0.238095238095238)</f>
        <v>0.2380952381</v>
      </c>
    </row>
    <row r="19966">
      <c r="A19966" s="10" t="s">
        <v>21405</v>
      </c>
      <c r="B19966" s="7" t="str">
        <f>IFERROR(__xludf.DUMMYFUNCTION("SPLIT(A19966,"" "")"),"CN(CCCN(C)c1ccc2cccnc2c1)c1ccc2ncccc2c1")</f>
        <v>CN(CCCN(C)c1ccc2cccnc2c1)c1ccc2ncccc2c1</v>
      </c>
      <c r="C19966" s="7">
        <f>IFERROR(__xludf.DUMMYFUNCTION("""COMPUTED_VALUE"""),7.7125645)</f>
        <v>7.7125645</v>
      </c>
      <c r="D19966" s="7">
        <f>IFERROR(__xludf.DUMMYFUNCTION("""COMPUTED_VALUE"""),0.465116279069767)</f>
        <v>0.4651162791</v>
      </c>
    </row>
    <row r="19967">
      <c r="A19967" s="10" t="s">
        <v>21406</v>
      </c>
      <c r="B19967" s="7" t="str">
        <f>IFERROR(__xludf.DUMMYFUNCTION("SPLIT(A19967,"" "")"),"Cc1cc(CN(C)C2=CCC=C(CN(C)c3cccc4ncccc34)N2)nc(C)c1C")</f>
        <v>Cc1cc(CN(C)C2=CCC=C(CN(C)c3cccc4ncccc34)N2)nc(C)c1C</v>
      </c>
      <c r="C19967" s="7">
        <f>IFERROR(__xludf.DUMMYFUNCTION("""COMPUTED_VALUE"""),7.712544)</f>
        <v>7.712544</v>
      </c>
      <c r="D19967" s="7">
        <f>IFERROR(__xludf.DUMMYFUNCTION("""COMPUTED_VALUE"""),0.296875)</f>
        <v>0.296875</v>
      </c>
    </row>
    <row r="19968">
      <c r="A19968" s="10" t="s">
        <v>21407</v>
      </c>
      <c r="B19968" s="7" t="str">
        <f>IFERROR(__xludf.DUMMYFUNCTION("SPLIT(A19968,"" "")"),"Cc1cccnc1CN(C)c1ccc2nc(CN(C)Cc3cccc(-c4cccc(N(C)C)c4)n3)ccc2c1")</f>
        <v>Cc1cccnc1CN(C)c1ccc2nc(CN(C)Cc3cccc(-c4cccc(N(C)C)c4)n3)ccc2c1</v>
      </c>
      <c r="C19968" s="7">
        <f>IFERROR(__xludf.DUMMYFUNCTION("""COMPUTED_VALUE"""),7.712533)</f>
        <v>7.712533</v>
      </c>
      <c r="D19968" s="7">
        <f>IFERROR(__xludf.DUMMYFUNCTION("""COMPUTED_VALUE"""),0.387096774193548)</f>
        <v>0.3870967742</v>
      </c>
    </row>
    <row r="19969">
      <c r="A19969" s="10" t="s">
        <v>21408</v>
      </c>
      <c r="B19969" s="7" t="str">
        <f>IFERROR(__xludf.DUMMYFUNCTION("SPLIT(A19969,"" "")"),"Cc1cc(C)nc(CN(C)Cc2ccc3cc(-c4ncccc4C)ccc3n2)c1")</f>
        <v>Cc1cc(C)nc(CN(C)Cc2ccc3cc(-c4ncccc4C)ccc3n2)c1</v>
      </c>
      <c r="C19969" s="7">
        <f>IFERROR(__xludf.DUMMYFUNCTION("""COMPUTED_VALUE"""),7.712497)</f>
        <v>7.712497</v>
      </c>
      <c r="D19969" s="7">
        <f>IFERROR(__xludf.DUMMYFUNCTION("""COMPUTED_VALUE"""),0.358490566037735)</f>
        <v>0.358490566</v>
      </c>
    </row>
    <row r="19970">
      <c r="A19970" s="10" t="s">
        <v>21409</v>
      </c>
      <c r="B19970" s="7" t="str">
        <f>IFERROR(__xludf.DUMMYFUNCTION("SPLIT(A19970,"" "")"),"Cc1ccc(-c2cccc(NCc3ccccn3)c2)nc1-c1cccc(N=Cc2ccccn2)c1")</f>
        <v>Cc1ccc(-c2cccc(NCc3ccccn3)c2)nc1-c1cccc(N=Cc2ccccn2)c1</v>
      </c>
      <c r="C19970" s="7">
        <f>IFERROR(__xludf.DUMMYFUNCTION("""COMPUTED_VALUE"""),7.712489)</f>
        <v>7.712489</v>
      </c>
      <c r="D19970" s="7">
        <f>IFERROR(__xludf.DUMMYFUNCTION("""COMPUTED_VALUE"""),0.359375)</f>
        <v>0.359375</v>
      </c>
    </row>
    <row r="19971">
      <c r="A19971" s="10" t="s">
        <v>21410</v>
      </c>
      <c r="B19971" s="7" t="str">
        <f>IFERROR(__xludf.DUMMYFUNCTION("SPLIT(A19971,"" "")"),"CNCc1ncccc1N(C)c1ccc2ncccc2c1")</f>
        <v>CNCc1ncccc1N(C)c1ccc2ncccc2c1</v>
      </c>
      <c r="C19971" s="7">
        <f>IFERROR(__xludf.DUMMYFUNCTION("""COMPUTED_VALUE"""),7.712439)</f>
        <v>7.712439</v>
      </c>
      <c r="D19971" s="7">
        <f>IFERROR(__xludf.DUMMYFUNCTION("""COMPUTED_VALUE"""),0.354166666666666)</f>
        <v>0.3541666667</v>
      </c>
    </row>
    <row r="19972">
      <c r="A19972" s="10" t="s">
        <v>21411</v>
      </c>
      <c r="B19972" s="7" t="str">
        <f>IFERROR(__xludf.DUMMYFUNCTION("SPLIT(A19972,"" "")"),"Cc1cccnc1CN(C)c1ccc2cccnc2c1")</f>
        <v>Cc1cccnc1CN(C)c1ccc2cccnc2c1</v>
      </c>
      <c r="C19972" s="7">
        <f>IFERROR(__xludf.DUMMYFUNCTION("""COMPUTED_VALUE"""),7.712423)</f>
        <v>7.712423</v>
      </c>
      <c r="D19972" s="7">
        <f>IFERROR(__xludf.DUMMYFUNCTION("""COMPUTED_VALUE"""),0.346938775510204)</f>
        <v>0.3469387755</v>
      </c>
    </row>
    <row r="19973">
      <c r="A19973" s="10" t="s">
        <v>21412</v>
      </c>
      <c r="B19973" s="7" t="str">
        <f>IFERROR(__xludf.DUMMYFUNCTION("SPLIT(A19973,"" "")"),"Cc1ccnc(CN(C)c2cccc3c4c(cnc23)CCC4)c1")</f>
        <v>Cc1ccnc(CN(C)c2cccc3c4c(cnc23)CCC4)c1</v>
      </c>
      <c r="C19973" s="7">
        <f>IFERROR(__xludf.DUMMYFUNCTION("""COMPUTED_VALUE"""),7.7124224)</f>
        <v>7.7124224</v>
      </c>
      <c r="D19973" s="7">
        <f>IFERROR(__xludf.DUMMYFUNCTION("""COMPUTED_VALUE"""),0.333333333333333)</f>
        <v>0.3333333333</v>
      </c>
    </row>
    <row r="19974">
      <c r="A19974" s="10" t="s">
        <v>21413</v>
      </c>
      <c r="B19974" s="7" t="str">
        <f>IFERROR(__xludf.DUMMYFUNCTION("SPLIT(A19974,"" "")"),"CN(C)CC1=CCC=C(N(C)c2ccc3ncccc3c2)N1")</f>
        <v>CN(C)CC1=CCC=C(N(C)c2ccc3ncccc3c2)N1</v>
      </c>
      <c r="C19974" s="7">
        <f>IFERROR(__xludf.DUMMYFUNCTION("""COMPUTED_VALUE"""),7.712415)</f>
        <v>7.712415</v>
      </c>
      <c r="D19974" s="7">
        <f>IFERROR(__xludf.DUMMYFUNCTION("""COMPUTED_VALUE"""),0.285714285714285)</f>
        <v>0.2857142857</v>
      </c>
    </row>
    <row r="19975">
      <c r="A19975" s="10" t="s">
        <v>21414</v>
      </c>
      <c r="B19975" s="7" t="str">
        <f>IFERROR(__xludf.DUMMYFUNCTION("SPLIT(A19975,"" "")"),"Cc1cccnc1CN(C)C1=CCC=C(CN(C)c2cccc3ncccc23)N1")</f>
        <v>Cc1cccnc1CN(C)C1=CCC=C(CN(C)c2cccc3ncccc23)N1</v>
      </c>
      <c r="C19975" s="7">
        <f>IFERROR(__xludf.DUMMYFUNCTION("""COMPUTED_VALUE"""),7.7124124)</f>
        <v>7.7124124</v>
      </c>
      <c r="D19975" s="7">
        <f>IFERROR(__xludf.DUMMYFUNCTION("""COMPUTED_VALUE"""),0.305084745762711)</f>
        <v>0.3050847458</v>
      </c>
    </row>
    <row r="19976">
      <c r="A19976" s="10" t="s">
        <v>21415</v>
      </c>
      <c r="B19976" s="7" t="str">
        <f>IFERROR(__xludf.DUMMYFUNCTION("SPLIT(A19976,"" "")"),"C1=CNC(Nc2ncccc2-c2cc(C(c3ccccn3)c3ccccn3)ccn2)C=C1")</f>
        <v>C1=CNC(Nc2ncccc2-c2cc(C(c3ccccn3)c3ccccn3)ccn2)C=C1</v>
      </c>
      <c r="C19976" s="7">
        <f>IFERROR(__xludf.DUMMYFUNCTION("""COMPUTED_VALUE"""),7.7124124)</f>
        <v>7.7124124</v>
      </c>
      <c r="D19976" s="7">
        <f>IFERROR(__xludf.DUMMYFUNCTION("""COMPUTED_VALUE"""),0.292307692307692)</f>
        <v>0.2923076923</v>
      </c>
    </row>
    <row r="19977">
      <c r="A19977" s="10" t="s">
        <v>21416</v>
      </c>
      <c r="B19977" s="7" t="str">
        <f>IFERROR(__xludf.DUMMYFUNCTION("SPLIT(A19977,"" "")"),"CN(C)CCN(C)c1cccc2ncc(C3=CCC=CN3)cc12")</f>
        <v>CN(C)CCN(C)c1cccc2ncc(C3=CCC=CN3)cc12</v>
      </c>
      <c r="C19977" s="7">
        <f>IFERROR(__xludf.DUMMYFUNCTION("""COMPUTED_VALUE"""),7.7124033)</f>
        <v>7.7124033</v>
      </c>
      <c r="D19977" s="7">
        <f>IFERROR(__xludf.DUMMYFUNCTION("""COMPUTED_VALUE"""),0.327272727272727)</f>
        <v>0.3272727273</v>
      </c>
    </row>
    <row r="19978">
      <c r="A19978" s="10" t="s">
        <v>21417</v>
      </c>
      <c r="B19978" s="7" t="str">
        <f>IFERROR(__xludf.DUMMYFUNCTION("SPLIT(A19978,"" "")"),"CN(Cc1ccc(N)cn1)C1=CCC=C(CN(C)c2ccc3cccnc3c2)N1")</f>
        <v>CN(Cc1ccc(N)cn1)C1=CCC=C(CN(C)c2ccc3cccnc3c2)N1</v>
      </c>
      <c r="C19978" s="7">
        <f>IFERROR(__xludf.DUMMYFUNCTION("""COMPUTED_VALUE"""),7.7123876)</f>
        <v>7.7123876</v>
      </c>
      <c r="D19978" s="7">
        <f>IFERROR(__xludf.DUMMYFUNCTION("""COMPUTED_VALUE"""),0.307692307692307)</f>
        <v>0.3076923077</v>
      </c>
    </row>
    <row r="19979">
      <c r="A19979" s="10" t="s">
        <v>21418</v>
      </c>
      <c r="B19979" s="7" t="str">
        <f>IFERROR(__xludf.DUMMYFUNCTION("SPLIT(A19979,"" "")"),"CN(C)Cc1ncccc1N(C)c1cccc2ncc(CF)cc12")</f>
        <v>CN(C)Cc1ncccc1N(C)c1cccc2ncc(CF)cc12</v>
      </c>
      <c r="C19979" s="7">
        <f>IFERROR(__xludf.DUMMYFUNCTION("""COMPUTED_VALUE"""),7.712379)</f>
        <v>7.712379</v>
      </c>
      <c r="D19979" s="7">
        <f>IFERROR(__xludf.DUMMYFUNCTION("""COMPUTED_VALUE"""),0.296296296296296)</f>
        <v>0.2962962963</v>
      </c>
    </row>
    <row r="19980">
      <c r="A19980" s="10" t="s">
        <v>21419</v>
      </c>
      <c r="B19980" s="7" t="str">
        <f>IFERROR(__xludf.DUMMYFUNCTION("SPLIT(A19980,"" "")"),"Cc1cnc(CN(C)C2=CCC=C(CN(C)c3cccc4ncccc34)N2)c(C)c1C")</f>
        <v>Cc1cnc(CN(C)C2=CCC=C(CN(C)c3cccc4ncccc34)N2)c(C)c1C</v>
      </c>
      <c r="C19980" s="7">
        <f>IFERROR(__xludf.DUMMYFUNCTION("""COMPUTED_VALUE"""),7.7123694)</f>
        <v>7.7123694</v>
      </c>
      <c r="D19980" s="7">
        <f>IFERROR(__xludf.DUMMYFUNCTION("""COMPUTED_VALUE"""),0.285714285714285)</f>
        <v>0.2857142857</v>
      </c>
    </row>
    <row r="19981">
      <c r="A19981" s="10" t="s">
        <v>21420</v>
      </c>
      <c r="B19981" s="7" t="str">
        <f>IFERROR(__xludf.DUMMYFUNCTION("SPLIT(A19981,"" "")"),"CC(C)Nc1cc(Cl)c2nc(CF)ccc2c1N(C)Cc1ccccn1")</f>
        <v>CC(C)Nc1cc(Cl)c2nc(CF)ccc2c1N(C)Cc1ccccn1</v>
      </c>
      <c r="C19981" s="7">
        <f>IFERROR(__xludf.DUMMYFUNCTION("""COMPUTED_VALUE"""),7.7123685)</f>
        <v>7.7123685</v>
      </c>
      <c r="D19981" s="7">
        <f>IFERROR(__xludf.DUMMYFUNCTION("""COMPUTED_VALUE"""),0.446428571428571)</f>
        <v>0.4464285714</v>
      </c>
    </row>
    <row r="19982">
      <c r="A19982" s="10" t="s">
        <v>21421</v>
      </c>
      <c r="B19982" s="7" t="str">
        <f>IFERROR(__xludf.DUMMYFUNCTION("SPLIT(A19982,"" "")"),"CN(CCCN(C)c1ccc2cccnc2c1)c1ccc2cccnc2c1")</f>
        <v>CN(CCCN(C)c1ccc2cccnc2c1)c1ccc2cccnc2c1</v>
      </c>
      <c r="C19982" s="7">
        <f>IFERROR(__xludf.DUMMYFUNCTION("""COMPUTED_VALUE"""),7.712344)</f>
        <v>7.712344</v>
      </c>
      <c r="D19982" s="7">
        <f>IFERROR(__xludf.DUMMYFUNCTION("""COMPUTED_VALUE"""),0.5)</f>
        <v>0.5</v>
      </c>
    </row>
    <row r="19983">
      <c r="A19983" s="10" t="s">
        <v>21422</v>
      </c>
      <c r="B19983" s="7" t="str">
        <f>IFERROR(__xludf.DUMMYFUNCTION("SPLIT(A19983,"" "")"),"Cc1cc(C)c(CN(C)c2cc(Cl)c(N(C)Cc3cc(C)c(C)c(C)n3)cc2Cl)nc1C")</f>
        <v>Cc1cc(C)c(CN(C)c2cc(Cl)c(N(C)Cc3cc(C)c(C)c(C)n3)cc2Cl)nc1C</v>
      </c>
      <c r="C19983" s="7">
        <f>IFERROR(__xludf.DUMMYFUNCTION("""COMPUTED_VALUE"""),7.7123365)</f>
        <v>7.7123365</v>
      </c>
      <c r="D19983" s="7">
        <f>IFERROR(__xludf.DUMMYFUNCTION("""COMPUTED_VALUE"""),0.34)</f>
        <v>0.34</v>
      </c>
    </row>
    <row r="19984">
      <c r="A19984" s="10" t="s">
        <v>21423</v>
      </c>
      <c r="B19984" s="7" t="str">
        <f>IFERROR(__xludf.DUMMYFUNCTION("SPLIT(A19984,"" "")"),"CN(CC1=CCC=C(N(C)C(c2ccccn2)c2ccccn2)N1)c1ccc2ncccc2c1")</f>
        <v>CN(CC1=CCC=C(N(C)C(c2ccccn2)c2ccccn2)N1)c1ccc2ncccc2c1</v>
      </c>
      <c r="C19984" s="7">
        <f>IFERROR(__xludf.DUMMYFUNCTION("""COMPUTED_VALUE"""),7.7123265)</f>
        <v>7.7123265</v>
      </c>
      <c r="D19984" s="7">
        <f>IFERROR(__xludf.DUMMYFUNCTION("""COMPUTED_VALUE"""),0.303030303030303)</f>
        <v>0.303030303</v>
      </c>
    </row>
    <row r="19985">
      <c r="A19985" s="10" t="s">
        <v>21424</v>
      </c>
      <c r="B19985" s="7" t="str">
        <f>IFERROR(__xludf.DUMMYFUNCTION("SPLIT(A19985,"" "")"),"CN(C)c1cccc(-c2cccc(CN(Cc3ccccn3)c3cccc4ccc(CF)nc34)n2)c1")</f>
        <v>CN(C)c1cccc(-c2cccc(CN(Cc3ccccn3)c3cccc4ccc(CF)nc34)n2)c1</v>
      </c>
      <c r="C19985" s="7">
        <f>IFERROR(__xludf.DUMMYFUNCTION("""COMPUTED_VALUE"""),7.7123227)</f>
        <v>7.7123227</v>
      </c>
      <c r="D19985" s="7">
        <f>IFERROR(__xludf.DUMMYFUNCTION("""COMPUTED_VALUE"""),0.46875)</f>
        <v>0.46875</v>
      </c>
    </row>
    <row r="19986">
      <c r="A19986" s="10" t="s">
        <v>21425</v>
      </c>
      <c r="B19986" s="7" t="str">
        <f>IFERROR(__xludf.DUMMYFUNCTION("SPLIT(A19986,"" "")"),"CC(C)C(C)(c1cccnc1)N(C)Cc1cc(-c2cccc(N(C)c3ccc4nc(-c5ccccn5)ccc4c3)c2)ccn1")</f>
        <v>CC(C)C(C)(c1cccnc1)N(C)Cc1cc(-c2cccc(N(C)c3ccc4nc(-c5ccccn5)ccc4c3)c2)ccn1</v>
      </c>
      <c r="C19986" s="7">
        <f>IFERROR(__xludf.DUMMYFUNCTION("""COMPUTED_VALUE"""),7.7123175)</f>
        <v>7.7123175</v>
      </c>
      <c r="D19986" s="7">
        <f>IFERROR(__xludf.DUMMYFUNCTION("""COMPUTED_VALUE"""),0.333333333333333)</f>
        <v>0.3333333333</v>
      </c>
    </row>
    <row r="19987">
      <c r="A19987" s="10" t="s">
        <v>21426</v>
      </c>
      <c r="B19987" s="7" t="str">
        <f>IFERROR(__xludf.DUMMYFUNCTION("SPLIT(A19987,"" "")"),"Cc1cnc(-c2cccc(NCc3ccccn3)c2)c(-c2cccc(N=Cc3ccccn3)c2)c1")</f>
        <v>Cc1cnc(-c2cccc(NCc3ccccn3)c2)c(-c2cccc(N=Cc3ccccn3)c2)c1</v>
      </c>
      <c r="C19987" s="7">
        <f>IFERROR(__xludf.DUMMYFUNCTION("""COMPUTED_VALUE"""),7.712304)</f>
        <v>7.712304</v>
      </c>
      <c r="D19987" s="7">
        <f>IFERROR(__xludf.DUMMYFUNCTION("""COMPUTED_VALUE"""),0.338461538461538)</f>
        <v>0.3384615385</v>
      </c>
    </row>
    <row r="19988">
      <c r="A19988" s="10" t="s">
        <v>21427</v>
      </c>
      <c r="B19988" s="7" t="str">
        <f>IFERROR(__xludf.DUMMYFUNCTION("SPLIT(A19988,"" "")"),"Cc1cc(-c2ccc(N=Cc3ccccn3)cc2C)ccn1")</f>
        <v>Cc1cc(-c2ccc(N=Cc3ccccn3)cc2C)ccn1</v>
      </c>
      <c r="C19988" s="7">
        <f>IFERROR(__xludf.DUMMYFUNCTION("""COMPUTED_VALUE"""),7.712302)</f>
        <v>7.712302</v>
      </c>
      <c r="D19988" s="7">
        <f>IFERROR(__xludf.DUMMYFUNCTION("""COMPUTED_VALUE"""),0.448979591836734)</f>
        <v>0.4489795918</v>
      </c>
    </row>
    <row r="19989">
      <c r="A19989" s="10" t="s">
        <v>21428</v>
      </c>
      <c r="B19989" s="7" t="str">
        <f>IFERROR(__xludf.DUMMYFUNCTION("SPLIT(A19989,"" "")"),"Cc1cnc(CN(C)C2=CNC(CN(C)c3ccc4nccc(C)c4c3)=CC2)c(C)c1")</f>
        <v>Cc1cnc(CN(C)C2=CNC(CN(C)c3ccc4nccc(C)c4c3)=CC2)c(C)c1</v>
      </c>
      <c r="C19989" s="7">
        <f>IFERROR(__xludf.DUMMYFUNCTION("""COMPUTED_VALUE"""),7.7122607)</f>
        <v>7.7122607</v>
      </c>
      <c r="D19989" s="7">
        <f>IFERROR(__xludf.DUMMYFUNCTION("""COMPUTED_VALUE"""),0.216216216216216)</f>
        <v>0.2162162162</v>
      </c>
    </row>
    <row r="19990">
      <c r="A19990" s="10" t="s">
        <v>21429</v>
      </c>
      <c r="B19990" s="7" t="str">
        <f>IFERROR(__xludf.DUMMYFUNCTION("SPLIT(A19990,"" "")"),"Cc1c(N(C)CCN(C)Cc2ccc3ncccc3c2)cc2cccnc2c1C")</f>
        <v>Cc1c(N(C)CCN(C)Cc2ccc3ncccc3c2)cc2cccnc2c1C</v>
      </c>
      <c r="C19990" s="7">
        <f>IFERROR(__xludf.DUMMYFUNCTION("""COMPUTED_VALUE"""),7.712247)</f>
        <v>7.712247</v>
      </c>
      <c r="D19990" s="7">
        <f>IFERROR(__xludf.DUMMYFUNCTION("""COMPUTED_VALUE"""),0.44)</f>
        <v>0.44</v>
      </c>
    </row>
    <row r="19991">
      <c r="A19991" s="10" t="s">
        <v>21430</v>
      </c>
      <c r="B19991" s="7" t="str">
        <f>IFERROR(__xludf.DUMMYFUNCTION("SPLIT(A19991,"" "")"),"C1=CNC(Nc2cc(-c3cc(C(c4ccccn4)c4ccccn4)ccn3)ccn2)C=C1")</f>
        <v>C1=CNC(Nc2cc(-c3cc(C(c4ccccn4)c4ccccn4)ccn3)ccn2)C=C1</v>
      </c>
      <c r="C19991" s="7">
        <f>IFERROR(__xludf.DUMMYFUNCTION("""COMPUTED_VALUE"""),7.7122188)</f>
        <v>7.7122188</v>
      </c>
      <c r="D19991" s="7">
        <f>IFERROR(__xludf.DUMMYFUNCTION("""COMPUTED_VALUE"""),0.292307692307692)</f>
        <v>0.2923076923</v>
      </c>
    </row>
    <row r="19992">
      <c r="A19992" s="10" t="s">
        <v>21431</v>
      </c>
      <c r="B19992" s="7" t="str">
        <f>IFERROR(__xludf.DUMMYFUNCTION("SPLIT(A19992,"" "")"),"CN(Cc1cc(-c2cccc(N(C)C)c2)ccn1)Cc1ccnc2ccccc12")</f>
        <v>CN(Cc1cc(-c2cccc(N(C)C)c2)ccn1)Cc1ccnc2ccccc12</v>
      </c>
      <c r="C19992" s="7">
        <f>IFERROR(__xludf.DUMMYFUNCTION("""COMPUTED_VALUE"""),7.7122154)</f>
        <v>7.7122154</v>
      </c>
      <c r="D19992" s="7">
        <f>IFERROR(__xludf.DUMMYFUNCTION("""COMPUTED_VALUE"""),0.345454545454545)</f>
        <v>0.3454545455</v>
      </c>
    </row>
    <row r="19993">
      <c r="A19993" s="10" t="s">
        <v>21432</v>
      </c>
      <c r="B19993" s="7" t="str">
        <f>IFERROR(__xludf.DUMMYFUNCTION("SPLIT(A19993,"" "")"),"CN(C1=CCC=C(CN(c2cccc3cccnc23)C2CCCC(N(C)c3cccc4cccnc34)C2)N1)c1ccc2cccnc2c1")</f>
        <v>CN(C1=CCC=C(CN(c2cccc3cccnc23)C2CCCC(N(C)c3cccc4cccnc34)C2)N1)c1ccc2cccnc2c1</v>
      </c>
      <c r="C19993" s="7">
        <f>IFERROR(__xludf.DUMMYFUNCTION("""COMPUTED_VALUE"""),7.7122097)</f>
        <v>7.7122097</v>
      </c>
      <c r="D19993" s="7">
        <f>IFERROR(__xludf.DUMMYFUNCTION("""COMPUTED_VALUE"""),0.391304347826087)</f>
        <v>0.3913043478</v>
      </c>
    </row>
    <row r="19994">
      <c r="A19994" s="10" t="s">
        <v>21433</v>
      </c>
      <c r="B19994" s="7" t="str">
        <f>IFERROR(__xludf.DUMMYFUNCTION("SPLIT(A19994,"" "")"),"CCN(Cc1ccccn1)c1ccc2nccc(CN(Cc3ccccn3)Cc3ncccc3-c3ccc4ncccc4c3N)c2c1")</f>
        <v>CCN(Cc1ccccn1)c1ccc2nccc(CN(Cc3ccccn3)Cc3ncccc3-c3ccc4ncccc4c3N)c2c1</v>
      </c>
      <c r="C19994" s="7">
        <f>IFERROR(__xludf.DUMMYFUNCTION("""COMPUTED_VALUE"""),7.7122083)</f>
        <v>7.7122083</v>
      </c>
      <c r="D19994" s="7">
        <f>IFERROR(__xludf.DUMMYFUNCTION("""COMPUTED_VALUE"""),0.338983050847457)</f>
        <v>0.3389830508</v>
      </c>
    </row>
    <row r="19995">
      <c r="A19995" s="10" t="s">
        <v>21434</v>
      </c>
      <c r="B19995" s="7" t="str">
        <f>IFERROR(__xludf.DUMMYFUNCTION("SPLIT(A19995,"" "")"),"CCN(CCN(C)c1ccc2nccc(CN(C)C)c2c1)c1ccc2ncccc2c1")</f>
        <v>CCN(CCN(C)c1ccc2nccc(CN(C)C)c2c1)c1ccc2ncccc2c1</v>
      </c>
      <c r="C19995" s="7">
        <f>IFERROR(__xludf.DUMMYFUNCTION("""COMPUTED_VALUE"""),7.7122035)</f>
        <v>7.7122035</v>
      </c>
      <c r="D19995" s="7">
        <f>IFERROR(__xludf.DUMMYFUNCTION("""COMPUTED_VALUE"""),0.321428571428571)</f>
        <v>0.3214285714</v>
      </c>
    </row>
    <row r="19996">
      <c r="A19996" s="10" t="s">
        <v>21435</v>
      </c>
      <c r="B19996" s="7" t="str">
        <f>IFERROR(__xludf.DUMMYFUNCTION("SPLIT(A19996,"" "")"),"Cc1cnc(CN(C)c2cc(-c3cc(CN(C)Cc4ccccn4)ccn3)cc(-c3ccccn3)c2Cl)c(C)c1")</f>
        <v>Cc1cnc(CN(C)c2cc(-c3cc(CN(C)Cc4ccccn4)ccn3)cc(-c3ccccn3)c2Cl)c(C)c1</v>
      </c>
      <c r="C19996" s="7">
        <f>IFERROR(__xludf.DUMMYFUNCTION("""COMPUTED_VALUE"""),7.7121987)</f>
        <v>7.7121987</v>
      </c>
      <c r="D19996" s="7">
        <f>IFERROR(__xludf.DUMMYFUNCTION("""COMPUTED_VALUE"""),0.390625)</f>
        <v>0.390625</v>
      </c>
    </row>
    <row r="19997">
      <c r="A19997" s="10" t="s">
        <v>21436</v>
      </c>
      <c r="B19997" s="7" t="str">
        <f>IFERROR(__xludf.DUMMYFUNCTION("SPLIT(A19997,"" "")"),"CN(C)c1ccccc1-c1cccc(CN(Cc2ccccn2)c2cccc3ccc(CF)nc23)n1")</f>
        <v>CN(C)c1ccccc1-c1cccc(CN(Cc2ccccn2)c2cccc3ccc(CF)nc23)n1</v>
      </c>
      <c r="C19997" s="7">
        <f>IFERROR(__xludf.DUMMYFUNCTION("""COMPUTED_VALUE"""),7.712175)</f>
        <v>7.712175</v>
      </c>
      <c r="D19997" s="7">
        <f>IFERROR(__xludf.DUMMYFUNCTION("""COMPUTED_VALUE"""),0.472727272727272)</f>
        <v>0.4727272727</v>
      </c>
    </row>
    <row r="19998">
      <c r="A19998" s="10" t="s">
        <v>21437</v>
      </c>
      <c r="B19998" s="7" t="str">
        <f>IFERROR(__xludf.DUMMYFUNCTION("SPLIT(A19998,"" "")"),"Cc1cc2cccnc2cc1-c1cccc(CN(Cc2ccccn2)Cc2cccc(-c3cccc(N=Cc4ccccn4)c3)n2)n1")</f>
        <v>Cc1cc2cccnc2cc1-c1cccc(CN(Cc2ccccn2)Cc2cccc(-c3cccc(N=Cc4ccccn4)c3)n2)n1</v>
      </c>
      <c r="C19998" s="7">
        <f>IFERROR(__xludf.DUMMYFUNCTION("""COMPUTED_VALUE"""),7.712171)</f>
        <v>7.712171</v>
      </c>
      <c r="D19998" s="7">
        <f>IFERROR(__xludf.DUMMYFUNCTION("""COMPUTED_VALUE"""),0.470588235294117)</f>
        <v>0.4705882353</v>
      </c>
    </row>
    <row r="19999">
      <c r="A19999" s="10" t="s">
        <v>21438</v>
      </c>
      <c r="B19999" s="7" t="str">
        <f>IFERROR(__xludf.DUMMYFUNCTION("SPLIT(A19999,"" "")"),"Cc1cncc(-c2cc(-c3cccc(NCc4ccccn4)c3)ccn2)c1")</f>
        <v>Cc1cncc(-c2cc(-c3cccc(NCc4ccccn4)c3)ccn2)c1</v>
      </c>
      <c r="C19999" s="7">
        <f>IFERROR(__xludf.DUMMYFUNCTION("""COMPUTED_VALUE"""),7.712165)</f>
        <v>7.712165</v>
      </c>
      <c r="D19999" s="7">
        <f>IFERROR(__xludf.DUMMYFUNCTION("""COMPUTED_VALUE"""),0.354838709677419)</f>
        <v>0.3548387097</v>
      </c>
    </row>
    <row r="20000">
      <c r="A20000" s="10" t="s">
        <v>21439</v>
      </c>
      <c r="B20000" s="7" t="str">
        <f>IFERROR(__xludf.DUMMYFUNCTION("SPLIT(A20000,"" "")"),"CN(C)CC1=CCC=C(N(C)c2cccc3cccnc23)N1")</f>
        <v>CN(C)CC1=CCC=C(N(C)c2cccc3cccnc23)N1</v>
      </c>
      <c r="C20000" s="7">
        <f>IFERROR(__xludf.DUMMYFUNCTION("""COMPUTED_VALUE"""),7.7121553)</f>
        <v>7.7121553</v>
      </c>
      <c r="D20000" s="7">
        <f>IFERROR(__xludf.DUMMYFUNCTION("""COMPUTED_VALUE"""),0.468085106382978)</f>
        <v>0.4680851064</v>
      </c>
    </row>
    <row r="20001">
      <c r="A20001" s="10" t="s">
        <v>21440</v>
      </c>
      <c r="B20001" s="7" t="str">
        <f>IFERROR(__xludf.DUMMYFUNCTION("SPLIT(A20001,"" "")"),"CNc1ccc2nccc(CF)c2c1")</f>
        <v>CNc1ccc2nccc(CF)c2c1</v>
      </c>
      <c r="C20001" s="7">
        <f>IFERROR(__xludf.DUMMYFUNCTION("""COMPUTED_VALUE"""),7.712135)</f>
        <v>7.712135</v>
      </c>
      <c r="D20001" s="7">
        <f>IFERROR(__xludf.DUMMYFUNCTION("""COMPUTED_VALUE"""),0.196078431372549)</f>
        <v>0.1960784314</v>
      </c>
    </row>
    <row r="20002">
      <c r="A20002" s="10" t="s">
        <v>21441</v>
      </c>
      <c r="B20002" s="7" t="str">
        <f>IFERROR(__xludf.DUMMYFUNCTION("SPLIT(A20002,"" "")"),"FCc1ccc2cccc(N(Cc3ccccn3)Cc3cccc(-c4ccccc4N=Cc4ccccn4)n3)c2n1")</f>
        <v>FCc1ccc2cccc(N(Cc3ccccn3)Cc3cccc(-c4ccccc4N=Cc4ccccn4)n3)c2n1</v>
      </c>
      <c r="C20002" s="7">
        <f>IFERROR(__xludf.DUMMYFUNCTION("""COMPUTED_VALUE"""),7.71213)</f>
        <v>7.71213</v>
      </c>
      <c r="D20002" s="7">
        <f>IFERROR(__xludf.DUMMYFUNCTION("""COMPUTED_VALUE"""),0.375)</f>
        <v>0.375</v>
      </c>
    </row>
    <row r="20003">
      <c r="A20003" s="10" t="s">
        <v>21442</v>
      </c>
      <c r="B20003" s="7" t="str">
        <f>IFERROR(__xludf.DUMMYFUNCTION("SPLIT(A20003,"" "")"),"CN(CC1=CCC=C(N(C)C(c2ccccn2)c2ccccn2)N1)c1ccc2cccnc2c1")</f>
        <v>CN(CC1=CCC=C(N(C)C(c2ccccn2)c2ccccn2)N1)c1ccc2cccnc2c1</v>
      </c>
      <c r="C20003" s="7">
        <f>IFERROR(__xludf.DUMMYFUNCTION("""COMPUTED_VALUE"""),7.7121296)</f>
        <v>7.7121296</v>
      </c>
      <c r="D20003" s="7">
        <f>IFERROR(__xludf.DUMMYFUNCTION("""COMPUTED_VALUE"""),0.298507462686567)</f>
        <v>0.2985074627</v>
      </c>
    </row>
    <row r="20004">
      <c r="A20004" s="10" t="s">
        <v>21443</v>
      </c>
      <c r="B20004" s="7" t="str">
        <f>IFERROR(__xludf.DUMMYFUNCTION("SPLIT(A20004,"" "")"),"CC(C)N(Cc1ccccn1)c1ccc2nc(-c3cc(C(C)(C)C)ccn3)ccc2c1")</f>
        <v>CC(C)N(Cc1ccccn1)c1ccc2nc(-c3cc(C(C)(C)C)ccn3)ccc2c1</v>
      </c>
      <c r="C20004" s="7">
        <f>IFERROR(__xludf.DUMMYFUNCTION("""COMPUTED_VALUE"""),7.7121267)</f>
        <v>7.7121267</v>
      </c>
      <c r="D20004" s="7">
        <f>IFERROR(__xludf.DUMMYFUNCTION("""COMPUTED_VALUE"""),0.4)</f>
        <v>0.4</v>
      </c>
    </row>
    <row r="20005">
      <c r="A20005" s="10" t="s">
        <v>21444</v>
      </c>
      <c r="B20005" s="7" t="str">
        <f>IFERROR(__xludf.DUMMYFUNCTION("SPLIT(A20005,"" "")"),"Cc1cc2cccnc2cc1CN(C)Cc1ncccc1-c1ccccc1N(C)C")</f>
        <v>Cc1cc2cccnc2cc1CN(C)Cc1ncccc1-c1ccccc1N(C)C</v>
      </c>
      <c r="C20005" s="7">
        <f>IFERROR(__xludf.DUMMYFUNCTION("""COMPUTED_VALUE"""),7.7121243)</f>
        <v>7.7121243</v>
      </c>
      <c r="D20005" s="7">
        <f>IFERROR(__xludf.DUMMYFUNCTION("""COMPUTED_VALUE"""),0.345454545454545)</f>
        <v>0.3454545455</v>
      </c>
    </row>
    <row r="20006">
      <c r="A20006" s="10" t="s">
        <v>21445</v>
      </c>
      <c r="B20006" s="7" t="str">
        <f>IFERROR(__xludf.DUMMYFUNCTION("SPLIT(A20006,"" "")"),"Cc1cc2cccnc2cc1CN(C)Cc1cc(-c2cccc(N(C)C)c2)ccn1")</f>
        <v>Cc1cc2cccnc2cc1CN(C)Cc1cc(-c2cccc(N(C)C)c2)ccn1</v>
      </c>
      <c r="C20006" s="7">
        <f>IFERROR(__xludf.DUMMYFUNCTION("""COMPUTED_VALUE"""),7.7121105)</f>
        <v>7.7121105</v>
      </c>
      <c r="D20006" s="7">
        <f>IFERROR(__xludf.DUMMYFUNCTION("""COMPUTED_VALUE"""),0.357142857142857)</f>
        <v>0.3571428571</v>
      </c>
    </row>
    <row r="20007">
      <c r="A20007" s="10" t="s">
        <v>21446</v>
      </c>
      <c r="B20007" s="7" t="str">
        <f>IFERROR(__xludf.DUMMYFUNCTION("SPLIT(A20007,"" "")"),"CN(Cc1ccccn1)c1cc(-c2cccc(CN(Cc3ccccn3)Cc3cccc(-c4cccc(N=Cc5ccccn5)c4)n3)n2)c2ncccc2c1")</f>
        <v>CN(Cc1ccccn1)c1cc(-c2cccc(CN(Cc3ccccn3)Cc3cccc(-c4cccc(N=Cc5ccccn5)c4)n3)n2)c2ncccc2c1</v>
      </c>
      <c r="C20007" s="7">
        <f>IFERROR(__xludf.DUMMYFUNCTION("""COMPUTED_VALUE"""),7.712096)</f>
        <v>7.712096</v>
      </c>
      <c r="D20007" s="7">
        <f>IFERROR(__xludf.DUMMYFUNCTION("""COMPUTED_VALUE"""),0.450704225352112)</f>
        <v>0.4507042254</v>
      </c>
    </row>
    <row r="20008">
      <c r="A20008" s="10" t="s">
        <v>21447</v>
      </c>
      <c r="B20008" s="7" t="str">
        <f>IFERROR(__xludf.DUMMYFUNCTION("SPLIT(A20008,"" "")"),"CN(C)c1cccc(-c2ccc(CN(Cc3ccccn3)c3ccc4nc(CF)ccc4c3)cn2)c1")</f>
        <v>CN(C)c1cccc(-c2ccc(CN(Cc3ccccn3)c3ccc4nc(CF)ccc4c3)cn2)c1</v>
      </c>
      <c r="C20008" s="7">
        <f>IFERROR(__xludf.DUMMYFUNCTION("""COMPUTED_VALUE"""),7.712078)</f>
        <v>7.712078</v>
      </c>
      <c r="D20008" s="7">
        <f>IFERROR(__xludf.DUMMYFUNCTION("""COMPUTED_VALUE"""),0.359375)</f>
        <v>0.359375</v>
      </c>
    </row>
    <row r="20009">
      <c r="A20009" s="10" t="s">
        <v>21448</v>
      </c>
      <c r="B20009" s="7" t="str">
        <f>IFERROR(__xludf.DUMMYFUNCTION("SPLIT(A20009,"" "")"),"Cc1ccc(N(C)Cc2cc(-c3cccc(N(C)C)c3)ccn2)c(C)c1")</f>
        <v>Cc1ccc(N(C)Cc2cc(-c3cccc(N(C)C)c3)ccn2)c(C)c1</v>
      </c>
      <c r="C20009" s="7">
        <f>IFERROR(__xludf.DUMMYFUNCTION("""COMPUTED_VALUE"""),7.712072)</f>
        <v>7.712072</v>
      </c>
      <c r="D20009" s="7">
        <f>IFERROR(__xludf.DUMMYFUNCTION("""COMPUTED_VALUE"""),0.365384615384615)</f>
        <v>0.3653846154</v>
      </c>
    </row>
    <row r="20010">
      <c r="A20010" s="10" t="s">
        <v>21449</v>
      </c>
      <c r="B20010" s="7" t="str">
        <f>IFERROR(__xludf.DUMMYFUNCTION("SPLIT(A20010,"" "")"),"CNC1NC=CC=C1N(C)c1ccc2cccnc2c1")</f>
        <v>CNC1NC=CC=C1N(C)c1ccc2cccnc2c1</v>
      </c>
      <c r="C20010" s="7">
        <f>IFERROR(__xludf.DUMMYFUNCTION("""COMPUTED_VALUE"""),7.7120657)</f>
        <v>7.7120657</v>
      </c>
      <c r="D20010" s="7">
        <f>IFERROR(__xludf.DUMMYFUNCTION("""COMPUTED_VALUE"""),0.258620689655172)</f>
        <v>0.2586206897</v>
      </c>
    </row>
    <row r="20011">
      <c r="A20011" s="10" t="s">
        <v>21450</v>
      </c>
      <c r="B20011" s="7" t="str">
        <f>IFERROR(__xludf.DUMMYFUNCTION("SPLIT(A20011,"" "")"),"CC(C)c1cc(CN(Cc2ccccn2)c2ccc3nc(-c4cccc(N=Cc5ccccn5)c4)ccc3c2)ccn1")</f>
        <v>CC(C)c1cc(CN(Cc2ccccn2)c2ccc3nc(-c4cccc(N=Cc5ccccn5)c4)ccc3c2)ccn1</v>
      </c>
      <c r="C20011" s="7">
        <f>IFERROR(__xludf.DUMMYFUNCTION("""COMPUTED_VALUE"""),7.7120595)</f>
        <v>7.7120595</v>
      </c>
      <c r="D20011" s="7">
        <f>IFERROR(__xludf.DUMMYFUNCTION("""COMPUTED_VALUE"""),0.329113924050632)</f>
        <v>0.3291139241</v>
      </c>
    </row>
    <row r="20012">
      <c r="A20012" s="10" t="s">
        <v>21451</v>
      </c>
      <c r="B20012" s="7" t="str">
        <f>IFERROR(__xludf.DUMMYFUNCTION("SPLIT(A20012,"" "")"),"Cc1nc(CN(C)c2cccc(CN(C)c3ccc4nc(CN(C)C)ccc4c3)n2)c(C)c(C)c1C")</f>
        <v>Cc1nc(CN(C)c2cccc(CN(C)c3ccc4nc(CN(C)C)ccc4c3)n2)c(C)c(C)c1C</v>
      </c>
      <c r="C20012" s="7">
        <f>IFERROR(__xludf.DUMMYFUNCTION("""COMPUTED_VALUE"""),7.712058)</f>
        <v>7.712058</v>
      </c>
      <c r="D20012" s="7">
        <f>IFERROR(__xludf.DUMMYFUNCTION("""COMPUTED_VALUE"""),0.303571428571428)</f>
        <v>0.3035714286</v>
      </c>
    </row>
    <row r="20013">
      <c r="A20013" s="10" t="s">
        <v>21452</v>
      </c>
      <c r="B20013" s="7" t="str">
        <f>IFERROR(__xludf.DUMMYFUNCTION("SPLIT(A20013,"" "")"),"Cc1cc(CN(C)c2ccc3nc(CN(C)Cc4cc(-c5cccc(N(C)C)c5)ccn4)ccc3c2)ccn1")</f>
        <v>Cc1cc(CN(C)c2ccc3nc(CN(C)Cc4cc(-c5cccc(N(C)C)c5)ccn4)ccc3c2)ccn1</v>
      </c>
      <c r="C20013" s="7">
        <f>IFERROR(__xludf.DUMMYFUNCTION("""COMPUTED_VALUE"""),7.7120547)</f>
        <v>7.7120547</v>
      </c>
      <c r="D20013" s="7">
        <f>IFERROR(__xludf.DUMMYFUNCTION("""COMPUTED_VALUE"""),0.316666666666666)</f>
        <v>0.3166666667</v>
      </c>
    </row>
    <row r="20014">
      <c r="A20014" s="10" t="s">
        <v>21453</v>
      </c>
      <c r="B20014" s="7" t="str">
        <f>IFERROR(__xludf.DUMMYFUNCTION("SPLIT(A20014,"" "")"),"CN(C)C1=CNC=C(CN(C)c2cccc3ncccc23)C1")</f>
        <v>CN(C)C1=CNC=C(CN(C)c2cccc3ncccc23)C1</v>
      </c>
      <c r="C20014" s="7">
        <f>IFERROR(__xludf.DUMMYFUNCTION("""COMPUTED_VALUE"""),7.7120495)</f>
        <v>7.7120495</v>
      </c>
      <c r="D20014" s="7">
        <f>IFERROR(__xludf.DUMMYFUNCTION("""COMPUTED_VALUE"""),0.346153846153846)</f>
        <v>0.3461538462</v>
      </c>
    </row>
    <row r="20015">
      <c r="A20015" s="10" t="s">
        <v>21454</v>
      </c>
      <c r="B20015" s="7" t="str">
        <f>IFERROR(__xludf.DUMMYFUNCTION("SPLIT(A20015,"" "")"),"Cc1ccc(N(C)Cc2ccccn2)cc1-c1ccc(CN(Cc2ccccn2)c2ccc3ncccc3c2)cn1")</f>
        <v>Cc1ccc(N(C)Cc2ccccn2)cc1-c1ccc(CN(Cc2ccccn2)c2ccc3ncccc3c2)cn1</v>
      </c>
      <c r="C20015" s="7">
        <f>IFERROR(__xludf.DUMMYFUNCTION("""COMPUTED_VALUE"""),7.712023)</f>
        <v>7.712023</v>
      </c>
      <c r="D20015" s="7">
        <f>IFERROR(__xludf.DUMMYFUNCTION("""COMPUTED_VALUE"""),0.354838709677419)</f>
        <v>0.3548387097</v>
      </c>
    </row>
    <row r="20016">
      <c r="A20016" s="10" t="s">
        <v>21455</v>
      </c>
      <c r="B20016" s="7" t="str">
        <f>IFERROR(__xludf.DUMMYFUNCTION("SPLIT(A20016,"" "")"),"Cc1ccc2nccc(CN(C)Cc3cc(-c4cccc(N=Cc5ccccn5)c4)ccn3)c2c1")</f>
        <v>Cc1ccc2nccc(CN(C)Cc3cc(-c4cccc(N=Cc5ccccn5)c4)ccn3)c2c1</v>
      </c>
      <c r="C20016" s="7">
        <f>IFERROR(__xludf.DUMMYFUNCTION("""COMPUTED_VALUE"""),7.7120175)</f>
        <v>7.7120175</v>
      </c>
      <c r="D20016" s="7">
        <f>IFERROR(__xludf.DUMMYFUNCTION("""COMPUTED_VALUE"""),0.328358208955223)</f>
        <v>0.328358209</v>
      </c>
    </row>
    <row r="20017">
      <c r="A20017" s="10" t="s">
        <v>21456</v>
      </c>
      <c r="B20017" s="7" t="str">
        <f>IFERROR(__xludf.DUMMYFUNCTION("SPLIT(A20017,"" "")"),"CN(c1ccc2cccnc2c1)C1C=CC=CN1")</f>
        <v>CN(c1ccc2cccnc2c1)C1C=CC=CN1</v>
      </c>
      <c r="C20017" s="7">
        <f>IFERROR(__xludf.DUMMYFUNCTION("""COMPUTED_VALUE"""),7.712015)</f>
        <v>7.712015</v>
      </c>
      <c r="D20017" s="7">
        <f>IFERROR(__xludf.DUMMYFUNCTION("""COMPUTED_VALUE"""),0.321428571428571)</f>
        <v>0.3214285714</v>
      </c>
    </row>
    <row r="20018">
      <c r="A20018" s="10" t="s">
        <v>21457</v>
      </c>
      <c r="B20018" s="7" t="str">
        <f>IFERROR(__xludf.DUMMYFUNCTION("SPLIT(A20018,"" "")"),"Cc1cnc(CN(C)c2ccc3nc(CN(C)C4C=CC=CN4)ccc3c2)c(-c2ccccn2)c1")</f>
        <v>Cc1cnc(CN(C)c2ccc3nc(CN(C)C4C=CC=CN4)ccc3c2)c(-c2ccccn2)c1</v>
      </c>
      <c r="C20018" s="7">
        <f>IFERROR(__xludf.DUMMYFUNCTION("""COMPUTED_VALUE"""),7.71201)</f>
        <v>7.71201</v>
      </c>
      <c r="D20018" s="7">
        <f>IFERROR(__xludf.DUMMYFUNCTION("""COMPUTED_VALUE"""),0.306666666666666)</f>
        <v>0.3066666667</v>
      </c>
    </row>
    <row r="20019">
      <c r="A20019" s="10" t="s">
        <v>21458</v>
      </c>
      <c r="B20019" s="7" t="str">
        <f>IFERROR(__xludf.DUMMYFUNCTION("SPLIT(A20019,"" "")"),"Cc1cncc(N(C)c2ccc3ccc(CN(Cc4ccccn4)C(C)(N)N(Cc4ncccc4N)c4ccc5cccnc5c4)nc3c2)c1")</f>
        <v>Cc1cncc(N(C)c2ccc3ccc(CN(Cc4ccccn4)C(C)(N)N(Cc4ncccc4N)c4ccc5cccnc5c4)nc3c2)c1</v>
      </c>
      <c r="C20019" s="7">
        <f>IFERROR(__xludf.DUMMYFUNCTION("""COMPUTED_VALUE"""),7.7119966)</f>
        <v>7.7119966</v>
      </c>
      <c r="D20019" s="7">
        <f>IFERROR(__xludf.DUMMYFUNCTION("""COMPUTED_VALUE"""),0.347222222222222)</f>
        <v>0.3472222222</v>
      </c>
    </row>
    <row r="20020">
      <c r="A20020" s="10" t="s">
        <v>21459</v>
      </c>
      <c r="B20020" s="7" t="str">
        <f>IFERROR(__xludf.DUMMYFUNCTION("SPLIT(A20020,"" "")"),"Cc1ccccc1N(C)CC1=C(N(C)c2cccc3cccnc23)CC=CN1")</f>
        <v>Cc1ccccc1N(C)CC1=C(N(C)c2cccc3cccnc23)CC=CN1</v>
      </c>
      <c r="C20020" s="7">
        <f>IFERROR(__xludf.DUMMYFUNCTION("""COMPUTED_VALUE"""),7.711982)</f>
        <v>7.711982</v>
      </c>
      <c r="D20020" s="7">
        <f>IFERROR(__xludf.DUMMYFUNCTION("""COMPUTED_VALUE"""),0.444444444444444)</f>
        <v>0.4444444444</v>
      </c>
    </row>
    <row r="20021">
      <c r="A20021" s="10" t="s">
        <v>21460</v>
      </c>
      <c r="B20021" s="7" t="str">
        <f>IFERROR(__xludf.DUMMYFUNCTION("SPLIT(A20021,"" "")"),"Cc1cnc(CN(C)C2=CCC=C(CN(C)c3cccc4ncccc34)N2)c(C)c1")</f>
        <v>Cc1cnc(CN(C)C2=CCC=C(CN(C)c3cccc4ncccc34)N2)c(C)c1</v>
      </c>
      <c r="C20021" s="7">
        <f>IFERROR(__xludf.DUMMYFUNCTION("""COMPUTED_VALUE"""),7.711963)</f>
        <v>7.711963</v>
      </c>
      <c r="D20021" s="7">
        <f>IFERROR(__xludf.DUMMYFUNCTION("""COMPUTED_VALUE"""),0.28125)</f>
        <v>0.28125</v>
      </c>
    </row>
    <row r="20022">
      <c r="A20022" s="10" t="s">
        <v>21461</v>
      </c>
      <c r="B20022" s="7" t="str">
        <f>IFERROR(__xludf.DUMMYFUNCTION("SPLIT(A20022,"" "")"),"CNCc1nc2ccccc2o1")</f>
        <v>CNCc1nc2ccccc2o1</v>
      </c>
      <c r="C20022" s="7">
        <f>IFERROR(__xludf.DUMMYFUNCTION("""COMPUTED_VALUE"""),7.7119565)</f>
        <v>7.7119565</v>
      </c>
      <c r="D20022" s="7">
        <f>IFERROR(__xludf.DUMMYFUNCTION("""COMPUTED_VALUE"""),0.394736842105263)</f>
        <v>0.3947368421</v>
      </c>
    </row>
    <row r="20023">
      <c r="A20023" s="10" t="s">
        <v>21462</v>
      </c>
      <c r="B20023" s="7" t="str">
        <f>IFERROR(__xludf.DUMMYFUNCTION("SPLIT(A20023,"" "")"),"Cc1cnc(-c2cccc(N=Cc3ccccn3)c2)c(C)c1")</f>
        <v>Cc1cnc(-c2cccc(N=Cc3ccccn3)c2)c(C)c1</v>
      </c>
      <c r="C20023" s="7">
        <f>IFERROR(__xludf.DUMMYFUNCTION("""COMPUTED_VALUE"""),7.711941)</f>
        <v>7.711941</v>
      </c>
      <c r="D20023" s="7">
        <f>IFERROR(__xludf.DUMMYFUNCTION("""COMPUTED_VALUE"""),0.46938775510204)</f>
        <v>0.4693877551</v>
      </c>
    </row>
    <row r="20024">
      <c r="A20024" s="10" t="s">
        <v>21463</v>
      </c>
      <c r="B20024" s="7" t="str">
        <f>IFERROR(__xludf.DUMMYFUNCTION("SPLIT(A20024,"" "")"),"CN(C1=CCC=CN1)c1ccc2ccc(CF)nc2c1")</f>
        <v>CN(C1=CCC=CN1)c1ccc2ccc(CF)nc2c1</v>
      </c>
      <c r="C20024" s="7">
        <f>IFERROR(__xludf.DUMMYFUNCTION("""COMPUTED_VALUE"""),7.711935)</f>
        <v>7.711935</v>
      </c>
      <c r="D20024" s="7">
        <f>IFERROR(__xludf.DUMMYFUNCTION("""COMPUTED_VALUE"""),0.305084745762711)</f>
        <v>0.3050847458</v>
      </c>
    </row>
    <row r="20025">
      <c r="A20025" s="10" t="s">
        <v>21464</v>
      </c>
      <c r="B20025" s="7" t="str">
        <f>IFERROR(__xludf.DUMMYFUNCTION("SPLIT(A20025,"" "")"),"C1=CC(Nc2cc(-c3cccc(C(c4ccccn4)c4ccccn4)n3)ccn2)=CCN1")</f>
        <v>C1=CC(Nc2cc(-c3cccc(C(c4ccccn4)c4ccccn4)n3)ccn2)=CCN1</v>
      </c>
      <c r="C20025" s="7">
        <f>IFERROR(__xludf.DUMMYFUNCTION("""COMPUTED_VALUE"""),7.711918)</f>
        <v>7.711918</v>
      </c>
      <c r="D20025" s="7">
        <f>IFERROR(__xludf.DUMMYFUNCTION("""COMPUTED_VALUE"""),0.25)</f>
        <v>0.25</v>
      </c>
    </row>
    <row r="20026">
      <c r="A20026" s="10" t="s">
        <v>21465</v>
      </c>
      <c r="B20026" s="7" t="str">
        <f>IFERROR(__xludf.DUMMYFUNCTION("SPLIT(A20026,"" "")"),"Cc1ccnc(CN(C)C2=CCC=C(CN(C)c3cccc4ncccc34)N2)c1C")</f>
        <v>Cc1ccnc(CN(C)C2=CCC=C(CN(C)c3cccc4ncccc34)N2)c1C</v>
      </c>
      <c r="C20026" s="7">
        <f>IFERROR(__xludf.DUMMYFUNCTION("""COMPUTED_VALUE"""),7.711901)</f>
        <v>7.711901</v>
      </c>
      <c r="D20026" s="7">
        <f>IFERROR(__xludf.DUMMYFUNCTION("""COMPUTED_VALUE"""),0.290322580645161)</f>
        <v>0.2903225806</v>
      </c>
    </row>
    <row r="20027">
      <c r="A20027" s="10" t="s">
        <v>21466</v>
      </c>
      <c r="B20027" s="7" t="str">
        <f>IFERROR(__xludf.DUMMYFUNCTION("SPLIT(A20027,"" "")"),"CN(CC1=C(N(C)c2ccccc2F)NC=CC1)c1cccc2ncccc12")</f>
        <v>CN(CC1=C(N(C)c2ccccc2F)NC=CC1)c1cccc2ncccc12</v>
      </c>
      <c r="C20027" s="7">
        <f>IFERROR(__xludf.DUMMYFUNCTION("""COMPUTED_VALUE"""),7.7118964)</f>
        <v>7.7118964</v>
      </c>
      <c r="D20027" s="7">
        <f>IFERROR(__xludf.DUMMYFUNCTION("""COMPUTED_VALUE"""),0.311475409836065)</f>
        <v>0.3114754098</v>
      </c>
    </row>
    <row r="20028">
      <c r="A20028" s="10" t="s">
        <v>21467</v>
      </c>
      <c r="B20028" s="7" t="str">
        <f>IFERROR(__xludf.DUMMYFUNCTION("SPLIT(A20028,"" "")"),"CN(Cc1ccc(-c2ccc3ncccc3c2)cn1)C1=CCC(C(C)(C)C)=CN1")</f>
        <v>CN(Cc1ccc(-c2ccc3ncccc3c2)cn1)C1=CCC(C(C)(C)C)=CN1</v>
      </c>
      <c r="C20028" s="7">
        <f>IFERROR(__xludf.DUMMYFUNCTION("""COMPUTED_VALUE"""),7.711896)</f>
        <v>7.711896</v>
      </c>
      <c r="D20028" s="7">
        <f>IFERROR(__xludf.DUMMYFUNCTION("""COMPUTED_VALUE"""),0.276923076923076)</f>
        <v>0.2769230769</v>
      </c>
    </row>
    <row r="20029">
      <c r="A20029" s="10" t="s">
        <v>21468</v>
      </c>
      <c r="B20029" s="7" t="str">
        <f>IFERROR(__xludf.DUMMYFUNCTION("SPLIT(A20029,"" "")"),"CNCc1cc(N(C)c2ccc3cccnc3c2)ccn1")</f>
        <v>CNCc1cc(N(C)c2ccc3cccnc3c2)ccn1</v>
      </c>
      <c r="C20029" s="7">
        <f>IFERROR(__xludf.DUMMYFUNCTION("""COMPUTED_VALUE"""),7.711884)</f>
        <v>7.711884</v>
      </c>
      <c r="D20029" s="7">
        <f>IFERROR(__xludf.DUMMYFUNCTION("""COMPUTED_VALUE"""),0.352941176470588)</f>
        <v>0.3529411765</v>
      </c>
    </row>
    <row r="20030">
      <c r="A20030" s="10" t="s">
        <v>21469</v>
      </c>
      <c r="B20030" s="7" t="str">
        <f>IFERROR(__xludf.DUMMYFUNCTION("SPLIT(A20030,"" "")"),"Cc1cccc(-c2cccc(NCc3cccc(-c4cccc(N=Cc5ccccn5)c4)n3)c2)n1")</f>
        <v>Cc1cccc(-c2cccc(NCc3cccc(-c4cccc(N=Cc5ccccn5)c4)n3)c2)n1</v>
      </c>
      <c r="C20030" s="7">
        <f>IFERROR(__xludf.DUMMYFUNCTION("""COMPUTED_VALUE"""),7.7118764)</f>
        <v>7.7118764</v>
      </c>
      <c r="D20030" s="7">
        <f>IFERROR(__xludf.DUMMYFUNCTION("""COMPUTED_VALUE"""),0.354838709677419)</f>
        <v>0.3548387097</v>
      </c>
    </row>
    <row r="20031">
      <c r="A20031" s="10" t="s">
        <v>21470</v>
      </c>
      <c r="B20031" s="7" t="str">
        <f>IFERROR(__xludf.DUMMYFUNCTION("SPLIT(A20031,"" "")"),"CC(C)(c1ncccc1CN(Cc1ccccn1)c1ccc2ncccc2c1)c1ncccc1-c1cccc(N=Cc2ccccn2)c1")</f>
        <v>CC(C)(c1ncccc1CN(Cc1ccccn1)c1ccc2ncccc2c1)c1ncccc1-c1cccc(N=Cc2ccccn2)c1</v>
      </c>
      <c r="C20031" s="7">
        <f>IFERROR(__xludf.DUMMYFUNCTION("""COMPUTED_VALUE"""),7.7118692)</f>
        <v>7.7118692</v>
      </c>
      <c r="D20031" s="7">
        <f>IFERROR(__xludf.DUMMYFUNCTION("""COMPUTED_VALUE"""),0.277108433734939)</f>
        <v>0.2771084337</v>
      </c>
    </row>
    <row r="20032">
      <c r="A20032" s="10" t="s">
        <v>21471</v>
      </c>
      <c r="B20032" s="7" t="str">
        <f>IFERROR(__xludf.DUMMYFUNCTION("SPLIT(A20032,"" "")"),"CN(Cc1ccccn1)Cc1ccnc2ccc(N(C)Cc3ccc4ncccc4c3)cc12")</f>
        <v>CN(Cc1ccccn1)Cc1ccnc2ccc(N(C)Cc3ccc4ncccc4c3)cc12</v>
      </c>
      <c r="C20032" s="7">
        <f>IFERROR(__xludf.DUMMYFUNCTION("""COMPUTED_VALUE"""),7.711864)</f>
        <v>7.711864</v>
      </c>
      <c r="D20032" s="7">
        <f>IFERROR(__xludf.DUMMYFUNCTION("""COMPUTED_VALUE"""),0.403508771929824)</f>
        <v>0.4035087719</v>
      </c>
    </row>
    <row r="20033">
      <c r="A20033" s="10" t="s">
        <v>21472</v>
      </c>
      <c r="B20033" s="7" t="str">
        <f>IFERROR(__xludf.DUMMYFUNCTION("SPLIT(A20033,"" "")"),"Cc1cc(-c2cc(-c3cccc(NCc4ccccn4)c3)ccn2)ccn1")</f>
        <v>Cc1cc(-c2cc(-c3cccc(NCc4ccccn4)c3)ccn2)ccn1</v>
      </c>
      <c r="C20033" s="7">
        <f>IFERROR(__xludf.DUMMYFUNCTION("""COMPUTED_VALUE"""),7.7118607)</f>
        <v>7.7118607</v>
      </c>
      <c r="D20033" s="7">
        <f>IFERROR(__xludf.DUMMYFUNCTION("""COMPUTED_VALUE"""),0.379310344827586)</f>
        <v>0.3793103448</v>
      </c>
    </row>
    <row r="20034">
      <c r="A20034" s="10" t="s">
        <v>21473</v>
      </c>
      <c r="B20034" s="7" t="str">
        <f>IFERROR(__xludf.DUMMYFUNCTION("SPLIT(A20034,"" "")"),"Cc1ccc(CN(C)Cc2ccnc(-c3cc(N(C)Cc4ccccn4)cc4cccnc34)c2)nc1")</f>
        <v>Cc1ccc(CN(C)Cc2ccnc(-c3cc(N(C)Cc4ccccn4)cc4cccnc34)c2)nc1</v>
      </c>
      <c r="C20034" s="7">
        <f>IFERROR(__xludf.DUMMYFUNCTION("""COMPUTED_VALUE"""),7.7118526)</f>
        <v>7.7118526</v>
      </c>
      <c r="D20034" s="7">
        <f>IFERROR(__xludf.DUMMYFUNCTION("""COMPUTED_VALUE"""),0.403225806451612)</f>
        <v>0.4032258065</v>
      </c>
    </row>
    <row r="20035">
      <c r="A20035" s="10" t="s">
        <v>21474</v>
      </c>
      <c r="B20035" s="7" t="str">
        <f>IFERROR(__xludf.DUMMYFUNCTION("SPLIT(A20035,"" "")"),"CNc1ccc2c(CF)ccnc2c1")</f>
        <v>CNc1ccc2c(CF)ccnc2c1</v>
      </c>
      <c r="C20035" s="7">
        <f>IFERROR(__xludf.DUMMYFUNCTION("""COMPUTED_VALUE"""),7.7118473)</f>
        <v>7.7118473</v>
      </c>
      <c r="D20035" s="7">
        <f>IFERROR(__xludf.DUMMYFUNCTION("""COMPUTED_VALUE"""),0.2)</f>
        <v>0.2</v>
      </c>
    </row>
    <row r="20036">
      <c r="A20036" s="10" t="s">
        <v>21475</v>
      </c>
      <c r="B20036" s="7" t="str">
        <f>IFERROR(__xludf.DUMMYFUNCTION("SPLIT(A20036,"" "")"),"CCNc1cc(C)c(N(C)c2cccc3ncccc23)c(N(Cc2ccccn2)Cc2ncc(C)cc2C)c1Cl")</f>
        <v>CCNc1cc(C)c(N(C)c2cccc3ncccc23)c(N(Cc2ccccn2)Cc2ncc(C)cc2C)c1Cl</v>
      </c>
      <c r="C20036" s="7">
        <f>IFERROR(__xludf.DUMMYFUNCTION("""COMPUTED_VALUE"""),7.7118464)</f>
        <v>7.7118464</v>
      </c>
      <c r="D20036" s="7">
        <f>IFERROR(__xludf.DUMMYFUNCTION("""COMPUTED_VALUE"""),0.323943661971831)</f>
        <v>0.323943662</v>
      </c>
    </row>
    <row r="20037">
      <c r="A20037" s="10" t="s">
        <v>21476</v>
      </c>
      <c r="B20037" s="7" t="str">
        <f>IFERROR(__xludf.DUMMYFUNCTION("SPLIT(A20037,"" "")"),"Cc1cnc(CN(C)c2cc(N(C)C(C)(C)c3ccccn3)c3ncccc3c2)c(C)c1")</f>
        <v>Cc1cnc(CN(C)c2cc(N(C)C(C)(C)c3ccccn3)c3ncccc3c2)c(C)c1</v>
      </c>
      <c r="C20037" s="7">
        <f>IFERROR(__xludf.DUMMYFUNCTION("""COMPUTED_VALUE"""),7.7118387)</f>
        <v>7.7118387</v>
      </c>
      <c r="D20037" s="7">
        <f>IFERROR(__xludf.DUMMYFUNCTION("""COMPUTED_VALUE"""),0.333333333333333)</f>
        <v>0.3333333333</v>
      </c>
    </row>
    <row r="20038">
      <c r="A20038" s="10" t="s">
        <v>21477</v>
      </c>
      <c r="B20038" s="7" t="str">
        <f>IFERROR(__xludf.DUMMYFUNCTION("SPLIT(A20038,"" "")"),"C1=CC(Nc2ncccc2-c2ncccc2C(c2ccccn2)c2ccccn2)=CCN1")</f>
        <v>C1=CC(Nc2ncccc2-c2ncccc2C(c2ccccn2)c2ccccn2)=CCN1</v>
      </c>
      <c r="C20038" s="7">
        <f>IFERROR(__xludf.DUMMYFUNCTION("""COMPUTED_VALUE"""),7.711835)</f>
        <v>7.711835</v>
      </c>
      <c r="D20038" s="7">
        <f>IFERROR(__xludf.DUMMYFUNCTION("""COMPUTED_VALUE"""),0.238095238095238)</f>
        <v>0.2380952381</v>
      </c>
    </row>
    <row r="20039">
      <c r="A20039" s="10" t="s">
        <v>21478</v>
      </c>
      <c r="B20039" s="7" t="str">
        <f>IFERROR(__xludf.DUMMYFUNCTION("SPLIT(A20039,"" "")"),"Cc1cccc(-c2ccc(N=Cc3ccccn3)cc2C)n1")</f>
        <v>Cc1cccc(-c2ccc(N=Cc3ccccn3)cc2C)n1</v>
      </c>
      <c r="C20039" s="7">
        <f>IFERROR(__xludf.DUMMYFUNCTION("""COMPUTED_VALUE"""),7.7118306)</f>
        <v>7.7118306</v>
      </c>
      <c r="D20039" s="7">
        <f>IFERROR(__xludf.DUMMYFUNCTION("""COMPUTED_VALUE"""),0.46938775510204)</f>
        <v>0.4693877551</v>
      </c>
    </row>
    <row r="20040">
      <c r="A20040" s="10" t="s">
        <v>21479</v>
      </c>
      <c r="B20040" s="7" t="str">
        <f>IFERROR(__xludf.DUMMYFUNCTION("SPLIT(A20040,"" "")"),"Cc1cncc(-c2cc(N=Cc3ccccn3)ccc2C)c1")</f>
        <v>Cc1cncc(-c2cc(N=Cc3ccccn3)ccc2C)c1</v>
      </c>
      <c r="C20040" s="7">
        <f>IFERROR(__xludf.DUMMYFUNCTION("""COMPUTED_VALUE"""),7.711816)</f>
        <v>7.711816</v>
      </c>
      <c r="D20040" s="7">
        <f>IFERROR(__xludf.DUMMYFUNCTION("""COMPUTED_VALUE"""),0.431372549019607)</f>
        <v>0.431372549</v>
      </c>
    </row>
    <row r="20041">
      <c r="A20041" s="10" t="s">
        <v>21480</v>
      </c>
      <c r="B20041" s="7" t="str">
        <f>IFERROR(__xludf.DUMMYFUNCTION("SPLIT(A20041,"" "")"),"CCN(Cc1ccccc1N(C)Cc1ccc2ncccc2c1)c1ccc2ncccc2c1")</f>
        <v>CCN(Cc1ccccc1N(C)Cc1ccc2ncccc2c1)c1ccc2ncccc2c1</v>
      </c>
      <c r="C20041" s="7">
        <f>IFERROR(__xludf.DUMMYFUNCTION("""COMPUTED_VALUE"""),7.711809)</f>
        <v>7.711809</v>
      </c>
      <c r="D20041" s="7">
        <f>IFERROR(__xludf.DUMMYFUNCTION("""COMPUTED_VALUE"""),0.345454545454545)</f>
        <v>0.3454545455</v>
      </c>
    </row>
    <row r="20042">
      <c r="A20042" s="10" t="s">
        <v>21481</v>
      </c>
      <c r="B20042" s="7" t="str">
        <f>IFERROR(__xludf.DUMMYFUNCTION("SPLIT(A20042,"" "")"),"CN(CCCN(C)c1ccc2nccc(CF)c2c1)c1ccc2ncccc2c1")</f>
        <v>CN(CCCN(C)c1ccc2nccc(CF)c2c1)c1ccc2ncccc2c1</v>
      </c>
      <c r="C20042" s="7">
        <f>IFERROR(__xludf.DUMMYFUNCTION("""COMPUTED_VALUE"""),7.7117805)</f>
        <v>7.7117805</v>
      </c>
      <c r="D20042" s="7">
        <f>IFERROR(__xludf.DUMMYFUNCTION("""COMPUTED_VALUE"""),0.392156862745098)</f>
        <v>0.3921568627</v>
      </c>
    </row>
    <row r="20043">
      <c r="A20043" s="10" t="s">
        <v>21482</v>
      </c>
      <c r="B20043" s="7" t="str">
        <f>IFERROR(__xludf.DUMMYFUNCTION("SPLIT(A20043,"" "")"),"Cc1cc(C)c(-c2c(C(C)(C)C)ccc(NCc3ccccn3)c2C)c(-c2cccc(N=Cc3ccccn3)c2)n1")</f>
        <v>Cc1cc(C)c(-c2c(C(C)(C)C)ccc(NCc3ccccn3)c2C)c(-c2cccc(N=Cc3ccccn3)c2)n1</v>
      </c>
      <c r="C20043" s="7">
        <f>IFERROR(__xludf.DUMMYFUNCTION("""COMPUTED_VALUE"""),7.7117796)</f>
        <v>7.7117796</v>
      </c>
      <c r="D20043" s="7">
        <f>IFERROR(__xludf.DUMMYFUNCTION("""COMPUTED_VALUE"""),0.333333333333333)</f>
        <v>0.3333333333</v>
      </c>
    </row>
    <row r="20044">
      <c r="A20044" s="10" t="s">
        <v>21483</v>
      </c>
      <c r="B20044" s="7" t="str">
        <f>IFERROR(__xludf.DUMMYFUNCTION("SPLIT(A20044,"" "")"),"C1=CC(Nc2cc(-c3ncccc3C(c3ccccn3)c3ccccn3)ccn2)=CCN1")</f>
        <v>C1=CC(Nc2cc(-c3ncccc3C(c3ccccn3)c3ccccn3)ccn2)=CCN1</v>
      </c>
      <c r="C20044" s="7">
        <f>IFERROR(__xludf.DUMMYFUNCTION("""COMPUTED_VALUE"""),7.7117467)</f>
        <v>7.7117467</v>
      </c>
      <c r="D20044" s="7">
        <f>IFERROR(__xludf.DUMMYFUNCTION("""COMPUTED_VALUE"""),0.227272727272727)</f>
        <v>0.2272727273</v>
      </c>
    </row>
    <row r="20045">
      <c r="A20045" s="10" t="s">
        <v>21484</v>
      </c>
      <c r="B20045" s="7" t="str">
        <f>IFERROR(__xludf.DUMMYFUNCTION("SPLIT(A20045,"" "")"),"CCCN(Cc1ccccn1)c1cc(N(C)Cc2ccccn2)c2cccnc2c1-c1ccc(C)c(C)c1C")</f>
        <v>CCCN(Cc1ccccn1)c1cc(N(C)Cc2ccccn2)c2cccnc2c1-c1ccc(C)c(C)c1C</v>
      </c>
      <c r="C20045" s="7">
        <f>IFERROR(__xludf.DUMMYFUNCTION("""COMPUTED_VALUE"""),7.7117443)</f>
        <v>7.7117443</v>
      </c>
      <c r="D20045" s="7">
        <f>IFERROR(__xludf.DUMMYFUNCTION("""COMPUTED_VALUE"""),0.406779661016949)</f>
        <v>0.406779661</v>
      </c>
    </row>
    <row r="20046">
      <c r="A20046" s="10" t="s">
        <v>21485</v>
      </c>
      <c r="B20046" s="7" t="str">
        <f>IFERROR(__xludf.DUMMYFUNCTION("SPLIT(A20046,"" "")"),"CN(c1ccc2nc3c(cc2c1)CCCC3)C1CCC(N(C)c2ccc3c(-c4ccc5cccnc5c4)ccnc3c2)CC1")</f>
        <v>CN(c1ccc2nc3c(cc2c1)CCCC3)C1CCC(N(C)c2ccc3c(-c4ccc5cccnc5c4)ccnc3c2)CC1</v>
      </c>
      <c r="C20046" s="7">
        <f>IFERROR(__xludf.DUMMYFUNCTION("""COMPUTED_VALUE"""),7.711729)</f>
        <v>7.711729</v>
      </c>
      <c r="D20046" s="7">
        <f>IFERROR(__xludf.DUMMYFUNCTION("""COMPUTED_VALUE"""),0.347222222222222)</f>
        <v>0.3472222222</v>
      </c>
    </row>
    <row r="20047">
      <c r="A20047" s="10" t="s">
        <v>21486</v>
      </c>
      <c r="B20047" s="7" t="str">
        <f>IFERROR(__xludf.DUMMYFUNCTION("SPLIT(A20047,"" "")"),"Cc1cc(N(C)Cc2ncccc2-c2ccccc2N=Cc2ccccn2)c(C)c(C)c1C")</f>
        <v>Cc1cc(N(C)Cc2ncccc2-c2ccccc2N=Cc2ccccn2)c(C)c(C)c1C</v>
      </c>
      <c r="C20047" s="7">
        <f>IFERROR(__xludf.DUMMYFUNCTION("""COMPUTED_VALUE"""),7.7117257)</f>
        <v>7.7117257</v>
      </c>
      <c r="D20047" s="7">
        <f>IFERROR(__xludf.DUMMYFUNCTION("""COMPUTED_VALUE"""),0.454545454545454)</f>
        <v>0.4545454545</v>
      </c>
    </row>
    <row r="20048">
      <c r="A20048" s="10" t="s">
        <v>21487</v>
      </c>
      <c r="B20048" s="7" t="str">
        <f>IFERROR(__xludf.DUMMYFUNCTION("SPLIT(A20048,"" "")"),"Cc1ccc2c(N(C)CC3=CNC(N(C)C)=CC3)cccc2n1")</f>
        <v>Cc1ccc2c(N(C)CC3=CNC(N(C)C)=CC3)cccc2n1</v>
      </c>
      <c r="C20048" s="7">
        <f>IFERROR(__xludf.DUMMYFUNCTION("""COMPUTED_VALUE"""),7.711708)</f>
        <v>7.711708</v>
      </c>
      <c r="D20048" s="7">
        <f>IFERROR(__xludf.DUMMYFUNCTION("""COMPUTED_VALUE"""),0.272727272727272)</f>
        <v>0.2727272727</v>
      </c>
    </row>
    <row r="20049">
      <c r="A20049" s="10" t="s">
        <v>21488</v>
      </c>
      <c r="B20049" s="7" t="str">
        <f>IFERROR(__xludf.DUMMYFUNCTION("SPLIT(A20049,"" "")"),"CN(CCCN(C)c1ccc2nccc(CF)c2c1)c1ccc2cccnc2c1")</f>
        <v>CN(CCCN(C)c1ccc2nccc(CF)c2c1)c1ccc2cccnc2c1</v>
      </c>
      <c r="C20049" s="7">
        <f>IFERROR(__xludf.DUMMYFUNCTION("""COMPUTED_VALUE"""),7.711639)</f>
        <v>7.711639</v>
      </c>
      <c r="D20049" s="7">
        <f>IFERROR(__xludf.DUMMYFUNCTION("""COMPUTED_VALUE"""),0.377358490566037)</f>
        <v>0.3773584906</v>
      </c>
    </row>
    <row r="20050">
      <c r="A20050" s="10" t="s">
        <v>21489</v>
      </c>
      <c r="B20050" s="7" t="str">
        <f>IFERROR(__xludf.DUMMYFUNCTION("SPLIT(A20050,"" "")"),"Cc1cccnc1CN(C)Cc1ccnc(-c2c(N(C)Cc3ncccc3C)ccc3cccnc23)c1")</f>
        <v>Cc1cccnc1CN(C)Cc1ccnc(-c2c(N(C)Cc3ncccc3C)ccc3cccnc23)c1</v>
      </c>
      <c r="C20050" s="7">
        <f>IFERROR(__xludf.DUMMYFUNCTION("""COMPUTED_VALUE"""),7.711638)</f>
        <v>7.711638</v>
      </c>
      <c r="D20050" s="7">
        <f>IFERROR(__xludf.DUMMYFUNCTION("""COMPUTED_VALUE"""),0.357142857142857)</f>
        <v>0.3571428571</v>
      </c>
    </row>
    <row r="20051">
      <c r="A20051" s="10" t="s">
        <v>21490</v>
      </c>
      <c r="B20051" s="7" t="str">
        <f>IFERROR(__xludf.DUMMYFUNCTION("SPLIT(A20051,"" "")"),"CN(CCNc1ccc2nccc(CF)c2c1)Cc1cc(-c2ccc3ncccc3c2)ccn1")</f>
        <v>CN(CCNc1ccc2nccc(CF)c2c1)Cc1cc(-c2ccc3ncccc3c2)ccn1</v>
      </c>
      <c r="C20051" s="7">
        <f>IFERROR(__xludf.DUMMYFUNCTION("""COMPUTED_VALUE"""),7.7116356)</f>
        <v>7.7116356</v>
      </c>
      <c r="D20051" s="7">
        <f>IFERROR(__xludf.DUMMYFUNCTION("""COMPUTED_VALUE"""),0.317460317460317)</f>
        <v>0.3174603175</v>
      </c>
    </row>
    <row r="20052">
      <c r="A20052" s="10" t="s">
        <v>21491</v>
      </c>
      <c r="B20052" s="7" t="str">
        <f>IFERROR(__xludf.DUMMYFUNCTION("SPLIT(A20052,"" "")"),"Cc1ccc(N(C)Cc2ccccn2)c(-c2ccc(CN(Cc3ccccn3)c3ccc4ncccc4c3)cn2)c1C")</f>
        <v>Cc1ccc(N(C)Cc2ccccn2)c(-c2ccc(CN(Cc3ccccn3)c3ccc4ncccc4c3)cn2)c1C</v>
      </c>
      <c r="C20052" s="7">
        <f>IFERROR(__xludf.DUMMYFUNCTION("""COMPUTED_VALUE"""),7.7116327)</f>
        <v>7.7116327</v>
      </c>
      <c r="D20052" s="7">
        <f>IFERROR(__xludf.DUMMYFUNCTION("""COMPUTED_VALUE"""),0.387096774193548)</f>
        <v>0.3870967742</v>
      </c>
    </row>
    <row r="20053">
      <c r="A20053" s="10" t="s">
        <v>21492</v>
      </c>
      <c r="B20053" s="7" t="str">
        <f>IFERROR(__xludf.DUMMYFUNCTION("SPLIT(A20053,"" "")"),"CN(C)c1ccccc1-c1cccc(CN(Cc2ccccn2)c2ccc3ccc(CF)nc3c2)n1")</f>
        <v>CN(C)c1ccccc1-c1cccc(CN(Cc2ccccn2)c2ccc3ccc(CF)nc3c2)n1</v>
      </c>
      <c r="C20053" s="7">
        <f>IFERROR(__xludf.DUMMYFUNCTION("""COMPUTED_VALUE"""),7.7116184)</f>
        <v>7.7116184</v>
      </c>
      <c r="D20053" s="7">
        <f>IFERROR(__xludf.DUMMYFUNCTION("""COMPUTED_VALUE"""),0.464285714285714)</f>
        <v>0.4642857143</v>
      </c>
    </row>
    <row r="20054">
      <c r="A20054" s="10" t="s">
        <v>21493</v>
      </c>
      <c r="B20054" s="7" t="str">
        <f>IFERROR(__xludf.DUMMYFUNCTION("SPLIT(A20054,"" "")"),"CN(C)C1=C(CN(C)c2ccc3cccnc3c2)NC=CC1")</f>
        <v>CN(C)C1=C(CN(C)c2ccc3cccnc3c2)NC=CC1</v>
      </c>
      <c r="C20054" s="7">
        <f>IFERROR(__xludf.DUMMYFUNCTION("""COMPUTED_VALUE"""),7.711595)</f>
        <v>7.711595</v>
      </c>
      <c r="D20054" s="7">
        <f>IFERROR(__xludf.DUMMYFUNCTION("""COMPUTED_VALUE"""),0.298245614035087)</f>
        <v>0.298245614</v>
      </c>
    </row>
    <row r="20055">
      <c r="A20055" s="10" t="s">
        <v>21494</v>
      </c>
      <c r="B20055" s="7" t="str">
        <f>IFERROR(__xludf.DUMMYFUNCTION("SPLIT(A20055,"" "")"),"CN(c1ccc2c(CF)ccnc2c1)C1CCCC(N(C)c2cccc3c(-c4ccccn4)ccnc23)C1")</f>
        <v>CN(c1ccc2c(CF)ccnc2c1)C1CCCC(N(C)c2cccc3c(-c4ccccn4)ccnc23)C1</v>
      </c>
      <c r="C20055" s="7">
        <f>IFERROR(__xludf.DUMMYFUNCTION("""COMPUTED_VALUE"""),7.711556)</f>
        <v>7.711556</v>
      </c>
      <c r="D20055" s="7">
        <f>IFERROR(__xludf.DUMMYFUNCTION("""COMPUTED_VALUE"""),0.314285714285714)</f>
        <v>0.3142857143</v>
      </c>
    </row>
    <row r="20056">
      <c r="A20056" s="10" t="s">
        <v>21495</v>
      </c>
      <c r="B20056" s="7" t="str">
        <f>IFERROR(__xludf.DUMMYFUNCTION("SPLIT(A20056,"" "")"),"Cc1cc(CN(C)c2ccc3cccnc3c2)cnc1C")</f>
        <v>Cc1cc(CN(C)c2ccc3cccnc3c2)cnc1C</v>
      </c>
      <c r="C20056" s="7">
        <f>IFERROR(__xludf.DUMMYFUNCTION("""COMPUTED_VALUE"""),7.711556)</f>
        <v>7.711556</v>
      </c>
      <c r="D20056" s="7">
        <f>IFERROR(__xludf.DUMMYFUNCTION("""COMPUTED_VALUE"""),0.320754716981132)</f>
        <v>0.320754717</v>
      </c>
    </row>
    <row r="20057">
      <c r="A20057" s="10" t="s">
        <v>21496</v>
      </c>
      <c r="B20057" s="7" t="str">
        <f>IFERROR(__xludf.DUMMYFUNCTION("SPLIT(A20057,"" "")"),"CN(CC1=CCC=C(N(C)C(c2ccccn2)c2ccccn2)N1)c1cccc2ncccc12")</f>
        <v>CN(CC1=CCC=C(N(C)C(c2ccccn2)c2ccccn2)N1)c1cccc2ncccc12</v>
      </c>
      <c r="C20057" s="7">
        <f>IFERROR(__xludf.DUMMYFUNCTION("""COMPUTED_VALUE"""),7.7115426)</f>
        <v>7.7115426</v>
      </c>
      <c r="D20057" s="7">
        <f>IFERROR(__xludf.DUMMYFUNCTION("""COMPUTED_VALUE"""),0.303030303030303)</f>
        <v>0.303030303</v>
      </c>
    </row>
    <row r="20058">
      <c r="A20058" s="10" t="s">
        <v>21497</v>
      </c>
      <c r="B20058" s="7" t="str">
        <f>IFERROR(__xludf.DUMMYFUNCTION("SPLIT(A20058,"" "")"),"Cc1cc2ncccc2cc1N(Cc1ccccn1)Cc1ncccc1N(C)C")</f>
        <v>Cc1cc2ncccc2cc1N(Cc1ccccn1)Cc1ncccc1N(C)C</v>
      </c>
      <c r="C20058" s="7">
        <f>IFERROR(__xludf.DUMMYFUNCTION("""COMPUTED_VALUE"""),7.7115335)</f>
        <v>7.7115335</v>
      </c>
      <c r="D20058" s="7">
        <f>IFERROR(__xludf.DUMMYFUNCTION("""COMPUTED_VALUE"""),0.396226415094339)</f>
        <v>0.3962264151</v>
      </c>
    </row>
    <row r="20059">
      <c r="A20059" s="10" t="s">
        <v>21498</v>
      </c>
      <c r="B20059" s="7" t="str">
        <f>IFERROR(__xludf.DUMMYFUNCTION("SPLIT(A20059,"" "")"),"Cc1cccc(-c2ccc(NCc3cccc(-c4cccc(N=Cc5ccccn5)c4)n3)cc2)n1")</f>
        <v>Cc1cccc(-c2ccc(NCc3cccc(-c4cccc(N=Cc5ccccn5)c4)n3)cc2)n1</v>
      </c>
      <c r="C20059" s="7">
        <f>IFERROR(__xludf.DUMMYFUNCTION("""COMPUTED_VALUE"""),7.7115307)</f>
        <v>7.7115307</v>
      </c>
      <c r="D20059" s="7">
        <f>IFERROR(__xludf.DUMMYFUNCTION("""COMPUTED_VALUE"""),0.349206349206349)</f>
        <v>0.3492063492</v>
      </c>
    </row>
    <row r="20060">
      <c r="A20060" s="10" t="s">
        <v>21499</v>
      </c>
      <c r="B20060" s="7" t="str">
        <f>IFERROR(__xludf.DUMMYFUNCTION("SPLIT(A20060,"" "")"),"Cc1ccc2cccnc2c1N(C)Cc1ccccn1")</f>
        <v>Cc1ccc2cccnc2c1N(C)Cc1ccccn1</v>
      </c>
      <c r="C20060" s="7">
        <f>IFERROR(__xludf.DUMMYFUNCTION("""COMPUTED_VALUE"""),7.7115135)</f>
        <v>7.7115135</v>
      </c>
      <c r="D20060" s="7">
        <f>IFERROR(__xludf.DUMMYFUNCTION("""COMPUTED_VALUE"""),0.477272727272727)</f>
        <v>0.4772727273</v>
      </c>
    </row>
    <row r="20061">
      <c r="A20061" s="10" t="s">
        <v>21500</v>
      </c>
      <c r="B20061" s="7" t="str">
        <f>IFERROR(__xludf.DUMMYFUNCTION("SPLIT(A20061,"" "")"),"CC(C)C1=CCC(N(C)Cc2ncccc2-c2ccc3ncccc3c2)=CN1")</f>
        <v>CC(C)C1=CCC(N(C)Cc2ncccc2-c2ccc3ncccc3c2)=CN1</v>
      </c>
      <c r="C20061" s="7">
        <f>IFERROR(__xludf.DUMMYFUNCTION("""COMPUTED_VALUE"""),7.7114997)</f>
        <v>7.7114997</v>
      </c>
      <c r="D20061" s="7">
        <f>IFERROR(__xludf.DUMMYFUNCTION("""COMPUTED_VALUE"""),0.253968253968253)</f>
        <v>0.253968254</v>
      </c>
    </row>
    <row r="20062">
      <c r="A20062" s="10" t="s">
        <v>21501</v>
      </c>
      <c r="B20062" s="7" t="str">
        <f>IFERROR(__xludf.DUMMYFUNCTION("SPLIT(A20062,"" "")"),"CN(CCN(C)c1ccc2nc(CF)ccc2c1)c1ccc2nc(CF)ccc2c1")</f>
        <v>CN(CCN(C)c1ccc2nc(CF)ccc2c1)c1ccc2nc(CF)ccc2c1</v>
      </c>
      <c r="C20062" s="7">
        <f>IFERROR(__xludf.DUMMYFUNCTION("""COMPUTED_VALUE"""),7.7114973)</f>
        <v>7.7114973</v>
      </c>
      <c r="D20062" s="7">
        <f>IFERROR(__xludf.DUMMYFUNCTION("""COMPUTED_VALUE"""),0.346938775510204)</f>
        <v>0.3469387755</v>
      </c>
    </row>
    <row r="20063">
      <c r="A20063" s="10" t="s">
        <v>21502</v>
      </c>
      <c r="B20063" s="7" t="str">
        <f>IFERROR(__xludf.DUMMYFUNCTION("SPLIT(A20063,"" "")"),"Cc1ccnc2cccc(N(C)CCN(C)Cc3cccc4ncccc34)c12")</f>
        <v>Cc1ccnc2cccc(N(C)CCN(C)Cc3cccc4ncccc34)c12</v>
      </c>
      <c r="C20063" s="7">
        <f>IFERROR(__xludf.DUMMYFUNCTION("""COMPUTED_VALUE"""),7.711488)</f>
        <v>7.711488</v>
      </c>
      <c r="D20063" s="7">
        <f>IFERROR(__xludf.DUMMYFUNCTION("""COMPUTED_VALUE"""),0.44)</f>
        <v>0.44</v>
      </c>
    </row>
    <row r="20064">
      <c r="A20064" s="10" t="s">
        <v>21503</v>
      </c>
      <c r="B20064" s="7" t="str">
        <f>IFERROR(__xludf.DUMMYFUNCTION("SPLIT(A20064,"" "")"),"Cc1c(N(C)Cc2cccnc2)ccc2cccnc12")</f>
        <v>Cc1c(N(C)Cc2cccnc2)ccc2cccnc12</v>
      </c>
      <c r="C20064" s="7">
        <f>IFERROR(__xludf.DUMMYFUNCTION("""COMPUTED_VALUE"""),7.7114806)</f>
        <v>7.7114806</v>
      </c>
      <c r="D20064" s="7">
        <f>IFERROR(__xludf.DUMMYFUNCTION("""COMPUTED_VALUE"""),0.444444444444444)</f>
        <v>0.4444444444</v>
      </c>
    </row>
    <row r="20065">
      <c r="A20065" s="10" t="s">
        <v>21504</v>
      </c>
      <c r="B20065" s="7" t="str">
        <f>IFERROR(__xludf.DUMMYFUNCTION("SPLIT(A20065,"" "")"),"CCNc1cccc2c(-c3c(C)cccc3NCc3ccccn3)ccnc12")</f>
        <v>CCNc1cccc2c(-c3c(C)cccc3NCc3ccccn3)ccnc12</v>
      </c>
      <c r="C20065" s="7">
        <f>IFERROR(__xludf.DUMMYFUNCTION("""COMPUTED_VALUE"""),7.711439)</f>
        <v>7.711439</v>
      </c>
      <c r="D20065" s="7">
        <f>IFERROR(__xludf.DUMMYFUNCTION("""COMPUTED_VALUE"""),0.377049180327868)</f>
        <v>0.3770491803</v>
      </c>
    </row>
    <row r="20066">
      <c r="A20066" s="10" t="s">
        <v>21505</v>
      </c>
      <c r="B20066" s="7" t="str">
        <f>IFERROR(__xludf.DUMMYFUNCTION("SPLIT(A20066,"" "")"),"CN(C)CC1=CCC=C(N(C)c2cccc3ncccc23)N1")</f>
        <v>CN(C)CC1=CCC=C(N(C)c2cccc3ncccc23)N1</v>
      </c>
      <c r="C20066" s="7">
        <f>IFERROR(__xludf.DUMMYFUNCTION("""COMPUTED_VALUE"""),7.7114305)</f>
        <v>7.7114305</v>
      </c>
      <c r="D20066" s="7">
        <f>IFERROR(__xludf.DUMMYFUNCTION("""COMPUTED_VALUE"""),0.296296296296296)</f>
        <v>0.2962962963</v>
      </c>
    </row>
    <row r="20067">
      <c r="A20067" s="10" t="s">
        <v>21506</v>
      </c>
      <c r="B20067" s="7" t="str">
        <f>IFERROR(__xludf.DUMMYFUNCTION("SPLIT(A20067,"" "")"),"Cc1cc(-c2ccccc2NCc2ccccn2)cnc1C(C)(C)c1ncccc1-c1ccccc1N=Cc1ccccn1")</f>
        <v>Cc1cc(-c2ccccc2NCc2ccccn2)cnc1C(C)(C)c1ncccc1-c1ccccc1N=Cc1ccccn1</v>
      </c>
      <c r="C20067" s="7">
        <f>IFERROR(__xludf.DUMMYFUNCTION("""COMPUTED_VALUE"""),7.711411)</f>
        <v>7.711411</v>
      </c>
      <c r="D20067" s="7">
        <f>IFERROR(__xludf.DUMMYFUNCTION("""COMPUTED_VALUE"""),0.378787878787878)</f>
        <v>0.3787878788</v>
      </c>
    </row>
    <row r="20068">
      <c r="A20068" s="10" t="s">
        <v>21507</v>
      </c>
      <c r="B20068" s="7" t="str">
        <f>IFERROR(__xludf.DUMMYFUNCTION("SPLIT(A20068,"" "")"),"CNc1ncccc1-c1ncccc1C(C)(c1ccccn1)c1ccccn1")</f>
        <v>CNc1ncccc1-c1ncccc1C(C)(c1ccccn1)c1ccccn1</v>
      </c>
      <c r="C20068" s="7">
        <f>IFERROR(__xludf.DUMMYFUNCTION("""COMPUTED_VALUE"""),7.711411)</f>
        <v>7.711411</v>
      </c>
      <c r="D20068" s="7">
        <f>IFERROR(__xludf.DUMMYFUNCTION("""COMPUTED_VALUE"""),0.456521739130434)</f>
        <v>0.4565217391</v>
      </c>
    </row>
    <row r="20069">
      <c r="A20069" s="10" t="s">
        <v>21508</v>
      </c>
      <c r="B20069" s="7" t="str">
        <f>IFERROR(__xludf.DUMMYFUNCTION("SPLIT(A20069,"" "")"),"CN(CCN(Cc1ccccn1)c1cccc2nccc(CF)c12)c1cccc2ncccc12")</f>
        <v>CN(CCN(Cc1ccccn1)c1cccc2nccc(CF)c12)c1cccc2ncccc12</v>
      </c>
      <c r="C20069" s="7">
        <f>IFERROR(__xludf.DUMMYFUNCTION("""COMPUTED_VALUE"""),7.7114086)</f>
        <v>7.7114086</v>
      </c>
      <c r="D20069" s="7">
        <f>IFERROR(__xludf.DUMMYFUNCTION("""COMPUTED_VALUE"""),0.368421052631578)</f>
        <v>0.3684210526</v>
      </c>
    </row>
    <row r="20070">
      <c r="A20070" s="10" t="s">
        <v>21509</v>
      </c>
      <c r="B20070" s="7" t="str">
        <f>IFERROR(__xludf.DUMMYFUNCTION("SPLIT(A20070,"" "")"),"Cc1ccnc2ccccc12")</f>
        <v>Cc1ccnc2ccccc12</v>
      </c>
      <c r="C20070" s="7">
        <f>IFERROR(__xludf.DUMMYFUNCTION("""COMPUTED_VALUE"""),7.7113886)</f>
        <v>7.7113886</v>
      </c>
      <c r="D20070" s="7">
        <f>IFERROR(__xludf.DUMMYFUNCTION("""COMPUTED_VALUE"""),0.28)</f>
        <v>0.28</v>
      </c>
    </row>
    <row r="20071">
      <c r="A20071" s="10" t="s">
        <v>21510</v>
      </c>
      <c r="B20071" s="7" t="str">
        <f>IFERROR(__xludf.DUMMYFUNCTION("SPLIT(A20071,"" "")"),"CNC1C=CC=C(N(C)c2ccc3cccnc3c2)N1")</f>
        <v>CNC1C=CC=C(N(C)c2ccc3cccnc3c2)N1</v>
      </c>
      <c r="C20071" s="7">
        <f>IFERROR(__xludf.DUMMYFUNCTION("""COMPUTED_VALUE"""),7.711383)</f>
        <v>7.711383</v>
      </c>
      <c r="D20071" s="7">
        <f>IFERROR(__xludf.DUMMYFUNCTION("""COMPUTED_VALUE"""),0.266666666666666)</f>
        <v>0.2666666667</v>
      </c>
    </row>
    <row r="20072">
      <c r="A20072" s="10" t="s">
        <v>21511</v>
      </c>
      <c r="B20072" s="7" t="str">
        <f>IFERROR(__xludf.DUMMYFUNCTION("SPLIT(A20072,"" "")"),"CNC1C=C(N(C)c2ccc3ncccc3c2)C=CN1")</f>
        <v>CNC1C=C(N(C)c2ccc3ncccc3c2)C=CN1</v>
      </c>
      <c r="C20072" s="7">
        <f>IFERROR(__xludf.DUMMYFUNCTION("""COMPUTED_VALUE"""),7.7113557)</f>
        <v>7.7113557</v>
      </c>
      <c r="D20072" s="7">
        <f>IFERROR(__xludf.DUMMYFUNCTION("""COMPUTED_VALUE"""),0.263157894736842)</f>
        <v>0.2631578947</v>
      </c>
    </row>
    <row r="20073">
      <c r="A20073" s="10" t="s">
        <v>21512</v>
      </c>
      <c r="B20073" s="7" t="str">
        <f>IFERROR(__xludf.DUMMYFUNCTION("SPLIT(A20073,"" "")"),"Cc1ccnc2cc(N(C)C3=CNC(CN(C)C)=CC3)ccc12")</f>
        <v>Cc1ccnc2cc(N(C)C3=CNC(CN(C)C)=CC3)ccc12</v>
      </c>
      <c r="C20073" s="7">
        <f>IFERROR(__xludf.DUMMYFUNCTION("""COMPUTED_VALUE"""),7.7113533)</f>
        <v>7.7113533</v>
      </c>
      <c r="D20073" s="7">
        <f>IFERROR(__xludf.DUMMYFUNCTION("""COMPUTED_VALUE"""),0.246153846153846)</f>
        <v>0.2461538462</v>
      </c>
    </row>
    <row r="20074">
      <c r="A20074" s="10" t="s">
        <v>21513</v>
      </c>
      <c r="B20074" s="7" t="str">
        <f>IFERROR(__xludf.DUMMYFUNCTION("SPLIT(A20074,"" "")"),"CCN(Cc1ccccn1)c1ccc2nc(CN(C)c3ccc4nc(CF)ccc4c3)ccc2c1")</f>
        <v>CCN(Cc1ccccn1)c1ccc2nc(CN(C)c3ccc4nc(CF)ccc4c3)ccc2c1</v>
      </c>
      <c r="C20074" s="7">
        <f>IFERROR(__xludf.DUMMYFUNCTION("""COMPUTED_VALUE"""),7.711337)</f>
        <v>7.711337</v>
      </c>
      <c r="D20074" s="7">
        <f>IFERROR(__xludf.DUMMYFUNCTION("""COMPUTED_VALUE"""),0.461538461538461)</f>
        <v>0.4615384615</v>
      </c>
    </row>
    <row r="20075">
      <c r="A20075" s="10" t="s">
        <v>21514</v>
      </c>
      <c r="B20075" s="7" t="str">
        <f>IFERROR(__xludf.DUMMYFUNCTION("SPLIT(A20075,"" "")"),"CC(C)C(C)(c1cccnc1)N(C)c1ccc2nc(CN(C)c3ccc4ncccc4c3)ccc2c1")</f>
        <v>CC(C)C(C)(c1cccnc1)N(C)c1ccc2nc(CN(C)c3ccc4ncccc4c3)ccc2c1</v>
      </c>
      <c r="C20075" s="7">
        <f>IFERROR(__xludf.DUMMYFUNCTION("""COMPUTED_VALUE"""),7.711326)</f>
        <v>7.711326</v>
      </c>
      <c r="D20075" s="7">
        <f>IFERROR(__xludf.DUMMYFUNCTION("""COMPUTED_VALUE"""),0.317460317460317)</f>
        <v>0.3174603175</v>
      </c>
    </row>
    <row r="20076">
      <c r="A20076" s="10" t="s">
        <v>21515</v>
      </c>
      <c r="B20076" s="7" t="str">
        <f>IFERROR(__xludf.DUMMYFUNCTION("SPLIT(A20076,"" "")"),"Cc1cc2cccnc2cc1-c1cccc(CN(Cc2ccccn2)Cc2ccc(-c3cccc(N=Cc4ccccn4)c3)cn2)n1")</f>
        <v>Cc1cc2cccnc2cc1-c1cccc(CN(Cc2ccccn2)Cc2ccc(-c3cccc(N=Cc4ccccn4)c3)cn2)n1</v>
      </c>
      <c r="C20076" s="7">
        <f>IFERROR(__xludf.DUMMYFUNCTION("""COMPUTED_VALUE"""),7.711308)</f>
        <v>7.711308</v>
      </c>
      <c r="D20076" s="7">
        <f>IFERROR(__xludf.DUMMYFUNCTION("""COMPUTED_VALUE"""),0.4)</f>
        <v>0.4</v>
      </c>
    </row>
    <row r="20077">
      <c r="A20077" s="10" t="s">
        <v>21516</v>
      </c>
      <c r="B20077" s="7" t="str">
        <f>IFERROR(__xludf.DUMMYFUNCTION("SPLIT(A20077,"" "")"),"CN(CC1=CCC=CN1)c1ccc2ncccc2c1")</f>
        <v>CN(CC1=CCC=CN1)c1ccc2ncccc2c1</v>
      </c>
      <c r="C20077" s="7">
        <f>IFERROR(__xludf.DUMMYFUNCTION("""COMPUTED_VALUE"""),7.7113013)</f>
        <v>7.7113013</v>
      </c>
      <c r="D20077" s="7">
        <f>IFERROR(__xludf.DUMMYFUNCTION("""COMPUTED_VALUE"""),0.48076923076923)</f>
        <v>0.4807692308</v>
      </c>
    </row>
    <row r="20078">
      <c r="A20078" s="10" t="s">
        <v>21517</v>
      </c>
      <c r="B20078" s="7" t="str">
        <f>IFERROR(__xludf.DUMMYFUNCTION("SPLIT(A20078,"" "")"),"Cc1cccnc1CN(C)c1ccc2ncccc2c1-c1cccc(CN(Cc2ccccn2)Cc2ccc(-c3cccc(N=Cc4ccccn4)c3)cn2)n1")</f>
        <v>Cc1cccnc1CN(C)c1ccc2ncccc2c1-c1cccc(CN(Cc2ccccn2)Cc2ccc(-c3cccc(N=Cc4ccccn4)c3)cn2)n1</v>
      </c>
      <c r="C20078" s="7">
        <f>IFERROR(__xludf.DUMMYFUNCTION("""COMPUTED_VALUE"""),7.7112575)</f>
        <v>7.7112575</v>
      </c>
      <c r="D20078" s="7">
        <f>IFERROR(__xludf.DUMMYFUNCTION("""COMPUTED_VALUE"""),0.348837209302325)</f>
        <v>0.3488372093</v>
      </c>
    </row>
    <row r="20079">
      <c r="A20079" s="10" t="s">
        <v>21518</v>
      </c>
      <c r="B20079" s="7" t="str">
        <f>IFERROR(__xludf.DUMMYFUNCTION("SPLIT(A20079,"" "")"),"CN(Cc1ccccn1)c1ccc2ncccc2c1N(C)Cc1cccnc1F")</f>
        <v>CN(Cc1ccccn1)c1ccc2ncccc2c1N(C)Cc1cccnc1F</v>
      </c>
      <c r="C20079" s="7">
        <f>IFERROR(__xludf.DUMMYFUNCTION("""COMPUTED_VALUE"""),7.7112284)</f>
        <v>7.7112284</v>
      </c>
      <c r="D20079" s="7">
        <f>IFERROR(__xludf.DUMMYFUNCTION("""COMPUTED_VALUE"""),0.46)</f>
        <v>0.46</v>
      </c>
    </row>
    <row r="20080">
      <c r="A20080" s="10" t="s">
        <v>21519</v>
      </c>
      <c r="B20080" s="7" t="str">
        <f>IFERROR(__xludf.DUMMYFUNCTION("SPLIT(A20080,"" "")"),"CN(CCN(C)c1ccc2ncccc2c1)Cc1nc2ccccc2n1C")</f>
        <v>CN(CCN(C)c1ccc2ncccc2c1)Cc1nc2ccccc2n1C</v>
      </c>
      <c r="C20080" s="7">
        <f>IFERROR(__xludf.DUMMYFUNCTION("""COMPUTED_VALUE"""),7.711225)</f>
        <v>7.711225</v>
      </c>
      <c r="D20080" s="7">
        <f>IFERROR(__xludf.DUMMYFUNCTION("""COMPUTED_VALUE"""),0.392857142857142)</f>
        <v>0.3928571429</v>
      </c>
    </row>
    <row r="20081">
      <c r="A20081" s="10" t="s">
        <v>21520</v>
      </c>
      <c r="B20081" s="7" t="str">
        <f>IFERROR(__xludf.DUMMYFUNCTION("SPLIT(A20081,"" "")"),"Cc1ccc(-c2cccc(NCc3cc(-c4ccc(N=Cc5ccccn5)cc4)ccn3)c2)nc1")</f>
        <v>Cc1ccc(-c2cccc(NCc3cc(-c4ccc(N=Cc5ccccn5)cc4)ccn3)c2)nc1</v>
      </c>
      <c r="C20081" s="7">
        <f>IFERROR(__xludf.DUMMYFUNCTION("""COMPUTED_VALUE"""),7.7111797)</f>
        <v>7.7111797</v>
      </c>
      <c r="D20081" s="7">
        <f>IFERROR(__xludf.DUMMYFUNCTION("""COMPUTED_VALUE"""),0.328358208955223)</f>
        <v>0.328358209</v>
      </c>
    </row>
    <row r="20082">
      <c r="A20082" s="10" t="s">
        <v>21521</v>
      </c>
      <c r="B20082" s="7" t="str">
        <f>IFERROR(__xludf.DUMMYFUNCTION("SPLIT(A20082,"" "")"),"CN(CC1=C(N(C)c2ccc3cccnc3c2)CC=CN1)Cc1ccc2ncccc2c1")</f>
        <v>CN(CC1=C(N(C)c2ccc3cccnc3c2)CC=CN1)Cc1ccc2ncccc2c1</v>
      </c>
      <c r="C20082" s="7">
        <f>IFERROR(__xludf.DUMMYFUNCTION("""COMPUTED_VALUE"""),7.7111487)</f>
        <v>7.7111487</v>
      </c>
      <c r="D20082" s="7">
        <f>IFERROR(__xludf.DUMMYFUNCTION("""COMPUTED_VALUE"""),0.265625)</f>
        <v>0.265625</v>
      </c>
    </row>
    <row r="20083">
      <c r="A20083" s="10" t="s">
        <v>21522</v>
      </c>
      <c r="B20083" s="7" t="str">
        <f>IFERROR(__xludf.DUMMYFUNCTION("SPLIT(A20083,"" "")"),"FCc1ccc2cccc(N(Cc3ccccn3)Cc3ncccc3-c3ccccc3N=Cc3ccccn3)c2n1")</f>
        <v>FCc1ccc2cccc(N(Cc3ccccn3)Cc3ncccc3-c3ccccc3N=Cc3ccccn3)c2n1</v>
      </c>
      <c r="C20083" s="7">
        <f>IFERROR(__xludf.DUMMYFUNCTION("""COMPUTED_VALUE"""),7.71114)</f>
        <v>7.71114</v>
      </c>
      <c r="D20083" s="7">
        <f>IFERROR(__xludf.DUMMYFUNCTION("""COMPUTED_VALUE"""),0.365079365079365)</f>
        <v>0.3650793651</v>
      </c>
    </row>
    <row r="20084">
      <c r="A20084" s="10" t="s">
        <v>21523</v>
      </c>
      <c r="B20084" s="7" t="str">
        <f>IFERROR(__xludf.DUMMYFUNCTION("SPLIT(A20084,"" "")"),"Cc1ccccc1N(C)c1ccc2cc(CF)cnc2c1")</f>
        <v>Cc1ccccc1N(C)c1ccc2cc(CF)cnc2c1</v>
      </c>
      <c r="C20084" s="7">
        <f>IFERROR(__xludf.DUMMYFUNCTION("""COMPUTED_VALUE"""),7.7111397)</f>
        <v>7.7111397</v>
      </c>
      <c r="D20084" s="7">
        <f>IFERROR(__xludf.DUMMYFUNCTION("""COMPUTED_VALUE"""),0.266666666666666)</f>
        <v>0.2666666667</v>
      </c>
    </row>
    <row r="20085">
      <c r="A20085" s="10" t="s">
        <v>21524</v>
      </c>
      <c r="B20085" s="7" t="str">
        <f>IFERROR(__xludf.DUMMYFUNCTION("SPLIT(A20085,"" "")"),"Cc1ccc(CN(C)Cc2ccc3cccc(-c4cccc(N(C)C)c4)c3n2)nc1C")</f>
        <v>Cc1ccc(CN(C)Cc2ccc3cccc(-c4cccc(N(C)C)c4)c3n2)nc1C</v>
      </c>
      <c r="C20085" s="7">
        <f>IFERROR(__xludf.DUMMYFUNCTION("""COMPUTED_VALUE"""),7.7111316)</f>
        <v>7.7111316</v>
      </c>
      <c r="D20085" s="7">
        <f>IFERROR(__xludf.DUMMYFUNCTION("""COMPUTED_VALUE"""),0.326923076923076)</f>
        <v>0.3269230769</v>
      </c>
    </row>
    <row r="20086">
      <c r="A20086" s="10" t="s">
        <v>21525</v>
      </c>
      <c r="B20086" s="7" t="str">
        <f>IFERROR(__xludf.DUMMYFUNCTION("SPLIT(A20086,"" "")"),"CC(C)N(Cc1ccccn1)c1cc(N=Cc2ccccn2)c2cccnc2c1")</f>
        <v>CC(C)N(Cc1ccccn1)c1cc(N=Cc2ccccn2)c2cccnc2c1</v>
      </c>
      <c r="C20086" s="7">
        <f>IFERROR(__xludf.DUMMYFUNCTION("""COMPUTED_VALUE"""),7.7110834)</f>
        <v>7.7110834</v>
      </c>
      <c r="D20086" s="7">
        <f>IFERROR(__xludf.DUMMYFUNCTION("""COMPUTED_VALUE"""),0.388888888888888)</f>
        <v>0.3888888889</v>
      </c>
    </row>
    <row r="20087">
      <c r="A20087" s="10" t="s">
        <v>21526</v>
      </c>
      <c r="B20087" s="7" t="str">
        <f>IFERROR(__xludf.DUMMYFUNCTION("SPLIT(A20087,"" "")"),"FCc1ccc2cccc(N(Cc3ccccn3)Cc3cc(-c4ccccc4N=Cc4ccccn4)ccn3)c2n1")</f>
        <v>FCc1ccc2cccc(N(Cc3ccccn3)Cc3cc(-c4ccccc4N=Cc4ccccn4)ccn3)c2n1</v>
      </c>
      <c r="C20087" s="7">
        <f>IFERROR(__xludf.DUMMYFUNCTION("""COMPUTED_VALUE"""),7.711066)</f>
        <v>7.711066</v>
      </c>
      <c r="D20087" s="7">
        <f>IFERROR(__xludf.DUMMYFUNCTION("""COMPUTED_VALUE"""),0.359375)</f>
        <v>0.359375</v>
      </c>
    </row>
    <row r="20088">
      <c r="A20088" s="10" t="s">
        <v>21527</v>
      </c>
      <c r="B20088" s="7" t="str">
        <f>IFERROR(__xludf.DUMMYFUNCTION("SPLIT(A20088,"" "")"),"CN(C)c1cccc(-c2cccnc2CN(CCN(C)c2ccc3nccc(CF)c3c2)Cc2ccc3ncccc3c2)c1")</f>
        <v>CN(C)c1cccc(-c2cccnc2CN(CCN(C)c2ccc3nccc(CF)c3c2)Cc2ccc3ncccc3c2)c1</v>
      </c>
      <c r="C20088" s="7">
        <f>IFERROR(__xludf.DUMMYFUNCTION("""COMPUTED_VALUE"""),7.7110457)</f>
        <v>7.7110457</v>
      </c>
      <c r="D20088" s="7">
        <f>IFERROR(__xludf.DUMMYFUNCTION("""COMPUTED_VALUE"""),0.263888888888888)</f>
        <v>0.2638888889</v>
      </c>
    </row>
    <row r="20089">
      <c r="A20089" s="10" t="s">
        <v>21528</v>
      </c>
      <c r="B20089" s="7" t="str">
        <f>IFERROR(__xludf.DUMMYFUNCTION("SPLIT(A20089,"" "")"),"CN(CCN(C)c1ccc2nc3c(cc2c1)CCC3)c1ccc2nc3c(cc2c1)CCC3")</f>
        <v>CN(CCN(C)c1ccc2nc3c(cc2c1)CCC3)c1ccc2nc3c(cc2c1)CCC3</v>
      </c>
      <c r="C20089" s="7">
        <f>IFERROR(__xludf.DUMMYFUNCTION("""COMPUTED_VALUE"""),7.7110333)</f>
        <v>7.7110333</v>
      </c>
      <c r="D20089" s="7">
        <f>IFERROR(__xludf.DUMMYFUNCTION("""COMPUTED_VALUE"""),0.392156862745098)</f>
        <v>0.3921568627</v>
      </c>
    </row>
    <row r="20090">
      <c r="A20090" s="10" t="s">
        <v>21529</v>
      </c>
      <c r="B20090" s="7" t="str">
        <f>IFERROR(__xludf.DUMMYFUNCTION("SPLIT(A20090,"" "")"),"CN(Cc1ncccc1-c1ccccc1)C1=CCC(CN(C)c2ccc3ncccc3c2)=CN1")</f>
        <v>CN(Cc1ncccc1-c1ccccc1)C1=CCC(CN(C)c2ccc3ncccc3c2)=CN1</v>
      </c>
      <c r="C20090" s="7">
        <f>IFERROR(__xludf.DUMMYFUNCTION("""COMPUTED_VALUE"""),7.7110143)</f>
        <v>7.7110143</v>
      </c>
      <c r="D20090" s="7">
        <f>IFERROR(__xludf.DUMMYFUNCTION("""COMPUTED_VALUE"""),0.256756756756756)</f>
        <v>0.2567567568</v>
      </c>
    </row>
    <row r="20091">
      <c r="A20091" s="10" t="s">
        <v>21530</v>
      </c>
      <c r="B20091" s="7" t="str">
        <f>IFERROR(__xludf.DUMMYFUNCTION("SPLIT(A20091,"" "")"),"Cc1cccc(-c2ccccc2NCc2cccc(-c3ccccc3N=Cc3ccccn3)n2)n1")</f>
        <v>Cc1cccc(-c2ccccc2NCc2cccc(-c3ccccc3N=Cc3ccccn3)n2)n1</v>
      </c>
      <c r="C20091" s="7">
        <f>IFERROR(__xludf.DUMMYFUNCTION("""COMPUTED_VALUE"""),7.7109995)</f>
        <v>7.7109995</v>
      </c>
      <c r="D20091" s="7">
        <f>IFERROR(__xludf.DUMMYFUNCTION("""COMPUTED_VALUE"""),0.43859649122807)</f>
        <v>0.4385964912</v>
      </c>
    </row>
    <row r="20092">
      <c r="A20092" s="10" t="s">
        <v>21531</v>
      </c>
      <c r="B20092" s="7" t="str">
        <f>IFERROR(__xludf.DUMMYFUNCTION("SPLIT(A20092,"" "")"),"CN(CC1=CCC=CN1)c1ccc2cccnc2c1")</f>
        <v>CN(CC1=CCC=CN1)c1ccc2cccnc2c1</v>
      </c>
      <c r="C20092" s="7">
        <f>IFERROR(__xludf.DUMMYFUNCTION("""COMPUTED_VALUE"""),7.7109933)</f>
        <v>7.7109933</v>
      </c>
      <c r="D20092" s="7">
        <f>IFERROR(__xludf.DUMMYFUNCTION("""COMPUTED_VALUE"""),0.471698113207547)</f>
        <v>0.4716981132</v>
      </c>
    </row>
    <row r="20093">
      <c r="A20093" s="10" t="s">
        <v>21532</v>
      </c>
      <c r="B20093" s="7" t="str">
        <f>IFERROR(__xludf.DUMMYFUNCTION("SPLIT(A20093,"" "")"),"CCN(Cc1cc(-c2ccccc2N=Cc2ccccn2)ccn1)c1ccc2nc(CF)ccc2c1")</f>
        <v>CCN(Cc1cc(-c2ccccc2N=Cc2ccccn2)ccn1)c1ccc2nc(CF)ccc2c1</v>
      </c>
      <c r="C20093" s="7">
        <f>IFERROR(__xludf.DUMMYFUNCTION("""COMPUTED_VALUE"""),7.710982)</f>
        <v>7.710982</v>
      </c>
      <c r="D20093" s="7">
        <f>IFERROR(__xludf.DUMMYFUNCTION("""COMPUTED_VALUE"""),0.353846153846153)</f>
        <v>0.3538461538</v>
      </c>
    </row>
    <row r="20094">
      <c r="A20094" s="10" t="s">
        <v>21533</v>
      </c>
      <c r="B20094" s="7" t="str">
        <f>IFERROR(__xludf.DUMMYFUNCTION("SPLIT(A20094,"" "")"),"CN(C)c1ccccc1-c1cccnc1CN(Cc1ccccn1)c1cccc2ccc(CF)nc12")</f>
        <v>CN(C)c1ccccc1-c1cccnc1CN(Cc1ccccn1)c1cccc2ccc(CF)nc12</v>
      </c>
      <c r="C20094" s="7">
        <f>IFERROR(__xludf.DUMMYFUNCTION("""COMPUTED_VALUE"""),7.7109623)</f>
        <v>7.7109623</v>
      </c>
      <c r="D20094" s="7">
        <f>IFERROR(__xludf.DUMMYFUNCTION("""COMPUTED_VALUE"""),0.419354838709677)</f>
        <v>0.4193548387</v>
      </c>
    </row>
    <row r="20095">
      <c r="A20095" s="10" t="s">
        <v>21534</v>
      </c>
      <c r="B20095" s="7" t="str">
        <f>IFERROR(__xludf.DUMMYFUNCTION("SPLIT(A20095,"" "")"),"CN(Cc1ccccn1)c1cc(C(C)(C)CN(Cc2ccccn2)c2cccc3ncccc23)cc2ncccc12")</f>
        <v>CN(Cc1ccccn1)c1cc(C(C)(C)CN(Cc2ccccn2)c2cccc3ncccc23)cc2ncccc12</v>
      </c>
      <c r="C20095" s="7">
        <f>IFERROR(__xludf.DUMMYFUNCTION("""COMPUTED_VALUE"""),7.71095)</f>
        <v>7.71095</v>
      </c>
      <c r="D20095" s="7">
        <f>IFERROR(__xludf.DUMMYFUNCTION("""COMPUTED_VALUE"""),0.436363636363636)</f>
        <v>0.4363636364</v>
      </c>
    </row>
    <row r="20096">
      <c r="A20096" s="10" t="s">
        <v>21535</v>
      </c>
      <c r="B20096" s="7" t="str">
        <f>IFERROR(__xludf.DUMMYFUNCTION("SPLIT(A20096,"" "")"),"Cc1ccc(-c2ncc(C)cc2-c2ccccc2N=Cc2ccccn2)c(NCc2ccccn2)c1")</f>
        <v>Cc1ccc(-c2ncc(C)cc2-c2ccccc2N=Cc2ccccn2)c(NCc2ccccn2)c1</v>
      </c>
      <c r="C20096" s="7">
        <f>IFERROR(__xludf.DUMMYFUNCTION("""COMPUTED_VALUE"""),7.7109475)</f>
        <v>7.7109475</v>
      </c>
      <c r="D20096" s="7">
        <f>IFERROR(__xludf.DUMMYFUNCTION("""COMPUTED_VALUE"""),0.393442622950819)</f>
        <v>0.393442623</v>
      </c>
    </row>
    <row r="20097">
      <c r="A20097" s="10" t="s">
        <v>21536</v>
      </c>
      <c r="B20097" s="7" t="str">
        <f>IFERROR(__xludf.DUMMYFUNCTION("SPLIT(A20097,"" "")"),"CNC1=C(N(C)c2c(C)c(C)c(C)c(C)c2C)C(N(C)c2c(C)c(C)c(C)c(C)c2C)NC(N(C)c2c(C)c(C)c(C)c(C)c2C)=C1")</f>
        <v>CNC1=C(N(C)c2c(C)c(C)c(C)c(C)c2C)C(N(C)c2c(C)c(C)c(C)c(C)c2C)NC(N(C)c2c(C)c(C)c(C)c(C)c2C)=C1</v>
      </c>
      <c r="C20097" s="7">
        <f>IFERROR(__xludf.DUMMYFUNCTION("""COMPUTED_VALUE"""),7.7109404)</f>
        <v>7.7109404</v>
      </c>
      <c r="D20097" s="7">
        <f>IFERROR(__xludf.DUMMYFUNCTION("""COMPUTED_VALUE"""),0.11864406779661)</f>
        <v>0.1186440678</v>
      </c>
    </row>
    <row r="20098">
      <c r="A20098" s="10" t="s">
        <v>21537</v>
      </c>
      <c r="B20098" s="7" t="str">
        <f>IFERROR(__xludf.DUMMYFUNCTION("SPLIT(A20098,"" "")"),"Cc1cccnc1CN(CCN(C)c1ccc2nccc(CF)c2c1)c1ccc2ncccc2c1")</f>
        <v>Cc1cccnc1CN(CCN(C)c1ccc2nccc(CF)c2c1)c1ccc2ncccc2c1</v>
      </c>
      <c r="C20098" s="7">
        <f>IFERROR(__xludf.DUMMYFUNCTION("""COMPUTED_VALUE"""),7.710906)</f>
        <v>7.710906</v>
      </c>
      <c r="D20098" s="7">
        <f>IFERROR(__xludf.DUMMYFUNCTION("""COMPUTED_VALUE"""),0.295081967213114)</f>
        <v>0.2950819672</v>
      </c>
    </row>
    <row r="20099">
      <c r="A20099" s="10" t="s">
        <v>21538</v>
      </c>
      <c r="B20099" s="7" t="str">
        <f>IFERROR(__xludf.DUMMYFUNCTION("SPLIT(A20099,"" "")"),"CN(Cc1ccccn1)c1ccc2ncccc2c1N(C)Cc1cnccc1F")</f>
        <v>CN(Cc1ccccn1)c1ccc2ncccc2c1N(C)Cc1cnccc1F</v>
      </c>
      <c r="C20099" s="7">
        <f>IFERROR(__xludf.DUMMYFUNCTION("""COMPUTED_VALUE"""),7.7109027)</f>
        <v>7.7109027</v>
      </c>
      <c r="D20099" s="7">
        <f>IFERROR(__xludf.DUMMYFUNCTION("""COMPUTED_VALUE"""),0.418181818181818)</f>
        <v>0.4181818182</v>
      </c>
    </row>
    <row r="20100">
      <c r="A20100" s="10" t="s">
        <v>21539</v>
      </c>
      <c r="B20100" s="7" t="str">
        <f>IFERROR(__xludf.DUMMYFUNCTION("SPLIT(A20100,"" "")"),"CCN(Cc1ccccn1)c1ccc2nc(CN(C)Cc3ncccc3-c3ccc4ncccc4c3)ccc2c1")</f>
        <v>CCN(Cc1ccccn1)c1ccc2nc(CN(C)Cc3ncccc3-c3ccc4ncccc4c3)ccc2c1</v>
      </c>
      <c r="C20100" s="7">
        <f>IFERROR(__xludf.DUMMYFUNCTION("""COMPUTED_VALUE"""),7.7108994)</f>
        <v>7.7108994</v>
      </c>
      <c r="D20100" s="7">
        <f>IFERROR(__xludf.DUMMYFUNCTION("""COMPUTED_VALUE"""),0.416666666666666)</f>
        <v>0.4166666667</v>
      </c>
    </row>
    <row r="20101">
      <c r="A20101" s="10" t="s">
        <v>21540</v>
      </c>
      <c r="B20101" s="7" t="str">
        <f>IFERROR(__xludf.DUMMYFUNCTION("SPLIT(A20101,"" "")"),"FCc1cccc(NCc2cc(-c3cc(-c4cc(C(c5ccccn5)c5ccccn5)ccn4)ccn3)ccn2)n1")</f>
        <v>FCc1cccc(NCc2cc(-c3cc(-c4cc(C(c5ccccn5)c5ccccn5)ccn4)ccn3)ccn2)n1</v>
      </c>
      <c r="C20101" s="7">
        <f>IFERROR(__xludf.DUMMYFUNCTION("""COMPUTED_VALUE"""),7.710879)</f>
        <v>7.710879</v>
      </c>
      <c r="D20101" s="7">
        <f>IFERROR(__xludf.DUMMYFUNCTION("""COMPUTED_VALUE"""),0.317460317460317)</f>
        <v>0.3174603175</v>
      </c>
    </row>
    <row r="20102">
      <c r="A20102" s="10" t="s">
        <v>21541</v>
      </c>
      <c r="B20102" s="7" t="str">
        <f>IFERROR(__xludf.DUMMYFUNCTION("SPLIT(A20102,"" "")"),"CN(CCNc1ccc2ncccc2c1)c1ccc2nccc(CF)c2c1")</f>
        <v>CN(CCNc1ccc2ncccc2c1)c1ccc2nccc(CF)c2c1</v>
      </c>
      <c r="C20102" s="7">
        <f>IFERROR(__xludf.DUMMYFUNCTION("""COMPUTED_VALUE"""),7.710856)</f>
        <v>7.710856</v>
      </c>
      <c r="D20102" s="7">
        <f>IFERROR(__xludf.DUMMYFUNCTION("""COMPUTED_VALUE"""),0.298245614035087)</f>
        <v>0.298245614</v>
      </c>
    </row>
    <row r="20103">
      <c r="A20103" s="10" t="s">
        <v>21542</v>
      </c>
      <c r="B20103" s="7" t="str">
        <f>IFERROR(__xludf.DUMMYFUNCTION("SPLIT(A20103,"" "")"),"CNc1cccc2c(CN(C)C)ccnc12")</f>
        <v>CNc1cccc2c(CN(C)C)ccnc12</v>
      </c>
      <c r="C20103" s="7">
        <f>IFERROR(__xludf.DUMMYFUNCTION("""COMPUTED_VALUE"""),7.710852)</f>
        <v>7.710852</v>
      </c>
      <c r="D20103" s="7">
        <f>IFERROR(__xludf.DUMMYFUNCTION("""COMPUTED_VALUE"""),0.347826086956521)</f>
        <v>0.347826087</v>
      </c>
    </row>
    <row r="20104">
      <c r="A20104" s="10" t="s">
        <v>21543</v>
      </c>
      <c r="B20104" s="7" t="str">
        <f>IFERROR(__xludf.DUMMYFUNCTION("SPLIT(A20104,"" "")"),"CCN(Cc1ccccn1)Cc1nccc2cccc(N(C)Cc3nccc4cccc(N(C)Cc5ncc(C)c(C)c5C)c34)c12")</f>
        <v>CCN(Cc1ccccn1)Cc1nccc2cccc(N(C)Cc3nccc4cccc(N(C)Cc5ncc(C)c(C)c5C)c34)c12</v>
      </c>
      <c r="C20104" s="7">
        <f>IFERROR(__xludf.DUMMYFUNCTION("""COMPUTED_VALUE"""),7.710847)</f>
        <v>7.710847</v>
      </c>
      <c r="D20104" s="7">
        <f>IFERROR(__xludf.DUMMYFUNCTION("""COMPUTED_VALUE"""),0.372881355932203)</f>
        <v>0.3728813559</v>
      </c>
    </row>
    <row r="20105">
      <c r="A20105" s="10" t="s">
        <v>21544</v>
      </c>
      <c r="B20105" s="7" t="str">
        <f>IFERROR(__xludf.DUMMYFUNCTION("SPLIT(A20105,"" "")"),"CC(C)N(CCN(C)c1ccc2ncccc2c1)c1ccc2ncccc2c1")</f>
        <v>CC(C)N(CCN(C)c1ccc2ncccc2c1)c1ccc2ncccc2c1</v>
      </c>
      <c r="C20105" s="7">
        <f>IFERROR(__xludf.DUMMYFUNCTION("""COMPUTED_VALUE"""),7.7108417)</f>
        <v>7.7108417</v>
      </c>
      <c r="D20105" s="7">
        <f>IFERROR(__xludf.DUMMYFUNCTION("""COMPUTED_VALUE"""),0.4)</f>
        <v>0.4</v>
      </c>
    </row>
    <row r="20106">
      <c r="A20106" s="10" t="s">
        <v>21545</v>
      </c>
      <c r="B20106" s="7" t="str">
        <f>IFERROR(__xludf.DUMMYFUNCTION("SPLIT(A20106,"" "")"),"CN(Cc1cccc(F)n1)c1ccc2cccnc2c1N(C)Cc1cccc(F)n1")</f>
        <v>CN(Cc1cccc(F)n1)c1ccc2cccnc2c1N(C)Cc1cccc(F)n1</v>
      </c>
      <c r="C20106" s="7">
        <f>IFERROR(__xludf.DUMMYFUNCTION("""COMPUTED_VALUE"""),7.7108207)</f>
        <v>7.7108207</v>
      </c>
      <c r="D20106" s="7">
        <f>IFERROR(__xludf.DUMMYFUNCTION("""COMPUTED_VALUE"""),0.456521739130434)</f>
        <v>0.4565217391</v>
      </c>
    </row>
    <row r="20107">
      <c r="A20107" s="10" t="s">
        <v>21546</v>
      </c>
      <c r="B20107" s="7" t="str">
        <f>IFERROR(__xludf.DUMMYFUNCTION("SPLIT(A20107,"" "")"),"CNCC1=CCC=C(N(C)c2ccc3nccc(C)c3c2)N1")</f>
        <v>CNCC1=CCC=C(N(C)c2ccc3nccc(C)c3c2)N1</v>
      </c>
      <c r="C20107" s="7">
        <f>IFERROR(__xludf.DUMMYFUNCTION("""COMPUTED_VALUE"""),7.7108135)</f>
        <v>7.7108135</v>
      </c>
      <c r="D20107" s="7">
        <f>IFERROR(__xludf.DUMMYFUNCTION("""COMPUTED_VALUE"""),0.223880597014925)</f>
        <v>0.223880597</v>
      </c>
    </row>
    <row r="20108">
      <c r="A20108" s="10" t="s">
        <v>21547</v>
      </c>
      <c r="B20108" s="7" t="str">
        <f>IFERROR(__xludf.DUMMYFUNCTION("SPLIT(A20108,"" "")"),"CNc1c(-c2ccccn2)ccc(-c2cccc(CN(Cc3ccccn3)Cc3cccc(-c4cccc(N=Cc5ccccn5)c4)n3)n2)c1Cl")</f>
        <v>CNc1c(-c2ccccn2)ccc(-c2cccc(CN(Cc3ccccn3)Cc3cccc(-c4cccc(N=Cc5ccccn5)c4)n3)n2)c1Cl</v>
      </c>
      <c r="C20108" s="7">
        <f>IFERROR(__xludf.DUMMYFUNCTION("""COMPUTED_VALUE"""),7.710805)</f>
        <v>7.710805</v>
      </c>
      <c r="D20108" s="7">
        <f>IFERROR(__xludf.DUMMYFUNCTION("""COMPUTED_VALUE"""),0.450704225352112)</f>
        <v>0.4507042254</v>
      </c>
    </row>
    <row r="20109">
      <c r="A20109" s="10" t="s">
        <v>21548</v>
      </c>
      <c r="B20109" s="7" t="str">
        <f>IFERROR(__xludf.DUMMYFUNCTION("SPLIT(A20109,"" "")"),"CN(CCNc1ccc2nccc(CF)c2c1)c1ccc2ncccc2c1")</f>
        <v>CN(CCNc1ccc2nccc(CF)c2c1)c1ccc2ncccc2c1</v>
      </c>
      <c r="C20109" s="7">
        <f>IFERROR(__xludf.DUMMYFUNCTION("""COMPUTED_VALUE"""),7.7108026)</f>
        <v>7.7108026</v>
      </c>
      <c r="D20109" s="7">
        <f>IFERROR(__xludf.DUMMYFUNCTION("""COMPUTED_VALUE"""),0.298245614035087)</f>
        <v>0.298245614</v>
      </c>
    </row>
    <row r="20110">
      <c r="A20110" s="10" t="s">
        <v>21549</v>
      </c>
      <c r="B20110" s="7" t="str">
        <f>IFERROR(__xludf.DUMMYFUNCTION("SPLIT(A20110,"" "")"),"Cc1cccc(-c2cccc(NCc3cccc(-c4cccc(N(C)C)c4)n3)c2)n1")</f>
        <v>Cc1cccc(-c2cccc(NCc3cccc(-c4cccc(N(C)C)c4)n3)c2)n1</v>
      </c>
      <c r="C20110" s="7">
        <f>IFERROR(__xludf.DUMMYFUNCTION("""COMPUTED_VALUE"""),7.7107954)</f>
        <v>7.7107954</v>
      </c>
      <c r="D20110" s="7">
        <f>IFERROR(__xludf.DUMMYFUNCTION("""COMPUTED_VALUE"""),0.34)</f>
        <v>0.34</v>
      </c>
    </row>
    <row r="20111">
      <c r="A20111" s="10" t="s">
        <v>21550</v>
      </c>
      <c r="B20111" s="7" t="str">
        <f>IFERROR(__xludf.DUMMYFUNCTION("SPLIT(A20111,"" "")"),"Cc1cccc(-c2ccc(NCc3cccc(-c4ccccc4N=Cc4ccccn4)n3)cc2)n1")</f>
        <v>Cc1cccc(-c2ccc(NCc3cccc(-c4ccccc4N=Cc4ccccn4)n3)cc2)n1</v>
      </c>
      <c r="C20111" s="7">
        <f>IFERROR(__xludf.DUMMYFUNCTION("""COMPUTED_VALUE"""),7.7107954)</f>
        <v>7.7107954</v>
      </c>
      <c r="D20111" s="7">
        <f>IFERROR(__xludf.DUMMYFUNCTION("""COMPUTED_VALUE"""),0.416666666666666)</f>
        <v>0.4166666667</v>
      </c>
    </row>
    <row r="20112">
      <c r="A20112" s="10" t="s">
        <v>21551</v>
      </c>
      <c r="B20112" s="7" t="str">
        <f>IFERROR(__xludf.DUMMYFUNCTION("SPLIT(A20112,"" "")"),"CN(c1cccc(-c2cccnc2C(C)(C)c2cccc(NCc3ccccn3)c2)c1)c1ccc2ncccc2c1")</f>
        <v>CN(c1cccc(-c2cccnc2C(C)(C)c2cccc(NCc3ccccn3)c2)c1)c1ccc2ncccc2c1</v>
      </c>
      <c r="C20112" s="7">
        <f>IFERROR(__xludf.DUMMYFUNCTION("""COMPUTED_VALUE"""),7.710793)</f>
        <v>7.710793</v>
      </c>
      <c r="D20112" s="7">
        <f>IFERROR(__xludf.DUMMYFUNCTION("""COMPUTED_VALUE"""),0.342465753424657)</f>
        <v>0.3424657534</v>
      </c>
    </row>
    <row r="20113">
      <c r="A20113" s="10" t="s">
        <v>21552</v>
      </c>
      <c r="B20113" s="7" t="str">
        <f>IFERROR(__xludf.DUMMYFUNCTION("SPLIT(A20113,"" "")"),"CNc1cnccc1-c1cc(C(C)(c2ccccn2)c2ccccn2)ccn1")</f>
        <v>CNc1cnccc1-c1cc(C(C)(c2ccccn2)c2ccccn2)ccn1</v>
      </c>
      <c r="C20113" s="7">
        <f>IFERROR(__xludf.DUMMYFUNCTION("""COMPUTED_VALUE"""),7.710746)</f>
        <v>7.710746</v>
      </c>
      <c r="D20113" s="7">
        <f>IFERROR(__xludf.DUMMYFUNCTION("""COMPUTED_VALUE"""),0.351851851851851)</f>
        <v>0.3518518519</v>
      </c>
    </row>
    <row r="20114">
      <c r="A20114" s="10" t="s">
        <v>21553</v>
      </c>
      <c r="B20114" s="7" t="str">
        <f>IFERROR(__xludf.DUMMYFUNCTION("SPLIT(A20114,"" "")"),"C1=CC(Nc2cc(-c3cc(C(c4ccccn4)c4ccccn4)ccn3)ccn2)=CCN1")</f>
        <v>C1=CC(Nc2cc(-c3cc(C(c4ccccn4)c4ccccn4)ccn3)ccn2)=CCN1</v>
      </c>
      <c r="C20114" s="7">
        <f>IFERROR(__xludf.DUMMYFUNCTION("""COMPUTED_VALUE"""),7.710742)</f>
        <v>7.710742</v>
      </c>
      <c r="D20114" s="7">
        <f>IFERROR(__xludf.DUMMYFUNCTION("""COMPUTED_VALUE"""),0.235294117647058)</f>
        <v>0.2352941176</v>
      </c>
    </row>
    <row r="20115">
      <c r="A20115" s="10" t="s">
        <v>21554</v>
      </c>
      <c r="B20115" s="7" t="str">
        <f>IFERROR(__xludf.DUMMYFUNCTION("SPLIT(A20115,"" "")"),"Cc1c(N(C)CC2=CCC=C(N(C)Cc3ccccn3)N2)ccc2ncccc12")</f>
        <v>Cc1c(N(C)CC2=CCC=C(N(C)Cc3ccccn3)N2)ccc2ncccc12</v>
      </c>
      <c r="C20115" s="7">
        <f>IFERROR(__xludf.DUMMYFUNCTION("""COMPUTED_VALUE"""),7.7107368)</f>
        <v>7.7107368</v>
      </c>
      <c r="D20115" s="7">
        <f>IFERROR(__xludf.DUMMYFUNCTION("""COMPUTED_VALUE"""),0.403508771929824)</f>
        <v>0.4035087719</v>
      </c>
    </row>
    <row r="20116">
      <c r="A20116" s="10" t="s">
        <v>21555</v>
      </c>
      <c r="B20116" s="7" t="str">
        <f>IFERROR(__xludf.DUMMYFUNCTION("SPLIT(A20116,"" "")"),"Cc1ccc2ncccc2c1N(C)Cc1ccccn1")</f>
        <v>Cc1ccc2ncccc2c1N(C)Cc1ccccn1</v>
      </c>
      <c r="C20116" s="7">
        <f>IFERROR(__xludf.DUMMYFUNCTION("""COMPUTED_VALUE"""),7.7107363)</f>
        <v>7.7107363</v>
      </c>
      <c r="D20116" s="7">
        <f>IFERROR(__xludf.DUMMYFUNCTION("""COMPUTED_VALUE"""),0.477272727272727)</f>
        <v>0.4772727273</v>
      </c>
    </row>
    <row r="20117">
      <c r="A20117" s="10" t="s">
        <v>21556</v>
      </c>
      <c r="B20117" s="7" t="str">
        <f>IFERROR(__xludf.DUMMYFUNCTION("SPLIT(A20117,"" "")"),"CN(CCNc1ccc2c(CF)ccnc2c1)c1ccc2ncccc2c1")</f>
        <v>CN(CCNc1ccc2c(CF)ccnc2c1)c1ccc2ncccc2c1</v>
      </c>
      <c r="C20117" s="7">
        <f>IFERROR(__xludf.DUMMYFUNCTION("""COMPUTED_VALUE"""),7.7107325)</f>
        <v>7.7107325</v>
      </c>
      <c r="D20117" s="7">
        <f>IFERROR(__xludf.DUMMYFUNCTION("""COMPUTED_VALUE"""),0.298245614035087)</f>
        <v>0.298245614</v>
      </c>
    </row>
    <row r="20118">
      <c r="A20118" s="10" t="s">
        <v>21557</v>
      </c>
      <c r="B20118" s="7" t="str">
        <f>IFERROR(__xludf.DUMMYFUNCTION("SPLIT(A20118,"" "")"),"Cc1nc(CN(C)c2cccc3ccc(CN(C)Cc4ccc5ccccc5n4)nc23)c(C)c(C)c1C")</f>
        <v>Cc1nc(CN(C)c2cccc3ccc(CN(C)Cc4ccc5ccccc5n4)nc23)c(C)c(C)c1C</v>
      </c>
      <c r="C20118" s="7">
        <f>IFERROR(__xludf.DUMMYFUNCTION("""COMPUTED_VALUE"""),7.710725)</f>
        <v>7.710725</v>
      </c>
      <c r="D20118" s="7">
        <f>IFERROR(__xludf.DUMMYFUNCTION("""COMPUTED_VALUE"""),0.408163265306122)</f>
        <v>0.4081632653</v>
      </c>
    </row>
    <row r="20119">
      <c r="A20119" s="10" t="s">
        <v>21558</v>
      </c>
      <c r="B20119" s="7" t="str">
        <f>IFERROR(__xludf.DUMMYFUNCTION("SPLIT(A20119,"" "")"),"Cc1cccnc1CN(C)c1ccc(-c2cccc(CN(C)Cc3cccc(N)n3)n2)c2cccnc12")</f>
        <v>Cc1cccnc1CN(C)c1ccc(-c2cccc(CN(C)Cc3cccc(N)n3)n2)c2cccnc12</v>
      </c>
      <c r="C20119" s="7">
        <f>IFERROR(__xludf.DUMMYFUNCTION("""COMPUTED_VALUE"""),7.7107244)</f>
        <v>7.7107244</v>
      </c>
      <c r="D20119" s="7">
        <f>IFERROR(__xludf.DUMMYFUNCTION("""COMPUTED_VALUE"""),0.393442622950819)</f>
        <v>0.393442623</v>
      </c>
    </row>
    <row r="20120">
      <c r="A20120" s="10" t="s">
        <v>21559</v>
      </c>
      <c r="B20120" s="7" t="str">
        <f>IFERROR(__xludf.DUMMYFUNCTION("SPLIT(A20120,"" "")"),"CN(CCN(C)c1ccc2nc(CF)ccc2c1)c1ccc2ncc(CF)cc2c1")</f>
        <v>CN(CCN(C)c1ccc2nc(CF)ccc2c1)c1ccc2ncc(CF)cc2c1</v>
      </c>
      <c r="C20120" s="7">
        <f>IFERROR(__xludf.DUMMYFUNCTION("""COMPUTED_VALUE"""),7.710712)</f>
        <v>7.710712</v>
      </c>
      <c r="D20120" s="7">
        <f>IFERROR(__xludf.DUMMYFUNCTION("""COMPUTED_VALUE"""),0.288135593220339)</f>
        <v>0.2881355932</v>
      </c>
    </row>
    <row r="20121">
      <c r="A20121" s="10" t="s">
        <v>21560</v>
      </c>
      <c r="B20121" s="7" t="str">
        <f>IFERROR(__xludf.DUMMYFUNCTION("SPLIT(A20121,"" "")"),"Cc1cc(-c2cccc(NCc3ccc(-c4cccc(N=Cc5ccccn5)c4)cn3)c2)ccn1")</f>
        <v>Cc1cc(-c2cccc(NCc3ccc(-c4cccc(N=Cc5ccccn5)c4)cn3)c2)ccn1</v>
      </c>
      <c r="C20121" s="7">
        <f>IFERROR(__xludf.DUMMYFUNCTION("""COMPUTED_VALUE"""),7.7107077)</f>
        <v>7.7107077</v>
      </c>
      <c r="D20121" s="7">
        <f>IFERROR(__xludf.DUMMYFUNCTION("""COMPUTED_VALUE"""),0.34375)</f>
        <v>0.34375</v>
      </c>
    </row>
    <row r="20122">
      <c r="A20122" s="10" t="s">
        <v>21561</v>
      </c>
      <c r="B20122" s="7" t="str">
        <f>IFERROR(__xludf.DUMMYFUNCTION("SPLIT(A20122,"" "")"),"CC(C)N(CCN(C)c1ccc2cccnc2c1)c1ccc2ncccc2c1")</f>
        <v>CC(C)N(CCN(C)c1ccc2cccnc2c1)c1ccc2ncccc2c1</v>
      </c>
      <c r="C20122" s="7">
        <f>IFERROR(__xludf.DUMMYFUNCTION("""COMPUTED_VALUE"""),7.7107053)</f>
        <v>7.7107053</v>
      </c>
      <c r="D20122" s="7">
        <f>IFERROR(__xludf.DUMMYFUNCTION("""COMPUTED_VALUE"""),0.36734693877551)</f>
        <v>0.3673469388</v>
      </c>
    </row>
    <row r="20123">
      <c r="A20123" s="10" t="s">
        <v>21562</v>
      </c>
      <c r="B20123" s="7" t="str">
        <f>IFERROR(__xludf.DUMMYFUNCTION("SPLIT(A20123,"" "")"),"Cc1cccnc1CN(C)c1cc(N(C)Cc2ccccn2)c2ncc(C(C)(C)C)cc2c1")</f>
        <v>Cc1cccnc1CN(C)c1cc(N(C)Cc2ccccn2)c2ncc(C(C)(C)C)cc2c1</v>
      </c>
      <c r="C20123" s="7">
        <f>IFERROR(__xludf.DUMMYFUNCTION("""COMPUTED_VALUE"""),7.7106824)</f>
        <v>7.7106824</v>
      </c>
      <c r="D20123" s="7">
        <f>IFERROR(__xludf.DUMMYFUNCTION("""COMPUTED_VALUE"""),0.413793103448275)</f>
        <v>0.4137931034</v>
      </c>
    </row>
    <row r="20124">
      <c r="A20124" s="10" t="s">
        <v>21563</v>
      </c>
      <c r="B20124" s="7" t="str">
        <f>IFERROR(__xludf.DUMMYFUNCTION("SPLIT(A20124,"" "")"),"Cc1cc(N=Cc2ccccn2)ccc1-c1ncccc1C")</f>
        <v>Cc1cc(N=Cc2ccccn2)ccc1-c1ncccc1C</v>
      </c>
      <c r="C20124" s="7">
        <f>IFERROR(__xludf.DUMMYFUNCTION("""COMPUTED_VALUE"""),7.710669)</f>
        <v>7.710669</v>
      </c>
      <c r="D20124" s="7">
        <f>IFERROR(__xludf.DUMMYFUNCTION("""COMPUTED_VALUE"""),0.5)</f>
        <v>0.5</v>
      </c>
    </row>
    <row r="20125">
      <c r="A20125" s="10" t="s">
        <v>21564</v>
      </c>
      <c r="B20125" s="7" t="str">
        <f>IFERROR(__xludf.DUMMYFUNCTION("SPLIT(A20125,"" "")"),"Cc1cc(N(C)c2ccc3cccnc3c2)ccc1-c1cc(CN(C)Cc2ccccn2)ccn1")</f>
        <v>Cc1cc(N(C)c2ccc3cccnc3c2)ccc1-c1cc(CN(C)Cc2ccccn2)ccn1</v>
      </c>
      <c r="C20125" s="7">
        <f>IFERROR(__xludf.DUMMYFUNCTION("""COMPUTED_VALUE"""),7.710666)</f>
        <v>7.710666</v>
      </c>
      <c r="D20125" s="7">
        <f>IFERROR(__xludf.DUMMYFUNCTION("""COMPUTED_VALUE"""),0.423728813559322)</f>
        <v>0.4237288136</v>
      </c>
    </row>
    <row r="20126">
      <c r="A20126" s="10" t="s">
        <v>21565</v>
      </c>
      <c r="B20126" s="7" t="str">
        <f>IFERROR(__xludf.DUMMYFUNCTION("SPLIT(A20126,"" "")"),"Cc1cccc(-c2cccc(NCc3ccc(-c4cccc(N=Cc5ccccn5)c4)cn3)c2)n1")</f>
        <v>Cc1cccc(-c2cccc(NCc3ccc(-c4cccc(N=Cc5ccccn5)c4)cn3)c2)n1</v>
      </c>
      <c r="C20126" s="7">
        <f>IFERROR(__xludf.DUMMYFUNCTION("""COMPUTED_VALUE"""),7.710662)</f>
        <v>7.710662</v>
      </c>
      <c r="D20126" s="7">
        <f>IFERROR(__xludf.DUMMYFUNCTION("""COMPUTED_VALUE"""),0.328358208955223)</f>
        <v>0.328358209</v>
      </c>
    </row>
    <row r="20127">
      <c r="A20127" s="10" t="s">
        <v>21566</v>
      </c>
      <c r="B20127" s="7" t="str">
        <f>IFERROR(__xludf.DUMMYFUNCTION("SPLIT(A20127,"" "")"),"CC(C)NCc1cc(-c2cccnc2-c2cccc(NCc3cc(-c4cccc(N=Cc5ccccn5)c4)ccn3)c2)ccn1")</f>
        <v>CC(C)NCc1cc(-c2cccnc2-c2cccc(NCc3cc(-c4cccc(N=Cc5ccccn5)c4)ccn3)c2)ccn1</v>
      </c>
      <c r="C20127" s="7">
        <f>IFERROR(__xludf.DUMMYFUNCTION("""COMPUTED_VALUE"""),7.7106586)</f>
        <v>7.7106586</v>
      </c>
      <c r="D20127" s="7">
        <f>IFERROR(__xludf.DUMMYFUNCTION("""COMPUTED_VALUE"""),0.291666666666666)</f>
        <v>0.2916666667</v>
      </c>
    </row>
    <row r="20128">
      <c r="A20128" s="10" t="s">
        <v>21567</v>
      </c>
      <c r="B20128" s="7" t="str">
        <f>IFERROR(__xludf.DUMMYFUNCTION("SPLIT(A20128,"" "")"),"Cc1cnc2ccc(N(C)CCCN(C)c3ccc4cccnc4c3)cc2c1")</f>
        <v>Cc1cnc2ccc(N(C)CCCN(C)c3ccc4cccnc4c3)cc2c1</v>
      </c>
      <c r="C20128" s="7">
        <f>IFERROR(__xludf.DUMMYFUNCTION("""COMPUTED_VALUE"""),7.710638)</f>
        <v>7.710638</v>
      </c>
      <c r="D20128" s="7">
        <f>IFERROR(__xludf.DUMMYFUNCTION("""COMPUTED_VALUE"""),0.392156862745098)</f>
        <v>0.3921568627</v>
      </c>
    </row>
    <row r="20129">
      <c r="A20129" s="10" t="s">
        <v>21568</v>
      </c>
      <c r="B20129" s="7" t="str">
        <f>IFERROR(__xludf.DUMMYFUNCTION("SPLIT(A20129,"" "")"),"Cc1ccc(-c2ccc3ncccc3c2)cc1NCc1ccccn1")</f>
        <v>Cc1ccc(-c2ccc3ncccc3c2)cc1NCc1ccccn1</v>
      </c>
      <c r="C20129" s="7">
        <f>IFERROR(__xludf.DUMMYFUNCTION("""COMPUTED_VALUE"""),7.710621)</f>
        <v>7.710621</v>
      </c>
      <c r="D20129" s="7">
        <f>IFERROR(__xludf.DUMMYFUNCTION("""COMPUTED_VALUE"""),0.410714285714285)</f>
        <v>0.4107142857</v>
      </c>
    </row>
    <row r="20130">
      <c r="A20130" s="10" t="s">
        <v>21569</v>
      </c>
      <c r="B20130" s="7" t="str">
        <f>IFERROR(__xludf.DUMMYFUNCTION("SPLIT(A20130,"" "")"),"CN(Cc1cccnn1)c1ccc2ncccc2c1")</f>
        <v>CN(Cc1cccnn1)c1ccc2ncccc2c1</v>
      </c>
      <c r="C20130" s="7">
        <f>IFERROR(__xludf.DUMMYFUNCTION("""COMPUTED_VALUE"""),7.7106137)</f>
        <v>7.7106137</v>
      </c>
      <c r="D20130" s="7">
        <f>IFERROR(__xludf.DUMMYFUNCTION("""COMPUTED_VALUE"""),0.48780487804878)</f>
        <v>0.487804878</v>
      </c>
    </row>
    <row r="20131">
      <c r="A20131" s="10" t="s">
        <v>21570</v>
      </c>
      <c r="B20131" s="7" t="str">
        <f>IFERROR(__xludf.DUMMYFUNCTION("SPLIT(A20131,"" "")"),"CC(C)N(Cc1ccccn1)c1ccc2nc(-c3ccccn3)ccc2c1")</f>
        <v>CC(C)N(Cc1ccccn1)c1ccc2nc(-c3ccccn3)ccc2c1</v>
      </c>
      <c r="C20131" s="7">
        <f>IFERROR(__xludf.DUMMYFUNCTION("""COMPUTED_VALUE"""),7.7106047)</f>
        <v>7.7106047</v>
      </c>
      <c r="D20131" s="7">
        <f>IFERROR(__xludf.DUMMYFUNCTION("""COMPUTED_VALUE"""),0.489795918367346)</f>
        <v>0.4897959184</v>
      </c>
    </row>
    <row r="20132">
      <c r="A20132" s="10" t="s">
        <v>21571</v>
      </c>
      <c r="B20132" s="7" t="str">
        <f>IFERROR(__xludf.DUMMYFUNCTION("SPLIT(A20132,"" "")"),"Cc1cccc2ncc(CN(C)Cc3ncccc3-c3cccc(N(C)C)c3)cc12")</f>
        <v>Cc1cccc2ncc(CN(C)Cc3ncccc3-c3cccc(N(C)C)c3)cc12</v>
      </c>
      <c r="C20132" s="7">
        <f>IFERROR(__xludf.DUMMYFUNCTION("""COMPUTED_VALUE"""),7.7105727)</f>
        <v>7.7105727</v>
      </c>
      <c r="D20132" s="7">
        <f>IFERROR(__xludf.DUMMYFUNCTION("""COMPUTED_VALUE"""),0.253968253968253)</f>
        <v>0.253968254</v>
      </c>
    </row>
    <row r="20133">
      <c r="A20133" s="10" t="s">
        <v>21572</v>
      </c>
      <c r="B20133" s="7" t="str">
        <f>IFERROR(__xludf.DUMMYFUNCTION("SPLIT(A20133,"" "")"),"Cc1cccc(N(C)c2ccc3c(CN(C)C)ccnc3c2)c1")</f>
        <v>Cc1cccc(N(C)c2ccc3c(CN(C)C)ccnc3c2)c1</v>
      </c>
      <c r="C20133" s="7">
        <f>IFERROR(__xludf.DUMMYFUNCTION("""COMPUTED_VALUE"""),7.7105627)</f>
        <v>7.7105627</v>
      </c>
      <c r="D20133" s="7">
        <f>IFERROR(__xludf.DUMMYFUNCTION("""COMPUTED_VALUE"""),0.264150943396226)</f>
        <v>0.2641509434</v>
      </c>
    </row>
    <row r="20134">
      <c r="A20134" s="10" t="s">
        <v>21573</v>
      </c>
      <c r="B20134" s="7" t="str">
        <f>IFERROR(__xludf.DUMMYFUNCTION("SPLIT(A20134,"" "")"),"CN(C)C1=C(CN(C)c2cccc3ncccc23)NC=CC1")</f>
        <v>CN(C)C1=C(CN(C)c2cccc3ncccc23)NC=CC1</v>
      </c>
      <c r="C20134" s="7">
        <f>IFERROR(__xludf.DUMMYFUNCTION("""COMPUTED_VALUE"""),7.7105603)</f>
        <v>7.7105603</v>
      </c>
      <c r="D20134" s="7">
        <f>IFERROR(__xludf.DUMMYFUNCTION("""COMPUTED_VALUE"""),0.351851851851851)</f>
        <v>0.3518518519</v>
      </c>
    </row>
    <row r="20135">
      <c r="A20135" s="10" t="s">
        <v>21574</v>
      </c>
      <c r="B20135" s="7" t="str">
        <f>IFERROR(__xludf.DUMMYFUNCTION("SPLIT(A20135,"" "")"),"C=CCN(Cc1ccccn1)c1cc2ncccc2c(-c2c(C)ccc(-c3c(C)ccc(C)c3C)c2N(C)Cc2ccccn2)c1N(Cc1ccccn1)Cc1ccccn1")</f>
        <v>C=CCN(Cc1ccccn1)c1cc2ncccc2c(-c2c(C)ccc(-c3c(C)ccc(C)c3C)c2N(C)Cc2ccccn2)c1N(Cc1ccccn1)Cc1ccccn1</v>
      </c>
      <c r="C20135" s="7">
        <f>IFERROR(__xludf.DUMMYFUNCTION("""COMPUTED_VALUE"""),7.7105293)</f>
        <v>7.7105293</v>
      </c>
      <c r="D20135" s="7">
        <f>IFERROR(__xludf.DUMMYFUNCTION("""COMPUTED_VALUE"""),0.343283582089552)</f>
        <v>0.3432835821</v>
      </c>
    </row>
    <row r="20136">
      <c r="A20136" s="10" t="s">
        <v>21575</v>
      </c>
      <c r="B20136" s="7" t="str">
        <f>IFERROR(__xludf.DUMMYFUNCTION("SPLIT(A20136,"" "")"),"Cc1cnc(CN(C)c2ccc3c(CN(C)C)nccc3c2)c(C)c1C")</f>
        <v>Cc1cnc(CN(C)c2ccc3c(CN(C)C)nccc3c2)c(C)c1C</v>
      </c>
      <c r="C20136" s="7">
        <f>IFERROR(__xludf.DUMMYFUNCTION("""COMPUTED_VALUE"""),7.710504)</f>
        <v>7.710504</v>
      </c>
      <c r="D20136" s="7">
        <f>IFERROR(__xludf.DUMMYFUNCTION("""COMPUTED_VALUE"""),0.245614035087719)</f>
        <v>0.2456140351</v>
      </c>
    </row>
    <row r="20137">
      <c r="A20137" s="10" t="s">
        <v>21576</v>
      </c>
      <c r="B20137" s="7" t="str">
        <f>IFERROR(__xludf.DUMMYFUNCTION("SPLIT(A20137,"" "")"),"Cc1cncc(CN(C)c2c(N(C)Cc3ccccn3)ccc3ncccc23)c1")</f>
        <v>Cc1cncc(CN(C)c2c(N(C)Cc3ccccn3)ccc3ncccc23)c1</v>
      </c>
      <c r="C20137" s="7">
        <f>IFERROR(__xludf.DUMMYFUNCTION("""COMPUTED_VALUE"""),7.710487)</f>
        <v>7.710487</v>
      </c>
      <c r="D20137" s="7">
        <f>IFERROR(__xludf.DUMMYFUNCTION("""COMPUTED_VALUE"""),0.444444444444444)</f>
        <v>0.4444444444</v>
      </c>
    </row>
    <row r="20138">
      <c r="A20138" s="10" t="s">
        <v>21577</v>
      </c>
      <c r="B20138" s="7" t="str">
        <f>IFERROR(__xludf.DUMMYFUNCTION("SPLIT(A20138,"" "")"),"CC(C)N(C)c1ccc2nc(C3=CCC=CN3)ccc2c1")</f>
        <v>CC(C)N(C)c1ccc2nc(C3=CCC=CN3)ccc2c1</v>
      </c>
      <c r="C20138" s="7">
        <f>IFERROR(__xludf.DUMMYFUNCTION("""COMPUTED_VALUE"""),7.7104754)</f>
        <v>7.7104754</v>
      </c>
      <c r="D20138" s="7">
        <f>IFERROR(__xludf.DUMMYFUNCTION("""COMPUTED_VALUE"""),0.25)</f>
        <v>0.25</v>
      </c>
    </row>
    <row r="20139">
      <c r="A20139" s="10" t="s">
        <v>21578</v>
      </c>
      <c r="B20139" s="7" t="str">
        <f>IFERROR(__xludf.DUMMYFUNCTION("SPLIT(A20139,"" "")"),"CC(C)(c1ccccn1)c1ncccc1CN(Cc1cccc2cccnc12)c1cccc2cccnc12")</f>
        <v>CC(C)(c1ccccn1)c1ncccc1CN(Cc1cccc2cccnc12)c1cccc2cccnc12</v>
      </c>
      <c r="C20139" s="7">
        <f>IFERROR(__xludf.DUMMYFUNCTION("""COMPUTED_VALUE"""),7.7104726)</f>
        <v>7.7104726</v>
      </c>
      <c r="D20139" s="7">
        <f>IFERROR(__xludf.DUMMYFUNCTION("""COMPUTED_VALUE"""),0.46)</f>
        <v>0.46</v>
      </c>
    </row>
    <row r="20140">
      <c r="A20140" s="10" t="s">
        <v>21579</v>
      </c>
      <c r="B20140" s="7" t="str">
        <f>IFERROR(__xludf.DUMMYFUNCTION("SPLIT(A20140,"" "")"),"CCOC(=O)c1cccc(-c2cccc(C(=O)C(=O)C(=O)C(=O)C(=O)C(=O)C(=O)C(=O)C(=O)C(=O)C(=O)C(=O)C(=O)C(=O)C(=O)C(=O)C(=O)C(=O)C(=O)C(=O)C(=O)C(=O)C(=O)C(=O)C(=O)C(=O)C(=O)C(=O)C(=O)C(=O)C(=O)C(=O)C(=O)C(=O)C(C)=O)n2)n1")</f>
        <v>CCOC(=O)c1cccc(-c2cccc(C(=O)C(=O)C(=O)C(=O)C(=O)C(=O)C(=O)C(=O)C(=O)C(=O)C(=O)C(=O)C(=O)C(=O)C(=O)C(=O)C(=O)C(=O)C(=O)C(=O)C(=O)C(=O)C(=O)C(=O)C(=O)C(=O)C(=O)C(=O)C(=O)C(=O)C(=O)C(=O)C(=O)C(=O)C(C)=O)n2)n1</v>
      </c>
      <c r="C20140" s="7">
        <f>IFERROR(__xludf.DUMMYFUNCTION("""COMPUTED_VALUE"""),7.7104383)</f>
        <v>7.7104383</v>
      </c>
      <c r="D20140" s="7">
        <f>IFERROR(__xludf.DUMMYFUNCTION("""COMPUTED_VALUE"""),0.262295081967213)</f>
        <v>0.262295082</v>
      </c>
    </row>
    <row r="20141">
      <c r="A20141" s="10" t="s">
        <v>21580</v>
      </c>
      <c r="B20141" s="7" t="str">
        <f>IFERROR(__xludf.DUMMYFUNCTION("SPLIT(A20141,"" "")"),"CCN(c1cccc2c(-c3ccc(N(C)C(C)C)cc3)ccnc12)C(C)C")</f>
        <v>CCN(c1cccc2c(-c3ccc(N(C)C(C)C)cc3)ccnc12)C(C)C</v>
      </c>
      <c r="C20141" s="7">
        <f>IFERROR(__xludf.DUMMYFUNCTION("""COMPUTED_VALUE"""),7.7104383)</f>
        <v>7.7104383</v>
      </c>
      <c r="D20141" s="7">
        <f>IFERROR(__xludf.DUMMYFUNCTION("""COMPUTED_VALUE"""),0.320754716981132)</f>
        <v>0.320754717</v>
      </c>
    </row>
    <row r="20142">
      <c r="A20142" s="10" t="s">
        <v>21581</v>
      </c>
      <c r="B20142" s="7" t="str">
        <f>IFERROR(__xludf.DUMMYFUNCTION("SPLIT(A20142,"" "")"),"Cc1cnc(CN(C)c2cc(Cl)c(Cl)cc2N(C)C)c(C)c1")</f>
        <v>Cc1cnc(CN(C)c2cc(Cl)c(Cl)cc2N(C)C)c(C)c1</v>
      </c>
      <c r="C20142" s="7">
        <f>IFERROR(__xludf.DUMMYFUNCTION("""COMPUTED_VALUE"""),7.710435)</f>
        <v>7.710435</v>
      </c>
      <c r="D20142" s="7">
        <f>IFERROR(__xludf.DUMMYFUNCTION("""COMPUTED_VALUE"""),0.409090909090909)</f>
        <v>0.4090909091</v>
      </c>
    </row>
    <row r="20143">
      <c r="A20143" s="10" t="s">
        <v>21582</v>
      </c>
      <c r="B20143" s="7" t="str">
        <f>IFERROR(__xludf.DUMMYFUNCTION("SPLIT(A20143,"" "")"),"CN(C1=CCC=C(N(C)C2C=CC=CN2)N1)c1ccc2cccnc2c1")</f>
        <v>CN(C1=CCC=C(N(C)C2C=CC=CN2)N1)c1ccc2cccnc2c1</v>
      </c>
      <c r="C20143" s="7">
        <f>IFERROR(__xludf.DUMMYFUNCTION("""COMPUTED_VALUE"""),7.7104144)</f>
        <v>7.7104144</v>
      </c>
      <c r="D20143" s="7">
        <f>IFERROR(__xludf.DUMMYFUNCTION("""COMPUTED_VALUE"""),0.264705882352941)</f>
        <v>0.2647058824</v>
      </c>
    </row>
    <row r="20144">
      <c r="A20144" s="10" t="s">
        <v>21583</v>
      </c>
      <c r="B20144" s="7" t="str">
        <f>IFERROR(__xludf.DUMMYFUNCTION("SPLIT(A20144,"" "")"),"CN(Cc1cccnn1)c1ccc2cccnc2c1")</f>
        <v>CN(Cc1cccnn1)c1ccc2cccnc2c1</v>
      </c>
      <c r="C20144" s="7">
        <f>IFERROR(__xludf.DUMMYFUNCTION("""COMPUTED_VALUE"""),7.710403)</f>
        <v>7.710403</v>
      </c>
      <c r="D20144" s="7">
        <f>IFERROR(__xludf.DUMMYFUNCTION("""COMPUTED_VALUE"""),0.476190476190476)</f>
        <v>0.4761904762</v>
      </c>
    </row>
    <row r="20145">
      <c r="A20145" s="10" t="s">
        <v>21584</v>
      </c>
      <c r="B20145" s="7" t="str">
        <f>IFERROR(__xludf.DUMMYFUNCTION("SPLIT(A20145,"" "")"),"CN(c1ccc2nccc(-c3ccc4ncccc4c3)c2c1)C1CCC(N(Cc2ccccn2)Cc2cccc(-c3ccc4ncccc4c3)n2)CC1")</f>
        <v>CN(c1ccc2nccc(-c3ccc4ncccc4c3)c2c1)C1CCC(N(Cc2ccccn2)Cc2cccc(-c3ccc4ncccc4c3)n2)CC1</v>
      </c>
      <c r="C20145" s="7">
        <f>IFERROR(__xludf.DUMMYFUNCTION("""COMPUTED_VALUE"""),7.7103868)</f>
        <v>7.7103868</v>
      </c>
      <c r="D20145" s="7">
        <f>IFERROR(__xludf.DUMMYFUNCTION("""COMPUTED_VALUE"""),0.383561643835616)</f>
        <v>0.3835616438</v>
      </c>
    </row>
    <row r="20146">
      <c r="A20146" s="10" t="s">
        <v>21585</v>
      </c>
      <c r="B20146" s="7" t="str">
        <f>IFERROR(__xludf.DUMMYFUNCTION("SPLIT(A20146,"" "")"),"CN(C)c1ccccc1-c1cccnc1-c1ccc(CF)nc1NCc1ccccn1")</f>
        <v>CN(C)c1ccccc1-c1cccnc1-c1ccc(CF)nc1NCc1ccccn1</v>
      </c>
      <c r="C20146" s="7">
        <f>IFERROR(__xludf.DUMMYFUNCTION("""COMPUTED_VALUE"""),7.7103844)</f>
        <v>7.7103844</v>
      </c>
      <c r="D20146" s="7">
        <f>IFERROR(__xludf.DUMMYFUNCTION("""COMPUTED_VALUE"""),0.323076923076923)</f>
        <v>0.3230769231</v>
      </c>
    </row>
    <row r="20147">
      <c r="A20147" s="10" t="s">
        <v>21586</v>
      </c>
      <c r="B20147" s="7" t="str">
        <f>IFERROR(__xludf.DUMMYFUNCTION("SPLIT(A20147,"" "")"),"Cc1cnc(CN(C)c2cc(-c3ccc(CN(C)Cc4ccccn4)cn3)c3ncccc3c2)c(C)c1")</f>
        <v>Cc1cnc(CN(C)c2cc(-c3ccc(CN(C)Cc4ccccn4)cn3)c3ncccc3c2)c(C)c1</v>
      </c>
      <c r="C20147" s="7">
        <f>IFERROR(__xludf.DUMMYFUNCTION("""COMPUTED_VALUE"""),7.710358)</f>
        <v>7.710358</v>
      </c>
      <c r="D20147" s="7">
        <f>IFERROR(__xludf.DUMMYFUNCTION("""COMPUTED_VALUE"""),0.363636363636363)</f>
        <v>0.3636363636</v>
      </c>
    </row>
    <row r="20148">
      <c r="A20148" s="10" t="s">
        <v>21587</v>
      </c>
      <c r="B20148" s="7" t="str">
        <f>IFERROR(__xludf.DUMMYFUNCTION("SPLIT(A20148,"" "")"),"Cc1ccc(CN(C)CC2=CC(N(C)c3ccc4cccnc4c3)C=CN2)c2ncccc12")</f>
        <v>Cc1ccc(CN(C)CC2=CC(N(C)c3ccc4cccnc4c3)C=CN2)c2ncccc12</v>
      </c>
      <c r="C20148" s="7">
        <f>IFERROR(__xludf.DUMMYFUNCTION("""COMPUTED_VALUE"""),7.7103443)</f>
        <v>7.7103443</v>
      </c>
      <c r="D20148" s="7">
        <f>IFERROR(__xludf.DUMMYFUNCTION("""COMPUTED_VALUE"""),0.338461538461538)</f>
        <v>0.3384615385</v>
      </c>
    </row>
    <row r="20149">
      <c r="A20149" s="10" t="s">
        <v>21588</v>
      </c>
      <c r="B20149" s="7" t="str">
        <f>IFERROR(__xludf.DUMMYFUNCTION("SPLIT(A20149,"" "")"),"CCN(Cc1ccccn1)c1ccc2nccc(-c3ccccc3N(C)Cc3ncccc3C)c2c1")</f>
        <v>CCN(Cc1ccccn1)c1ccc2nccc(-c3ccccc3N(C)Cc3ncccc3C)c2c1</v>
      </c>
      <c r="C20149" s="7">
        <f>IFERROR(__xludf.DUMMYFUNCTION("""COMPUTED_VALUE"""),7.7103252)</f>
        <v>7.7103252</v>
      </c>
      <c r="D20149" s="7">
        <f>IFERROR(__xludf.DUMMYFUNCTION("""COMPUTED_VALUE"""),0.370967741935483)</f>
        <v>0.3709677419</v>
      </c>
    </row>
    <row r="20150">
      <c r="A20150" s="10" t="s">
        <v>21589</v>
      </c>
      <c r="B20150" s="7" t="str">
        <f>IFERROR(__xludf.DUMMYFUNCTION("SPLIT(A20150,"" "")"),"Cc1cnc(CN(C)c2ccc3nccc(CN(C)C)c3c2)c(C)c1")</f>
        <v>Cc1cnc(CN(C)c2ccc3nccc(CN(C)C)c3c2)c(C)c1</v>
      </c>
      <c r="C20150" s="7">
        <f>IFERROR(__xludf.DUMMYFUNCTION("""COMPUTED_VALUE"""),7.7103167)</f>
        <v>7.7103167</v>
      </c>
      <c r="D20150" s="7">
        <f>IFERROR(__xludf.DUMMYFUNCTION("""COMPUTED_VALUE"""),0.259259259259259)</f>
        <v>0.2592592593</v>
      </c>
    </row>
    <row r="20151">
      <c r="A20151" s="10" t="s">
        <v>21590</v>
      </c>
      <c r="B20151" s="7" t="str">
        <f>IFERROR(__xludf.DUMMYFUNCTION("SPLIT(A20151,"" "")"),"Cc1cccc(-c2ccc(NCc3ccc(-c4cccc(N=Cc5ccccn5)c4)cn3)cc2)n1")</f>
        <v>Cc1cccc(-c2ccc(NCc3ccc(-c4cccc(N=Cc5ccccn5)c4)cn3)cc2)n1</v>
      </c>
      <c r="C20151" s="7">
        <f>IFERROR(__xludf.DUMMYFUNCTION("""COMPUTED_VALUE"""),7.7103157)</f>
        <v>7.7103157</v>
      </c>
      <c r="D20151" s="7">
        <f>IFERROR(__xludf.DUMMYFUNCTION("""COMPUTED_VALUE"""),0.333333333333333)</f>
        <v>0.3333333333</v>
      </c>
    </row>
    <row r="20152">
      <c r="A20152" s="10" t="s">
        <v>21591</v>
      </c>
      <c r="B20152" s="7" t="str">
        <f>IFERROR(__xludf.DUMMYFUNCTION("SPLIT(A20152,"" "")"),"CNCc1cccc(CNCc2ccc(-c3ccc4ncccc4c3)c(-c3c(C)c(C)c(C)c(C)c3C)n2)n1")</f>
        <v>CNCc1cccc(CNCc2ccc(-c3ccc4ncccc4c3)c(-c3c(C)c(C)c(C)c(C)c3C)n2)n1</v>
      </c>
      <c r="C20152" s="7">
        <f>IFERROR(__xludf.DUMMYFUNCTION("""COMPUTED_VALUE"""),7.7102714)</f>
        <v>7.7102714</v>
      </c>
      <c r="D20152" s="7">
        <f>IFERROR(__xludf.DUMMYFUNCTION("""COMPUTED_VALUE"""),0.275362318840579)</f>
        <v>0.2753623188</v>
      </c>
    </row>
    <row r="20153">
      <c r="A20153" s="10" t="s">
        <v>21592</v>
      </c>
      <c r="B20153" s="7" t="str">
        <f>IFERROR(__xludf.DUMMYFUNCTION("SPLIT(A20153,"" "")"),"Cc1ccnc(CN(C)c2ccc3ncccc3c2)c1C")</f>
        <v>Cc1ccnc(CN(C)c2ccc3ncccc3c2)c1C</v>
      </c>
      <c r="C20153" s="7">
        <f>IFERROR(__xludf.DUMMYFUNCTION("""COMPUTED_VALUE"""),7.7102623)</f>
        <v>7.7102623</v>
      </c>
      <c r="D20153" s="7">
        <f>IFERROR(__xludf.DUMMYFUNCTION("""COMPUTED_VALUE"""),0.326530612244897)</f>
        <v>0.3265306122</v>
      </c>
    </row>
    <row r="20154">
      <c r="A20154" s="10" t="s">
        <v>21593</v>
      </c>
      <c r="B20154" s="7" t="str">
        <f>IFERROR(__xludf.DUMMYFUNCTION("SPLIT(A20154,"" "")"),"CNCc1cc(-c2cccc(-c3cccc(N=Cc4ccccn4)c3)n2)ccn1")</f>
        <v>CNCc1cc(-c2cccc(-c3cccc(N=Cc4ccccn4)c3)n2)ccn1</v>
      </c>
      <c r="C20154" s="7">
        <f>IFERROR(__xludf.DUMMYFUNCTION("""COMPUTED_VALUE"""),7.71026)</f>
        <v>7.71026</v>
      </c>
      <c r="D20154" s="7">
        <f>IFERROR(__xludf.DUMMYFUNCTION("""COMPUTED_VALUE"""),0.362068965517241)</f>
        <v>0.3620689655</v>
      </c>
    </row>
    <row r="20155">
      <c r="A20155" s="10" t="s">
        <v>21594</v>
      </c>
      <c r="B20155" s="7" t="str">
        <f>IFERROR(__xludf.DUMMYFUNCTION("SPLIT(A20155,"" "")"),"c1ccc2cc(CN(Cc3cc4ccccc4cn3)Cc3ccnc4ccccc34)ncc2c1")</f>
        <v>c1ccc2cc(CN(Cc3cc4ccccc4cn3)Cc3ccnc4ccccc34)ncc2c1</v>
      </c>
      <c r="C20155" s="7">
        <f>IFERROR(__xludf.DUMMYFUNCTION("""COMPUTED_VALUE"""),7.710158)</f>
        <v>7.710158</v>
      </c>
      <c r="D20155" s="7">
        <f>IFERROR(__xludf.DUMMYFUNCTION("""COMPUTED_VALUE"""),0.404761904761904)</f>
        <v>0.4047619048</v>
      </c>
    </row>
    <row r="20156">
      <c r="A20156" s="10" t="s">
        <v>21595</v>
      </c>
      <c r="B20156" s="7" t="str">
        <f>IFERROR(__xludf.DUMMYFUNCTION("SPLIT(A20156,"" "")"),"Cc1ccnc(CN(C)Cc2ccc3cccc(N(C)Cc4ccc5cccc(N(C)Cc6ncccc6C)c5n4)c3n2)c1")</f>
        <v>Cc1ccnc(CN(C)Cc2ccc3cccc(N(C)Cc4ccc5cccc(N(C)Cc6ncccc6C)c5n4)c3n2)c1</v>
      </c>
      <c r="C20156" s="7">
        <f>IFERROR(__xludf.DUMMYFUNCTION("""COMPUTED_VALUE"""),7.7101364)</f>
        <v>7.7101364</v>
      </c>
      <c r="D20156" s="7">
        <f>IFERROR(__xludf.DUMMYFUNCTION("""COMPUTED_VALUE"""),0.4)</f>
        <v>0.4</v>
      </c>
    </row>
    <row r="20157">
      <c r="A20157" s="10" t="s">
        <v>21596</v>
      </c>
      <c r="B20157" s="7" t="str">
        <f>IFERROR(__xludf.DUMMYFUNCTION("SPLIT(A20157,"" "")"),"CN(Cc1ccccn1)C1=CCNC(N(C)c2cccc3ncccc23)=C1")</f>
        <v>CN(Cc1ccccn1)C1=CCNC(N(C)c2cccc3ncccc23)=C1</v>
      </c>
      <c r="C20157" s="7">
        <f>IFERROR(__xludf.DUMMYFUNCTION("""COMPUTED_VALUE"""),7.710135)</f>
        <v>7.710135</v>
      </c>
      <c r="D20157" s="7">
        <f>IFERROR(__xludf.DUMMYFUNCTION("""COMPUTED_VALUE"""),0.4)</f>
        <v>0.4</v>
      </c>
    </row>
    <row r="20158">
      <c r="A20158" s="10" t="s">
        <v>21597</v>
      </c>
      <c r="B20158" s="7" t="str">
        <f>IFERROR(__xludf.DUMMYFUNCTION("SPLIT(A20158,"" "")"),"CN(CCN(Cc1cccnc1)c1cccc2ncccc12)c1cccc2ncccc12")</f>
        <v>CN(CCN(Cc1cccnc1)c1cccc2ncccc12)c1cccc2ncccc12</v>
      </c>
      <c r="C20158" s="7">
        <f>IFERROR(__xludf.DUMMYFUNCTION("""COMPUTED_VALUE"""),7.710132)</f>
        <v>7.710132</v>
      </c>
      <c r="D20158" s="7">
        <f>IFERROR(__xludf.DUMMYFUNCTION("""COMPUTED_VALUE"""),0.4375)</f>
        <v>0.4375</v>
      </c>
    </row>
    <row r="20159">
      <c r="A20159" s="10" t="s">
        <v>21598</v>
      </c>
      <c r="B20159" s="7" t="str">
        <f>IFERROR(__xludf.DUMMYFUNCTION("SPLIT(A20159,"" "")"),"CN(C)Cc1cccc(N(C)c2ccc3ncccc3c2)n1")</f>
        <v>CN(C)Cc1cccc(N(C)c2ccc3ncccc3c2)n1</v>
      </c>
      <c r="C20159" s="7">
        <f>IFERROR(__xludf.DUMMYFUNCTION("""COMPUTED_VALUE"""),7.7101297)</f>
        <v>7.7101297</v>
      </c>
      <c r="D20159" s="7">
        <f>IFERROR(__xludf.DUMMYFUNCTION("""COMPUTED_VALUE"""),0.352941176470588)</f>
        <v>0.3529411765</v>
      </c>
    </row>
    <row r="20160">
      <c r="A20160" s="10" t="s">
        <v>21599</v>
      </c>
      <c r="B20160" s="7" t="str">
        <f>IFERROR(__xludf.DUMMYFUNCTION("SPLIT(A20160,"" "")"),"CC(C)N(CCN(C)c1ccc2nccc(CN(C)C)c2c1)c1ccc2ncccc2c1")</f>
        <v>CC(C)N(CCN(C)c1ccc2nccc(CN(C)C)c2c1)c1ccc2ncccc2c1</v>
      </c>
      <c r="C20160" s="7">
        <f>IFERROR(__xludf.DUMMYFUNCTION("""COMPUTED_VALUE"""),7.710125)</f>
        <v>7.710125</v>
      </c>
      <c r="D20160" s="7">
        <f>IFERROR(__xludf.DUMMYFUNCTION("""COMPUTED_VALUE"""),0.31578947368421)</f>
        <v>0.3157894737</v>
      </c>
    </row>
    <row r="20161">
      <c r="A20161" s="10" t="s">
        <v>21600</v>
      </c>
      <c r="B20161" s="7" t="str">
        <f>IFERROR(__xludf.DUMMYFUNCTION("SPLIT(A20161,"" "")"),"Cc1cc(-c2ccccc2N=Cc2ccccn2)cnc1-c1cccc(NCc2ccccn2)c1")</f>
        <v>Cc1cc(-c2ccccc2N=Cc2ccccn2)cnc1-c1cccc(NCc2ccccn2)c1</v>
      </c>
      <c r="C20161" s="7">
        <f>IFERROR(__xludf.DUMMYFUNCTION("""COMPUTED_VALUE"""),7.710106)</f>
        <v>7.710106</v>
      </c>
      <c r="D20161" s="7">
        <f>IFERROR(__xludf.DUMMYFUNCTION("""COMPUTED_VALUE"""),0.426229508196721)</f>
        <v>0.4262295082</v>
      </c>
    </row>
    <row r="20162">
      <c r="A20162" s="10" t="s">
        <v>21601</v>
      </c>
      <c r="B20162" s="7" t="str">
        <f>IFERROR(__xludf.DUMMYFUNCTION("SPLIT(A20162,"" "")"),"Cc1cc(CN(C)c2ccc3c(CN(C)C)cncc3c2)nc(C)c1C")</f>
        <v>Cc1cc(CN(C)c2ccc3c(CN(C)C)cncc3c2)nc(C)c1C</v>
      </c>
      <c r="C20162" s="7">
        <f>IFERROR(__xludf.DUMMYFUNCTION("""COMPUTED_VALUE"""),7.7100987)</f>
        <v>7.7100987</v>
      </c>
      <c r="D20162" s="7">
        <f>IFERROR(__xludf.DUMMYFUNCTION("""COMPUTED_VALUE"""),0.220338983050847)</f>
        <v>0.2203389831</v>
      </c>
    </row>
    <row r="20163">
      <c r="A20163" s="10" t="s">
        <v>21602</v>
      </c>
      <c r="B20163" s="7" t="str">
        <f>IFERROR(__xludf.DUMMYFUNCTION("SPLIT(A20163,"" "")"),"CNCC1=CCC=C(N(C)c2ccc3c(C)ccnc3c2)N1")</f>
        <v>CNCC1=CCC=C(N(C)c2ccc3c(C)ccnc3c2)N1</v>
      </c>
      <c r="C20163" s="7">
        <f>IFERROR(__xludf.DUMMYFUNCTION("""COMPUTED_VALUE"""),7.710079)</f>
        <v>7.710079</v>
      </c>
      <c r="D20163" s="7">
        <f>IFERROR(__xludf.DUMMYFUNCTION("""COMPUTED_VALUE"""),0.223880597014925)</f>
        <v>0.223880597</v>
      </c>
    </row>
    <row r="20164">
      <c r="A20164" s="10" t="s">
        <v>21603</v>
      </c>
      <c r="B20164" s="7" t="str">
        <f>IFERROR(__xludf.DUMMYFUNCTION("SPLIT(A20164,"" "")"),"Cc1cc(N=Cc2ccccn2)cc(-c2ccc(C)cc2N=Cc2ccccn2)c1")</f>
        <v>Cc1cc(N=Cc2ccccn2)cc(-c2ccc(C)cc2N=Cc2ccccn2)c1</v>
      </c>
      <c r="C20164" s="7">
        <f>IFERROR(__xludf.DUMMYFUNCTION("""COMPUTED_VALUE"""),7.710066)</f>
        <v>7.710066</v>
      </c>
      <c r="D20164" s="7">
        <f>IFERROR(__xludf.DUMMYFUNCTION("""COMPUTED_VALUE"""),0.46938775510204)</f>
        <v>0.4693877551</v>
      </c>
    </row>
    <row r="20165">
      <c r="A20165" s="10" t="s">
        <v>21604</v>
      </c>
      <c r="B20165" s="7" t="str">
        <f>IFERROR(__xludf.DUMMYFUNCTION("SPLIT(A20165,"" "")"),"CN(CCNc1cccc2nc(CF)ccc12)c1cccc2ncccc12")</f>
        <v>CN(CCNc1cccc2nc(CF)ccc12)c1cccc2ncccc12</v>
      </c>
      <c r="C20165" s="7">
        <f>IFERROR(__xludf.DUMMYFUNCTION("""COMPUTED_VALUE"""),7.710046)</f>
        <v>7.710046</v>
      </c>
      <c r="D20165" s="7">
        <f>IFERROR(__xludf.DUMMYFUNCTION("""COMPUTED_VALUE"""),0.396226415094339)</f>
        <v>0.3962264151</v>
      </c>
    </row>
    <row r="20166">
      <c r="A20166" s="10" t="s">
        <v>21605</v>
      </c>
      <c r="B20166" s="7" t="str">
        <f>IFERROR(__xludf.DUMMYFUNCTION("SPLIT(A20166,"" "")"),"Cc1cccnc1CN(C)Cc1cccc(N(C)c2ccc3nc(-c4ccccn4)ccc3c2)n1")</f>
        <v>Cc1cccnc1CN(C)Cc1cccc(N(C)c2ccc3nc(-c4ccccn4)ccc3c2)n1</v>
      </c>
      <c r="C20166" s="7">
        <f>IFERROR(__xludf.DUMMYFUNCTION("""COMPUTED_VALUE"""),7.7100077)</f>
        <v>7.7100077</v>
      </c>
      <c r="D20166" s="7">
        <f>IFERROR(__xludf.DUMMYFUNCTION("""COMPUTED_VALUE"""),0.491228070175438)</f>
        <v>0.4912280702</v>
      </c>
    </row>
    <row r="20167">
      <c r="A20167" s="10" t="s">
        <v>21606</v>
      </c>
      <c r="B20167" s="7" t="str">
        <f>IFERROR(__xludf.DUMMYFUNCTION("SPLIT(A20167,"" "")"),"CC(C)N(Cc1ccccn1)c1ccc2nccc(-c3ccc(C(C)(C)C)cn3)c2c1")</f>
        <v>CC(C)N(Cc1ccccn1)c1ccc2nccc(-c3ccc(C(C)(C)C)cn3)c2c1</v>
      </c>
      <c r="C20167" s="7">
        <f>IFERROR(__xludf.DUMMYFUNCTION("""COMPUTED_VALUE"""),7.7099714)</f>
        <v>7.7099714</v>
      </c>
      <c r="D20167" s="7">
        <f>IFERROR(__xludf.DUMMYFUNCTION("""COMPUTED_VALUE"""),0.35593220338983)</f>
        <v>0.3559322034</v>
      </c>
    </row>
    <row r="20168">
      <c r="A20168" s="10" t="s">
        <v>21607</v>
      </c>
      <c r="B20168" s="7" t="str">
        <f>IFERROR(__xludf.DUMMYFUNCTION("SPLIT(A20168,"" "")"),"CN(CC1=CCC(N(C)c2ccc3cccnc3c2)=CN1)Cc1ccc2cccnc2c1")</f>
        <v>CN(CC1=CCC(N(C)c2ccc3cccnc3c2)=CN1)Cc1ccc2cccnc2c1</v>
      </c>
      <c r="C20168" s="7">
        <f>IFERROR(__xludf.DUMMYFUNCTION("""COMPUTED_VALUE"""),7.7099686)</f>
        <v>7.7099686</v>
      </c>
      <c r="D20168" s="7">
        <f>IFERROR(__xludf.DUMMYFUNCTION("""COMPUTED_VALUE"""),0.278688524590163)</f>
        <v>0.2786885246</v>
      </c>
    </row>
    <row r="20169">
      <c r="A20169" s="10" t="s">
        <v>21608</v>
      </c>
      <c r="B20169" s="7" t="str">
        <f>IFERROR(__xludf.DUMMYFUNCTION("SPLIT(A20169,"" "")"),"CNCc1ccc2cccc(N(C)CCN(C)c3ccc4nccc(CF)c4c3)c2n1")</f>
        <v>CNCc1ccc2cccc(N(C)CCN(C)c3ccc4nccc(CF)c4c3)c2n1</v>
      </c>
      <c r="C20169" s="7">
        <f>IFERROR(__xludf.DUMMYFUNCTION("""COMPUTED_VALUE"""),7.7099466)</f>
        <v>7.7099466</v>
      </c>
      <c r="D20169" s="7">
        <f>IFERROR(__xludf.DUMMYFUNCTION("""COMPUTED_VALUE"""),0.389830508474576)</f>
        <v>0.3898305085</v>
      </c>
    </row>
    <row r="20170">
      <c r="A20170" s="10" t="s">
        <v>21609</v>
      </c>
      <c r="B20170" s="7" t="str">
        <f>IFERROR(__xludf.DUMMYFUNCTION("SPLIT(A20170,"" "")"),"CN(C)Cc1cncc(-c2cc(NCc3ccccn3)c3cccnc3c2)c1")</f>
        <v>CN(C)Cc1cncc(-c2cc(NCc3ccccn3)c3cccnc3c2)c1</v>
      </c>
      <c r="C20170" s="7">
        <f>IFERROR(__xludf.DUMMYFUNCTION("""COMPUTED_VALUE"""),7.709935)</f>
        <v>7.709935</v>
      </c>
      <c r="D20170" s="7">
        <f>IFERROR(__xludf.DUMMYFUNCTION("""COMPUTED_VALUE"""),0.353846153846153)</f>
        <v>0.3538461538</v>
      </c>
    </row>
    <row r="20171">
      <c r="A20171" s="10" t="s">
        <v>21610</v>
      </c>
      <c r="B20171" s="7" t="str">
        <f>IFERROR(__xludf.DUMMYFUNCTION("SPLIT(A20171,"" "")"),"CNCc1ncccc1N(C)c1cccc2ncccc12")</f>
        <v>CNCc1ncccc1N(C)c1cccc2ncccc12</v>
      </c>
      <c r="C20171" s="7">
        <f>IFERROR(__xludf.DUMMYFUNCTION("""COMPUTED_VALUE"""),7.7099338)</f>
        <v>7.7099338</v>
      </c>
      <c r="D20171" s="7">
        <f>IFERROR(__xludf.DUMMYFUNCTION("""COMPUTED_VALUE"""),0.340425531914893)</f>
        <v>0.3404255319</v>
      </c>
    </row>
    <row r="20172">
      <c r="A20172" s="10" t="s">
        <v>21611</v>
      </c>
      <c r="B20172" s="7" t="str">
        <f>IFERROR(__xludf.DUMMYFUNCTION("SPLIT(A20172,"" "")"),"Cc1ccnc2ccc(N(CCN(C)c3ccc4ncccc4c3)Cc3ccccn3)cc12")</f>
        <v>Cc1ccnc2ccc(N(CCN(C)c3ccc4ncccc4c3)Cc3ccccn3)cc12</v>
      </c>
      <c r="C20172" s="7">
        <f>IFERROR(__xludf.DUMMYFUNCTION("""COMPUTED_VALUE"""),7.709932)</f>
        <v>7.709932</v>
      </c>
      <c r="D20172" s="7">
        <f>IFERROR(__xludf.DUMMYFUNCTION("""COMPUTED_VALUE"""),0.368421052631578)</f>
        <v>0.3684210526</v>
      </c>
    </row>
    <row r="20173">
      <c r="A20173" s="10" t="s">
        <v>21612</v>
      </c>
      <c r="B20173" s="7" t="str">
        <f>IFERROR(__xludf.DUMMYFUNCTION("SPLIT(A20173,"" "")"),"Cc1cc(C)c2cc(N(C)Cc3ccc(N(C)C(C)C)cn3)ccc2n1")</f>
        <v>Cc1cc(C)c2cc(N(C)Cc3ccc(N(C)C(C)C)cn3)ccc2n1</v>
      </c>
      <c r="C20173" s="7">
        <f>IFERROR(__xludf.DUMMYFUNCTION("""COMPUTED_VALUE"""),7.7098966)</f>
        <v>7.7098966</v>
      </c>
      <c r="D20173" s="7">
        <f>IFERROR(__xludf.DUMMYFUNCTION("""COMPUTED_VALUE"""),0.326923076923076)</f>
        <v>0.3269230769</v>
      </c>
    </row>
    <row r="20174">
      <c r="A20174" s="10" t="s">
        <v>21613</v>
      </c>
      <c r="B20174" s="7" t="str">
        <f>IFERROR(__xludf.DUMMYFUNCTION("SPLIT(A20174,"" "")"),"Cc1cccnc1-c1cccc(NCc2ccc(-c3cccc(N=Cc4ccccn4)c3)cn2)c1")</f>
        <v>Cc1cccnc1-c1cccc(NCc2ccc(-c3cccc(N=Cc4ccccn4)c3)cn2)c1</v>
      </c>
      <c r="C20174" s="7">
        <f>IFERROR(__xludf.DUMMYFUNCTION("""COMPUTED_VALUE"""),7.7098885)</f>
        <v>7.7098885</v>
      </c>
      <c r="D20174" s="7">
        <f>IFERROR(__xludf.DUMMYFUNCTION("""COMPUTED_VALUE"""),0.375)</f>
        <v>0.375</v>
      </c>
    </row>
    <row r="20175">
      <c r="A20175" s="10" t="s">
        <v>21614</v>
      </c>
      <c r="B20175" s="7" t="str">
        <f>IFERROR(__xludf.DUMMYFUNCTION("SPLIT(A20175,"" "")"),"Cc1cc(N=Cc2ccccn2)cc(-c2cc(C)cc(N=Cc3ccccn3)c2)c1")</f>
        <v>Cc1cc(N=Cc2ccccn2)cc(-c2cc(C)cc(N=Cc3ccccn3)c2)c1</v>
      </c>
      <c r="C20175" s="7">
        <f>IFERROR(__xludf.DUMMYFUNCTION("""COMPUTED_VALUE"""),7.7098594)</f>
        <v>7.7098594</v>
      </c>
      <c r="D20175" s="7">
        <f>IFERROR(__xludf.DUMMYFUNCTION("""COMPUTED_VALUE"""),0.5)</f>
        <v>0.5</v>
      </c>
    </row>
    <row r="20176">
      <c r="A20176" s="10" t="s">
        <v>21615</v>
      </c>
      <c r="B20176" s="7" t="str">
        <f>IFERROR(__xludf.DUMMYFUNCTION("SPLIT(A20176,"" "")"),"CN(Cc1cccnn1)C1=CNCC=C1N(C)c1ccc2cccnc2c1")</f>
        <v>CN(Cc1cccnn1)C1=CNCC=C1N(C)c1ccc2cccnc2c1</v>
      </c>
      <c r="C20176" s="7">
        <f>IFERROR(__xludf.DUMMYFUNCTION("""COMPUTED_VALUE"""),7.7098503)</f>
        <v>7.7098503</v>
      </c>
      <c r="D20176" s="7">
        <f>IFERROR(__xludf.DUMMYFUNCTION("""COMPUTED_VALUE"""),0.350877192982456)</f>
        <v>0.350877193</v>
      </c>
    </row>
    <row r="20177">
      <c r="A20177" s="10" t="s">
        <v>21616</v>
      </c>
      <c r="B20177" s="7" t="str">
        <f>IFERROR(__xludf.DUMMYFUNCTION("SPLIT(A20177,"" "")"),"CN(CCNc1ccc2ncccc2c1)c1ccc2ncccc2c1")</f>
        <v>CN(CCNc1ccc2ncccc2c1)c1ccc2ncccc2c1</v>
      </c>
      <c r="C20177" s="7">
        <f>IFERROR(__xludf.DUMMYFUNCTION("""COMPUTED_VALUE"""),7.709835)</f>
        <v>7.709835</v>
      </c>
      <c r="D20177" s="7">
        <f>IFERROR(__xludf.DUMMYFUNCTION("""COMPUTED_VALUE"""),0.361702127659574)</f>
        <v>0.3617021277</v>
      </c>
    </row>
    <row r="20178">
      <c r="A20178" s="10" t="s">
        <v>21617</v>
      </c>
      <c r="B20178" s="7" t="str">
        <f>IFERROR(__xludf.DUMMYFUNCTION("SPLIT(A20178,"" "")"),"CNC1C=C(N(C)c2cccc3cccnc23)C=CN1")</f>
        <v>CNC1C=C(N(C)c2cccc3cccnc23)C=CN1</v>
      </c>
      <c r="C20178" s="7">
        <f>IFERROR(__xludf.DUMMYFUNCTION("""COMPUTED_VALUE"""),7.709817)</f>
        <v>7.709817</v>
      </c>
      <c r="D20178" s="7">
        <f>IFERROR(__xludf.DUMMYFUNCTION("""COMPUTED_VALUE"""),0.448979591836734)</f>
        <v>0.4489795918</v>
      </c>
    </row>
    <row r="20179">
      <c r="A20179" s="10" t="s">
        <v>21618</v>
      </c>
      <c r="B20179" s="7" t="str">
        <f>IFERROR(__xludf.DUMMYFUNCTION("SPLIT(A20179,"" "")"),"CN(Cc1cccnn1)C1=CNCC=C1N(C)c1ccc2ncccc2c1")</f>
        <v>CN(Cc1cccnn1)C1=CNCC=C1N(C)c1ccc2ncccc2c1</v>
      </c>
      <c r="C20179" s="7">
        <f>IFERROR(__xludf.DUMMYFUNCTION("""COMPUTED_VALUE"""),7.7097936)</f>
        <v>7.7097936</v>
      </c>
      <c r="D20179" s="7">
        <f>IFERROR(__xludf.DUMMYFUNCTION("""COMPUTED_VALUE"""),0.357142857142857)</f>
        <v>0.3571428571</v>
      </c>
    </row>
    <row r="20180">
      <c r="A20180" s="10" t="s">
        <v>21619</v>
      </c>
      <c r="B20180" s="7" t="str">
        <f>IFERROR(__xludf.DUMMYFUNCTION("SPLIT(A20180,"" "")"),"CC(C)C(C)N(C)c1ccc2nccc(CN(C)c3ccc4ncccc4c3)c2c1")</f>
        <v>CC(C)C(C)N(C)c1ccc2nccc(CN(C)c3ccc4ncccc4c3)c2c1</v>
      </c>
      <c r="C20180" s="7">
        <f>IFERROR(__xludf.DUMMYFUNCTION("""COMPUTED_VALUE"""),7.7097874)</f>
        <v>7.7097874</v>
      </c>
      <c r="D20180" s="7">
        <f>IFERROR(__xludf.DUMMYFUNCTION("""COMPUTED_VALUE"""),0.298245614035087)</f>
        <v>0.298245614</v>
      </c>
    </row>
    <row r="20181">
      <c r="A20181" s="10" t="s">
        <v>21620</v>
      </c>
      <c r="B20181" s="7" t="str">
        <f>IFERROR(__xludf.DUMMYFUNCTION("SPLIT(A20181,"" "")"),"Cc1cccnc1CN(C)c1cc(N(C)Cc2ccccn2)c2ccc(CF)nc2c1")</f>
        <v>Cc1cccnc1CN(C)c1cc(N(C)Cc2ccccn2)c2ccc(CF)nc2c1</v>
      </c>
      <c r="C20181" s="7">
        <f>IFERROR(__xludf.DUMMYFUNCTION("""COMPUTED_VALUE"""),7.7097473)</f>
        <v>7.7097473</v>
      </c>
      <c r="D20181" s="7">
        <f>IFERROR(__xludf.DUMMYFUNCTION("""COMPUTED_VALUE"""),0.428571428571428)</f>
        <v>0.4285714286</v>
      </c>
    </row>
    <row r="20182">
      <c r="A20182" s="10" t="s">
        <v>21621</v>
      </c>
      <c r="B20182" s="7" t="str">
        <f>IFERROR(__xludf.DUMMYFUNCTION("SPLIT(A20182,"" "")"),"Cc1cccc(-c2cccc(NCc3ccc(-c4cccc(N(C)C)c4)cn3)c2)n1")</f>
        <v>Cc1cccc(-c2cccc(NCc3ccc(-c4cccc(N(C)C)c4)cn3)c2)n1</v>
      </c>
      <c r="C20182" s="7">
        <f>IFERROR(__xludf.DUMMYFUNCTION("""COMPUTED_VALUE"""),7.709742)</f>
        <v>7.709742</v>
      </c>
      <c r="D20182" s="7">
        <f>IFERROR(__xludf.DUMMYFUNCTION("""COMPUTED_VALUE"""),0.280701754385964)</f>
        <v>0.2807017544</v>
      </c>
    </row>
    <row r="20183">
      <c r="A20183" s="10" t="s">
        <v>21622</v>
      </c>
      <c r="B20183" s="7" t="str">
        <f>IFERROR(__xludf.DUMMYFUNCTION("SPLIT(A20183,"" "")"),"CN(c1ccc2cccnc2c1)c1ccc(Cl)c(Cl)c1N(Cc1ccccn1)Cc1ccccn1")</f>
        <v>CN(c1ccc2cccnc2c1)c1ccc(Cl)c(Cl)c1N(Cc1ccccn1)Cc1ccccn1</v>
      </c>
      <c r="C20183" s="7">
        <f>IFERROR(__xludf.DUMMYFUNCTION("""COMPUTED_VALUE"""),7.709734)</f>
        <v>7.709734</v>
      </c>
      <c r="D20183" s="7">
        <f>IFERROR(__xludf.DUMMYFUNCTION("""COMPUTED_VALUE"""),0.444444444444444)</f>
        <v>0.4444444444</v>
      </c>
    </row>
    <row r="20184">
      <c r="A20184" s="10" t="s">
        <v>21623</v>
      </c>
      <c r="B20184" s="7" t="str">
        <f>IFERROR(__xludf.DUMMYFUNCTION("SPLIT(A20184,"" "")"),"CCCN(Cc1ccccn1)c1c(N(C)Cc2ccc3cccnc3c2)cc2ncccc2c1C")</f>
        <v>CCCN(Cc1ccccn1)c1c(N(C)Cc2ccc3cccnc3c2)cc2ncccc2c1C</v>
      </c>
      <c r="C20184" s="7">
        <f>IFERROR(__xludf.DUMMYFUNCTION("""COMPUTED_VALUE"""),7.7097178)</f>
        <v>7.7097178</v>
      </c>
      <c r="D20184" s="7">
        <f>IFERROR(__xludf.DUMMYFUNCTION("""COMPUTED_VALUE"""),0.377049180327868)</f>
        <v>0.3770491803</v>
      </c>
    </row>
    <row r="20185">
      <c r="A20185" s="10" t="s">
        <v>21624</v>
      </c>
      <c r="B20185" s="7" t="str">
        <f>IFERROR(__xludf.DUMMYFUNCTION("SPLIT(A20185,"" "")"),"CN(CCN(C)C(C)(C)C)c1ccc2nc(-c3ccc4ncccc4c3)ccc2c1")</f>
        <v>CN(CCN(C)C(C)(C)C)c1ccc2nc(-c3ccc4ncccc4c3)ccc2c1</v>
      </c>
      <c r="C20185" s="7">
        <f>IFERROR(__xludf.DUMMYFUNCTION("""COMPUTED_VALUE"""),7.709701)</f>
        <v>7.709701</v>
      </c>
      <c r="D20185" s="7">
        <f>IFERROR(__xludf.DUMMYFUNCTION("""COMPUTED_VALUE"""),0.339622641509433)</f>
        <v>0.3396226415</v>
      </c>
    </row>
    <row r="20186">
      <c r="A20186" s="10" t="s">
        <v>21625</v>
      </c>
      <c r="B20186" s="7" t="str">
        <f>IFERROR(__xludf.DUMMYFUNCTION("SPLIT(A20186,"" "")"),"CN(CCN(Cc1ccccn1)c1cccc2ncccc12)c1cccc2ncccc12")</f>
        <v>CN(CCN(Cc1ccccn1)c1cccc2ncccc12)c1cccc2ncccc12</v>
      </c>
      <c r="C20186" s="7">
        <f>IFERROR(__xludf.DUMMYFUNCTION("""COMPUTED_VALUE"""),7.7096977)</f>
        <v>7.7096977</v>
      </c>
      <c r="D20186" s="7">
        <f>IFERROR(__xludf.DUMMYFUNCTION("""COMPUTED_VALUE"""),0.456521739130434)</f>
        <v>0.4565217391</v>
      </c>
    </row>
    <row r="20187">
      <c r="A20187" s="10" t="s">
        <v>21626</v>
      </c>
      <c r="B20187" s="7" t="str">
        <f>IFERROR(__xludf.DUMMYFUNCTION("SPLIT(A20187,"" "")"),"CN(Cc1ccc2c(n1)CCC2)Cc1ccc2cc(N(C)c3ccc4ncccc4c3)ccc2n1")</f>
        <v>CN(Cc1ccc2c(n1)CCC2)Cc1ccc2cc(N(C)c3ccc4ncccc4c3)ccc2n1</v>
      </c>
      <c r="C20187" s="7">
        <f>IFERROR(__xludf.DUMMYFUNCTION("""COMPUTED_VALUE"""),7.7096696)</f>
        <v>7.7096696</v>
      </c>
      <c r="D20187" s="7">
        <f>IFERROR(__xludf.DUMMYFUNCTION("""COMPUTED_VALUE"""),0.350877192982456)</f>
        <v>0.350877193</v>
      </c>
    </row>
    <row r="20188">
      <c r="A20188" s="10" t="s">
        <v>21627</v>
      </c>
      <c r="B20188" s="7" t="str">
        <f>IFERROR(__xludf.DUMMYFUNCTION("SPLIT(A20188,"" "")"),"CN(Cc1ccccn1)C1=CNC(CN(C)c2cc(N)ccc2N(C)c2cccc3ncccc23)=CC1")</f>
        <v>CN(Cc1ccccn1)C1=CNC(CN(C)c2cc(N)ccc2N(C)c2cccc3ncccc23)=CC1</v>
      </c>
      <c r="C20188" s="7">
        <f>IFERROR(__xludf.DUMMYFUNCTION("""COMPUTED_VALUE"""),7.709651)</f>
        <v>7.709651</v>
      </c>
      <c r="D20188" s="7">
        <f>IFERROR(__xludf.DUMMYFUNCTION("""COMPUTED_VALUE"""),0.378787878787878)</f>
        <v>0.3787878788</v>
      </c>
    </row>
    <row r="20189">
      <c r="A20189" s="10" t="s">
        <v>21628</v>
      </c>
      <c r="B20189" s="7" t="str">
        <f>IFERROR(__xludf.DUMMYFUNCTION("SPLIT(A20189,"" "")"),"CN(C)Cc1ccc2cc(N(C)CCN(C)c3ccc4nc(CF)ccc4c3)ccc2n1")</f>
        <v>CN(C)Cc1ccc2cc(N(C)CCN(C)c3ccc4nc(CF)ccc4c3)ccc2n1</v>
      </c>
      <c r="C20189" s="7">
        <f>IFERROR(__xludf.DUMMYFUNCTION("""COMPUTED_VALUE"""),7.7096467)</f>
        <v>7.7096467</v>
      </c>
      <c r="D20189" s="7">
        <f>IFERROR(__xludf.DUMMYFUNCTION("""COMPUTED_VALUE"""),0.357142857142857)</f>
        <v>0.3571428571</v>
      </c>
    </row>
    <row r="20190">
      <c r="A20190" s="10" t="s">
        <v>21629</v>
      </c>
      <c r="B20190" s="7" t="str">
        <f>IFERROR(__xludf.DUMMYFUNCTION("SPLIT(A20190,"" "")"),"CN(CCNc1ccc2cccnc2c1)c1ccc2ncccc2c1")</f>
        <v>CN(CCNc1ccc2cccnc2c1)c1ccc2ncccc2c1</v>
      </c>
      <c r="C20190" s="7">
        <f>IFERROR(__xludf.DUMMYFUNCTION("""COMPUTED_VALUE"""),7.7095885)</f>
        <v>7.7095885</v>
      </c>
      <c r="D20190" s="7">
        <f>IFERROR(__xludf.DUMMYFUNCTION("""COMPUTED_VALUE"""),0.34)</f>
        <v>0.34</v>
      </c>
    </row>
    <row r="20191">
      <c r="A20191" s="10" t="s">
        <v>21630</v>
      </c>
      <c r="B20191" s="7" t="str">
        <f>IFERROR(__xludf.DUMMYFUNCTION("SPLIT(A20191,"" "")"),"CC(C)N(Cc1ccccn1)c1ccc2nccc(C3=CCC=CN3)c2c1")</f>
        <v>CC(C)N(Cc1ccccn1)c1ccc2nccc(C3=CCC=CN3)c2c1</v>
      </c>
      <c r="C20191" s="7">
        <f>IFERROR(__xludf.DUMMYFUNCTION("""COMPUTED_VALUE"""),7.709547)</f>
        <v>7.709547</v>
      </c>
      <c r="D20191" s="7">
        <f>IFERROR(__xludf.DUMMYFUNCTION("""COMPUTED_VALUE"""),0.435483870967741)</f>
        <v>0.435483871</v>
      </c>
    </row>
    <row r="20192">
      <c r="A20192" s="10" t="s">
        <v>21631</v>
      </c>
      <c r="B20192" s="7" t="str">
        <f>IFERROR(__xludf.DUMMYFUNCTION("SPLIT(A20192,"" "")"),"CNC1C=CC=C(N(C)c2cccc3ncccc23)N1")</f>
        <v>CNC1C=CC=C(N(C)c2cccc3ncccc23)N1</v>
      </c>
      <c r="C20192" s="7">
        <f>IFERROR(__xludf.DUMMYFUNCTION("""COMPUTED_VALUE"""),7.709544)</f>
        <v>7.709544</v>
      </c>
      <c r="D20192" s="7">
        <f>IFERROR(__xludf.DUMMYFUNCTION("""COMPUTED_VALUE"""),0.293103448275862)</f>
        <v>0.2931034483</v>
      </c>
    </row>
    <row r="20193">
      <c r="A20193" s="10" t="s">
        <v>21632</v>
      </c>
      <c r="B20193" s="7" t="str">
        <f>IFERROR(__xludf.DUMMYFUNCTION("SPLIT(A20193,"" "")"),"CN(CCN(c1ccc2ncccc2c1)C(C)(C)c1ccccn1)c1cccc2ncccc12")</f>
        <v>CN(CCN(c1ccc2ncccc2c1)C(C)(C)c1ccccn1)c1cccc2ncccc12</v>
      </c>
      <c r="C20193" s="7">
        <f>IFERROR(__xludf.DUMMYFUNCTION("""COMPUTED_VALUE"""),7.709543)</f>
        <v>7.709543</v>
      </c>
      <c r="D20193" s="7">
        <f>IFERROR(__xludf.DUMMYFUNCTION("""COMPUTED_VALUE"""),0.425925925925925)</f>
        <v>0.4259259259</v>
      </c>
    </row>
    <row r="20194">
      <c r="A20194" s="10" t="s">
        <v>21633</v>
      </c>
      <c r="B20194" s="7" t="str">
        <f>IFERROR(__xludf.DUMMYFUNCTION("SPLIT(A20194,"" "")"),"CN(CCNc1ccc2ncccc2c1)c1ccc2cccnc2c1")</f>
        <v>CN(CCNc1ccc2ncccc2c1)c1ccc2cccnc2c1</v>
      </c>
      <c r="C20194" s="7">
        <f>IFERROR(__xludf.DUMMYFUNCTION("""COMPUTED_VALUE"""),7.709536)</f>
        <v>7.709536</v>
      </c>
      <c r="D20194" s="7">
        <f>IFERROR(__xludf.DUMMYFUNCTION("""COMPUTED_VALUE"""),0.34)</f>
        <v>0.34</v>
      </c>
    </row>
    <row r="20195">
      <c r="A20195" s="10" t="s">
        <v>21634</v>
      </c>
      <c r="B20195" s="7" t="str">
        <f>IFERROR(__xludf.DUMMYFUNCTION("SPLIT(A20195,"" "")"),"CNCc1cc(-c2cccc(-c3ccc(N(C)C)cc3)n2)ccn1")</f>
        <v>CNCc1cc(-c2cccc(-c3ccc(N(C)C)cc3)n2)ccn1</v>
      </c>
      <c r="C20195" s="7">
        <f>IFERROR(__xludf.DUMMYFUNCTION("""COMPUTED_VALUE"""),7.7095256)</f>
        <v>7.7095256</v>
      </c>
      <c r="D20195" s="7">
        <f>IFERROR(__xludf.DUMMYFUNCTION("""COMPUTED_VALUE"""),0.338983050847457)</f>
        <v>0.3389830508</v>
      </c>
    </row>
    <row r="20196">
      <c r="A20196" s="10" t="s">
        <v>21635</v>
      </c>
      <c r="B20196" s="7" t="str">
        <f>IFERROR(__xludf.DUMMYFUNCTION("SPLIT(A20196,"" "")"),"CNCc1cc(-c2cccc(-c3ccc(N=Cc4ccccn4)cc3)n2)ccn1")</f>
        <v>CNCc1cc(-c2cccc(-c3ccc(N=Cc4ccccn4)cc3)n2)ccn1</v>
      </c>
      <c r="C20196" s="7">
        <f>IFERROR(__xludf.DUMMYFUNCTION("""COMPUTED_VALUE"""),7.7095184)</f>
        <v>7.7095184</v>
      </c>
      <c r="D20196" s="7">
        <f>IFERROR(__xludf.DUMMYFUNCTION("""COMPUTED_VALUE"""),0.362068965517241)</f>
        <v>0.3620689655</v>
      </c>
    </row>
    <row r="20197">
      <c r="A20197" s="10" t="s">
        <v>21636</v>
      </c>
      <c r="B20197" s="7" t="str">
        <f>IFERROR(__xludf.DUMMYFUNCTION("SPLIT(A20197,"" "")"),"CN(C1=CCC=C(CN(Cc2cccc(-c3ccc4cccnc4c3)n2)Cc2cccc(C(C)(C)c3ccccn3)n2)N1)c1ccc2ncccc2c1")</f>
        <v>CN(C1=CCC=C(CN(Cc2cccc(-c3ccc4cccnc4c3)n2)Cc2cccc(C(C)(C)c3ccccn3)n2)N1)c1ccc2ncccc2c1</v>
      </c>
      <c r="C20197" s="7">
        <f>IFERROR(__xludf.DUMMYFUNCTION("""COMPUTED_VALUE"""),7.7094965)</f>
        <v>7.7094965</v>
      </c>
      <c r="D20197" s="7">
        <f>IFERROR(__xludf.DUMMYFUNCTION("""COMPUTED_VALUE"""),0.358024691358024)</f>
        <v>0.3580246914</v>
      </c>
    </row>
    <row r="20198">
      <c r="A20198" s="10" t="s">
        <v>21637</v>
      </c>
      <c r="B20198" s="7" t="str">
        <f>IFERROR(__xludf.DUMMYFUNCTION("SPLIT(A20198,"" "")"),"CN(Cc1cc(F)ccn1)c1ccc2cccnc2c1N(C)C1C=CC=CN1")</f>
        <v>CN(Cc1cc(F)ccn1)c1ccc2cccnc2c1N(C)C1C=CC=CN1</v>
      </c>
      <c r="C20198" s="7">
        <f>IFERROR(__xludf.DUMMYFUNCTION("""COMPUTED_VALUE"""),7.709474)</f>
        <v>7.709474</v>
      </c>
      <c r="D20198" s="7">
        <f>IFERROR(__xludf.DUMMYFUNCTION("""COMPUTED_VALUE"""),0.333333333333333)</f>
        <v>0.3333333333</v>
      </c>
    </row>
    <row r="20199">
      <c r="A20199" s="10" t="s">
        <v>21638</v>
      </c>
      <c r="B20199" s="7" t="str">
        <f>IFERROR(__xludf.DUMMYFUNCTION("SPLIT(A20199,"" "")"),"Cc1ccc(-c2cc(N=Cc3ccccn3)ccc2C)c(N=Cc2ccccn2)c1")</f>
        <v>Cc1ccc(-c2cc(N=Cc3ccccn3)ccc2C)c(N=Cc2ccccn2)c1</v>
      </c>
      <c r="C20199" s="7">
        <f>IFERROR(__xludf.DUMMYFUNCTION("""COMPUTED_VALUE"""),7.709459)</f>
        <v>7.709459</v>
      </c>
      <c r="D20199" s="7">
        <f>IFERROR(__xludf.DUMMYFUNCTION("""COMPUTED_VALUE"""),0.5)</f>
        <v>0.5</v>
      </c>
    </row>
    <row r="20200">
      <c r="A20200" s="10" t="s">
        <v>21639</v>
      </c>
      <c r="B20200" s="7" t="str">
        <f>IFERROR(__xludf.DUMMYFUNCTION("SPLIT(A20200,"" "")"),"Cc1ccc(CN(C)Cc2cccc(N(C)c3ccc4ncccc4c3)n2)nc1-c1ccccn1")</f>
        <v>Cc1ccc(CN(C)Cc2cccc(N(C)c3ccc4ncccc4c3)n2)nc1-c1ccccn1</v>
      </c>
      <c r="C20200" s="7">
        <f>IFERROR(__xludf.DUMMYFUNCTION("""COMPUTED_VALUE"""),7.709404)</f>
        <v>7.709404</v>
      </c>
      <c r="D20200" s="7">
        <f>IFERROR(__xludf.DUMMYFUNCTION("""COMPUTED_VALUE"""),0.456140350877192)</f>
        <v>0.4561403509</v>
      </c>
    </row>
    <row r="20201">
      <c r="A20201" s="10" t="s">
        <v>21640</v>
      </c>
      <c r="B20201" s="7" t="str">
        <f>IFERROR(__xludf.DUMMYFUNCTION("SPLIT(A20201,"" "")"),"Cc1cnc(CN(C)c2ccc3ncccc3c2)c(C)c1")</f>
        <v>Cc1cnc(CN(C)c2ccc3ncccc3c2)c(C)c1</v>
      </c>
      <c r="C20201" s="7">
        <f>IFERROR(__xludf.DUMMYFUNCTION("""COMPUTED_VALUE"""),7.709397)</f>
        <v>7.709397</v>
      </c>
      <c r="D20201" s="7">
        <f>IFERROR(__xludf.DUMMYFUNCTION("""COMPUTED_VALUE"""),0.32)</f>
        <v>0.32</v>
      </c>
    </row>
    <row r="20202">
      <c r="A20202" s="10" t="s">
        <v>21641</v>
      </c>
      <c r="B20202" s="7" t="str">
        <f>IFERROR(__xludf.DUMMYFUNCTION("SPLIT(A20202,"" "")"),"Cc1cc(N=Cc2ccccn2)cc(-c2ccc(C)c(N=Cc3ccccn3)c2)c1")</f>
        <v>Cc1cc(N=Cc2ccccn2)cc(-c2ccc(C)c(N=Cc3ccccn3)c2)c1</v>
      </c>
      <c r="C20202" s="7">
        <f>IFERROR(__xludf.DUMMYFUNCTION("""COMPUTED_VALUE"""),7.709388)</f>
        <v>7.709388</v>
      </c>
      <c r="D20202" s="7">
        <f>IFERROR(__xludf.DUMMYFUNCTION("""COMPUTED_VALUE"""),0.5)</f>
        <v>0.5</v>
      </c>
    </row>
    <row r="20203">
      <c r="A20203" s="10" t="s">
        <v>21642</v>
      </c>
      <c r="B20203" s="7" t="str">
        <f>IFERROR(__xludf.DUMMYFUNCTION("SPLIT(A20203,"" "")"),"Cc1ccc(N=Cc2ccccn2)c(-c2cc(N=Cc3ccccn3)ccc2C)c1")</f>
        <v>Cc1ccc(N=Cc2ccccn2)c(-c2cc(N=Cc3ccccn3)ccc2C)c1</v>
      </c>
      <c r="C20203" s="7">
        <f>IFERROR(__xludf.DUMMYFUNCTION("""COMPUTED_VALUE"""),7.70938)</f>
        <v>7.70938</v>
      </c>
      <c r="D20203" s="7">
        <f>IFERROR(__xludf.DUMMYFUNCTION("""COMPUTED_VALUE"""),0.5)</f>
        <v>0.5</v>
      </c>
    </row>
    <row r="20204">
      <c r="A20204" s="10" t="s">
        <v>21643</v>
      </c>
      <c r="B20204" s="7" t="str">
        <f>IFERROR(__xludf.DUMMYFUNCTION("SPLIT(A20204,"" "")"),"CNCc1cc(-c2cccc(-c3ccccc3N=Cc3ccccn3)n2)ccn1")</f>
        <v>CNCc1cc(-c2cccc(-c3ccccc3N=Cc3ccccn3)n2)ccn1</v>
      </c>
      <c r="C20204" s="7">
        <f>IFERROR(__xludf.DUMMYFUNCTION("""COMPUTED_VALUE"""),7.709294)</f>
        <v>7.709294</v>
      </c>
      <c r="D20204" s="7">
        <f>IFERROR(__xludf.DUMMYFUNCTION("""COMPUTED_VALUE"""),0.421052631578947)</f>
        <v>0.4210526316</v>
      </c>
    </row>
    <row r="20205">
      <c r="A20205" s="10" t="s">
        <v>21644</v>
      </c>
      <c r="B20205" s="7" t="str">
        <f>IFERROR(__xludf.DUMMYFUNCTION("SPLIT(A20205,"" "")"),"FCc1cc2c(N(Cc3ccccn3)Cc3ncccc3-c3ccccc3N=Cc3ccccn3)cccc2cn1")</f>
        <v>FCc1cc2c(N(Cc3ccccn3)Cc3ncccc3-c3ccccc3N=Cc3ccccn3)cccc2cn1</v>
      </c>
      <c r="C20205" s="7">
        <f>IFERROR(__xludf.DUMMYFUNCTION("""COMPUTED_VALUE"""),7.709277)</f>
        <v>7.709277</v>
      </c>
      <c r="D20205" s="7">
        <f>IFERROR(__xludf.DUMMYFUNCTION("""COMPUTED_VALUE"""),0.348484848484848)</f>
        <v>0.3484848485</v>
      </c>
    </row>
    <row r="20206">
      <c r="A20206" s="10" t="s">
        <v>21645</v>
      </c>
      <c r="B20206" s="7" t="str">
        <f>IFERROR(__xludf.DUMMYFUNCTION("SPLIT(A20206,"" "")"),"Cc1cc(C)c(CN(C)c2ccc3nccc(CN(C)C)c3c2)nc1C")</f>
        <v>Cc1cc(C)c(CN(C)c2ccc3nccc(CN(C)C)c3c2)nc1C</v>
      </c>
      <c r="C20206" s="7">
        <f>IFERROR(__xludf.DUMMYFUNCTION("""COMPUTED_VALUE"""),7.709252)</f>
        <v>7.709252</v>
      </c>
      <c r="D20206" s="7">
        <f>IFERROR(__xludf.DUMMYFUNCTION("""COMPUTED_VALUE"""),0.220338983050847)</f>
        <v>0.2203389831</v>
      </c>
    </row>
    <row r="20207">
      <c r="A20207" s="10" t="s">
        <v>21646</v>
      </c>
      <c r="B20207" s="7" t="str">
        <f>IFERROR(__xludf.DUMMYFUNCTION("SPLIT(A20207,"" "")"),"CN(C)Cc1cccnc1N(C)c1ccc2cccnc2c1")</f>
        <v>CN(C)Cc1cccnc1N(C)c1ccc2cccnc2c1</v>
      </c>
      <c r="C20207" s="7">
        <f>IFERROR(__xludf.DUMMYFUNCTION("""COMPUTED_VALUE"""),7.709237)</f>
        <v>7.709237</v>
      </c>
      <c r="D20207" s="7">
        <f>IFERROR(__xludf.DUMMYFUNCTION("""COMPUTED_VALUE"""),0.375)</f>
        <v>0.375</v>
      </c>
    </row>
    <row r="20208">
      <c r="A20208" s="10" t="s">
        <v>21647</v>
      </c>
      <c r="B20208" s="7" t="str">
        <f>IFERROR(__xludf.DUMMYFUNCTION("SPLIT(A20208,"" "")"),"CN(CCNc1ccc2cccnc2c1)c1ccc2cccnc2c1")</f>
        <v>CN(CCNc1ccc2cccnc2c1)c1ccc2cccnc2c1</v>
      </c>
      <c r="C20208" s="7">
        <f>IFERROR(__xludf.DUMMYFUNCTION("""COMPUTED_VALUE"""),7.709215)</f>
        <v>7.709215</v>
      </c>
      <c r="D20208" s="7">
        <f>IFERROR(__xludf.DUMMYFUNCTION("""COMPUTED_VALUE"""),0.354166666666666)</f>
        <v>0.3541666667</v>
      </c>
    </row>
    <row r="20209">
      <c r="A20209" s="10" t="s">
        <v>21648</v>
      </c>
      <c r="B20209" s="7" t="str">
        <f>IFERROR(__xludf.DUMMYFUNCTION("SPLIT(A20209,"" "")"),"CCN(Cc1ccccn1)Cc1ccc2cccc(N(C)Cc3cc(-c4ccc5ncccc5c4)ccn3)c2n1")</f>
        <v>CCN(Cc1ccccn1)Cc1ccc2cccc(N(C)Cc3cc(-c4ccc5ncccc5c4)ccn3)c2n1</v>
      </c>
      <c r="C20209" s="7">
        <f>IFERROR(__xludf.DUMMYFUNCTION("""COMPUTED_VALUE"""),7.7091947)</f>
        <v>7.7091947</v>
      </c>
      <c r="D20209" s="7">
        <f>IFERROR(__xludf.DUMMYFUNCTION("""COMPUTED_VALUE"""),0.40983606557377)</f>
        <v>0.4098360656</v>
      </c>
    </row>
    <row r="20210">
      <c r="A20210" s="10" t="s">
        <v>21649</v>
      </c>
      <c r="B20210" s="7" t="str">
        <f>IFERROR(__xludf.DUMMYFUNCTION("SPLIT(A20210,"" "")"),"CCN(Cc1cccc(-c2ccc(N=Cc3ccccn3)cc2)n1)c1cccnc1CN(C)c1ccc2ncccc2c1")</f>
        <v>CCN(Cc1cccc(-c2ccc(N=Cc3ccccn3)cc2)n1)c1cccnc1CN(C)c1ccc2ncccc2c1</v>
      </c>
      <c r="C20210" s="7">
        <f>IFERROR(__xludf.DUMMYFUNCTION("""COMPUTED_VALUE"""),7.7091913)</f>
        <v>7.7091913</v>
      </c>
      <c r="D20210" s="7">
        <f>IFERROR(__xludf.DUMMYFUNCTION("""COMPUTED_VALUE"""),0.315068493150684)</f>
        <v>0.3150684932</v>
      </c>
    </row>
    <row r="20211">
      <c r="A20211" s="10" t="s">
        <v>21650</v>
      </c>
      <c r="B20211" s="7" t="str">
        <f>IFERROR(__xludf.DUMMYFUNCTION("SPLIT(A20211,"" "")"),"CN(Cc1ccc2ccccc2n1)Cc1nc2ccccc2n1C")</f>
        <v>CN(Cc1ccc2ccccc2n1)Cc1nc2ccccc2n1C</v>
      </c>
      <c r="C20211" s="7">
        <f>IFERROR(__xludf.DUMMYFUNCTION("""COMPUTED_VALUE"""),7.7091823)</f>
        <v>7.7091823</v>
      </c>
      <c r="D20211" s="7">
        <f>IFERROR(__xludf.DUMMYFUNCTION("""COMPUTED_VALUE"""),0.5)</f>
        <v>0.5</v>
      </c>
    </row>
    <row r="20212">
      <c r="A20212" s="10" t="s">
        <v>21651</v>
      </c>
      <c r="B20212" s="7" t="str">
        <f>IFERROR(__xludf.DUMMYFUNCTION("SPLIT(A20212,"" "")"),"CN(C)c1ccc2nc(CF)ccc2c1")</f>
        <v>CN(C)c1ccc2nc(CF)ccc2c1</v>
      </c>
      <c r="C20212" s="7">
        <f>IFERROR(__xludf.DUMMYFUNCTION("""COMPUTED_VALUE"""),7.709157)</f>
        <v>7.709157</v>
      </c>
      <c r="D20212" s="7">
        <f>IFERROR(__xludf.DUMMYFUNCTION("""COMPUTED_VALUE"""),0.354166666666666)</f>
        <v>0.3541666667</v>
      </c>
    </row>
    <row r="20213">
      <c r="A20213" s="10" t="s">
        <v>21652</v>
      </c>
      <c r="B20213" s="7" t="str">
        <f>IFERROR(__xludf.DUMMYFUNCTION("SPLIT(A20213,"" "")"),"Cc1cnc2ccc(N(C)CCCN(C)c3cccc4ncccc34)cc2c1")</f>
        <v>Cc1cnc2ccc(N(C)CCCN(C)c3cccc4ncccc34)cc2c1</v>
      </c>
      <c r="C20213" s="7">
        <f>IFERROR(__xludf.DUMMYFUNCTION("""COMPUTED_VALUE"""),7.709138)</f>
        <v>7.709138</v>
      </c>
      <c r="D20213" s="7">
        <f>IFERROR(__xludf.DUMMYFUNCTION("""COMPUTED_VALUE"""),0.461538461538461)</f>
        <v>0.4615384615</v>
      </c>
    </row>
    <row r="20214">
      <c r="A20214" s="10" t="s">
        <v>21653</v>
      </c>
      <c r="B20214" s="7" t="str">
        <f>IFERROR(__xludf.DUMMYFUNCTION("SPLIT(A20214,"" "")"),"CC(C)N(Cc1ccccn1)c1ccc2c(-c3ccc(C(C)(C)C)cn3)ccnc2c1")</f>
        <v>CC(C)N(Cc1ccccn1)c1ccc2c(-c3ccc(C(C)(C)C)cn3)ccnc2c1</v>
      </c>
      <c r="C20214" s="7">
        <f>IFERROR(__xludf.DUMMYFUNCTION("""COMPUTED_VALUE"""),7.70913)</f>
        <v>7.70913</v>
      </c>
      <c r="D20214" s="7">
        <f>IFERROR(__xludf.DUMMYFUNCTION("""COMPUTED_VALUE"""),0.35593220338983)</f>
        <v>0.3559322034</v>
      </c>
    </row>
    <row r="20215">
      <c r="A20215" s="10" t="s">
        <v>21654</v>
      </c>
      <c r="B20215" s="7" t="str">
        <f>IFERROR(__xludf.DUMMYFUNCTION("SPLIT(A20215,"" "")"),"Cc1ccc2nccc(C)c2c1")</f>
        <v>Cc1ccc2nccc(C)c2c1</v>
      </c>
      <c r="C20215" s="7">
        <f>IFERROR(__xludf.DUMMYFUNCTION("""COMPUTED_VALUE"""),7.709056)</f>
        <v>7.709056</v>
      </c>
      <c r="D20215" s="7">
        <f>IFERROR(__xludf.DUMMYFUNCTION("""COMPUTED_VALUE"""),0.292682926829268)</f>
        <v>0.2926829268</v>
      </c>
    </row>
    <row r="20216">
      <c r="A20216" s="10" t="s">
        <v>21655</v>
      </c>
      <c r="B20216" s="7" t="str">
        <f>IFERROR(__xludf.DUMMYFUNCTION("SPLIT(A20216,"" "")"),"CN(C1=CCC=CN1)C1=CCC=C(CN(C)c2ccc3cccnc3c2)N1")</f>
        <v>CN(C1=CCC=CN1)C1=CCC=C(CN(C)c2ccc3cccnc3c2)N1</v>
      </c>
      <c r="C20216" s="7">
        <f>IFERROR(__xludf.DUMMYFUNCTION("""COMPUTED_VALUE"""),7.7089667)</f>
        <v>7.7089667</v>
      </c>
      <c r="D20216" s="7">
        <f>IFERROR(__xludf.DUMMYFUNCTION("""COMPUTED_VALUE"""),0.359375)</f>
        <v>0.359375</v>
      </c>
    </row>
    <row r="20217">
      <c r="A20217" s="10" t="s">
        <v>21656</v>
      </c>
      <c r="B20217" s="7" t="str">
        <f>IFERROR(__xludf.DUMMYFUNCTION("SPLIT(A20217,"" "")"),"Cn1cnc(-c2ccccn2)c1")</f>
        <v>Cn1cnc(-c2ccccn2)c1</v>
      </c>
      <c r="C20217" s="7">
        <f>IFERROR(__xludf.DUMMYFUNCTION("""COMPUTED_VALUE"""),7.7089596)</f>
        <v>7.7089596</v>
      </c>
      <c r="D20217" s="7">
        <f>IFERROR(__xludf.DUMMYFUNCTION("""COMPUTED_VALUE"""),0.365853658536585)</f>
        <v>0.3658536585</v>
      </c>
    </row>
    <row r="20218">
      <c r="A20218" s="10" t="s">
        <v>21657</v>
      </c>
      <c r="B20218" s="7" t="str">
        <f>IFERROR(__xludf.DUMMYFUNCTION("SPLIT(A20218,"" "")"),"Cc1ccc2c(N(C)Cc3cncc(C)c3C)cccc2n1")</f>
        <v>Cc1ccc2c(N(C)Cc3cncc(C)c3C)cccc2n1</v>
      </c>
      <c r="C20218" s="7">
        <f>IFERROR(__xludf.DUMMYFUNCTION("""COMPUTED_VALUE"""),7.7089477)</f>
        <v>7.7089477</v>
      </c>
      <c r="D20218" s="7">
        <f>IFERROR(__xludf.DUMMYFUNCTION("""COMPUTED_VALUE"""),0.313725490196078)</f>
        <v>0.3137254902</v>
      </c>
    </row>
    <row r="20219">
      <c r="A20219" s="10" t="s">
        <v>21658</v>
      </c>
      <c r="B20219" s="7" t="str">
        <f>IFERROR(__xludf.DUMMYFUNCTION("SPLIT(A20219,"" "")"),"Cc1ccc(N(C)Cc2cccc(N(C)c3ccc4nc(CF)ccc4c3)n2)c(C)c1")</f>
        <v>Cc1ccc(N(C)Cc2cccc(N(C)c3ccc4nc(CF)ccc4c3)n2)c(C)c1</v>
      </c>
      <c r="C20219" s="7">
        <f>IFERROR(__xludf.DUMMYFUNCTION("""COMPUTED_VALUE"""),7.708924)</f>
        <v>7.708924</v>
      </c>
      <c r="D20219" s="7">
        <f>IFERROR(__xludf.DUMMYFUNCTION("""COMPUTED_VALUE"""),0.31578947368421)</f>
        <v>0.3157894737</v>
      </c>
    </row>
    <row r="20220">
      <c r="A20220" s="10" t="s">
        <v>21659</v>
      </c>
      <c r="B20220" s="7" t="str">
        <f>IFERROR(__xludf.DUMMYFUNCTION("SPLIT(A20220,"" "")"),"Cc1cc(N=Cc2ccccn2)cc(-c2cc(N=Cc3ccccn3)ccc2C)c1")</f>
        <v>Cc1cc(N=Cc2ccccn2)cc(-c2cc(N=Cc3ccccn3)ccc2C)c1</v>
      </c>
      <c r="C20220" s="7">
        <f>IFERROR(__xludf.DUMMYFUNCTION("""COMPUTED_VALUE"""),7.7088842)</f>
        <v>7.7088842</v>
      </c>
      <c r="D20220" s="7">
        <f>IFERROR(__xludf.DUMMYFUNCTION("""COMPUTED_VALUE"""),0.448979591836734)</f>
        <v>0.4489795918</v>
      </c>
    </row>
    <row r="20221">
      <c r="A20221" s="10" t="s">
        <v>21660</v>
      </c>
      <c r="B20221" s="7" t="str">
        <f>IFERROR(__xludf.DUMMYFUNCTION("SPLIT(A20221,"" "")"),"Cc1ccc2nccc(CN(C)CCN(C)c3ccc4nccc(C)c4c3)c2c1")</f>
        <v>Cc1ccc2nccc(CN(C)CCN(C)c3ccc4nccc(C)c4c3)c2c1</v>
      </c>
      <c r="C20221" s="7">
        <f>IFERROR(__xludf.DUMMYFUNCTION("""COMPUTED_VALUE"""),7.708858)</f>
        <v>7.708858</v>
      </c>
      <c r="D20221" s="7">
        <f>IFERROR(__xludf.DUMMYFUNCTION("""COMPUTED_VALUE"""),0.333333333333333)</f>
        <v>0.3333333333</v>
      </c>
    </row>
    <row r="20222">
      <c r="A20222" s="10" t="s">
        <v>21661</v>
      </c>
      <c r="B20222" s="7" t="str">
        <f>IFERROR(__xludf.DUMMYFUNCTION("SPLIT(A20222,"" "")"),"Cc1ccc(N=Cc2ccccn2)c(-c2ccc(N=Cc3ccccn3)cc2C)c1")</f>
        <v>Cc1ccc(N=Cc2ccccn2)c(-c2ccc(N=Cc3ccccn3)cc2C)c1</v>
      </c>
      <c r="C20222" s="7">
        <f>IFERROR(__xludf.DUMMYFUNCTION("""COMPUTED_VALUE"""),7.7088566)</f>
        <v>7.7088566</v>
      </c>
      <c r="D20222" s="7">
        <f>IFERROR(__xludf.DUMMYFUNCTION("""COMPUTED_VALUE"""),0.5)</f>
        <v>0.5</v>
      </c>
    </row>
    <row r="20223">
      <c r="A20223" s="10" t="s">
        <v>21662</v>
      </c>
      <c r="B20223" s="7" t="str">
        <f>IFERROR(__xludf.DUMMYFUNCTION("SPLIT(A20223,"" "")"),"Cc1cncc(CN(C)c2cc(N(C)C(C)(c3cccnc3)c3ccccn3)c3cccnc3c2)c1")</f>
        <v>Cc1cncc(CN(C)c2cc(N(C)C(C)(c3cccnc3)c3ccccn3)c3cccnc3c2)c1</v>
      </c>
      <c r="C20223" s="7">
        <f>IFERROR(__xludf.DUMMYFUNCTION("""COMPUTED_VALUE"""),7.708854)</f>
        <v>7.708854</v>
      </c>
      <c r="D20223" s="7">
        <f>IFERROR(__xludf.DUMMYFUNCTION("""COMPUTED_VALUE"""),0.283582089552238)</f>
        <v>0.2835820896</v>
      </c>
    </row>
    <row r="20224">
      <c r="A20224" s="10" t="s">
        <v>21663</v>
      </c>
      <c r="B20224" s="7" t="str">
        <f>IFERROR(__xludf.DUMMYFUNCTION("SPLIT(A20224,"" "")"),"Cc1ccc2c(C)ccnc2c1")</f>
        <v>Cc1ccc2c(C)ccnc2c1</v>
      </c>
      <c r="C20224" s="7">
        <f>IFERROR(__xludf.DUMMYFUNCTION("""COMPUTED_VALUE"""),7.708802)</f>
        <v>7.708802</v>
      </c>
      <c r="D20224" s="7">
        <f>IFERROR(__xludf.DUMMYFUNCTION("""COMPUTED_VALUE"""),0.292682926829268)</f>
        <v>0.2926829268</v>
      </c>
    </row>
    <row r="20225">
      <c r="A20225" s="10" t="s">
        <v>21664</v>
      </c>
      <c r="B20225" s="7" t="str">
        <f>IFERROR(__xludf.DUMMYFUNCTION("SPLIT(A20225,"" "")"),"CN(Cc1cccnn1)c1cccc2ncccc12")</f>
        <v>CN(Cc1cccnn1)c1cccc2ncccc12</v>
      </c>
      <c r="C20225" s="7">
        <f>IFERROR(__xludf.DUMMYFUNCTION("""COMPUTED_VALUE"""),7.708746)</f>
        <v>7.708746</v>
      </c>
      <c r="D20225" s="7">
        <f>IFERROR(__xludf.DUMMYFUNCTION("""COMPUTED_VALUE"""),0.48780487804878)</f>
        <v>0.487804878</v>
      </c>
    </row>
    <row r="20226">
      <c r="A20226" s="10" t="s">
        <v>21665</v>
      </c>
      <c r="B20226" s="7" t="str">
        <f>IFERROR(__xludf.DUMMYFUNCTION("SPLIT(A20226,"" "")"),"Cc1cc(N=Cc2ccccn2)cc(-c2ccc(N=Cc3ccccn3)cc2C)c1")</f>
        <v>Cc1cc(N=Cc2ccccn2)cc(-c2ccc(N=Cc3ccccn3)cc2C)c1</v>
      </c>
      <c r="C20226" s="7">
        <f>IFERROR(__xludf.DUMMYFUNCTION("""COMPUTED_VALUE"""),7.708727)</f>
        <v>7.708727</v>
      </c>
      <c r="D20226" s="7">
        <f>IFERROR(__xludf.DUMMYFUNCTION("""COMPUTED_VALUE"""),0.448979591836734)</f>
        <v>0.4489795918</v>
      </c>
    </row>
    <row r="20227">
      <c r="A20227" s="10" t="s">
        <v>21666</v>
      </c>
      <c r="B20227" s="7" t="str">
        <f>IFERROR(__xludf.DUMMYFUNCTION("SPLIT(A20227,"" "")"),"Cc1cnc(-c2cccc(NCc3ccc(-c4cccc(N=Cc5ccccn5)c4)cn3)c2)c(C)c1")</f>
        <v>Cc1cnc(-c2cccc(NCc3ccc(-c4cccc(N=Cc5ccccn5)c4)cn3)c2)c(C)c1</v>
      </c>
      <c r="C20227" s="7">
        <f>IFERROR(__xludf.DUMMYFUNCTION("""COMPUTED_VALUE"""),7.7087235)</f>
        <v>7.7087235</v>
      </c>
      <c r="D20227" s="7">
        <f>IFERROR(__xludf.DUMMYFUNCTION("""COMPUTED_VALUE"""),0.343283582089552)</f>
        <v>0.3432835821</v>
      </c>
    </row>
    <row r="20228">
      <c r="A20228" s="10" t="s">
        <v>21667</v>
      </c>
      <c r="B20228" s="7" t="str">
        <f>IFERROR(__xludf.DUMMYFUNCTION("SPLIT(A20228,"" "")"),"Cc1c(-c2ccccc2N=Cc2ccccn2)ccnc1-c1cccc(NCc2ccccn2)c1")</f>
        <v>Cc1c(-c2ccccc2N=Cc2ccccn2)ccnc1-c1cccc(NCc2ccccn2)c1</v>
      </c>
      <c r="C20228" s="7">
        <f>IFERROR(__xludf.DUMMYFUNCTION("""COMPUTED_VALUE"""),7.7086983)</f>
        <v>7.7086983</v>
      </c>
      <c r="D20228" s="7">
        <f>IFERROR(__xludf.DUMMYFUNCTION("""COMPUTED_VALUE"""),0.40983606557377)</f>
        <v>0.4098360656</v>
      </c>
    </row>
    <row r="20229">
      <c r="A20229" s="10" t="s">
        <v>21668</v>
      </c>
      <c r="B20229" s="7" t="str">
        <f>IFERROR(__xludf.DUMMYFUNCTION("SPLIT(A20229,"" "")"),"Cc1ccc(-c2ccc(N=Cc3ccccn3)cc2C)cc1N=Cc1ccccn1")</f>
        <v>Cc1ccc(-c2ccc(N=Cc3ccccn3)cc2C)cc1N=Cc1ccccn1</v>
      </c>
      <c r="C20229" s="7">
        <f>IFERROR(__xludf.DUMMYFUNCTION("""COMPUTED_VALUE"""),7.7086954)</f>
        <v>7.7086954</v>
      </c>
      <c r="D20229" s="7">
        <f>IFERROR(__xludf.DUMMYFUNCTION("""COMPUTED_VALUE"""),0.5)</f>
        <v>0.5</v>
      </c>
    </row>
    <row r="20230">
      <c r="A20230" s="10" t="s">
        <v>21669</v>
      </c>
      <c r="B20230" s="7" t="str">
        <f>IFERROR(__xludf.DUMMYFUNCTION("SPLIT(A20230,"" "")"),"CC(C)CN(Cc1ccccn1)c1ccc2nccc(-c3cccc(N(C)C)c3)c2c1")</f>
        <v>CC(C)CN(Cc1ccccn1)c1ccc2nccc(-c3cccc(N(C)C)c3)c2c1</v>
      </c>
      <c r="C20230" s="7">
        <f>IFERROR(__xludf.DUMMYFUNCTION("""COMPUTED_VALUE"""),7.7086906)</f>
        <v>7.7086906</v>
      </c>
      <c r="D20230" s="7">
        <f>IFERROR(__xludf.DUMMYFUNCTION("""COMPUTED_VALUE"""),0.338983050847457)</f>
        <v>0.3389830508</v>
      </c>
    </row>
    <row r="20231">
      <c r="A20231" s="10" t="s">
        <v>21670</v>
      </c>
      <c r="B20231" s="7" t="str">
        <f>IFERROR(__xludf.DUMMYFUNCTION("SPLIT(A20231,"" "")"),"CC(C)C(C)(c1cccnc1)c1cccc(CN(Cc2ccc(-c3ccc4ncccc4c3)cn2)Cc2cc(-c3cccc(N(C)c4ccc5ncccc5c4)c3)ccn2)n1")</f>
        <v>CC(C)C(C)(c1cccnc1)c1cccc(CN(Cc2ccc(-c3ccc4ncccc4c3)cn2)Cc2cc(-c3cccc(N(C)c4ccc5ncccc5c4)c3)ccn2)n1</v>
      </c>
      <c r="C20231" s="7">
        <f>IFERROR(__xludf.DUMMYFUNCTION("""COMPUTED_VALUE"""),7.70864)</f>
        <v>7.70864</v>
      </c>
      <c r="D20231" s="7">
        <f>IFERROR(__xludf.DUMMYFUNCTION("""COMPUTED_VALUE"""),0.294871794871794)</f>
        <v>0.2948717949</v>
      </c>
    </row>
    <row r="20232">
      <c r="A20232" s="10" t="s">
        <v>21671</v>
      </c>
      <c r="B20232" s="7" t="str">
        <f>IFERROR(__xludf.DUMMYFUNCTION("SPLIT(A20232,"" "")"),"CNc1ccc(CN(C)c2ccc3cccnc3c2)cn1")</f>
        <v>CNc1ccc(CN(C)c2ccc3cccnc3c2)cn1</v>
      </c>
      <c r="C20232" s="7">
        <f>IFERROR(__xludf.DUMMYFUNCTION("""COMPUTED_VALUE"""),7.7086244)</f>
        <v>7.7086244</v>
      </c>
      <c r="D20232" s="7">
        <f>IFERROR(__xludf.DUMMYFUNCTION("""COMPUTED_VALUE"""),0.309090909090909)</f>
        <v>0.3090909091</v>
      </c>
    </row>
    <row r="20233">
      <c r="A20233" s="10" t="s">
        <v>21672</v>
      </c>
      <c r="B20233" s="7" t="str">
        <f>IFERROR(__xludf.DUMMYFUNCTION("SPLIT(A20233,"" "")"),"CN(C)C1=CCC=C(CN(C)c2ccc3cccnc3c2)N1")</f>
        <v>CN(C)C1=CCC=C(CN(C)c2ccc3cccnc3c2)N1</v>
      </c>
      <c r="C20233" s="7">
        <f>IFERROR(__xludf.DUMMYFUNCTION("""COMPUTED_VALUE"""),7.7085686)</f>
        <v>7.7085686</v>
      </c>
      <c r="D20233" s="7">
        <f>IFERROR(__xludf.DUMMYFUNCTION("""COMPUTED_VALUE"""),0.298245614035087)</f>
        <v>0.298245614</v>
      </c>
    </row>
    <row r="20234">
      <c r="A20234" s="10" t="s">
        <v>21673</v>
      </c>
      <c r="B20234" s="7" t="str">
        <f>IFERROR(__xludf.DUMMYFUNCTION("SPLIT(A20234,"" "")"),"Cc1nc2c(cc(N(C)C3CCC(N(C)c4ccc5nc6c(cc5c4)CCC6)CC3)c3c4c(cnc32)CCC4)c(C)c1C")</f>
        <v>Cc1nc2c(cc(N(C)C3CCC(N(C)c4ccc5nc6c(cc5c4)CCC6)CC3)c3c4c(cnc32)CCC4)c(C)c1C</v>
      </c>
      <c r="C20234" s="7">
        <f>IFERROR(__xludf.DUMMYFUNCTION("""COMPUTED_VALUE"""),7.7085414)</f>
        <v>7.7085414</v>
      </c>
      <c r="D20234" s="7">
        <f>IFERROR(__xludf.DUMMYFUNCTION("""COMPUTED_VALUE"""),0.351351351351351)</f>
        <v>0.3513513514</v>
      </c>
    </row>
    <row r="20235">
      <c r="A20235" s="10" t="s">
        <v>21674</v>
      </c>
      <c r="B20235" s="7" t="str">
        <f>IFERROR(__xludf.DUMMYFUNCTION("SPLIT(A20235,"" "")"),"CC(C)N(CCN(C)c1cccc2ncccc12)c1ccc2ncccc2c1")</f>
        <v>CC(C)N(CCN(C)c1cccc2ncccc12)c1ccc2ncccc2c1</v>
      </c>
      <c r="C20235" s="7">
        <f>IFERROR(__xludf.DUMMYFUNCTION("""COMPUTED_VALUE"""),7.7085214)</f>
        <v>7.7085214</v>
      </c>
      <c r="D20235" s="7">
        <f>IFERROR(__xludf.DUMMYFUNCTION("""COMPUTED_VALUE"""),0.479166666666666)</f>
        <v>0.4791666667</v>
      </c>
    </row>
    <row r="20236">
      <c r="A20236" s="10" t="s">
        <v>21675</v>
      </c>
      <c r="B20236" s="7" t="str">
        <f>IFERROR(__xludf.DUMMYFUNCTION("SPLIT(A20236,"" "")"),"Cc1cc(N(Cc2ccccn2)Cc2ncccc2N(C)C)cc2ncccc12")</f>
        <v>Cc1cc(N(Cc2ccccn2)Cc2ncccc2N(C)C)cc2ncccc12</v>
      </c>
      <c r="C20236" s="7">
        <f>IFERROR(__xludf.DUMMYFUNCTION("""COMPUTED_VALUE"""),7.708505)</f>
        <v>7.708505</v>
      </c>
      <c r="D20236" s="7">
        <f>IFERROR(__xludf.DUMMYFUNCTION("""COMPUTED_VALUE"""),0.396226415094339)</f>
        <v>0.3962264151</v>
      </c>
    </row>
    <row r="20237">
      <c r="A20237" s="10" t="s">
        <v>21676</v>
      </c>
      <c r="B20237" s="7" t="str">
        <f>IFERROR(__xludf.DUMMYFUNCTION("SPLIT(A20237,"" "")"),"CN(c1ccc2nc(CF)ccc2c1)C1CCC(N(C)c2ccc3nc(-c4ccc5cccnc5c4)ccc3c2)CC1")</f>
        <v>CN(c1ccc2nc(CF)ccc2c1)C1CCC(N(C)c2ccc3nc(-c4ccc5cccnc5c4)ccc3c2)CC1</v>
      </c>
      <c r="C20237" s="7">
        <f>IFERROR(__xludf.DUMMYFUNCTION("""COMPUTED_VALUE"""),7.7084837)</f>
        <v>7.7084837</v>
      </c>
      <c r="D20237" s="7">
        <f>IFERROR(__xludf.DUMMYFUNCTION("""COMPUTED_VALUE"""),0.359375)</f>
        <v>0.359375</v>
      </c>
    </row>
    <row r="20238">
      <c r="A20238" s="10" t="s">
        <v>21677</v>
      </c>
      <c r="B20238" s="7" t="str">
        <f>IFERROR(__xludf.DUMMYFUNCTION("SPLIT(A20238,"" "")"),"Cc1cnccc1-c1cccc(NCc2ncccc2-c2cccc(N=Cc3ccccn3)c2)c1")</f>
        <v>Cc1cnccc1-c1cccc(NCc2ncccc2-c2cccc(N=Cc3ccccn3)c2)c1</v>
      </c>
      <c r="C20238" s="7">
        <f>IFERROR(__xludf.DUMMYFUNCTION("""COMPUTED_VALUE"""),7.708474)</f>
        <v>7.708474</v>
      </c>
      <c r="D20238" s="7">
        <f>IFERROR(__xludf.DUMMYFUNCTION("""COMPUTED_VALUE"""),0.353846153846153)</f>
        <v>0.3538461538</v>
      </c>
    </row>
    <row r="20239">
      <c r="A20239" s="10" t="s">
        <v>21678</v>
      </c>
      <c r="B20239" s="7" t="str">
        <f>IFERROR(__xludf.DUMMYFUNCTION("SPLIT(A20239,"" "")"),"CN(C)C1=CCC=C(CN(C)c2ccc3ncccc3c2)N1")</f>
        <v>CN(C)C1=CCC=C(CN(C)c2ccc3ncccc3c2)N1</v>
      </c>
      <c r="C20239" s="7">
        <f>IFERROR(__xludf.DUMMYFUNCTION("""COMPUTED_VALUE"""),7.708472)</f>
        <v>7.708472</v>
      </c>
      <c r="D20239" s="7">
        <f>IFERROR(__xludf.DUMMYFUNCTION("""COMPUTED_VALUE"""),0.296296296296296)</f>
        <v>0.2962962963</v>
      </c>
    </row>
    <row r="20240">
      <c r="A20240" s="10" t="s">
        <v>21679</v>
      </c>
      <c r="B20240" s="7" t="str">
        <f>IFERROR(__xludf.DUMMYFUNCTION("SPLIT(A20240,"" "")"),"CC(c1ccccn1)(c1ccccn1)c1cccnc1-c1cccnc1N1C=CCC=C1")</f>
        <v>CC(c1ccccn1)(c1ccccn1)c1cccnc1-c1cccnc1N1C=CCC=C1</v>
      </c>
      <c r="C20240" s="7">
        <f>IFERROR(__xludf.DUMMYFUNCTION("""COMPUTED_VALUE"""),7.7084694)</f>
        <v>7.7084694</v>
      </c>
      <c r="D20240" s="7">
        <f>IFERROR(__xludf.DUMMYFUNCTION("""COMPUTED_VALUE"""),0.377358490566037)</f>
        <v>0.3773584906</v>
      </c>
    </row>
    <row r="20241">
      <c r="A20241" s="10" t="s">
        <v>21680</v>
      </c>
      <c r="B20241" s="7" t="str">
        <f>IFERROR(__xludf.DUMMYFUNCTION("SPLIT(A20241,"" "")"),"Cc1cc(C)c(CN(C)c2ccc(C)c(N(C)Cc3ccc4cccnc4c3)c2C)nc1C")</f>
        <v>Cc1cc(C)c(CN(C)c2ccc(C)c(N(C)Cc3ccc4cccnc4c3)c2C)nc1C</v>
      </c>
      <c r="C20241" s="7">
        <f>IFERROR(__xludf.DUMMYFUNCTION("""COMPUTED_VALUE"""),7.7084665)</f>
        <v>7.7084665</v>
      </c>
      <c r="D20241" s="7">
        <f>IFERROR(__xludf.DUMMYFUNCTION("""COMPUTED_VALUE"""),0.283333333333333)</f>
        <v>0.2833333333</v>
      </c>
    </row>
    <row r="20242">
      <c r="A20242" s="10" t="s">
        <v>21681</v>
      </c>
      <c r="B20242" s="7" t="str">
        <f>IFERROR(__xludf.DUMMYFUNCTION("SPLIT(A20242,"" "")"),"CN(C)Cc1cc2ccc(N(C)CCN(C)c3ccc4ccc(CF)nc4c3)cc2cn1")</f>
        <v>CN(C)Cc1cc2ccc(N(C)CCN(C)c3ccc4ccc(CF)nc4c3)cc2cn1</v>
      </c>
      <c r="C20242" s="7">
        <f>IFERROR(__xludf.DUMMYFUNCTION("""COMPUTED_VALUE"""),7.7084575)</f>
        <v>7.7084575</v>
      </c>
      <c r="D20242" s="7">
        <f>IFERROR(__xludf.DUMMYFUNCTION("""COMPUTED_VALUE"""),0.313725490196078)</f>
        <v>0.3137254902</v>
      </c>
    </row>
    <row r="20243">
      <c r="A20243" s="10" t="s">
        <v>21682</v>
      </c>
      <c r="B20243" s="7" t="str">
        <f>IFERROR(__xludf.DUMMYFUNCTION("SPLIT(A20243,"" "")"),"CCN(Cc1ccccn1)c1cc2ncccc2c(N(C)Cc2ccon2)c1C")</f>
        <v>CCN(Cc1ccccn1)c1cc2ncccc2c(N(C)Cc2ccon2)c1C</v>
      </c>
      <c r="C20243" s="7">
        <f>IFERROR(__xludf.DUMMYFUNCTION("""COMPUTED_VALUE"""),7.7084346)</f>
        <v>7.7084346</v>
      </c>
      <c r="D20243" s="7">
        <f>IFERROR(__xludf.DUMMYFUNCTION("""COMPUTED_VALUE"""),0.389830508474576)</f>
        <v>0.3898305085</v>
      </c>
    </row>
    <row r="20244">
      <c r="A20244" s="10" t="s">
        <v>21683</v>
      </c>
      <c r="B20244" s="7" t="str">
        <f>IFERROR(__xludf.DUMMYFUNCTION("SPLIT(A20244,"" "")"),"CNC1=CNCC(N(C)c2ccc3ncccc3c2)=C1N(C)Cc1cc(C)ccn1")</f>
        <v>CNC1=CNCC(N(C)c2ccc3ncccc3c2)=C1N(C)Cc1cc(C)ccn1</v>
      </c>
      <c r="C20244" s="7">
        <f>IFERROR(__xludf.DUMMYFUNCTION("""COMPUTED_VALUE"""),7.7084193)</f>
        <v>7.7084193</v>
      </c>
      <c r="D20244" s="7">
        <f>IFERROR(__xludf.DUMMYFUNCTION("""COMPUTED_VALUE"""),0.264705882352941)</f>
        <v>0.2647058824</v>
      </c>
    </row>
    <row r="20245">
      <c r="A20245" s="10" t="s">
        <v>21684</v>
      </c>
      <c r="B20245" s="7" t="str">
        <f>IFERROR(__xludf.DUMMYFUNCTION("SPLIT(A20245,"" "")"),"CN(C)C1=C(Nc2cccc(-c3ccccn3)n2)C=CNC1")</f>
        <v>CN(C)C1=C(Nc2cccc(-c3ccccn3)n2)C=CNC1</v>
      </c>
      <c r="C20245" s="7">
        <f>IFERROR(__xludf.DUMMYFUNCTION("""COMPUTED_VALUE"""),7.7084165)</f>
        <v>7.7084165</v>
      </c>
      <c r="D20245" s="7">
        <f>IFERROR(__xludf.DUMMYFUNCTION("""COMPUTED_VALUE"""),0.396226415094339)</f>
        <v>0.3962264151</v>
      </c>
    </row>
    <row r="20246">
      <c r="A20246" s="10" t="s">
        <v>21685</v>
      </c>
      <c r="B20246" s="7" t="str">
        <f>IFERROR(__xludf.DUMMYFUNCTION("SPLIT(A20246,"" "")"),"Cc1ccc2ncccc2c1N(C)CC1=CCC=CN1")</f>
        <v>Cc1ccc2ncccc2c1N(C)CC1=CCC=CN1</v>
      </c>
      <c r="C20246" s="7">
        <f>IFERROR(__xludf.DUMMYFUNCTION("""COMPUTED_VALUE"""),7.7084117)</f>
        <v>7.7084117</v>
      </c>
      <c r="D20246" s="7">
        <f>IFERROR(__xludf.DUMMYFUNCTION("""COMPUTED_VALUE"""),0.462962962962962)</f>
        <v>0.462962963</v>
      </c>
    </row>
    <row r="20247">
      <c r="A20247" s="10" t="s">
        <v>21686</v>
      </c>
      <c r="B20247" s="7" t="str">
        <f>IFERROR(__xludf.DUMMYFUNCTION("SPLIT(A20247,"" "")"),"Cc1cc(-c2cc(N=Cc3ccccn3)ccc2C)ccc1N=Cc1ccccn1")</f>
        <v>Cc1cc(-c2cc(N=Cc3ccccn3)ccc2C)ccc1N=Cc1ccccn1</v>
      </c>
      <c r="C20247" s="7">
        <f>IFERROR(__xludf.DUMMYFUNCTION("""COMPUTED_VALUE"""),7.7083726)</f>
        <v>7.7083726</v>
      </c>
      <c r="D20247" s="7">
        <f>IFERROR(__xludf.DUMMYFUNCTION("""COMPUTED_VALUE"""),0.5)</f>
        <v>0.5</v>
      </c>
    </row>
    <row r="20248">
      <c r="A20248" s="10" t="s">
        <v>21687</v>
      </c>
      <c r="B20248" s="7" t="str">
        <f>IFERROR(__xludf.DUMMYFUNCTION("SPLIT(A20248,"" "")"),"Cc1cc2ncccc2cc1N(C)Cc1ncccc1N")</f>
        <v>Cc1cc2ncccc2cc1N(C)Cc1ncccc1N</v>
      </c>
      <c r="C20248" s="7">
        <f>IFERROR(__xludf.DUMMYFUNCTION("""COMPUTED_VALUE"""),7.7083516)</f>
        <v>7.7083516</v>
      </c>
      <c r="D20248" s="7">
        <f>IFERROR(__xludf.DUMMYFUNCTION("""COMPUTED_VALUE"""),0.346938775510204)</f>
        <v>0.3469387755</v>
      </c>
    </row>
    <row r="20249">
      <c r="A20249" s="10" t="s">
        <v>21688</v>
      </c>
      <c r="B20249" s="7" t="str">
        <f>IFERROR(__xludf.DUMMYFUNCTION("SPLIT(A20249,"" "")"),"CN(CC1=CCC=C(N(C)c2ccc3cccnc3c2)N1)Cc1ccc2cccnc2c1")</f>
        <v>CN(CC1=CCC=C(N(C)c2ccc3cccnc3c2)N1)Cc1ccc2cccnc2c1</v>
      </c>
      <c r="C20249" s="7">
        <f>IFERROR(__xludf.DUMMYFUNCTION("""COMPUTED_VALUE"""),7.7083044)</f>
        <v>7.7083044</v>
      </c>
      <c r="D20249" s="7">
        <f>IFERROR(__xludf.DUMMYFUNCTION("""COMPUTED_VALUE"""),0.278688524590163)</f>
        <v>0.2786885246</v>
      </c>
    </row>
    <row r="20250">
      <c r="A20250" s="10" t="s">
        <v>21689</v>
      </c>
      <c r="B20250" s="7" t="str">
        <f>IFERROR(__xludf.DUMMYFUNCTION("SPLIT(A20250,"" "")"),"CCN(Cc1ccccn1)c1ccc2nc(CN(C)c3ccc4ncccc4c3)ccc2c1")</f>
        <v>CCN(Cc1ccccn1)c1ccc2nc(CN(C)c3ccc4ncccc4c3)ccc2c1</v>
      </c>
      <c r="C20250" s="7">
        <f>IFERROR(__xludf.DUMMYFUNCTION("""COMPUTED_VALUE"""),7.7082915)</f>
        <v>7.7082915</v>
      </c>
      <c r="D20250" s="7">
        <f>IFERROR(__xludf.DUMMYFUNCTION("""COMPUTED_VALUE"""),0.490196078431372)</f>
        <v>0.4901960784</v>
      </c>
    </row>
    <row r="20251">
      <c r="A20251" s="10" t="s">
        <v>21690</v>
      </c>
      <c r="B20251" s="7" t="str">
        <f>IFERROR(__xludf.DUMMYFUNCTION("SPLIT(A20251,"" "")"),"CN(c1ccc2nc(CF)ccc2c1)C1CCC(N(C)c2ccc3nc(-c4ccc5ncccc5c4)ccc3c2)CC1")</f>
        <v>CN(c1ccc2nc(CF)ccc2c1)C1CCC(N(C)c2ccc3nc(-c4ccc5ncccc5c4)ccc3c2)CC1</v>
      </c>
      <c r="C20251" s="7">
        <f>IFERROR(__xludf.DUMMYFUNCTION("""COMPUTED_VALUE"""),7.7082844)</f>
        <v>7.7082844</v>
      </c>
      <c r="D20251" s="7">
        <f>IFERROR(__xludf.DUMMYFUNCTION("""COMPUTED_VALUE"""),0.365079365079365)</f>
        <v>0.3650793651</v>
      </c>
    </row>
    <row r="20252">
      <c r="A20252" s="10" t="s">
        <v>21691</v>
      </c>
      <c r="B20252" s="7" t="str">
        <f>IFERROR(__xludf.DUMMYFUNCTION("SPLIT(A20252,"" "")"),"CN(CN(C)c1ccc2cccnc2c1)CN(C)c1ccc2cccnc2c1")</f>
        <v>CN(CN(C)c1ccc2cccnc2c1)CN(C)c1ccc2cccnc2c1</v>
      </c>
      <c r="C20252" s="7">
        <f>IFERROR(__xludf.DUMMYFUNCTION("""COMPUTED_VALUE"""),7.7082553)</f>
        <v>7.7082553</v>
      </c>
      <c r="D20252" s="7">
        <f>IFERROR(__xludf.DUMMYFUNCTION("""COMPUTED_VALUE"""),0.38095238095238)</f>
        <v>0.380952381</v>
      </c>
    </row>
    <row r="20253">
      <c r="A20253" s="10" t="s">
        <v>21692</v>
      </c>
      <c r="B20253" s="7" t="str">
        <f>IFERROR(__xludf.DUMMYFUNCTION("SPLIT(A20253,"" "")"),"CN(C)c1ccccc1-c1cccnc1CN(Cc1ccccn1)c1cccc2ccnc(CF)c12")</f>
        <v>CN(C)c1ccccc1-c1cccnc1CN(Cc1ccccn1)c1cccc2ccnc(CF)c12</v>
      </c>
      <c r="C20253" s="7">
        <f>IFERROR(__xludf.DUMMYFUNCTION("""COMPUTED_VALUE"""),7.708247)</f>
        <v>7.708247</v>
      </c>
      <c r="D20253" s="7">
        <f>IFERROR(__xludf.DUMMYFUNCTION("""COMPUTED_VALUE"""),0.372881355932203)</f>
        <v>0.3728813559</v>
      </c>
    </row>
    <row r="20254">
      <c r="A20254" s="10" t="s">
        <v>21693</v>
      </c>
      <c r="B20254" s="7" t="str">
        <f>IFERROR(__xludf.DUMMYFUNCTION("SPLIT(A20254,"" "")"),"C1=CNC(c2cccc(-c3ccccn3)n2)=CC1")</f>
        <v>C1=CNC(c2cccc(-c3ccccn3)n2)=CC1</v>
      </c>
      <c r="C20254" s="7">
        <f>IFERROR(__xludf.DUMMYFUNCTION("""COMPUTED_VALUE"""),7.708243)</f>
        <v>7.708243</v>
      </c>
      <c r="D20254" s="7">
        <f>IFERROR(__xludf.DUMMYFUNCTION("""COMPUTED_VALUE"""),0.416666666666666)</f>
        <v>0.4166666667</v>
      </c>
    </row>
    <row r="20255">
      <c r="A20255" s="10" t="s">
        <v>21694</v>
      </c>
      <c r="B20255" s="7" t="str">
        <f>IFERROR(__xludf.DUMMYFUNCTION("SPLIT(A20255,"" "")"),"Cc1c(-c2ncccc2C(c2ccccn2)c2ccccn2)ccnc1NC1=CC=CCN1")</f>
        <v>Cc1c(-c2ncccc2C(c2ccccn2)c2ccccn2)ccnc1NC1=CC=CCN1</v>
      </c>
      <c r="C20255" s="7">
        <f>IFERROR(__xludf.DUMMYFUNCTION("""COMPUTED_VALUE"""),7.7082124)</f>
        <v>7.7082124</v>
      </c>
      <c r="D20255" s="7">
        <f>IFERROR(__xludf.DUMMYFUNCTION("""COMPUTED_VALUE"""),0.231884057971014)</f>
        <v>0.231884058</v>
      </c>
    </row>
    <row r="20256">
      <c r="A20256" s="10" t="s">
        <v>21695</v>
      </c>
      <c r="B20256" s="7" t="str">
        <f>IFERROR(__xludf.DUMMYFUNCTION("SPLIT(A20256,"" "")"),"CN(CCN(C)c1ccc2nc(CF)ccc2c1)c1ccc2ncccc2c1")</f>
        <v>CN(CCN(C)c1ccc2nc(CF)ccc2c1)c1ccc2ncccc2c1</v>
      </c>
      <c r="C20256" s="7">
        <f>IFERROR(__xludf.DUMMYFUNCTION("""COMPUTED_VALUE"""),7.7081246)</f>
        <v>7.7081246</v>
      </c>
      <c r="D20256" s="7">
        <f>IFERROR(__xludf.DUMMYFUNCTION("""COMPUTED_VALUE"""),0.391304347826087)</f>
        <v>0.3913043478</v>
      </c>
    </row>
    <row r="20257">
      <c r="A20257" s="10" t="s">
        <v>21696</v>
      </c>
      <c r="B20257" s="7" t="str">
        <f>IFERROR(__xludf.DUMMYFUNCTION("SPLIT(A20257,"" "")"),"CN(CCNc1cccc2cccnc12)c1ccc2ncccc2c1")</f>
        <v>CN(CCNc1cccc2cccnc12)c1ccc2ncccc2c1</v>
      </c>
      <c r="C20257" s="7">
        <f>IFERROR(__xludf.DUMMYFUNCTION("""COMPUTED_VALUE"""),7.7081213)</f>
        <v>7.7081213</v>
      </c>
      <c r="D20257" s="7">
        <f>IFERROR(__xludf.DUMMYFUNCTION("""COMPUTED_VALUE"""),0.446808510638297)</f>
        <v>0.4468085106</v>
      </c>
    </row>
    <row r="20258">
      <c r="A20258" s="10" t="s">
        <v>21697</v>
      </c>
      <c r="B20258" s="7" t="str">
        <f>IFERROR(__xludf.DUMMYFUNCTION("SPLIT(A20258,"" "")"),"Cc1cc(N(C)Cc2ncccc2C)c2cccnc2c1")</f>
        <v>Cc1cc(N(C)Cc2ncccc2C)c2cccnc2c1</v>
      </c>
      <c r="C20258" s="7">
        <f>IFERROR(__xludf.DUMMYFUNCTION("""COMPUTED_VALUE"""),7.7080936)</f>
        <v>7.7080936</v>
      </c>
      <c r="D20258" s="7">
        <f>IFERROR(__xludf.DUMMYFUNCTION("""COMPUTED_VALUE"""),0.346938775510204)</f>
        <v>0.3469387755</v>
      </c>
    </row>
    <row r="20259">
      <c r="A20259" s="10" t="s">
        <v>21698</v>
      </c>
      <c r="B20259" s="7" t="str">
        <f>IFERROR(__xludf.DUMMYFUNCTION("SPLIT(A20259,"" "")"),"CC(C)N(Cc1cc(-c2cccc(N(C)C)c2)ccn1)Cc1ncccc1-c1ccc2ncccc2c1")</f>
        <v>CC(C)N(Cc1cc(-c2cccc(N(C)C)c2)ccn1)Cc1ncccc1-c1ccc2ncccc2c1</v>
      </c>
      <c r="C20259" s="7">
        <f>IFERROR(__xludf.DUMMYFUNCTION("""COMPUTED_VALUE"""),7.7080407)</f>
        <v>7.7080407</v>
      </c>
      <c r="D20259" s="7">
        <f>IFERROR(__xludf.DUMMYFUNCTION("""COMPUTED_VALUE"""),0.333333333333333)</f>
        <v>0.3333333333</v>
      </c>
    </row>
    <row r="20260">
      <c r="A20260" s="10" t="s">
        <v>21699</v>
      </c>
      <c r="B20260" s="7" t="str">
        <f>IFERROR(__xludf.DUMMYFUNCTION("SPLIT(A20260,"" "")"),"CN(Cc1cc(-c2ccc3ncccc3c2)ccn1)Cc1cc(N(C)C)ccn1")</f>
        <v>CN(Cc1cc(-c2ccc3ncccc3c2)ccn1)Cc1cc(N(C)C)ccn1</v>
      </c>
      <c r="C20260" s="7">
        <f>IFERROR(__xludf.DUMMYFUNCTION("""COMPUTED_VALUE"""),7.7080207)</f>
        <v>7.7080207</v>
      </c>
      <c r="D20260" s="7">
        <f>IFERROR(__xludf.DUMMYFUNCTION("""COMPUTED_VALUE"""),0.365384615384615)</f>
        <v>0.3653846154</v>
      </c>
    </row>
    <row r="20261">
      <c r="A20261" s="10" t="s">
        <v>21700</v>
      </c>
      <c r="B20261" s="7" t="str">
        <f>IFERROR(__xludf.DUMMYFUNCTION("SPLIT(A20261,"" "")"),"c1cncc(CN(Cc2ccc3ncccc3c2)c2ccc3ncccc3c2)c1")</f>
        <v>c1cncc(CN(Cc2ccc3ncccc3c2)c2ccc3ncccc3c2)c1</v>
      </c>
      <c r="C20261" s="7">
        <f>IFERROR(__xludf.DUMMYFUNCTION("""COMPUTED_VALUE"""),7.708)</f>
        <v>7.708</v>
      </c>
      <c r="D20261" s="7">
        <f>IFERROR(__xludf.DUMMYFUNCTION("""COMPUTED_VALUE"""),0.269230769230769)</f>
        <v>0.2692307692</v>
      </c>
    </row>
    <row r="20262">
      <c r="A20262" s="10" t="s">
        <v>21701</v>
      </c>
      <c r="B20262" s="7" t="str">
        <f>IFERROR(__xludf.DUMMYFUNCTION("SPLIT(A20262,"" "")"),"CN(C)c1ccc2ncc(CF)cc2c1")</f>
        <v>CN(C)c1ccc2ncc(CF)cc2c1</v>
      </c>
      <c r="C20262" s="7">
        <f>IFERROR(__xludf.DUMMYFUNCTION("""COMPUTED_VALUE"""),7.70798)</f>
        <v>7.70798</v>
      </c>
      <c r="D20262" s="7">
        <f>IFERROR(__xludf.DUMMYFUNCTION("""COMPUTED_VALUE"""),0.244444444444444)</f>
        <v>0.2444444444</v>
      </c>
    </row>
    <row r="20263">
      <c r="A20263" s="10" t="s">
        <v>21702</v>
      </c>
      <c r="B20263" s="7" t="str">
        <f>IFERROR(__xludf.DUMMYFUNCTION("SPLIT(A20263,"" "")"),"CN(CCN(C)c1ccc2cccnc2c1)c1ccc2nc(CF)ccc2c1")</f>
        <v>CN(CCN(C)c1ccc2cccnc2c1)c1ccc2nc(CF)ccc2c1</v>
      </c>
      <c r="C20263" s="7">
        <f>IFERROR(__xludf.DUMMYFUNCTION("""COMPUTED_VALUE"""),7.7079062)</f>
        <v>7.7079062</v>
      </c>
      <c r="D20263" s="7">
        <f>IFERROR(__xludf.DUMMYFUNCTION("""COMPUTED_VALUE"""),0.387755102040816)</f>
        <v>0.387755102</v>
      </c>
    </row>
    <row r="20264">
      <c r="A20264" s="10" t="s">
        <v>21703</v>
      </c>
      <c r="B20264" s="7" t="str">
        <f>IFERROR(__xludf.DUMMYFUNCTION("SPLIT(A20264,"" "")"),"c1ccc2cc(CN(Cc3nccc4ccccc34)Cc3ccnc4ccccc34)ncc2c1")</f>
        <v>c1ccc2cc(CN(Cc3nccc4ccccc34)Cc3ccnc4ccccc34)ncc2c1</v>
      </c>
      <c r="C20264" s="7">
        <f>IFERROR(__xludf.DUMMYFUNCTION("""COMPUTED_VALUE"""),7.707895)</f>
        <v>7.707895</v>
      </c>
      <c r="D20264" s="7">
        <f>IFERROR(__xludf.DUMMYFUNCTION("""COMPUTED_VALUE"""),0.351851851851851)</f>
        <v>0.3518518519</v>
      </c>
    </row>
    <row r="20265">
      <c r="A20265" s="10" t="s">
        <v>21704</v>
      </c>
      <c r="B20265" s="7" t="str">
        <f>IFERROR(__xludf.DUMMYFUNCTION("SPLIT(A20265,"" "")"),"Cc1cc(N=Cc2ccccn2)ccc1-c1cc(N=Cc2ccccn2)ccc1C")</f>
        <v>Cc1cc(N=Cc2ccccn2)ccc1-c1cc(N=Cc2ccccn2)ccc1C</v>
      </c>
      <c r="C20265" s="7">
        <f>IFERROR(__xludf.DUMMYFUNCTION("""COMPUTED_VALUE"""),7.70789)</f>
        <v>7.70789</v>
      </c>
      <c r="D20265" s="7">
        <f>IFERROR(__xludf.DUMMYFUNCTION("""COMPUTED_VALUE"""),0.488888888888888)</f>
        <v>0.4888888889</v>
      </c>
    </row>
    <row r="20266">
      <c r="A20266" s="10" t="s">
        <v>21705</v>
      </c>
      <c r="B20266" s="7" t="str">
        <f>IFERROR(__xludf.DUMMYFUNCTION("SPLIT(A20266,"" "")"),"CN(C)c1ccc2ccc(CF)nc2c1")</f>
        <v>CN(C)c1ccc2ccc(CF)nc2c1</v>
      </c>
      <c r="C20266" s="7">
        <f>IFERROR(__xludf.DUMMYFUNCTION("""COMPUTED_VALUE"""),7.707871)</f>
        <v>7.707871</v>
      </c>
      <c r="D20266" s="7">
        <f>IFERROR(__xludf.DUMMYFUNCTION("""COMPUTED_VALUE"""),0.361702127659574)</f>
        <v>0.3617021277</v>
      </c>
    </row>
    <row r="20267">
      <c r="A20267" s="10" t="s">
        <v>21706</v>
      </c>
      <c r="B20267" s="7" t="str">
        <f>IFERROR(__xludf.DUMMYFUNCTION("SPLIT(A20267,"" "")"),"Cc1c(CN(C)c2ccc3ncccc3c2)ccnc1-c1cccc(NCc2ccccn2)c1")</f>
        <v>Cc1c(CN(C)c2ccc3ncccc3c2)ccnc1-c1cccc(NCc2ccccn2)c1</v>
      </c>
      <c r="C20267" s="7">
        <f>IFERROR(__xludf.DUMMYFUNCTION("""COMPUTED_VALUE"""),7.7078657)</f>
        <v>7.7078657</v>
      </c>
      <c r="D20267" s="7">
        <f>IFERROR(__xludf.DUMMYFUNCTION("""COMPUTED_VALUE"""),0.338028169014084)</f>
        <v>0.338028169</v>
      </c>
    </row>
    <row r="20268">
      <c r="A20268" s="10" t="s">
        <v>21707</v>
      </c>
      <c r="B20268" s="7" t="str">
        <f>IFERROR(__xludf.DUMMYFUNCTION("SPLIT(A20268,"" "")"),"Cc1ccccc1N(C)CC1=CCC(N(C)c2ccc3nccc(C)c3c2)=CN1")</f>
        <v>Cc1ccccc1N(C)CC1=CCC(N(C)c2ccc3nccc(C)c3c2)=CN1</v>
      </c>
      <c r="C20268" s="7">
        <f>IFERROR(__xludf.DUMMYFUNCTION("""COMPUTED_VALUE"""),7.707845)</f>
        <v>7.707845</v>
      </c>
      <c r="D20268" s="7">
        <f>IFERROR(__xludf.DUMMYFUNCTION("""COMPUTED_VALUE"""),0.261538461538461)</f>
        <v>0.2615384615</v>
      </c>
    </row>
    <row r="20269">
      <c r="A20269" s="10" t="s">
        <v>21708</v>
      </c>
      <c r="B20269" s="7" t="str">
        <f>IFERROR(__xludf.DUMMYFUNCTION("SPLIT(A20269,"" "")"),"CCN(Cc1ccccn1)c1ccc2nccc(CN(C)Cc3ncccc3-c3ccc4ncccc4c3)c2c1")</f>
        <v>CCN(Cc1ccccn1)c1ccc2nccc(CN(C)Cc3ncccc3-c3ccc4ncccc4c3)c2c1</v>
      </c>
      <c r="C20269" s="7">
        <f>IFERROR(__xludf.DUMMYFUNCTION("""COMPUTED_VALUE"""),7.707809)</f>
        <v>7.707809</v>
      </c>
      <c r="D20269" s="7">
        <f>IFERROR(__xludf.DUMMYFUNCTION("""COMPUTED_VALUE"""),0.348484848484848)</f>
        <v>0.3484848485</v>
      </c>
    </row>
    <row r="20270">
      <c r="A20270" s="10" t="s">
        <v>21709</v>
      </c>
      <c r="B20270" s="7" t="str">
        <f>IFERROR(__xludf.DUMMYFUNCTION("SPLIT(A20270,"" "")"),"CN(C)Cc1cncc2cc(N(C)CCN(C)c3ccc4cc(CF)cnc4c3)ccc12")</f>
        <v>CN(C)Cc1cncc2cc(N(C)CCN(C)c3ccc4cc(CF)cnc4c3)ccc12</v>
      </c>
      <c r="C20270" s="7">
        <f>IFERROR(__xludf.DUMMYFUNCTION("""COMPUTED_VALUE"""),7.7078047)</f>
        <v>7.7078047</v>
      </c>
      <c r="D20270" s="7">
        <f>IFERROR(__xludf.DUMMYFUNCTION("""COMPUTED_VALUE"""),0.220338983050847)</f>
        <v>0.2203389831</v>
      </c>
    </row>
    <row r="20271">
      <c r="A20271" s="10" t="s">
        <v>21710</v>
      </c>
      <c r="B20271" s="7" t="str">
        <f>IFERROR(__xludf.DUMMYFUNCTION("SPLIT(A20271,"" "")"),"CCN(Cc1ccccn1)c1ccc2nccc(-c3ccccn3)c2c1")</f>
        <v>CCN(Cc1ccccn1)c1ccc2nccc(-c3ccccn3)c2c1</v>
      </c>
      <c r="C20271" s="7">
        <f>IFERROR(__xludf.DUMMYFUNCTION("""COMPUTED_VALUE"""),7.7077694)</f>
        <v>7.7077694</v>
      </c>
      <c r="D20271" s="7">
        <f>IFERROR(__xludf.DUMMYFUNCTION("""COMPUTED_VALUE"""),0.423076923076923)</f>
        <v>0.4230769231</v>
      </c>
    </row>
    <row r="20272">
      <c r="A20272" s="10" t="s">
        <v>21711</v>
      </c>
      <c r="B20272" s="7" t="str">
        <f>IFERROR(__xludf.DUMMYFUNCTION("SPLIT(A20272,"" "")"),"CN(C)Cc1ccc2ccc(N(C)Cc3cccc(N(C)C)n3)cc2n1")</f>
        <v>CN(C)Cc1ccc2ccc(N(C)Cc3cccc(N(C)C)n3)cc2n1</v>
      </c>
      <c r="C20272" s="7">
        <f>IFERROR(__xludf.DUMMYFUNCTION("""COMPUTED_VALUE"""),7.7077465)</f>
        <v>7.7077465</v>
      </c>
      <c r="D20272" s="7">
        <f>IFERROR(__xludf.DUMMYFUNCTION("""COMPUTED_VALUE"""),0.363636363636363)</f>
        <v>0.3636363636</v>
      </c>
    </row>
    <row r="20273">
      <c r="A20273" s="10" t="s">
        <v>21712</v>
      </c>
      <c r="B20273" s="7" t="str">
        <f>IFERROR(__xludf.DUMMYFUNCTION("SPLIT(A20273,"" "")"),"CN(Cc1ccccn1)C1=C(N(C)c2cccc3ncccc23)CC=CN1")</f>
        <v>CN(Cc1ccccn1)C1=C(N(C)c2cccc3ncccc23)CC=CN1</v>
      </c>
      <c r="C20273" s="7">
        <f>IFERROR(__xludf.DUMMYFUNCTION("""COMPUTED_VALUE"""),7.707742)</f>
        <v>7.707742</v>
      </c>
      <c r="D20273" s="7">
        <f>IFERROR(__xludf.DUMMYFUNCTION("""COMPUTED_VALUE"""),0.385964912280701)</f>
        <v>0.3859649123</v>
      </c>
    </row>
    <row r="20274">
      <c r="A20274" s="10" t="s">
        <v>21713</v>
      </c>
      <c r="B20274" s="7" t="str">
        <f>IFERROR(__xludf.DUMMYFUNCTION("SPLIT(A20274,"" "")"),"CN(C)c1ccc2cc(CF)cnc2c1")</f>
        <v>CN(C)c1ccc2cc(CF)cnc2c1</v>
      </c>
      <c r="C20274" s="7">
        <f>IFERROR(__xludf.DUMMYFUNCTION("""COMPUTED_VALUE"""),7.707733)</f>
        <v>7.707733</v>
      </c>
      <c r="D20274" s="7">
        <f>IFERROR(__xludf.DUMMYFUNCTION("""COMPUTED_VALUE"""),0.25)</f>
        <v>0.25</v>
      </c>
    </row>
    <row r="20275">
      <c r="A20275" s="10" t="s">
        <v>21714</v>
      </c>
      <c r="B20275" s="7" t="str">
        <f>IFERROR(__xludf.DUMMYFUNCTION("SPLIT(A20275,"" "")"),"CCN(CCN(C)c1ccc2nccc(C)c2c1)c1ccc2ncccc2c1")</f>
        <v>CCN(CCN(C)c1ccc2nccc(C)c2c1)c1ccc2ncccc2c1</v>
      </c>
      <c r="C20275" s="7">
        <f>IFERROR(__xludf.DUMMYFUNCTION("""COMPUTED_VALUE"""),7.707663)</f>
        <v>7.707663</v>
      </c>
      <c r="D20275" s="7">
        <f>IFERROR(__xludf.DUMMYFUNCTION("""COMPUTED_VALUE"""),0.339622641509433)</f>
        <v>0.3396226415</v>
      </c>
    </row>
    <row r="20276">
      <c r="A20276" s="10" t="s">
        <v>21715</v>
      </c>
      <c r="B20276" s="7" t="str">
        <f>IFERROR(__xludf.DUMMYFUNCTION("SPLIT(A20276,"" "")"),"CNc1ccc2ncccc2c1")</f>
        <v>CNc1ccc2ncccc2c1</v>
      </c>
      <c r="C20276" s="7">
        <f>IFERROR(__xludf.DUMMYFUNCTION("""COMPUTED_VALUE"""),7.707615)</f>
        <v>7.707615</v>
      </c>
      <c r="D20276" s="7">
        <f>IFERROR(__xludf.DUMMYFUNCTION("""COMPUTED_VALUE"""),0.292682926829268)</f>
        <v>0.2926829268</v>
      </c>
    </row>
    <row r="20277">
      <c r="A20277" s="10" t="s">
        <v>21716</v>
      </c>
      <c r="B20277" s="7" t="str">
        <f>IFERROR(__xludf.DUMMYFUNCTION("SPLIT(A20277,"" "")"),"Cc1nc(CN(C)c2ccc3ncccc3c2)c(C)c(C)c1C")</f>
        <v>Cc1nc(CN(C)c2ccc3ncccc3c2)c(C)c(C)c1C</v>
      </c>
      <c r="C20277" s="7">
        <f>IFERROR(__xludf.DUMMYFUNCTION("""COMPUTED_VALUE"""),7.7076035)</f>
        <v>7.7076035</v>
      </c>
      <c r="D20277" s="7">
        <f>IFERROR(__xludf.DUMMYFUNCTION("""COMPUTED_VALUE"""),0.326530612244897)</f>
        <v>0.3265306122</v>
      </c>
    </row>
    <row r="20278">
      <c r="A20278" s="10" t="s">
        <v>21717</v>
      </c>
      <c r="B20278" s="7" t="str">
        <f>IFERROR(__xludf.DUMMYFUNCTION("SPLIT(A20278,"" "")"),"FCN(Cc1ccccn1)c1cc2cccnc2cc1-c1ccccc1N=Cc1ccccn1")</f>
        <v>FCN(Cc1ccccn1)c1cc2cccnc2cc1-c1ccccc1N=Cc1ccccn1</v>
      </c>
      <c r="C20278" s="7">
        <f>IFERROR(__xludf.DUMMYFUNCTION("""COMPUTED_VALUE"""),7.7076)</f>
        <v>7.7076</v>
      </c>
      <c r="D20278" s="7">
        <f>IFERROR(__xludf.DUMMYFUNCTION("""COMPUTED_VALUE"""),0.396551724137931)</f>
        <v>0.3965517241</v>
      </c>
    </row>
    <row r="20279">
      <c r="A20279" s="10" t="s">
        <v>21718</v>
      </c>
      <c r="B20279" s="7" t="str">
        <f>IFERROR(__xludf.DUMMYFUNCTION("SPLIT(A20279,"" "")"),"Cc1nc2cc(N(C)C3CCC(N(C)c4cccc5ncc6c(c45)CCC6)CC3)c3ncc4c(c3c2c(C)c1C)CCC4")</f>
        <v>Cc1nc2cc(N(C)C3CCC(N(C)c4cccc5ncc6c(c45)CCC6)CC3)c3ncc4c(c3c2c(C)c1C)CCC4</v>
      </c>
      <c r="C20279" s="7">
        <f>IFERROR(__xludf.DUMMYFUNCTION("""COMPUTED_VALUE"""),7.7075896)</f>
        <v>7.7075896</v>
      </c>
      <c r="D20279" s="7">
        <f>IFERROR(__xludf.DUMMYFUNCTION("""COMPUTED_VALUE"""),0.328571428571428)</f>
        <v>0.3285714286</v>
      </c>
    </row>
    <row r="20280">
      <c r="A20280" s="10" t="s">
        <v>21719</v>
      </c>
      <c r="B20280" s="7" t="str">
        <f>IFERROR(__xludf.DUMMYFUNCTION("SPLIT(A20280,"" "")"),"CNc1cccc2c(CF)ccnc12")</f>
        <v>CNc1cccc2c(CF)ccnc12</v>
      </c>
      <c r="C20280" s="7">
        <f>IFERROR(__xludf.DUMMYFUNCTION("""COMPUTED_VALUE"""),7.7075872)</f>
        <v>7.7075872</v>
      </c>
      <c r="D20280" s="7">
        <f>IFERROR(__xludf.DUMMYFUNCTION("""COMPUTED_VALUE"""),0.276595744680851)</f>
        <v>0.2765957447</v>
      </c>
    </row>
    <row r="20281">
      <c r="A20281" s="10" t="s">
        <v>21720</v>
      </c>
      <c r="B20281" s="7" t="str">
        <f>IFERROR(__xludf.DUMMYFUNCTION("SPLIT(A20281,"" "")"),"Cc1ccc(-c2cc(N=Cc3ccccn3)cc(C)c2C)cc1N=Cc1ccccn1")</f>
        <v>Cc1ccc(-c2cc(N=Cc3ccccn3)cc(C)c2C)cc1N=Cc1ccccn1</v>
      </c>
      <c r="C20281" s="7">
        <f>IFERROR(__xludf.DUMMYFUNCTION("""COMPUTED_VALUE"""),7.7075753)</f>
        <v>7.7075753</v>
      </c>
      <c r="D20281" s="7">
        <f>IFERROR(__xludf.DUMMYFUNCTION("""COMPUTED_VALUE"""),0.489795918367346)</f>
        <v>0.4897959184</v>
      </c>
    </row>
    <row r="20282">
      <c r="A20282" s="10" t="s">
        <v>21721</v>
      </c>
      <c r="B20282" s="7" t="str">
        <f>IFERROR(__xludf.DUMMYFUNCTION("SPLIT(A20282,"" "")"),"Cc1ccnc(CN(C)c2ccc3ncc(C)c(C)c3c2)c1")</f>
        <v>Cc1ccnc(CN(C)c2ccc3ncc(C)c(C)c3c2)c1</v>
      </c>
      <c r="C20282" s="7">
        <f>IFERROR(__xludf.DUMMYFUNCTION("""COMPUTED_VALUE"""),7.707498)</f>
        <v>7.707498</v>
      </c>
      <c r="D20282" s="7">
        <f>IFERROR(__xludf.DUMMYFUNCTION("""COMPUTED_VALUE"""),0.326923076923076)</f>
        <v>0.3269230769</v>
      </c>
    </row>
    <row r="20283">
      <c r="A20283" s="10" t="s">
        <v>21722</v>
      </c>
      <c r="B20283" s="7" t="str">
        <f>IFERROR(__xludf.DUMMYFUNCTION("SPLIT(A20283,"" "")"),"Cc1cc(N(C)Cc2cccnn2)c2ncccc2c1")</f>
        <v>Cc1cc(N(C)Cc2cccnn2)c2ncccc2c1</v>
      </c>
      <c r="C20283" s="7">
        <f>IFERROR(__xludf.DUMMYFUNCTION("""COMPUTED_VALUE"""),7.707493)</f>
        <v>7.707493</v>
      </c>
      <c r="D20283" s="7">
        <f>IFERROR(__xludf.DUMMYFUNCTION("""COMPUTED_VALUE"""),0.454545454545454)</f>
        <v>0.4545454545</v>
      </c>
    </row>
    <row r="20284">
      <c r="A20284" s="10" t="s">
        <v>21723</v>
      </c>
      <c r="B20284" s="7" t="str">
        <f>IFERROR(__xludf.DUMMYFUNCTION("SPLIT(A20284,"" "")"),"CN(Cc1cc(-c2ccc3ncccc3c2)ccn1)C1CCC(N(C)c2ccc3nc(-c4ccc5ncccc5c4)ccc3c2)CC1")</f>
        <v>CN(Cc1cc(-c2ccc3ncccc3c2)ccn1)C1CCC(N(C)c2ccc3nc(-c4ccc5ncccc5c4)ccc3c2)CC1</v>
      </c>
      <c r="C20284" s="7">
        <f>IFERROR(__xludf.DUMMYFUNCTION("""COMPUTED_VALUE"""),7.7074924)</f>
        <v>7.7074924</v>
      </c>
      <c r="D20284" s="7">
        <f>IFERROR(__xludf.DUMMYFUNCTION("""COMPUTED_VALUE"""),0.317460317460317)</f>
        <v>0.3174603175</v>
      </c>
    </row>
    <row r="20285">
      <c r="A20285" s="10" t="s">
        <v>21724</v>
      </c>
      <c r="B20285" s="7" t="str">
        <f>IFERROR(__xludf.DUMMYFUNCTION("SPLIT(A20285,"" "")"),"CN(Cc1ccccn1)Cc1cccnc1-c1ccc2ncccc2c1N(C)C")</f>
        <v>CN(Cc1ccccn1)Cc1cccnc1-c1ccc2ncccc2c1N(C)C</v>
      </c>
      <c r="C20285" s="7">
        <f>IFERROR(__xludf.DUMMYFUNCTION("""COMPUTED_VALUE"""),7.7074666)</f>
        <v>7.7074666</v>
      </c>
      <c r="D20285" s="7">
        <f>IFERROR(__xludf.DUMMYFUNCTION("""COMPUTED_VALUE"""),0.415094339622641)</f>
        <v>0.4150943396</v>
      </c>
    </row>
    <row r="20286">
      <c r="A20286" s="10" t="s">
        <v>21725</v>
      </c>
      <c r="B20286" s="7" t="str">
        <f>IFERROR(__xludf.DUMMYFUNCTION("SPLIT(A20286,"" "")"),"CC(C)N(C)Cc1ccc2ccc(N(C)c3ccc4ncccc4c3)cc2n1")</f>
        <v>CC(C)N(C)Cc1ccc2ccc(N(C)c3ccc4ncccc4c3)cc2n1</v>
      </c>
      <c r="C20286" s="7">
        <f>IFERROR(__xludf.DUMMYFUNCTION("""COMPUTED_VALUE"""),7.7074647)</f>
        <v>7.7074647</v>
      </c>
      <c r="D20286" s="7">
        <f>IFERROR(__xludf.DUMMYFUNCTION("""COMPUTED_VALUE"""),0.392156862745098)</f>
        <v>0.3921568627</v>
      </c>
    </row>
    <row r="20287">
      <c r="A20287" s="10" t="s">
        <v>21726</v>
      </c>
      <c r="B20287" s="7" t="str">
        <f>IFERROR(__xludf.DUMMYFUNCTION("SPLIT(A20287,"" "")"),"Cc1cccc(CN(C)c2ccc3cccnc3c2C)n1")</f>
        <v>Cc1cccc(CN(C)c2ccc3cccnc3c2C)n1</v>
      </c>
      <c r="C20287" s="7">
        <f>IFERROR(__xludf.DUMMYFUNCTION("""COMPUTED_VALUE"""),7.7073903)</f>
        <v>7.7073903</v>
      </c>
      <c r="D20287" s="7">
        <f>IFERROR(__xludf.DUMMYFUNCTION("""COMPUTED_VALUE"""),0.477272727272727)</f>
        <v>0.4772727273</v>
      </c>
    </row>
    <row r="20288">
      <c r="A20288" s="10" t="s">
        <v>21727</v>
      </c>
      <c r="B20288" s="7" t="str">
        <f>IFERROR(__xludf.DUMMYFUNCTION("SPLIT(A20288,"" "")"),"Cc1ccnc(CN(C)c2cc(N(C)Cc3ccccn3)cc3ncccc23)c1")</f>
        <v>Cc1ccnc(CN(C)c2cc(N(C)Cc3ccccn3)cc3ncccc23)c1</v>
      </c>
      <c r="C20288" s="7">
        <f>IFERROR(__xludf.DUMMYFUNCTION("""COMPUTED_VALUE"""),7.7073526)</f>
        <v>7.7073526</v>
      </c>
      <c r="D20288" s="7">
        <f>IFERROR(__xludf.DUMMYFUNCTION("""COMPUTED_VALUE"""),0.489795918367346)</f>
        <v>0.4897959184</v>
      </c>
    </row>
    <row r="20289">
      <c r="A20289" s="10" t="s">
        <v>21728</v>
      </c>
      <c r="B20289" s="7" t="str">
        <f>IFERROR(__xludf.DUMMYFUNCTION("SPLIT(A20289,"" "")"),"CNCc1cc(-c2cc(-c3ccccc3N=Cc3ccccn3)ccn2)ccn1")</f>
        <v>CNCc1cc(-c2cc(-c3ccccc3N=Cc3ccccn3)ccn2)ccn1</v>
      </c>
      <c r="C20289" s="7">
        <f>IFERROR(__xludf.DUMMYFUNCTION("""COMPUTED_VALUE"""),7.7073154)</f>
        <v>7.7073154</v>
      </c>
      <c r="D20289" s="7">
        <f>IFERROR(__xludf.DUMMYFUNCTION("""COMPUTED_VALUE"""),0.410714285714285)</f>
        <v>0.4107142857</v>
      </c>
    </row>
    <row r="20290">
      <c r="A20290" s="10" t="s">
        <v>21729</v>
      </c>
      <c r="B20290" s="7" t="str">
        <f>IFERROR(__xludf.DUMMYFUNCTION("SPLIT(A20290,"" "")"),"CN(c1ccc2cccnc2c1)C1C=CNC(CN(Cc2ccccn2)c2ccc3cccnc3c2)=C1")</f>
        <v>CN(c1ccc2cccnc2c1)C1C=CNC(CN(Cc2ccccn2)c2ccc3cccnc3c2)=C1</v>
      </c>
      <c r="C20290" s="7">
        <f>IFERROR(__xludf.DUMMYFUNCTION("""COMPUTED_VALUE"""),7.7072954)</f>
        <v>7.7072954</v>
      </c>
      <c r="D20290" s="7">
        <f>IFERROR(__xludf.DUMMYFUNCTION("""COMPUTED_VALUE"""),0.383333333333333)</f>
        <v>0.3833333333</v>
      </c>
    </row>
    <row r="20291">
      <c r="A20291" s="10" t="s">
        <v>21730</v>
      </c>
      <c r="B20291" s="7" t="str">
        <f>IFERROR(__xludf.DUMMYFUNCTION("SPLIT(A20291,"" "")"),"CN(C)C1=CCC=C(CN(C)c2cccc3ncccc23)N1")</f>
        <v>CN(C)C1=CCC=C(CN(C)c2cccc3ncccc23)N1</v>
      </c>
      <c r="C20291" s="7">
        <f>IFERROR(__xludf.DUMMYFUNCTION("""COMPUTED_VALUE"""),7.7072716)</f>
        <v>7.7072716</v>
      </c>
      <c r="D20291" s="7">
        <f>IFERROR(__xludf.DUMMYFUNCTION("""COMPUTED_VALUE"""),0.346153846153846)</f>
        <v>0.3461538462</v>
      </c>
    </row>
    <row r="20292">
      <c r="A20292" s="10" t="s">
        <v>21731</v>
      </c>
      <c r="B20292" s="7" t="str">
        <f>IFERROR(__xludf.DUMMYFUNCTION("SPLIT(A20292,"" "")"),"CN(CCN(C)c1ccc2ccc(CF)nc2c1)c1ccc2ncccc2c1")</f>
        <v>CN(CCN(C)c1ccc2ccc(CF)nc2c1)c1ccc2ncccc2c1</v>
      </c>
      <c r="C20292" s="7">
        <f>IFERROR(__xludf.DUMMYFUNCTION("""COMPUTED_VALUE"""),7.707252)</f>
        <v>7.707252</v>
      </c>
      <c r="D20292" s="7">
        <f>IFERROR(__xludf.DUMMYFUNCTION("""COMPUTED_VALUE"""),0.38)</f>
        <v>0.38</v>
      </c>
    </row>
    <row r="20293">
      <c r="A20293" s="10" t="s">
        <v>21732</v>
      </c>
      <c r="B20293" s="7" t="str">
        <f>IFERROR(__xludf.DUMMYFUNCTION("SPLIT(A20293,"" "")"),"CC(C)(c1ccccn1)c1nc2ccccc2o1")</f>
        <v>CC(C)(c1ccccn1)c1nc2ccccc2o1</v>
      </c>
      <c r="C20293" s="7">
        <f>IFERROR(__xludf.DUMMYFUNCTION("""COMPUTED_VALUE"""),7.707223)</f>
        <v>7.707223</v>
      </c>
      <c r="D20293" s="7">
        <f>IFERROR(__xludf.DUMMYFUNCTION("""COMPUTED_VALUE"""),0.487179487179487)</f>
        <v>0.4871794872</v>
      </c>
    </row>
    <row r="20294">
      <c r="A20294" s="10" t="s">
        <v>21733</v>
      </c>
      <c r="B20294" s="7" t="str">
        <f>IFERROR(__xludf.DUMMYFUNCTION("SPLIT(A20294,"" "")"),"CN(Cc1cccnn1)C1=C(N(C)c2cccc3cccnc23)NCC=C1")</f>
        <v>CN(Cc1cccnn1)C1=C(N(C)c2cccc3cccnc23)NCC=C1</v>
      </c>
      <c r="C20294" s="7">
        <f>IFERROR(__xludf.DUMMYFUNCTION("""COMPUTED_VALUE"""),7.70722)</f>
        <v>7.70722</v>
      </c>
      <c r="D20294" s="7">
        <f>IFERROR(__xludf.DUMMYFUNCTION("""COMPUTED_VALUE"""),0.425925925925925)</f>
        <v>0.4259259259</v>
      </c>
    </row>
    <row r="20295">
      <c r="A20295" s="10" t="s">
        <v>21734</v>
      </c>
      <c r="B20295" s="7" t="str">
        <f>IFERROR(__xludf.DUMMYFUNCTION("SPLIT(A20295,"" "")"),"CN(CCN(C)c1ccc2ncc(CF)cc2c1)c1ccc2ncccc2c1")</f>
        <v>CN(CCN(C)c1ccc2ncc(CF)cc2c1)c1ccc2ncccc2c1</v>
      </c>
      <c r="C20295" s="7">
        <f>IFERROR(__xludf.DUMMYFUNCTION("""COMPUTED_VALUE"""),7.7072034)</f>
        <v>7.7072034</v>
      </c>
      <c r="D20295" s="7">
        <f>IFERROR(__xludf.DUMMYFUNCTION("""COMPUTED_VALUE"""),0.375)</f>
        <v>0.375</v>
      </c>
    </row>
    <row r="20296">
      <c r="A20296" s="10" t="s">
        <v>21735</v>
      </c>
      <c r="B20296" s="7" t="str">
        <f>IFERROR(__xludf.DUMMYFUNCTION("SPLIT(A20296,"" "")"),"CC(C)N(CC1=CC(N(C)c2ccc3cccnc3c2)C=CN1)c1ccc2ncccc2c1")</f>
        <v>CC(C)N(CC1=CC(N(C)c2ccc3cccnc3c2)C=CN1)c1ccc2ncccc2c1</v>
      </c>
      <c r="C20296" s="7">
        <f>IFERROR(__xludf.DUMMYFUNCTION("""COMPUTED_VALUE"""),7.7071958)</f>
        <v>7.7071958</v>
      </c>
      <c r="D20296" s="7">
        <f>IFERROR(__xludf.DUMMYFUNCTION("""COMPUTED_VALUE"""),0.279411764705882)</f>
        <v>0.2794117647</v>
      </c>
    </row>
    <row r="20297">
      <c r="A20297" s="10" t="s">
        <v>21736</v>
      </c>
      <c r="B20297" s="7" t="str">
        <f>IFERROR(__xludf.DUMMYFUNCTION("SPLIT(A20297,"" "")"),"CC(C)N(CC1=CC(N(C)c2ccc3cccnc3c2)C=CN1)c1ccc2cccnc2c1")</f>
        <v>CC(C)N(CC1=CC(N(C)c2ccc3cccnc3c2)C=CN1)c1ccc2cccnc2c1</v>
      </c>
      <c r="C20297" s="7">
        <f>IFERROR(__xludf.DUMMYFUNCTION("""COMPUTED_VALUE"""),7.707189)</f>
        <v>7.707189</v>
      </c>
      <c r="D20297" s="7">
        <f>IFERROR(__xludf.DUMMYFUNCTION("""COMPUTED_VALUE"""),0.292307692307692)</f>
        <v>0.2923076923</v>
      </c>
    </row>
    <row r="20298">
      <c r="A20298" s="10" t="s">
        <v>21737</v>
      </c>
      <c r="B20298" s="7" t="str">
        <f>IFERROR(__xludf.DUMMYFUNCTION("SPLIT(A20298,"" "")"),"CC(C)N(CC1=CC(N(C)c2ccc3ncccc3c2)C=CN1)c1ccc2cccnc2c1")</f>
        <v>CC(C)N(CC1=CC(N(C)c2ccc3ncccc3c2)C=CN1)c1ccc2cccnc2c1</v>
      </c>
      <c r="C20298" s="7">
        <f>IFERROR(__xludf.DUMMYFUNCTION("""COMPUTED_VALUE"""),7.7071857)</f>
        <v>7.7071857</v>
      </c>
      <c r="D20298" s="7">
        <f>IFERROR(__xludf.DUMMYFUNCTION("""COMPUTED_VALUE"""),0.279411764705882)</f>
        <v>0.2794117647</v>
      </c>
    </row>
    <row r="20299">
      <c r="A20299" s="10" t="s">
        <v>21738</v>
      </c>
      <c r="B20299" s="7" t="str">
        <f>IFERROR(__xludf.DUMMYFUNCTION("SPLIT(A20299,"" "")"),"CN(C)Cc1ncccc1N(C)c1cccc2ncccc12")</f>
        <v>CN(C)Cc1ncccc1N(C)c1cccc2ncccc12</v>
      </c>
      <c r="C20299" s="7">
        <f>IFERROR(__xludf.DUMMYFUNCTION("""COMPUTED_VALUE"""),7.7071686)</f>
        <v>7.7071686</v>
      </c>
      <c r="D20299" s="7">
        <f>IFERROR(__xludf.DUMMYFUNCTION("""COMPUTED_VALUE"""),0.355555555555555)</f>
        <v>0.3555555556</v>
      </c>
    </row>
    <row r="20300">
      <c r="A20300" s="10" t="s">
        <v>21739</v>
      </c>
      <c r="B20300" s="7" t="str">
        <f>IFERROR(__xludf.DUMMYFUNCTION("SPLIT(A20300,"" "")"),"Cc1cc(N(C)Cc2ccccn2)cc2ncccc12")</f>
        <v>Cc1cc(N(C)Cc2ccccn2)cc2ncccc12</v>
      </c>
      <c r="C20300" s="7">
        <f>IFERROR(__xludf.DUMMYFUNCTION("""COMPUTED_VALUE"""),7.707149)</f>
        <v>7.707149</v>
      </c>
      <c r="D20300" s="7">
        <f>IFERROR(__xludf.DUMMYFUNCTION("""COMPUTED_VALUE"""),0.5)</f>
        <v>0.5</v>
      </c>
    </row>
    <row r="20301">
      <c r="A20301" s="10" t="s">
        <v>21740</v>
      </c>
      <c r="B20301" s="7" t="str">
        <f>IFERROR(__xludf.DUMMYFUNCTION("SPLIT(A20301,"" "")"),"CN(c1ccc2cccnc2c1)C1NC=CC=C1N")</f>
        <v>CN(c1ccc2cccnc2c1)C1NC=CC=C1N</v>
      </c>
      <c r="C20301" s="7">
        <f>IFERROR(__xludf.DUMMYFUNCTION("""COMPUTED_VALUE"""),7.707122)</f>
        <v>7.707122</v>
      </c>
      <c r="D20301" s="7">
        <f>IFERROR(__xludf.DUMMYFUNCTION("""COMPUTED_VALUE"""),0.280701754385964)</f>
        <v>0.2807017544</v>
      </c>
    </row>
    <row r="20302">
      <c r="A20302" s="10" t="s">
        <v>21741</v>
      </c>
      <c r="B20302" s="7" t="str">
        <f>IFERROR(__xludf.DUMMYFUNCTION("SPLIT(A20302,"" "")"),"Cc1cc(-c2cc(CN(C)Cc3ccccn3)ccn2)cc(C)c1N(C)c1ccc2ncccc2c1")</f>
        <v>Cc1cc(-c2cc(CN(C)Cc3ccccn3)ccn2)cc(C)c1N(C)c1ccc2ncccc2c1</v>
      </c>
      <c r="C20302" s="7">
        <f>IFERROR(__xludf.DUMMYFUNCTION("""COMPUTED_VALUE"""),7.7071147)</f>
        <v>7.7071147</v>
      </c>
      <c r="D20302" s="7">
        <f>IFERROR(__xludf.DUMMYFUNCTION("""COMPUTED_VALUE"""),0.43103448275862)</f>
        <v>0.4310344828</v>
      </c>
    </row>
    <row r="20303">
      <c r="A20303" s="10" t="s">
        <v>21742</v>
      </c>
      <c r="B20303" s="7" t="str">
        <f>IFERROR(__xludf.DUMMYFUNCTION("SPLIT(A20303,"" "")"),"CN(C1=CC=CCN1)c1cccc2cccnc12")</f>
        <v>CN(C1=CC=CCN1)c1cccc2cccnc12</v>
      </c>
      <c r="C20303" s="7">
        <f>IFERROR(__xludf.DUMMYFUNCTION("""COMPUTED_VALUE"""),7.707105)</f>
        <v>7.707105</v>
      </c>
      <c r="D20303" s="7">
        <f>IFERROR(__xludf.DUMMYFUNCTION("""COMPUTED_VALUE"""),0.488372093023255)</f>
        <v>0.488372093</v>
      </c>
    </row>
    <row r="20304">
      <c r="A20304" s="10" t="s">
        <v>21743</v>
      </c>
      <c r="B20304" s="7" t="str">
        <f>IFERROR(__xludf.DUMMYFUNCTION("SPLIT(A20304,"" "")"),"CC=Nc1ccc(-c2ccc(C)cc2N=Cc2ccccn2)c(C)c1")</f>
        <v>CC=Nc1ccc(-c2ccc(C)cc2N=Cc2ccccn2)c(C)c1</v>
      </c>
      <c r="C20304" s="7">
        <f>IFERROR(__xludf.DUMMYFUNCTION("""COMPUTED_VALUE"""),7.707101)</f>
        <v>7.707101</v>
      </c>
      <c r="D20304" s="7">
        <f>IFERROR(__xludf.DUMMYFUNCTION("""COMPUTED_VALUE"""),0.48)</f>
        <v>0.48</v>
      </c>
    </row>
    <row r="20305">
      <c r="A20305" s="10" t="s">
        <v>21744</v>
      </c>
      <c r="B20305" s="7" t="str">
        <f>IFERROR(__xludf.DUMMYFUNCTION("SPLIT(A20305,"" "")"),"CC(C)N(Cc1ccccn1)c1cccc(-c2ncccc2-c2ncccc2C2=CCC=CN2)c1")</f>
        <v>CC(C)N(Cc1ccccn1)c1cccc(-c2ncccc2-c2ncccc2C2=CCC=CN2)c1</v>
      </c>
      <c r="C20305" s="7">
        <f>IFERROR(__xludf.DUMMYFUNCTION("""COMPUTED_VALUE"""),7.707082)</f>
        <v>7.707082</v>
      </c>
      <c r="D20305" s="7">
        <f>IFERROR(__xludf.DUMMYFUNCTION("""COMPUTED_VALUE"""),0.415384615384615)</f>
        <v>0.4153846154</v>
      </c>
    </row>
    <row r="20306">
      <c r="A20306" s="10" t="s">
        <v>21745</v>
      </c>
      <c r="B20306" s="7" t="str">
        <f>IFERROR(__xludf.DUMMYFUNCTION("SPLIT(A20306,"" "")"),"c1ccc(CN(Cc2ccc3ncccc3c2)c2ccc3ncccc3c2)nc1")</f>
        <v>c1ccc(CN(Cc2ccc3ncccc3c2)c2ccc3ncccc3c2)nc1</v>
      </c>
      <c r="C20306" s="7">
        <f>IFERROR(__xludf.DUMMYFUNCTION("""COMPUTED_VALUE"""),7.707049)</f>
        <v>7.707049</v>
      </c>
      <c r="D20306" s="7">
        <f>IFERROR(__xludf.DUMMYFUNCTION("""COMPUTED_VALUE"""),0.425531914893617)</f>
        <v>0.4255319149</v>
      </c>
    </row>
    <row r="20307">
      <c r="A20307" s="10" t="s">
        <v>21746</v>
      </c>
      <c r="B20307" s="7" t="str">
        <f>IFERROR(__xludf.DUMMYFUNCTION("SPLIT(A20307,"" "")"),"CN(CCN(C)c1ccc2ccc(CF)nc2c1)c1ccc2cccnc2c1")</f>
        <v>CN(CCN(C)c1ccc2ccc(CF)nc2c1)c1ccc2cccnc2c1</v>
      </c>
      <c r="C20307" s="7">
        <f>IFERROR(__xludf.DUMMYFUNCTION("""COMPUTED_VALUE"""),7.707035)</f>
        <v>7.707035</v>
      </c>
      <c r="D20307" s="7">
        <f>IFERROR(__xludf.DUMMYFUNCTION("""COMPUTED_VALUE"""),0.395833333333333)</f>
        <v>0.3958333333</v>
      </c>
    </row>
    <row r="20308">
      <c r="A20308" s="10" t="s">
        <v>21747</v>
      </c>
      <c r="B20308" s="7" t="str">
        <f>IFERROR(__xludf.DUMMYFUNCTION("SPLIT(A20308,"" "")"),"Cc1cncc(CN(C)c2cc(N(C)Cc3ncc(C)cc3C)cc3ncccc23)c1")</f>
        <v>Cc1cncc(CN(C)c2cc(N(C)Cc3ncc(C)cc3C)cc3ncccc23)c1</v>
      </c>
      <c r="C20308" s="7">
        <f>IFERROR(__xludf.DUMMYFUNCTION("""COMPUTED_VALUE"""),7.7069964)</f>
        <v>7.7069964</v>
      </c>
      <c r="D20308" s="7">
        <f>IFERROR(__xludf.DUMMYFUNCTION("""COMPUTED_VALUE"""),0.274193548387096)</f>
        <v>0.2741935484</v>
      </c>
    </row>
    <row r="20309">
      <c r="A20309" s="10" t="s">
        <v>21748</v>
      </c>
      <c r="B20309" s="7" t="str">
        <f>IFERROR(__xludf.DUMMYFUNCTION("SPLIT(A20309,"" "")"),"Cc1cncc(CN(C)c2cc(N(C)Cc3cccnn3)cc3ncccc23)c1")</f>
        <v>Cc1cncc(CN(C)c2cc(N(C)Cc3cccnn3)cc3ncccc23)c1</v>
      </c>
      <c r="C20309" s="7">
        <f>IFERROR(__xludf.DUMMYFUNCTION("""COMPUTED_VALUE"""),7.706994)</f>
        <v>7.706994</v>
      </c>
      <c r="D20309" s="7">
        <f>IFERROR(__xludf.DUMMYFUNCTION("""COMPUTED_VALUE"""),0.357142857142857)</f>
        <v>0.3571428571</v>
      </c>
    </row>
    <row r="20310">
      <c r="A20310" s="10" t="s">
        <v>21749</v>
      </c>
      <c r="B20310" s="7" t="str">
        <f>IFERROR(__xludf.DUMMYFUNCTION("SPLIT(A20310,"" "")"),"CN(CCN(C)c1ccc2cccnc2c1)c1ccc2ncc(CF)cc2c1")</f>
        <v>CN(CCN(C)c1ccc2cccnc2c1)c1ccc2ncc(CF)cc2c1</v>
      </c>
      <c r="C20310" s="7">
        <f>IFERROR(__xludf.DUMMYFUNCTION("""COMPUTED_VALUE"""),7.706988)</f>
        <v>7.706988</v>
      </c>
      <c r="D20310" s="7">
        <f>IFERROR(__xludf.DUMMYFUNCTION("""COMPUTED_VALUE"""),0.346153846153846)</f>
        <v>0.3461538462</v>
      </c>
    </row>
    <row r="20311">
      <c r="A20311" s="10" t="s">
        <v>21750</v>
      </c>
      <c r="B20311" s="7" t="str">
        <f>IFERROR(__xludf.DUMMYFUNCTION("SPLIT(A20311,"" "")"),"Cc1cc(N=Cc2ccccn2)ccc1-c1cc(-c2cccc(NCc3ccccn3)c2)cnc1C")</f>
        <v>Cc1cc(N=Cc2ccccn2)ccc1-c1cc(-c2cccc(NCc3ccccn3)c2)cnc1C</v>
      </c>
      <c r="C20311" s="7">
        <f>IFERROR(__xludf.DUMMYFUNCTION("""COMPUTED_VALUE"""),7.7069836)</f>
        <v>7.7069836</v>
      </c>
      <c r="D20311" s="7">
        <f>IFERROR(__xludf.DUMMYFUNCTION("""COMPUTED_VALUE"""),0.348484848484848)</f>
        <v>0.3484848485</v>
      </c>
    </row>
    <row r="20312">
      <c r="A20312" s="10" t="s">
        <v>21751</v>
      </c>
      <c r="B20312" s="7" t="str">
        <f>IFERROR(__xludf.DUMMYFUNCTION("SPLIT(A20312,"" "")"),"CN(CCN(C)c1ccc2cc(CF)cnc2c1)c1ccc2cccnc2c1")</f>
        <v>CN(CCN(C)c1ccc2cc(CF)cnc2c1)c1ccc2cccnc2c1</v>
      </c>
      <c r="C20312" s="7">
        <f>IFERROR(__xludf.DUMMYFUNCTION("""COMPUTED_VALUE"""),7.706944)</f>
        <v>7.706944</v>
      </c>
      <c r="D20312" s="7">
        <f>IFERROR(__xludf.DUMMYFUNCTION("""COMPUTED_VALUE"""),0.375)</f>
        <v>0.375</v>
      </c>
    </row>
    <row r="20313">
      <c r="A20313" s="10" t="s">
        <v>21752</v>
      </c>
      <c r="B20313" s="7" t="str">
        <f>IFERROR(__xludf.DUMMYFUNCTION("SPLIT(A20313,"" "")"),"CN(CCNc1cccc2ncccc12)c1ccc2ncccc2c1")</f>
        <v>CN(CCNc1cccc2ncccc12)c1ccc2ncccc2c1</v>
      </c>
      <c r="C20313" s="7">
        <f>IFERROR(__xludf.DUMMYFUNCTION("""COMPUTED_VALUE"""),7.706929)</f>
        <v>7.706929</v>
      </c>
      <c r="D20313" s="7">
        <f>IFERROR(__xludf.DUMMYFUNCTION("""COMPUTED_VALUE"""),0.352941176470588)</f>
        <v>0.3529411765</v>
      </c>
    </row>
    <row r="20314">
      <c r="A20314" s="10" t="s">
        <v>21753</v>
      </c>
      <c r="B20314" s="7" t="str">
        <f>IFERROR(__xludf.DUMMYFUNCTION("SPLIT(A20314,"" "")"),"CNc1cccc2nccc(CF)c12")</f>
        <v>CNc1cccc2nccc(CF)c12</v>
      </c>
      <c r="C20314" s="7">
        <f>IFERROR(__xludf.DUMMYFUNCTION("""COMPUTED_VALUE"""),7.7069)</f>
        <v>7.7069</v>
      </c>
      <c r="D20314" s="7">
        <f>IFERROR(__xludf.DUMMYFUNCTION("""COMPUTED_VALUE"""),0.224489795918367)</f>
        <v>0.2244897959</v>
      </c>
    </row>
    <row r="20315">
      <c r="A20315" s="10" t="s">
        <v>21754</v>
      </c>
      <c r="B20315" s="7" t="str">
        <f>IFERROR(__xludf.DUMMYFUNCTION("SPLIT(A20315,"" "")"),"Cc1ccnc(CN(C)c2cccc3c(C)c(C)cnc23)c1")</f>
        <v>Cc1ccnc(CN(C)c2cccc3c(C)c(C)cnc23)c1</v>
      </c>
      <c r="C20315" s="7">
        <f>IFERROR(__xludf.DUMMYFUNCTION("""COMPUTED_VALUE"""),7.706875)</f>
        <v>7.706875</v>
      </c>
      <c r="D20315" s="7">
        <f>IFERROR(__xludf.DUMMYFUNCTION("""COMPUTED_VALUE"""),0.4)</f>
        <v>0.4</v>
      </c>
    </row>
    <row r="20316">
      <c r="A20316" s="10" t="s">
        <v>21755</v>
      </c>
      <c r="B20316" s="7" t="str">
        <f>IFERROR(__xludf.DUMMYFUNCTION("SPLIT(A20316,"" "")"),"CC(C)N(C)c1ccccc1-c1c(N(C)Cc2cccnn2)ccc2ncccc12")</f>
        <v>CC(C)N(C)c1ccccc1-c1c(N(C)Cc2cccnn2)ccc2ncccc12</v>
      </c>
      <c r="C20316" s="7">
        <f>IFERROR(__xludf.DUMMYFUNCTION("""COMPUTED_VALUE"""),7.706867)</f>
        <v>7.706867</v>
      </c>
      <c r="D20316" s="7">
        <f>IFERROR(__xludf.DUMMYFUNCTION("""COMPUTED_VALUE"""),0.396226415094339)</f>
        <v>0.3962264151</v>
      </c>
    </row>
    <row r="20317">
      <c r="A20317" s="10" t="s">
        <v>21756</v>
      </c>
      <c r="B20317" s="7" t="str">
        <f>IFERROR(__xludf.DUMMYFUNCTION("SPLIT(A20317,"" "")"),"CCN(Cc1ccc2ncccc2c1)c1ccc2ncccc2c1")</f>
        <v>CCN(Cc1ccc2ncccc2c1)c1ccc2ncccc2c1</v>
      </c>
      <c r="C20317" s="7">
        <f>IFERROR(__xludf.DUMMYFUNCTION("""COMPUTED_VALUE"""),7.706763)</f>
        <v>7.706763</v>
      </c>
      <c r="D20317" s="7">
        <f>IFERROR(__xludf.DUMMYFUNCTION("""COMPUTED_VALUE"""),0.3125)</f>
        <v>0.3125</v>
      </c>
    </row>
    <row r="20318">
      <c r="A20318" s="10" t="s">
        <v>21757</v>
      </c>
      <c r="B20318" s="7" t="str">
        <f>IFERROR(__xludf.DUMMYFUNCTION("SPLIT(A20318,"" "")"),"CCN(CC1=CC(N(C)c2ccc3ncccc3c2)C=CN1)c1ccc2ncccc2c1")</f>
        <v>CCN(CC1=CC(N(C)c2ccc3ncccc3c2)C=CN1)c1ccc2ncccc2c1</v>
      </c>
      <c r="C20318" s="7">
        <f>IFERROR(__xludf.DUMMYFUNCTION("""COMPUTED_VALUE"""),7.706749)</f>
        <v>7.706749</v>
      </c>
      <c r="D20318" s="7">
        <f>IFERROR(__xludf.DUMMYFUNCTION("""COMPUTED_VALUE"""),0.301587301587301)</f>
        <v>0.3015873016</v>
      </c>
    </row>
    <row r="20319">
      <c r="A20319" s="10" t="s">
        <v>21758</v>
      </c>
      <c r="B20319" s="7" t="str">
        <f>IFERROR(__xludf.DUMMYFUNCTION("SPLIT(A20319,"" "")"),"CN(C)Cc1ccc2cc(N(C)CCN(C)c3ccc4nccc(CF)c4c3)ccc2n1")</f>
        <v>CN(C)Cc1ccc2cc(N(C)CCN(C)c3ccc4nccc(CF)c4c3)ccc2n1</v>
      </c>
      <c r="C20319" s="7">
        <f>IFERROR(__xludf.DUMMYFUNCTION("""COMPUTED_VALUE"""),7.7067394)</f>
        <v>7.7067394</v>
      </c>
      <c r="D20319" s="7">
        <f>IFERROR(__xludf.DUMMYFUNCTION("""COMPUTED_VALUE"""),0.298245614035087)</f>
        <v>0.298245614</v>
      </c>
    </row>
    <row r="20320">
      <c r="A20320" s="10" t="s">
        <v>21759</v>
      </c>
      <c r="B20320" s="7" t="str">
        <f>IFERROR(__xludf.DUMMYFUNCTION("SPLIT(A20320,"" "")"),"Cc1c(C)c(-c2cc(CN(C)C(C)C(C)C)nc(-c3ccc(N=Cc4ccccn4)cc3)c2-c2c(C)c(C)c(N=Cc3ccccn3)c(C)c2C)c(C)c(C)c1N=Cc1ccccn1")</f>
        <v>Cc1c(C)c(-c2cc(CN(C)C(C)C(C)C)nc(-c3ccc(N=Cc4ccccn4)cc3)c2-c2c(C)c(C)c(N=Cc3ccccn3)c(C)c2C)c(C)c(C)c1N=Cc1ccccn1</v>
      </c>
      <c r="C20320" s="7">
        <f>IFERROR(__xludf.DUMMYFUNCTION("""COMPUTED_VALUE"""),7.706715)</f>
        <v>7.706715</v>
      </c>
      <c r="D20320" s="7">
        <f>IFERROR(__xludf.DUMMYFUNCTION("""COMPUTED_VALUE"""),0.314285714285714)</f>
        <v>0.3142857143</v>
      </c>
    </row>
    <row r="20321">
      <c r="A20321" s="10" t="s">
        <v>21760</v>
      </c>
      <c r="B20321" s="7" t="str">
        <f>IFERROR(__xludf.DUMMYFUNCTION("SPLIT(A20321,"" "")"),"CN(C)Cc1ccc2cc(N(C)CCN(C)c3ccc4ncccc4c3)ccc2n1")</f>
        <v>CN(C)Cc1ccc2cc(N(C)CCN(C)c3ccc4ncccc4c3)ccc2n1</v>
      </c>
      <c r="C20321" s="7">
        <f>IFERROR(__xludf.DUMMYFUNCTION("""COMPUTED_VALUE"""),7.7067122)</f>
        <v>7.7067122</v>
      </c>
      <c r="D20321" s="7">
        <f>IFERROR(__xludf.DUMMYFUNCTION("""COMPUTED_VALUE"""),0.425531914893617)</f>
        <v>0.4255319149</v>
      </c>
    </row>
    <row r="20322">
      <c r="A20322" s="10" t="s">
        <v>21761</v>
      </c>
      <c r="B20322" s="7" t="str">
        <f>IFERROR(__xludf.DUMMYFUNCTION("SPLIT(A20322,"" "")"),"CCN(Cc1ccccn1)c1cc2cccnc2cc1CN(C)c1ccc2ncccc2c1")</f>
        <v>CCN(Cc1ccccn1)c1cc2cccnc2cc1CN(C)c1ccc2ncccc2c1</v>
      </c>
      <c r="C20322" s="7">
        <f>IFERROR(__xludf.DUMMYFUNCTION("""COMPUTED_VALUE"""),7.7066917)</f>
        <v>7.7066917</v>
      </c>
      <c r="D20322" s="7">
        <f>IFERROR(__xludf.DUMMYFUNCTION("""COMPUTED_VALUE"""),0.415094339622641)</f>
        <v>0.4150943396</v>
      </c>
    </row>
    <row r="20323">
      <c r="A20323" s="10" t="s">
        <v>21762</v>
      </c>
      <c r="B20323" s="7" t="str">
        <f>IFERROR(__xludf.DUMMYFUNCTION("SPLIT(A20323,"" "")"),"CNc1ccc2cccnc2c1")</f>
        <v>CNc1ccc2cccnc2c1</v>
      </c>
      <c r="C20323" s="7">
        <f>IFERROR(__xludf.DUMMYFUNCTION("""COMPUTED_VALUE"""),7.7066865)</f>
        <v>7.7066865</v>
      </c>
      <c r="D20323" s="7">
        <f>IFERROR(__xludf.DUMMYFUNCTION("""COMPUTED_VALUE"""),0.325581395348837)</f>
        <v>0.3255813953</v>
      </c>
    </row>
    <row r="20324">
      <c r="A20324" s="10" t="s">
        <v>21763</v>
      </c>
      <c r="B20324" s="7" t="str">
        <f>IFERROR(__xludf.DUMMYFUNCTION("SPLIT(A20324,"" "")"),"Cc1c(N(C)Cc2ncccc2N)ccc2ncccc12")</f>
        <v>Cc1c(N(C)Cc2ncccc2N)ccc2ncccc12</v>
      </c>
      <c r="C20324" s="7">
        <f>IFERROR(__xludf.DUMMYFUNCTION("""COMPUTED_VALUE"""),7.7066708)</f>
        <v>7.7066708</v>
      </c>
      <c r="D20324" s="7">
        <f>IFERROR(__xludf.DUMMYFUNCTION("""COMPUTED_VALUE"""),0.313725490196078)</f>
        <v>0.3137254902</v>
      </c>
    </row>
    <row r="20325">
      <c r="A20325" s="10" t="s">
        <v>21764</v>
      </c>
      <c r="B20325" s="7" t="str">
        <f>IFERROR(__xludf.DUMMYFUNCTION("SPLIT(A20325,"" "")"),"Cc1ccnc2ccc(N(C)CCCN(C)c3ccc4ncccc4c3)cc12")</f>
        <v>Cc1ccnc2ccc(N(C)CCCN(C)c3ccc4ncccc4c3)cc12</v>
      </c>
      <c r="C20325" s="7">
        <f>IFERROR(__xludf.DUMMYFUNCTION("""COMPUTED_VALUE"""),7.706655)</f>
        <v>7.706655</v>
      </c>
      <c r="D20325" s="7">
        <f>IFERROR(__xludf.DUMMYFUNCTION("""COMPUTED_VALUE"""),0.416666666666666)</f>
        <v>0.4166666667</v>
      </c>
    </row>
    <row r="20326">
      <c r="A20326" s="10" t="s">
        <v>21765</v>
      </c>
      <c r="B20326" s="7" t="str">
        <f>IFERROR(__xludf.DUMMYFUNCTION("SPLIT(A20326,"" "")"),"CCN(CC1=CC(N(C)c2ccc3ncccc3c2)C=CN1)c1ccc2cccnc2c1")</f>
        <v>CCN(CC1=CC(N(C)c2ccc3ncccc3c2)C=CN1)c1ccc2cccnc2c1</v>
      </c>
      <c r="C20326" s="7">
        <f>IFERROR(__xludf.DUMMYFUNCTION("""COMPUTED_VALUE"""),7.706631)</f>
        <v>7.706631</v>
      </c>
      <c r="D20326" s="7">
        <f>IFERROR(__xludf.DUMMYFUNCTION("""COMPUTED_VALUE"""),0.283582089552238)</f>
        <v>0.2835820896</v>
      </c>
    </row>
    <row r="20327">
      <c r="A20327" s="10" t="s">
        <v>21766</v>
      </c>
      <c r="B20327" s="7" t="str">
        <f>IFERROR(__xludf.DUMMYFUNCTION("SPLIT(A20327,"" "")"),"CN(Cc1ccccn1)Cc1ccc2cccc(N(C)c3ccc4ncccc4c3)c2n1")</f>
        <v>CN(Cc1ccccn1)Cc1ccc2cccc(N(C)c3ccc4ncccc4c3)c2n1</v>
      </c>
      <c r="C20327" s="7">
        <f>IFERROR(__xludf.DUMMYFUNCTION("""COMPUTED_VALUE"""),7.7066)</f>
        <v>7.7066</v>
      </c>
      <c r="D20327" s="7">
        <f>IFERROR(__xludf.DUMMYFUNCTION("""COMPUTED_VALUE"""),0.471698113207547)</f>
        <v>0.4716981132</v>
      </c>
    </row>
    <row r="20328">
      <c r="A20328" s="10" t="s">
        <v>21767</v>
      </c>
      <c r="B20328" s="7" t="str">
        <f>IFERROR(__xludf.DUMMYFUNCTION("SPLIT(A20328,"" "")"),"CN(CCNc1cccc2ncccc12)c1ccc2cccnc2c1")</f>
        <v>CN(CCNc1cccc2ncccc12)c1ccc2cccnc2c1</v>
      </c>
      <c r="C20328" s="7">
        <f>IFERROR(__xludf.DUMMYFUNCTION("""COMPUTED_VALUE"""),7.706591)</f>
        <v>7.706591</v>
      </c>
      <c r="D20328" s="7">
        <f>IFERROR(__xludf.DUMMYFUNCTION("""COMPUTED_VALUE"""),0.351851851851851)</f>
        <v>0.3518518519</v>
      </c>
    </row>
    <row r="20329">
      <c r="A20329" s="10" t="s">
        <v>21768</v>
      </c>
      <c r="B20329" s="7" t="str">
        <f>IFERROR(__xludf.DUMMYFUNCTION("SPLIT(A20329,"" "")"),"CCCN(Cc1ccccn1)c1cc2cccnc2cc1-c1ccccc1-c1cccc(N(C)C)c1")</f>
        <v>CCCN(Cc1ccccn1)c1cc2cccnc2cc1-c1ccccc1-c1cccc(N(C)C)c1</v>
      </c>
      <c r="C20329" s="7">
        <f>IFERROR(__xludf.DUMMYFUNCTION("""COMPUTED_VALUE"""),7.7065887)</f>
        <v>7.7065887</v>
      </c>
      <c r="D20329" s="7">
        <f>IFERROR(__xludf.DUMMYFUNCTION("""COMPUTED_VALUE"""),0.344262295081967)</f>
        <v>0.3442622951</v>
      </c>
    </row>
    <row r="20330">
      <c r="A20330" s="10" t="s">
        <v>21769</v>
      </c>
      <c r="B20330" s="7" t="str">
        <f>IFERROR(__xludf.DUMMYFUNCTION("SPLIT(A20330,"" "")"),"CCN(CC1=CC(N(C)c2ccc3cccnc3c2)C=CN1)c1ccc2cccnc2c1")</f>
        <v>CCN(CC1=CC(N(C)c2ccc3cccnc3c2)C=CN1)c1ccc2cccnc2c1</v>
      </c>
      <c r="C20330" s="7">
        <f>IFERROR(__xludf.DUMMYFUNCTION("""COMPUTED_VALUE"""),7.7065854)</f>
        <v>7.7065854</v>
      </c>
      <c r="D20330" s="7">
        <f>IFERROR(__xludf.DUMMYFUNCTION("""COMPUTED_VALUE"""),0.296875)</f>
        <v>0.296875</v>
      </c>
    </row>
    <row r="20331">
      <c r="A20331" s="10" t="s">
        <v>21770</v>
      </c>
      <c r="B20331" s="7" t="str">
        <f>IFERROR(__xludf.DUMMYFUNCTION("SPLIT(A20331,"" "")"),"CN(Cc1cccc(-c2cccc(N=Cc3ccccn3)c2)n1)Cc1cccc(-c2ccc3ncccc3c2)n1")</f>
        <v>CN(Cc1cccc(-c2cccc(N=Cc3ccccn3)c2)n1)Cc1cccc(-c2ccc3ncccc3c2)n1</v>
      </c>
      <c r="C20331" s="7">
        <f>IFERROR(__xludf.DUMMYFUNCTION("""COMPUTED_VALUE"""),7.7065635)</f>
        <v>7.7065635</v>
      </c>
      <c r="D20331" s="7">
        <f>IFERROR(__xludf.DUMMYFUNCTION("""COMPUTED_VALUE"""),0.440677966101694)</f>
        <v>0.4406779661</v>
      </c>
    </row>
    <row r="20332">
      <c r="A20332" s="10" t="s">
        <v>21771</v>
      </c>
      <c r="B20332" s="7" t="str">
        <f>IFERROR(__xludf.DUMMYFUNCTION("SPLIT(A20332,"" "")"),"CN(C)Cc1ccc2cc(N(C)CCN(C)c3ccc4cccnc4c3)ccc2n1")</f>
        <v>CN(C)Cc1ccc2cc(N(C)CCN(C)c3ccc4cccnc4c3)ccc2n1</v>
      </c>
      <c r="C20332" s="7">
        <f>IFERROR(__xludf.DUMMYFUNCTION("""COMPUTED_VALUE"""),7.7065625)</f>
        <v>7.7065625</v>
      </c>
      <c r="D20332" s="7">
        <f>IFERROR(__xludf.DUMMYFUNCTION("""COMPUTED_VALUE"""),0.446808510638297)</f>
        <v>0.4468085106</v>
      </c>
    </row>
    <row r="20333">
      <c r="A20333" s="10" t="s">
        <v>21772</v>
      </c>
      <c r="B20333" s="7" t="str">
        <f>IFERROR(__xludf.DUMMYFUNCTION("SPLIT(A20333,"" "")"),"Cc1ccc(N)cc1-c1ccc(CN(C)C2=CNC(CN(C)c3ccc4ncccc4c3)=CC2)nc1")</f>
        <v>Cc1ccc(N)cc1-c1ccc(CN(C)C2=CNC(CN(C)c3ccc4ncccc4c3)=CC2)nc1</v>
      </c>
      <c r="C20333" s="7">
        <f>IFERROR(__xludf.DUMMYFUNCTION("""COMPUTED_VALUE"""),7.706556)</f>
        <v>7.706556</v>
      </c>
      <c r="D20333" s="7">
        <f>IFERROR(__xludf.DUMMYFUNCTION("""COMPUTED_VALUE"""),0.24)</f>
        <v>0.24</v>
      </c>
    </row>
    <row r="20334">
      <c r="A20334" s="10" t="s">
        <v>21773</v>
      </c>
      <c r="B20334" s="7" t="str">
        <f>IFERROR(__xludf.DUMMYFUNCTION("SPLIT(A20334,"" "")"),"CN(C)Cc1ccc2cc(N(C)Cc3ccc(N(C)C)cn3)ccc2n1")</f>
        <v>CN(C)Cc1ccc2cc(N(C)Cc3ccc(N(C)C)cn3)ccc2n1</v>
      </c>
      <c r="C20334" s="7">
        <f>IFERROR(__xludf.DUMMYFUNCTION("""COMPUTED_VALUE"""),7.7065434)</f>
        <v>7.7065434</v>
      </c>
      <c r="D20334" s="7">
        <f>IFERROR(__xludf.DUMMYFUNCTION("""COMPUTED_VALUE"""),0.347826086956521)</f>
        <v>0.347826087</v>
      </c>
    </row>
    <row r="20335">
      <c r="A20335" s="10" t="s">
        <v>21774</v>
      </c>
      <c r="B20335" s="7" t="str">
        <f>IFERROR(__xludf.DUMMYFUNCTION("SPLIT(A20335,"" "")"),"CCN(Cc1ccc2ncccc2c1)c1ccc2cccnc2c1")</f>
        <v>CCN(Cc1ccc2ncccc2c1)c1ccc2cccnc2c1</v>
      </c>
      <c r="C20335" s="7">
        <f>IFERROR(__xludf.DUMMYFUNCTION("""COMPUTED_VALUE"""),7.70653)</f>
        <v>7.70653</v>
      </c>
      <c r="D20335" s="7">
        <f>IFERROR(__xludf.DUMMYFUNCTION("""COMPUTED_VALUE"""),0.34)</f>
        <v>0.34</v>
      </c>
    </row>
    <row r="20336">
      <c r="A20336" s="10" t="s">
        <v>21775</v>
      </c>
      <c r="B20336" s="7" t="str">
        <f>IFERROR(__xludf.DUMMYFUNCTION("SPLIT(A20336,"" "")"),"Cc1cccnc1CN(C)c1ccc2cccnc2c1C")</f>
        <v>Cc1cccnc1CN(C)c1ccc2cccnc2c1C</v>
      </c>
      <c r="C20336" s="7">
        <f>IFERROR(__xludf.DUMMYFUNCTION("""COMPUTED_VALUE"""),7.706522)</f>
        <v>7.706522</v>
      </c>
      <c r="D20336" s="7">
        <f>IFERROR(__xludf.DUMMYFUNCTION("""COMPUTED_VALUE"""),0.465116279069767)</f>
        <v>0.4651162791</v>
      </c>
    </row>
    <row r="20337">
      <c r="A20337" s="10" t="s">
        <v>21776</v>
      </c>
      <c r="B20337" s="7" t="str">
        <f>IFERROR(__xludf.DUMMYFUNCTION("SPLIT(A20337,"" "")"),"Cc1nc(-c2cccc(N=Cc3ccccn3)c2)cn1C")</f>
        <v>Cc1nc(-c2cccc(N=Cc3ccccn3)c2)cn1C</v>
      </c>
      <c r="C20337" s="7">
        <f>IFERROR(__xludf.DUMMYFUNCTION("""COMPUTED_VALUE"""),7.7064486)</f>
        <v>7.7064486</v>
      </c>
      <c r="D20337" s="7">
        <f>IFERROR(__xludf.DUMMYFUNCTION("""COMPUTED_VALUE"""),0.423076923076923)</f>
        <v>0.4230769231</v>
      </c>
    </row>
    <row r="20338">
      <c r="A20338" s="10" t="s">
        <v>21777</v>
      </c>
      <c r="B20338" s="7" t="str">
        <f>IFERROR(__xludf.DUMMYFUNCTION("SPLIT(A20338,"" "")"),"CC(C)N(Cc1ccccn1)c1ccc2nc(CN(C)c3ccc4nccc(CF)c4c3)ccc2c1")</f>
        <v>CC(C)N(Cc1ccccn1)c1ccc2nc(CN(C)c3ccc4nccc(CF)c4c3)ccc2c1</v>
      </c>
      <c r="C20338" s="7">
        <f>IFERROR(__xludf.DUMMYFUNCTION("""COMPUTED_VALUE"""),7.7064414)</f>
        <v>7.7064414</v>
      </c>
      <c r="D20338" s="7">
        <f>IFERROR(__xludf.DUMMYFUNCTION("""COMPUTED_VALUE"""),0.387096774193548)</f>
        <v>0.3870967742</v>
      </c>
    </row>
    <row r="20339">
      <c r="A20339" s="10" t="s">
        <v>21778</v>
      </c>
      <c r="B20339" s="7" t="str">
        <f>IFERROR(__xludf.DUMMYFUNCTION("SPLIT(A20339,"" "")"),"CN(CCN(C)c1ccc2nc3c(cc2c1)CCC3)c1ccc2ncccc2c1")</f>
        <v>CN(CCN(C)c1ccc2nc3c(cc2c1)CCC3)c1ccc2ncccc2c1</v>
      </c>
      <c r="C20339" s="7">
        <f>IFERROR(__xludf.DUMMYFUNCTION("""COMPUTED_VALUE"""),7.706425)</f>
        <v>7.706425</v>
      </c>
      <c r="D20339" s="7">
        <f>IFERROR(__xludf.DUMMYFUNCTION("""COMPUTED_VALUE"""),0.385964912280701)</f>
        <v>0.3859649123</v>
      </c>
    </row>
    <row r="20340">
      <c r="A20340" s="10" t="s">
        <v>21779</v>
      </c>
      <c r="B20340" s="7" t="str">
        <f>IFERROR(__xludf.DUMMYFUNCTION("SPLIT(A20340,"" "")"),"CN(C)Cc1cnc2cc(N(C)CCN(C)c3ccc4nccc(CF)c4c3)ccc2c1")</f>
        <v>CN(C)Cc1cnc2cc(N(C)CCN(C)c3ccc4nccc(CF)c4c3)ccc2c1</v>
      </c>
      <c r="C20340" s="7">
        <f>IFERROR(__xludf.DUMMYFUNCTION("""COMPUTED_VALUE"""),7.7064233)</f>
        <v>7.7064233</v>
      </c>
      <c r="D20340" s="7">
        <f>IFERROR(__xludf.DUMMYFUNCTION("""COMPUTED_VALUE"""),0.233333333333333)</f>
        <v>0.2333333333</v>
      </c>
    </row>
    <row r="20341">
      <c r="A20341" s="10" t="s">
        <v>21780</v>
      </c>
      <c r="B20341" s="7" t="str">
        <f>IFERROR(__xludf.DUMMYFUNCTION("SPLIT(A20341,"" "")"),"CN(CCN(C)c1ccc2cccnc2c1)c1ccc2nc3c(cc2c1)CCC3")</f>
        <v>CN(CCN(C)c1ccc2cccnc2c1)c1ccc2nc3c(cc2c1)CCC3</v>
      </c>
      <c r="C20341" s="7">
        <f>IFERROR(__xludf.DUMMYFUNCTION("""COMPUTED_VALUE"""),7.706369)</f>
        <v>7.706369</v>
      </c>
      <c r="D20341" s="7">
        <f>IFERROR(__xludf.DUMMYFUNCTION("""COMPUTED_VALUE"""),0.366666666666666)</f>
        <v>0.3666666667</v>
      </c>
    </row>
    <row r="20342">
      <c r="A20342" s="10" t="s">
        <v>21781</v>
      </c>
      <c r="B20342" s="7" t="str">
        <f>IFERROR(__xludf.DUMMYFUNCTION("SPLIT(A20342,"" "")"),"CN(C)Cc1ccc2cc(N(C)Cc3ccc4cccc(N(C)Cc5ncccc5CF)c4n3)ccc2n1")</f>
        <v>CN(C)Cc1ccc2cc(N(C)Cc3ccc4cccc(N(C)Cc5ncccc5CF)c4n3)ccc2n1</v>
      </c>
      <c r="C20342" s="7">
        <f>IFERROR(__xludf.DUMMYFUNCTION("""COMPUTED_VALUE"""),7.7063646)</f>
        <v>7.7063646</v>
      </c>
      <c r="D20342" s="7">
        <f>IFERROR(__xludf.DUMMYFUNCTION("""COMPUTED_VALUE"""),0.389830508474576)</f>
        <v>0.3898305085</v>
      </c>
    </row>
    <row r="20343">
      <c r="A20343" s="10" t="s">
        <v>21782</v>
      </c>
      <c r="B20343" s="7" t="str">
        <f>IFERROR(__xludf.DUMMYFUNCTION("SPLIT(A20343,"" "")"),"CN(c1cccc2ncccc12)C1C=CC=C(N)N1")</f>
        <v>CN(c1cccc2ncccc12)C1C=CC=C(N)N1</v>
      </c>
      <c r="C20343" s="7">
        <f>IFERROR(__xludf.DUMMYFUNCTION("""COMPUTED_VALUE"""),7.706363)</f>
        <v>7.706363</v>
      </c>
      <c r="D20343" s="7">
        <f>IFERROR(__xludf.DUMMYFUNCTION("""COMPUTED_VALUE"""),0.303571428571428)</f>
        <v>0.3035714286</v>
      </c>
    </row>
    <row r="20344">
      <c r="A20344" s="10" t="s">
        <v>21783</v>
      </c>
      <c r="B20344" s="7" t="str">
        <f>IFERROR(__xludf.DUMMYFUNCTION("SPLIT(A20344,"" "")"),"CN(Cc1cccc(-c2cccc(N=Cc3ccccn3)c2)n1)Cc1nc2ccccc2o1")</f>
        <v>CN(Cc1cccc(-c2cccc(N=Cc3ccccn3)c2)n1)Cc1nc2ccccc2o1</v>
      </c>
      <c r="C20344" s="7">
        <f>IFERROR(__xludf.DUMMYFUNCTION("""COMPUTED_VALUE"""),7.706361)</f>
        <v>7.706361</v>
      </c>
      <c r="D20344" s="7">
        <f>IFERROR(__xludf.DUMMYFUNCTION("""COMPUTED_VALUE"""),0.412698412698412)</f>
        <v>0.4126984127</v>
      </c>
    </row>
    <row r="20345">
      <c r="A20345" s="10" t="s">
        <v>21784</v>
      </c>
      <c r="B20345" s="7" t="str">
        <f>IFERROR(__xludf.DUMMYFUNCTION("SPLIT(A20345,"" "")"),"COC(=O)c1cc(-c2cc(C(=O)C(=O)C(=O)C(=O)C(=O)C(=O)C(=O)C(=O)C(=O)C(=O)C(=O)C(=O)C(=O)C(=O)C(=O)C(=O)C(=O)C(=O)C(=O)C(=O)C(=O)C(=O)C(=O)C(=O)C(=O)C(=O)C(=O)C(=O)C(=O)C(=O)C(=O)C(=O)C(=O)C(=O)C(C)=O)ccn2)ccn1")</f>
        <v>COC(=O)c1cc(-c2cc(C(=O)C(=O)C(=O)C(=O)C(=O)C(=O)C(=O)C(=O)C(=O)C(=O)C(=O)C(=O)C(=O)C(=O)C(=O)C(=O)C(=O)C(=O)C(=O)C(=O)C(=O)C(=O)C(=O)C(=O)C(=O)C(=O)C(=O)C(=O)C(=O)C(=O)C(=O)C(=O)C(=O)C(=O)C(C)=O)ccn2)ccn1</v>
      </c>
      <c r="C20345" s="7">
        <f>IFERROR(__xludf.DUMMYFUNCTION("""COMPUTED_VALUE"""),7.7063446)</f>
        <v>7.7063446</v>
      </c>
      <c r="D20345" s="7">
        <f>IFERROR(__xludf.DUMMYFUNCTION("""COMPUTED_VALUE"""),0.25)</f>
        <v>0.25</v>
      </c>
    </row>
    <row r="20346">
      <c r="A20346" s="10" t="s">
        <v>21785</v>
      </c>
      <c r="B20346" s="7" t="str">
        <f>IFERROR(__xludf.DUMMYFUNCTION("SPLIT(A20346,"" "")"),"CC(C)N(Cc1ccccn1)c1ccc2nc(CN(C)c3ccc4ncccc4c3)ccc2c1")</f>
        <v>CC(C)N(Cc1ccccn1)c1ccc2nc(CN(C)c3ccc4ncccc4c3)ccc2c1</v>
      </c>
      <c r="C20346" s="7">
        <f>IFERROR(__xludf.DUMMYFUNCTION("""COMPUTED_VALUE"""),7.706324)</f>
        <v>7.706324</v>
      </c>
      <c r="D20346" s="7">
        <f>IFERROR(__xludf.DUMMYFUNCTION("""COMPUTED_VALUE"""),0.48076923076923)</f>
        <v>0.4807692308</v>
      </c>
    </row>
    <row r="20347">
      <c r="A20347" s="10" t="s">
        <v>21786</v>
      </c>
      <c r="B20347" s="7" t="str">
        <f>IFERROR(__xludf.DUMMYFUNCTION("SPLIT(A20347,"" "")"),"Cc1cncc(CN(C)c2c(Cl)cc3ncccc3c2N(C)Cc2cccc(C)n2)c1")</f>
        <v>Cc1cncc(CN(C)c2c(Cl)cc3ncccc3c2N(C)Cc2cccc(C)n2)c1</v>
      </c>
      <c r="C20347" s="7">
        <f>IFERROR(__xludf.DUMMYFUNCTION("""COMPUTED_VALUE"""),7.706282)</f>
        <v>7.706282</v>
      </c>
      <c r="D20347" s="7">
        <f>IFERROR(__xludf.DUMMYFUNCTION("""COMPUTED_VALUE"""),0.344827586206896)</f>
        <v>0.3448275862</v>
      </c>
    </row>
    <row r="20348">
      <c r="A20348" s="10" t="s">
        <v>21787</v>
      </c>
      <c r="B20348" s="7" t="str">
        <f>IFERROR(__xludf.DUMMYFUNCTION("SPLIT(A20348,"" "")"),"Cc1cc(CN(C)c2c(C)c(N(C)Cc3ccccn3)cc3cccnc23)cnc1C")</f>
        <v>Cc1cc(CN(C)c2c(C)c(N(C)Cc3ccccn3)cc3cccnc23)cnc1C</v>
      </c>
      <c r="C20348" s="7">
        <f>IFERROR(__xludf.DUMMYFUNCTION("""COMPUTED_VALUE"""),7.706165)</f>
        <v>7.706165</v>
      </c>
      <c r="D20348" s="7">
        <f>IFERROR(__xludf.DUMMYFUNCTION("""COMPUTED_VALUE"""),0.436363636363636)</f>
        <v>0.4363636364</v>
      </c>
    </row>
    <row r="20349">
      <c r="A20349" s="10" t="s">
        <v>21788</v>
      </c>
      <c r="B20349" s="7" t="str">
        <f>IFERROR(__xludf.DUMMYFUNCTION("SPLIT(A20349,"" "")"),"CN(C)Cc1cnc2cc(N(C)C)ccc2c1")</f>
        <v>CN(C)Cc1cnc2cc(N(C)C)ccc2c1</v>
      </c>
      <c r="C20349" s="7">
        <f>IFERROR(__xludf.DUMMYFUNCTION("""COMPUTED_VALUE"""),7.706141)</f>
        <v>7.706141</v>
      </c>
      <c r="D20349" s="7">
        <f>IFERROR(__xludf.DUMMYFUNCTION("""COMPUTED_VALUE"""),0.261904761904761)</f>
        <v>0.2619047619</v>
      </c>
    </row>
    <row r="20350">
      <c r="A20350" s="10" t="s">
        <v>21789</v>
      </c>
      <c r="B20350" s="7" t="str">
        <f>IFERROR(__xludf.DUMMYFUNCTION("SPLIT(A20350,"" "")"),"Cc1cncc(C)c1CN(C)Cc1cc(N(C)Cc2cc(-c3cccc(N(C)Cc4cc(-c5ccc6ncccc6c5)ccn4)c3)ccn2)ccn1")</f>
        <v>Cc1cncc(C)c1CN(C)Cc1cc(N(C)Cc2cc(-c3cccc(N(C)Cc4cc(-c5ccc6ncccc6c5)ccn4)c3)ccn2)ccn1</v>
      </c>
      <c r="C20350" s="7">
        <f>IFERROR(__xludf.DUMMYFUNCTION("""COMPUTED_VALUE"""),7.7061257)</f>
        <v>7.7061257</v>
      </c>
      <c r="D20350" s="7">
        <f>IFERROR(__xludf.DUMMYFUNCTION("""COMPUTED_VALUE"""),0.303030303030303)</f>
        <v>0.303030303</v>
      </c>
    </row>
    <row r="20351">
      <c r="A20351" s="10" t="s">
        <v>21790</v>
      </c>
      <c r="B20351" s="7" t="str">
        <f>IFERROR(__xludf.DUMMYFUNCTION("SPLIT(A20351,"" "")"),"CN(C)Cc1nccc2cc(N(C)CCN(C)c3cccc4ncc(CF)cc34)ccc12")</f>
        <v>CN(C)Cc1nccc2cc(N(C)CCN(C)c3cccc4ncc(CF)cc34)ccc12</v>
      </c>
      <c r="C20351" s="7">
        <f>IFERROR(__xludf.DUMMYFUNCTION("""COMPUTED_VALUE"""),7.7060895)</f>
        <v>7.7060895</v>
      </c>
      <c r="D20351" s="7">
        <f>IFERROR(__xludf.DUMMYFUNCTION("""COMPUTED_VALUE"""),0.333333333333333)</f>
        <v>0.3333333333</v>
      </c>
    </row>
    <row r="20352">
      <c r="A20352" s="10" t="s">
        <v>21791</v>
      </c>
      <c r="B20352" s="7" t="str">
        <f>IFERROR(__xludf.DUMMYFUNCTION("SPLIT(A20352,"" "")"),"Cc1ccnc(CN(C)c2cccc3c(C)cc(C)nc23)c1")</f>
        <v>Cc1ccnc(CN(C)c2cccc3c(C)cc(C)nc23)c1</v>
      </c>
      <c r="C20352" s="7">
        <f>IFERROR(__xludf.DUMMYFUNCTION("""COMPUTED_VALUE"""),7.706082)</f>
        <v>7.706082</v>
      </c>
      <c r="D20352" s="7">
        <f>IFERROR(__xludf.DUMMYFUNCTION("""COMPUTED_VALUE"""),0.372549019607843)</f>
        <v>0.3725490196</v>
      </c>
    </row>
    <row r="20353">
      <c r="A20353" s="10" t="s">
        <v>21792</v>
      </c>
      <c r="B20353" s="7" t="str">
        <f>IFERROR(__xludf.DUMMYFUNCTION("SPLIT(A20353,"" "")"),"FCc1cccc(NCc2cccc(-c3cccc(-c4cccc(-c5cccc(C(c6ccccn6)c6ccccn6)n5)n4)n3)n2)n1")</f>
        <v>FCc1cccc(NCc2cccc(-c3cccc(-c4cccc(-c5cccc(C(c6ccccn6)c6ccccn6)n5)n4)n3)n2)n1</v>
      </c>
      <c r="C20353" s="7">
        <f>IFERROR(__xludf.DUMMYFUNCTION("""COMPUTED_VALUE"""),7.7060695)</f>
        <v>7.7060695</v>
      </c>
      <c r="D20353" s="7">
        <f>IFERROR(__xludf.DUMMYFUNCTION("""COMPUTED_VALUE"""),0.388888888888888)</f>
        <v>0.3888888889</v>
      </c>
    </row>
    <row r="20354">
      <c r="A20354" s="10" t="s">
        <v>21793</v>
      </c>
      <c r="B20354" s="7" t="str">
        <f>IFERROR(__xludf.DUMMYFUNCTION("SPLIT(A20354,"" "")"),"CCNc1cccc2c(-c3cc(NCc4ccccn4)cc(C)c3-c3ccccc3)ccnc12")</f>
        <v>CCNc1cccc2c(-c3cc(NCc4ccccn4)cc(C)c3-c3ccccc3)ccnc12</v>
      </c>
      <c r="C20354" s="7">
        <f>IFERROR(__xludf.DUMMYFUNCTION("""COMPUTED_VALUE"""),7.70606)</f>
        <v>7.70606</v>
      </c>
      <c r="D20354" s="7">
        <f>IFERROR(__xludf.DUMMYFUNCTION("""COMPUTED_VALUE"""),0.415384615384615)</f>
        <v>0.4153846154</v>
      </c>
    </row>
    <row r="20355">
      <c r="A20355" s="10" t="s">
        <v>21794</v>
      </c>
      <c r="B20355" s="7" t="str">
        <f>IFERROR(__xludf.DUMMYFUNCTION("SPLIT(A20355,"" "")"),"CC(C)N(Cc1ccccn1)c1cccc2nccc(-c3ccccn3)c12")</f>
        <v>CC(C)N(Cc1ccccn1)c1cccc2nccc(-c3ccccn3)c12</v>
      </c>
      <c r="C20355" s="7">
        <f>IFERROR(__xludf.DUMMYFUNCTION("""COMPUTED_VALUE"""),7.7060523)</f>
        <v>7.7060523</v>
      </c>
      <c r="D20355" s="7">
        <f>IFERROR(__xludf.DUMMYFUNCTION("""COMPUTED_VALUE"""),0.458333333333333)</f>
        <v>0.4583333333</v>
      </c>
    </row>
    <row r="20356">
      <c r="A20356" s="10" t="s">
        <v>21795</v>
      </c>
      <c r="B20356" s="7" t="str">
        <f>IFERROR(__xludf.DUMMYFUNCTION("SPLIT(A20356,"" "")"),"CNCc1cc(-c2ccc3ncccc3c2)ccn1")</f>
        <v>CNCc1cc(-c2ccc3ncccc3c2)ccn1</v>
      </c>
      <c r="C20356" s="7">
        <f>IFERROR(__xludf.DUMMYFUNCTION("""COMPUTED_VALUE"""),7.7060175)</f>
        <v>7.7060175</v>
      </c>
      <c r="D20356" s="7">
        <f>IFERROR(__xludf.DUMMYFUNCTION("""COMPUTED_VALUE"""),0.303571428571428)</f>
        <v>0.3035714286</v>
      </c>
    </row>
    <row r="20357">
      <c r="A20357" s="10" t="s">
        <v>21796</v>
      </c>
      <c r="B20357" s="7" t="str">
        <f>IFERROR(__xludf.DUMMYFUNCTION("SPLIT(A20357,"" "")"),"CN(C)Cc1cnc2ccc(N(C)CCN(C)c3ccc4ncccc4c3)cc2c1")</f>
        <v>CN(C)Cc1cnc2ccc(N(C)CCN(C)c3ccc4ncccc4c3)cc2c1</v>
      </c>
      <c r="C20357" s="7">
        <f>IFERROR(__xludf.DUMMYFUNCTION("""COMPUTED_VALUE"""),7.706006)</f>
        <v>7.706006</v>
      </c>
      <c r="D20357" s="7">
        <f>IFERROR(__xludf.DUMMYFUNCTION("""COMPUTED_VALUE"""),0.375)</f>
        <v>0.375</v>
      </c>
    </row>
    <row r="20358">
      <c r="A20358" s="10" t="s">
        <v>21797</v>
      </c>
      <c r="B20358" s="7" t="str">
        <f>IFERROR(__xludf.DUMMYFUNCTION("SPLIT(A20358,"" "")"),"Cc1cccnc1CN(C)c1ccc2nc(CN(C)Cc3cccc(N(C)c4ccc5ncccc5c4)n3)ccc2c1")</f>
        <v>Cc1cccnc1CN(C)c1ccc2nc(CN(C)Cc3cccc(N(C)c4ccc5ncccc5c4)n3)ccc2c1</v>
      </c>
      <c r="C20358" s="7">
        <f>IFERROR(__xludf.DUMMYFUNCTION("""COMPUTED_VALUE"""),7.705977)</f>
        <v>7.705977</v>
      </c>
      <c r="D20358" s="7">
        <f>IFERROR(__xludf.DUMMYFUNCTION("""COMPUTED_VALUE"""),0.338709677419354)</f>
        <v>0.3387096774</v>
      </c>
    </row>
    <row r="20359">
      <c r="A20359" s="10" t="s">
        <v>21798</v>
      </c>
      <c r="B20359" s="7" t="str">
        <f>IFERROR(__xludf.DUMMYFUNCTION("SPLIT(A20359,"" "")"),"Cc1cccnc1CN(C)c1ccc2ncccc2c1C")</f>
        <v>Cc1cccnc1CN(C)c1ccc2ncccc2c1C</v>
      </c>
      <c r="C20359" s="7">
        <f>IFERROR(__xludf.DUMMYFUNCTION("""COMPUTED_VALUE"""),7.705967)</f>
        <v>7.705967</v>
      </c>
      <c r="D20359" s="7">
        <f>IFERROR(__xludf.DUMMYFUNCTION("""COMPUTED_VALUE"""),0.326530612244897)</f>
        <v>0.3265306122</v>
      </c>
    </row>
    <row r="20360">
      <c r="A20360" s="10" t="s">
        <v>21799</v>
      </c>
      <c r="B20360" s="7" t="str">
        <f>IFERROR(__xludf.DUMMYFUNCTION("SPLIT(A20360,"" "")"),"Cc1ccnc(CN(C)c2ccc3nc(C)cc(C)c3c2)c1")</f>
        <v>Cc1ccnc(CN(C)c2ccc3nc(C)cc(C)c3c2)c1</v>
      </c>
      <c r="C20360" s="7">
        <f>IFERROR(__xludf.DUMMYFUNCTION("""COMPUTED_VALUE"""),7.7059283)</f>
        <v>7.7059283</v>
      </c>
      <c r="D20360" s="7">
        <f>IFERROR(__xludf.DUMMYFUNCTION("""COMPUTED_VALUE"""),0.320754716981132)</f>
        <v>0.320754717</v>
      </c>
    </row>
    <row r="20361">
      <c r="A20361" s="10" t="s">
        <v>21800</v>
      </c>
      <c r="B20361" s="7" t="str">
        <f>IFERROR(__xludf.DUMMYFUNCTION("SPLIT(A20361,"" "")"),"Cc1cnc(CN(C)c2c(C)ccc3ncccc23)c(C)c1C")</f>
        <v>Cc1cnc(CN(C)c2c(C)ccc3ncccc23)c(C)c1C</v>
      </c>
      <c r="C20361" s="7">
        <f>IFERROR(__xludf.DUMMYFUNCTION("""COMPUTED_VALUE"""),7.7058253)</f>
        <v>7.7058253</v>
      </c>
      <c r="D20361" s="7">
        <f>IFERROR(__xludf.DUMMYFUNCTION("""COMPUTED_VALUE"""),0.283018867924528)</f>
        <v>0.2830188679</v>
      </c>
    </row>
    <row r="20362">
      <c r="A20362" s="10" t="s">
        <v>21801</v>
      </c>
      <c r="B20362" s="7" t="str">
        <f>IFERROR(__xludf.DUMMYFUNCTION("SPLIT(A20362,"" "")"),"Cc1ccnc2cc(N(C)CCCN(C)c3ccc4ncccc4c3)ccc12")</f>
        <v>Cc1ccnc2cc(N(C)CCCN(C)c3ccc4ncccc4c3)ccc12</v>
      </c>
      <c r="C20362" s="7">
        <f>IFERROR(__xludf.DUMMYFUNCTION("""COMPUTED_VALUE"""),7.705817)</f>
        <v>7.705817</v>
      </c>
      <c r="D20362" s="7">
        <f>IFERROR(__xludf.DUMMYFUNCTION("""COMPUTED_VALUE"""),0.408163265306122)</f>
        <v>0.4081632653</v>
      </c>
    </row>
    <row r="20363">
      <c r="A20363" s="10" t="s">
        <v>21802</v>
      </c>
      <c r="B20363" s="7" t="str">
        <f>IFERROR(__xludf.DUMMYFUNCTION("SPLIT(A20363,"" "")"),"Cc1ccnc2ccc(N(C)CCN(C)Cc3nc4ccccc4n3C)cc12")</f>
        <v>Cc1ccnc2ccc(N(C)CCN(C)Cc3nc4ccccc4n3C)cc12</v>
      </c>
      <c r="C20363" s="7">
        <f>IFERROR(__xludf.DUMMYFUNCTION("""COMPUTED_VALUE"""),7.7057967)</f>
        <v>7.7057967</v>
      </c>
      <c r="D20363" s="7">
        <f>IFERROR(__xludf.DUMMYFUNCTION("""COMPUTED_VALUE"""),0.366666666666666)</f>
        <v>0.3666666667</v>
      </c>
    </row>
    <row r="20364">
      <c r="A20364" s="10" t="s">
        <v>21803</v>
      </c>
      <c r="B20364" s="7" t="str">
        <f>IFERROR(__xludf.DUMMYFUNCTION("SPLIT(A20364,"" "")"),"CN(C)Cc1ccc2ccc(N(C)CCN(C)c3ccc4cccnc4c3)cc2n1")</f>
        <v>CN(C)Cc1ccc2ccc(N(C)CCN(C)c3ccc4cccnc4c3)cc2n1</v>
      </c>
      <c r="C20364" s="7">
        <f>IFERROR(__xludf.DUMMYFUNCTION("""COMPUTED_VALUE"""),7.705796)</f>
        <v>7.705796</v>
      </c>
      <c r="D20364" s="7">
        <f>IFERROR(__xludf.DUMMYFUNCTION("""COMPUTED_VALUE"""),0.456521739130434)</f>
        <v>0.4565217391</v>
      </c>
    </row>
    <row r="20365">
      <c r="A20365" s="10" t="s">
        <v>21804</v>
      </c>
      <c r="B20365" s="7" t="str">
        <f>IFERROR(__xludf.DUMMYFUNCTION("SPLIT(A20365,"" "")"),"Cc1cccnc1CN(C)c1cc(N(Cc2ccccn2)C(C)C)c(Cl)cc1N(C)c1cccc2ncccc12")</f>
        <v>Cc1cccnc1CN(C)c1cc(N(Cc2ccccn2)C(C)C)c(Cl)cc1N(C)c1cccc2ncccc12</v>
      </c>
      <c r="C20365" s="7">
        <f>IFERROR(__xludf.DUMMYFUNCTION("""COMPUTED_VALUE"""),7.7057953)</f>
        <v>7.7057953</v>
      </c>
      <c r="D20365" s="7">
        <f>IFERROR(__xludf.DUMMYFUNCTION("""COMPUTED_VALUE"""),0.45)</f>
        <v>0.45</v>
      </c>
    </row>
    <row r="20366">
      <c r="A20366" s="10" t="s">
        <v>21805</v>
      </c>
      <c r="B20366" s="7" t="str">
        <f>IFERROR(__xludf.DUMMYFUNCTION("SPLIT(A20366,"" "")"),"CN(C)Cc1cnc2cccc(N(C)C)c2c1")</f>
        <v>CN(C)Cc1cnc2cccc(N(C)C)c2c1</v>
      </c>
      <c r="C20366" s="7">
        <f>IFERROR(__xludf.DUMMYFUNCTION("""COMPUTED_VALUE"""),7.7057934)</f>
        <v>7.7057934</v>
      </c>
      <c r="D20366" s="7">
        <f>IFERROR(__xludf.DUMMYFUNCTION("""COMPUTED_VALUE"""),0.282608695652173)</f>
        <v>0.2826086957</v>
      </c>
    </row>
    <row r="20367">
      <c r="A20367" s="10" t="s">
        <v>21806</v>
      </c>
      <c r="B20367" s="7" t="str">
        <f>IFERROR(__xludf.DUMMYFUNCTION("SPLIT(A20367,"" "")"),"CN(CCN(C)c1ccc2ncccc2c1)Cc1ncccc1-c1ccc2ncccc2c1")</f>
        <v>CN(CCN(C)c1ccc2ncccc2c1)Cc1ncccc1-c1ccc2ncccc2c1</v>
      </c>
      <c r="C20367" s="7">
        <f>IFERROR(__xludf.DUMMYFUNCTION("""COMPUTED_VALUE"""),7.7057924)</f>
        <v>7.7057924</v>
      </c>
      <c r="D20367" s="7">
        <f>IFERROR(__xludf.DUMMYFUNCTION("""COMPUTED_VALUE"""),0.384615384615384)</f>
        <v>0.3846153846</v>
      </c>
    </row>
    <row r="20368">
      <c r="A20368" s="10" t="s">
        <v>21807</v>
      </c>
      <c r="B20368" s="7" t="str">
        <f>IFERROR(__xludf.DUMMYFUNCTION("SPLIT(A20368,"" "")"),"CN(CCN(C)c1ccc2nccc(CF)c2c1)c1ccc2nc3c(cc2c1)CCC3")</f>
        <v>CN(CCN(C)c1ccc2nccc(CF)c2c1)c1ccc2nc3c(cc2c1)CCC3</v>
      </c>
      <c r="C20368" s="7">
        <f>IFERROR(__xludf.DUMMYFUNCTION("""COMPUTED_VALUE"""),7.705776)</f>
        <v>7.705776</v>
      </c>
      <c r="D20368" s="7">
        <f>IFERROR(__xludf.DUMMYFUNCTION("""COMPUTED_VALUE"""),0.303030303030303)</f>
        <v>0.303030303</v>
      </c>
    </row>
    <row r="20369">
      <c r="A20369" s="10" t="s">
        <v>21808</v>
      </c>
      <c r="B20369" s="7" t="str">
        <f>IFERROR(__xludf.DUMMYFUNCTION("SPLIT(A20369,"" "")"),"CCN(Cc1ccccn1)c1ccc2nccc(-c3ccccc3N=Cc3ccccn3)c2c1")</f>
        <v>CCN(Cc1ccccn1)c1ccc2nccc(-c3ccccc3N=Cc3ccccn3)c2c1</v>
      </c>
      <c r="C20369" s="7">
        <f>IFERROR(__xludf.DUMMYFUNCTION("""COMPUTED_VALUE"""),7.705774)</f>
        <v>7.705774</v>
      </c>
      <c r="D20369" s="7">
        <f>IFERROR(__xludf.DUMMYFUNCTION("""COMPUTED_VALUE"""),0.389830508474576)</f>
        <v>0.3898305085</v>
      </c>
    </row>
    <row r="20370">
      <c r="A20370" s="10" t="s">
        <v>21809</v>
      </c>
      <c r="B20370" s="7" t="str">
        <f>IFERROR(__xludf.DUMMYFUNCTION("SPLIT(A20370,"" "")"),"CN(C)Cc1ccc2ccc(N(C)C)cc2n1")</f>
        <v>CN(C)Cc1ccc2ccc(N(C)C)cc2n1</v>
      </c>
      <c r="C20370" s="7">
        <f>IFERROR(__xludf.DUMMYFUNCTION("""COMPUTED_VALUE"""),7.7057586)</f>
        <v>7.7057586</v>
      </c>
      <c r="D20370" s="7">
        <f>IFERROR(__xludf.DUMMYFUNCTION("""COMPUTED_VALUE"""),0.428571428571428)</f>
        <v>0.4285714286</v>
      </c>
    </row>
    <row r="20371">
      <c r="A20371" s="10" t="s">
        <v>21810</v>
      </c>
      <c r="B20371" s="7" t="str">
        <f>IFERROR(__xludf.DUMMYFUNCTION("SPLIT(A20371,"" "")"),"CN(C)Cc1ccc2cc(N(C)CCN(C)c3cccc4ncccc34)ccc2n1")</f>
        <v>CN(C)Cc1ccc2cc(N(C)CCN(C)c3cccc4ncccc34)ccc2n1</v>
      </c>
      <c r="C20371" s="7">
        <f>IFERROR(__xludf.DUMMYFUNCTION("""COMPUTED_VALUE"""),7.7057467)</f>
        <v>7.7057467</v>
      </c>
      <c r="D20371" s="7">
        <f>IFERROR(__xludf.DUMMYFUNCTION("""COMPUTED_VALUE"""),0.44)</f>
        <v>0.44</v>
      </c>
    </row>
    <row r="20372">
      <c r="A20372" s="10" t="s">
        <v>21811</v>
      </c>
      <c r="B20372" s="7" t="str">
        <f>IFERROR(__xludf.DUMMYFUNCTION("SPLIT(A20372,"" "")"),"Cc1ccnc(CN(C)Cc2ccc3cc(N(C)c4ccc5ncccc5c4)ccc3n2)c1")</f>
        <v>Cc1ccnc(CN(C)Cc2ccc3cc(N(C)c4ccc5ncccc5c4)ccc3n2)c1</v>
      </c>
      <c r="C20372" s="7">
        <f>IFERROR(__xludf.DUMMYFUNCTION("""COMPUTED_VALUE"""),7.7057385)</f>
        <v>7.7057385</v>
      </c>
      <c r="D20372" s="7">
        <f>IFERROR(__xludf.DUMMYFUNCTION("""COMPUTED_VALUE"""),0.396226415094339)</f>
        <v>0.3962264151</v>
      </c>
    </row>
    <row r="20373">
      <c r="A20373" s="10" t="s">
        <v>21812</v>
      </c>
      <c r="B20373" s="7" t="str">
        <f>IFERROR(__xludf.DUMMYFUNCTION("SPLIT(A20373,"" "")"),"CN(C)Cc1ccc2c(N(C)C)cccc2n1")</f>
        <v>CN(C)Cc1ccc2c(N(C)C)cccc2n1</v>
      </c>
      <c r="C20373" s="7">
        <f>IFERROR(__xludf.DUMMYFUNCTION("""COMPUTED_VALUE"""),7.7057385)</f>
        <v>7.7057385</v>
      </c>
      <c r="D20373" s="7">
        <f>IFERROR(__xludf.DUMMYFUNCTION("""COMPUTED_VALUE"""),0.394736842105263)</f>
        <v>0.3947368421</v>
      </c>
    </row>
    <row r="20374">
      <c r="A20374" s="10" t="s">
        <v>21813</v>
      </c>
      <c r="B20374" s="7" t="str">
        <f>IFERROR(__xludf.DUMMYFUNCTION("SPLIT(A20374,"" "")"),"CN(CCN(C)c1cccc2ncc(CF)cc12)c1cccc2ncc(CF)cc12")</f>
        <v>CN(CCN(C)c1cccc2ncc(CF)cc12)c1cccc2ncc(CF)cc12</v>
      </c>
      <c r="C20374" s="7">
        <f>IFERROR(__xludf.DUMMYFUNCTION("""COMPUTED_VALUE"""),7.705735)</f>
        <v>7.705735</v>
      </c>
      <c r="D20374" s="7">
        <f>IFERROR(__xludf.DUMMYFUNCTION("""COMPUTED_VALUE"""),0.41860465116279)</f>
        <v>0.4186046512</v>
      </c>
    </row>
    <row r="20375">
      <c r="A20375" s="10" t="s">
        <v>21814</v>
      </c>
      <c r="B20375" s="7" t="str">
        <f>IFERROR(__xludf.DUMMYFUNCTION("SPLIT(A20375,"" "")"),"CN(c1ccc2nc(-c3ccc4cccnc4c3)ccc2c1)C1CCC(N(C)c2ccc3c(CF)ccnc3c2)CC1")</f>
        <v>CN(c1ccc2nc(-c3ccc4cccnc4c3)ccc2c1)C1CCC(N(C)c2ccc3c(CF)ccnc3c2)CC1</v>
      </c>
      <c r="C20375" s="7">
        <f>IFERROR(__xludf.DUMMYFUNCTION("""COMPUTED_VALUE"""),7.7057204)</f>
        <v>7.7057204</v>
      </c>
      <c r="D20375" s="7">
        <f>IFERROR(__xludf.DUMMYFUNCTION("""COMPUTED_VALUE"""),0.26865671641791)</f>
        <v>0.2686567164</v>
      </c>
    </row>
    <row r="20376">
      <c r="A20376" s="10" t="s">
        <v>21815</v>
      </c>
      <c r="B20376" s="7" t="str">
        <f>IFERROR(__xludf.DUMMYFUNCTION("SPLIT(A20376,"" "")"),"CC(C)N(Cc1ccc(-c2cccc(N(C)C)c2)cn1)c1ccc2ncccc2c1")</f>
        <v>CC(C)N(Cc1ccc(-c2cccc(N(C)C)c2)cn1)c1ccc2ncccc2c1</v>
      </c>
      <c r="C20376" s="7">
        <f>IFERROR(__xludf.DUMMYFUNCTION("""COMPUTED_VALUE"""),7.7057123)</f>
        <v>7.7057123</v>
      </c>
      <c r="D20376" s="7">
        <f>IFERROR(__xludf.DUMMYFUNCTION("""COMPUTED_VALUE"""),0.288135593220339)</f>
        <v>0.2881355932</v>
      </c>
    </row>
    <row r="20377">
      <c r="A20377" s="10" t="s">
        <v>21816</v>
      </c>
      <c r="B20377" s="7" t="str">
        <f>IFERROR(__xludf.DUMMYFUNCTION("SPLIT(A20377,"" "")"),"CN(c1ccc2nc(-c3ccc4ncccc4c3)ccc2c1)C1CCCCC1N(C)c1ccc2nccc(CF)c2c1")</f>
        <v>CN(c1ccc2nc(-c3ccc4ncccc4c3)ccc2c1)C1CCCCC1N(C)c1ccc2nccc(CF)c2c1</v>
      </c>
      <c r="C20377" s="7">
        <f>IFERROR(__xludf.DUMMYFUNCTION("""COMPUTED_VALUE"""),7.705705)</f>
        <v>7.705705</v>
      </c>
      <c r="D20377" s="7">
        <f>IFERROR(__xludf.DUMMYFUNCTION("""COMPUTED_VALUE"""),0.38095238095238)</f>
        <v>0.380952381</v>
      </c>
    </row>
    <row r="20378">
      <c r="A20378" s="10" t="s">
        <v>21817</v>
      </c>
      <c r="B20378" s="7" t="str">
        <f>IFERROR(__xludf.DUMMYFUNCTION("SPLIT(A20378,"" "")"),"CN(O)C1=CCC=C(CN(C)c2ccc3cccnc3c2)N1")</f>
        <v>CN(O)C1=CCC=C(CN(C)c2ccc3cccnc3c2)N1</v>
      </c>
      <c r="C20378" s="7">
        <f>IFERROR(__xludf.DUMMYFUNCTION("""COMPUTED_VALUE"""),7.7056565)</f>
        <v>7.7056565</v>
      </c>
      <c r="D20378" s="7">
        <f>IFERROR(__xludf.DUMMYFUNCTION("""COMPUTED_VALUE"""),0.288135593220339)</f>
        <v>0.2881355932</v>
      </c>
    </row>
    <row r="20379">
      <c r="A20379" s="10" t="s">
        <v>21818</v>
      </c>
      <c r="B20379" s="7" t="str">
        <f>IFERROR(__xludf.DUMMYFUNCTION("SPLIT(A20379,"" "")"),"CN(C)Cc1nccc2cc(N(C)Cc3ccon3)ccc12")</f>
        <v>CN(C)Cc1nccc2cc(N(C)Cc3ccon3)ccc12</v>
      </c>
      <c r="C20379" s="7">
        <f>IFERROR(__xludf.DUMMYFUNCTION("""COMPUTED_VALUE"""),7.7056537)</f>
        <v>7.7056537</v>
      </c>
      <c r="D20379" s="7">
        <f>IFERROR(__xludf.DUMMYFUNCTION("""COMPUTED_VALUE"""),0.413043478260869)</f>
        <v>0.4130434783</v>
      </c>
    </row>
    <row r="20380">
      <c r="A20380" s="10" t="s">
        <v>21819</v>
      </c>
      <c r="B20380" s="7" t="str">
        <f>IFERROR(__xludf.DUMMYFUNCTION("SPLIT(A20380,"" "")"),"CC(C)N(Cc1ccccn1)c1cccc(-c2cc(-c3cc(C4=CCC=CN4)ccn3)ccn2)c1")</f>
        <v>CC(C)N(Cc1ccccn1)c1cccc(-c2cc(-c3cc(C4=CCC=CN4)ccn3)ccn2)c1</v>
      </c>
      <c r="C20380" s="7">
        <f>IFERROR(__xludf.DUMMYFUNCTION("""COMPUTED_VALUE"""),7.7056465)</f>
        <v>7.7056465</v>
      </c>
      <c r="D20380" s="7">
        <f>IFERROR(__xludf.DUMMYFUNCTION("""COMPUTED_VALUE"""),0.428571428571428)</f>
        <v>0.4285714286</v>
      </c>
    </row>
    <row r="20381">
      <c r="A20381" s="10" t="s">
        <v>21820</v>
      </c>
      <c r="B20381" s="7" t="str">
        <f>IFERROR(__xludf.DUMMYFUNCTION("SPLIT(A20381,"" "")"),"Cc1cc(N(C)Cc2cccc(N)n2)cc2ncccc12")</f>
        <v>Cc1cc(N(C)Cc2cccc(N)n2)cc2ncccc12</v>
      </c>
      <c r="C20381" s="7">
        <f>IFERROR(__xludf.DUMMYFUNCTION("""COMPUTED_VALUE"""),7.705612)</f>
        <v>7.705612</v>
      </c>
      <c r="D20381" s="7">
        <f>IFERROR(__xludf.DUMMYFUNCTION("""COMPUTED_VALUE"""),0.339622641509433)</f>
        <v>0.3396226415</v>
      </c>
    </row>
    <row r="20382">
      <c r="A20382" s="10" t="s">
        <v>21821</v>
      </c>
      <c r="B20382" s="7" t="str">
        <f>IFERROR(__xludf.DUMMYFUNCTION("SPLIT(A20382,"" "")"),"CN(C)c1cccc2nc(CF)ccc12")</f>
        <v>CN(C)c1cccc2nc(CF)ccc12</v>
      </c>
      <c r="C20382" s="7">
        <f>IFERROR(__xludf.DUMMYFUNCTION("""COMPUTED_VALUE"""),7.705602)</f>
        <v>7.705602</v>
      </c>
      <c r="D20382" s="7">
        <f>IFERROR(__xludf.DUMMYFUNCTION("""COMPUTED_VALUE"""),0.425531914893617)</f>
        <v>0.4255319149</v>
      </c>
    </row>
    <row r="20383">
      <c r="A20383" s="10" t="s">
        <v>21822</v>
      </c>
      <c r="B20383" s="7" t="str">
        <f>IFERROR(__xludf.DUMMYFUNCTION("SPLIT(A20383,"" "")"),"Cc1ccnc2ccc(N(C)CCCN(C)c3ccc4nccc(CF)c4c3)cc12")</f>
        <v>Cc1ccnc2ccc(N(C)CCCN(C)c3ccc4nccc(CF)c4c3)cc12</v>
      </c>
      <c r="C20383" s="7">
        <f>IFERROR(__xludf.DUMMYFUNCTION("""COMPUTED_VALUE"""),7.7055984)</f>
        <v>7.7055984</v>
      </c>
      <c r="D20383" s="7">
        <f>IFERROR(__xludf.DUMMYFUNCTION("""COMPUTED_VALUE"""),0.277777777777777)</f>
        <v>0.2777777778</v>
      </c>
    </row>
    <row r="20384">
      <c r="A20384" s="10" t="s">
        <v>21823</v>
      </c>
      <c r="B20384" s="7" t="str">
        <f>IFERROR(__xludf.DUMMYFUNCTION("SPLIT(A20384,"" "")"),"CN(c1ccc2nc(-c3ccc4ncccc4c3)ccc2c1)C1CCC(N(C)c2ccc3c(CF)ccnc3c2)CC1")</f>
        <v>CN(c1ccc2nc(-c3ccc4ncccc4c3)ccc2c1)C1CCC(N(C)c2ccc3c(CF)ccnc3c2)CC1</v>
      </c>
      <c r="C20384" s="7">
        <f>IFERROR(__xludf.DUMMYFUNCTION("""COMPUTED_VALUE"""),7.7055345)</f>
        <v>7.7055345</v>
      </c>
      <c r="D20384" s="7">
        <f>IFERROR(__xludf.DUMMYFUNCTION("""COMPUTED_VALUE"""),0.272727272727272)</f>
        <v>0.2727272727</v>
      </c>
    </row>
    <row r="20385">
      <c r="A20385" s="10" t="s">
        <v>21824</v>
      </c>
      <c r="B20385" s="7" t="str">
        <f>IFERROR(__xludf.DUMMYFUNCTION("SPLIT(A20385,"" "")"),"CN(C)c1cccc2ncc(CF)cc12")</f>
        <v>CN(C)c1cccc2ncc(CF)cc12</v>
      </c>
      <c r="C20385" s="7">
        <f>IFERROR(__xludf.DUMMYFUNCTION("""COMPUTED_VALUE"""),7.705496)</f>
        <v>7.705496</v>
      </c>
      <c r="D20385" s="7">
        <f>IFERROR(__xludf.DUMMYFUNCTION("""COMPUTED_VALUE"""),0.282608695652173)</f>
        <v>0.2826086957</v>
      </c>
    </row>
    <row r="20386">
      <c r="A20386" s="10" t="s">
        <v>21825</v>
      </c>
      <c r="B20386" s="7" t="str">
        <f>IFERROR(__xludf.DUMMYFUNCTION("SPLIT(A20386,"" "")"),"Cc1nc(CN(C)c2cc(N(C)Cc3ccccn3)c3cccnc3c2)c(C)c(C)c1C")</f>
        <v>Cc1nc(CN(C)c2cc(N(C)Cc3ccccn3)c3cccnc3c2)c(C)c(C)c1C</v>
      </c>
      <c r="C20386" s="7">
        <f>IFERROR(__xludf.DUMMYFUNCTION("""COMPUTED_VALUE"""),7.7054944)</f>
        <v>7.7054944</v>
      </c>
      <c r="D20386" s="7">
        <f>IFERROR(__xludf.DUMMYFUNCTION("""COMPUTED_VALUE"""),0.444444444444444)</f>
        <v>0.4444444444</v>
      </c>
    </row>
    <row r="20387">
      <c r="A20387" s="10" t="s">
        <v>21826</v>
      </c>
      <c r="B20387" s="7" t="str">
        <f>IFERROR(__xludf.DUMMYFUNCTION("SPLIT(A20387,"" "")"),"Cc1cnc(CN(C)c2cc(Cl)c(N(C)c3cccc4ncccc34)cc2N(Cc2ccccn2)C(C)C)c(C)c1C")</f>
        <v>Cc1cnc(CN(C)c2cc(Cl)c(N(C)c3cccc4ncccc34)cc2N(Cc2ccccn2)C(C)C)c(C)c1C</v>
      </c>
      <c r="C20387" s="7">
        <f>IFERROR(__xludf.DUMMYFUNCTION("""COMPUTED_VALUE"""),7.705428)</f>
        <v>7.705428</v>
      </c>
      <c r="D20387" s="7">
        <f>IFERROR(__xludf.DUMMYFUNCTION("""COMPUTED_VALUE"""),0.428571428571428)</f>
        <v>0.4285714286</v>
      </c>
    </row>
    <row r="20388">
      <c r="A20388" s="10" t="s">
        <v>21827</v>
      </c>
      <c r="B20388" s="7" t="str">
        <f>IFERROR(__xludf.DUMMYFUNCTION("SPLIT(A20388,"" "")"),"c1ccc2c(CN(Cc3nccc4ccccc34)Cc3ccnc4ccccc34)nccc2c1")</f>
        <v>c1ccc2c(CN(Cc3nccc4ccccc34)Cc3ccnc4ccccc34)nccc2c1</v>
      </c>
      <c r="C20388" s="7">
        <f>IFERROR(__xludf.DUMMYFUNCTION("""COMPUTED_VALUE"""),7.705398)</f>
        <v>7.705398</v>
      </c>
      <c r="D20388" s="7">
        <f>IFERROR(__xludf.DUMMYFUNCTION("""COMPUTED_VALUE"""),0.369565217391304)</f>
        <v>0.3695652174</v>
      </c>
    </row>
    <row r="20389">
      <c r="A20389" s="10" t="s">
        <v>21828</v>
      </c>
      <c r="B20389" s="7" t="str">
        <f>IFERROR(__xludf.DUMMYFUNCTION("SPLIT(A20389,"" "")"),"CN(Cc1ccc2ncccc2c1)Cc1cc(N(C)c2ccc3ncccc3c2)ccn1")</f>
        <v>CN(Cc1ccc2ncccc2c1)Cc1cc(N(C)c2ccc3ncccc3c2)ccn1</v>
      </c>
      <c r="C20389" s="7">
        <f>IFERROR(__xludf.DUMMYFUNCTION("""COMPUTED_VALUE"""),7.7053876)</f>
        <v>7.7053876</v>
      </c>
      <c r="D20389" s="7">
        <f>IFERROR(__xludf.DUMMYFUNCTION("""COMPUTED_VALUE"""),0.363636363636363)</f>
        <v>0.3636363636</v>
      </c>
    </row>
    <row r="20390">
      <c r="A20390" s="10" t="s">
        <v>21829</v>
      </c>
      <c r="B20390" s="7" t="str">
        <f>IFERROR(__xludf.DUMMYFUNCTION("SPLIT(A20390,"" "")"),"CN(C)c1ccc2nc3c(cc2c1)CCC3")</f>
        <v>CN(C)c1ccc2nc3c(cc2c1)CCC3</v>
      </c>
      <c r="C20390" s="7">
        <f>IFERROR(__xludf.DUMMYFUNCTION("""COMPUTED_VALUE"""),7.7053347)</f>
        <v>7.7053347</v>
      </c>
      <c r="D20390" s="7">
        <f>IFERROR(__xludf.DUMMYFUNCTION("""COMPUTED_VALUE"""),0.408163265306122)</f>
        <v>0.4081632653</v>
      </c>
    </row>
    <row r="20391">
      <c r="A20391" s="10" t="s">
        <v>21830</v>
      </c>
      <c r="B20391" s="7" t="str">
        <f>IFERROR(__xludf.DUMMYFUNCTION("SPLIT(A20391,"" "")"),"CN(c1ccc2cccnc2c1)C1CCC(N(C)c2ccc3cc(-c4ccc5ncccc5c4)cnc3c2)CC1")</f>
        <v>CN(c1ccc2cccnc2c1)C1CCC(N(C)c2ccc3cc(-c4ccc5ncccc5c4)cnc3c2)CC1</v>
      </c>
      <c r="C20391" s="7">
        <f>IFERROR(__xludf.DUMMYFUNCTION("""COMPUTED_VALUE"""),7.7053304)</f>
        <v>7.7053304</v>
      </c>
      <c r="D20391" s="7">
        <f>IFERROR(__xludf.DUMMYFUNCTION("""COMPUTED_VALUE"""),0.321428571428571)</f>
        <v>0.3214285714</v>
      </c>
    </row>
    <row r="20392">
      <c r="A20392" s="10" t="s">
        <v>21831</v>
      </c>
      <c r="B20392" s="7" t="str">
        <f>IFERROR(__xludf.DUMMYFUNCTION("SPLIT(A20392,"" "")"),"CNCc1nccc2cc(N(C)CCN(C)c3cccc4ccc(C)nc34)ccc12")</f>
        <v>CNCc1nccc2cc(N(C)CCN(C)c3cccc4ccc(C)nc34)ccc12</v>
      </c>
      <c r="C20392" s="7">
        <f>IFERROR(__xludf.DUMMYFUNCTION("""COMPUTED_VALUE"""),7.70532)</f>
        <v>7.70532</v>
      </c>
      <c r="D20392" s="7">
        <f>IFERROR(__xludf.DUMMYFUNCTION("""COMPUTED_VALUE"""),0.418181818181818)</f>
        <v>0.4181818182</v>
      </c>
    </row>
    <row r="20393">
      <c r="A20393" s="10" t="s">
        <v>21832</v>
      </c>
      <c r="B20393" s="7" t="str">
        <f>IFERROR(__xludf.DUMMYFUNCTION("SPLIT(A20393,"" "")"),"Cc1cccnc1CN(C)c1cccc2c(C)c(C)cnc12")</f>
        <v>Cc1cccnc1CN(C)c1cccc2c(C)c(C)cnc12</v>
      </c>
      <c r="C20393" s="7">
        <f>IFERROR(__xludf.DUMMYFUNCTION("""COMPUTED_VALUE"""),7.7051425)</f>
        <v>7.7051425</v>
      </c>
      <c r="D20393" s="7">
        <f>IFERROR(__xludf.DUMMYFUNCTION("""COMPUTED_VALUE"""),0.404255319148936)</f>
        <v>0.4042553191</v>
      </c>
    </row>
    <row r="20394">
      <c r="A20394" s="10" t="s">
        <v>21833</v>
      </c>
      <c r="B20394" s="7" t="str">
        <f>IFERROR(__xludf.DUMMYFUNCTION("SPLIT(A20394,"" "")"),"Cc1c(-c2ccc(C(C)C)cn2)cccc1N(C)Cc1cc(-c2cccc(N(C)C)c2)ccn1")</f>
        <v>Cc1c(-c2ccc(C(C)C)cn2)cccc1N(C)Cc1cc(-c2cccc(N(C)C)c2)ccn1</v>
      </c>
      <c r="C20394" s="7">
        <f>IFERROR(__xludf.DUMMYFUNCTION("""COMPUTED_VALUE"""),7.7050834)</f>
        <v>7.7050834</v>
      </c>
      <c r="D20394" s="7">
        <f>IFERROR(__xludf.DUMMYFUNCTION("""COMPUTED_VALUE"""),0.296875)</f>
        <v>0.296875</v>
      </c>
    </row>
    <row r="20395">
      <c r="A20395" s="10" t="s">
        <v>21834</v>
      </c>
      <c r="B20395" s="7" t="str">
        <f>IFERROR(__xludf.DUMMYFUNCTION("SPLIT(A20395,"" "")"),"CN(CCN(C)c1ccc2ncc3c(c2c1)CCC3)c1ccc2ncc3c(c2c1)CCC3")</f>
        <v>CN(CCN(C)c1ccc2ncc3c(c2c1)CCC3)c1ccc2ncc3c(c2c1)CCC3</v>
      </c>
      <c r="C20395" s="7">
        <f>IFERROR(__xludf.DUMMYFUNCTION("""COMPUTED_VALUE"""),7.7050533)</f>
        <v>7.7050533</v>
      </c>
      <c r="D20395" s="7">
        <f>IFERROR(__xludf.DUMMYFUNCTION("""COMPUTED_VALUE"""),0.244897959183673)</f>
        <v>0.2448979592</v>
      </c>
    </row>
    <row r="20396">
      <c r="A20396" s="10" t="s">
        <v>21835</v>
      </c>
      <c r="B20396" s="7" t="str">
        <f>IFERROR(__xludf.DUMMYFUNCTION("SPLIT(A20396,"" "")"),"CN(CCN(C)c1cccc2ncccc12)c1ccc2ccc(CF)nc2c1")</f>
        <v>CN(CCN(C)c1cccc2ncccc12)c1ccc2ccc(CF)nc2c1</v>
      </c>
      <c r="C20396" s="7">
        <f>IFERROR(__xludf.DUMMYFUNCTION("""COMPUTED_VALUE"""),7.7050257)</f>
        <v>7.7050257</v>
      </c>
      <c r="D20396" s="7">
        <f>IFERROR(__xludf.DUMMYFUNCTION("""COMPUTED_VALUE"""),0.44)</f>
        <v>0.44</v>
      </c>
    </row>
    <row r="20397">
      <c r="A20397" s="10" t="s">
        <v>21836</v>
      </c>
      <c r="B20397" s="7" t="str">
        <f>IFERROR(__xludf.DUMMYFUNCTION("SPLIT(A20397,"" "")"),"CN(C)Cc1cnc2ccc(N(C)CCN(C)c3cccc4ncccc34)cc2c1")</f>
        <v>CN(C)Cc1cnc2ccc(N(C)CCN(C)c3cccc4ncccc34)cc2c1</v>
      </c>
      <c r="C20397" s="7">
        <f>IFERROR(__xludf.DUMMYFUNCTION("""COMPUTED_VALUE"""),7.705006)</f>
        <v>7.705006</v>
      </c>
      <c r="D20397" s="7">
        <f>IFERROR(__xludf.DUMMYFUNCTION("""COMPUTED_VALUE"""),0.415094339622641)</f>
        <v>0.4150943396</v>
      </c>
    </row>
    <row r="20398">
      <c r="A20398" s="10" t="s">
        <v>21837</v>
      </c>
      <c r="B20398" s="7" t="str">
        <f>IFERROR(__xludf.DUMMYFUNCTION("SPLIT(A20398,"" "")"),"CN(CN(C)c1cccc2ncccc12)CN(C)c1cccc2ncccc12")</f>
        <v>CN(CN(C)c1cccc2ncccc12)CN(C)c1cccc2ncccc12</v>
      </c>
      <c r="C20398" s="7">
        <f>IFERROR(__xludf.DUMMYFUNCTION("""COMPUTED_VALUE"""),7.704997)</f>
        <v>7.704997</v>
      </c>
      <c r="D20398" s="7">
        <f>IFERROR(__xludf.DUMMYFUNCTION("""COMPUTED_VALUE"""),0.461538461538461)</f>
        <v>0.4615384615</v>
      </c>
    </row>
    <row r="20399">
      <c r="A20399" s="10" t="s">
        <v>21838</v>
      </c>
      <c r="B20399" s="7" t="str">
        <f>IFERROR(__xludf.DUMMYFUNCTION("SPLIT(A20399,"" "")"),"Cc1ccnc2c(C)cccc12")</f>
        <v>Cc1ccnc2c(C)cccc12</v>
      </c>
      <c r="C20399" s="7">
        <f>IFERROR(__xludf.DUMMYFUNCTION("""COMPUTED_VALUE"""),7.704994)</f>
        <v>7.704994</v>
      </c>
      <c r="D20399" s="7">
        <f>IFERROR(__xludf.DUMMYFUNCTION("""COMPUTED_VALUE"""),0.292682926829268)</f>
        <v>0.2926829268</v>
      </c>
    </row>
    <row r="20400">
      <c r="A20400" s="10" t="s">
        <v>21839</v>
      </c>
      <c r="B20400" s="7" t="str">
        <f>IFERROR(__xludf.DUMMYFUNCTION("SPLIT(A20400,"" "")"),"CN(C)Cc1ccc(-c2cccc3cccnc23)cn1")</f>
        <v>CN(C)Cc1ccc(-c2cccc3cccnc23)cn1</v>
      </c>
      <c r="C20400" s="7">
        <f>IFERROR(__xludf.DUMMYFUNCTION("""COMPUTED_VALUE"""),7.7049937)</f>
        <v>7.7049937</v>
      </c>
      <c r="D20400" s="7">
        <f>IFERROR(__xludf.DUMMYFUNCTION("""COMPUTED_VALUE"""),0.444444444444444)</f>
        <v>0.4444444444</v>
      </c>
    </row>
    <row r="20401">
      <c r="A20401" s="10" t="s">
        <v>21840</v>
      </c>
      <c r="B20401" s="7" t="str">
        <f>IFERROR(__xludf.DUMMYFUNCTION("SPLIT(A20401,"" "")"),"Cc1ccnc2ccc(N(C)CCN(c3ccc4ncccc4c3)C(C)C)cc12")</f>
        <v>Cc1ccnc2ccc(N(C)CCN(c3ccc4ncccc4c3)C(C)C)cc12</v>
      </c>
      <c r="C20401" s="7">
        <f>IFERROR(__xludf.DUMMYFUNCTION("""COMPUTED_VALUE"""),7.704978)</f>
        <v>7.704978</v>
      </c>
      <c r="D20401" s="7">
        <f>IFERROR(__xludf.DUMMYFUNCTION("""COMPUTED_VALUE"""),0.333333333333333)</f>
        <v>0.3333333333</v>
      </c>
    </row>
    <row r="20402">
      <c r="A20402" s="10" t="s">
        <v>21841</v>
      </c>
      <c r="B20402" s="7" t="str">
        <f>IFERROR(__xludf.DUMMYFUNCTION("SPLIT(A20402,"" "")"),"CN(Cc1cc(-c2ccc3ncccc3c2)ccn1)Cc1cccc(-c2cccc(N=Cc3ccccn3)c2)n1")</f>
        <v>CN(Cc1cc(-c2ccc3ncccc3c2)ccn1)Cc1cccc(-c2cccc(N=Cc3ccccn3)c2)n1</v>
      </c>
      <c r="C20402" s="7">
        <f>IFERROR(__xludf.DUMMYFUNCTION("""COMPUTED_VALUE"""),7.704975)</f>
        <v>7.704975</v>
      </c>
      <c r="D20402" s="7">
        <f>IFERROR(__xludf.DUMMYFUNCTION("""COMPUTED_VALUE"""),0.421875)</f>
        <v>0.421875</v>
      </c>
    </row>
    <row r="20403">
      <c r="A20403" s="10" t="s">
        <v>21842</v>
      </c>
      <c r="B20403" s="7" t="str">
        <f>IFERROR(__xludf.DUMMYFUNCTION("SPLIT(A20403,"" "")"),"CN(C)c1ccc2nc(CN(Cc3ccccn3)c3ccc4nc(CF)ccc4c3)ccc2c1")</f>
        <v>CN(C)c1ccc2nc(CN(Cc3ccccn3)c3ccc4nc(CF)ccc4c3)ccc2c1</v>
      </c>
      <c r="C20403" s="7">
        <f>IFERROR(__xludf.DUMMYFUNCTION("""COMPUTED_VALUE"""),7.704944)</f>
        <v>7.704944</v>
      </c>
      <c r="D20403" s="7">
        <f>IFERROR(__xludf.DUMMYFUNCTION("""COMPUTED_VALUE"""),0.5)</f>
        <v>0.5</v>
      </c>
    </row>
    <row r="20404">
      <c r="A20404" s="10" t="s">
        <v>21843</v>
      </c>
      <c r="B20404" s="7" t="str">
        <f>IFERROR(__xludf.DUMMYFUNCTION("SPLIT(A20404,"" "")"),"CN(C)Cc1cncc2ccc(N(C)CCN(C)c3ccc4ncccc4c3)cc12")</f>
        <v>CN(C)Cc1cncc2ccc(N(C)CCN(C)c3ccc4ncccc4c3)cc12</v>
      </c>
      <c r="C20404" s="7">
        <f>IFERROR(__xludf.DUMMYFUNCTION("""COMPUTED_VALUE"""),7.7049117)</f>
        <v>7.7049117</v>
      </c>
      <c r="D20404" s="7">
        <f>IFERROR(__xludf.DUMMYFUNCTION("""COMPUTED_VALUE"""),0.339622641509433)</f>
        <v>0.3396226415</v>
      </c>
    </row>
    <row r="20405">
      <c r="A20405" s="10" t="s">
        <v>21844</v>
      </c>
      <c r="B20405" s="7" t="str">
        <f>IFERROR(__xludf.DUMMYFUNCTION("SPLIT(A20405,"" "")"),"Cc1ccc2ncccc2c1N(C)Cc1nc(N)c(C)c(C)c1C")</f>
        <v>Cc1ccc2ncccc2c1N(C)Cc1nc(N)c(C)c(C)c1C</v>
      </c>
      <c r="C20405" s="7">
        <f>IFERROR(__xludf.DUMMYFUNCTION("""COMPUTED_VALUE"""),7.704897)</f>
        <v>7.704897</v>
      </c>
      <c r="D20405" s="7">
        <f>IFERROR(__xludf.DUMMYFUNCTION("""COMPUTED_VALUE"""),0.277777777777777)</f>
        <v>0.2777777778</v>
      </c>
    </row>
    <row r="20406">
      <c r="A20406" s="10" t="s">
        <v>21845</v>
      </c>
      <c r="B20406" s="7" t="str">
        <f>IFERROR(__xludf.DUMMYFUNCTION("SPLIT(A20406,"" "")"),"Cc1cccc2nccc(C)c12")</f>
        <v>Cc1cccc2nccc(C)c12</v>
      </c>
      <c r="C20406" s="7">
        <f>IFERROR(__xludf.DUMMYFUNCTION("""COMPUTED_VALUE"""),7.704886)</f>
        <v>7.704886</v>
      </c>
      <c r="D20406" s="7">
        <f>IFERROR(__xludf.DUMMYFUNCTION("""COMPUTED_VALUE"""),0.3)</f>
        <v>0.3</v>
      </c>
    </row>
    <row r="20407">
      <c r="A20407" s="10" t="s">
        <v>21846</v>
      </c>
      <c r="B20407" s="7" t="str">
        <f>IFERROR(__xludf.DUMMYFUNCTION("SPLIT(A20407,"" "")"),"CN(Cc1cc(-c2cccc(N=Cc3ccccn3)c2)ccn1)c1cccc2cc3c(nc12)CCC3")</f>
        <v>CN(Cc1cc(-c2cccc(N=Cc3ccccn3)c2)ccn1)c1cccc2cc3c(nc12)CCC3</v>
      </c>
      <c r="C20407" s="7">
        <f>IFERROR(__xludf.DUMMYFUNCTION("""COMPUTED_VALUE"""),7.704859)</f>
        <v>7.704859</v>
      </c>
      <c r="D20407" s="7">
        <f>IFERROR(__xludf.DUMMYFUNCTION("""COMPUTED_VALUE"""),0.402777777777777)</f>
        <v>0.4027777778</v>
      </c>
    </row>
    <row r="20408">
      <c r="A20408" s="10" t="s">
        <v>21847</v>
      </c>
      <c r="B20408" s="7" t="str">
        <f>IFERROR(__xludf.DUMMYFUNCTION("SPLIT(A20408,"" "")"),"CN(Cc1cccnn1)c1cc2cccnc2cc1N(C)c1cccc(F)c1")</f>
        <v>CN(Cc1cccnn1)c1cc2cccnc2cc1N(C)c1cccc(F)c1</v>
      </c>
      <c r="C20408" s="7">
        <f>IFERROR(__xludf.DUMMYFUNCTION("""COMPUTED_VALUE"""),7.70485)</f>
        <v>7.70485</v>
      </c>
      <c r="D20408" s="7">
        <f>IFERROR(__xludf.DUMMYFUNCTION("""COMPUTED_VALUE"""),0.403846153846153)</f>
        <v>0.4038461538</v>
      </c>
    </row>
    <row r="20409">
      <c r="A20409" s="10" t="s">
        <v>21848</v>
      </c>
      <c r="B20409" s="7" t="str">
        <f>IFERROR(__xludf.DUMMYFUNCTION("SPLIT(A20409,"" "")"),"Cc1cc(N(C)Cc2ncccc2N)cc2ncccc12")</f>
        <v>Cc1cc(N(C)Cc2ncccc2N)cc2ncccc12</v>
      </c>
      <c r="C20409" s="7">
        <f>IFERROR(__xludf.DUMMYFUNCTION("""COMPUTED_VALUE"""),7.704842)</f>
        <v>7.704842</v>
      </c>
      <c r="D20409" s="7">
        <f>IFERROR(__xludf.DUMMYFUNCTION("""COMPUTED_VALUE"""),0.283018867924528)</f>
        <v>0.2830188679</v>
      </c>
    </row>
    <row r="20410">
      <c r="A20410" s="10" t="s">
        <v>21849</v>
      </c>
      <c r="B20410" s="7" t="str">
        <f>IFERROR(__xludf.DUMMYFUNCTION("SPLIT(A20410,"" "")"),"CN(C1=C(CN(Cc2ccccn2)c2ccc3ncccc3c2)NC=CC1)c1ccc2ncccc2c1")</f>
        <v>CN(C1=C(CN(Cc2ccccn2)c2ccc3ncccc3c2)NC=CC1)c1ccc2ncccc2c1</v>
      </c>
      <c r="C20410" s="7">
        <f>IFERROR(__xludf.DUMMYFUNCTION("""COMPUTED_VALUE"""),7.704776)</f>
        <v>7.704776</v>
      </c>
      <c r="D20410" s="7">
        <f>IFERROR(__xludf.DUMMYFUNCTION("""COMPUTED_VALUE"""),0.359375)</f>
        <v>0.359375</v>
      </c>
    </row>
    <row r="20411">
      <c r="A20411" s="10" t="s">
        <v>21850</v>
      </c>
      <c r="B20411" s="7" t="str">
        <f>IFERROR(__xludf.DUMMYFUNCTION("SPLIT(A20411,"" "")"),"Cc1ccc(CN(C)c2cc(Cl)c3ncccc3c2N(C)Cc2cc(C)ccn2)nc1")</f>
        <v>Cc1ccc(CN(C)c2cc(Cl)c3ncccc3c2N(C)Cc2cc(C)ccn2)nc1</v>
      </c>
      <c r="C20411" s="7">
        <f>IFERROR(__xludf.DUMMYFUNCTION("""COMPUTED_VALUE"""),7.7047496)</f>
        <v>7.7047496</v>
      </c>
      <c r="D20411" s="7">
        <f>IFERROR(__xludf.DUMMYFUNCTION("""COMPUTED_VALUE"""),0.444444444444444)</f>
        <v>0.4444444444</v>
      </c>
    </row>
    <row r="20412">
      <c r="A20412" s="10" t="s">
        <v>21851</v>
      </c>
      <c r="B20412" s="7" t="str">
        <f>IFERROR(__xludf.DUMMYFUNCTION("SPLIT(A20412,"" "")"),"CCN(Cc1ccccn1)c1ccc2nccc(CN(C)c3ccc4ncccc4c3)c2c1")</f>
        <v>CCN(Cc1ccccn1)c1ccc2nccc(CN(C)c3ccc4ncccc4c3)c2c1</v>
      </c>
      <c r="C20412" s="7">
        <f>IFERROR(__xludf.DUMMYFUNCTION("""COMPUTED_VALUE"""),7.704713)</f>
        <v>7.704713</v>
      </c>
      <c r="D20412" s="7">
        <f>IFERROR(__xludf.DUMMYFUNCTION("""COMPUTED_VALUE"""),0.368421052631578)</f>
        <v>0.3684210526</v>
      </c>
    </row>
    <row r="20413">
      <c r="A20413" s="10" t="s">
        <v>21852</v>
      </c>
      <c r="B20413" s="7" t="str">
        <f>IFERROR(__xludf.DUMMYFUNCTION("SPLIT(A20413,"" "")"),"CNCc1ccc2cccc(N(C)CCN(C)c3ccc4nccc(C)c4c3)c2n1")</f>
        <v>CNCc1ccc2cccc(N(C)CCN(C)c3ccc4nccc(C)c4c3)c2n1</v>
      </c>
      <c r="C20413" s="7">
        <f>IFERROR(__xludf.DUMMYFUNCTION("""COMPUTED_VALUE"""),7.7046957)</f>
        <v>7.7046957</v>
      </c>
      <c r="D20413" s="7">
        <f>IFERROR(__xludf.DUMMYFUNCTION("""COMPUTED_VALUE"""),0.410714285714285)</f>
        <v>0.4107142857</v>
      </c>
    </row>
    <row r="20414">
      <c r="A20414" s="10" t="s">
        <v>21853</v>
      </c>
      <c r="B20414" s="7" t="str">
        <f>IFERROR(__xludf.DUMMYFUNCTION("SPLIT(A20414,"" "")"),"CN(C)Cc1ccc2c(N(C)CCN(C)c3ccc4ncccc4c3)cccc2n1")</f>
        <v>CN(C)Cc1ccc2c(N(C)CCN(C)c3ccc4ncccc4c3)cccc2n1</v>
      </c>
      <c r="C20414" s="7">
        <f>IFERROR(__xludf.DUMMYFUNCTION("""COMPUTED_VALUE"""),7.7046733)</f>
        <v>7.7046733</v>
      </c>
      <c r="D20414" s="7">
        <f>IFERROR(__xludf.DUMMYFUNCTION("""COMPUTED_VALUE"""),0.46)</f>
        <v>0.46</v>
      </c>
    </row>
    <row r="20415">
      <c r="A20415" s="10" t="s">
        <v>21854</v>
      </c>
      <c r="B20415" s="7" t="str">
        <f>IFERROR(__xludf.DUMMYFUNCTION("SPLIT(A20415,"" "")"),"CN(C)Cc1ncccc1-c1ccc2cccnc2c1")</f>
        <v>CN(C)Cc1ncccc1-c1ccc2cccnc2c1</v>
      </c>
      <c r="C20415" s="7">
        <f>IFERROR(__xludf.DUMMYFUNCTION("""COMPUTED_VALUE"""),7.7046704)</f>
        <v>7.7046704</v>
      </c>
      <c r="D20415" s="7">
        <f>IFERROR(__xludf.DUMMYFUNCTION("""COMPUTED_VALUE"""),0.333333333333333)</f>
        <v>0.3333333333</v>
      </c>
    </row>
    <row r="20416">
      <c r="A20416" s="10" t="s">
        <v>21855</v>
      </c>
      <c r="B20416" s="7" t="str">
        <f>IFERROR(__xludf.DUMMYFUNCTION("SPLIT(A20416,"" "")"),"Cc1ccnc(CN(C)Cc2ccc3cccc(N(C)c4ccc5ncccc5c4)c3n2)c1")</f>
        <v>Cc1ccnc(CN(C)Cc2ccc3cccc(N(C)c4ccc5ncccc5c4)c3n2)c1</v>
      </c>
      <c r="C20416" s="7">
        <f>IFERROR(__xludf.DUMMYFUNCTION("""COMPUTED_VALUE"""),7.704628)</f>
        <v>7.704628</v>
      </c>
      <c r="D20416" s="7">
        <f>IFERROR(__xludf.DUMMYFUNCTION("""COMPUTED_VALUE"""),0.350877192982456)</f>
        <v>0.350877193</v>
      </c>
    </row>
    <row r="20417">
      <c r="A20417" s="10" t="s">
        <v>21856</v>
      </c>
      <c r="B20417" s="7" t="str">
        <f>IFERROR(__xludf.DUMMYFUNCTION("SPLIT(A20417,"" "")"),"CN(C)Cc1nccc2cc(N(C)CCN(C)c3ccc4c(CF)ccnc4c3)ccc12")</f>
        <v>CN(C)Cc1nccc2cc(N(C)CCN(C)c3ccc4c(CF)ccnc4c3)ccc12</v>
      </c>
      <c r="C20417" s="7">
        <f>IFERROR(__xludf.DUMMYFUNCTION("""COMPUTED_VALUE"""),7.7046194)</f>
        <v>7.7046194</v>
      </c>
      <c r="D20417" s="7">
        <f>IFERROR(__xludf.DUMMYFUNCTION("""COMPUTED_VALUE"""),0.245614035087719)</f>
        <v>0.2456140351</v>
      </c>
    </row>
    <row r="20418">
      <c r="A20418" s="10" t="s">
        <v>21857</v>
      </c>
      <c r="B20418" s="7" t="str">
        <f>IFERROR(__xludf.DUMMYFUNCTION("SPLIT(A20418,"" "")"),"CN(Cc1ccccn1)c1cc(-c2cncc(CN(Cc3ccccn3)Cc3ccccn3)c2)c2ncccc2c1N(C)c1ccc2ncccc2c1")</f>
        <v>CN(Cc1ccccn1)c1cc(-c2cncc(CN(Cc3ccccn3)Cc3ccccn3)c2)c2ncccc2c1N(C)c1ccc2ncccc2c1</v>
      </c>
      <c r="C20418" s="7">
        <f>IFERROR(__xludf.DUMMYFUNCTION("""COMPUTED_VALUE"""),7.70457)</f>
        <v>7.70457</v>
      </c>
      <c r="D20418" s="7">
        <f>IFERROR(__xludf.DUMMYFUNCTION("""COMPUTED_VALUE"""),0.352941176470588)</f>
        <v>0.3529411765</v>
      </c>
    </row>
    <row r="20419">
      <c r="A20419" s="10" t="s">
        <v>21858</v>
      </c>
      <c r="B20419" s="7" t="str">
        <f>IFERROR(__xludf.DUMMYFUNCTION("SPLIT(A20419,"" "")"),"CC(C)N(C)c1ccc2nc(CN(C)c3ccc4nc(CF)ccc4c3)ccc2c1")</f>
        <v>CC(C)N(C)c1ccc2nc(CN(C)c3ccc4nc(CF)ccc4c3)ccc2c1</v>
      </c>
      <c r="C20419" s="7">
        <f>IFERROR(__xludf.DUMMYFUNCTION("""COMPUTED_VALUE"""),7.7045555)</f>
        <v>7.7045555</v>
      </c>
      <c r="D20419" s="7">
        <f>IFERROR(__xludf.DUMMYFUNCTION("""COMPUTED_VALUE"""),0.333333333333333)</f>
        <v>0.3333333333</v>
      </c>
    </row>
    <row r="20420">
      <c r="A20420" s="10" t="s">
        <v>21859</v>
      </c>
      <c r="B20420" s="7" t="str">
        <f>IFERROR(__xludf.DUMMYFUNCTION("SPLIT(A20420,"" "")"),"CN(CCN(C)c1cccc2nc(CF)ccc12)c1ccc2cccnc2c1")</f>
        <v>CN(CCN(C)c1cccc2nc(CF)ccc12)c1ccc2cccnc2c1</v>
      </c>
      <c r="C20420" s="7">
        <f>IFERROR(__xludf.DUMMYFUNCTION("""COMPUTED_VALUE"""),7.704532)</f>
        <v>7.704532</v>
      </c>
      <c r="D20420" s="7">
        <f>IFERROR(__xludf.DUMMYFUNCTION("""COMPUTED_VALUE"""),0.46)</f>
        <v>0.46</v>
      </c>
    </row>
    <row r="20421">
      <c r="A20421" s="10" t="s">
        <v>21860</v>
      </c>
      <c r="B20421" s="7" t="str">
        <f>IFERROR(__xludf.DUMMYFUNCTION("SPLIT(A20421,"" "")"),"CN(C1=C(CN(Cc2ccccn2)c2ccc3cccnc3c2)NC=CC1)c1ccc2cccnc2c1")</f>
        <v>CN(C1=C(CN(Cc2ccccn2)c2ccc3cccnc3c2)NC=CC1)c1ccc2cccnc2c1</v>
      </c>
      <c r="C20421" s="7">
        <f>IFERROR(__xludf.DUMMYFUNCTION("""COMPUTED_VALUE"""),7.704477)</f>
        <v>7.704477</v>
      </c>
      <c r="D20421" s="7">
        <f>IFERROR(__xludf.DUMMYFUNCTION("""COMPUTED_VALUE"""),0.383333333333333)</f>
        <v>0.3833333333</v>
      </c>
    </row>
    <row r="20422">
      <c r="A20422" s="10" t="s">
        <v>21861</v>
      </c>
      <c r="B20422" s="7" t="str">
        <f>IFERROR(__xludf.DUMMYFUNCTION("SPLIT(A20422,"" "")"),"Cc1cnc2ccc(N(C)CCN(C)c3ccc4ncc(CN(C)C)cc4c3)cc2c1")</f>
        <v>Cc1cnc2ccc(N(C)CCN(C)c3ccc4ncc(CN(C)C)cc4c3)cc2c1</v>
      </c>
      <c r="C20422" s="7">
        <f>IFERROR(__xludf.DUMMYFUNCTION("""COMPUTED_VALUE"""),7.704476)</f>
        <v>7.704476</v>
      </c>
      <c r="D20422" s="7">
        <f>IFERROR(__xludf.DUMMYFUNCTION("""COMPUTED_VALUE"""),0.3125)</f>
        <v>0.3125</v>
      </c>
    </row>
    <row r="20423">
      <c r="A20423" s="10" t="s">
        <v>21862</v>
      </c>
      <c r="B20423" s="7" t="str">
        <f>IFERROR(__xludf.DUMMYFUNCTION("SPLIT(A20423,"" "")"),"CN(CCNc1cccc2ncccc12)c1cccc2ncccc12")</f>
        <v>CN(CCNc1cccc2ncccc12)c1cccc2ncccc12</v>
      </c>
      <c r="C20423" s="7">
        <f>IFERROR(__xludf.DUMMYFUNCTION("""COMPUTED_VALUE"""),7.7044497)</f>
        <v>7.7044497</v>
      </c>
      <c r="D20423" s="7">
        <f>IFERROR(__xludf.DUMMYFUNCTION("""COMPUTED_VALUE"""),0.454545454545454)</f>
        <v>0.4545454545</v>
      </c>
    </row>
    <row r="20424">
      <c r="A20424" s="10" t="s">
        <v>21863</v>
      </c>
      <c r="B20424" s="7" t="str">
        <f>IFERROR(__xludf.DUMMYFUNCTION("SPLIT(A20424,"" "")"),"Cc1cnc(CN(C)c2ccc3ncccc3c2C)c(C)c1C")</f>
        <v>Cc1cnc(CN(C)c2ccc3ncccc3c2C)c(C)c1C</v>
      </c>
      <c r="C20424" s="7">
        <f>IFERROR(__xludf.DUMMYFUNCTION("""COMPUTED_VALUE"""),7.704413)</f>
        <v>7.704413</v>
      </c>
      <c r="D20424" s="7">
        <f>IFERROR(__xludf.DUMMYFUNCTION("""COMPUTED_VALUE"""),0.333333333333333)</f>
        <v>0.3333333333</v>
      </c>
    </row>
    <row r="20425">
      <c r="A20425" s="10" t="s">
        <v>21864</v>
      </c>
      <c r="B20425" s="7" t="str">
        <f>IFERROR(__xludf.DUMMYFUNCTION("SPLIT(A20425,"" "")"),"Cc1cccc2ccc(CN(C)Cc3nc4ccccc4n3C)nc12")</f>
        <v>Cc1cccc2ccc(CN(C)Cc3nc4ccccc4n3C)nc12</v>
      </c>
      <c r="C20425" s="7">
        <f>IFERROR(__xludf.DUMMYFUNCTION("""COMPUTED_VALUE"""),7.7044106)</f>
        <v>7.7044106</v>
      </c>
      <c r="D20425" s="7">
        <f>IFERROR(__xludf.DUMMYFUNCTION("""COMPUTED_VALUE"""),0.415094339622641)</f>
        <v>0.4150943396</v>
      </c>
    </row>
    <row r="20426">
      <c r="A20426" s="10" t="s">
        <v>21865</v>
      </c>
      <c r="B20426" s="7" t="str">
        <f>IFERROR(__xludf.DUMMYFUNCTION("SPLIT(A20426,"" "")"),"COC(=O)c1ncccc1-c1ncccc1C(=O)C(=O)C(=O)C(=O)C(=O)C(=O)C(=O)C(=O)C(=O)C(=O)C(=O)C(=O)C(=O)C(=O)C(=O)C(=O)C(=O)C(=O)C=O")</f>
        <v>COC(=O)c1ncccc1-c1ncccc1C(=O)C(=O)C(=O)C(=O)C(=O)C(=O)C(=O)C(=O)C(=O)C(=O)C(=O)C(=O)C(=O)C(=O)C(=O)C(=O)C(=O)C(=O)C=O</v>
      </c>
      <c r="C20426" s="7">
        <f>IFERROR(__xludf.DUMMYFUNCTION("""COMPUTED_VALUE"""),7.7044106)</f>
        <v>7.7044106</v>
      </c>
      <c r="D20426" s="7">
        <f>IFERROR(__xludf.DUMMYFUNCTION("""COMPUTED_VALUE"""),0.235294117647058)</f>
        <v>0.2352941176</v>
      </c>
    </row>
    <row r="20427">
      <c r="A20427" s="10" t="s">
        <v>21866</v>
      </c>
      <c r="B20427" s="7" t="str">
        <f>IFERROR(__xludf.DUMMYFUNCTION("SPLIT(A20427,"" "")"),"CN(Cc1ccccn1)c1ccc2nc(C3=CCC=CN3)ccc2c1")</f>
        <v>CN(Cc1ccccn1)c1ccc2nc(C3=CCC=CN3)ccc2c1</v>
      </c>
      <c r="C20427" s="7">
        <f>IFERROR(__xludf.DUMMYFUNCTION("""COMPUTED_VALUE"""),7.7043643)</f>
        <v>7.7043643</v>
      </c>
      <c r="D20427" s="7">
        <f>IFERROR(__xludf.DUMMYFUNCTION("""COMPUTED_VALUE"""),0.46551724137931)</f>
        <v>0.4655172414</v>
      </c>
    </row>
    <row r="20428">
      <c r="A20428" s="10" t="s">
        <v>21867</v>
      </c>
      <c r="B20428" s="7" t="str">
        <f>IFERROR(__xludf.DUMMYFUNCTION("SPLIT(A20428,"" "")"),"CN(C)Cc1cnc2cccc(N(C)CCN(C)c3cccc4ncccc34)c2c1")</f>
        <v>CN(C)Cc1cnc2cccc(N(C)CCN(C)c3cccc4ncccc34)c2c1</v>
      </c>
      <c r="C20428" s="7">
        <f>IFERROR(__xludf.DUMMYFUNCTION("""COMPUTED_VALUE"""),7.7043343)</f>
        <v>7.7043343</v>
      </c>
      <c r="D20428" s="7">
        <f>IFERROR(__xludf.DUMMYFUNCTION("""COMPUTED_VALUE"""),0.456521739130434)</f>
        <v>0.4565217391</v>
      </c>
    </row>
    <row r="20429">
      <c r="A20429" s="10" t="s">
        <v>21868</v>
      </c>
      <c r="B20429" s="7" t="str">
        <f>IFERROR(__xludf.DUMMYFUNCTION("SPLIT(A20429,"" "")"),"CCN(Cc1ccccn1)c1ccc2nccc(-c3ccccc3N(C)C)c2c1")</f>
        <v>CCN(Cc1ccccn1)c1ccc2nccc(-c3ccccc3N(C)C)c2c1</v>
      </c>
      <c r="C20429" s="7">
        <f>IFERROR(__xludf.DUMMYFUNCTION("""COMPUTED_VALUE"""),7.7043214)</f>
        <v>7.7043214</v>
      </c>
      <c r="D20429" s="7">
        <f>IFERROR(__xludf.DUMMYFUNCTION("""COMPUTED_VALUE"""),0.381818181818181)</f>
        <v>0.3818181818</v>
      </c>
    </row>
    <row r="20430">
      <c r="A20430" s="10" t="s">
        <v>21869</v>
      </c>
      <c r="B20430" s="7" t="str">
        <f>IFERROR(__xludf.DUMMYFUNCTION("SPLIT(A20430,"" "")"),"CCN(C)Cc1ccc2ccc(N(C)c3ccc4ncccc4c3)cc2n1")</f>
        <v>CCN(C)Cc1ccc2ccc(N(C)c3ccc4ncccc4c3)cc2n1</v>
      </c>
      <c r="C20430" s="7">
        <f>IFERROR(__xludf.DUMMYFUNCTION("""COMPUTED_VALUE"""),7.7043195)</f>
        <v>7.7043195</v>
      </c>
      <c r="D20430" s="7">
        <f>IFERROR(__xludf.DUMMYFUNCTION("""COMPUTED_VALUE"""),0.4)</f>
        <v>0.4</v>
      </c>
    </row>
    <row r="20431">
      <c r="A20431" s="10" t="s">
        <v>21870</v>
      </c>
      <c r="B20431" s="7" t="str">
        <f>IFERROR(__xludf.DUMMYFUNCTION("SPLIT(A20431,"" "")"),"CN(C)c1cccc(-c2cccc(C3=CCC=CN3)n2)c1")</f>
        <v>CN(C)c1cccc(-c2cccc(C3=CCC=CN3)n2)c1</v>
      </c>
      <c r="C20431" s="7">
        <f>IFERROR(__xludf.DUMMYFUNCTION("""COMPUTED_VALUE"""),7.7042947)</f>
        <v>7.7042947</v>
      </c>
      <c r="D20431" s="7">
        <f>IFERROR(__xludf.DUMMYFUNCTION("""COMPUTED_VALUE"""),0.275862068965517)</f>
        <v>0.275862069</v>
      </c>
    </row>
    <row r="20432">
      <c r="A20432" s="10" t="s">
        <v>21871</v>
      </c>
      <c r="B20432" s="7" t="str">
        <f>IFERROR(__xludf.DUMMYFUNCTION("SPLIT(A20432,"" "")"),"CN(C)Cc1cc(-c2ccc3ncccc3c2)ccn1")</f>
        <v>CN(C)Cc1cc(-c2ccc3ncccc3c2)ccn1</v>
      </c>
      <c r="C20432" s="7">
        <f>IFERROR(__xludf.DUMMYFUNCTION("""COMPUTED_VALUE"""),7.704266)</f>
        <v>7.704266</v>
      </c>
      <c r="D20432" s="7">
        <f>IFERROR(__xludf.DUMMYFUNCTION("""COMPUTED_VALUE"""),0.347826086956521)</f>
        <v>0.347826087</v>
      </c>
    </row>
    <row r="20433">
      <c r="A20433" s="10" t="s">
        <v>21872</v>
      </c>
      <c r="B20433" s="7" t="str">
        <f>IFERROR(__xludf.DUMMYFUNCTION("SPLIT(A20433,"" "")"),"Cc1ccc2cccnc2c1CN(C)Cc1ccc(N(C)c2ccc3ncccc3c2)cn1")</f>
        <v>Cc1ccc2cccnc2c1CN(C)Cc1ccc(N(C)c2ccc3ncccc3c2)cn1</v>
      </c>
      <c r="C20433" s="7">
        <f>IFERROR(__xludf.DUMMYFUNCTION("""COMPUTED_VALUE"""),7.7042627)</f>
        <v>7.7042627</v>
      </c>
      <c r="D20433" s="7">
        <f>IFERROR(__xludf.DUMMYFUNCTION("""COMPUTED_VALUE"""),0.368421052631578)</f>
        <v>0.3684210526</v>
      </c>
    </row>
    <row r="20434">
      <c r="A20434" s="10" t="s">
        <v>21873</v>
      </c>
      <c r="B20434" s="7" t="str">
        <f>IFERROR(__xludf.DUMMYFUNCTION("SPLIT(A20434,"" "")"),"CNCc1ccc2ccc(N(C)CCN(C)c3ccc4nccc(C)c4c3)cc2n1")</f>
        <v>CNCc1ccc2ccc(N(C)CCN(C)c3ccc4nccc(C)c4c3)cc2n1</v>
      </c>
      <c r="C20434" s="7">
        <f>IFERROR(__xludf.DUMMYFUNCTION("""COMPUTED_VALUE"""),7.704259)</f>
        <v>7.704259</v>
      </c>
      <c r="D20434" s="7">
        <f>IFERROR(__xludf.DUMMYFUNCTION("""COMPUTED_VALUE"""),0.275862068965517)</f>
        <v>0.275862069</v>
      </c>
    </row>
    <row r="20435">
      <c r="A20435" s="10" t="s">
        <v>21874</v>
      </c>
      <c r="B20435" s="7" t="str">
        <f>IFERROR(__xludf.DUMMYFUNCTION("SPLIT(A20435,"" "")"),"Cc1ccnc(CN(C)Cc2ccnc(-c3cc(N(C)C)cc4ncccc34)c2)c1")</f>
        <v>Cc1ccnc(CN(C)Cc2ccnc(-c3cc(N(C)C)cc4ncccc34)c2)c1</v>
      </c>
      <c r="C20435" s="7">
        <f>IFERROR(__xludf.DUMMYFUNCTION("""COMPUTED_VALUE"""),7.7042327)</f>
        <v>7.7042327</v>
      </c>
      <c r="D20435" s="7">
        <f>IFERROR(__xludf.DUMMYFUNCTION("""COMPUTED_VALUE"""),0.333333333333333)</f>
        <v>0.3333333333</v>
      </c>
    </row>
    <row r="20436">
      <c r="A20436" s="10" t="s">
        <v>21875</v>
      </c>
      <c r="B20436" s="7" t="str">
        <f>IFERROR(__xludf.DUMMYFUNCTION("SPLIT(A20436,"" "")"),"Cc1cccnc1CN(C)c1cc(N(C)Cc2ccccn2)c(C)c2ncccc12")</f>
        <v>Cc1cccnc1CN(C)c1cc(N(C)Cc2ccccn2)c(C)c2ncccc12</v>
      </c>
      <c r="C20436" s="7">
        <f>IFERROR(__xludf.DUMMYFUNCTION("""COMPUTED_VALUE"""),7.7042136)</f>
        <v>7.7042136</v>
      </c>
      <c r="D20436" s="7">
        <f>IFERROR(__xludf.DUMMYFUNCTION("""COMPUTED_VALUE"""),0.489795918367346)</f>
        <v>0.4897959184</v>
      </c>
    </row>
    <row r="20437">
      <c r="A20437" s="10" t="s">
        <v>21876</v>
      </c>
      <c r="B20437" s="7" t="str">
        <f>IFERROR(__xludf.DUMMYFUNCTION("SPLIT(A20437,"" "")"),"CCNc1cccc2cc(-c3ncccc3-c3cccc(NCc4ccccn4)c3)cnc12")</f>
        <v>CCNc1cccc2cc(-c3ncccc3-c3cccc(NCc4ccccn4)c3)cnc12</v>
      </c>
      <c r="C20437" s="7">
        <f>IFERROR(__xludf.DUMMYFUNCTION("""COMPUTED_VALUE"""),7.704211)</f>
        <v>7.704211</v>
      </c>
      <c r="D20437" s="7">
        <f>IFERROR(__xludf.DUMMYFUNCTION("""COMPUTED_VALUE"""),0.373134328358209)</f>
        <v>0.3731343284</v>
      </c>
    </row>
    <row r="20438">
      <c r="A20438" s="10" t="s">
        <v>21877</v>
      </c>
      <c r="B20438" s="7" t="str">
        <f>IFERROR(__xludf.DUMMYFUNCTION("SPLIT(A20438,"" "")"),"CN(C)Cc1cccc(-c2cccc3ncccc23)n1")</f>
        <v>CN(C)Cc1cccc(-c2cccc3ncccc23)n1</v>
      </c>
      <c r="C20438" s="7">
        <f>IFERROR(__xludf.DUMMYFUNCTION("""COMPUTED_VALUE"""),7.704109)</f>
        <v>7.704109</v>
      </c>
      <c r="D20438" s="7">
        <f>IFERROR(__xludf.DUMMYFUNCTION("""COMPUTED_VALUE"""),0.456521739130434)</f>
        <v>0.4565217391</v>
      </c>
    </row>
    <row r="20439">
      <c r="A20439" s="10" t="s">
        <v>21878</v>
      </c>
      <c r="B20439" s="7" t="str">
        <f>IFERROR(__xludf.DUMMYFUNCTION("SPLIT(A20439,"" "")"),"CN(C)c1cccc2nc3c(cc12)CCC3")</f>
        <v>CN(C)c1cccc2nc3c(cc12)CCC3</v>
      </c>
      <c r="C20439" s="7">
        <f>IFERROR(__xludf.DUMMYFUNCTION("""COMPUTED_VALUE"""),7.7040973)</f>
        <v>7.7040973</v>
      </c>
      <c r="D20439" s="7">
        <f>IFERROR(__xludf.DUMMYFUNCTION("""COMPUTED_VALUE"""),0.479166666666666)</f>
        <v>0.4791666667</v>
      </c>
    </row>
    <row r="20440">
      <c r="A20440" s="10" t="s">
        <v>21879</v>
      </c>
      <c r="B20440" s="7" t="str">
        <f>IFERROR(__xludf.DUMMYFUNCTION("SPLIT(A20440,"" "")"),"Cc1ccnc2ccc(N(C)C3C=CNC(CN(c4ccc5ncccc5c4)C(C)C)=C3)cc12")</f>
        <v>Cc1ccnc2ccc(N(C)C3C=CNC(CN(c4ccc5ncccc5c4)C(C)C)=C3)cc12</v>
      </c>
      <c r="C20440" s="7">
        <f>IFERROR(__xludf.DUMMYFUNCTION("""COMPUTED_VALUE"""),7.704082)</f>
        <v>7.704082</v>
      </c>
      <c r="D20440" s="7">
        <f>IFERROR(__xludf.DUMMYFUNCTION("""COMPUTED_VALUE"""),0.263888888888888)</f>
        <v>0.2638888889</v>
      </c>
    </row>
    <row r="20441">
      <c r="A20441" s="10" t="s">
        <v>21880</v>
      </c>
      <c r="B20441" s="7" t="str">
        <f>IFERROR(__xludf.DUMMYFUNCTION("SPLIT(A20441,"" "")"),"CCN(c1ccc2ncccc2c1)c1cccc2c(CNCc3ccccn3)ccnc12")</f>
        <v>CCN(c1ccc2ncccc2c1)c1cccc2c(CNCc3ccccn3)ccnc12</v>
      </c>
      <c r="C20441" s="7">
        <f>IFERROR(__xludf.DUMMYFUNCTION("""COMPUTED_VALUE"""),7.7040644)</f>
        <v>7.7040644</v>
      </c>
      <c r="D20441" s="7">
        <f>IFERROR(__xludf.DUMMYFUNCTION("""COMPUTED_VALUE"""),0.333333333333333)</f>
        <v>0.3333333333</v>
      </c>
    </row>
    <row r="20442">
      <c r="A20442" s="10" t="s">
        <v>21881</v>
      </c>
      <c r="B20442" s="7" t="str">
        <f>IFERROR(__xludf.DUMMYFUNCTION("SPLIT(A20442,"" "")"),"CN(C)c1ccc(CN(C)c2ccc3nccc(CF)c3c2)nc1")</f>
        <v>CN(C)c1ccc(CN(C)c2ccc3nccc(CF)c3c2)nc1</v>
      </c>
      <c r="C20442" s="7">
        <f>IFERROR(__xludf.DUMMYFUNCTION("""COMPUTED_VALUE"""),7.7040367)</f>
        <v>7.7040367</v>
      </c>
      <c r="D20442" s="7">
        <f>IFERROR(__xludf.DUMMYFUNCTION("""COMPUTED_VALUE"""),0.313725490196078)</f>
        <v>0.3137254902</v>
      </c>
    </row>
    <row r="20443">
      <c r="A20443" s="10" t="s">
        <v>21882</v>
      </c>
      <c r="B20443" s="7" t="str">
        <f>IFERROR(__xludf.DUMMYFUNCTION("SPLIT(A20443,"" "")"),"CN(CCN(C)c1cccc2ncccc12)Cc1ncccc1-c1ccc2ncccc2c1")</f>
        <v>CN(CCN(C)c1cccc2ncccc12)Cc1ncccc1-c1ccc2ncccc2c1</v>
      </c>
      <c r="C20443" s="7">
        <f>IFERROR(__xludf.DUMMYFUNCTION("""COMPUTED_VALUE"""),7.7040124)</f>
        <v>7.7040124</v>
      </c>
      <c r="D20443" s="7">
        <f>IFERROR(__xludf.DUMMYFUNCTION("""COMPUTED_VALUE"""),0.433962264150943)</f>
        <v>0.4339622642</v>
      </c>
    </row>
    <row r="20444">
      <c r="A20444" s="10" t="s">
        <v>21883</v>
      </c>
      <c r="B20444" s="7" t="str">
        <f>IFERROR(__xludf.DUMMYFUNCTION("SPLIT(A20444,"" "")"),"CN(Cc1ccc(-c2cccc(N=Cc3ccccn3)c2)cn1)Cc1cc(-c2ccc3ncccc3c2)ccn1")</f>
        <v>CN(Cc1ccc(-c2cccc(N=Cc3ccccn3)c2)cn1)Cc1cc(-c2ccc3ncccc3c2)ccn1</v>
      </c>
      <c r="C20444" s="7">
        <f>IFERROR(__xludf.DUMMYFUNCTION("""COMPUTED_VALUE"""),7.7039986)</f>
        <v>7.7039986</v>
      </c>
      <c r="D20444" s="7">
        <f>IFERROR(__xludf.DUMMYFUNCTION("""COMPUTED_VALUE"""),0.343283582089552)</f>
        <v>0.3432835821</v>
      </c>
    </row>
    <row r="20445">
      <c r="A20445" s="10" t="s">
        <v>21884</v>
      </c>
      <c r="B20445" s="7" t="str">
        <f>IFERROR(__xludf.DUMMYFUNCTION("SPLIT(A20445,"" "")"),"CN(C)Cc1ccnc2cccc(N(C)C)c12")</f>
        <v>CN(C)Cc1ccnc2cccc(N(C)C)c12</v>
      </c>
      <c r="C20445" s="7">
        <f>IFERROR(__xludf.DUMMYFUNCTION("""COMPUTED_VALUE"""),7.7039757)</f>
        <v>7.7039757</v>
      </c>
      <c r="D20445" s="7">
        <f>IFERROR(__xludf.DUMMYFUNCTION("""COMPUTED_VALUE"""),0.318181818181818)</f>
        <v>0.3181818182</v>
      </c>
    </row>
    <row r="20446">
      <c r="A20446" s="10" t="s">
        <v>21885</v>
      </c>
      <c r="B20446" s="7" t="str">
        <f>IFERROR(__xludf.DUMMYFUNCTION("SPLIT(A20446,"" "")"),"CN(Cc1ccc2cc(N(C)Cc3ccccn3)ccc2n1)Cc1ncccc1-c1ccc2ncccc2c1")</f>
        <v>CN(Cc1ccc2cc(N(C)Cc3ccccn3)ccc2n1)Cc1ncccc1-c1ccc2ncccc2c1</v>
      </c>
      <c r="C20446" s="7">
        <f>IFERROR(__xludf.DUMMYFUNCTION("""COMPUTED_VALUE"""),7.7039227)</f>
        <v>7.7039227</v>
      </c>
      <c r="D20446" s="7">
        <f>IFERROR(__xludf.DUMMYFUNCTION("""COMPUTED_VALUE"""),0.43103448275862)</f>
        <v>0.4310344828</v>
      </c>
    </row>
    <row r="20447">
      <c r="A20447" s="10" t="s">
        <v>21886</v>
      </c>
      <c r="B20447" s="7" t="str">
        <f>IFERROR(__xludf.DUMMYFUNCTION("SPLIT(A20447,"" "")"),"CN(C)Cc1ccc2c(N(C)CCN(C)c3cccc4ncccc34)cccc2n1")</f>
        <v>CN(C)Cc1ccc2c(N(C)CCN(C)c3cccc4ncccc34)cccc2n1</v>
      </c>
      <c r="C20447" s="7">
        <f>IFERROR(__xludf.DUMMYFUNCTION("""COMPUTED_VALUE"""),7.7039003)</f>
        <v>7.7039003</v>
      </c>
      <c r="D20447" s="7">
        <f>IFERROR(__xludf.DUMMYFUNCTION("""COMPUTED_VALUE"""),0.5)</f>
        <v>0.5</v>
      </c>
    </row>
    <row r="20448">
      <c r="A20448" s="10" t="s">
        <v>21887</v>
      </c>
      <c r="B20448" s="7" t="str">
        <f>IFERROR(__xludf.DUMMYFUNCTION("SPLIT(A20448,"" "")"),"CN(C)C1=CCC(N(C)c2ccc3cccnc3c2)=CN1")</f>
        <v>CN(C)C1=CCC(N(C)c2ccc3cccnc3c2)=CN1</v>
      </c>
      <c r="C20448" s="7">
        <f>IFERROR(__xludf.DUMMYFUNCTION("""COMPUTED_VALUE"""),7.703891)</f>
        <v>7.703891</v>
      </c>
      <c r="D20448" s="7">
        <f>IFERROR(__xludf.DUMMYFUNCTION("""COMPUTED_VALUE"""),0.280701754385964)</f>
        <v>0.2807017544</v>
      </c>
    </row>
    <row r="20449">
      <c r="A20449" s="10" t="s">
        <v>21888</v>
      </c>
      <c r="B20449" s="7" t="str">
        <f>IFERROR(__xludf.DUMMYFUNCTION("SPLIT(A20449,"" "")"),"CC(C)N(Cc1ccccn1)c1cc(N(Cc2ccccn2)Cc2ncccc2N(C)c2cccc3ncccc23)cc2ncccc12")</f>
        <v>CC(C)N(Cc1ccccn1)c1cc(N(Cc2ccccn2)Cc2ncccc2N(C)c2cccc3ncccc23)cc2ncccc12</v>
      </c>
      <c r="C20449" s="7">
        <f>IFERROR(__xludf.DUMMYFUNCTION("""COMPUTED_VALUE"""),7.703867)</f>
        <v>7.703867</v>
      </c>
      <c r="D20449" s="7">
        <f>IFERROR(__xludf.DUMMYFUNCTION("""COMPUTED_VALUE"""),0.344262295081967)</f>
        <v>0.3442622951</v>
      </c>
    </row>
    <row r="20450">
      <c r="A20450" s="10" t="s">
        <v>21889</v>
      </c>
      <c r="B20450" s="7" t="str">
        <f>IFERROR(__xludf.DUMMYFUNCTION("SPLIT(A20450,"" "")"),"Cc1cnc2cccc(N(C)CCN(C)c3ccc4cc(CN(C)C)cnc4c3)c2c1")</f>
        <v>Cc1cnc2cccc(N(C)CCN(C)c3ccc4cc(CN(C)C)cnc4c3)c2c1</v>
      </c>
      <c r="C20450" s="7">
        <f>IFERROR(__xludf.DUMMYFUNCTION("""COMPUTED_VALUE"""),7.7038574)</f>
        <v>7.7038574</v>
      </c>
      <c r="D20450" s="7">
        <f>IFERROR(__xludf.DUMMYFUNCTION("""COMPUTED_VALUE"""),0.351851851851851)</f>
        <v>0.3518518519</v>
      </c>
    </row>
    <row r="20451">
      <c r="A20451" s="10" t="s">
        <v>21890</v>
      </c>
      <c r="B20451" s="7" t="str">
        <f>IFERROR(__xludf.DUMMYFUNCTION("SPLIT(A20451,"" "")"),"CN(CCN(C)c1ccc2nccc(CF)c2c1)c1ccc2nccc(CF)c2c1")</f>
        <v>CN(CCN(C)c1ccc2nccc(CF)c2c1)c1ccc2nccc(CF)c2c1</v>
      </c>
      <c r="C20451" s="7">
        <f>IFERROR(__xludf.DUMMYFUNCTION("""COMPUTED_VALUE"""),7.7038326)</f>
        <v>7.7038326</v>
      </c>
      <c r="D20451" s="7">
        <f>IFERROR(__xludf.DUMMYFUNCTION("""COMPUTED_VALUE"""),0.276595744680851)</f>
        <v>0.2765957447</v>
      </c>
    </row>
    <row r="20452">
      <c r="A20452" s="10" t="s">
        <v>21891</v>
      </c>
      <c r="B20452" s="7" t="str">
        <f>IFERROR(__xludf.DUMMYFUNCTION("SPLIT(A20452,"" "")"),"CCN(CC1=CC(N(C)c2ccc3nccc(C)c3c2)C=CN1)c1ccc2ncccc2c1")</f>
        <v>CCN(CC1=CC(N(C)c2ccc3nccc(C)c3c2)C=CN1)c1ccc2ncccc2c1</v>
      </c>
      <c r="C20452" s="7">
        <f>IFERROR(__xludf.DUMMYFUNCTION("""COMPUTED_VALUE"""),7.7038317)</f>
        <v>7.7038317</v>
      </c>
      <c r="D20452" s="7">
        <f>IFERROR(__xludf.DUMMYFUNCTION("""COMPUTED_VALUE"""),0.271428571428571)</f>
        <v>0.2714285714</v>
      </c>
    </row>
    <row r="20453">
      <c r="A20453" s="10" t="s">
        <v>21892</v>
      </c>
      <c r="B20453" s="7" t="str">
        <f>IFERROR(__xludf.DUMMYFUNCTION("SPLIT(A20453,"" "")"),"CN(C)Cc1cncc2cc(N(C)CCN(C)c3cccc4ncccc34)ccc12")</f>
        <v>CN(C)Cc1cncc2cc(N(C)CCN(C)c3cccc4ncccc34)ccc12</v>
      </c>
      <c r="C20453" s="7">
        <f>IFERROR(__xludf.DUMMYFUNCTION("""COMPUTED_VALUE"""),7.703826)</f>
        <v>7.703826</v>
      </c>
      <c r="D20453" s="7">
        <f>IFERROR(__xludf.DUMMYFUNCTION("""COMPUTED_VALUE"""),0.407407407407407)</f>
        <v>0.4074074074</v>
      </c>
    </row>
    <row r="20454">
      <c r="A20454" s="10" t="s">
        <v>21893</v>
      </c>
      <c r="B20454" s="7" t="str">
        <f>IFERROR(__xludf.DUMMYFUNCTION("SPLIT(A20454,"" "")"),"CC(C)N(C)c1ccc2nc(CN(C)c3ccc4ccc(CF)nc4c3)ccc2c1")</f>
        <v>CC(C)N(C)c1ccc2nc(CN(C)c3ccc4ccc(CF)nc4c3)ccc2c1</v>
      </c>
      <c r="C20454" s="7">
        <f>IFERROR(__xludf.DUMMYFUNCTION("""COMPUTED_VALUE"""),7.7037845)</f>
        <v>7.7037845</v>
      </c>
      <c r="D20454" s="7">
        <f>IFERROR(__xludf.DUMMYFUNCTION("""COMPUTED_VALUE"""),0.347826086956521)</f>
        <v>0.347826087</v>
      </c>
    </row>
    <row r="20455">
      <c r="A20455" s="10" t="s">
        <v>21894</v>
      </c>
      <c r="B20455" s="7" t="str">
        <f>IFERROR(__xludf.DUMMYFUNCTION("SPLIT(A20455,"" "")"),"CNCc1ccc2cc(N(C)Cc3ccc4cccc(C)c4n3)ccc2n1")</f>
        <v>CNCc1ccc2cc(N(C)Cc3ccc4cccc(C)c4n3)ccc2n1</v>
      </c>
      <c r="C20455" s="7">
        <f>IFERROR(__xludf.DUMMYFUNCTION("""COMPUTED_VALUE"""),7.703771)</f>
        <v>7.703771</v>
      </c>
      <c r="D20455" s="7">
        <f>IFERROR(__xludf.DUMMYFUNCTION("""COMPUTED_VALUE"""),0.34)</f>
        <v>0.34</v>
      </c>
    </row>
    <row r="20456">
      <c r="A20456" s="10" t="s">
        <v>21895</v>
      </c>
      <c r="B20456" s="7" t="str">
        <f>IFERROR(__xludf.DUMMYFUNCTION("SPLIT(A20456,"" "")"),"CN(CCN(C)c1ccc2c(CF)ccnc2c1)c1ccc2c(CF)ccnc2c1")</f>
        <v>CN(CCN(C)c1ccc2c(CF)ccnc2c1)c1ccc2c(CF)ccnc2c1</v>
      </c>
      <c r="C20456" s="7">
        <f>IFERROR(__xludf.DUMMYFUNCTION("""COMPUTED_VALUE"""),7.7037597)</f>
        <v>7.7037597</v>
      </c>
      <c r="D20456" s="7">
        <f>IFERROR(__xludf.DUMMYFUNCTION("""COMPUTED_VALUE"""),0.282608695652173)</f>
        <v>0.2826086957</v>
      </c>
    </row>
    <row r="20457">
      <c r="A20457" s="10" t="s">
        <v>21896</v>
      </c>
      <c r="B20457" s="7" t="str">
        <f>IFERROR(__xludf.DUMMYFUNCTION("SPLIT(A20457,"" "")"),"CN(Cc1ccccn1)Cc1ccc2cccc(N(C)Cc3cc(-c4ccc5ncccc5c4)ccn3)c2n1")</f>
        <v>CN(Cc1ccccn1)Cc1ccc2cccc(N(C)Cc3cc(-c4ccc5ncccc5c4)ccn3)c2n1</v>
      </c>
      <c r="C20457" s="7">
        <f>IFERROR(__xludf.DUMMYFUNCTION("""COMPUTED_VALUE"""),7.7037597)</f>
        <v>7.7037597</v>
      </c>
      <c r="D20457" s="7">
        <f>IFERROR(__xludf.DUMMYFUNCTION("""COMPUTED_VALUE"""),0.423728813559322)</f>
        <v>0.4237288136</v>
      </c>
    </row>
    <row r="20458">
      <c r="A20458" s="10" t="s">
        <v>21897</v>
      </c>
      <c r="B20458" s="7" t="str">
        <f>IFERROR(__xludf.DUMMYFUNCTION("SPLIT(A20458,"" "")"),"CCN(CC1=CC(N(C)c2ccc3nccc(C)c3c2)C=CN1)c1ccc2cccnc2c1")</f>
        <v>CCN(CC1=CC(N(C)c2ccc3nccc(C)c3c2)C=CN1)c1ccc2cccnc2c1</v>
      </c>
      <c r="C20458" s="7">
        <f>IFERROR(__xludf.DUMMYFUNCTION("""COMPUTED_VALUE"""),7.703719)</f>
        <v>7.703719</v>
      </c>
      <c r="D20458" s="7">
        <f>IFERROR(__xludf.DUMMYFUNCTION("""COMPUTED_VALUE"""),0.263888888888888)</f>
        <v>0.2638888889</v>
      </c>
    </row>
    <row r="20459">
      <c r="A20459" s="10" t="s">
        <v>21898</v>
      </c>
      <c r="B20459" s="7" t="str">
        <f>IFERROR(__xludf.DUMMYFUNCTION("SPLIT(A20459,"" "")"),"CN(CCN(C)c1ccc2nccc(CF)c2c1)c1ccc2ncccc2c1")</f>
        <v>CN(CCN(C)c1ccc2nccc(CF)c2c1)c1ccc2ncccc2c1</v>
      </c>
      <c r="C20459" s="7">
        <f>IFERROR(__xludf.DUMMYFUNCTION("""COMPUTED_VALUE"""),7.7036953)</f>
        <v>7.7036953</v>
      </c>
      <c r="D20459" s="7">
        <f>IFERROR(__xludf.DUMMYFUNCTION("""COMPUTED_VALUE"""),0.36734693877551)</f>
        <v>0.3673469388</v>
      </c>
    </row>
    <row r="20460">
      <c r="A20460" s="10" t="s">
        <v>21899</v>
      </c>
      <c r="B20460" s="7" t="str">
        <f>IFERROR(__xludf.DUMMYFUNCTION("SPLIT(A20460,"" "")"),"CN(Cc1ccccn1)c1cc(-c2cccc(NCc3ccccn3)c2-c2ccccc2)c2ncccc2c1")</f>
        <v>CN(Cc1ccccn1)c1cc(-c2cccc(NCc3ccccn3)c2-c2ccccc2)c2ncccc2c1</v>
      </c>
      <c r="C20460" s="7">
        <f>IFERROR(__xludf.DUMMYFUNCTION("""COMPUTED_VALUE"""),7.7036557)</f>
        <v>7.7036557</v>
      </c>
      <c r="D20460" s="7">
        <f>IFERROR(__xludf.DUMMYFUNCTION("""COMPUTED_VALUE"""),0.415384615384615)</f>
        <v>0.4153846154</v>
      </c>
    </row>
    <row r="20461">
      <c r="A20461" s="10" t="s">
        <v>21900</v>
      </c>
      <c r="B20461" s="7" t="str">
        <f>IFERROR(__xludf.DUMMYFUNCTION("SPLIT(A20461,"" "")"),"CN(C)c1ccc2c(CN(C)c3ccccc3F)ccnc2c1")</f>
        <v>CN(C)c1ccc2c(CN(C)c3ccccc3F)ccnc2c1</v>
      </c>
      <c r="C20461" s="7">
        <f>IFERROR(__xludf.DUMMYFUNCTION("""COMPUTED_VALUE"""),7.703652)</f>
        <v>7.703652</v>
      </c>
      <c r="D20461" s="7">
        <f>IFERROR(__xludf.DUMMYFUNCTION("""COMPUTED_VALUE"""),0.326923076923076)</f>
        <v>0.3269230769</v>
      </c>
    </row>
    <row r="20462">
      <c r="A20462" s="10" t="s">
        <v>21901</v>
      </c>
      <c r="B20462" s="7" t="str">
        <f>IFERROR(__xludf.DUMMYFUNCTION("SPLIT(A20462,"" "")"),"CN(Cc1ncccc1-c1cccc(N=Cc2ccccn2)c1)Cc1ncccc1-c1ccc2ncccc2c1")</f>
        <v>CN(Cc1ncccc1-c1cccc(N=Cc2ccccn2)c1)Cc1ncccc1-c1ccc2ncccc2c1</v>
      </c>
      <c r="C20462" s="7">
        <f>IFERROR(__xludf.DUMMYFUNCTION("""COMPUTED_VALUE"""),7.703649)</f>
        <v>7.703649</v>
      </c>
      <c r="D20462" s="7">
        <f>IFERROR(__xludf.DUMMYFUNCTION("""COMPUTED_VALUE"""),0.333333333333333)</f>
        <v>0.3333333333</v>
      </c>
    </row>
    <row r="20463">
      <c r="A20463" s="10" t="s">
        <v>21902</v>
      </c>
      <c r="B20463" s="7" t="str">
        <f>IFERROR(__xludf.DUMMYFUNCTION("SPLIT(A20463,"" "")"),"CN(CCN(C)c1ccc2c(CF)ccnc2c1)c1ccc2ncccc2c1")</f>
        <v>CN(CCN(C)c1ccc2c(CF)ccnc2c1)c1ccc2ncccc2c1</v>
      </c>
      <c r="C20463" s="7">
        <f>IFERROR(__xludf.DUMMYFUNCTION("""COMPUTED_VALUE"""),7.7036076)</f>
        <v>7.7036076</v>
      </c>
      <c r="D20463" s="7">
        <f>IFERROR(__xludf.DUMMYFUNCTION("""COMPUTED_VALUE"""),0.36734693877551)</f>
        <v>0.3673469388</v>
      </c>
    </row>
    <row r="20464">
      <c r="A20464" s="10" t="s">
        <v>21903</v>
      </c>
      <c r="B20464" s="7" t="str">
        <f>IFERROR(__xludf.DUMMYFUNCTION("SPLIT(A20464,"" "")"),"CN(c1ccc2cc(CF)cnc2c1)C1CCC(N(C)c2cccc3nccc(-c4cccc5cccnc45)c23)CC1")</f>
        <v>CN(c1ccc2cc(CF)cnc2c1)C1CCC(N(C)c2cccc3nccc(-c4cccc5cccnc45)c23)CC1</v>
      </c>
      <c r="C20464" s="7">
        <f>IFERROR(__xludf.DUMMYFUNCTION("""COMPUTED_VALUE"""),7.7035794)</f>
        <v>7.7035794</v>
      </c>
      <c r="D20464" s="7">
        <f>IFERROR(__xludf.DUMMYFUNCTION("""COMPUTED_VALUE"""),0.352941176470588)</f>
        <v>0.3529411765</v>
      </c>
    </row>
    <row r="20465">
      <c r="A20465" s="10" t="s">
        <v>21904</v>
      </c>
      <c r="B20465" s="7" t="str">
        <f>IFERROR(__xludf.DUMMYFUNCTION("SPLIT(A20465,"" "")"),"CCN(Cc1ccccn1)c1ccc2c(-c3ccccc3N(C)C)ccnc2c1")</f>
        <v>CCN(Cc1ccccn1)c1ccc2c(-c3ccccc3N(C)C)ccnc2c1</v>
      </c>
      <c r="C20465" s="7">
        <f>IFERROR(__xludf.DUMMYFUNCTION("""COMPUTED_VALUE"""),7.703551)</f>
        <v>7.703551</v>
      </c>
      <c r="D20465" s="7">
        <f>IFERROR(__xludf.DUMMYFUNCTION("""COMPUTED_VALUE"""),0.381818181818181)</f>
        <v>0.3818181818</v>
      </c>
    </row>
    <row r="20466">
      <c r="A20466" s="10" t="s">
        <v>21905</v>
      </c>
      <c r="B20466" s="7" t="str">
        <f>IFERROR(__xludf.DUMMYFUNCTION("SPLIT(A20466,"" "")"),"CN(C)Cc1ccnc2ccc(N(C)CCN(C)c3ccc4ncccc4c3)cc12")</f>
        <v>CN(C)Cc1ccnc2ccc(N(C)CCN(C)c3ccc4ncccc4c3)cc12</v>
      </c>
      <c r="C20466" s="7">
        <f>IFERROR(__xludf.DUMMYFUNCTION("""COMPUTED_VALUE"""),7.7035456)</f>
        <v>7.7035456</v>
      </c>
      <c r="D20466" s="7">
        <f>IFERROR(__xludf.DUMMYFUNCTION("""COMPUTED_VALUE"""),0.36734693877551)</f>
        <v>0.3673469388</v>
      </c>
    </row>
    <row r="20467">
      <c r="A20467" s="10" t="s">
        <v>21906</v>
      </c>
      <c r="B20467" s="7" t="str">
        <f>IFERROR(__xludf.DUMMYFUNCTION("SPLIT(A20467,"" "")"),"CC(C)N(CC1=C(N(C)c2ccc3cccnc3c2)CC=CN1)c1ccc2ncccc2c1")</f>
        <v>CC(C)N(CC1=C(N(C)c2ccc3cccnc3c2)CC=CN1)c1ccc2ncccc2c1</v>
      </c>
      <c r="C20467" s="7">
        <f>IFERROR(__xludf.DUMMYFUNCTION("""COMPUTED_VALUE"""),7.70353)</f>
        <v>7.70353</v>
      </c>
      <c r="D20467" s="7">
        <f>IFERROR(__xludf.DUMMYFUNCTION("""COMPUTED_VALUE"""),0.261538461538461)</f>
        <v>0.2615384615</v>
      </c>
    </row>
    <row r="20468">
      <c r="A20468" s="10" t="s">
        <v>21907</v>
      </c>
      <c r="B20468" s="7" t="str">
        <f>IFERROR(__xludf.DUMMYFUNCTION("SPLIT(A20468,"" "")"),"CNCN(CCN(C)c1ccc2c(C)ccnc2c1)c1ccc2nccc(C)c2c1")</f>
        <v>CNCN(CCN(C)c1ccc2c(C)ccnc2c1)c1ccc2nccc(C)c2c1</v>
      </c>
      <c r="C20468" s="7">
        <f>IFERROR(__xludf.DUMMYFUNCTION("""COMPUTED_VALUE"""),7.70349)</f>
        <v>7.70349</v>
      </c>
      <c r="D20468" s="7">
        <f>IFERROR(__xludf.DUMMYFUNCTION("""COMPUTED_VALUE"""),0.224137931034482)</f>
        <v>0.224137931</v>
      </c>
    </row>
    <row r="20469">
      <c r="A20469" s="10" t="s">
        <v>21908</v>
      </c>
      <c r="B20469" s="7" t="str">
        <f>IFERROR(__xludf.DUMMYFUNCTION("SPLIT(A20469,"" "")"),"CN(CCN(C)c1ccc2nccc(CF)c2c1)c1ccc2cccnc2c1")</f>
        <v>CN(CCN(C)c1ccc2nccc(CF)c2c1)c1ccc2cccnc2c1</v>
      </c>
      <c r="C20469" s="7">
        <f>IFERROR(__xludf.DUMMYFUNCTION("""COMPUTED_VALUE"""),7.703475)</f>
        <v>7.703475</v>
      </c>
      <c r="D20469" s="7">
        <f>IFERROR(__xludf.DUMMYFUNCTION("""COMPUTED_VALUE"""),0.352941176470588)</f>
        <v>0.3529411765</v>
      </c>
    </row>
    <row r="20470">
      <c r="A20470" s="10" t="s">
        <v>21909</v>
      </c>
      <c r="B20470" s="7" t="str">
        <f>IFERROR(__xludf.DUMMYFUNCTION("SPLIT(A20470,"" "")"),"CC(C)N(CC1=C(N(C)c2ccc3ncccc3c2)CC=CN1)c1ccc2cccnc2c1")</f>
        <v>CC(C)N(CC1=C(N(C)c2ccc3ncccc3c2)CC=CN1)c1ccc2cccnc2c1</v>
      </c>
      <c r="C20470" s="7">
        <f>IFERROR(__xludf.DUMMYFUNCTION("""COMPUTED_VALUE"""),7.7034736)</f>
        <v>7.7034736</v>
      </c>
      <c r="D20470" s="7">
        <f>IFERROR(__xludf.DUMMYFUNCTION("""COMPUTED_VALUE"""),0.261538461538461)</f>
        <v>0.2615384615</v>
      </c>
    </row>
    <row r="20471">
      <c r="A20471" s="10" t="s">
        <v>21910</v>
      </c>
      <c r="B20471" s="7" t="str">
        <f>IFERROR(__xludf.DUMMYFUNCTION("SPLIT(A20471,"" "")"),"CN(CCN(C)c1ccc2c(CF)ccnc2c1)c1ccc2cccnc2c1")</f>
        <v>CN(CCN(C)c1ccc2c(CF)ccnc2c1)c1ccc2cccnc2c1</v>
      </c>
      <c r="C20471" s="7">
        <f>IFERROR(__xludf.DUMMYFUNCTION("""COMPUTED_VALUE"""),7.70341)</f>
        <v>7.70341</v>
      </c>
      <c r="D20471" s="7">
        <f>IFERROR(__xludf.DUMMYFUNCTION("""COMPUTED_VALUE"""),0.36734693877551)</f>
        <v>0.3673469388</v>
      </c>
    </row>
    <row r="20472">
      <c r="A20472" s="10" t="s">
        <v>21911</v>
      </c>
      <c r="B20472" s="7" t="str">
        <f>IFERROR(__xludf.DUMMYFUNCTION("SPLIT(A20472,"" "")"),"CN(Cc1cc(-c2ccc3ncccc3c2)ccn1)Cc1ccc2ccccc2n1")</f>
        <v>CN(Cc1cc(-c2ccc3ncccc3c2)ccn1)Cc1ccc2ccccc2n1</v>
      </c>
      <c r="C20472" s="7">
        <f>IFERROR(__xludf.DUMMYFUNCTION("""COMPUTED_VALUE"""),7.7033954)</f>
        <v>7.7033954</v>
      </c>
      <c r="D20472" s="7">
        <f>IFERROR(__xludf.DUMMYFUNCTION("""COMPUTED_VALUE"""),0.489795918367346)</f>
        <v>0.4897959184</v>
      </c>
    </row>
    <row r="20473">
      <c r="A20473" s="10" t="s">
        <v>21912</v>
      </c>
      <c r="B20473" s="7" t="str">
        <f>IFERROR(__xludf.DUMMYFUNCTION("SPLIT(A20473,"" "")"),"CN(C)Cc1ccnc2ccc(N(C)CCN(C)c3ccc4cccnc4c3)cc12")</f>
        <v>CN(C)Cc1ccnc2ccc(N(C)CCN(C)c3ccc4cccnc4c3)cc12</v>
      </c>
      <c r="C20473" s="7">
        <f>IFERROR(__xludf.DUMMYFUNCTION("""COMPUTED_VALUE"""),7.7033834)</f>
        <v>7.7033834</v>
      </c>
      <c r="D20473" s="7">
        <f>IFERROR(__xludf.DUMMYFUNCTION("""COMPUTED_VALUE"""),0.352941176470588)</f>
        <v>0.3529411765</v>
      </c>
    </row>
    <row r="20474">
      <c r="A20474" s="10" t="s">
        <v>21913</v>
      </c>
      <c r="B20474" s="7" t="str">
        <f>IFERROR(__xludf.DUMMYFUNCTION("SPLIT(A20474,"" "")"),"CN(Cc1cc(-c2ccc3ncccc3c2)ccn1)Cc1ncccc1-c1cccc(N=Cc2ccccn2)c1")</f>
        <v>CN(Cc1cc(-c2ccc3ncccc3c2)ccn1)Cc1ncccc1-c1cccc(N=Cc2ccccn2)c1</v>
      </c>
      <c r="C20474" s="7">
        <f>IFERROR(__xludf.DUMMYFUNCTION("""COMPUTED_VALUE"""),7.7033653)</f>
        <v>7.7033653</v>
      </c>
      <c r="D20474" s="7">
        <f>IFERROR(__xludf.DUMMYFUNCTION("""COMPUTED_VALUE"""),0.314285714285714)</f>
        <v>0.3142857143</v>
      </c>
    </row>
    <row r="20475">
      <c r="A20475" s="10" t="s">
        <v>21914</v>
      </c>
      <c r="B20475" s="7" t="str">
        <f>IFERROR(__xludf.DUMMYFUNCTION("SPLIT(A20475,"" "")"),"CN(Cc1cc(-c2cccc(N=Cc3ccccn3)c2)ccn1)Cc1ncccc1-c1ccc2ncccc2c1")</f>
        <v>CN(Cc1cc(-c2cccc(N=Cc3ccccn3)c2)ccn1)Cc1ncccc1-c1ccc2ncccc2c1</v>
      </c>
      <c r="C20475" s="7">
        <f>IFERROR(__xludf.DUMMYFUNCTION("""COMPUTED_VALUE"""),7.7033596)</f>
        <v>7.7033596</v>
      </c>
      <c r="D20475" s="7">
        <f>IFERROR(__xludf.DUMMYFUNCTION("""COMPUTED_VALUE"""),0.314285714285714)</f>
        <v>0.3142857143</v>
      </c>
    </row>
    <row r="20476">
      <c r="A20476" s="10" t="s">
        <v>21915</v>
      </c>
      <c r="B20476" s="7" t="str">
        <f>IFERROR(__xludf.DUMMYFUNCTION("SPLIT(A20476,"" "")"),"CN(Cc1ncccc1-c1ccc2ncccc2c1)Cc1ncccc1-c1ccccc1N=Cc1ccccn1")</f>
        <v>CN(Cc1ncccc1-c1ccc2ncccc2c1)Cc1ncccc1-c1ccccc1N=Cc1ccccn1</v>
      </c>
      <c r="C20476" s="7">
        <f>IFERROR(__xludf.DUMMYFUNCTION("""COMPUTED_VALUE"""),7.7033596)</f>
        <v>7.7033596</v>
      </c>
      <c r="D20476" s="7">
        <f>IFERROR(__xludf.DUMMYFUNCTION("""COMPUTED_VALUE"""),0.383333333333333)</f>
        <v>0.3833333333</v>
      </c>
    </row>
    <row r="20477">
      <c r="A20477" s="10" t="s">
        <v>21916</v>
      </c>
      <c r="B20477" s="7" t="str">
        <f>IFERROR(__xludf.DUMMYFUNCTION("SPLIT(A20477,"" "")"),"CN(C)c1ccc2nccc(CF)c2c1")</f>
        <v>CN(C)c1ccc2nccc(CF)c2c1</v>
      </c>
      <c r="C20477" s="7">
        <f>IFERROR(__xludf.DUMMYFUNCTION("""COMPUTED_VALUE"""),7.703359)</f>
        <v>7.703359</v>
      </c>
      <c r="D20477" s="7">
        <f>IFERROR(__xludf.DUMMYFUNCTION("""COMPUTED_VALUE"""),0.25)</f>
        <v>0.25</v>
      </c>
    </row>
    <row r="20478">
      <c r="A20478" s="10" t="s">
        <v>21917</v>
      </c>
      <c r="B20478" s="7" t="str">
        <f>IFERROR(__xludf.DUMMYFUNCTION("SPLIT(A20478,"" "")"),"Cc1cnc(-c2ccccc2N)c(CN(C)c2ccc3cccnc3c2N(C)Cc2ccccn2)c1")</f>
        <v>Cc1cnc(-c2ccccc2N)c(CN(C)c2ccc3cccnc3c2N(C)Cc2ccccn2)c1</v>
      </c>
      <c r="C20478" s="7">
        <f>IFERROR(__xludf.DUMMYFUNCTION("""COMPUTED_VALUE"""),7.703322)</f>
        <v>7.703322</v>
      </c>
      <c r="D20478" s="7">
        <f>IFERROR(__xludf.DUMMYFUNCTION("""COMPUTED_VALUE"""),0.387096774193548)</f>
        <v>0.3870967742</v>
      </c>
    </row>
    <row r="20479">
      <c r="A20479" s="10" t="s">
        <v>21918</v>
      </c>
      <c r="B20479" s="7" t="str">
        <f>IFERROR(__xludf.DUMMYFUNCTION("SPLIT(A20479,"" "")"),"CCNc1cccc2c(-c3ccc(-c4cccc(NCc5ccccn5)c4)cn3)ccnc12")</f>
        <v>CCNc1cccc2c(-c3ccc(-c4cccc(NCc5ccccn5)c4)cn3)ccnc12</v>
      </c>
      <c r="C20479" s="7">
        <f>IFERROR(__xludf.DUMMYFUNCTION("""COMPUTED_VALUE"""),7.703309)</f>
        <v>7.703309</v>
      </c>
      <c r="D20479" s="7">
        <f>IFERROR(__xludf.DUMMYFUNCTION("""COMPUTED_VALUE"""),0.367647058823529)</f>
        <v>0.3676470588</v>
      </c>
    </row>
    <row r="20480">
      <c r="A20480" s="10" t="s">
        <v>21919</v>
      </c>
      <c r="B20480" s="7" t="str">
        <f>IFERROR(__xludf.DUMMYFUNCTION("SPLIT(A20480,"" "")"),"CN(Cc1cccc(-c2ccccc2N=Cc2ccccn2)n1)c1cccc2ccc(CF)nc12")</f>
        <v>CN(Cc1cccc(-c2ccccc2N=Cc2ccccn2)n1)c1cccc2ccc(CF)nc12</v>
      </c>
      <c r="C20480" s="7">
        <f>IFERROR(__xludf.DUMMYFUNCTION("""COMPUTED_VALUE"""),7.7032986)</f>
        <v>7.7032986</v>
      </c>
      <c r="D20480" s="7">
        <f>IFERROR(__xludf.DUMMYFUNCTION("""COMPUTED_VALUE"""),0.376811594202898)</f>
        <v>0.3768115942</v>
      </c>
    </row>
    <row r="20481">
      <c r="A20481" s="10" t="s">
        <v>21920</v>
      </c>
      <c r="B20481" s="7" t="str">
        <f>IFERROR(__xludf.DUMMYFUNCTION("SPLIT(A20481,"" "")"),"CCNc1cccc2nccc(-c3ccc(NCc4ccccn4)c(-c4ccccc4)c3C)c12")</f>
        <v>CCNc1cccc2nccc(-c3ccc(NCc4ccccn4)c(-c4ccccc4)c3C)c12</v>
      </c>
      <c r="C20481" s="7">
        <f>IFERROR(__xludf.DUMMYFUNCTION("""COMPUTED_VALUE"""),7.70328)</f>
        <v>7.70328</v>
      </c>
      <c r="D20481" s="7">
        <f>IFERROR(__xludf.DUMMYFUNCTION("""COMPUTED_VALUE"""),0.363636363636363)</f>
        <v>0.3636363636</v>
      </c>
    </row>
    <row r="20482">
      <c r="A20482" s="10" t="s">
        <v>21921</v>
      </c>
      <c r="B20482" s="7" t="str">
        <f>IFERROR(__xludf.DUMMYFUNCTION("SPLIT(A20482,"" "")"),"CCN(Cc1ccccn1)c1ccc2nccc(-c3ccc(N(C)C)cc3)c2c1")</f>
        <v>CCN(Cc1ccccn1)c1ccc2nccc(-c3ccc(N(C)C)cc3)c2c1</v>
      </c>
      <c r="C20482" s="7">
        <f>IFERROR(__xludf.DUMMYFUNCTION("""COMPUTED_VALUE"""),7.7032685)</f>
        <v>7.7032685</v>
      </c>
      <c r="D20482" s="7">
        <f>IFERROR(__xludf.DUMMYFUNCTION("""COMPUTED_VALUE"""),0.363636363636363)</f>
        <v>0.3636363636</v>
      </c>
    </row>
    <row r="20483">
      <c r="A20483" s="10" t="s">
        <v>21922</v>
      </c>
      <c r="B20483" s="7" t="str">
        <f>IFERROR(__xludf.DUMMYFUNCTION("SPLIT(A20483,"" "")"),"Cc1cc2ncccc2cc1-c1ncccc1CN(C)Cc1ccc(-c2cccc(N=Cc3ccccn3)c2)cn1")</f>
        <v>Cc1cc2ncccc2cc1-c1ncccc1CN(C)Cc1ccc(-c2cccc(N=Cc3ccccn3)c2)cn1</v>
      </c>
      <c r="C20483" s="7">
        <f>IFERROR(__xludf.DUMMYFUNCTION("""COMPUTED_VALUE"""),7.703263)</f>
        <v>7.703263</v>
      </c>
      <c r="D20483" s="7">
        <f>IFERROR(__xludf.DUMMYFUNCTION("""COMPUTED_VALUE"""),0.31081081081081)</f>
        <v>0.3108108108</v>
      </c>
    </row>
    <row r="20484">
      <c r="A20484" s="10" t="s">
        <v>21923</v>
      </c>
      <c r="B20484" s="7" t="str">
        <f>IFERROR(__xludf.DUMMYFUNCTION("SPLIT(A20484,"" "")"),"CN(Cc1cc(-c2cccc(N=Cc3ccccn3)c2)ccn1)Cc1cc(-c2ccc3ncccc3c2)ccn1")</f>
        <v>CN(Cc1cc(-c2cccc(N=Cc3ccccn3)c2)ccn1)Cc1cc(-c2ccc3ncccc3c2)ccn1</v>
      </c>
      <c r="C20484" s="7">
        <f>IFERROR(__xludf.DUMMYFUNCTION("""COMPUTED_VALUE"""),7.7032576)</f>
        <v>7.7032576</v>
      </c>
      <c r="D20484" s="7">
        <f>IFERROR(__xludf.DUMMYFUNCTION("""COMPUTED_VALUE"""),0.354838709677419)</f>
        <v>0.3548387097</v>
      </c>
    </row>
    <row r="20485">
      <c r="A20485" s="10" t="s">
        <v>21924</v>
      </c>
      <c r="B20485" s="7" t="str">
        <f>IFERROR(__xludf.DUMMYFUNCTION("SPLIT(A20485,"" "")"),"CN(C)Cc1ccnc2cc(N(C)CCN(C)c3ccc4cccnc4c3)ccc12")</f>
        <v>CN(C)Cc1ccnc2cc(N(C)CCN(C)c3ccc4cccnc4c3)ccc12</v>
      </c>
      <c r="C20485" s="7">
        <f>IFERROR(__xludf.DUMMYFUNCTION("""COMPUTED_VALUE"""),7.7032285)</f>
        <v>7.7032285</v>
      </c>
      <c r="D20485" s="7">
        <f>IFERROR(__xludf.DUMMYFUNCTION("""COMPUTED_VALUE"""),0.36734693877551)</f>
        <v>0.3673469388</v>
      </c>
    </row>
    <row r="20486">
      <c r="A20486" s="10" t="s">
        <v>21925</v>
      </c>
      <c r="B20486" s="7" t="str">
        <f>IFERROR(__xludf.DUMMYFUNCTION("SPLIT(A20486,"" "")"),"CNCc1cc(-c2ccc3cccnc3c2N(C)Cc2nccc(C)c2C)ccn1")</f>
        <v>CNCc1cc(-c2ccc3cccnc3c2N(C)Cc2nccc(C)c2C)ccn1</v>
      </c>
      <c r="C20486" s="7">
        <f>IFERROR(__xludf.DUMMYFUNCTION("""COMPUTED_VALUE"""),7.703217)</f>
        <v>7.703217</v>
      </c>
      <c r="D20486" s="7">
        <f>IFERROR(__xludf.DUMMYFUNCTION("""COMPUTED_VALUE"""),0.311475409836065)</f>
        <v>0.3114754098</v>
      </c>
    </row>
    <row r="20487">
      <c r="A20487" s="10" t="s">
        <v>21926</v>
      </c>
      <c r="B20487" s="7" t="str">
        <f>IFERROR(__xludf.DUMMYFUNCTION("SPLIT(A20487,"" "")"),"CN(C)c1ccc2c(CF)ccnc2c1")</f>
        <v>CN(C)c1ccc2c(CF)ccnc2c1</v>
      </c>
      <c r="C20487" s="7">
        <f>IFERROR(__xludf.DUMMYFUNCTION("""COMPUTED_VALUE"""),7.703205)</f>
        <v>7.703205</v>
      </c>
      <c r="D20487" s="7">
        <f>IFERROR(__xludf.DUMMYFUNCTION("""COMPUTED_VALUE"""),0.23076923076923)</f>
        <v>0.2307692308</v>
      </c>
    </row>
    <row r="20488">
      <c r="A20488" s="10" t="s">
        <v>21927</v>
      </c>
      <c r="B20488" s="7" t="str">
        <f>IFERROR(__xludf.DUMMYFUNCTION("SPLIT(A20488,"" "")"),"CCn1c(C)nc(C)c1CN(CCN(C)c1ccc2nccc(CF)c2c1)c1ccc2nccc(C)c2c1")</f>
        <v>CCn1c(C)nc(C)c1CN(CCN(C)c1ccc2nccc(CF)c2c1)c1ccc2nccc(C)c2c1</v>
      </c>
      <c r="C20488" s="7">
        <f>IFERROR(__xludf.DUMMYFUNCTION("""COMPUTED_VALUE"""),7.703196)</f>
        <v>7.703196</v>
      </c>
      <c r="D20488" s="7">
        <f>IFERROR(__xludf.DUMMYFUNCTION("""COMPUTED_VALUE"""),0.205882352941176)</f>
        <v>0.2058823529</v>
      </c>
    </row>
    <row r="20489">
      <c r="A20489" s="10" t="s">
        <v>21928</v>
      </c>
      <c r="B20489" s="7" t="str">
        <f>IFERROR(__xludf.DUMMYFUNCTION("SPLIT(A20489,"" "")"),"CN(Cc1ccc2ncccc2c1)Cc1nc2ccccc2o1")</f>
        <v>CN(Cc1ccc2ncccc2c1)Cc1nc2ccccc2o1</v>
      </c>
      <c r="C20489" s="7">
        <f>IFERROR(__xludf.DUMMYFUNCTION("""COMPUTED_VALUE"""),7.703169)</f>
        <v>7.703169</v>
      </c>
      <c r="D20489" s="7">
        <f>IFERROR(__xludf.DUMMYFUNCTION("""COMPUTED_VALUE"""),0.36)</f>
        <v>0.36</v>
      </c>
    </row>
    <row r="20490">
      <c r="A20490" s="10" t="s">
        <v>21929</v>
      </c>
      <c r="B20490" s="7" t="str">
        <f>IFERROR(__xludf.DUMMYFUNCTION("SPLIT(A20490,"" "")"),"Cc1cc2cccnc2cc1-c1ncccc1CN(C)Cc1ccc(-c2cccc(N=Cc3ccccn3)c2)cn1")</f>
        <v>Cc1cc2cccnc2cc1-c1ncccc1CN(C)Cc1ccc(-c2cccc(N=Cc3ccccn3)c2)cn1</v>
      </c>
      <c r="C20490" s="7">
        <f>IFERROR(__xludf.DUMMYFUNCTION("""COMPUTED_VALUE"""),7.7031336)</f>
        <v>7.7031336</v>
      </c>
      <c r="D20490" s="7">
        <f>IFERROR(__xludf.DUMMYFUNCTION("""COMPUTED_VALUE"""),0.31081081081081)</f>
        <v>0.3108108108</v>
      </c>
    </row>
    <row r="20491">
      <c r="A20491" s="10" t="s">
        <v>21930</v>
      </c>
      <c r="B20491" s="7" t="str">
        <f>IFERROR(__xludf.DUMMYFUNCTION("SPLIT(A20491,"" "")"),"CN(CC1=CC(N(C)c2ccc3nc(CF)ccc3c2)C=CN1)c1ccc2ncccc2c1")</f>
        <v>CN(CC1=CC(N(C)c2ccc3nc(CF)ccc3c2)C=CN1)c1ccc2ncccc2c1</v>
      </c>
      <c r="C20491" s="7">
        <f>IFERROR(__xludf.DUMMYFUNCTION("""COMPUTED_VALUE"""),7.703124)</f>
        <v>7.703124</v>
      </c>
      <c r="D20491" s="7">
        <f>IFERROR(__xludf.DUMMYFUNCTION("""COMPUTED_VALUE"""),0.295774647887323)</f>
        <v>0.2957746479</v>
      </c>
    </row>
    <row r="20492">
      <c r="A20492" s="10" t="s">
        <v>21931</v>
      </c>
      <c r="B20492" s="7" t="str">
        <f>IFERROR(__xludf.DUMMYFUNCTION("SPLIT(A20492,"" "")"),"CN(CCN(C)c1cccc2nccc(C(C)(C)C)c12)c1cccc2ncccc12")</f>
        <v>CN(CCN(C)c1cccc2nccc(C(C)(C)C)c12)c1cccc2ncccc12</v>
      </c>
      <c r="C20492" s="7">
        <f>IFERROR(__xludf.DUMMYFUNCTION("""COMPUTED_VALUE"""),7.703111)</f>
        <v>7.703111</v>
      </c>
      <c r="D20492" s="7">
        <f>IFERROR(__xludf.DUMMYFUNCTION("""COMPUTED_VALUE"""),0.456521739130434)</f>
        <v>0.4565217391</v>
      </c>
    </row>
    <row r="20493">
      <c r="A20493" s="10" t="s">
        <v>21932</v>
      </c>
      <c r="B20493" s="7" t="str">
        <f>IFERROR(__xludf.DUMMYFUNCTION("SPLIT(A20493,"" "")"),"CN(Cc1ccccn1)c1ccc2ncc(C3=CCC=CN3)cc2c1")</f>
        <v>CN(Cc1ccccn1)c1ccc2ncc(C3=CCC=CN3)cc2c1</v>
      </c>
      <c r="C20493" s="7">
        <f>IFERROR(__xludf.DUMMYFUNCTION("""COMPUTED_VALUE"""),7.703109)</f>
        <v>7.703109</v>
      </c>
      <c r="D20493" s="7">
        <f>IFERROR(__xludf.DUMMYFUNCTION("""COMPUTED_VALUE"""),0.45)</f>
        <v>0.45</v>
      </c>
    </row>
    <row r="20494">
      <c r="A20494" s="10" t="s">
        <v>21933</v>
      </c>
      <c r="B20494" s="7" t="str">
        <f>IFERROR(__xludf.DUMMYFUNCTION("SPLIT(A20494,"" "")"),"CN(CCN(C)c1cccc2nc3c(cc12)CCC3)c1cccc2ncccc12")</f>
        <v>CN(CCN(C)c1cccc2nc3c(cc12)CCC3)c1cccc2ncccc12</v>
      </c>
      <c r="C20494" s="7">
        <f>IFERROR(__xludf.DUMMYFUNCTION("""COMPUTED_VALUE"""),7.7030935)</f>
        <v>7.7030935</v>
      </c>
      <c r="D20494" s="7">
        <f>IFERROR(__xludf.DUMMYFUNCTION("""COMPUTED_VALUE"""),0.448979591836734)</f>
        <v>0.4489795918</v>
      </c>
    </row>
    <row r="20495">
      <c r="A20495" s="10" t="s">
        <v>21934</v>
      </c>
      <c r="B20495" s="7" t="str">
        <f>IFERROR(__xludf.DUMMYFUNCTION("SPLIT(A20495,"" "")"),"Cc1ccc(-c2cccc(-c3cccc(NCc4ccccn4)c3)n2)c(-c2cccc(-c3ccccc3)n2)c1")</f>
        <v>Cc1ccc(-c2cccc(-c3cccc(NCc4ccccn4)c3)n2)c(-c2cccc(-c3ccccc3)n2)c1</v>
      </c>
      <c r="C20495" s="7">
        <f>IFERROR(__xludf.DUMMYFUNCTION("""COMPUTED_VALUE"""),7.703038)</f>
        <v>7.703038</v>
      </c>
      <c r="D20495" s="7">
        <f>IFERROR(__xludf.DUMMYFUNCTION("""COMPUTED_VALUE"""),0.416666666666666)</f>
        <v>0.4166666667</v>
      </c>
    </row>
    <row r="20496">
      <c r="A20496" s="10" t="s">
        <v>21935</v>
      </c>
      <c r="B20496" s="7" t="str">
        <f>IFERROR(__xludf.DUMMYFUNCTION("SPLIT(A20496,"" "")"),"CC(C)N(Cc1ccccn1)c1ccc2nccc(CN(C)c3ccc4ncccc4c3)c2c1")</f>
        <v>CC(C)N(Cc1ccccn1)c1ccc2nccc(CN(C)c3ccc4ncccc4c3)c2c1</v>
      </c>
      <c r="C20496" s="7">
        <f>IFERROR(__xludf.DUMMYFUNCTION("""COMPUTED_VALUE"""),7.702999)</f>
        <v>7.702999</v>
      </c>
      <c r="D20496" s="7">
        <f>IFERROR(__xludf.DUMMYFUNCTION("""COMPUTED_VALUE"""),0.375)</f>
        <v>0.375</v>
      </c>
    </row>
    <row r="20497">
      <c r="A20497" s="10" t="s">
        <v>21936</v>
      </c>
      <c r="B20497" s="7" t="str">
        <f>IFERROR(__xludf.DUMMYFUNCTION("SPLIT(A20497,"" "")"),"CCN(CC1=C(N(C)c2ccc3ncccc3c2)CC=CN1)c1ccc2ncccc2c1")</f>
        <v>CCN(CC1=C(N(C)c2ccc3ncccc3c2)CC=CN1)c1ccc2ncccc2c1</v>
      </c>
      <c r="C20497" s="7">
        <f>IFERROR(__xludf.DUMMYFUNCTION("""COMPUTED_VALUE"""),7.7029786)</f>
        <v>7.7029786</v>
      </c>
      <c r="D20497" s="7">
        <f>IFERROR(__xludf.DUMMYFUNCTION("""COMPUTED_VALUE"""),0.262295081967213)</f>
        <v>0.262295082</v>
      </c>
    </row>
    <row r="20498">
      <c r="A20498" s="10" t="s">
        <v>21937</v>
      </c>
      <c r="B20498" s="7" t="str">
        <f>IFERROR(__xludf.DUMMYFUNCTION("SPLIT(A20498,"" "")"),"CN(Cc1cc(-c2ccc3ncccc3c2)ccn1)Cc1cc(-c2ccccc2N(C)C)ccn1")</f>
        <v>CN(Cc1cc(-c2ccc3ncccc3c2)ccn1)Cc1cc(-c2ccccc2N(C)C)ccn1</v>
      </c>
      <c r="C20498" s="7">
        <f>IFERROR(__xludf.DUMMYFUNCTION("""COMPUTED_VALUE"""),7.70297)</f>
        <v>7.70297</v>
      </c>
      <c r="D20498" s="7">
        <f>IFERROR(__xludf.DUMMYFUNCTION("""COMPUTED_VALUE"""),0.357142857142857)</f>
        <v>0.3571428571</v>
      </c>
    </row>
    <row r="20499">
      <c r="A20499" s="10" t="s">
        <v>21938</v>
      </c>
      <c r="B20499" s="7" t="str">
        <f>IFERROR(__xludf.DUMMYFUNCTION("SPLIT(A20499,"" "")"),"CN(Cc1cnccc1-c1ccccc1N)c1ccc2cccnc2c1")</f>
        <v>CN(Cc1cnccc1-c1ccccc1N)c1ccc2cccnc2c1</v>
      </c>
      <c r="C20499" s="7">
        <f>IFERROR(__xludf.DUMMYFUNCTION("""COMPUTED_VALUE"""),7.7029605)</f>
        <v>7.7029605</v>
      </c>
      <c r="D20499" s="7">
        <f>IFERROR(__xludf.DUMMYFUNCTION("""COMPUTED_VALUE"""),0.305084745762711)</f>
        <v>0.3050847458</v>
      </c>
    </row>
    <row r="20500">
      <c r="A20500" s="10" t="s">
        <v>21939</v>
      </c>
      <c r="B20500" s="7" t="str">
        <f>IFERROR(__xludf.DUMMYFUNCTION("SPLIT(A20500,"" "")"),"CC1=C(C)C(c2ccc3ncccc3c2)CC=C1CN(C)c1ccc2nccc(CF)c2c1")</f>
        <v>CC1=C(C)C(c2ccc3ncccc3c2)CC=C1CN(C)c1ccc2nccc(CF)c2c1</v>
      </c>
      <c r="C20500" s="7">
        <f>IFERROR(__xludf.DUMMYFUNCTION("""COMPUTED_VALUE"""),7.7029567)</f>
        <v>7.7029567</v>
      </c>
      <c r="D20500" s="7">
        <f>IFERROR(__xludf.DUMMYFUNCTION("""COMPUTED_VALUE"""),0.242857142857142)</f>
        <v>0.2428571429</v>
      </c>
    </row>
    <row r="20501">
      <c r="A20501" s="10" t="s">
        <v>21940</v>
      </c>
      <c r="B20501" s="7" t="str">
        <f>IFERROR(__xludf.DUMMYFUNCTION("SPLIT(A20501,"" "")"),"CN(CCN(c1ccccc1)c1cccc2ncccc12)c1ccc2cccnc2c1")</f>
        <v>CN(CCN(c1ccccc1)c1cccc2ncccc12)c1ccc2cccnc2c1</v>
      </c>
      <c r="C20501" s="7">
        <f>IFERROR(__xludf.DUMMYFUNCTION("""COMPUTED_VALUE"""),7.702938)</f>
        <v>7.702938</v>
      </c>
      <c r="D20501" s="7">
        <f>IFERROR(__xludf.DUMMYFUNCTION("""COMPUTED_VALUE"""),0.411764705882352)</f>
        <v>0.4117647059</v>
      </c>
    </row>
    <row r="20502">
      <c r="A20502" s="10" t="s">
        <v>21941</v>
      </c>
      <c r="B20502" s="7" t="str">
        <f>IFERROR(__xludf.DUMMYFUNCTION("SPLIT(A20502,"" "")"),"Clc1cccc(-c2cccc(NC3=CCC=CN3)n2)n1")</f>
        <v>Clc1cccc(-c2cccc(NC3=CCC=CN3)n2)n1</v>
      </c>
      <c r="C20502" s="7">
        <f>IFERROR(__xludf.DUMMYFUNCTION("""COMPUTED_VALUE"""),7.7029376)</f>
        <v>7.7029376</v>
      </c>
      <c r="D20502" s="7">
        <f>IFERROR(__xludf.DUMMYFUNCTION("""COMPUTED_VALUE"""),0.263157894736842)</f>
        <v>0.2631578947</v>
      </c>
    </row>
    <row r="20503">
      <c r="A20503" s="10" t="s">
        <v>21942</v>
      </c>
      <c r="B20503" s="7" t="str">
        <f>IFERROR(__xludf.DUMMYFUNCTION("SPLIT(A20503,"" "")"),"CN(C)Cc1nc2ccccc2o1")</f>
        <v>CN(C)Cc1nc2ccccc2o1</v>
      </c>
      <c r="C20503" s="7">
        <f>IFERROR(__xludf.DUMMYFUNCTION("""COMPUTED_VALUE"""),7.7029195)</f>
        <v>7.7029195</v>
      </c>
      <c r="D20503" s="7">
        <f>IFERROR(__xludf.DUMMYFUNCTION("""COMPUTED_VALUE"""),0.394736842105263)</f>
        <v>0.3947368421</v>
      </c>
    </row>
    <row r="20504">
      <c r="A20504" s="10" t="s">
        <v>21943</v>
      </c>
      <c r="B20504" s="7" t="str">
        <f>IFERROR(__xludf.DUMMYFUNCTION("SPLIT(A20504,"" "")"),"CN(C)Cc1cncc2c(N(C)CCN(C)c3cccc4ncccc34)cccc12")</f>
        <v>CN(C)Cc1cncc2c(N(C)CCN(C)c3cccc4ncccc34)cccc12</v>
      </c>
      <c r="C20504" s="7">
        <f>IFERROR(__xludf.DUMMYFUNCTION("""COMPUTED_VALUE"""),7.7029185)</f>
        <v>7.7029185</v>
      </c>
      <c r="D20504" s="7">
        <f>IFERROR(__xludf.DUMMYFUNCTION("""COMPUTED_VALUE"""),0.446808510638297)</f>
        <v>0.4468085106</v>
      </c>
    </row>
    <row r="20505">
      <c r="A20505" s="10" t="s">
        <v>21944</v>
      </c>
      <c r="B20505" s="7" t="str">
        <f>IFERROR(__xludf.DUMMYFUNCTION("SPLIT(A20505,"" "")"),"CNC1=CCNC(N(C)c2ccc3ncccc3c2)=C1")</f>
        <v>CNC1=CCNC(N(C)c2ccc3ncccc3c2)=C1</v>
      </c>
      <c r="C20505" s="7">
        <f>IFERROR(__xludf.DUMMYFUNCTION("""COMPUTED_VALUE"""),7.7028975)</f>
        <v>7.7028975</v>
      </c>
      <c r="D20505" s="7">
        <f>IFERROR(__xludf.DUMMYFUNCTION("""COMPUTED_VALUE"""),0.266666666666666)</f>
        <v>0.2666666667</v>
      </c>
    </row>
    <row r="20506">
      <c r="A20506" s="10" t="s">
        <v>21945</v>
      </c>
      <c r="B20506" s="7" t="str">
        <f>IFERROR(__xludf.DUMMYFUNCTION("SPLIT(A20506,"" "")"),"CN(Cc1cc(-c2ccc3ncccc3c2)ccn1)Cc1cc(-c2ccccc2N=Cc2ccccn2)ccn1")</f>
        <v>CN(Cc1cc(-c2ccc3ncccc3c2)ccn1)Cc1cc(-c2ccccc2N=Cc2ccccn2)ccn1</v>
      </c>
      <c r="C20506" s="7">
        <f>IFERROR(__xludf.DUMMYFUNCTION("""COMPUTED_VALUE"""),7.702869)</f>
        <v>7.702869</v>
      </c>
      <c r="D20506" s="7">
        <f>IFERROR(__xludf.DUMMYFUNCTION("""COMPUTED_VALUE"""),0.389830508474576)</f>
        <v>0.3898305085</v>
      </c>
    </row>
    <row r="20507">
      <c r="A20507" s="10" t="s">
        <v>21946</v>
      </c>
      <c r="B20507" s="7" t="str">
        <f>IFERROR(__xludf.DUMMYFUNCTION("SPLIT(A20507,"" "")"),"CCN(CC1=C(N(C)c2ccc3cccnc3c2)CC=CN1)c1ccc2cccnc2c1")</f>
        <v>CCN(CC1=C(N(C)c2ccc3cccnc3c2)CC=CN1)c1ccc2cccnc2c1</v>
      </c>
      <c r="C20507" s="7">
        <f>IFERROR(__xludf.DUMMYFUNCTION("""COMPUTED_VALUE"""),7.702845)</f>
        <v>7.702845</v>
      </c>
      <c r="D20507" s="7">
        <f>IFERROR(__xludf.DUMMYFUNCTION("""COMPUTED_VALUE"""),0.274193548387096)</f>
        <v>0.2741935484</v>
      </c>
    </row>
    <row r="20508">
      <c r="A20508" s="10" t="s">
        <v>21947</v>
      </c>
      <c r="B20508" s="7" t="str">
        <f>IFERROR(__xludf.DUMMYFUNCTION("SPLIT(A20508,"" "")"),"CN(CCN(C)c1ccc2ncccc2c1)c1ccc2ncccc2c1")</f>
        <v>CN(CCN(C)c1ccc2ncccc2c1)c1ccc2ncccc2c1</v>
      </c>
      <c r="C20508" s="7">
        <f>IFERROR(__xludf.DUMMYFUNCTION("""COMPUTED_VALUE"""),7.70284)</f>
        <v>7.70284</v>
      </c>
      <c r="D20508" s="7">
        <f>IFERROR(__xludf.DUMMYFUNCTION("""COMPUTED_VALUE"""),0.486486486486486)</f>
        <v>0.4864864865</v>
      </c>
    </row>
    <row r="20509">
      <c r="A20509" s="10" t="s">
        <v>21948</v>
      </c>
      <c r="B20509" s="7" t="str">
        <f>IFERROR(__xludf.DUMMYFUNCTION("SPLIT(A20509,"" "")"),"CNCc1ccc2cccc(N(C)CC3=C(N(C)c4ccc5ncccc5c4)CC=CN3)c2n1")</f>
        <v>CNCc1ccc2cccc(N(C)CC3=C(N(C)c4ccc5ncccc5c4)CC=CN3)c2n1</v>
      </c>
      <c r="C20509" s="7">
        <f>IFERROR(__xludf.DUMMYFUNCTION("""COMPUTED_VALUE"""),7.7027965)</f>
        <v>7.7027965</v>
      </c>
      <c r="D20509" s="7">
        <f>IFERROR(__xludf.DUMMYFUNCTION("""COMPUTED_VALUE"""),0.338235294117647)</f>
        <v>0.3382352941</v>
      </c>
    </row>
    <row r="20510">
      <c r="A20510" s="10" t="s">
        <v>21949</v>
      </c>
      <c r="B20510" s="7" t="str">
        <f>IFERROR(__xludf.DUMMYFUNCTION("SPLIT(A20510,"" "")"),"Cn1c(-c2ccccc2NCc2ccccn2)nc2ccccc21")</f>
        <v>Cn1c(-c2ccccc2NCc2ccccn2)nc2ccccc21</v>
      </c>
      <c r="C20510" s="7">
        <f>IFERROR(__xludf.DUMMYFUNCTION("""COMPUTED_VALUE"""),7.7027636)</f>
        <v>7.7027636</v>
      </c>
      <c r="D20510" s="7">
        <f>IFERROR(__xludf.DUMMYFUNCTION("""COMPUTED_VALUE"""),0.369565217391304)</f>
        <v>0.3695652174</v>
      </c>
    </row>
    <row r="20511">
      <c r="A20511" s="10" t="s">
        <v>21950</v>
      </c>
      <c r="B20511" s="7" t="str">
        <f>IFERROR(__xludf.DUMMYFUNCTION("SPLIT(A20511,"" "")"),"CN(Cc1ccccn1)Cc1ccc2cccc(N(C)Cc3ccc4cccc(N(C)Cc5ccc6ncccc6c5)c4n3)c2n1")</f>
        <v>CN(Cc1ccccn1)Cc1ccc2cccc(N(C)Cc3ccc4cccc(N(C)Cc5ccc6ncccc6c5)c4n3)c2n1</v>
      </c>
      <c r="C20511" s="7">
        <f>IFERROR(__xludf.DUMMYFUNCTION("""COMPUTED_VALUE"""),7.7027106)</f>
        <v>7.7027106</v>
      </c>
      <c r="D20511" s="7">
        <f>IFERROR(__xludf.DUMMYFUNCTION("""COMPUTED_VALUE"""),0.446428571428571)</f>
        <v>0.4464285714</v>
      </c>
    </row>
    <row r="20512">
      <c r="A20512" s="10" t="s">
        <v>21951</v>
      </c>
      <c r="B20512" s="7" t="str">
        <f>IFERROR(__xludf.DUMMYFUNCTION("SPLIT(A20512,"" "")"),"CN(CCN(C)c1cccc2nc(CF)ccc12)c1cccc2ncccc12")</f>
        <v>CN(CCN(C)c1cccc2nc(CF)ccc12)c1cccc2ncccc12</v>
      </c>
      <c r="C20512" s="7">
        <f>IFERROR(__xludf.DUMMYFUNCTION("""COMPUTED_VALUE"""),7.702691)</f>
        <v>7.702691</v>
      </c>
      <c r="D20512" s="7">
        <f>IFERROR(__xludf.DUMMYFUNCTION("""COMPUTED_VALUE"""),0.5)</f>
        <v>0.5</v>
      </c>
    </row>
    <row r="20513">
      <c r="A20513" s="10" t="s">
        <v>21952</v>
      </c>
      <c r="B20513" s="7" t="str">
        <f>IFERROR(__xludf.DUMMYFUNCTION("SPLIT(A20513,"" "")"),"CN(C)Cc1ccc2cccc(N(C)Cc3cccc(-c4cccc(N(C)C)c4)n3)c2n1")</f>
        <v>CN(C)Cc1ccc2cccc(N(C)Cc3cccc(-c4cccc(N(C)C)c4)n3)c2n1</v>
      </c>
      <c r="C20513" s="7">
        <f>IFERROR(__xludf.DUMMYFUNCTION("""COMPUTED_VALUE"""),7.702691)</f>
        <v>7.702691</v>
      </c>
      <c r="D20513" s="7">
        <f>IFERROR(__xludf.DUMMYFUNCTION("""COMPUTED_VALUE"""),0.370967741935483)</f>
        <v>0.3709677419</v>
      </c>
    </row>
    <row r="20514">
      <c r="A20514" s="10" t="s">
        <v>21953</v>
      </c>
      <c r="B20514" s="7" t="str">
        <f>IFERROR(__xludf.DUMMYFUNCTION("SPLIT(A20514,"" "")"),"CNc1c(C)cc2ncccc2c1N(C)Cc1cc(C)ccn1")</f>
        <v>CNc1c(C)cc2ncccc2c1N(C)Cc1cc(C)ccn1</v>
      </c>
      <c r="C20514" s="7">
        <f>IFERROR(__xludf.DUMMYFUNCTION("""COMPUTED_VALUE"""),7.702675)</f>
        <v>7.702675</v>
      </c>
      <c r="D20514" s="7">
        <f>IFERROR(__xludf.DUMMYFUNCTION("""COMPUTED_VALUE"""),0.327272727272727)</f>
        <v>0.3272727273</v>
      </c>
    </row>
    <row r="20515">
      <c r="A20515" s="10" t="s">
        <v>21954</v>
      </c>
      <c r="B20515" s="7" t="str">
        <f>IFERROR(__xludf.DUMMYFUNCTION("SPLIT(A20515,"" "")"),"CN(Cc1cc(-c2cccc(N=Cc3ccccn3)c2)ccn1)Cc1cc(-c2cccc3cccnc23)ccn1")</f>
        <v>CN(Cc1cc(-c2cccc(N=Cc3ccccn3)c2)ccn1)Cc1cc(-c2cccc3cccnc23)ccn1</v>
      </c>
      <c r="C20515" s="7">
        <f>IFERROR(__xludf.DUMMYFUNCTION("""COMPUTED_VALUE"""),7.7026596)</f>
        <v>7.7026596</v>
      </c>
      <c r="D20515" s="7">
        <f>IFERROR(__xludf.DUMMYFUNCTION("""COMPUTED_VALUE"""),0.349206349206349)</f>
        <v>0.3492063492</v>
      </c>
    </row>
    <row r="20516">
      <c r="A20516" s="10" t="s">
        <v>21955</v>
      </c>
      <c r="B20516" s="7" t="str">
        <f>IFERROR(__xludf.DUMMYFUNCTION("SPLIT(A20516,"" "")"),"CN(CCN(Cc1cccnc1)c1cccc2ncccc12)c1cccc2ccc(-c3ccccn3)nc12")</f>
        <v>CN(CCN(Cc1cccnc1)c1cccc2ncccc12)c1cccc2ccc(-c3ccccn3)nc12</v>
      </c>
      <c r="C20516" s="7">
        <f>IFERROR(__xludf.DUMMYFUNCTION("""COMPUTED_VALUE"""),7.702659)</f>
        <v>7.702659</v>
      </c>
      <c r="D20516" s="7">
        <f>IFERROR(__xludf.DUMMYFUNCTION("""COMPUTED_VALUE"""),0.423728813559322)</f>
        <v>0.4237288136</v>
      </c>
    </row>
    <row r="20517">
      <c r="A20517" s="10" t="s">
        <v>21956</v>
      </c>
      <c r="B20517" s="7" t="str">
        <f>IFERROR(__xludf.DUMMYFUNCTION("SPLIT(A20517,"" "")"),"CN(C)C1=CCC(N(C)c2cccc3ncccc23)=CN1")</f>
        <v>CN(C)C1=CCC(N(C)c2cccc3ncccc23)=CN1</v>
      </c>
      <c r="C20517" s="7">
        <f>IFERROR(__xludf.DUMMYFUNCTION("""COMPUTED_VALUE"""),7.702659)</f>
        <v>7.702659</v>
      </c>
      <c r="D20517" s="7">
        <f>IFERROR(__xludf.DUMMYFUNCTION("""COMPUTED_VALUE"""),0.327272727272727)</f>
        <v>0.3272727273</v>
      </c>
    </row>
    <row r="20518">
      <c r="A20518" s="10" t="s">
        <v>21957</v>
      </c>
      <c r="B20518" s="7" t="str">
        <f>IFERROR(__xludf.DUMMYFUNCTION("SPLIT(A20518,"" "")"),"CNCc1ccc2cccc(N(C)Cc3ccc4cccc(C)c4n3)c2n1")</f>
        <v>CNCc1ccc2cccc(N(C)Cc3ccc4cccc(C)c4n3)c2n1</v>
      </c>
      <c r="C20518" s="7">
        <f>IFERROR(__xludf.DUMMYFUNCTION("""COMPUTED_VALUE"""),7.702624)</f>
        <v>7.702624</v>
      </c>
      <c r="D20518" s="7">
        <f>IFERROR(__xludf.DUMMYFUNCTION("""COMPUTED_VALUE"""),0.381818181818181)</f>
        <v>0.3818181818</v>
      </c>
    </row>
    <row r="20519">
      <c r="A20519" s="10" t="s">
        <v>21958</v>
      </c>
      <c r="B20519" s="7" t="str">
        <f>IFERROR(__xludf.DUMMYFUNCTION("SPLIT(A20519,"" "")"),"CN(CCN(C)c1ccc2cccnc2c1)c1ccc2ncccc2c1")</f>
        <v>CN(CCN(C)c1ccc2cccnc2c1)c1ccc2ncccc2c1</v>
      </c>
      <c r="C20519" s="7">
        <f>IFERROR(__xludf.DUMMYFUNCTION("""COMPUTED_VALUE"""),7.702592)</f>
        <v>7.702592</v>
      </c>
      <c r="D20519" s="7">
        <f>IFERROR(__xludf.DUMMYFUNCTION("""COMPUTED_VALUE"""),0.439024390243902)</f>
        <v>0.4390243902</v>
      </c>
    </row>
    <row r="20520">
      <c r="A20520" s="10" t="s">
        <v>21959</v>
      </c>
      <c r="B20520" s="7" t="str">
        <f>IFERROR(__xludf.DUMMYFUNCTION("SPLIT(A20520,"" "")"),"CN(Cc1ccccn1)c1ccc(-c2cccc3ncccc23)c(N(C)Cc2cccnn2)c1")</f>
        <v>CN(Cc1ccccn1)c1ccc(-c2cccc3ncccc23)c(N(C)Cc2cccnn2)c1</v>
      </c>
      <c r="C20520" s="7">
        <f>IFERROR(__xludf.DUMMYFUNCTION("""COMPUTED_VALUE"""),7.7025776)</f>
        <v>7.7025776</v>
      </c>
      <c r="D20520" s="7">
        <f>IFERROR(__xludf.DUMMYFUNCTION("""COMPUTED_VALUE"""),0.452830188679245)</f>
        <v>0.4528301887</v>
      </c>
    </row>
    <row r="20521">
      <c r="A20521" s="10" t="s">
        <v>21960</v>
      </c>
      <c r="B20521" s="7" t="str">
        <f>IFERROR(__xludf.DUMMYFUNCTION("SPLIT(A20521,"" "")"),"C=CCN(Cc1ccccn1)c1cc2cccnc2cc1-c1cccc(N(C)C)c1-c1ccccc1")</f>
        <v>C=CCN(Cc1ccccn1)c1cc2cccnc2cc1-c1cccc(N(C)C)c1-c1ccccc1</v>
      </c>
      <c r="C20521" s="7">
        <f>IFERROR(__xludf.DUMMYFUNCTION("""COMPUTED_VALUE"""),7.7025433)</f>
        <v>7.7025433</v>
      </c>
      <c r="D20521" s="7">
        <f>IFERROR(__xludf.DUMMYFUNCTION("""COMPUTED_VALUE"""),0.352941176470588)</f>
        <v>0.3529411765</v>
      </c>
    </row>
    <row r="20522">
      <c r="A20522" s="10" t="s">
        <v>21961</v>
      </c>
      <c r="B20522" s="7" t="str">
        <f>IFERROR(__xludf.DUMMYFUNCTION("SPLIT(A20522,"" "")"),"CN(C)c1ccnc(CN(C)c2ccc3ncccc3c2)c1")</f>
        <v>CN(C)c1ccnc(CN(C)c2ccc3ncccc3c2)c1</v>
      </c>
      <c r="C20522" s="7">
        <f>IFERROR(__xludf.DUMMYFUNCTION("""COMPUTED_VALUE"""),7.7025366)</f>
        <v>7.7025366</v>
      </c>
      <c r="D20522" s="7">
        <f>IFERROR(__xludf.DUMMYFUNCTION("""COMPUTED_VALUE"""),0.375)</f>
        <v>0.375</v>
      </c>
    </row>
    <row r="20523">
      <c r="A20523" s="10" t="s">
        <v>21962</v>
      </c>
      <c r="B20523" s="7" t="str">
        <f>IFERROR(__xludf.DUMMYFUNCTION("SPLIT(A20523,"" "")"),"CN(Cc1ncccc1-c1ccc2cccnc2c1)Cc1ncccc1-c1ccccc1N(C)C")</f>
        <v>CN(Cc1ncccc1-c1ccc2cccnc2c1)Cc1ncccc1-c1ccccc1N(C)C</v>
      </c>
      <c r="C20523" s="7">
        <f>IFERROR(__xludf.DUMMYFUNCTION("""COMPUTED_VALUE"""),7.702533)</f>
        <v>7.702533</v>
      </c>
      <c r="D20523" s="7">
        <f>IFERROR(__xludf.DUMMYFUNCTION("""COMPUTED_VALUE"""),0.320754716981132)</f>
        <v>0.320754717</v>
      </c>
    </row>
    <row r="20524">
      <c r="A20524" s="10" t="s">
        <v>21963</v>
      </c>
      <c r="B20524" s="7" t="str">
        <f>IFERROR(__xludf.DUMMYFUNCTION("SPLIT(A20524,"" "")"),"CN(Cc1cc(-c2cccc(N(C)C)c2)ccn1)Cc1cc(-c2ccc3ncccc3c2)ccn1")</f>
        <v>CN(Cc1cc(-c2cccc(N(C)C)c2)ccn1)Cc1cc(-c2ccc3ncccc3c2)ccn1</v>
      </c>
      <c r="C20524" s="7">
        <f>IFERROR(__xludf.DUMMYFUNCTION("""COMPUTED_VALUE"""),7.702528)</f>
        <v>7.702528</v>
      </c>
      <c r="D20524" s="7">
        <f>IFERROR(__xludf.DUMMYFUNCTION("""COMPUTED_VALUE"""),0.377358490566037)</f>
        <v>0.3773584906</v>
      </c>
    </row>
    <row r="20525">
      <c r="A20525" s="10" t="s">
        <v>21964</v>
      </c>
      <c r="B20525" s="7" t="str">
        <f>IFERROR(__xludf.DUMMYFUNCTION("SPLIT(A20525,"" "")"),"CC(C)N(Cc1ccccn1)c1ccc2nccc(-c3ccccc3N(C)C)c2c1")</f>
        <v>CC(C)N(Cc1ccccn1)c1ccc2nccc(-c3ccccc3N(C)C)c2c1</v>
      </c>
      <c r="C20525" s="7">
        <f>IFERROR(__xludf.DUMMYFUNCTION("""COMPUTED_VALUE"""),7.7025275)</f>
        <v>7.7025275</v>
      </c>
      <c r="D20525" s="7">
        <f>IFERROR(__xludf.DUMMYFUNCTION("""COMPUTED_VALUE"""),0.388888888888888)</f>
        <v>0.3888888889</v>
      </c>
    </row>
    <row r="20526">
      <c r="A20526" s="10" t="s">
        <v>21965</v>
      </c>
      <c r="B20526" s="7" t="str">
        <f>IFERROR(__xludf.DUMMYFUNCTION("SPLIT(A20526,"" "")"),"CN(CCN(C)c1cccc2ncc(CF)cc12)c1cccc2ncccc12")</f>
        <v>CN(CCN(C)c1cccc2ncc(CF)cc12)c1cccc2ncccc12</v>
      </c>
      <c r="C20526" s="7">
        <f>IFERROR(__xludf.DUMMYFUNCTION("""COMPUTED_VALUE"""),7.7025056)</f>
        <v>7.7025056</v>
      </c>
      <c r="D20526" s="7">
        <f>IFERROR(__xludf.DUMMYFUNCTION("""COMPUTED_VALUE"""),0.456521739130434)</f>
        <v>0.4565217391</v>
      </c>
    </row>
    <row r="20527">
      <c r="A20527" s="10" t="s">
        <v>21966</v>
      </c>
      <c r="B20527" s="7" t="str">
        <f>IFERROR(__xludf.DUMMYFUNCTION("SPLIT(A20527,"" "")"),"Cc1cccc(-c2cccc(-c3ccccc3)n2)c1-c1cccc(-c2cccc(NCc3ccccn3)c2)n1")</f>
        <v>Cc1cccc(-c2cccc(-c3ccccc3)n2)c1-c1cccc(-c2cccc(NCc3ccccn3)c2)n1</v>
      </c>
      <c r="C20527" s="7">
        <f>IFERROR(__xludf.DUMMYFUNCTION("""COMPUTED_VALUE"""),7.7024884)</f>
        <v>7.7024884</v>
      </c>
      <c r="D20527" s="7">
        <f>IFERROR(__xludf.DUMMYFUNCTION("""COMPUTED_VALUE"""),0.440677966101694)</f>
        <v>0.4406779661</v>
      </c>
    </row>
    <row r="20528">
      <c r="A20528" s="10" t="s">
        <v>21967</v>
      </c>
      <c r="B20528" s="7" t="str">
        <f>IFERROR(__xludf.DUMMYFUNCTION("SPLIT(A20528,"" "")"),"CN(C)Cc1ccnc2ccc(N(C)C)cc12")</f>
        <v>CN(C)Cc1ccnc2ccc(N(C)C)cc12</v>
      </c>
      <c r="C20528" s="7">
        <f>IFERROR(__xludf.DUMMYFUNCTION("""COMPUTED_VALUE"""),7.7024326)</f>
        <v>7.7024326</v>
      </c>
      <c r="D20528" s="7">
        <f>IFERROR(__xludf.DUMMYFUNCTION("""COMPUTED_VALUE"""),0.260869565217391)</f>
        <v>0.2608695652</v>
      </c>
    </row>
    <row r="20529">
      <c r="A20529" s="10" t="s">
        <v>21968</v>
      </c>
      <c r="B20529" s="7" t="str">
        <f>IFERROR(__xludf.DUMMYFUNCTION("SPLIT(A20529,"" "")"),"CN(CC1=CC(N(C)c2ccc3ncccc3c2)C=CN1)c1ccc2ccc(CF)nc2c1")</f>
        <v>CN(CC1=CC(N(C)c2ccc3ncccc3c2)C=CN1)c1ccc2ccc(CF)nc2c1</v>
      </c>
      <c r="C20529" s="7">
        <f>IFERROR(__xludf.DUMMYFUNCTION("""COMPUTED_VALUE"""),7.70243)</f>
        <v>7.70243</v>
      </c>
      <c r="D20529" s="7">
        <f>IFERROR(__xludf.DUMMYFUNCTION("""COMPUTED_VALUE"""),0.291666666666666)</f>
        <v>0.2916666667</v>
      </c>
    </row>
    <row r="20530">
      <c r="A20530" s="10" t="s">
        <v>21969</v>
      </c>
      <c r="B20530" s="7" t="str">
        <f>IFERROR(__xludf.DUMMYFUNCTION("SPLIT(A20530,"" "")"),"CN(Cc1cc(-c2ccc3ncccc3c2)ccn1)Cc1ncccc1-c1cccc(N(C)C)c1")</f>
        <v>CN(Cc1cc(-c2ccc3ncccc3c2)ccn1)Cc1ncccc1-c1cccc(N(C)C)c1</v>
      </c>
      <c r="C20530" s="7">
        <f>IFERROR(__xludf.DUMMYFUNCTION("""COMPUTED_VALUE"""),7.702381)</f>
        <v>7.702381</v>
      </c>
      <c r="D20530" s="7">
        <f>IFERROR(__xludf.DUMMYFUNCTION("""COMPUTED_VALUE"""),0.327868852459016)</f>
        <v>0.3278688525</v>
      </c>
    </row>
    <row r="20531">
      <c r="A20531" s="10" t="s">
        <v>21970</v>
      </c>
      <c r="B20531" s="7" t="str">
        <f>IFERROR(__xludf.DUMMYFUNCTION("SPLIT(A20531,"" "")"),"CN(Cc1ccc2ncccc2c1)c1ccc2nc3c(cc2c1)CCC3")</f>
        <v>CN(Cc1ccc2ncccc2c1)c1ccc2nc3c(cc2c1)CCC3</v>
      </c>
      <c r="C20531" s="7">
        <f>IFERROR(__xludf.DUMMYFUNCTION("""COMPUTED_VALUE"""),7.7023745)</f>
        <v>7.7023745</v>
      </c>
      <c r="D20531" s="7">
        <f>IFERROR(__xludf.DUMMYFUNCTION("""COMPUTED_VALUE"""),0.354838709677419)</f>
        <v>0.3548387097</v>
      </c>
    </row>
    <row r="20532">
      <c r="A20532" s="10" t="s">
        <v>21971</v>
      </c>
      <c r="B20532" s="7" t="str">
        <f>IFERROR(__xludf.DUMMYFUNCTION("SPLIT(A20532,"" "")"),"CN(C1=C(CN(Cc2ccccn2)c2cccc3ncccc23)CC=CN1)c1ccc2cccnc2c1")</f>
        <v>CN(C1=C(CN(Cc2ccccn2)c2cccc3ncccc23)CC=CN1)c1ccc2cccnc2c1</v>
      </c>
      <c r="C20532" s="7">
        <f>IFERROR(__xludf.DUMMYFUNCTION("""COMPUTED_VALUE"""),7.702368)</f>
        <v>7.702368</v>
      </c>
      <c r="D20532" s="7">
        <f>IFERROR(__xludf.DUMMYFUNCTION("""COMPUTED_VALUE"""),0.35820895522388)</f>
        <v>0.3582089552</v>
      </c>
    </row>
    <row r="20533">
      <c r="A20533" s="10" t="s">
        <v>21972</v>
      </c>
      <c r="B20533" s="7" t="str">
        <f>IFERROR(__xludf.DUMMYFUNCTION("SPLIT(A20533,"" "")"),"CN(C)Cc1ccnc2cccc(N(C)CCN(C)c3cccc4ncccc34)c12")</f>
        <v>CN(C)Cc1ccnc2cccc(N(C)CCN(C)c3cccc4ncccc34)c12</v>
      </c>
      <c r="C20533" s="7">
        <f>IFERROR(__xludf.DUMMYFUNCTION("""COMPUTED_VALUE"""),7.7023625)</f>
        <v>7.7023625</v>
      </c>
      <c r="D20533" s="7">
        <f>IFERROR(__xludf.DUMMYFUNCTION("""COMPUTED_VALUE"""),0.456521739130434)</f>
        <v>0.4565217391</v>
      </c>
    </row>
    <row r="20534">
      <c r="A20534" s="10" t="s">
        <v>21973</v>
      </c>
      <c r="B20534" s="7" t="str">
        <f>IFERROR(__xludf.DUMMYFUNCTION("SPLIT(A20534,"" "")"),"CN(CCN(C)c1ccc2cccnc2c1)c1ccc2cccnc2c1")</f>
        <v>CN(CCN(C)c1ccc2cccnc2c1)c1ccc2cccnc2c1</v>
      </c>
      <c r="C20534" s="7">
        <f>IFERROR(__xludf.DUMMYFUNCTION("""COMPUTED_VALUE"""),7.702352)</f>
        <v>7.702352</v>
      </c>
      <c r="D20534" s="7">
        <f>IFERROR(__xludf.DUMMYFUNCTION("""COMPUTED_VALUE"""),0.473684210526315)</f>
        <v>0.4736842105</v>
      </c>
    </row>
    <row r="20535">
      <c r="A20535" s="10" t="s">
        <v>21974</v>
      </c>
      <c r="B20535" s="7" t="str">
        <f>IFERROR(__xludf.DUMMYFUNCTION("SPLIT(A20535,"" "")"),"CN(C)c1cccc2c(CF)ccnc12")</f>
        <v>CN(C)c1cccc2c(CF)ccnc12</v>
      </c>
      <c r="C20535" s="7">
        <f>IFERROR(__xludf.DUMMYFUNCTION("""COMPUTED_VALUE"""),7.7023287)</f>
        <v>7.7023287</v>
      </c>
      <c r="D20535" s="7">
        <f>IFERROR(__xludf.DUMMYFUNCTION("""COMPUTED_VALUE"""),0.38095238095238)</f>
        <v>0.380952381</v>
      </c>
    </row>
    <row r="20536">
      <c r="A20536" s="10" t="s">
        <v>21975</v>
      </c>
      <c r="B20536" s="7" t="str">
        <f>IFERROR(__xludf.DUMMYFUNCTION("SPLIT(A20536,"" "")"),"CCNCc1cc(-c2cc(N(C)C)c3ncccc3c2)ccn1")</f>
        <v>CCNCc1cc(-c2cc(N(C)C)c3ncccc3c2)ccn1</v>
      </c>
      <c r="C20536" s="7">
        <f>IFERROR(__xludf.DUMMYFUNCTION("""COMPUTED_VALUE"""),7.7023253)</f>
        <v>7.7023253</v>
      </c>
      <c r="D20536" s="7">
        <f>IFERROR(__xludf.DUMMYFUNCTION("""COMPUTED_VALUE"""),0.372549019607843)</f>
        <v>0.3725490196</v>
      </c>
    </row>
    <row r="20537">
      <c r="A20537" s="10" t="s">
        <v>21976</v>
      </c>
      <c r="B20537" s="7" t="str">
        <f>IFERROR(__xludf.DUMMYFUNCTION("SPLIT(A20537,"" "")"),"CN(C)Cc1ccnc2cc(N(C)C)ccc12")</f>
        <v>CN(C)Cc1ccnc2cc(N(C)C)ccc12</v>
      </c>
      <c r="C20537" s="7">
        <f>IFERROR(__xludf.DUMMYFUNCTION("""COMPUTED_VALUE"""),7.7023244)</f>
        <v>7.7023244</v>
      </c>
      <c r="D20537" s="7">
        <f>IFERROR(__xludf.DUMMYFUNCTION("""COMPUTED_VALUE"""),0.266666666666666)</f>
        <v>0.2666666667</v>
      </c>
    </row>
    <row r="20538">
      <c r="A20538" s="10" t="s">
        <v>21977</v>
      </c>
      <c r="B20538" s="7" t="str">
        <f>IFERROR(__xludf.DUMMYFUNCTION("SPLIT(A20538,"" "")"),"Cc1c(C)c(C)c(-c2nc(CNCc3ccccn3)c(-c3c(C)c(C)c(C)c(C)c3C)c(-c3c(C)c(C)c(C)c(C)c3C)c2-c2c(C)c(C)c(C)c(C)c2C)c(C)c1C")</f>
        <v>Cc1c(C)c(C)c(-c2nc(CNCc3ccccn3)c(-c3c(C)c(C)c(C)c(C)c3C)c(-c3c(C)c(C)c(C)c(C)c3C)c2-c2c(C)c(C)c(C)c(C)c2C)c(C)c1C</v>
      </c>
      <c r="C20538" s="7">
        <f>IFERROR(__xludf.DUMMYFUNCTION("""COMPUTED_VALUE"""),7.702307)</f>
        <v>7.702307</v>
      </c>
      <c r="D20538" s="7">
        <f>IFERROR(__xludf.DUMMYFUNCTION("""COMPUTED_VALUE"""),0.463414634146341)</f>
        <v>0.4634146341</v>
      </c>
    </row>
    <row r="20539">
      <c r="A20539" s="10" t="s">
        <v>21978</v>
      </c>
      <c r="B20539" s="7" t="str">
        <f>IFERROR(__xludf.DUMMYFUNCTION("SPLIT(A20539,"" "")"),"CC(C)N(C)CCN(C)c1ccc2nccc(-c3ccc4ncccc4c3)c2c1")</f>
        <v>CC(C)N(C)CCN(C)c1ccc2nccc(-c3ccc4ncccc4c3)c2c1</v>
      </c>
      <c r="C20539" s="7">
        <f>IFERROR(__xludf.DUMMYFUNCTION("""COMPUTED_VALUE"""),7.702306)</f>
        <v>7.702306</v>
      </c>
      <c r="D20539" s="7">
        <f>IFERROR(__xludf.DUMMYFUNCTION("""COMPUTED_VALUE"""),0.327272727272727)</f>
        <v>0.3272727273</v>
      </c>
    </row>
    <row r="20540">
      <c r="A20540" s="10" t="s">
        <v>21979</v>
      </c>
      <c r="B20540" s="7" t="str">
        <f>IFERROR(__xludf.DUMMYFUNCTION("SPLIT(A20540,"" "")"),"CN(C)c1cccc2nccc(CF)c12")</f>
        <v>CN(C)c1cccc2nccc(CF)c12</v>
      </c>
      <c r="C20540" s="7">
        <f>IFERROR(__xludf.DUMMYFUNCTION("""COMPUTED_VALUE"""),7.7023044)</f>
        <v>7.7023044</v>
      </c>
      <c r="D20540" s="7">
        <f>IFERROR(__xludf.DUMMYFUNCTION("""COMPUTED_VALUE"""),0.318181818181818)</f>
        <v>0.3181818182</v>
      </c>
    </row>
    <row r="20541">
      <c r="A20541" s="10" t="s">
        <v>21980</v>
      </c>
      <c r="B20541" s="7" t="str">
        <f>IFERROR(__xludf.DUMMYFUNCTION("SPLIT(A20541,"" "")"),"CCN(Cc1ccccn1)c1cc(N(C)Cc2ccccn2)c2nccc(-c3cccc(N(C)C)c3)c2c1")</f>
        <v>CCN(Cc1ccccn1)c1cc(N(C)Cc2ccccn2)c2nccc(-c3cccc(N(C)C)c3)c2c1</v>
      </c>
      <c r="C20541" s="7">
        <f>IFERROR(__xludf.DUMMYFUNCTION("""COMPUTED_VALUE"""),7.7022567)</f>
        <v>7.7022567</v>
      </c>
      <c r="D20541" s="7">
        <f>IFERROR(__xludf.DUMMYFUNCTION("""COMPUTED_VALUE"""),0.413793103448275)</f>
        <v>0.4137931034</v>
      </c>
    </row>
    <row r="20542">
      <c r="A20542" s="10" t="s">
        <v>21981</v>
      </c>
      <c r="B20542" s="7" t="str">
        <f>IFERROR(__xludf.DUMMYFUNCTION("SPLIT(A20542,"" "")"),"CN(c1ccc2ncccc2c1)C1CCC(N(C)c2ccc3nccc(-c4ccc5ncccc5c4)c3c2)CC1")</f>
        <v>CN(c1ccc2ncccc2c1)C1CCC(N(C)c2ccc3nccc(-c4ccc5ncccc5c4)c3c2)CC1</v>
      </c>
      <c r="C20542" s="7">
        <f>IFERROR(__xludf.DUMMYFUNCTION("""COMPUTED_VALUE"""),7.7022533)</f>
        <v>7.7022533</v>
      </c>
      <c r="D20542" s="7">
        <f>IFERROR(__xludf.DUMMYFUNCTION("""COMPUTED_VALUE"""),0.31578947368421)</f>
        <v>0.3157894737</v>
      </c>
    </row>
    <row r="20543">
      <c r="A20543" s="10" t="s">
        <v>21982</v>
      </c>
      <c r="B20543" s="7" t="str">
        <f>IFERROR(__xludf.DUMMYFUNCTION("SPLIT(A20543,"" "")"),"Cc1ccc2ccc(N(C)CCN(C)c3cccc4ncc(CN(C)C)cc34)cc2n1")</f>
        <v>Cc1ccc2ccc(N(C)CCN(C)c3cccc4ncc(CN(C)C)cc34)cc2n1</v>
      </c>
      <c r="C20543" s="7">
        <f>IFERROR(__xludf.DUMMYFUNCTION("""COMPUTED_VALUE"""),7.702247)</f>
        <v>7.702247</v>
      </c>
      <c r="D20543" s="7">
        <f>IFERROR(__xludf.DUMMYFUNCTION("""COMPUTED_VALUE"""),0.339285714285714)</f>
        <v>0.3392857143</v>
      </c>
    </row>
    <row r="20544">
      <c r="A20544" s="10" t="s">
        <v>21983</v>
      </c>
      <c r="B20544" s="7" t="str">
        <f>IFERROR(__xludf.DUMMYFUNCTION("SPLIT(A20544,"" "")"),"CCn1c(C)nc(CN(CCN(C)c2ccc3nccc(C)c3c2)c2ccc3ncccc3c2)c1C")</f>
        <v>CCn1c(C)nc(CN(CCN(C)c2ccc3nccc(C)c3c2)c2ccc3ncccc3c2)c1C</v>
      </c>
      <c r="C20544" s="7">
        <f>IFERROR(__xludf.DUMMYFUNCTION("""COMPUTED_VALUE"""),7.7022424)</f>
        <v>7.7022424</v>
      </c>
      <c r="D20544" s="7">
        <f>IFERROR(__xludf.DUMMYFUNCTION("""COMPUTED_VALUE"""),0.276923076923076)</f>
        <v>0.2769230769</v>
      </c>
    </row>
    <row r="20545">
      <c r="A20545" s="10" t="s">
        <v>21984</v>
      </c>
      <c r="B20545" s="7" t="str">
        <f>IFERROR(__xludf.DUMMYFUNCTION("SPLIT(A20545,"" "")"),"CN(Cc1ncccc1-c1cccc(N(C)C)c1)Cc1ncccc1-c1ccc2ncccc2c1")</f>
        <v>CN(Cc1ncccc1-c1cccc(N(C)C)c1)Cc1ncccc1-c1ccc2ncccc2c1</v>
      </c>
      <c r="C20545" s="7">
        <f>IFERROR(__xludf.DUMMYFUNCTION("""COMPUTED_VALUE"""),7.7021904)</f>
        <v>7.7021904</v>
      </c>
      <c r="D20545" s="7">
        <f>IFERROR(__xludf.DUMMYFUNCTION("""COMPUTED_VALUE"""),0.339622641509433)</f>
        <v>0.3396226415</v>
      </c>
    </row>
    <row r="20546">
      <c r="A20546" s="10" t="s">
        <v>21985</v>
      </c>
      <c r="B20546" s="7" t="str">
        <f>IFERROR(__xludf.DUMMYFUNCTION("SPLIT(A20546,"" "")"),"CNCN(CC1=CCC=C(N(C)c2cccc3cccnc23)N1)c1cccc2ncccc12")</f>
        <v>CNCN(CC1=CCC=C(N(C)c2cccc3cccnc23)N1)c1cccc2ncccc12</v>
      </c>
      <c r="C20546" s="7">
        <f>IFERROR(__xludf.DUMMYFUNCTION("""COMPUTED_VALUE"""),7.702185)</f>
        <v>7.702185</v>
      </c>
      <c r="D20546" s="7">
        <f>IFERROR(__xludf.DUMMYFUNCTION("""COMPUTED_VALUE"""),0.360655737704918)</f>
        <v>0.3606557377</v>
      </c>
    </row>
    <row r="20547">
      <c r="A20547" s="10" t="s">
        <v>21986</v>
      </c>
      <c r="B20547" s="7" t="str">
        <f>IFERROR(__xludf.DUMMYFUNCTION("SPLIT(A20547,"" "")"),"CN(C)c1cccc(-c2ncccc2CN(C)c2ccc3nc(CF)ccc3c2)c1")</f>
        <v>CN(C)c1cccc(-c2ncccc2CN(C)c2ccc3nc(CF)ccc3c2)c1</v>
      </c>
      <c r="C20547" s="7">
        <f>IFERROR(__xludf.DUMMYFUNCTION("""COMPUTED_VALUE"""),7.7021656)</f>
        <v>7.7021656</v>
      </c>
      <c r="D20547" s="7">
        <f>IFERROR(__xludf.DUMMYFUNCTION("""COMPUTED_VALUE"""),0.316666666666666)</f>
        <v>0.3166666667</v>
      </c>
    </row>
    <row r="20548">
      <c r="A20548" s="10" t="s">
        <v>21987</v>
      </c>
      <c r="B20548" s="7" t="str">
        <f>IFERROR(__xludf.DUMMYFUNCTION("SPLIT(A20548,"" "")"),"CN(CC1=CC(N(C)c2ccc3cccnc3c2)C=CN1)c1ccc2cc(CF)cnc2c1")</f>
        <v>CN(CC1=CC(N(C)c2ccc3cccnc3c2)C=CN1)c1ccc2cc(CF)cnc2c1</v>
      </c>
      <c r="C20548" s="7">
        <f>IFERROR(__xludf.DUMMYFUNCTION("""COMPUTED_VALUE"""),7.7021604)</f>
        <v>7.7021604</v>
      </c>
      <c r="D20548" s="7">
        <f>IFERROR(__xludf.DUMMYFUNCTION("""COMPUTED_VALUE"""),0.267605633802816)</f>
        <v>0.2676056338</v>
      </c>
    </row>
    <row r="20549">
      <c r="A20549" s="10" t="s">
        <v>21988</v>
      </c>
      <c r="B20549" s="7" t="str">
        <f>IFERROR(__xludf.DUMMYFUNCTION("SPLIT(A20549,"" "")"),"CN(C)c1cncc(CN(C)c2cccc3ncccc23)c1")</f>
        <v>CN(C)c1cncc(CN(C)c2cccc3ncccc23)c1</v>
      </c>
      <c r="C20549" s="7">
        <f>IFERROR(__xludf.DUMMYFUNCTION("""COMPUTED_VALUE"""),7.7021575)</f>
        <v>7.7021575</v>
      </c>
      <c r="D20549" s="7">
        <f>IFERROR(__xludf.DUMMYFUNCTION("""COMPUTED_VALUE"""),0.36)</f>
        <v>0.36</v>
      </c>
    </row>
    <row r="20550">
      <c r="A20550" s="10" t="s">
        <v>21989</v>
      </c>
      <c r="B20550" s="7" t="str">
        <f>IFERROR(__xludf.DUMMYFUNCTION("SPLIT(A20550,"" "")"),"Cc1cccnc1CN(C)c1ccc2nc(CN(C)c3ccc4nc(CN(C)C)ccc4c3)ccc2c1")</f>
        <v>Cc1cccnc1CN(C)c1ccc2nc(CN(C)c3ccc4nc(CN(C)C)ccc4c3)ccc2c1</v>
      </c>
      <c r="C20550" s="7">
        <f>IFERROR(__xludf.DUMMYFUNCTION("""COMPUTED_VALUE"""),7.7020245)</f>
        <v>7.7020245</v>
      </c>
      <c r="D20550" s="7">
        <f>IFERROR(__xludf.DUMMYFUNCTION("""COMPUTED_VALUE"""),0.358490566037735)</f>
        <v>0.358490566</v>
      </c>
    </row>
    <row r="20551">
      <c r="A20551" s="10" t="s">
        <v>21990</v>
      </c>
      <c r="B20551" s="7" t="str">
        <f>IFERROR(__xludf.DUMMYFUNCTION("SPLIT(A20551,"" "")"),"CN(CC1=CC(N(C)c2ccc3ncccc3c2)C=CN1)Cc1ncccc1-c1ccc2ncccc2c1")</f>
        <v>CN(CC1=CC(N(C)c2ccc3ncccc3c2)C=CN1)Cc1ncccc1-c1ccc2ncccc2c1</v>
      </c>
      <c r="C20551" s="7">
        <f>IFERROR(__xludf.DUMMYFUNCTION("""COMPUTED_VALUE"""),7.701981)</f>
        <v>7.701981</v>
      </c>
      <c r="D20551" s="7">
        <f>IFERROR(__xludf.DUMMYFUNCTION("""COMPUTED_VALUE"""),0.289855072463768)</f>
        <v>0.2898550725</v>
      </c>
    </row>
    <row r="20552">
      <c r="A20552" s="10" t="s">
        <v>21991</v>
      </c>
      <c r="B20552" s="7" t="str">
        <f>IFERROR(__xludf.DUMMYFUNCTION("SPLIT(A20552,"" "")"),"CN(Cc1ccc2ncccc2c1)Cc1ccc2cc(N(C)Cc3ccc4ncccc4c3)ccc2n1")</f>
        <v>CN(Cc1ccc2ncccc2c1)Cc1ccc2cc(N(C)Cc3ccc4ncccc4c3)ccc2n1</v>
      </c>
      <c r="C20552" s="7">
        <f>IFERROR(__xludf.DUMMYFUNCTION("""COMPUTED_VALUE"""),7.7019606)</f>
        <v>7.7019606</v>
      </c>
      <c r="D20552" s="7">
        <f>IFERROR(__xludf.DUMMYFUNCTION("""COMPUTED_VALUE"""),0.384615384615384)</f>
        <v>0.3846153846</v>
      </c>
    </row>
    <row r="20553">
      <c r="A20553" s="10" t="s">
        <v>21992</v>
      </c>
      <c r="B20553" s="7" t="str">
        <f>IFERROR(__xludf.DUMMYFUNCTION("SPLIT(A20553,"" "")"),"CC(C)N(Cc1ccccn1)c1cc(N(C)c2ccc3nc(CN(C)C)ccc3c2)cc2c(CF)ccnc12")</f>
        <v>CC(C)N(Cc1ccccn1)c1cc(N(C)c2ccc3nc(CN(C)C)ccc3c2)cc2c(CF)ccnc12</v>
      </c>
      <c r="C20553" s="7">
        <f>IFERROR(__xludf.DUMMYFUNCTION("""COMPUTED_VALUE"""),7.70195)</f>
        <v>7.70195</v>
      </c>
      <c r="D20553" s="7">
        <f>IFERROR(__xludf.DUMMYFUNCTION("""COMPUTED_VALUE"""),0.352941176470588)</f>
        <v>0.3529411765</v>
      </c>
    </row>
    <row r="20554">
      <c r="A20554" s="10" t="s">
        <v>21993</v>
      </c>
      <c r="B20554" s="7" t="str">
        <f>IFERROR(__xludf.DUMMYFUNCTION("SPLIT(A20554,"" "")"),"CN(CCN(C)c1cccc2nccc(CF)c12)c1ccc2cccnc2c1")</f>
        <v>CN(CCN(C)c1cccc2nccc(CF)c12)c1ccc2cccnc2c1</v>
      </c>
      <c r="C20554" s="7">
        <f>IFERROR(__xludf.DUMMYFUNCTION("""COMPUTED_VALUE"""),7.7019005)</f>
        <v>7.7019005</v>
      </c>
      <c r="D20554" s="7">
        <f>IFERROR(__xludf.DUMMYFUNCTION("""COMPUTED_VALUE"""),0.431372549019607)</f>
        <v>0.431372549</v>
      </c>
    </row>
    <row r="20555">
      <c r="A20555" s="10" t="s">
        <v>21994</v>
      </c>
      <c r="B20555" s="7" t="str">
        <f>IFERROR(__xludf.DUMMYFUNCTION("SPLIT(A20555,"" "")"),"CN(c1ccc2nccc(CF)c2c1)C1CCC(N(C)c2ccc3nccc(-c4ccc5ncccc5c4)c3c2)CC1")</f>
        <v>CN(c1ccc2nccc(CF)c2c1)C1CCC(N(C)c2ccc3nccc(-c4ccc5ncccc5c4)c3c2)CC1</v>
      </c>
      <c r="C20555" s="7">
        <f>IFERROR(__xludf.DUMMYFUNCTION("""COMPUTED_VALUE"""),7.7018356)</f>
        <v>7.7018356</v>
      </c>
      <c r="D20555" s="7">
        <f>IFERROR(__xludf.DUMMYFUNCTION("""COMPUTED_VALUE"""),0.276923076923076)</f>
        <v>0.2769230769</v>
      </c>
    </row>
    <row r="20556">
      <c r="A20556" s="10" t="s">
        <v>21995</v>
      </c>
      <c r="B20556" s="7" t="str">
        <f>IFERROR(__xludf.DUMMYFUNCTION("SPLIT(A20556,"" "")"),"Cc1ccnc2cccc(N(C)CCN(c3cccc4ncccc34)C(C)C)c12")</f>
        <v>Cc1ccnc2cccc(N(C)CCN(c3cccc4ncccc34)C(C)C)c12</v>
      </c>
      <c r="C20556" s="7">
        <f>IFERROR(__xludf.DUMMYFUNCTION("""COMPUTED_VALUE"""),7.701827)</f>
        <v>7.701827</v>
      </c>
      <c r="D20556" s="7">
        <f>IFERROR(__xludf.DUMMYFUNCTION("""COMPUTED_VALUE"""),0.392156862745098)</f>
        <v>0.3921568627</v>
      </c>
    </row>
    <row r="20557">
      <c r="A20557" s="10" t="s">
        <v>21996</v>
      </c>
      <c r="B20557" s="7" t="str">
        <f>IFERROR(__xludf.DUMMYFUNCTION("SPLIT(A20557,"" "")"),"Cc1ccnc2c(N(C)CCNc3cccc4ncccc34)cccc12")</f>
        <v>Cc1ccnc2c(N(C)CCNc3cccc4ncccc34)cccc12</v>
      </c>
      <c r="C20557" s="7">
        <f>IFERROR(__xludf.DUMMYFUNCTION("""COMPUTED_VALUE"""),7.7018228)</f>
        <v>7.7018228</v>
      </c>
      <c r="D20557" s="7">
        <f>IFERROR(__xludf.DUMMYFUNCTION("""COMPUTED_VALUE"""),0.44)</f>
        <v>0.44</v>
      </c>
    </row>
    <row r="20558">
      <c r="A20558" s="10" t="s">
        <v>21997</v>
      </c>
      <c r="B20558" s="7" t="str">
        <f>IFERROR(__xludf.DUMMYFUNCTION("SPLIT(A20558,"" "")"),"CN(Cc1ccccn1)c1cccc2cc(C3=CCC=CN3)cnc12")</f>
        <v>CN(Cc1ccccn1)c1cccc2cc(C3=CCC=CN3)cnc12</v>
      </c>
      <c r="C20558" s="7">
        <f>IFERROR(__xludf.DUMMYFUNCTION("""COMPUTED_VALUE"""),7.7018123)</f>
        <v>7.7018123</v>
      </c>
      <c r="D20558" s="7">
        <f>IFERROR(__xludf.DUMMYFUNCTION("""COMPUTED_VALUE"""),0.45)</f>
        <v>0.45</v>
      </c>
    </row>
    <row r="20559">
      <c r="A20559" s="10" t="s">
        <v>21998</v>
      </c>
      <c r="B20559" s="7" t="str">
        <f>IFERROR(__xludf.DUMMYFUNCTION("SPLIT(A20559,"" "")"),"CN(C)c1ccccc1-c1ccc(CN(C)c2ccc3cc(CF)ncc3c2)nc1")</f>
        <v>CN(C)c1ccccc1-c1ccc(CN(C)c2ccc3cc(CF)ncc3c2)nc1</v>
      </c>
      <c r="C20559" s="7">
        <f>IFERROR(__xludf.DUMMYFUNCTION("""COMPUTED_VALUE"""),7.701789)</f>
        <v>7.701789</v>
      </c>
      <c r="D20559" s="7">
        <f>IFERROR(__xludf.DUMMYFUNCTION("""COMPUTED_VALUE"""),0.307692307692307)</f>
        <v>0.3076923077</v>
      </c>
    </row>
    <row r="20560">
      <c r="A20560" s="10" t="s">
        <v>21999</v>
      </c>
      <c r="B20560" s="7" t="str">
        <f>IFERROR(__xludf.DUMMYFUNCTION("SPLIT(A20560,"" "")"),"CN(C1=CCC=CN1)c1ccc2cccnc2c1")</f>
        <v>CN(C1=CCC=CN1)c1ccc2cccnc2c1</v>
      </c>
      <c r="C20560" s="7">
        <f>IFERROR(__xludf.DUMMYFUNCTION("""COMPUTED_VALUE"""),7.7017837)</f>
        <v>7.7017837</v>
      </c>
      <c r="D20560" s="7">
        <f>IFERROR(__xludf.DUMMYFUNCTION("""COMPUTED_VALUE"""),0.339285714285714)</f>
        <v>0.3392857143</v>
      </c>
    </row>
    <row r="20561">
      <c r="A20561" s="10" t="s">
        <v>22000</v>
      </c>
      <c r="B20561" s="7" t="str">
        <f>IFERROR(__xludf.DUMMYFUNCTION("SPLIT(A20561,"" "")"),"CN(Cc1ccccn1)c1cc2cccnc2cc1-c1cccc(-c2ccccc2)c1N(C)Cc1ccccn1")</f>
        <v>CN(Cc1ccccn1)c1cc2cccnc2cc1-c1cccc(-c2ccccc2)c1N(C)Cc1ccccn1</v>
      </c>
      <c r="C20561" s="7">
        <f>IFERROR(__xludf.DUMMYFUNCTION("""COMPUTED_VALUE"""),7.7017813)</f>
        <v>7.7017813</v>
      </c>
      <c r="D20561" s="7">
        <f>IFERROR(__xludf.DUMMYFUNCTION("""COMPUTED_VALUE"""),0.461538461538461)</f>
        <v>0.4615384615</v>
      </c>
    </row>
    <row r="20562">
      <c r="A20562" s="10" t="s">
        <v>22001</v>
      </c>
      <c r="B20562" s="7" t="str">
        <f>IFERROR(__xludf.DUMMYFUNCTION("SPLIT(A20562,"" "")"),"CN(CN(Cc1ccccn1)c1cccc2ncccc12)c1cccc2ncccc12")</f>
        <v>CN(CN(Cc1ccccn1)c1cccc2ncccc12)c1cccc2ncccc12</v>
      </c>
      <c r="C20562" s="7">
        <f>IFERROR(__xludf.DUMMYFUNCTION("""COMPUTED_VALUE"""),7.7017665)</f>
        <v>7.7017665</v>
      </c>
      <c r="D20562" s="7">
        <f>IFERROR(__xludf.DUMMYFUNCTION("""COMPUTED_VALUE"""),0.446808510638297)</f>
        <v>0.4468085106</v>
      </c>
    </row>
    <row r="20563">
      <c r="A20563" s="10" t="s">
        <v>22002</v>
      </c>
      <c r="B20563" s="7" t="str">
        <f>IFERROR(__xludf.DUMMYFUNCTION("SPLIT(A20563,"" "")"),"CC(C)N(Cc1ccccn1)c1ccc2nccc(-c3ccc(N(C)C)cc3)c2c1")</f>
        <v>CC(C)N(Cc1ccccn1)c1ccc2nccc(-c3ccc(N(C)C)cc3)c2c1</v>
      </c>
      <c r="C20563" s="7">
        <f>IFERROR(__xludf.DUMMYFUNCTION("""COMPUTED_VALUE"""),7.701754)</f>
        <v>7.701754</v>
      </c>
      <c r="D20563" s="7">
        <f>IFERROR(__xludf.DUMMYFUNCTION("""COMPUTED_VALUE"""),0.396226415094339)</f>
        <v>0.3962264151</v>
      </c>
    </row>
    <row r="20564">
      <c r="A20564" s="10" t="s">
        <v>22003</v>
      </c>
      <c r="B20564" s="7" t="str">
        <f>IFERROR(__xludf.DUMMYFUNCTION("SPLIT(A20564,"" "")"),"CC(C)c1cccc(CN(Cc2ccccn2)c2ccc3nc(-c4ccc5ncccc5c4)ccc3c2)n1")</f>
        <v>CC(C)c1cccc(CN(Cc2ccccn2)c2ccc3nc(-c4ccc5ncccc5c4)ccc3c2)n1</v>
      </c>
      <c r="C20564" s="7">
        <f>IFERROR(__xludf.DUMMYFUNCTION("""COMPUTED_VALUE"""),7.7017293)</f>
        <v>7.7017293</v>
      </c>
      <c r="D20564" s="7">
        <f>IFERROR(__xludf.DUMMYFUNCTION("""COMPUTED_VALUE"""),0.388059701492537)</f>
        <v>0.3880597015</v>
      </c>
    </row>
    <row r="20565">
      <c r="A20565" s="10" t="s">
        <v>22004</v>
      </c>
      <c r="B20565" s="7" t="str">
        <f>IFERROR(__xludf.DUMMYFUNCTION("SPLIT(A20565,"" "")"),"CNc1cccc2cccnc12")</f>
        <v>CNc1cccc2cccnc12</v>
      </c>
      <c r="C20565" s="7">
        <f>IFERROR(__xludf.DUMMYFUNCTION("""COMPUTED_VALUE"""),7.7017217)</f>
        <v>7.7017217</v>
      </c>
      <c r="D20565" s="7">
        <f>IFERROR(__xludf.DUMMYFUNCTION("""COMPUTED_VALUE"""),0.457142857142857)</f>
        <v>0.4571428571</v>
      </c>
    </row>
    <row r="20566">
      <c r="A20566" s="10" t="s">
        <v>22005</v>
      </c>
      <c r="B20566" s="7" t="str">
        <f>IFERROR(__xludf.DUMMYFUNCTION("SPLIT(A20566,"" "")"),"CN(Cc1ccc2ncccc2c1)Cc1ccc2cccc(N(C)Cc3ccc4ncccc4c3)c2n1")</f>
        <v>CN(Cc1ccc2ncccc2c1)Cc1ccc2cccc(N(C)Cc3ccc4ncccc4c3)c2n1</v>
      </c>
      <c r="C20566" s="7">
        <f>IFERROR(__xludf.DUMMYFUNCTION("""COMPUTED_VALUE"""),7.7016973)</f>
        <v>7.7016973</v>
      </c>
      <c r="D20566" s="7">
        <f>IFERROR(__xludf.DUMMYFUNCTION("""COMPUTED_VALUE"""),0.44)</f>
        <v>0.44</v>
      </c>
    </row>
    <row r="20567">
      <c r="A20567" s="10" t="s">
        <v>22006</v>
      </c>
      <c r="B20567" s="7" t="str">
        <f>IFERROR(__xludf.DUMMYFUNCTION("SPLIT(A20567,"" "")"),"CC(C)N(Cc1ccccn1)c1ccc2nccc(-c3cccc(N(C)C)c3)c2c1")</f>
        <v>CC(C)N(Cc1ccccn1)c1ccc2nccc(-c3cccc(N(C)C)c3)c2c1</v>
      </c>
      <c r="C20567" s="7">
        <f>IFERROR(__xludf.DUMMYFUNCTION("""COMPUTED_VALUE"""),7.7016892)</f>
        <v>7.7016892</v>
      </c>
      <c r="D20567" s="7">
        <f>IFERROR(__xludf.DUMMYFUNCTION("""COMPUTED_VALUE"""),0.375)</f>
        <v>0.375</v>
      </c>
    </row>
    <row r="20568">
      <c r="A20568" s="10" t="s">
        <v>22007</v>
      </c>
      <c r="B20568" s="7" t="str">
        <f>IFERROR(__xludf.DUMMYFUNCTION("SPLIT(A20568,"" "")"),"CNCc1ccc2cccc(N(C)Cc3cccc(N(C)c4ccc5nc(CF)ccc5c4)n3)c2n1")</f>
        <v>CNCc1ccc2cccc(N(C)Cc3cccc(N(C)c4ccc5nc(CF)ccc5c4)n3)c2n1</v>
      </c>
      <c r="C20568" s="7">
        <f>IFERROR(__xludf.DUMMYFUNCTION("""COMPUTED_VALUE"""),7.701688)</f>
        <v>7.701688</v>
      </c>
      <c r="D20568" s="7">
        <f>IFERROR(__xludf.DUMMYFUNCTION("""COMPUTED_VALUE"""),0.393939393939393)</f>
        <v>0.3939393939</v>
      </c>
    </row>
    <row r="20569">
      <c r="A20569" s="10" t="s">
        <v>22008</v>
      </c>
      <c r="B20569" s="7" t="str">
        <f>IFERROR(__xludf.DUMMYFUNCTION("SPLIT(A20569,"" "")"),"CNCc1ncccc1-c1cc(N(C)Cc2ncccc2C)cc2cccnc12")</f>
        <v>CNCc1ncccc1-c1cc(N(C)Cc2ncccc2C)cc2cccnc12</v>
      </c>
      <c r="C20569" s="7">
        <f>IFERROR(__xludf.DUMMYFUNCTION("""COMPUTED_VALUE"""),7.70167)</f>
        <v>7.70167</v>
      </c>
      <c r="D20569" s="7">
        <f>IFERROR(__xludf.DUMMYFUNCTION("""COMPUTED_VALUE"""),0.327272727272727)</f>
        <v>0.3272727273</v>
      </c>
    </row>
    <row r="20570">
      <c r="A20570" s="10" t="s">
        <v>22009</v>
      </c>
      <c r="B20570" s="7" t="str">
        <f>IFERROR(__xludf.DUMMYFUNCTION("SPLIT(A20570,"" "")"),"CN(CN(c1cccc2ncccc12)C(C)(C)C)c1cccc2ncccc12")</f>
        <v>CN(CN(c1cccc2ncccc12)C(C)(C)C)c1cccc2ncccc12</v>
      </c>
      <c r="C20570" s="7">
        <f>IFERROR(__xludf.DUMMYFUNCTION("""COMPUTED_VALUE"""),7.701651)</f>
        <v>7.701651</v>
      </c>
      <c r="D20570" s="7">
        <f>IFERROR(__xludf.DUMMYFUNCTION("""COMPUTED_VALUE"""),0.409090909090909)</f>
        <v>0.4090909091</v>
      </c>
    </row>
    <row r="20571">
      <c r="A20571" s="10" t="s">
        <v>22010</v>
      </c>
      <c r="B20571" s="7" t="str">
        <f>IFERROR(__xludf.DUMMYFUNCTION("SPLIT(A20571,"" "")"),"CNc1cc(N(C)Cc2cc(C)ccn2)c2nccc(C)c2c1")</f>
        <v>CNc1cc(N(C)Cc2cc(C)ccn2)c2nccc(C)c2c1</v>
      </c>
      <c r="C20571" s="7">
        <f>IFERROR(__xludf.DUMMYFUNCTION("""COMPUTED_VALUE"""),7.7015333)</f>
        <v>7.7015333</v>
      </c>
      <c r="D20571" s="7">
        <f>IFERROR(__xludf.DUMMYFUNCTION("""COMPUTED_VALUE"""),0.339622641509433)</f>
        <v>0.3396226415</v>
      </c>
    </row>
    <row r="20572">
      <c r="A20572" s="10" t="s">
        <v>22011</v>
      </c>
      <c r="B20572" s="7" t="str">
        <f>IFERROR(__xludf.DUMMYFUNCTION("SPLIT(A20572,"" "")"),"CC(C)N(CC1=CCC(N(C)c2cccc3ncccc23)=CN1)c1ccc2cccnc2c1")</f>
        <v>CC(C)N(CC1=CCC(N(C)c2cccc3ncccc23)=CN1)c1ccc2cccnc2c1</v>
      </c>
      <c r="C20572" s="7">
        <f>IFERROR(__xludf.DUMMYFUNCTION("""COMPUTED_VALUE"""),7.7015276)</f>
        <v>7.7015276</v>
      </c>
      <c r="D20572" s="7">
        <f>IFERROR(__xludf.DUMMYFUNCTION("""COMPUTED_VALUE"""),0.276923076923076)</f>
        <v>0.2769230769</v>
      </c>
    </row>
    <row r="20573">
      <c r="A20573" s="10" t="s">
        <v>22012</v>
      </c>
      <c r="B20573" s="7" t="str">
        <f>IFERROR(__xludf.DUMMYFUNCTION("SPLIT(A20573,"" "")"),"CN(C)c1cccc2ncc3c(c12)CCC3")</f>
        <v>CN(C)c1cccc2ncc3c(c12)CCC3</v>
      </c>
      <c r="C20573" s="7">
        <f>IFERROR(__xludf.DUMMYFUNCTION("""COMPUTED_VALUE"""),7.7014856)</f>
        <v>7.7014856</v>
      </c>
      <c r="D20573" s="7">
        <f>IFERROR(__xludf.DUMMYFUNCTION("""COMPUTED_VALUE"""),0.314814814814814)</f>
        <v>0.3148148148</v>
      </c>
    </row>
    <row r="20574">
      <c r="A20574" s="10" t="s">
        <v>22013</v>
      </c>
      <c r="B20574" s="7" t="str">
        <f>IFERROR(__xludf.DUMMYFUNCTION("SPLIT(A20574,"" "")"),"CC(C)N(C)CCN(C)c1cccc2nccc(-c3cccc4ncccc34)c12")</f>
        <v>CC(C)N(C)CCN(C)c1cccc2nccc(-c3cccc4ncccc34)c12</v>
      </c>
      <c r="C20574" s="7">
        <f>IFERROR(__xludf.DUMMYFUNCTION("""COMPUTED_VALUE"""),7.701466)</f>
        <v>7.701466</v>
      </c>
      <c r="D20574" s="7">
        <f>IFERROR(__xludf.DUMMYFUNCTION("""COMPUTED_VALUE"""),0.42)</f>
        <v>0.42</v>
      </c>
    </row>
    <row r="20575">
      <c r="A20575" s="10" t="s">
        <v>22014</v>
      </c>
      <c r="B20575" s="7" t="str">
        <f>IFERROR(__xludf.DUMMYFUNCTION("SPLIT(A20575,"" "")"),"CN(C)Cc1ncccc1-c1cccc2ncccc12")</f>
        <v>CN(C)Cc1ncccc1-c1cccc2ncccc12</v>
      </c>
      <c r="C20575" s="7">
        <f>IFERROR(__xludf.DUMMYFUNCTION("""COMPUTED_VALUE"""),7.7014623)</f>
        <v>7.7014623</v>
      </c>
      <c r="D20575" s="7">
        <f>IFERROR(__xludf.DUMMYFUNCTION("""COMPUTED_VALUE"""),0.326086956521739)</f>
        <v>0.3260869565</v>
      </c>
    </row>
    <row r="20576">
      <c r="A20576" s="10" t="s">
        <v>22015</v>
      </c>
      <c r="B20576" s="7" t="str">
        <f>IFERROR(__xludf.DUMMYFUNCTION("SPLIT(A20576,"" "")"),"CCN(C)c1ccc2nc(CN(C)c3ccc4nc(CN(C)C)ccc4c3)ccc2c1")</f>
        <v>CCN(C)c1ccc2nc(CN(C)c3ccc4nc(CN(C)C)ccc4c3)ccc2c1</v>
      </c>
      <c r="C20576" s="7">
        <f>IFERROR(__xludf.DUMMYFUNCTION("""COMPUTED_VALUE"""),7.7014346)</f>
        <v>7.7014346</v>
      </c>
      <c r="D20576" s="7">
        <f>IFERROR(__xludf.DUMMYFUNCTION("""COMPUTED_VALUE"""),0.365853658536585)</f>
        <v>0.3658536585</v>
      </c>
    </row>
    <row r="20577">
      <c r="A20577" s="10" t="s">
        <v>22016</v>
      </c>
      <c r="B20577" s="7" t="str">
        <f>IFERROR(__xludf.DUMMYFUNCTION("SPLIT(A20577,"" "")"),"CC(C)N(C)CC1=C(N(C)c2ccc3cc(-c4cccc5cccnc45)cnc3c2)CC=CN1")</f>
        <v>CC(C)N(C)CC1=C(N(C)c2ccc3cc(-c4cccc5cccnc45)cnc3c2)CC=CN1</v>
      </c>
      <c r="C20577" s="7">
        <f>IFERROR(__xludf.DUMMYFUNCTION("""COMPUTED_VALUE"""),7.701358)</f>
        <v>7.701358</v>
      </c>
      <c r="D20577" s="7">
        <f>IFERROR(__xludf.DUMMYFUNCTION("""COMPUTED_VALUE"""),0.289855072463768)</f>
        <v>0.2898550725</v>
      </c>
    </row>
    <row r="20578">
      <c r="A20578" s="10" t="s">
        <v>22017</v>
      </c>
      <c r="B20578" s="7" t="str">
        <f>IFERROR(__xludf.DUMMYFUNCTION("SPLIT(A20578,"" "")"),"Cc1ccc2ccc(N(C)CCN(C)c3ccc4ncccc4c3)cc2n1")</f>
        <v>Cc1ccc2ccc(N(C)CCN(C)c3ccc4ncccc4c3)cc2n1</v>
      </c>
      <c r="C20578" s="7">
        <f>IFERROR(__xludf.DUMMYFUNCTION("""COMPUTED_VALUE"""),7.701328)</f>
        <v>7.701328</v>
      </c>
      <c r="D20578" s="7">
        <f>IFERROR(__xludf.DUMMYFUNCTION("""COMPUTED_VALUE"""),0.391304347826087)</f>
        <v>0.3913043478</v>
      </c>
    </row>
    <row r="20579">
      <c r="A20579" s="10" t="s">
        <v>22018</v>
      </c>
      <c r="B20579" s="7" t="str">
        <f>IFERROR(__xludf.DUMMYFUNCTION("SPLIT(A20579,"" "")"),"CN(C)c1cccc(-c2ccnc(CN(C)c3ccc4nc(CF)ccc4c3)c2)c1")</f>
        <v>CN(C)c1cccc(-c2ccnc(CN(C)c3ccc4nc(CF)ccc4c3)c2)c1</v>
      </c>
      <c r="C20579" s="7">
        <f>IFERROR(__xludf.DUMMYFUNCTION("""COMPUTED_VALUE"""),7.7013235)</f>
        <v>7.7013235</v>
      </c>
      <c r="D20579" s="7">
        <f>IFERROR(__xludf.DUMMYFUNCTION("""COMPUTED_VALUE"""),0.305084745762711)</f>
        <v>0.3050847458</v>
      </c>
    </row>
    <row r="20580">
      <c r="A20580" s="10" t="s">
        <v>22019</v>
      </c>
      <c r="B20580" s="7" t="str">
        <f>IFERROR(__xludf.DUMMYFUNCTION("SPLIT(A20580,"" "")"),"CN(Cc1cncc(-c2cccc(N=Cc3ccccn3)c2)c1)c1ccc2nccc(CF)c2c1")</f>
        <v>CN(Cc1cncc(-c2cccc(N=Cc3ccccn3)c2)c1)c1ccc2nccc(CF)c2c1</v>
      </c>
      <c r="C20580" s="7">
        <f>IFERROR(__xludf.DUMMYFUNCTION("""COMPUTED_VALUE"""),7.7012267)</f>
        <v>7.7012267</v>
      </c>
      <c r="D20580" s="7">
        <f>IFERROR(__xludf.DUMMYFUNCTION("""COMPUTED_VALUE"""),0.283783783783783)</f>
        <v>0.2837837838</v>
      </c>
    </row>
    <row r="20581">
      <c r="A20581" s="10" t="s">
        <v>22020</v>
      </c>
      <c r="B20581" s="7" t="str">
        <f>IFERROR(__xludf.DUMMYFUNCTION("SPLIT(A20581,"" "")"),"CN(C)c1ccc2ncccc2c1")</f>
        <v>CN(C)c1ccc2ncccc2c1</v>
      </c>
      <c r="C20581" s="7">
        <f>IFERROR(__xludf.DUMMYFUNCTION("""COMPUTED_VALUE"""),7.7011795)</f>
        <v>7.7011795</v>
      </c>
      <c r="D20581" s="7">
        <f>IFERROR(__xludf.DUMMYFUNCTION("""COMPUTED_VALUE"""),0.368421052631578)</f>
        <v>0.3684210526</v>
      </c>
    </row>
    <row r="20582">
      <c r="A20582" s="10" t="s">
        <v>22021</v>
      </c>
      <c r="B20582" s="7" t="str">
        <f>IFERROR(__xludf.DUMMYFUNCTION("SPLIT(A20582,"" "")"),"CN(C)Cc1cnccc1-c1c(N)ccc2cccnc12")</f>
        <v>CN(C)Cc1cnccc1-c1c(N)ccc2cccnc12</v>
      </c>
      <c r="C20582" s="7">
        <f>IFERROR(__xludf.DUMMYFUNCTION("""COMPUTED_VALUE"""),7.7011714)</f>
        <v>7.7011714</v>
      </c>
      <c r="D20582" s="7">
        <f>IFERROR(__xludf.DUMMYFUNCTION("""COMPUTED_VALUE"""),0.4)</f>
        <v>0.4</v>
      </c>
    </row>
    <row r="20583">
      <c r="A20583" s="10" t="s">
        <v>22022</v>
      </c>
      <c r="B20583" s="7" t="str">
        <f>IFERROR(__xludf.DUMMYFUNCTION("SPLIT(A20583,"" "")"),"CNc1c(C)cc2ncccc2c1N(C)Cc1ncccc1C")</f>
        <v>CNc1c(C)cc2ncccc2c1N(C)Cc1ncccc1C</v>
      </c>
      <c r="C20583" s="7">
        <f>IFERROR(__xludf.DUMMYFUNCTION("""COMPUTED_VALUE"""),7.701155)</f>
        <v>7.701155</v>
      </c>
      <c r="D20583" s="7">
        <f>IFERROR(__xludf.DUMMYFUNCTION("""COMPUTED_VALUE"""),0.272727272727272)</f>
        <v>0.2727272727</v>
      </c>
    </row>
    <row r="20584">
      <c r="A20584" s="10" t="s">
        <v>22023</v>
      </c>
      <c r="B20584" s="7" t="str">
        <f>IFERROR(__xludf.DUMMYFUNCTION("SPLIT(A20584,"" "")"),"CC(C)N(CC1=CCC=C(N(C)c2ccc3cccnc3c2)N1)c1ccc2ncccc2c1")</f>
        <v>CC(C)N(CC1=CCC=C(N(C)c2ccc3cccnc3c2)N1)c1ccc2ncccc2c1</v>
      </c>
      <c r="C20584" s="7">
        <f>IFERROR(__xludf.DUMMYFUNCTION("""COMPUTED_VALUE"""),7.7011385)</f>
        <v>7.7011385</v>
      </c>
      <c r="D20584" s="7">
        <f>IFERROR(__xludf.DUMMYFUNCTION("""COMPUTED_VALUE"""),0.261538461538461)</f>
        <v>0.2615384615</v>
      </c>
    </row>
    <row r="20585">
      <c r="A20585" s="10" t="s">
        <v>22024</v>
      </c>
      <c r="B20585" s="7" t="str">
        <f>IFERROR(__xludf.DUMMYFUNCTION("SPLIT(A20585,"" "")"),"CN(CCN(C)c1cccc2ncccc12)c1ccc2c(CF)ccnc2c1")</f>
        <v>CN(CCN(C)c1cccc2ncccc12)c1ccc2c(CF)ccnc2c1</v>
      </c>
      <c r="C20585" s="7">
        <f>IFERROR(__xludf.DUMMYFUNCTION("""COMPUTED_VALUE"""),7.7011375)</f>
        <v>7.7011375</v>
      </c>
      <c r="D20585" s="7">
        <f>IFERROR(__xludf.DUMMYFUNCTION("""COMPUTED_VALUE"""),0.42)</f>
        <v>0.42</v>
      </c>
    </row>
    <row r="20586">
      <c r="A20586" s="10" t="s">
        <v>22025</v>
      </c>
      <c r="B20586" s="7" t="str">
        <f>IFERROR(__xludf.DUMMYFUNCTION("SPLIT(A20586,"" "")"),"CN(C)c1cccc(-c2ccc(CN(C)c3ccc4ncc(CF)cc4c3)nc2)c1")</f>
        <v>CN(C)c1cccc(-c2ccc(CN(C)c3ccc4ncc(CF)cc4c3)nc2)c1</v>
      </c>
      <c r="C20586" s="7">
        <f>IFERROR(__xludf.DUMMYFUNCTION("""COMPUTED_VALUE"""),7.701113)</f>
        <v>7.701113</v>
      </c>
      <c r="D20586" s="7">
        <f>IFERROR(__xludf.DUMMYFUNCTION("""COMPUTED_VALUE"""),0.271186440677966)</f>
        <v>0.2711864407</v>
      </c>
    </row>
    <row r="20587">
      <c r="A20587" s="10" t="s">
        <v>22026</v>
      </c>
      <c r="B20587" s="7" t="str">
        <f>IFERROR(__xludf.DUMMYFUNCTION("SPLIT(A20587,"" "")"),"Cc1cccnc1CN(C)Cc1nccc2ccc(N(C)c3ccc4ncccc4c3)cc12")</f>
        <v>Cc1cccnc1CN(C)Cc1nccc2ccc(N(C)c3ccc4ncccc4c3)cc12</v>
      </c>
      <c r="C20587" s="7">
        <f>IFERROR(__xludf.DUMMYFUNCTION("""COMPUTED_VALUE"""),7.701095)</f>
        <v>7.701095</v>
      </c>
      <c r="D20587" s="7">
        <f>IFERROR(__xludf.DUMMYFUNCTION("""COMPUTED_VALUE"""),0.298245614035087)</f>
        <v>0.298245614</v>
      </c>
    </row>
    <row r="20588">
      <c r="A20588" s="10" t="s">
        <v>22027</v>
      </c>
      <c r="B20588" s="7" t="str">
        <f>IFERROR(__xludf.DUMMYFUNCTION("SPLIT(A20588,"" "")"),"CNc1ccccc1-c1ncccc1-c1ccccc1N=Cc1ccccn1")</f>
        <v>CNc1ccccc1-c1ncccc1-c1ccccc1N=Cc1ccccn1</v>
      </c>
      <c r="C20588" s="7">
        <f>IFERROR(__xludf.DUMMYFUNCTION("""COMPUTED_VALUE"""),7.7010884)</f>
        <v>7.7010884</v>
      </c>
      <c r="D20588" s="7">
        <f>IFERROR(__xludf.DUMMYFUNCTION("""COMPUTED_VALUE"""),0.479166666666666)</f>
        <v>0.4791666667</v>
      </c>
    </row>
    <row r="20589">
      <c r="A20589" s="10" t="s">
        <v>22028</v>
      </c>
      <c r="B20589" s="7" t="str">
        <f>IFERROR(__xludf.DUMMYFUNCTION("SPLIT(A20589,"" "")"),"CN(CN(Cc1cccnn1)c1ccc2cccnc2c1)c1ccc2cccnc2c1")</f>
        <v>CN(CN(Cc1cccnn1)c1ccc2cccnc2c1)c1ccc2cccnc2c1</v>
      </c>
      <c r="C20589" s="7">
        <f>IFERROR(__xludf.DUMMYFUNCTION("""COMPUTED_VALUE"""),7.7010612)</f>
        <v>7.7010612</v>
      </c>
      <c r="D20589" s="7">
        <f>IFERROR(__xludf.DUMMYFUNCTION("""COMPUTED_VALUE"""),0.456521739130434)</f>
        <v>0.4565217391</v>
      </c>
    </row>
    <row r="20590">
      <c r="A20590" s="10" t="s">
        <v>22029</v>
      </c>
      <c r="B20590" s="7" t="str">
        <f>IFERROR(__xludf.DUMMYFUNCTION("SPLIT(A20590,"" "")"),"Cc1cccnc1CN(C)Cc1ccc2c(N(C)Cc3ccc(-c4ccc5ncccc5c4)cn3)cccc2n1")</f>
        <v>Cc1cccnc1CN(C)Cc1ccc2c(N(C)Cc3ccc(-c4ccc5ncccc5c4)cn3)cccc2n1</v>
      </c>
      <c r="C20590" s="7">
        <f>IFERROR(__xludf.DUMMYFUNCTION("""COMPUTED_VALUE"""),7.7009654)</f>
        <v>7.7009654</v>
      </c>
      <c r="D20590" s="7">
        <f>IFERROR(__xludf.DUMMYFUNCTION("""COMPUTED_VALUE"""),0.308823529411764)</f>
        <v>0.3088235294</v>
      </c>
    </row>
    <row r="20591">
      <c r="A20591" s="10" t="s">
        <v>22030</v>
      </c>
      <c r="B20591" s="7" t="str">
        <f>IFERROR(__xludf.DUMMYFUNCTION("SPLIT(A20591,"" "")"),"CNc1cc(N(C)Cc2cc(C)ccn2)c2cccnc2c1C")</f>
        <v>CNc1cc(N(C)Cc2cc(C)ccn2)c2cccnc2c1C</v>
      </c>
      <c r="C20591" s="7">
        <f>IFERROR(__xludf.DUMMYFUNCTION("""COMPUTED_VALUE"""),7.7008944)</f>
        <v>7.7008944</v>
      </c>
      <c r="D20591" s="7">
        <f>IFERROR(__xludf.DUMMYFUNCTION("""COMPUTED_VALUE"""),0.377358490566037)</f>
        <v>0.3773584906</v>
      </c>
    </row>
    <row r="20592">
      <c r="A20592" s="10" t="s">
        <v>22031</v>
      </c>
      <c r="B20592" s="7" t="str">
        <f>IFERROR(__xludf.DUMMYFUNCTION("SPLIT(A20592,"" "")"),"Cc1ccc2ccc(CN(C)c3cccc4ccc(CN(C)C)nc34)nc2c1")</f>
        <v>Cc1ccc2ccc(CN(C)c3cccc4ccc(CN(C)C)nc34)nc2c1</v>
      </c>
      <c r="C20592" s="7">
        <f>IFERROR(__xludf.DUMMYFUNCTION("""COMPUTED_VALUE"""),7.700891)</f>
        <v>7.700891</v>
      </c>
      <c r="D20592" s="7">
        <f>IFERROR(__xludf.DUMMYFUNCTION("""COMPUTED_VALUE"""),0.375)</f>
        <v>0.375</v>
      </c>
    </row>
    <row r="20593">
      <c r="A20593" s="10" t="s">
        <v>22032</v>
      </c>
      <c r="B20593" s="7" t="str">
        <f>IFERROR(__xludf.DUMMYFUNCTION("SPLIT(A20593,"" "")"),"CN(CCN(c1ccccc1)c1cccc2ncccc12)c1cccc2ncccc12")</f>
        <v>CN(CCN(c1ccccc1)c1cccc2ncccc12)c1cccc2ncccc12</v>
      </c>
      <c r="C20593" s="7">
        <f>IFERROR(__xludf.DUMMYFUNCTION("""COMPUTED_VALUE"""),7.7008877)</f>
        <v>7.7008877</v>
      </c>
      <c r="D20593" s="7">
        <f>IFERROR(__xludf.DUMMYFUNCTION("""COMPUTED_VALUE"""),0.488372093023255)</f>
        <v>0.488372093</v>
      </c>
    </row>
    <row r="20594">
      <c r="A20594" s="10" t="s">
        <v>22033</v>
      </c>
      <c r="B20594" s="7" t="str">
        <f>IFERROR(__xludf.DUMMYFUNCTION("SPLIT(A20594,"" "")"),"CN(Cc1ccc2ccc(N(Cc3ccccn3)c3ccccc3)cc2n1)c1ccc2nccc(CF)c2c1")</f>
        <v>CN(Cc1ccc2ccc(N(Cc3ccccn3)c3ccccc3)cc2n1)c1ccc2nccc(CF)c2c1</v>
      </c>
      <c r="C20594" s="7">
        <f>IFERROR(__xludf.DUMMYFUNCTION("""COMPUTED_VALUE"""),7.7008376)</f>
        <v>7.7008376</v>
      </c>
      <c r="D20594" s="7">
        <f>IFERROR(__xludf.DUMMYFUNCTION("""COMPUTED_VALUE"""),0.393442622950819)</f>
        <v>0.393442623</v>
      </c>
    </row>
    <row r="20595">
      <c r="A20595" s="10" t="s">
        <v>22034</v>
      </c>
      <c r="B20595" s="7" t="str">
        <f>IFERROR(__xludf.DUMMYFUNCTION("SPLIT(A20595,"" "")"),"Cc1ccc(N(C)Cc2ccccn2)cc1-c1ccc(N(C)Cc2ccccn2)c2ncccc12")</f>
        <v>Cc1ccc(N(C)Cc2ccccn2)cc1-c1ccc(N(C)Cc2ccccn2)c2ncccc12</v>
      </c>
      <c r="C20595" s="7">
        <f>IFERROR(__xludf.DUMMYFUNCTION("""COMPUTED_VALUE"""),7.700835)</f>
        <v>7.700835</v>
      </c>
      <c r="D20595" s="7">
        <f>IFERROR(__xludf.DUMMYFUNCTION("""COMPUTED_VALUE"""),0.470588235294117)</f>
        <v>0.4705882353</v>
      </c>
    </row>
    <row r="20596">
      <c r="A20596" s="10" t="s">
        <v>22035</v>
      </c>
      <c r="B20596" s="7" t="str">
        <f>IFERROR(__xludf.DUMMYFUNCTION("SPLIT(A20596,"" "")"),"CCN(CCN(C)c1ccc2nccc(C)c2c1)c1ccc2nccc(C)c2c1")</f>
        <v>CCN(CCN(C)c1ccc2nccc(C)c2c1)c1ccc2nccc(C)c2c1</v>
      </c>
      <c r="C20596" s="7">
        <f>IFERROR(__xludf.DUMMYFUNCTION("""COMPUTED_VALUE"""),7.700781)</f>
        <v>7.700781</v>
      </c>
      <c r="D20596" s="7">
        <f>IFERROR(__xludf.DUMMYFUNCTION("""COMPUTED_VALUE"""),0.254901960784313)</f>
        <v>0.2549019608</v>
      </c>
    </row>
    <row r="20597">
      <c r="A20597" s="10" t="s">
        <v>22036</v>
      </c>
      <c r="B20597" s="7" t="str">
        <f>IFERROR(__xludf.DUMMYFUNCTION("SPLIT(A20597,"" "")"),"CN(Cc1ncccc1-c1ccccc1N=Cc1ccccn1)c1ccc2c(CF)nccc2c1")</f>
        <v>CN(Cc1ncccc1-c1ccccc1N=Cc1ccccn1)c1ccc2c(CF)nccc2c1</v>
      </c>
      <c r="C20597" s="7">
        <f>IFERROR(__xludf.DUMMYFUNCTION("""COMPUTED_VALUE"""),7.7007785)</f>
        <v>7.7007785</v>
      </c>
      <c r="D20597" s="7">
        <f>IFERROR(__xludf.DUMMYFUNCTION("""COMPUTED_VALUE"""),0.377049180327868)</f>
        <v>0.3770491803</v>
      </c>
    </row>
    <row r="20598">
      <c r="A20598" s="10" t="s">
        <v>22037</v>
      </c>
      <c r="B20598" s="7" t="str">
        <f>IFERROR(__xludf.DUMMYFUNCTION("SPLIT(A20598,"" "")"),"CCN(Cc1ccccn1)c1cc2cccnc2cc1-c1ccccc1-c1c(C)cccc1N=Cc1ccccn1")</f>
        <v>CCN(Cc1ccccn1)c1cc2cccnc2cc1-c1ccccc1-c1c(C)cccc1N=Cc1ccccn1</v>
      </c>
      <c r="C20598" s="7">
        <f>IFERROR(__xludf.DUMMYFUNCTION("""COMPUTED_VALUE"""),7.7007775)</f>
        <v>7.7007775</v>
      </c>
      <c r="D20598" s="7">
        <f>IFERROR(__xludf.DUMMYFUNCTION("""COMPUTED_VALUE"""),0.491803278688524)</f>
        <v>0.4918032787</v>
      </c>
    </row>
    <row r="20599">
      <c r="A20599" s="10" t="s">
        <v>22038</v>
      </c>
      <c r="B20599" s="7" t="str">
        <f>IFERROR(__xludf.DUMMYFUNCTION("SPLIT(A20599,"" "")"),"CC(C)c1nc2ccccc2o1")</f>
        <v>CC(C)c1nc2ccccc2o1</v>
      </c>
      <c r="C20599" s="7">
        <f>IFERROR(__xludf.DUMMYFUNCTION("""COMPUTED_VALUE"""),7.700738)</f>
        <v>7.700738</v>
      </c>
      <c r="D20599" s="7">
        <f>IFERROR(__xludf.DUMMYFUNCTION("""COMPUTED_VALUE"""),0.428571428571428)</f>
        <v>0.4285714286</v>
      </c>
    </row>
    <row r="20600">
      <c r="A20600" s="10" t="s">
        <v>22039</v>
      </c>
      <c r="B20600" s="7" t="str">
        <f>IFERROR(__xludf.DUMMYFUNCTION("SPLIT(A20600,"" "")"),"CN(Cc1ncccc1-c1ccc2ncccc2c1)Cc1ccnc2ccc(N(C)Cc3ccccn3)cc12")</f>
        <v>CN(Cc1ncccc1-c1ccc2ncccc2c1)Cc1ccnc2ccc(N(C)Cc3ccccn3)cc12</v>
      </c>
      <c r="C20600" s="7">
        <f>IFERROR(__xludf.DUMMYFUNCTION("""COMPUTED_VALUE"""),7.7007356)</f>
        <v>7.7007356</v>
      </c>
      <c r="D20600" s="7">
        <f>IFERROR(__xludf.DUMMYFUNCTION("""COMPUTED_VALUE"""),0.354838709677419)</f>
        <v>0.3548387097</v>
      </c>
    </row>
    <row r="20601">
      <c r="A20601" s="10" t="s">
        <v>22040</v>
      </c>
      <c r="B20601" s="7" t="str">
        <f>IFERROR(__xludf.DUMMYFUNCTION("SPLIT(A20601,"" "")"),"CN(CC1=CC(N(C)Cc2ncccc2-c2ccc3ncccc3c2)C=CN1)c1ccc2ncccc2c1")</f>
        <v>CN(CC1=CC(N(C)Cc2ncccc2-c2ccc3ncccc3c2)C=CN1)c1ccc2ncccc2c1</v>
      </c>
      <c r="C20601" s="7">
        <f>IFERROR(__xludf.DUMMYFUNCTION("""COMPUTED_VALUE"""),7.7006793)</f>
        <v>7.7006793</v>
      </c>
      <c r="D20601" s="7">
        <f>IFERROR(__xludf.DUMMYFUNCTION("""COMPUTED_VALUE"""),0.253731343283582)</f>
        <v>0.2537313433</v>
      </c>
    </row>
    <row r="20602">
      <c r="A20602" s="10" t="s">
        <v>22041</v>
      </c>
      <c r="B20602" s="7" t="str">
        <f>IFERROR(__xludf.DUMMYFUNCTION("SPLIT(A20602,"" "")"),"CN(C)c1ccc2cccnc2c1")</f>
        <v>CN(C)c1ccc2cccnc2c1</v>
      </c>
      <c r="C20602" s="7">
        <f>IFERROR(__xludf.DUMMYFUNCTION("""COMPUTED_VALUE"""),7.700659)</f>
        <v>7.700659</v>
      </c>
      <c r="D20602" s="7">
        <f>IFERROR(__xludf.DUMMYFUNCTION("""COMPUTED_VALUE"""),0.365853658536585)</f>
        <v>0.3658536585</v>
      </c>
    </row>
    <row r="20603">
      <c r="A20603" s="10" t="s">
        <v>22042</v>
      </c>
      <c r="B20603" s="7" t="str">
        <f>IFERROR(__xludf.DUMMYFUNCTION("SPLIT(A20603,"" "")"),"CN(Cc1cncc(-c2ccccc2N=Cc2ccccn2)c1)c1ccc2nccc(CF)c2c1")</f>
        <v>CN(Cc1cncc(-c2ccccc2N=Cc2ccccn2)c1)c1ccc2nccc(CF)c2c1</v>
      </c>
      <c r="C20603" s="7">
        <f>IFERROR(__xludf.DUMMYFUNCTION("""COMPUTED_VALUE"""),7.7006254)</f>
        <v>7.7006254</v>
      </c>
      <c r="D20603" s="7">
        <f>IFERROR(__xludf.DUMMYFUNCTION("""COMPUTED_VALUE"""),0.338235294117647)</f>
        <v>0.3382352941</v>
      </c>
    </row>
    <row r="20604">
      <c r="A20604" s="10" t="s">
        <v>22043</v>
      </c>
      <c r="B20604" s="7" t="str">
        <f>IFERROR(__xludf.DUMMYFUNCTION("SPLIT(A20604,"" "")"),"Cc1ccc2ccc(N(C)CCN(C)c3ccc4nccc(CN(C)C)c4c3)cc2n1")</f>
        <v>Cc1ccc2ccc(N(C)CCN(C)c3ccc4nccc(CN(C)C)c4c3)cc2n1</v>
      </c>
      <c r="C20604" s="7">
        <f>IFERROR(__xludf.DUMMYFUNCTION("""COMPUTED_VALUE"""),7.7005835)</f>
        <v>7.7005835</v>
      </c>
      <c r="D20604" s="7">
        <f>IFERROR(__xludf.DUMMYFUNCTION("""COMPUTED_VALUE"""),0.259259259259259)</f>
        <v>0.2592592593</v>
      </c>
    </row>
    <row r="20605">
      <c r="A20605" s="10" t="s">
        <v>22044</v>
      </c>
      <c r="B20605" s="7" t="str">
        <f>IFERROR(__xludf.DUMMYFUNCTION("SPLIT(A20605,"" "")"),"Cc1ccnc2ccc(N(C)CCN(C)c3ccc4ccc(CN(C)C)nc4c3)cc12")</f>
        <v>Cc1ccnc2ccc(N(C)CCN(C)c3ccc4ccc(CN(C)C)nc4c3)cc12</v>
      </c>
      <c r="C20605" s="7">
        <f>IFERROR(__xludf.DUMMYFUNCTION("""COMPUTED_VALUE"""),7.700581)</f>
        <v>7.700581</v>
      </c>
      <c r="D20605" s="7">
        <f>IFERROR(__xludf.DUMMYFUNCTION("""COMPUTED_VALUE"""),0.333333333333333)</f>
        <v>0.3333333333</v>
      </c>
    </row>
    <row r="20606">
      <c r="A20606" s="10" t="s">
        <v>22045</v>
      </c>
      <c r="B20606" s="7" t="str">
        <f>IFERROR(__xludf.DUMMYFUNCTION("SPLIT(A20606,"" "")"),"Cc1ccc2nc(CN(C)c3ccc4nc(CN(C)C)ccc4c3)ccc2c1")</f>
        <v>Cc1ccc2nc(CN(C)c3ccc4nc(CN(C)C)ccc4c3)ccc2c1</v>
      </c>
      <c r="C20606" s="7">
        <f>IFERROR(__xludf.DUMMYFUNCTION("""COMPUTED_VALUE"""),7.700553)</f>
        <v>7.700553</v>
      </c>
      <c r="D20606" s="7">
        <f>IFERROR(__xludf.DUMMYFUNCTION("""COMPUTED_VALUE"""),0.357142857142857)</f>
        <v>0.3571428571</v>
      </c>
    </row>
    <row r="20607">
      <c r="A20607" s="10" t="s">
        <v>22046</v>
      </c>
      <c r="B20607" s="7" t="str">
        <f>IFERROR(__xludf.DUMMYFUNCTION("SPLIT(A20607,"" "")"),"Cc1ccc2ccc(N(C)Cc3ccc(-c4cccc(N=Cc5ccccn5)c4)nc3)cc2n1")</f>
        <v>Cc1ccc2ccc(N(C)Cc3ccc(-c4cccc(N=Cc5ccccn5)c4)nc3)cc2n1</v>
      </c>
      <c r="C20607" s="7">
        <f>IFERROR(__xludf.DUMMYFUNCTION("""COMPUTED_VALUE"""),7.7005286)</f>
        <v>7.7005286</v>
      </c>
      <c r="D20607" s="7">
        <f>IFERROR(__xludf.DUMMYFUNCTION("""COMPUTED_VALUE"""),0.318840579710144)</f>
        <v>0.3188405797</v>
      </c>
    </row>
    <row r="20608">
      <c r="A20608" s="10" t="s">
        <v>22047</v>
      </c>
      <c r="B20608" s="7" t="str">
        <f>IFERROR(__xludf.DUMMYFUNCTION("SPLIT(A20608,"" "")"),"Cc1cncc(CN(CN(C)c2cccc3ncccc23)c2cccc3ncccc23)c1C")</f>
        <v>Cc1cncc(CN(CN(C)c2cccc3ncccc23)c2cccc3ncccc23)c1C</v>
      </c>
      <c r="C20608" s="7">
        <f>IFERROR(__xludf.DUMMYFUNCTION("""COMPUTED_VALUE"""),7.7005258)</f>
        <v>7.7005258</v>
      </c>
      <c r="D20608" s="7">
        <f>IFERROR(__xludf.DUMMYFUNCTION("""COMPUTED_VALUE"""),0.358490566037735)</f>
        <v>0.358490566</v>
      </c>
    </row>
    <row r="20609">
      <c r="A20609" s="10" t="s">
        <v>22048</v>
      </c>
      <c r="B20609" s="7" t="str">
        <f>IFERROR(__xludf.DUMMYFUNCTION("SPLIT(A20609,"" "")"),"CCN(CC1=CCC=C(N(C)c2ccc3cccnc3c2)N1)c1ccc2cccnc2c1")</f>
        <v>CCN(CC1=CCC=C(N(C)c2ccc3cccnc3c2)N1)c1ccc2cccnc2c1</v>
      </c>
      <c r="C20609" s="7">
        <f>IFERROR(__xludf.DUMMYFUNCTION("""COMPUTED_VALUE"""),7.7005134)</f>
        <v>7.7005134</v>
      </c>
      <c r="D20609" s="7">
        <f>IFERROR(__xludf.DUMMYFUNCTION("""COMPUTED_VALUE"""),0.278688524590163)</f>
        <v>0.2786885246</v>
      </c>
    </row>
    <row r="20610">
      <c r="A20610" s="10" t="s">
        <v>22049</v>
      </c>
      <c r="B20610" s="7" t="str">
        <f>IFERROR(__xludf.DUMMYFUNCTION("SPLIT(A20610,"" "")"),"CCN(CC1=CCC(N(C)c2cccc3ncccc23)=CN1)c1cccc2cccnc12")</f>
        <v>CCN(CC1=CCC(N(C)c2cccc3ncccc23)=CN1)c1cccc2cccnc12</v>
      </c>
      <c r="C20610" s="7">
        <f>IFERROR(__xludf.DUMMYFUNCTION("""COMPUTED_VALUE"""),7.700453)</f>
        <v>7.700453</v>
      </c>
      <c r="D20610" s="7">
        <f>IFERROR(__xludf.DUMMYFUNCTION("""COMPUTED_VALUE"""),0.379310344827586)</f>
        <v>0.3793103448</v>
      </c>
    </row>
    <row r="20611">
      <c r="A20611" s="10" t="s">
        <v>22050</v>
      </c>
      <c r="B20611" s="7" t="str">
        <f>IFERROR(__xludf.DUMMYFUNCTION("SPLIT(A20611,"" "")"),"Cc1ccnc2ccc(N(C)CCN(C)c3ccc4nc5c(cc4c3)CCC5)cc12")</f>
        <v>Cc1ccnc2ccc(N(C)CCN(C)c3ccc4nc5c(cc4c3)CCC5)cc12</v>
      </c>
      <c r="C20611" s="7">
        <f>IFERROR(__xludf.DUMMYFUNCTION("""COMPUTED_VALUE"""),7.700451)</f>
        <v>7.700451</v>
      </c>
      <c r="D20611" s="7">
        <f>IFERROR(__xludf.DUMMYFUNCTION("""COMPUTED_VALUE"""),0.317460317460317)</f>
        <v>0.3174603175</v>
      </c>
    </row>
    <row r="20612">
      <c r="A20612" s="10" t="s">
        <v>22051</v>
      </c>
      <c r="B20612" s="7" t="str">
        <f>IFERROR(__xludf.DUMMYFUNCTION("SPLIT(A20612,"" "")"),"CN(CCN(C)c1cccc2nccc(CF)c12)c1cccc2ncccc12")</f>
        <v>CN(CCN(C)c1cccc2nccc(CF)c12)c1cccc2ncccc12</v>
      </c>
      <c r="C20612" s="7">
        <f>IFERROR(__xludf.DUMMYFUNCTION("""COMPUTED_VALUE"""),7.7003984)</f>
        <v>7.7003984</v>
      </c>
      <c r="D20612" s="7">
        <f>IFERROR(__xludf.DUMMYFUNCTION("""COMPUTED_VALUE"""),0.456521739130434)</f>
        <v>0.4565217391</v>
      </c>
    </row>
    <row r="20613">
      <c r="A20613" s="10" t="s">
        <v>22052</v>
      </c>
      <c r="B20613" s="7" t="str">
        <f>IFERROR(__xludf.DUMMYFUNCTION("SPLIT(A20613,"" "")"),"CN(C)Cc1ccc2cc(N(C)Cc3ccc(N(C)c4ccc5nc(CF)ccc5c4)cn3)ccc2n1")</f>
        <v>CN(C)Cc1ccc2cc(N(C)Cc3ccc(N(C)c4ccc5nc(CF)ccc5c4)cn3)ccc2n1</v>
      </c>
      <c r="C20613" s="7">
        <f>IFERROR(__xludf.DUMMYFUNCTION("""COMPUTED_VALUE"""),7.7003837)</f>
        <v>7.7003837</v>
      </c>
      <c r="D20613" s="7">
        <f>IFERROR(__xludf.DUMMYFUNCTION("""COMPUTED_VALUE"""),0.333333333333333)</f>
        <v>0.3333333333</v>
      </c>
    </row>
    <row r="20614">
      <c r="A20614" s="10" t="s">
        <v>22053</v>
      </c>
      <c r="B20614" s="7" t="str">
        <f>IFERROR(__xludf.DUMMYFUNCTION("SPLIT(A20614,"" "")"),"CN(C)Cc1cc2ncccc2cc1N(C)Cc1ccc2ncccc2c1")</f>
        <v>CN(C)Cc1cc2ncccc2cc1N(C)Cc1ccc2ncccc2c1</v>
      </c>
      <c r="C20614" s="7">
        <f>IFERROR(__xludf.DUMMYFUNCTION("""COMPUTED_VALUE"""),7.7003765)</f>
        <v>7.7003765</v>
      </c>
      <c r="D20614" s="7">
        <f>IFERROR(__xludf.DUMMYFUNCTION("""COMPUTED_VALUE"""),0.346938775510204)</f>
        <v>0.3469387755</v>
      </c>
    </row>
    <row r="20615">
      <c r="A20615" s="10" t="s">
        <v>22054</v>
      </c>
      <c r="B20615" s="7" t="str">
        <f>IFERROR(__xludf.DUMMYFUNCTION("SPLIT(A20615,"" "")"),"CN(Cc1ccccn1)Cc1nccc2cccc(N(C)Cc3ncccc3-c3cccc4cccnc34)c12")</f>
        <v>CN(Cc1ccccn1)Cc1nccc2cccc(N(C)Cc3ncccc3-c3cccc4cccnc34)c12</v>
      </c>
      <c r="C20615" s="7">
        <f>IFERROR(__xludf.DUMMYFUNCTION("""COMPUTED_VALUE"""),7.70032)</f>
        <v>7.70032</v>
      </c>
      <c r="D20615" s="7">
        <f>IFERROR(__xludf.DUMMYFUNCTION("""COMPUTED_VALUE"""),0.421052631578947)</f>
        <v>0.4210526316</v>
      </c>
    </row>
    <row r="20616">
      <c r="A20616" s="10" t="s">
        <v>22055</v>
      </c>
      <c r="B20616" s="7" t="str">
        <f>IFERROR(__xludf.DUMMYFUNCTION("SPLIT(A20616,"" "")"),"Cc1ccc2ccc(CN(C)c3ccc4nc(CN(C)C)ccc4c3)nc2c1")</f>
        <v>Cc1ccc2ccc(CN(C)c3ccc4nc(CN(C)C)ccc4c3)nc2c1</v>
      </c>
      <c r="C20616" s="7">
        <f>IFERROR(__xludf.DUMMYFUNCTION("""COMPUTED_VALUE"""),7.700309)</f>
        <v>7.700309</v>
      </c>
      <c r="D20616" s="7">
        <f>IFERROR(__xludf.DUMMYFUNCTION("""COMPUTED_VALUE"""),0.372093023255813)</f>
        <v>0.3720930233</v>
      </c>
    </row>
    <row r="20617">
      <c r="A20617" s="10" t="s">
        <v>22056</v>
      </c>
      <c r="B20617" s="7" t="str">
        <f>IFERROR(__xludf.DUMMYFUNCTION("SPLIT(A20617,"" "")"),"Cc1ccnc2cc(N(C)CCN(C)c3cccc4cc(CN(C)C)cnc34)ccc12")</f>
        <v>Cc1ccnc2cc(N(C)CCN(C)c3cccc4cc(CN(C)C)cnc34)ccc12</v>
      </c>
      <c r="C20617" s="7">
        <f>IFERROR(__xludf.DUMMYFUNCTION("""COMPUTED_VALUE"""),7.7003026)</f>
        <v>7.7003026</v>
      </c>
      <c r="D20617" s="7">
        <f>IFERROR(__xludf.DUMMYFUNCTION("""COMPUTED_VALUE"""),0.418181818181818)</f>
        <v>0.4181818182</v>
      </c>
    </row>
    <row r="20618">
      <c r="A20618" s="10" t="s">
        <v>22057</v>
      </c>
      <c r="B20618" s="7" t="str">
        <f>IFERROR(__xludf.DUMMYFUNCTION("SPLIT(A20618,"" "")"),"Cc1cc(C)c(N(C)c2ccc3ncccc3c2)cc1N(C)Cc1ncccc1C")</f>
        <v>Cc1cc(C)c(N(C)c2ccc3ncccc3c2)cc1N(C)Cc1ncccc1C</v>
      </c>
      <c r="C20618" s="7">
        <f>IFERROR(__xludf.DUMMYFUNCTION("""COMPUTED_VALUE"""),7.7002783)</f>
        <v>7.7002783</v>
      </c>
      <c r="D20618" s="7">
        <f>IFERROR(__xludf.DUMMYFUNCTION("""COMPUTED_VALUE"""),0.346153846153846)</f>
        <v>0.3461538462</v>
      </c>
    </row>
    <row r="20619">
      <c r="A20619" s="10" t="s">
        <v>22058</v>
      </c>
      <c r="B20619" s="7" t="str">
        <f>IFERROR(__xludf.DUMMYFUNCTION("SPLIT(A20619,"" "")"),"CNc1cccc2ncccc12")</f>
        <v>CNc1cccc2ncccc12</v>
      </c>
      <c r="C20619" s="7">
        <f>IFERROR(__xludf.DUMMYFUNCTION("""COMPUTED_VALUE"""),7.700241)</f>
        <v>7.700241</v>
      </c>
      <c r="D20619" s="7">
        <f>IFERROR(__xludf.DUMMYFUNCTION("""COMPUTED_VALUE"""),0.268292682926829)</f>
        <v>0.2682926829</v>
      </c>
    </row>
    <row r="20620">
      <c r="A20620" s="10" t="s">
        <v>22059</v>
      </c>
      <c r="B20620" s="7" t="str">
        <f>IFERROR(__xludf.DUMMYFUNCTION("SPLIT(A20620,"" "")"),"Cc1cccc2ccc(CN(C)c3cccc4ccc(CN(C)C)nc34)nc12")</f>
        <v>Cc1cccc2ccc(CN(C)c3cccc4ccc(CN(C)C)nc34)nc12</v>
      </c>
      <c r="C20620" s="7">
        <f>IFERROR(__xludf.DUMMYFUNCTION("""COMPUTED_VALUE"""),7.7001524)</f>
        <v>7.7001524</v>
      </c>
      <c r="D20620" s="7">
        <f>IFERROR(__xludf.DUMMYFUNCTION("""COMPUTED_VALUE"""),0.411764705882352)</f>
        <v>0.4117647059</v>
      </c>
    </row>
    <row r="20621">
      <c r="A20621" s="10" t="s">
        <v>22060</v>
      </c>
      <c r="B20621" s="7" t="str">
        <f>IFERROR(__xludf.DUMMYFUNCTION("SPLIT(A20621,"" "")"),"Cc1cccc2ccc(CN(C)c3ccc4nc(CN(C)C)ccc4c3)nc12")</f>
        <v>Cc1cccc2ccc(CN(C)c3ccc4nc(CN(C)C)ccc4c3)nc12</v>
      </c>
      <c r="C20621" s="7">
        <f>IFERROR(__xludf.DUMMYFUNCTION("""COMPUTED_VALUE"""),7.700133)</f>
        <v>7.700133</v>
      </c>
      <c r="D20621" s="7">
        <f>IFERROR(__xludf.DUMMYFUNCTION("""COMPUTED_VALUE"""),0.369565217391304)</f>
        <v>0.3695652174</v>
      </c>
    </row>
    <row r="20622">
      <c r="A20622" s="10" t="s">
        <v>22061</v>
      </c>
      <c r="B20622" s="7" t="str">
        <f>IFERROR(__xludf.DUMMYFUNCTION("SPLIT(A20622,"" "")"),"CN(C)C1=CCC=C(N(C)c2cccc3cccnc23)N1")</f>
        <v>CN(C)C1=CCC=C(N(C)c2cccc3cccnc23)N1</v>
      </c>
      <c r="C20622" s="7">
        <f>IFERROR(__xludf.DUMMYFUNCTION("""COMPUTED_VALUE"""),7.70009)</f>
        <v>7.70009</v>
      </c>
      <c r="D20622" s="7">
        <f>IFERROR(__xludf.DUMMYFUNCTION("""COMPUTED_VALUE"""),0.488372093023255)</f>
        <v>0.488372093</v>
      </c>
    </row>
    <row r="20623">
      <c r="A20623" s="10" t="s">
        <v>22062</v>
      </c>
      <c r="B20623" s="7" t="str">
        <f>IFERROR(__xludf.DUMMYFUNCTION("SPLIT(A20623,"" "")"),"Cc1cccnc1CN(C)Cc1nccc2cc(N(C)c3cccc4ncccc34)ccc12")</f>
        <v>Cc1cccnc1CN(C)Cc1nccc2cc(N(C)c3cccc4ncccc34)ccc12</v>
      </c>
      <c r="C20623" s="7">
        <f>IFERROR(__xludf.DUMMYFUNCTION("""COMPUTED_VALUE"""),7.7000775)</f>
        <v>7.7000775</v>
      </c>
      <c r="D20623" s="7">
        <f>IFERROR(__xludf.DUMMYFUNCTION("""COMPUTED_VALUE"""),0.288135593220339)</f>
        <v>0.2881355932</v>
      </c>
    </row>
    <row r="20624">
      <c r="A20624" s="10" t="s">
        <v>22063</v>
      </c>
      <c r="B20624" s="7" t="str">
        <f>IFERROR(__xludf.DUMMYFUNCTION("SPLIT(A20624,"" "")"),"CN(Cc1ccc2ncccc2c1)Cc1cc2cccnc2cc1N(C)Cc1ccc2ncccc2c1")</f>
        <v>CN(Cc1ccc2ncccc2c1)Cc1cc2cccnc2cc1N(C)Cc1ccc2ncccc2c1</v>
      </c>
      <c r="C20624" s="7">
        <f>IFERROR(__xludf.DUMMYFUNCTION("""COMPUTED_VALUE"""),7.7000036)</f>
        <v>7.7000036</v>
      </c>
      <c r="D20624" s="7">
        <f>IFERROR(__xludf.DUMMYFUNCTION("""COMPUTED_VALUE"""),0.38)</f>
        <v>0.38</v>
      </c>
    </row>
    <row r="20625">
      <c r="A20625" s="10" t="s">
        <v>22064</v>
      </c>
      <c r="B20625" s="7" t="str">
        <f>IFERROR(__xludf.DUMMYFUNCTION("SPLIT(A20625,"" "")"),"CNc1cccc2c(-c3cc(C)ccc3NCc3ccccn3)ccnc12")</f>
        <v>CNc1cccc2c(-c3cc(C)ccc3NCc3ccccn3)ccnc12</v>
      </c>
      <c r="C20625" s="7">
        <f>IFERROR(__xludf.DUMMYFUNCTION("""COMPUTED_VALUE"""),7.699999)</f>
        <v>7.699999</v>
      </c>
      <c r="D20625" s="7">
        <f>IFERROR(__xludf.DUMMYFUNCTION("""COMPUTED_VALUE"""),0.370967741935483)</f>
        <v>0.3709677419</v>
      </c>
    </row>
    <row r="20626">
      <c r="A20626" s="10" t="s">
        <v>22065</v>
      </c>
      <c r="B20626" s="7" t="str">
        <f>IFERROR(__xludf.DUMMYFUNCTION("SPLIT(A20626,"" "")"),"CCNc1ccc2nccc(-c3ccccc3N(C)C)c2c1")</f>
        <v>CCNc1ccc2nccc(-c3ccccc3N(C)C)c2c1</v>
      </c>
      <c r="C20626" s="7">
        <f>IFERROR(__xludf.DUMMYFUNCTION("""COMPUTED_VALUE"""),7.699995)</f>
        <v>7.699995</v>
      </c>
      <c r="D20626" s="7">
        <f>IFERROR(__xludf.DUMMYFUNCTION("""COMPUTED_VALUE"""),0.254545454545454)</f>
        <v>0.2545454545</v>
      </c>
    </row>
    <row r="20627">
      <c r="A20627" s="10" t="s">
        <v>22066</v>
      </c>
      <c r="B20627" s="7" t="str">
        <f>IFERROR(__xludf.DUMMYFUNCTION("SPLIT(A20627,"" "")"),"CN(CC1C=CNC=C1N(C)c1ccc2cccnc2c1)c1ccc2cccnc2c1")</f>
        <v>CN(CC1C=CNC=C1N(C)c1ccc2cccnc2c1)c1ccc2cccnc2c1</v>
      </c>
      <c r="C20627" s="7">
        <f>IFERROR(__xludf.DUMMYFUNCTION("""COMPUTED_VALUE"""),7.6999393)</f>
        <v>7.6999393</v>
      </c>
      <c r="D20627" s="7">
        <f>IFERROR(__xludf.DUMMYFUNCTION("""COMPUTED_VALUE"""),0.293103448275862)</f>
        <v>0.2931034483</v>
      </c>
    </row>
    <row r="20628">
      <c r="A20628" s="10" t="s">
        <v>22067</v>
      </c>
      <c r="B20628" s="7" t="str">
        <f>IFERROR(__xludf.DUMMYFUNCTION("SPLIT(A20628,"" "")"),"CCN(CC1=CCC(N(C)c2cccc3ncccc23)=CN1)c1cccc2ncccc12")</f>
        <v>CCN(CC1=CCC(N(C)c2cccc3ncccc23)=CN1)c1cccc2ncccc12</v>
      </c>
      <c r="C20628" s="7">
        <f>IFERROR(__xludf.DUMMYFUNCTION("""COMPUTED_VALUE"""),7.699913)</f>
        <v>7.699913</v>
      </c>
      <c r="D20628" s="7">
        <f>IFERROR(__xludf.DUMMYFUNCTION("""COMPUTED_VALUE"""),0.293103448275862)</f>
        <v>0.2931034483</v>
      </c>
    </row>
    <row r="20629">
      <c r="A20629" s="10" t="s">
        <v>22068</v>
      </c>
      <c r="B20629" s="7" t="str">
        <f>IFERROR(__xludf.DUMMYFUNCTION("SPLIT(A20629,"" "")"),"CNCc1ccc2nccc(-c3ccccc3N(C)C)c2c1")</f>
        <v>CNCc1ccc2nccc(-c3ccccc3N(C)C)c2c1</v>
      </c>
      <c r="C20629" s="7">
        <f>IFERROR(__xludf.DUMMYFUNCTION("""COMPUTED_VALUE"""),7.6999087)</f>
        <v>7.6999087</v>
      </c>
      <c r="D20629" s="7">
        <f>IFERROR(__xludf.DUMMYFUNCTION("""COMPUTED_VALUE"""),0.254545454545454)</f>
        <v>0.2545454545</v>
      </c>
    </row>
    <row r="20630">
      <c r="A20630" s="10" t="s">
        <v>22069</v>
      </c>
      <c r="B20630" s="7" t="str">
        <f>IFERROR(__xludf.DUMMYFUNCTION("SPLIT(A20630,"" "")"),"CN(C)Cc1ccc2ccc(N(C)Cc3cccc(N(C)c4ccc5nc(CF)ccc5c4)n3)cc2n1")</f>
        <v>CN(C)Cc1ccc2ccc(N(C)Cc3cccc(N(C)c4ccc5nc(CF)ccc5c4)n3)cc2n1</v>
      </c>
      <c r="C20630" s="7">
        <f>IFERROR(__xludf.DUMMYFUNCTION("""COMPUTED_VALUE"""),7.699901)</f>
        <v>7.699901</v>
      </c>
      <c r="D20630" s="7">
        <f>IFERROR(__xludf.DUMMYFUNCTION("""COMPUTED_VALUE"""),0.326923076923076)</f>
        <v>0.3269230769</v>
      </c>
    </row>
    <row r="20631">
      <c r="A20631" s="10" t="s">
        <v>22070</v>
      </c>
      <c r="B20631" s="7" t="str">
        <f>IFERROR(__xludf.DUMMYFUNCTION("SPLIT(A20631,"" "")"),"FCc1cccc(NCc2cccc(-c3cccc(-c4cccc(-c5cccc(-c6cccc(C(c7ccccn7)c7ccccn7)n6)n5)n4)n3)n2)n1")</f>
        <v>FCc1cccc(NCc2cccc(-c3cccc(-c4cccc(-c5cccc(-c6cccc(C(c7ccccn7)c7ccccn7)n6)n5)n4)n3)n2)n1</v>
      </c>
      <c r="C20631" s="7">
        <f>IFERROR(__xludf.DUMMYFUNCTION("""COMPUTED_VALUE"""),7.6998844)</f>
        <v>7.6998844</v>
      </c>
      <c r="D20631" s="7">
        <f>IFERROR(__xludf.DUMMYFUNCTION("""COMPUTED_VALUE"""),0.388888888888888)</f>
        <v>0.3888888889</v>
      </c>
    </row>
    <row r="20632">
      <c r="A20632" s="10" t="s">
        <v>22071</v>
      </c>
      <c r="B20632" s="7" t="str">
        <f>IFERROR(__xludf.DUMMYFUNCTION("SPLIT(A20632,"" "")"),"CN(Cc1cccc(-c2ccc(N=Cc3ccccn3)cc2)n1)c1ccc2cccnc2c1")</f>
        <v>CN(Cc1cccc(-c2ccc(N=Cc3ccccn3)cc2)n1)c1ccc2cccnc2c1</v>
      </c>
      <c r="C20632" s="7">
        <f>IFERROR(__xludf.DUMMYFUNCTION("""COMPUTED_VALUE"""),7.699859)</f>
        <v>7.699859</v>
      </c>
      <c r="D20632" s="7">
        <f>IFERROR(__xludf.DUMMYFUNCTION("""COMPUTED_VALUE"""),0.365079365079365)</f>
        <v>0.3650793651</v>
      </c>
    </row>
    <row r="20633">
      <c r="A20633" s="10" t="s">
        <v>22072</v>
      </c>
      <c r="B20633" s="7" t="str">
        <f>IFERROR(__xludf.DUMMYFUNCTION("SPLIT(A20633,"" "")"),"CN(C)c1cccc(-c2ccc(CN(C)c3cccc4nc(CF)ccc34)cn2)c1")</f>
        <v>CN(C)c1cccc(-c2ccc(CN(C)c3cccc4nc(CF)ccc34)cn2)c1</v>
      </c>
      <c r="C20633" s="7">
        <f>IFERROR(__xludf.DUMMYFUNCTION("""COMPUTED_VALUE"""),7.6998563)</f>
        <v>7.6998563</v>
      </c>
      <c r="D20633" s="7">
        <f>IFERROR(__xludf.DUMMYFUNCTION("""COMPUTED_VALUE"""),0.289855072463768)</f>
        <v>0.2898550725</v>
      </c>
    </row>
    <row r="20634">
      <c r="A20634" s="10" t="s">
        <v>22073</v>
      </c>
      <c r="B20634" s="7" t="str">
        <f>IFERROR(__xludf.DUMMYFUNCTION("SPLIT(A20634,"" "")"),"CN(C)c1ccc(-c2ccc(CN(C)c3cccc4cc(CF)cnc34)nc2)cc1")</f>
        <v>CN(C)c1ccc(-c2ccc(CN(C)c3cccc4cc(CF)cnc34)nc2)cc1</v>
      </c>
      <c r="C20634" s="7">
        <f>IFERROR(__xludf.DUMMYFUNCTION("""COMPUTED_VALUE"""),7.6998224)</f>
        <v>7.6998224</v>
      </c>
      <c r="D20634" s="7">
        <f>IFERROR(__xludf.DUMMYFUNCTION("""COMPUTED_VALUE"""),0.339285714285714)</f>
        <v>0.3392857143</v>
      </c>
    </row>
    <row r="20635">
      <c r="A20635" s="10" t="s">
        <v>22074</v>
      </c>
      <c r="B20635" s="7" t="str">
        <f>IFERROR(__xludf.DUMMYFUNCTION("SPLIT(A20635,"" "")"),"CN(CCN(Cc1ccc2ncccc2c1)c1ccc2ncccc2c1)c1ccc2ncccc2c1")</f>
        <v>CN(CCN(Cc1ccc2ncccc2c1)c1ccc2ncccc2c1)c1ccc2ncccc2c1</v>
      </c>
      <c r="C20635" s="7">
        <f>IFERROR(__xludf.DUMMYFUNCTION("""COMPUTED_VALUE"""),7.699789)</f>
        <v>7.699789</v>
      </c>
      <c r="D20635" s="7">
        <f>IFERROR(__xludf.DUMMYFUNCTION("""COMPUTED_VALUE"""),0.382978723404255)</f>
        <v>0.3829787234</v>
      </c>
    </row>
    <row r="20636">
      <c r="A20636" s="10" t="s">
        <v>22075</v>
      </c>
      <c r="B20636" s="7" t="str">
        <f>IFERROR(__xludf.DUMMYFUNCTION("SPLIT(A20636,"" "")"),"CN(Cc1ccon1)c1ccc2ncccc2c1")</f>
        <v>CN(Cc1ccon1)c1ccc2ncccc2c1</v>
      </c>
      <c r="C20636" s="7">
        <f>IFERROR(__xludf.DUMMYFUNCTION("""COMPUTED_VALUE"""),7.699782)</f>
        <v>7.699782</v>
      </c>
      <c r="D20636" s="7">
        <f>IFERROR(__xludf.DUMMYFUNCTION("""COMPUTED_VALUE"""),0.441860465116279)</f>
        <v>0.4418604651</v>
      </c>
    </row>
    <row r="20637">
      <c r="A20637" s="10" t="s">
        <v>22076</v>
      </c>
      <c r="B20637" s="7" t="str">
        <f>IFERROR(__xludf.DUMMYFUNCTION("SPLIT(A20637,"" "")"),"CN(C)Cc1ccc2cc(N(C)CCN(C)c3ccc4nc(-c5ccccn5)ccc4c3)ccc2n1")</f>
        <v>CN(C)Cc1ccc2cc(N(C)CCN(C)c3ccc4nc(-c5ccccn5)ccc4c3)ccc2n1</v>
      </c>
      <c r="C20637" s="7">
        <f>IFERROR(__xludf.DUMMYFUNCTION("""COMPUTED_VALUE"""),7.6997623)</f>
        <v>7.6997623</v>
      </c>
      <c r="D20637" s="7">
        <f>IFERROR(__xludf.DUMMYFUNCTION("""COMPUTED_VALUE"""),0.46)</f>
        <v>0.46</v>
      </c>
    </row>
    <row r="20638">
      <c r="A20638" s="10" t="s">
        <v>22077</v>
      </c>
      <c r="B20638" s="7" t="str">
        <f>IFERROR(__xludf.DUMMYFUNCTION("SPLIT(A20638,"" "")"),"CN(C)Cc1ncccc1-c1c(N)ccc2cccnc12")</f>
        <v>CN(C)Cc1ncccc1-c1c(N)ccc2cccnc12</v>
      </c>
      <c r="C20638" s="7">
        <f>IFERROR(__xludf.DUMMYFUNCTION("""COMPUTED_VALUE"""),7.69976)</f>
        <v>7.69976</v>
      </c>
      <c r="D20638" s="7">
        <f>IFERROR(__xludf.DUMMYFUNCTION("""COMPUTED_VALUE"""),0.404255319148936)</f>
        <v>0.4042553191</v>
      </c>
    </row>
    <row r="20639">
      <c r="A20639" s="10" t="s">
        <v>22078</v>
      </c>
      <c r="B20639" s="7" t="str">
        <f>IFERROR(__xludf.DUMMYFUNCTION("SPLIT(A20639,"" "")"),"Cc1ccc2ccc(N(C)Cc3ccc(-c4ccccc4N=Cc4ccccn4)nc3)cc2n1")</f>
        <v>Cc1ccc2ccc(N(C)Cc3ccc(-c4ccccc4N=Cc4ccccn4)nc3)cc2n1</v>
      </c>
      <c r="C20639" s="7">
        <f>IFERROR(__xludf.DUMMYFUNCTION("""COMPUTED_VALUE"""),7.699759)</f>
        <v>7.699759</v>
      </c>
      <c r="D20639" s="7">
        <f>IFERROR(__xludf.DUMMYFUNCTION("""COMPUTED_VALUE"""),0.369230769230769)</f>
        <v>0.3692307692</v>
      </c>
    </row>
    <row r="20640">
      <c r="A20640" s="10" t="s">
        <v>22079</v>
      </c>
      <c r="B20640" s="7" t="str">
        <f>IFERROR(__xludf.DUMMYFUNCTION("SPLIT(A20640,"" "")"),"Cc1ccnc2c(N(C)CCN(C)c3cccc4c(CN(C)C)nccc34)cccc12")</f>
        <v>Cc1ccnc2c(N(C)CCN(C)c3cccc4c(CN(C)C)nccc34)cccc12</v>
      </c>
      <c r="C20640" s="7">
        <f>IFERROR(__xludf.DUMMYFUNCTION("""COMPUTED_VALUE"""),7.699754)</f>
        <v>7.699754</v>
      </c>
      <c r="D20640" s="7">
        <f>IFERROR(__xludf.DUMMYFUNCTION("""COMPUTED_VALUE"""),0.456521739130434)</f>
        <v>0.4565217391</v>
      </c>
    </row>
    <row r="20641">
      <c r="A20641" s="10" t="s">
        <v>22080</v>
      </c>
      <c r="B20641" s="7" t="str">
        <f>IFERROR(__xludf.DUMMYFUNCTION("SPLIT(A20641,"" "")"),"CN(C)Cc1ccc2cccc(N(C)Cc3cccc(N(C)c4ccc5nc(CF)ccc5c4)n3)c2n1")</f>
        <v>CN(C)Cc1ccc2cccc(N(C)Cc3cccc(N(C)c4ccc5nc(CF)ccc5c4)n3)c2n1</v>
      </c>
      <c r="C20641" s="7">
        <f>IFERROR(__xludf.DUMMYFUNCTION("""COMPUTED_VALUE"""),7.6996827)</f>
        <v>7.6996827</v>
      </c>
      <c r="D20641" s="7">
        <f>IFERROR(__xludf.DUMMYFUNCTION("""COMPUTED_VALUE"""),0.419354838709677)</f>
        <v>0.4193548387</v>
      </c>
    </row>
    <row r="20642">
      <c r="A20642" s="10" t="s">
        <v>22081</v>
      </c>
      <c r="B20642" s="7" t="str">
        <f>IFERROR(__xludf.DUMMYFUNCTION("SPLIT(A20642,"" "")"),"CNc1cccc2c(-c3cccc(C)c3NCc3ccccn3)ccnc12")</f>
        <v>CNc1cccc2c(-c3cccc(C)c3NCc3ccccn3)ccnc12</v>
      </c>
      <c r="C20642" s="7">
        <f>IFERROR(__xludf.DUMMYFUNCTION("""COMPUTED_VALUE"""),7.6996794)</f>
        <v>7.6996794</v>
      </c>
      <c r="D20642" s="7">
        <f>IFERROR(__xludf.DUMMYFUNCTION("""COMPUTED_VALUE"""),0.4)</f>
        <v>0.4</v>
      </c>
    </row>
    <row r="20643">
      <c r="A20643" s="10" t="s">
        <v>22082</v>
      </c>
      <c r="B20643" s="7" t="str">
        <f>IFERROR(__xludf.DUMMYFUNCTION("SPLIT(A20643,"" "")"),"CC(C)N(Cc1ccccn1)c1ccc2nc(-c3ncccc3-c3ccc(N=Cc4ccccn4)cc3)ccc2c1")</f>
        <v>CC(C)N(Cc1ccccn1)c1ccc2nc(-c3ncccc3-c3ccc(N=Cc4ccccn4)cc3)ccc2c1</v>
      </c>
      <c r="C20643" s="7">
        <f>IFERROR(__xludf.DUMMYFUNCTION("""COMPUTED_VALUE"""),7.699665)</f>
        <v>7.699665</v>
      </c>
      <c r="D20643" s="7">
        <f>IFERROR(__xludf.DUMMYFUNCTION("""COMPUTED_VALUE"""),0.333333333333333)</f>
        <v>0.3333333333</v>
      </c>
    </row>
    <row r="20644">
      <c r="A20644" s="10" t="s">
        <v>22083</v>
      </c>
      <c r="B20644" s="7" t="str">
        <f>IFERROR(__xludf.DUMMYFUNCTION("SPLIT(A20644,"" "")"),"CN(C)Cc1ncccc1-c1cc2cccnc2cc1N")</f>
        <v>CN(C)Cc1ncccc1-c1cc2cccnc2cc1N</v>
      </c>
      <c r="C20644" s="7">
        <f>IFERROR(__xludf.DUMMYFUNCTION("""COMPUTED_VALUE"""),7.699594)</f>
        <v>7.699594</v>
      </c>
      <c r="D20644" s="7">
        <f>IFERROR(__xludf.DUMMYFUNCTION("""COMPUTED_VALUE"""),0.326530612244897)</f>
        <v>0.3265306122</v>
      </c>
    </row>
    <row r="20645">
      <c r="A20645" s="10" t="s">
        <v>22084</v>
      </c>
      <c r="B20645" s="7" t="str">
        <f>IFERROR(__xludf.DUMMYFUNCTION("SPLIT(A20645,"" "")"),"CN(Cc1cc(-c2cccc(N(C)C)c2)ccn1)Cc1ccnc2ccc(N(C)Cc3ccc4ncccc4c3)cc12")</f>
        <v>CN(Cc1cc(-c2cccc(N(C)C)c2)ccn1)Cc1ccnc2ccc(N(C)Cc3ccc4ncccc4c3)cc12</v>
      </c>
      <c r="C20645" s="7">
        <f>IFERROR(__xludf.DUMMYFUNCTION("""COMPUTED_VALUE"""),7.699569)</f>
        <v>7.699569</v>
      </c>
      <c r="D20645" s="7">
        <f>IFERROR(__xludf.DUMMYFUNCTION("""COMPUTED_VALUE"""),0.303030303030303)</f>
        <v>0.303030303</v>
      </c>
    </row>
    <row r="20646">
      <c r="A20646" s="10" t="s">
        <v>22085</v>
      </c>
      <c r="B20646" s="7" t="str">
        <f>IFERROR(__xludf.DUMMYFUNCTION("SPLIT(A20646,"" "")"),"CN(Cc1ccon1)c1ccc2cccnc2c1")</f>
        <v>CN(Cc1ccon1)c1ccc2cccnc2c1</v>
      </c>
      <c r="C20646" s="7">
        <f>IFERROR(__xludf.DUMMYFUNCTION("""COMPUTED_VALUE"""),7.699564)</f>
        <v>7.699564</v>
      </c>
      <c r="D20646" s="7">
        <f>IFERROR(__xludf.DUMMYFUNCTION("""COMPUTED_VALUE"""),0.431818181818181)</f>
        <v>0.4318181818</v>
      </c>
    </row>
    <row r="20647">
      <c r="A20647" s="10" t="s">
        <v>22086</v>
      </c>
      <c r="B20647" s="7" t="str">
        <f>IFERROR(__xludf.DUMMYFUNCTION("SPLIT(A20647,"" "")"),"CN(CC1=CC(N(C)c2ccc3nccc(CF)c3c2)C=CN1)c1ccc2ncccc2c1")</f>
        <v>CN(CC1=CC(N(C)c2ccc3nccc(CF)c3c2)C=CN1)c1ccc2ncccc2c1</v>
      </c>
      <c r="C20647" s="7">
        <f>IFERROR(__xludf.DUMMYFUNCTION("""COMPUTED_VALUE"""),7.699526)</f>
        <v>7.699526</v>
      </c>
      <c r="D20647" s="7">
        <f>IFERROR(__xludf.DUMMYFUNCTION("""COMPUTED_VALUE"""),0.267605633802816)</f>
        <v>0.2676056338</v>
      </c>
    </row>
    <row r="20648">
      <c r="A20648" s="10" t="s">
        <v>22087</v>
      </c>
      <c r="B20648" s="7" t="str">
        <f>IFERROR(__xludf.DUMMYFUNCTION("SPLIT(A20648,"" "")"),"CN(C)Cc1ccc2cc(N(C)CN(C)c3ccc4ncccc4c3)ccc2n1")</f>
        <v>CN(C)Cc1ccc2cc(N(C)CN(C)c3ccc4ncccc4c3)ccc2n1</v>
      </c>
      <c r="C20648" s="7">
        <f>IFERROR(__xludf.DUMMYFUNCTION("""COMPUTED_VALUE"""),7.6995187)</f>
        <v>7.6995187</v>
      </c>
      <c r="D20648" s="7">
        <f>IFERROR(__xludf.DUMMYFUNCTION("""COMPUTED_VALUE"""),0.416666666666666)</f>
        <v>0.4166666667</v>
      </c>
    </row>
    <row r="20649">
      <c r="A20649" s="10" t="s">
        <v>22088</v>
      </c>
      <c r="B20649" s="7" t="str">
        <f>IFERROR(__xludf.DUMMYFUNCTION("SPLIT(A20649,"" "")"),"CN(CC1=CC(N(C)c2ccc3ncccc3c2)C=CN1)c1ccc2nccc(CF)c2c1")</f>
        <v>CN(CC1=CC(N(C)c2ccc3ncccc3c2)C=CN1)c1ccc2nccc(CF)c2c1</v>
      </c>
      <c r="C20649" s="7">
        <f>IFERROR(__xludf.DUMMYFUNCTION("""COMPUTED_VALUE"""),7.6995177)</f>
        <v>7.6995177</v>
      </c>
      <c r="D20649" s="7">
        <f>IFERROR(__xludf.DUMMYFUNCTION("""COMPUTED_VALUE"""),0.267605633802816)</f>
        <v>0.2676056338</v>
      </c>
    </row>
    <row r="20650">
      <c r="A20650" s="10" t="s">
        <v>22089</v>
      </c>
      <c r="B20650" s="7" t="str">
        <f>IFERROR(__xludf.DUMMYFUNCTION("SPLIT(A20650,"" "")"),"CN(Cc1ccc(-c2cccc(N=Cc3ccccn3)c2)cn1)c1ccc2ncccc2c1")</f>
        <v>CN(Cc1ccc(-c2cccc(N=Cc3ccccn3)c2)cn1)c1ccc2ncccc2c1</v>
      </c>
      <c r="C20650" s="7">
        <f>IFERROR(__xludf.DUMMYFUNCTION("""COMPUTED_VALUE"""),7.699517)</f>
        <v>7.699517</v>
      </c>
      <c r="D20650" s="7">
        <f>IFERROR(__xludf.DUMMYFUNCTION("""COMPUTED_VALUE"""),0.318181818181818)</f>
        <v>0.3181818182</v>
      </c>
    </row>
    <row r="20651">
      <c r="A20651" s="10" t="s">
        <v>22090</v>
      </c>
      <c r="B20651" s="7" t="str">
        <f>IFERROR(__xludf.DUMMYFUNCTION("SPLIT(A20651,"" "")"),"CN(C1=CCC=CN1)c1cccc2ncccc12")</f>
        <v>CN(C1=CCC=CN1)c1cccc2ncccc12</v>
      </c>
      <c r="C20651" s="7">
        <f>IFERROR(__xludf.DUMMYFUNCTION("""COMPUTED_VALUE"""),7.699475)</f>
        <v>7.699475</v>
      </c>
      <c r="D20651" s="7">
        <f>IFERROR(__xludf.DUMMYFUNCTION("""COMPUTED_VALUE"""),0.345454545454545)</f>
        <v>0.3454545455</v>
      </c>
    </row>
    <row r="20652">
      <c r="A20652" s="10" t="s">
        <v>22091</v>
      </c>
      <c r="B20652" s="7" t="str">
        <f>IFERROR(__xludf.DUMMYFUNCTION("SPLIT(A20652,"" "")"),"CN(CC1=C(N(C)c2ccc3nc(CF)ccc3c2)CC=CN1)c1ccc2cccnc2c1")</f>
        <v>CN(CC1=C(N(C)c2ccc3nc(CF)ccc3c2)CC=CN1)c1ccc2cccnc2c1</v>
      </c>
      <c r="C20652" s="7">
        <f>IFERROR(__xludf.DUMMYFUNCTION("""COMPUTED_VALUE"""),7.6994624)</f>
        <v>7.6994624</v>
      </c>
      <c r="D20652" s="7">
        <f>IFERROR(__xludf.DUMMYFUNCTION("""COMPUTED_VALUE"""),0.303030303030303)</f>
        <v>0.303030303</v>
      </c>
    </row>
    <row r="20653">
      <c r="A20653" s="10" t="s">
        <v>22092</v>
      </c>
      <c r="B20653" s="7" t="str">
        <f>IFERROR(__xludf.DUMMYFUNCTION("SPLIT(A20653,"" "")"),"CN(C)C1=C(N(C)c2ccc3cccnc3c2)CC=CN1")</f>
        <v>CN(C)C1=C(N(C)c2ccc3cccnc3c2)CC=CN1</v>
      </c>
      <c r="C20653" s="7">
        <f>IFERROR(__xludf.DUMMYFUNCTION("""COMPUTED_VALUE"""),7.6994042)</f>
        <v>7.6994042</v>
      </c>
      <c r="D20653" s="7">
        <f>IFERROR(__xludf.DUMMYFUNCTION("""COMPUTED_VALUE"""),0.267857142857142)</f>
        <v>0.2678571429</v>
      </c>
    </row>
    <row r="20654">
      <c r="A20654" s="10" t="s">
        <v>22093</v>
      </c>
      <c r="B20654" s="7" t="str">
        <f>IFERROR(__xludf.DUMMYFUNCTION("SPLIT(A20654,"" "")"),"Cc1nc(-c2cccnc2)oc1C")</f>
        <v>Cc1nc(-c2cccnc2)oc1C</v>
      </c>
      <c r="C20654" s="7">
        <f>IFERROR(__xludf.DUMMYFUNCTION("""COMPUTED_VALUE"""),7.6993895)</f>
        <v>7.6993895</v>
      </c>
      <c r="D20654" s="7">
        <f>IFERROR(__xludf.DUMMYFUNCTION("""COMPUTED_VALUE"""),0.227272727272727)</f>
        <v>0.2272727273</v>
      </c>
    </row>
    <row r="20655">
      <c r="A20655" s="10" t="s">
        <v>22094</v>
      </c>
      <c r="B20655" s="7" t="str">
        <f>IFERROR(__xludf.DUMMYFUNCTION("SPLIT(A20655,"" "")"),"Cc1cccc2ccc(CN(C)c3ccc4ccc(CN(C)C)nc4c3)nc12")</f>
        <v>Cc1cccc2ccc(CN(C)c3ccc4ccc(CN(C)C)nc4c3)nc12</v>
      </c>
      <c r="C20655" s="7">
        <f>IFERROR(__xludf.DUMMYFUNCTION("""COMPUTED_VALUE"""),7.6993537)</f>
        <v>7.6993537</v>
      </c>
      <c r="D20655" s="7">
        <f>IFERROR(__xludf.DUMMYFUNCTION("""COMPUTED_VALUE"""),0.377777777777777)</f>
        <v>0.3777777778</v>
      </c>
    </row>
    <row r="20656">
      <c r="A20656" s="10" t="s">
        <v>22095</v>
      </c>
      <c r="B20656" s="7" t="str">
        <f>IFERROR(__xludf.DUMMYFUNCTION("SPLIT(A20656,"" "")"),"CN(Cc1ccccn1)c1cc(-c2cccnc2CN(Cc2ccccn2)Cc2cc(-c3ccc(N)c4cccnc34)ccn2)c2ncccc2c1")</f>
        <v>CN(Cc1ccccn1)c1cc(-c2cccnc2CN(Cc2ccccn2)Cc2cc(-c3ccc(N)c4cccnc34)ccn2)c2ncccc2c1</v>
      </c>
      <c r="C20656" s="7">
        <f>IFERROR(__xludf.DUMMYFUNCTION("""COMPUTED_VALUE"""),7.699345)</f>
        <v>7.699345</v>
      </c>
      <c r="D20656" s="7">
        <f>IFERROR(__xludf.DUMMYFUNCTION("""COMPUTED_VALUE"""),0.32258064516129)</f>
        <v>0.3225806452</v>
      </c>
    </row>
    <row r="20657">
      <c r="A20657" s="10" t="s">
        <v>22096</v>
      </c>
      <c r="B20657" s="7" t="str">
        <f>IFERROR(__xludf.DUMMYFUNCTION("SPLIT(A20657,"" "")"),"CN(C1=CNC(c2ccccn2)=CC1)c1ccc2ncccc2c1")</f>
        <v>CN(C1=CNC(c2ccccn2)=CC1)c1ccc2ncccc2c1</v>
      </c>
      <c r="C20657" s="7">
        <f>IFERROR(__xludf.DUMMYFUNCTION("""COMPUTED_VALUE"""),7.699329)</f>
        <v>7.699329</v>
      </c>
      <c r="D20657" s="7">
        <f>IFERROR(__xludf.DUMMYFUNCTION("""COMPUTED_VALUE"""),0.293103448275862)</f>
        <v>0.2931034483</v>
      </c>
    </row>
    <row r="20658">
      <c r="A20658" s="10" t="s">
        <v>22097</v>
      </c>
      <c r="B20658" s="7" t="str">
        <f>IFERROR(__xludf.DUMMYFUNCTION("SPLIT(A20658,"" "")"),"CNc1ccccc1-c1cc(-c2ccccc2N=Cc2ccccn2)ccn1")</f>
        <v>CNc1ccccc1-c1cc(-c2ccccc2N=Cc2ccccn2)ccn1</v>
      </c>
      <c r="C20658" s="7">
        <f>IFERROR(__xludf.DUMMYFUNCTION("""COMPUTED_VALUE"""),7.699302)</f>
        <v>7.699302</v>
      </c>
      <c r="D20658" s="7">
        <f>IFERROR(__xludf.DUMMYFUNCTION("""COMPUTED_VALUE"""),0.442307692307692)</f>
        <v>0.4423076923</v>
      </c>
    </row>
    <row r="20659">
      <c r="A20659" s="10" t="s">
        <v>22098</v>
      </c>
      <c r="B20659" s="7" t="str">
        <f>IFERROR(__xludf.DUMMYFUNCTION("SPLIT(A20659,"" "")"),"CN(CN(Cc1cccnn1)c1cccc2ncccc12)c1cccc2ncccc12")</f>
        <v>CN(CN(Cc1cccnn1)c1cccc2ncccc12)c1cccc2ncccc12</v>
      </c>
      <c r="C20659" s="7">
        <f>IFERROR(__xludf.DUMMYFUNCTION("""COMPUTED_VALUE"""),7.6992188)</f>
        <v>7.6992188</v>
      </c>
      <c r="D20659" s="7">
        <f>IFERROR(__xludf.DUMMYFUNCTION("""COMPUTED_VALUE"""),0.434782608695652)</f>
        <v>0.4347826087</v>
      </c>
    </row>
    <row r="20660">
      <c r="A20660" s="10" t="s">
        <v>22099</v>
      </c>
      <c r="B20660" s="7" t="str">
        <f>IFERROR(__xludf.DUMMYFUNCTION("SPLIT(A20660,"" "")"),"Cc1ccc(N(C)c2cccc3ncccc23)c(N(C)Cc2ccccn2)c1Cl")</f>
        <v>Cc1ccc(N(C)c2cccc3ncccc23)c(N(C)Cc2ccccn2)c1Cl</v>
      </c>
      <c r="C20660" s="7">
        <f>IFERROR(__xludf.DUMMYFUNCTION("""COMPUTED_VALUE"""),7.699217)</f>
        <v>7.699217</v>
      </c>
      <c r="D20660" s="7">
        <f>IFERROR(__xludf.DUMMYFUNCTION("""COMPUTED_VALUE"""),0.452830188679245)</f>
        <v>0.4528301887</v>
      </c>
    </row>
    <row r="20661">
      <c r="A20661" s="10" t="s">
        <v>22100</v>
      </c>
      <c r="B20661" s="7" t="str">
        <f>IFERROR(__xludf.DUMMYFUNCTION("SPLIT(A20661,"" "")"),"Cc1nc(-c2ccncc2)oc1C")</f>
        <v>Cc1nc(-c2ccncc2)oc1C</v>
      </c>
      <c r="C20661" s="7">
        <f>IFERROR(__xludf.DUMMYFUNCTION("""COMPUTED_VALUE"""),7.699216)</f>
        <v>7.699216</v>
      </c>
      <c r="D20661" s="7">
        <f>IFERROR(__xludf.DUMMYFUNCTION("""COMPUTED_VALUE"""),0.219512195121951)</f>
        <v>0.2195121951</v>
      </c>
    </row>
    <row r="20662">
      <c r="A20662" s="10" t="s">
        <v>22101</v>
      </c>
      <c r="B20662" s="7" t="str">
        <f>IFERROR(__xludf.DUMMYFUNCTION("SPLIT(A20662,"" "")"),"CNc1cc(Cl)c2ncccc2c1N(C)Cc1cc(F)ccn1")</f>
        <v>CNc1cc(Cl)c2ncccc2c1N(C)Cc1cc(F)ccn1</v>
      </c>
      <c r="C20662" s="7">
        <f>IFERROR(__xludf.DUMMYFUNCTION("""COMPUTED_VALUE"""),7.699115)</f>
        <v>7.699115</v>
      </c>
      <c r="D20662" s="7">
        <f>IFERROR(__xludf.DUMMYFUNCTION("""COMPUTED_VALUE"""),0.381818181818181)</f>
        <v>0.3818181818</v>
      </c>
    </row>
    <row r="20663">
      <c r="A20663" s="10" t="s">
        <v>22102</v>
      </c>
      <c r="B20663" s="7" t="str">
        <f>IFERROR(__xludf.DUMMYFUNCTION("SPLIT(A20663,"" "")"),"CN(CC1=CC(N(C)Cc2ccccn2)C=CN1)c1ccc2nccc(-c3ccc4ncccc4c3)c2c1")</f>
        <v>CN(CC1=CC(N(C)Cc2ccccn2)C=CN1)c1ccc2nccc(-c3ccc4ncccc4c3)c2c1</v>
      </c>
      <c r="C20663" s="7">
        <f>IFERROR(__xludf.DUMMYFUNCTION("""COMPUTED_VALUE"""),7.699112)</f>
        <v>7.699112</v>
      </c>
      <c r="D20663" s="7">
        <f>IFERROR(__xludf.DUMMYFUNCTION("""COMPUTED_VALUE"""),0.314285714285714)</f>
        <v>0.3142857143</v>
      </c>
    </row>
    <row r="20664">
      <c r="A20664" s="10" t="s">
        <v>22103</v>
      </c>
      <c r="B20664" s="7" t="str">
        <f>IFERROR(__xludf.DUMMYFUNCTION("SPLIT(A20664,"" "")"),"CN(Cc1ncccc1-c1cccc(N=Cc2ccccn2)c1)c1ccc2cccnc2c1")</f>
        <v>CN(Cc1ncccc1-c1cccc(N=Cc2ccccn2)c1)c1ccc2cccnc2c1</v>
      </c>
      <c r="C20664" s="7">
        <f>IFERROR(__xludf.DUMMYFUNCTION("""COMPUTED_VALUE"""),7.699037)</f>
        <v>7.699037</v>
      </c>
      <c r="D20664" s="7">
        <f>IFERROR(__xludf.DUMMYFUNCTION("""COMPUTED_VALUE"""),0.323076923076923)</f>
        <v>0.3230769231</v>
      </c>
    </row>
    <row r="20665">
      <c r="A20665" s="10" t="s">
        <v>22104</v>
      </c>
      <c r="B20665" s="7" t="str">
        <f>IFERROR(__xludf.DUMMYFUNCTION("SPLIT(A20665,"" "")"),"CNCc1cc2cccc(N(C)Cc3cc4cccc(C)c4cn3)c2cn1")</f>
        <v>CNCc1cc2cccc(N(C)Cc3cc4cccc(C)c4cn3)c2cn1</v>
      </c>
      <c r="C20665" s="7">
        <f>IFERROR(__xludf.DUMMYFUNCTION("""COMPUTED_VALUE"""),7.6990094)</f>
        <v>7.6990094</v>
      </c>
      <c r="D20665" s="7">
        <f>IFERROR(__xludf.DUMMYFUNCTION("""COMPUTED_VALUE"""),0.326923076923076)</f>
        <v>0.3269230769</v>
      </c>
    </row>
    <row r="20666">
      <c r="A20666" s="10" t="s">
        <v>22105</v>
      </c>
      <c r="B20666" s="7" t="str">
        <f>IFERROR(__xludf.DUMMYFUNCTION("SPLIT(A20666,"" "")"),"CCN(CC1=C(N(C)c2ccc3nccc(C)c3c2)CC=CN1)c1ccc2ncccc2c1")</f>
        <v>CCN(CC1=C(N(C)c2ccc3nccc(C)c3c2)CC=CN1)c1ccc2ncccc2c1</v>
      </c>
      <c r="C20666" s="7">
        <f>IFERROR(__xludf.DUMMYFUNCTION("""COMPUTED_VALUE"""),7.698967)</f>
        <v>7.698967</v>
      </c>
      <c r="D20666" s="7">
        <f>IFERROR(__xludf.DUMMYFUNCTION("""COMPUTED_VALUE"""),0.243243243243243)</f>
        <v>0.2432432432</v>
      </c>
    </row>
    <row r="20667">
      <c r="A20667" s="10" t="s">
        <v>22106</v>
      </c>
      <c r="B20667" s="7" t="str">
        <f>IFERROR(__xludf.DUMMYFUNCTION("SPLIT(A20667,"" "")"),"CN(C)C1=C(N(C)c2cccc3cccnc23)CC=CN1")</f>
        <v>CN(C)C1=C(N(C)c2cccc3cccnc23)CC=CN1</v>
      </c>
      <c r="C20667" s="7">
        <f>IFERROR(__xludf.DUMMYFUNCTION("""COMPUTED_VALUE"""),7.6989264)</f>
        <v>7.6989264</v>
      </c>
      <c r="D20667" s="7">
        <f>IFERROR(__xludf.DUMMYFUNCTION("""COMPUTED_VALUE"""),0.468085106382978)</f>
        <v>0.4680851064</v>
      </c>
    </row>
    <row r="20668">
      <c r="A20668" s="10" t="s">
        <v>22107</v>
      </c>
      <c r="B20668" s="7" t="str">
        <f>IFERROR(__xludf.DUMMYFUNCTION("SPLIT(A20668,"" "")"),"CC(C)Nc1ccc2nccc(CN(C)c3ccc4nccc(CN(C)C)c4c3)c2c1")</f>
        <v>CC(C)Nc1ccc2nccc(CN(C)c3ccc4nccc(CN(C)C)c4c3)c2c1</v>
      </c>
      <c r="C20668" s="7">
        <f>IFERROR(__xludf.DUMMYFUNCTION("""COMPUTED_VALUE"""),7.6989093)</f>
        <v>7.6989093</v>
      </c>
      <c r="D20668" s="7">
        <f>IFERROR(__xludf.DUMMYFUNCTION("""COMPUTED_VALUE"""),0.220338983050847)</f>
        <v>0.2203389831</v>
      </c>
    </row>
    <row r="20669">
      <c r="A20669" s="10" t="s">
        <v>22108</v>
      </c>
      <c r="B20669" s="7" t="str">
        <f>IFERROR(__xludf.DUMMYFUNCTION("SPLIT(A20669,"" "")"),"Cc1cnc(-c2ccccn2)o1")</f>
        <v>Cc1cnc(-c2ccccn2)o1</v>
      </c>
      <c r="C20669" s="7">
        <f>IFERROR(__xludf.DUMMYFUNCTION("""COMPUTED_VALUE"""),7.6988688)</f>
        <v>7.6988688</v>
      </c>
      <c r="D20669" s="7">
        <f>IFERROR(__xludf.DUMMYFUNCTION("""COMPUTED_VALUE"""),0.485714285714285)</f>
        <v>0.4857142857</v>
      </c>
    </row>
    <row r="20670">
      <c r="A20670" s="10" t="s">
        <v>22109</v>
      </c>
      <c r="B20670" s="7" t="str">
        <f>IFERROR(__xludf.DUMMYFUNCTION("SPLIT(A20670,"" "")"),"CN(CCN(C)c1ccc2nc3c(cc2c1)CCC3)c1ccc2nc(-c3ccccn3)ccc2c1")</f>
        <v>CN(CCN(C)c1ccc2nc3c(cc2c1)CCC3)c1ccc2nc(-c3ccccn3)ccc2c1</v>
      </c>
      <c r="C20670" s="7">
        <f>IFERROR(__xludf.DUMMYFUNCTION("""COMPUTED_VALUE"""),7.6988235)</f>
        <v>7.6988235</v>
      </c>
      <c r="D20670" s="7">
        <f>IFERROR(__xludf.DUMMYFUNCTION("""COMPUTED_VALUE"""),0.368421052631578)</f>
        <v>0.3684210526</v>
      </c>
    </row>
    <row r="20671">
      <c r="A20671" s="10" t="s">
        <v>22110</v>
      </c>
      <c r="B20671" s="7" t="str">
        <f>IFERROR(__xludf.DUMMYFUNCTION("SPLIT(A20671,"" "")"),"CN(Cc1cc(-c2cccc(N=Cc3ccccn3)c2)ccn1)c1ccc2ncccc2c1")</f>
        <v>CN(Cc1cc(-c2cccc(N=Cc3ccccn3)c2)ccn1)c1ccc2ncccc2c1</v>
      </c>
      <c r="C20671" s="7">
        <f>IFERROR(__xludf.DUMMYFUNCTION("""COMPUTED_VALUE"""),7.698779)</f>
        <v>7.698779</v>
      </c>
      <c r="D20671" s="7">
        <f>IFERROR(__xludf.DUMMYFUNCTION("""COMPUTED_VALUE"""),0.328125)</f>
        <v>0.328125</v>
      </c>
    </row>
    <row r="20672">
      <c r="A20672" s="10" t="s">
        <v>22111</v>
      </c>
      <c r="B20672" s="7" t="str">
        <f>IFERROR(__xludf.DUMMYFUNCTION("SPLIT(A20672,"" "")"),"CN(CCCN(C)c1ccc2nccc(-c3ccccn3)c2c1)c1ccc2nccc(CF)c2c1")</f>
        <v>CN(CCCN(C)c1ccc2nccc(-c3ccccn3)c2c1)c1ccc2nccc(CF)c2c1</v>
      </c>
      <c r="C20672" s="7">
        <f>IFERROR(__xludf.DUMMYFUNCTION("""COMPUTED_VALUE"""),7.698696)</f>
        <v>7.698696</v>
      </c>
      <c r="D20672" s="7">
        <f>IFERROR(__xludf.DUMMYFUNCTION("""COMPUTED_VALUE"""),0.3)</f>
        <v>0.3</v>
      </c>
    </row>
    <row r="20673">
      <c r="A20673" s="10" t="s">
        <v>22112</v>
      </c>
      <c r="B20673" s="7" t="str">
        <f>IFERROR(__xludf.DUMMYFUNCTION("SPLIT(A20673,"" "")"),"Cc1c(N(C)c2ccc3cccnc3c2)ccc(Cl)c1N(C)Cc1ccccn1")</f>
        <v>Cc1c(N(C)c2ccc3cccnc3c2)ccc(Cl)c1N(C)Cc1ccccn1</v>
      </c>
      <c r="C20673" s="7">
        <f>IFERROR(__xludf.DUMMYFUNCTION("""COMPUTED_VALUE"""),7.698668)</f>
        <v>7.698668</v>
      </c>
      <c r="D20673" s="7">
        <f>IFERROR(__xludf.DUMMYFUNCTION("""COMPUTED_VALUE"""),0.490566037735849)</f>
        <v>0.4905660377</v>
      </c>
    </row>
    <row r="20674">
      <c r="A20674" s="10" t="s">
        <v>22113</v>
      </c>
      <c r="B20674" s="7" t="str">
        <f>IFERROR(__xludf.DUMMYFUNCTION("SPLIT(A20674,"" "")"),"CN(Cc1ccccn1)c1cccc2nccc(C3=CCC=CN3)c12")</f>
        <v>CN(Cc1ccccn1)c1cccc2nccc(C3=CCC=CN3)c12</v>
      </c>
      <c r="C20674" s="7">
        <f>IFERROR(__xludf.DUMMYFUNCTION("""COMPUTED_VALUE"""),7.6986647)</f>
        <v>7.6986647</v>
      </c>
      <c r="D20674" s="7">
        <f>IFERROR(__xludf.DUMMYFUNCTION("""COMPUTED_VALUE"""),0.46551724137931)</f>
        <v>0.4655172414</v>
      </c>
    </row>
    <row r="20675">
      <c r="A20675" s="10" t="s">
        <v>22114</v>
      </c>
      <c r="B20675" s="7" t="str">
        <f>IFERROR(__xludf.DUMMYFUNCTION("SPLIT(A20675,"" "")"),"CN(Cc1ccc2ncccc2c1)Cc1nccc2cccc(N(C)Cc3ccc4ncccc4c3)c12")</f>
        <v>CN(Cc1ccc2ncccc2c1)Cc1nccc2cccc(N(C)Cc3ccc4ncccc4c3)c12</v>
      </c>
      <c r="C20675" s="7">
        <f>IFERROR(__xludf.DUMMYFUNCTION("""COMPUTED_VALUE"""),7.698663)</f>
        <v>7.698663</v>
      </c>
      <c r="D20675" s="7">
        <f>IFERROR(__xludf.DUMMYFUNCTION("""COMPUTED_VALUE"""),0.358490566037735)</f>
        <v>0.358490566</v>
      </c>
    </row>
    <row r="20676">
      <c r="A20676" s="10" t="s">
        <v>22115</v>
      </c>
      <c r="B20676" s="7" t="str">
        <f>IFERROR(__xludf.DUMMYFUNCTION("SPLIT(A20676,"" "")"),"CN(Cc1ccc2ncccc2c1)Cc1ccnc2ccc(N(C)Cc3ccc4ncccc4c3)cc12")</f>
        <v>CN(Cc1ccc2ncccc2c1)Cc1ccnc2ccc(N(C)Cc3ccc4ncccc4c3)cc12</v>
      </c>
      <c r="C20676" s="7">
        <f>IFERROR(__xludf.DUMMYFUNCTION("""COMPUTED_VALUE"""),7.6986127)</f>
        <v>7.6986127</v>
      </c>
      <c r="D20676" s="7">
        <f>IFERROR(__xludf.DUMMYFUNCTION("""COMPUTED_VALUE"""),0.358490566037735)</f>
        <v>0.358490566</v>
      </c>
    </row>
    <row r="20677">
      <c r="A20677" s="10" t="s">
        <v>22116</v>
      </c>
      <c r="B20677" s="7" t="str">
        <f>IFERROR(__xludf.DUMMYFUNCTION("SPLIT(A20677,"" "")"),"CN(Cc1ncccc1-c1cccc(N=Cc2ccccn2)c1)c1cccc2cccnc12")</f>
        <v>CN(Cc1ncccc1-c1cccc(N=Cc2ccccn2)c1)c1cccc2cccnc12</v>
      </c>
      <c r="C20677" s="7">
        <f>IFERROR(__xludf.DUMMYFUNCTION("""COMPUTED_VALUE"""),7.698589)</f>
        <v>7.698589</v>
      </c>
      <c r="D20677" s="7">
        <f>IFERROR(__xludf.DUMMYFUNCTION("""COMPUTED_VALUE"""),0.428571428571428)</f>
        <v>0.4285714286</v>
      </c>
    </row>
    <row r="20678">
      <c r="A20678" s="10" t="s">
        <v>22117</v>
      </c>
      <c r="B20678" s="7" t="str">
        <f>IFERROR(__xludf.DUMMYFUNCTION("SPLIT(A20678,"" "")"),"Cc1cccnc1CN(C)c1ccc2cccnc2c1-c1cc(N(C)Cc2ccccn2)ccn1")</f>
        <v>Cc1cccnc1CN(C)c1ccc2cccnc2c1-c1cc(N(C)Cc2ccccn2)ccn1</v>
      </c>
      <c r="C20678" s="7">
        <f>IFERROR(__xludf.DUMMYFUNCTION("""COMPUTED_VALUE"""),7.698583)</f>
        <v>7.698583</v>
      </c>
      <c r="D20678" s="7">
        <f>IFERROR(__xludf.DUMMYFUNCTION("""COMPUTED_VALUE"""),0.413793103448275)</f>
        <v>0.4137931034</v>
      </c>
    </row>
    <row r="20679">
      <c r="A20679" s="10" t="s">
        <v>22118</v>
      </c>
      <c r="B20679" s="7" t="str">
        <f>IFERROR(__xludf.DUMMYFUNCTION("SPLIT(A20679,"" "")"),"CC(C)N(Cc1ccccn1)c1ccc2nc(-c3cccc(-c4cccc(N(C)C)c4)n3)ccc2c1")</f>
        <v>CC(C)N(Cc1ccccn1)c1ccc2nc(-c3cccc(-c4cccc(N(C)C)c4)n3)ccc2c1</v>
      </c>
      <c r="C20679" s="7">
        <f>IFERROR(__xludf.DUMMYFUNCTION("""COMPUTED_VALUE"""),7.69854)</f>
        <v>7.69854</v>
      </c>
      <c r="D20679" s="7">
        <f>IFERROR(__xludf.DUMMYFUNCTION("""COMPUTED_VALUE"""),0.415384615384615)</f>
        <v>0.4153846154</v>
      </c>
    </row>
    <row r="20680">
      <c r="A20680" s="10" t="s">
        <v>22119</v>
      </c>
      <c r="B20680" s="7" t="str">
        <f>IFERROR(__xludf.DUMMYFUNCTION("SPLIT(A20680,"" "")"),"CN(Cc1cnc2c(N(C)Cc3ccccn3)cccc2c1)c1ccc2nccc(CF)c2c1")</f>
        <v>CN(Cc1cnc2c(N(C)Cc3ccccn3)cccc2c1)c1ccc2nccc(CF)c2c1</v>
      </c>
      <c r="C20680" s="7">
        <f>IFERROR(__xludf.DUMMYFUNCTION("""COMPUTED_VALUE"""),7.698487)</f>
        <v>7.698487</v>
      </c>
      <c r="D20680" s="7">
        <f>IFERROR(__xludf.DUMMYFUNCTION("""COMPUTED_VALUE"""),0.38095238095238)</f>
        <v>0.380952381</v>
      </c>
    </row>
    <row r="20681">
      <c r="A20681" s="10" t="s">
        <v>22120</v>
      </c>
      <c r="B20681" s="7" t="str">
        <f>IFERROR(__xludf.DUMMYFUNCTION("SPLIT(A20681,"" "")"),"CC(C)N(Cc1ccccn1)c1ccc2nc(-c3ccc(-c4cccc(N(C)C)c4)cn3)ccc2c1")</f>
        <v>CC(C)N(Cc1ccccn1)c1ccc2nc(-c3ccc(-c4cccc(N(C)C)c4)cn3)ccc2c1</v>
      </c>
      <c r="C20681" s="7">
        <f>IFERROR(__xludf.DUMMYFUNCTION("""COMPUTED_VALUE"""),7.698479)</f>
        <v>7.698479</v>
      </c>
      <c r="D20681" s="7">
        <f>IFERROR(__xludf.DUMMYFUNCTION("""COMPUTED_VALUE"""),0.387096774193548)</f>
        <v>0.3870967742</v>
      </c>
    </row>
    <row r="20682">
      <c r="A20682" s="10" t="s">
        <v>22121</v>
      </c>
      <c r="B20682" s="7" t="str">
        <f>IFERROR(__xludf.DUMMYFUNCTION("SPLIT(A20682,"" "")"),"CN(Cc1cc(-c2ccccc2N=Cc2ccccn2)ccn1)c1ccc2ncccc2c1")</f>
        <v>CN(Cc1cc(-c2ccccc2N=Cc2ccccn2)ccn1)c1ccc2ncccc2c1</v>
      </c>
      <c r="C20682" s="7">
        <f>IFERROR(__xludf.DUMMYFUNCTION("""COMPUTED_VALUE"""),7.698468)</f>
        <v>7.698468</v>
      </c>
      <c r="D20682" s="7">
        <f>IFERROR(__xludf.DUMMYFUNCTION("""COMPUTED_VALUE"""),0.370967741935483)</f>
        <v>0.3709677419</v>
      </c>
    </row>
    <row r="20683">
      <c r="A20683" s="10" t="s">
        <v>22122</v>
      </c>
      <c r="B20683" s="7" t="str">
        <f>IFERROR(__xludf.DUMMYFUNCTION("SPLIT(A20683,"" "")"),"CCN(Cc1ccccn1)c1cc2cccnc2cc1-c1c(-c2c(C)cccc2N=Cc2ccccn2)ccc(C)c1C")</f>
        <v>CCN(Cc1ccccn1)c1cc2cccnc2cc1-c1c(-c2c(C)cccc2N=Cc2ccccn2)ccc(C)c1C</v>
      </c>
      <c r="C20683" s="7">
        <f>IFERROR(__xludf.DUMMYFUNCTION("""COMPUTED_VALUE"""),7.6984344)</f>
        <v>7.6984344</v>
      </c>
      <c r="D20683" s="7">
        <f>IFERROR(__xludf.DUMMYFUNCTION("""COMPUTED_VALUE"""),0.461538461538461)</f>
        <v>0.4615384615</v>
      </c>
    </row>
    <row r="20684">
      <c r="A20684" s="10" t="s">
        <v>22123</v>
      </c>
      <c r="B20684" s="7" t="str">
        <f>IFERROR(__xludf.DUMMYFUNCTION("SPLIT(A20684,"" "")"),"CN(C)Cc1ncccc1-c1c(N)ccc2ncccc12")</f>
        <v>CN(C)Cc1ncccc1-c1c(N)ccc2ncccc12</v>
      </c>
      <c r="C20684" s="7">
        <f>IFERROR(__xludf.DUMMYFUNCTION("""COMPUTED_VALUE"""),7.698368)</f>
        <v>7.698368</v>
      </c>
      <c r="D20684" s="7">
        <f>IFERROR(__xludf.DUMMYFUNCTION("""COMPUTED_VALUE"""),0.28)</f>
        <v>0.28</v>
      </c>
    </row>
    <row r="20685">
      <c r="A20685" s="10" t="s">
        <v>22124</v>
      </c>
      <c r="B20685" s="7" t="str">
        <f>IFERROR(__xludf.DUMMYFUNCTION("SPLIT(A20685,"" "")"),"Cc1coc(-c2ccccn2)n1")</f>
        <v>Cc1coc(-c2ccccn2)n1</v>
      </c>
      <c r="C20685" s="7">
        <f>IFERROR(__xludf.DUMMYFUNCTION("""COMPUTED_VALUE"""),7.698232)</f>
        <v>7.698232</v>
      </c>
      <c r="D20685" s="7">
        <f>IFERROR(__xludf.DUMMYFUNCTION("""COMPUTED_VALUE"""),0.472222222222222)</f>
        <v>0.4722222222</v>
      </c>
    </row>
    <row r="20686">
      <c r="A20686" s="10" t="s">
        <v>22125</v>
      </c>
      <c r="B20686" s="7" t="str">
        <f>IFERROR(__xludf.DUMMYFUNCTION("SPLIT(A20686,"" "")"),"CN(C)c1ccccc1-c1ccncc1CN(C)c1ccc2nccc(CF)c2c1")</f>
        <v>CN(C)c1ccccc1-c1ccncc1CN(C)c1ccc2nccc(CF)c2c1</v>
      </c>
      <c r="C20686" s="7">
        <f>IFERROR(__xludf.DUMMYFUNCTION("""COMPUTED_VALUE"""),7.6982265)</f>
        <v>7.6982265</v>
      </c>
      <c r="D20686" s="7">
        <f>IFERROR(__xludf.DUMMYFUNCTION("""COMPUTED_VALUE"""),0.25)</f>
        <v>0.25</v>
      </c>
    </row>
    <row r="20687">
      <c r="A20687" s="10" t="s">
        <v>22126</v>
      </c>
      <c r="B20687" s="7" t="str">
        <f>IFERROR(__xludf.DUMMYFUNCTION("SPLIT(A20687,"" "")"),"CN(C)c1cccc(-c2cccc(CN(C)c3ccc4ncccc4c3)n2)c1")</f>
        <v>CN(C)c1cccc(-c2cccc(CN(C)c3ccc4ncccc4c3)n2)c1</v>
      </c>
      <c r="C20687" s="7">
        <f>IFERROR(__xludf.DUMMYFUNCTION("""COMPUTED_VALUE"""),7.6982193)</f>
        <v>7.6982193</v>
      </c>
      <c r="D20687" s="7">
        <f>IFERROR(__xludf.DUMMYFUNCTION("""COMPUTED_VALUE"""),0.423728813559322)</f>
        <v>0.4237288136</v>
      </c>
    </row>
    <row r="20688">
      <c r="A20688" s="10" t="s">
        <v>22127</v>
      </c>
      <c r="B20688" s="7" t="str">
        <f>IFERROR(__xludf.DUMMYFUNCTION("SPLIT(A20688,"" "")"),"CC(C)N(Cc1ccccn1)c1ccc2nc(-c3cccc(-c4ccc(N(C)C)cc4)n3)ccc2c1")</f>
        <v>CC(C)N(Cc1ccccn1)c1ccc2nc(-c3cccc(-c4ccc(N(C)C)cc4)n3)ccc2c1</v>
      </c>
      <c r="C20688" s="7">
        <f>IFERROR(__xludf.DUMMYFUNCTION("""COMPUTED_VALUE"""),7.698172)</f>
        <v>7.698172</v>
      </c>
      <c r="D20688" s="7">
        <f>IFERROR(__xludf.DUMMYFUNCTION("""COMPUTED_VALUE"""),0.421052631578947)</f>
        <v>0.4210526316</v>
      </c>
    </row>
    <row r="20689">
      <c r="A20689" s="10" t="s">
        <v>22128</v>
      </c>
      <c r="B20689" s="7" t="str">
        <f>IFERROR(__xludf.DUMMYFUNCTION("SPLIT(A20689,"" "")"),"CCN(C)c1ccc2nc(CN(C)c3ccc4ncccc4c3)ccc2c1")</f>
        <v>CCN(C)c1ccc2nc(CN(C)c3ccc4ncccc4c3)ccc2c1</v>
      </c>
      <c r="C20689" s="7">
        <f>IFERROR(__xludf.DUMMYFUNCTION("""COMPUTED_VALUE"""),7.698083)</f>
        <v>7.698083</v>
      </c>
      <c r="D20689" s="7">
        <f>IFERROR(__xludf.DUMMYFUNCTION("""COMPUTED_VALUE"""),0.416666666666666)</f>
        <v>0.4166666667</v>
      </c>
    </row>
    <row r="20690">
      <c r="A20690" s="10" t="s">
        <v>22129</v>
      </c>
      <c r="B20690" s="7" t="str">
        <f>IFERROR(__xludf.DUMMYFUNCTION("SPLIT(A20690,"" "")"),"CN(Cc1cc(-c2ccc(N=Cc3ccccn3)cc2)ccn1)c1ccc2ncccc2c1")</f>
        <v>CN(Cc1cc(-c2ccc(N=Cc3ccccn3)cc2)ccn1)c1ccc2ncccc2c1</v>
      </c>
      <c r="C20690" s="7">
        <f>IFERROR(__xludf.DUMMYFUNCTION("""COMPUTED_VALUE"""),7.698081)</f>
        <v>7.698081</v>
      </c>
      <c r="D20690" s="7">
        <f>IFERROR(__xludf.DUMMYFUNCTION("""COMPUTED_VALUE"""),0.32258064516129)</f>
        <v>0.3225806452</v>
      </c>
    </row>
    <row r="20691">
      <c r="A20691" s="10" t="s">
        <v>22130</v>
      </c>
      <c r="B20691" s="7" t="str">
        <f>IFERROR(__xludf.DUMMYFUNCTION("SPLIT(A20691,"" "")"),"CC(C)N(Cc1ccccn1)c1ccc2nccc(-c3ccc(-c4cccc(N=Cc5ccccn5)c4)cn3)c2c1")</f>
        <v>CC(C)N(Cc1ccccn1)c1ccc2nccc(-c3ccc(-c4cccc(N=Cc5ccccn5)c4)cn3)c2c1</v>
      </c>
      <c r="C20691" s="7">
        <f>IFERROR(__xludf.DUMMYFUNCTION("""COMPUTED_VALUE"""),7.698064)</f>
        <v>7.698064</v>
      </c>
      <c r="D20691" s="7">
        <f>IFERROR(__xludf.DUMMYFUNCTION("""COMPUTED_VALUE"""),0.314285714285714)</f>
        <v>0.3142857143</v>
      </c>
    </row>
    <row r="20692">
      <c r="A20692" s="10" t="s">
        <v>22131</v>
      </c>
      <c r="B20692" s="7" t="str">
        <f>IFERROR(__xludf.DUMMYFUNCTION("SPLIT(A20692,"" "")"),"CN(C)Cc1nccc2cc(N(C)Cc3ncccc3N(C)c3ccc4nc(CF)ccc4c3)ccc12")</f>
        <v>CN(C)Cc1nccc2cc(N(C)Cc3ncccc3N(C)c3ccc4nc(CF)ccc4c3)ccc12</v>
      </c>
      <c r="C20692" s="7">
        <f>IFERROR(__xludf.DUMMYFUNCTION("""COMPUTED_VALUE"""),7.697982)</f>
        <v>7.697982</v>
      </c>
      <c r="D20692" s="7">
        <f>IFERROR(__xludf.DUMMYFUNCTION("""COMPUTED_VALUE"""),0.285714285714285)</f>
        <v>0.2857142857</v>
      </c>
    </row>
    <row r="20693">
      <c r="A20693" s="10" t="s">
        <v>22132</v>
      </c>
      <c r="B20693" s="7" t="str">
        <f>IFERROR(__xludf.DUMMYFUNCTION("SPLIT(A20693,"" "")"),"Cc1ccnc2ccc(N(C)CCN(C)c3ccc4ncccc4c3)cc12")</f>
        <v>Cc1ccnc2ccc(N(C)CCN(C)c3ccc4ncccc4c3)cc12</v>
      </c>
      <c r="C20693" s="7">
        <f>IFERROR(__xludf.DUMMYFUNCTION("""COMPUTED_VALUE"""),7.6979766)</f>
        <v>7.6979766</v>
      </c>
      <c r="D20693" s="7">
        <f>IFERROR(__xludf.DUMMYFUNCTION("""COMPUTED_VALUE"""),0.391304347826087)</f>
        <v>0.3913043478</v>
      </c>
    </row>
    <row r="20694">
      <c r="A20694" s="10" t="s">
        <v>22133</v>
      </c>
      <c r="B20694" s="7" t="str">
        <f>IFERROR(__xludf.DUMMYFUNCTION("SPLIT(A20694,"" "")"),"CN(C)c1cccc(-c2ccc(CN(C)c3ccc4nccc(CF)c4c3)nc2)c1")</f>
        <v>CN(C)c1cccc(-c2ccc(CN(C)c3ccc4nccc(CF)c4c3)nc2)c1</v>
      </c>
      <c r="C20694" s="7">
        <f>IFERROR(__xludf.DUMMYFUNCTION("""COMPUTED_VALUE"""),7.697962)</f>
        <v>7.697962</v>
      </c>
      <c r="D20694" s="7">
        <f>IFERROR(__xludf.DUMMYFUNCTION("""COMPUTED_VALUE"""),0.269841269841269)</f>
        <v>0.2698412698</v>
      </c>
    </row>
    <row r="20695">
      <c r="A20695" s="10" t="s">
        <v>22134</v>
      </c>
      <c r="B20695" s="7" t="str">
        <f>IFERROR(__xludf.DUMMYFUNCTION("SPLIT(A20695,"" "")"),"CN(C)c1cccc(-c2cncc(CN(C)c3ccc4ncccc4c3)c2)c1")</f>
        <v>CN(C)c1cccc(-c2cncc(CN(C)c3ccc4ncccc4c3)c2)c1</v>
      </c>
      <c r="C20695" s="7">
        <f>IFERROR(__xludf.DUMMYFUNCTION("""COMPUTED_VALUE"""),7.6979585)</f>
        <v>7.6979585</v>
      </c>
      <c r="D20695" s="7">
        <f>IFERROR(__xludf.DUMMYFUNCTION("""COMPUTED_VALUE"""),0.303571428571428)</f>
        <v>0.3035714286</v>
      </c>
    </row>
    <row r="20696">
      <c r="A20696" s="10" t="s">
        <v>22135</v>
      </c>
      <c r="B20696" s="7" t="str">
        <f>IFERROR(__xludf.DUMMYFUNCTION("SPLIT(A20696,"" "")"),"CN(Cc1cc(-c2ccc(N=Cc3ccccn3)cc2)ccn1)c1ccc2cccnc2c1")</f>
        <v>CN(Cc1cc(-c2ccc(N=Cc3ccccn3)cc2)ccn1)c1ccc2cccnc2c1</v>
      </c>
      <c r="C20696" s="7">
        <f>IFERROR(__xludf.DUMMYFUNCTION("""COMPUTED_VALUE"""),7.6978607)</f>
        <v>7.6978607</v>
      </c>
      <c r="D20696" s="7">
        <f>IFERROR(__xludf.DUMMYFUNCTION("""COMPUTED_VALUE"""),0.333333333333333)</f>
        <v>0.3333333333</v>
      </c>
    </row>
    <row r="20697">
      <c r="A20697" s="10" t="s">
        <v>22136</v>
      </c>
      <c r="B20697" s="7" t="str">
        <f>IFERROR(__xludf.DUMMYFUNCTION("SPLIT(A20697,"" "")"),"CN(c1ccc2ncccc2c1)c1cc(-c2cccc(CN(C)C(C)(C)C)n2)cc2cccnc12")</f>
        <v>CN(c1ccc2ncccc2c1)c1cc(-c2cccc(CN(C)C(C)(C)C)n2)cc2cccnc12</v>
      </c>
      <c r="C20697" s="7">
        <f>IFERROR(__xludf.DUMMYFUNCTION("""COMPUTED_VALUE"""),7.6978087)</f>
        <v>7.6978087</v>
      </c>
      <c r="D20697" s="7">
        <f>IFERROR(__xludf.DUMMYFUNCTION("""COMPUTED_VALUE"""),0.338983050847457)</f>
        <v>0.3389830508</v>
      </c>
    </row>
    <row r="20698">
      <c r="A20698" s="10" t="s">
        <v>22137</v>
      </c>
      <c r="B20698" s="7" t="str">
        <f>IFERROR(__xludf.DUMMYFUNCTION("SPLIT(A20698,"" "")"),"Cc1ccnc2ccc(N(C)CCN(C)c3ccc4cccnc4c3)cc12")</f>
        <v>Cc1ccnc2ccc(N(C)CCN(C)c3ccc4cccnc4c3)cc12</v>
      </c>
      <c r="C20698" s="7">
        <f>IFERROR(__xludf.DUMMYFUNCTION("""COMPUTED_VALUE"""),7.69779)</f>
        <v>7.69779</v>
      </c>
      <c r="D20698" s="7">
        <f>IFERROR(__xludf.DUMMYFUNCTION("""COMPUTED_VALUE"""),0.375)</f>
        <v>0.375</v>
      </c>
    </row>
    <row r="20699">
      <c r="A20699" s="10" t="s">
        <v>22138</v>
      </c>
      <c r="B20699" s="7" t="str">
        <f>IFERROR(__xludf.DUMMYFUNCTION("SPLIT(A20699,"" "")"),"Cc1nc2ccccc2n1Cc1cc(C2=NC(C)(C)CO2)ccn1")</f>
        <v>Cc1nc2ccccc2n1Cc1cc(C2=NC(C)(C)CO2)ccn1</v>
      </c>
      <c r="C20699" s="7">
        <f>IFERROR(__xludf.DUMMYFUNCTION("""COMPUTED_VALUE"""),7.697739)</f>
        <v>7.697739</v>
      </c>
      <c r="D20699" s="7">
        <f>IFERROR(__xludf.DUMMYFUNCTION("""COMPUTED_VALUE"""),0.363636363636363)</f>
        <v>0.3636363636</v>
      </c>
    </row>
    <row r="20700">
      <c r="A20700" s="10" t="s">
        <v>22139</v>
      </c>
      <c r="B20700" s="7" t="str">
        <f>IFERROR(__xludf.DUMMYFUNCTION("SPLIT(A20700,"" "")"),"CNc1cccc(-c2cccc(-c3ccc(N=Cc4ccccn4)cc3)n2)n1")</f>
        <v>CNc1cccc(-c2cccc(-c3ccc(N=Cc4ccccn4)cc3)n2)n1</v>
      </c>
      <c r="C20700" s="7">
        <f>IFERROR(__xludf.DUMMYFUNCTION("""COMPUTED_VALUE"""),7.697673)</f>
        <v>7.697673</v>
      </c>
      <c r="D20700" s="7">
        <f>IFERROR(__xludf.DUMMYFUNCTION("""COMPUTED_VALUE"""),0.403846153846153)</f>
        <v>0.4038461538</v>
      </c>
    </row>
    <row r="20701">
      <c r="A20701" s="10" t="s">
        <v>22140</v>
      </c>
      <c r="B20701" s="7" t="str">
        <f>IFERROR(__xludf.DUMMYFUNCTION("SPLIT(A20701,"" "")"),"Cc1ccnc2ccc(N(C)CCN(C)c3ccc4nccc(CF)c4c3)cc12")</f>
        <v>Cc1ccnc2ccc(N(C)CCN(C)c3ccc4nccc(CF)c4c3)cc12</v>
      </c>
      <c r="C20701" s="7">
        <f>IFERROR(__xludf.DUMMYFUNCTION("""COMPUTED_VALUE"""),7.6976643)</f>
        <v>7.6976643</v>
      </c>
      <c r="D20701" s="7">
        <f>IFERROR(__xludf.DUMMYFUNCTION("""COMPUTED_VALUE"""),0.25)</f>
        <v>0.25</v>
      </c>
    </row>
    <row r="20702">
      <c r="A20702" s="10" t="s">
        <v>22141</v>
      </c>
      <c r="B20702" s="7" t="str">
        <f>IFERROR(__xludf.DUMMYFUNCTION("SPLIT(A20702,"" "")"),"CN(CC1=CC(N(C)c2ccc3ncccc3c2)C=CN1)c1ccc2ncccc2c1")</f>
        <v>CN(CC1=CC(N(C)c2ccc3ncccc3c2)C=CN1)c1ccc2ncccc2c1</v>
      </c>
      <c r="C20702" s="7">
        <f>IFERROR(__xludf.DUMMYFUNCTION("""COMPUTED_VALUE"""),7.6976476)</f>
        <v>7.6976476</v>
      </c>
      <c r="D20702" s="7">
        <f>IFERROR(__xludf.DUMMYFUNCTION("""COMPUTED_VALUE"""),0.316666666666666)</f>
        <v>0.3166666667</v>
      </c>
    </row>
    <row r="20703">
      <c r="A20703" s="10" t="s">
        <v>22142</v>
      </c>
      <c r="B20703" s="7" t="str">
        <f>IFERROR(__xludf.DUMMYFUNCTION("SPLIT(A20703,"" "")"),"CNCc1ccc2cccc(N(C)Cc3cccc(N(C)c4ccc5ncccc5c4)n3)c2n1")</f>
        <v>CNCc1ccc2cccc(N(C)Cc3cccc(N(C)c4ccc5ncccc5c4)n3)c2n1</v>
      </c>
      <c r="C20703" s="7">
        <f>IFERROR(__xludf.DUMMYFUNCTION("""COMPUTED_VALUE"""),7.6976447)</f>
        <v>7.6976447</v>
      </c>
      <c r="D20703" s="7">
        <f>IFERROR(__xludf.DUMMYFUNCTION("""COMPUTED_VALUE"""),0.372881355932203)</f>
        <v>0.3728813559</v>
      </c>
    </row>
    <row r="20704">
      <c r="A20704" s="10" t="s">
        <v>22143</v>
      </c>
      <c r="B20704" s="7" t="str">
        <f>IFERROR(__xludf.DUMMYFUNCTION("SPLIT(A20704,"" "")"),"Cc1cccnc1CN(C)c1ccc2cccnc2c1N(C)C")</f>
        <v>Cc1cccnc1CN(C)c1ccc2cccnc2c1N(C)C</v>
      </c>
      <c r="C20704" s="7">
        <f>IFERROR(__xludf.DUMMYFUNCTION("""COMPUTED_VALUE"""),7.697642)</f>
        <v>7.697642</v>
      </c>
      <c r="D20704" s="7">
        <f>IFERROR(__xludf.DUMMYFUNCTION("""COMPUTED_VALUE"""),0.444444444444444)</f>
        <v>0.4444444444</v>
      </c>
    </row>
    <row r="20705">
      <c r="A20705" s="10" t="s">
        <v>22144</v>
      </c>
      <c r="B20705" s="7" t="str">
        <f>IFERROR(__xludf.DUMMYFUNCTION("SPLIT(A20705,"" "")"),"CN(CC1=CC(N(C)c2ccc3cccnc3c2)C=CN1)c1ccc2ncccc2c1")</f>
        <v>CN(CC1=CC(N(C)c2ccc3cccnc3c2)C=CN1)c1ccc2ncccc2c1</v>
      </c>
      <c r="C20705" s="7">
        <f>IFERROR(__xludf.DUMMYFUNCTION("""COMPUTED_VALUE"""),7.6976247)</f>
        <v>7.6976247</v>
      </c>
      <c r="D20705" s="7">
        <f>IFERROR(__xludf.DUMMYFUNCTION("""COMPUTED_VALUE"""),0.296875)</f>
        <v>0.296875</v>
      </c>
    </row>
    <row r="20706">
      <c r="A20706" s="10" t="s">
        <v>22145</v>
      </c>
      <c r="B20706" s="7" t="str">
        <f>IFERROR(__xludf.DUMMYFUNCTION("SPLIT(A20706,"" "")"),"Cc1cnc2cccc(N(C)CCN(C)c3cccc4ncccc34)c2c1")</f>
        <v>Cc1cnc2cccc(N(C)CCN(C)c3cccc4ncccc34)c2c1</v>
      </c>
      <c r="C20706" s="7">
        <f>IFERROR(__xludf.DUMMYFUNCTION("""COMPUTED_VALUE"""),7.697622)</f>
        <v>7.697622</v>
      </c>
      <c r="D20706" s="7">
        <f>IFERROR(__xludf.DUMMYFUNCTION("""COMPUTED_VALUE"""),0.5)</f>
        <v>0.5</v>
      </c>
    </row>
    <row r="20707">
      <c r="A20707" s="10" t="s">
        <v>22146</v>
      </c>
      <c r="B20707" s="7" t="str">
        <f>IFERROR(__xludf.DUMMYFUNCTION("SPLIT(A20707,"" "")"),"CNc1ccc2nc(CN(C)c3ccc4nc(CF)ccc4c3)ccc2c1")</f>
        <v>CNc1ccc2nc(CN(C)c3ccc4nc(CF)ccc4c3)ccc2c1</v>
      </c>
      <c r="C20707" s="7">
        <f>IFERROR(__xludf.DUMMYFUNCTION("""COMPUTED_VALUE"""),7.6975813)</f>
        <v>7.6975813</v>
      </c>
      <c r="D20707" s="7">
        <f>IFERROR(__xludf.DUMMYFUNCTION("""COMPUTED_VALUE"""),0.319148936170212)</f>
        <v>0.3191489362</v>
      </c>
    </row>
    <row r="20708">
      <c r="A20708" s="10" t="s">
        <v>22147</v>
      </c>
      <c r="B20708" s="7" t="str">
        <f>IFERROR(__xludf.DUMMYFUNCTION("SPLIT(A20708,"" "")"),"Cc1ccc2cccnc2c1N(C)Cc1cc(-c2cccc(N=Cc3ccccn3)c2)ccn1")</f>
        <v>Cc1ccc2cccnc2c1N(C)Cc1cc(-c2cccc(N=Cc3ccccn3)c2)ccn1</v>
      </c>
      <c r="C20708" s="7">
        <f>IFERROR(__xludf.DUMMYFUNCTION("""COMPUTED_VALUE"""),7.6975417)</f>
        <v>7.6975417</v>
      </c>
      <c r="D20708" s="7">
        <f>IFERROR(__xludf.DUMMYFUNCTION("""COMPUTED_VALUE"""),0.353846153846153)</f>
        <v>0.3538461538</v>
      </c>
    </row>
    <row r="20709">
      <c r="A20709" s="10" t="s">
        <v>22148</v>
      </c>
      <c r="B20709" s="7" t="str">
        <f>IFERROR(__xludf.DUMMYFUNCTION("SPLIT(A20709,"" "")"),"CN(CC1=CC(N(C)c2ccc3ncccc3c2)C=CN1)c1ccc2cccnc2c1")</f>
        <v>CN(CC1=CC(N(C)c2ccc3ncccc3c2)C=CN1)c1ccc2cccnc2c1</v>
      </c>
      <c r="C20709" s="7">
        <f>IFERROR(__xludf.DUMMYFUNCTION("""COMPUTED_VALUE"""),7.697497)</f>
        <v>7.697497</v>
      </c>
      <c r="D20709" s="7">
        <f>IFERROR(__xludf.DUMMYFUNCTION("""COMPUTED_VALUE"""),0.296875)</f>
        <v>0.296875</v>
      </c>
    </row>
    <row r="20710">
      <c r="A20710" s="10" t="s">
        <v>22149</v>
      </c>
      <c r="B20710" s="7" t="str">
        <f>IFERROR(__xludf.DUMMYFUNCTION("SPLIT(A20710,"" "")"),"Cc1cccnc1CN(C)c1ccc2nc(CN(C)c3ccc4ncccc4c3)ccc2c1")</f>
        <v>Cc1cccnc1CN(C)c1ccc2nc(CN(C)c3ccc4ncccc4c3)ccc2c1</v>
      </c>
      <c r="C20710" s="7">
        <f>IFERROR(__xludf.DUMMYFUNCTION("""COMPUTED_VALUE"""),7.697481)</f>
        <v>7.697481</v>
      </c>
      <c r="D20710" s="7">
        <f>IFERROR(__xludf.DUMMYFUNCTION("""COMPUTED_VALUE"""),0.384615384615384)</f>
        <v>0.3846153846</v>
      </c>
    </row>
    <row r="20711">
      <c r="A20711" s="10" t="s">
        <v>22150</v>
      </c>
      <c r="B20711" s="7" t="str">
        <f>IFERROR(__xludf.DUMMYFUNCTION("SPLIT(A20711,"" "")"),"CN(CC1=CC(N(C)c2ccc3cccnc3c2)C=CN1)c1ccc2cccnc2c1")</f>
        <v>CN(CC1=CC(N(C)c2ccc3cccnc3c2)C=CN1)c1ccc2cccnc2c1</v>
      </c>
      <c r="C20711" s="7">
        <f>IFERROR(__xludf.DUMMYFUNCTION("""COMPUTED_VALUE"""),7.6974587)</f>
        <v>7.6974587</v>
      </c>
      <c r="D20711" s="7">
        <f>IFERROR(__xludf.DUMMYFUNCTION("""COMPUTED_VALUE"""),0.311475409836065)</f>
        <v>0.3114754098</v>
      </c>
    </row>
    <row r="20712">
      <c r="A20712" s="10" t="s">
        <v>22151</v>
      </c>
      <c r="B20712" s="7" t="str">
        <f>IFERROR(__xludf.DUMMYFUNCTION("SPLIT(A20712,"" "")"),"CN(C)c1cccc2ncccc12")</f>
        <v>CN(C)c1cccc2ncccc12</v>
      </c>
      <c r="C20712" s="7">
        <f>IFERROR(__xludf.DUMMYFUNCTION("""COMPUTED_VALUE"""),7.6974177)</f>
        <v>7.6974177</v>
      </c>
      <c r="D20712" s="7">
        <f>IFERROR(__xludf.DUMMYFUNCTION("""COMPUTED_VALUE"""),0.405405405405405)</f>
        <v>0.4054054054</v>
      </c>
    </row>
    <row r="20713">
      <c r="A20713" s="10" t="s">
        <v>22152</v>
      </c>
      <c r="B20713" s="7" t="str">
        <f>IFERROR(__xludf.DUMMYFUNCTION("SPLIT(A20713,"" "")"),"CNc1cccnc1-c1cccc(-c2cccc(N=Cc3ccccn3)c2)n1")</f>
        <v>CNc1cccnc1-c1cccc(-c2cccc(N=Cc3ccccn3)c2)n1</v>
      </c>
      <c r="C20713" s="7">
        <f>IFERROR(__xludf.DUMMYFUNCTION("""COMPUTED_VALUE"""),7.6973777)</f>
        <v>7.6973777</v>
      </c>
      <c r="D20713" s="7">
        <f>IFERROR(__xludf.DUMMYFUNCTION("""COMPUTED_VALUE"""),0.368421052631578)</f>
        <v>0.3684210526</v>
      </c>
    </row>
    <row r="20714">
      <c r="A20714" s="10" t="s">
        <v>22153</v>
      </c>
      <c r="B20714" s="7" t="str">
        <f>IFERROR(__xludf.DUMMYFUNCTION("SPLIT(A20714,"" "")"),"CNc1cccc(-c2cccc(-c3ccccc3N=Cc3ccccn3)n2)n1")</f>
        <v>CNc1cccc(-c2cccc(-c3ccccc3N=Cc3ccccn3)n2)n1</v>
      </c>
      <c r="C20714" s="7">
        <f>IFERROR(__xludf.DUMMYFUNCTION("""COMPUTED_VALUE"""),7.6973715)</f>
        <v>7.6973715</v>
      </c>
      <c r="D20714" s="7">
        <f>IFERROR(__xludf.DUMMYFUNCTION("""COMPUTED_VALUE"""),0.489795918367346)</f>
        <v>0.4897959184</v>
      </c>
    </row>
    <row r="20715">
      <c r="A20715" s="10" t="s">
        <v>22154</v>
      </c>
      <c r="B20715" s="7" t="str">
        <f>IFERROR(__xludf.DUMMYFUNCTION("SPLIT(A20715,"" "")"),"CN(C)Cc1cnc2ccc(N(C)CCN(C)c3ccc4cc(-c5ccccn5)cnc4c3)cc2c1")</f>
        <v>CN(C)Cc1cnc2ccc(N(C)CCN(C)c3ccc4cc(-c5ccccn5)cnc4c3)cc2c1</v>
      </c>
      <c r="C20715" s="7">
        <f>IFERROR(__xludf.DUMMYFUNCTION("""COMPUTED_VALUE"""),7.6972885)</f>
        <v>7.6972885</v>
      </c>
      <c r="D20715" s="7">
        <f>IFERROR(__xludf.DUMMYFUNCTION("""COMPUTED_VALUE"""),0.311475409836065)</f>
        <v>0.3114754098</v>
      </c>
    </row>
    <row r="20716">
      <c r="A20716" s="10" t="s">
        <v>22155</v>
      </c>
      <c r="B20716" s="7" t="str">
        <f>IFERROR(__xludf.DUMMYFUNCTION("SPLIT(A20716,"" "")"),"CN(C)c1cccc(-c2ccnc(CN(C)c3ccc4nccc(CF)c4c3)c2)c1")</f>
        <v>CN(C)c1cccc(-c2ccnc(CN(C)c3ccc4nccc(CF)c4c3)c2)c1</v>
      </c>
      <c r="C20716" s="7">
        <f>IFERROR(__xludf.DUMMYFUNCTION("""COMPUTED_VALUE"""),7.697234)</f>
        <v>7.697234</v>
      </c>
      <c r="D20716" s="7">
        <f>IFERROR(__xludf.DUMMYFUNCTION("""COMPUTED_VALUE"""),0.283333333333333)</f>
        <v>0.2833333333</v>
      </c>
    </row>
    <row r="20717">
      <c r="A20717" s="10" t="s">
        <v>22156</v>
      </c>
      <c r="B20717" s="7" t="str">
        <f>IFERROR(__xludf.DUMMYFUNCTION("SPLIT(A20717,"" "")"),"Cc1ccc2c(CN(C)c3cccc4cc(CN(C)C)cnc34)nccc2c1")</f>
        <v>Cc1ccc2c(CN(C)c3cccc4cc(CN(C)C)cnc34)nccc2c1</v>
      </c>
      <c r="C20717" s="7">
        <f>IFERROR(__xludf.DUMMYFUNCTION("""COMPUTED_VALUE"""),7.6972294)</f>
        <v>7.6972294</v>
      </c>
      <c r="D20717" s="7">
        <f>IFERROR(__xludf.DUMMYFUNCTION("""COMPUTED_VALUE"""),0.363636363636363)</f>
        <v>0.3636363636</v>
      </c>
    </row>
    <row r="20718">
      <c r="A20718" s="10" t="s">
        <v>22157</v>
      </c>
      <c r="B20718" s="7" t="str">
        <f>IFERROR(__xludf.DUMMYFUNCTION("SPLIT(A20718,"" "")"),"CN(C)Cc1cnc2cc(N(C)CCN(C)c3ccc4cc(-c5ccccn5)cnc4c3)ccc2c1")</f>
        <v>CN(C)Cc1cnc2cc(N(C)CCN(C)c3ccc4cc(-c5ccccn5)cnc4c3)ccc2c1</v>
      </c>
      <c r="C20718" s="7">
        <f>IFERROR(__xludf.DUMMYFUNCTION("""COMPUTED_VALUE"""),7.6972175)</f>
        <v>7.6972175</v>
      </c>
      <c r="D20718" s="7">
        <f>IFERROR(__xludf.DUMMYFUNCTION("""COMPUTED_VALUE"""),0.333333333333333)</f>
        <v>0.3333333333</v>
      </c>
    </row>
    <row r="20719">
      <c r="A20719" s="10" t="s">
        <v>22158</v>
      </c>
      <c r="B20719" s="7" t="str">
        <f>IFERROR(__xludf.DUMMYFUNCTION("SPLIT(A20719,"" "")"),"CN(Cc1ccccn1)c1ccc2nccc(-c3ccccc3N=Cc3ccccn3)c2c1")</f>
        <v>CN(Cc1ccccn1)c1ccc2nccc(-c3ccccc3N=Cc3ccccn3)c2c1</v>
      </c>
      <c r="C20719" s="7">
        <f>IFERROR(__xludf.DUMMYFUNCTION("""COMPUTED_VALUE"""),7.697211)</f>
        <v>7.697211</v>
      </c>
      <c r="D20719" s="7">
        <f>IFERROR(__xludf.DUMMYFUNCTION("""COMPUTED_VALUE"""),0.383333333333333)</f>
        <v>0.3833333333</v>
      </c>
    </row>
    <row r="20720">
      <c r="A20720" s="10" t="s">
        <v>22159</v>
      </c>
      <c r="B20720" s="7" t="str">
        <f>IFERROR(__xludf.DUMMYFUNCTION("SPLIT(A20720,"" "")"),"Cc1ccnc2ccc(N(C)CCN(C)c3ccc4ncc5c(c4c3)CCC5)cc12")</f>
        <v>Cc1ccnc2ccc(N(C)CCN(C)c3ccc4ncc5c(c4c3)CCC5)cc12</v>
      </c>
      <c r="C20720" s="7">
        <f>IFERROR(__xludf.DUMMYFUNCTION("""COMPUTED_VALUE"""),7.6972046)</f>
        <v>7.6972046</v>
      </c>
      <c r="D20720" s="7">
        <f>IFERROR(__xludf.DUMMYFUNCTION("""COMPUTED_VALUE"""),0.236363636363636)</f>
        <v>0.2363636364</v>
      </c>
    </row>
    <row r="20721">
      <c r="A20721" s="10" t="s">
        <v>22160</v>
      </c>
      <c r="B20721" s="7" t="str">
        <f>IFERROR(__xludf.DUMMYFUNCTION("SPLIT(A20721,"" "")"),"Cc1cnccc1CN(C)c1c(Cl)cc(N(C)Cc2cccc(-c3cccc(N)c3)n2)c2ncccc12")</f>
        <v>Cc1cnccc1CN(C)c1c(Cl)cc(N(C)Cc2cccc(-c3cccc(N)c3)n2)c2ncccc12</v>
      </c>
      <c r="C20721" s="7">
        <f>IFERROR(__xludf.DUMMYFUNCTION("""COMPUTED_VALUE"""),7.697106)</f>
        <v>7.697106</v>
      </c>
      <c r="D20721" s="7">
        <f>IFERROR(__xludf.DUMMYFUNCTION("""COMPUTED_VALUE"""),0.338235294117647)</f>
        <v>0.3382352941</v>
      </c>
    </row>
    <row r="20722">
      <c r="A20722" s="10" t="s">
        <v>22161</v>
      </c>
      <c r="B20722" s="7" t="str">
        <f>IFERROR(__xludf.DUMMYFUNCTION("SPLIT(A20722,"" "")"),"Cc1ccnc2cc(N(C)CCN(C)c3ccc4ncccc4c3)ccc12")</f>
        <v>Cc1ccnc2cc(N(C)CCN(C)c3ccc4ncccc4c3)ccc12</v>
      </c>
      <c r="C20722" s="7">
        <f>IFERROR(__xludf.DUMMYFUNCTION("""COMPUTED_VALUE"""),7.6970916)</f>
        <v>7.6970916</v>
      </c>
      <c r="D20722" s="7">
        <f>IFERROR(__xludf.DUMMYFUNCTION("""COMPUTED_VALUE"""),0.382978723404255)</f>
        <v>0.3829787234</v>
      </c>
    </row>
    <row r="20723">
      <c r="A20723" s="10" t="s">
        <v>22162</v>
      </c>
      <c r="B20723" s="7" t="str">
        <f>IFERROR(__xludf.DUMMYFUNCTION("SPLIT(A20723,"" "")"),"CC(C)N(C)c1ccc2nccc(CN(C)c3ccc4ncccc4c3)c2c1")</f>
        <v>CC(C)N(C)c1ccc2nccc(CN(C)c3ccc4ncccc4c3)c2c1</v>
      </c>
      <c r="C20723" s="7">
        <f>IFERROR(__xludf.DUMMYFUNCTION("""COMPUTED_VALUE"""),7.6970196)</f>
        <v>7.6970196</v>
      </c>
      <c r="D20723" s="7">
        <f>IFERROR(__xludf.DUMMYFUNCTION("""COMPUTED_VALUE"""),0.333333333333333)</f>
        <v>0.3333333333</v>
      </c>
    </row>
    <row r="20724">
      <c r="A20724" s="10" t="s">
        <v>22163</v>
      </c>
      <c r="B20724" s="7" t="str">
        <f>IFERROR(__xludf.DUMMYFUNCTION("SPLIT(A20724,"" "")"),"CNCc1cc(-c2cc(N=Cc3ccccn3)cc3cccnc23)ccn1")</f>
        <v>CNCc1cc(-c2cc(N=Cc3ccccn3)cc3cccnc23)ccn1</v>
      </c>
      <c r="C20724" s="7">
        <f>IFERROR(__xludf.DUMMYFUNCTION("""COMPUTED_VALUE"""),7.6970162)</f>
        <v>7.6970162</v>
      </c>
      <c r="D20724" s="7">
        <f>IFERROR(__xludf.DUMMYFUNCTION("""COMPUTED_VALUE"""),0.327868852459016)</f>
        <v>0.3278688525</v>
      </c>
    </row>
    <row r="20725">
      <c r="A20725" s="10" t="s">
        <v>22164</v>
      </c>
      <c r="B20725" s="7" t="str">
        <f>IFERROR(__xludf.DUMMYFUNCTION("SPLIT(A20725,"" "")"),"CC(C)N(C)c1ccc2c(CN(C)c3ccc4ncccc4c3)ccnc2c1")</f>
        <v>CC(C)N(C)c1ccc2c(CN(C)c3ccc4ncccc4c3)ccnc2c1</v>
      </c>
      <c r="C20725" s="7">
        <f>IFERROR(__xludf.DUMMYFUNCTION("""COMPUTED_VALUE"""),7.696959)</f>
        <v>7.696959</v>
      </c>
      <c r="D20725" s="7">
        <f>IFERROR(__xludf.DUMMYFUNCTION("""COMPUTED_VALUE"""),0.333333333333333)</f>
        <v>0.3333333333</v>
      </c>
    </row>
    <row r="20726">
      <c r="A20726" s="10" t="s">
        <v>22165</v>
      </c>
      <c r="B20726" s="7" t="str">
        <f>IFERROR(__xludf.DUMMYFUNCTION("SPLIT(A20726,"" "")"),"CC(C)N(Cc1ccccn1)c1cc(N(C)c2cccc3nc(CF)ccc23)c2cccnc2c1")</f>
        <v>CC(C)N(Cc1ccccn1)c1cc(N(C)c2cccc3nc(CF)ccc23)c2cccnc2c1</v>
      </c>
      <c r="C20726" s="7">
        <f>IFERROR(__xludf.DUMMYFUNCTION("""COMPUTED_VALUE"""),7.696928)</f>
        <v>7.696928</v>
      </c>
      <c r="D20726" s="7">
        <f>IFERROR(__xludf.DUMMYFUNCTION("""COMPUTED_VALUE"""),0.349206349206349)</f>
        <v>0.3492063492</v>
      </c>
    </row>
    <row r="20727">
      <c r="A20727" s="10" t="s">
        <v>22166</v>
      </c>
      <c r="B20727" s="7" t="str">
        <f>IFERROR(__xludf.DUMMYFUNCTION("SPLIT(A20727,"" "")"),"Cc1ccnc2cc(N(C)CCN(C)c3ccc4cccnc4c3)ccc12")</f>
        <v>Cc1ccnc2cc(N(C)CCN(C)c3ccc4cccnc4c3)ccc12</v>
      </c>
      <c r="C20727" s="7">
        <f>IFERROR(__xludf.DUMMYFUNCTION("""COMPUTED_VALUE"""),7.696911)</f>
        <v>7.696911</v>
      </c>
      <c r="D20727" s="7">
        <f>IFERROR(__xludf.DUMMYFUNCTION("""COMPUTED_VALUE"""),0.382978723404255)</f>
        <v>0.3829787234</v>
      </c>
    </row>
    <row r="20728">
      <c r="A20728" s="10" t="s">
        <v>22167</v>
      </c>
      <c r="B20728" s="7" t="str">
        <f>IFERROR(__xludf.DUMMYFUNCTION("SPLIT(A20728,"" "")"),"Cc1ccnc2ccc(N(C)Cc3ccc(-c4cccc(N=Cc5ccccn5)c4)cn3)cc12")</f>
        <v>Cc1ccnc2ccc(N(C)Cc3ccc(-c4cccc(N=Cc5ccccn5)c4)cn3)cc12</v>
      </c>
      <c r="C20728" s="7">
        <f>IFERROR(__xludf.DUMMYFUNCTION("""COMPUTED_VALUE"""),7.6968846)</f>
        <v>7.6968846</v>
      </c>
      <c r="D20728" s="7">
        <f>IFERROR(__xludf.DUMMYFUNCTION("""COMPUTED_VALUE"""),0.338235294117647)</f>
        <v>0.3382352941</v>
      </c>
    </row>
    <row r="20729">
      <c r="A20729" s="10" t="s">
        <v>22168</v>
      </c>
      <c r="B20729" s="7" t="str">
        <f>IFERROR(__xludf.DUMMYFUNCTION("SPLIT(A20729,"" "")"),"CC(C)N(C)c1ccc2c(CN(C)c3ccc4cccnc4c3)ccnc2c1")</f>
        <v>CC(C)N(C)c1ccc2c(CN(C)c3ccc4cccnc4c3)ccnc2c1</v>
      </c>
      <c r="C20729" s="7">
        <f>IFERROR(__xludf.DUMMYFUNCTION("""COMPUTED_VALUE"""),7.6968336)</f>
        <v>7.6968336</v>
      </c>
      <c r="D20729" s="7">
        <f>IFERROR(__xludf.DUMMYFUNCTION("""COMPUTED_VALUE"""),0.333333333333333)</f>
        <v>0.3333333333</v>
      </c>
    </row>
    <row r="20730">
      <c r="A20730" s="10" t="s">
        <v>22169</v>
      </c>
      <c r="B20730" s="7" t="str">
        <f>IFERROR(__xludf.DUMMYFUNCTION("SPLIT(A20730,"" "")"),"CNc1cccnc1-c1cccc(-c2ccc(N=Cc3ccccn3)cc2)n1")</f>
        <v>CNc1cccnc1-c1cccc(-c2ccc(N=Cc3ccccn3)cc2)n1</v>
      </c>
      <c r="C20730" s="7">
        <f>IFERROR(__xludf.DUMMYFUNCTION("""COMPUTED_VALUE"""),7.696748)</f>
        <v>7.696748</v>
      </c>
      <c r="D20730" s="7">
        <f>IFERROR(__xludf.DUMMYFUNCTION("""COMPUTED_VALUE"""),0.381818181818181)</f>
        <v>0.3818181818</v>
      </c>
    </row>
    <row r="20731">
      <c r="A20731" s="10" t="s">
        <v>22170</v>
      </c>
      <c r="B20731" s="7" t="str">
        <f>IFERROR(__xludf.DUMMYFUNCTION("SPLIT(A20731,"" "")"),"CNc1nc2ccccc2n1Cc1nc(C)cc(C)c1C")</f>
        <v>CNc1nc2ccccc2n1Cc1nc(C)cc(C)c1C</v>
      </c>
      <c r="C20731" s="7">
        <f>IFERROR(__xludf.DUMMYFUNCTION("""COMPUTED_VALUE"""),7.6967072)</f>
        <v>7.6967072</v>
      </c>
      <c r="D20731" s="7">
        <f>IFERROR(__xludf.DUMMYFUNCTION("""COMPUTED_VALUE"""),0.296296296296296)</f>
        <v>0.2962962963</v>
      </c>
    </row>
    <row r="20732">
      <c r="A20732" s="10" t="s">
        <v>22171</v>
      </c>
      <c r="B20732" s="7" t="str">
        <f>IFERROR(__xludf.DUMMYFUNCTION("SPLIT(A20732,"" "")"),"CN(C)Cc1cnc2cccc(N(C)CN(C)c3cccc4ncccc34)c2c1")</f>
        <v>CN(C)Cc1cnc2cccc(N(C)CN(C)c3cccc4ncccc34)c2c1</v>
      </c>
      <c r="C20732" s="7">
        <f>IFERROR(__xludf.DUMMYFUNCTION("""COMPUTED_VALUE"""),7.6966667)</f>
        <v>7.6966667</v>
      </c>
      <c r="D20732" s="7">
        <f>IFERROR(__xludf.DUMMYFUNCTION("""COMPUTED_VALUE"""),0.36734693877551)</f>
        <v>0.3673469388</v>
      </c>
    </row>
    <row r="20733">
      <c r="A20733" s="10" t="s">
        <v>22172</v>
      </c>
      <c r="B20733" s="7" t="str">
        <f>IFERROR(__xludf.DUMMYFUNCTION("SPLIT(A20733,"" "")"),"CN(Cc1ccccn1)C1=C(CN(C)c2ccc3nc(-c4ccc5ncccc5c4)ccc3c2)NC=CC1")</f>
        <v>CN(Cc1ccccn1)C1=C(CN(C)c2ccc3nc(-c4ccc5ncccc5c4)ccc3c2)NC=CC1</v>
      </c>
      <c r="C20733" s="7">
        <f>IFERROR(__xludf.DUMMYFUNCTION("""COMPUTED_VALUE"""),7.696643)</f>
        <v>7.696643</v>
      </c>
      <c r="D20733" s="7">
        <f>IFERROR(__xludf.DUMMYFUNCTION("""COMPUTED_VALUE"""),0.328358208955223)</f>
        <v>0.328358209</v>
      </c>
    </row>
    <row r="20734">
      <c r="A20734" s="10" t="s">
        <v>22173</v>
      </c>
      <c r="B20734" s="7" t="str">
        <f>IFERROR(__xludf.DUMMYFUNCTION("SPLIT(A20734,"" "")"),"CC(C)N(Cc1ccccn1)c1ccc2nc(-c3cc(-c4cccc(N(C)C)c4)ccn3)ccc2c1")</f>
        <v>CC(C)N(Cc1ccccn1)c1ccc2nc(-c3cc(-c4cccc(N(C)C)c4)ccn3)ccc2c1</v>
      </c>
      <c r="C20734" s="7">
        <f>IFERROR(__xludf.DUMMYFUNCTION("""COMPUTED_VALUE"""),7.6965957)</f>
        <v>7.6965957</v>
      </c>
      <c r="D20734" s="7">
        <f>IFERROR(__xludf.DUMMYFUNCTION("""COMPUTED_VALUE"""),0.393442622950819)</f>
        <v>0.393442623</v>
      </c>
    </row>
    <row r="20735">
      <c r="A20735" s="10" t="s">
        <v>22174</v>
      </c>
      <c r="B20735" s="7" t="str">
        <f>IFERROR(__xludf.DUMMYFUNCTION("SPLIT(A20735,"" "")"),"CC(C)N(Cc1ccccn1)c1cc2ncccc2cc1N(C)c1ccc2ncccc2c1")</f>
        <v>CC(C)N(Cc1ccccn1)c1cc2ncccc2cc1N(C)c1ccc2ncccc2c1</v>
      </c>
      <c r="C20735" s="7">
        <f>IFERROR(__xludf.DUMMYFUNCTION("""COMPUTED_VALUE"""),7.6965322)</f>
        <v>7.6965322</v>
      </c>
      <c r="D20735" s="7">
        <f>IFERROR(__xludf.DUMMYFUNCTION("""COMPUTED_VALUE"""),0.403846153846153)</f>
        <v>0.4038461538</v>
      </c>
    </row>
    <row r="20736">
      <c r="A20736" s="10" t="s">
        <v>22175</v>
      </c>
      <c r="B20736" s="7" t="str">
        <f>IFERROR(__xludf.DUMMYFUNCTION("SPLIT(A20736,"" "")"),"CCCN(C)Cc1ccc2cccc(N(C)Cc3ccc4cccc(N(C)c5ccc6ncccc6c5)c4n3)c2n1")</f>
        <v>CCCN(C)Cc1ccc2cccc(N(C)Cc3ccc4cccc(N(C)c5ccc6ncccc6c5)c4n3)c2n1</v>
      </c>
      <c r="C20736" s="7">
        <f>IFERROR(__xludf.DUMMYFUNCTION("""COMPUTED_VALUE"""),7.6965117)</f>
        <v>7.6965117</v>
      </c>
      <c r="D20736" s="7">
        <f>IFERROR(__xludf.DUMMYFUNCTION("""COMPUTED_VALUE"""),0.418181818181818)</f>
        <v>0.4181818182</v>
      </c>
    </row>
    <row r="20737">
      <c r="A20737" s="10" t="s">
        <v>22176</v>
      </c>
      <c r="B20737" s="7" t="str">
        <f>IFERROR(__xludf.DUMMYFUNCTION("SPLIT(A20737,"" "")"),"CN(Cc1cccnc1)c1ccc2nccc(CN(C)c3ccc4ncccc4c3)c2c1")</f>
        <v>CN(Cc1cccnc1)c1ccc2nccc(CN(C)c3ccc4ncccc4c3)c2c1</v>
      </c>
      <c r="C20737" s="7">
        <f>IFERROR(__xludf.DUMMYFUNCTION("""COMPUTED_VALUE"""),7.696506)</f>
        <v>7.696506</v>
      </c>
      <c r="D20737" s="7">
        <f>IFERROR(__xludf.DUMMYFUNCTION("""COMPUTED_VALUE"""),0.298245614035087)</f>
        <v>0.298245614</v>
      </c>
    </row>
    <row r="20738">
      <c r="A20738" s="10" t="s">
        <v>22177</v>
      </c>
      <c r="B20738" s="7" t="str">
        <f>IFERROR(__xludf.DUMMYFUNCTION("SPLIT(A20738,"" "")"),"CN(Cc1ccc2ncccc2c1)c1ccc2nccc(CF)c2c1")</f>
        <v>CN(Cc1ccc2ncccc2c1)c1ccc2nccc(CF)c2c1</v>
      </c>
      <c r="C20738" s="7">
        <f>IFERROR(__xludf.DUMMYFUNCTION("""COMPUTED_VALUE"""),7.6964917)</f>
        <v>7.6964917</v>
      </c>
      <c r="D20738" s="7">
        <f>IFERROR(__xludf.DUMMYFUNCTION("""COMPUTED_VALUE"""),0.309090909090909)</f>
        <v>0.3090909091</v>
      </c>
    </row>
    <row r="20739">
      <c r="A20739" s="10" t="s">
        <v>22178</v>
      </c>
      <c r="B20739" s="7" t="str">
        <f>IFERROR(__xludf.DUMMYFUNCTION("SPLIT(A20739,"" "")"),"CN(C)c1ccccc1-c1cnccc1CN(C)c1ccc2cccnc2c1")</f>
        <v>CN(C)c1ccccc1-c1cnccc1CN(C)c1ccc2cccnc2c1</v>
      </c>
      <c r="C20739" s="7">
        <f>IFERROR(__xludf.DUMMYFUNCTION("""COMPUTED_VALUE"""),7.696327)</f>
        <v>7.696327</v>
      </c>
      <c r="D20739" s="7">
        <f>IFERROR(__xludf.DUMMYFUNCTION("""COMPUTED_VALUE"""),0.321428571428571)</f>
        <v>0.3214285714</v>
      </c>
    </row>
    <row r="20740">
      <c r="A20740" s="10" t="s">
        <v>22179</v>
      </c>
      <c r="B20740" s="7" t="str">
        <f>IFERROR(__xludf.DUMMYFUNCTION("SPLIT(A20740,"" "")"),"CNc1cc(-c2cccc(-c3ccc(N=Cc4ccccn4)cc3)n2)ccn1")</f>
        <v>CNc1cc(-c2cccc(-c3ccc(N=Cc4ccccn4)cc3)n2)ccn1</v>
      </c>
      <c r="C20740" s="7">
        <f>IFERROR(__xludf.DUMMYFUNCTION("""COMPUTED_VALUE"""),7.696314)</f>
        <v>7.696314</v>
      </c>
      <c r="D20740" s="7">
        <f>IFERROR(__xludf.DUMMYFUNCTION("""COMPUTED_VALUE"""),0.381818181818181)</f>
        <v>0.3818181818</v>
      </c>
    </row>
    <row r="20741">
      <c r="A20741" s="10" t="s">
        <v>22180</v>
      </c>
      <c r="B20741" s="7" t="str">
        <f>IFERROR(__xludf.DUMMYFUNCTION("SPLIT(A20741,"" "")"),"CNc1cc(-c2ccc(-c3ccccc3N=Cc3ccccn3)cn2)ccn1")</f>
        <v>CNc1cc(-c2ccc(-c3ccccc3N=Cc3ccccn3)cn2)ccn1</v>
      </c>
      <c r="C20741" s="7">
        <f>IFERROR(__xludf.DUMMYFUNCTION("""COMPUTED_VALUE"""),7.69624)</f>
        <v>7.69624</v>
      </c>
      <c r="D20741" s="7">
        <f>IFERROR(__xludf.DUMMYFUNCTION("""COMPUTED_VALUE"""),0.410714285714285)</f>
        <v>0.4107142857</v>
      </c>
    </row>
    <row r="20742">
      <c r="A20742" s="10" t="s">
        <v>22181</v>
      </c>
      <c r="B20742" s="7" t="str">
        <f>IFERROR(__xludf.DUMMYFUNCTION("SPLIT(A20742,"" "")"),"CN(Cc1ccc2ncccc2c1N(C)Cc1ccccn1)c1cccc2ncccc12")</f>
        <v>CN(Cc1ccc2ncccc2c1N(C)Cc1ccccn1)c1cccc2ncccc12</v>
      </c>
      <c r="C20742" s="7">
        <f>IFERROR(__xludf.DUMMYFUNCTION("""COMPUTED_VALUE"""),7.696223)</f>
        <v>7.696223</v>
      </c>
      <c r="D20742" s="7">
        <f>IFERROR(__xludf.DUMMYFUNCTION("""COMPUTED_VALUE"""),0.46938775510204)</f>
        <v>0.4693877551</v>
      </c>
    </row>
    <row r="20743">
      <c r="A20743" s="10" t="s">
        <v>22182</v>
      </c>
      <c r="B20743" s="7" t="str">
        <f>IFERROR(__xludf.DUMMYFUNCTION("SPLIT(A20743,"" "")"),"CN(C)c1ccccc1-c1cccnc1CN(Cc1ccc2ncccc2c1)c1ccc2nccc(CF)c2c1")</f>
        <v>CN(C)c1ccccc1-c1cccnc1CN(Cc1ccc2ncccc2c1)c1ccc2nccc(CF)c2c1</v>
      </c>
      <c r="C20743" s="7">
        <f>IFERROR(__xludf.DUMMYFUNCTION("""COMPUTED_VALUE"""),7.6961846)</f>
        <v>7.6961846</v>
      </c>
      <c r="D20743" s="7">
        <f>IFERROR(__xludf.DUMMYFUNCTION("""COMPUTED_VALUE"""),0.257575757575757)</f>
        <v>0.2575757576</v>
      </c>
    </row>
    <row r="20744">
      <c r="A20744" s="10" t="s">
        <v>22183</v>
      </c>
      <c r="B20744" s="7" t="str">
        <f>IFERROR(__xludf.DUMMYFUNCTION("SPLIT(A20744,"" "")"),"CN(C)c1cccc(-c2cccnc2CN(C)c2ccc3ncccc3c2)c1")</f>
        <v>CN(C)c1cccc(-c2cccnc2CN(C)c2ccc3ncccc3c2)c1</v>
      </c>
      <c r="C20744" s="7">
        <f>IFERROR(__xludf.DUMMYFUNCTION("""COMPUTED_VALUE"""),7.6961823)</f>
        <v>7.6961823</v>
      </c>
      <c r="D20744" s="7">
        <f>IFERROR(__xludf.DUMMYFUNCTION("""COMPUTED_VALUE"""),0.320754716981132)</f>
        <v>0.320754717</v>
      </c>
    </row>
    <row r="20745">
      <c r="A20745" s="10" t="s">
        <v>22184</v>
      </c>
      <c r="B20745" s="7" t="str">
        <f>IFERROR(__xludf.DUMMYFUNCTION("SPLIT(A20745,"" "")"),"CN(Cc1cccc(-c2ccc(Cl)cc2N)n1)c1ccc2ncccc2c1")</f>
        <v>CN(Cc1cccc(-c2ccc(Cl)cc2N)n1)c1ccc2ncccc2c1</v>
      </c>
      <c r="C20745" s="7">
        <f>IFERROR(__xludf.DUMMYFUNCTION("""COMPUTED_VALUE"""),7.6961136)</f>
        <v>7.6961136</v>
      </c>
      <c r="D20745" s="7">
        <f>IFERROR(__xludf.DUMMYFUNCTION("""COMPUTED_VALUE"""),0.35593220338983)</f>
        <v>0.3559322034</v>
      </c>
    </row>
    <row r="20746">
      <c r="A20746" s="10" t="s">
        <v>22185</v>
      </c>
      <c r="B20746" s="7" t="str">
        <f>IFERROR(__xludf.DUMMYFUNCTION("SPLIT(A20746,"" "")"),"CN(C)Cc1ccc2cccc(N(C)Cc3cccc(N(C)c4ccc5ncccc5c4)n3)c2n1")</f>
        <v>CN(C)Cc1ccc2cccc(N(C)Cc3cccc(N(C)c4ccc5ncccc5c4)n3)c2n1</v>
      </c>
      <c r="C20746" s="7">
        <f>IFERROR(__xludf.DUMMYFUNCTION("""COMPUTED_VALUE"""),7.695995)</f>
        <v>7.695995</v>
      </c>
      <c r="D20746" s="7">
        <f>IFERROR(__xludf.DUMMYFUNCTION("""COMPUTED_VALUE"""),0.4)</f>
        <v>0.4</v>
      </c>
    </row>
    <row r="20747">
      <c r="A20747" s="10" t="s">
        <v>22186</v>
      </c>
      <c r="B20747" s="7" t="str">
        <f>IFERROR(__xludf.DUMMYFUNCTION("SPLIT(A20747,"" "")"),"CN(C)Cc1ccnc2cc(N(C)CN(C)c3ccc4cccnc4c3)ccc12")</f>
        <v>CN(C)Cc1ccnc2cc(N(C)CN(C)c3ccc4cccnc4c3)ccc12</v>
      </c>
      <c r="C20747" s="7">
        <f>IFERROR(__xludf.DUMMYFUNCTION("""COMPUTED_VALUE"""),7.6959724)</f>
        <v>7.6959724</v>
      </c>
      <c r="D20747" s="7">
        <f>IFERROR(__xludf.DUMMYFUNCTION("""COMPUTED_VALUE"""),0.326923076923076)</f>
        <v>0.3269230769</v>
      </c>
    </row>
    <row r="20748">
      <c r="A20748" s="10" t="s">
        <v>22187</v>
      </c>
      <c r="B20748" s="7" t="str">
        <f>IFERROR(__xludf.DUMMYFUNCTION("SPLIT(A20748,"" "")"),"Cc1ccc(N(C)Cc2cc(-c3cccc(N=Cc4ccccn4)c3)ccn2)c2ncccc12")</f>
        <v>Cc1ccc(N(C)Cc2cc(-c3cccc(N=Cc4ccccn4)c3)ccn2)c2ncccc12</v>
      </c>
      <c r="C20748" s="7">
        <f>IFERROR(__xludf.DUMMYFUNCTION("""COMPUTED_VALUE"""),7.6959524)</f>
        <v>7.6959524</v>
      </c>
      <c r="D20748" s="7">
        <f>IFERROR(__xludf.DUMMYFUNCTION("""COMPUTED_VALUE"""),0.353846153846153)</f>
        <v>0.3538461538</v>
      </c>
    </row>
    <row r="20749">
      <c r="A20749" s="10" t="s">
        <v>22188</v>
      </c>
      <c r="B20749" s="7" t="str">
        <f>IFERROR(__xludf.DUMMYFUNCTION("SPLIT(A20749,"" "")"),"CNCc1cc(-c2cc(N=Cc3ccccn3)cc3ncccc23)ccn1")</f>
        <v>CNCc1cc(-c2cc(N=Cc3ccccn3)cc3ncccc23)ccn1</v>
      </c>
      <c r="C20749" s="7">
        <f>IFERROR(__xludf.DUMMYFUNCTION("""COMPUTED_VALUE"""),7.695833)</f>
        <v>7.695833</v>
      </c>
      <c r="D20749" s="7">
        <f>IFERROR(__xludf.DUMMYFUNCTION("""COMPUTED_VALUE"""),0.327868852459016)</f>
        <v>0.3278688525</v>
      </c>
    </row>
    <row r="20750">
      <c r="A20750" s="10" t="s">
        <v>22189</v>
      </c>
      <c r="B20750" s="7" t="str">
        <f>IFERROR(__xludf.DUMMYFUNCTION("SPLIT(A20750,"" "")"),"CN(CNc1ccc2cccnc2c1)c1ccc2ncccc2c1")</f>
        <v>CN(CNc1ccc2cccnc2c1)c1ccc2ncccc2c1</v>
      </c>
      <c r="C20750" s="7">
        <f>IFERROR(__xludf.DUMMYFUNCTION("""COMPUTED_VALUE"""),7.695795)</f>
        <v>7.695795</v>
      </c>
      <c r="D20750" s="7">
        <f>IFERROR(__xludf.DUMMYFUNCTION("""COMPUTED_VALUE"""),0.326530612244897)</f>
        <v>0.3265306122</v>
      </c>
    </row>
    <row r="20751">
      <c r="A20751" s="10" t="s">
        <v>22190</v>
      </c>
      <c r="B20751" s="7" t="str">
        <f>IFERROR(__xludf.DUMMYFUNCTION("SPLIT(A20751,"" "")"),"CN(Cc1ccccn1)c1ccc2nccc(CN(C)c3ccc4ncccc4c3)c2c1")</f>
        <v>CN(Cc1ccccn1)c1ccc2nccc(CN(C)c3ccc4ncccc4c3)c2c1</v>
      </c>
      <c r="C20751" s="7">
        <f>IFERROR(__xludf.DUMMYFUNCTION("""COMPUTED_VALUE"""),7.695781)</f>
        <v>7.695781</v>
      </c>
      <c r="D20751" s="7">
        <f>IFERROR(__xludf.DUMMYFUNCTION("""COMPUTED_VALUE"""),0.44)</f>
        <v>0.44</v>
      </c>
    </row>
    <row r="20752">
      <c r="A20752" s="10" t="s">
        <v>22191</v>
      </c>
      <c r="B20752" s="7" t="str">
        <f>IFERROR(__xludf.DUMMYFUNCTION("SPLIT(A20752,"" "")"),"Cc1ccnc2cccc(N(C)CCN(C)c3ccc4ncccc4c3)c12")</f>
        <v>Cc1ccnc2cccc(N(C)CCN(C)c3ccc4ncccc4c3)c12</v>
      </c>
      <c r="C20752" s="7">
        <f>IFERROR(__xludf.DUMMYFUNCTION("""COMPUTED_VALUE"""),7.6956797)</f>
        <v>7.6956797</v>
      </c>
      <c r="D20752" s="7">
        <f>IFERROR(__xludf.DUMMYFUNCTION("""COMPUTED_VALUE"""),0.468085106382978)</f>
        <v>0.4680851064</v>
      </c>
    </row>
    <row r="20753">
      <c r="A20753" s="10" t="s">
        <v>22192</v>
      </c>
      <c r="B20753" s="7" t="str">
        <f>IFERROR(__xludf.DUMMYFUNCTION("SPLIT(A20753,"" "")"),"CNc1ccc(-c2ccnc3c(N(C)Cc4cc(C)ccn4)cccc23)cc1")</f>
        <v>CNc1ccc(-c2ccnc3c(N(C)Cc4cc(C)ccn4)cccc23)cc1</v>
      </c>
      <c r="C20753" s="7">
        <f>IFERROR(__xludf.DUMMYFUNCTION("""COMPUTED_VALUE"""),7.6956496)</f>
        <v>7.6956496</v>
      </c>
      <c r="D20753" s="7">
        <f>IFERROR(__xludf.DUMMYFUNCTION("""COMPUTED_VALUE"""),0.327586206896551)</f>
        <v>0.3275862069</v>
      </c>
    </row>
    <row r="20754">
      <c r="A20754" s="10" t="s">
        <v>22193</v>
      </c>
      <c r="B20754" s="7" t="str">
        <f>IFERROR(__xludf.DUMMYFUNCTION("SPLIT(A20754,"" "")"),"CC(C)N(Cc1ccccn1)c1cc(N(C)c2ccc3nccc(CF)c3c2)c2cccnc2c1")</f>
        <v>CC(C)N(Cc1ccccn1)c1cc(N(C)c2ccc3nccc(CF)c3c2)c2cccnc2c1</v>
      </c>
      <c r="C20754" s="7">
        <f>IFERROR(__xludf.DUMMYFUNCTION("""COMPUTED_VALUE"""),7.6956425)</f>
        <v>7.6956425</v>
      </c>
      <c r="D20754" s="7">
        <f>IFERROR(__xludf.DUMMYFUNCTION("""COMPUTED_VALUE"""),0.338709677419354)</f>
        <v>0.3387096774</v>
      </c>
    </row>
    <row r="20755">
      <c r="A20755" s="10" t="s">
        <v>22194</v>
      </c>
      <c r="B20755" s="7" t="str">
        <f>IFERROR(__xludf.DUMMYFUNCTION("SPLIT(A20755,"" "")"),"CC(C)N(Cc1ccccn1)c1c(N(C)c2cccc3ncccc23)ccc2ncccc12")</f>
        <v>CC(C)N(Cc1ccccn1)c1c(N(C)c2cccc3ncccc23)ccc2ncccc12</v>
      </c>
      <c r="C20755" s="7">
        <f>IFERROR(__xludf.DUMMYFUNCTION("""COMPUTED_VALUE"""),7.695612)</f>
        <v>7.695612</v>
      </c>
      <c r="D20755" s="7">
        <f>IFERROR(__xludf.DUMMYFUNCTION("""COMPUTED_VALUE"""),0.403846153846153)</f>
        <v>0.4038461538</v>
      </c>
    </row>
    <row r="20756">
      <c r="A20756" s="10" t="s">
        <v>22195</v>
      </c>
      <c r="B20756" s="7" t="str">
        <f>IFERROR(__xludf.DUMMYFUNCTION("SPLIT(A20756,"" "")"),"Cc1ccc2cc(N(C)CCN(C)c3ccc4nccc(C)c4c3)ccc2n1")</f>
        <v>Cc1ccc2cc(N(C)CCN(C)c3ccc4nccc(C)c4c3)ccc2n1</v>
      </c>
      <c r="C20756" s="7">
        <f>IFERROR(__xludf.DUMMYFUNCTION("""COMPUTED_VALUE"""),7.6956105)</f>
        <v>7.6956105</v>
      </c>
      <c r="D20756" s="7">
        <f>IFERROR(__xludf.DUMMYFUNCTION("""COMPUTED_VALUE"""),0.28)</f>
        <v>0.28</v>
      </c>
    </row>
    <row r="20757">
      <c r="A20757" s="10" t="s">
        <v>22196</v>
      </c>
      <c r="B20757" s="7" t="str">
        <f>IFERROR(__xludf.DUMMYFUNCTION("SPLIT(A20757,"" "")"),"Cc1cncc(CN(C)c2ccc3nccc(CN(C)c4ccc5ncccc5c4)c3c2)c1")</f>
        <v>Cc1cncc(CN(C)c2ccc3nccc(CN(C)c4ccc5ncccc5c4)c3c2)c1</v>
      </c>
      <c r="C20757" s="7">
        <f>IFERROR(__xludf.DUMMYFUNCTION("""COMPUTED_VALUE"""),7.6955338)</f>
        <v>7.6955338</v>
      </c>
      <c r="D20757" s="7">
        <f>IFERROR(__xludf.DUMMYFUNCTION("""COMPUTED_VALUE"""),0.283333333333333)</f>
        <v>0.2833333333</v>
      </c>
    </row>
    <row r="20758">
      <c r="A20758" s="10" t="s">
        <v>22197</v>
      </c>
      <c r="B20758" s="7" t="str">
        <f>IFERROR(__xludf.DUMMYFUNCTION("SPLIT(A20758,"" "")"),"CNCc1cc(-c2ccc(N=Cc3ccccn3)c3ncccc23)ccn1")</f>
        <v>CNCc1cc(-c2ccc(N=Cc3ccccn3)c3ncccc23)ccn1</v>
      </c>
      <c r="C20758" s="7">
        <f>IFERROR(__xludf.DUMMYFUNCTION("""COMPUTED_VALUE"""),7.6954417)</f>
        <v>7.6954417</v>
      </c>
      <c r="D20758" s="7">
        <f>IFERROR(__xludf.DUMMYFUNCTION("""COMPUTED_VALUE"""),0.372881355932203)</f>
        <v>0.3728813559</v>
      </c>
    </row>
    <row r="20759">
      <c r="A20759" s="10" t="s">
        <v>22198</v>
      </c>
      <c r="B20759" s="7" t="str">
        <f>IFERROR(__xludf.DUMMYFUNCTION("SPLIT(A20759,"" "")"),"CN(CC1=C(N(C)c2ccc3ncccc3c2)CC=CN1)c1ccc2nccc(CF)c2c1")</f>
        <v>CN(CC1=C(N(C)c2ccc3ncccc3c2)CC=CN1)c1ccc2nccc(CF)c2c1</v>
      </c>
      <c r="C20759" s="7">
        <f>IFERROR(__xludf.DUMMYFUNCTION("""COMPUTED_VALUE"""),7.6954064)</f>
        <v>7.6954064</v>
      </c>
      <c r="D20759" s="7">
        <f>IFERROR(__xludf.DUMMYFUNCTION("""COMPUTED_VALUE"""),0.246376811594202)</f>
        <v>0.2463768116</v>
      </c>
    </row>
    <row r="20760">
      <c r="A20760" s="10" t="s">
        <v>22199</v>
      </c>
      <c r="B20760" s="7" t="str">
        <f>IFERROR(__xludf.DUMMYFUNCTION("SPLIT(A20760,"" "")"),"CN(CC1=CC(N(C)c2cccc3cccnc23)C=CN1)c1cccc2ncccc12")</f>
        <v>CN(CC1=CC(N(C)c2cccc3cccnc23)C=CN1)c1cccc2ncccc12</v>
      </c>
      <c r="C20760" s="7">
        <f>IFERROR(__xludf.DUMMYFUNCTION("""COMPUTED_VALUE"""),7.6953835)</f>
        <v>7.6953835</v>
      </c>
      <c r="D20760" s="7">
        <f>IFERROR(__xludf.DUMMYFUNCTION("""COMPUTED_VALUE"""),0.436363636363636)</f>
        <v>0.4363636364</v>
      </c>
    </row>
    <row r="20761">
      <c r="A20761" s="10" t="s">
        <v>22200</v>
      </c>
      <c r="B20761" s="7" t="str">
        <f>IFERROR(__xludf.DUMMYFUNCTION("SPLIT(A20761,"" "")"),"Cc1cc(C)c2cccc(N(C)CCN(C)c3ccc4ncccc4c3)c2n1")</f>
        <v>Cc1cc(C)c2cccc(N(C)CCN(C)c3ccc4ncccc4c3)c2n1</v>
      </c>
      <c r="C20761" s="7">
        <f>IFERROR(__xludf.DUMMYFUNCTION("""COMPUTED_VALUE"""),7.6953506)</f>
        <v>7.6953506</v>
      </c>
      <c r="D20761" s="7">
        <f>IFERROR(__xludf.DUMMYFUNCTION("""COMPUTED_VALUE"""),0.5)</f>
        <v>0.5</v>
      </c>
    </row>
    <row r="20762">
      <c r="A20762" s="10" t="s">
        <v>22201</v>
      </c>
      <c r="B20762" s="7" t="str">
        <f>IFERROR(__xludf.DUMMYFUNCTION("SPLIT(A20762,"" "")"),"CN(C)Cc1ccc2cc(N(C)Cc3ccc4cccc(N(C)Cc5ccon5)c4n3)ccc2n1")</f>
        <v>CN(C)Cc1ccc2cc(N(C)Cc3ccc4cccc(N(C)Cc5ccon5)c4n3)ccc2n1</v>
      </c>
      <c r="C20762" s="7">
        <f>IFERROR(__xludf.DUMMYFUNCTION("""COMPUTED_VALUE"""),7.695338)</f>
        <v>7.695338</v>
      </c>
      <c r="D20762" s="7">
        <f>IFERROR(__xludf.DUMMYFUNCTION("""COMPUTED_VALUE"""),0.377358490566037)</f>
        <v>0.3773584906</v>
      </c>
    </row>
    <row r="20763">
      <c r="A20763" s="10" t="s">
        <v>22202</v>
      </c>
      <c r="B20763" s="7" t="str">
        <f>IFERROR(__xludf.DUMMYFUNCTION("SPLIT(A20763,"" "")"),"CN(Cc1ccc2ccccc2n1)Cc1ccc2cccc(N(C)c3ccc4ncccc4c3)c2n1")</f>
        <v>CN(Cc1ccc2ccccc2n1)Cc1ccc2cccc(N(C)c3ccc4ncccc4c3)c2n1</v>
      </c>
      <c r="C20763" s="7">
        <f>IFERROR(__xludf.DUMMYFUNCTION("""COMPUTED_VALUE"""),7.695188)</f>
        <v>7.695188</v>
      </c>
      <c r="D20763" s="7">
        <f>IFERROR(__xludf.DUMMYFUNCTION("""COMPUTED_VALUE"""),0.425925925925925)</f>
        <v>0.4259259259</v>
      </c>
    </row>
    <row r="20764">
      <c r="A20764" s="10" t="s">
        <v>22203</v>
      </c>
      <c r="B20764" s="7" t="str">
        <f>IFERROR(__xludf.DUMMYFUNCTION("SPLIT(A20764,"" "")"),"CC(C)N(Cc1ccccn1)c1cc(N(C)c2cccc3nccc(CF)c23)cc2ncccc12")</f>
        <v>CC(C)N(Cc1ccccn1)c1cc(N(C)c2cccc3nccc(CF)c23)cc2ncccc12</v>
      </c>
      <c r="C20764" s="7">
        <f>IFERROR(__xludf.DUMMYFUNCTION("""COMPUTED_VALUE"""),7.6951604)</f>
        <v>7.6951604</v>
      </c>
      <c r="D20764" s="7">
        <f>IFERROR(__xludf.DUMMYFUNCTION("""COMPUTED_VALUE"""),0.333333333333333)</f>
        <v>0.3333333333</v>
      </c>
    </row>
    <row r="20765">
      <c r="A20765" s="10" t="s">
        <v>22204</v>
      </c>
      <c r="B20765" s="7" t="str">
        <f>IFERROR(__xludf.DUMMYFUNCTION("SPLIT(A20765,"" "")"),"Cc1ccnc2ccc(N(C)CC3=CC(N(C)c4ccc5ncccc5c4)C=CN3)cc12")</f>
        <v>Cc1ccnc2ccc(N(C)CC3=CC(N(C)c4ccc5ncccc5c4)C=CN3)cc12</v>
      </c>
      <c r="C20765" s="7">
        <f>IFERROR(__xludf.DUMMYFUNCTION("""COMPUTED_VALUE"""),7.69516)</f>
        <v>7.69516</v>
      </c>
      <c r="D20765" s="7">
        <f>IFERROR(__xludf.DUMMYFUNCTION("""COMPUTED_VALUE"""),0.279411764705882)</f>
        <v>0.2794117647</v>
      </c>
    </row>
    <row r="20766">
      <c r="A20766" s="10" t="s">
        <v>22205</v>
      </c>
      <c r="B20766" s="7" t="str">
        <f>IFERROR(__xludf.DUMMYFUNCTION("SPLIT(A20766,"" "")"),"CN(CCc1nc2ccccc2o1)c1ccc2ncccc2c1")</f>
        <v>CN(CCc1nc2ccccc2o1)c1ccc2ncccc2c1</v>
      </c>
      <c r="C20766" s="7">
        <f>IFERROR(__xludf.DUMMYFUNCTION("""COMPUTED_VALUE"""),7.6949596)</f>
        <v>7.6949596</v>
      </c>
      <c r="D20766" s="7">
        <f>IFERROR(__xludf.DUMMYFUNCTION("""COMPUTED_VALUE"""),0.36)</f>
        <v>0.36</v>
      </c>
    </row>
    <row r="20767">
      <c r="A20767" s="10" t="s">
        <v>22206</v>
      </c>
      <c r="B20767" s="7" t="str">
        <f>IFERROR(__xludf.DUMMYFUNCTION("SPLIT(A20767,"" "")"),"CN(Cc1cccnn1)c1ccc2cccnc2c1N(C)Cc1ccc2ncccc2c1")</f>
        <v>CN(Cc1cccnn1)c1ccc2cccnc2c1N(C)Cc1ccc2ncccc2c1</v>
      </c>
      <c r="C20767" s="7">
        <f>IFERROR(__xludf.DUMMYFUNCTION("""COMPUTED_VALUE"""),7.6948943)</f>
        <v>7.6948943</v>
      </c>
      <c r="D20767" s="7">
        <f>IFERROR(__xludf.DUMMYFUNCTION("""COMPUTED_VALUE"""),0.37037037037037)</f>
        <v>0.3703703704</v>
      </c>
    </row>
    <row r="20768">
      <c r="A20768" s="10" t="s">
        <v>22207</v>
      </c>
      <c r="B20768" s="7" t="str">
        <f>IFERROR(__xludf.DUMMYFUNCTION("SPLIT(A20768,"" "")"),"CC(C)N(Cc1ccccn1)c1cc(N(C)c2ccc3cccnc3c2)c2ncccc2c1")</f>
        <v>CC(C)N(Cc1ccccn1)c1cc(N(C)c2ccc3cccnc3c2)c2ncccc2c1</v>
      </c>
      <c r="C20768" s="7">
        <f>IFERROR(__xludf.DUMMYFUNCTION("""COMPUTED_VALUE"""),7.694893)</f>
        <v>7.694893</v>
      </c>
      <c r="D20768" s="7">
        <f>IFERROR(__xludf.DUMMYFUNCTION("""COMPUTED_VALUE"""),0.403508771929824)</f>
        <v>0.4035087719</v>
      </c>
    </row>
    <row r="20769">
      <c r="A20769" s="10" t="s">
        <v>22208</v>
      </c>
      <c r="B20769" s="7" t="str">
        <f>IFERROR(__xludf.DUMMYFUNCTION("SPLIT(A20769,"" "")"),"CC(C)N(C)Cc1ncccc1-c1ccc2cccnc2c1N(C)c1ccc2ncccc2c1")</f>
        <v>CC(C)N(C)Cc1ncccc1-c1ccc2cccnc2c1N(C)c1ccc2ncccc2c1</v>
      </c>
      <c r="C20769" s="7">
        <f>IFERROR(__xludf.DUMMYFUNCTION("""COMPUTED_VALUE"""),7.6948524)</f>
        <v>7.6948524</v>
      </c>
      <c r="D20769" s="7">
        <f>IFERROR(__xludf.DUMMYFUNCTION("""COMPUTED_VALUE"""),0.322033898305084)</f>
        <v>0.3220338983</v>
      </c>
    </row>
    <row r="20770">
      <c r="A20770" s="10" t="s">
        <v>22209</v>
      </c>
      <c r="B20770" s="7" t="str">
        <f>IFERROR(__xludf.DUMMYFUNCTION("SPLIT(A20770,"" "")"),"Cc1ccc2cc(N(C)C3=C(CN(C)c4ccc5ncccc5c4)NC=CC3)ccc2n1")</f>
        <v>Cc1ccc2cc(N(C)C3=C(CN(C)c4ccc5ncccc5c4)NC=CC3)ccc2n1</v>
      </c>
      <c r="C20770" s="7">
        <f>IFERROR(__xludf.DUMMYFUNCTION("""COMPUTED_VALUE"""),7.6948423)</f>
        <v>7.6948423</v>
      </c>
      <c r="D20770" s="7">
        <f>IFERROR(__xludf.DUMMYFUNCTION("""COMPUTED_VALUE"""),0.285714285714285)</f>
        <v>0.2857142857</v>
      </c>
    </row>
    <row r="20771">
      <c r="A20771" s="10" t="s">
        <v>22210</v>
      </c>
      <c r="B20771" s="7" t="str">
        <f>IFERROR(__xludf.DUMMYFUNCTION("SPLIT(A20771,"" "")"),"CCNCc1ccc2nccc(-c3ccccc3N(C)Cc3cccc(-c4ccc5ncccc5c4)n3)c2c1")</f>
        <v>CCNCc1ccc2nccc(-c3ccccc3N(C)Cc3cccc(-c4ccc5ncccc5c4)n3)c2c1</v>
      </c>
      <c r="C20771" s="7">
        <f>IFERROR(__xludf.DUMMYFUNCTION("""COMPUTED_VALUE"""),7.6948094)</f>
        <v>7.6948094</v>
      </c>
      <c r="D20771" s="7">
        <f>IFERROR(__xludf.DUMMYFUNCTION("""COMPUTED_VALUE"""),0.324675324675324)</f>
        <v>0.3246753247</v>
      </c>
    </row>
    <row r="20772">
      <c r="A20772" s="10" t="s">
        <v>22211</v>
      </c>
      <c r="B20772" s="7" t="str">
        <f>IFERROR(__xludf.DUMMYFUNCTION("SPLIT(A20772,"" "")"),"CNCc1nc2ncccc2o1")</f>
        <v>CNCc1nc2ncccc2o1</v>
      </c>
      <c r="C20772" s="7">
        <f>IFERROR(__xludf.DUMMYFUNCTION("""COMPUTED_VALUE"""),7.6948094)</f>
        <v>7.6948094</v>
      </c>
      <c r="D20772" s="7">
        <f>IFERROR(__xludf.DUMMYFUNCTION("""COMPUTED_VALUE"""),0.302325581395348)</f>
        <v>0.3023255814</v>
      </c>
    </row>
    <row r="20773">
      <c r="A20773" s="10" t="s">
        <v>22212</v>
      </c>
      <c r="B20773" s="7" t="str">
        <f>IFERROR(__xludf.DUMMYFUNCTION("SPLIT(A20773,"" "")"),"CNCc1cc(-c2c(N(C)C)ccc3cccnc23)ccn1")</f>
        <v>CNCc1cc(-c2c(N(C)C)ccc3cccnc23)ccn1</v>
      </c>
      <c r="C20773" s="7">
        <f>IFERROR(__xludf.DUMMYFUNCTION("""COMPUTED_VALUE"""),7.694788)</f>
        <v>7.694788</v>
      </c>
      <c r="D20773" s="7">
        <f>IFERROR(__xludf.DUMMYFUNCTION("""COMPUTED_VALUE"""),0.38)</f>
        <v>0.38</v>
      </c>
    </row>
    <row r="20774">
      <c r="A20774" s="10" t="s">
        <v>22213</v>
      </c>
      <c r="B20774" s="7" t="str">
        <f>IFERROR(__xludf.DUMMYFUNCTION("SPLIT(A20774,"" "")"),"CNCc1cc(-c2cc3ncccc3cc2N(C)C)ccn1")</f>
        <v>CNCc1cc(-c2cc3ncccc3cc2N(C)C)ccn1</v>
      </c>
      <c r="C20774" s="7">
        <f>IFERROR(__xludf.DUMMYFUNCTION("""COMPUTED_VALUE"""),7.694745)</f>
        <v>7.694745</v>
      </c>
      <c r="D20774" s="7">
        <f>IFERROR(__xludf.DUMMYFUNCTION("""COMPUTED_VALUE"""),0.30188679245283)</f>
        <v>0.3018867925</v>
      </c>
    </row>
    <row r="20775">
      <c r="A20775" s="10" t="s">
        <v>22214</v>
      </c>
      <c r="B20775" s="7" t="str">
        <f>IFERROR(__xludf.DUMMYFUNCTION("SPLIT(A20775,"" "")"),"CN(CN(C)c1ccc2nccc(CF)c2c1)c1ccc2ncccc2c1")</f>
        <v>CN(CN(C)c1ccc2nccc(CF)c2c1)c1ccc2ncccc2c1</v>
      </c>
      <c r="C20775" s="7">
        <f>IFERROR(__xludf.DUMMYFUNCTION("""COMPUTED_VALUE"""),7.6946597)</f>
        <v>7.6946597</v>
      </c>
      <c r="D20775" s="7">
        <f>IFERROR(__xludf.DUMMYFUNCTION("""COMPUTED_VALUE"""),0.313725490196078)</f>
        <v>0.3137254902</v>
      </c>
    </row>
    <row r="20776">
      <c r="A20776" s="10" t="s">
        <v>22215</v>
      </c>
      <c r="B20776" s="7" t="str">
        <f>IFERROR(__xludf.DUMMYFUNCTION("SPLIT(A20776,"" "")"),"CN(Cc1cc(-c2ccc3ncccc3c2)ccn1)Cc1nc2ccccc2n1C")</f>
        <v>CN(Cc1cc(-c2ccc3ncccc3c2)ccn1)Cc1nc2ccccc2n1C</v>
      </c>
      <c r="C20776" s="7">
        <f>IFERROR(__xludf.DUMMYFUNCTION("""COMPUTED_VALUE"""),7.694494)</f>
        <v>7.694494</v>
      </c>
      <c r="D20776" s="7">
        <f>IFERROR(__xludf.DUMMYFUNCTION("""COMPUTED_VALUE"""),0.372881355932203)</f>
        <v>0.3728813559</v>
      </c>
    </row>
    <row r="20777">
      <c r="A20777" s="10" t="s">
        <v>22216</v>
      </c>
      <c r="B20777" s="7" t="str">
        <f>IFERROR(__xludf.DUMMYFUNCTION("SPLIT(A20777,"" "")"),"CC(C)N(Cc1ccccn1)c1cc(N(C)c2ccc3ncccc3c2)c2cccnc2c1")</f>
        <v>CC(C)N(Cc1ccccn1)c1cc(N(C)c2ccc3ncccc3c2)c2cccnc2c1</v>
      </c>
      <c r="C20777" s="7">
        <f>IFERROR(__xludf.DUMMYFUNCTION("""COMPUTED_VALUE"""),7.694477)</f>
        <v>7.694477</v>
      </c>
      <c r="D20777" s="7">
        <f>IFERROR(__xludf.DUMMYFUNCTION("""COMPUTED_VALUE"""),0.381818181818181)</f>
        <v>0.3818181818</v>
      </c>
    </row>
    <row r="20778">
      <c r="A20778" s="10" t="s">
        <v>22217</v>
      </c>
      <c r="B20778" s="7" t="str">
        <f>IFERROR(__xludf.DUMMYFUNCTION("SPLIT(A20778,"" "")"),"CC(C)N(Cc1ccccn1)c1ccc2nccc(-c3ccc(-c4cccc(N(C)C)c4)cn3)c2c1")</f>
        <v>CC(C)N(Cc1ccccn1)c1ccc2nccc(-c3ccc(-c4cccc(N(C)C)c4)cn3)c2c1</v>
      </c>
      <c r="C20778" s="7">
        <f>IFERROR(__xludf.DUMMYFUNCTION("""COMPUTED_VALUE"""),7.694471)</f>
        <v>7.694471</v>
      </c>
      <c r="D20778" s="7">
        <f>IFERROR(__xludf.DUMMYFUNCTION("""COMPUTED_VALUE"""),0.328125)</f>
        <v>0.328125</v>
      </c>
    </row>
    <row r="20779">
      <c r="A20779" s="10" t="s">
        <v>22218</v>
      </c>
      <c r="B20779" s="7" t="str">
        <f>IFERROR(__xludf.DUMMYFUNCTION("SPLIT(A20779,"" "")"),"CC(C)N(Cc1ccccn1)c1cc(N(C)c2ccc3cccnc3c2)c2cccnc2c1")</f>
        <v>CC(C)N(Cc1ccccn1)c1cc(N(C)c2ccc3cccnc3c2)c2cccnc2c1</v>
      </c>
      <c r="C20779" s="7">
        <f>IFERROR(__xludf.DUMMYFUNCTION("""COMPUTED_VALUE"""),7.6944227)</f>
        <v>7.6944227</v>
      </c>
      <c r="D20779" s="7">
        <f>IFERROR(__xludf.DUMMYFUNCTION("""COMPUTED_VALUE"""),0.410714285714285)</f>
        <v>0.4107142857</v>
      </c>
    </row>
    <row r="20780">
      <c r="A20780" s="10" t="s">
        <v>22219</v>
      </c>
      <c r="B20780" s="7" t="str">
        <f>IFERROR(__xludf.DUMMYFUNCTION("SPLIT(A20780,"" "")"),"CC(C)N(C)Cc1ccc(-c2cc(N(C)c3ccc4ncccc4c3)c3ncccc3c2)cn1")</f>
        <v>CC(C)N(C)Cc1ccc(-c2cc(N(C)c3ccc4ncccc4c3)c3ncccc3c2)cn1</v>
      </c>
      <c r="C20780" s="7">
        <f>IFERROR(__xludf.DUMMYFUNCTION("""COMPUTED_VALUE"""),7.6943984)</f>
        <v>7.6943984</v>
      </c>
      <c r="D20780" s="7">
        <f>IFERROR(__xludf.DUMMYFUNCTION("""COMPUTED_VALUE"""),0.316666666666666)</f>
        <v>0.3166666667</v>
      </c>
    </row>
    <row r="20781">
      <c r="A20781" s="10" t="s">
        <v>22220</v>
      </c>
      <c r="B20781" s="7" t="str">
        <f>IFERROR(__xludf.DUMMYFUNCTION("SPLIT(A20781,"" "")"),"CNCc1cc(-c2ccc3cccnc3c2N(C)C)ccn1")</f>
        <v>CNCc1cc(-c2ccc3cccnc3c2N(C)C)ccn1</v>
      </c>
      <c r="C20781" s="7">
        <f>IFERROR(__xludf.DUMMYFUNCTION("""COMPUTED_VALUE"""),7.6943245)</f>
        <v>7.6943245</v>
      </c>
      <c r="D20781" s="7">
        <f>IFERROR(__xludf.DUMMYFUNCTION("""COMPUTED_VALUE"""),0.352941176470588)</f>
        <v>0.3529411765</v>
      </c>
    </row>
    <row r="20782">
      <c r="A20782" s="10" t="s">
        <v>22221</v>
      </c>
      <c r="B20782" s="7" t="str">
        <f>IFERROR(__xludf.DUMMYFUNCTION("SPLIT(A20782,"" "")"),"CN(Cc1ccc2cccnc2c1)c1cc2ncccc2cc1N(C)Cc1cccnn1")</f>
        <v>CN(Cc1ccc2cccnc2c1)c1cc2ncccc2cc1N(C)Cc1cccnn1</v>
      </c>
      <c r="C20782" s="7">
        <f>IFERROR(__xludf.DUMMYFUNCTION("""COMPUTED_VALUE"""),7.694269)</f>
        <v>7.694269</v>
      </c>
      <c r="D20782" s="7">
        <f>IFERROR(__xludf.DUMMYFUNCTION("""COMPUTED_VALUE"""),0.416666666666666)</f>
        <v>0.4166666667</v>
      </c>
    </row>
    <row r="20783">
      <c r="A20783" s="10" t="s">
        <v>22222</v>
      </c>
      <c r="B20783" s="7" t="str">
        <f>IFERROR(__xludf.DUMMYFUNCTION("SPLIT(A20783,"" "")"),"CC(C)N(C)Cc1cc(-c2cc(N(C)c3ccc4ncccc4c3)cc3cccnc23)ccn1")</f>
        <v>CC(C)N(C)Cc1cc(-c2cc(N(C)c3ccc4ncccc4c3)cc3cccnc23)ccn1</v>
      </c>
      <c r="C20783" s="7">
        <f>IFERROR(__xludf.DUMMYFUNCTION("""COMPUTED_VALUE"""),7.6942673)</f>
        <v>7.6942673</v>
      </c>
      <c r="D20783" s="7">
        <f>IFERROR(__xludf.DUMMYFUNCTION("""COMPUTED_VALUE"""),0.295081967213114)</f>
        <v>0.2950819672</v>
      </c>
    </row>
    <row r="20784">
      <c r="A20784" s="10" t="s">
        <v>22223</v>
      </c>
      <c r="B20784" s="7" t="str">
        <f>IFERROR(__xludf.DUMMYFUNCTION("SPLIT(A20784,"" "")"),"CC(C)N(C)Cc1ccc(-c2cc(N(C)c3ccc4ncccc4c3)c3cccnc3c2)cn1")</f>
        <v>CC(C)N(C)Cc1ccc(-c2cc(N(C)c3ccc4ncccc4c3)c3cccnc3c2)cn1</v>
      </c>
      <c r="C20784" s="7">
        <f>IFERROR(__xludf.DUMMYFUNCTION("""COMPUTED_VALUE"""),7.694258)</f>
        <v>7.694258</v>
      </c>
      <c r="D20784" s="7">
        <f>IFERROR(__xludf.DUMMYFUNCTION("""COMPUTED_VALUE"""),0.274193548387096)</f>
        <v>0.2741935484</v>
      </c>
    </row>
    <row r="20785">
      <c r="A20785" s="10" t="s">
        <v>22224</v>
      </c>
      <c r="B20785" s="7" t="str">
        <f>IFERROR(__xludf.DUMMYFUNCTION("SPLIT(A20785,"" "")"),"CN(CCN(C)c1cccc2ccc(-c3ccc4ncccc4c3)nc12)Cc1ccc2ncccc2c1")</f>
        <v>CN(CCN(C)c1cccc2ccc(-c3ccc4ncccc4c3)nc12)Cc1ccc2ncccc2c1</v>
      </c>
      <c r="C20785" s="7">
        <f>IFERROR(__xludf.DUMMYFUNCTION("""COMPUTED_VALUE"""),7.6942377)</f>
        <v>7.6942377</v>
      </c>
      <c r="D20785" s="7">
        <f>IFERROR(__xludf.DUMMYFUNCTION("""COMPUTED_VALUE"""),0.48076923076923)</f>
        <v>0.4807692308</v>
      </c>
    </row>
    <row r="20786">
      <c r="A20786" s="10" t="s">
        <v>22225</v>
      </c>
      <c r="B20786" s="7" t="str">
        <f>IFERROR(__xludf.DUMMYFUNCTION("SPLIT(A20786,"" "")"),"CN(C)Cc1ccc2cc(N(C)Cc3ccc4cc(N(C)Cc5ccc6ncccc6c5)ccc4n3)ccc2n1")</f>
        <v>CN(C)Cc1ccc2cc(N(C)Cc3ccc4cc(N(C)Cc5ccc6ncccc6c5)ccc4n3)ccc2n1</v>
      </c>
      <c r="C20786" s="7">
        <f>IFERROR(__xludf.DUMMYFUNCTION("""COMPUTED_VALUE"""),7.6941752)</f>
        <v>7.6941752</v>
      </c>
      <c r="D20786" s="7">
        <f>IFERROR(__xludf.DUMMYFUNCTION("""COMPUTED_VALUE"""),0.384615384615384)</f>
        <v>0.3846153846</v>
      </c>
    </row>
    <row r="20787">
      <c r="A20787" s="10" t="s">
        <v>22226</v>
      </c>
      <c r="B20787" s="7" t="str">
        <f>IFERROR(__xludf.DUMMYFUNCTION("SPLIT(A20787,"" "")"),"Cc1cc(C)nc(-c2ccc3cc(N(C)Cc4nc([SiH3])c(C)cc4C)ccc3n2)c1")</f>
        <v>Cc1cc(C)nc(-c2ccc3cc(N(C)Cc4nc([SiH3])c(C)cc4C)ccc3n2)c1</v>
      </c>
      <c r="C20787" s="7">
        <f>IFERROR(__xludf.DUMMYFUNCTION("""COMPUTED_VALUE"""),7.6941676)</f>
        <v>7.6941676</v>
      </c>
      <c r="D20787" s="7">
        <f>IFERROR(__xludf.DUMMYFUNCTION("""COMPUTED_VALUE"""),0.229508196721311)</f>
        <v>0.2295081967</v>
      </c>
    </row>
    <row r="20788">
      <c r="A20788" s="10" t="s">
        <v>22227</v>
      </c>
      <c r="B20788" s="7" t="str">
        <f>IFERROR(__xludf.DUMMYFUNCTION("SPLIT(A20788,"" "")"),"CC(C)N(Cc1cccnc1)c1cc(N(C)c2cccc3ncccc23)cc2ncccc12")</f>
        <v>CC(C)N(Cc1cccnc1)c1cc(N(C)c2cccc3ncccc23)cc2ncccc12</v>
      </c>
      <c r="C20788" s="7">
        <f>IFERROR(__xludf.DUMMYFUNCTION("""COMPUTED_VALUE"""),7.6941648)</f>
        <v>7.6941648</v>
      </c>
      <c r="D20788" s="7">
        <f>IFERROR(__xludf.DUMMYFUNCTION("""COMPUTED_VALUE"""),0.266666666666666)</f>
        <v>0.2666666667</v>
      </c>
    </row>
    <row r="20789">
      <c r="A20789" s="10" t="s">
        <v>22228</v>
      </c>
      <c r="B20789" s="7" t="str">
        <f>IFERROR(__xludf.DUMMYFUNCTION("SPLIT(A20789,"" "")"),"CN(CC1=C(N(C)c2ccc3cccnc3c2)CC=CN1)c1ccc2ncccc2c1")</f>
        <v>CN(CC1=C(N(C)c2ccc3cccnc3c2)CC=CN1)c1ccc2ncccc2c1</v>
      </c>
      <c r="C20789" s="7">
        <f>IFERROR(__xludf.DUMMYFUNCTION("""COMPUTED_VALUE"""),7.6941295)</f>
        <v>7.6941295</v>
      </c>
      <c r="D20789" s="7">
        <f>IFERROR(__xludf.DUMMYFUNCTION("""COMPUTED_VALUE"""),0.278688524590163)</f>
        <v>0.2786885246</v>
      </c>
    </row>
    <row r="20790">
      <c r="A20790" s="10" t="s">
        <v>22229</v>
      </c>
      <c r="B20790" s="7" t="str">
        <f>IFERROR(__xludf.DUMMYFUNCTION("SPLIT(A20790,"" "")"),"CN(Cc1ccc2ncccc2c1)c1ccc2ncccc2c1")</f>
        <v>CN(Cc1ccc2ncccc2c1)c1ccc2ncccc2c1</v>
      </c>
      <c r="C20790" s="7">
        <f>IFERROR(__xludf.DUMMYFUNCTION("""COMPUTED_VALUE"""),7.6941056)</f>
        <v>7.6941056</v>
      </c>
      <c r="D20790" s="7">
        <f>IFERROR(__xludf.DUMMYFUNCTION("""COMPUTED_VALUE"""),0.372093023255813)</f>
        <v>0.3720930233</v>
      </c>
    </row>
    <row r="20791">
      <c r="A20791" s="10" t="s">
        <v>22230</v>
      </c>
      <c r="B20791" s="7" t="str">
        <f>IFERROR(__xludf.DUMMYFUNCTION("SPLIT(A20791,"" "")"),"Cc1cc(N(C)Cc2ccc(-c3cccc(N(C)C)c3)cn2)c2ncccc2c1")</f>
        <v>Cc1cc(N(C)Cc2ccc(-c3cccc(N(C)C)c3)cn2)c2ncccc2c1</v>
      </c>
      <c r="C20791" s="7">
        <f>IFERROR(__xludf.DUMMYFUNCTION("""COMPUTED_VALUE"""),7.694096)</f>
        <v>7.694096</v>
      </c>
      <c r="D20791" s="7">
        <f>IFERROR(__xludf.DUMMYFUNCTION("""COMPUTED_VALUE"""),0.388888888888888)</f>
        <v>0.3888888889</v>
      </c>
    </row>
    <row r="20792">
      <c r="A20792" s="10" t="s">
        <v>22231</v>
      </c>
      <c r="B20792" s="7" t="str">
        <f>IFERROR(__xludf.DUMMYFUNCTION("SPLIT(A20792,"" "")"),"CN(Cc1ccc2cccc(N(Cc3ccc4ncccc4c3)Cc3ccc4ccccc4n3)c2n1)Cc1nc2ccccc2o1")</f>
        <v>CN(Cc1ccc2cccc(N(Cc3ccc4ncccc4c3)Cc3ccc4ccccc4n3)c2n1)Cc1nc2ccccc2o1</v>
      </c>
      <c r="C20792" s="7">
        <f>IFERROR(__xludf.DUMMYFUNCTION("""COMPUTED_VALUE"""),7.69409)</f>
        <v>7.69409</v>
      </c>
      <c r="D20792" s="7">
        <f>IFERROR(__xludf.DUMMYFUNCTION("""COMPUTED_VALUE"""),0.338235294117647)</f>
        <v>0.3382352941</v>
      </c>
    </row>
    <row r="20793">
      <c r="A20793" s="10" t="s">
        <v>22232</v>
      </c>
      <c r="B20793" s="7" t="str">
        <f>IFERROR(__xludf.DUMMYFUNCTION("SPLIT(A20793,"" "")"),"CN(CC1=C(N(C)c2ccc3ncccc3c2)CC=CN1)c1ccc2ncccc2c1")</f>
        <v>CN(CC1=C(N(C)c2ccc3ncccc3c2)CC=CN1)c1ccc2ncccc2c1</v>
      </c>
      <c r="C20793" s="7">
        <f>IFERROR(__xludf.DUMMYFUNCTION("""COMPUTED_VALUE"""),7.694089)</f>
        <v>7.694089</v>
      </c>
      <c r="D20793" s="7">
        <f>IFERROR(__xludf.DUMMYFUNCTION("""COMPUTED_VALUE"""),0.298245614035087)</f>
        <v>0.298245614</v>
      </c>
    </row>
    <row r="20794">
      <c r="A20794" s="10" t="s">
        <v>22233</v>
      </c>
      <c r="B20794" s="7" t="str">
        <f>IFERROR(__xludf.DUMMYFUNCTION("SPLIT(A20794,"" "")"),"CN(Cc1ccc2cccnc2c1)c1ccc2ncccc2c1")</f>
        <v>CN(Cc1ccc2cccnc2c1)c1ccc2ncccc2c1</v>
      </c>
      <c r="C20794" s="7">
        <f>IFERROR(__xludf.DUMMYFUNCTION("""COMPUTED_VALUE"""),7.6940637)</f>
        <v>7.6940637</v>
      </c>
      <c r="D20794" s="7">
        <f>IFERROR(__xludf.DUMMYFUNCTION("""COMPUTED_VALUE"""),0.347826086956521)</f>
        <v>0.347826087</v>
      </c>
    </row>
    <row r="20795">
      <c r="A20795" s="10" t="s">
        <v>22234</v>
      </c>
      <c r="B20795" s="7" t="str">
        <f>IFERROR(__xludf.DUMMYFUNCTION("SPLIT(A20795,"" "")"),"CN(CC1=C(N(C)c2ccc3cccnc3c2)CC=CN1)c1ccc2cccnc2c1")</f>
        <v>CN(CC1=C(N(C)c2ccc3cccnc3c2)CC=CN1)c1ccc2cccnc2c1</v>
      </c>
      <c r="C20795" s="7">
        <f>IFERROR(__xludf.DUMMYFUNCTION("""COMPUTED_VALUE"""),7.6939955)</f>
        <v>7.6939955</v>
      </c>
      <c r="D20795" s="7">
        <f>IFERROR(__xludf.DUMMYFUNCTION("""COMPUTED_VALUE"""),0.293103448275862)</f>
        <v>0.2931034483</v>
      </c>
    </row>
    <row r="20796">
      <c r="A20796" s="10" t="s">
        <v>22235</v>
      </c>
      <c r="B20796" s="7" t="str">
        <f>IFERROR(__xludf.DUMMYFUNCTION("SPLIT(A20796,"" "")"),"CN(CC1=C(N(C)c2ccc3ncccc3c2)CC=CN1)c1ccc2cccnc2c1")</f>
        <v>CN(CC1=C(N(C)c2ccc3ncccc3c2)CC=CN1)c1ccc2cccnc2c1</v>
      </c>
      <c r="C20796" s="7">
        <f>IFERROR(__xludf.DUMMYFUNCTION("""COMPUTED_VALUE"""),7.693959)</f>
        <v>7.693959</v>
      </c>
      <c r="D20796" s="7">
        <f>IFERROR(__xludf.DUMMYFUNCTION("""COMPUTED_VALUE"""),0.278688524590163)</f>
        <v>0.2786885246</v>
      </c>
    </row>
    <row r="20797">
      <c r="A20797" s="10" t="s">
        <v>22236</v>
      </c>
      <c r="B20797" s="7" t="str">
        <f>IFERROR(__xludf.DUMMYFUNCTION("SPLIT(A20797,"" "")"),"Cc1ccnc2cccc(N(C)CCN(C)c3cccc4ncccc34)c12")</f>
        <v>Cc1ccnc2cccc(N(C)CCN(C)c3cccc4ncccc34)c12</v>
      </c>
      <c r="C20797" s="7">
        <f>IFERROR(__xludf.DUMMYFUNCTION("""COMPUTED_VALUE"""),7.6939216)</f>
        <v>7.6939216</v>
      </c>
      <c r="D20797" s="7">
        <f>IFERROR(__xludf.DUMMYFUNCTION("""COMPUTED_VALUE"""),0.488372093023255)</f>
        <v>0.488372093</v>
      </c>
    </row>
    <row r="20798">
      <c r="A20798" s="10" t="s">
        <v>22237</v>
      </c>
      <c r="B20798" s="7" t="str">
        <f>IFERROR(__xludf.DUMMYFUNCTION("SPLIT(A20798,"" "")"),"CNc1ccc2nccc(CN(C)c3ccc4nc(CF)ccc4c3)c2c1")</f>
        <v>CNc1ccc2nccc(CN(C)c3ccc4nc(CF)ccc4c3)c2c1</v>
      </c>
      <c r="C20798" s="7">
        <f>IFERROR(__xludf.DUMMYFUNCTION("""COMPUTED_VALUE"""),7.693918)</f>
        <v>7.693918</v>
      </c>
      <c r="D20798" s="7">
        <f>IFERROR(__xludf.DUMMYFUNCTION("""COMPUTED_VALUE"""),0.26865671641791)</f>
        <v>0.2686567164</v>
      </c>
    </row>
    <row r="20799">
      <c r="A20799" s="10" t="s">
        <v>22238</v>
      </c>
      <c r="B20799" s="7" t="str">
        <f>IFERROR(__xludf.DUMMYFUNCTION("SPLIT(A20799,"" "")"),"Cc1cc(N(C)Cc2ccccn2)c2ncc(-c3ccccc3N(C)C)cc2c1")</f>
        <v>Cc1cc(N(C)Cc2ccccn2)c2ncc(-c3ccccc3N(C)C)cc2c1</v>
      </c>
      <c r="C20799" s="7">
        <f>IFERROR(__xludf.DUMMYFUNCTION("""COMPUTED_VALUE"""),7.6938014)</f>
        <v>7.6938014</v>
      </c>
      <c r="D20799" s="7">
        <f>IFERROR(__xludf.DUMMYFUNCTION("""COMPUTED_VALUE"""),0.461538461538461)</f>
        <v>0.4615384615</v>
      </c>
    </row>
    <row r="20800">
      <c r="A20800" s="10" t="s">
        <v>22239</v>
      </c>
      <c r="B20800" s="7" t="str">
        <f>IFERROR(__xludf.DUMMYFUNCTION("SPLIT(A20800,"" "")"),"CC(C)N(Cc1cccnn1)c1cc2cccnc2cc1N(C)c1ccc2cccnc2c1")</f>
        <v>CC(C)N(Cc1cccnn1)c1cc2cccnc2cc1N(C)c1ccc2cccnc2c1</v>
      </c>
      <c r="C20800" s="7">
        <f>IFERROR(__xludf.DUMMYFUNCTION("""COMPUTED_VALUE"""),7.6936736)</f>
        <v>7.6936736</v>
      </c>
      <c r="D20800" s="7">
        <f>IFERROR(__xludf.DUMMYFUNCTION("""COMPUTED_VALUE"""),0.377358490566037)</f>
        <v>0.3773584906</v>
      </c>
    </row>
    <row r="20801">
      <c r="A20801" s="10" t="s">
        <v>22240</v>
      </c>
      <c r="B20801" s="7" t="str">
        <f>IFERROR(__xludf.DUMMYFUNCTION("SPLIT(A20801,"" "")"),"CNCc1ncccc1-c1cc2cccnc2cc1N(C)C")</f>
        <v>CNCc1ncccc1-c1cc2cccnc2cc1N(C)C</v>
      </c>
      <c r="C20801" s="7">
        <f>IFERROR(__xludf.DUMMYFUNCTION("""COMPUTED_VALUE"""),7.693671)</f>
        <v>7.693671</v>
      </c>
      <c r="D20801" s="7">
        <f>IFERROR(__xludf.DUMMYFUNCTION("""COMPUTED_VALUE"""),0.32)</f>
        <v>0.32</v>
      </c>
    </row>
    <row r="20802">
      <c r="A20802" s="10" t="s">
        <v>22241</v>
      </c>
      <c r="B20802" s="7" t="str">
        <f>IFERROR(__xludf.DUMMYFUNCTION("SPLIT(A20802,"" "")"),"Cc1cccc(-c2ccc(-c3cccc(-c4cc(Cl)cc(Cl)c4)n3)c(Cl)c2NCc2ccccn2)n1")</f>
        <v>Cc1cccc(-c2ccc(-c3cccc(-c4cc(Cl)cc(Cl)c4)n3)c(Cl)c2NCc2ccccn2)n1</v>
      </c>
      <c r="C20802" s="7">
        <f>IFERROR(__xludf.DUMMYFUNCTION("""COMPUTED_VALUE"""),7.693655)</f>
        <v>7.693655</v>
      </c>
      <c r="D20802" s="7">
        <f>IFERROR(__xludf.DUMMYFUNCTION("""COMPUTED_VALUE"""),0.419354838709677)</f>
        <v>0.4193548387</v>
      </c>
    </row>
    <row r="20803">
      <c r="A20803" s="10" t="s">
        <v>22242</v>
      </c>
      <c r="B20803" s="7" t="str">
        <f>IFERROR(__xludf.DUMMYFUNCTION("SPLIT(A20803,"" "")"),"CN(CCN(C)c1cccc2ncc(C3=CCC=CN3)cc12)c1ccc2cccnc2c1")</f>
        <v>CN(CCN(C)c1cccc2ncc(C3=CCC=CN3)cc12)c1ccc2cccnc2c1</v>
      </c>
      <c r="C20803" s="7">
        <f>IFERROR(__xludf.DUMMYFUNCTION("""COMPUTED_VALUE"""),7.693577)</f>
        <v>7.693577</v>
      </c>
      <c r="D20803" s="7">
        <f>IFERROR(__xludf.DUMMYFUNCTION("""COMPUTED_VALUE"""),0.370967741935483)</f>
        <v>0.3709677419</v>
      </c>
    </row>
    <row r="20804">
      <c r="A20804" s="10" t="s">
        <v>22243</v>
      </c>
      <c r="B20804" s="7" t="str">
        <f>IFERROR(__xludf.DUMMYFUNCTION("SPLIT(A20804,"" "")"),"CCN(Cc1ccccn1)c1cc2cccnc2c(C)c1N(C)c1ccc2ncccc2c1")</f>
        <v>CCN(Cc1ccccn1)c1cc2cccnc2c(C)c1N(C)c1ccc2ncccc2c1</v>
      </c>
      <c r="C20804" s="7">
        <f>IFERROR(__xludf.DUMMYFUNCTION("""COMPUTED_VALUE"""),7.6935725)</f>
        <v>7.6935725</v>
      </c>
      <c r="D20804" s="7">
        <f>IFERROR(__xludf.DUMMYFUNCTION("""COMPUTED_VALUE"""),0.362068965517241)</f>
        <v>0.3620689655</v>
      </c>
    </row>
    <row r="20805">
      <c r="A20805" s="10" t="s">
        <v>22244</v>
      </c>
      <c r="B20805" s="7" t="str">
        <f>IFERROR(__xludf.DUMMYFUNCTION("SPLIT(A20805,"" "")"),"CC(C)N(Cc1ccccn1)c1cc(N(C)c2cccc3ncccc23)cc2ncccc12")</f>
        <v>CC(C)N(Cc1ccccn1)c1cc(N(C)c2cccc3ncccc23)cc2ncccc12</v>
      </c>
      <c r="C20805" s="7">
        <f>IFERROR(__xludf.DUMMYFUNCTION("""COMPUTED_VALUE"""),7.6935654)</f>
        <v>7.6935654</v>
      </c>
      <c r="D20805" s="7">
        <f>IFERROR(__xludf.DUMMYFUNCTION("""COMPUTED_VALUE"""),0.396226415094339)</f>
        <v>0.3962264151</v>
      </c>
    </row>
    <row r="20806">
      <c r="A20806" s="10" t="s">
        <v>22245</v>
      </c>
      <c r="B20806" s="7" t="str">
        <f>IFERROR(__xludf.DUMMYFUNCTION("SPLIT(A20806,"" "")"),"Cc1c(N(Cc2ccccn2)c2ccc3cccnc3c2)cc2cccnc2c1N(C)Cc1ccccn1")</f>
        <v>Cc1c(N(Cc2ccccn2)c2ccc3cccnc3c2)cc2cccnc2c1N(C)Cc1ccccn1</v>
      </c>
      <c r="C20806" s="7">
        <f>IFERROR(__xludf.DUMMYFUNCTION("""COMPUTED_VALUE"""),7.693516)</f>
        <v>7.693516</v>
      </c>
      <c r="D20806" s="7">
        <f>IFERROR(__xludf.DUMMYFUNCTION("""COMPUTED_VALUE"""),0.410714285714285)</f>
        <v>0.4107142857</v>
      </c>
    </row>
    <row r="20807">
      <c r="A20807" s="10" t="s">
        <v>22246</v>
      </c>
      <c r="B20807" s="7" t="str">
        <f>IFERROR(__xludf.DUMMYFUNCTION("SPLIT(A20807,"" "")"),"CNCc1ncccc1-c1ccc2cccnc2c1N(C)C")</f>
        <v>CNCc1ncccc1-c1ccc2cccnc2c1N(C)C</v>
      </c>
      <c r="C20807" s="7">
        <f>IFERROR(__xludf.DUMMYFUNCTION("""COMPUTED_VALUE"""),7.693473)</f>
        <v>7.693473</v>
      </c>
      <c r="D20807" s="7">
        <f>IFERROR(__xludf.DUMMYFUNCTION("""COMPUTED_VALUE"""),0.382978723404255)</f>
        <v>0.3829787234</v>
      </c>
    </row>
    <row r="20808">
      <c r="A20808" s="10" t="s">
        <v>22247</v>
      </c>
      <c r="B20808" s="7" t="str">
        <f>IFERROR(__xludf.DUMMYFUNCTION("SPLIT(A20808,"" "")"),"CN(CC1=CCC(N(C)c2ccc3ncccc3c2)=CN1)c1ccc2ncccc2c1")</f>
        <v>CN(CC1=CCC(N(C)c2ccc3ncccc3c2)=CN1)c1ccc2ncccc2c1</v>
      </c>
      <c r="C20808" s="7">
        <f>IFERROR(__xludf.DUMMYFUNCTION("""COMPUTED_VALUE"""),7.6934657)</f>
        <v>7.6934657</v>
      </c>
      <c r="D20808" s="7">
        <f>IFERROR(__xludf.DUMMYFUNCTION("""COMPUTED_VALUE"""),0.29090909090909)</f>
        <v>0.2909090909</v>
      </c>
    </row>
    <row r="20809">
      <c r="A20809" s="10" t="s">
        <v>22248</v>
      </c>
      <c r="B20809" s="7" t="str">
        <f>IFERROR(__xludf.DUMMYFUNCTION("SPLIT(A20809,"" "")"),"CCN(C)c1ccc2nccc(CN(C)c3ccc4ncccc4c3)c2c1")</f>
        <v>CCN(C)c1ccc2nccc(CN(C)c3ccc4ncccc4c3)c2c1</v>
      </c>
      <c r="C20809" s="7">
        <f>IFERROR(__xludf.DUMMYFUNCTION("""COMPUTED_VALUE"""),7.6934566)</f>
        <v>7.6934566</v>
      </c>
      <c r="D20809" s="7">
        <f>IFERROR(__xludf.DUMMYFUNCTION("""COMPUTED_VALUE"""),0.326923076923076)</f>
        <v>0.3269230769</v>
      </c>
    </row>
    <row r="20810">
      <c r="A20810" s="10" t="s">
        <v>22249</v>
      </c>
      <c r="B20810" s="7" t="str">
        <f>IFERROR(__xludf.DUMMYFUNCTION("SPLIT(A20810,"" "")"),"CCN(Cc1ccccn1)c1cc2cccnc2cc1-c1cc(N(C)Cc2ncccc2C)c2ncccc2c1")</f>
        <v>CCN(Cc1ccccn1)c1cc2cccnc2cc1-c1cc(N(C)Cc2ncccc2C)c2ncccc2c1</v>
      </c>
      <c r="C20810" s="7">
        <f>IFERROR(__xludf.DUMMYFUNCTION("""COMPUTED_VALUE"""),7.6933637)</f>
        <v>7.6933637</v>
      </c>
      <c r="D20810" s="7">
        <f>IFERROR(__xludf.DUMMYFUNCTION("""COMPUTED_VALUE"""),0.365079365079365)</f>
        <v>0.3650793651</v>
      </c>
    </row>
    <row r="20811">
      <c r="A20811" s="10" t="s">
        <v>22250</v>
      </c>
      <c r="B20811" s="7" t="str">
        <f>IFERROR(__xludf.DUMMYFUNCTION("SPLIT(A20811,"" "")"),"CN(CC1=CCC(N(C)c2ccc3cccnc3c2)=CN1)c1ccc2cccnc2c1")</f>
        <v>CN(CC1=CCC(N(C)c2ccc3cccnc3c2)=CN1)c1ccc2cccnc2c1</v>
      </c>
      <c r="C20811" s="7">
        <f>IFERROR(__xludf.DUMMYFUNCTION("""COMPUTED_VALUE"""),7.6932516)</f>
        <v>7.6932516</v>
      </c>
      <c r="D20811" s="7">
        <f>IFERROR(__xludf.DUMMYFUNCTION("""COMPUTED_VALUE"""),0.293103448275862)</f>
        <v>0.2931034483</v>
      </c>
    </row>
    <row r="20812">
      <c r="A20812" s="10" t="s">
        <v>22251</v>
      </c>
      <c r="B20812" s="7" t="str">
        <f>IFERROR(__xludf.DUMMYFUNCTION("SPLIT(A20812,"" "")"),"CN(C)Cc1cncc2c(N(C)Cc3cccc(N(C)c4ccc5cccnc5c4)n3)cccc12")</f>
        <v>CN(C)Cc1cncc2c(N(C)Cc3cccc(N(C)c4ccc5cccnc5c4)n3)cccc12</v>
      </c>
      <c r="C20812" s="7">
        <f>IFERROR(__xludf.DUMMYFUNCTION("""COMPUTED_VALUE"""),7.692965)</f>
        <v>7.692965</v>
      </c>
      <c r="D20812" s="7">
        <f>IFERROR(__xludf.DUMMYFUNCTION("""COMPUTED_VALUE"""),0.317460317460317)</f>
        <v>0.3174603175</v>
      </c>
    </row>
    <row r="20813">
      <c r="A20813" s="10" t="s">
        <v>22252</v>
      </c>
      <c r="B20813" s="7" t="str">
        <f>IFERROR(__xludf.DUMMYFUNCTION("SPLIT(A20813,"" "")"),"CN(CC1=C(N(C)c2cccc3ncccc23)CC=CN1)c1ccc2cccnc2c1")</f>
        <v>CN(CC1=C(N(C)c2cccc3ncccc23)CC=CN1)c1ccc2cccnc2c1</v>
      </c>
      <c r="C20813" s="7">
        <f>IFERROR(__xludf.DUMMYFUNCTION("""COMPUTED_VALUE"""),7.6929417)</f>
        <v>7.6929417</v>
      </c>
      <c r="D20813" s="7">
        <f>IFERROR(__xludf.DUMMYFUNCTION("""COMPUTED_VALUE"""),0.317460317460317)</f>
        <v>0.3174603175</v>
      </c>
    </row>
    <row r="20814">
      <c r="A20814" s="10" t="s">
        <v>22253</v>
      </c>
      <c r="B20814" s="7" t="str">
        <f>IFERROR(__xludf.DUMMYFUNCTION("SPLIT(A20814,"" "")"),"CN(Cc1nc2ccccc2o1)Cc1nc2ccccc2n1C")</f>
        <v>CN(Cc1nc2ccccc2o1)Cc1nc2ccccc2n1C</v>
      </c>
      <c r="C20814" s="7">
        <f>IFERROR(__xludf.DUMMYFUNCTION("""COMPUTED_VALUE"""),7.692905)</f>
        <v>7.692905</v>
      </c>
      <c r="D20814" s="7">
        <f>IFERROR(__xludf.DUMMYFUNCTION("""COMPUTED_VALUE"""),0.448979591836734)</f>
        <v>0.4489795918</v>
      </c>
    </row>
    <row r="20815">
      <c r="A20815" s="10" t="s">
        <v>22254</v>
      </c>
      <c r="B20815" s="7" t="str">
        <f>IFERROR(__xludf.DUMMYFUNCTION("SPLIT(A20815,"" "")"),"CN(C)Cc1ccc2ccc(N(C)Cc3cccc(-c4ccc5ncccc5c4)n3)cc2n1")</f>
        <v>CN(C)Cc1ccc2ccc(N(C)Cc3cccc(-c4ccc5ncccc5c4)n3)cc2n1</v>
      </c>
      <c r="C20815" s="7">
        <f>IFERROR(__xludf.DUMMYFUNCTION("""COMPUTED_VALUE"""),7.692901)</f>
        <v>7.692901</v>
      </c>
      <c r="D20815" s="7">
        <f>IFERROR(__xludf.DUMMYFUNCTION("""COMPUTED_VALUE"""),0.38095238095238)</f>
        <v>0.380952381</v>
      </c>
    </row>
    <row r="20816">
      <c r="A20816" s="10" t="s">
        <v>22255</v>
      </c>
      <c r="B20816" s="7" t="str">
        <f>IFERROR(__xludf.DUMMYFUNCTION("SPLIT(A20816,"" "")"),"Cc1ccc2ncccc2c1N(C)C")</f>
        <v>Cc1ccc2ncccc2c1N(C)C</v>
      </c>
      <c r="C20816" s="7">
        <f>IFERROR(__xludf.DUMMYFUNCTION("""COMPUTED_VALUE"""),7.692855)</f>
        <v>7.692855</v>
      </c>
      <c r="D20816" s="7">
        <f>IFERROR(__xludf.DUMMYFUNCTION("""COMPUTED_VALUE"""),0.285714285714285)</f>
        <v>0.2857142857</v>
      </c>
    </row>
    <row r="20817">
      <c r="A20817" s="10" t="s">
        <v>22256</v>
      </c>
      <c r="B20817" s="7" t="str">
        <f>IFERROR(__xludf.DUMMYFUNCTION("SPLIT(A20817,"" "")"),"Cc1cc2ccc(N(C)CCN(C)c3ccc4ncc(-c5ccccc5)cc4c3)cc2nc1-c1ccccc1")</f>
        <v>Cc1cc2ccc(N(C)CCN(C)c3ccc4ncc(-c5ccccc5)cc4c3)cc2nc1-c1ccccc1</v>
      </c>
      <c r="C20817" s="7">
        <f>IFERROR(__xludf.DUMMYFUNCTION("""COMPUTED_VALUE"""),7.6928306)</f>
        <v>7.6928306</v>
      </c>
      <c r="D20817" s="7">
        <f>IFERROR(__xludf.DUMMYFUNCTION("""COMPUTED_VALUE"""),0.245614035087719)</f>
        <v>0.2456140351</v>
      </c>
    </row>
    <row r="20818">
      <c r="A20818" s="10" t="s">
        <v>22257</v>
      </c>
      <c r="B20818" s="7" t="str">
        <f>IFERROR(__xludf.DUMMYFUNCTION("SPLIT(A20818,"" "")"),"CN(C)Cc1ccnc2ccc(N(C)CCN(C)c3ccc4nccc(-c5ccccn5)c4c3)cc12")</f>
        <v>CN(C)Cc1ccnc2ccc(N(C)CCN(C)c3ccc4nccc(-c5ccccn5)c4c3)cc12</v>
      </c>
      <c r="C20818" s="7">
        <f>IFERROR(__xludf.DUMMYFUNCTION("""COMPUTED_VALUE"""),7.6928167)</f>
        <v>7.6928167</v>
      </c>
      <c r="D20818" s="7">
        <f>IFERROR(__xludf.DUMMYFUNCTION("""COMPUTED_VALUE"""),0.310344827586206)</f>
        <v>0.3103448276</v>
      </c>
    </row>
    <row r="20819">
      <c r="A20819" s="10" t="s">
        <v>22258</v>
      </c>
      <c r="B20819" s="7" t="str">
        <f>IFERROR(__xludf.DUMMYFUNCTION("SPLIT(A20819,"" "")"),"CN(CN(C)c1ccc2ncccc2c1)c1ccc2ncccc2c1")</f>
        <v>CN(CN(C)c1ccc2ncccc2c1)c1ccc2ncccc2c1</v>
      </c>
      <c r="C20819" s="7">
        <f>IFERROR(__xludf.DUMMYFUNCTION("""COMPUTED_VALUE"""),7.6928067)</f>
        <v>7.6928067</v>
      </c>
      <c r="D20819" s="7">
        <f>IFERROR(__xludf.DUMMYFUNCTION("""COMPUTED_VALUE"""),0.41025641025641)</f>
        <v>0.4102564103</v>
      </c>
    </row>
    <row r="20820">
      <c r="A20820" s="10" t="s">
        <v>22259</v>
      </c>
      <c r="B20820" s="7" t="str">
        <f>IFERROR(__xludf.DUMMYFUNCTION("SPLIT(A20820,"" "")"),"Cc1cc2ncccc2cc1N(C)C")</f>
        <v>Cc1cc2ncccc2cc1N(C)C</v>
      </c>
      <c r="C20820" s="7">
        <f>IFERROR(__xludf.DUMMYFUNCTION("""COMPUTED_VALUE"""),7.692739)</f>
        <v>7.692739</v>
      </c>
      <c r="D20820" s="7">
        <f>IFERROR(__xludf.DUMMYFUNCTION("""COMPUTED_VALUE"""),0.375)</f>
        <v>0.375</v>
      </c>
    </row>
    <row r="20821">
      <c r="A20821" s="10" t="s">
        <v>22260</v>
      </c>
      <c r="B20821" s="7" t="str">
        <f>IFERROR(__xludf.DUMMYFUNCTION("SPLIT(A20821,"" "")"),"CN(C)Cc1ccc2cc(N(C)c3ccc4cccnc4c3)ccc2n1")</f>
        <v>CN(C)Cc1ccc2cc(N(C)c3ccc4cccnc4c3)ccc2n1</v>
      </c>
      <c r="C20821" s="7">
        <f>IFERROR(__xludf.DUMMYFUNCTION("""COMPUTED_VALUE"""),7.692726)</f>
        <v>7.692726</v>
      </c>
      <c r="D20821" s="7">
        <f>IFERROR(__xludf.DUMMYFUNCTION("""COMPUTED_VALUE"""),0.456521739130434)</f>
        <v>0.4565217391</v>
      </c>
    </row>
    <row r="20822">
      <c r="A20822" s="10" t="s">
        <v>22261</v>
      </c>
      <c r="B20822" s="7" t="str">
        <f>IFERROR(__xludf.DUMMYFUNCTION("SPLIT(A20822,"" "")"),"CN(C)Cc1ccc2cc(N(C)c3ccc4ncccc4c3)ccc2n1")</f>
        <v>CN(C)Cc1ccc2cc(N(C)c3ccc4ncccc4c3)ccc2n1</v>
      </c>
      <c r="C20822" s="7">
        <f>IFERROR(__xludf.DUMMYFUNCTION("""COMPUTED_VALUE"""),7.6927204)</f>
        <v>7.6927204</v>
      </c>
      <c r="D20822" s="7">
        <f>IFERROR(__xludf.DUMMYFUNCTION("""COMPUTED_VALUE"""),0.434782608695652)</f>
        <v>0.4347826087</v>
      </c>
    </row>
    <row r="20823">
      <c r="A20823" s="10" t="s">
        <v>22262</v>
      </c>
      <c r="B20823" s="7" t="str">
        <f>IFERROR(__xludf.DUMMYFUNCTION("SPLIT(A20823,"" "")"),"CNCc1cc(-c2cc(N(C)C)c3ncccc3c2)ccn1")</f>
        <v>CNCc1cc(-c2cc(N(C)C)c3ncccc3c2)ccn1</v>
      </c>
      <c r="C20823" s="7">
        <f>IFERROR(__xludf.DUMMYFUNCTION("""COMPUTED_VALUE"""),7.6927133)</f>
        <v>7.6927133</v>
      </c>
      <c r="D20823" s="7">
        <f>IFERROR(__xludf.DUMMYFUNCTION("""COMPUTED_VALUE"""),0.387755102040816)</f>
        <v>0.387755102</v>
      </c>
    </row>
    <row r="20824">
      <c r="A20824" s="10" t="s">
        <v>22263</v>
      </c>
      <c r="B20824" s="7" t="str">
        <f>IFERROR(__xludf.DUMMYFUNCTION("SPLIT(A20824,"" "")"),"CCn1c(CN(C)CCN(c2ccc3ncccc3c2)c2cccc3c(C)ccnc23)nc2ccccc21")</f>
        <v>CCn1c(CN(C)CCN(c2ccc3ncccc3c2)c2cccc3c(C)ccnc23)nc2ccccc21</v>
      </c>
      <c r="C20824" s="7">
        <f>IFERROR(__xludf.DUMMYFUNCTION("""COMPUTED_VALUE"""),7.6926837)</f>
        <v>7.6926837</v>
      </c>
      <c r="D20824" s="7">
        <f>IFERROR(__xludf.DUMMYFUNCTION("""COMPUTED_VALUE"""),0.375)</f>
        <v>0.375</v>
      </c>
    </row>
    <row r="20825">
      <c r="A20825" s="10" t="s">
        <v>22264</v>
      </c>
      <c r="B20825" s="7" t="str">
        <f>IFERROR(__xludf.DUMMYFUNCTION("SPLIT(A20825,"" "")"),"CNc1cc2cccnc2cc1-c1ncccc1-c1ccc(NCc2ccccn2)cc1")</f>
        <v>CNc1cc2cccnc2cc1-c1ncccc1-c1ccc(NCc2ccccn2)cc1</v>
      </c>
      <c r="C20825" s="7">
        <f>IFERROR(__xludf.DUMMYFUNCTION("""COMPUTED_VALUE"""),7.6926675)</f>
        <v>7.6926675</v>
      </c>
      <c r="D20825" s="7">
        <f>IFERROR(__xludf.DUMMYFUNCTION("""COMPUTED_VALUE"""),0.403225806451612)</f>
        <v>0.4032258065</v>
      </c>
    </row>
    <row r="20826">
      <c r="A20826" s="10" t="s">
        <v>22265</v>
      </c>
      <c r="B20826" s="7" t="str">
        <f>IFERROR(__xludf.DUMMYFUNCTION("SPLIT(A20826,"" "")"),"CN(CN(C)c1ccc2cccnc2c1)c1ccc2ncccc2c1")</f>
        <v>CN(CN(C)c1ccc2cccnc2c1)c1ccc2ncccc2c1</v>
      </c>
      <c r="C20826" s="7">
        <f>IFERROR(__xludf.DUMMYFUNCTION("""COMPUTED_VALUE"""),7.692569)</f>
        <v>7.692569</v>
      </c>
      <c r="D20826" s="7">
        <f>IFERROR(__xludf.DUMMYFUNCTION("""COMPUTED_VALUE"""),0.372093023255813)</f>
        <v>0.3720930233</v>
      </c>
    </row>
    <row r="20827">
      <c r="A20827" s="10" t="s">
        <v>22266</v>
      </c>
      <c r="B20827" s="7" t="str">
        <f>IFERROR(__xludf.DUMMYFUNCTION("SPLIT(A20827,"" "")"),"CNCc1ccc2cccc(N(C)c3ccc4ncccc4c3)c2n1")</f>
        <v>CNCc1ccc2cccc(N(C)c3ccc4ncccc4c3)c2n1</v>
      </c>
      <c r="C20827" s="7">
        <f>IFERROR(__xludf.DUMMYFUNCTION("""COMPUTED_VALUE"""),7.6925383)</f>
        <v>7.6925383</v>
      </c>
      <c r="D20827" s="7">
        <f>IFERROR(__xludf.DUMMYFUNCTION("""COMPUTED_VALUE"""),0.392156862745098)</f>
        <v>0.3921568627</v>
      </c>
    </row>
    <row r="20828">
      <c r="A20828" s="10" t="s">
        <v>22267</v>
      </c>
      <c r="B20828" s="7" t="str">
        <f>IFERROR(__xludf.DUMMYFUNCTION("SPLIT(A20828,"" "")"),"Cc1cc2cccnc2cc1N(C)C")</f>
        <v>Cc1cc2cccnc2cc1N(C)C</v>
      </c>
      <c r="C20828" s="7">
        <f>IFERROR(__xludf.DUMMYFUNCTION("""COMPUTED_VALUE"""),7.692488)</f>
        <v>7.692488</v>
      </c>
      <c r="D20828" s="7">
        <f>IFERROR(__xludf.DUMMYFUNCTION("""COMPUTED_VALUE"""),0.375)</f>
        <v>0.375</v>
      </c>
    </row>
    <row r="20829">
      <c r="A20829" s="10" t="s">
        <v>22268</v>
      </c>
      <c r="B20829" s="7" t="str">
        <f>IFERROR(__xludf.DUMMYFUNCTION("SPLIT(A20829,"" "")"),"CN(CCN(C)c1ccc2nccc(C3=CCC=CN3)c2c1)c1ccc2ncccc2c1")</f>
        <v>CN(CCN(C)c1ccc2nccc(C3=CCC=CN3)c2c1)c1ccc2ncccc2c1</v>
      </c>
      <c r="C20829" s="7">
        <f>IFERROR(__xludf.DUMMYFUNCTION("""COMPUTED_VALUE"""),7.692442)</f>
        <v>7.692442</v>
      </c>
      <c r="D20829" s="7">
        <f>IFERROR(__xludf.DUMMYFUNCTION("""COMPUTED_VALUE"""),0.307692307692307)</f>
        <v>0.3076923077</v>
      </c>
    </row>
    <row r="20830">
      <c r="A20830" s="10" t="s">
        <v>22269</v>
      </c>
      <c r="B20830" s="7" t="str">
        <f>IFERROR(__xludf.DUMMYFUNCTION("SPLIT(A20830,"" "")"),"CN(CN(C)c1ccc2cccnc2c1)c1ccc2cccnc2c1")</f>
        <v>CN(CN(C)c1ccc2cccnc2c1)c1ccc2cccnc2c1</v>
      </c>
      <c r="C20830" s="7">
        <f>IFERROR(__xludf.DUMMYFUNCTION("""COMPUTED_VALUE"""),7.692336)</f>
        <v>7.692336</v>
      </c>
      <c r="D20830" s="7">
        <f>IFERROR(__xludf.DUMMYFUNCTION("""COMPUTED_VALUE"""),0.4)</f>
        <v>0.4</v>
      </c>
    </row>
    <row r="20831">
      <c r="A20831" s="10" t="s">
        <v>22270</v>
      </c>
      <c r="B20831" s="7" t="str">
        <f>IFERROR(__xludf.DUMMYFUNCTION("SPLIT(A20831,"" "")"),"CNCc1cc(-c2cc(N(C)C)c3cccnc3c2)ccn1")</f>
        <v>CNCc1cc(-c2cc(N(C)C)c3cccnc3c2)ccn1</v>
      </c>
      <c r="C20831" s="7">
        <f>IFERROR(__xludf.DUMMYFUNCTION("""COMPUTED_VALUE"""),7.6922655)</f>
        <v>7.6922655</v>
      </c>
      <c r="D20831" s="7">
        <f>IFERROR(__xludf.DUMMYFUNCTION("""COMPUTED_VALUE"""),0.296296296296296)</f>
        <v>0.2962962963</v>
      </c>
    </row>
    <row r="20832">
      <c r="A20832" s="10" t="s">
        <v>22271</v>
      </c>
      <c r="B20832" s="7" t="str">
        <f>IFERROR(__xludf.DUMMYFUNCTION("SPLIT(A20832,"" "")"),"Cc1ccnc2cccc(N(CCN(C)c3cccc4nccc(CF)c34)CN(C)c3cccc4ncccc34)c12")</f>
        <v>Cc1ccnc2cccc(N(CCN(C)c3cccc4nccc(CF)c34)CN(C)c3cccc4ncccc34)c12</v>
      </c>
      <c r="C20832" s="7">
        <f>IFERROR(__xludf.DUMMYFUNCTION("""COMPUTED_VALUE"""),7.6922355)</f>
        <v>7.6922355</v>
      </c>
      <c r="D20832" s="7">
        <f>IFERROR(__xludf.DUMMYFUNCTION("""COMPUTED_VALUE"""),0.362068965517241)</f>
        <v>0.3620689655</v>
      </c>
    </row>
    <row r="20833">
      <c r="A20833" s="10" t="s">
        <v>22272</v>
      </c>
      <c r="B20833" s="7" t="str">
        <f>IFERROR(__xludf.DUMMYFUNCTION("SPLIT(A20833,"" "")"),"Cc1ccc2c(N(C)CCN(C)c3cccc4nccc(C)c34)cccc2n1")</f>
        <v>Cc1ccc2c(N(C)CCN(C)c3cccc4nccc(C)c34)cccc2n1</v>
      </c>
      <c r="C20833" s="7">
        <f>IFERROR(__xludf.DUMMYFUNCTION("""COMPUTED_VALUE"""),7.692224)</f>
        <v>7.692224</v>
      </c>
      <c r="D20833" s="7">
        <f>IFERROR(__xludf.DUMMYFUNCTION("""COMPUTED_VALUE"""),0.425531914893617)</f>
        <v>0.4255319149</v>
      </c>
    </row>
    <row r="20834">
      <c r="A20834" s="10" t="s">
        <v>22273</v>
      </c>
      <c r="B20834" s="7" t="str">
        <f>IFERROR(__xludf.DUMMYFUNCTION("SPLIT(A20834,"" "")"),"Cc1ccc(CN(C)c2cc(Cl)c3cc(-c4ccccn4)cnc3c2N(C)Cc2ccccn2)nc1")</f>
        <v>Cc1ccc(CN(C)c2cc(Cl)c3cc(-c4ccccn4)cnc3c2N(C)Cc2ccccn2)nc1</v>
      </c>
      <c r="C20834" s="7">
        <f>IFERROR(__xludf.DUMMYFUNCTION("""COMPUTED_VALUE"""),7.6922207)</f>
        <v>7.6922207</v>
      </c>
      <c r="D20834" s="7">
        <f>IFERROR(__xludf.DUMMYFUNCTION("""COMPUTED_VALUE"""),0.49090909090909)</f>
        <v>0.4909090909</v>
      </c>
    </row>
    <row r="20835">
      <c r="A20835" s="10" t="s">
        <v>22274</v>
      </c>
      <c r="B20835" s="7" t="str">
        <f>IFERROR(__xludf.DUMMYFUNCTION("SPLIT(A20835,"" "")"),"CNc1ccc2nccc(CN(C)c3ccc4nccc(CN(C)C)c4c3)c2c1")</f>
        <v>CNc1ccc2nccc(CN(C)c3ccc4nccc(CN(C)C)c4c3)c2c1</v>
      </c>
      <c r="C20835" s="7">
        <f>IFERROR(__xludf.DUMMYFUNCTION("""COMPUTED_VALUE"""),7.692164)</f>
        <v>7.692164</v>
      </c>
      <c r="D20835" s="7">
        <f>IFERROR(__xludf.DUMMYFUNCTION("""COMPUTED_VALUE"""),0.232142857142857)</f>
        <v>0.2321428571</v>
      </c>
    </row>
    <row r="20836">
      <c r="A20836" s="10" t="s">
        <v>22275</v>
      </c>
      <c r="B20836" s="7" t="str">
        <f>IFERROR(__xludf.DUMMYFUNCTION("SPLIT(A20836,"" "")"),"CN(CC1=C(N(C)c2cccc3cccnc23)CC=CN1)c1cccc2ncccc12")</f>
        <v>CN(CC1=C(N(C)c2cccc3cccnc23)CC=CN1)c1cccc2ncccc12</v>
      </c>
      <c r="C20836" s="7">
        <f>IFERROR(__xludf.DUMMYFUNCTION("""COMPUTED_VALUE"""),7.6920705)</f>
        <v>7.6920705</v>
      </c>
      <c r="D20836" s="7">
        <f>IFERROR(__xludf.DUMMYFUNCTION("""COMPUTED_VALUE"""),0.436363636363636)</f>
        <v>0.4363636364</v>
      </c>
    </row>
    <row r="20837">
      <c r="A20837" s="10" t="s">
        <v>22276</v>
      </c>
      <c r="B20837" s="7" t="str">
        <f>IFERROR(__xludf.DUMMYFUNCTION("SPLIT(A20837,"" "")"),"CCNc1cccc2c(-c3ccc(-c4cccc(N=Cc5ccccn5)c4)cn3)ccnc12")</f>
        <v>CCNc1cccc2c(-c3ccc(-c4cccc(N=Cc5ccccn5)c4)cn3)ccnc12</v>
      </c>
      <c r="C20837" s="7">
        <f>IFERROR(__xludf.DUMMYFUNCTION("""COMPUTED_VALUE"""),7.692034)</f>
        <v>7.692034</v>
      </c>
      <c r="D20837" s="7">
        <f>IFERROR(__xludf.DUMMYFUNCTION("""COMPUTED_VALUE"""),0.308823529411764)</f>
        <v>0.3088235294</v>
      </c>
    </row>
    <row r="20838">
      <c r="A20838" s="10" t="s">
        <v>22277</v>
      </c>
      <c r="B20838" s="7" t="str">
        <f>IFERROR(__xludf.DUMMYFUNCTION("SPLIT(A20838,"" "")"),"CN(C)Cc1ccc2ccc(N(C)c3ccc4ncccc4c3)cc2n1")</f>
        <v>CN(C)Cc1ccc2ccc(N(C)c3ccc4ncccc4c3)cc2n1</v>
      </c>
      <c r="C20838" s="7">
        <f>IFERROR(__xludf.DUMMYFUNCTION("""COMPUTED_VALUE"""),7.691964)</f>
        <v>7.691964</v>
      </c>
      <c r="D20838" s="7">
        <f>IFERROR(__xludf.DUMMYFUNCTION("""COMPUTED_VALUE"""),0.425531914893617)</f>
        <v>0.4255319149</v>
      </c>
    </row>
    <row r="20839">
      <c r="A20839" s="10" t="s">
        <v>22278</v>
      </c>
      <c r="B20839" s="7" t="str">
        <f>IFERROR(__xludf.DUMMYFUNCTION("SPLIT(A20839,"" "")"),"CN(Cc1cc(-c2ccc3ncccc3c2)ccn1)Cc1cc(-c2ccc3ncccc3c2)ccn1")</f>
        <v>CN(Cc1cc(-c2ccc3ncccc3c2)ccn1)Cc1cc(-c2ccc3ncccc3c2)ccn1</v>
      </c>
      <c r="C20839" s="7">
        <f>IFERROR(__xludf.DUMMYFUNCTION("""COMPUTED_VALUE"""),7.69179)</f>
        <v>7.69179</v>
      </c>
      <c r="D20839" s="7">
        <f>IFERROR(__xludf.DUMMYFUNCTION("""COMPUTED_VALUE"""),0.404255319148936)</f>
        <v>0.4042553191</v>
      </c>
    </row>
    <row r="20840">
      <c r="A20840" s="10" t="s">
        <v>22279</v>
      </c>
      <c r="B20840" s="7" t="str">
        <f>IFERROR(__xludf.DUMMYFUNCTION("SPLIT(A20840,"" "")"),"Cc1ccc(N(C)C)c2cccnc12")</f>
        <v>Cc1ccc(N(C)C)c2cccnc12</v>
      </c>
      <c r="C20840" s="7">
        <f>IFERROR(__xludf.DUMMYFUNCTION("""COMPUTED_VALUE"""),7.691764)</f>
        <v>7.691764</v>
      </c>
      <c r="D20840" s="7">
        <f>IFERROR(__xludf.DUMMYFUNCTION("""COMPUTED_VALUE"""),0.384615384615384)</f>
        <v>0.3846153846</v>
      </c>
    </row>
    <row r="20841">
      <c r="A20841" s="10" t="s">
        <v>22280</v>
      </c>
      <c r="B20841" s="7" t="str">
        <f>IFERROR(__xludf.DUMMYFUNCTION("SPLIT(A20841,"" "")"),"CN(CC1=C(N(C)c2cccc3ncccc23)CC=CN1)c1cccc2ncccc12")</f>
        <v>CN(CC1=C(N(C)c2cccc3ncccc23)CC=CN1)c1cccc2ncccc12</v>
      </c>
      <c r="C20841" s="7">
        <f>IFERROR(__xludf.DUMMYFUNCTION("""COMPUTED_VALUE"""),7.6916704)</f>
        <v>7.6916704</v>
      </c>
      <c r="D20841" s="7">
        <f>IFERROR(__xludf.DUMMYFUNCTION("""COMPUTED_VALUE"""),0.345454545454545)</f>
        <v>0.3454545455</v>
      </c>
    </row>
    <row r="20842">
      <c r="A20842" s="10" t="s">
        <v>22281</v>
      </c>
      <c r="B20842" s="7" t="str">
        <f>IFERROR(__xludf.DUMMYFUNCTION("SPLIT(A20842,"" "")"),"Cc1ccnc2ccc(N(C)CCN(C)c3ccc4nccc(C)c4c3)cc12")</f>
        <v>Cc1ccnc2ccc(N(C)CCN(C)c3ccc4nccc(C)c4c3)cc12</v>
      </c>
      <c r="C20842" s="7">
        <f>IFERROR(__xludf.DUMMYFUNCTION("""COMPUTED_VALUE"""),7.691621)</f>
        <v>7.691621</v>
      </c>
      <c r="D20842" s="7">
        <f>IFERROR(__xludf.DUMMYFUNCTION("""COMPUTED_VALUE"""),0.295454545454545)</f>
        <v>0.2954545455</v>
      </c>
    </row>
    <row r="20843">
      <c r="A20843" s="10" t="s">
        <v>22282</v>
      </c>
      <c r="B20843" s="7" t="str">
        <f>IFERROR(__xludf.DUMMYFUNCTION("SPLIT(A20843,"" "")"),"CN(C)c1ccc(-c2ccc3ncccc3c2)cc1")</f>
        <v>CN(C)c1ccc(-c2ccc3ncccc3c2)cc1</v>
      </c>
      <c r="C20843" s="7">
        <f>IFERROR(__xludf.DUMMYFUNCTION("""COMPUTED_VALUE"""),7.6915913)</f>
        <v>7.6915913</v>
      </c>
      <c r="D20843" s="7">
        <f>IFERROR(__xludf.DUMMYFUNCTION("""COMPUTED_VALUE"""),0.333333333333333)</f>
        <v>0.3333333333</v>
      </c>
    </row>
    <row r="20844">
      <c r="A20844" s="10" t="s">
        <v>22283</v>
      </c>
      <c r="B20844" s="7" t="str">
        <f>IFERROR(__xludf.DUMMYFUNCTION("SPLIT(A20844,"" "")"),"CNCc1cc2cccc(N(C)Cc3cccc(-c4cccc5cccnc45)n3)c2cn1")</f>
        <v>CNCc1cc2cccc(N(C)Cc3cccc(-c4cccc5cccnc45)n3)c2cn1</v>
      </c>
      <c r="C20844" s="7">
        <f>IFERROR(__xludf.DUMMYFUNCTION("""COMPUTED_VALUE"""),7.6915865)</f>
        <v>7.6915865</v>
      </c>
      <c r="D20844" s="7">
        <f>IFERROR(__xludf.DUMMYFUNCTION("""COMPUTED_VALUE"""),0.392857142857142)</f>
        <v>0.3928571429</v>
      </c>
    </row>
    <row r="20845">
      <c r="A20845" s="10" t="s">
        <v>22284</v>
      </c>
      <c r="B20845" s="7" t="str">
        <f>IFERROR(__xludf.DUMMYFUNCTION("SPLIT(A20845,"" "")"),"CNCc1ccc(-c2ccc(N(C)C)c3ncccc23)cn1")</f>
        <v>CNCc1ccc(-c2ccc(N(C)C)c3ncccc23)cn1</v>
      </c>
      <c r="C20845" s="7">
        <f>IFERROR(__xludf.DUMMYFUNCTION("""COMPUTED_VALUE"""),7.691448)</f>
        <v>7.691448</v>
      </c>
      <c r="D20845" s="7">
        <f>IFERROR(__xludf.DUMMYFUNCTION("""COMPUTED_VALUE"""),0.30188679245283)</f>
        <v>0.3018867925</v>
      </c>
    </row>
    <row r="20846">
      <c r="A20846" s="10" t="s">
        <v>22285</v>
      </c>
      <c r="B20846" s="7" t="str">
        <f>IFERROR(__xludf.DUMMYFUNCTION("SPLIT(A20846,"" "")"),"CN(CC1=CCC=C(N(C)c2ccc3ncccc3c2)N1)c1ccc2ncccc2c1")</f>
        <v>CN(CC1=CCC=C(N(C)c2ccc3ncccc3c2)N1)c1ccc2ncccc2c1</v>
      </c>
      <c r="C20846" s="7">
        <f>IFERROR(__xludf.DUMMYFUNCTION("""COMPUTED_VALUE"""),7.6914268)</f>
        <v>7.6914268</v>
      </c>
      <c r="D20846" s="7">
        <f>IFERROR(__xludf.DUMMYFUNCTION("""COMPUTED_VALUE"""),0.29090909090909)</f>
        <v>0.2909090909</v>
      </c>
    </row>
    <row r="20847">
      <c r="A20847" s="10" t="s">
        <v>22286</v>
      </c>
      <c r="B20847" s="7" t="str">
        <f>IFERROR(__xludf.DUMMYFUNCTION("SPLIT(A20847,"" "")"),"CN(CCN(Cc1ncccc1-c1ccc2ncccc2c1)c1ccc2ncccc2c1)c1ccc2ncccc2c1")</f>
        <v>CN(CCN(Cc1ncccc1-c1ccc2ncccc2c1)c1ccc2ncccc2c1)c1ccc2ncccc2c1</v>
      </c>
      <c r="C20847" s="7">
        <f>IFERROR(__xludf.DUMMYFUNCTION("""COMPUTED_VALUE"""),7.691393)</f>
        <v>7.691393</v>
      </c>
      <c r="D20847" s="7">
        <f>IFERROR(__xludf.DUMMYFUNCTION("""COMPUTED_VALUE"""),0.339622641509433)</f>
        <v>0.3396226415</v>
      </c>
    </row>
    <row r="20848">
      <c r="A20848" s="10" t="s">
        <v>22287</v>
      </c>
      <c r="B20848" s="7" t="str">
        <f>IFERROR(__xludf.DUMMYFUNCTION("SPLIT(A20848,"" "")"),"CN(CCN(Cc1cc(-c2ccc3cccnc3c2)ccn1)c1ccc2ncccc2c1)c1ccc2ncccc2c1")</f>
        <v>CN(CCN(Cc1cc(-c2ccc3cccnc3c2)ccn1)c1ccc2ncccc2c1)c1ccc2ncccc2c1</v>
      </c>
      <c r="C20848" s="7">
        <f>IFERROR(__xludf.DUMMYFUNCTION("""COMPUTED_VALUE"""),7.691376)</f>
        <v>7.691376</v>
      </c>
      <c r="D20848" s="7">
        <f>IFERROR(__xludf.DUMMYFUNCTION("""COMPUTED_VALUE"""),0.327586206896551)</f>
        <v>0.3275862069</v>
      </c>
    </row>
    <row r="20849">
      <c r="A20849" s="10" t="s">
        <v>22288</v>
      </c>
      <c r="B20849" s="7" t="str">
        <f>IFERROR(__xludf.DUMMYFUNCTION("SPLIT(A20849,"" "")"),"c1cncc(-c2ccc3ncccc3c2)c1")</f>
        <v>c1cncc(-c2ccc3ncccc3c2)c1</v>
      </c>
      <c r="C20849" s="7">
        <f>IFERROR(__xludf.DUMMYFUNCTION("""COMPUTED_VALUE"""),7.6913595)</f>
        <v>7.6913595</v>
      </c>
      <c r="D20849" s="7">
        <f>IFERROR(__xludf.DUMMYFUNCTION("""COMPUTED_VALUE"""),0.25)</f>
        <v>0.25</v>
      </c>
    </row>
    <row r="20850">
      <c r="A20850" s="10" t="s">
        <v>22289</v>
      </c>
      <c r="B20850" s="7" t="str">
        <f>IFERROR(__xludf.DUMMYFUNCTION("SPLIT(A20850,"" "")"),"CN(CC1=CCC=C(N(C)c2ccc3cccnc3c2)N1)c1ccc2ncccc2c1")</f>
        <v>CN(CC1=CCC=C(N(C)c2ccc3cccnc3c2)N1)c1ccc2ncccc2c1</v>
      </c>
      <c r="C20850" s="7">
        <f>IFERROR(__xludf.DUMMYFUNCTION("""COMPUTED_VALUE"""),7.691351)</f>
        <v>7.691351</v>
      </c>
      <c r="D20850" s="7">
        <f>IFERROR(__xludf.DUMMYFUNCTION("""COMPUTED_VALUE"""),0.278688524590163)</f>
        <v>0.2786885246</v>
      </c>
    </row>
    <row r="20851">
      <c r="A20851" s="10" t="s">
        <v>22290</v>
      </c>
      <c r="B20851" s="7" t="str">
        <f>IFERROR(__xludf.DUMMYFUNCTION("SPLIT(A20851,"" "")"),"Cc1cccc2ccc(CN(C)c3ccc4ccc(CN(C)c5ccc6ccc(CN(C)C)nc6c5)nc4c3)nc12")</f>
        <v>Cc1cccc2ccc(CN(C)c3ccc4ccc(CN(C)c5ccc6ccc(CN(C)C)nc6c5)nc4c3)nc12</v>
      </c>
      <c r="C20851" s="7">
        <f>IFERROR(__xludf.DUMMYFUNCTION("""COMPUTED_VALUE"""),7.691349)</f>
        <v>7.691349</v>
      </c>
      <c r="D20851" s="7">
        <f>IFERROR(__xludf.DUMMYFUNCTION("""COMPUTED_VALUE"""),0.377777777777777)</f>
        <v>0.3777777778</v>
      </c>
    </row>
    <row r="20852">
      <c r="A20852" s="10" t="s">
        <v>22291</v>
      </c>
      <c r="B20852" s="7" t="str">
        <f>IFERROR(__xludf.DUMMYFUNCTION("SPLIT(A20852,"" "")"),"CNCc1cc2cccc(N(C)Cc3cc(-c4ccc5ncccc5c4)ccn3)c2cn1")</f>
        <v>CNCc1cc2cccc(N(C)Cc3cc(-c4ccc5ncccc5c4)ccn3)c2cn1</v>
      </c>
      <c r="C20852" s="7">
        <f>IFERROR(__xludf.DUMMYFUNCTION("""COMPUTED_VALUE"""),7.691312)</f>
        <v>7.691312</v>
      </c>
      <c r="D20852" s="7">
        <f>IFERROR(__xludf.DUMMYFUNCTION("""COMPUTED_VALUE"""),0.333333333333333)</f>
        <v>0.3333333333</v>
      </c>
    </row>
    <row r="20853">
      <c r="A20853" s="10" t="s">
        <v>22292</v>
      </c>
      <c r="B20853" s="7" t="str">
        <f>IFERROR(__xludf.DUMMYFUNCTION("SPLIT(A20853,"" "")"),"CN(CC1=CCC=C(N(C)c2ccc3cccnc3c2)N1)c1ccc2cccnc2c1")</f>
        <v>CN(CC1=CCC=C(N(C)c2ccc3cccnc3c2)N1)c1ccc2cccnc2c1</v>
      </c>
      <c r="C20853" s="7">
        <f>IFERROR(__xludf.DUMMYFUNCTION("""COMPUTED_VALUE"""),7.6911907)</f>
        <v>7.6911907</v>
      </c>
      <c r="D20853" s="7">
        <f>IFERROR(__xludf.DUMMYFUNCTION("""COMPUTED_VALUE"""),0.293103448275862)</f>
        <v>0.2931034483</v>
      </c>
    </row>
    <row r="20854">
      <c r="A20854" s="10" t="s">
        <v>22293</v>
      </c>
      <c r="B20854" s="7" t="str">
        <f>IFERROR(__xludf.DUMMYFUNCTION("SPLIT(A20854,"" "")"),"Cc1c(N(C)C)ccc2ncccc12")</f>
        <v>Cc1c(N(C)C)ccc2ncccc12</v>
      </c>
      <c r="C20854" s="7">
        <f>IFERROR(__xludf.DUMMYFUNCTION("""COMPUTED_VALUE"""),7.691178)</f>
        <v>7.691178</v>
      </c>
      <c r="D20854" s="7">
        <f>IFERROR(__xludf.DUMMYFUNCTION("""COMPUTED_VALUE"""),0.317073170731707)</f>
        <v>0.3170731707</v>
      </c>
    </row>
    <row r="20855">
      <c r="A20855" s="10" t="s">
        <v>22294</v>
      </c>
      <c r="B20855" s="7" t="str">
        <f>IFERROR(__xludf.DUMMYFUNCTION("SPLIT(A20855,"" "")"),"CCN(Cc1ccccn1)c1ccc2nccc(-c3ccc4ncccc4c3)c2c1")</f>
        <v>CCN(Cc1ccccn1)c1ccc2nccc(-c3ccc4ncccc4c3)c2c1</v>
      </c>
      <c r="C20855" s="7">
        <f>IFERROR(__xludf.DUMMYFUNCTION("""COMPUTED_VALUE"""),7.6911364)</f>
        <v>7.6911364</v>
      </c>
      <c r="D20855" s="7">
        <f>IFERROR(__xludf.DUMMYFUNCTION("""COMPUTED_VALUE"""),0.350877192982456)</f>
        <v>0.350877193</v>
      </c>
    </row>
    <row r="20856">
      <c r="A20856" s="10" t="s">
        <v>22295</v>
      </c>
      <c r="B20856" s="7" t="str">
        <f>IFERROR(__xludf.DUMMYFUNCTION("SPLIT(A20856,"" "")"),"CNc1ccc2nc(CN(C)Cc3ccc4cccc(N(C)c5ccc6ncccc6c5)c4n3)ccc2c1")</f>
        <v>CNc1ccc2nc(CN(C)Cc3ccc4cccc(N(C)c5ccc6ncccc6c5)c4n3)ccc2c1</v>
      </c>
      <c r="C20856" s="7">
        <f>IFERROR(__xludf.DUMMYFUNCTION("""COMPUTED_VALUE"""),7.690975)</f>
        <v>7.690975</v>
      </c>
      <c r="D20856" s="7">
        <f>IFERROR(__xludf.DUMMYFUNCTION("""COMPUTED_VALUE"""),0.362068965517241)</f>
        <v>0.3620689655</v>
      </c>
    </row>
    <row r="20857">
      <c r="A20857" s="10" t="s">
        <v>22296</v>
      </c>
      <c r="B20857" s="7" t="str">
        <f>IFERROR(__xludf.DUMMYFUNCTION("SPLIT(A20857,"" "")"),"CN(C)c1ccc2ccc(C3=CCC=CN3)nc2c1")</f>
        <v>CN(C)c1ccc2ccc(C3=CCC=CN3)nc2c1</v>
      </c>
      <c r="C20857" s="7">
        <f>IFERROR(__xludf.DUMMYFUNCTION("""COMPUTED_VALUE"""),7.690926)</f>
        <v>7.690926</v>
      </c>
      <c r="D20857" s="7">
        <f>IFERROR(__xludf.DUMMYFUNCTION("""COMPUTED_VALUE"""),0.263157894736842)</f>
        <v>0.2631578947</v>
      </c>
    </row>
    <row r="20858">
      <c r="A20858" s="10" t="s">
        <v>22297</v>
      </c>
      <c r="B20858" s="7" t="str">
        <f>IFERROR(__xludf.DUMMYFUNCTION("SPLIT(A20858,"" "")"),"Cc1ccnc2cc(N(C)CCN(C)c3ccc4nccc(C)c4c3)ccc12")</f>
        <v>Cc1ccnc2cc(N(C)CCN(C)c3ccc4nccc(C)c4c3)ccc12</v>
      </c>
      <c r="C20858" s="7">
        <f>IFERROR(__xludf.DUMMYFUNCTION("""COMPUTED_VALUE"""),7.690793)</f>
        <v>7.690793</v>
      </c>
      <c r="D20858" s="7">
        <f>IFERROR(__xludf.DUMMYFUNCTION("""COMPUTED_VALUE"""),0.270833333333333)</f>
        <v>0.2708333333</v>
      </c>
    </row>
    <row r="20859">
      <c r="A20859" s="10" t="s">
        <v>22298</v>
      </c>
      <c r="B20859" s="7" t="str">
        <f>IFERROR(__xludf.DUMMYFUNCTION("SPLIT(A20859,"" "")"),"CN(C)Cc1cnc2c(N(C)Cc3cc(-c4ccc5ncccc5c4)ccn3)cccc2c1")</f>
        <v>CN(C)Cc1cnc2c(N(C)Cc3cc(-c4ccc5ncccc5c4)ccn3)cccc2c1</v>
      </c>
      <c r="C20859" s="7">
        <f>IFERROR(__xludf.DUMMYFUNCTION("""COMPUTED_VALUE"""),7.6907835)</f>
        <v>7.6907835</v>
      </c>
      <c r="D20859" s="7">
        <f>IFERROR(__xludf.DUMMYFUNCTION("""COMPUTED_VALUE"""),0.392857142857142)</f>
        <v>0.3928571429</v>
      </c>
    </row>
    <row r="20860">
      <c r="A20860" s="10" t="s">
        <v>22299</v>
      </c>
      <c r="B20860" s="7" t="str">
        <f>IFERROR(__xludf.DUMMYFUNCTION("SPLIT(A20860,"" "")"),"CC(C)N(Cc1ccccn1)c1ccc2nccc(-c3ccc4ncccc4c3)c2c1")</f>
        <v>CC(C)N(Cc1ccccn1)c1ccc2nccc(-c3ccc4ncccc4c3)c2c1</v>
      </c>
      <c r="C20860" s="7">
        <f>IFERROR(__xludf.DUMMYFUNCTION("""COMPUTED_VALUE"""),7.690705)</f>
        <v>7.690705</v>
      </c>
      <c r="D20860" s="7">
        <f>IFERROR(__xludf.DUMMYFUNCTION("""COMPUTED_VALUE"""),0.388888888888888)</f>
        <v>0.3888888889</v>
      </c>
    </row>
    <row r="20861">
      <c r="A20861" s="10" t="s">
        <v>22300</v>
      </c>
      <c r="B20861" s="7" t="str">
        <f>IFERROR(__xludf.DUMMYFUNCTION("SPLIT(A20861,"" "")"),"CN(C)c1ccc2cc(C3=CCC=CN3)cnc2c1")</f>
        <v>CN(C)c1ccc2cc(C3=CCC=CN3)cnc2c1</v>
      </c>
      <c r="C20861" s="7">
        <f>IFERROR(__xludf.DUMMYFUNCTION("""COMPUTED_VALUE"""),7.690687)</f>
        <v>7.690687</v>
      </c>
      <c r="D20861" s="7">
        <f>IFERROR(__xludf.DUMMYFUNCTION("""COMPUTED_VALUE"""),0.275862068965517)</f>
        <v>0.275862069</v>
      </c>
    </row>
    <row r="20862">
      <c r="A20862" s="10" t="s">
        <v>22301</v>
      </c>
      <c r="B20862" s="7" t="str">
        <f>IFERROR(__xludf.DUMMYFUNCTION("SPLIT(A20862,"" "")"),"CC(C)N(Cc1ccc2ncccc2c1)c1ccc2nccc(-c3ccccc3N(C)C)c2c1")</f>
        <v>CC(C)N(Cc1ccc2ncccc2c1)c1ccc2nccc(-c3ccccc3N(C)C)c2c1</v>
      </c>
      <c r="C20862" s="7">
        <f>IFERROR(__xludf.DUMMYFUNCTION("""COMPUTED_VALUE"""),7.690588)</f>
        <v>7.690588</v>
      </c>
      <c r="D20862" s="7">
        <f>IFERROR(__xludf.DUMMYFUNCTION("""COMPUTED_VALUE"""),0.278688524590163)</f>
        <v>0.2786885246</v>
      </c>
    </row>
    <row r="20863">
      <c r="A20863" s="10" t="s">
        <v>22302</v>
      </c>
      <c r="B20863" s="7" t="str">
        <f>IFERROR(__xludf.DUMMYFUNCTION("SPLIT(A20863,"" "")"),"CN(Cc1ccc2ncccc2n1)c1ccc2nccc(CF)c2c1")</f>
        <v>CN(Cc1ccc2ncccc2n1)c1ccc2nccc(CF)c2c1</v>
      </c>
      <c r="C20863" s="7">
        <f>IFERROR(__xludf.DUMMYFUNCTION("""COMPUTED_VALUE"""),7.6905293)</f>
        <v>7.6905293</v>
      </c>
      <c r="D20863" s="7">
        <f>IFERROR(__xludf.DUMMYFUNCTION("""COMPUTED_VALUE"""),0.321428571428571)</f>
        <v>0.3214285714</v>
      </c>
    </row>
    <row r="20864">
      <c r="A20864" s="10" t="s">
        <v>22303</v>
      </c>
      <c r="B20864" s="7" t="str">
        <f>IFERROR(__xludf.DUMMYFUNCTION("SPLIT(A20864,"" "")"),"CN(c1ccc2cccnc2c1)c1ccccc1-c1ccccn1")</f>
        <v>CN(c1ccc2cccnc2c1)c1ccccc1-c1ccccn1</v>
      </c>
      <c r="C20864" s="7">
        <f>IFERROR(__xludf.DUMMYFUNCTION("""COMPUTED_VALUE"""),7.690505)</f>
        <v>7.690505</v>
      </c>
      <c r="D20864" s="7">
        <f>IFERROR(__xludf.DUMMYFUNCTION("""COMPUTED_VALUE"""),0.333333333333333)</f>
        <v>0.3333333333</v>
      </c>
    </row>
    <row r="20865">
      <c r="A20865" s="10" t="s">
        <v>22304</v>
      </c>
      <c r="B20865" s="7" t="str">
        <f>IFERROR(__xludf.DUMMYFUNCTION("SPLIT(A20865,"" "")"),"CN(C)Cc1cncc2c(N(C)Cc3nccc4cc(N(C)Cc5ccon5)ccc34)cccc12")</f>
        <v>CN(C)Cc1cncc2c(N(C)Cc3nccc4cc(N(C)Cc5ccon5)ccc34)cccc12</v>
      </c>
      <c r="C20865" s="7">
        <f>IFERROR(__xludf.DUMMYFUNCTION("""COMPUTED_VALUE"""),7.6904774)</f>
        <v>7.6904774</v>
      </c>
      <c r="D20865" s="7">
        <f>IFERROR(__xludf.DUMMYFUNCTION("""COMPUTED_VALUE"""),0.306451612903225)</f>
        <v>0.3064516129</v>
      </c>
    </row>
    <row r="20866">
      <c r="A20866" s="10" t="s">
        <v>22305</v>
      </c>
      <c r="B20866" s="7" t="str">
        <f>IFERROR(__xludf.DUMMYFUNCTION("SPLIT(A20866,"" "")"),"Cc1ccnc2ccc(N(C)CCN(C)c3cccc4nccc(C)c34)cc12")</f>
        <v>Cc1ccnc2ccc(N(C)CCN(C)c3cccc4nccc(C)c34)cc12</v>
      </c>
      <c r="C20866" s="7">
        <f>IFERROR(__xludf.DUMMYFUNCTION("""COMPUTED_VALUE"""),7.690388)</f>
        <v>7.690388</v>
      </c>
      <c r="D20866" s="7">
        <f>IFERROR(__xludf.DUMMYFUNCTION("""COMPUTED_VALUE"""),0.36)</f>
        <v>0.36</v>
      </c>
    </row>
    <row r="20867">
      <c r="A20867" s="10" t="s">
        <v>22306</v>
      </c>
      <c r="B20867" s="7" t="str">
        <f>IFERROR(__xludf.DUMMYFUNCTION("SPLIT(A20867,"" "")"),"CN(c1ccc2ncccc2c1)c1ccc2nc3c(cc2c1)CCC3")</f>
        <v>CN(c1ccc2ncccc2c1)c1ccc2nc3c(cc2c1)CCC3</v>
      </c>
      <c r="C20867" s="7">
        <f>IFERROR(__xludf.DUMMYFUNCTION("""COMPUTED_VALUE"""),7.690347)</f>
        <v>7.690347</v>
      </c>
      <c r="D20867" s="7">
        <f>IFERROR(__xludf.DUMMYFUNCTION("""COMPUTED_VALUE"""),0.4)</f>
        <v>0.4</v>
      </c>
    </row>
    <row r="20868">
      <c r="A20868" s="10" t="s">
        <v>22307</v>
      </c>
      <c r="B20868" s="7" t="str">
        <f>IFERROR(__xludf.DUMMYFUNCTION("SPLIT(A20868,"" "")"),"CC1(C)CCC1c1ncc(C2=NC(=O)C(=O)O2)c(C2=NC(=O)C(=O)O2)c1C1=NC(C(=O)C(=O)C(=O)C(=O)C(=O)C(=O)C(=O)C(=O)C(=O)C(=O)C=O)C(=O)O1")</f>
        <v>CC1(C)CCC1c1ncc(C2=NC(=O)C(=O)O2)c(C2=NC(=O)C(=O)O2)c1C1=NC(C(=O)C(=O)C(=O)C(=O)C(=O)C(=O)C(=O)C(=O)C(=O)C(=O)C=O)C(=O)O1</v>
      </c>
      <c r="C20868" s="7">
        <f>IFERROR(__xludf.DUMMYFUNCTION("""COMPUTED_VALUE"""),7.690292)</f>
        <v>7.690292</v>
      </c>
      <c r="D20868" s="7">
        <f>IFERROR(__xludf.DUMMYFUNCTION("""COMPUTED_VALUE"""),0.141304347826086)</f>
        <v>0.1413043478</v>
      </c>
    </row>
    <row r="20869">
      <c r="A20869" s="10" t="s">
        <v>22308</v>
      </c>
      <c r="B20869" s="7" t="str">
        <f>IFERROR(__xludf.DUMMYFUNCTION("SPLIT(A20869,"" "")"),"CNCc1ncccc1-c1ccc(N(C)C)c2cccnc12")</f>
        <v>CNCc1ncccc1-c1ccc(N(C)C)c2cccnc12</v>
      </c>
      <c r="C20869" s="7">
        <f>IFERROR(__xludf.DUMMYFUNCTION("""COMPUTED_VALUE"""),7.6902823)</f>
        <v>7.6902823</v>
      </c>
      <c r="D20869" s="7">
        <f>IFERROR(__xludf.DUMMYFUNCTION("""COMPUTED_VALUE"""),0.326530612244897)</f>
        <v>0.3265306122</v>
      </c>
    </row>
    <row r="20870">
      <c r="A20870" s="10" t="s">
        <v>22309</v>
      </c>
      <c r="B20870" s="7" t="str">
        <f>IFERROR(__xludf.DUMMYFUNCTION("SPLIT(A20870,"" "")"),"CN(C)Cc1cc2cccc(N(C)Cc3cc(-c4ccc5cccnc5c4)ccn3)c2cn1")</f>
        <v>CN(C)Cc1cc2cccc(N(C)Cc3cc(-c4ccc5cccnc5c4)ccn3)c2cn1</v>
      </c>
      <c r="C20870" s="7">
        <f>IFERROR(__xludf.DUMMYFUNCTION("""COMPUTED_VALUE"""),7.690128)</f>
        <v>7.690128</v>
      </c>
      <c r="D20870" s="7">
        <f>IFERROR(__xludf.DUMMYFUNCTION("""COMPUTED_VALUE"""),0.357142857142857)</f>
        <v>0.3571428571</v>
      </c>
    </row>
    <row r="20871">
      <c r="A20871" s="10" t="s">
        <v>22310</v>
      </c>
      <c r="B20871" s="7" t="str">
        <f>IFERROR(__xludf.DUMMYFUNCTION("SPLIT(A20871,"" "")"),"CN(Cc1ccc2cccnc2n1)Cc1ccc2cccc(N(C)Cc3cc(-c4ccc5ncccc5c4)ccn3)c2n1")</f>
        <v>CN(Cc1ccc2cccnc2n1)Cc1ccc2cccc(N(C)Cc3cc(-c4ccc5ncccc5c4)ccn3)c2n1</v>
      </c>
      <c r="C20871" s="7">
        <f>IFERROR(__xludf.DUMMYFUNCTION("""COMPUTED_VALUE"""),7.6901207)</f>
        <v>7.6901207</v>
      </c>
      <c r="D20871" s="7">
        <f>IFERROR(__xludf.DUMMYFUNCTION("""COMPUTED_VALUE"""),0.372881355932203)</f>
        <v>0.3728813559</v>
      </c>
    </row>
    <row r="20872">
      <c r="A20872" s="10" t="s">
        <v>22311</v>
      </c>
      <c r="B20872" s="7" t="str">
        <f>IFERROR(__xludf.DUMMYFUNCTION("SPLIT(A20872,"" "")"),"CN(C)c1cccc(-c2ccccc2)c1-c1c(N(C)Cc2ccccn2)c(-c2ccccc2)cc2ncccc12")</f>
        <v>CN(C)c1cccc(-c2ccccc2)c1-c1c(N(C)Cc2ccccn2)c(-c2ccccc2)cc2ncccc12</v>
      </c>
      <c r="C20872" s="7">
        <f>IFERROR(__xludf.DUMMYFUNCTION("""COMPUTED_VALUE"""),7.690041)</f>
        <v>7.690041</v>
      </c>
      <c r="D20872" s="7">
        <f>IFERROR(__xludf.DUMMYFUNCTION("""COMPUTED_VALUE"""),0.410714285714285)</f>
        <v>0.4107142857</v>
      </c>
    </row>
    <row r="20873">
      <c r="A20873" s="10" t="s">
        <v>22312</v>
      </c>
      <c r="B20873" s="7" t="str">
        <f>IFERROR(__xludf.DUMMYFUNCTION("SPLIT(A20873,"" "")"),"CNCc1nccc2cc(N(C)c3ccc4ncccc4c3)ccc12")</f>
        <v>CNCc1nccc2cc(N(C)c3ccc4ncccc4c3)ccc12</v>
      </c>
      <c r="C20873" s="7">
        <f>IFERROR(__xludf.DUMMYFUNCTION("""COMPUTED_VALUE"""),7.6900234)</f>
        <v>7.6900234</v>
      </c>
      <c r="D20873" s="7">
        <f>IFERROR(__xludf.DUMMYFUNCTION("""COMPUTED_VALUE"""),0.283018867924528)</f>
        <v>0.2830188679</v>
      </c>
    </row>
    <row r="20874">
      <c r="A20874" s="10" t="s">
        <v>22313</v>
      </c>
      <c r="B20874" s="7" t="str">
        <f>IFERROR(__xludf.DUMMYFUNCTION("SPLIT(A20874,"" "")"),"CNCc1ncccc1-c1ccc(N(C)C)c2ncccc12")</f>
        <v>CNCc1ncccc1-c1ccc(N(C)C)c2ncccc12</v>
      </c>
      <c r="C20874" s="7">
        <f>IFERROR(__xludf.DUMMYFUNCTION("""COMPUTED_VALUE"""),7.6899576)</f>
        <v>7.6899576</v>
      </c>
      <c r="D20874" s="7">
        <f>IFERROR(__xludf.DUMMYFUNCTION("""COMPUTED_VALUE"""),0.326530612244897)</f>
        <v>0.3265306122</v>
      </c>
    </row>
    <row r="20875">
      <c r="A20875" s="10" t="s">
        <v>22314</v>
      </c>
      <c r="B20875" s="7" t="str">
        <f>IFERROR(__xludf.DUMMYFUNCTION("SPLIT(A20875,"" "")"),"Cc1cc(N(C)C)cc2ncccc12")</f>
        <v>Cc1cc(N(C)C)cc2ncccc12</v>
      </c>
      <c r="C20875" s="7">
        <f>IFERROR(__xludf.DUMMYFUNCTION("""COMPUTED_VALUE"""),7.6899447)</f>
        <v>7.6899447</v>
      </c>
      <c r="D20875" s="7">
        <f>IFERROR(__xludf.DUMMYFUNCTION("""COMPUTED_VALUE"""),0.27906976744186)</f>
        <v>0.2790697674</v>
      </c>
    </row>
    <row r="20876">
      <c r="A20876" s="10" t="s">
        <v>22315</v>
      </c>
      <c r="B20876" s="7" t="str">
        <f>IFERROR(__xludf.DUMMYFUNCTION("SPLIT(A20876,"" "")"),"c1ccc(-c2ccc3ncccc3c2)nc1")</f>
        <v>c1ccc(-c2ccc3ncccc3c2)nc1</v>
      </c>
      <c r="C20876" s="7">
        <f>IFERROR(__xludf.DUMMYFUNCTION("""COMPUTED_VALUE"""),7.6899405)</f>
        <v>7.6899405</v>
      </c>
      <c r="D20876" s="7">
        <f>IFERROR(__xludf.DUMMYFUNCTION("""COMPUTED_VALUE"""),0.394736842105263)</f>
        <v>0.3947368421</v>
      </c>
    </row>
    <row r="20877">
      <c r="A20877" s="10" t="s">
        <v>22316</v>
      </c>
      <c r="B20877" s="7" t="str">
        <f>IFERROR(__xludf.DUMMYFUNCTION("SPLIT(A20877,"" "")"),"Cc1ccc2c(N(C)C3=CNC(CN(C)c4cccc5ncccc45)=CC3)cccc2n1")</f>
        <v>Cc1ccc2c(N(C)C3=CNC(CN(C)c4cccc5ncccc45)=CC3)cccc2n1</v>
      </c>
      <c r="C20877" s="7">
        <f>IFERROR(__xludf.DUMMYFUNCTION("""COMPUTED_VALUE"""),7.6898913)</f>
        <v>7.6898913</v>
      </c>
      <c r="D20877" s="7">
        <f>IFERROR(__xludf.DUMMYFUNCTION("""COMPUTED_VALUE"""),0.316666666666666)</f>
        <v>0.3166666667</v>
      </c>
    </row>
    <row r="20878">
      <c r="A20878" s="10" t="s">
        <v>22317</v>
      </c>
      <c r="B20878" s="7" t="str">
        <f>IFERROR(__xludf.DUMMYFUNCTION("SPLIT(A20878,"" "")"),"Cc1cc(N(Cc2ccccn2)c2ccc3ncccc3c2)c2cccnc2c1")</f>
        <v>Cc1cc(N(Cc2ccccn2)c2ccc3ncccc3c2)c2cccnc2c1</v>
      </c>
      <c r="C20878" s="7">
        <f>IFERROR(__xludf.DUMMYFUNCTION("""COMPUTED_VALUE"""),7.6898165)</f>
        <v>7.6898165</v>
      </c>
      <c r="D20878" s="7">
        <f>IFERROR(__xludf.DUMMYFUNCTION("""COMPUTED_VALUE"""),0.377358490566037)</f>
        <v>0.3773584906</v>
      </c>
    </row>
    <row r="20879">
      <c r="A20879" s="10" t="s">
        <v>22318</v>
      </c>
      <c r="B20879" s="7" t="str">
        <f>IFERROR(__xludf.DUMMYFUNCTION("SPLIT(A20879,"" "")"),"Cc1ccnc2cccc(N(C)CCN(C)c3cccc4nccc(C)c34)c12")</f>
        <v>Cc1ccnc2cccc(N(C)CCN(C)c3cccc4nccc(C)c34)c12</v>
      </c>
      <c r="C20879" s="7">
        <f>IFERROR(__xludf.DUMMYFUNCTION("""COMPUTED_VALUE"""),7.6897726)</f>
        <v>7.6897726</v>
      </c>
      <c r="D20879" s="7">
        <f>IFERROR(__xludf.DUMMYFUNCTION("""COMPUTED_VALUE"""),0.461538461538461)</f>
        <v>0.4615384615</v>
      </c>
    </row>
    <row r="20880">
      <c r="A20880" s="10" t="s">
        <v>22319</v>
      </c>
      <c r="B20880" s="7" t="str">
        <f>IFERROR(__xludf.DUMMYFUNCTION("SPLIT(A20880,"" "")"),"CN(CN(C)c1cccc2ncccc12)c1cccc2ncccc12")</f>
        <v>CN(CN(C)c1cccc2ncccc12)c1cccc2ncccc12</v>
      </c>
      <c r="C20880" s="7">
        <f>IFERROR(__xludf.DUMMYFUNCTION("""COMPUTED_VALUE"""),7.689753)</f>
        <v>7.689753</v>
      </c>
      <c r="D20880" s="7">
        <f>IFERROR(__xludf.DUMMYFUNCTION("""COMPUTED_VALUE"""),0.486486486486486)</f>
        <v>0.4864864865</v>
      </c>
    </row>
    <row r="20881">
      <c r="A20881" s="10" t="s">
        <v>22320</v>
      </c>
      <c r="B20881" s="7" t="str">
        <f>IFERROR(__xludf.DUMMYFUNCTION("SPLIT(A20881,"" "")"),"c1cnc2ccc(-c3ccncc3)cc2c1")</f>
        <v>c1cnc2ccc(-c3ccncc3)cc2c1</v>
      </c>
      <c r="C20881" s="7">
        <f>IFERROR(__xludf.DUMMYFUNCTION("""COMPUTED_VALUE"""),7.6897473)</f>
        <v>7.6897473</v>
      </c>
      <c r="D20881" s="7">
        <f>IFERROR(__xludf.DUMMYFUNCTION("""COMPUTED_VALUE"""),0.261904761904761)</f>
        <v>0.2619047619</v>
      </c>
    </row>
    <row r="20882">
      <c r="A20882" s="10" t="s">
        <v>22321</v>
      </c>
      <c r="B20882" s="7" t="str">
        <f>IFERROR(__xludf.DUMMYFUNCTION("SPLIT(A20882,"" "")"),"CNc1cccnc1-c1cccc(-c2cccc(-c3cccc(N=Cc4ccccn4)c3)n2)n1")</f>
        <v>CNc1cccnc1-c1cccc(-c2cccc(-c3cccc(N=Cc4ccccn4)c3)n2)n1</v>
      </c>
      <c r="C20882" s="7">
        <f>IFERROR(__xludf.DUMMYFUNCTION("""COMPUTED_VALUE"""),7.6897244)</f>
        <v>7.6897244</v>
      </c>
      <c r="D20882" s="7">
        <f>IFERROR(__xludf.DUMMYFUNCTION("""COMPUTED_VALUE"""),0.362068965517241)</f>
        <v>0.3620689655</v>
      </c>
    </row>
    <row r="20883">
      <c r="A20883" s="10" t="s">
        <v>22322</v>
      </c>
      <c r="B20883" s="7" t="str">
        <f>IFERROR(__xludf.DUMMYFUNCTION("SPLIT(A20883,"" "")"),"Cc1cc(C)c2ccc(N(C)CC3=C(N(C)c4ccc5ncccc5c4)CC=CN3)cc2n1")</f>
        <v>Cc1cc(C)c2ccc(N(C)CC3=C(N(C)c4ccc5ncccc5c4)CC=CN3)cc2n1</v>
      </c>
      <c r="C20883" s="7">
        <f>IFERROR(__xludf.DUMMYFUNCTION("""COMPUTED_VALUE"""),7.689678)</f>
        <v>7.689678</v>
      </c>
      <c r="D20883" s="7">
        <f>IFERROR(__xludf.DUMMYFUNCTION("""COMPUTED_VALUE"""),0.246376811594202)</f>
        <v>0.2463768116</v>
      </c>
    </row>
    <row r="20884">
      <c r="A20884" s="10" t="s">
        <v>22323</v>
      </c>
      <c r="B20884" s="7" t="str">
        <f>IFERROR(__xludf.DUMMYFUNCTION("SPLIT(A20884,"" "")"),"CNc1ccc2nccc(CN(C)c3ccc4nccc(CF)c4c3)c2c1")</f>
        <v>CNc1ccc2nccc(CN(C)c3ccc4nccc(CF)c4c3)c2c1</v>
      </c>
      <c r="C20884" s="7">
        <f>IFERROR(__xludf.DUMMYFUNCTION("""COMPUTED_VALUE"""),7.6896753)</f>
        <v>7.6896753</v>
      </c>
      <c r="D20884" s="7">
        <f>IFERROR(__xludf.DUMMYFUNCTION("""COMPUTED_VALUE"""),0.224137931034482)</f>
        <v>0.224137931</v>
      </c>
    </row>
    <row r="20885">
      <c r="A20885" s="10" t="s">
        <v>22324</v>
      </c>
      <c r="B20885" s="7" t="str">
        <f>IFERROR(__xludf.DUMMYFUNCTION("SPLIT(A20885,"" "")"),"CN(Cc1cc(-c2cccc3cccnc23)ccn1)c1cccc2cc3c(nc12)CCC3")</f>
        <v>CN(Cc1cc(-c2cccc3cccnc23)ccn1)c1cccc2cc3c(nc12)CCC3</v>
      </c>
      <c r="C20885" s="7">
        <f>IFERROR(__xludf.DUMMYFUNCTION("""COMPUTED_VALUE"""),7.6896477)</f>
        <v>7.6896477</v>
      </c>
      <c r="D20885" s="7">
        <f>IFERROR(__xludf.DUMMYFUNCTION("""COMPUTED_VALUE"""),0.46774193548387)</f>
        <v>0.4677419355</v>
      </c>
    </row>
    <row r="20886">
      <c r="A20886" s="10" t="s">
        <v>22325</v>
      </c>
      <c r="B20886" s="7" t="str">
        <f>IFERROR(__xludf.DUMMYFUNCTION("SPLIT(A20886,"" "")"),"CN(Cc1ccc2cccnc2n1)c1ccc2nccc(CF)c2c1")</f>
        <v>CN(Cc1ccc2cccnc2n1)c1ccc2nccc(CF)c2c1</v>
      </c>
      <c r="C20886" s="7">
        <f>IFERROR(__xludf.DUMMYFUNCTION("""COMPUTED_VALUE"""),7.689618)</f>
        <v>7.689618</v>
      </c>
      <c r="D20886" s="7">
        <f>IFERROR(__xludf.DUMMYFUNCTION("""COMPUTED_VALUE"""),0.305084745762711)</f>
        <v>0.3050847458</v>
      </c>
    </row>
    <row r="20887">
      <c r="A20887" s="10" t="s">
        <v>22326</v>
      </c>
      <c r="B20887" s="7" t="str">
        <f>IFERROR(__xludf.DUMMYFUNCTION("SPLIT(A20887,"" "")"),"CNc1cccc(-c2cccc(-c3cccc(-c4ccccc4N=Cc4ccccn4)n3)n2)n1")</f>
        <v>CNc1cccc(-c2cccc(-c3cccc(-c4ccccc4N=Cc4ccccn4)n3)n2)n1</v>
      </c>
      <c r="C20887" s="7">
        <f>IFERROR(__xludf.DUMMYFUNCTION("""COMPUTED_VALUE"""),7.689586)</f>
        <v>7.689586</v>
      </c>
      <c r="D20887" s="7">
        <f>IFERROR(__xludf.DUMMYFUNCTION("""COMPUTED_VALUE"""),0.489795918367346)</f>
        <v>0.4897959184</v>
      </c>
    </row>
    <row r="20888">
      <c r="A20888" s="10" t="s">
        <v>22327</v>
      </c>
      <c r="B20888" s="7" t="str">
        <f>IFERROR(__xludf.DUMMYFUNCTION("SPLIT(A20888,"" "")"),"Cc1ccnc2cccc(N(C)C)c12")</f>
        <v>Cc1ccnc2cccc(N(C)C)c12</v>
      </c>
      <c r="C20888" s="7">
        <f>IFERROR(__xludf.DUMMYFUNCTION("""COMPUTED_VALUE"""),7.6895804)</f>
        <v>7.6895804</v>
      </c>
      <c r="D20888" s="7">
        <f>IFERROR(__xludf.DUMMYFUNCTION("""COMPUTED_VALUE"""),0.317073170731707)</f>
        <v>0.3170731707</v>
      </c>
    </row>
    <row r="20889">
      <c r="A20889" s="10" t="s">
        <v>22328</v>
      </c>
      <c r="B20889" s="7" t="str">
        <f>IFERROR(__xludf.DUMMYFUNCTION("SPLIT(A20889,"" "")"),"CN(C)Cc1ccc2c(N(C)c3ccc4ncccc4c3)cccc2n1")</f>
        <v>CN(C)Cc1ccc2c(N(C)c3ccc4ncccc4c3)cccc2n1</v>
      </c>
      <c r="C20889" s="7">
        <f>IFERROR(__xludf.DUMMYFUNCTION("""COMPUTED_VALUE"""),7.689454)</f>
        <v>7.689454</v>
      </c>
      <c r="D20889" s="7">
        <f>IFERROR(__xludf.DUMMYFUNCTION("""COMPUTED_VALUE"""),0.351851851851851)</f>
        <v>0.3518518519</v>
      </c>
    </row>
    <row r="20890">
      <c r="A20890" s="10" t="s">
        <v>22329</v>
      </c>
      <c r="B20890" s="7" t="str">
        <f>IFERROR(__xludf.DUMMYFUNCTION("SPLIT(A20890,"" "")"),"CNc1cccc2c(-c3cc(-c4ccccc4NCc4ccccn4)ccn3)ccnc12")</f>
        <v>CNc1cccc2c(-c3cc(-c4ccccc4NCc4ccccn4)ccn3)ccnc12</v>
      </c>
      <c r="C20890" s="7">
        <f>IFERROR(__xludf.DUMMYFUNCTION("""COMPUTED_VALUE"""),7.6894417)</f>
        <v>7.6894417</v>
      </c>
      <c r="D20890" s="7">
        <f>IFERROR(__xludf.DUMMYFUNCTION("""COMPUTED_VALUE"""),0.38095238095238)</f>
        <v>0.380952381</v>
      </c>
    </row>
    <row r="20891">
      <c r="A20891" s="10" t="s">
        <v>22330</v>
      </c>
      <c r="B20891" s="7" t="str">
        <f>IFERROR(__xludf.DUMMYFUNCTION("SPLIT(A20891,"" "")"),"CN(C1=CC(N(C)c2ccc3cccnc3c2)C=CN1)c1ccc2cccnc2c1")</f>
        <v>CN(C1=CC(N(C)c2ccc3cccnc3c2)C=CN1)c1ccc2cccnc2c1</v>
      </c>
      <c r="C20891" s="7">
        <f>IFERROR(__xludf.DUMMYFUNCTION("""COMPUTED_VALUE"""),7.6890965)</f>
        <v>7.6890965</v>
      </c>
      <c r="D20891" s="7">
        <f>IFERROR(__xludf.DUMMYFUNCTION("""COMPUTED_VALUE"""),0.271186440677966)</f>
        <v>0.2711864407</v>
      </c>
    </row>
    <row r="20892">
      <c r="A20892" s="10" t="s">
        <v>22331</v>
      </c>
      <c r="B20892" s="7" t="str">
        <f>IFERROR(__xludf.DUMMYFUNCTION("SPLIT(A20892,"" "")"),"CN(C)Cc1nccc2cc(N(C)c3ccc4ncccc4c3)ccc12")</f>
        <v>CN(C)Cc1nccc2cc(N(C)c3ccc4ncccc4c3)ccc12</v>
      </c>
      <c r="C20892" s="7">
        <f>IFERROR(__xludf.DUMMYFUNCTION("""COMPUTED_VALUE"""),7.6890874)</f>
        <v>7.6890874</v>
      </c>
      <c r="D20892" s="7">
        <f>IFERROR(__xludf.DUMMYFUNCTION("""COMPUTED_VALUE"""),0.307692307692307)</f>
        <v>0.3076923077</v>
      </c>
    </row>
    <row r="20893">
      <c r="A20893" s="10" t="s">
        <v>22332</v>
      </c>
      <c r="B20893" s="7" t="str">
        <f>IFERROR(__xludf.DUMMYFUNCTION("SPLIT(A20893,"" "")"),"CN(C)c1cccc2nc(C3=CCC=CN3)ccc12")</f>
        <v>CN(C)c1cccc2nc(C3=CCC=CN3)ccc12</v>
      </c>
      <c r="C20893" s="7">
        <f>IFERROR(__xludf.DUMMYFUNCTION("""COMPUTED_VALUE"""),7.689086)</f>
        <v>7.689086</v>
      </c>
      <c r="D20893" s="7">
        <f>IFERROR(__xludf.DUMMYFUNCTION("""COMPUTED_VALUE"""),0.275862068965517)</f>
        <v>0.275862069</v>
      </c>
    </row>
    <row r="20894">
      <c r="A20894" s="10" t="s">
        <v>22333</v>
      </c>
      <c r="B20894" s="7" t="str">
        <f>IFERROR(__xludf.DUMMYFUNCTION("SPLIT(A20894,"" "")"),"Cc1ccc(C)c(N(Cc2ccccn2)c2cc3cccnc3cc2N(C)c2ccc3ncccc3c2)c1")</f>
        <v>Cc1ccc(C)c(N(Cc2ccccn2)c2cc3cccnc3cc2N(C)c2ccc3ncccc3c2)c1</v>
      </c>
      <c r="C20894" s="7">
        <f>IFERROR(__xludf.DUMMYFUNCTION("""COMPUTED_VALUE"""),7.6890697)</f>
        <v>7.6890697</v>
      </c>
      <c r="D20894" s="7">
        <f>IFERROR(__xludf.DUMMYFUNCTION("""COMPUTED_VALUE"""),0.35593220338983)</f>
        <v>0.3559322034</v>
      </c>
    </row>
    <row r="20895">
      <c r="A20895" s="10" t="s">
        <v>22334</v>
      </c>
      <c r="B20895" s="7" t="str">
        <f>IFERROR(__xludf.DUMMYFUNCTION("SPLIT(A20895,"" "")"),"CNCc1ccc2cccc(N(C)Cc3ccc4cccc(N(C)c5ccc6nc(CF)ccc6c5)c4n3)c2n1")</f>
        <v>CNCc1ccc2cccc(N(C)Cc3ccc4cccc(N(C)c5ccc6nc(CF)ccc6c5)c4n3)c2n1</v>
      </c>
      <c r="C20895" s="7">
        <f>IFERROR(__xludf.DUMMYFUNCTION("""COMPUTED_VALUE"""),7.6890683)</f>
        <v>7.6890683</v>
      </c>
      <c r="D20895" s="7">
        <f>IFERROR(__xludf.DUMMYFUNCTION("""COMPUTED_VALUE"""),0.419354838709677)</f>
        <v>0.4193548387</v>
      </c>
    </row>
    <row r="20896">
      <c r="A20896" s="10" t="s">
        <v>22335</v>
      </c>
      <c r="B20896" s="7" t="str">
        <f>IFERROR(__xludf.DUMMYFUNCTION("SPLIT(A20896,"" "")"),"CN(C)Cc1nccc2ccc(N(C)Cc3ncccc3-c3ccc4ncccc4c3)cc12")</f>
        <v>CN(C)Cc1nccc2ccc(N(C)Cc3ncccc3-c3ccc4ncccc4c3)cc12</v>
      </c>
      <c r="C20896" s="7">
        <f>IFERROR(__xludf.DUMMYFUNCTION("""COMPUTED_VALUE"""),7.6889067)</f>
        <v>7.6889067</v>
      </c>
      <c r="D20896" s="7">
        <f>IFERROR(__xludf.DUMMYFUNCTION("""COMPUTED_VALUE"""),0.271186440677966)</f>
        <v>0.2711864407</v>
      </c>
    </row>
    <row r="20897">
      <c r="A20897" s="10" t="s">
        <v>22336</v>
      </c>
      <c r="B20897" s="7" t="str">
        <f>IFERROR(__xludf.DUMMYFUNCTION("SPLIT(A20897,"" "")"),"CCN(c1ccc2ncccc2c1)c1cccc2c(-c3ccc(NCc4ccccn4)c(C)c3)ccnc12")</f>
        <v>CCN(c1ccc2ncccc2c1)c1cccc2c(-c3ccc(NCc4ccccn4)c(C)c3)ccnc12</v>
      </c>
      <c r="C20897" s="7">
        <f>IFERROR(__xludf.DUMMYFUNCTION("""COMPUTED_VALUE"""),7.688775)</f>
        <v>7.688775</v>
      </c>
      <c r="D20897" s="7">
        <f>IFERROR(__xludf.DUMMYFUNCTION("""COMPUTED_VALUE"""),0.364864864864864)</f>
        <v>0.3648648649</v>
      </c>
    </row>
    <row r="20898">
      <c r="A20898" s="10" t="s">
        <v>22337</v>
      </c>
      <c r="B20898" s="7" t="str">
        <f>IFERROR(__xludf.DUMMYFUNCTION("SPLIT(A20898,"" "")"),"Cc1cc2ncccc2cc1N(C)CC1=CCC=C(N(C)c2ccc3cccnc3c2)N1")</f>
        <v>Cc1cc2ncccc2cc1N(C)CC1=CCC=C(N(C)c2ccc3cccnc3c2)N1</v>
      </c>
      <c r="C20898" s="7">
        <f>IFERROR(__xludf.DUMMYFUNCTION("""COMPUTED_VALUE"""),7.6887345)</f>
        <v>7.6887345</v>
      </c>
      <c r="D20898" s="7">
        <f>IFERROR(__xludf.DUMMYFUNCTION("""COMPUTED_VALUE"""),0.278688524590163)</f>
        <v>0.2786885246</v>
      </c>
    </row>
    <row r="20899">
      <c r="A20899" s="10" t="s">
        <v>22338</v>
      </c>
      <c r="B20899" s="7" t="str">
        <f>IFERROR(__xludf.DUMMYFUNCTION("SPLIT(A20899,"" "")"),"CN(C)Cc1nc2ncccc2o1")</f>
        <v>CN(C)Cc1nc2ncccc2o1</v>
      </c>
      <c r="C20899" s="7">
        <f>IFERROR(__xludf.DUMMYFUNCTION("""COMPUTED_VALUE"""),7.6886992)</f>
        <v>7.6886992</v>
      </c>
      <c r="D20899" s="7">
        <f>IFERROR(__xludf.DUMMYFUNCTION("""COMPUTED_VALUE"""),0.34090909090909)</f>
        <v>0.3409090909</v>
      </c>
    </row>
    <row r="20900">
      <c r="A20900" s="10" t="s">
        <v>22339</v>
      </c>
      <c r="B20900" s="7" t="str">
        <f>IFERROR(__xludf.DUMMYFUNCTION("SPLIT(A20900,"" "")"),"CN(C)c1ccc2nc(CN(C)c3ccc4ncccc4c3)ccc2c1")</f>
        <v>CN(C)c1ccc2nc(CN(C)c3ccc4ncccc4c3)ccc2c1</v>
      </c>
      <c r="C20900" s="7">
        <f>IFERROR(__xludf.DUMMYFUNCTION("""COMPUTED_VALUE"""),7.6885114)</f>
        <v>7.6885114</v>
      </c>
      <c r="D20900" s="7">
        <f>IFERROR(__xludf.DUMMYFUNCTION("""COMPUTED_VALUE"""),0.425531914893617)</f>
        <v>0.4255319149</v>
      </c>
    </row>
    <row r="20901">
      <c r="A20901" s="10" t="s">
        <v>22340</v>
      </c>
      <c r="B20901" s="7" t="str">
        <f>IFERROR(__xludf.DUMMYFUNCTION("SPLIT(A20901,"" "")"),"Cc1cnc2ccc(N(C)Cc3ccc(N(C)c4ccc5ncccc5c4)cn3)cc2c1")</f>
        <v>Cc1cnc2ccc(N(C)Cc3ccc(N(C)c4ccc5ncccc5c4)cn3)cc2c1</v>
      </c>
      <c r="C20901" s="7">
        <f>IFERROR(__xludf.DUMMYFUNCTION("""COMPUTED_VALUE"""),7.688418)</f>
        <v>7.688418</v>
      </c>
      <c r="D20901" s="7">
        <f>IFERROR(__xludf.DUMMYFUNCTION("""COMPUTED_VALUE"""),0.346153846153846)</f>
        <v>0.3461538462</v>
      </c>
    </row>
    <row r="20902">
      <c r="A20902" s="10" t="s">
        <v>22341</v>
      </c>
      <c r="B20902" s="7" t="str">
        <f>IFERROR(__xludf.DUMMYFUNCTION("SPLIT(A20902,"" "")"),"CN(CC1=CCC=C(N(C)c2cccc3ncccc23)N1)c1cccc2ncccc12")</f>
        <v>CN(CC1=CCC=C(N(C)c2cccc3ncccc23)N1)c1cccc2ncccc12</v>
      </c>
      <c r="C20902" s="7">
        <f>IFERROR(__xludf.DUMMYFUNCTION("""COMPUTED_VALUE"""),7.6883764)</f>
        <v>7.6883764</v>
      </c>
      <c r="D20902" s="7">
        <f>IFERROR(__xludf.DUMMYFUNCTION("""COMPUTED_VALUE"""),0.339622641509433)</f>
        <v>0.3396226415</v>
      </c>
    </row>
    <row r="20903">
      <c r="A20903" s="10" t="s">
        <v>22342</v>
      </c>
      <c r="B20903" s="7" t="str">
        <f>IFERROR(__xludf.DUMMYFUNCTION("SPLIT(A20903,"" "")"),"CCN(c1ccc2ncccc2c1)c1cccc2c(-c3cccc(C)c3NCc3ccccn3)ccnc12")</f>
        <v>CCN(c1ccc2ncccc2c1)c1cccc2c(-c3cccc(C)c3NCc3ccccn3)ccnc12</v>
      </c>
      <c r="C20903" s="7">
        <f>IFERROR(__xludf.DUMMYFUNCTION("""COMPUTED_VALUE"""),7.6882925)</f>
        <v>7.6882925</v>
      </c>
      <c r="D20903" s="7">
        <f>IFERROR(__xludf.DUMMYFUNCTION("""COMPUTED_VALUE"""),0.394366197183098)</f>
        <v>0.3943661972</v>
      </c>
    </row>
    <row r="20904">
      <c r="A20904" s="10" t="s">
        <v>22343</v>
      </c>
      <c r="B20904" s="7" t="str">
        <f>IFERROR(__xludf.DUMMYFUNCTION("SPLIT(A20904,"" "")"),"CN(C1=CC(N(C)c2ccc3cccnc3c2)NC=C1)c1ccc2cccnc2c1")</f>
        <v>CN(C1=CC(N(C)c2ccc3cccnc3c2)NC=C1)c1ccc2cccnc2c1</v>
      </c>
      <c r="C20904" s="7">
        <f>IFERROR(__xludf.DUMMYFUNCTION("""COMPUTED_VALUE"""),7.688292)</f>
        <v>7.688292</v>
      </c>
      <c r="D20904" s="7">
        <f>IFERROR(__xludf.DUMMYFUNCTION("""COMPUTED_VALUE"""),0.271186440677966)</f>
        <v>0.2711864407</v>
      </c>
    </row>
    <row r="20905">
      <c r="A20905" s="10" t="s">
        <v>22344</v>
      </c>
      <c r="B20905" s="7" t="str">
        <f>IFERROR(__xludf.DUMMYFUNCTION("SPLIT(A20905,"" "")"),"CN(CNCN(c1ccc2cccnc2c1)c1ccc2cccnc2c1)c1ccc2cccnc2c1")</f>
        <v>CN(CNCN(c1ccc2cccnc2c1)c1ccc2cccnc2c1)c1ccc2cccnc2c1</v>
      </c>
      <c r="C20905" s="7">
        <f>IFERROR(__xludf.DUMMYFUNCTION("""COMPUTED_VALUE"""),7.6881976)</f>
        <v>7.6881976</v>
      </c>
      <c r="D20905" s="7">
        <f>IFERROR(__xludf.DUMMYFUNCTION("""COMPUTED_VALUE"""),0.347826086956521)</f>
        <v>0.347826087</v>
      </c>
      <c r="F20905" s="91"/>
    </row>
    <row r="20906">
      <c r="A20906" s="10" t="s">
        <v>22345</v>
      </c>
      <c r="B20906" s="7" t="str">
        <f>IFERROR(__xludf.DUMMYFUNCTION("SPLIT(A20906,"" "")"),"Cc1ccnc(-c2ccnc3cc(N(C)Cc4ncc(C)c(C)c4C)ccc23)c1C")</f>
        <v>Cc1ccnc(-c2ccnc3cc(N(C)Cc4ncc(C)c(C)c4C)ccc23)c1C</v>
      </c>
      <c r="C20906" s="7">
        <f>IFERROR(__xludf.DUMMYFUNCTION("""COMPUTED_VALUE"""),7.688132)</f>
        <v>7.688132</v>
      </c>
      <c r="D20906" s="7">
        <f>IFERROR(__xludf.DUMMYFUNCTION("""COMPUTED_VALUE"""),0.229508196721311)</f>
        <v>0.2295081967</v>
      </c>
      <c r="F20906" s="91"/>
    </row>
    <row r="20907">
      <c r="A20907" s="10" t="s">
        <v>22346</v>
      </c>
      <c r="B20907" s="7" t="str">
        <f>IFERROR(__xludf.DUMMYFUNCTION("SPLIT(A20907,"" "")"),"CN(C)Cc1ccnc2ccc(N(C)c3ccc4ncccc4c3)cc12")</f>
        <v>CN(C)Cc1ccnc2ccc(N(C)c3ccc4ncccc4c3)cc12</v>
      </c>
      <c r="C20907" s="7">
        <f>IFERROR(__xludf.DUMMYFUNCTION("""COMPUTED_VALUE"""),7.688123)</f>
        <v>7.688123</v>
      </c>
      <c r="D20907" s="7">
        <f>IFERROR(__xludf.DUMMYFUNCTION("""COMPUTED_VALUE"""),0.34)</f>
        <v>0.34</v>
      </c>
      <c r="F20907" s="91"/>
    </row>
    <row r="20908">
      <c r="A20908" s="10" t="s">
        <v>22347</v>
      </c>
      <c r="B20908" s="7" t="str">
        <f>IFERROR(__xludf.DUMMYFUNCTION("SPLIT(A20908,"" "")"),"CN(C)c1ccc2cc(CN(C)c3ccc4ncccc4c3)cnc2c1")</f>
        <v>CN(C)c1ccc2cc(CN(C)c3ccc4ncccc4c3)cnc2c1</v>
      </c>
      <c r="C20908" s="7">
        <f>IFERROR(__xludf.DUMMYFUNCTION("""COMPUTED_VALUE"""),7.687873)</f>
        <v>7.687873</v>
      </c>
      <c r="D20908" s="7">
        <f>IFERROR(__xludf.DUMMYFUNCTION("""COMPUTED_VALUE"""),0.313725490196078)</f>
        <v>0.3137254902</v>
      </c>
      <c r="F20908" s="91"/>
    </row>
    <row r="20909">
      <c r="A20909" s="10" t="s">
        <v>22348</v>
      </c>
      <c r="B20909" s="7" t="str">
        <f>IFERROR(__xludf.DUMMYFUNCTION("SPLIT(A20909,"" "")"),"CN(Cc1nc2ccccc2o1)Cc1nc2ccccc2o1")</f>
        <v>CN(Cc1nc2ccccc2o1)Cc1nc2ccccc2o1</v>
      </c>
      <c r="C20909" s="7">
        <f>IFERROR(__xludf.DUMMYFUNCTION("""COMPUTED_VALUE"""),7.6876636)</f>
        <v>7.6876636</v>
      </c>
      <c r="D20909" s="7">
        <f>IFERROR(__xludf.DUMMYFUNCTION("""COMPUTED_VALUE"""),0.394736842105263)</f>
        <v>0.3947368421</v>
      </c>
      <c r="F20909" s="91"/>
    </row>
    <row r="20910">
      <c r="A20910" s="10" t="s">
        <v>22349</v>
      </c>
      <c r="B20910" s="7" t="str">
        <f>IFERROR(__xludf.DUMMYFUNCTION("SPLIT(A20910,"" "")"),"CN(c1ccc2nccc(-c3ccc4cccnc4c3)c2c1)C(C)(C)C")</f>
        <v>CN(c1ccc2nccc(-c3ccc4cccnc4c3)c2c1)C(C)(C)C</v>
      </c>
      <c r="C20910" s="7">
        <f>IFERROR(__xludf.DUMMYFUNCTION("""COMPUTED_VALUE"""),7.6876354)</f>
        <v>7.6876354</v>
      </c>
      <c r="D20910" s="7">
        <f>IFERROR(__xludf.DUMMYFUNCTION("""COMPUTED_VALUE"""),0.333333333333333)</f>
        <v>0.3333333333</v>
      </c>
      <c r="F20910" s="91"/>
    </row>
    <row r="20911">
      <c r="A20911" s="10" t="s">
        <v>22350</v>
      </c>
      <c r="B20911" s="7" t="str">
        <f>IFERROR(__xludf.DUMMYFUNCTION("SPLIT(A20911,"" "")"),"CCN(C)c1ccc2nccc(-c3ccc(N(C)C)cc3)c2c1")</f>
        <v>CCN(C)c1ccc2nccc(-c3ccc(N(C)C)cc3)c2c1</v>
      </c>
      <c r="C20911" s="7">
        <f>IFERROR(__xludf.DUMMYFUNCTION("""COMPUTED_VALUE"""),7.6874824)</f>
        <v>7.6874824</v>
      </c>
      <c r="D20911" s="7">
        <f>IFERROR(__xludf.DUMMYFUNCTION("""COMPUTED_VALUE"""),0.226415094339622)</f>
        <v>0.2264150943</v>
      </c>
      <c r="F20911" s="91"/>
    </row>
    <row r="20912">
      <c r="A20912" s="10" t="s">
        <v>22351</v>
      </c>
      <c r="B20912" s="7" t="str">
        <f>IFERROR(__xludf.DUMMYFUNCTION("SPLIT(A20912,"" "")"),"CNc1ccc2nccc(CN(C)c3ccc4ncccc4c3)c2c1")</f>
        <v>CNc1ccc2nccc(CN(C)c3ccc4ncccc4c3)c2c1</v>
      </c>
      <c r="C20912" s="7">
        <f>IFERROR(__xludf.DUMMYFUNCTION("""COMPUTED_VALUE"""),7.687396)</f>
        <v>7.687396</v>
      </c>
      <c r="D20912" s="7">
        <f>IFERROR(__xludf.DUMMYFUNCTION("""COMPUTED_VALUE"""),0.309090909090909)</f>
        <v>0.3090909091</v>
      </c>
      <c r="F20912" s="91"/>
    </row>
    <row r="20913">
      <c r="A20913" s="10" t="s">
        <v>22352</v>
      </c>
      <c r="B20913" s="7" t="str">
        <f>IFERROR(__xludf.DUMMYFUNCTION("SPLIT(A20913,"" "")"),"CC(c1ccccn1)(c1ccccn1)c1cc2ccc3ncccc3c2cn1")</f>
        <v>CC(c1ccccn1)(c1ccccn1)c1cc2ccc3ncccc3c2cn1</v>
      </c>
      <c r="C20913" s="7">
        <f>IFERROR(__xludf.DUMMYFUNCTION("""COMPUTED_VALUE"""),7.6871133)</f>
        <v>7.6871133</v>
      </c>
      <c r="D20913" s="7">
        <f>IFERROR(__xludf.DUMMYFUNCTION("""COMPUTED_VALUE"""),0.478260869565217)</f>
        <v>0.4782608696</v>
      </c>
      <c r="F20913" s="91"/>
    </row>
    <row r="20914">
      <c r="A20914" s="10" t="s">
        <v>22353</v>
      </c>
      <c r="B20914" s="7" t="str">
        <f>IFERROR(__xludf.DUMMYFUNCTION("SPLIT(A20914,"" "")"),"CN(C)Cc1cncc2cc(N(C)c3cccc4ncccc34)ccc12")</f>
        <v>CN(C)Cc1cncc2cc(N(C)c3cccc4ncccc34)ccc12</v>
      </c>
      <c r="C20914" s="7">
        <f>IFERROR(__xludf.DUMMYFUNCTION("""COMPUTED_VALUE"""),7.687109)</f>
        <v>7.687109</v>
      </c>
      <c r="D20914" s="7">
        <f>IFERROR(__xludf.DUMMYFUNCTION("""COMPUTED_VALUE"""),0.31578947368421)</f>
        <v>0.3157894737</v>
      </c>
      <c r="F20914" s="91"/>
    </row>
    <row r="20915">
      <c r="A20915" s="10" t="s">
        <v>22354</v>
      </c>
      <c r="B20915" s="7" t="str">
        <f>IFERROR(__xludf.DUMMYFUNCTION("SPLIT(A20915,"" "")"),"Cc1ncccc1N(C)c1ccc2ccc(CN(C)c3ccc4ncccc4c3)nc2c1")</f>
        <v>Cc1ncccc1N(C)c1ccc2ccc(CN(C)c3ccc4ncccc4c3)nc2c1</v>
      </c>
      <c r="C20915" s="7">
        <f>IFERROR(__xludf.DUMMYFUNCTION("""COMPUTED_VALUE"""),7.6869946)</f>
        <v>7.6869946</v>
      </c>
      <c r="D20915" s="7">
        <f>IFERROR(__xludf.DUMMYFUNCTION("""COMPUTED_VALUE"""),0.363636363636363)</f>
        <v>0.3636363636</v>
      </c>
      <c r="F20915" s="91"/>
    </row>
    <row r="20916">
      <c r="A20916" s="10" t="s">
        <v>22355</v>
      </c>
      <c r="B20916" s="7" t="str">
        <f>IFERROR(__xludf.DUMMYFUNCTION("SPLIT(A20916,"" "")"),"CN(c1ccc2ncccc2c1)c1ccc2nccc(CN(Cc3ccccn3)c3ccc4ncccc4c3)c2c1")</f>
        <v>CN(c1ccc2ncccc2c1)c1ccc2nccc(CN(Cc3ccccn3)c3ccc4ncccc4c3)c2c1</v>
      </c>
      <c r="C20916" s="7">
        <f>IFERROR(__xludf.DUMMYFUNCTION("""COMPUTED_VALUE"""),7.686939)</f>
        <v>7.686939</v>
      </c>
      <c r="D20916" s="7">
        <f>IFERROR(__xludf.DUMMYFUNCTION("""COMPUTED_VALUE"""),0.375)</f>
        <v>0.375</v>
      </c>
      <c r="F20916" s="91"/>
    </row>
    <row r="20917">
      <c r="A20917" s="10" t="s">
        <v>22356</v>
      </c>
      <c r="B20917" s="7" t="str">
        <f>IFERROR(__xludf.DUMMYFUNCTION("SPLIT(A20917,"" "")"),"CC(c1ccccn1)(c1ccccn1)c1cc2c(ccc3ncccc32)cn1")</f>
        <v>CC(c1ccccn1)(c1ccccn1)c1cc2c(ccc3ncccc32)cn1</v>
      </c>
      <c r="C20917" s="7">
        <f>IFERROR(__xludf.DUMMYFUNCTION("""COMPUTED_VALUE"""),7.6868734)</f>
        <v>7.6868734</v>
      </c>
      <c r="D20917" s="7">
        <f>IFERROR(__xludf.DUMMYFUNCTION("""COMPUTED_VALUE"""),0.478260869565217)</f>
        <v>0.4782608696</v>
      </c>
      <c r="F20917" s="91"/>
    </row>
    <row r="20918">
      <c r="A20918" s="10" t="s">
        <v>22357</v>
      </c>
      <c r="B20918" s="7" t="str">
        <f>IFERROR(__xludf.DUMMYFUNCTION("SPLIT(A20918,"" "")"),"CN(Cc1ccccn1)c1cc(N(C)c2ccc3cccnc3c2)cc2cccnc12")</f>
        <v>CN(Cc1ccccn1)c1cc(N(C)c2ccc3cccnc3c2)cc2cccnc12</v>
      </c>
      <c r="C20918" s="7">
        <f>IFERROR(__xludf.DUMMYFUNCTION("""COMPUTED_VALUE"""),7.6868057)</f>
        <v>7.6868057</v>
      </c>
      <c r="D20918" s="7">
        <f>IFERROR(__xludf.DUMMYFUNCTION("""COMPUTED_VALUE"""),0.470588235294117)</f>
        <v>0.4705882353</v>
      </c>
      <c r="F20918" s="91"/>
    </row>
    <row r="20919">
      <c r="A20919" s="10" t="s">
        <v>22358</v>
      </c>
      <c r="B20919" s="7" t="str">
        <f>IFERROR(__xludf.DUMMYFUNCTION("SPLIT(A20919,"" "")"),"CN(Cc1ccc2ncccc2c1)c1ccc2nc(-c3ccccn3)ccc2c1")</f>
        <v>CN(Cc1ccc2ncccc2c1)c1ccc2nc(-c3ccccn3)ccc2c1</v>
      </c>
      <c r="C20919" s="7">
        <f>IFERROR(__xludf.DUMMYFUNCTION("""COMPUTED_VALUE"""),7.6866875)</f>
        <v>7.6866875</v>
      </c>
      <c r="D20919" s="7">
        <f>IFERROR(__xludf.DUMMYFUNCTION("""COMPUTED_VALUE"""),0.396226415094339)</f>
        <v>0.3962264151</v>
      </c>
      <c r="F20919" s="91"/>
    </row>
    <row r="20920">
      <c r="A20920" s="10" t="s">
        <v>22359</v>
      </c>
      <c r="B20920" s="7" t="str">
        <f>IFERROR(__xludf.DUMMYFUNCTION("SPLIT(A20920,"" "")"),"CN(C)Cc1ccc2cc(N(C)Cc3ccc4cc(N(C)c5ccc6ncccc6c5)ccc4n3)ccc2n1")</f>
        <v>CN(C)Cc1ccc2cc(N(C)Cc3ccc4cc(N(C)c5ccc6ncccc6c5)ccc4n3)ccc2n1</v>
      </c>
      <c r="C20920" s="7">
        <f>IFERROR(__xludf.DUMMYFUNCTION("""COMPUTED_VALUE"""),7.686632)</f>
        <v>7.686632</v>
      </c>
      <c r="D20920" s="7">
        <f>IFERROR(__xludf.DUMMYFUNCTION("""COMPUTED_VALUE"""),0.4)</f>
        <v>0.4</v>
      </c>
      <c r="F20920" s="91"/>
    </row>
    <row r="20921">
      <c r="A20921" s="10" t="s">
        <v>22360</v>
      </c>
      <c r="B20921" s="7" t="str">
        <f>IFERROR(__xludf.DUMMYFUNCTION("SPLIT(A20921,"" "")"),"CN(C)Cc1ccc2cc(N(C)Cc3ccc4cc(N(C)c5ccc6cccnc6c5)ccc4n3)ccc2n1")</f>
        <v>CN(C)Cc1ccc2cc(N(C)Cc3ccc4cc(N(C)c5ccc6cccnc6c5)ccc4n3)ccc2n1</v>
      </c>
      <c r="C20921" s="7">
        <f>IFERROR(__xludf.DUMMYFUNCTION("""COMPUTED_VALUE"""),7.686603)</f>
        <v>7.686603</v>
      </c>
      <c r="D20921" s="7">
        <f>IFERROR(__xludf.DUMMYFUNCTION("""COMPUTED_VALUE"""),0.42)</f>
        <v>0.42</v>
      </c>
      <c r="F20921" s="91"/>
    </row>
    <row r="20922">
      <c r="A20922" s="10" t="s">
        <v>22361</v>
      </c>
      <c r="B20922" s="7" t="str">
        <f>IFERROR(__xludf.DUMMYFUNCTION("SPLIT(A20922,"" "")"),"c1cncc(-c2cccc3ncccc23)c1")</f>
        <v>c1cncc(-c2cccc3ncccc23)c1</v>
      </c>
      <c r="C20922" s="7">
        <f>IFERROR(__xludf.DUMMYFUNCTION("""COMPUTED_VALUE"""),7.686597)</f>
        <v>7.686597</v>
      </c>
      <c r="D20922" s="7">
        <f>IFERROR(__xludf.DUMMYFUNCTION("""COMPUTED_VALUE"""),0.245283018867924)</f>
        <v>0.2452830189</v>
      </c>
      <c r="F20922" s="91"/>
    </row>
    <row r="20923">
      <c r="A20923" s="10" t="s">
        <v>22362</v>
      </c>
      <c r="B20923" s="7" t="str">
        <f>IFERROR(__xludf.DUMMYFUNCTION("SPLIT(A20923,"" "")"),"Cc1ccnc(CN(C)c2cccc3cc4ncccc4nc23)c1")</f>
        <v>Cc1ccnc(CN(C)c2cccc3cc4ncccc4nc23)c1</v>
      </c>
      <c r="C20923" s="7">
        <f>IFERROR(__xludf.DUMMYFUNCTION("""COMPUTED_VALUE"""),7.6864705)</f>
        <v>7.6864705</v>
      </c>
      <c r="D20923" s="7">
        <f>IFERROR(__xludf.DUMMYFUNCTION("""COMPUTED_VALUE"""),0.428571428571428)</f>
        <v>0.4285714286</v>
      </c>
      <c r="F20923" s="91"/>
    </row>
    <row r="20924">
      <c r="A20924" s="10" t="s">
        <v>22363</v>
      </c>
      <c r="B20924" s="7" t="str">
        <f>IFERROR(__xludf.DUMMYFUNCTION("SPLIT(A20924,"" "")"),"CC(c1ccccn1)(c1ccccn1)c1nccc2ccc3ncccc3c12")</f>
        <v>CC(c1ccccn1)(c1ccccn1)c1nccc2ccc3ncccc3c12</v>
      </c>
      <c r="C20924" s="7">
        <f>IFERROR(__xludf.DUMMYFUNCTION("""COMPUTED_VALUE"""),7.686449)</f>
        <v>7.686449</v>
      </c>
      <c r="D20924" s="7">
        <f>IFERROR(__xludf.DUMMYFUNCTION("""COMPUTED_VALUE"""),0.446808510638297)</f>
        <v>0.4468085106</v>
      </c>
      <c r="F20924" s="91"/>
    </row>
    <row r="20925">
      <c r="A20925" s="10" t="s">
        <v>22364</v>
      </c>
      <c r="B20925" s="7" t="str">
        <f>IFERROR(__xludf.DUMMYFUNCTION("SPLIT(A20925,"" "")"),"CN(Cc1cccnn1)c1cccc(N(C)c2ccc3cccnc3c2)c1N(C)c1ccc2cccnc2c1")</f>
        <v>CN(Cc1cccnn1)c1cccc(N(C)c2ccc3cccnc3c2)c1N(C)c1ccc2cccnc2c1</v>
      </c>
      <c r="C20925" s="7">
        <f>IFERROR(__xludf.DUMMYFUNCTION("""COMPUTED_VALUE"""),7.6863375)</f>
        <v>7.6863375</v>
      </c>
      <c r="D20925" s="7">
        <f>IFERROR(__xludf.DUMMYFUNCTION("""COMPUTED_VALUE"""),0.392156862745098)</f>
        <v>0.3921568627</v>
      </c>
      <c r="F20925" s="91"/>
    </row>
    <row r="20926">
      <c r="A20926" s="10" t="s">
        <v>22365</v>
      </c>
      <c r="B20926" s="7" t="str">
        <f>IFERROR(__xludf.DUMMYFUNCTION("SPLIT(A20926,"" "")"),"CN(Cc1ccccn1)c1ccc2nc(-c3ccc4ncccc4c3)ccc2c1")</f>
        <v>CN(Cc1ccccn1)c1ccc2nc(-c3ccc4ncccc4c3)ccc2c1</v>
      </c>
      <c r="C20926" s="7">
        <f>IFERROR(__xludf.DUMMYFUNCTION("""COMPUTED_VALUE"""),7.6861687)</f>
        <v>7.6861687</v>
      </c>
      <c r="D20926" s="7">
        <f>IFERROR(__xludf.DUMMYFUNCTION("""COMPUTED_VALUE"""),0.431372549019607)</f>
        <v>0.431372549</v>
      </c>
      <c r="F20926" s="91"/>
    </row>
    <row r="20927">
      <c r="A20927" s="10" t="s">
        <v>22366</v>
      </c>
      <c r="B20927" s="7" t="str">
        <f>IFERROR(__xludf.DUMMYFUNCTION("SPLIT(A20927,"" "")"),"Cc1ccc2c(CN(C)c3ccc4nccc(C)c4c3)ccnc2c1")</f>
        <v>Cc1ccc2c(CN(C)c3ccc4nccc(C)c4c3)ccnc2c1</v>
      </c>
      <c r="C20927" s="7">
        <f>IFERROR(__xludf.DUMMYFUNCTION("""COMPUTED_VALUE"""),7.686049)</f>
        <v>7.686049</v>
      </c>
      <c r="D20927" s="7">
        <f>IFERROR(__xludf.DUMMYFUNCTION("""COMPUTED_VALUE"""),0.254901960784313)</f>
        <v>0.2549019608</v>
      </c>
      <c r="F20927" s="91"/>
    </row>
    <row r="20928">
      <c r="A20928" s="10" t="s">
        <v>22367</v>
      </c>
      <c r="B20928" s="7" t="str">
        <f>IFERROR(__xludf.DUMMYFUNCTION("SPLIT(A20928,"" "")"),"CC(C)(c1ccccn1)c1nccc2c1ccc1ncccc12")</f>
        <v>CC(C)(c1ccccn1)c1nccc2c1ccc1ncccc12</v>
      </c>
      <c r="C20928" s="7">
        <f>IFERROR(__xludf.DUMMYFUNCTION("""COMPUTED_VALUE"""),7.686046)</f>
        <v>7.686046</v>
      </c>
      <c r="D20928" s="7">
        <f>IFERROR(__xludf.DUMMYFUNCTION("""COMPUTED_VALUE"""),0.346938775510204)</f>
        <v>0.3469387755</v>
      </c>
      <c r="F20928" s="91"/>
    </row>
    <row r="20929">
      <c r="A20929" s="10" t="s">
        <v>22368</v>
      </c>
      <c r="B20929" s="7" t="str">
        <f>IFERROR(__xludf.DUMMYFUNCTION("SPLIT(A20929,"" "")"),"CN(CCN(c1ccc2ncccc2c1)c1ccc2ncccc2c1)c1ccc2ncccc2c1")</f>
        <v>CN(CCN(c1ccc2ncccc2c1)c1ccc2ncccc2c1)c1ccc2ncccc2c1</v>
      </c>
      <c r="C20929" s="7">
        <f>IFERROR(__xludf.DUMMYFUNCTION("""COMPUTED_VALUE"""),7.6858616)</f>
        <v>7.6858616</v>
      </c>
      <c r="D20929" s="7">
        <f>IFERROR(__xludf.DUMMYFUNCTION("""COMPUTED_VALUE"""),0.439024390243902)</f>
        <v>0.4390243902</v>
      </c>
      <c r="F20929" s="91"/>
    </row>
    <row r="20930">
      <c r="A20930" s="10" t="s">
        <v>22369</v>
      </c>
      <c r="B20930" s="7" t="str">
        <f>IFERROR(__xludf.DUMMYFUNCTION("SPLIT(A20930,"" "")"),"CN(CCN(c1ccc2ncccc2c1)c1ccc2cccnc2c1)c1ccc2ncccc2c1")</f>
        <v>CN(CCN(c1ccc2ncccc2c1)c1ccc2cccnc2c1)c1ccc2ncccc2c1</v>
      </c>
      <c r="C20930" s="7">
        <f>IFERROR(__xludf.DUMMYFUNCTION("""COMPUTED_VALUE"""),7.685851)</f>
        <v>7.685851</v>
      </c>
      <c r="D20930" s="7">
        <f>IFERROR(__xludf.DUMMYFUNCTION("""COMPUTED_VALUE"""),0.4)</f>
        <v>0.4</v>
      </c>
      <c r="F20930" s="91"/>
    </row>
    <row r="20931">
      <c r="A20931" s="10" t="s">
        <v>22370</v>
      </c>
      <c r="B20931" s="7" t="str">
        <f>IFERROR(__xludf.DUMMYFUNCTION("SPLIT(A20931,"" "")"),"CN(CCCN(C)c1ccc2nccc(-c3ccc4ncccc4c3)c2c1)c1ccc2ncccc2c1")</f>
        <v>CN(CCCN(C)c1ccc2nccc(-c3ccc4ncccc4c3)c2c1)c1ccc2ncccc2c1</v>
      </c>
      <c r="C20931" s="7">
        <f>IFERROR(__xludf.DUMMYFUNCTION("""COMPUTED_VALUE"""),7.6857586)</f>
        <v>7.6857586</v>
      </c>
      <c r="D20931" s="7">
        <f>IFERROR(__xludf.DUMMYFUNCTION("""COMPUTED_VALUE"""),0.392156862745098)</f>
        <v>0.3921568627</v>
      </c>
      <c r="F20931" s="91"/>
    </row>
    <row r="20932">
      <c r="A20932" s="10" t="s">
        <v>22371</v>
      </c>
      <c r="B20932" s="7" t="str">
        <f>IFERROR(__xludf.DUMMYFUNCTION("SPLIT(A20932,"" "")"),"CC(C)N(CCN(C)c1ccc2nccc(-c3ccc4ncccc4c3)c2c1)c1ccc2ncccc2c1")</f>
        <v>CC(C)N(CCN(C)c1ccc2nccc(-c3ccc4ncccc4c3)c2c1)c1ccc2ncccc2c1</v>
      </c>
      <c r="C20932" s="7">
        <f>IFERROR(__xludf.DUMMYFUNCTION("""COMPUTED_VALUE"""),7.685659)</f>
        <v>7.685659</v>
      </c>
      <c r="D20932" s="7">
        <f>IFERROR(__xludf.DUMMYFUNCTION("""COMPUTED_VALUE"""),0.31578947368421)</f>
        <v>0.3157894737</v>
      </c>
      <c r="F20932" s="91"/>
    </row>
    <row r="20933">
      <c r="A20933" s="10" t="s">
        <v>22372</v>
      </c>
      <c r="B20933" s="7" t="str">
        <f>IFERROR(__xludf.DUMMYFUNCTION("SPLIT(A20933,"" "")"),"c1ccc(-c2cccc3cccnc23)nc1")</f>
        <v>c1ccc(-c2cccc3cccnc23)nc1</v>
      </c>
      <c r="C20933" s="7">
        <f>IFERROR(__xludf.DUMMYFUNCTION("""COMPUTED_VALUE"""),7.6856422)</f>
        <v>7.6856422</v>
      </c>
      <c r="D20933" s="7">
        <f>IFERROR(__xludf.DUMMYFUNCTION("""COMPUTED_VALUE"""),0.435897435897435)</f>
        <v>0.4358974359</v>
      </c>
      <c r="F20933" s="91"/>
    </row>
    <row r="20934">
      <c r="A20934" s="10" t="s">
        <v>22373</v>
      </c>
      <c r="B20934" s="7" t="str">
        <f>IFERROR(__xludf.DUMMYFUNCTION("SPLIT(A20934,"" "")"),"CN(C)c1ccccc1-c1nc2cc(C(C)(C)C)ccc2o1")</f>
        <v>CN(C)c1ccccc1-c1nc2cc(C(C)(C)C)ccc2o1</v>
      </c>
      <c r="C20934" s="7">
        <f>IFERROR(__xludf.DUMMYFUNCTION("""COMPUTED_VALUE"""),7.6855845)</f>
        <v>7.6855845</v>
      </c>
      <c r="D20934" s="7">
        <f>IFERROR(__xludf.DUMMYFUNCTION("""COMPUTED_VALUE"""),0.306122448979591)</f>
        <v>0.306122449</v>
      </c>
      <c r="F20934" s="91"/>
    </row>
    <row r="20935">
      <c r="A20935" s="10" t="s">
        <v>22374</v>
      </c>
      <c r="B20935" s="7" t="str">
        <f>IFERROR(__xludf.DUMMYFUNCTION("SPLIT(A20935,"" "")"),"CN(Cc1cccc(-c2ccc3ncccc3c2)n1)c1ccc2ncccc2c1")</f>
        <v>CN(Cc1cccc(-c2ccc3ncccc3c2)n1)c1ccc2ncccc2c1</v>
      </c>
      <c r="C20935" s="7">
        <f>IFERROR(__xludf.DUMMYFUNCTION("""COMPUTED_VALUE"""),7.6853766)</f>
        <v>7.6853766</v>
      </c>
      <c r="D20935" s="7">
        <f>IFERROR(__xludf.DUMMYFUNCTION("""COMPUTED_VALUE"""),0.428571428571428)</f>
        <v>0.4285714286</v>
      </c>
      <c r="F20935" s="91"/>
    </row>
    <row r="20936">
      <c r="A20936" s="10" t="s">
        <v>22375</v>
      </c>
      <c r="B20936" s="7" t="str">
        <f>IFERROR(__xludf.DUMMYFUNCTION("SPLIT(A20936,"" "")"),"CN(C)Cc1ccc2cccc(N(C)Cc3ccc4cccc(N(C)c5ccc6nccc(CF)c6c5)c4n3)c2n1")</f>
        <v>CN(C)Cc1ccc2cccc(N(C)Cc3ccc4cccc(N(C)c5ccc6nccc(CF)c6c5)c4n3)c2n1</v>
      </c>
      <c r="C20936" s="7">
        <f>IFERROR(__xludf.DUMMYFUNCTION("""COMPUTED_VALUE"""),7.685134)</f>
        <v>7.685134</v>
      </c>
      <c r="D20936" s="7">
        <f>IFERROR(__xludf.DUMMYFUNCTION("""COMPUTED_VALUE"""),0.35820895522388)</f>
        <v>0.3582089552</v>
      </c>
      <c r="F20936" s="91"/>
    </row>
    <row r="20937">
      <c r="A20937" s="10" t="s">
        <v>22376</v>
      </c>
      <c r="B20937" s="7" t="str">
        <f>IFERROR(__xludf.DUMMYFUNCTION("SPLIT(A20937,"" "")"),"CN(C)c1ccc2c(CN(C)c3ccc4nccc(CF)c4c3)ccnc2c1")</f>
        <v>CN(C)c1ccc2c(CN(C)c3ccc4nccc(CF)c4c3)ccnc2c1</v>
      </c>
      <c r="C20937" s="7">
        <f>IFERROR(__xludf.DUMMYFUNCTION("""COMPUTED_VALUE"""),7.6851015)</f>
        <v>7.6851015</v>
      </c>
      <c r="D20937" s="7">
        <f>IFERROR(__xludf.DUMMYFUNCTION("""COMPUTED_VALUE"""),0.232142857142857)</f>
        <v>0.2321428571</v>
      </c>
      <c r="F20937" s="91"/>
    </row>
    <row r="20938">
      <c r="A20938" s="10" t="s">
        <v>22377</v>
      </c>
      <c r="B20938" s="7" t="str">
        <f>IFERROR(__xludf.DUMMYFUNCTION("SPLIT(A20938,"" "")"),"CNc1cc(-c2ccc3ncccc3c2)ccn1")</f>
        <v>CNc1cc(-c2ccc3ncccc3c2)ccn1</v>
      </c>
      <c r="C20938" s="7">
        <f>IFERROR(__xludf.DUMMYFUNCTION("""COMPUTED_VALUE"""),7.685069)</f>
        <v>7.685069</v>
      </c>
      <c r="D20938" s="7">
        <f>IFERROR(__xludf.DUMMYFUNCTION("""COMPUTED_VALUE"""),0.25531914893617)</f>
        <v>0.2553191489</v>
      </c>
      <c r="F20938" s="91"/>
    </row>
    <row r="20939">
      <c r="A20939" s="10" t="s">
        <v>22378</v>
      </c>
      <c r="B20939" s="7" t="str">
        <f>IFERROR(__xludf.DUMMYFUNCTION("SPLIT(A20939,"" "")"),"CNCc1ccc2cccc(N(C)Cc3ccc4cccc(N(C)c5ccc6ncccc6c5)c4n3)c2n1")</f>
        <v>CNCc1ccc2cccc(N(C)Cc3ccc4cccc(N(C)c5ccc6ncccc6c5)c4n3)c2n1</v>
      </c>
      <c r="C20939" s="7">
        <f>IFERROR(__xludf.DUMMYFUNCTION("""COMPUTED_VALUE"""),7.6850395)</f>
        <v>7.6850395</v>
      </c>
      <c r="D20939" s="7">
        <f>IFERROR(__xludf.DUMMYFUNCTION("""COMPUTED_VALUE"""),0.4)</f>
        <v>0.4</v>
      </c>
      <c r="F20939" s="91"/>
    </row>
    <row r="20940">
      <c r="A20940" s="10" t="s">
        <v>22379</v>
      </c>
      <c r="B20940" s="7" t="str">
        <f>IFERROR(__xludf.DUMMYFUNCTION("SPLIT(A20940,"" "")"),"CN(Cc1nc2ccccc2n1C)c1ccc2ncccc2c1")</f>
        <v>CN(Cc1nc2ccccc2n1C)c1ccc2ncccc2c1</v>
      </c>
      <c r="C20940" s="7">
        <f>IFERROR(__xludf.DUMMYFUNCTION("""COMPUTED_VALUE"""),7.684968)</f>
        <v>7.684968</v>
      </c>
      <c r="D20940" s="7">
        <f>IFERROR(__xludf.DUMMYFUNCTION("""COMPUTED_VALUE"""),0.431372549019607)</f>
        <v>0.431372549</v>
      </c>
      <c r="F20940" s="91"/>
    </row>
    <row r="20941">
      <c r="A20941" s="10" t="s">
        <v>22380</v>
      </c>
      <c r="B20941" s="7" t="str">
        <f>IFERROR(__xludf.DUMMYFUNCTION("SPLIT(A20941,"" "")"),"CC(C)N(c1ccc2ncccc2c1)c1cccc2c(-c3ccc(C(C)(C)C)cn3)ccnc12")</f>
        <v>CC(C)N(c1ccc2ncccc2c1)c1cccc2c(-c3ccc(C(C)(C)C)cn3)ccnc12</v>
      </c>
      <c r="C20941" s="7">
        <f>IFERROR(__xludf.DUMMYFUNCTION("""COMPUTED_VALUE"""),7.684953)</f>
        <v>7.684953</v>
      </c>
      <c r="D20941" s="7">
        <f>IFERROR(__xludf.DUMMYFUNCTION("""COMPUTED_VALUE"""),0.28125)</f>
        <v>0.28125</v>
      </c>
      <c r="F20941" s="91"/>
    </row>
    <row r="20942">
      <c r="A20942" s="10" t="s">
        <v>22381</v>
      </c>
      <c r="B20942" s="7" t="str">
        <f>IFERROR(__xludf.DUMMYFUNCTION("SPLIT(A20942,"" "")"),"CC(c1ccccn1)(c1ccccn1)c1nccc2c1ccc1ncccc12")</f>
        <v>CC(c1ccccn1)(c1ccccn1)c1nccc2c1ccc1ncccc12</v>
      </c>
      <c r="C20942" s="7">
        <f>IFERROR(__xludf.DUMMYFUNCTION("""COMPUTED_VALUE"""),7.684694)</f>
        <v>7.684694</v>
      </c>
      <c r="D20942" s="7">
        <f>IFERROR(__xludf.DUMMYFUNCTION("""COMPUTED_VALUE"""),0.404255319148936)</f>
        <v>0.4042553191</v>
      </c>
      <c r="F20942" s="91"/>
    </row>
    <row r="20943">
      <c r="A20943" s="10" t="s">
        <v>22382</v>
      </c>
      <c r="B20943" s="7" t="str">
        <f>IFERROR(__xludf.DUMMYFUNCTION("SPLIT(A20943,"" "")"),"CN(C)Cc1ccc2cccc(N(C)Cc3ccc4cccc(N(C)c5ccc6ncccc6c5)c4n3)c2n1")</f>
        <v>CN(C)Cc1ccc2cccc(N(C)Cc3ccc4cccc(N(C)c5ccc6ncccc6c5)c4n3)c2n1</v>
      </c>
      <c r="C20943" s="7">
        <f>IFERROR(__xludf.DUMMYFUNCTION("""COMPUTED_VALUE"""),7.6844635)</f>
        <v>7.6844635</v>
      </c>
      <c r="D20943" s="7">
        <f>IFERROR(__xludf.DUMMYFUNCTION("""COMPUTED_VALUE"""),0.431372549019607)</f>
        <v>0.431372549</v>
      </c>
      <c r="F20943" s="91"/>
    </row>
    <row r="20944">
      <c r="A20944" s="10" t="s">
        <v>22383</v>
      </c>
      <c r="B20944" s="7" t="str">
        <f>IFERROR(__xludf.DUMMYFUNCTION("SPLIT(A20944,"" "")"),"CCN(c1ccc2ncccc2c1)c1ccc2ncccc2c1")</f>
        <v>CCN(c1ccc2ncccc2c1)c1ccc2ncccc2c1</v>
      </c>
      <c r="C20944" s="7">
        <f>IFERROR(__xludf.DUMMYFUNCTION("""COMPUTED_VALUE"""),7.6844554)</f>
        <v>7.6844554</v>
      </c>
      <c r="D20944" s="7">
        <f>IFERROR(__xludf.DUMMYFUNCTION("""COMPUTED_VALUE"""),0.341463414634146)</f>
        <v>0.3414634146</v>
      </c>
      <c r="F20944" s="91"/>
    </row>
    <row r="20945">
      <c r="A20945" s="10" t="s">
        <v>22384</v>
      </c>
      <c r="B20945" s="7" t="str">
        <f>IFERROR(__xludf.DUMMYFUNCTION("SPLIT(A20945,"" "")"),"CCN(c1ccc2ncccc2c1)c1ccc2cccnc2c1")</f>
        <v>CCN(c1ccc2ncccc2c1)c1ccc2cccnc2c1</v>
      </c>
      <c r="C20945" s="7">
        <f>IFERROR(__xludf.DUMMYFUNCTION("""COMPUTED_VALUE"""),7.684419)</f>
        <v>7.684419</v>
      </c>
      <c r="D20945" s="7">
        <f>IFERROR(__xludf.DUMMYFUNCTION("""COMPUTED_VALUE"""),0.347826086956521)</f>
        <v>0.347826087</v>
      </c>
      <c r="F20945" s="91"/>
    </row>
    <row r="20946">
      <c r="A20946" s="10" t="s">
        <v>22385</v>
      </c>
      <c r="B20946" s="7" t="str">
        <f>IFERROR(__xludf.DUMMYFUNCTION("SPLIT(A20946,"" "")"),"CN(Cc1cccnn1)c1cc2cccnc2cc1N(C)c1ccc2cccnc2c1")</f>
        <v>CN(Cc1cccnn1)c1cc2cccnc2cc1N(C)c1ccc2cccnc2c1</v>
      </c>
      <c r="C20946" s="7">
        <f>IFERROR(__xludf.DUMMYFUNCTION("""COMPUTED_VALUE"""),7.6840477)</f>
        <v>7.6840477</v>
      </c>
      <c r="D20946" s="7">
        <f>IFERROR(__xludf.DUMMYFUNCTION("""COMPUTED_VALUE"""),0.408163265306122)</f>
        <v>0.4081632653</v>
      </c>
      <c r="F20946" s="91"/>
    </row>
    <row r="20947">
      <c r="A20947" s="10" t="s">
        <v>22386</v>
      </c>
      <c r="B20947" s="7" t="str">
        <f>IFERROR(__xludf.DUMMYFUNCTION("SPLIT(A20947,"" "")"),"CNc1nc2ccccc2n1C")</f>
        <v>CNc1nc2ccccc2n1C</v>
      </c>
      <c r="C20947" s="7">
        <f>IFERROR(__xludf.DUMMYFUNCTION("""COMPUTED_VALUE"""),7.683792)</f>
        <v>7.683792</v>
      </c>
      <c r="D20947" s="7">
        <f>IFERROR(__xludf.DUMMYFUNCTION("""COMPUTED_VALUE"""),0.435897435897435)</f>
        <v>0.4358974359</v>
      </c>
      <c r="F20947" s="91"/>
    </row>
    <row r="20948">
      <c r="A20948" s="10" t="s">
        <v>22387</v>
      </c>
      <c r="B20948" s="7" t="str">
        <f>IFERROR(__xludf.DUMMYFUNCTION("SPLIT(A20948,"" "")"),"CN(Cc1cccnn1)c1ccc2cccnc2c1N(C)c1ccc2cccnc2c1")</f>
        <v>CN(Cc1cccnn1)c1ccc2cccnc2c1N(C)c1ccc2cccnc2c1</v>
      </c>
      <c r="C20948" s="7">
        <f>IFERROR(__xludf.DUMMYFUNCTION("""COMPUTED_VALUE"""),7.6837363)</f>
        <v>7.6837363</v>
      </c>
      <c r="D20948" s="7">
        <f>IFERROR(__xludf.DUMMYFUNCTION("""COMPUTED_VALUE"""),0.377358490566037)</f>
        <v>0.3773584906</v>
      </c>
      <c r="F20948" s="91"/>
    </row>
    <row r="20949">
      <c r="A20949" s="10" t="s">
        <v>22388</v>
      </c>
      <c r="B20949" s="7" t="str">
        <f>IFERROR(__xludf.DUMMYFUNCTION("SPLIT(A20949,"" "")"),"CN(Cc1ncccc1-c1ccc2ncccc2c1)c1ccc2ncccc2c1")</f>
        <v>CN(Cc1ncccc1-c1ccc2ncccc2c1)c1ccc2ncccc2c1</v>
      </c>
      <c r="C20949" s="7">
        <f>IFERROR(__xludf.DUMMYFUNCTION("""COMPUTED_VALUE"""),7.683638)</f>
        <v>7.683638</v>
      </c>
      <c r="D20949" s="7">
        <f>IFERROR(__xludf.DUMMYFUNCTION("""COMPUTED_VALUE"""),0.326530612244897)</f>
        <v>0.3265306122</v>
      </c>
      <c r="F20949" s="91"/>
    </row>
    <row r="20950">
      <c r="A20950" s="10" t="s">
        <v>22389</v>
      </c>
      <c r="B20950" s="7" t="str">
        <f>IFERROR(__xludf.DUMMYFUNCTION("SPLIT(A20950,"" "")"),"CN(Cc1cc(-c2ccc3ncccc3c2)ccn1)c1ccc2ncccc2c1")</f>
        <v>CN(Cc1cc(-c2ccc3ncccc3c2)ccn1)c1ccc2ncccc2c1</v>
      </c>
      <c r="C20950" s="7">
        <f>IFERROR(__xludf.DUMMYFUNCTION("""COMPUTED_VALUE"""),7.6832485)</f>
        <v>7.6832485</v>
      </c>
      <c r="D20950" s="7">
        <f>IFERROR(__xludf.DUMMYFUNCTION("""COMPUTED_VALUE"""),0.36734693877551)</f>
        <v>0.3673469388</v>
      </c>
      <c r="F20950" s="91"/>
    </row>
    <row r="20951">
      <c r="A20951" s="10" t="s">
        <v>22390</v>
      </c>
      <c r="B20951" s="7" t="str">
        <f>IFERROR(__xludf.DUMMYFUNCTION("SPLIT(A20951,"" "")"),"CN(Cc1cccnn1)c1cc(N(C)c2ccc3ncccc3c2)c2ncccc2c1")</f>
        <v>CN(Cc1cccnn1)c1cc(N(C)c2ccc3ncccc3c2)c2ncccc2c1</v>
      </c>
      <c r="C20951" s="7">
        <f>IFERROR(__xludf.DUMMYFUNCTION("""COMPUTED_VALUE"""),7.6829066)</f>
        <v>7.6829066</v>
      </c>
      <c r="D20951" s="7">
        <f>IFERROR(__xludf.DUMMYFUNCTION("""COMPUTED_VALUE"""),0.392156862745098)</f>
        <v>0.3921568627</v>
      </c>
      <c r="F20951" s="91"/>
    </row>
    <row r="20952">
      <c r="A20952" s="10" t="s">
        <v>22391</v>
      </c>
      <c r="B20952" s="7" t="str">
        <f>IFERROR(__xludf.DUMMYFUNCTION("SPLIT(A20952,"" "")"),"CCN(Cc1ccccn1)c1cc2ncccc2cc1-c1ccc(-c2cccc(-c3ccc4ncccc4c3)c2)c(N(C)Cc2ccc3ncccc3c2)c1")</f>
        <v>CCN(Cc1ccccn1)c1cc2ncccc2cc1-c1ccc(-c2cccc(-c3ccc4ncccc4c3)c2)c(N(C)Cc2ccc3ncccc3c2)c1</v>
      </c>
      <c r="C20952" s="7">
        <f>IFERROR(__xludf.DUMMYFUNCTION("""COMPUTED_VALUE"""),7.6827803)</f>
        <v>7.6827803</v>
      </c>
      <c r="D20952" s="7">
        <f>IFERROR(__xludf.DUMMYFUNCTION("""COMPUTED_VALUE"""),0.353846153846153)</f>
        <v>0.3538461538</v>
      </c>
      <c r="F20952" s="91"/>
    </row>
    <row r="20953">
      <c r="A20953" s="10" t="s">
        <v>22392</v>
      </c>
      <c r="B20953" s="7" t="str">
        <f>IFERROR(__xludf.DUMMYFUNCTION("SPLIT(A20953,"" "")"),"CN(c1ccc2ncccc2c1)c1ccc2nccc(CF)c2c1")</f>
        <v>CN(c1ccc2ncccc2c1)c1ccc2nccc(CF)c2c1</v>
      </c>
      <c r="C20953" s="7">
        <f>IFERROR(__xludf.DUMMYFUNCTION("""COMPUTED_VALUE"""),7.682727)</f>
        <v>7.682727</v>
      </c>
      <c r="D20953" s="7">
        <f>IFERROR(__xludf.DUMMYFUNCTION("""COMPUTED_VALUE"""),0.313725490196078)</f>
        <v>0.3137254902</v>
      </c>
      <c r="F20953" s="91"/>
    </row>
    <row r="20954">
      <c r="A20954" s="10" t="s">
        <v>22393</v>
      </c>
      <c r="B20954" s="7" t="str">
        <f>IFERROR(__xludf.DUMMYFUNCTION("SPLIT(A20954,"" "")"),"CN(CCNc1ccc2nccc(-c3ccc4ncccc4c3)c2c1)c1ccc2ncccc2c1")</f>
        <v>CN(CCNc1ccc2nccc(-c3ccc4ncccc4c3)c2c1)c1ccc2ncccc2c1</v>
      </c>
      <c r="C20954" s="7">
        <f>IFERROR(__xludf.DUMMYFUNCTION("""COMPUTED_VALUE"""),7.6827044)</f>
        <v>7.6827044</v>
      </c>
      <c r="D20954" s="7">
        <f>IFERROR(__xludf.DUMMYFUNCTION("""COMPUTED_VALUE"""),0.293103448275862)</f>
        <v>0.2931034483</v>
      </c>
      <c r="F20954" s="91"/>
    </row>
    <row r="20955">
      <c r="A20955" s="10" t="s">
        <v>22394</v>
      </c>
      <c r="B20955" s="7" t="str">
        <f>IFERROR(__xludf.DUMMYFUNCTION("SPLIT(A20955,"" "")"),"C1=CNC(c2nc3ccccc3o2)=CC1")</f>
        <v>C1=CNC(c2nc3ccccc3o2)=CC1</v>
      </c>
      <c r="C20955" s="7">
        <f>IFERROR(__xludf.DUMMYFUNCTION("""COMPUTED_VALUE"""),7.6824355)</f>
        <v>7.6824355</v>
      </c>
      <c r="D20955" s="7">
        <f>IFERROR(__xludf.DUMMYFUNCTION("""COMPUTED_VALUE"""),0.45)</f>
        <v>0.45</v>
      </c>
      <c r="F20955" s="91"/>
    </row>
    <row r="20956">
      <c r="A20956" s="10" t="s">
        <v>22395</v>
      </c>
      <c r="B20956" s="7" t="str">
        <f>IFERROR(__xludf.DUMMYFUNCTION("SPLIT(A20956,"" "")"),"CN(C)Cc1ccnc2cc(N(C)CCN(C)c3ccc4c(-c5ccc6cccnc6c5)ccnc4c3)ccc12")</f>
        <v>CN(C)Cc1ccnc2cc(N(C)CCN(C)c3ccc4c(-c5ccc6cccnc6c5)ccnc4c3)ccc12</v>
      </c>
      <c r="C20956" s="7">
        <f>IFERROR(__xludf.DUMMYFUNCTION("""COMPUTED_VALUE"""),7.6824236)</f>
        <v>7.6824236</v>
      </c>
      <c r="D20956" s="7">
        <f>IFERROR(__xludf.DUMMYFUNCTION("""COMPUTED_VALUE"""),0.31578947368421)</f>
        <v>0.3157894737</v>
      </c>
      <c r="F20956" s="91"/>
    </row>
    <row r="20957">
      <c r="A20957" s="10" t="s">
        <v>22396</v>
      </c>
      <c r="B20957" s="7" t="str">
        <f>IFERROR(__xludf.DUMMYFUNCTION("SPLIT(A20957,"" "")"),"CN(Cc1cccnc1)c1ccc2nccc(-c3ccc4ncccc4c3)c2c1")</f>
        <v>CN(Cc1cccnc1)c1ccc2nccc(-c3ccc4ncccc4c3)c2c1</v>
      </c>
      <c r="C20957" s="7">
        <f>IFERROR(__xludf.DUMMYFUNCTION("""COMPUTED_VALUE"""),7.6822577)</f>
        <v>7.6822577</v>
      </c>
      <c r="D20957" s="7">
        <f>IFERROR(__xludf.DUMMYFUNCTION("""COMPUTED_VALUE"""),0.275862068965517)</f>
        <v>0.275862069</v>
      </c>
      <c r="F20957" s="91"/>
    </row>
    <row r="20958">
      <c r="A20958" s="10" t="s">
        <v>22397</v>
      </c>
      <c r="B20958" s="7" t="str">
        <f>IFERROR(__xludf.DUMMYFUNCTION("SPLIT(A20958,"" "")"),"CN(Cc1cccnn1)c1ccc2cccnc2c1N(C)c1cccc2ncccc12")</f>
        <v>CN(Cc1cccnn1)c1ccc2cccnc2c1N(C)c1cccc2ncccc12</v>
      </c>
      <c r="C20958" s="7">
        <f>IFERROR(__xludf.DUMMYFUNCTION("""COMPUTED_VALUE"""),7.682232)</f>
        <v>7.682232</v>
      </c>
      <c r="D20958" s="7">
        <f>IFERROR(__xludf.DUMMYFUNCTION("""COMPUTED_VALUE"""),0.407407407407407)</f>
        <v>0.4074074074</v>
      </c>
      <c r="F20958" s="91"/>
    </row>
    <row r="20959">
      <c r="A20959" s="10" t="s">
        <v>22398</v>
      </c>
      <c r="B20959" s="7" t="str">
        <f>IFERROR(__xludf.DUMMYFUNCTION("SPLIT(A20959,"" "")"),"Cc1cnc(-c2cccc(N(C)C)c2)c(-c2ccc3ncccc3c2)c1")</f>
        <v>Cc1cnc(-c2cccc(N(C)C)c2)c(-c2ccc3ncccc3c2)c1</v>
      </c>
      <c r="C20959" s="7">
        <f>IFERROR(__xludf.DUMMYFUNCTION("""COMPUTED_VALUE"""),7.6820993)</f>
        <v>7.6820993</v>
      </c>
      <c r="D20959" s="7">
        <f>IFERROR(__xludf.DUMMYFUNCTION("""COMPUTED_VALUE"""),0.272727272727272)</f>
        <v>0.2727272727</v>
      </c>
      <c r="F20959" s="91"/>
    </row>
    <row r="20960">
      <c r="A20960" s="10" t="s">
        <v>22399</v>
      </c>
      <c r="B20960" s="7" t="str">
        <f>IFERROR(__xludf.DUMMYFUNCTION("SPLIT(A20960,"" "")"),"CN(C)Cc1ccc2cc(N(C)Cc3ccc4cc(N(C)c5ccc6ccc(-c7ccccn7)nc6c5)ccc4n3)ccc2n1")</f>
        <v>CN(C)Cc1ccc2cc(N(C)Cc3ccc4cc(N(C)c5ccc6ccc(-c7ccccn7)nc6c5)ccc4n3)ccc2n1</v>
      </c>
      <c r="C20960" s="7">
        <f>IFERROR(__xludf.DUMMYFUNCTION("""COMPUTED_VALUE"""),7.6817303)</f>
        <v>7.6817303</v>
      </c>
      <c r="D20960" s="7">
        <f>IFERROR(__xludf.DUMMYFUNCTION("""COMPUTED_VALUE"""),0.418181818181818)</f>
        <v>0.4181818182</v>
      </c>
      <c r="F20960" s="91"/>
    </row>
    <row r="20961">
      <c r="A20961" s="10" t="s">
        <v>22400</v>
      </c>
      <c r="B20961" s="7" t="str">
        <f>IFERROR(__xludf.DUMMYFUNCTION("SPLIT(A20961,"" "")"),"CN(Cc1ccc2ncccc2c1)c1ccc2nccc(-c3ccccn3)c2c1")</f>
        <v>CN(Cc1ccc2ncccc2c1)c1ccc2nccc(-c3ccccn3)c2c1</v>
      </c>
      <c r="C20961" s="7">
        <f>IFERROR(__xludf.DUMMYFUNCTION("""COMPUTED_VALUE"""),7.6816106)</f>
        <v>7.6816106</v>
      </c>
      <c r="D20961" s="7">
        <f>IFERROR(__xludf.DUMMYFUNCTION("""COMPUTED_VALUE"""),0.333333333333333)</f>
        <v>0.3333333333</v>
      </c>
      <c r="F20961" s="91"/>
    </row>
    <row r="20962">
      <c r="A20962" s="10" t="s">
        <v>22401</v>
      </c>
      <c r="B20962" s="7" t="str">
        <f>IFERROR(__xludf.DUMMYFUNCTION("SPLIT(A20962,"" "")"),"CNc1ccc2nccc(-c3cc(C4=NC(C)(C)CO4)ccn3)c2c1")</f>
        <v>CNc1ccc2nccc(-c3cc(C4=NC(C)(C)CO4)ccn3)c2c1</v>
      </c>
      <c r="C20962" s="7">
        <f>IFERROR(__xludf.DUMMYFUNCTION("""COMPUTED_VALUE"""),7.6814876)</f>
        <v>7.6814876</v>
      </c>
      <c r="D20962" s="7">
        <f>IFERROR(__xludf.DUMMYFUNCTION("""COMPUTED_VALUE"""),0.351851851851851)</f>
        <v>0.3518518519</v>
      </c>
      <c r="F20962" s="91"/>
    </row>
    <row r="20963">
      <c r="A20963" s="10" t="s">
        <v>22402</v>
      </c>
      <c r="B20963" s="7" t="str">
        <f>IFERROR(__xludf.DUMMYFUNCTION("SPLIT(A20963,"" "")"),"CN(C)Cc1ccc2ccc(N(C)Cc3ccc4ccc(N(C)c5ccc6nc(-c7ccccn7)ccc6c5)cc4n3)cc2n1")</f>
        <v>CN(C)Cc1ccc2ccc(N(C)Cc3ccc4ccc(N(C)c5ccc6nc(-c7ccccn7)ccc6c5)cc4n3)cc2n1</v>
      </c>
      <c r="C20963" s="7">
        <f>IFERROR(__xludf.DUMMYFUNCTION("""COMPUTED_VALUE"""),7.681164)</f>
        <v>7.681164</v>
      </c>
      <c r="D20963" s="7">
        <f>IFERROR(__xludf.DUMMYFUNCTION("""COMPUTED_VALUE"""),0.418181818181818)</f>
        <v>0.4181818182</v>
      </c>
      <c r="F20963" s="91"/>
    </row>
    <row r="20964">
      <c r="A20964" s="10" t="s">
        <v>22403</v>
      </c>
      <c r="B20964" s="7" t="str">
        <f>IFERROR(__xludf.DUMMYFUNCTION("SPLIT(A20964,"" "")"),"CN(Cc1ccccn1)c1ccc2nccc(-c3ccc4ncccc4c3)c2c1")</f>
        <v>CN(Cc1ccccn1)c1ccc2nccc(-c3ccc4ncccc4c3)c2c1</v>
      </c>
      <c r="C20964" s="7">
        <f>IFERROR(__xludf.DUMMYFUNCTION("""COMPUTED_VALUE"""),7.6811247)</f>
        <v>7.6811247</v>
      </c>
      <c r="D20964" s="7">
        <f>IFERROR(__xludf.DUMMYFUNCTION("""COMPUTED_VALUE"""),0.423076923076923)</f>
        <v>0.4230769231</v>
      </c>
      <c r="F20964" s="91"/>
    </row>
    <row r="20965">
      <c r="A20965" s="10" t="s">
        <v>22404</v>
      </c>
      <c r="B20965" s="7" t="str">
        <f>IFERROR(__xludf.DUMMYFUNCTION("SPLIT(A20965,"" "")"),"CNc1ccc2cccnc2c1-c1cc(-c2ccccc2N=Cc2ccccn2)ccn1")</f>
        <v>CNc1ccc2cccnc2c1-c1cc(-c2ccccc2N=Cc2ccccn2)ccn1</v>
      </c>
      <c r="C20965" s="7">
        <f>IFERROR(__xludf.DUMMYFUNCTION("""COMPUTED_VALUE"""),7.68097)</f>
        <v>7.68097</v>
      </c>
      <c r="D20965" s="7">
        <f>IFERROR(__xludf.DUMMYFUNCTION("""COMPUTED_VALUE"""),0.4)</f>
        <v>0.4</v>
      </c>
      <c r="F20965" s="91"/>
    </row>
    <row r="20966">
      <c r="A20966" s="10" t="s">
        <v>22405</v>
      </c>
      <c r="B20966" s="7" t="str">
        <f>IFERROR(__xludf.DUMMYFUNCTION("SPLIT(A20966,"" "")"),"CN(C)Cc1ccnc2ccc(N(C)Cc3ccnc4ccc(N(C)c5ccc6ncccc6c5)cc34)cc12")</f>
        <v>CN(C)Cc1ccnc2ccc(N(C)Cc3ccnc4ccc(N(C)c5ccc6ncccc6c5)cc34)cc12</v>
      </c>
      <c r="C20966" s="7">
        <f>IFERROR(__xludf.DUMMYFUNCTION("""COMPUTED_VALUE"""),7.680655)</f>
        <v>7.680655</v>
      </c>
      <c r="D20966" s="7">
        <f>IFERROR(__xludf.DUMMYFUNCTION("""COMPUTED_VALUE"""),0.314814814814814)</f>
        <v>0.3148148148</v>
      </c>
      <c r="F20966" s="91"/>
    </row>
    <row r="20967">
      <c r="A20967" s="10" t="s">
        <v>22406</v>
      </c>
      <c r="B20967" s="7" t="str">
        <f>IFERROR(__xludf.DUMMYFUNCTION("SPLIT(A20967,"" "")"),"CNc1cccc2c(-c3cc(C)ccn3)ccnc12")</f>
        <v>CNc1cccc2c(-c3cc(C)ccn3)ccnc12</v>
      </c>
      <c r="C20967" s="7">
        <f>IFERROR(__xludf.DUMMYFUNCTION("""COMPUTED_VALUE"""),7.6804967)</f>
        <v>7.6804967</v>
      </c>
      <c r="D20967" s="7">
        <f>IFERROR(__xludf.DUMMYFUNCTION("""COMPUTED_VALUE"""),0.274509803921568)</f>
        <v>0.2745098039</v>
      </c>
      <c r="F20967" s="91"/>
    </row>
    <row r="20968">
      <c r="A20968" s="10" t="s">
        <v>22407</v>
      </c>
      <c r="B20968" s="7" t="str">
        <f>IFERROR(__xludf.DUMMYFUNCTION("SPLIT(A20968,"" "")"),"CN(Cc1nc2ccccc2o1)c1ccc2ncccc2c1")</f>
        <v>CN(Cc1nc2ccccc2o1)c1ccc2ncccc2c1</v>
      </c>
      <c r="C20968" s="7">
        <f>IFERROR(__xludf.DUMMYFUNCTION("""COMPUTED_VALUE"""),7.6802735)</f>
        <v>7.6802735</v>
      </c>
      <c r="D20968" s="7">
        <f>IFERROR(__xludf.DUMMYFUNCTION("""COMPUTED_VALUE"""),0.375)</f>
        <v>0.375</v>
      </c>
      <c r="F20968" s="91"/>
    </row>
    <row r="20969">
      <c r="A20969" s="10" t="s">
        <v>22408</v>
      </c>
      <c r="B20969" s="7" t="str">
        <f>IFERROR(__xludf.DUMMYFUNCTION("SPLIT(A20969,"" "")"),"CN(CC1=CC2N=CC=CC2C=C1N(C)c1ccc2ncccc2c1)c1ccc2nccc(-c3ccc4ncccc4c3)c2c1")</f>
        <v>CN(CC1=CC2N=CC=CC2C=C1N(C)c1ccc2ncccc2c1)c1ccc2nccc(-c3ccc4ncccc4c3)c2c1</v>
      </c>
      <c r="C20969" s="7">
        <f>IFERROR(__xludf.DUMMYFUNCTION("""COMPUTED_VALUE"""),7.679241)</f>
        <v>7.679241</v>
      </c>
      <c r="D20969" s="7">
        <f>IFERROR(__xludf.DUMMYFUNCTION("""COMPUTED_VALUE"""),0.216216216216216)</f>
        <v>0.2162162162</v>
      </c>
      <c r="F20969" s="91"/>
    </row>
    <row r="20970">
      <c r="A20970" s="10" t="s">
        <v>22409</v>
      </c>
      <c r="B20970" s="7" t="str">
        <f>IFERROR(__xludf.DUMMYFUNCTION("SPLIT(A20970,"" "")"),"CC1(C)CCC1c1nc(C2=NC(=O)C(=O)O2)c(C2=NC(=O)C(=O)O2)c(C2=NC(=O)C(=O)O2)c1CN=Cc1ccccn1")</f>
        <v>CC1(C)CCC1c1nc(C2=NC(=O)C(=O)O2)c(C2=NC(=O)C(=O)O2)c(C2=NC(=O)C(=O)O2)c1CN=Cc1ccccn1</v>
      </c>
      <c r="C20970" s="7">
        <f>IFERROR(__xludf.DUMMYFUNCTION("""COMPUTED_VALUE"""),7.679093)</f>
        <v>7.679093</v>
      </c>
      <c r="D20970" s="7">
        <f>IFERROR(__xludf.DUMMYFUNCTION("""COMPUTED_VALUE"""),0.275362318840579)</f>
        <v>0.2753623188</v>
      </c>
      <c r="F20970" s="91"/>
    </row>
    <row r="20971">
      <c r="A20971" s="10" t="s">
        <v>22410</v>
      </c>
      <c r="B20971" s="7" t="str">
        <f>IFERROR(__xludf.DUMMYFUNCTION("SPLIT(A20971,"" "")"),"CN(c1ccc2ncccc2c1)c1ccc2ncccc2c1")</f>
        <v>CN(c1ccc2ncccc2c1)c1ccc2ncccc2c1</v>
      </c>
      <c r="C20971" s="7">
        <f>IFERROR(__xludf.DUMMYFUNCTION("""COMPUTED_VALUE"""),7.6790237)</f>
        <v>7.6790237</v>
      </c>
      <c r="D20971" s="7">
        <f>IFERROR(__xludf.DUMMYFUNCTION("""COMPUTED_VALUE"""),0.368421052631578)</f>
        <v>0.3684210526</v>
      </c>
      <c r="F20971" s="91"/>
    </row>
    <row r="20972">
      <c r="A20972" s="10" t="s">
        <v>22411</v>
      </c>
      <c r="B20972" s="7" t="str">
        <f>IFERROR(__xludf.DUMMYFUNCTION("SPLIT(A20972,"" "")"),"CN(c1ccc2ncccc2c1)c1ccc2cccnc2c1")</f>
        <v>CN(c1ccc2ncccc2c1)c1ccc2cccnc2c1</v>
      </c>
      <c r="C20972" s="7">
        <f>IFERROR(__xludf.DUMMYFUNCTION("""COMPUTED_VALUE"""),7.6788974)</f>
        <v>7.6788974</v>
      </c>
      <c r="D20972" s="7">
        <f>IFERROR(__xludf.DUMMYFUNCTION("""COMPUTED_VALUE"""),0.34090909090909)</f>
        <v>0.3409090909</v>
      </c>
      <c r="F20972" s="91"/>
    </row>
    <row r="20973">
      <c r="A20973" s="10" t="s">
        <v>22412</v>
      </c>
      <c r="B20973" s="7" t="str">
        <f>IFERROR(__xludf.DUMMYFUNCTION("SPLIT(A20973,"" "")"),"CN(CN(CN(c1ccc2ncccc2c1)c1ccc2ncccc2c1)c1ccc2ncccc2c1)c1ccc2ncccc2c1")</f>
        <v>CN(CN(CN(c1ccc2ncccc2c1)c1ccc2ncccc2c1)c1ccc2ncccc2c1)c1ccc2ncccc2c1</v>
      </c>
      <c r="C20973" s="7">
        <f>IFERROR(__xludf.DUMMYFUNCTION("""COMPUTED_VALUE"""),7.678792)</f>
        <v>7.678792</v>
      </c>
      <c r="D20973" s="7">
        <f>IFERROR(__xludf.DUMMYFUNCTION("""COMPUTED_VALUE"""),0.347826086956521)</f>
        <v>0.347826087</v>
      </c>
      <c r="F20973" s="91"/>
    </row>
    <row r="20974">
      <c r="A20974" s="10" t="s">
        <v>22413</v>
      </c>
      <c r="B20974" s="7" t="str">
        <f>IFERROR(__xludf.DUMMYFUNCTION("SPLIT(A20974,"" "")"),"CN(c1ccc2cccnc2c1)c1ccc2cccnc2c1")</f>
        <v>CN(c1ccc2cccnc2c1)c1ccc2cccnc2c1</v>
      </c>
      <c r="C20974" s="7">
        <f>IFERROR(__xludf.DUMMYFUNCTION("""COMPUTED_VALUE"""),7.678754)</f>
        <v>7.678754</v>
      </c>
      <c r="D20974" s="7">
        <f>IFERROR(__xludf.DUMMYFUNCTION("""COMPUTED_VALUE"""),0.365853658536585)</f>
        <v>0.3658536585</v>
      </c>
      <c r="F20974" s="91"/>
    </row>
    <row r="20975">
      <c r="A20975" s="10" t="s">
        <v>22414</v>
      </c>
      <c r="B20975" s="7" t="str">
        <f>IFERROR(__xludf.DUMMYFUNCTION("SPLIT(A20975,"" "")"),"Cc1c(C)c(C)c2c(nc(CN(C)c3cccc4ccc(CN(C)C)nc34)c3c(C)c(C)c(C)c(C)c32)c1C")</f>
        <v>Cc1c(C)c(C)c2c(nc(CN(C)c3cccc4ccc(CN(C)C)nc34)c3c(C)c(C)c(C)c(C)c32)c1C</v>
      </c>
      <c r="C20975" s="7">
        <f>IFERROR(__xludf.DUMMYFUNCTION("""COMPUTED_VALUE"""),7.678723)</f>
        <v>7.678723</v>
      </c>
      <c r="D20975" s="7">
        <f>IFERROR(__xludf.DUMMYFUNCTION("""COMPUTED_VALUE"""),0.35593220338983)</f>
        <v>0.3559322034</v>
      </c>
      <c r="F20975" s="91"/>
    </row>
    <row r="20976">
      <c r="A20976" s="10" t="s">
        <v>22415</v>
      </c>
      <c r="B20976" s="7" t="str">
        <f>IFERROR(__xludf.DUMMYFUNCTION("SPLIT(A20976,"" "")"),"CNc1ccc2cccnc2c1-c1ccc2cccc(N(C)Cc3ncccc3-c3ccccc3N=Cc3ccccn3)c2n1")</f>
        <v>CNc1ccc2cccnc2c1-c1ccc2cccc(N(C)Cc3ncccc3-c3ccccc3N=Cc3ccccn3)c2n1</v>
      </c>
      <c r="C20976" s="7">
        <f>IFERROR(__xludf.DUMMYFUNCTION("""COMPUTED_VALUE"""),7.6785784)</f>
        <v>7.6785784</v>
      </c>
      <c r="D20976" s="7">
        <f>IFERROR(__xludf.DUMMYFUNCTION("""COMPUTED_VALUE"""),0.357142857142857)</f>
        <v>0.3571428571</v>
      </c>
      <c r="F20976" s="91"/>
    </row>
    <row r="20977">
      <c r="A20977" s="10" t="s">
        <v>22416</v>
      </c>
      <c r="B20977" s="7" t="str">
        <f>IFERROR(__xludf.DUMMYFUNCTION("SPLIT(A20977,"" "")"),"CN(C)Cc1ccc2ccc(N(C)Cc3ccc4cc(N(C)c5ccc6nccc(-c7ccccn7)c6c5)ccc4n3)cc2n1")</f>
        <v>CN(C)Cc1ccc2ccc(N(C)Cc3ccc4cc(N(C)c5ccc6nccc(-c7ccccn7)c6c5)ccc4n3)cc2n1</v>
      </c>
      <c r="C20977" s="7">
        <f>IFERROR(__xludf.DUMMYFUNCTION("""COMPUTED_VALUE"""),7.678478)</f>
        <v>7.678478</v>
      </c>
      <c r="D20977" s="7">
        <f>IFERROR(__xludf.DUMMYFUNCTION("""COMPUTED_VALUE"""),0.360655737704918)</f>
        <v>0.3606557377</v>
      </c>
      <c r="F20977" s="91"/>
    </row>
    <row r="20978">
      <c r="A20978" s="10" t="s">
        <v>22417</v>
      </c>
      <c r="B20978" s="7" t="str">
        <f>IFERROR(__xludf.DUMMYFUNCTION("SPLIT(A20978,"" "")"),"Cc1ccc(-c2ccnc3ccc(N(C)c4ccc5nccc(CN(C)C)c5c4)cc23)nc1")</f>
        <v>Cc1ccc(-c2ccnc3ccc(N(C)c4ccc5nccc(CN(C)C)c5c4)cc23)nc1</v>
      </c>
      <c r="C20978" s="7">
        <f>IFERROR(__xludf.DUMMYFUNCTION("""COMPUTED_VALUE"""),7.6783524)</f>
        <v>7.6783524</v>
      </c>
      <c r="D20978" s="7">
        <f>IFERROR(__xludf.DUMMYFUNCTION("""COMPUTED_VALUE"""),0.296296296296296)</f>
        <v>0.2962962963</v>
      </c>
      <c r="F20978" s="91"/>
    </row>
    <row r="20979">
      <c r="A20979" s="10" t="s">
        <v>22418</v>
      </c>
      <c r="B20979" s="7" t="str">
        <f>IFERROR(__xludf.DUMMYFUNCTION("SPLIT(A20979,"" "")"),"CN(Cc1ccc2cc(N(C)c3ccc4ncccc4c3)ccc2n1)c1ccc2ncccc2c1")</f>
        <v>CN(Cc1ccc2cc(N(C)c3ccc4ncccc4c3)ccc2n1)c1ccc2ncccc2c1</v>
      </c>
      <c r="C20979" s="7">
        <f>IFERROR(__xludf.DUMMYFUNCTION("""COMPUTED_VALUE"""),7.678313)</f>
        <v>7.678313</v>
      </c>
      <c r="D20979" s="7">
        <f>IFERROR(__xludf.DUMMYFUNCTION("""COMPUTED_VALUE"""),0.425531914893617)</f>
        <v>0.4255319149</v>
      </c>
      <c r="F20979" s="91"/>
    </row>
    <row r="20980">
      <c r="A20980" s="10" t="s">
        <v>22419</v>
      </c>
      <c r="B20980" s="7" t="str">
        <f>IFERROR(__xludf.DUMMYFUNCTION("SPLIT(A20980,"" "")"),"CN(CCN(C)c1ccc2nccc(-c3ccc4cccnc4c3)c2c1)c1ccc2ncccc2c1")</f>
        <v>CN(CCN(C)c1ccc2nccc(-c3ccc4cccnc4c3)c2c1)c1ccc2ncccc2c1</v>
      </c>
      <c r="C20980" s="7">
        <f>IFERROR(__xludf.DUMMYFUNCTION("""COMPUTED_VALUE"""),7.678192)</f>
        <v>7.678192</v>
      </c>
      <c r="D20980" s="7">
        <f>IFERROR(__xludf.DUMMYFUNCTION("""COMPUTED_VALUE"""),0.346153846153846)</f>
        <v>0.3461538462</v>
      </c>
      <c r="F20980" s="91"/>
    </row>
    <row r="20981">
      <c r="A20981" s="10" t="s">
        <v>22420</v>
      </c>
      <c r="B20981" s="7" t="str">
        <f>IFERROR(__xludf.DUMMYFUNCTION("SPLIT(A20981,"" "")"),"CNc1cc(Cl)c2ncccc2c1N(C)C")</f>
        <v>CNc1cc(Cl)c2ncccc2c1N(C)C</v>
      </c>
      <c r="C20981" s="7">
        <f>IFERROR(__xludf.DUMMYFUNCTION("""COMPUTED_VALUE"""),7.678112)</f>
        <v>7.678112</v>
      </c>
      <c r="D20981" s="7">
        <f>IFERROR(__xludf.DUMMYFUNCTION("""COMPUTED_VALUE"""),0.3125)</f>
        <v>0.3125</v>
      </c>
      <c r="F20981" s="91"/>
    </row>
    <row r="20982">
      <c r="A20982" s="10" t="s">
        <v>22421</v>
      </c>
      <c r="B20982" s="7" t="str">
        <f>IFERROR(__xludf.DUMMYFUNCTION("SPLIT(A20982,"" "")"),"CN(Cc1ccc2ccc(N(C)c3ccc4ncccc4c3)cc2n1)c1ccc2ncccc2c1")</f>
        <v>CN(Cc1ccc2ccc(N(C)c3ccc4ncccc4c3)cc2n1)c1ccc2ncccc2c1</v>
      </c>
      <c r="C20982" s="7">
        <f>IFERROR(__xludf.DUMMYFUNCTION("""COMPUTED_VALUE"""),7.677766)</f>
        <v>7.677766</v>
      </c>
      <c r="D20982" s="7">
        <f>IFERROR(__xludf.DUMMYFUNCTION("""COMPUTED_VALUE"""),0.416666666666666)</f>
        <v>0.4166666667</v>
      </c>
      <c r="F20982" s="91"/>
    </row>
    <row r="20983">
      <c r="A20983" s="10" t="s">
        <v>22422</v>
      </c>
      <c r="B20983" s="7" t="str">
        <f>IFERROR(__xludf.DUMMYFUNCTION("SPLIT(A20983,"" "")"),"CN(Cc1ccc2ccc(N(C)c3ccc4ncccc4c3)cc2n1)c1ccc2cccnc2c1")</f>
        <v>CN(Cc1ccc2ccc(N(C)c3ccc4ncccc4c3)cc2n1)c1ccc2cccnc2c1</v>
      </c>
      <c r="C20983" s="7">
        <f>IFERROR(__xludf.DUMMYFUNCTION("""COMPUTED_VALUE"""),7.677622)</f>
        <v>7.677622</v>
      </c>
      <c r="D20983" s="7">
        <f>IFERROR(__xludf.DUMMYFUNCTION("""COMPUTED_VALUE"""),0.408163265306122)</f>
        <v>0.4081632653</v>
      </c>
      <c r="F20983" s="91"/>
    </row>
    <row r="20984">
      <c r="A20984" s="10" t="s">
        <v>22423</v>
      </c>
      <c r="B20984" s="7" t="str">
        <f>IFERROR(__xludf.DUMMYFUNCTION("SPLIT(A20984,"" "")"),"CN(Cc1nc2ccccc2o1)Cc1nc2ncccc2o1")</f>
        <v>CN(Cc1nc2ccccc2o1)Cc1nc2ncccc2o1</v>
      </c>
      <c r="C20984" s="7">
        <f>IFERROR(__xludf.DUMMYFUNCTION("""COMPUTED_VALUE"""),7.677541)</f>
        <v>7.677541</v>
      </c>
      <c r="D20984" s="7">
        <f>IFERROR(__xludf.DUMMYFUNCTION("""COMPUTED_VALUE"""),0.409090909090909)</f>
        <v>0.4090909091</v>
      </c>
      <c r="F20984" s="91"/>
    </row>
    <row r="20985">
      <c r="A20985" s="10" t="s">
        <v>22424</v>
      </c>
      <c r="B20985" s="7" t="str">
        <f>IFERROR(__xludf.DUMMYFUNCTION("SPLIT(A20985,"" "")"),"CNc1cc(N(C)C)c2nc(C)ccc2c1Cl")</f>
        <v>CNc1cc(N(C)C)c2nc(C)ccc2c1Cl</v>
      </c>
      <c r="C20985" s="7">
        <f>IFERROR(__xludf.DUMMYFUNCTION("""COMPUTED_VALUE"""),7.6773915)</f>
        <v>7.6773915</v>
      </c>
      <c r="D20985" s="7">
        <f>IFERROR(__xludf.DUMMYFUNCTION("""COMPUTED_VALUE"""),0.229166666666666)</f>
        <v>0.2291666667</v>
      </c>
      <c r="F20985" s="91"/>
    </row>
    <row r="20986">
      <c r="A20986" s="10" t="s">
        <v>22425</v>
      </c>
      <c r="B20986" s="7" t="str">
        <f>IFERROR(__xludf.DUMMYFUNCTION("SPLIT(A20986,"" "")"),"CN(CN(c1ccc2ncccc2c1)c1ccc2ncccc2c1)c1ccc2ncccc2c1")</f>
        <v>CN(CN(c1ccc2ncccc2c1)c1ccc2ncccc2c1)c1ccc2ncccc2c1</v>
      </c>
      <c r="C20986" s="7">
        <f>IFERROR(__xludf.DUMMYFUNCTION("""COMPUTED_VALUE"""),7.677071)</f>
        <v>7.677071</v>
      </c>
      <c r="D20986" s="7">
        <f>IFERROR(__xludf.DUMMYFUNCTION("""COMPUTED_VALUE"""),0.38095238095238)</f>
        <v>0.380952381</v>
      </c>
      <c r="F20986" s="91"/>
    </row>
    <row r="20987">
      <c r="A20987" s="10" t="s">
        <v>22426</v>
      </c>
      <c r="B20987" s="7" t="str">
        <f>IFERROR(__xludf.DUMMYFUNCTION("SPLIT(A20987,"" "")"),"CN(Cc1cc2cccnc2cc1N(C)c1ccc2ncccc2c1)c1ccc2ncccc2c1")</f>
        <v>CN(Cc1cc2cccnc2cc1N(C)c1ccc2ncccc2c1)c1ccc2ncccc2c1</v>
      </c>
      <c r="C20987" s="7">
        <f>IFERROR(__xludf.DUMMYFUNCTION("""COMPUTED_VALUE"""),7.6769633)</f>
        <v>7.6769633</v>
      </c>
      <c r="D20987" s="7">
        <f>IFERROR(__xludf.DUMMYFUNCTION("""COMPUTED_VALUE"""),0.354166666666666)</f>
        <v>0.3541666667</v>
      </c>
      <c r="F20987" s="91"/>
    </row>
    <row r="20988">
      <c r="A20988" s="10" t="s">
        <v>22427</v>
      </c>
      <c r="B20988" s="7" t="str">
        <f>IFERROR(__xludf.DUMMYFUNCTION("SPLIT(A20988,"" "")"),"CN(C)c1ccc(-c2ccnc3cccc(N(C)C)c23)cc1")</f>
        <v>CN(C)c1ccc(-c2ccnc3cccc(N(C)C)c23)cc1</v>
      </c>
      <c r="C20988" s="7">
        <f>IFERROR(__xludf.DUMMYFUNCTION("""COMPUTED_VALUE"""),7.676194)</f>
        <v>7.676194</v>
      </c>
      <c r="D20988" s="7">
        <f>IFERROR(__xludf.DUMMYFUNCTION("""COMPUTED_VALUE"""),0.304347826086956)</f>
        <v>0.3043478261</v>
      </c>
      <c r="F20988" s="91"/>
    </row>
    <row r="20989">
      <c r="A20989" s="10" t="s">
        <v>22428</v>
      </c>
      <c r="B20989" s="7" t="str">
        <f>IFERROR(__xludf.DUMMYFUNCTION("SPLIT(A20989,"" "")"),"Cc1cc(N(C)c2ccc3cccnc3c2)cc2ncccc12")</f>
        <v>Cc1cc(N(C)c2ccc3cccnc3c2)cc2ncccc12</v>
      </c>
      <c r="C20989" s="7">
        <f>IFERROR(__xludf.DUMMYFUNCTION("""COMPUTED_VALUE"""),7.6758833)</f>
        <v>7.6758833</v>
      </c>
      <c r="D20989" s="7">
        <f>IFERROR(__xludf.DUMMYFUNCTION("""COMPUTED_VALUE"""),0.3)</f>
        <v>0.3</v>
      </c>
      <c r="F20989" s="91"/>
    </row>
    <row r="20990">
      <c r="A20990" s="10" t="s">
        <v>22429</v>
      </c>
      <c r="B20990" s="7" t="str">
        <f>IFERROR(__xludf.DUMMYFUNCTION("SPLIT(A20990,"" "")"),"CN(C)c1cccnc1CN(C)c1cccc2c(-c3ccc4cccnc4c3)ccnc12")</f>
        <v>CN(C)c1cccnc1CN(C)c1cccc2c(-c3ccc4cccnc4c3)ccnc12</v>
      </c>
      <c r="C20990" s="7">
        <f>IFERROR(__xludf.DUMMYFUNCTION("""COMPUTED_VALUE"""),7.6757836)</f>
        <v>7.6757836</v>
      </c>
      <c r="D20990" s="7">
        <f>IFERROR(__xludf.DUMMYFUNCTION("""COMPUTED_VALUE"""),0.407407407407407)</f>
        <v>0.4074074074</v>
      </c>
      <c r="F20990" s="91"/>
    </row>
    <row r="20991">
      <c r="A20991" s="10" t="s">
        <v>22430</v>
      </c>
      <c r="B20991" s="7" t="str">
        <f>IFERROR(__xludf.DUMMYFUNCTION("SPLIT(A20991,"" "")"),"CN(Cc1ccc2cccc(N(C)c3ccc4ncccc4c3)c2n1)c1cccc2ccc(C3=CCC=CN3)nc12")</f>
        <v>CN(Cc1ccc2cccc(N(C)c3ccc4ncccc4c3)c2n1)c1cccc2ccc(C3=CCC=CN3)nc12</v>
      </c>
      <c r="C20991" s="7">
        <f>IFERROR(__xludf.DUMMYFUNCTION("""COMPUTED_VALUE"""),7.6757736)</f>
        <v>7.6757736</v>
      </c>
      <c r="D20991" s="7">
        <f>IFERROR(__xludf.DUMMYFUNCTION("""COMPUTED_VALUE"""),0.343283582089552)</f>
        <v>0.3432835821</v>
      </c>
      <c r="F20991" s="91"/>
    </row>
    <row r="20992">
      <c r="A20992" s="10" t="s">
        <v>22431</v>
      </c>
      <c r="B20992" s="7" t="str">
        <f>IFERROR(__xludf.DUMMYFUNCTION("SPLIT(A20992,"" "")"),"CNc1ccc2cccnc2c1-c1cc(-c2ccccc2N(C)C)ccn1")</f>
        <v>CNc1ccc2cccnc2c1-c1cc(-c2ccccc2N(C)C)ccn1</v>
      </c>
      <c r="C20992" s="7">
        <f>IFERROR(__xludf.DUMMYFUNCTION("""COMPUTED_VALUE"""),7.675723)</f>
        <v>7.675723</v>
      </c>
      <c r="D20992" s="7">
        <f>IFERROR(__xludf.DUMMYFUNCTION("""COMPUTED_VALUE"""),0.351851851851851)</f>
        <v>0.3518518519</v>
      </c>
      <c r="F20992" s="91"/>
    </row>
    <row r="20993">
      <c r="A20993" s="10" t="s">
        <v>22432</v>
      </c>
      <c r="B20993" s="7" t="str">
        <f>IFERROR(__xludf.DUMMYFUNCTION("SPLIT(A20993,"" "")"),"Cc1ccnc2cc(N(C)c3ccc4cccnc4c3)ccc12")</f>
        <v>Cc1ccnc2cc(N(C)c3ccc4cccnc4c3)ccc12</v>
      </c>
      <c r="C20993" s="7">
        <f>IFERROR(__xludf.DUMMYFUNCTION("""COMPUTED_VALUE"""),7.6754317)</f>
        <v>7.6754317</v>
      </c>
      <c r="D20993" s="7">
        <f>IFERROR(__xludf.DUMMYFUNCTION("""COMPUTED_VALUE"""),0.3)</f>
        <v>0.3</v>
      </c>
      <c r="F20993" s="91"/>
    </row>
    <row r="20994">
      <c r="A20994" s="10" t="s">
        <v>22433</v>
      </c>
      <c r="B20994" s="7" t="str">
        <f>IFERROR(__xludf.DUMMYFUNCTION("SPLIT(A20994,"" "")"),"Cc1cc(C)nc(-c2ccc3cc(N(C)c4ccc5ncccc5c4)ccc3n2)c1")</f>
        <v>Cc1cc(C)nc(-c2ccc3cc(N(C)c4ccc5ncccc5c4)ccc3n2)c1</v>
      </c>
      <c r="C20994" s="7">
        <f>IFERROR(__xludf.DUMMYFUNCTION("""COMPUTED_VALUE"""),7.6750593)</f>
        <v>7.6750593</v>
      </c>
      <c r="D20994" s="7">
        <f>IFERROR(__xludf.DUMMYFUNCTION("""COMPUTED_VALUE"""),0.288461538461538)</f>
        <v>0.2884615385</v>
      </c>
      <c r="F20994" s="91"/>
    </row>
    <row r="20995">
      <c r="A20995" s="10" t="s">
        <v>22434</v>
      </c>
      <c r="B20995" s="7" t="str">
        <f>IFERROR(__xludf.DUMMYFUNCTION("SPLIT(A20995,"" "")"),"CN(Cc1ccnc2ccc(N(C)c3ccc4ncccc4c3)cc12)c1ccc2ncccc2c1")</f>
        <v>CN(Cc1ccnc2ccc(N(C)c3ccc4ncccc4c3)cc12)c1ccc2ncccc2c1</v>
      </c>
      <c r="C20995" s="7">
        <f>IFERROR(__xludf.DUMMYFUNCTION("""COMPUTED_VALUE"""),7.674913)</f>
        <v>7.674913</v>
      </c>
      <c r="D20995" s="7">
        <f>IFERROR(__xludf.DUMMYFUNCTION("""COMPUTED_VALUE"""),0.333333333333333)</f>
        <v>0.3333333333</v>
      </c>
      <c r="F20995" s="91"/>
    </row>
    <row r="20996">
      <c r="A20996" s="10" t="s">
        <v>22435</v>
      </c>
      <c r="B20996" s="7" t="str">
        <f>IFERROR(__xludf.DUMMYFUNCTION("SPLIT(A20996,"" "")"),"Cc1cc2cccnc2c(-c2ccc3cccnc3c2N(C)C)c1N(C)Cc1cccnn1")</f>
        <v>Cc1cc2cccnc2c(-c2ccc3cccnc3c2N(C)C)c1N(C)Cc1cccnn1</v>
      </c>
      <c r="C20996" s="7">
        <f>IFERROR(__xludf.DUMMYFUNCTION("""COMPUTED_VALUE"""),7.6748924)</f>
        <v>7.6748924</v>
      </c>
      <c r="D20996" s="7">
        <f>IFERROR(__xludf.DUMMYFUNCTION("""COMPUTED_VALUE"""),0.377358490566037)</f>
        <v>0.3773584906</v>
      </c>
      <c r="F20996" s="91"/>
    </row>
    <row r="20997">
      <c r="A20997" s="10" t="s">
        <v>22436</v>
      </c>
      <c r="B20997" s="7" t="str">
        <f>IFERROR(__xludf.DUMMYFUNCTION("SPLIT(A20997,"" "")"),"CN(Cc1ccnc2ccc(N(C)c3ccc4cccnc4c3)cc12)c1ccc2ncccc2c1")</f>
        <v>CN(Cc1ccnc2ccc(N(C)c3ccc4cccnc4c3)cc12)c1ccc2ncccc2c1</v>
      </c>
      <c r="C20997" s="7">
        <f>IFERROR(__xludf.DUMMYFUNCTION("""COMPUTED_VALUE"""),7.6748843)</f>
        <v>7.6748843</v>
      </c>
      <c r="D20997" s="7">
        <f>IFERROR(__xludf.DUMMYFUNCTION("""COMPUTED_VALUE"""),0.309090909090909)</f>
        <v>0.3090909091</v>
      </c>
      <c r="F20997" s="91"/>
    </row>
    <row r="20998">
      <c r="A20998" s="10" t="s">
        <v>22437</v>
      </c>
      <c r="B20998" s="7" t="str">
        <f>IFERROR(__xludf.DUMMYFUNCTION("SPLIT(A20998,"" "")"),"CN(CN(CN(c1cccc2ncccc12)c1cccc2ncccc12)c1cccc2ncccc12)c1cccc2ncccc12")</f>
        <v>CN(CN(CN(c1cccc2ncccc12)c1cccc2ncccc12)c1cccc2ncccc12)c1cccc2ncccc12</v>
      </c>
      <c r="C20998" s="7">
        <f>IFERROR(__xludf.DUMMYFUNCTION("""COMPUTED_VALUE"""),7.6748695)</f>
        <v>7.6748695</v>
      </c>
      <c r="D20998" s="7">
        <f>IFERROR(__xludf.DUMMYFUNCTION("""COMPUTED_VALUE"""),0.409090909090909)</f>
        <v>0.4090909091</v>
      </c>
      <c r="F20998" s="91"/>
    </row>
    <row r="20999">
      <c r="A20999" s="10" t="s">
        <v>22438</v>
      </c>
      <c r="B20999" s="7" t="str">
        <f>IFERROR(__xludf.DUMMYFUNCTION("SPLIT(A20999,"" "")"),"Cc1ccc2cccnc2c1N(C)c1cccc2ncccc12")</f>
        <v>Cc1ccc2cccnc2c1N(C)c1cccc2ncccc12</v>
      </c>
      <c r="C20999" s="7">
        <f>IFERROR(__xludf.DUMMYFUNCTION("""COMPUTED_VALUE"""),7.6748366)</f>
        <v>7.6748366</v>
      </c>
      <c r="D20999" s="7">
        <f>IFERROR(__xludf.DUMMYFUNCTION("""COMPUTED_VALUE"""),0.444444444444444)</f>
        <v>0.4444444444</v>
      </c>
      <c r="F20999" s="91"/>
    </row>
    <row r="21000">
      <c r="A21000" s="10" t="s">
        <v>22439</v>
      </c>
      <c r="B21000" s="7" t="str">
        <f>IFERROR(__xludf.DUMMYFUNCTION("SPLIT(A21000,"" "")"),"CN(Cc1ccnc2ccc(N(C)c3ccc4ncccc4c3)cc12)c1ccc2cccnc2c1")</f>
        <v>CN(Cc1ccnc2ccc(N(C)c3ccc4ncccc4c3)cc12)c1ccc2cccnc2c1</v>
      </c>
      <c r="C21000" s="7">
        <f>IFERROR(__xludf.DUMMYFUNCTION("""COMPUTED_VALUE"""),7.674774)</f>
        <v>7.674774</v>
      </c>
      <c r="D21000" s="7">
        <f>IFERROR(__xludf.DUMMYFUNCTION("""COMPUTED_VALUE"""),0.309090909090909)</f>
        <v>0.3090909091</v>
      </c>
      <c r="F21000" s="91"/>
    </row>
    <row r="21001">
      <c r="A21001" s="10" t="s">
        <v>22440</v>
      </c>
      <c r="B21001" s="7" t="str">
        <f>IFERROR(__xludf.DUMMYFUNCTION("SPLIT(A21001,"" "")"),"C=Nc1ccccc1-c1ncccc1CN(C)c1cccc2ccc(-c3c(NC)ccc4ncccc34)nc12")</f>
        <v>C=Nc1ccccc1-c1ncccc1CN(C)c1cccc2ccc(-c3c(NC)ccc4ncccc34)nc12</v>
      </c>
      <c r="C21001" s="7">
        <f>IFERROR(__xludf.DUMMYFUNCTION("""COMPUTED_VALUE"""),7.6743293)</f>
        <v>7.6743293</v>
      </c>
      <c r="D21001" s="7">
        <f>IFERROR(__xludf.DUMMYFUNCTION("""COMPUTED_VALUE"""),0.314285714285714)</f>
        <v>0.3142857143</v>
      </c>
      <c r="F21001" s="91"/>
    </row>
    <row r="21002">
      <c r="A21002" s="10" t="s">
        <v>22441</v>
      </c>
      <c r="B21002" s="7" t="str">
        <f>IFERROR(__xludf.DUMMYFUNCTION("SPLIT(A21002,"" "")"),"CCN(c1ccc2ncccc2c1)c1cccc2c(-c3ccccc3N(C)C)ccnc12")</f>
        <v>CCN(c1ccc2ncccc2c1)c1cccc2c(-c3ccccc3N(C)C)ccnc12</v>
      </c>
      <c r="C21002" s="7">
        <f>IFERROR(__xludf.DUMMYFUNCTION("""COMPUTED_VALUE"""),7.673931)</f>
        <v>7.673931</v>
      </c>
      <c r="D21002" s="7">
        <f>IFERROR(__xludf.DUMMYFUNCTION("""COMPUTED_VALUE"""),0.357142857142857)</f>
        <v>0.3571428571</v>
      </c>
      <c r="F21002" s="91"/>
    </row>
    <row r="21003">
      <c r="A21003" s="10" t="s">
        <v>22442</v>
      </c>
      <c r="B21003" s="7" t="str">
        <f>IFERROR(__xludf.DUMMYFUNCTION("SPLIT(A21003,"" "")"),"CN(c1cccc2ncccc12)c1cccc2ncccc12")</f>
        <v>CN(c1cccc2ncccc12)c1cccc2ncccc12</v>
      </c>
      <c r="C21003" s="7">
        <f>IFERROR(__xludf.DUMMYFUNCTION("""COMPUTED_VALUE"""),7.6738997)</f>
        <v>7.6738997</v>
      </c>
      <c r="D21003" s="7">
        <f>IFERROR(__xludf.DUMMYFUNCTION("""COMPUTED_VALUE"""),0.405405405405405)</f>
        <v>0.4054054054</v>
      </c>
      <c r="F21003" s="91"/>
    </row>
    <row r="21004">
      <c r="A21004" s="10" t="s">
        <v>22443</v>
      </c>
      <c r="B21004" s="7" t="str">
        <f>IFERROR(__xludf.DUMMYFUNCTION("SPLIT(A21004,"" "")"),"CCN(c1ccc2ncccc2c1)c1cccc2c(-c3cccc(N(C)C)c3)ccnc12")</f>
        <v>CCN(c1ccc2ncccc2c1)c1cccc2c(-c3cccc(N(C)C)c3)ccnc12</v>
      </c>
      <c r="C21004" s="7">
        <f>IFERROR(__xludf.DUMMYFUNCTION("""COMPUTED_VALUE"""),7.6738863)</f>
        <v>7.6738863</v>
      </c>
      <c r="D21004" s="7">
        <f>IFERROR(__xludf.DUMMYFUNCTION("""COMPUTED_VALUE"""),0.350877192982456)</f>
        <v>0.350877193</v>
      </c>
      <c r="F21004" s="91"/>
    </row>
    <row r="21005">
      <c r="A21005" s="10" t="s">
        <v>22444</v>
      </c>
      <c r="B21005" s="7" t="str">
        <f>IFERROR(__xludf.DUMMYFUNCTION("SPLIT(A21005,"" "")"),"Cc1ccnc2ccc(N(C)c3cccc4ncccc34)cc12")</f>
        <v>Cc1ccnc2ccc(N(C)c3cccc4ncccc34)cc12</v>
      </c>
      <c r="C21005" s="7">
        <f>IFERROR(__xludf.DUMMYFUNCTION("""COMPUTED_VALUE"""),7.6738496)</f>
        <v>7.6738496</v>
      </c>
      <c r="D21005" s="7">
        <f>IFERROR(__xludf.DUMMYFUNCTION("""COMPUTED_VALUE"""),0.306122448979591)</f>
        <v>0.306122449</v>
      </c>
      <c r="F21005" s="91"/>
    </row>
    <row r="21006">
      <c r="A21006" s="10" t="s">
        <v>22445</v>
      </c>
      <c r="B21006" s="7" t="str">
        <f>IFERROR(__xludf.DUMMYFUNCTION("SPLIT(A21006,"" "")"),"CNc1cnc2nccc(-c3cc(C)ccn3)c2c1")</f>
        <v>CNc1cnc2nccc(-c3cc(C)ccn3)c2c1</v>
      </c>
      <c r="C21006" s="7">
        <f>IFERROR(__xludf.DUMMYFUNCTION("""COMPUTED_VALUE"""),7.673288)</f>
        <v>7.673288</v>
      </c>
      <c r="D21006" s="7">
        <f>IFERROR(__xludf.DUMMYFUNCTION("""COMPUTED_VALUE"""),0.274509803921568)</f>
        <v>0.2745098039</v>
      </c>
      <c r="F21006" s="91"/>
    </row>
    <row r="21007">
      <c r="A21007" s="10" t="s">
        <v>22446</v>
      </c>
      <c r="B21007" s="7" t="str">
        <f>IFERROR(__xludf.DUMMYFUNCTION("SPLIT(A21007,"" "")"),"CNc1ccc2nccc(-c3ccc4ccccc4c3)c2c1")</f>
        <v>CNc1ccc2nccc(-c3ccc4ccccc4c3)c2c1</v>
      </c>
      <c r="C21007" s="7">
        <f>IFERROR(__xludf.DUMMYFUNCTION("""COMPUTED_VALUE"""),7.673128)</f>
        <v>7.673128</v>
      </c>
      <c r="D21007" s="7">
        <f>IFERROR(__xludf.DUMMYFUNCTION("""COMPUTED_VALUE"""),0.25)</f>
        <v>0.25</v>
      </c>
      <c r="F21007" s="91"/>
    </row>
    <row r="21008">
      <c r="A21008" s="10" t="s">
        <v>22447</v>
      </c>
      <c r="B21008" s="7" t="str">
        <f>IFERROR(__xludf.DUMMYFUNCTION("SPLIT(A21008,"" "")"),"Cc1cccnc1-c1ccc2cc(N(C)c3ccc4ncccc4c3)ccc2n1")</f>
        <v>Cc1cccnc1-c1ccc2cc(N(C)c3ccc4ncccc4c3)ccc2n1</v>
      </c>
      <c r="C21008" s="7">
        <f>IFERROR(__xludf.DUMMYFUNCTION("""COMPUTED_VALUE"""),7.673121)</f>
        <v>7.673121</v>
      </c>
      <c r="D21008" s="7">
        <f>IFERROR(__xludf.DUMMYFUNCTION("""COMPUTED_VALUE"""),0.3)</f>
        <v>0.3</v>
      </c>
      <c r="F21008" s="91"/>
    </row>
    <row r="21009">
      <c r="A21009" s="10" t="s">
        <v>22448</v>
      </c>
      <c r="B21009" s="7" t="str">
        <f>IFERROR(__xludf.DUMMYFUNCTION("SPLIT(A21009,"" "")"),"CN(C)c1ccc2nc(-c3ccc4cccnc4c3)ccc2c1")</f>
        <v>CN(C)c1ccc2nc(-c3ccc4cccnc4c3)ccc2c1</v>
      </c>
      <c r="C21009" s="7">
        <f>IFERROR(__xludf.DUMMYFUNCTION("""COMPUTED_VALUE"""),7.6712084)</f>
        <v>7.6712084</v>
      </c>
      <c r="D21009" s="7">
        <f>IFERROR(__xludf.DUMMYFUNCTION("""COMPUTED_VALUE"""),0.3125)</f>
        <v>0.3125</v>
      </c>
      <c r="F21009" s="91"/>
    </row>
    <row r="21010">
      <c r="A21010" s="10" t="s">
        <v>22449</v>
      </c>
      <c r="B21010" s="7" t="str">
        <f>IFERROR(__xludf.DUMMYFUNCTION("SPLIT(A21010,"" "")"),"CNc1cccc(-c2ccnc3c(N(C)c4ccc5ncccc5c4)cccc23)c1")</f>
        <v>CNc1cccc(-c2ccnc3c(N(C)c4ccc5ncccc5c4)cccc23)c1</v>
      </c>
      <c r="C21010" s="7">
        <f>IFERROR(__xludf.DUMMYFUNCTION("""COMPUTED_VALUE"""),7.669296)</f>
        <v>7.669296</v>
      </c>
      <c r="D21010" s="7">
        <f>IFERROR(__xludf.DUMMYFUNCTION("""COMPUTED_VALUE"""),0.327586206896551)</f>
        <v>0.3275862069</v>
      </c>
      <c r="F21010" s="91"/>
    </row>
    <row r="21011">
      <c r="A21011" s="10" t="s">
        <v>22450</v>
      </c>
      <c r="B21011" s="7" t="str">
        <f>IFERROR(__xludf.DUMMYFUNCTION("SPLIT(A21011,"" "")"),"CN(C)c1cccc(-c2ccnc3c(N(C)c4ccc5ncccc5c4)cccc23)c1")</f>
        <v>CN(C)c1cccc(-c2ccnc3c(N(C)c4ccc5ncccc5c4)cccc23)c1</v>
      </c>
      <c r="C21011" s="7">
        <f>IFERROR(__xludf.DUMMYFUNCTION("""COMPUTED_VALUE"""),7.6690483)</f>
        <v>7.6690483</v>
      </c>
      <c r="D21011" s="7">
        <f>IFERROR(__xludf.DUMMYFUNCTION("""COMPUTED_VALUE"""),0.345454545454545)</f>
        <v>0.3454545455</v>
      </c>
      <c r="F21011" s="91"/>
    </row>
    <row r="21012">
      <c r="A21012" s="10" t="s">
        <v>22451</v>
      </c>
      <c r="B21012" s="7" t="str">
        <f>IFERROR(__xludf.DUMMYFUNCTION("SPLIT(A21012,"" "")"),"CN(C)c1ccccc1-c1ccnc2ccc(N(C)c3cccc4cccnc34)cc12")</f>
        <v>CN(C)c1ccccc1-c1ccnc2ccc(N(C)c3cccc4cccnc34)cc12</v>
      </c>
      <c r="C21012" s="7">
        <f>IFERROR(__xludf.DUMMYFUNCTION("""COMPUTED_VALUE"""),7.668955)</f>
        <v>7.668955</v>
      </c>
      <c r="D21012" s="7">
        <f>IFERROR(__xludf.DUMMYFUNCTION("""COMPUTED_VALUE"""),0.411764705882352)</f>
        <v>0.4117647059</v>
      </c>
      <c r="F21012" s="91"/>
    </row>
    <row r="21013">
      <c r="A21013" s="10" t="s">
        <v>22452</v>
      </c>
      <c r="B21013" s="7" t="str">
        <f>IFERROR(__xludf.DUMMYFUNCTION("SPLIT(A21013,"" "")"),"CN(Cc1ccccn1)c1cc2cccnc2c(-c2ccc3cccnc3c2N(C)Cc2ccccn2)c1C1=NC(=O)C(=O)O1")</f>
        <v>CN(Cc1ccccn1)c1cc2cccnc2c(-c2ccc3cccnc3c2N(C)Cc2ccccn2)c1C1=NC(=O)C(=O)O1</v>
      </c>
      <c r="C21013" s="7">
        <f>IFERROR(__xludf.DUMMYFUNCTION("""COMPUTED_VALUE"""),7.6688795)</f>
        <v>7.6688795</v>
      </c>
      <c r="D21013" s="7">
        <f>IFERROR(__xludf.DUMMYFUNCTION("""COMPUTED_VALUE"""),0.387096774193548)</f>
        <v>0.3870967742</v>
      </c>
      <c r="F21013" s="91"/>
    </row>
    <row r="21014">
      <c r="A21014" s="10" t="s">
        <v>22453</v>
      </c>
      <c r="B21014" s="7" t="str">
        <f>IFERROR(__xludf.DUMMYFUNCTION("SPLIT(A21014,"" "")"),"CNc1ccc(-c2ccnc3c(N(C)c4ccc5ncccc5c4)cccc23)cc1")</f>
        <v>CNc1ccc(-c2ccnc3c(N(C)c4ccc5ncccc5c4)cccc23)cc1</v>
      </c>
      <c r="C21014" s="7">
        <f>IFERROR(__xludf.DUMMYFUNCTION("""COMPUTED_VALUE"""),7.668851)</f>
        <v>7.668851</v>
      </c>
      <c r="D21014" s="7">
        <f>IFERROR(__xludf.DUMMYFUNCTION("""COMPUTED_VALUE"""),0.333333333333333)</f>
        <v>0.3333333333</v>
      </c>
      <c r="F21014" s="91"/>
    </row>
    <row r="21015">
      <c r="A21015" s="10" t="s">
        <v>22454</v>
      </c>
      <c r="B21015" s="7" t="str">
        <f>IFERROR(__xludf.DUMMYFUNCTION("SPLIT(A21015,"" "")"),"CNc1ccccc1-c1ccnc2c(N(C)c3ccc4ncccc4c3)cccc12")</f>
        <v>CNc1ccccc1-c1ccnc2c(N(C)c3ccc4ncccc4c3)cccc12</v>
      </c>
      <c r="C21015" s="7">
        <f>IFERROR(__xludf.DUMMYFUNCTION("""COMPUTED_VALUE"""),7.668695)</f>
        <v>7.668695</v>
      </c>
      <c r="D21015" s="7">
        <f>IFERROR(__xludf.DUMMYFUNCTION("""COMPUTED_VALUE"""),0.333333333333333)</f>
        <v>0.3333333333</v>
      </c>
      <c r="F21015" s="91"/>
    </row>
    <row r="21016">
      <c r="A21016" s="10" t="s">
        <v>22455</v>
      </c>
      <c r="B21016" s="7" t="str">
        <f>IFERROR(__xludf.DUMMYFUNCTION("SPLIT(A21016,"" "")"),"Cc1cnc(-c2ccnc3ccc(N(C)c4ccc5ncccc5c4)cc23)c(C)c1")</f>
        <v>Cc1cnc(-c2ccnc3ccc(N(C)c4ccc5ncccc5c4)cc23)c(C)c1</v>
      </c>
      <c r="C21016" s="7">
        <f>IFERROR(__xludf.DUMMYFUNCTION("""COMPUTED_VALUE"""),7.6686106)</f>
        <v>7.6686106</v>
      </c>
      <c r="D21016" s="7">
        <f>IFERROR(__xludf.DUMMYFUNCTION("""COMPUTED_VALUE"""),0.245614035087719)</f>
        <v>0.2456140351</v>
      </c>
      <c r="F21016" s="91"/>
    </row>
    <row r="21017">
      <c r="A21017" s="10" t="s">
        <v>22456</v>
      </c>
      <c r="B21017" s="7" t="str">
        <f>IFERROR(__xludf.DUMMYFUNCTION("SPLIT(A21017,"" "")"),"CCN(c1ccc2ncccc2c1)c1cccc2cc3nc(CN(C)c4ccc5ncccc5c4)ccc3nc12")</f>
        <v>CCN(c1ccc2ncccc2c1)c1cccc2cc3nc(CN(C)c4ccc5ncccc5c4)ccc3nc12</v>
      </c>
      <c r="C21017" s="7">
        <f>IFERROR(__xludf.DUMMYFUNCTION("""COMPUTED_VALUE"""),7.6677814)</f>
        <v>7.6677814</v>
      </c>
      <c r="D21017" s="7">
        <f>IFERROR(__xludf.DUMMYFUNCTION("""COMPUTED_VALUE"""),0.357142857142857)</f>
        <v>0.3571428571</v>
      </c>
      <c r="F21017" s="91"/>
    </row>
    <row r="21018">
      <c r="A21018" s="10" t="s">
        <v>22457</v>
      </c>
      <c r="B21018" s="7" t="str">
        <f>IFERROR(__xludf.DUMMYFUNCTION("SPLIT(A21018,"" "")"),"COC(=O)C(=O)C(=O)C1(C)COC(c2cnc(C3=NC(=O)C(=O)O3)c(C3=NC(=O)C(=O)O3)c2)=N1")</f>
        <v>COC(=O)C(=O)C(=O)C1(C)COC(c2cnc(C3=NC(=O)C(=O)O3)c(C3=NC(=O)C(=O)O3)c2)=N1</v>
      </c>
      <c r="C21018" s="7">
        <f>IFERROR(__xludf.DUMMYFUNCTION("""COMPUTED_VALUE"""),7.6673317)</f>
        <v>7.6673317</v>
      </c>
      <c r="D21018" s="7">
        <f>IFERROR(__xludf.DUMMYFUNCTION("""COMPUTED_VALUE"""),0.215384615384615)</f>
        <v>0.2153846154</v>
      </c>
      <c r="F21018" s="91"/>
    </row>
    <row r="21019">
      <c r="A21019" s="10" t="s">
        <v>22458</v>
      </c>
      <c r="B21019" s="7" t="str">
        <f>IFERROR(__xludf.DUMMYFUNCTION("SPLIT(A21019,"" "")"),"Cc1cc(N(C)c2cccc3ncccc23)c2cccnc2c1N(C)C")</f>
        <v>Cc1cc(N(C)c2cccc3ncccc23)c2cccnc2c1N(C)C</v>
      </c>
      <c r="C21019" s="7">
        <f>IFERROR(__xludf.DUMMYFUNCTION("""COMPUTED_VALUE"""),7.666335)</f>
        <v>7.666335</v>
      </c>
      <c r="D21019" s="7">
        <f>IFERROR(__xludf.DUMMYFUNCTION("""COMPUTED_VALUE"""),0.354166666666666)</f>
        <v>0.3541666667</v>
      </c>
      <c r="F21019" s="91"/>
    </row>
    <row r="21020">
      <c r="A21020" s="10" t="s">
        <v>22459</v>
      </c>
      <c r="B21020" s="7" t="str">
        <f>IFERROR(__xludf.DUMMYFUNCTION("SPLIT(A21020,"" "")"),"CNc1ccc2nccc(-c3ccc4ncccc4c3)c2c1")</f>
        <v>CNc1ccc2nccc(-c3ccc4ncccc4c3)c2c1</v>
      </c>
      <c r="C21020" s="7">
        <f>IFERROR(__xludf.DUMMYFUNCTION("""COMPUTED_VALUE"""),7.665462)</f>
        <v>7.665462</v>
      </c>
      <c r="D21020" s="7">
        <f>IFERROR(__xludf.DUMMYFUNCTION("""COMPUTED_VALUE"""),0.25)</f>
        <v>0.25</v>
      </c>
      <c r="F21020" s="91"/>
    </row>
    <row r="21021">
      <c r="A21021" s="10" t="s">
        <v>22460</v>
      </c>
      <c r="B21021" s="7" t="str">
        <f>IFERROR(__xludf.DUMMYFUNCTION("SPLIT(A21021,"" "")"),"CN(C)c1ccc2nccc(-c3ccc4cccnc4c3)c2c1")</f>
        <v>CN(C)c1ccc2nccc(-c3ccc4cccnc4c3)c2c1</v>
      </c>
      <c r="C21021" s="7">
        <f>IFERROR(__xludf.DUMMYFUNCTION("""COMPUTED_VALUE"""),7.664498)</f>
        <v>7.664498</v>
      </c>
      <c r="D21021" s="7">
        <f>IFERROR(__xludf.DUMMYFUNCTION("""COMPUTED_VALUE"""),0.277777777777777)</f>
        <v>0.2777777778</v>
      </c>
      <c r="F21021" s="91"/>
    </row>
    <row r="21022">
      <c r="A21022" s="10" t="s">
        <v>22461</v>
      </c>
      <c r="B21022" s="7" t="str">
        <f>IFERROR(__xludf.DUMMYFUNCTION("SPLIT(A21022,"" "")"),"CN(C)c1ccc2nccc(-c3ccc4ncccc4c3)c2c1")</f>
        <v>CN(C)c1ccc2nccc(-c3ccc4ncccc4c3)c2c1</v>
      </c>
      <c r="C21022" s="7">
        <f>IFERROR(__xludf.DUMMYFUNCTION("""COMPUTED_VALUE"""),7.6641016)</f>
        <v>7.6641016</v>
      </c>
      <c r="D21022" s="7">
        <f>IFERROR(__xludf.DUMMYFUNCTION("""COMPUTED_VALUE"""),0.285714285714285)</f>
        <v>0.2857142857</v>
      </c>
      <c r="F21022" s="91"/>
    </row>
    <row r="21023">
      <c r="A21023" s="10" t="s">
        <v>22462</v>
      </c>
      <c r="B21023" s="7" t="str">
        <f>IFERROR(__xludf.DUMMYFUNCTION("SPLIT(A21023,"" "")"),"CN(C)c1ccc2c(-c3ccc4cccnc4c3)ccnc2c1")</f>
        <v>CN(C)c1ccc2c(-c3ccc4cccnc4c3)ccnc2c1</v>
      </c>
      <c r="C21023" s="7">
        <f>IFERROR(__xludf.DUMMYFUNCTION("""COMPUTED_VALUE"""),7.663945)</f>
        <v>7.663945</v>
      </c>
      <c r="D21023" s="7">
        <f>IFERROR(__xludf.DUMMYFUNCTION("""COMPUTED_VALUE"""),0.283018867924528)</f>
        <v>0.2830188679</v>
      </c>
      <c r="F21023" s="91"/>
    </row>
    <row r="21024">
      <c r="A21024" s="10" t="s">
        <v>22463</v>
      </c>
      <c r="B21024" s="7" t="str">
        <f>IFERROR(__xludf.DUMMYFUNCTION("SPLIT(A21024,"" "")"),"CNc1ccc2cccnc2c1-c1ccc2cccc(N(C)c3ccc4ncccc4c3)c2n1")</f>
        <v>CNc1ccc2cccnc2c1-c1ccc2cccc(N(C)c3ccc4ncccc4c3)c2n1</v>
      </c>
      <c r="C21024" s="7">
        <f>IFERROR(__xludf.DUMMYFUNCTION("""COMPUTED_VALUE"""),7.6578956)</f>
        <v>7.6578956</v>
      </c>
      <c r="D21024" s="7">
        <f>IFERROR(__xludf.DUMMYFUNCTION("""COMPUTED_VALUE"""),0.363636363636363)</f>
        <v>0.3636363636</v>
      </c>
      <c r="F21024" s="91"/>
    </row>
    <row r="21025">
      <c r="A21025" s="10" t="s">
        <v>22464</v>
      </c>
      <c r="B21025" s="7" t="str">
        <f>IFERROR(__xludf.DUMMYFUNCTION("SPLIT(A21025,"" "")"),"CN(c1ccc2ncccc2c1)c1ccc2nccc(-c3ccc4ncccc4c3)c2c1")</f>
        <v>CN(c1ccc2ncccc2c1)c1ccc2nccc(-c3ccc4ncccc4c3)c2c1</v>
      </c>
      <c r="C21025" s="7">
        <f>IFERROR(__xludf.DUMMYFUNCTION("""COMPUTED_VALUE"""),7.657566)</f>
        <v>7.657566</v>
      </c>
      <c r="D21025" s="7">
        <f>IFERROR(__xludf.DUMMYFUNCTION("""COMPUTED_VALUE"""),0.28)</f>
        <v>0.28</v>
      </c>
      <c r="F21025" s="91"/>
    </row>
    <row r="21026">
      <c r="A21026" s="10" t="s">
        <v>22465</v>
      </c>
      <c r="B21026" s="7" t="str">
        <f>IFERROR(__xludf.DUMMYFUNCTION("SPLIT(A21026,"" "")"),"CNc1cc(-c2ccc3cccc(N(C)c4ccc5ncccc5c4)c3n2)c2ncccc2c1")</f>
        <v>CNc1cc(-c2ccc3cccc(N(C)c4ccc5ncccc5c4)c3n2)c2ncccc2c1</v>
      </c>
      <c r="C21026" s="7">
        <f>IFERROR(__xludf.DUMMYFUNCTION("""COMPUTED_VALUE"""),7.65745)</f>
        <v>7.65745</v>
      </c>
      <c r="D21026" s="7">
        <f>IFERROR(__xludf.DUMMYFUNCTION("""COMPUTED_VALUE"""),0.357142857142857)</f>
        <v>0.3571428571</v>
      </c>
      <c r="F21026" s="91"/>
    </row>
    <row r="21027">
      <c r="A21027" s="10" t="s">
        <v>22466</v>
      </c>
      <c r="B21027" s="7" t="str">
        <f>IFERROR(__xludf.DUMMYFUNCTION("SPLIT(A21027,"" "")"),"CNc1cc2cccnc2cc1-c1ccc2cccc(N(C)c3ccc4ncccc4c3)c2n1")</f>
        <v>CNc1cc2cccnc2cc1-c1ccc2cccc(N(C)c3ccc4ncccc4c3)c2n1</v>
      </c>
      <c r="C21027" s="7">
        <f>IFERROR(__xludf.DUMMYFUNCTION("""COMPUTED_VALUE"""),7.6572647)</f>
        <v>7.6572647</v>
      </c>
      <c r="D21027" s="7">
        <f>IFERROR(__xludf.DUMMYFUNCTION("""COMPUTED_VALUE"""),0.339285714285714)</f>
        <v>0.3392857143</v>
      </c>
      <c r="F21027" s="91"/>
    </row>
    <row r="21028">
      <c r="A21028" s="10" t="s">
        <v>22467</v>
      </c>
      <c r="B21028" s="7" t="str">
        <f>IFERROR(__xludf.DUMMYFUNCTION("SPLIT(A21028,"" "")"),"Cc1nc2c(N(C)c3ccc4cccnc4c3)c(N(C)c3ccc4cccnc4c3)c3nc(C)c(C)c(C)c3c2c(C)c1C")</f>
        <v>Cc1nc2c(N(C)c3ccc4cccnc4c3)c(N(C)c3ccc4cccnc4c3)c3nc(C)c(C)c(C)c3c2c(C)c1C</v>
      </c>
      <c r="C21028" s="7">
        <f>IFERROR(__xludf.DUMMYFUNCTION("""COMPUTED_VALUE"""),7.654863)</f>
        <v>7.654863</v>
      </c>
      <c r="D21028" s="7">
        <f>IFERROR(__xludf.DUMMYFUNCTION("""COMPUTED_VALUE"""),0.294117647058823)</f>
        <v>0.2941176471</v>
      </c>
      <c r="F21028" s="91"/>
    </row>
    <row r="21029">
      <c r="A21029" s="10" t="s">
        <v>22468</v>
      </c>
      <c r="B21029" s="7" t="str">
        <f>IFERROR(__xludf.DUMMYFUNCTION("SPLIT(A21029,"" "")"),"CNc1cc(-c2ccnc3c(N(C)c4ccc5ncccc5c4)cccc23)c2ncccc2c1")</f>
        <v>CNc1cc(-c2ccnc3c(N(C)c4ccc5ncccc5c4)cccc23)c2ncccc2c1</v>
      </c>
      <c r="C21029" s="7">
        <f>IFERROR(__xludf.DUMMYFUNCTION("""COMPUTED_VALUE"""),7.654473)</f>
        <v>7.654473</v>
      </c>
      <c r="D21029" s="7">
        <f>IFERROR(__xludf.DUMMYFUNCTION("""COMPUTED_VALUE"""),0.327586206896551)</f>
        <v>0.3275862069</v>
      </c>
      <c r="F21029" s="91"/>
    </row>
    <row r="21030">
      <c r="A21030" s="10" t="s">
        <v>22469</v>
      </c>
      <c r="B21030" s="7" t="str">
        <f>IFERROR(__xludf.DUMMYFUNCTION("SPLIT(A21030,"" "")"),"CC1(C)CCC1c1nc(C2=NC(=O)C(=O)O2)c(C2=NC(=O)C(=O)O2)c(C2=NC(=O)C(=O)O2)c1C1=NC(=O)C(=O)O1")</f>
        <v>CC1(C)CCC1c1nc(C2=NC(=O)C(=O)O2)c(C2=NC(=O)C(=O)O2)c(C2=NC(=O)C(=O)O2)c1C1=NC(=O)C(=O)O1</v>
      </c>
      <c r="C21030" s="7">
        <f>IFERROR(__xludf.DUMMYFUNCTION("""COMPUTED_VALUE"""),7.654394)</f>
        <v>7.654394</v>
      </c>
      <c r="D21030" s="7">
        <f>IFERROR(__xludf.DUMMYFUNCTION("""COMPUTED_VALUE"""),0.181818181818181)</f>
        <v>0.1818181818</v>
      </c>
      <c r="F21030" s="91"/>
    </row>
    <row r="21031">
      <c r="A21031" s="10" t="s">
        <v>22470</v>
      </c>
      <c r="B21031" s="7" t="str">
        <f>IFERROR(__xludf.DUMMYFUNCTION("SPLIT(A21031,"" "")"),"CNc1cc(-c2ccnc3c(N(C)c4ccc5ncccc5c4)cccc23)cc2cccnc12")</f>
        <v>CNc1cc(-c2ccnc3c(N(C)c4ccc5ncccc5c4)cccc23)cc2cccnc12</v>
      </c>
      <c r="C21031" s="7">
        <f>IFERROR(__xludf.DUMMYFUNCTION("""COMPUTED_VALUE"""),7.6527753)</f>
        <v>7.6527753</v>
      </c>
      <c r="D21031" s="7">
        <f>IFERROR(__xludf.DUMMYFUNCTION("""COMPUTED_VALUE"""),0.322033898305084)</f>
        <v>0.3220338983</v>
      </c>
      <c r="F21031" s="91"/>
    </row>
    <row r="21032">
      <c r="A21032" s="10" t="s">
        <v>22471</v>
      </c>
      <c r="B21032" s="7" t="str">
        <f>IFERROR(__xludf.DUMMYFUNCTION("SPLIT(A21032,"" "")"),"CC1(C)CCC1c1nc(C2=NC(=O)C(=O)O2)c(C2=NC(=O)C(=O)O2)c(C2=NC(=O)C(c3ccc(C4=NC(=O)C(=O)O4)cn3)O2)c1C1=NC(=O)C(=O)O1")</f>
        <v>CC1(C)CCC1c1nc(C2=NC(=O)C(=O)O2)c(C2=NC(=O)C(=O)O2)c(C2=NC(=O)C(c3ccc(C4=NC(=O)C(=O)O4)cn3)O2)c1C1=NC(=O)C(=O)O1</v>
      </c>
      <c r="C21032" s="7">
        <f>IFERROR(__xludf.DUMMYFUNCTION("""COMPUTED_VALUE"""),7.6519294)</f>
        <v>7.6519294</v>
      </c>
      <c r="D21032" s="7">
        <f>IFERROR(__xludf.DUMMYFUNCTION("""COMPUTED_VALUE"""),0.194444444444444)</f>
        <v>0.1944444444</v>
      </c>
      <c r="F21032" s="91"/>
    </row>
    <row r="21033">
      <c r="A21033" s="10"/>
    </row>
    <row r="21034">
      <c r="A21034" s="10"/>
    </row>
    <row r="21035">
      <c r="A21035" s="10"/>
    </row>
    <row r="21036">
      <c r="A21036" s="10"/>
    </row>
    <row r="21037">
      <c r="A21037" s="10"/>
    </row>
    <row r="21038">
      <c r="A21038" s="10"/>
    </row>
    <row r="21039">
      <c r="A21039" s="10"/>
    </row>
    <row r="21040">
      <c r="A21040" s="10"/>
    </row>
    <row r="21041">
      <c r="A21041" s="10"/>
    </row>
    <row r="21042">
      <c r="A21042" s="10"/>
    </row>
    <row r="21043">
      <c r="A21043" s="10"/>
    </row>
    <row r="21044">
      <c r="A21044" s="10"/>
    </row>
    <row r="21045">
      <c r="A21045" s="10"/>
    </row>
    <row r="21046">
      <c r="A21046" s="10"/>
    </row>
    <row r="21047">
      <c r="A21047" s="10"/>
    </row>
    <row r="21048">
      <c r="A21048" s="10"/>
    </row>
    <row r="21049">
      <c r="A21049" s="10"/>
    </row>
    <row r="21050">
      <c r="A21050" s="10"/>
    </row>
    <row r="21051">
      <c r="A21051" s="10"/>
    </row>
    <row r="21052">
      <c r="A21052" s="10"/>
    </row>
    <row r="21053">
      <c r="A21053" s="10"/>
    </row>
    <row r="21054">
      <c r="A21054" s="10"/>
    </row>
    <row r="21055">
      <c r="A21055" s="10"/>
    </row>
    <row r="21056">
      <c r="A21056" s="10"/>
    </row>
    <row r="21057">
      <c r="A21057" s="10"/>
    </row>
    <row r="21058">
      <c r="A21058" s="10"/>
    </row>
    <row r="21059">
      <c r="A21059" s="10"/>
    </row>
    <row r="21060">
      <c r="A21060" s="10"/>
    </row>
    <row r="21061">
      <c r="A21061" s="10"/>
    </row>
    <row r="21062">
      <c r="A21062" s="10"/>
    </row>
    <row r="21063">
      <c r="A21063" s="10"/>
    </row>
    <row r="21064">
      <c r="A21064" s="10"/>
    </row>
    <row r="21065">
      <c r="A21065" s="10"/>
    </row>
    <row r="21066">
      <c r="A21066" s="10"/>
    </row>
    <row r="21067">
      <c r="A21067" s="10"/>
    </row>
    <row r="21068">
      <c r="A21068" s="10"/>
    </row>
    <row r="21069">
      <c r="A21069" s="10"/>
    </row>
    <row r="21070">
      <c r="A21070" s="10"/>
    </row>
    <row r="21071">
      <c r="A21071" s="10"/>
    </row>
    <row r="21072">
      <c r="A21072" s="10"/>
    </row>
    <row r="21073">
      <c r="A21073" s="10"/>
    </row>
    <row r="21074">
      <c r="A21074" s="10"/>
    </row>
    <row r="21075">
      <c r="A21075" s="10"/>
    </row>
    <row r="21076">
      <c r="A21076" s="10"/>
    </row>
    <row r="21077">
      <c r="A21077" s="10"/>
    </row>
    <row r="21078">
      <c r="A21078" s="10"/>
    </row>
    <row r="21079">
      <c r="A21079" s="10"/>
    </row>
    <row r="21080">
      <c r="A21080" s="10"/>
    </row>
    <row r="21081">
      <c r="A21081" s="10"/>
    </row>
    <row r="21082">
      <c r="A21082" s="10"/>
    </row>
    <row r="21083">
      <c r="A21083" s="10"/>
    </row>
    <row r="21084">
      <c r="A21084" s="10"/>
    </row>
    <row r="21085">
      <c r="A21085" s="10"/>
    </row>
    <row r="21086">
      <c r="A21086" s="10"/>
    </row>
    <row r="21087">
      <c r="A21087" s="10"/>
    </row>
    <row r="21088">
      <c r="A21088" s="10"/>
    </row>
    <row r="21089">
      <c r="A21089" s="10"/>
    </row>
    <row r="21090">
      <c r="A21090" s="10"/>
    </row>
    <row r="21091">
      <c r="A21091" s="10"/>
    </row>
    <row r="21092">
      <c r="A21092" s="10"/>
    </row>
    <row r="21093">
      <c r="A21093" s="10"/>
    </row>
    <row r="21094">
      <c r="A21094" s="10"/>
    </row>
    <row r="21095">
      <c r="A21095" s="10"/>
    </row>
    <row r="21096">
      <c r="A21096" s="10"/>
    </row>
    <row r="21097">
      <c r="A21097" s="10"/>
    </row>
    <row r="21098">
      <c r="A21098" s="10"/>
    </row>
    <row r="21099">
      <c r="A21099" s="10"/>
    </row>
    <row r="21100">
      <c r="A21100" s="10"/>
    </row>
    <row r="21101">
      <c r="A21101" s="10"/>
    </row>
    <row r="21102">
      <c r="A21102" s="10"/>
    </row>
    <row r="21103">
      <c r="A21103" s="10"/>
    </row>
    <row r="21104">
      <c r="A21104" s="10"/>
    </row>
    <row r="21105">
      <c r="A21105" s="10"/>
    </row>
    <row r="21106">
      <c r="A21106" s="10"/>
    </row>
    <row r="21107">
      <c r="A21107" s="10"/>
    </row>
    <row r="21108">
      <c r="A21108" s="10"/>
    </row>
    <row r="21109">
      <c r="A21109" s="10"/>
    </row>
    <row r="21110">
      <c r="A21110" s="10"/>
    </row>
    <row r="21111">
      <c r="A21111" s="10"/>
    </row>
    <row r="21112">
      <c r="A21112" s="10"/>
    </row>
    <row r="21113">
      <c r="A21113" s="10"/>
    </row>
    <row r="21114">
      <c r="A21114" s="10"/>
    </row>
    <row r="21115">
      <c r="A21115" s="10"/>
    </row>
    <row r="21116">
      <c r="A21116" s="10"/>
    </row>
    <row r="21117">
      <c r="A21117" s="10"/>
    </row>
    <row r="21118">
      <c r="A21118" s="10"/>
    </row>
    <row r="21119">
      <c r="A21119" s="10"/>
    </row>
    <row r="21120">
      <c r="A21120" s="10"/>
    </row>
    <row r="21121">
      <c r="A21121" s="10"/>
    </row>
    <row r="21122">
      <c r="A21122" s="10"/>
    </row>
    <row r="21123">
      <c r="A21123" s="10"/>
    </row>
    <row r="21124">
      <c r="A21124" s="10"/>
    </row>
    <row r="21125">
      <c r="A21125" s="10"/>
    </row>
    <row r="21126">
      <c r="A21126" s="10"/>
    </row>
    <row r="21127">
      <c r="A21127" s="10"/>
    </row>
    <row r="21128">
      <c r="A21128" s="10"/>
    </row>
    <row r="21129">
      <c r="A21129" s="10"/>
    </row>
    <row r="21130">
      <c r="A21130" s="10"/>
    </row>
    <row r="21131">
      <c r="A21131" s="10"/>
    </row>
    <row r="21132">
      <c r="A21132" s="10"/>
    </row>
    <row r="21133">
      <c r="A21133" s="10"/>
    </row>
    <row r="21134">
      <c r="A21134" s="10"/>
    </row>
    <row r="21135">
      <c r="A21135" s="10"/>
    </row>
    <row r="21136">
      <c r="A21136" s="10"/>
    </row>
    <row r="21137">
      <c r="A21137" s="10"/>
    </row>
    <row r="21138">
      <c r="A21138" s="10"/>
    </row>
    <row r="21139">
      <c r="A21139" s="10"/>
    </row>
    <row r="21140">
      <c r="A21140" s="10"/>
    </row>
    <row r="21141">
      <c r="A21141" s="10"/>
    </row>
    <row r="21142">
      <c r="A21142" s="10"/>
    </row>
    <row r="21143">
      <c r="A21143" s="10"/>
    </row>
    <row r="21144">
      <c r="A21144" s="10"/>
    </row>
    <row r="21145">
      <c r="A21145" s="10"/>
    </row>
    <row r="21146">
      <c r="A21146" s="10"/>
    </row>
    <row r="21147">
      <c r="A21147" s="10"/>
    </row>
    <row r="21148">
      <c r="A21148" s="10"/>
    </row>
    <row r="21149">
      <c r="A21149" s="10"/>
    </row>
    <row r="21150">
      <c r="A21150" s="10"/>
    </row>
    <row r="21151">
      <c r="A21151" s="10"/>
    </row>
    <row r="21152">
      <c r="A21152" s="10"/>
    </row>
    <row r="21153">
      <c r="A21153" s="10"/>
    </row>
    <row r="21154">
      <c r="A21154" s="10"/>
    </row>
    <row r="21155">
      <c r="A21155" s="10"/>
    </row>
    <row r="21156">
      <c r="A21156" s="10"/>
    </row>
    <row r="21157">
      <c r="A21157" s="10"/>
    </row>
    <row r="21158">
      <c r="A21158" s="10"/>
    </row>
    <row r="21159">
      <c r="A21159" s="10"/>
    </row>
    <row r="21160">
      <c r="A21160" s="10"/>
    </row>
    <row r="21161">
      <c r="A21161" s="10"/>
    </row>
    <row r="21162">
      <c r="A21162" s="10"/>
    </row>
    <row r="21163">
      <c r="A21163" s="10"/>
    </row>
    <row r="21164">
      <c r="A21164" s="10"/>
    </row>
    <row r="21165">
      <c r="A21165" s="10"/>
    </row>
    <row r="21166">
      <c r="A21166" s="10"/>
    </row>
    <row r="21167">
      <c r="A21167" s="10"/>
    </row>
    <row r="21168">
      <c r="A21168" s="10"/>
    </row>
    <row r="21169">
      <c r="A21169" s="10"/>
    </row>
    <row r="21170">
      <c r="A21170" s="10"/>
    </row>
    <row r="21171">
      <c r="A21171" s="10"/>
    </row>
    <row r="21172">
      <c r="A21172" s="10"/>
    </row>
    <row r="21173">
      <c r="A21173" s="10"/>
    </row>
    <row r="21174">
      <c r="A21174" s="10"/>
    </row>
    <row r="21175">
      <c r="A21175" s="10"/>
    </row>
    <row r="21176">
      <c r="A21176" s="10"/>
    </row>
    <row r="21177">
      <c r="A21177" s="10"/>
    </row>
    <row r="21178">
      <c r="A21178" s="10"/>
    </row>
    <row r="21179">
      <c r="A21179" s="10"/>
    </row>
    <row r="21180">
      <c r="A21180" s="10"/>
    </row>
    <row r="21181">
      <c r="A21181" s="10"/>
    </row>
    <row r="21182">
      <c r="A21182" s="10"/>
    </row>
    <row r="21183">
      <c r="A21183" s="10"/>
    </row>
    <row r="21184">
      <c r="A21184" s="10"/>
    </row>
    <row r="21185">
      <c r="A21185" s="10"/>
    </row>
    <row r="21186">
      <c r="A21186" s="10"/>
    </row>
    <row r="21187">
      <c r="A21187" s="10"/>
    </row>
    <row r="21188">
      <c r="A21188" s="10"/>
    </row>
    <row r="21189">
      <c r="A21189" s="10"/>
    </row>
    <row r="21190">
      <c r="A21190" s="10"/>
    </row>
    <row r="21191">
      <c r="A21191" s="10"/>
    </row>
    <row r="21192">
      <c r="A21192" s="10"/>
    </row>
    <row r="21193">
      <c r="A21193" s="10"/>
    </row>
    <row r="21194">
      <c r="A21194" s="10"/>
    </row>
    <row r="21195">
      <c r="A21195" s="10"/>
    </row>
    <row r="21196">
      <c r="A21196" s="10"/>
    </row>
    <row r="21197">
      <c r="A21197" s="10"/>
    </row>
    <row r="21198">
      <c r="A21198" s="10"/>
    </row>
    <row r="21199">
      <c r="A21199" s="10"/>
    </row>
    <row r="21200">
      <c r="A21200" s="10"/>
    </row>
    <row r="21201">
      <c r="A21201" s="10"/>
    </row>
    <row r="21202">
      <c r="A21202" s="10"/>
    </row>
    <row r="21203">
      <c r="A21203" s="10"/>
    </row>
    <row r="21204">
      <c r="A21204" s="10"/>
    </row>
    <row r="21205">
      <c r="A21205" s="10"/>
    </row>
    <row r="21206">
      <c r="A21206" s="10"/>
    </row>
    <row r="21207">
      <c r="A21207" s="10"/>
    </row>
    <row r="21208">
      <c r="A21208" s="10"/>
    </row>
    <row r="21209">
      <c r="A21209" s="10"/>
    </row>
    <row r="21210">
      <c r="A21210" s="10"/>
    </row>
    <row r="21211">
      <c r="A21211" s="10"/>
    </row>
    <row r="21212">
      <c r="A21212" s="10"/>
    </row>
    <row r="21213">
      <c r="A21213" s="10"/>
    </row>
    <row r="21214">
      <c r="A21214" s="10"/>
    </row>
    <row r="21215">
      <c r="A21215" s="10"/>
    </row>
    <row r="21216">
      <c r="A21216" s="10"/>
    </row>
    <row r="21217">
      <c r="A21217" s="10"/>
    </row>
    <row r="21218">
      <c r="A21218" s="10"/>
    </row>
    <row r="21219">
      <c r="A21219" s="10"/>
    </row>
    <row r="21220">
      <c r="A21220" s="10"/>
    </row>
    <row r="21221">
      <c r="A21221" s="10"/>
    </row>
    <row r="21222">
      <c r="A21222" s="10"/>
    </row>
    <row r="21223">
      <c r="A21223" s="10"/>
    </row>
    <row r="21224">
      <c r="A21224" s="10"/>
    </row>
    <row r="21225">
      <c r="A21225" s="10"/>
    </row>
    <row r="21226">
      <c r="A21226" s="10"/>
    </row>
    <row r="21227">
      <c r="A21227" s="10"/>
    </row>
    <row r="21228">
      <c r="A21228" s="10"/>
    </row>
    <row r="21229">
      <c r="A21229" s="10"/>
    </row>
    <row r="21230">
      <c r="A21230" s="10"/>
    </row>
    <row r="21231">
      <c r="A21231" s="10"/>
    </row>
    <row r="21232">
      <c r="A21232" s="10"/>
    </row>
    <row r="21233">
      <c r="A21233" s="10"/>
    </row>
    <row r="21234">
      <c r="A21234" s="10"/>
    </row>
    <row r="21235">
      <c r="A21235" s="10"/>
    </row>
    <row r="21236">
      <c r="A21236" s="10"/>
    </row>
    <row r="21237">
      <c r="A21237" s="10"/>
    </row>
    <row r="21238">
      <c r="A21238" s="10"/>
    </row>
    <row r="21239">
      <c r="A21239" s="10"/>
    </row>
    <row r="21240">
      <c r="A21240" s="10"/>
    </row>
    <row r="21241">
      <c r="A21241" s="10"/>
    </row>
    <row r="21242">
      <c r="A21242" s="10"/>
    </row>
    <row r="21243">
      <c r="A21243" s="10"/>
    </row>
    <row r="21244">
      <c r="A21244" s="10"/>
    </row>
    <row r="21245">
      <c r="A21245" s="10"/>
    </row>
    <row r="21246">
      <c r="A21246" s="10"/>
    </row>
    <row r="21247">
      <c r="A21247" s="10"/>
    </row>
    <row r="21248">
      <c r="A21248" s="10"/>
    </row>
    <row r="21249">
      <c r="A21249" s="10"/>
    </row>
    <row r="21250">
      <c r="A21250" s="10"/>
    </row>
    <row r="21251">
      <c r="A21251" s="10"/>
    </row>
    <row r="21252">
      <c r="A21252" s="10"/>
    </row>
    <row r="21253">
      <c r="A21253" s="10"/>
    </row>
    <row r="21254">
      <c r="A21254" s="10"/>
    </row>
    <row r="21255">
      <c r="A21255" s="10"/>
    </row>
    <row r="21256">
      <c r="A21256" s="10"/>
    </row>
    <row r="21257">
      <c r="A21257" s="10"/>
    </row>
    <row r="21258">
      <c r="A21258" s="10"/>
    </row>
    <row r="21259">
      <c r="A21259" s="10"/>
    </row>
    <row r="21260">
      <c r="A21260" s="10"/>
    </row>
    <row r="21261">
      <c r="A21261" s="10"/>
    </row>
    <row r="21262">
      <c r="A21262" s="10"/>
    </row>
    <row r="21263">
      <c r="A21263" s="10"/>
    </row>
    <row r="21264">
      <c r="A21264" s="10"/>
    </row>
    <row r="21265">
      <c r="A21265" s="10"/>
    </row>
    <row r="21266">
      <c r="A21266" s="10"/>
    </row>
    <row r="21267">
      <c r="A21267" s="10"/>
    </row>
    <row r="21268">
      <c r="A21268" s="10"/>
    </row>
    <row r="21269">
      <c r="A21269" s="10"/>
    </row>
    <row r="21270">
      <c r="A21270" s="10"/>
    </row>
    <row r="21271">
      <c r="A21271" s="10"/>
    </row>
    <row r="21272">
      <c r="A21272" s="10"/>
    </row>
    <row r="21273">
      <c r="A21273" s="10"/>
    </row>
    <row r="21274">
      <c r="A21274" s="10"/>
    </row>
    <row r="21275">
      <c r="A21275" s="10"/>
    </row>
    <row r="21276">
      <c r="A21276" s="10"/>
    </row>
    <row r="21277">
      <c r="A21277" s="10"/>
    </row>
    <row r="21278">
      <c r="A21278" s="10"/>
    </row>
    <row r="21279">
      <c r="A21279" s="10"/>
    </row>
    <row r="21280">
      <c r="A21280" s="10"/>
    </row>
    <row r="21281">
      <c r="A21281" s="10"/>
    </row>
    <row r="21282">
      <c r="A21282" s="10"/>
    </row>
    <row r="21283">
      <c r="A21283" s="10"/>
    </row>
    <row r="21284">
      <c r="A21284" s="10"/>
    </row>
    <row r="21285">
      <c r="A21285" s="10"/>
    </row>
    <row r="21286">
      <c r="A21286" s="10"/>
    </row>
    <row r="21287">
      <c r="A21287" s="10"/>
    </row>
    <row r="21288">
      <c r="A21288" s="10"/>
    </row>
    <row r="21289">
      <c r="A21289" s="10"/>
    </row>
    <row r="21290">
      <c r="A21290" s="10"/>
    </row>
    <row r="21291">
      <c r="A21291" s="10"/>
    </row>
    <row r="21292">
      <c r="A21292" s="10"/>
    </row>
    <row r="21293">
      <c r="A21293" s="10"/>
    </row>
    <row r="21294">
      <c r="A21294" s="10"/>
    </row>
    <row r="21295">
      <c r="A21295" s="10"/>
    </row>
    <row r="21296">
      <c r="A21296" s="10"/>
    </row>
    <row r="21297">
      <c r="A21297" s="10"/>
    </row>
    <row r="21298">
      <c r="A21298" s="10"/>
    </row>
    <row r="21299">
      <c r="A21299" s="10"/>
    </row>
    <row r="21300">
      <c r="A21300" s="10"/>
    </row>
    <row r="21301">
      <c r="A21301" s="10"/>
    </row>
    <row r="21302">
      <c r="A21302" s="10"/>
    </row>
    <row r="21303">
      <c r="A21303" s="10"/>
    </row>
    <row r="21304">
      <c r="A21304" s="10"/>
    </row>
    <row r="21305">
      <c r="A21305" s="10"/>
    </row>
    <row r="21306">
      <c r="A21306" s="10"/>
    </row>
    <row r="21307">
      <c r="A21307" s="10"/>
    </row>
    <row r="21308">
      <c r="A21308" s="10"/>
    </row>
    <row r="21309">
      <c r="A21309" s="10"/>
    </row>
    <row r="21310">
      <c r="A21310" s="10"/>
    </row>
    <row r="21311">
      <c r="A21311" s="10"/>
    </row>
    <row r="21312">
      <c r="A21312" s="10"/>
    </row>
    <row r="21313">
      <c r="A21313" s="10"/>
    </row>
    <row r="21314">
      <c r="A21314" s="10"/>
    </row>
    <row r="21315">
      <c r="A21315" s="10"/>
    </row>
    <row r="21316">
      <c r="A21316" s="10"/>
    </row>
    <row r="21317">
      <c r="A21317" s="10"/>
    </row>
    <row r="21318">
      <c r="A21318" s="10"/>
    </row>
    <row r="21319">
      <c r="A21319" s="10"/>
    </row>
    <row r="21320">
      <c r="A21320" s="10"/>
    </row>
    <row r="21321">
      <c r="A21321" s="10"/>
    </row>
    <row r="21322">
      <c r="A21322" s="10"/>
    </row>
    <row r="21323">
      <c r="A21323" s="10"/>
    </row>
    <row r="21324">
      <c r="A21324" s="10"/>
    </row>
    <row r="21325">
      <c r="A21325" s="10"/>
    </row>
    <row r="21326">
      <c r="A21326" s="10"/>
    </row>
    <row r="21327">
      <c r="A21327" s="10"/>
    </row>
    <row r="21328">
      <c r="A21328" s="10"/>
    </row>
    <row r="21329">
      <c r="A21329" s="10"/>
    </row>
    <row r="21330">
      <c r="A21330" s="10"/>
    </row>
    <row r="21331">
      <c r="A21331" s="10"/>
    </row>
    <row r="21332">
      <c r="A21332" s="10"/>
    </row>
    <row r="21333">
      <c r="A21333" s="10"/>
    </row>
    <row r="21334">
      <c r="A21334" s="10"/>
    </row>
    <row r="21335">
      <c r="A21335" s="10"/>
    </row>
    <row r="21336">
      <c r="A21336" s="10"/>
    </row>
    <row r="21337">
      <c r="A21337" s="10"/>
    </row>
    <row r="21338">
      <c r="A21338" s="10"/>
    </row>
    <row r="21339">
      <c r="A21339" s="10"/>
    </row>
    <row r="21340">
      <c r="A21340" s="10"/>
    </row>
    <row r="21341">
      <c r="A21341" s="10"/>
    </row>
    <row r="21342">
      <c r="A21342" s="10"/>
    </row>
    <row r="21343">
      <c r="A21343" s="10"/>
    </row>
    <row r="21344">
      <c r="A21344" s="10"/>
    </row>
    <row r="21345">
      <c r="A21345" s="10"/>
    </row>
    <row r="21346">
      <c r="A21346" s="10"/>
    </row>
    <row r="21347">
      <c r="A21347" s="10"/>
    </row>
    <row r="21348">
      <c r="A21348" s="10"/>
    </row>
    <row r="21349">
      <c r="A21349" s="10"/>
    </row>
    <row r="21350">
      <c r="A21350" s="10"/>
    </row>
    <row r="21351">
      <c r="A21351" s="10"/>
    </row>
    <row r="21352">
      <c r="A21352" s="10"/>
    </row>
    <row r="21353">
      <c r="A21353" s="10"/>
    </row>
    <row r="21354">
      <c r="A21354" s="10"/>
    </row>
    <row r="21355">
      <c r="A21355" s="10"/>
    </row>
    <row r="21356">
      <c r="A21356" s="10"/>
    </row>
    <row r="21357">
      <c r="A21357" s="10"/>
    </row>
    <row r="21358">
      <c r="A21358" s="10"/>
    </row>
    <row r="21359">
      <c r="A21359" s="10"/>
    </row>
    <row r="21360">
      <c r="A21360" s="10"/>
    </row>
    <row r="21361">
      <c r="A21361" s="10"/>
    </row>
    <row r="21362">
      <c r="A21362" s="10"/>
    </row>
    <row r="21363">
      <c r="A21363" s="10"/>
    </row>
    <row r="21364">
      <c r="A21364" s="10"/>
    </row>
    <row r="21365">
      <c r="A21365" s="10"/>
    </row>
    <row r="21366">
      <c r="A21366" s="10"/>
    </row>
    <row r="21367">
      <c r="A21367" s="10"/>
    </row>
    <row r="21368">
      <c r="A21368" s="10"/>
    </row>
    <row r="21369">
      <c r="A21369" s="10"/>
    </row>
    <row r="21370">
      <c r="A21370" s="10"/>
    </row>
    <row r="21371">
      <c r="A21371" s="10"/>
    </row>
    <row r="21372">
      <c r="A21372" s="10"/>
    </row>
    <row r="21373">
      <c r="A21373" s="10"/>
    </row>
    <row r="21374">
      <c r="A21374" s="10"/>
    </row>
    <row r="21375">
      <c r="A21375" s="10"/>
    </row>
    <row r="21376">
      <c r="A21376" s="10"/>
    </row>
    <row r="21377">
      <c r="A21377" s="10"/>
    </row>
    <row r="21378">
      <c r="A21378" s="10"/>
    </row>
    <row r="21379">
      <c r="A21379" s="10"/>
    </row>
    <row r="21380">
      <c r="A21380" s="10"/>
    </row>
    <row r="21381">
      <c r="A21381" s="10"/>
    </row>
    <row r="21382">
      <c r="A21382" s="10"/>
    </row>
    <row r="21383">
      <c r="A21383" s="10"/>
    </row>
    <row r="21384">
      <c r="A21384" s="10"/>
    </row>
    <row r="21385">
      <c r="A21385" s="10"/>
    </row>
    <row r="21386">
      <c r="A21386" s="10"/>
    </row>
    <row r="21387">
      <c r="A21387" s="10"/>
    </row>
    <row r="21388">
      <c r="A21388" s="10"/>
    </row>
    <row r="21389">
      <c r="A21389" s="10"/>
    </row>
    <row r="21390">
      <c r="A21390" s="10"/>
    </row>
    <row r="21391">
      <c r="A21391" s="10"/>
    </row>
    <row r="21392">
      <c r="A21392" s="10"/>
    </row>
    <row r="21393">
      <c r="A21393" s="10"/>
    </row>
    <row r="21394">
      <c r="A21394" s="10"/>
    </row>
    <row r="21395">
      <c r="A21395" s="10"/>
    </row>
    <row r="21396">
      <c r="A21396" s="10"/>
    </row>
    <row r="21397">
      <c r="A21397" s="10"/>
    </row>
    <row r="21398">
      <c r="A21398" s="10"/>
    </row>
    <row r="21399">
      <c r="A21399" s="10"/>
    </row>
    <row r="21400">
      <c r="A21400" s="10"/>
    </row>
    <row r="21401">
      <c r="A21401" s="10"/>
    </row>
    <row r="21402">
      <c r="A21402" s="10"/>
    </row>
    <row r="21403">
      <c r="A21403" s="10"/>
    </row>
    <row r="21404">
      <c r="A21404" s="10"/>
    </row>
    <row r="21405">
      <c r="A21405" s="10"/>
    </row>
    <row r="21406">
      <c r="A21406" s="10"/>
    </row>
    <row r="21407">
      <c r="A21407" s="10"/>
    </row>
    <row r="21408">
      <c r="A21408" s="10"/>
    </row>
    <row r="21409">
      <c r="A21409" s="10"/>
    </row>
    <row r="21410">
      <c r="A21410" s="10"/>
    </row>
    <row r="21411">
      <c r="A21411" s="10"/>
    </row>
    <row r="21412">
      <c r="A21412" s="10"/>
    </row>
    <row r="21413">
      <c r="A21413" s="10"/>
    </row>
    <row r="21414">
      <c r="A21414" s="10"/>
    </row>
    <row r="21415">
      <c r="A21415" s="10"/>
    </row>
    <row r="21416">
      <c r="A21416" s="10"/>
    </row>
    <row r="21417">
      <c r="A21417" s="10"/>
    </row>
    <row r="21418">
      <c r="A21418" s="10"/>
    </row>
    <row r="21419">
      <c r="A21419" s="10"/>
    </row>
    <row r="21420">
      <c r="A21420" s="10"/>
    </row>
    <row r="21421">
      <c r="A21421" s="10"/>
    </row>
    <row r="21422">
      <c r="A21422" s="10"/>
    </row>
    <row r="21423">
      <c r="A21423" s="10"/>
    </row>
    <row r="21424">
      <c r="A21424" s="10"/>
    </row>
    <row r="21425">
      <c r="A21425" s="10"/>
    </row>
    <row r="21426">
      <c r="A21426" s="10"/>
    </row>
    <row r="21427">
      <c r="A21427" s="10"/>
    </row>
    <row r="21428">
      <c r="A21428" s="10"/>
    </row>
    <row r="21429">
      <c r="A21429" s="10"/>
    </row>
    <row r="21430">
      <c r="A21430" s="10"/>
    </row>
    <row r="21431">
      <c r="A21431" s="10"/>
    </row>
    <row r="21432">
      <c r="A21432" s="10"/>
    </row>
    <row r="21433">
      <c r="A21433" s="10"/>
    </row>
    <row r="21434">
      <c r="A21434" s="10"/>
    </row>
    <row r="21435">
      <c r="A21435" s="10"/>
    </row>
    <row r="21436">
      <c r="A21436" s="10"/>
    </row>
    <row r="21437">
      <c r="A21437" s="10"/>
    </row>
    <row r="21438">
      <c r="A21438" s="10"/>
    </row>
    <row r="21439">
      <c r="A21439" s="10"/>
    </row>
    <row r="21440">
      <c r="A21440" s="10"/>
    </row>
    <row r="21441">
      <c r="A21441" s="10"/>
    </row>
    <row r="21442">
      <c r="A21442" s="10"/>
    </row>
    <row r="21443">
      <c r="A21443" s="10"/>
    </row>
    <row r="21444">
      <c r="A21444" s="10"/>
    </row>
    <row r="21445">
      <c r="A21445" s="10"/>
    </row>
    <row r="21446">
      <c r="A21446" s="10"/>
    </row>
    <row r="21447">
      <c r="A21447" s="10"/>
    </row>
    <row r="21448">
      <c r="A21448" s="10"/>
    </row>
    <row r="21449">
      <c r="A21449" s="10"/>
    </row>
    <row r="21450">
      <c r="A21450" s="10"/>
    </row>
    <row r="21451">
      <c r="A21451" s="10"/>
    </row>
    <row r="21452">
      <c r="A21452" s="10"/>
    </row>
    <row r="21453">
      <c r="A21453" s="10"/>
    </row>
    <row r="21454">
      <c r="A21454" s="10"/>
    </row>
    <row r="21455">
      <c r="A21455" s="10"/>
    </row>
    <row r="21456">
      <c r="A21456" s="10"/>
    </row>
    <row r="21457">
      <c r="A21457" s="10"/>
    </row>
    <row r="21458">
      <c r="A21458" s="10"/>
    </row>
    <row r="21459">
      <c r="A21459" s="10"/>
    </row>
    <row r="21460">
      <c r="A21460" s="10"/>
    </row>
    <row r="21461">
      <c r="A21461" s="10"/>
    </row>
    <row r="21462">
      <c r="A21462" s="10"/>
    </row>
    <row r="21463">
      <c r="A21463" s="10"/>
    </row>
    <row r="21464">
      <c r="A21464" s="10"/>
    </row>
    <row r="21465">
      <c r="A21465" s="10"/>
    </row>
    <row r="21466">
      <c r="A21466" s="10"/>
    </row>
    <row r="21467">
      <c r="A21467" s="10"/>
    </row>
    <row r="21468">
      <c r="A21468" s="10"/>
    </row>
    <row r="21469">
      <c r="A21469" s="10"/>
    </row>
    <row r="21470">
      <c r="A21470" s="10"/>
    </row>
    <row r="21471">
      <c r="A21471" s="10"/>
    </row>
    <row r="21472">
      <c r="A21472" s="10"/>
    </row>
    <row r="21473">
      <c r="A21473" s="10"/>
    </row>
    <row r="21474">
      <c r="A21474" s="10"/>
    </row>
    <row r="21475">
      <c r="A21475" s="10"/>
    </row>
    <row r="21476">
      <c r="A21476" s="10"/>
    </row>
    <row r="21477">
      <c r="A21477" s="10"/>
    </row>
    <row r="21478">
      <c r="A21478" s="10"/>
    </row>
    <row r="21479">
      <c r="A21479" s="10"/>
    </row>
    <row r="21480">
      <c r="A21480" s="10"/>
    </row>
    <row r="21481">
      <c r="A21481" s="10"/>
    </row>
    <row r="21482">
      <c r="A21482" s="10"/>
    </row>
    <row r="21483">
      <c r="A21483" s="10"/>
    </row>
    <row r="21484">
      <c r="A21484" s="10"/>
    </row>
    <row r="21485">
      <c r="A21485" s="10"/>
    </row>
    <row r="21486">
      <c r="A21486" s="10"/>
    </row>
    <row r="21487">
      <c r="A21487" s="10"/>
    </row>
    <row r="21488">
      <c r="A21488" s="10"/>
    </row>
    <row r="21489">
      <c r="A21489" s="10"/>
    </row>
    <row r="21490">
      <c r="A21490" s="10"/>
    </row>
    <row r="21491">
      <c r="A21491" s="10"/>
    </row>
    <row r="21492">
      <c r="A21492" s="10"/>
    </row>
    <row r="21493">
      <c r="A21493" s="10"/>
    </row>
    <row r="21494">
      <c r="A21494" s="10"/>
    </row>
    <row r="21495">
      <c r="A21495" s="10"/>
    </row>
    <row r="21496">
      <c r="A21496" s="10"/>
    </row>
    <row r="21497">
      <c r="A21497" s="10"/>
    </row>
    <row r="21498">
      <c r="A21498" s="10"/>
    </row>
    <row r="21499">
      <c r="A21499" s="10"/>
    </row>
    <row r="21500">
      <c r="A21500" s="10"/>
    </row>
    <row r="21501">
      <c r="A21501" s="10"/>
    </row>
    <row r="21502">
      <c r="A21502" s="10"/>
    </row>
    <row r="21503">
      <c r="A21503" s="10"/>
    </row>
    <row r="21504">
      <c r="A21504" s="10"/>
    </row>
    <row r="21505">
      <c r="A21505" s="10"/>
    </row>
    <row r="21506">
      <c r="A21506" s="10"/>
    </row>
    <row r="21507">
      <c r="A21507" s="10"/>
    </row>
    <row r="21508">
      <c r="A21508" s="10"/>
    </row>
    <row r="21509">
      <c r="A21509" s="10"/>
    </row>
    <row r="21510">
      <c r="A21510" s="10"/>
    </row>
    <row r="21511">
      <c r="A21511" s="10"/>
    </row>
    <row r="21512">
      <c r="A21512" s="10"/>
    </row>
    <row r="21513">
      <c r="A21513" s="10"/>
    </row>
    <row r="21514">
      <c r="A21514" s="10"/>
    </row>
    <row r="21515">
      <c r="A21515" s="10"/>
    </row>
    <row r="21516">
      <c r="A21516" s="10"/>
    </row>
    <row r="21517">
      <c r="A21517" s="10"/>
    </row>
    <row r="21518">
      <c r="A21518" s="10"/>
    </row>
    <row r="21519">
      <c r="A21519" s="10"/>
    </row>
    <row r="21520">
      <c r="A21520" s="10"/>
    </row>
    <row r="21521">
      <c r="A21521" s="10"/>
    </row>
    <row r="21522">
      <c r="A21522" s="10"/>
    </row>
    <row r="21523">
      <c r="A21523" s="10"/>
    </row>
    <row r="21524">
      <c r="A21524" s="10"/>
    </row>
    <row r="21525">
      <c r="A21525" s="10"/>
    </row>
    <row r="21526">
      <c r="A21526" s="10"/>
    </row>
    <row r="21527">
      <c r="A21527" s="10"/>
    </row>
    <row r="21528">
      <c r="A21528" s="10"/>
    </row>
    <row r="21529">
      <c r="A21529" s="10"/>
    </row>
    <row r="21530">
      <c r="A21530" s="10"/>
    </row>
    <row r="21531">
      <c r="A21531" s="10"/>
    </row>
    <row r="21532">
      <c r="A21532" s="10"/>
    </row>
    <row r="21533">
      <c r="A21533" s="10"/>
    </row>
    <row r="21534">
      <c r="A21534" s="10"/>
    </row>
    <row r="21535">
      <c r="A21535" s="10"/>
    </row>
    <row r="21536">
      <c r="A21536" s="10"/>
    </row>
    <row r="21537">
      <c r="A21537" s="10"/>
    </row>
    <row r="21538">
      <c r="A21538" s="10"/>
    </row>
    <row r="21539">
      <c r="A21539" s="10"/>
    </row>
    <row r="21540">
      <c r="A21540" s="10"/>
    </row>
    <row r="21541">
      <c r="A21541" s="10"/>
    </row>
    <row r="21542">
      <c r="A21542" s="10"/>
    </row>
    <row r="21543">
      <c r="A21543" s="10"/>
    </row>
    <row r="21544">
      <c r="A21544" s="10"/>
    </row>
    <row r="21545">
      <c r="A21545" s="10"/>
    </row>
    <row r="21546">
      <c r="A21546" s="10"/>
    </row>
    <row r="21547">
      <c r="A21547" s="10"/>
    </row>
    <row r="21548">
      <c r="A21548" s="10"/>
    </row>
    <row r="21549">
      <c r="A21549" s="10"/>
    </row>
    <row r="21550">
      <c r="A21550" s="10"/>
    </row>
    <row r="21551">
      <c r="A21551" s="10"/>
    </row>
    <row r="21552">
      <c r="A21552" s="10"/>
    </row>
    <row r="21553">
      <c r="A21553" s="10"/>
    </row>
    <row r="21554">
      <c r="A21554" s="10"/>
    </row>
    <row r="21555">
      <c r="A21555" s="10"/>
    </row>
    <row r="21556">
      <c r="A21556" s="10"/>
    </row>
    <row r="21557">
      <c r="A21557" s="10"/>
    </row>
    <row r="21558">
      <c r="A21558" s="10"/>
    </row>
    <row r="21559">
      <c r="A21559" s="10"/>
    </row>
    <row r="21560">
      <c r="A21560" s="10"/>
    </row>
    <row r="21561">
      <c r="A21561" s="10"/>
    </row>
    <row r="21562">
      <c r="A21562" s="10"/>
    </row>
    <row r="21563">
      <c r="A21563" s="10"/>
    </row>
    <row r="21564">
      <c r="A21564" s="10"/>
    </row>
    <row r="21565">
      <c r="A21565" s="10"/>
    </row>
    <row r="21566">
      <c r="A21566" s="10"/>
    </row>
    <row r="21567">
      <c r="A21567" s="10"/>
    </row>
    <row r="21568">
      <c r="A21568" s="10"/>
    </row>
    <row r="21569">
      <c r="A21569" s="10"/>
    </row>
    <row r="21570">
      <c r="A21570" s="10"/>
    </row>
    <row r="21571">
      <c r="A21571" s="10"/>
    </row>
    <row r="21572">
      <c r="A21572" s="10"/>
    </row>
    <row r="21573">
      <c r="A21573" s="10"/>
    </row>
    <row r="21574">
      <c r="A21574" s="10"/>
    </row>
    <row r="21575">
      <c r="A21575" s="10"/>
    </row>
    <row r="21576">
      <c r="A21576" s="10"/>
    </row>
    <row r="21577">
      <c r="A21577" s="10"/>
    </row>
    <row r="21578">
      <c r="A21578" s="10"/>
    </row>
    <row r="21579">
      <c r="A21579" s="10"/>
    </row>
    <row r="21580">
      <c r="A21580" s="10"/>
    </row>
    <row r="21581">
      <c r="A21581" s="10"/>
    </row>
    <row r="21582">
      <c r="A21582" s="10"/>
    </row>
    <row r="21583">
      <c r="A21583" s="10"/>
    </row>
    <row r="21584">
      <c r="A21584" s="10"/>
    </row>
    <row r="21585">
      <c r="A21585" s="10"/>
    </row>
    <row r="21586">
      <c r="A21586" s="10"/>
    </row>
    <row r="21587">
      <c r="A21587" s="10"/>
    </row>
    <row r="21588">
      <c r="A21588" s="10"/>
    </row>
    <row r="21589">
      <c r="A21589" s="10"/>
    </row>
    <row r="21590">
      <c r="A21590" s="10"/>
    </row>
    <row r="21591">
      <c r="A21591" s="10"/>
    </row>
    <row r="21592">
      <c r="A21592" s="10"/>
    </row>
    <row r="21593">
      <c r="A21593" s="10"/>
    </row>
    <row r="21594">
      <c r="A21594" s="10"/>
    </row>
    <row r="21595">
      <c r="A21595" s="10"/>
    </row>
    <row r="21596">
      <c r="A21596" s="10"/>
    </row>
    <row r="21597">
      <c r="A21597" s="10"/>
    </row>
    <row r="21598">
      <c r="A21598" s="10"/>
    </row>
    <row r="21599">
      <c r="A21599" s="10"/>
    </row>
    <row r="21600">
      <c r="A21600" s="10"/>
    </row>
    <row r="21601">
      <c r="A21601" s="10"/>
    </row>
    <row r="21602">
      <c r="A21602" s="10"/>
    </row>
    <row r="21603">
      <c r="A21603" s="10"/>
    </row>
    <row r="21604">
      <c r="A21604" s="10"/>
    </row>
    <row r="21605">
      <c r="A21605" s="10"/>
    </row>
    <row r="21606">
      <c r="A21606" s="10"/>
    </row>
    <row r="21607">
      <c r="A21607" s="10"/>
    </row>
    <row r="21608">
      <c r="A21608" s="10"/>
    </row>
    <row r="21609">
      <c r="A21609" s="10"/>
    </row>
    <row r="21610">
      <c r="A21610" s="10"/>
    </row>
    <row r="21611">
      <c r="A21611" s="10"/>
    </row>
    <row r="21612">
      <c r="A21612" s="10"/>
    </row>
    <row r="21613">
      <c r="A21613" s="10"/>
    </row>
    <row r="21614">
      <c r="A21614" s="10"/>
    </row>
    <row r="21615">
      <c r="A21615" s="10"/>
    </row>
    <row r="21616">
      <c r="A21616" s="10"/>
    </row>
    <row r="21617">
      <c r="A21617" s="10"/>
    </row>
    <row r="21618">
      <c r="A21618" s="10"/>
    </row>
    <row r="21619">
      <c r="A21619" s="10"/>
    </row>
    <row r="21620">
      <c r="A21620" s="10"/>
    </row>
    <row r="21621">
      <c r="A21621" s="10"/>
    </row>
    <row r="21622">
      <c r="A21622" s="10"/>
    </row>
    <row r="21623">
      <c r="A21623" s="10"/>
    </row>
    <row r="21624">
      <c r="A21624" s="10"/>
    </row>
    <row r="21625">
      <c r="A21625" s="10"/>
    </row>
    <row r="21626">
      <c r="A21626" s="10"/>
    </row>
    <row r="21627">
      <c r="A21627" s="10"/>
    </row>
    <row r="21628">
      <c r="A21628" s="10"/>
    </row>
    <row r="21629">
      <c r="A21629" s="10"/>
    </row>
    <row r="21630">
      <c r="A21630" s="10"/>
    </row>
    <row r="21631">
      <c r="A21631" s="10"/>
    </row>
    <row r="21632">
      <c r="A21632" s="10"/>
    </row>
    <row r="21633">
      <c r="A21633" s="10"/>
    </row>
    <row r="21634">
      <c r="A21634" s="10"/>
    </row>
    <row r="21635">
      <c r="A21635" s="10"/>
    </row>
    <row r="21636">
      <c r="A21636" s="10"/>
    </row>
    <row r="21637">
      <c r="A21637" s="10"/>
    </row>
    <row r="21638">
      <c r="A21638" s="10"/>
    </row>
    <row r="21639">
      <c r="A21639" s="10"/>
    </row>
    <row r="21640">
      <c r="A21640" s="10"/>
    </row>
    <row r="21641">
      <c r="A21641" s="10"/>
    </row>
    <row r="21642">
      <c r="A21642" s="10"/>
    </row>
    <row r="21643">
      <c r="A21643" s="10"/>
    </row>
    <row r="21644">
      <c r="A21644" s="10"/>
    </row>
    <row r="21645">
      <c r="A21645" s="10"/>
    </row>
    <row r="21646">
      <c r="A21646" s="10"/>
    </row>
    <row r="21647">
      <c r="A21647" s="10"/>
    </row>
    <row r="21648">
      <c r="A21648" s="10"/>
    </row>
    <row r="21649">
      <c r="A21649" s="10"/>
    </row>
    <row r="21650">
      <c r="A21650" s="10"/>
    </row>
    <row r="21651">
      <c r="A21651" s="10"/>
    </row>
    <row r="21652">
      <c r="A21652" s="10"/>
    </row>
    <row r="21653">
      <c r="A21653" s="10"/>
    </row>
    <row r="21654">
      <c r="A21654" s="10"/>
    </row>
    <row r="21655">
      <c r="A21655" s="10"/>
    </row>
    <row r="21656">
      <c r="A21656" s="10"/>
    </row>
    <row r="21657">
      <c r="A21657" s="10"/>
    </row>
    <row r="21658">
      <c r="A21658" s="10"/>
    </row>
    <row r="21659">
      <c r="A21659" s="10"/>
    </row>
    <row r="21660">
      <c r="A21660" s="10"/>
    </row>
    <row r="21661">
      <c r="A21661" s="10"/>
    </row>
    <row r="21662">
      <c r="A21662" s="10"/>
    </row>
    <row r="21663">
      <c r="A21663" s="10"/>
    </row>
    <row r="21664">
      <c r="A21664" s="10"/>
    </row>
    <row r="21665">
      <c r="A21665" s="10"/>
    </row>
    <row r="21666">
      <c r="A21666" s="10"/>
    </row>
    <row r="21667">
      <c r="A21667" s="10"/>
    </row>
    <row r="21668">
      <c r="A21668" s="10"/>
    </row>
    <row r="21669">
      <c r="A21669" s="10"/>
    </row>
    <row r="21670">
      <c r="A21670" s="10"/>
    </row>
    <row r="21671">
      <c r="A21671" s="10"/>
    </row>
    <row r="21672">
      <c r="A21672" s="10"/>
    </row>
    <row r="21673">
      <c r="A21673" s="10"/>
    </row>
    <row r="21674">
      <c r="A21674" s="10"/>
    </row>
    <row r="21675">
      <c r="A21675" s="10"/>
    </row>
    <row r="21676">
      <c r="A21676" s="10"/>
    </row>
    <row r="21677">
      <c r="A21677" s="10"/>
    </row>
    <row r="21678">
      <c r="A21678" s="10"/>
    </row>
    <row r="21679">
      <c r="A21679" s="10"/>
    </row>
    <row r="21680">
      <c r="A21680" s="10"/>
    </row>
    <row r="21681">
      <c r="A21681" s="10"/>
    </row>
    <row r="21682">
      <c r="A21682" s="10"/>
    </row>
    <row r="21683">
      <c r="A21683" s="10"/>
    </row>
    <row r="21684">
      <c r="A21684" s="10"/>
    </row>
    <row r="21685">
      <c r="A21685" s="10"/>
    </row>
    <row r="21686">
      <c r="A21686" s="10"/>
    </row>
    <row r="21687">
      <c r="A21687" s="10"/>
    </row>
    <row r="21688">
      <c r="A21688" s="10"/>
    </row>
    <row r="21689">
      <c r="A21689" s="10"/>
    </row>
    <row r="21690">
      <c r="A21690" s="10"/>
    </row>
    <row r="21691">
      <c r="A21691" s="10"/>
    </row>
    <row r="21692">
      <c r="A21692" s="10"/>
    </row>
    <row r="21693">
      <c r="A21693" s="10"/>
    </row>
    <row r="21694">
      <c r="A21694" s="10"/>
    </row>
    <row r="21695">
      <c r="A21695" s="10"/>
    </row>
    <row r="21696">
      <c r="A21696" s="10"/>
    </row>
    <row r="21697">
      <c r="A21697" s="10"/>
    </row>
    <row r="21698">
      <c r="A21698" s="10"/>
    </row>
    <row r="21699">
      <c r="A21699" s="10"/>
    </row>
    <row r="21700">
      <c r="A21700" s="10"/>
    </row>
    <row r="21701">
      <c r="A21701" s="10"/>
    </row>
    <row r="21702">
      <c r="A21702" s="10"/>
    </row>
    <row r="21703">
      <c r="A21703" s="10"/>
    </row>
    <row r="21704">
      <c r="A21704" s="10"/>
    </row>
    <row r="21705">
      <c r="A21705" s="10"/>
    </row>
    <row r="21706">
      <c r="A21706" s="10"/>
    </row>
    <row r="21707">
      <c r="A21707" s="10"/>
    </row>
    <row r="21708">
      <c r="A21708" s="10"/>
    </row>
    <row r="21709">
      <c r="A21709" s="10"/>
    </row>
    <row r="21710">
      <c r="A21710" s="10"/>
    </row>
    <row r="21711">
      <c r="A21711" s="10"/>
    </row>
    <row r="21712">
      <c r="A21712" s="10"/>
    </row>
    <row r="21713">
      <c r="A21713" s="10"/>
    </row>
    <row r="21714">
      <c r="A21714" s="10"/>
    </row>
    <row r="21715">
      <c r="A21715" s="10"/>
    </row>
    <row r="21716">
      <c r="A21716" s="10"/>
    </row>
    <row r="21717">
      <c r="A21717" s="10"/>
    </row>
    <row r="21718">
      <c r="A21718" s="10"/>
    </row>
    <row r="21719">
      <c r="A21719" s="10"/>
    </row>
    <row r="21720">
      <c r="A21720" s="10"/>
    </row>
    <row r="21721">
      <c r="A21721" s="10"/>
    </row>
    <row r="21722">
      <c r="A21722" s="10"/>
    </row>
    <row r="21723">
      <c r="A21723" s="10"/>
    </row>
    <row r="21724">
      <c r="A21724" s="10"/>
    </row>
    <row r="21725">
      <c r="A21725" s="10"/>
    </row>
    <row r="21726">
      <c r="A21726" s="10"/>
    </row>
    <row r="21727">
      <c r="A21727" s="10"/>
    </row>
    <row r="21728">
      <c r="A21728" s="10"/>
    </row>
    <row r="21729">
      <c r="A21729" s="10"/>
    </row>
    <row r="21730">
      <c r="A21730" s="10"/>
    </row>
    <row r="21731">
      <c r="A21731" s="10"/>
    </row>
    <row r="21732">
      <c r="A21732" s="10"/>
    </row>
    <row r="21733">
      <c r="A21733" s="10"/>
    </row>
    <row r="21734">
      <c r="A21734" s="10"/>
    </row>
    <row r="21735">
      <c r="A21735" s="10"/>
    </row>
    <row r="21736">
      <c r="A21736" s="10"/>
    </row>
    <row r="21737">
      <c r="A21737" s="10"/>
    </row>
    <row r="21738">
      <c r="A21738" s="10"/>
    </row>
    <row r="21739">
      <c r="A21739" s="10"/>
    </row>
    <row r="21740">
      <c r="A21740" s="10"/>
    </row>
    <row r="21741">
      <c r="A21741" s="10"/>
    </row>
    <row r="21742">
      <c r="A21742" s="10"/>
    </row>
    <row r="21743">
      <c r="A21743" s="10"/>
    </row>
    <row r="21744">
      <c r="A21744" s="10"/>
    </row>
    <row r="21745">
      <c r="A21745" s="10"/>
    </row>
    <row r="21746">
      <c r="A21746" s="10"/>
    </row>
    <row r="21747">
      <c r="A21747" s="10"/>
    </row>
    <row r="21748">
      <c r="A21748" s="10"/>
    </row>
    <row r="21749">
      <c r="A21749" s="10"/>
    </row>
    <row r="21750">
      <c r="A21750" s="10"/>
    </row>
    <row r="21751">
      <c r="A21751" s="10"/>
    </row>
    <row r="21752">
      <c r="A21752" s="10"/>
    </row>
    <row r="21753">
      <c r="A21753" s="10"/>
    </row>
    <row r="21754">
      <c r="A21754" s="10"/>
    </row>
    <row r="21755">
      <c r="A21755" s="10"/>
    </row>
    <row r="21756">
      <c r="A21756" s="10"/>
    </row>
    <row r="21757">
      <c r="A21757" s="10"/>
    </row>
    <row r="21758">
      <c r="A21758" s="10"/>
    </row>
    <row r="21759">
      <c r="A21759" s="10"/>
    </row>
    <row r="21760">
      <c r="A21760" s="10"/>
    </row>
    <row r="21761">
      <c r="A21761" s="10"/>
    </row>
    <row r="21762">
      <c r="A21762" s="10"/>
    </row>
    <row r="21763">
      <c r="A21763" s="10"/>
    </row>
    <row r="21764">
      <c r="A21764" s="10"/>
    </row>
    <row r="21765">
      <c r="A21765" s="10"/>
    </row>
    <row r="21766">
      <c r="A21766" s="10"/>
    </row>
    <row r="21767">
      <c r="A21767" s="10"/>
    </row>
    <row r="21768">
      <c r="A21768" s="10"/>
    </row>
    <row r="21769">
      <c r="A21769" s="10"/>
    </row>
    <row r="21770">
      <c r="A21770" s="10"/>
    </row>
    <row r="21771">
      <c r="A21771" s="10"/>
    </row>
    <row r="21772">
      <c r="A21772" s="10"/>
    </row>
    <row r="21773">
      <c r="A21773" s="10"/>
    </row>
    <row r="21774">
      <c r="A21774" s="10"/>
    </row>
    <row r="21775">
      <c r="A21775" s="10"/>
    </row>
    <row r="21776">
      <c r="A21776" s="10"/>
    </row>
    <row r="21777">
      <c r="A21777" s="10"/>
    </row>
    <row r="21778">
      <c r="A21778" s="10"/>
    </row>
    <row r="21779">
      <c r="A21779" s="10"/>
    </row>
    <row r="21780">
      <c r="A21780" s="10"/>
    </row>
    <row r="21781">
      <c r="A21781" s="10"/>
    </row>
    <row r="21782">
      <c r="A21782" s="10"/>
    </row>
    <row r="21783">
      <c r="A21783" s="10"/>
    </row>
    <row r="21784">
      <c r="A21784" s="10"/>
    </row>
    <row r="21785">
      <c r="A21785" s="10"/>
    </row>
    <row r="21786">
      <c r="A21786" s="10"/>
    </row>
    <row r="21787">
      <c r="A21787" s="10"/>
    </row>
    <row r="21788">
      <c r="A21788" s="10"/>
    </row>
    <row r="21789">
      <c r="A21789" s="10"/>
    </row>
    <row r="21790">
      <c r="A21790" s="10"/>
    </row>
    <row r="21791">
      <c r="A21791" s="10"/>
    </row>
    <row r="21792">
      <c r="A21792" s="10"/>
    </row>
    <row r="21793">
      <c r="A21793" s="10"/>
    </row>
    <row r="21794">
      <c r="A21794" s="10"/>
    </row>
    <row r="21795">
      <c r="A21795" s="10"/>
    </row>
    <row r="21796">
      <c r="A21796" s="10"/>
    </row>
    <row r="21797">
      <c r="A21797" s="10"/>
    </row>
    <row r="21798">
      <c r="A21798" s="10"/>
    </row>
    <row r="21799">
      <c r="A21799" s="10"/>
    </row>
    <row r="21800">
      <c r="A21800" s="10"/>
    </row>
    <row r="21801">
      <c r="A21801" s="10"/>
    </row>
    <row r="21802">
      <c r="A21802" s="10"/>
    </row>
    <row r="21803">
      <c r="A21803" s="10"/>
    </row>
    <row r="21804">
      <c r="A21804" s="10"/>
    </row>
    <row r="21805">
      <c r="A21805" s="10"/>
    </row>
    <row r="21806">
      <c r="A21806" s="10"/>
    </row>
    <row r="21807">
      <c r="A21807" s="10"/>
    </row>
    <row r="21808">
      <c r="A21808" s="10"/>
    </row>
    <row r="21809">
      <c r="A21809" s="10"/>
    </row>
    <row r="21810">
      <c r="A21810" s="10"/>
    </row>
    <row r="21811">
      <c r="A21811" s="10"/>
    </row>
    <row r="21812">
      <c r="A21812" s="10"/>
    </row>
    <row r="21813">
      <c r="A21813" s="10"/>
    </row>
    <row r="21814">
      <c r="A21814" s="10"/>
    </row>
    <row r="21815">
      <c r="A21815" s="10"/>
    </row>
    <row r="21816">
      <c r="A21816" s="10"/>
    </row>
    <row r="21817">
      <c r="A21817" s="10"/>
    </row>
    <row r="21818">
      <c r="A21818" s="10"/>
    </row>
    <row r="21819">
      <c r="A21819" s="10"/>
    </row>
    <row r="21820">
      <c r="A21820" s="10"/>
    </row>
    <row r="21821">
      <c r="A21821" s="10"/>
    </row>
    <row r="21822">
      <c r="A21822" s="10"/>
    </row>
    <row r="21823">
      <c r="A21823" s="10"/>
    </row>
    <row r="21824">
      <c r="A21824" s="10"/>
    </row>
    <row r="21825">
      <c r="A21825" s="10"/>
    </row>
    <row r="21826">
      <c r="A21826" s="10"/>
    </row>
    <row r="21827">
      <c r="A21827" s="10"/>
    </row>
    <row r="21828">
      <c r="A21828" s="10"/>
    </row>
    <row r="21829">
      <c r="A21829" s="10"/>
    </row>
    <row r="21830">
      <c r="A21830" s="10"/>
    </row>
    <row r="21831">
      <c r="A21831" s="10"/>
    </row>
    <row r="21832">
      <c r="A21832" s="10"/>
    </row>
    <row r="21833">
      <c r="A21833" s="10"/>
    </row>
    <row r="21834">
      <c r="A21834" s="10"/>
    </row>
    <row r="21835">
      <c r="A21835" s="10"/>
    </row>
    <row r="21836">
      <c r="A21836" s="10"/>
    </row>
    <row r="21837">
      <c r="A21837" s="10"/>
    </row>
    <row r="21838">
      <c r="A21838" s="10"/>
    </row>
    <row r="21839">
      <c r="A21839" s="10"/>
    </row>
    <row r="21840">
      <c r="A21840" s="10"/>
    </row>
    <row r="21841">
      <c r="A21841" s="10"/>
    </row>
    <row r="21842">
      <c r="A21842" s="10"/>
    </row>
    <row r="21843">
      <c r="A21843" s="10"/>
    </row>
    <row r="21844">
      <c r="A21844" s="10"/>
    </row>
    <row r="21845">
      <c r="A21845" s="10"/>
    </row>
    <row r="21846">
      <c r="A21846" s="10"/>
    </row>
    <row r="21847">
      <c r="A21847" s="10"/>
    </row>
    <row r="21848">
      <c r="A21848" s="10"/>
    </row>
    <row r="21849">
      <c r="A21849" s="10"/>
    </row>
    <row r="21850">
      <c r="A21850" s="10"/>
    </row>
    <row r="21851">
      <c r="A21851" s="10"/>
    </row>
    <row r="21852">
      <c r="A21852" s="10"/>
    </row>
    <row r="21853">
      <c r="A21853" s="10"/>
    </row>
    <row r="21854">
      <c r="A21854" s="10"/>
    </row>
    <row r="21855">
      <c r="A21855" s="10"/>
    </row>
    <row r="21856">
      <c r="A21856" s="10"/>
    </row>
    <row r="21857">
      <c r="A21857" s="10"/>
    </row>
    <row r="21858">
      <c r="A21858" s="10"/>
    </row>
    <row r="21859">
      <c r="A21859" s="10"/>
    </row>
    <row r="21860">
      <c r="A21860" s="10"/>
    </row>
    <row r="21861">
      <c r="A21861" s="10"/>
    </row>
    <row r="21862">
      <c r="A21862" s="10"/>
    </row>
    <row r="21863">
      <c r="A21863" s="10"/>
    </row>
    <row r="21864">
      <c r="A21864" s="10"/>
    </row>
    <row r="21865">
      <c r="A21865" s="10"/>
    </row>
    <row r="21866">
      <c r="A21866" s="10"/>
    </row>
    <row r="21867">
      <c r="A21867" s="10"/>
    </row>
    <row r="21868">
      <c r="A21868" s="10"/>
    </row>
    <row r="21869">
      <c r="A21869" s="10"/>
    </row>
    <row r="21870">
      <c r="A21870" s="10"/>
    </row>
    <row r="21871">
      <c r="A21871" s="10"/>
    </row>
    <row r="21872">
      <c r="A21872" s="10"/>
    </row>
    <row r="21873">
      <c r="A21873" s="10"/>
    </row>
    <row r="21874">
      <c r="A21874" s="10"/>
    </row>
    <row r="21875">
      <c r="A21875" s="10"/>
    </row>
    <row r="21876">
      <c r="A21876" s="10"/>
    </row>
    <row r="21877">
      <c r="A21877" s="10"/>
    </row>
    <row r="21878">
      <c r="A21878" s="10"/>
    </row>
    <row r="21879">
      <c r="A21879" s="10"/>
    </row>
    <row r="21880">
      <c r="A21880" s="10"/>
    </row>
    <row r="21881">
      <c r="A21881" s="10"/>
    </row>
    <row r="21882">
      <c r="A21882" s="10"/>
    </row>
    <row r="21883">
      <c r="A21883" s="10"/>
    </row>
    <row r="21884">
      <c r="A21884" s="10"/>
    </row>
    <row r="21885">
      <c r="A21885" s="10"/>
    </row>
    <row r="21886">
      <c r="A21886" s="10"/>
    </row>
    <row r="21887">
      <c r="A21887" s="10"/>
    </row>
    <row r="21888">
      <c r="A21888" s="10"/>
    </row>
    <row r="21889">
      <c r="A21889" s="10"/>
    </row>
    <row r="21890">
      <c r="A21890" s="10"/>
    </row>
    <row r="21891">
      <c r="A21891" s="10"/>
    </row>
    <row r="21892">
      <c r="A21892" s="10"/>
    </row>
    <row r="21893">
      <c r="A21893" s="10"/>
    </row>
    <row r="21894">
      <c r="A21894" s="10"/>
    </row>
    <row r="21895">
      <c r="A21895" s="10"/>
    </row>
    <row r="21896">
      <c r="A21896" s="10"/>
    </row>
    <row r="21897">
      <c r="A21897" s="10"/>
    </row>
    <row r="21898">
      <c r="A21898" s="10"/>
    </row>
    <row r="21899">
      <c r="A21899" s="10"/>
    </row>
    <row r="21900">
      <c r="A21900" s="10"/>
    </row>
    <row r="21901">
      <c r="A21901" s="10"/>
    </row>
    <row r="21902">
      <c r="A21902" s="10"/>
    </row>
    <row r="21903">
      <c r="A21903" s="10"/>
    </row>
    <row r="21904">
      <c r="A21904" s="10"/>
    </row>
    <row r="21905">
      <c r="A21905" s="10"/>
    </row>
    <row r="21906">
      <c r="A21906" s="10"/>
    </row>
    <row r="21907">
      <c r="A21907" s="10"/>
    </row>
    <row r="21908">
      <c r="A21908" s="10"/>
    </row>
    <row r="21909">
      <c r="A21909" s="10"/>
    </row>
    <row r="21910">
      <c r="A21910" s="10"/>
    </row>
    <row r="21911">
      <c r="A21911" s="10"/>
    </row>
    <row r="21912">
      <c r="A21912" s="10"/>
    </row>
    <row r="21913">
      <c r="A21913" s="10"/>
    </row>
    <row r="21914">
      <c r="A21914" s="10"/>
    </row>
    <row r="21915">
      <c r="A21915" s="10"/>
    </row>
    <row r="21916">
      <c r="A21916" s="10"/>
    </row>
    <row r="21917">
      <c r="A21917" s="10"/>
    </row>
    <row r="21918">
      <c r="A21918" s="10"/>
    </row>
    <row r="21919">
      <c r="A21919" s="10"/>
    </row>
    <row r="21920">
      <c r="A21920" s="10"/>
    </row>
    <row r="21921">
      <c r="A21921" s="10"/>
    </row>
    <row r="21922">
      <c r="A21922" s="10"/>
    </row>
    <row r="21923">
      <c r="A21923" s="10"/>
    </row>
    <row r="21924">
      <c r="A21924" s="10"/>
    </row>
    <row r="21925">
      <c r="A21925" s="10"/>
    </row>
    <row r="21926">
      <c r="A21926" s="10"/>
    </row>
    <row r="21927">
      <c r="A21927" s="10"/>
    </row>
    <row r="21928">
      <c r="A21928" s="10"/>
    </row>
    <row r="21929">
      <c r="A21929" s="10"/>
    </row>
    <row r="21930">
      <c r="A21930" s="10"/>
    </row>
    <row r="21931">
      <c r="A21931" s="10"/>
    </row>
    <row r="21932">
      <c r="A21932" s="10"/>
    </row>
    <row r="21933">
      <c r="A21933" s="10"/>
    </row>
    <row r="21934">
      <c r="A21934" s="10"/>
    </row>
    <row r="21935">
      <c r="A21935" s="10"/>
    </row>
    <row r="21936">
      <c r="A21936" s="10"/>
    </row>
    <row r="21937">
      <c r="A21937" s="10"/>
    </row>
    <row r="21938">
      <c r="A21938" s="10"/>
    </row>
    <row r="21939">
      <c r="A21939" s="10"/>
    </row>
    <row r="21940">
      <c r="A21940" s="10"/>
    </row>
    <row r="21941">
      <c r="A21941" s="10"/>
    </row>
    <row r="21942">
      <c r="A21942" s="10"/>
    </row>
    <row r="21943">
      <c r="A21943" s="10"/>
    </row>
    <row r="21944">
      <c r="A21944" s="10"/>
    </row>
    <row r="21945">
      <c r="A21945" s="10"/>
    </row>
    <row r="21946">
      <c r="A21946" s="10"/>
    </row>
    <row r="21947">
      <c r="A21947" s="10"/>
    </row>
    <row r="21948">
      <c r="A21948" s="10"/>
    </row>
    <row r="21949">
      <c r="A21949" s="10"/>
    </row>
    <row r="21950">
      <c r="A21950" s="10"/>
    </row>
    <row r="21951">
      <c r="A21951" s="10"/>
    </row>
    <row r="21952">
      <c r="A21952" s="10"/>
    </row>
    <row r="21953">
      <c r="A21953" s="10"/>
    </row>
    <row r="21954">
      <c r="A21954" s="10"/>
    </row>
    <row r="21955">
      <c r="A21955" s="10"/>
    </row>
    <row r="21956">
      <c r="A21956" s="10"/>
    </row>
    <row r="21957">
      <c r="A21957" s="10"/>
    </row>
    <row r="21958">
      <c r="A21958" s="10"/>
    </row>
    <row r="21959">
      <c r="A21959" s="10"/>
    </row>
    <row r="21960">
      <c r="A21960" s="10"/>
    </row>
    <row r="21961">
      <c r="A21961" s="10"/>
    </row>
    <row r="21962">
      <c r="A21962" s="10"/>
    </row>
    <row r="21963">
      <c r="A21963" s="10"/>
    </row>
    <row r="21964">
      <c r="A21964" s="10"/>
    </row>
    <row r="21965">
      <c r="A21965" s="10"/>
    </row>
    <row r="21966">
      <c r="A21966" s="10"/>
    </row>
    <row r="21967">
      <c r="A21967" s="10"/>
    </row>
    <row r="21968">
      <c r="A21968" s="10"/>
    </row>
    <row r="21969">
      <c r="A21969" s="10"/>
    </row>
    <row r="21970">
      <c r="A21970" s="10"/>
    </row>
    <row r="21971">
      <c r="A21971" s="10"/>
    </row>
    <row r="21972">
      <c r="A21972" s="10"/>
    </row>
    <row r="21973">
      <c r="A21973" s="10"/>
    </row>
    <row r="21974">
      <c r="A21974" s="10"/>
    </row>
    <row r="21975">
      <c r="A21975" s="10"/>
    </row>
    <row r="21976">
      <c r="A21976" s="10"/>
    </row>
    <row r="21977">
      <c r="A21977" s="10"/>
    </row>
    <row r="21978">
      <c r="A21978" s="10"/>
    </row>
    <row r="21979">
      <c r="A21979" s="10"/>
    </row>
    <row r="21980">
      <c r="A21980" s="10"/>
    </row>
    <row r="21981">
      <c r="A21981" s="10"/>
    </row>
    <row r="21982">
      <c r="A21982" s="10"/>
    </row>
    <row r="21983">
      <c r="A21983" s="10"/>
    </row>
    <row r="21984">
      <c r="A21984" s="10"/>
    </row>
    <row r="21985">
      <c r="A21985" s="10"/>
    </row>
    <row r="21986">
      <c r="A21986" s="10"/>
    </row>
    <row r="21987">
      <c r="A21987" s="10"/>
    </row>
    <row r="21988">
      <c r="A21988" s="10"/>
    </row>
    <row r="21989">
      <c r="A21989" s="10"/>
    </row>
    <row r="21990">
      <c r="A21990" s="10"/>
    </row>
    <row r="21991">
      <c r="A21991" s="10"/>
    </row>
    <row r="21992">
      <c r="A21992" s="10"/>
    </row>
    <row r="21993">
      <c r="A21993" s="10"/>
    </row>
    <row r="21994">
      <c r="A21994" s="10"/>
    </row>
    <row r="21995">
      <c r="A21995" s="10"/>
    </row>
    <row r="21996">
      <c r="A21996" s="10"/>
    </row>
    <row r="21997">
      <c r="A21997" s="10"/>
    </row>
    <row r="21998">
      <c r="A21998" s="10"/>
    </row>
    <row r="21999">
      <c r="A21999" s="10"/>
    </row>
    <row r="22000">
      <c r="A22000" s="10"/>
    </row>
    <row r="22001">
      <c r="A22001" s="10"/>
    </row>
    <row r="22002">
      <c r="A22002" s="10"/>
    </row>
    <row r="22003">
      <c r="A22003" s="10"/>
    </row>
    <row r="22004">
      <c r="A22004" s="10"/>
    </row>
    <row r="22005">
      <c r="A22005" s="10"/>
    </row>
    <row r="22006">
      <c r="A22006" s="10"/>
    </row>
    <row r="22007">
      <c r="A22007" s="10"/>
    </row>
    <row r="22008">
      <c r="A22008" s="10"/>
    </row>
    <row r="22009">
      <c r="A22009" s="10"/>
    </row>
    <row r="22010">
      <c r="A22010" s="10"/>
    </row>
    <row r="22011">
      <c r="A22011" s="10"/>
    </row>
    <row r="22012">
      <c r="A22012" s="10"/>
    </row>
    <row r="22013">
      <c r="A22013" s="10"/>
    </row>
    <row r="22014">
      <c r="A22014" s="10"/>
    </row>
    <row r="22015">
      <c r="A22015" s="10"/>
    </row>
    <row r="22016">
      <c r="A22016" s="10"/>
    </row>
    <row r="22017">
      <c r="A22017" s="10"/>
    </row>
    <row r="22018">
      <c r="A22018" s="10"/>
    </row>
    <row r="22019">
      <c r="A22019" s="10"/>
    </row>
    <row r="22020">
      <c r="A22020" s="10"/>
    </row>
    <row r="22021">
      <c r="A22021" s="10"/>
    </row>
    <row r="22022">
      <c r="A22022" s="10"/>
    </row>
    <row r="22023">
      <c r="A22023" s="10"/>
    </row>
    <row r="22024">
      <c r="A22024" s="10"/>
    </row>
    <row r="22025">
      <c r="A22025" s="10"/>
    </row>
    <row r="22026">
      <c r="A22026" s="10"/>
    </row>
    <row r="22027">
      <c r="A22027" s="10"/>
    </row>
    <row r="22028">
      <c r="A22028" s="10"/>
    </row>
    <row r="22029">
      <c r="A22029" s="10"/>
    </row>
    <row r="22030">
      <c r="A22030" s="10"/>
    </row>
    <row r="22031">
      <c r="A22031" s="10"/>
    </row>
    <row r="22032">
      <c r="A22032" s="1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22472</v>
      </c>
      <c r="B1" s="7" t="str">
        <f>IFERROR(__xludf.DUMMYFUNCTION("SPLIT(A1,"" "")"),"CC(C)S")</f>
        <v>CC(C)S</v>
      </c>
      <c r="C1" s="10">
        <v>0.1</v>
      </c>
    </row>
    <row r="2">
      <c r="A2" s="10" t="s">
        <v>22473</v>
      </c>
      <c r="B2" s="7" t="str">
        <f>IFERROR(__xludf.DUMMYFUNCTION("SPLIT(A2,"" "")"),"CCF")</f>
        <v>CCF</v>
      </c>
      <c r="C2" s="10">
        <v>0.1111111111</v>
      </c>
    </row>
    <row r="3">
      <c r="A3" s="10" t="s">
        <v>22474</v>
      </c>
      <c r="B3" s="7" t="str">
        <f>IFERROR(__xludf.DUMMYFUNCTION("SPLIT(A3,"" "")"),"COC")</f>
        <v>COC</v>
      </c>
      <c r="C3" s="10">
        <v>0.1111111111</v>
      </c>
    </row>
    <row r="4">
      <c r="A4" s="10" t="s">
        <v>22475</v>
      </c>
      <c r="B4" s="7" t="str">
        <f>IFERROR(__xludf.DUMMYFUNCTION("SPLIT(A4,"" "")"),"CF")</f>
        <v>CF</v>
      </c>
      <c r="C4" s="10">
        <v>0.125</v>
      </c>
    </row>
    <row r="5">
      <c r="A5" s="10" t="s">
        <v>22475</v>
      </c>
      <c r="B5" s="7" t="str">
        <f>IFERROR(__xludf.DUMMYFUNCTION("SPLIT(A5,"" "")"),"CF")</f>
        <v>CF</v>
      </c>
      <c r="C5" s="10">
        <v>0.125</v>
      </c>
    </row>
    <row r="6">
      <c r="A6" s="10" t="s">
        <v>22476</v>
      </c>
      <c r="B6" s="7" t="str">
        <f>IFERROR(__xludf.DUMMYFUNCTION("SPLIT(A6,"" "")"),"CNC1=CC=C1")</f>
        <v>CNC1=CC=C1</v>
      </c>
      <c r="C6" s="10">
        <v>0.1363636364</v>
      </c>
    </row>
    <row r="7">
      <c r="A7" s="10" t="s">
        <v>22477</v>
      </c>
      <c r="B7" s="7" t="str">
        <f>IFERROR(__xludf.DUMMYFUNCTION("SPLIT(A7,"" "")"),"CC1(C)CCC1")</f>
        <v>CC1(C)CCC1</v>
      </c>
      <c r="C7" s="10">
        <v>0.1428571429</v>
      </c>
    </row>
    <row r="8">
      <c r="A8" s="10" t="s">
        <v>22478</v>
      </c>
      <c r="B8" s="7" t="str">
        <f>IFERROR(__xludf.DUMMYFUNCTION("SPLIT(A8,"" "")"),"CC1C=CNC=C1")</f>
        <v>CC1C=CNC=C1</v>
      </c>
      <c r="C8" s="10">
        <v>0.1463414634</v>
      </c>
    </row>
    <row r="9">
      <c r="A9" s="10" t="s">
        <v>22479</v>
      </c>
      <c r="B9" s="7" t="str">
        <f>IFERROR(__xludf.DUMMYFUNCTION("SPLIT(A9,"" "")"),"CC(C)(C)N1C2=CC=CC1C=NCC1=CC=CC(CN=C2)N1C(C)(C)C")</f>
        <v>CC(C)(C)N1C2=CC=CC1C=NCC1=CC=CC(CN=C2)N1C(C)(C)C</v>
      </c>
      <c r="C9" s="10">
        <v>0.1886792453</v>
      </c>
    </row>
    <row r="10">
      <c r="A10" s="10" t="s">
        <v>22480</v>
      </c>
      <c r="B10" s="7" t="str">
        <f>IFERROR(__xludf.DUMMYFUNCTION("SPLIT(A10,"" "")"),"Cc1ncc([SiH3])c(C)c1[SiH3]")</f>
        <v>Cc1ncc([SiH3])c(C)c1[SiH3]</v>
      </c>
      <c r="C10" s="10">
        <v>0.1891891892</v>
      </c>
    </row>
    <row r="11">
      <c r="A11" s="10" t="s">
        <v>22481</v>
      </c>
      <c r="B11" s="7" t="str">
        <f>IFERROR(__xludf.DUMMYFUNCTION("SPLIT(A11,"" "")"),"CC1CNCCNCC(C)N(C)C1")</f>
        <v>CC1CNCCNCC(C)N(C)C1</v>
      </c>
      <c r="C11" s="10">
        <v>0.1923076923</v>
      </c>
    </row>
    <row r="12">
      <c r="A12" s="10" t="s">
        <v>22482</v>
      </c>
      <c r="B12" s="7" t="str">
        <f>IFERROR(__xludf.DUMMYFUNCTION("SPLIT(A12,"" "")"),"CNC1CCC(N(Cc2nc(C)c(C)c(C)c2C)Cc2nc(C)c(C)c(C)c2C)C(NCc2nc(C)c(C)cc2C)C1N(Cc1nc(C)c(C)c(C)c1C)Cc1nc(C)c(C)c(C)c1C")</f>
        <v>CNC1CCC(N(Cc2nc(C)c(C)c(C)c2C)Cc2nc(C)c(C)c(C)c2C)C(NCc2nc(C)c(C)cc2C)C1N(Cc1nc(C)c(C)c(C)c1C)Cc1nc(C)c(C)c(C)c1C</v>
      </c>
      <c r="C12" s="10">
        <v>0.1940298507</v>
      </c>
    </row>
    <row r="13">
      <c r="A13" s="10" t="s">
        <v>22483</v>
      </c>
      <c r="B13" s="7" t="str">
        <f>IFERROR(__xludf.DUMMYFUNCTION("SPLIT(A13,"" "")"),"CC1(C)CN=C(c2ccnc(C3OC=NC3(C)C)c2)O1")</f>
        <v>CC1(C)CN=C(c2ccnc(C3OC=NC3(C)C)c2)O1</v>
      </c>
      <c r="C13" s="10">
        <v>0.1964285714</v>
      </c>
    </row>
    <row r="14">
      <c r="A14" s="10" t="s">
        <v>22484</v>
      </c>
      <c r="B14" s="7" t="str">
        <f>IFERROR(__xludf.DUMMYFUNCTION("SPLIT(A14,"" "")"),"CNC1CCCC(N(Cc2nc(C)c([SiH3])c(C)c2C)Cc2nc(C)c([SiH3])c([SiH3])c2C)C1")</f>
        <v>CNC1CCCC(N(Cc2nc(C)c([SiH3])c(C)c2C)Cc2nc(C)c([SiH3])c([SiH3])c2C)C1</v>
      </c>
      <c r="C14" s="10">
        <v>0.1967213115</v>
      </c>
    </row>
    <row r="15">
      <c r="A15" s="10" t="s">
        <v>22485</v>
      </c>
      <c r="B15" s="7" t="str">
        <f>IFERROR(__xludf.DUMMYFUNCTION("SPLIT(A15,"" "")"),"NCc1ccncc1")</f>
        <v>NCc1ccncc1</v>
      </c>
      <c r="C15" s="10">
        <v>0.2</v>
      </c>
    </row>
    <row r="16">
      <c r="A16" s="10" t="s">
        <v>22486</v>
      </c>
      <c r="B16" s="7" t="str">
        <f>IFERROR(__xludf.DUMMYFUNCTION("SPLIT(A16,"" "")"),"CC1=NC2NCCNCCN(C)CC2C=C1")</f>
        <v>CC1=NC2NCCNCCN(C)CC2C=C1</v>
      </c>
      <c r="C16" s="10">
        <v>0.2</v>
      </c>
    </row>
    <row r="17">
      <c r="A17" s="10" t="s">
        <v>22487</v>
      </c>
      <c r="B17" s="7" t="str">
        <f>IFERROR(__xludf.DUMMYFUNCTION("SPLIT(A17,"" "")"),"CNC1CCCCC1NCc1nc(C)c(C)c(C)c1C")</f>
        <v>CNC1CCCCC1NCc1nc(C)c(C)c(C)c1C</v>
      </c>
      <c r="C17" s="10">
        <v>0.2115384615</v>
      </c>
    </row>
    <row r="18">
      <c r="A18" s="10" t="s">
        <v>22488</v>
      </c>
      <c r="B18" s="7" t="str">
        <f>IFERROR(__xludf.DUMMYFUNCTION("SPLIT(A18,"" "")"),"CNC1CCCC(N(Cc2nc(C)c(C)c(C)c2C)Cc2nc(C)c(C)c(C)c2C)C1")</f>
        <v>CNC1CCCC(N(Cc2nc(C)c(C)c(C)c2C)Cc2nc(C)c(C)c(C)c2C)C1</v>
      </c>
      <c r="C18" s="10">
        <v>0.2181818182</v>
      </c>
    </row>
    <row r="19">
      <c r="A19" s="10" t="s">
        <v>22489</v>
      </c>
      <c r="B19" s="7" t="str">
        <f>IFERROR(__xludf.DUMMYFUNCTION("SPLIT(A19,"" "")"),"Cc1c([SiH3])nc(CN(CC(C)(C)C)C2CCCC(N(C)Cc3nc([SiH3])c(C)c(C)c3[SiH3])C2)c(C)c1C")</f>
        <v>Cc1c([SiH3])nc(CN(CC(C)(C)C)C2CCCC(N(C)Cc3nc([SiH3])c(C)c(C)c3[SiH3])C2)c(C)c1C</v>
      </c>
      <c r="C19" s="10">
        <v>0.2222222222</v>
      </c>
    </row>
    <row r="20">
      <c r="A20" s="10" t="s">
        <v>22490</v>
      </c>
      <c r="B20" s="7" t="str">
        <f>IFERROR(__xludf.DUMMYFUNCTION("SPLIT(A20,"" "")"),"CN1CCCC1C1CCNC1")</f>
        <v>CN1CCCC1C1CCNC1</v>
      </c>
      <c r="C20" s="10">
        <v>0.2244897959</v>
      </c>
    </row>
    <row r="21">
      <c r="A21" s="10" t="s">
        <v>22491</v>
      </c>
      <c r="B21" s="7" t="str">
        <f>IFERROR(__xludf.DUMMYFUNCTION("SPLIT(A21,"" "")"),"Cc1cccc2c1OCCOCCOCCOCCOCCO2")</f>
        <v>Cc1cccc2c1OCCOCCOCCOCCOCCO2</v>
      </c>
      <c r="C21" s="10">
        <v>0.2321428571</v>
      </c>
    </row>
    <row r="22">
      <c r="A22" s="10" t="s">
        <v>22492</v>
      </c>
      <c r="B22" s="7" t="str">
        <f>IFERROR(__xludf.DUMMYFUNCTION("SPLIT(A22,"" "")"),"CN1C=CCC=C1")</f>
        <v>CN1C=CCC=C1</v>
      </c>
      <c r="C22" s="10">
        <v>0.2352941176</v>
      </c>
    </row>
    <row r="23">
      <c r="A23" s="10" t="s">
        <v>22493</v>
      </c>
      <c r="B23" s="7" t="str">
        <f>IFERROR(__xludf.DUMMYFUNCTION("SPLIT(A23,"" "")"),"Cc1ccc(CN)cn1")</f>
        <v>Cc1ccc(CN)cn1</v>
      </c>
      <c r="C23" s="10">
        <v>0.2432432432</v>
      </c>
    </row>
    <row r="24">
      <c r="A24" s="10" t="s">
        <v>22494</v>
      </c>
      <c r="B24" s="7" t="str">
        <f>IFERROR(__xludf.DUMMYFUNCTION("SPLIT(A24,"" "")"),"CC1C=CC=CN1")</f>
        <v>CC1C=CC=CN1</v>
      </c>
      <c r="C24" s="10">
        <v>0.243902439</v>
      </c>
    </row>
    <row r="25">
      <c r="A25" s="10" t="s">
        <v>22495</v>
      </c>
      <c r="B25" s="7" t="str">
        <f>IFERROR(__xludf.DUMMYFUNCTION("SPLIT(A25,"" "")"),"CN(Cc1nc([SiH3])c([SiH3])c([SiH3])c1[SiH3])C1CCCC(N(Cc2nc([SiH3])c([SiH3])c([SiH3])c2[SiH3])Cc2nc([SiH3])c([SiH3])c([SiH3])c2[SiH3])C1")</f>
        <v>CN(Cc1nc([SiH3])c([SiH3])c([SiH3])c1[SiH3])C1CCCC(N(Cc2nc([SiH3])c([SiH3])c([SiH3])c2[SiH3])Cc2nc([SiH3])c([SiH3])c([SiH3])c2[SiH3])C1</v>
      </c>
      <c r="C25" s="10">
        <v>0.2452830189</v>
      </c>
    </row>
    <row r="26">
      <c r="A26" s="10" t="s">
        <v>22496</v>
      </c>
      <c r="B26" s="7" t="str">
        <f>IFERROR(__xludf.DUMMYFUNCTION("SPLIT(A26,"" "")"),"CN1CCN(C)CCN(Cc2cncc(C3=CC=CC4OCCOCCOCCOCCOC=COC34)c2)CC1")</f>
        <v>CN1CCN(C)CCN(Cc2cncc(C3=CC=CC4OCCOCCOCCOCCOC=COC34)c2)CC1</v>
      </c>
      <c r="C26" s="10">
        <v>0.25</v>
      </c>
    </row>
    <row r="27">
      <c r="A27" s="10" t="s">
        <v>22497</v>
      </c>
      <c r="B27" s="7" t="str">
        <f>IFERROR(__xludf.DUMMYFUNCTION("SPLIT(A27,"" "")"),"CNC1CCCC(N(Cc2nc(C)c(C)c(C)c2C)Cc2nc(C)c(C)c(C)c2C)C1N(Cc1nc(C)c(C)c(C)c1C)Cc1nc(C)c(C)c(C)c1C")</f>
        <v>CNC1CCCC(N(Cc2nc(C)c(C)c(C)c2C)Cc2nc(C)c(C)c(C)c2C)C1N(Cc1nc(C)c(C)c(C)c1C)Cc1nc(C)c(C)c(C)c1C</v>
      </c>
      <c r="C27" s="10">
        <v>0.2545454545</v>
      </c>
    </row>
    <row r="28">
      <c r="A28" s="10" t="s">
        <v>22498</v>
      </c>
      <c r="B28" s="7" t="str">
        <f>IFERROR(__xludf.DUMMYFUNCTION("SPLIT(A28,"" "")"),"COC(=O)C1CCC(C(C)C)N(C)C1=O")</f>
        <v>COC(=O)C1CCC(C(C)C)N(C)C1=O</v>
      </c>
      <c r="C28" s="10">
        <v>0.2586206897</v>
      </c>
    </row>
    <row r="29">
      <c r="A29" s="10" t="s">
        <v>22498</v>
      </c>
      <c r="B29" s="7" t="str">
        <f>IFERROR(__xludf.DUMMYFUNCTION("SPLIT(A29,"" "")"),"COC(=O)C1CCC(C(C)C)N(C)C1=O")</f>
        <v>COC(=O)C1CCC(C(C)C)N(C)C1=O</v>
      </c>
      <c r="C29" s="10">
        <v>0.2586206897</v>
      </c>
    </row>
    <row r="30">
      <c r="A30" s="10" t="s">
        <v>22499</v>
      </c>
      <c r="B30" s="7" t="str">
        <f>IFERROR(__xludf.DUMMYFUNCTION("SPLIT(A30,"" "")"),"CNC1CCCCC1N(Cc1nc([SiH3])c([SiH3])c([SiH3])c1[SiH3])Cc1nc([SiH3])c([SiH3])c([SiH3])c1[SiH3]")</f>
        <v>CNC1CCCCC1N(Cc1nc([SiH3])c([SiH3])c([SiH3])c1[SiH3])Cc1nc([SiH3])c([SiH3])c([SiH3])c1[SiH3]</v>
      </c>
      <c r="C30" s="10">
        <v>0.2641509434</v>
      </c>
    </row>
    <row r="31">
      <c r="A31" s="10" t="s">
        <v>22500</v>
      </c>
      <c r="B31" s="7" t="str">
        <f>IFERROR(__xludf.DUMMYFUNCTION("SPLIT(A31,"" "")"),"CN(Cc1nccc2ccccc12)C1CCC(N(C)c2ccc3ncc4c(c3c2)CCC4)CC1")</f>
        <v>CN(Cc1nccc2ccccc12)C1CCC(N(C)c2ccc3ncc4c(c3c2)CCC4)CC1</v>
      </c>
      <c r="C31" s="10">
        <v>0.2666666667</v>
      </c>
    </row>
    <row r="32">
      <c r="A32" s="10" t="s">
        <v>22501</v>
      </c>
      <c r="B32" s="7" t="str">
        <f>IFERROR(__xludf.DUMMYFUNCTION("SPLIT(A32,"" "")"),"CNc1cccc2ncccc12")</f>
        <v>CNc1cccc2ncccc12</v>
      </c>
      <c r="C32" s="10">
        <v>0.2682926829</v>
      </c>
    </row>
    <row r="33">
      <c r="A33" s="10" t="s">
        <v>22502</v>
      </c>
      <c r="B33" s="7" t="str">
        <f>IFERROR(__xludf.DUMMYFUNCTION("SPLIT(A33,"" "")"),"Cc1ccnc2cc(N(C)CCN(C)c3ccc4nccc(C)c4c3)ccc12")</f>
        <v>Cc1ccnc2cc(N(C)CCN(C)c3ccc4nccc(C)c4c3)ccc12</v>
      </c>
      <c r="C33" s="10">
        <v>0.2708333333</v>
      </c>
    </row>
    <row r="34">
      <c r="A34" s="10" t="s">
        <v>22503</v>
      </c>
      <c r="B34" s="7" t="str">
        <f>IFERROR(__xludf.DUMMYFUNCTION("SPLIT(A34,"" "")"),"CN1CC=NCC2C=CC=C(CCN(C)CCC1)N2C")</f>
        <v>CN1CC=NCC2C=CC=C(CCN(C)CCC1)N2C</v>
      </c>
      <c r="C34" s="10">
        <v>0.2708333333</v>
      </c>
    </row>
    <row r="35">
      <c r="A35" s="10" t="s">
        <v>22504</v>
      </c>
      <c r="B35" s="7" t="str">
        <f>IFERROR(__xludf.DUMMYFUNCTION("SPLIT(A35,"" "")"),"Cc1ccc(C)c(C)n1")</f>
        <v>Cc1ccc(C)c(C)n1</v>
      </c>
      <c r="C35" s="10">
        <v>0.28125</v>
      </c>
    </row>
    <row r="36">
      <c r="A36" s="10" t="s">
        <v>22505</v>
      </c>
      <c r="B36" s="7" t="str">
        <f>IFERROR(__xludf.DUMMYFUNCTION("SPLIT(A36,"" "")"),"CN1CC=NCC2=CC=CC(CCN(C)CCC1)N2C")</f>
        <v>CN1CC=NCC2=CC=CC(CCN(C)CCC1)N2C</v>
      </c>
      <c r="C36" s="10">
        <v>0.2826086957</v>
      </c>
    </row>
    <row r="37">
      <c r="A37" s="10" t="s">
        <v>22506</v>
      </c>
      <c r="B37" s="7" t="str">
        <f>IFERROR(__xludf.DUMMYFUNCTION("SPLIT(A37,"" "")"),"Cc1nc(CN2CCN(C)CCN(C)C3(CNCCNCCCNCCNC3)C2)c(C)c(C)c1C")</f>
        <v>Cc1nc(CN2CCN(C)CCN(C)C3(CNCCNCCCNCCNC3)C2)c(C)c(C)c1C</v>
      </c>
      <c r="C37" s="10">
        <v>0.2903225806</v>
      </c>
    </row>
    <row r="38">
      <c r="A38" s="10" t="s">
        <v>22507</v>
      </c>
      <c r="B38" s="7" t="str">
        <f>IFERROR(__xludf.DUMMYFUNCTION("SPLIT(A38,"" "")"),"Cc1cc(C)nc(CN(C2CCCC(N(C)Cc3nc(C)c(C)c(C)c3C)C2N(Cc2nc(C)c(C)c(C)c2C)C2(c3nc(C)c(C)c(C)c3C)C(C)N(C)C2C)C2(c3nc(C)c(C)c(C)c3C)C(C)N(C)C2C)c1")</f>
        <v>Cc1cc(C)nc(CN(C2CCCC(N(C)Cc3nc(C)c(C)c(C)c3C)C2N(Cc2nc(C)c(C)c(C)c2C)C2(c3nc(C)c(C)c(C)c3C)C(C)N(C)C2C)C2(c3nc(C)c(C)c(C)c3C)C(C)N(C)C2C)c1</v>
      </c>
      <c r="C38" s="10">
        <v>0.2916666667</v>
      </c>
    </row>
    <row r="39">
      <c r="A39" s="10" t="s">
        <v>22508</v>
      </c>
      <c r="B39" s="7" t="str">
        <f>IFERROR(__xludf.DUMMYFUNCTION("SPLIT(A39,"" "")"),"Cc1cccnc1CN(C)C1CCC(N(Cc2nc([SiH3])c([SiH3])cc2[SiH3])Cc2nc([SiH3])c([SiH3])cc2[SiH3])CC1")</f>
        <v>Cc1cccnc1CN(C)C1CCC(N(Cc2nc([SiH3])c([SiH3])cc2[SiH3])Cc2nc([SiH3])c([SiH3])cc2[SiH3])CC1</v>
      </c>
      <c r="C39" s="10">
        <v>0.2931034483</v>
      </c>
    </row>
    <row r="40">
      <c r="A40" s="10" t="s">
        <v>22509</v>
      </c>
      <c r="B40" s="7" t="str">
        <f>IFERROR(__xludf.DUMMYFUNCTION("SPLIT(A40,"" "")"),"CNC1CCCCC1N(Cc1nc(C)c(C)c(C)c1C)Cc1nc(C)c(C)c(C)c1C")</f>
        <v>CNC1CCCCC1N(Cc1nc(C)c(C)c(C)c1C)Cc1nc(C)c(C)c(C)c1C</v>
      </c>
      <c r="C40" s="10">
        <v>0.2941176471</v>
      </c>
    </row>
    <row r="41">
      <c r="A41" s="10" t="s">
        <v>22510</v>
      </c>
      <c r="B41" s="7" t="str">
        <f>IFERROR(__xludf.DUMMYFUNCTION("SPLIT(A41,"" "")"),"Cc1ccnc2ccc(CN(C)C)cc12")</f>
        <v>Cc1ccnc2ccc(CN(C)C)cc12</v>
      </c>
      <c r="C41" s="10">
        <v>0.2954545455</v>
      </c>
    </row>
    <row r="42">
      <c r="A42" s="10" t="s">
        <v>22511</v>
      </c>
      <c r="B42" s="7" t="str">
        <f>IFERROR(__xludf.DUMMYFUNCTION("SPLIT(A42,"" "")"),"Cc1ccnc2ccc(N(C)C3CCC(N(C)c4cccc5ncc6c(c45)CCC6)CC3)cc12")</f>
        <v>Cc1ccnc2ccc(N(C)C3CCC(N(C)c4cccc5ncc6c(c45)CCC6)CC3)cc12</v>
      </c>
      <c r="C42" s="10">
        <v>0.2957746479</v>
      </c>
    </row>
    <row r="43">
      <c r="A43" s="10" t="s">
        <v>22512</v>
      </c>
      <c r="B43" s="7" t="str">
        <f>IFERROR(__xludf.DUMMYFUNCTION("SPLIT(A43,"" "")"),"CNCc1ncccc1C")</f>
        <v>CNCc1ncccc1C</v>
      </c>
      <c r="C43" s="10">
        <v>0.3142857143</v>
      </c>
    </row>
    <row r="44">
      <c r="A44" s="10" t="s">
        <v>22513</v>
      </c>
      <c r="B44" s="7" t="str">
        <f>IFERROR(__xludf.DUMMYFUNCTION("SPLIT(A44,"" "")"),"CNC1CC(N(Cc2cc3ncccc3cn2)Cc2nc(C)c(C)c(C)c2C)C(N(Cc2ccccn2)Cc2nc(C)c(C)c(C)c2C)C(N(Cc2ccccn2)Cc2nc(C)c(C)c(C)c2C)C1N(C)Cc1nc(C)c(C)c(C)c1C")</f>
        <v>CNC1CC(N(Cc2cc3ncccc3cn2)Cc2nc(C)c(C)c(C)c2C)C(N(Cc2ccccn2)Cc2nc(C)c(C)c(C)c2C)C(N(Cc2ccccn2)Cc2nc(C)c(C)c(C)c2C)C1N(C)Cc1nc(C)c(C)c(C)c1C</v>
      </c>
      <c r="C44" s="10">
        <v>0.3150684932</v>
      </c>
    </row>
    <row r="45">
      <c r="A45" s="10" t="s">
        <v>22514</v>
      </c>
      <c r="B45" s="7" t="str">
        <f>IFERROR(__xludf.DUMMYFUNCTION("SPLIT(A45,"" "")"),"CN1CCC(=O)C1")</f>
        <v>CN1CCC(=O)C1</v>
      </c>
      <c r="C45" s="10">
        <v>0.3157894737</v>
      </c>
    </row>
    <row r="46">
      <c r="A46" s="10" t="s">
        <v>22515</v>
      </c>
      <c r="B46" s="7" t="str">
        <f>IFERROR(__xludf.DUMMYFUNCTION("SPLIT(A46,"" "")"),"Cc1nc(CN(Cc2nc(C)c(C)c(C)c2C)C2CC(N(Cc3nc(C)c(C)c(C)c3C)Cc3nc(C)c(C)c(C)c3C)C(NCc3ccccn3)C(N(Cc3nc(C)c(C)c(C)c3C)Cc3nc(C)c(C)c(C)c3C)C2N)c(C)c(C)c1C")</f>
        <v>Cc1nc(CN(Cc2nc(C)c(C)c(C)c2C)C2CC(N(Cc3nc(C)c(C)c(C)c3C)Cc3nc(C)c(C)c(C)c3C)C(NCc3ccccn3)C(N(Cc3nc(C)c(C)c(C)c3C)Cc3nc(C)c(C)c(C)c3C)C2N)c(C)c(C)c1C</v>
      </c>
      <c r="C46" s="10">
        <v>0.3174603175</v>
      </c>
    </row>
    <row r="47">
      <c r="A47" s="10" t="s">
        <v>22516</v>
      </c>
      <c r="B47" s="7" t="str">
        <f>IFERROR(__xludf.DUMMYFUNCTION("SPLIT(A47,"" "")"),"CN(c1ccc2ncc3c(c2c1)CCC3)C1CCC(N(C)c2cccc3ncc4c(c23)CCC4)CC1")</f>
        <v>CN(c1ccc2ncc3c(c2c1)CCC3)C1CCC(N(C)c2cccc3ncc4c(c23)CCC4)CC1</v>
      </c>
      <c r="C47" s="10">
        <v>0.3181818182</v>
      </c>
    </row>
    <row r="48">
      <c r="A48" s="10" t="s">
        <v>22517</v>
      </c>
      <c r="B48" s="7" t="str">
        <f>IFERROR(__xludf.DUMMYFUNCTION("SPLIT(A48,"" "")"),"CN(c1ccc2c3c(cnc2c1)CCC3)C1CCC(N(C)c2cccc3ncc4c(c23)CCC4)CC1")</f>
        <v>CN(c1ccc2c3c(cnc2c1)CCC3)C1CCC(N(C)c2cccc3ncc4c(c23)CCC4)CC1</v>
      </c>
      <c r="C48" s="10">
        <v>0.3181818182</v>
      </c>
    </row>
    <row r="49">
      <c r="A49" s="10" t="s">
        <v>22518</v>
      </c>
      <c r="B49" s="7" t="str">
        <f>IFERROR(__xludf.DUMMYFUNCTION("SPLIT(A49,"" "")"),"CN(c1ccc2c3c(cnc2c1)CCCC3)C1CCC(N(C)c2cccc3ncc4c(c23)CCCC4)CC1")</f>
        <v>CN(c1ccc2c3c(cnc2c1)CCCC3)C1CCC(N(C)c2cccc3ncc4c(c23)CCCC4)CC1</v>
      </c>
      <c r="C49" s="10">
        <v>0.3181818182</v>
      </c>
    </row>
    <row r="50">
      <c r="A50" s="10" t="s">
        <v>22519</v>
      </c>
      <c r="B50" s="7" t="str">
        <f>IFERROR(__xludf.DUMMYFUNCTION("SPLIT(A50,"" "")"),"CNCc1ccc(F)cn1")</f>
        <v>CNCc1ccc(F)cn1</v>
      </c>
      <c r="C50" s="10">
        <v>0.3243243243</v>
      </c>
    </row>
    <row r="51">
      <c r="A51" s="10" t="s">
        <v>22520</v>
      </c>
      <c r="B51" s="7" t="str">
        <f>IFERROR(__xludf.DUMMYFUNCTION("SPLIT(A51,"" "")"),"Cc1ccnc2ccc(N(C)C3CCCC(N(C)c4ccc5cccnc5c4)C3)cc12")</f>
        <v>Cc1ccnc2ccc(N(C)C3CCCC(N(C)c4ccc5cccnc5c4)C3)cc12</v>
      </c>
      <c r="C51" s="10">
        <v>0.3275862069</v>
      </c>
    </row>
    <row r="52">
      <c r="A52" s="10" t="s">
        <v>22521</v>
      </c>
      <c r="B52" s="7" t="str">
        <f>IFERROR(__xludf.DUMMYFUNCTION("SPLIT(A52,"" "")"),"Cc1nc(CN(C)C2CCCCC2N(C2(c3nc(C)c(C)c(C)c3C)C(C)N(C)C2C)C2(c3nc(C)c(C)c(C)c3C)C(C)N(C)C2C)c(C)c(C)c1C")</f>
        <v>Cc1nc(CN(C)C2CCCCC2N(C2(c3nc(C)c(C)c(C)c3C)C(C)N(C)C2C)C2(c3nc(C)c(C)c(C)c3C)C(C)N(C)C2C)c(C)c(C)c1C</v>
      </c>
      <c r="C52" s="10">
        <v>0.3275862069</v>
      </c>
    </row>
    <row r="53">
      <c r="A53" s="10" t="s">
        <v>22522</v>
      </c>
      <c r="B53" s="7" t="str">
        <f>IFERROR(__xludf.DUMMYFUNCTION("SPLIT(A53,"" "")"),"CN(CCN(C)c1cccc2c(-c3ccccc3)ccnc12)c1ccc2ncc3c(c2c1)CCC3")</f>
        <v>CN(CCN(C)c1cccc2c(-c3ccccc3)ccnc12)c1ccc2ncc3c(c2c1)CCC3</v>
      </c>
      <c r="C53" s="10">
        <v>0.3333333333</v>
      </c>
    </row>
    <row r="54">
      <c r="A54" s="10" t="s">
        <v>22523</v>
      </c>
      <c r="B54" s="7" t="str">
        <f>IFERROR(__xludf.DUMMYFUNCTION("SPLIT(A54,"" "")"),"Cc1cccnc1C")</f>
        <v>Cc1cccnc1C</v>
      </c>
      <c r="C54" s="10">
        <v>0.3333333333</v>
      </c>
    </row>
    <row r="55">
      <c r="A55" s="10" t="s">
        <v>22524</v>
      </c>
      <c r="B55" s="7" t="str">
        <f>IFERROR(__xludf.DUMMYFUNCTION("SPLIT(A55,"" "")"),"CN(C)C1=CCC=CN1")</f>
        <v>CN(C)C1=CCC=CN1</v>
      </c>
      <c r="C55" s="10">
        <v>0.3333333333</v>
      </c>
    </row>
    <row r="56">
      <c r="A56" s="10" t="s">
        <v>22525</v>
      </c>
      <c r="B56" s="7" t="str">
        <f>IFERROR(__xludf.DUMMYFUNCTION("SPLIT(A56,"" "")"),"Cc1ccccc1N(C)C")</f>
        <v>Cc1ccccc1N(C)C</v>
      </c>
      <c r="C56" s="10">
        <v>0.3333333333</v>
      </c>
    </row>
    <row r="57">
      <c r="A57" s="10" t="s">
        <v>22526</v>
      </c>
      <c r="B57" s="7" t="str">
        <f>IFERROR(__xludf.DUMMYFUNCTION("SPLIT(A57,"" "")"),"CN(c1ccc2ncc(CF)cc2c1)C1CCC(N(C)c2ccc3ccc(CF)nc3c2)CC1")</f>
        <v>CN(c1ccc2ncc(CF)cc2c1)C1CCC(N(C)c2ccc3ccc(CF)nc3c2)CC1</v>
      </c>
      <c r="C57" s="10">
        <v>0.3442622951</v>
      </c>
    </row>
    <row r="58">
      <c r="A58" s="10" t="s">
        <v>22527</v>
      </c>
      <c r="B58" s="7" t="str">
        <f>IFERROR(__xludf.DUMMYFUNCTION("SPLIT(A58,"" "")"),"CN(c1ccc2ncc3c(c2c1)CCC3)C1CCCC(N(C)c2cccc3c4c(cnc23)CCC4)C1")</f>
        <v>CN(c1ccc2ncc3c(c2c1)CCC3)C1CCCC(N(C)c2cccc3c4c(cnc23)CCC4)C1</v>
      </c>
      <c r="C58" s="10">
        <v>0.3484848485</v>
      </c>
    </row>
    <row r="59">
      <c r="A59" s="10" t="s">
        <v>22528</v>
      </c>
      <c r="B59" s="7" t="str">
        <f>IFERROR(__xludf.DUMMYFUNCTION("SPLIT(A59,"" "")"),"Cc1cnc2ccc(N(C)CCN(C)c3cccc4nccc(C)c34)cc2c1")</f>
        <v>Cc1cnc2ccc(N(C)CCN(C)c3cccc4nccc(C)c34)cc2c1</v>
      </c>
      <c r="C59" s="10">
        <v>0.3518518519</v>
      </c>
    </row>
    <row r="60">
      <c r="A60" s="10" t="s">
        <v>22529</v>
      </c>
      <c r="B60" s="7" t="str">
        <f>IFERROR(__xludf.DUMMYFUNCTION("SPLIT(A60,"" "")"),"CN(c1ccc(F)cc1)C1CCC(N(C)c2ccc3ncccc3c2)CC1")</f>
        <v>CN(c1ccc(F)cc1)C1CCC(N(C)c2ccc3ncccc3c2)CC1</v>
      </c>
      <c r="C60" s="10">
        <v>0.3529411765</v>
      </c>
    </row>
    <row r="61">
      <c r="A61" s="10" t="s">
        <v>22530</v>
      </c>
      <c r="B61" s="7" t="str">
        <f>IFERROR(__xludf.DUMMYFUNCTION("SPLIT(A61,"" "")"),"CC1(C)CN=C(c2cccc(C3OC=NC3(C)C)n2)O1")</f>
        <v>CC1(C)CN=C(c2cccc(C3OC=NC3(C)C)n2)O1</v>
      </c>
      <c r="C61" s="10">
        <v>0.3541666667</v>
      </c>
    </row>
    <row r="62">
      <c r="A62" s="10" t="s">
        <v>22531</v>
      </c>
      <c r="B62" s="7" t="str">
        <f>IFERROR(__xludf.DUMMYFUNCTION("SPLIT(A62,"" "")"),"Cc1ccnc2ccc(N(C)C3CCC(N(C)c4cccc5c(C)ccnc45)CC3)cc12")</f>
        <v>Cc1ccnc2ccc(N(C)C3CCC(N(C)c4cccc5c(C)ccnc45)CC3)cc12</v>
      </c>
      <c r="C62" s="10">
        <v>0.3571428571</v>
      </c>
    </row>
    <row r="63">
      <c r="A63" s="10" t="s">
        <v>22532</v>
      </c>
      <c r="B63" s="7" t="str">
        <f>IFERROR(__xludf.DUMMYFUNCTION("SPLIT(A63,"" "")"),"CN1CCCC12CNCCNCCCNCCNC2")</f>
        <v>CN1CCCC12CNCCNCCCNCCNC2</v>
      </c>
      <c r="C63" s="10">
        <v>0.36</v>
      </c>
    </row>
    <row r="64">
      <c r="A64" s="10" t="s">
        <v>22533</v>
      </c>
      <c r="B64" s="7" t="str">
        <f>IFERROR(__xludf.DUMMYFUNCTION("SPLIT(A64,"" "")"),"CN(C)c1ccc2ncccc2c1")</f>
        <v>CN(C)c1ccc2ncccc2c1</v>
      </c>
      <c r="C64" s="10">
        <v>0.3684210526</v>
      </c>
    </row>
    <row r="65">
      <c r="A65" s="10" t="s">
        <v>22534</v>
      </c>
      <c r="B65" s="7" t="str">
        <f>IFERROR(__xludf.DUMMYFUNCTION("SPLIT(A65,"" "")"),"Cc1nc(CN(C)C2CCCCC2N(Cc2nc(C)c(C)c(C)c2C)CC(C)(C)C)c(C)c(C)c1C")</f>
        <v>Cc1nc(CN(C)C2CCCCC2N(Cc2nc(C)c(C)c(C)c2C)CC(C)(C)C)c(C)c(C)c1C</v>
      </c>
      <c r="C65" s="10">
        <v>0.3725490196</v>
      </c>
    </row>
    <row r="66">
      <c r="A66" s="10" t="s">
        <v>22535</v>
      </c>
      <c r="B66" s="7" t="str">
        <f>IFERROR(__xludf.DUMMYFUNCTION("SPLIT(A66,"" "")"),"Cc1cccnc1CN(C)C")</f>
        <v>Cc1cccnc1CN(C)C</v>
      </c>
      <c r="C66" s="10">
        <v>0.3783783784</v>
      </c>
    </row>
    <row r="67">
      <c r="A67" s="10" t="s">
        <v>22536</v>
      </c>
      <c r="B67" s="7" t="str">
        <f>IFERROR(__xludf.DUMMYFUNCTION("SPLIT(A67,"" "")"),"Cc1ccnc(C)c1")</f>
        <v>Cc1ccnc(C)c1</v>
      </c>
      <c r="C67" s="10">
        <v>0.3823529412</v>
      </c>
    </row>
    <row r="68">
      <c r="A68" s="10" t="s">
        <v>22537</v>
      </c>
      <c r="B68" s="7" t="str">
        <f>IFERROR(__xludf.DUMMYFUNCTION("SPLIT(A68,"" "")"),"Cc1ccnc(CN(C)CCN(C)Cc2nccc3ccccc23)c1C")</f>
        <v>Cc1ccnc(CN(C)CCN(C)Cc2nccc3ccccc23)c1C</v>
      </c>
      <c r="C68" s="10">
        <v>0.3829787234</v>
      </c>
    </row>
    <row r="69">
      <c r="A69" s="10" t="s">
        <v>22538</v>
      </c>
      <c r="B69" s="7" t="str">
        <f>IFERROR(__xludf.DUMMYFUNCTION("SPLIT(A69,"" "")"),"C#Cc1ccc(CN2CCC(C3CCCN3Cc3ncccc3C)C2)nc1")</f>
        <v>C#Cc1ccc(CN2CCC(C3CCCN3Cc3ncccc3C)C2)nc1</v>
      </c>
      <c r="C69" s="10">
        <v>0.3833333333</v>
      </c>
    </row>
    <row r="70">
      <c r="A70" s="10" t="s">
        <v>22539</v>
      </c>
      <c r="B70" s="7" t="str">
        <f>IFERROR(__xludf.DUMMYFUNCTION("SPLIT(A70,"" "")"),"Fc1ccccn1")</f>
        <v>Fc1ccccn1</v>
      </c>
      <c r="C70" s="10">
        <v>0.3846153846</v>
      </c>
    </row>
    <row r="71">
      <c r="A71" s="10" t="s">
        <v>22540</v>
      </c>
      <c r="B71" s="7" t="str">
        <f>IFERROR(__xludf.DUMMYFUNCTION("SPLIT(A71,"" "")"),"Cc1ccccn1")</f>
        <v>Cc1ccccn1</v>
      </c>
      <c r="C71" s="10">
        <v>0.3846153846</v>
      </c>
    </row>
    <row r="72">
      <c r="A72" s="10" t="s">
        <v>22540</v>
      </c>
      <c r="B72" s="7" t="str">
        <f>IFERROR(__xludf.DUMMYFUNCTION("SPLIT(A72,"" "")"),"Cc1ccccn1")</f>
        <v>Cc1ccccn1</v>
      </c>
      <c r="C72" s="10">
        <v>0.3846153846</v>
      </c>
    </row>
    <row r="73">
      <c r="A73" s="10" t="s">
        <v>22541</v>
      </c>
      <c r="B73" s="7" t="str">
        <f>IFERROR(__xludf.DUMMYFUNCTION("SPLIT(A73,"" "")"),"CC(C)[Si](c1cncc(CN(Cc2ncccc2[Si](C(C)C)(C(C)C)C(C)C)Cc2ncccc2[Si](C(C)C)(C(C)C)C(C)C)c1)(C(C)C)C(C)C")</f>
        <v>CC(C)[Si](c1cncc(CN(Cc2ncccc2[Si](C(C)C)(C(C)C)C(C)C)Cc2ncccc2[Si](C(C)C)(C(C)C)C(C)C)c1)(C(C)C)C(C)C</v>
      </c>
      <c r="C73" s="10">
        <v>0.387755102</v>
      </c>
    </row>
    <row r="74">
      <c r="A74" s="10" t="s">
        <v>22542</v>
      </c>
      <c r="B74" s="7" t="str">
        <f>IFERROR(__xludf.DUMMYFUNCTION("SPLIT(A74,"" "")"),"c1ccc(-c2ccncc2)nc1")</f>
        <v>c1ccc(-c2ccncc2)nc1</v>
      </c>
      <c r="C74" s="10">
        <v>0.3939393939</v>
      </c>
    </row>
    <row r="75">
      <c r="A75" s="10" t="s">
        <v>22543</v>
      </c>
      <c r="B75" s="7" t="str">
        <f>IFERROR(__xludf.DUMMYFUNCTION("SPLIT(A75,"" "")"),"CC1(C)COC(c2cccnc2C2OC=NC2(C)C)=N1")</f>
        <v>CC1(C)COC(c2cccnc2C2OC=NC2(C)C)=N1</v>
      </c>
      <c r="C75" s="10">
        <v>0.3958333333</v>
      </c>
    </row>
    <row r="76">
      <c r="A76" s="10" t="s">
        <v>22544</v>
      </c>
      <c r="B76" s="7" t="str">
        <f>IFERROR(__xludf.DUMMYFUNCTION("SPLIT(A76,"" "")"),"CC1(C)COC(c2ccnc(C3OC=NC3(C)C)c2)=N1")</f>
        <v>CC1(C)COC(c2ccnc(C3OC=NC3(C)C)c2)=N1</v>
      </c>
      <c r="C76" s="10">
        <v>0.3958333333</v>
      </c>
    </row>
    <row r="77">
      <c r="A77" s="10" t="s">
        <v>22545</v>
      </c>
      <c r="B77" s="7" t="str">
        <f>IFERROR(__xludf.DUMMYFUNCTION("SPLIT(A77,"" "")"),"CNCc1cccc(-c2ccc(C(C)c3ccccn3)cn2)n1")</f>
        <v>CNCc1cccc(-c2ccc(C(C)c3ccccn3)cn2)n1</v>
      </c>
      <c r="C77" s="10">
        <v>0.3962264151</v>
      </c>
    </row>
    <row r="78">
      <c r="A78" s="10" t="s">
        <v>22546</v>
      </c>
      <c r="B78" s="7" t="str">
        <f>IFERROR(__xludf.DUMMYFUNCTION("SPLIT(A78,"" "")"),"Cc1ccnc2cccc(N(C)C3CCCCC3N(C)c3ccc4c(CF)ccnc4c3)c12")</f>
        <v>Cc1ccnc2cccc(N(C)C3CCCCC3N(C)c3ccc4c(CF)ccnc4c3)c12</v>
      </c>
      <c r="C78" s="10">
        <v>0.3968253968</v>
      </c>
    </row>
    <row r="79">
      <c r="A79" s="10" t="s">
        <v>22547</v>
      </c>
      <c r="B79" s="7" t="str">
        <f>IFERROR(__xludf.DUMMYFUNCTION("SPLIT(A79,"" "")"),"Cc1cccnc1")</f>
        <v>Cc1cccnc1</v>
      </c>
      <c r="C79" s="10">
        <v>0.4</v>
      </c>
    </row>
    <row r="80">
      <c r="A80" s="10" t="s">
        <v>22547</v>
      </c>
      <c r="B80" s="7" t="str">
        <f>IFERROR(__xludf.DUMMYFUNCTION("SPLIT(A80,"" "")"),"Cc1cccnc1")</f>
        <v>Cc1cccnc1</v>
      </c>
      <c r="C80" s="10">
        <v>0.4</v>
      </c>
    </row>
    <row r="81">
      <c r="A81" s="10" t="s">
        <v>22548</v>
      </c>
      <c r="B81" s="7" t="str">
        <f>IFERROR(__xludf.DUMMYFUNCTION("SPLIT(A81,"" "")"),"Cc1ccnc(CN(C)Cc2cccnc2C)c1")</f>
        <v>Cc1ccnc(CN(C)Cc2cccnc2C)c1</v>
      </c>
      <c r="C81" s="10">
        <v>0.4</v>
      </c>
    </row>
    <row r="82">
      <c r="A82" s="10" t="s">
        <v>22549</v>
      </c>
      <c r="B82" s="7" t="str">
        <f>IFERROR(__xludf.DUMMYFUNCTION("SPLIT(A82,"" "")"),"COC(=O)C1C2C(=O)C(C(=O)OC)N(C)C1C(c1ccccn1)N(C)C2c1ccccn1")</f>
        <v>COC(=O)C1C2C(=O)C(C(=O)OC)N(C)C1C(c1ccccn1)N(C)C2c1ccccn1</v>
      </c>
      <c r="C82" s="10">
        <v>0.4032258065</v>
      </c>
    </row>
    <row r="83">
      <c r="A83" s="10" t="s">
        <v>22550</v>
      </c>
      <c r="B83" s="7" t="str">
        <f>IFERROR(__xludf.DUMMYFUNCTION("SPLIT(A83,"" "")"),"Cc1ccc2ccc(N(C)CCN(C)c3cccc4ccc(-c5ccccc5)nc34)cc2n1")</f>
        <v>Cc1ccc2ccc(N(C)CCN(C)c3cccc4ccc(-c5ccccc5)nc34)cc2n1</v>
      </c>
      <c r="C83" s="10">
        <v>0.4038461538</v>
      </c>
    </row>
    <row r="84">
      <c r="A84" s="10" t="s">
        <v>22551</v>
      </c>
      <c r="B84" s="7" t="str">
        <f>IFERROR(__xludf.DUMMYFUNCTION("SPLIT(A84,"" "")"),"Cc1nc(CN(C)C2CCCCC2N(C)Cc2nc(C)c([SiH3])c([SiH3])c2C)c(C)c(C)c1[SiH3]")</f>
        <v>Cc1nc(CN(C)C2CCCCC2N(C)Cc2nc(C)c([SiH3])c([SiH3])c2C)c(C)c(C)c1[SiH3]</v>
      </c>
      <c r="C84" s="10">
        <v>0.4042553191</v>
      </c>
    </row>
    <row r="85">
      <c r="A85" s="10" t="s">
        <v>22552</v>
      </c>
      <c r="B85" s="7" t="str">
        <f>IFERROR(__xludf.DUMMYFUNCTION("SPLIT(A85,"" "")"),"C=Cc1ccc(NCc2ccccn2)c(C)c1")</f>
        <v>C=Cc1ccc(NCc2ccccn2)c(C)c1</v>
      </c>
      <c r="C85" s="10">
        <v>0.4047619048</v>
      </c>
    </row>
    <row r="86">
      <c r="A86" s="10" t="s">
        <v>22553</v>
      </c>
      <c r="B86" s="7" t="str">
        <f>IFERROR(__xludf.DUMMYFUNCTION("SPLIT(A86,"" "")"),"CN(C)c1cccc2ncccc12")</f>
        <v>CN(C)c1cccc2ncccc12</v>
      </c>
      <c r="C86" s="10">
        <v>0.4054054054</v>
      </c>
    </row>
    <row r="87">
      <c r="A87" s="10" t="s">
        <v>22554</v>
      </c>
      <c r="B87" s="7" t="str">
        <f>IFERROR(__xludf.DUMMYFUNCTION("SPLIT(A87,"" "")"),"CN(C)Cc1ncccc1N(C)C")</f>
        <v>CN(C)Cc1ncccc1N(C)C</v>
      </c>
      <c r="C87" s="10">
        <v>0.4054054054</v>
      </c>
    </row>
    <row r="88">
      <c r="A88" s="10" t="s">
        <v>22555</v>
      </c>
      <c r="B88" s="7" t="str">
        <f>IFERROR(__xludf.DUMMYFUNCTION("SPLIT(A88,"" "")"),"Cc1nc(CN(Cc2ccc(F)cn2)C2CC(N(C)Cc3ccc(F)cn3)CCC2N(C)Cc2ccc(F)cn2)c(C)c(C)c1C")</f>
        <v>Cc1nc(CN(Cc2ccc(F)cn2)C2CC(N(C)Cc3ccc(F)cn3)CCC2N(C)Cc2ccc(F)cn2)c(C)c(C)c1C</v>
      </c>
      <c r="C88" s="10">
        <v>0.406779661</v>
      </c>
    </row>
    <row r="89">
      <c r="A89" s="10" t="s">
        <v>22556</v>
      </c>
      <c r="B89" s="7" t="str">
        <f>IFERROR(__xludf.DUMMYFUNCTION("SPLIT(A89,"" "")"),"Cc1ccc2cccc(N(C)CCN(C)c3ccc4ncc(-c5ccccc5)cc4c3)c2n1")</f>
        <v>Cc1ccc2cccc(N(C)CCN(C)c3ccc4ncc(-c5ccccc5)cc4c3)c2n1</v>
      </c>
      <c r="C89" s="10">
        <v>0.4074074074</v>
      </c>
    </row>
    <row r="90">
      <c r="A90" s="10" t="s">
        <v>22557</v>
      </c>
      <c r="B90" s="7" t="str">
        <f>IFERROR(__xludf.DUMMYFUNCTION("SPLIT(A90,"" "")"),"CN(c1cccc2c3c(cnc12)CCC3)C1CCC(N(C)c2cccc3c4c(cnc23)CCC4)CC1")</f>
        <v>CN(c1cccc2c3c(cnc12)CCC3)C1CCC(N(C)c2cccc3c4c(cnc23)CCC4)CC1</v>
      </c>
      <c r="C90" s="10">
        <v>0.4074074074</v>
      </c>
    </row>
    <row r="91">
      <c r="A91" s="10" t="s">
        <v>22558</v>
      </c>
      <c r="B91" s="7" t="str">
        <f>IFERROR(__xludf.DUMMYFUNCTION("SPLIT(A91,"" "")"),"CN(c1ccc2nc3c(cc2c1)CCCC3)C1CCCC(N(C)c2ccc3cc4c(nc3c2)CCCC4)C1")</f>
        <v>CN(c1ccc2nc3c(cc2c1)CCCC3)C1CCCC(N(C)c2ccc3cc4c(nc3c2)CCCC4)C1</v>
      </c>
      <c r="C91" s="10">
        <v>0.4107142857</v>
      </c>
    </row>
    <row r="92">
      <c r="A92" s="10" t="s">
        <v>22559</v>
      </c>
      <c r="B92" s="7" t="str">
        <f>IFERROR(__xludf.DUMMYFUNCTION("SPLIT(A92,"" "")"),"Cc1ccncc1")</f>
        <v>Cc1ccncc1</v>
      </c>
      <c r="C92" s="10">
        <v>0.4117647059</v>
      </c>
    </row>
    <row r="93">
      <c r="A93" s="10" t="s">
        <v>22560</v>
      </c>
      <c r="B93" s="7" t="str">
        <f>IFERROR(__xludf.DUMMYFUNCTION("SPLIT(A93,"" "")"),"COC(=O)c1c(C)cncc1CN1CCN(C)CCN(C)CC1")</f>
        <v>COC(=O)c1c(C)cncc1CN1CCN(C)CCN(C)CC1</v>
      </c>
      <c r="C93" s="10">
        <v>0.4117647059</v>
      </c>
    </row>
    <row r="94">
      <c r="A94" s="10" t="s">
        <v>22561</v>
      </c>
      <c r="B94" s="7" t="str">
        <f>IFERROR(__xludf.DUMMYFUNCTION("SPLIT(A94,"" "")"),"CN(C)Cc1ccc(N(C)O)cn1")</f>
        <v>CN(C)Cc1ccc(N(C)O)cn1</v>
      </c>
      <c r="C94" s="10">
        <v>0.4166666667</v>
      </c>
    </row>
    <row r="95">
      <c r="A95" s="10" t="s">
        <v>22562</v>
      </c>
      <c r="B95" s="7" t="str">
        <f>IFERROR(__xludf.DUMMYFUNCTION("SPLIT(A95,"" "")"),"CN(C)Cc1cccc(N(C)O)n1")</f>
        <v>CN(C)Cc1cccc(N(C)O)n1</v>
      </c>
      <c r="C95" s="10">
        <v>0.4166666667</v>
      </c>
    </row>
    <row r="96">
      <c r="A96" s="10" t="s">
        <v>22563</v>
      </c>
      <c r="B96" s="7" t="str">
        <f>IFERROR(__xludf.DUMMYFUNCTION("SPLIT(A96,"" "")"),"Cc1ccnc(CN(C)CCN(C)Cc2ncccc2C)c1")</f>
        <v>Cc1ccnc(CN(C)CCN(C)Cc2ncccc2C)c1</v>
      </c>
      <c r="C96" s="10">
        <v>0.4186046512</v>
      </c>
    </row>
    <row r="97">
      <c r="A97" s="10" t="s">
        <v>22564</v>
      </c>
      <c r="B97" s="7" t="str">
        <f>IFERROR(__xludf.DUMMYFUNCTION("SPLIT(A97,"" "")"),"c1ccc2ncccc2c1")</f>
        <v>c1ccc2ncccc2c1</v>
      </c>
      <c r="C97" s="10">
        <v>0.4242424242</v>
      </c>
    </row>
    <row r="98">
      <c r="A98" s="10" t="s">
        <v>22564</v>
      </c>
      <c r="B98" s="7" t="str">
        <f>IFERROR(__xludf.DUMMYFUNCTION("SPLIT(A98,"" "")"),"c1ccc2ncccc2c1")</f>
        <v>c1ccc2ncccc2c1</v>
      </c>
      <c r="C98" s="10">
        <v>0.4242424242</v>
      </c>
    </row>
    <row r="99">
      <c r="A99" s="10" t="s">
        <v>22565</v>
      </c>
      <c r="B99" s="7" t="str">
        <f>IFERROR(__xludf.DUMMYFUNCTION("SPLIT(A99,"" "")"),"COc1cncc(CN2CCN(C)CCN(C)CC2)c1")</f>
        <v>COc1cncc(CN2CCN(C)CCN(C)CC2)c1</v>
      </c>
      <c r="C99" s="10">
        <v>0.4347826087</v>
      </c>
    </row>
    <row r="100">
      <c r="A100" s="10" t="s">
        <v>22566</v>
      </c>
      <c r="B100" s="7" t="str">
        <f>IFERROR(__xludf.DUMMYFUNCTION("SPLIT(A100,"" "")"),"COc1c(C)cccc1-c1c(C)cncc1CN(Cc1ccccn1)Cc1ccccn1")</f>
        <v>COc1c(C)cccc1-c1c(C)cncc1CN(Cc1ccccn1)Cc1ccccn1</v>
      </c>
      <c r="C100" s="10">
        <v>0.4347826087</v>
      </c>
    </row>
    <row r="101">
      <c r="A101" s="10" t="s">
        <v>22567</v>
      </c>
      <c r="B101" s="7" t="str">
        <f>IFERROR(__xludf.DUMMYFUNCTION("SPLIT(A101,"" "")"),"CN(Cc1ccc(N(C)O)cn1)Cc1cccc(F)n1")</f>
        <v>CN(Cc1ccc(N(C)O)cn1)Cc1cccc(F)n1</v>
      </c>
      <c r="C101" s="10">
        <v>0.4347826087</v>
      </c>
    </row>
    <row r="102">
      <c r="A102" s="10" t="s">
        <v>22568</v>
      </c>
      <c r="B102" s="7" t="str">
        <f>IFERROR(__xludf.DUMMYFUNCTION("SPLIT(A102,"" "")"),"CN(Cc1ccc(F)cn1)Cc1ccc(N(C)O)cn1")</f>
        <v>CN(Cc1ccc(F)cn1)Cc1ccc(N(C)O)cn1</v>
      </c>
      <c r="C102" s="10">
        <v>0.4358974359</v>
      </c>
    </row>
    <row r="103">
      <c r="A103" s="10" t="s">
        <v>22569</v>
      </c>
      <c r="B103" s="7" t="str">
        <f>IFERROR(__xludf.DUMMYFUNCTION("SPLIT(A103,"" "")"),"Cc1ccc2ccc(N(C)CCN(C)c3cccc4c(C)ccnc34)cc2n1")</f>
        <v>Cc1ccc2ccc(N(C)CCN(C)c3cccc4c(C)ccnc34)cc2n1</v>
      </c>
      <c r="C103" s="10">
        <v>0.44</v>
      </c>
    </row>
    <row r="104">
      <c r="A104" s="10" t="s">
        <v>22570</v>
      </c>
      <c r="B104" s="7" t="str">
        <f>IFERROR(__xludf.DUMMYFUNCTION("SPLIT(A104,"" "")"),"CN(C)Cc1ccc(N(C)C)cn1")</f>
        <v>CN(C)Cc1ccc(N(C)C)cn1</v>
      </c>
      <c r="C104" s="10">
        <v>0.4411764706</v>
      </c>
    </row>
    <row r="105">
      <c r="A105" s="10" t="s">
        <v>22571</v>
      </c>
      <c r="B105" s="7" t="str">
        <f>IFERROR(__xludf.DUMMYFUNCTION("SPLIT(A105,"" "")"),"CN(CCN(Cc1ccccn1)Cc1ccc(-c2ccc3c(c2)OCCOCCOCCOCCOCCO3)cn1)Cc1ccc(CF)cn1")</f>
        <v>CN(CCN(Cc1ccccn1)Cc1ccc(-c2ccc3c(c2)OCCOCCOCCOCCOCCO3)cn1)Cc1ccc(CF)cn1</v>
      </c>
      <c r="C105" s="10">
        <v>0.4411764706</v>
      </c>
    </row>
    <row r="106">
      <c r="A106" s="10" t="s">
        <v>22572</v>
      </c>
      <c r="B106" s="7" t="str">
        <f>IFERROR(__xludf.DUMMYFUNCTION("SPLIT(A106,"" "")"),"Cc1cccnc1CN(C)CCN(C)Cc1nccc2ccccc12")</f>
        <v>Cc1cccnc1CN(C)CCN(C)Cc1nccc2ccccc12</v>
      </c>
      <c r="C106" s="10">
        <v>0.4444444444</v>
      </c>
    </row>
    <row r="107">
      <c r="A107" s="10" t="s">
        <v>22573</v>
      </c>
      <c r="B107" s="7" t="str">
        <f>IFERROR(__xludf.DUMMYFUNCTION("SPLIT(A107,"" "")"),"Cc1ccc(C)c(CN(C)CCN(C)Cc2ncccc2C)n1")</f>
        <v>Cc1ccc(C)c(CN(C)CCN(C)Cc2ncccc2C)n1</v>
      </c>
      <c r="C107" s="10">
        <v>0.45</v>
      </c>
    </row>
    <row r="108">
      <c r="A108" s="10" t="s">
        <v>22574</v>
      </c>
      <c r="B108" s="7" t="str">
        <f>IFERROR(__xludf.DUMMYFUNCTION("SPLIT(A108,"" "")"),"CC1=CC2CCC(N(C)Cc3cccc(C)n3)C(N(Cc3nc(C)c(C)c(C)c3C)Cc3nc(C)c(C)c(C)c3C)C2N=C1")</f>
        <v>CC1=CC2CCC(N(C)Cc3cccc(C)n3)C(N(Cc3nc(C)c(C)c(C)c3C)Cc3nc(C)c(C)c(C)c3C)C2N=C1</v>
      </c>
      <c r="C108" s="10">
        <v>0.45</v>
      </c>
    </row>
    <row r="109">
      <c r="A109" s="10" t="s">
        <v>22575</v>
      </c>
      <c r="B109" s="7" t="str">
        <f>IFERROR(__xludf.DUMMYFUNCTION("SPLIT(A109,"" "")"),"CC(C)[Si](c1cncc(CN(Cc2ccccn2)Cc2cc([Si](C(C)C)(C(C)C)C(C)C)ccn2)c1)(C(C)C)C(C)C")</f>
        <v>CC(C)[Si](c1cncc(CN(Cc2ccccn2)Cc2cc([Si](C(C)C)(C(C)C)C(C)C)ccn2)c1)(C(C)C)C(C)C</v>
      </c>
      <c r="C109" s="10">
        <v>0.4545454545</v>
      </c>
    </row>
    <row r="110">
      <c r="A110" s="10" t="s">
        <v>22576</v>
      </c>
      <c r="B110" s="7" t="str">
        <f>IFERROR(__xludf.DUMMYFUNCTION("SPLIT(A110,"" "")"),"CN1CCN(C)CCN(CC2=CCC(N(C)C)=CN2)CC1")</f>
        <v>CN1CCN(C)CCN(CC2=CCC(N(C)C)=CN2)CC1</v>
      </c>
      <c r="C110" s="10">
        <v>0.4565217391</v>
      </c>
    </row>
    <row r="111">
      <c r="A111" s="10" t="s">
        <v>22577</v>
      </c>
      <c r="B111" s="7" t="str">
        <f>IFERROR(__xludf.DUMMYFUNCTION("SPLIT(A111,"" "")"),"Cc1cccc(CN(C)C2CC(N(C)Cc3nc(C)ccc3C)CCC2N(Cc2nc(C)c(C)c(C)c2C)Cc2nc(C)c(C)c(C)c2C)n1")</f>
        <v>Cc1cccc(CN(C)C2CC(N(C)Cc3nc(C)ccc3C)CCC2N(Cc2nc(C)c(C)c(C)c2C)Cc2nc(C)c(C)c(C)c2C)n1</v>
      </c>
      <c r="C111" s="10">
        <v>0.4576271186</v>
      </c>
    </row>
    <row r="112">
      <c r="A112" s="10" t="s">
        <v>22578</v>
      </c>
      <c r="B112" s="7" t="str">
        <f>IFERROR(__xludf.DUMMYFUNCTION("SPLIT(A112,"" "")"),"CCN(Cc1ccccn1)c1cc(C)ccn1")</f>
        <v>CCN(Cc1ccccn1)c1cc(C)ccn1</v>
      </c>
      <c r="C112" s="10">
        <v>0.4594594595</v>
      </c>
    </row>
    <row r="113">
      <c r="A113" s="10" t="s">
        <v>22579</v>
      </c>
      <c r="B113" s="7" t="str">
        <f>IFERROR(__xludf.DUMMYFUNCTION("SPLIT(A113,"" "")"),"CNCc1cc(C)ccn1")</f>
        <v>CNCc1cc(C)ccn1</v>
      </c>
      <c r="C113" s="10">
        <v>0.4594594595</v>
      </c>
    </row>
    <row r="114">
      <c r="A114" s="10" t="s">
        <v>22580</v>
      </c>
      <c r="B114" s="7" t="str">
        <f>IFERROR(__xludf.DUMMYFUNCTION("SPLIT(A114,"" "")"),"CCN(Cc1ccccn1)c1cccc(C)n1")</f>
        <v>CCN(Cc1ccccn1)c1cccc(C)n1</v>
      </c>
      <c r="C114" s="10">
        <v>0.4594594595</v>
      </c>
    </row>
    <row r="115">
      <c r="A115" s="10" t="s">
        <v>22581</v>
      </c>
      <c r="B115" s="7" t="str">
        <f>IFERROR(__xludf.DUMMYFUNCTION("SPLIT(A115,"" "")"),"Cc1cccc(C)n1")</f>
        <v>Cc1cccc(C)n1</v>
      </c>
      <c r="C115" s="10">
        <v>0.4615384615</v>
      </c>
    </row>
    <row r="116">
      <c r="A116" s="10" t="s">
        <v>22582</v>
      </c>
      <c r="B116" s="7" t="str">
        <f>IFERROR(__xludf.DUMMYFUNCTION("SPLIT(A116,"" "")"),"CCNc1ncccc1-c1ncccc1C(C)(c1ccccn1)c1ccccn1")</f>
        <v>CCNc1ncccc1-c1ncccc1C(C)(c1ccccn1)c1ccccn1</v>
      </c>
      <c r="C116" s="10">
        <v>0.4615384615</v>
      </c>
    </row>
    <row r="117">
      <c r="A117" s="10" t="s">
        <v>22583</v>
      </c>
      <c r="B117" s="7" t="str">
        <f>IFERROR(__xludf.DUMMYFUNCTION("SPLIT(A117,"" "")"),"Cc1nc(CN(C)C2CCCCC2N(C)Cc2nc(C)c(C)c(C)c2C)c(C)c(C)c1C")</f>
        <v>Cc1nc(CN(C)C2CCCCC2N(C)Cc2nc(C)c(C)c(C)c2C)c(C)c(C)c1C</v>
      </c>
      <c r="C117" s="10">
        <v>0.4634146341</v>
      </c>
    </row>
    <row r="118">
      <c r="A118" s="10" t="s">
        <v>22584</v>
      </c>
      <c r="B118" s="7" t="str">
        <f>IFERROR(__xludf.DUMMYFUNCTION("SPLIT(A118,"" "")"),"ON(O)c1ccnc(CN2CCCC2C2CCCN2Cc2cc([SiH3])c([SiH3])c([SiH3])n2)c1")</f>
        <v>ON(O)c1ccnc(CN2CCCC2C2CCCN2Cc2cc([SiH3])c([SiH3])c([SiH3])n2)c1</v>
      </c>
      <c r="C118" s="10">
        <v>0.4642857143</v>
      </c>
    </row>
    <row r="119">
      <c r="A119" s="10" t="s">
        <v>22585</v>
      </c>
      <c r="B119" s="7" t="str">
        <f>IFERROR(__xludf.DUMMYFUNCTION("SPLIT(A119,"" "")"),"CC(C)[Si](c1ccnc(CN(Cc2ccccn2)Cc2ncccc2[Si](C(C)C)(C(C)C)C(C)C)c1)(C(C)C)C(C)C")</f>
        <v>CC(C)[Si](c1ccnc(CN(Cc2ccccn2)Cc2ncccc2[Si](C(C)C)(C(C)C)C(C)C)c1)(C(C)C)C(C)C</v>
      </c>
      <c r="C119" s="10">
        <v>0.4651162791</v>
      </c>
    </row>
    <row r="120">
      <c r="A120" s="10" t="s">
        <v>22586</v>
      </c>
      <c r="B120" s="7" t="str">
        <f>IFERROR(__xludf.DUMMYFUNCTION("SPLIT(A120,"" "")"),"Cc1ccc(CN2CCCC2C2CCCN2Cc2ccc(C3=CC4OC=COCCOCCOCCOCCOC4C=C3)cn2)nc1")</f>
        <v>Cc1ccc(CN2CCCC2C2CCCN2Cc2ccc(C3=CC4OC=COCCOCCOCCOCCOC4C=C3)cn2)nc1</v>
      </c>
      <c r="C120" s="10">
        <v>0.4714285714</v>
      </c>
    </row>
    <row r="121">
      <c r="A121" s="10" t="s">
        <v>22587</v>
      </c>
      <c r="B121" s="7" t="str">
        <f>IFERROR(__xludf.DUMMYFUNCTION("SPLIT(A121,"" "")"),"CN(CCN(C)c1ccc2cccnc2c1)c1ccc2cccnc2c1")</f>
        <v>CN(CCN(C)c1ccc2cccnc2c1)c1ccc2cccnc2c1</v>
      </c>
      <c r="C121" s="10">
        <v>0.4736842105</v>
      </c>
    </row>
    <row r="122">
      <c r="A122" s="10" t="s">
        <v>22588</v>
      </c>
      <c r="B122" s="7" t="str">
        <f>IFERROR(__xludf.DUMMYFUNCTION("SPLIT(A122,"" "")"),"CN1CCCC1CN(Cc1ccccn1)Cc1nccs1")</f>
        <v>CN1CCCC1CN(Cc1ccccn1)Cc1nccs1</v>
      </c>
      <c r="C122" s="10">
        <v>0.4745762712</v>
      </c>
    </row>
    <row r="123">
      <c r="A123" s="10" t="s">
        <v>22589</v>
      </c>
      <c r="B123" s="7" t="str">
        <f>IFERROR(__xludf.DUMMYFUNCTION("SPLIT(A123,"" "")"),"Cc1cnc(CN(CCN(C)Cc2ccc3ccccc3n2)Cc2ncc(C)c(C)c2C)c(C)c1C")</f>
        <v>Cc1cnc(CN(CCN(C)Cc2ccc3ccccc3n2)Cc2ncc(C)c(C)c2C)c(C)c1C</v>
      </c>
      <c r="C123" s="10">
        <v>0.4772727273</v>
      </c>
    </row>
    <row r="124">
      <c r="A124" s="10" t="s">
        <v>22590</v>
      </c>
      <c r="B124" s="7" t="str">
        <f>IFERROR(__xludf.DUMMYFUNCTION("SPLIT(A124,"" "")"),"CC(c1ccccn1)(c1ccccn1)c1cc2ccc3ncccc3c2cn1")</f>
        <v>CC(c1ccccn1)(c1ccccn1)c1cc2ccc3ncccc3c2cn1</v>
      </c>
      <c r="C124" s="10">
        <v>0.4782608696</v>
      </c>
    </row>
    <row r="125">
      <c r="A125" s="10" t="s">
        <v>22591</v>
      </c>
      <c r="B125" s="7" t="str">
        <f>IFERROR(__xludf.DUMMYFUNCTION("SPLIT(A125,"" "")"),"CC(c1ccccn1)(c1ccccn1)c1cc2c(ccc3ncccc32)cn1")</f>
        <v>CC(c1ccccn1)(c1ccccn1)c1cc2c(ccc3ncccc32)cn1</v>
      </c>
      <c r="C125" s="10">
        <v>0.4782608696</v>
      </c>
    </row>
    <row r="126">
      <c r="A126" s="10" t="s">
        <v>22592</v>
      </c>
      <c r="B126" s="7" t="str">
        <f>IFERROR(__xludf.DUMMYFUNCTION("SPLIT(A126,"" "")"),"c1ccc(-c2ccccn2)nc1")</f>
        <v>c1ccc(-c2ccccn2)nc1</v>
      </c>
      <c r="C126" s="10">
        <v>0.4814814815</v>
      </c>
    </row>
    <row r="127">
      <c r="A127" s="10" t="s">
        <v>22593</v>
      </c>
      <c r="B127" s="7" t="str">
        <f>IFERROR(__xludf.DUMMYFUNCTION("SPLIT(A127,"" "")"),"Cc1cccnc1CN(C)CCN(C)Cc1ncccc1C")</f>
        <v>Cc1cccnc1CN(C)CCN(C)Cc1ncccc1C</v>
      </c>
      <c r="C127" s="10">
        <v>0.4864864865</v>
      </c>
    </row>
    <row r="128">
      <c r="A128" s="10" t="s">
        <v>22593</v>
      </c>
      <c r="B128" s="7" t="str">
        <f>IFERROR(__xludf.DUMMYFUNCTION("SPLIT(A128,"" "")"),"Cc1cccnc1CN(C)CCN(C)Cc1ncccc1C")</f>
        <v>Cc1cccnc1CN(C)CCN(C)Cc1ncccc1C</v>
      </c>
      <c r="C128" s="10">
        <v>0.4864864865</v>
      </c>
    </row>
    <row r="129">
      <c r="A129" s="10" t="s">
        <v>22594</v>
      </c>
      <c r="B129" s="7" t="str">
        <f>IFERROR(__xludf.DUMMYFUNCTION("SPLIT(A129,"" "")"),"c1ccc(CN2CCC(C3CCCN3)C2)nc1")</f>
        <v>c1ccc(CN2CCC(C3CCCN3)C2)nc1</v>
      </c>
      <c r="C129" s="10">
        <v>0.4888888889</v>
      </c>
    </row>
    <row r="130">
      <c r="A130" s="10" t="s">
        <v>22595</v>
      </c>
      <c r="B130" s="7" t="str">
        <f>IFERROR(__xludf.DUMMYFUNCTION("SPLIT(A130,"" "")"),"Cc1ccnc(CN(C)C2CCCCC2N(C)Cc2nc(C)c(C)cc2C)c1")</f>
        <v>Cc1ccnc(CN(C)C2CCCCC2N(C)Cc2nc(C)c(C)cc2C)c1</v>
      </c>
      <c r="C130" s="10">
        <v>0.4897959184</v>
      </c>
    </row>
    <row r="131">
      <c r="A131" s="10" t="s">
        <v>22596</v>
      </c>
      <c r="B131" s="7" t="str">
        <f>IFERROR(__xludf.DUMMYFUNCTION("SPLIT(A131,"" "")"),"COC(=O)C1C2C(c3ccccn3)N(C)C(c3ccccn3)C1(C(=O)OC)CC(=O)N2C")</f>
        <v>COC(=O)C1C2C(c3ccccn3)N(C)C(c3ccccn3)C1(C(=O)OC)CC(=O)N2C</v>
      </c>
      <c r="C131" s="10">
        <v>0.4920634921</v>
      </c>
    </row>
    <row r="132">
      <c r="A132" s="10" t="s">
        <v>22597</v>
      </c>
      <c r="B132" s="7" t="str">
        <f>IFERROR(__xludf.DUMMYFUNCTION("SPLIT(A132,"" "")"),"COC(=O)C1N(C)CC2C(=O)C1(C(=O)OC)C(c1ccccn1)N(C)C2c1ccccn1")</f>
        <v>COC(=O)C1N(C)CC2C(=O)C1(C(=O)OC)C(c1ccccn1)N(C)C2c1ccccn1</v>
      </c>
      <c r="C132" s="10">
        <v>0.4920634921</v>
      </c>
    </row>
    <row r="133">
      <c r="A133" s="10" t="s">
        <v>22598</v>
      </c>
      <c r="B133" s="7" t="str">
        <f>IFERROR(__xludf.DUMMYFUNCTION("SPLIT(A133,"" "")"),"c1ccc(CN(Cc2cncs2)Cc2nccs2)nc1")</f>
        <v>c1ccc(CN(Cc2cncs2)Cc2nccs2)nc1</v>
      </c>
      <c r="C133" s="10">
        <v>0.5</v>
      </c>
    </row>
    <row r="134">
      <c r="A134" s="10" t="s">
        <v>22599</v>
      </c>
      <c r="B134" s="7" t="str">
        <f>IFERROR(__xludf.DUMMYFUNCTION("SPLIT(A134,"" "")"),"CN(Cc1nc2ccccc2n1C)c1cccc2cc3c(nc12)CCC3")</f>
        <v>CN(Cc1nc2ccccc2n1C)c1cccc2cc3c(nc12)CCC3</v>
      </c>
      <c r="C134" s="10">
        <v>0.5</v>
      </c>
    </row>
    <row r="135">
      <c r="A135" s="10" t="s">
        <v>22600</v>
      </c>
      <c r="B135" s="7" t="str">
        <f>IFERROR(__xludf.DUMMYFUNCTION("SPLIT(A135,"" "")"),"CNCc1cccc(C)n1")</f>
        <v>CNCc1cccc(C)n1</v>
      </c>
      <c r="C135" s="10">
        <v>0.5</v>
      </c>
    </row>
    <row r="136">
      <c r="A136" s="10" t="s">
        <v>22601</v>
      </c>
      <c r="B136" s="7" t="str">
        <f>IFERROR(__xludf.DUMMYFUNCTION("SPLIT(A136,"" "")"),"CNCc1ccc(C)cn1")</f>
        <v>CNCc1ccc(C)cn1</v>
      </c>
      <c r="C136" s="10">
        <v>0.5</v>
      </c>
    </row>
    <row r="137">
      <c r="A137" s="10" t="s">
        <v>22602</v>
      </c>
      <c r="B137" s="7" t="str">
        <f>IFERROR(__xludf.DUMMYFUNCTION("SPLIT(A137,"" "")"),"Cc1ccnc(CN(C)C)c1")</f>
        <v>Cc1ccnc(CN(C)C)c1</v>
      </c>
      <c r="C137" s="10">
        <v>0.5</v>
      </c>
    </row>
    <row r="138">
      <c r="A138" s="10" t="s">
        <v>22603</v>
      </c>
      <c r="B138" s="7" t="str">
        <f>IFERROR(__xludf.DUMMYFUNCTION("SPLIT(A138,"" "")"),"COc1cccc(CN2CCCC2C2CCCN2Cc2cnccc2OC)n1")</f>
        <v>COc1cccc(CN2CCCC2C2CCCN2Cc2cnccc2OC)n1</v>
      </c>
      <c r="C138" s="10">
        <v>0.5</v>
      </c>
    </row>
    <row r="139">
      <c r="A139" s="10" t="s">
        <v>22604</v>
      </c>
      <c r="B139" s="7" t="str">
        <f>IFERROR(__xludf.DUMMYFUNCTION("SPLIT(A139,"" "")"),"CN(CCN(C)c1cccc2cc3c(nc12)CCC3)Cc1ccon1")</f>
        <v>CN(CCN(C)c1cccc2cc3c(nc12)CCC3)Cc1ccon1</v>
      </c>
      <c r="C139" s="10">
        <v>0.5</v>
      </c>
    </row>
    <row r="140">
      <c r="A140" s="10" t="s">
        <v>22605</v>
      </c>
      <c r="B140" s="7" t="str">
        <f>IFERROR(__xludf.DUMMYFUNCTION("SPLIT(A140,"" "")"),"Cc1ccnc(CN(C)Cc2cc(C)ccn2)c1")</f>
        <v>Cc1ccnc(CN(C)Cc2cc(C)ccn2)c1</v>
      </c>
      <c r="C140" s="10">
        <v>0.5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D1" s="92">
        <v>-3.20491</v>
      </c>
      <c r="E1" s="7">
        <f t="shared" ref="E1:E64" si="1">_xlfn.NORM.DIST(D1, F1, G1, FALSE)</f>
        <v>0.005657244476</v>
      </c>
      <c r="F1" s="48">
        <v>7.859548607031257</v>
      </c>
      <c r="G1" s="10">
        <v>4.766435510590291</v>
      </c>
    </row>
    <row r="2">
      <c r="D2" s="36">
        <v>0.443649</v>
      </c>
      <c r="E2" s="7">
        <f t="shared" si="1"/>
        <v>0.02494990526</v>
      </c>
      <c r="F2" s="48">
        <v>7.859548607031257</v>
      </c>
      <c r="G2" s="10">
        <v>4.766435510590291</v>
      </c>
    </row>
    <row r="3">
      <c r="D3" s="36">
        <v>1.371736</v>
      </c>
      <c r="E3" s="7">
        <f t="shared" si="1"/>
        <v>0.03314392207</v>
      </c>
      <c r="F3" s="48">
        <v>7.859548607031257</v>
      </c>
      <c r="G3" s="10">
        <v>4.766435510590291</v>
      </c>
    </row>
    <row r="4">
      <c r="D4" s="36">
        <v>1.383658</v>
      </c>
      <c r="E4" s="7">
        <f t="shared" si="1"/>
        <v>0.03325685055</v>
      </c>
      <c r="F4" s="48">
        <v>7.859548607031257</v>
      </c>
      <c r="G4" s="10">
        <v>4.766435510590291</v>
      </c>
    </row>
    <row r="5">
      <c r="D5" s="36">
        <v>1.487825</v>
      </c>
      <c r="E5" s="7">
        <f t="shared" si="1"/>
        <v>0.03425094521</v>
      </c>
      <c r="F5" s="48">
        <v>7.859548607031257</v>
      </c>
      <c r="G5" s="10">
        <v>4.766435510590291</v>
      </c>
    </row>
    <row r="6">
      <c r="D6" s="36">
        <v>2.029993</v>
      </c>
      <c r="E6" s="7">
        <f t="shared" si="1"/>
        <v>0.03961868686</v>
      </c>
      <c r="F6" s="48">
        <v>7.859548607031257</v>
      </c>
      <c r="G6" s="10">
        <v>4.766435510590291</v>
      </c>
    </row>
    <row r="7">
      <c r="D7" s="36">
        <v>2.038151</v>
      </c>
      <c r="E7" s="7">
        <f t="shared" si="1"/>
        <v>0.03970164941</v>
      </c>
      <c r="F7" s="48">
        <v>7.859548607031257</v>
      </c>
      <c r="G7" s="10">
        <v>4.766435510590291</v>
      </c>
    </row>
    <row r="8">
      <c r="D8" s="36">
        <v>2.354416</v>
      </c>
      <c r="E8" s="7">
        <f t="shared" si="1"/>
        <v>0.04295829766</v>
      </c>
      <c r="F8" s="48">
        <v>7.859548607031257</v>
      </c>
      <c r="G8" s="10">
        <v>4.766435510590291</v>
      </c>
    </row>
    <row r="9">
      <c r="D9" s="36">
        <v>2.441639</v>
      </c>
      <c r="E9" s="7">
        <f t="shared" si="1"/>
        <v>0.04386855744</v>
      </c>
      <c r="F9" s="48">
        <v>7.859548607031257</v>
      </c>
      <c r="G9" s="10">
        <v>4.766435510590291</v>
      </c>
    </row>
    <row r="10">
      <c r="D10" s="36">
        <v>2.453562</v>
      </c>
      <c r="E10" s="7">
        <f t="shared" si="1"/>
        <v>0.04399333083</v>
      </c>
      <c r="F10" s="48">
        <v>7.859548607031257</v>
      </c>
      <c r="G10" s="10">
        <v>4.766435510590291</v>
      </c>
    </row>
    <row r="11">
      <c r="D11" s="36">
        <v>3.004515</v>
      </c>
      <c r="E11" s="7">
        <f t="shared" si="1"/>
        <v>0.04982203334</v>
      </c>
      <c r="F11" s="48">
        <v>7.85954860703126</v>
      </c>
      <c r="G11" s="10">
        <v>4.76643551059029</v>
      </c>
    </row>
    <row r="12">
      <c r="D12" s="36">
        <v>3.175198</v>
      </c>
      <c r="E12" s="7">
        <f t="shared" si="1"/>
        <v>0.05163972021</v>
      </c>
      <c r="F12" s="48">
        <v>7.85954860703125</v>
      </c>
      <c r="G12" s="10">
        <v>4.76643551059029</v>
      </c>
    </row>
    <row r="13">
      <c r="D13" s="36">
        <v>3.202181</v>
      </c>
      <c r="E13" s="7">
        <f t="shared" si="1"/>
        <v>0.05192698912</v>
      </c>
      <c r="F13" s="48">
        <v>7.85954860703125</v>
      </c>
      <c r="G13" s="10">
        <v>4.76643551059029</v>
      </c>
    </row>
    <row r="14">
      <c r="D14" s="36">
        <v>3.764429</v>
      </c>
      <c r="E14" s="7">
        <f t="shared" si="1"/>
        <v>0.05786669744</v>
      </c>
      <c r="F14" s="48">
        <v>7.85954860703125</v>
      </c>
      <c r="G14" s="10">
        <v>4.76643551059029</v>
      </c>
    </row>
    <row r="15">
      <c r="D15" s="36">
        <v>4.001628</v>
      </c>
      <c r="E15" s="7">
        <f t="shared" si="1"/>
        <v>0.06031973297</v>
      </c>
      <c r="F15" s="48">
        <v>7.85954860703125</v>
      </c>
      <c r="G15" s="10">
        <v>4.76643551059029</v>
      </c>
    </row>
    <row r="16">
      <c r="D16" s="36">
        <v>4.083204</v>
      </c>
      <c r="E16" s="7">
        <f t="shared" si="1"/>
        <v>0.06115216973</v>
      </c>
      <c r="F16" s="48">
        <v>7.85954860703125</v>
      </c>
      <c r="G16" s="10">
        <v>4.76643551059029</v>
      </c>
    </row>
    <row r="17">
      <c r="D17" s="36">
        <v>4.14972</v>
      </c>
      <c r="E17" s="7">
        <f t="shared" si="1"/>
        <v>0.06182601829</v>
      </c>
      <c r="F17" s="48">
        <v>7.85954860703125</v>
      </c>
      <c r="G17" s="10">
        <v>4.76643551059029</v>
      </c>
    </row>
    <row r="18">
      <c r="D18" s="36">
        <v>4.55095</v>
      </c>
      <c r="E18" s="7">
        <f t="shared" si="1"/>
        <v>0.06577890361</v>
      </c>
      <c r="F18" s="48">
        <v>7.85954860703125</v>
      </c>
      <c r="G18" s="10">
        <v>4.76643551059029</v>
      </c>
    </row>
    <row r="19">
      <c r="D19" s="36">
        <v>4.604665</v>
      </c>
      <c r="E19" s="7">
        <f t="shared" si="1"/>
        <v>0.0662912752</v>
      </c>
      <c r="F19" s="48">
        <v>7.85954860703125</v>
      </c>
      <c r="G19" s="10">
        <v>4.76643551059029</v>
      </c>
    </row>
    <row r="20">
      <c r="D20" s="36">
        <v>4.679966</v>
      </c>
      <c r="E20" s="7">
        <f t="shared" si="1"/>
        <v>0.06700194816</v>
      </c>
      <c r="F20" s="48">
        <v>7.85954860703125</v>
      </c>
      <c r="G20" s="10">
        <v>4.76643551059029</v>
      </c>
    </row>
    <row r="21">
      <c r="D21" s="36">
        <v>4.888927</v>
      </c>
      <c r="E21" s="7">
        <f t="shared" si="1"/>
        <v>0.06892407032</v>
      </c>
      <c r="F21" s="48">
        <v>7.85954860703125</v>
      </c>
      <c r="G21" s="10">
        <v>4.76643551059029</v>
      </c>
    </row>
    <row r="22">
      <c r="D22" s="36">
        <v>5.7367</v>
      </c>
      <c r="E22" s="7">
        <f t="shared" si="1"/>
        <v>0.07579548991</v>
      </c>
      <c r="F22" s="48">
        <v>7.85954860703125</v>
      </c>
      <c r="G22" s="10">
        <v>4.76643551059029</v>
      </c>
    </row>
    <row r="23">
      <c r="D23" s="36">
        <v>6.128885</v>
      </c>
      <c r="E23" s="7">
        <f t="shared" si="1"/>
        <v>0.07835888834</v>
      </c>
      <c r="F23" s="48">
        <v>7.85954860703125</v>
      </c>
      <c r="G23" s="10">
        <v>4.76643551059029</v>
      </c>
    </row>
    <row r="24">
      <c r="D24" s="36">
        <v>6.335336</v>
      </c>
      <c r="E24" s="7">
        <f t="shared" si="1"/>
        <v>0.07952633651</v>
      </c>
      <c r="F24" s="48">
        <v>7.85954860703125</v>
      </c>
      <c r="G24" s="10">
        <v>4.76643551059029</v>
      </c>
    </row>
    <row r="25">
      <c r="D25" s="36">
        <v>6.440758</v>
      </c>
      <c r="E25" s="7">
        <f t="shared" si="1"/>
        <v>0.08007121428</v>
      </c>
      <c r="F25" s="48">
        <v>7.85954860703125</v>
      </c>
      <c r="G25" s="10">
        <v>4.76643551059029</v>
      </c>
    </row>
    <row r="26">
      <c r="D26" s="36">
        <v>6.831068</v>
      </c>
      <c r="E26" s="7">
        <f t="shared" si="1"/>
        <v>0.08177228992</v>
      </c>
      <c r="F26" s="48">
        <v>7.85954860703125</v>
      </c>
      <c r="G26" s="10">
        <v>4.76643551059029</v>
      </c>
    </row>
    <row r="27">
      <c r="D27" s="36">
        <v>6.849894</v>
      </c>
      <c r="E27" s="7">
        <f t="shared" si="1"/>
        <v>0.08184137164</v>
      </c>
      <c r="F27" s="48">
        <v>7.85954860703125</v>
      </c>
      <c r="G27" s="10">
        <v>4.76643551059029</v>
      </c>
    </row>
    <row r="28">
      <c r="D28" s="36">
        <v>7.190555</v>
      </c>
      <c r="E28" s="7">
        <f t="shared" si="1"/>
        <v>0.08287788119</v>
      </c>
      <c r="F28" s="48">
        <v>7.85954860703125</v>
      </c>
      <c r="G28" s="10">
        <v>4.76643551059029</v>
      </c>
    </row>
    <row r="29">
      <c r="D29" s="36">
        <v>7.302513</v>
      </c>
      <c r="E29" s="7">
        <f t="shared" si="1"/>
        <v>0.08312862678</v>
      </c>
      <c r="F29" s="48">
        <v>7.85954860703125</v>
      </c>
      <c r="G29" s="10">
        <v>4.76643551059029</v>
      </c>
    </row>
    <row r="30">
      <c r="D30" s="36">
        <v>7.823031</v>
      </c>
      <c r="E30" s="7">
        <f t="shared" si="1"/>
        <v>0.0836957872</v>
      </c>
      <c r="F30" s="48">
        <v>7.85954860703124</v>
      </c>
      <c r="G30" s="10">
        <v>4.76643551059029</v>
      </c>
    </row>
    <row r="31">
      <c r="D31" s="36">
        <v>7.958703</v>
      </c>
      <c r="E31" s="7">
        <f t="shared" si="1"/>
        <v>0.08368013536</v>
      </c>
      <c r="F31" s="48">
        <v>7.85954860703124</v>
      </c>
      <c r="G31" s="10">
        <v>4.76643551059029</v>
      </c>
    </row>
    <row r="32">
      <c r="D32" s="36">
        <v>7.994192</v>
      </c>
      <c r="E32" s="7">
        <f t="shared" si="1"/>
        <v>0.0836648562</v>
      </c>
      <c r="F32" s="48">
        <v>7.85954860703124</v>
      </c>
      <c r="G32" s="10">
        <v>4.76643551059029</v>
      </c>
    </row>
    <row r="33">
      <c r="D33" s="36">
        <v>8.077269</v>
      </c>
      <c r="E33" s="7">
        <f t="shared" si="1"/>
        <v>0.08361097245</v>
      </c>
      <c r="F33" s="48">
        <v>7.85954860703124</v>
      </c>
      <c r="G33" s="10">
        <v>4.76643551059029</v>
      </c>
    </row>
    <row r="34">
      <c r="D34" s="36">
        <v>8.143191</v>
      </c>
      <c r="E34" s="7">
        <f t="shared" si="1"/>
        <v>0.0835501771</v>
      </c>
      <c r="F34" s="48">
        <v>7.85954860703124</v>
      </c>
      <c r="G34" s="10">
        <v>4.76643551059029</v>
      </c>
    </row>
    <row r="35">
      <c r="D35" s="36">
        <v>8.4331</v>
      </c>
      <c r="E35" s="7">
        <f t="shared" si="1"/>
        <v>0.08309447234</v>
      </c>
      <c r="F35" s="48">
        <v>7.85954860703124</v>
      </c>
      <c r="G35" s="10">
        <v>4.76643551059029</v>
      </c>
    </row>
    <row r="36">
      <c r="D36" s="36">
        <v>8.449859</v>
      </c>
      <c r="E36" s="7">
        <f t="shared" si="1"/>
        <v>0.0830588099</v>
      </c>
      <c r="F36" s="48">
        <v>7.85954860703124</v>
      </c>
      <c r="G36" s="10">
        <v>4.76643551059029</v>
      </c>
    </row>
    <row r="37">
      <c r="D37" s="36">
        <v>8.473261</v>
      </c>
      <c r="E37" s="7">
        <f t="shared" si="1"/>
        <v>0.08300732009</v>
      </c>
      <c r="F37" s="48">
        <v>7.85954860703124</v>
      </c>
      <c r="G37" s="10">
        <v>4.76643551059029</v>
      </c>
    </row>
    <row r="38">
      <c r="D38" s="36">
        <v>8.696654</v>
      </c>
      <c r="E38" s="7">
        <f t="shared" si="1"/>
        <v>0.08241734535</v>
      </c>
      <c r="F38" s="48">
        <v>7.85954860703124</v>
      </c>
      <c r="G38" s="10">
        <v>4.76643551059029</v>
      </c>
    </row>
    <row r="39">
      <c r="D39" s="36">
        <v>8.819019</v>
      </c>
      <c r="E39" s="7">
        <f t="shared" si="1"/>
        <v>0.08201955544</v>
      </c>
      <c r="F39" s="48">
        <v>7.85954860703124</v>
      </c>
      <c r="G39" s="10">
        <v>4.76643551059029</v>
      </c>
    </row>
    <row r="40">
      <c r="D40" s="36">
        <v>8.91942</v>
      </c>
      <c r="E40" s="7">
        <f t="shared" si="1"/>
        <v>0.08165439873</v>
      </c>
      <c r="F40" s="48">
        <v>7.85954860703124</v>
      </c>
      <c r="G40" s="10">
        <v>4.76643551059029</v>
      </c>
    </row>
    <row r="41">
      <c r="D41" s="36">
        <v>9.021077</v>
      </c>
      <c r="E41" s="7">
        <f t="shared" si="1"/>
        <v>0.08124959229</v>
      </c>
      <c r="F41" s="48">
        <v>7.85954860703124</v>
      </c>
      <c r="G41" s="10">
        <v>4.76643551059029</v>
      </c>
    </row>
    <row r="42">
      <c r="D42" s="36">
        <v>9.624741</v>
      </c>
      <c r="E42" s="7">
        <f t="shared" si="1"/>
        <v>0.07815100058</v>
      </c>
      <c r="F42" s="48">
        <v>7.85954860703124</v>
      </c>
      <c r="G42" s="10">
        <v>4.76643551059029</v>
      </c>
    </row>
    <row r="43">
      <c r="D43" s="36">
        <v>9.7559</v>
      </c>
      <c r="E43" s="7">
        <f t="shared" si="1"/>
        <v>0.07732935151</v>
      </c>
      <c r="F43" s="48">
        <v>7.85954860703124</v>
      </c>
      <c r="G43" s="10">
        <v>4.76643551059029</v>
      </c>
    </row>
    <row r="44">
      <c r="D44" s="36">
        <v>9.76593</v>
      </c>
      <c r="E44" s="7">
        <f t="shared" si="1"/>
        <v>0.07726446694</v>
      </c>
      <c r="F44" s="48">
        <v>7.85954860703124</v>
      </c>
      <c r="G44" s="10">
        <v>4.76643551059029</v>
      </c>
    </row>
    <row r="45">
      <c r="D45" s="36">
        <v>9.771578</v>
      </c>
      <c r="E45" s="7">
        <f t="shared" si="1"/>
        <v>0.07722780321</v>
      </c>
      <c r="F45" s="48">
        <v>7.85954860703124</v>
      </c>
      <c r="G45" s="10">
        <v>4.76643551059029</v>
      </c>
    </row>
    <row r="46">
      <c r="D46" s="36">
        <v>10.06525</v>
      </c>
      <c r="E46" s="7">
        <f t="shared" si="1"/>
        <v>0.07519960457</v>
      </c>
      <c r="F46" s="48">
        <v>7.85954860703124</v>
      </c>
      <c r="G46" s="10">
        <v>4.76643551059029</v>
      </c>
    </row>
    <row r="47">
      <c r="D47" s="35">
        <v>10.228404850000516</v>
      </c>
      <c r="E47" s="7">
        <f t="shared" si="1"/>
        <v>0.07397446594</v>
      </c>
      <c r="F47" s="48">
        <v>7.85954860703123</v>
      </c>
      <c r="G47" s="10">
        <v>4.76643551059029</v>
      </c>
    </row>
    <row r="48">
      <c r="D48" s="36">
        <v>10.26919</v>
      </c>
      <c r="E48" s="7">
        <f t="shared" si="1"/>
        <v>0.07365785437</v>
      </c>
      <c r="F48" s="48">
        <v>7.85954860703123</v>
      </c>
      <c r="G48" s="10">
        <v>4.76643551059029</v>
      </c>
    </row>
    <row r="49">
      <c r="D49" s="36">
        <v>10.62499</v>
      </c>
      <c r="E49" s="7">
        <f t="shared" si="1"/>
        <v>0.07073265788</v>
      </c>
      <c r="F49" s="48">
        <v>7.85954860703123</v>
      </c>
      <c r="G49" s="10">
        <v>4.76643551059029</v>
      </c>
    </row>
    <row r="50">
      <c r="D50" s="36">
        <v>10.92328</v>
      </c>
      <c r="E50" s="7">
        <f t="shared" si="1"/>
        <v>0.06807704348</v>
      </c>
      <c r="F50" s="48">
        <v>7.85954860703123</v>
      </c>
      <c r="G50" s="10">
        <v>4.76643551059029</v>
      </c>
    </row>
    <row r="51">
      <c r="D51" s="36">
        <v>11.21108</v>
      </c>
      <c r="E51" s="7">
        <f t="shared" si="1"/>
        <v>0.06536625994</v>
      </c>
      <c r="F51" s="48">
        <v>7.85954860703123</v>
      </c>
      <c r="G51" s="10">
        <v>4.76643551059029</v>
      </c>
    </row>
    <row r="52">
      <c r="D52" s="36">
        <v>11.34833</v>
      </c>
      <c r="E52" s="7">
        <f t="shared" si="1"/>
        <v>0.06402952421</v>
      </c>
      <c r="F52" s="48">
        <v>7.85954860703123</v>
      </c>
      <c r="G52" s="10">
        <v>4.76643551059029</v>
      </c>
    </row>
    <row r="53">
      <c r="D53" s="36">
        <v>11.36357</v>
      </c>
      <c r="E53" s="7">
        <f t="shared" si="1"/>
        <v>0.06387952468</v>
      </c>
      <c r="F53" s="48">
        <v>7.85954860703123</v>
      </c>
      <c r="G53" s="10">
        <v>4.76643551059029</v>
      </c>
    </row>
    <row r="54">
      <c r="D54" s="36">
        <v>11.61018</v>
      </c>
      <c r="E54" s="7">
        <f t="shared" si="1"/>
        <v>0.06141320344</v>
      </c>
      <c r="F54" s="48">
        <v>7.85954860703123</v>
      </c>
      <c r="G54" s="10">
        <v>4.76643551059029</v>
      </c>
    </row>
    <row r="55">
      <c r="D55" s="36">
        <v>12.09587</v>
      </c>
      <c r="E55" s="7">
        <f t="shared" si="1"/>
        <v>0.05638771976</v>
      </c>
      <c r="F55" s="48">
        <v>7.85954860703123</v>
      </c>
      <c r="G55" s="10">
        <v>4.76643551059029</v>
      </c>
    </row>
    <row r="56">
      <c r="D56" s="36">
        <v>12.19233</v>
      </c>
      <c r="E56" s="7">
        <f t="shared" si="1"/>
        <v>0.0553712242</v>
      </c>
      <c r="F56" s="48">
        <v>7.85954860703123</v>
      </c>
      <c r="G56" s="10">
        <v>4.76643551059029</v>
      </c>
    </row>
    <row r="57">
      <c r="D57" s="36">
        <v>12.72477</v>
      </c>
      <c r="E57" s="7">
        <f t="shared" si="1"/>
        <v>0.04971356867</v>
      </c>
      <c r="F57" s="48">
        <v>7.85954860703123</v>
      </c>
      <c r="G57" s="10">
        <v>4.76643551059029</v>
      </c>
    </row>
    <row r="58">
      <c r="D58" s="36">
        <v>13.1846</v>
      </c>
      <c r="E58" s="7">
        <f t="shared" si="1"/>
        <v>0.04484232737</v>
      </c>
      <c r="F58" s="48">
        <v>7.85954860703123</v>
      </c>
      <c r="G58" s="10">
        <v>4.76643551059029</v>
      </c>
    </row>
    <row r="59">
      <c r="D59" s="36">
        <v>14.01605</v>
      </c>
      <c r="E59" s="7">
        <f t="shared" si="1"/>
        <v>0.03634496772</v>
      </c>
      <c r="F59" s="48">
        <v>7.85954860703123</v>
      </c>
      <c r="G59" s="10">
        <v>4.76643551059029</v>
      </c>
    </row>
    <row r="60">
      <c r="D60" s="36">
        <v>14.84562</v>
      </c>
      <c r="E60" s="7">
        <f t="shared" si="1"/>
        <v>0.02859146901</v>
      </c>
      <c r="F60" s="48">
        <v>7.85954860703123</v>
      </c>
      <c r="G60" s="10">
        <v>4.76643551059029</v>
      </c>
    </row>
    <row r="61">
      <c r="D61" s="36">
        <v>16.27571</v>
      </c>
      <c r="E61" s="7">
        <f t="shared" si="1"/>
        <v>0.01760785694</v>
      </c>
      <c r="F61" s="48">
        <v>7.85954860703123</v>
      </c>
      <c r="G61" s="10">
        <v>4.76643551059029</v>
      </c>
    </row>
    <row r="62">
      <c r="D62" s="36">
        <v>18.14757</v>
      </c>
      <c r="E62" s="7">
        <f t="shared" si="1"/>
        <v>0.008148274211</v>
      </c>
      <c r="F62" s="48">
        <v>7.85954860703123</v>
      </c>
      <c r="G62" s="10">
        <v>4.76643551059029</v>
      </c>
    </row>
    <row r="63">
      <c r="D63" s="36">
        <v>20.27985</v>
      </c>
      <c r="E63" s="7">
        <f t="shared" si="1"/>
        <v>0.002807130715</v>
      </c>
      <c r="F63" s="48">
        <v>7.85954860703123</v>
      </c>
      <c r="G63" s="10">
        <v>4.76643551059029</v>
      </c>
    </row>
    <row r="64">
      <c r="D64" s="36">
        <v>22.15673</v>
      </c>
      <c r="E64" s="7">
        <f t="shared" si="1"/>
        <v>0.0009310479103</v>
      </c>
      <c r="F64" s="48">
        <v>7.85954860703123</v>
      </c>
      <c r="G64" s="10">
        <v>4.76643551059029</v>
      </c>
    </row>
    <row r="65">
      <c r="D65" s="93"/>
    </row>
    <row r="66">
      <c r="C66" s="10" t="s">
        <v>230</v>
      </c>
      <c r="D66" s="48">
        <f>AVERAGE(D1:D64)</f>
        <v>7.859548607</v>
      </c>
    </row>
    <row r="67">
      <c r="C67" s="10" t="s">
        <v>231</v>
      </c>
      <c r="D67" s="10">
        <f>_xlfn.STDEV.P(D1:D64)</f>
        <v>4.766435511</v>
      </c>
    </row>
  </sheetData>
  <drawing r:id="rId1"/>
</worksheet>
</file>